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g"/>
  <Default Extension="tiff" ContentType="image/tiff"/>
  <Default Extension="jpeg" ContentType="image/jpeg"/>
  <Default Extension="png" ContentType="image/png"/>
  <Default Extension="bmp" ContentType="image/bmp"/>
  <Default Extension="gif" ContentType="image/gif"/>
  <Default Extension="svg" ContentType="image/svg+xml"/>
  <Default Extension="emf" ContentType="image/x-emf"/>
  <Default Extension="wmf" ContentType="image/x-wmf"/>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worksheets/sheet4.xml" ContentType="application/vnd.openxmlformats-officedocument.spreadsheetml.worksheet+xml"/>
  <Override PartName="/xl/comments4.xml" ContentType="application/vnd.openxmlformats-officedocument.spreadsheetml.comments+xml"/>
  <Override PartName="/xl/drawings/drawing3.xml" ContentType="application/vnd.openxmlformats-officedocument.drawing+xml"/>
  <Override PartName="/xl/ctrlProps/ctrlProp4.xml" ContentType="application/vnd.ms-excel.controlproperties+xml"/>
  <Override PartName="/xl/ctrlProps/ctrlProp5.xml" ContentType="application/vnd.ms-excel.controlproperties+xml"/>
  <Override PartName="/xl/worksheets/sheet5.xml" ContentType="application/vnd.openxmlformats-officedocument.spreadsheetml.worksheet+xml"/>
  <Override PartName="/xl/worksheets/sheet6.xml" ContentType="application/vnd.openxmlformats-officedocument.spreadsheetml.worksheet+xml"/>
  <Override PartName="/xl/comments6.xml" ContentType="application/vnd.openxmlformats-officedocument.spreadsheetml.comments+xml"/>
  <Override PartName="/xl/worksheets/sheet7.xml" ContentType="application/vnd.openxmlformats-officedocument.spreadsheetml.worksheet+xml"/>
  <Override PartName="/xl/drawings/drawing4.xml" ContentType="application/vnd.openxmlformats-officedocument.drawing+xml"/>
  <Override PartName="/xl/ctrlProps/ctrlProp6.xml" ContentType="application/vnd.ms-excel.controlproperties+xml"/>
  <Override PartName="/xl/ctrlProps/ctrlProp7.xml" ContentType="application/vnd.ms-excel.controlproperties+xml"/>
  <Override PartName="/xl/worksheets/sheet8.xml" ContentType="application/vnd.openxmlformats-officedocument.spreadsheetml.worksheet+xml"/>
  <Override PartName="/xl/comments8.xml" ContentType="application/vnd.openxmlformats-officedocument.spreadsheetml.comments+xml"/>
  <Override PartName="/xl/drawings/drawing5.xml" ContentType="application/vnd.openxmlformats-officedocument.drawing+xml"/>
  <Override PartName="/xl/worksheets/sheet9.xml" ContentType="application/vnd.openxmlformats-officedocument.spreadsheetml.worksheet+xml"/>
  <Override PartName="/xl/comments9.xml" ContentType="application/vnd.openxmlformats-officedocument.spreadsheetml.comments+xml"/>
  <Override PartName="/xl/drawings/drawing6.xml" ContentType="application/vnd.openxmlformats-officedocument.drawing+xml"/>
  <Override PartName="/xl/ctrlProps/ctrlProp8.xml" ContentType="application/vnd.ms-excel.controlproperties+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sheets/sheet12.xml" ContentType="application/vnd.openxmlformats-officedocument.spreadsheetml.worksheet+xml"/>
  <Override PartName="/xl/drawings/drawing9.xml" ContentType="application/vnd.openxmlformats-officedocument.drawing+xml"/>
  <Override PartName="/xl/ctrlProps/ctrlProp9.xml" ContentType="application/vnd.ms-excel.controlproperties+xml"/>
  <Override PartName="/xl/worksheets/sheet13.xml" ContentType="application/vnd.openxmlformats-officedocument.spreadsheetml.worksheet+xml"/>
  <Override PartName="/xl/drawings/drawing10.xml" ContentType="application/vnd.openxmlformats-officedocument.drawing+xml"/>
  <Override PartName="/xl/worksheets/sheet14.xml" ContentType="application/vnd.openxmlformats-officedocument.spreadsheetml.worksheet+xml"/>
  <Override PartName="/xl/drawings/drawing11.xml" ContentType="application/vnd.openxmlformats-officedocument.drawing+xml"/>
  <Override PartName="/xl/worksheets/sheet15.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worksheets/sheet16.xml" ContentType="application/vnd.openxmlformats-officedocument.spreadsheetml.worksheet+xml"/>
  <Override PartName="/xl/drawings/drawing12.xml" ContentType="application/vnd.openxmlformats-officedocument.drawing+xml"/>
  <Override PartName="/xl/ctrlProps/ctrlProp10.xml" ContentType="application/vnd.ms-excel.controlproperties+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3.xml" ContentType="application/vnd.openxmlformats-officedocument.drawing+xml"/>
  <Override PartName="/xl/worksheets/sheet20.xml" ContentType="application/vnd.openxmlformats-officedocument.spreadsheetml.worksheet+xml"/>
  <Override PartName="/xl/worksheets/sheet21.xml" ContentType="application/vnd.openxmlformats-officedocument.spreadsheetml.worksheet+xml"/>
  <Override PartName="/xl/comments21.xml" ContentType="application/vnd.openxmlformats-officedocument.spreadsheetml.comments+xml"/>
  <Override PartName="/xl/drawings/drawing14.xml" ContentType="application/vnd.openxmlformats-officedocument.drawing+xml"/>
  <Override PartName="/xl/ctrlProps/ctrlProp11.xml" ContentType="application/vnd.ms-excel.controlproperties+xml"/>
  <Override PartName="/xl/worksheets/sheet22.xml" ContentType="application/vnd.openxmlformats-officedocument.spreadsheetml.worksheet+xml"/>
  <Override PartName="/xl/drawings/drawing15.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worksheets/sheet23.xml" ContentType="application/vnd.openxmlformats-officedocument.spreadsheetml.worksheet+xml"/>
  <Override PartName="/xl/drawings/drawing16.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worksheets/sheet24.xml" ContentType="application/vnd.openxmlformats-officedocument.spreadsheetml.workshee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17.xml" ContentType="application/vnd.openxmlformats-officedocument.drawing+xml"/>
  <Override PartName="/xl/ctrlProps/ctrlProp16.xml" ContentType="application/vnd.ms-excel.controlproperties+xml"/>
  <Override PartName="/xl/worksheets/sheet25.xml" ContentType="application/vnd.openxmlformats-officedocument.spreadsheetml.worksheet+xml"/>
  <Override PartName="/xl/worksheets/sheet26.xml" ContentType="application/vnd.openxmlformats-officedocument.spreadsheetml.worksheet+xml"/>
  <Override PartName="/xl/comments26.xml" ContentType="application/vnd.openxmlformats-officedocument.spreadsheetml.comments+xml"/>
  <Override PartName="/xl/drawings/drawing18.xml" ContentType="application/vnd.openxmlformats-officedocument.drawing+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comments37.xml" ContentType="application/vnd.openxmlformats-officedocument.spreadsheetml.comments+xml"/>
  <Override PartName="/xl/drawings/drawing19.xml" ContentType="application/vnd.openxmlformats-officedocument.drawing+xml"/>
  <Override PartName="/xl/worksheets/sheet38.xml" ContentType="application/vnd.openxmlformats-officedocument.spreadsheetml.worksheet+xml"/>
  <Override PartName="/xl/comments38.xml" ContentType="application/vnd.openxmlformats-officedocument.spreadsheetml.comments+xml"/>
  <Override PartName="/xl/drawings/drawing20.xml" ContentType="application/vnd.openxmlformats-officedocument.drawing+xml"/>
  <Override PartName="/xl/ctrlProps/ctrlProp17.xml" ContentType="application/vnd.ms-excel.controlproperties+xml"/>
  <Override PartName="/xl/worksheets/sheet39.xml" ContentType="application/vnd.openxmlformats-officedocument.spreadsheetml.worksheet+xml"/>
  <Override PartName="/xl/comments39.xml" ContentType="application/vnd.openxmlformats-officedocument.spreadsheetml.comments+xml"/>
  <Override PartName="/xl/drawings/drawing21.xml" ContentType="application/vnd.openxmlformats-officedocument.drawing+xml"/>
  <Override PartName="/xl/ctrlProps/ctrlProp18.xml" ContentType="application/vnd.ms-excel.controlproperties+xml"/>
  <Override PartName="/xl/ctrlProps/ctrlProp19.xml" ContentType="application/vnd.ms-excel.controlproperties+xml"/>
  <Override PartName="/xl/worksheets/sheet40.xml" ContentType="application/vnd.openxmlformats-officedocument.spreadsheetml.worksheet+xml"/>
  <Override PartName="/xl/worksheets/sheet41.xml" ContentType="application/vnd.openxmlformats-officedocument.spreadsheetml.worksheet+xml"/>
  <Override PartName="/xl/drawings/drawing22.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comments47.xml" ContentType="application/vnd.openxmlformats-officedocument.spreadsheetml.comments+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drawings/drawing23.xml" ContentType="application/vnd.openxmlformats-officedocument.drawing+xml"/>
  <Override PartName="/xl/worksheets/sheet52.xml" ContentType="application/vnd.openxmlformats-officedocument.spreadsheetml.worksheet+xml"/>
  <Override PartName="/xl/drawings/drawing24.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sharedStrings.xml" ContentType="application/vnd.openxmlformats-officedocument.spreadsheetml.sharedStrings+xml"/>
  <Override PartName="/xl/metadata.xml" ContentType="application/vnd.openxmlformats-officedocument.spreadsheetml.sheetMetadata+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activeTab="20"/>
  </bookViews>
  <sheets>
    <sheet r:id="rId1" sheetId="1" name="Evaluation Version"/>
    <sheet r:id="rId2" name="Setup" sheetId="2"/>
    <sheet r:id="rId3" name="Data Page" sheetId="3" state="hidden"/>
    <sheet r:id="rId4" name="SBL Quotes" sheetId="4"/>
    <sheet r:id="rId5" name="Screening &amp; Credit Risks" sheetId="5" state="hidden"/>
    <sheet r:id="rId6" name="PD" sheetId="6" state="hidden"/>
    <sheet r:id="rId7" name="FNM Loan Terms" sheetId="7"/>
    <sheet r:id="rId8" name="FNM Exit Strategy" sheetId="8"/>
    <sheet r:id="rId9" name="DUS Gateway Data" sheetId="9" state="hidden"/>
    <sheet r:id="rId10" name="Freddie I&amp;E" sheetId="10"/>
    <sheet r:id="rId11" name="Fannie Historical Ops" sheetId="11"/>
    <sheet r:id="rId12" name="Kick-Off Memo" sheetId="12"/>
    <sheet r:id="rId13" name="Quote Letter" sheetId="13"/>
    <sheet r:id="rId14" name="Quote" sheetId="14" state="hidden"/>
    <sheet r:id="rId15" name="FRE_PricingAdjTables" sheetId="15" state="hidden"/>
    <sheet r:id="rId16" name="FRE_App" sheetId="16" state="hidden"/>
    <sheet r:id="rId17" name="FRE_App Print History" sheetId="17" state="hidden"/>
    <sheet r:id="rId18" name="FNM_APP" sheetId="18" state="hidden"/>
    <sheet r:id="rId19" name="FRE B2B Submission" sheetId="19" state="hidden"/>
    <sheet r:id="rId20" name="Summary OPS" sheetId="20" state="hidden"/>
    <sheet r:id="rId21" name="Rent Roll" sheetId="21"/>
    <sheet r:id="rId22" name="OS Analysis" sheetId="22"/>
    <sheet r:id="rId23" name="NRI Analysis" sheetId="23"/>
    <sheet r:id="rId24" name="Expense Comps." sheetId="24" state="hidden"/>
    <sheet r:id="rId25" name="Unit Mix" sheetId="25" state="hidden"/>
    <sheet r:id="rId26" name="Bor-KP-Prin" sheetId="26" state="hidden"/>
    <sheet r:id="rId27" name="SREO 1" sheetId="27" state="hidden"/>
    <sheet r:id="rId28" name="SREO 2" sheetId="28" state="hidden"/>
    <sheet r:id="rId29" name="SREO 3" sheetId="29" state="hidden"/>
    <sheet r:id="rId30" name="SREO 4" sheetId="30" state="hidden"/>
    <sheet r:id="rId31" name="SREO 5" sheetId="31" state="hidden"/>
    <sheet r:id="rId32" name="SREO 6" sheetId="32" state="hidden"/>
    <sheet r:id="rId33" name="SREO 7" sheetId="33" state="hidden"/>
    <sheet r:id="rId34" name="SREO 8" sheetId="34" state="hidden"/>
    <sheet r:id="rId35" name="Rent Comps" sheetId="35" state="hidden"/>
    <sheet r:id="rId36" name="Sales Comps" sheetId="36" state="hidden"/>
    <sheet r:id="rId37" name="Engineering schedule" sheetId="37" state="hidden"/>
    <sheet r:id="rId38" name="Form 4662" sheetId="38" state="hidden"/>
    <sheet r:id="rId39" name="Trade Sheet" sheetId="39" state="hidden"/>
    <sheet r:id="rId40" name="C&amp;D Data Inputs" sheetId="40" state="hidden"/>
    <sheet r:id="rId41" name="VData" sheetId="41" state="hidden"/>
    <sheet r:id="rId42" name="HData" sheetId="42" state="hidden"/>
    <sheet r:id="rId43" name="Property Collateral" sheetId="43" state="hidden"/>
    <sheet r:id="rId44" name="Participants" sheetId="44" state="hidden"/>
    <sheet r:id="rId45" name="DailyPricing" sheetId="45" state="hidden"/>
    <sheet r:id="rId46" name="Lists" sheetId="46" state="hidden"/>
    <sheet r:id="rId47" name="MappingTables" sheetId="47" state="hidden"/>
    <sheet r:id="rId48" name="Boilerplate" sheetId="48" state="hidden"/>
    <sheet r:id="rId49" name="Dropdowns (DNP)" sheetId="49" state="hidden"/>
    <sheet r:id="rId50" name="Narrative Link (Do not Delete)" sheetId="50" state="hidden"/>
    <sheet r:id="rId51" name="Enodo Regression Testing" sheetId="51" state="hidden"/>
    <sheet r:id="rId52" name="EnodoConfig" sheetId="52" state="hidden"/>
  </sheets>
  <definedNames>
    <definedName name="ACTL_DSCR" isReadOnly="false">'Form 4662'!$AO$35</definedName>
    <definedName name="Actual_UW_DSCR" isReadOnly="false">'Data Page'!$J$56</definedName>
    <definedName name="address" isReadOnly="false">'SBL Quotes'!$B$7</definedName>
    <definedName name="Address_DataPageTab" isReadOnly="false">'Data Page'!$D$18</definedName>
    <definedName name="AGE_RESTR" isReadOnly="false">'Form 4662'!$K$19</definedName>
    <definedName name="AMI_CostBurden" isReadOnly="false">'Data Page'!$AX$18</definedName>
    <definedName name="AMI_HighNeedsRural_Marker" isReadOnly="false">'Data Page'!$AX$20</definedName>
    <definedName name="AMI_IsRural" isReadOnly="false">'Data Page'!$AX$19</definedName>
    <definedName name="AMI_MissionDriven_Discount_Addnl80" isReadOnly="false">'Data Page'!$AY$29</definedName>
    <definedName name="AMI_MissionDriven_Discount_Afford40" isReadOnly="false">'Data Page'!$AY$25</definedName>
    <definedName name="AMI_MissionDriven_Discount_Afford50" isReadOnly="false">'Data Page'!$AY$26</definedName>
    <definedName name="AMI_MissionDriven_Discount_Afford80" isReadOnly="false">'Data Page'!$AY$27</definedName>
    <definedName name="AMI_PercentagesFromServer" isReadOnly="false">'Data Page'!$AY$11:$AY$15</definedName>
    <definedName name="Amort" isReadOnly="false">'Data Page'!$E$53</definedName>
    <definedName name="AmortizingDebtService" isReadOnly="false">'Data Page'!$K$49</definedName>
    <definedName name="APP_LN_AMT" isReadOnly="false">'Form 4662'!$AM$9</definedName>
    <definedName name="ApplicationLoan" isReadOnly="false">'Data Page'!$K$63</definedName>
    <definedName name="Appraisal_Company" isReadOnly="false">'Data Page'!$K$34</definedName>
    <definedName name="Appraisal_Date" isReadOnly="false">'Data Page'!$K$36</definedName>
    <definedName name="Appraised_Cap" isReadOnly="false">'Data Page'!$K$43</definedName>
    <definedName name="Appraised_Value" isReadOnly="false">'Data Page'!$K$41</definedName>
    <definedName name="AppraisedValuePerUnit" isReadOnly="false">'Data Page'!$N$41</definedName>
    <definedName name="B2BLink_NumberOfUnits" isReadOnly="false">'FRE B2B Submission'!$K$6</definedName>
    <definedName name="B2BLink_PropertyName" isReadOnly="false">'FRE B2B Submission'!$K$4</definedName>
    <definedName name="B2BLink_ZipCode" isReadOnly="false">'FRE B2B Submission'!$K$3</definedName>
    <definedName name="BLDG_CNT" isReadOnly="false">'Form 4662'!$U$10</definedName>
    <definedName name="BLDG_TYP" isReadOnly="false">'Form 4662'!$U$9</definedName>
    <definedName name="BorrowerPriority" isReadOnly="false">'Data Page'!$D$40</definedName>
    <definedName name="Building_Type" isReadOnly="false">'Data Page'!$J$8</definedName>
    <definedName name="CAP_COST_FCTR" isReadOnly="false">'Form 4662'!$AO$17</definedName>
    <definedName name="City_DataPageTab" isReadOnly="false">'Data Page'!$D$19</definedName>
    <definedName name="CMT_NBR" isReadOnly="false">'Form 4662'!$O$4</definedName>
    <definedName name="COOP_NCF" isReadOnly="false">'Form 4662'!$AU$31</definedName>
    <definedName name="County_DataPageTab" isReadOnly="false">'Data Page'!$D$20</definedName>
    <definedName name="CUW_SIGN" isReadOnly="false">'Form 4662'!$AC$47</definedName>
    <definedName name="CUW_SIGN_DT" isReadOnly="false">'Form 4662'!$AS$47</definedName>
    <definedName name="DailyPricingUpdateTimestamp" isReadOnly="false">DailyPricing!$C$3</definedName>
    <definedName name="DataPage_AMI_Percentages" isReadOnly="false">'Data Page'!$L$16:$L$20</definedName>
    <definedName name="DataPage_MaxApprovedLoanAmount" isReadOnly="false">'Data Page'!$K$76</definedName>
    <definedName name="DataPage_PcntExcludedFromCap" isReadOnly="false">'Data Page'!$L$21</definedName>
    <definedName name="DataPage_PcntOfUnits_LTE_100PcntOfAMI" isReadOnly="false">'Data Page'!$L$17</definedName>
    <definedName name="DataPage_PcntOfUnits_LTE_120PcntOfAMI" isReadOnly="false">'Data Page'!$L$16</definedName>
    <definedName name="DataPage_PcntOfUnits_LTE_50PcntOfAMI" isReadOnly="false">'Data Page'!$L$20</definedName>
    <definedName name="DataPage_PcntOfUnits_LTE_60PcntOfAMI" isReadOnly="false">'Data Page'!$L$19</definedName>
    <definedName name="DataPage_PcntOfUnits_LTE_80PcntOfAMI" isReadOnly="false">'Data Page'!$L$18</definedName>
    <definedName name="DataPage_RefiClosingDate" isReadOnly="false">'Data Page'!$K$24</definedName>
    <definedName name="DataPage_Variable_Min_Stress_UW_DSCR" isReadOnly="false">'Data Page'!$AY$4</definedName>
    <definedName name="DataPage_View" isReadOnly="false">'Data Page'!$B$2</definedName>
    <definedName name="Debt_Yield" isReadOnly="false">'Data Page'!$K$50</definedName>
    <definedName name="Delegated_Level" isReadOnly="false">'Data Page'!$D$39</definedName>
    <definedName name="DL_NM" isReadOnly="false">'Form 4662'!$H$3</definedName>
    <definedName name="Dropdowns_ProducerContactInfo" isReadOnly="false">'Dropdowns (DNP)'!$GQ$2:$GQ$14</definedName>
    <definedName name="DropDowns_ProducerNames" isReadOnly="false">'Dropdowns (DNP)'!$GP$2:$GP$14</definedName>
    <definedName name="EnodoConfig_EnodoUrl" isReadOnly="false">EnodoConfig!$B$11</definedName>
    <definedName name="EnodoConfig_FreddieMacLoanId" isReadOnly="false">EnodoConfig!$B$15</definedName>
    <definedName name="EnodoConfig_ReleaseDate" isReadOnly="false">EnodoConfig!$B$21</definedName>
    <definedName name="EnodoConfig_RRId" isReadOnly="false">EnodoConfig!$B$3</definedName>
    <definedName name="EnodoConfig_T12_1" isReadOnly="false">EnodoConfig!$B$4</definedName>
    <definedName name="EnodoConfig_T12_2" isReadOnly="false">EnodoConfig!$B$5</definedName>
    <definedName name="EnodoConfig_T12_3" isReadOnly="false">EnodoConfig!$B$6</definedName>
    <definedName name="EnodoConfig_T12_4" isReadOnly="false">EnodoConfig!$B$7</definedName>
    <definedName name="EnodoConfig_Token" isReadOnly="false">EnodoConfig!$B$2</definedName>
    <definedName name="EnodoConfig_UniqueId" isReadOnly="false">EnodoConfig!$B$18</definedName>
    <definedName name="EnodoConfig_Version" isReadOnly="false">EnodoConfig!$B$20</definedName>
    <definedName name="Exit_LoanAmount" isReadOnly="false">'FNM Exit Strategy'!$AL$10</definedName>
    <definedName name="Exit_LoanStartDate" isReadOnly="false">'FNM Exit Strategy'!$AL$8</definedName>
    <definedName name="Exit_LoanTerm" isReadOnly="false">'FNM Exit Strategy'!$AL$7</definedName>
    <definedName name="Exit_LTV_Standard" isReadOnly="false">'Data Page'!$K$52</definedName>
    <definedName name="Exit_Rate_Standard" isReadOnly="false">'Data Page'!$K$51</definedName>
    <definedName name="Fail" isReadOnly="false">"Fail"</definedName>
    <definedName name="FirstAmort_IfSupp" isReadOnly="false">'Data Page'!$W$9</definedName>
    <definedName name="FirstConstant_IfSupp" isReadOnly="false">'Data Page'!$W$16</definedName>
    <definedName name="FirstCoterminous_IfSupp" isReadOnly="false">'Data Page'!$W$22</definedName>
    <definedName name="FirstDebtService_IfSupp" isReadOnly="false">'Data Page'!$W$17</definedName>
    <definedName name="FirstIO_IfSupp" isReadOnly="false">'Data Page'!$W$10</definedName>
    <definedName name="FirstMaturity_IfSupp" isReadOnly="false">'Data Page'!$W$24</definedName>
    <definedName name="FirstOrigLoan_IfSupp" isReadOnly="false">'Data Page'!$W$11</definedName>
    <definedName name="FirstRate_IfSupp" isReadOnly="false">'Data Page'!$W$15</definedName>
    <definedName name="FirstRemIO_IfSupp" isReadOnly="false">'Data Page'!$W$30</definedName>
    <definedName name="FirstRemTerm_IfSupp" isReadOnly="false">'Data Page'!$W$28</definedName>
    <definedName name="FirstTerm_IfSupp" isReadOnly="false">'Data Page'!$W$8</definedName>
    <definedName name="FirstUPB_IfSupp" isReadOnly="false">'Data Page'!$W$13</definedName>
    <definedName name="FixedPrinPayment" isReadOnly="false">'C&amp;D Data Inputs'!$X$4</definedName>
    <definedName name="Floor_UW_DSCR" isReadOnly="false">'Data Page'!$J$57</definedName>
    <definedName name="FloorConstant" isReadOnly="false">'Data Page'!$E$69</definedName>
    <definedName name="FloorRate" isReadOnly="false">'Data Page'!$E$67</definedName>
    <definedName name="FNM_TierTbl" isReadOnly="false">'SBL Quotes'!$BE$53:$BF$60</definedName>
    <definedName name="FormMonth" isReadOnly="false">11</definedName>
    <definedName name="FormYear" isReadOnly="false">2020</definedName>
    <definedName name="FreddieIE_ExpenseGrowthRate" isReadOnly="false">'Freddie I&amp;E'!$AD$38</definedName>
    <definedName name="GBA" isReadOnly="false">'Data Page'!$J$10</definedName>
    <definedName name="GetA1" isReadOnly="false">ADDRESS(ROW(INDIRECT(VData!$D1)),COLUMN(INDIRECT(VData!$D1)),1,1,"Form 4662")</definedName>
    <definedName name="GetR1C1" isReadOnly="false">"R"&amp;ROW(INDIRECT(VData!$D1))&amp;"C"&amp;COLUMN(INDIRECT(VData!$D1))</definedName>
    <definedName name="GR_InterestOnly" isReadOnly="false">'Data Page'!$D$55</definedName>
    <definedName name="GRS_SPRD" isReadOnly="false">'Form 4662'!$AO$16</definedName>
    <definedName name="Guarantor_KP_1" isReadOnly="false">'Bor-KP-Prin'!$L$5</definedName>
    <definedName name="Guarantor_KP_2" isReadOnly="false">'Bor-KP-Prin'!$M$5</definedName>
    <definedName name="Guarantor_KP_3" isReadOnly="false">'Bor-KP-Prin'!$N$5</definedName>
    <definedName name="Guarantor_KP_4" isReadOnly="false">'Bor-KP-Prin'!$O$5</definedName>
    <definedName name="Guarantor_KP_5" isReadOnly="false">'Bor-KP-Prin'!$P$5</definedName>
    <definedName name="Guarantor_KP_6" isReadOnly="false">'Bor-KP-Prin'!$Q$5</definedName>
    <definedName name="Guarantor_KP_7" isReadOnly="false">'Bor-KP-Prin'!$R$5</definedName>
    <definedName name="Guarantor_KP_8" isReadOnly="false">'Bor-KP-Prin'!$S$5</definedName>
    <definedName name="GuarantyFee" isReadOnly="false">'Data Page'!$E$62</definedName>
    <definedName name="HAP_REM_TRM" isReadOnly="false">'Form 4662'!$K$28</definedName>
    <definedName name="HOps_1YrBack" isReadOnly="false">'Fannie Historical Ops'!$H$4</definedName>
    <definedName name="HOps_2YrsBack" isReadOnly="false">'Fannie Historical Ops'!$F$4</definedName>
    <definedName name="HOps_3YrsBack" isReadOnly="false">'Fannie Historical Ops'!$D$4</definedName>
    <definedName name="HOps_CapExps" isReadOnly="false">'Fannie Historical Ops'!$AK$73</definedName>
    <definedName name="HOps_CurrentYear" isReadOnly="false">'Fannie Historical Ops'!$W$4</definedName>
    <definedName name="HOps_ExpenseGrowthRate" isReadOnly="false">'Fannie Historical Ops'!$AK$32</definedName>
    <definedName name="HOps_ManagementFee" isReadOnly="false">'Fannie Historical Ops'!$AL$51</definedName>
    <definedName name="HOps_NetCashFlow" isReadOnly="false">'Fannie Historical Ops'!$AK$77</definedName>
    <definedName name="HOps_YTD_or_TR" isReadOnly="false">'Fannie Historical Ops'!$W$2</definedName>
    <definedName name="HOps_YTD_or_TR_DropDown" isReadOnly="false">'Fannie Historical Ops'!$V$2</definedName>
    <definedName name="HOps_YTD_or_TR_Months" isReadOnly="false">'Fannie Historical Ops'!$V$4</definedName>
    <definedName name="INS_ESCRW" isReadOnly="false">'Form 4662'!$X$20</definedName>
    <definedName name="Interest_Calc" isReadOnly="false">'Data Page'!$E$44</definedName>
    <definedName name="Interest_Rate_Type" isReadOnly="false">'Data Page'!$E$42</definedName>
    <definedName name="InterestOnly" isReadOnly="false">'Data Page'!$E$55</definedName>
    <definedName name="InterestOnlyDebtService" isReadOnly="false">'Data Page'!$N$49</definedName>
    <definedName name="InvestorSpread" isReadOnly="false">'Data Page'!$E$60</definedName>
    <definedName name="IO_UW_DSCR" isReadOnly="false">'Data Page'!$L$56</definedName>
    <definedName name="IsCashOutRefinance" isReadOnly="false">'SBL Quotes'!$B$31</definedName>
    <definedName name="IsFannieStrongOrSelectEligibleMkt" isReadOnly="false">'SBL Quotes'!$B$47</definedName>
    <definedName name="LastPricingUpdateTimestamp" isReadOnly="false">'SBL Quotes'!$B$5</definedName>
    <definedName name="LCK_EXP_DT" isReadOnly="false">'Form 4662'!$AV$13</definedName>
    <definedName name="LCK_TRM" isReadOnly="false">'Form 4662'!$AV$12</definedName>
    <definedName name="Lender_Name" isReadOnly="false">'Data Page'!$D$6</definedName>
    <definedName name="LN_PRPS" isReadOnly="false">'Form 4662'!$AM$8</definedName>
    <definedName name="LNDR_CMTS" isReadOnly="false">'Form 4662'!$C$41</definedName>
    <definedName name="LNDR_NM" isReadOnly="false">'Form 4662'!$AI$3</definedName>
    <definedName name="Loan_Execution_Type" isReadOnly="false">'Data Page'!$D$41</definedName>
    <definedName name="Loan_Option_Accepted" isReadOnly="false">'SBL Quotes'!$B$54</definedName>
    <definedName name="Loan_Program_Accepted" isReadOnly="false">'SBL Quotes'!$B$53</definedName>
    <definedName name="Loan_Purpose" isReadOnly="false">'Data Page'!$E$43</definedName>
    <definedName name="Loan_to_Cost" isReadOnly="false">'Data Page'!$J$60</definedName>
    <definedName name="LoanAmount" isReadOnly="false">'Data Page'!$K$70</definedName>
    <definedName name="LossSharing_DataPageTab" isReadOnly="false">'Data Page'!$E$71</definedName>
    <definedName name="LTV" isReadOnly="false">'Data Page'!$J$59</definedName>
    <definedName name="MAH_TYP" isReadOnly="false">'Form 4662'!$L$26</definedName>
    <definedName name="MAH_UNDR_50" isReadOnly="false">'Form 4662'!$X$33</definedName>
    <definedName name="MAH_UNDR_60" isReadOnly="false">'Form 4662'!$X$32</definedName>
    <definedName name="MAH_UNDR_80" isReadOnly="false">'Form 4662'!$X$31</definedName>
    <definedName name="MAH_UNTS" isReadOnly="false">'Form 4662'!$X$34</definedName>
    <definedName name="Management_Company" isReadOnly="false">'Data Page'!$D$14</definedName>
    <definedName name="MAX_PMT_DSCR" isReadOnly="false">'Form 4662'!$AO$36</definedName>
    <definedName name="MEZZ_DSCR" isReadOnly="false">'Form 4662'!$AO$37</definedName>
    <definedName name="MEZZ_LN_ACQ_UPB" isReadOnly="false">'Form 4662'!$AM$10</definedName>
    <definedName name="MEZZ_LN_MO_PMT" isReadOnly="false">'Form 4662'!$AX$10</definedName>
    <definedName name="MIN_HRDL_DSCR" isReadOnly="false">'Form 4662'!$AO$33</definedName>
    <definedName name="Min_Tier" isReadOnly="false">'Data Page'!$D$48</definedName>
    <definedName name="MSA" isReadOnly="false">'SBL Quotes'!$B$17</definedName>
    <definedName name="MSA_DataPageTab" isReadOnly="false">'Data Page'!$D$23</definedName>
    <definedName name="MSA_Type" isReadOnly="false">'Data Page'!$B$23</definedName>
    <definedName name="NewLoanTestCheck" isReadOnly="false">'Data Page'!$R$41</definedName>
    <definedName name="NoteConstant" isReadOnly="false">'Data Page'!$E$68</definedName>
    <definedName name="NoteRate" isReadOnly="false">'Data Page'!$E$66</definedName>
    <definedName name="NRA" isReadOnly="false">'Data Page'!$J$11</definedName>
    <definedName name="NRI" isReadOnly="false">'Freddie I&amp;E'!$AD$23</definedName>
    <definedName name="number_units" isReadOnly="false">'SBL Quotes'!$B$12</definedName>
    <definedName name="NumOfBldg_DataPageTab" isReadOnly="false">'Data Page'!$J$9</definedName>
    <definedName name="OP_STMT_FY" isReadOnly="false">'Form 4662'!$AN$23</definedName>
    <definedName name="OriginationFee_Broker" isReadOnly="false">'Data Page'!$E$27</definedName>
    <definedName name="OriginationFee_Lender" isReadOnly="false">'Data Page'!$E$29</definedName>
    <definedName name="OriginationPerc_Broker" isReadOnly="false">'Data Page'!$E$28</definedName>
    <definedName name="OriginationPerc_Lender" isReadOnly="false">'Data Page'!$E$30</definedName>
    <definedName name="OSAnalysis_MostRecentMonth" isReadOnly="false">'OS Analysis'!$P$2</definedName>
    <definedName name="OTR_ESCRW" isReadOnly="false">'Form 4662'!$X$21</definedName>
    <definedName name="OTR_MAH_TYP" isReadOnly="false">'Form 4662'!$J$27</definedName>
    <definedName name="Pass" isReadOnly="false">"Pass"</definedName>
    <definedName name="PHS1_UNTS" isReadOnly="false">'Form 4662'!$L$14</definedName>
    <definedName name="PHS1_YR" isReadOnly="false">'Form 4662'!$L$13</definedName>
    <definedName name="PHS2_UNTS" isReadOnly="false">'Form 4662'!$N$14</definedName>
    <definedName name="PHS2_YR" isReadOnly="false">'Form 4662'!$N$13</definedName>
    <definedName name="PHS3_UNTS" isReadOnly="false">'Form 4662'!$P$14</definedName>
    <definedName name="PHS3_YR" isReadOnly="false">'Form 4662'!$P$13</definedName>
    <definedName name="PHS4_UNTS" isReadOnly="false">'Form 4662'!$R$14</definedName>
    <definedName name="PHS4_YR" isReadOnly="false">'Form 4662'!$R$13</definedName>
    <definedName name="PHS5_UNTS" isReadOnly="false">'Form 4662'!$T$14</definedName>
    <definedName name="PHS5_YR" isReadOnly="false">'Form 4662'!$T$13</definedName>
    <definedName name="PHS6_UNTS" isReadOnly="false">'Form 4662'!$V$14</definedName>
    <definedName name="PHS6_YR" isReadOnly="false">'Form 4662'!$V$13</definedName>
    <definedName name="PHS7_UNTS" isReadOnly="false">'Form 4662'!$X$14</definedName>
    <definedName name="PHS7_YR" isReadOnly="false">'Form 4662'!$X$13</definedName>
    <definedName name="PL_NBR" isReadOnly="false">'Form 4662'!$O$5</definedName>
    <definedName name="PremiumPerc_Broker" isReadOnly="false">'Data Page'!$E$33</definedName>
    <definedName name="PremiumPerc_Lender" isReadOnly="false">'Data Page'!$E$35</definedName>
    <definedName name="ProducerName" isReadOnly="false">'SBL Quotes'!$B$58</definedName>
    <definedName name="PROP_NM" isReadOnly="false">'Form 4662'!$H$8</definedName>
    <definedName name="PROP_TYP" isReadOnly="false">'Form 4662'!$H$9</definedName>
    <definedName name="property_name" isReadOnly="false">'SBL Quotes'!$B$6</definedName>
    <definedName name="Property_Type" isReadOnly="false">'Data Page'!$J$7</definedName>
    <definedName name="PropertyName_DataPageTab" isReadOnly="false">'Data Page'!$D$17</definedName>
    <definedName name="RentRoll_InputArea_Beds" isReadOnly="false">'Rent Roll'!$Q$17:$EZ$17</definedName>
    <definedName name="RentRoll_InputArea_DesignatedUnitType" isReadOnly="false">'Rent Roll'!$Q$20:$EZ$20</definedName>
    <definedName name="RentRoll_InputArea_MarketRent" isReadOnly="false">'Rent Roll'!$Q$21:$EZ$21</definedName>
    <definedName name="RentRoll_InputArea_SquareFootage" isReadOnly="false">'Rent Roll'!$Q$22:$EZ$22</definedName>
    <definedName name="RentRoll_NmbrOfUnitsWithoutMatchingUnitType" isReadOnly="false">'Rent Roll'!$FK$126</definedName>
    <definedName name="RentRoll_NmbrOfUnitTypesWithoutMatchingUnits" isReadOnly="false">'Rent Roll'!$FA$3</definedName>
    <definedName name="RentRoll_UnitTypeCount" isReadOnly="false">'Rent Roll'!$Q$15</definedName>
    <definedName name="RentRollDate" isReadOnly="false">'Rent Roll'!$C$15</definedName>
    <definedName name="RentRollTotalUnits" isReadOnly="false">'Rent Roll'!$D$141</definedName>
    <definedName name="Requested_Actual_UW_DSCR" isReadOnly="false">'Data Page'!$E$50</definedName>
    <definedName name="Requested_Floor_UW_DSCR" isReadOnly="false">'Data Page'!$E$51</definedName>
    <definedName name="Requested_LTV" isReadOnly="false">'Data Page'!$E$49</definedName>
    <definedName name="Requested_Tier" isReadOnly="false">'Data Page'!$E$48</definedName>
    <definedName name="RequestedLoan" isReadOnly="false">'Data Page'!$K$64</definedName>
    <definedName name="RES_AREA" isReadOnly="false">'Form 4662'!$O$17</definedName>
    <definedName name="RES_UNTS" isReadOnly="false">'Form 4662'!$O$16</definedName>
    <definedName name="RPR_TOT" isReadOnly="false">'Form 4662'!$P$37</definedName>
    <definedName name="SARMCapCostFactor" isReadOnly="false">'C&amp;D Data Inputs'!$X$11</definedName>
    <definedName name="SARMCushion" isReadOnly="false">'C&amp;D Data Inputs'!$X$12</definedName>
    <definedName name="SARMGuarantyFee" isReadOnly="false">'C&amp;D Data Inputs'!$X$10</definedName>
    <definedName name="SARMInvestorSpread" isReadOnly="false">'C&amp;D Data Inputs'!$X$9</definedName>
    <definedName name="SARMPayConstant" isReadOnly="false">'C&amp;D Data Inputs'!$X$6</definedName>
    <definedName name="SARMPayRate" isReadOnly="false">'C&amp;D Data Inputs'!$X$5</definedName>
    <definedName name="SARMServicingFee" isReadOnly="false">'C&amp;D Data Inputs'!$X$13</definedName>
    <definedName name="SARMStressConstant" isReadOnly="false">'C&amp;D Data Inputs'!$X$7</definedName>
    <definedName name="SARMStressRate" isReadOnly="false">'C&amp;D Data Inputs'!$X$8</definedName>
    <definedName name="SBL_BuildingType" isReadOnly="false">'SBL Quotes'!$AK$14</definedName>
    <definedName name="SBL_CensusTractNmbr" isReadOnly="false">'SBL Quotes'!$B$10</definedName>
    <definedName name="SBL_DatePriced" isReadOnly="false">'SBL Quotes'!$B$15</definedName>
    <definedName name="SBL_DealPurpose" isReadOnly="false">'SBL Quotes'!$B$38</definedName>
    <definedName name="SBL_DelegatedLevel" isReadOnly="false">'SBL Quotes'!$B$48</definedName>
    <definedName name="SBL_FannieNOI" isReadOnly="false">'SBL Quotes'!$B$44</definedName>
    <definedName name="SBL_FannieOptionsToView" isReadOnly="false">'SBL Quotes'!$R$1</definedName>
    <definedName name="SBL_FRE_RegionalPricingGridRegionCode" isReadOnly="false">'SBL Quotes'!$BK$2</definedName>
    <definedName name="SBL_FRE_RegionalPricingGridTimestamp" isReadOnly="false">'SBL Quotes'!$BK$3</definedName>
    <definedName name="SBL_FreddieNOI" isReadOnly="false">'SBL Quotes'!$B$41</definedName>
    <definedName name="SBL_FreddieOptionsToView" isReadOnly="false">'SBL Quotes'!$E$1</definedName>
    <definedName name="SBL_MSA_Type" isReadOnly="false">'SBL Quotes'!$B$18</definedName>
    <definedName name="SBL_PricingTbl_FNM_GS_6MM_Tier2" isReadOnly="false">'SBL Quotes'!$AZ$12:$AZ$18</definedName>
    <definedName name="SBL_PricingTbl_FNM_GS_6MM_Tier3" isReadOnly="false">'SBL Quotes'!$AZ$26:$AZ$32</definedName>
    <definedName name="SBL_PricingTbl_FNM_GS_6MM_Tier4" isReadOnly="false">'SBL Quotes'!$AZ$40:$AZ$46</definedName>
    <definedName name="SBL_PricingTbl_FNM_GS_9MM_Tier2" isReadOnly="false">'SBL Quotes'!$BB$12:$BB$18</definedName>
    <definedName name="SBL_PricingTbl_FNM_GS_9MM_Tier3" isReadOnly="false">'SBL Quotes'!$BB$26:$BB$32</definedName>
    <definedName name="SBL_PricingTbl_FNM_GS_9MM_Tier4" isReadOnly="false">'SBL Quotes'!$BB$40:$BB$46</definedName>
    <definedName name="SBL_PricingTbl_FNM_Term_Tier2" isReadOnly="false">'SBL Quotes'!$AU$12:$AU$18</definedName>
    <definedName name="SBL_PricingTbl_FNM_Term_Tier3" isReadOnly="false">'SBL Quotes'!$AU$26:$AU$32</definedName>
    <definedName name="SBL_PricingTbl_FNM_Term_Tier4" isReadOnly="false">'SBL Quotes'!$AU$40:$AU$46</definedName>
    <definedName name="SBL_PricingTbl_FNM_Tier2" isReadOnly="false">'SBL Quotes'!$AU$12:$BH$18</definedName>
    <definedName name="SBL_PricingTbl_FNM_Tier3" isReadOnly="false">'SBL Quotes'!$AU$26:$BH$32</definedName>
    <definedName name="SBL_PricingTbl_FNM_Tier4" isReadOnly="false">'SBL Quotes'!$AU$40:$BH$46</definedName>
    <definedName name="SBL_PropertyType" isReadOnly="false">'SBL Quotes'!$B$13</definedName>
    <definedName name="SBL_ProprietaryCapitalOptionsToView" isReadOnly="false">'SBL Quotes'!$AA$1</definedName>
    <definedName name="SBL_SmallLoanSpreadAdder" isReadOnly="false">'SBL Quotes'!$AV$53</definedName>
    <definedName name="SBL_YearBuilt" isReadOnly="false">'SBL Quotes'!$B$14</definedName>
    <definedName name="SBL_ZipCode" isReadOnly="false">'SBL Quotes'!$B$9</definedName>
    <definedName name="SblQuotes_CityState" isReadOnly="false">'SBL Quotes'!$B$8</definedName>
    <definedName name="SblQuotes_County" isReadOnly="false">'SBL Quotes'!$B$16</definedName>
    <definedName name="SblQuotes_FannieMktTier" isReadOnly="false">'SBL Quotes'!$B$32</definedName>
    <definedName name="SblQuotes_FreddieMktTier" isReadOnly="false">'SBL Quotes'!$B$22</definedName>
    <definedName name="SecondAmort_IfSupp" isReadOnly="false">'Data Page'!$X$9</definedName>
    <definedName name="SecondConstant_IfSupp" isReadOnly="false">'Data Page'!$X$16</definedName>
    <definedName name="SecondCoterminous_IfSupp" isReadOnly="false">'Data Page'!$X$22</definedName>
    <definedName name="SecondDebtService_IfSupp" isReadOnly="false">'Data Page'!$X$17</definedName>
    <definedName name="SecondIO_IfSupp" isReadOnly="false">'Data Page'!$X$10</definedName>
    <definedName name="SecondMaturity_IfSupp" isReadOnly="false">'Data Page'!$X$24</definedName>
    <definedName name="SecondOrigLoan_IfSupp" isReadOnly="false">'Data Page'!$X$11</definedName>
    <definedName name="SecondRate_IfSupp" isReadOnly="false">'Data Page'!$X$15</definedName>
    <definedName name="SecondRemIO_IfSupp" isReadOnly="false">'Data Page'!$X$30</definedName>
    <definedName name="SecondRemTerm_IfSupp" isReadOnly="false">'Data Page'!$X$28</definedName>
    <definedName name="SecondTerm_IfSupp" isReadOnly="false">'Data Page'!$X$8</definedName>
    <definedName name="SecondUPB_IfSupp" isReadOnly="false">'Data Page'!$X$13</definedName>
    <definedName name="ServicingFee" isReadOnly="false">'Data Page'!$E$63</definedName>
    <definedName name="Setup_ViewType" isReadOnly="false">Setup!$B$7</definedName>
    <definedName name="Slicer_City" isReadOnly="false">#N/A</definedName>
    <definedName name="Slicer_Conf_Status" isReadOnly="false">#N/A</definedName>
    <definedName name="Slicer_County" isReadOnly="false">#N/A</definedName>
    <definedName name="Slicer_Flood_Zone" isReadOnly="false">#N/A</definedName>
    <definedName name="Slicer_Market_Tier" isReadOnly="false">#N/A</definedName>
    <definedName name="Slicer_MSA" isReadOnly="false">#N/A</definedName>
    <definedName name="Slicer_Rate_Lock_Time_Frame" isReadOnly="false">#N/A</definedName>
    <definedName name="Slicer_Rent_Level__Upper_Lower_Half" isReadOnly="false">#N/A</definedName>
    <definedName name="Slicer_Unit_Count" isReadOnly="false">#N/A</definedName>
    <definedName name="Slicer_Vintage__Built_Most_Recently_Renovated" isReadOnly="false">#N/A</definedName>
    <definedName name="SOps_AppraisalEGI" isReadOnly="false">'Summary OPS'!$AE$31</definedName>
    <definedName name="SOps_UnderwrittenEGI" isReadOnly="false">'Summary OPS'!$AU$31</definedName>
    <definedName name="SOps_UnderwrittenExpenses" isReadOnly="false">'Summary OPS'!$AU$53</definedName>
    <definedName name="SOps_UnderwrittenGPR" isReadOnly="false">'Summary OPS'!$AU$9</definedName>
    <definedName name="SOps_UnderwrittenNCF" isReadOnly="false">'Summary OPS'!$AU$57</definedName>
    <definedName name="SOps_UnderwrittenNRI" isReadOnly="false">'Summary OPS'!$AU$13</definedName>
    <definedName name="SOps_UnderwrittenTotalOtherIncome" isReadOnly="false">'Summary OPS'!$AU$29</definedName>
    <definedName name="SOps_UW_Econ_Vac" isReadOnly="false">'Summary OPS'!$AV$14</definedName>
    <definedName name="SOps_UW_PhyVac_Pcnt" isReadOnly="false">'Summary OPS'!$AV$10</definedName>
    <definedName name="Sponsor_Name" isReadOnly="false">'Data Page'!$D$13</definedName>
    <definedName name="State_DataPageTab" isReadOnly="false">'Data Page'!$D$21</definedName>
    <definedName name="SZ_RSK" isReadOnly="false">'Form 4662'!$K$22</definedName>
    <definedName name="SZ_ZN" isReadOnly="false">'Form 4662'!$K$21</definedName>
    <definedName name="T1_Annualized_NRI" isReadOnly="false">'NRI Analysis'!$E$87</definedName>
    <definedName name="T12_Annualized_NRI" isReadOnly="false">'NRI Analysis'!$P$87</definedName>
    <definedName name="T3_Annualized_NRI" isReadOnly="false">'NRI Analysis'!$H$87</definedName>
    <definedName name="T3_vs_T12" isReadOnly="false">'NRI Analysis'!$E$95</definedName>
    <definedName name="T3_vs_T6" isReadOnly="false">'NRI Analysis'!$E$94</definedName>
    <definedName name="T6_Annualized_NRI" isReadOnly="false">'NRI Analysis'!$L$87</definedName>
    <definedName name="Term" isReadOnly="false">'Data Page'!$E$52</definedName>
    <definedName name="ThirdAmort_IfSupp" isReadOnly="false">'Data Page'!$Y$9</definedName>
    <definedName name="ThirdConstant_IfSupp" isReadOnly="false">'Data Page'!$Y$16</definedName>
    <definedName name="ThirdCoterminous_IfSupp" isReadOnly="false">'Data Page'!$Y$22</definedName>
    <definedName name="ThirdDebtService_IfSupp" isReadOnly="false">'Data Page'!$Y$17</definedName>
    <definedName name="ThirdIO_IfSupp" isReadOnly="false">'Data Page'!$Y$10</definedName>
    <definedName name="ThirdOrigLoan_IfSupp" isReadOnly="false">'Data Page'!$Y$11</definedName>
    <definedName name="ThirdRate_IfSupp" isReadOnly="false">'Data Page'!$Y$15</definedName>
    <definedName name="ThirdRemIO_IfSupp" isReadOnly="false">'Data Page'!$Y$30</definedName>
    <definedName name="ThirdRemTerm_IfSupp" isReadOnly="false">'Data Page'!$Y$28</definedName>
    <definedName name="ThirdTerm_IfSupp" isReadOnly="false">'Data Page'!$Y$8</definedName>
    <definedName name="ThirdUPB_IfSupp" isReadOnly="false">'Data Page'!$Y$13</definedName>
    <definedName name="ThisYear" isReadOnly="false">YEAR(TODAY())</definedName>
    <definedName name="TIER" isReadOnly="false">'Form 4662'!$AM$12</definedName>
    <definedName name="TIER_DRP" isReadOnly="false">'Form 4662'!$AM$13</definedName>
    <definedName name="Tier_Max_LTV" isReadOnly="false">'Data Page'!$D$49</definedName>
    <definedName name="Tier_Min_Actual_UW_DSCR" isReadOnly="false">'Data Page'!$D$50</definedName>
    <definedName name="Tier_Min_Floor_UW_DSCR" isReadOnly="false">'Data Page'!$D$51</definedName>
    <definedName name="TotalBeds" isReadOnly="false">'Data Page'!$O$13</definedName>
    <definedName name="TotalUnits" isReadOnly="false">'Data Page'!$L$13</definedName>
    <definedName name="TradeSheet_MaxApprovedLoanAmount" isReadOnly="false">'Trade Sheet'!$AA$7</definedName>
    <definedName name="Treasury\Index" isReadOnly="false">'Data Page'!$E$59</definedName>
    <definedName name="TRSM_INS" isReadOnly="false">'Form 4662'!$K$20</definedName>
    <definedName name="TRSY_RT" isReadOnly="false">'Form 4662'!$AO$15</definedName>
    <definedName name="TX_ESCRW" isReadOnly="false">'Form 4662'!$X$19</definedName>
    <definedName name="UnitMix_average_actual_rent" isReadOnly="false">'Unit Mix'!$M$9:$M$148</definedName>
    <definedName name="UnitMix_number_of_bedrooms" isReadOnly="false">'Unit Mix'!$G$9:$G$148</definedName>
    <definedName name="UnitMix_number_of_units" isReadOnly="false">'Unit Mix'!$E$9:$E$148</definedName>
    <definedName name="UnitMix_unit_sizes" isReadOnly="false">'Unit Mix'!$I$9:$I$148</definedName>
    <definedName name="UnitMix_unit_types" isReadOnly="false">'Unit Mix'!$D$9:$D$148</definedName>
    <definedName name="UTIL_INCL" isReadOnly="false">'Form 4662'!$X$22</definedName>
    <definedName name="UW_Cap" isReadOnly="false">'Data Page'!$K$44</definedName>
    <definedName name="UW_CAP_RT" isReadOnly="false">'Form 4662'!$AN$24</definedName>
    <definedName name="UW_CLTV" isReadOnly="false">'Form 4662'!$AW$27</definedName>
    <definedName name="UW_DSCR" isReadOnly="false">'Form 4662'!$AO$34</definedName>
    <definedName name="UW_ECON_OCC" isReadOnly="false">'Form 4662'!$AX$24</definedName>
    <definedName name="UW_EGI" isReadOnly="false">'Form 4662'!$AI$30</definedName>
    <definedName name="UW_FLR_RT" isReadOnly="false">'Form 4662'!$AO$18</definedName>
    <definedName name="UW_LTV" isReadOnly="false">'Form 4662'!$AL$27</definedName>
    <definedName name="UW_NCF" isReadOnly="false">'Form 4662'!$AI$31</definedName>
    <definedName name="UW_PHYS_OCC" isReadOnly="false">'Form 4662'!$AX$23</definedName>
    <definedName name="UW_PROP_VAL" isReadOnly="false">'Form 4662'!$AL$26</definedName>
    <definedName name="UW_PROP_VAL_DT" isReadOnly="false">'Form 4662'!$AW$26</definedName>
    <definedName name="UW_RT" isReadOnly="false">'Form 4662'!$AO$19</definedName>
    <definedName name="UW_SIGN" isReadOnly="false">'Form 4662'!$C$47</definedName>
    <definedName name="UW_SIGN_DT" isReadOnly="false">'Form 4662'!$S$47</definedName>
    <definedName name="UW_TOE" isReadOnly="false">'Form 4662'!$AU$30</definedName>
    <definedName name="UW_Value" isReadOnly="false">'Data Page'!$K$42</definedName>
    <definedName name="UWValuePerUnit" isReadOnly="false">'Data Page'!$N$42</definedName>
    <definedName name="WorksheetNames" isReadOnly="false">Lists!$N$2:INDEX(Lists!$N:$N,COUNTA(Lists!$N:$N))</definedName>
    <definedName name="YearBuilt_DataPageTab" isReadOnly="false">'Data Page'!$J$6</definedName>
    <definedName name="YieldMaintenance" isReadOnly="false">'Data Page'!$E$54</definedName>
    <definedName name="YM_Type" isReadOnly="false">'Data Page'!$E$46</definedName>
    <definedName name="YR_BLT" isReadOnly="false">'Form 4662'!$H$10</definedName>
    <definedName name="ZipCode_DataPageTab" isReadOnly="false">'Data Page'!$D$22</definedName>
    <definedName name="_xlnm.Print_Area" localSheetId="2" isReadOnly="false">'Data Page'!$B$2:$Y$70</definedName>
    <definedName name="region" localSheetId="3" isReadOnly="false">'SBL Quotes'!$B$21</definedName>
    <definedName name="_xlnm.Print_Area" localSheetId="3" isReadOnly="false">'SBL Quotes'!$D$2:$T$22</definedName>
    <definedName name="_xlnm.Print_Area" localSheetId="6" isReadOnly="false">'FNM Loan Terms'!$B$2:$M$66</definedName>
    <definedName name="_xlnm.Print_Area" localSheetId="10" isReadOnly="false">'Fannie Historical Ops'!$A$1:$AS$97</definedName>
    <definedName name="_xlnm.Print_Area" localSheetId="11" isReadOnly="false">'Kick-Off Memo'!$B$1:$C$44</definedName>
    <definedName name="_xlnm.Print_Titles" localSheetId="11">'Kick-Off Memo'!$1:$2</definedName>
    <definedName name="QLtr_NmbrOfColumnsToShow_FNM" localSheetId="12" isReadOnly="false">'Quote Letter'!$B$39</definedName>
    <definedName name="QLtr_NmbrOfColumnsToShow_FRE" localSheetId="12" isReadOnly="false">'Quote Letter'!$B$10</definedName>
    <definedName name="QLtr_NmbrOfColumnsToShow_WPL" localSheetId="12" isReadOnly="false">'Quote Letter'!$B$71</definedName>
    <definedName name="_xlnm.Print_Area" localSheetId="12" isReadOnly="false">'Quote Letter'!$D$4:$P$96</definedName>
    <definedName name="_xlnm.Print_Area" localSheetId="13" isReadOnly="false">Quote!$A$2:$AD$44</definedName>
    <definedName name="_xlnm.Print_Area" localSheetId="15" isReadOnly="false">FRE_App!$A$1:$C$412</definedName>
    <definedName name="_xlnm.Print_Area" localSheetId="19" isReadOnly="false">'Summary OPS'!$A$1:$BA$99</definedName>
    <definedName name="RR_VacantUnitMktRentSource" localSheetId="20" isReadOnly="false">'Rent Roll'!$FA$20</definedName>
    <definedName name="_xlnm.Print_Area" localSheetId="20" isReadOnly="false">'Rent Roll'!$A$7:$FA$142</definedName>
    <definedName name="_xlnm.Print_Area" localSheetId="22" isReadOnly="false">'NRI Analysis'!$A$37:$Z$119</definedName>
    <definedName name="_xlnm.Print_Area" localSheetId="23" isReadOnly="false">'Expense Comps.'!$B$2:$AK$266</definedName>
    <definedName name="UnitMix_HasUnitCountsMatch" localSheetId="24" isReadOnly="false">'Unit Mix'!$B$4</definedName>
    <definedName name="_xlnm.Print_Area" localSheetId="24" isReadOnly="false">'Unit Mix'!$D$1:$R$161</definedName>
    <definedName name="_xlnm.Print_Area" localSheetId="25" isReadOnly="false">'Bor-KP-Prin'!$A$1:$AI$70</definedName>
    <definedName name="_xlnm.Print_Titles" localSheetId="25">'Bor-KP-Prin'!$A:$A</definedName>
    <definedName name="_xlnm.Print_Area" localSheetId="26" isReadOnly="false">'SREO 1'!$A$1:$AJ$128</definedName>
    <definedName name="_xlnm.Print_Titles" localSheetId="26">'SREO 1'!$1:$3</definedName>
    <definedName name="_xlnm.Print_Area" localSheetId="27" isReadOnly="false">'SREO 2'!$A$1:$AJ$127</definedName>
    <definedName name="_xlnm.Print_Titles" localSheetId="27">'SREO 2'!$1:$3</definedName>
    <definedName name="_xlnm.Print_Area" localSheetId="28" isReadOnly="false">'SREO 3'!$A$1:$AJ$134</definedName>
    <definedName name="_xlnm.Print_Area" localSheetId="29" isReadOnly="false">'SREO 4'!$A$1:$AJ$134</definedName>
    <definedName name="_xlnm.Print_Area" localSheetId="30" isReadOnly="false">'SREO 5'!$A$1:$AJ$134</definedName>
    <definedName name="_xlnm.Print_Area" localSheetId="31" isReadOnly="false">'SREO 6'!$A$1:$AJ$134</definedName>
    <definedName name="_xlnm.Print_Area" localSheetId="32" isReadOnly="false">'SREO 7'!$A$1:$AJ$134</definedName>
    <definedName name="_xlnm.Print_Area" localSheetId="33" isReadOnly="false">'SREO 8'!$A$1:$AJ$134</definedName>
    <definedName name="_xlnm.Print_Area" localSheetId="34" isReadOnly="false">'Rent Comps'!$H$1:$Z$64</definedName>
    <definedName name="_xlnm.Print_Titles" localSheetId="34">'Rent Comps'!$1:$4</definedName>
    <definedName name="_xlnm.Print_Area" localSheetId="35" isReadOnly="false">'Sales Comps'!$F$6:$P$26</definedName>
    <definedName name="_xlnm.Print_Titles" localSheetId="35">'Sales Comps'!$6:$9</definedName>
    <definedName name="_xlnm.Print_Area" localSheetId="36" isReadOnly="false">'Engineering schedule'!$A$1:$S$80</definedName>
    <definedName name="_xlnm.Print_Area" localSheetId="37" isReadOnly="false">'Form 4662'!$B$1:$BC$51</definedName>
    <definedName name="Is_ARM" localSheetId="38" isReadOnly="false">'Trade Sheet'!$F$199</definedName>
    <definedName name="Is_Fixed" localSheetId="38" isReadOnly="false">'Trade Sheet'!$F$197</definedName>
    <definedName name="Is_SARM" localSheetId="38" isReadOnly="false">'Trade Sheet'!$F$198</definedName>
    <definedName name="_xlnm.Print_Area" localSheetId="38" isReadOnly="false">'Trade Sheet'!$A$1:$N$78</definedName>
  </definedNames>
  <calcPr calcId="0" iterateCount="100" iterateDelta="0.001"/>
</workbook>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9" authorId="0">
      <text>
        <r>
          <rPr>
            <sz val="8"/>
            <color rgb="FF000000"/>
            <rFont val="Tahoma"/>
            <family val="2"/>
          </rPr>
          <t>Total of all buildings.  
- Residential
- Clubhouse/Leasing Office
- Commercial
- Maintenance</t>
        </r>
      </text>
    </comment>
    <comment ref="H27" authorId="0">
      <text>
        <r>
          <rPr>
            <sz val="9"/>
            <color rgb="FF000000"/>
            <rFont val="Tahoma"/>
            <family val="2"/>
          </rPr>
          <t>For Acquisitions:
Capital Expenditures to the extent that it increases value at 100% of actual cap ex.
For Refinances:
All capital expenditures escrowed at 100% of actual cap ex.</t>
        </r>
      </text>
    </comment>
    <comment ref="K42" authorId="0">
      <text>
        <r>
          <rPr>
            <sz val="9"/>
            <color rgb="FF000000"/>
            <rFont val="Tahoma"/>
            <family val="2"/>
          </rPr>
          <t xml:space="preserve">UW Value should always be equal to the lesser of:
1) Appraised Value
2) Based on adjustments to Appraisal deficiencies that cannot be cured prior to the expiration date of the Appraisal 
3) Acquisition Cost (If acquired within 12 months) plus:
         - max 3% closing costs
         - escrowed repairs (ONLY repairs that increase value)  </t>
        </r>
      </text>
    </comment>
    <comment ref="B50" authorId="0">
      <text>
        <r>
          <rPr>
            <sz val="9"/>
            <color rgb="FF000000"/>
            <rFont val="Arial"/>
            <family val="2"/>
          </rPr>
          <t>Actual UW DSCR should be the same as the Tier Floor UW DSCR UNLESS Fannie Mae has identified a separate Actual UW DSCR requirement.</t>
        </r>
      </text>
    </comment>
    <comment ref="D54" authorId="0">
      <text>
        <r>
          <rPr>
            <sz val="9"/>
            <color rgb="FF000000"/>
            <rFont val="Tahoma"/>
            <family val="2"/>
          </rPr>
          <t>Yield Maintenance:
      - Enter number of Years of YM
Defeasance:
      - Enter "0"</t>
        </r>
      </text>
    </comment>
    <comment ref="E54" authorId="0">
      <text>
        <r>
          <rPr>
            <sz val="9"/>
            <color rgb="FF000000"/>
            <rFont val="Tahoma"/>
            <family val="2"/>
          </rPr>
          <t>Yield Maintenance:
      - Enter number of Years of YM
Defeasance:
      - Enter "0"</t>
        </r>
      </text>
    </comment>
    <comment ref="N56" authorId="0">
      <text>
        <r>
          <rPr>
            <sz val="9"/>
            <color rgb="FF000000"/>
            <rFont val="Arial"/>
            <family val="2"/>
          </rPr>
          <t xml:space="preserve">Required DSCR's
This field represents the required DSCR's necessary to reach to the Requested Loan.  In order to size the loan to these parameters, each Required DSCR should be input into the matching Min Tier DSCR category.
</t>
        </r>
      </text>
    </comment>
    <comment ref="N57" authorId="0">
      <text>
        <r>
          <rPr>
            <sz val="9"/>
            <color rgb="FF000000"/>
            <rFont val="Arial"/>
            <family val="2"/>
          </rPr>
          <t xml:space="preserve">Required DSCR's
This field represents the required DSCR's necessary to reach to the Requested Loan.  In order to size the loan to these parameters, each Required DSCR should be input into the matching Min Tier DSCR category.
</t>
        </r>
      </text>
    </comment>
    <comment ref="C60" authorId="0">
      <text>
        <r>
          <rPr>
            <sz val="9"/>
            <color rgb="FF000000"/>
            <rFont val="Arial"/>
            <family val="2"/>
          </rPr>
          <t>Steve Buckley:
This equation and below are written without the LET function so that old versions of Excel (older than 2021 versions) still work.</t>
        </r>
      </text>
    </comment>
    <comment ref="I74" authorId="0">
      <text>
        <r>
          <rPr>
            <sz val="9"/>
            <color rgb="FF000000"/>
            <rFont val="Arial"/>
            <family val="2"/>
          </rPr>
          <t>Enter Maximum Loan Amount Increase % of Loan Amount from Fannie Mae Quote</t>
        </r>
      </text>
    </comment>
    <comment ref="J74" authorId="0">
      <text>
        <r>
          <rPr>
            <b/>
            <sz val="9"/>
            <color rgb="FF000000"/>
            <rFont val="Tahoma"/>
            <family val="2"/>
          </rPr>
          <t>Enter Quote Loan Amount from UW Loan Option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D10" authorId="0">
      <text>
        <r>
          <rPr>
            <sz val="9"/>
            <color rgb="FF000000"/>
            <rFont val="Arial"/>
            <family val="2"/>
          </rPr>
          <t>Steve Buckley:
For SBL (&lt;$6MM) , only G&amp;S is included in the Daily Pricing grid export. Investor Spread and IO Pricing are from the $6MM and Larger tables, but are typically the same, or have the Small Loan buffer offset (see Column B).</t>
        </r>
      </text>
    </comment>
    <comment ref="AW11" authorId="0">
      <text>
        <r>
          <rPr>
            <sz val="9"/>
            <color rgb="FF000000"/>
            <rFont val="Arial"/>
            <family val="2"/>
          </rPr>
          <t>Steve Buckley:
For SBL (&lt;$6MM) , only G&amp;S is included in the Daily Pricing grid export. Investor Spread and IO Pricing are from the $6MM and Larger tables, but are typically the same, or have the Small Loan buffer offset (see Column B).</t>
        </r>
      </text>
    </comment>
    <comment ref="D29" authorId="0">
      <text>
        <r>
          <rPr>
            <sz val="9"/>
            <color rgb="FF000000"/>
            <rFont val="Arial"/>
            <family val="2"/>
          </rPr>
          <t>Steve Buckley:
For Freddie Mac loans, there are two adjustments that can prevent iterative loan amount calculations from converging: DCR and LTV.
In both cases, a loan amount which has a favorable DCR or LTV can qualify for a rate reduction. However, if the loan barely qualifies for either or both of those rate adjustments, when the adjustment(s) are applied (which results in a higher possible loan amount), the resulting DCR and/or LTV may now be too high to qualify for the adjustments. This causes the adjustments to be removed, which then makes the loan again qualify for them. Back and forth, with no convergence.
The solution is to increase the loan amount by $1,000 increments from the lower amount to the higher amount until the point is found where the loan crosses the limit and is too large to qualify, and then back down one $1,000 increment. That is the largest loan possible, achieved by taking only a part of the adjustment.The Unavailable (lost) adjustment is shown on this line.
Use the 'Calculate' button to have the sizer run this calculation for you; otherwise, manual adjustments can be entered in the Loan Amount row.</t>
        </r>
      </text>
    </comment>
    <comment ref="B34" authorId="0">
      <text>
        <r>
          <rPr>
            <sz val="9"/>
            <color rgb="FF000000"/>
            <rFont val="Arial"/>
            <family val="2"/>
          </rPr>
          <t xml:space="preserve">Melissa Jahnke:
FNM Eligibility for Affordable Discounts as of Feb-2023:
&gt; 50 Units: ≥ 75% @ ≤ 80% of AMI 
≤ 50 units: ≥ 50% @ ≤ 80% of AMI  </t>
        </r>
      </text>
    </comment>
    <comment ref="B35" authorId="0">
      <text>
        <r>
          <rPr>
            <sz val="9"/>
            <color rgb="FF000000"/>
            <rFont val="Arial"/>
            <family val="2"/>
          </rPr>
          <t>Melissa Janke:
&gt; 50 units &amp; High Needs Rural: ≥ 50% @ ≤ 80% AMI</t>
        </r>
      </text>
    </comment>
    <comment ref="D51" authorId="0">
      <text>
        <r>
          <rPr>
            <sz val="9"/>
            <color rgb="FF000000"/>
            <rFont val="Arial"/>
            <family val="2"/>
          </rPr>
          <t xml:space="preserve">Melissa Jahnke:
For any Fannie Mae options not following the default Yield Maintenance structure, please refer to the Indicative Pricing schedule in DUS Gateway for the necessary adjustment and manually overwrite this value, as well as Credit Fees (G&amp;S).
</t>
        </r>
      </text>
    </comment>
    <comment ref="D73" authorId="0">
      <text>
        <r>
          <rPr>
            <sz val="9"/>
            <color rgb="FF000000"/>
            <rFont val="Arial"/>
            <family val="2"/>
          </rPr>
          <t>Melissa Jahnke:
For Freddie Mac options: use this cell to size max loan amount using an alternative DSCR (e.g. deal is in proximity to a market with a lower DSCR UW standard - use this field to overwrite the calculated Freddie DSCR requirement with the requested/lower DSCR for sizing purposes).  Note: will require an exception from Freddie.
If no adjustment required, it should be equal to minimum DSCR per FNM/FRE guidance</t>
        </r>
      </text>
    </comment>
    <comment ref="D82" authorId="0">
      <text>
        <r>
          <rPr>
            <sz val="9"/>
            <color rgb="FF000000"/>
            <rFont val="Arial"/>
            <family val="2"/>
          </rPr>
          <t>Steve Buckley:
MAH requires a manual lookup for Pass/Fail of PD.</t>
        </r>
      </text>
    </comment>
    <comment ref="D102" authorId="0">
      <text>
        <r>
          <rPr>
            <sz val="9"/>
            <color rgb="FF000000"/>
            <rFont val="Arial"/>
            <family val="2"/>
          </rPr>
          <t>Steve Buckley:
If the Projected Loan Amount is different than the manually entered Loan Amount because the calculation can't converge, those cells turn Red to warn the user.
But sometimes the user needs to manually enter a Loan Amount lower than the maximum, which would also turn those cells Red.
This flag turns off the Red conditional formatting warning. The VBA code will set it to False in the above case, but the user can too.</t>
        </r>
      </text>
    </comment>
    <comment ref="D105" authorId="0">
      <text>
        <r>
          <rPr>
            <sz val="9"/>
            <color rgb="FF000000"/>
            <rFont val="Arial"/>
            <family val="2"/>
          </rPr>
          <t>M.Jahnke:
For Proprietary Capital floating rate options only: enter the fixed rate equivalent based on the loan-to-value for the selected option. 
For 3yr &amp; 5yr float, use 5-yr fixed rate equivalent.
For 7yr float, use 7-yr fixed rate equivalent.
For 10yr float, use 10-yr fixed rate equivalent.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25" authorId="0">
      <text>
        <r>
          <rPr>
            <sz val="9"/>
            <color rgb="FF000000"/>
            <rFont val="Arial"/>
            <family val="2"/>
          </rPr>
          <t>Fannie Mae Documentation:
Lender may vary from the Occupancy requirements for Properties constructed or rehabilitated within
the past 12 months, if the following are met at the time of Commitment for the preceding 1-month
period.
NOTE: For Properties using this Occupancy Expanded delegation with less than 6 months operating
history, Lender may utilize trailing 1-month collections to support Underwritten NRI. Lender must
submit a delegated Pre-Review reason for Underwritten NCF.</t>
        </r>
      </text>
    </comment>
    <comment ref="AG28" authorId="0">
      <text>
        <r>
          <rPr>
            <sz val="9"/>
            <color rgb="FF000000"/>
            <rFont val="Arial"/>
            <family val="2"/>
          </rPr>
          <t>Fannie Docs:
this Expand Delegation cannot be use for Supplemental Mortgage Loans.</t>
        </r>
      </text>
    </comment>
    <comment ref="AS37" authorId="0">
      <text>
        <r>
          <rPr>
            <sz val="9"/>
            <color rgb="FF000000"/>
            <rFont val="Arial"/>
            <family val="2"/>
          </rPr>
          <t>Fannie Mae docs:
the Base Exit Rate minimums are not applicable.</t>
        </r>
      </text>
    </comment>
    <comment ref="AP113" authorId="0">
      <text>
        <r>
          <rPr>
            <sz val="9"/>
            <color rgb="FF000000"/>
            <rFont val="Arial"/>
            <family val="2"/>
          </rPr>
          <t>Fannie Mae Docs:
When the Interest Rate Cap Term is 3-years, Lender must perform an escrow analysis on the
replacement cap every 6 months.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6" authorId="0">
      <text>
        <r>
          <rPr>
            <sz val="9"/>
            <color rgb="FF000000"/>
            <rFont val="Arial"/>
            <family val="2"/>
          </rPr>
          <t xml:space="preserve">Patrick Tortoriello:
-Increase property taxes if an abatement expires or taxes are expected to rise during the loan term followed by 3% trending, or
-for California refinance transactions no trending is required until the year in which the actual tax bill surpasses the underwritten taxes, then trend 2%.
</t>
        </r>
      </text>
    </comment>
    <comment ref="C26" authorId="0">
      <text>
        <r>
          <rPr>
            <sz val="9"/>
            <color rgb="FF000000"/>
            <rFont val="Arial"/>
            <family val="2"/>
          </rPr>
          <t xml:space="preserve">Patrick Tortoriello:
-3% (or 2% for California acquisitions)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text>
        <r>
          <rPr>
            <sz val="9"/>
            <color rgb="FF000000"/>
            <rFont val="Arial"/>
            <family val="2"/>
          </rPr>
          <t xml:space="preserve">If the source cell is a merged area only reference the top-left cell address.
</t>
        </r>
      </text>
    </comment>
    <comment ref="C13"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We can keep this set to the value on the Data Page. I've honestly never known it to be anything other than 100%.</t>
        </r>
      </text>
    </comment>
    <comment ref="C16"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Users can populate in Gateway</t>
        </r>
      </text>
    </comment>
    <comment ref="C17"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Users can populate in Gateway</t>
        </r>
      </text>
    </comment>
    <comment ref="C117"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Leave as-is</t>
        </r>
      </text>
    </comment>
    <comment ref="C121"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Leave as is</t>
        </r>
      </text>
    </comment>
    <comment ref="C122"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Leave as is</t>
        </r>
      </text>
    </comment>
    <comment ref="C125" authorId="0">
      <text>
        <r>
          <rPr>
            <sz val="9"/>
            <color rgb="FF000000"/>
            <rFont val="Arial"/>
            <family val="2"/>
          </rPr>
          <t>[Threaded comment]
Your version of Excel allows you to read this threaded comment; however, any edits to it will get removed if the file is opened in a newer version of Excel. Learn more: https://go.microsoft.com/fwlink/?linkid=870924
Comment:
    Delete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21" authorId="0">
      <text>
        <r>
          <rPr>
            <b/>
            <sz val="9"/>
            <color rgb="FF000000"/>
            <rFont val="Tahoma"/>
            <family val="2"/>
          </rPr>
          <t>Utilize the Appraiser's Market Rent if Appraisal Pro-Forma GPR is lower than the current Rent Roll annualized.</t>
        </r>
      </text>
    </comment>
    <comment ref="B23" authorId="0">
      <text>
        <r>
          <rPr>
            <sz val="9"/>
            <color rgb="FF000000"/>
            <rFont val="Arial"/>
            <family val="2"/>
          </rPr>
          <t>OCCUPANCY STATUS
-Leave blank if occupied
- Select "Vacant" from dropdown if vacant
"Model" and "Office" Units are considered Occupied</t>
        </r>
      </text>
    </comment>
    <comment ref="G23" authorId="0">
      <text>
        <r>
          <rPr>
            <b/>
            <sz val="9"/>
            <color rgb="FF000000"/>
            <rFont val="Tahoma"/>
            <family val="2"/>
          </rPr>
          <t>Check Unit Mix and confirm it matches the Appraiser's when you are finished.</t>
        </r>
      </text>
    </comment>
    <comment ref="H23" authorId="0">
      <text>
        <r>
          <rPr>
            <sz val="9"/>
            <color rgb="FF000000"/>
            <rFont val="Arial"/>
            <family val="2"/>
          </rPr>
          <t>If Vacant:
   -Leave Blank
If receiving a Concession or Section 8 Subsidy:
     - Input Contract Rent
Model and Office Units:
     - Input Market Rent based   
         on Unit Type.</t>
        </r>
      </text>
    </comment>
    <comment ref="I23" authorId="0">
      <text>
        <r>
          <rPr>
            <sz val="9"/>
            <color rgb="FF000000"/>
            <rFont val="Arial"/>
            <family val="2"/>
          </rPr>
          <t>If a unit's Contract Rent is greater than the market rent, and that unit is either a) receiving a Government Subsidy or b) Is Chapter 9 SBL:
   -Enter the difference effectively reducing Contract Rent to the Market Rent.</t>
        </r>
      </text>
    </comment>
    <comment ref="J23" authorId="0">
      <text>
        <r>
          <rPr>
            <sz val="9"/>
            <color rgb="FF000000"/>
            <rFont val="Arial"/>
            <family val="2"/>
          </rPr>
          <t>Represents the Underwritten Rent utilized in the Lender's GPR.
This is automatically calculated.</t>
        </r>
      </text>
    </comment>
    <comment ref="K23" authorId="0">
      <text>
        <r>
          <rPr>
            <b/>
            <sz val="9"/>
            <color rgb="FF000000"/>
            <rFont val="Tahoma"/>
            <family val="2"/>
          </rPr>
          <t>Enter amount of recurring concessions only.  
Do NOT include one-time concessions.</t>
        </r>
      </text>
    </comment>
    <comment ref="L23" authorId="0">
      <text>
        <r>
          <rPr>
            <sz val="9"/>
            <color rgb="FF000000"/>
            <rFont val="Arial"/>
            <family val="2"/>
          </rPr>
          <t>Enter employee discount.
      - Should be entered as a Dollar 
          Amount.</t>
        </r>
      </text>
    </comment>
    <comment ref="M23" authorId="0">
      <text>
        <r>
          <rPr>
            <b/>
            <sz val="9"/>
            <color rgb="FF000000"/>
            <rFont val="Tahoma"/>
            <family val="2"/>
          </rPr>
          <t>Select  "Model" or "Office" from dropdown.</t>
        </r>
      </text>
    </comment>
    <comment ref="N23" authorId="0">
      <text>
        <r>
          <rPr>
            <b/>
            <sz val="9"/>
            <color rgb="FF000000"/>
            <rFont val="Tahoma"/>
            <family val="2"/>
          </rPr>
          <t>Enter amount of Government Subsidy</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6" authorId="0">
      <text>
        <r>
          <rPr>
            <sz val="12"/>
            <color rgb="FF000000"/>
            <rFont val="Tahoma"/>
            <family val="2"/>
          </rPr>
          <t>Leave as $0 if you have not obtained VOD's.
VOD's must be dated within 90 days of rate lock</t>
        </r>
      </text>
    </comment>
    <comment ref="A41" authorId="0">
      <text>
        <r>
          <rPr>
            <sz val="9"/>
            <color rgb="FF000000"/>
            <rFont val="Arial"/>
            <family val="2"/>
          </rPr>
          <t>Liquidity Ratio:
Liquid assets divided by current liabilities (anything due in the current year).  If current liabilities is unknown, Liquidity Ratio should be 0.</t>
        </r>
      </text>
    </comment>
    <comment ref="A42" authorId="0">
      <text>
        <r>
          <rPr>
            <sz val="9"/>
            <color rgb="FF000000"/>
            <rFont val="Arial"/>
            <family val="2"/>
          </rPr>
          <t>Tangible Net Worth Ratio:
The tangible Net Worth of the Key Financial Principal as of the most recent financial statement stated as a ratio to the loan amount.</t>
        </r>
      </text>
    </comment>
    <comment ref="A59" authorId="0">
      <text>
        <r>
          <rPr>
            <sz val="9"/>
            <color rgb="FF000000"/>
            <rFont val="Tahoma"/>
            <family val="2"/>
          </rPr>
          <t xml:space="preserve">When 3 Scores are available:
         - Use the median of all 3 scores
When 2 Scores are available:
          - Use the lower of the 2 scores
If a Borrower, Key Principal, or Principal is married to another Borrower, Key Principal, or Principal:
          - Use the lower FICO score of the 2            
              married individuals </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4" authorId="0">
      <text>
        <r>
          <rPr>
            <sz val="9"/>
            <color rgb="FF000000"/>
            <rFont val="Arial"/>
            <family val="2"/>
          </rPr>
          <t xml:space="preserve">This formula will utilize the term of the proposed loan but will not allow a Reserve Schedule Term to exceed 10 years.  (Fannie Mae Guidelines)
- Coterminout Supplemental Loan:  The Underwriter should input the original term of that reserve schedule in the Reserve Schedule Term if underwriting a Coterminous Supplemental Loan and and utilizing the existing Reserve Schedule.
</t>
        </r>
      </text>
    </comment>
    <comment ref="E42" authorId="0">
      <text>
        <r>
          <rPr>
            <sz val="9"/>
            <color rgb="FF000000"/>
            <rFont val="Arial"/>
            <family val="2"/>
          </rPr>
          <t xml:space="preserve">For Assumptions:
    - Initial Deposit should be based on Replacement Reserve funds held in Escrow.
</t>
        </r>
      </text>
    </comment>
    <comment ref="E44" authorId="0">
      <text>
        <r>
          <rPr>
            <sz val="9"/>
            <color rgb="FF000000"/>
            <rFont val="Arial"/>
            <family val="2"/>
          </rPr>
          <t>Coterminous Supplemental Loans:
 - Input the Existing Replacement Reserve of the 1st Mortgage as a minimum.</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9" authorId="0">
      <text>
        <r>
          <rPr>
            <sz val="9"/>
            <color rgb="FF000000"/>
            <rFont val="Arial"/>
            <family val="2"/>
          </rPr>
          <t>Age Restricted:
A multifamily rental property that either restricts occupancy to persons who are 62 years of age or older or requires that at least 80% of the units in a community be occupied by at least one person who is 55 years of age or older, or as otherwise defined in the Housing for Older Persons Act (HOPA).</t>
        </r>
      </text>
    </comment>
    <comment ref="J22" authorId="0">
      <text>
        <r>
          <rPr>
            <sz val="9"/>
            <color rgb="FF000000"/>
            <rFont val="Arial"/>
            <family val="2"/>
          </rPr>
          <t>High Seismic Risk:
The Property is located in a region that has a 10% or greater probability of the maximum Peak Ground Acceleration (PGA) exceeding 0.15g at any point in a 50 year period.</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6" authorId="0">
      <text>
        <r>
          <rPr>
            <sz val="9"/>
            <color rgb="FF000000"/>
            <rFont val="Arial"/>
            <family val="2"/>
          </rPr>
          <t>Blake Lanford:
15 on ARM 7/6
1 on SARM</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5" authorId="0">
      <text>
        <r>
          <rPr>
            <sz val="9"/>
            <color rgb="FF000000"/>
            <rFont val="Arial"/>
            <family val="2"/>
          </rPr>
          <t xml:space="preserve">Steve Buckley:
City_DataPageTab and State_DataPageTab do not write to DataPage, but are handled only in code. 
As a result, the Default/Reset to values are ignored, and do not overwrite the equations on DataPage. However, because they are ignored, they cannot be used to reset the DataPage cells to the correct default equations either.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<sst xmlns="http://schemas.openxmlformats.org/spreadsheetml/2006/main" count="6074" uniqueCount="6074">
  <si>
    <t>Powered by GrapeCity Spread.Sheets.</t>
  </si>
  <si>
    <t xml:space="preserve">You can only deploy this EVALUATION version locally. </t>
  </si>
  <si>
    <t xml:space="preserve">Temporary deployment keys are available for testing. </t>
  </si>
  <si>
    <t>Email us.sales@grapecity.com.</t>
  </si>
  <si>
    <t>SBL Program Model</t>
  </si>
  <si>
    <t>View Type:</t>
  </si>
  <si>
    <t>Producer</t>
  </si>
  <si>
    <t>Version:</t>
  </si>
  <si>
    <t>5.35.2</t>
  </si>
  <si>
    <t>Release Date:</t>
  </si>
  <si>
    <t>Change Log</t>
  </si>
  <si>
    <t>PD: bug fix - Term was left with a " - 3" adder from testing during development (SZR-302).</t>
  </si>
  <si>
    <t>5.35.1</t>
  </si>
  <si>
    <t>DataPage: added Addn'l Tolerances table; TradeSheet: various updates incl Max Approved Loan Amount, pull-down updates, and Phys Occupancy calcs per 8/31 W.Parvin email (SZR-294).</t>
  </si>
  <si>
    <t>5.35.0</t>
  </si>
  <si>
    <t>PD: updated to newest 8/22/23 Small Balance Loan requirements (SZR-274). SBL Quotes: updated to allow loans up to $9MM (SZR-276).</t>
  </si>
  <si>
    <t>5.34.0</t>
  </si>
  <si>
    <t>Enodo: added Bor-KP-Prin and SREO dictionaries to Autosave payload (SZR-259). RentComps and SalesComps will AutoSave even with incomplete Comps (SZR-273).</t>
  </si>
  <si>
    <t>5.33.0</t>
  </si>
  <si>
    <t>TradeSheet: update to sync with Fannie Sizer (SZR-263). Finalized edits to Quote Letter. RentRoll: fix to Rent Adjustment w/ M.Jahnke.</t>
  </si>
  <si>
    <t>5.32.1</t>
  </si>
  <si>
    <t>RentRoll: properly handles UnitType names that differ only in Case (SZR-253); Enodo: AutoSave handles whitespace e.g. tab in text properly (SZR-251), Mixpanel comms disabled when no comms with W&amp;D (SZR-254).</t>
  </si>
  <si>
    <t>5.32.0</t>
  </si>
  <si>
    <t>QuoteLetter: new tab, similar to Fannie Mae letter (SZR-227); PD: updated to 24-April-23 standards (SZR-235); FNM NRI: AsJson error handling for AutoSave (SZR-236); Unit Mix: handles 5+ BRs (SZR-223), capacity fixes (SZR-220); Enodo: test for Internet connection, and disable APIs if unavailable (SZR-243).</t>
  </si>
  <si>
    <t>5.31.3</t>
  </si>
  <si>
    <t>Enodo: updated Mixpanel URL (SZR-212).</t>
  </si>
  <si>
    <t>5.31.2</t>
  </si>
  <si>
    <t>Enodo: AutoSave ID error handler and AutoSave disable of IsAuthenticated for external users (SZR-231).</t>
  </si>
  <si>
    <t>5.31.1</t>
  </si>
  <si>
    <t>DataPage: updated 'Rate Lock Options' to use 'SERL' instead of Streamlined or Early (SZR-225); SBL Quotes: updated Producer Names dropdown (SZR-226).</t>
  </si>
  <si>
    <t>5.31.0</t>
  </si>
  <si>
    <t>Freddie I&amp;E: updated comps to FRE's 12/2022 data set (SZR-209).</t>
  </si>
  <si>
    <t>5.30.0</t>
  </si>
  <si>
    <t>SBL Quotes, Freddie I&amp;E, Terms Sheet changes per M.Janke (SZR-207).</t>
  </si>
  <si>
    <t>5.29.0</t>
  </si>
  <si>
    <t>SBL Quotes: revisions to reflect Freddie 4/3/23 changes to get Qualified 5-50 LI Property (&gt;=50% of Units) 10bps discount (SZR-192).</t>
  </si>
  <si>
    <t>5.28.1</t>
  </si>
  <si>
    <t>Added forced full recalcs (which rebuilds the workbook's dependency tree) to Workbook_Open and when activating DataPage, SBL Quotes and ExitStrategy tabs as a partial solution to Exit Strategy tab's Unpaid Balance returning #NAME instead of calculating a value (SZR-159).</t>
  </si>
  <si>
    <t>5.28.0</t>
  </si>
  <si>
    <t>Rent Roll: added two new columns: Market Rent by-Unit (with use/don't use switch to calc Vacant Unit rent - don't use is the default), and Tenant. New columns hidden by default, with checkbox to Show/Hide (SZR-23).</t>
  </si>
  <si>
    <t>5.27.1</t>
  </si>
  <si>
    <t>SBL Quotes: Updated Servicing Fee and Servicing Fee Percentage per M.Jahnke (SZR-124).</t>
  </si>
  <si>
    <t>5.27.0</t>
  </si>
  <si>
    <t>Integrate PD capablity from FNM sizer (SZR-5).</t>
  </si>
  <si>
    <t>5.26.6</t>
  </si>
  <si>
    <t>SBL Quotes: Fixed error in calc'ing Max LTV for FRE Extra Year of IO (SZR-67).</t>
  </si>
  <si>
    <t>5.26.5</t>
  </si>
  <si>
    <t>SBL Quotes: FRE Extra year of IO for Feb-23 pricing (SZR-44); FNM Indicative Pricing change on Highly Affordable 5-50 Tier 2, &lt;=$2MM adder reduced from 82 to 41bps; HA 5-50 5yr increased to -70bps for all Tiers (SZR-42).</t>
  </si>
  <si>
    <t>5.26.4</t>
  </si>
  <si>
    <t>SBL Quotes: FNM small loan &lt;=$2MM eqn now works for Requested Loan Amount if Calculated Loan Amount isn't yet available.</t>
  </si>
  <si>
    <t>5.26.3</t>
  </si>
  <si>
    <t>B2B: Abort Send button was incorrectly mapped, works now.</t>
  </si>
  <si>
    <t>5.26.2</t>
  </si>
  <si>
    <t>B2B: the lower limit test when manually entering a FRE loan# was too tight, adjusted down.</t>
  </si>
  <si>
    <t>5.26.1</t>
  </si>
  <si>
    <t>SBL Quotes: updated Fannie PD Base Exit Rate minimums (+75bps).</t>
  </si>
  <si>
    <t>5.26.0</t>
  </si>
  <si>
    <t>DataPage: edits to cells sourced by SBL Quotes are instead edited on SBL Quotes tab (v1). SBL Quotes: indicates "Full Term IO" and "NA" instead of calcs for Amort Basis and Annual Amort payment.</t>
  </si>
  <si>
    <t>5.25.1</t>
  </si>
  <si>
    <t>SBL Quotes: fixed Prop Cap Prepay Adjustment equations (didn't match some pulldown options).</t>
  </si>
  <si>
    <t>5.25.0</t>
  </si>
  <si>
    <t>Freddie I&amp;E: updated comps to FRE's 6/2022 data set.</t>
  </si>
  <si>
    <t>5.24.3</t>
  </si>
  <si>
    <t>Enodo: removed old Daily Pricing URL (security update), improved AutoSave for remote users.</t>
  </si>
  <si>
    <t>5.24.2</t>
  </si>
  <si>
    <t>Pricing: now gets 20yr Treas and 1mo Term SOFR; SBL Quotes: PropCap floating loan options use new 1mo Term SOFR, Get Pricing form now clearly indicates which date is being selected.</t>
  </si>
  <si>
    <t>5.24.1</t>
  </si>
  <si>
    <t>SBL Quotes: Prop Cap loan options display Prepayment Options consistent with FRE and FNM loan options.</t>
  </si>
  <si>
    <t>5.24.0</t>
  </si>
  <si>
    <t>SBL Quotes: FNM now reports years (e.g. "54321,1%") in the top quotes section when selecting a "Declining Balance" Prepayment Option to be consistent with FRE and PC loan options.</t>
  </si>
  <si>
    <t>5.23.3</t>
  </si>
  <si>
    <t>SBL Quotes: Fannie Base Coupon, Investor Spread, and G&amp;S now fully utilize the Fannie Pricing Tables instead of having their own logic, which not handling longer terms properly (L. Zotovich), PD Exit Calc now always Passes when Term = Amortization (M. Jahnke).    Quote: Agency Fee Review formula fix (J. Footer).</t>
  </si>
  <si>
    <t>5.23.2</t>
  </si>
  <si>
    <t>SBL Quotes: fixed address lookup to return Fannie's MSA (which is occasionally different from W&amp;D's MSA).</t>
  </si>
  <si>
    <t>5.23.1</t>
  </si>
  <si>
    <t>B2B: Cancelling a Resend actually immediately cancels instead of progressing to ask for email credentials.</t>
  </si>
  <si>
    <t>5.23.0</t>
  </si>
  <si>
    <t xml:space="preserve">SBL Quotes: A Floating rate for Prop Cap's Base Coupon is now set to require a manually entered Term SOFR per M.Jahnke. </t>
  </si>
  <si>
    <t>5.22.14</t>
  </si>
  <si>
    <t>B2B: added pre-send validation to require Property Name, City, and County to be at least three characters.</t>
  </si>
  <si>
    <t>5.22.13</t>
  </si>
  <si>
    <t>SBL Quotes: fixed an issue with Affordability Adjustment that didn't properly get a '0bps' discount from the Freddie Regional Rates table; Date Priced works if accepting default.</t>
  </si>
  <si>
    <t>5.22.12</t>
  </si>
  <si>
    <t>Enodo: Auto-save validates User's WD Email.</t>
  </si>
  <si>
    <t>5.22.11</t>
  </si>
  <si>
    <t>Enodo: updates to Location data from Address/Zipcode lookup.</t>
  </si>
  <si>
    <t>5.22.10</t>
  </si>
  <si>
    <t>SBL Quotes: Max Loan based on DSCR for Prop Cap formula fix per M.Jahnke (360 days per year instead of 365).</t>
  </si>
  <si>
    <t>5.22.9</t>
  </si>
  <si>
    <t>SBL Quotes: shows '&lt;no data&gt;' for W&amp;D Market Rating if not available for that location.</t>
  </si>
  <si>
    <t>5.22.8</t>
  </si>
  <si>
    <t>Enodo: EnodoSaver.GetJsonizedCellValue function refactored to use worksheetFunction.IsNumber instead of VBA IsNumeric function to better distinguish between text and numbers.</t>
  </si>
  <si>
    <t>5.22.7</t>
  </si>
  <si>
    <t>SBL Quotes: shows correct Application fee if Prop Cap loan option is selected.</t>
  </si>
  <si>
    <t>5.22.6</t>
  </si>
  <si>
    <t>Exit Strategy:  forces recalc on worksheet open to insure parameters match Loan Option selected on SBL Quotes</t>
  </si>
  <si>
    <t>5.22.5</t>
  </si>
  <si>
    <t>SBL Quotes: fixed a regression bug (v5.21.0) with failure to load City and State.</t>
  </si>
  <si>
    <t>5.22.4</t>
  </si>
  <si>
    <t>SBL Quotes: Prop Cap equation tweaks related to IO only basis per M.Jahnke / G.Melby. Fixed formatting issue which occurred when selecting '0' Freddie options.</t>
  </si>
  <si>
    <t>5.22.3</t>
  </si>
  <si>
    <t>Enodo: added some additional info to Auto Save data for use by Web Narrative Editor.</t>
  </si>
  <si>
    <t>5.22.2</t>
  </si>
  <si>
    <t>SBL Quotes: Freddie Mac Minimum Fee conditional formatting alert now includes the Origination fee as well, not only the Buy-up alone.</t>
  </si>
  <si>
    <t>5.22.1</t>
  </si>
  <si>
    <t>SBL Quotes: fixed a regression bug (v5.21.0) for Prop Cap's Max LTV equation.</t>
  </si>
  <si>
    <t>5.22.0</t>
  </si>
  <si>
    <t>Exit Strategy: refactored loan balance equation so only calcs if required (same output, faster). DataPage: implemented additional links to SBL Quotes tab per M.Jahnke. AutoSave to Enodo for Web Narrative enabled.</t>
  </si>
  <si>
    <t>5.21.0</t>
  </si>
  <si>
    <t>SBL Quotes: Prop Cap updates per M.Jahnke; User can edit Street Address spelling (e.g. "Street" instead of "St") if a Census Tract# has already been entered, which implies the initial Address/City/State/Zipcode lookup has already occurred. Fannie Hist Ops: fixed T12 Data (column V) lookups which had an off-by-one-row lookup error.</t>
  </si>
  <si>
    <t>5.20.0</t>
  </si>
  <si>
    <t>SBL Quotes: UPB now returns original Loan Amount if Full Term IO, not '0'; UPB for Prop Cap does not conflict with UPB for Fannie for the same loan option number (bug).</t>
  </si>
  <si>
    <t>5.19.2</t>
  </si>
  <si>
    <t>The accuracy of Property Location data by address, including Freddie and Fannie market data is improved.</t>
  </si>
  <si>
    <t>5.19.1</t>
  </si>
  <si>
    <t>DataPage: fixed links to SBL Quotes (regression bug from v5.19.0). Exit Strategy visible by default. Application fee for Prop Cap loan set to $12,500.</t>
  </si>
  <si>
    <t>5.19.0</t>
  </si>
  <si>
    <t>SBL Quotes formula update: UPB is now based on Actual/360 amortization; Estimated NCF now adjusts per FNM regions - 3% unless Pre-Review (2%).</t>
  </si>
  <si>
    <t>5.18.6</t>
  </si>
  <si>
    <t>SBL Quotes formula revision: FNM Tier2 &lt;=$2MM adder revised to be 0.82% for all property types per J.Footer.</t>
  </si>
  <si>
    <t>5.18.5</t>
  </si>
  <si>
    <t>SBL Quotes formula update: added Seniors adjustment for FNM &lt;=$2MM adder per J.Footer.</t>
  </si>
  <si>
    <t>5.18.4</t>
  </si>
  <si>
    <t>SBL Quotes formula update: IO Credit is updated to reflect changes from 4bps to 1bps, removing WE/Top adjustment, etc.</t>
  </si>
  <si>
    <t>5.18.3</t>
  </si>
  <si>
    <t>RentComps tweaks per B.DuFour</t>
  </si>
  <si>
    <t>5.18.2</t>
  </si>
  <si>
    <t>SBL Quotes formula fixes: Prop Cap Max LTV per J.Footer, and FRE 'Lack of Experience' adder.</t>
  </si>
  <si>
    <t>5.18.1</t>
  </si>
  <si>
    <t>FNM Hist Ops: fixed equation error found for T11 Model/Office cell.</t>
  </si>
  <si>
    <t>5.18.0</t>
  </si>
  <si>
    <t>B2B: fixes - Rent Roll as Json, handles Properties with special characters such as '&amp;'.</t>
  </si>
  <si>
    <t>5.17.7</t>
  </si>
  <si>
    <t>Removed invalid 321(0) Prepay option from pulldown for Prop Cap 5yr Fixed loans.</t>
  </si>
  <si>
    <t>5.17.6</t>
  </si>
  <si>
    <t>Fixed issue with Proprietary Capital prepayment lookup failure for some types.</t>
  </si>
  <si>
    <t>5.17.5</t>
  </si>
  <si>
    <t>Reset default Loan Amounts to '0' per M.Alexander comment.</t>
  </si>
  <si>
    <t>5.17.4</t>
  </si>
  <si>
    <t>Freddie Affordability Discount and Additional Discounts now lookup by-region data from FRE rates table instead of hard-coded constants.</t>
  </si>
  <si>
    <t>5.17.3</t>
  </si>
  <si>
    <t>Fannie Affordability Discount changed from 40 to 50 bps. Linked-Loans switch restored to 'No' by default.</t>
  </si>
  <si>
    <t>5.17.2</t>
  </si>
  <si>
    <t>Regression bug fix for v5.17.1: SBL Quotes Freddie NOI cell formula was overwritten with hard-coded value.</t>
  </si>
  <si>
    <t>5.17.1</t>
  </si>
  <si>
    <t>Updated instructions Note text for 5 yr Equivalent on 3 Yr Float option for Proprietary Capital.</t>
  </si>
  <si>
    <t>5.17.0</t>
  </si>
  <si>
    <t>Many updates to Proprietary Capital rate model.</t>
  </si>
  <si>
    <t>5.16.3</t>
  </si>
  <si>
    <t>Added Existing Mortgage UPB to B2B Export, with Validation.</t>
  </si>
  <si>
    <t>5.16.2</t>
  </si>
  <si>
    <t>FNM Affordability updates with M.Jahnke.</t>
  </si>
  <si>
    <t>5.16.1</t>
  </si>
  <si>
    <t>Has Geocode data based on full address or Census Tract#, rather than simple Zip Code lookup.</t>
  </si>
  <si>
    <t>5.15.6</t>
  </si>
  <si>
    <t>Updates to Small Loans $2MM or smaller for G&amp;S per M.Jahnke zoom session.</t>
  </si>
  <si>
    <t>5.15.5</t>
  </si>
  <si>
    <t>Fannie Affordability Discount changed from 30 to 40 bps, with possible Rural 10 bps discount.</t>
  </si>
  <si>
    <t>5.15.4</t>
  </si>
  <si>
    <t>SBL Quotes formula fixes per M.Jahnke.</t>
  </si>
  <si>
    <t>5.15.3</t>
  </si>
  <si>
    <t>B2B: Improved manual input validation of header dates on Freddie I&amp;E.</t>
  </si>
  <si>
    <t>5.15.2</t>
  </si>
  <si>
    <t>Regression Bug fix for v5.15.1: FRE Servicing Fee pointed to wrong input cell.</t>
  </si>
  <si>
    <t>5.15.1</t>
  </si>
  <si>
    <t>B2B: completed data equation and mapping from model.</t>
  </si>
  <si>
    <t>5.15.0</t>
  </si>
  <si>
    <t>B2B: major additons to workbook-level validation prior to sending payload to platform.</t>
  </si>
  <si>
    <t>Version:  5.35.2  (9/14/2023)   (created with Enodo)</t>
  </si>
  <si>
    <t>Producer View</t>
  </si>
  <si>
    <t>Standard Underwriting Analysis Spreadsheet</t>
  </si>
  <si>
    <t xml:space="preserve">Fannie Mae Option# </t>
  </si>
  <si>
    <t>Not selected</t>
  </si>
  <si>
    <t>Variable_Min_Stress_UW_DSCR</t>
  </si>
  <si>
    <t>N/A</t>
  </si>
  <si>
    <t>Lender Information</t>
  </si>
  <si>
    <t>Property Information</t>
  </si>
  <si>
    <t>Unit Mix</t>
  </si>
  <si>
    <t>Seniors/Student</t>
  </si>
  <si>
    <t>Supplemental Analysis</t>
  </si>
  <si>
    <t xml:space="preserve">    </t>
  </si>
  <si>
    <t>Supplemental NCF ANALYSIS</t>
  </si>
  <si>
    <t>SARM_FixedLoanAmount</t>
  </si>
  <si>
    <t>Eligible for</t>
  </si>
  <si>
    <t xml:space="preserve">     </t>
  </si>
  <si>
    <t>Lender Name</t>
  </si>
  <si>
    <t>Walker &amp; Dunlop, LLC</t>
  </si>
  <si>
    <t>Yr. Built (Yr. Renovated)</t>
  </si>
  <si>
    <t>XXXX</t>
  </si>
  <si>
    <t>No. of Units</t>
  </si>
  <si>
    <t>Avg. S.F.</t>
  </si>
  <si>
    <t>% of Units</t>
  </si>
  <si>
    <t>No. of Beds</t>
  </si>
  <si>
    <t>1st Mortgage</t>
  </si>
  <si>
    <t>2nd Mortgage</t>
  </si>
  <si>
    <t>3rd Mortgage</t>
  </si>
  <si>
    <t>UNDERWRITTEN NCF ANALYSIS (Floor)</t>
  </si>
  <si>
    <t>SOURCES &amp; USES / FINANCING OBJECTIVES</t>
  </si>
  <si>
    <t xml:space="preserve">Eligible for </t>
  </si>
  <si>
    <t>High Needs Rural</t>
  </si>
  <si>
    <t>Originator</t>
  </si>
  <si>
    <t>Property Type</t>
  </si>
  <si>
    <t>Multifamily</t>
  </si>
  <si>
    <t>Studio</t>
  </si>
  <si>
    <t>Tier</t>
  </si>
  <si>
    <t>Current NCF</t>
  </si>
  <si>
    <t>FNM Afford</t>
  </si>
  <si>
    <t>Deputy Chief Underwriter</t>
  </si>
  <si>
    <t>Building Type</t>
  </si>
  <si>
    <t>Select</t>
  </si>
  <si>
    <t>1BR</t>
  </si>
  <si>
    <t>Term</t>
  </si>
  <si>
    <t>NCF to Support  Supplemental DSCR</t>
  </si>
  <si>
    <t>TRANSACTION SOURCES AND USES:</t>
  </si>
  <si>
    <t>TOTAL BASIS &amp; EQUITY CALCULATION:</t>
  </si>
  <si>
    <t>AMI DATA FROM SERVER</t>
  </si>
  <si>
    <t>Discount</t>
  </si>
  <si>
    <t>Underwriter</t>
  </si>
  <si>
    <t>No. Of Buildings</t>
  </si>
  <si>
    <t>2BR / 1BA</t>
  </si>
  <si>
    <t>Amortization</t>
  </si>
  <si>
    <t>NCF available for Underwriting</t>
  </si>
  <si>
    <t>SOURCES</t>
  </si>
  <si>
    <t># of Units</t>
  </si>
  <si>
    <t>Utilities Are Included:</t>
  </si>
  <si>
    <t>Analyst</t>
  </si>
  <si>
    <t>Gross Building Area Sq. Ft.</t>
  </si>
  <si>
    <t>2BR / 2BA</t>
  </si>
  <si>
    <t>Interest Only</t>
  </si>
  <si>
    <t>Lender Loan Amount</t>
  </si>
  <si>
    <r>
      <t xml:space="preserve">Land &amp; Improvements </t>
    </r>
    <r>
      <rPr>
        <color rgb="FF0000FF"/>
        <family val="2"/>
        <rFont val="Arial"/>
        <sz val="8"/>
      </rPr>
      <t>(based on purch price)</t>
    </r>
  </si>
  <si>
    <t>&lt;=</t>
  </si>
  <si>
    <t>Net Rentable Area</t>
  </si>
  <si>
    <t>3BR</t>
  </si>
  <si>
    <t>Original Loan Amount</t>
  </si>
  <si>
    <t>UNDERWRITTEN NCF ANALYSIS (Actual)</t>
  </si>
  <si>
    <t>Other</t>
  </si>
  <si>
    <t>(Existing Financing or Mezz)</t>
  </si>
  <si>
    <t>Required Repairs</t>
  </si>
  <si>
    <t>Sponsor</t>
  </si>
  <si>
    <t>Sq. Feet Commercial</t>
  </si>
  <si>
    <t>4+BR</t>
  </si>
  <si>
    <t>Original (Per/Unit)</t>
  </si>
  <si>
    <t>Equipment and Fixtures</t>
  </si>
  <si>
    <t>&gt; 50 Units</t>
  </si>
  <si>
    <t>Sponsor Name</t>
  </si>
  <si>
    <t>Commercial % (of GBA)</t>
  </si>
  <si>
    <t>UPB</t>
  </si>
  <si>
    <t>Management Company</t>
  </si>
  <si>
    <t>UPB (Per/Unit)</t>
  </si>
  <si>
    <t>TOTAL SOURCES</t>
  </si>
  <si>
    <t>Prior Capitalized Financial Costs</t>
  </si>
  <si>
    <t>≤ 50 Units</t>
  </si>
  <si>
    <t>Affordability Estimator</t>
  </si>
  <si>
    <t>Manual Input</t>
  </si>
  <si>
    <t>Interest Rate</t>
  </si>
  <si>
    <t>Est. Costs of Mortgage</t>
  </si>
  <si>
    <t>NA</t>
  </si>
  <si>
    <t>Location</t>
  </si>
  <si>
    <t>Estimated Qualifying Units &lt;= 120% AMI</t>
  </si>
  <si>
    <t>-</t>
  </si>
  <si>
    <t>of total units</t>
  </si>
  <si>
    <t>Constant</t>
  </si>
  <si>
    <t>USES</t>
  </si>
  <si>
    <t>Other costs (explain)</t>
  </si>
  <si>
    <t>Property Name</t>
  </si>
  <si>
    <t>Estimated Qualifying Units &lt;= 100% AMI</t>
  </si>
  <si>
    <t>Annual Debt Service</t>
  </si>
  <si>
    <t>Use Amortizing DS?</t>
  </si>
  <si>
    <t>Yes</t>
  </si>
  <si>
    <t>Existing UPB</t>
  </si>
  <si>
    <t>Total Basis</t>
  </si>
  <si>
    <t>Report matches Server:</t>
  </si>
  <si>
    <t>Address</t>
  </si>
  <si>
    <t>Map</t>
  </si>
  <si>
    <t>Estimated Qualifying Units &lt;= 80% AMI</t>
  </si>
  <si>
    <t>Prepayment penalty</t>
  </si>
  <si>
    <t>Less Existing Loan(s)</t>
  </si>
  <si>
    <t>Cost Burden:</t>
  </si>
  <si>
    <t>City</t>
  </si>
  <si>
    <t>Estimated Qualifying Units &lt;= 60% AMI</t>
  </si>
  <si>
    <t>Proposed Loan</t>
  </si>
  <si>
    <t>is Rural:</t>
  </si>
  <si>
    <t>County</t>
  </si>
  <si>
    <t>County not found</t>
  </si>
  <si>
    <t>Estimated Qualifying Units &lt;= 50% AMI</t>
  </si>
  <si>
    <t>Loan Term Analysis</t>
  </si>
  <si>
    <t>Equity (Cash or Holding)</t>
  </si>
  <si>
    <t xml:space="preserve">High Needs Rural: </t>
  </si>
  <si>
    <t>State</t>
  </si>
  <si>
    <t>XX</t>
  </si>
  <si>
    <t>Estimated % Exclusion from FHFA Scorecard Cap</t>
  </si>
  <si>
    <t>Amortization Type</t>
  </si>
  <si>
    <t>Actual/360</t>
  </si>
  <si>
    <t>30/360</t>
  </si>
  <si>
    <t>Lender Financing Fee</t>
  </si>
  <si>
    <t>Equity as a % of Total Basis</t>
  </si>
  <si>
    <t>Mission Driven data</t>
  </si>
  <si>
    <t>Zip Code</t>
  </si>
  <si>
    <t>XXXXX</t>
  </si>
  <si>
    <t>Expected Closing</t>
  </si>
  <si>
    <t>Coterminous</t>
  </si>
  <si>
    <t>Mortgage Broker's Fee</t>
  </si>
  <si>
    <t>Per Fannie:</t>
  </si>
  <si>
    <t>units</t>
  </si>
  <si>
    <t>Requires Manual Lookup</t>
  </si>
  <si>
    <t>If Refinance</t>
  </si>
  <si>
    <t>First Payment Date</t>
  </si>
  <si>
    <t>Lender Application Fee</t>
  </si>
  <si>
    <t>Overall Sponsor Credit Exposure:</t>
  </si>
  <si>
    <t>Per Freddie:</t>
  </si>
  <si>
    <t>Expected Closing of Refinance</t>
  </si>
  <si>
    <t>00/00/0000</t>
  </si>
  <si>
    <t>Maturity Date</t>
  </si>
  <si>
    <t>Lender Legal Fee</t>
  </si>
  <si>
    <t>1)</t>
  </si>
  <si>
    <t>Lender Outstanding Balances:</t>
  </si>
  <si>
    <t>Discounts:</t>
  </si>
  <si>
    <t>Origination Fees</t>
  </si>
  <si>
    <t>Existing Mortgage (UPB)</t>
  </si>
  <si>
    <t>P/U</t>
  </si>
  <si>
    <t>P/B</t>
  </si>
  <si>
    <t>Yield Maintenance End Date</t>
  </si>
  <si>
    <t>Fannie Mae Fees</t>
  </si>
  <si>
    <t>2)</t>
  </si>
  <si>
    <t>Lender Exposure</t>
  </si>
  <si>
    <t>Affordability &gt; 40% Upcapped:</t>
  </si>
  <si>
    <t>Commitment Source</t>
  </si>
  <si>
    <t>Actual Admin Closing Costs (max 3%)</t>
  </si>
  <si>
    <t>Expected Closing Date of Proposed Mortgage</t>
  </si>
  <si>
    <t>Fannie Mae Counsel Fees (if applicable)</t>
  </si>
  <si>
    <t>3)</t>
  </si>
  <si>
    <t>Lender Commitments:</t>
  </si>
  <si>
    <t>Affordability &gt; 50% Upcapped:</t>
  </si>
  <si>
    <t>Broker Fee</t>
  </si>
  <si>
    <t>Cap Ex (Escrowed at 100%)</t>
  </si>
  <si>
    <t>Maturity Date of Proposed Mortgage</t>
  </si>
  <si>
    <t>Required Repairs &amp; Add'l Holdback</t>
  </si>
  <si>
    <t>Affordability &gt; 80% Upcapped:</t>
  </si>
  <si>
    <t>% of Loan Amount</t>
  </si>
  <si>
    <t>Prepayment Penalty Amount</t>
  </si>
  <si>
    <t>Remaining Term</t>
  </si>
  <si>
    <t>Years</t>
  </si>
  <si>
    <t>Initial Reserve Deposit</t>
  </si>
  <si>
    <t>Total Lender Exposure (2&amp;3):</t>
  </si>
  <si>
    <t>Additional ( at least 30% of units less than 60% AMI):</t>
  </si>
  <si>
    <t>Walker &amp; Dunlop Fee</t>
  </si>
  <si>
    <t>Total Refinance Cost</t>
  </si>
  <si>
    <t>Remaining YM</t>
  </si>
  <si>
    <t>Borrower Legal, Survey, Title, Etc.</t>
  </si>
  <si>
    <t>Additional (at least 50% of units less than 80% AMI):</t>
  </si>
  <si>
    <t>% of Loan to Capped Refinance Costs</t>
  </si>
  <si>
    <t>Remaining IO</t>
  </si>
  <si>
    <t>Fannie Mae Large Loan Fee</t>
  </si>
  <si>
    <t>Premium Execution</t>
  </si>
  <si>
    <t>Rehabilitation Escrow</t>
  </si>
  <si>
    <t>Appraisal and Underwriting Value Information</t>
  </si>
  <si>
    <t>TOTAL COSTS</t>
  </si>
  <si>
    <t>Appraisal Company</t>
  </si>
  <si>
    <t>Name of Appraiser</t>
  </si>
  <si>
    <t>Excess Proceeds / Shortfall</t>
  </si>
  <si>
    <t>Minimum FNM Origination Fee</t>
  </si>
  <si>
    <t>Appraisal Date of Value</t>
  </si>
  <si>
    <t>XX/XX/XX</t>
  </si>
  <si>
    <t>Supplemental &amp; Assumtion</t>
  </si>
  <si>
    <t>Insurable Value</t>
  </si>
  <si>
    <t>Is Supplemental Associated with an Assumption?</t>
  </si>
  <si>
    <t>TBD</t>
  </si>
  <si>
    <t>Additional Deposits:</t>
  </si>
  <si>
    <t>Loan Structure</t>
  </si>
  <si>
    <t>Sales Approach</t>
  </si>
  <si>
    <t>Refundable Good Faith at</t>
  </si>
  <si>
    <t>Delegated Level</t>
  </si>
  <si>
    <t>Delegated</t>
  </si>
  <si>
    <t>Income Approach</t>
  </si>
  <si>
    <t>Completion Assurance at</t>
  </si>
  <si>
    <t>N/A (Delegated Level is not PD)</t>
  </si>
  <si>
    <t>Cost Approach</t>
  </si>
  <si>
    <t>Delivery Assurance at</t>
  </si>
  <si>
    <t>Loan Execution Type</t>
  </si>
  <si>
    <t>(Standard) DUS MBS</t>
  </si>
  <si>
    <t>Appraised Value</t>
  </si>
  <si>
    <t>Fannie Mae New Loan Test (Required)</t>
  </si>
  <si>
    <t>Interest Rate Type</t>
  </si>
  <si>
    <t>Fixed</t>
  </si>
  <si>
    <t>Underwriting Value</t>
  </si>
  <si>
    <t>Please note per Section 202.04 of the Fannie Mae Guide:  If the Senior Mortgage Loan matures within the 7 year period occurring after the closing date of the Supplemental Mortgage Loan, the Lender must also perform the "New Loan Test", found below, based on the remaining term of the 1st Mortgage.</t>
  </si>
  <si>
    <t>Loan Purpose</t>
  </si>
  <si>
    <t>Refinance</t>
  </si>
  <si>
    <t>Appraised Cap Rate</t>
  </si>
  <si>
    <t>Interest Calculation</t>
  </si>
  <si>
    <t>Underwritten Cap Rate</t>
  </si>
  <si>
    <t>Rate Lock Type</t>
  </si>
  <si>
    <t>Standard</t>
  </si>
  <si>
    <t>Prepayment Type</t>
  </si>
  <si>
    <t>YM - Standard</t>
  </si>
  <si>
    <t>Underwriting Data</t>
  </si>
  <si>
    <t>ILP/WDIP/CPF Criteria</t>
  </si>
  <si>
    <t>ILP</t>
  </si>
  <si>
    <t>WDIP</t>
  </si>
  <si>
    <t>CPF</t>
  </si>
  <si>
    <t>Guide Required</t>
  </si>
  <si>
    <t>Requested</t>
  </si>
  <si>
    <t>Breakeven Occupancy Analysis</t>
  </si>
  <si>
    <t>Loan Tier</t>
  </si>
  <si>
    <t>Property Type:</t>
  </si>
  <si>
    <t>any</t>
  </si>
  <si>
    <t>Tier #</t>
  </si>
  <si>
    <t>Amortization % (over term)</t>
  </si>
  <si>
    <t>LTV of "New Loan"</t>
  </si>
  <si>
    <t>Deal Type (Acquisition, Refinance, others):</t>
  </si>
  <si>
    <t>Tier LTV</t>
  </si>
  <si>
    <t>Annual Debt Service (actual rate)</t>
  </si>
  <si>
    <t>Amortizing</t>
  </si>
  <si>
    <t>Min UW DSCR</t>
  </si>
  <si>
    <t>Loan Amount:</t>
  </si>
  <si>
    <t>Min Tier UW DSCR (Actual/Note)</t>
  </si>
  <si>
    <t>Debt Yield</t>
  </si>
  <si>
    <t>Amort of "New Loan" (years)</t>
  </si>
  <si>
    <t>Interest Rate Type (Fixed or Variable):</t>
  </si>
  <si>
    <t>Either</t>
  </si>
  <si>
    <t>Min Tier UW DSCR (Floor)</t>
  </si>
  <si>
    <t xml:space="preserve">Exit Rate </t>
  </si>
  <si>
    <t>Alternative Exit Rate</t>
  </si>
  <si>
    <t>Note Rate of "New Loan"</t>
  </si>
  <si>
    <t>Loan-to-Value (LTV) is at or below maximum:</t>
  </si>
  <si>
    <t>Term (years)</t>
  </si>
  <si>
    <t>LTV Exit</t>
  </si>
  <si>
    <t>Alternative LTV Exit</t>
  </si>
  <si>
    <t>Floor Rate of "New Loan"</t>
  </si>
  <si>
    <t>Debt Product Integration Guide</t>
  </si>
  <si>
    <t>Send it:</t>
  </si>
  <si>
    <t>Amortization (years)</t>
  </si>
  <si>
    <t>Loan Constant of "New Loan"</t>
  </si>
  <si>
    <t>Loan Underwriting Metrics</t>
  </si>
  <si>
    <t>Maximum Loan to Value ("Combined")</t>
  </si>
  <si>
    <t>Interest Only (years)</t>
  </si>
  <si>
    <t>DSCR's (Combined)</t>
  </si>
  <si>
    <t>DSCR's</t>
  </si>
  <si>
    <t>IO DSCR</t>
  </si>
  <si>
    <t>Required DSCR's</t>
  </si>
  <si>
    <t>Maximum Loan Amount of "New Loan"</t>
  </si>
  <si>
    <t>Actual UW DSCR</t>
  </si>
  <si>
    <t>Pricing</t>
  </si>
  <si>
    <t>Floor UW DSCR</t>
  </si>
  <si>
    <t>Pricing Tier</t>
  </si>
  <si>
    <t>Appraised LTV</t>
  </si>
  <si>
    <t>Pricing for Tier Dropping Supplemental Loans (Not Applicable)</t>
  </si>
  <si>
    <t>Treasury/Index</t>
  </si>
  <si>
    <t>UW LTV</t>
  </si>
  <si>
    <t>Tier Dropping Supplemental Loan</t>
  </si>
  <si>
    <t>No</t>
  </si>
  <si>
    <t>Pricing Tier applicable to aggregate loan amount (assuming aggregate loan amount is a new first )</t>
  </si>
  <si>
    <t>Investor Spread</t>
  </si>
  <si>
    <t>LTC (if acquisition)</t>
  </si>
  <si>
    <t>Actual Guaranty Fee of Original Loan</t>
  </si>
  <si>
    <t>Pass Through Rate</t>
  </si>
  <si>
    <t>Actual Servicing Fee of Original Loan</t>
  </si>
  <si>
    <t>Guaranty Fee</t>
  </si>
  <si>
    <t>Loan Sizing Constraints</t>
  </si>
  <si>
    <t>Current Guaranty Fee at Combined Tier</t>
  </si>
  <si>
    <t>Servicing Fee</t>
  </si>
  <si>
    <t>Application Loan Amount</t>
  </si>
  <si>
    <t>Current Servicing Fee at Combined Tier</t>
  </si>
  <si>
    <t>Please note: Tier Plus is currently the best available pricing for a supplemental loan (without a waiver)</t>
  </si>
  <si>
    <t>Other Bond Fees</t>
  </si>
  <si>
    <t>Requested Loan</t>
  </si>
  <si>
    <t>Current Guaranty Fee at Supplemental Tier</t>
  </si>
  <si>
    <t>Total Spread</t>
  </si>
  <si>
    <t>Max Loan @ LTV</t>
  </si>
  <si>
    <t>Current Servicing Fee at Supplemental Tier</t>
  </si>
  <si>
    <t>Note Rate</t>
  </si>
  <si>
    <t>Max Loan @ Actual UW DSCR</t>
  </si>
  <si>
    <t xml:space="preserve">Calculated Guarantee Fee </t>
  </si>
  <si>
    <t>Underwriting Floor</t>
  </si>
  <si>
    <t>Max Loan @ Floor UW DSCR</t>
  </si>
  <si>
    <t xml:space="preserve">Calculated Servicing Fee </t>
  </si>
  <si>
    <t>Actual Constant</t>
  </si>
  <si>
    <t>Max Loan @ Variable Rate</t>
  </si>
  <si>
    <t>Floor Constant</t>
  </si>
  <si>
    <t>Max Loan @ New Loan Test</t>
  </si>
  <si>
    <t>Combined Debt Service</t>
  </si>
  <si>
    <t>Not to Exceed Rate (Fixed Rate)</t>
  </si>
  <si>
    <t>ACTUAL LOAN</t>
  </si>
  <si>
    <t>Combined Loan Amount</t>
  </si>
  <si>
    <t>Loss Sharing</t>
  </si>
  <si>
    <t>Additional Tolerances</t>
  </si>
  <si>
    <t>Quote Loan Amount plus</t>
  </si>
  <si>
    <t>RL Loan Amount plus</t>
  </si>
  <si>
    <t>Max. Approved Loan Amount</t>
  </si>
  <si>
    <t>Analysis</t>
  </si>
  <si>
    <t>FNM</t>
  </si>
  <si>
    <t>Last updated:</t>
  </si>
  <si>
    <t>09/15/2023, 13:37:47</t>
  </si>
  <si>
    <t>FRE</t>
  </si>
  <si>
    <t xml:space="preserve"> | City, XX</t>
  </si>
  <si>
    <t>Asset Summary</t>
  </si>
  <si>
    <t>Requested Loan Terms</t>
  </si>
  <si>
    <t>Cost Basis, Rent Growth, Net Worth/Liquidity Analysis</t>
  </si>
  <si>
    <t>Index Rates</t>
  </si>
  <si>
    <t>SBL_FRE_RegionalPricingGridRegionCode</t>
  </si>
  <si>
    <t>NE</t>
  </si>
  <si>
    <t>Northeast</t>
  </si>
  <si>
    <t>Adjustments</t>
  </si>
  <si>
    <t>Deal Name</t>
  </si>
  <si>
    <t>Cash-In/Out</t>
  </si>
  <si>
    <t>Inputs</t>
  </si>
  <si>
    <t>&lt;==</t>
  </si>
  <si>
    <t>Source</t>
  </si>
  <si>
    <t>Date</t>
  </si>
  <si>
    <t>1 yr</t>
  </si>
  <si>
    <t>2 yr</t>
  </si>
  <si>
    <t>3 yr</t>
  </si>
  <si>
    <t>4 yr</t>
  </si>
  <si>
    <t>5 yr</t>
  </si>
  <si>
    <t>7 yr</t>
  </si>
  <si>
    <t>10 yr</t>
  </si>
  <si>
    <t>20 yr</t>
  </si>
  <si>
    <t>30 yr</t>
  </si>
  <si>
    <t>SBL_FRE_RegionalPricingGridTimestamp</t>
  </si>
  <si>
    <t>FanniePricingSupplement (from Qapp)</t>
  </si>
  <si>
    <t>Assumptions (Blue = Freddie, Green = Fannie)  Version: 5.35.2, released: 9/14/23</t>
  </si>
  <si>
    <t>Indicative Loan Pricing</t>
  </si>
  <si>
    <t>Freddie Mac - SBL</t>
  </si>
  <si>
    <t>Fannie Mae - SML</t>
  </si>
  <si>
    <t>Proprietary Capital</t>
  </si>
  <si>
    <t>Loan Request:</t>
  </si>
  <si>
    <t>Acquisition Date</t>
  </si>
  <si>
    <t>Treasury Rates</t>
  </si>
  <si>
    <t>Freddie &amp; Fannie Rates</t>
  </si>
  <si>
    <t>5 YR Hybrid</t>
  </si>
  <si>
    <t>7 YR Hybrid</t>
  </si>
  <si>
    <t>10 YR Hybrid</t>
  </si>
  <si>
    <t>5 YR Fixed</t>
  </si>
  <si>
    <t>7 YR Fixed</t>
  </si>
  <si>
    <t>10 YR Fixed</t>
  </si>
  <si>
    <t>maxLTV</t>
  </si>
  <si>
    <t>(not yet implemented)</t>
  </si>
  <si>
    <t>Last Pricing Update</t>
  </si>
  <si>
    <t>Option 1</t>
  </si>
  <si>
    <t>Option 2</t>
  </si>
  <si>
    <t>Option 3</t>
  </si>
  <si>
    <t>Option 4</t>
  </si>
  <si>
    <t>Option 5</t>
  </si>
  <si>
    <t>Option 6</t>
  </si>
  <si>
    <t>Option 7</t>
  </si>
  <si>
    <t>Option 8</t>
  </si>
  <si>
    <t>Option 9</t>
  </si>
  <si>
    <t>Option 10</t>
  </si>
  <si>
    <t>Option 11</t>
  </si>
  <si>
    <t>Option 12</t>
  </si>
  <si>
    <t>MSA or Market</t>
  </si>
  <si>
    <t>Loan Type:</t>
  </si>
  <si>
    <t>Acquisition Price</t>
  </si>
  <si>
    <t>Daily Pricing Grid</t>
  </si>
  <si>
    <t>SBL - Northeast Region Pricing Grid - Top/Standard Markets Effective:    Tuesday  09/12/2023</t>
  </si>
  <si>
    <t>minDSCR</t>
  </si>
  <si>
    <t>Loan Product</t>
  </si>
  <si>
    <t>12 YR Fixed</t>
  </si>
  <si>
    <t>15 YR Fixed</t>
  </si>
  <si>
    <t>10 YR Variable</t>
  </si>
  <si>
    <t>3 YR Floating</t>
  </si>
  <si>
    <t>5 YR Floating</t>
  </si>
  <si>
    <t>7 YR Floating</t>
  </si>
  <si>
    <t>FNMA Delegated Level</t>
  </si>
  <si>
    <t>I/O Request:</t>
  </si>
  <si>
    <t>CapEX since Acquisition</t>
  </si>
  <si>
    <t>1mo Term SOFR</t>
  </si>
  <si>
    <t>Section A - Base Available Loan Structures</t>
  </si>
  <si>
    <t>verySmallLoan</t>
  </si>
  <si>
    <t>Street Address</t>
  </si>
  <si>
    <t/>
  </si>
  <si>
    <t>Loan Amount</t>
  </si>
  <si>
    <t>FNMA Mkt. - Strong, Standard, or Pre-review</t>
  </si>
  <si>
    <t>Prepay Request:</t>
  </si>
  <si>
    <t>Select in Column B</t>
  </si>
  <si>
    <t>Current Debt</t>
  </si>
  <si>
    <t>30 day Avg SOFR</t>
  </si>
  <si>
    <t>Loan Type</t>
  </si>
  <si>
    <t>Hybrid</t>
  </si>
  <si>
    <t>smallLoanEligibleMarket</t>
  </si>
  <si>
    <t>City, State</t>
  </si>
  <si>
    <t>City, XX</t>
  </si>
  <si>
    <t>Fixed | Floating Rate Term</t>
  </si>
  <si>
    <t>5 YR</t>
  </si>
  <si>
    <t>7 YR</t>
  </si>
  <si>
    <t>10 YR</t>
  </si>
  <si>
    <t>5 YR | 15 YR</t>
  </si>
  <si>
    <t>7 YR | 13 YR</t>
  </si>
  <si>
    <t>12 YR</t>
  </si>
  <si>
    <t>15 YR</t>
  </si>
  <si>
    <t>10 YR | 10 YR</t>
  </si>
  <si>
    <t>3 YR</t>
  </si>
  <si>
    <t>FNMA Eligible Market</t>
  </si>
  <si>
    <t>Estimated Rate:</t>
  </si>
  <si>
    <t>Select Loan Option (Cell B42)</t>
  </si>
  <si>
    <t>Rent Roll at Acquisition (gross monthly rent)</t>
  </si>
  <si>
    <t>From  &gt; $6MM</t>
  </si>
  <si>
    <t>From &gt; $6MM</t>
  </si>
  <si>
    <t>Fixed Term</t>
  </si>
  <si>
    <t>smallLoanNationwideMarket</t>
  </si>
  <si>
    <t>Zip Code (must have Address and City, State too)</t>
  </si>
  <si>
    <t>Full Term IO</t>
  </si>
  <si>
    <t>WD Market Rating</t>
  </si>
  <si>
    <t>Amortization (Years)</t>
  </si>
  <si>
    <t>Rent Roll Current (gross monthly rent)</t>
  </si>
  <si>
    <t>Fannie Pricing</t>
  </si>
  <si>
    <t>pricing ↓</t>
  </si>
  <si>
    <t>Hardcoded↓</t>
  </si>
  <si>
    <t>Floating Term</t>
  </si>
  <si>
    <t>affordableOverFiftyUnits</t>
  </si>
  <si>
    <t>Census Tract#</t>
  </si>
  <si>
    <t>Interest Only Period</t>
  </si>
  <si>
    <t>Freddie Market Tier (Freddie Only)</t>
  </si>
  <si>
    <t>Existing Loan Type</t>
  </si>
  <si>
    <t>Market Cap Rate</t>
  </si>
  <si>
    <t>Fixed Rate, Tier 2</t>
  </si>
  <si>
    <t>Posted Grid</t>
  </si>
  <si>
    <t>$6MM and Below</t>
  </si>
  <si>
    <t>Above $6MM</t>
  </si>
  <si>
    <t>IO Pricing</t>
  </si>
  <si>
    <t>Balloon/Amortization</t>
  </si>
  <si>
    <t>20|30</t>
  </si>
  <si>
    <t>5|30</t>
  </si>
  <si>
    <t>7|30</t>
  </si>
  <si>
    <t>10|30</t>
  </si>
  <si>
    <t>affordableT2</t>
  </si>
  <si>
    <t>Latitude | Longitude</t>
  </si>
  <si>
    <t>Prepay during Fixed, Floating</t>
  </si>
  <si>
    <t>YM</t>
  </si>
  <si>
    <t>YM,1%</t>
  </si>
  <si>
    <t>1% Prepayment</t>
  </si>
  <si>
    <t>Security Gauge Rating</t>
  </si>
  <si>
    <t>Annual Payment</t>
  </si>
  <si>
    <t>Borrower Estimate of Value</t>
  </si>
  <si>
    <t>Term (yrs)</t>
  </si>
  <si>
    <t>YM (yrs)</t>
  </si>
  <si>
    <t>TSY</t>
  </si>
  <si>
    <t>TSY Floor</t>
  </si>
  <si>
    <t>G&amp;S</t>
  </si>
  <si>
    <t>Gross Rate</t>
  </si>
  <si>
    <t>2 Yr</t>
  </si>
  <si>
    <t>3 Yr</t>
  </si>
  <si>
    <t>5 Yr</t>
  </si>
  <si>
    <t>Full Term</t>
  </si>
  <si>
    <r>
      <t>Max IO Period (Yrs)</t>
    </r>
    <r>
      <rPr>
        <b/>
        <color theme="1"/>
        <family val="2"/>
        <rFont val="Calibri"/>
        <scheme val="minor"/>
        <sz val="10"/>
        <vertAlign val="superscript"/>
      </rPr>
      <t>1</t>
    </r>
  </si>
  <si>
    <t>affordableT3</t>
  </si>
  <si>
    <t># Units</t>
  </si>
  <si>
    <t>Rate Lock Period</t>
  </si>
  <si>
    <t>Units:</t>
  </si>
  <si>
    <t>Annual Payment during/if IO</t>
  </si>
  <si>
    <t>Proposed Loan Amount</t>
  </si>
  <si>
    <t>Prepay During Fixed</t>
  </si>
  <si>
    <t>affordableT4</t>
  </si>
  <si>
    <t>Min Debt Coverage Ratio</t>
  </si>
  <si>
    <t>FRE Hybrid ARM Secondary Test DSCR</t>
  </si>
  <si>
    <t>--</t>
  </si>
  <si>
    <t>Proposed Annual Debt Service</t>
  </si>
  <si>
    <t>Prepay During Floating</t>
  </si>
  <si>
    <t>ruralHousingInitiative</t>
  </si>
  <si>
    <t>Year Built</t>
  </si>
  <si>
    <t>Max Loan to Value</t>
  </si>
  <si>
    <t>Building Type:</t>
  </si>
  <si>
    <t>LTV/DSCR - Top Markets</t>
  </si>
  <si>
    <t>80/1.20</t>
  </si>
  <si>
    <t>affordableMHC</t>
  </si>
  <si>
    <t>Date Priced</t>
  </si>
  <si>
    <t>Debt Coverage Ratio as Underwritten</t>
  </si>
  <si>
    <t>Year Built:</t>
  </si>
  <si>
    <t>Affordability</t>
  </si>
  <si>
    <t>Cost Basis Analysis</t>
  </si>
  <si>
    <t>LTV/DSCR - Standard Markets</t>
  </si>
  <si>
    <t>80/1.25</t>
  </si>
  <si>
    <t>specialPublicPurpose</t>
  </si>
  <si>
    <t>Loan To Value as Underwritten</t>
  </si>
  <si>
    <t>Class:</t>
  </si>
  <si>
    <t>Fannie Mae Mission Driven %</t>
  </si>
  <si>
    <t>Years/Months Under Ownership</t>
  </si>
  <si>
    <t>Section B - Base Loan Pricing Coupon*</t>
  </si>
  <si>
    <t>buyUp5</t>
  </si>
  <si>
    <t>MSA</t>
  </si>
  <si>
    <t>Estimated Interest Rate</t>
  </si>
  <si>
    <t>Physical Occupancy as of Application:</t>
  </si>
  <si>
    <t>Freddie Mac Mission Driven %</t>
  </si>
  <si>
    <t>Cost Basis Total</t>
  </si>
  <si>
    <t>Fixed Pricing (Standard Markets)</t>
  </si>
  <si>
    <t>buyUp7</t>
  </si>
  <si>
    <t>MSA Type</t>
  </si>
  <si>
    <t>Approximate Annual Payment (Amort)</t>
  </si>
  <si>
    <t>LTC</t>
  </si>
  <si>
    <t>Fixed Pricing (Top Markets)</t>
  </si>
  <si>
    <t>buyUp10</t>
  </si>
  <si>
    <t>W&amp;D Market Grouping</t>
  </si>
  <si>
    <t>Approximate Annual Payment (IO)</t>
  </si>
  <si>
    <t>Ownership and Cap Ex History</t>
  </si>
  <si>
    <t>NRI Growth and Occupancy History</t>
  </si>
  <si>
    <t>Cash In/Out</t>
  </si>
  <si>
    <t>↑</t>
  </si>
  <si>
    <t>Section C - Loan Pricing Adjustments</t>
  </si>
  <si>
    <t>buyUp12</t>
  </si>
  <si>
    <t>Percent of Population in College | Military</t>
  </si>
  <si>
    <t xml:space="preserve">The interest rates listed above and any spreads derived there from are subject to market influences, which may impact loan proceeds.  All terms are subject to review and approval by the lender and are subject to change. This analysis is based upon information provided to Walker &amp; Dunlop and/or market assumptions, which may not be supported by final underwriting conclusions. Final terms and conditions are subject to Fannie Mae and/or Freddie Mac approval. </t>
  </si>
  <si>
    <t>Acquisition or Refinance</t>
  </si>
  <si>
    <t>Recent NRI/NCF Growth and Physical Occ.</t>
  </si>
  <si>
    <t>Cashout (%)</t>
  </si>
  <si>
    <t>Qualified Mission Loans</t>
  </si>
  <si>
    <t>buyUp15</t>
  </si>
  <si>
    <t>Freddie Region</t>
  </si>
  <si>
    <t>Acquisition Date or Date to be Acquired</t>
  </si>
  <si>
    <t>Current Physical Occupancy</t>
  </si>
  <si>
    <t>Estimated 3% Closing Costs (acquisition loan)</t>
  </si>
  <si>
    <t>Standard Markets   ≥50% | ≥80%</t>
  </si>
  <si>
    <t>-15 | -30</t>
  </si>
  <si>
    <t>buyUp18</t>
  </si>
  <si>
    <t>Freddie Market Tier</t>
  </si>
  <si>
    <t>Contract Price / Orig. Acquisition Price</t>
  </si>
  <si>
    <t>Minimum Occupancy Over T3</t>
  </si>
  <si>
    <t>Top Markets  ≥50% | ≥80%</t>
  </si>
  <si>
    <t>buyUp30</t>
  </si>
  <si>
    <t>Market Tier DCR Adjustment</t>
  </si>
  <si>
    <t>Capital Expenditure since Acquisition</t>
  </si>
  <si>
    <t>Current T3 NRI (annualized)</t>
  </si>
  <si>
    <t>Rent Growth Analysis</t>
  </si>
  <si>
    <t>uwFloorStrong</t>
  </si>
  <si>
    <t>Regulatory Agreement</t>
  </si>
  <si>
    <t>Loan Underwriting</t>
  </si>
  <si>
    <t>Freddie Mac</t>
  </si>
  <si>
    <t>Fannie Mae</t>
  </si>
  <si>
    <t>Other Soft Costs</t>
  </si>
  <si>
    <t>Quote Sizer NCF</t>
  </si>
  <si>
    <t>Annualized Rent at Acquisition</t>
  </si>
  <si>
    <t>Fixed Rate, Tier 3, $6MM and Below</t>
  </si>
  <si>
    <t>↑   IO Pricing (same as Tier 2)   ↑</t>
  </si>
  <si>
    <t>Qualified 5-50 LI Property (≥50% of Units)</t>
  </si>
  <si>
    <t>uwFloorLT80</t>
  </si>
  <si>
    <t>Affordability Discount &gt;50% Uncapped</t>
  </si>
  <si>
    <t>Requested Loan Amount</t>
  </si>
  <si>
    <t>Cost Basis</t>
  </si>
  <si>
    <t>Cap Rate (Underwritten)</t>
  </si>
  <si>
    <t>Annualized Rent Current</t>
  </si>
  <si>
    <t>uwFloorLT120</t>
  </si>
  <si>
    <t>Additional Discount (≥ 80% less than 80% AMI)</t>
  </si>
  <si>
    <t>Product</t>
  </si>
  <si>
    <t>NRI at Acquisition</t>
  </si>
  <si>
    <t>Rent Growth</t>
  </si>
  <si>
    <t>Alternative Prepay Protections</t>
  </si>
  <si>
    <t>uwFloorLT144</t>
  </si>
  <si>
    <t>-- Requires Trading Desk to Price</t>
  </si>
  <si>
    <t>Years Owned</t>
  </si>
  <si>
    <t>Capitalized Income Value Add since Acq.</t>
  </si>
  <si>
    <t>Value Creation through Rent Growth</t>
  </si>
  <si>
    <t>Alternative 1</t>
  </si>
  <si>
    <t>Linked Loan / Scattered Site?</t>
  </si>
  <si>
    <t>Projected Loan Amount</t>
  </si>
  <si>
    <t>Underwritten Value Estimate</t>
  </si>
  <si>
    <t>Acqusion Cost + Value Add</t>
  </si>
  <si>
    <t>Estimated Value thru Analysis</t>
  </si>
  <si>
    <t>Pricing Change</t>
  </si>
  <si>
    <t>NYS Rent Stabilized &gt; 50%?</t>
  </si>
  <si>
    <t>Unavailable DCR/LTV Adjustment</t>
  </si>
  <si>
    <t>LTV</t>
  </si>
  <si>
    <t>Difference (estimate thru analysis - borrower's est)</t>
  </si>
  <si>
    <t>DSCR adder for Lack of Experience</t>
  </si>
  <si>
    <r>
      <t>Alternative 2</t>
    </r>
    <r>
      <rPr>
        <b/>
        <color theme="1"/>
        <family val="2"/>
        <rFont val="Calibri"/>
        <scheme val="minor"/>
        <sz val="10"/>
        <vertAlign val="superscript"/>
      </rPr>
      <t>2</t>
    </r>
  </si>
  <si>
    <t>321(3),1%</t>
  </si>
  <si>
    <t>3(2),2(2),1(3),1%</t>
  </si>
  <si>
    <t>3(3),2(3),1(4),1%</t>
  </si>
  <si>
    <t>321(3)</t>
  </si>
  <si>
    <t>3(2),2(2),1(3)</t>
  </si>
  <si>
    <t>3(3),2(3),1(4)</t>
  </si>
  <si>
    <t xml:space="preserve">Cash out Refinance? </t>
  </si>
  <si>
    <t xml:space="preserve">W&amp;D Origination Fee </t>
  </si>
  <si>
    <t>Net Worth and Liquidity Analysis</t>
  </si>
  <si>
    <t>Actual</t>
  </si>
  <si>
    <t>Minimum</t>
  </si>
  <si>
    <t>Excess/Short</t>
  </si>
  <si>
    <t>Fannie Market Tier</t>
  </si>
  <si>
    <t>Premium Buy-up W&amp;D</t>
  </si>
  <si>
    <t>Conventional</t>
  </si>
  <si>
    <t>Total of Sponsor Net Worth (combine all)</t>
  </si>
  <si>
    <t>Is Property Type MAH?</t>
  </si>
  <si>
    <t>Minimum Premium/Buy-Up</t>
  </si>
  <si>
    <t>2nd Supp?</t>
  </si>
  <si>
    <t>Total of Sponsor Liquidity (combine all)</t>
  </si>
  <si>
    <r>
      <t>Alternative 3</t>
    </r>
    <r>
      <rPr>
        <b/>
        <color theme="1"/>
        <family val="2"/>
        <rFont val="Calibri"/>
        <scheme val="minor"/>
        <sz val="10"/>
        <vertAlign val="superscript"/>
      </rPr>
      <t>2</t>
    </r>
  </si>
  <si>
    <t>310(3),0%</t>
  </si>
  <si>
    <t>310(3)</t>
  </si>
  <si>
    <t>Is Highly Affordable (≥ 75% at ≤ 80% AMI)</t>
  </si>
  <si>
    <t>Freddie/Fannie Fee Portion</t>
  </si>
  <si>
    <t>3rd Supp?</t>
  </si>
  <si>
    <t>Is High Needs Rural with ≥ 50% at ≤ 80% AMI?</t>
  </si>
  <si>
    <t>Broker Buy-up</t>
  </si>
  <si>
    <t>Assumption?</t>
  </si>
  <si>
    <t>Green Rewards?</t>
  </si>
  <si>
    <t>Total Origination Fee</t>
  </si>
  <si>
    <t>$0</t>
  </si>
  <si>
    <t>Chapter 9 SBL?</t>
  </si>
  <si>
    <t>Loan Size &lt;$1M</t>
  </si>
  <si>
    <t>Small Loan Buffer?</t>
  </si>
  <si>
    <t>Acquisition / Refinance</t>
  </si>
  <si>
    <t>Prepayment Option</t>
  </si>
  <si>
    <t>Yield Maintenance</t>
  </si>
  <si>
    <t>Fixed Rate, Tier 4, $6MM and Below</t>
  </si>
  <si>
    <r>
      <t>Regulatory Agreement</t>
    </r>
    <r>
      <rPr>
        <b/>
        <color theme="1"/>
        <family val="2"/>
        <rFont val="Calibri"/>
        <scheme val="minor"/>
        <sz val="10"/>
        <vertAlign val="superscript"/>
      </rPr>
      <t>3</t>
    </r>
  </si>
  <si>
    <t>Purchase Price</t>
  </si>
  <si>
    <t>Tier (FNM / PC)</t>
  </si>
  <si>
    <t>Tier 2 (70%)</t>
  </si>
  <si>
    <t>Estimated Cap Rate</t>
  </si>
  <si>
    <t>Calculated DCR (IO For PC)</t>
  </si>
  <si>
    <t>Sponsorship Summary</t>
  </si>
  <si>
    <t>Management Summary</t>
  </si>
  <si>
    <t>LTV ≤ 70% | ≤ 65% | ≤ 55%</t>
  </si>
  <si>
    <t>-4 | -8 | -12</t>
  </si>
  <si>
    <t>Freddie NOI</t>
  </si>
  <si>
    <t>Calculated LTV</t>
  </si>
  <si>
    <t>Sponsor (per Salesforce)</t>
  </si>
  <si>
    <t>Self Managed?</t>
  </si>
  <si>
    <t>Freddie UW Value</t>
  </si>
  <si>
    <t>Calculated Debt Yield</t>
  </si>
  <si>
    <t>Guarantor / KP Names</t>
  </si>
  <si>
    <t>Guarantor lives within 100 mi. of the Subect?</t>
  </si>
  <si>
    <t>DSCR ≥ 1.30 | ≥ 1.40 | ≥ 1.50</t>
  </si>
  <si>
    <t>-6 | -12 | -16</t>
  </si>
  <si>
    <t>Freddie UW Value Per Unit</t>
  </si>
  <si>
    <t>IO Period</t>
  </si>
  <si>
    <t>Repeat Fannie Mae Guarantors / KPs?</t>
  </si>
  <si>
    <t>Headquarters (City/State)</t>
  </si>
  <si>
    <t>Section D - Excess Premium (Buy-Up or Ongoing Spread)</t>
  </si>
  <si>
    <t>Fannie NOI</t>
  </si>
  <si>
    <t>Default IO Period</t>
  </si>
  <si>
    <t>BPs Per Point of Premium</t>
  </si>
  <si>
    <t>Fannie UW Value</t>
  </si>
  <si>
    <t>IO Full Term?</t>
  </si>
  <si>
    <t>Repeat Freddie Mac Guarantors?</t>
  </si>
  <si>
    <t>Years experience managing MF</t>
  </si>
  <si>
    <t>Fannie UW Value Per Unit</t>
  </si>
  <si>
    <t>At Least One Local Guarantor / KP?</t>
  </si>
  <si>
    <t>Local Office</t>
  </si>
  <si>
    <r>
      <t xml:space="preserve">Mkt is Strong or select Eligible </t>
    </r>
    <r>
      <rPr>
        <color theme="1"/>
        <family val="2"/>
        <rFont val="Calibri"/>
        <scheme val="minor"/>
        <sz val="8"/>
      </rPr>
      <t>(LA,DC, or Chicago)</t>
    </r>
  </si>
  <si>
    <t>Extended Delivery (FRE) / Forward Curve (FNM)</t>
  </si>
  <si>
    <t>Standard Delivery</t>
  </si>
  <si>
    <t>Aggregate Guarantor / KP Liquidity</t>
  </si>
  <si>
    <t>Specialize in Multifamily?</t>
  </si>
  <si>
    <t>SBL - Northeast Region Pricing Grid - Small/Very Small Markets   Effective: Tuesday  09/12/2023</t>
  </si>
  <si>
    <t>LTV Test</t>
  </si>
  <si>
    <t>N/A: Hybrid</t>
  </si>
  <si>
    <t>Aggregate Guarantor / KP Net Worth</t>
  </si>
  <si>
    <t>Specialize in Value Add properties?</t>
  </si>
  <si>
    <t>Borrower Priority (for PD Exit Rate)</t>
  </si>
  <si>
    <t>Hybrid Test</t>
  </si>
  <si>
    <t>Number of Borrowers</t>
  </si>
  <si>
    <t># MF properties managed in Sub. market?</t>
  </si>
  <si>
    <t>Loan is secured by Seniors or MAH property</t>
  </si>
  <si>
    <t>Base Coupon (TSY for FNM)</t>
  </si>
  <si>
    <t>Will any Borrower ownership be syndicated?</t>
  </si>
  <si>
    <t>Total # of MF units managed in portfolio</t>
  </si>
  <si>
    <r>
      <t>Expense Ratio &lt; 50% (</t>
    </r>
    <r>
      <rPr>
        <color theme="1"/>
        <family val="2"/>
        <rFont val="Calibri"/>
        <scheme val="minor"/>
        <sz val="8"/>
      </rPr>
      <t>from Fannie Historical Ops</t>
    </r>
    <r>
      <rPr>
        <color theme="1"/>
        <family val="2"/>
        <rFont val="Calibri"/>
        <scheme val="minor"/>
        <sz val="11"/>
      </rPr>
      <t>)</t>
    </r>
  </si>
  <si>
    <t>Investor Spread (FNM/PC)</t>
  </si>
  <si>
    <t>Borrower is a Corporation or a GP?</t>
  </si>
  <si>
    <t>Borrower Selections</t>
  </si>
  <si>
    <t>Credit Fees (FNM)</t>
  </si>
  <si>
    <t>Other Adjustments</t>
  </si>
  <si>
    <t>FNM_TierTbl</t>
  </si>
  <si>
    <t>Borrower Loan Program Accepted</t>
  </si>
  <si>
    <t>None</t>
  </si>
  <si>
    <t>Transaction Summary Questions</t>
  </si>
  <si>
    <t>Small Loan Spread Adder</t>
  </si>
  <si>
    <t>Tier 4</t>
  </si>
  <si>
    <t>No Floor</t>
  </si>
  <si>
    <r>
      <t>Max IO Period (Yrs)</t>
    </r>
    <r>
      <rPr>
        <b/>
        <color theme="1"/>
        <family val="2"/>
        <rFont val="Calibri"/>
        <scheme val="minor"/>
        <sz val="10"/>
        <vertAlign val="superscript"/>
      </rPr>
      <t>1</t>
    </r>
  </si>
  <si>
    <t xml:space="preserve">Borrower Loan Option Accepted </t>
  </si>
  <si>
    <t>Premium Adjustment</t>
  </si>
  <si>
    <t>Please select an answer for "Recent NRI/NCF Growth and Physical Occupancy" above.</t>
  </si>
  <si>
    <t>Tier 3</t>
  </si>
  <si>
    <t>Prepayment Schedule</t>
  </si>
  <si>
    <t>Prepay Adjustment</t>
  </si>
  <si>
    <r>
      <t>Tier 2</t>
    </r>
    <r>
      <rPr>
        <color theme="1"/>
        <family val="2"/>
        <rFont val="Calibri"/>
        <scheme val="minor"/>
        <sz val="10"/>
        <vertAlign val="superscript"/>
      </rPr>
      <t>1</t>
    </r>
    <r>
      <rPr>
        <color theme="1"/>
        <family val="2"/>
        <rFont val="Calibri"/>
        <scheme val="minor"/>
        <sz val="10"/>
      </rPr>
      <t>, 1-83mo</t>
    </r>
  </si>
  <si>
    <t>Application Fee</t>
  </si>
  <si>
    <t>I/O Credit or Addition</t>
  </si>
  <si>
    <t>Tier 2, 1-83mo</t>
  </si>
  <si>
    <t>LTV (Acq)/LTV (Refi)/DSCR - Small</t>
  </si>
  <si>
    <t>75/70/1.30</t>
  </si>
  <si>
    <t>Additional Deal Information</t>
  </si>
  <si>
    <t>Affordability Adjustment</t>
  </si>
  <si>
    <t>Please select an answer for "Acquisition or Refinance" above.</t>
  </si>
  <si>
    <r>
      <t>Tier 2</t>
    </r>
    <r>
      <rPr>
        <color theme="1"/>
        <family val="2"/>
        <rFont val="Calibri"/>
        <scheme val="minor"/>
        <sz val="10"/>
        <vertAlign val="superscript"/>
      </rPr>
      <t>1</t>
    </r>
    <r>
      <rPr>
        <color theme="1"/>
        <family val="2"/>
        <rFont val="Calibri"/>
        <scheme val="minor"/>
        <sz val="10"/>
      </rPr>
      <t>, 84-119mo</t>
    </r>
  </si>
  <si>
    <t>LTV (Acq)/LTV (Refi)/DSCR - V Small</t>
  </si>
  <si>
    <t>75/70/1.40</t>
  </si>
  <si>
    <t>Tier 2, 84-119mo</t>
  </si>
  <si>
    <t>Select Producer Above</t>
  </si>
  <si>
    <t>DCR Adjustment</t>
  </si>
  <si>
    <r>
      <t>Tier 2</t>
    </r>
    <r>
      <rPr>
        <color theme="1"/>
        <family val="2"/>
        <rFont val="Calibri"/>
        <scheme val="minor"/>
        <sz val="10"/>
        <vertAlign val="superscript"/>
      </rPr>
      <t>1</t>
    </r>
    <r>
      <rPr>
        <color theme="1"/>
        <family val="2"/>
        <rFont val="Calibri"/>
        <scheme val="minor"/>
        <sz val="10"/>
      </rPr>
      <t>, 120-143mo</t>
    </r>
  </si>
  <si>
    <t>Fixed Pricing (Very Small Markets)</t>
  </si>
  <si>
    <t>LTV Adjustment</t>
  </si>
  <si>
    <r>
      <t xml:space="preserve">LOAN OBJECTIVE: How do the requested Loan Terms above support the BORROWER's OPERATING PLAN?  What terms are </t>
    </r>
    <r>
      <rPr>
        <family val="2"/>
        <rFont val="Calibri"/>
        <scheme val="minor"/>
        <sz val="10"/>
        <u/>
      </rPr>
      <t>most</t>
    </r>
    <r>
      <rPr>
        <family val="2"/>
        <rFont val="Calibri"/>
        <scheme val="minor"/>
        <sz val="10"/>
      </rPr>
      <t xml:space="preserve"> important to the Borrower? - i.e. proceeds, IO, rate, loan term, prepay, etc. If getting a cashout, what will the Borrower do with the proceeds.</t>
    </r>
  </si>
  <si>
    <t>Tier 2, 120-143mo</t>
  </si>
  <si>
    <t>Fixed Pricing (Small Markets)</t>
  </si>
  <si>
    <t xml:space="preserve">Regulatory Agreement Adjustment </t>
  </si>
  <si>
    <t>Variable Rate (not implemented, incomplete)</t>
  </si>
  <si>
    <t>Libor</t>
  </si>
  <si>
    <t>Additional Affordability Discounts (MHC adder PC)</t>
  </si>
  <si>
    <t>ARM 7/6</t>
  </si>
  <si>
    <t>Link Loan Adder (FRE/PC) / ≤ $2MM (FNM)</t>
  </si>
  <si>
    <t>10yr SARM</t>
  </si>
  <si>
    <t>Very Small Markets   ≥50% | ≥80%</t>
  </si>
  <si>
    <t>-10 | -25</t>
  </si>
  <si>
    <t>Key Principal/Guarantor</t>
  </si>
  <si>
    <r>
      <t>Small Loan Buffer</t>
    </r>
    <r>
      <rPr>
        <color theme="1"/>
        <family val="2"/>
        <rFont val="Calibri"/>
        <scheme val="minor"/>
        <sz val="10"/>
      </rPr>
      <t xml:space="preserve"> (Investor Spread)</t>
    </r>
  </si>
  <si>
    <t>SPONSOR EXPERIENCE: How long have the Guarantors /KPs owned multifamily in the Subject Market?  What is the Guarantors / KP's expereince with renovations and lease ups? Can specific before / after examples be cited with the renovation timeline, pre and post renovation NRI, and amount spent?  How does Sponsor experneice support the Borrower's Operating Plan above?</t>
  </si>
  <si>
    <t>Hybrid Arms</t>
  </si>
  <si>
    <t>Small Markets   ≥50% | ≥80%</t>
  </si>
  <si>
    <t>G&amp;S Adjustments (FNM) / Student Adder (PC)</t>
  </si>
  <si>
    <t>10 yr fxd, 10 YM, Hybrid</t>
  </si>
  <si>
    <t>Program Adjustment</t>
  </si>
  <si>
    <t>10 yr fxd, 3332221111, Hybrid</t>
  </si>
  <si>
    <t>10 yr fxd, 5544332211, Hybrid</t>
  </si>
  <si>
    <t>5 yr fxd, 32111, Hybrid</t>
  </si>
  <si>
    <t>Annual Payment (Amort)</t>
  </si>
  <si>
    <t>Asset Supplemental Information</t>
  </si>
  <si>
    <t>5 yr fxd, 5 YM, Hybrid</t>
  </si>
  <si>
    <t>5 yr fxd, 54321, Hybrid</t>
  </si>
  <si>
    <t>Product Requirements:</t>
  </si>
  <si>
    <t>7 yr fxd, 3322111, Hybrid</t>
  </si>
  <si>
    <t>Min DSCR (IO for PC)</t>
  </si>
  <si>
    <t>Unit Amperage &lt; 60 Amps?</t>
  </si>
  <si>
    <t>Voucher Tenant Concentration %</t>
  </si>
  <si>
    <t>7 yr fxd, 5544321, Hybrid</t>
  </si>
  <si>
    <r>
      <t>Alternative 2</t>
    </r>
    <r>
      <rPr>
        <b/>
        <color theme="1"/>
        <family val="2"/>
        <rFont val="Calibri"/>
        <scheme val="minor"/>
        <sz val="10"/>
        <vertAlign val="superscript"/>
      </rPr>
      <t>2</t>
    </r>
  </si>
  <si>
    <t>Requested Min DSCR (PC+FRE Req / FNM Floor)</t>
  </si>
  <si>
    <t>RET Escrow Collection Deferral?</t>
  </si>
  <si>
    <t>Single Emp., Corporate, Non-Profit Conc. %</t>
  </si>
  <si>
    <t>7 yr fxd, 7 YM, Hybrid</t>
  </si>
  <si>
    <t>Max LTV</t>
  </si>
  <si>
    <t>Insurance Escrow Collection Deferral?</t>
  </si>
  <si>
    <t>Master Lease Concentration %</t>
  </si>
  <si>
    <t>Constraint</t>
  </si>
  <si>
    <t>Is a stabilized T-12 available?</t>
  </si>
  <si>
    <t>Percent of Units with less than 350 SF. (FNMA)</t>
  </si>
  <si>
    <t>Options</t>
  </si>
  <si>
    <r>
      <t>Alternative 3</t>
    </r>
    <r>
      <rPr>
        <b/>
        <color theme="1"/>
        <family val="2"/>
        <rFont val="Calibri"/>
        <scheme val="minor"/>
        <sz val="10"/>
        <vertAlign val="superscript"/>
      </rPr>
      <t>2</t>
    </r>
  </si>
  <si>
    <t>Max Loan Amount: DSCR</t>
  </si>
  <si>
    <t>5 yr | 4.5 yrs YM</t>
  </si>
  <si>
    <t>Max Loan Amount: LTV</t>
  </si>
  <si>
    <t>7 yr | 6.5 yrs YM</t>
  </si>
  <si>
    <t>Loan Size &lt;$1M - Small</t>
  </si>
  <si>
    <t>Max Loan Amount: Floor Rate (PC-Debt Yield)</t>
  </si>
  <si>
    <t xml:space="preserve">   Is comm. GPR or NRA &gt;40% of GPR or NRA?</t>
  </si>
  <si>
    <t xml:space="preserve">     Number of Properties?</t>
  </si>
  <si>
    <t>10 yr | 9.5 yrs YM</t>
  </si>
  <si>
    <t>Loan Size &lt;$1M - Very Small</t>
  </si>
  <si>
    <t>Floor Rate</t>
  </si>
  <si>
    <t xml:space="preserve">   Is 10% vacancy factor applied?</t>
  </si>
  <si>
    <t xml:space="preserve">     Are all buildings less than 3 milies apart?</t>
  </si>
  <si>
    <t>12 yr | 11.5 yrs YM</t>
  </si>
  <si>
    <t>PC Debt Yield</t>
  </si>
  <si>
    <t>Owner-occupied or owner-affiliated units?</t>
  </si>
  <si>
    <t>Any rent/income restrictions?</t>
  </si>
  <si>
    <t>15 yr | 14.5 yrs YM</t>
  </si>
  <si>
    <r>
      <t>Regulatory Agreement - Small</t>
    </r>
    <r>
      <rPr>
        <b/>
        <color theme="1"/>
        <family val="2"/>
        <rFont val="Calibri"/>
        <scheme val="minor"/>
        <sz val="10"/>
        <vertAlign val="superscript"/>
      </rPr>
      <t>3</t>
    </r>
  </si>
  <si>
    <t>PC Eligible Market</t>
  </si>
  <si>
    <t>Tax Abatement?</t>
  </si>
  <si>
    <t xml:space="preserve">     HAP contract?</t>
  </si>
  <si>
    <t>18 yr | 15 yrs YM</t>
  </si>
  <si>
    <r>
      <t>Regulatory Agreement - Very Small</t>
    </r>
    <r>
      <rPr>
        <b/>
        <color theme="1"/>
        <family val="2"/>
        <rFont val="Calibri"/>
        <scheme val="minor"/>
        <sz val="10"/>
        <vertAlign val="superscript"/>
      </rPr>
      <t>3</t>
    </r>
  </si>
  <si>
    <t>(PD) Base Exit Rate</t>
  </si>
  <si>
    <t xml:space="preserve">   Is it Freddie Mac/Fannie Mae compliant?</t>
  </si>
  <si>
    <t xml:space="preserve">     LURA</t>
  </si>
  <si>
    <t>30 yr | 15 yrs YM</t>
  </si>
  <si>
    <t>Max Proceeds</t>
  </si>
  <si>
    <t xml:space="preserve">   Can abatement documentation be provided?</t>
  </si>
  <si>
    <t>LURA with &gt;24 months in recap period, nonprofit Borrower or GP, or subordinate debt?</t>
  </si>
  <si>
    <t>LTV (Acq) ≤ 65% | ≤ 60% | ≤ 50%</t>
  </si>
  <si>
    <t>Any violent, drug related crimes OR persistent pattern of lesser crimes at the Subject property in past 5 years?</t>
  </si>
  <si>
    <t>5 yr | 3 yrs YM</t>
  </si>
  <si>
    <t>LTV (Refi) ≤ 60% | ≤ 55% | ≤ 45%</t>
  </si>
  <si>
    <t>Over/(Short) Request</t>
  </si>
  <si>
    <t>7 yr | 5 yrs YM</t>
  </si>
  <si>
    <t>Est. Base Exit NCF at Maturity +1 Yr @3.2% Rent Growth</t>
  </si>
  <si>
    <t>10 yr | 7 yrs YM</t>
  </si>
  <si>
    <t>DCR</t>
  </si>
  <si>
    <t>UPB at Maturity (Actual/360)</t>
  </si>
  <si>
    <t>Small Markets</t>
  </si>
  <si>
    <t>Exit Value</t>
  </si>
  <si>
    <t>Variable Rate</t>
  </si>
  <si>
    <t>≥ 1.40 | ≥ 1.50 | ≥ 1.60</t>
  </si>
  <si>
    <t>Annual NCF Growth Rate</t>
  </si>
  <si>
    <t>Very Small Markets</t>
  </si>
  <si>
    <t>≥ 1.50 | ≥ 1.60 | ≥ 1.70</t>
  </si>
  <si>
    <t>LTV @ Refinance (1st)</t>
  </si>
  <si>
    <t>Strengths and Weaknesses</t>
  </si>
  <si>
    <t>Cap Rate to Achieve 80% LTV</t>
  </si>
  <si>
    <t>Select Strength</t>
  </si>
  <si>
    <t>Select Weakness</t>
  </si>
  <si>
    <t>Interest Rate @ Refi</t>
  </si>
  <si>
    <t>Resulting DSCR @ Refi</t>
  </si>
  <si>
    <t>LTV @ Refi (Interpolated Cap Rate)</t>
  </si>
  <si>
    <t>Intermediate Calcs</t>
  </si>
  <si>
    <t>Fixed Term (Yrs)</t>
  </si>
  <si>
    <t>Term Bracket</t>
  </si>
  <si>
    <t>120-143mo</t>
  </si>
  <si>
    <t>144+mo</t>
  </si>
  <si>
    <t>1-83mo</t>
  </si>
  <si>
    <r>
      <t>Is Tier 2</t>
    </r>
    <r>
      <rPr>
        <color theme="1"/>
        <family val="2"/>
        <rFont val="Calibri"/>
        <scheme val="minor"/>
        <sz val="11"/>
        <vertAlign val="superscript"/>
      </rPr>
      <t>1</t>
    </r>
  </si>
  <si>
    <t>FNM Floor Rate Tbl look-up string</t>
  </si>
  <si>
    <t>Tier 2, 144+mo</t>
  </si>
  <si>
    <t>Warn if Loan Amount doesn't match Projected</t>
  </si>
  <si>
    <t>FNM Pricing Table CHOOSE Index</t>
  </si>
  <si>
    <t>Servicing Fee (%)</t>
  </si>
  <si>
    <t>Prop Cap: Equiv Fixed Rate for Float Rate test</t>
  </si>
  <si>
    <t>Market Supplemental Information</t>
  </si>
  <si>
    <t>Neighborhood: Please provide a brief description of the Subject's neighborhood.  Where are the local employment, shopping, dining/entertainment, educational, and recreational centers for our Subject's tenant population? What public transportation exists?  Please describe the land uses in the immediat vicinity.</t>
  </si>
  <si>
    <t>Tertiary or poor performing market: Please provide a current description of the Subject's apartment housing market including current and future projections for employment, rent growth, vacancy, construction, and absorbtion.</t>
  </si>
  <si>
    <t>New Competition - N/A</t>
  </si>
  <si>
    <t>Sponsorship Supplemental Information - BORROWER / BORROWER PRINCIPALS / GUARANTORS / ORGANIZATIONAL STRUCTURE</t>
  </si>
  <si>
    <t>Please paste or create the proposed organizational chart for discussion below.  Please indicate proposed Guarantors, KPs or Borrower Principals, entity managers, and the ownership percentages to the best of your ability.</t>
  </si>
  <si>
    <t>Is each Borrower either an LLC or LP?</t>
  </si>
  <si>
    <t>Aggregate Guarantor Net Worth</t>
  </si>
  <si>
    <t>Is any Borrower an MAE?</t>
  </si>
  <si>
    <t>Aggregate Guarantor Liquidity</t>
  </si>
  <si>
    <t>Will / Is the Borrower Ownership Syndicated?</t>
  </si>
  <si>
    <t>Aggregate Borrower Principal Net Worth (Inc. Guarantors)</t>
  </si>
  <si>
    <t># of MF Properties (5+ units) owned among Guarantors</t>
  </si>
  <si>
    <t># Warm Body Guarantors</t>
  </si>
  <si>
    <t>Guarantors own at least 1 MF Prop. for entire last 3 yrs?</t>
  </si>
  <si>
    <t># US Citizen Warm Body Guarantors</t>
  </si>
  <si>
    <t>Repeat WD Guarantor?</t>
  </si>
  <si>
    <t># Foreign Warm Body Guarantors</t>
  </si>
  <si>
    <t>Repeat Freddie Mac Borrower</t>
  </si>
  <si>
    <t>Does at least one Foreign Guarantor Reside in US?</t>
  </si>
  <si>
    <t>Is Borrower an Individual or Revocable Trust?</t>
  </si>
  <si>
    <t>Does Foreign Guarantor have US MF Experience?</t>
  </si>
  <si>
    <t>Borrower Principal Negative Credit History (See Below)</t>
  </si>
  <si>
    <t># Guarantors with FICO score &gt; 680</t>
  </si>
  <si>
    <r>
      <t xml:space="preserve">Borrower principal has material negative credit history, been in default, involved in a foreclosure or been given relief by any lender under the terms of any mortgage loan, mezzanine loan, contract for deed or similar arrangement (i.e. by modification, workout, forbearance), or material derogatory web search results (e.g. felony or financial criminal record, bankruptcy, foreclosure/short sale, material historical litigation and/or pending litigation) - </t>
    </r>
    <r>
      <rPr>
        <b/>
        <color theme="1"/>
        <family val="2"/>
        <rFont val="Calibri"/>
        <scheme val="minor"/>
        <sz val="10"/>
      </rPr>
      <t>If Yes Explain Below.</t>
    </r>
  </si>
  <si>
    <t>Underwriting Supplemental Information</t>
  </si>
  <si>
    <t>Please describe your tax underwriting conclusion.  Are you familiar with taxation in the market or have you consulted an appraiser?  What is the typical assessment ratio and do the underwritten taxes and value, support an assessment in that range?</t>
  </si>
  <si>
    <t xml:space="preserve">Please describe anything else we should know about your proforma underwiritng.  (i.e cap ex removal from operating statements, exit assumptions, etc.) </t>
  </si>
  <si>
    <t>Please note any market or sale conditions that affected the property's last sale or are currently affecting the property's value.</t>
  </si>
  <si>
    <t>Please provide a link with asset videos/photos and Subject Maps</t>
  </si>
  <si>
    <t>Please provide the Box link containing supplemental information (if available).</t>
  </si>
  <si>
    <t>Programmatic Exception List - Effective 12/15/2020</t>
  </si>
  <si>
    <t>New Programmatic Exception</t>
  </si>
  <si>
    <t>TOC Category</t>
  </si>
  <si>
    <t>Credit Policy (CP)
Name</t>
  </si>
  <si>
    <t xml:space="preserve">Topic </t>
  </si>
  <si>
    <t>Description</t>
  </si>
  <si>
    <t xml:space="preserve"> Not Compliant</t>
  </si>
  <si>
    <t>FM Waiver Approval Date</t>
  </si>
  <si>
    <t>Loan Characteristics / Valuation</t>
  </si>
  <si>
    <t>Credit Parameters</t>
  </si>
  <si>
    <t>Small Balance Loans</t>
  </si>
  <si>
    <t>Loan limits</t>
  </si>
  <si>
    <t>Loan size less than $1.0MM not allowed. Any loan sized between $1.00M and $1.2MM is subject to Freddie Mac review</t>
  </si>
  <si>
    <t>EXCEPTION</t>
  </si>
  <si>
    <t>Programs and Products</t>
  </si>
  <si>
    <t>SBL</t>
  </si>
  <si>
    <t>Loan size &gt; $6MM located in a Small or Very Small Market</t>
  </si>
  <si>
    <t>Loan &gt;$6MM has a property with &gt; 100 units</t>
  </si>
  <si>
    <t>Loan &gt;$6MM has a property with a DCR &lt; 1.25x</t>
  </si>
  <si>
    <t>Underwriting</t>
  </si>
  <si>
    <t>Appraisal Report &amp;
Property Valuation</t>
  </si>
  <si>
    <t>SBL - Underwritten Value</t>
  </si>
  <si>
    <t>Loan to cost &gt;80% within 1 year of changing ownership (refinance or acquisition)</t>
  </si>
  <si>
    <t>DCR &amp; LTV Parameters</t>
  </si>
  <si>
    <t>SBL – DCR</t>
  </si>
  <si>
    <t>DCR &lt; policy min by ≤ 0.10x</t>
  </si>
  <si>
    <t>DCR &lt; policy min by &gt; 0.10x</t>
  </si>
  <si>
    <t>SBL – LTV</t>
  </si>
  <si>
    <t>LTV &gt; policy max by &gt; 10%</t>
  </si>
  <si>
    <t>&lt;$1.2M</t>
  </si>
  <si>
    <t>LTV &gt; policy max by ≤ 10%</t>
  </si>
  <si>
    <t>Security Gauge</t>
  </si>
  <si>
    <t>SBL - Interest Only Period</t>
  </si>
  <si>
    <t>IO period for longer than allowed by policy</t>
  </si>
  <si>
    <t>SBL – Escrows</t>
  </si>
  <si>
    <t>Real Estate Tax Escrow collection is deferred and LTV is &gt; 65%</t>
  </si>
  <si>
    <t>Insurance Escrow collection is deferred</t>
  </si>
  <si>
    <t>Upfront statement encompassing all "non-starter" questions</t>
  </si>
  <si>
    <t>SBL – Hybrid ARM</t>
  </si>
  <si>
    <t>Hybrid ARM Secondary Test: DCR &lt; 1.00x outside of Top market</t>
  </si>
  <si>
    <t>Cash out parameters are not met (must be accompanied by LTV or DCR selection)</t>
  </si>
  <si>
    <t>Short Term Rentals (airbnb)</t>
  </si>
  <si>
    <t>Sponsor / Borrower</t>
  </si>
  <si>
    <t>Borrower Financial</t>
  </si>
  <si>
    <t>Borrower principal net worth (1x UPB) not policy compliant</t>
  </si>
  <si>
    <t>Borrower principal liquidity (9 mths DS) not policy compliant</t>
  </si>
  <si>
    <t>FICO</t>
  </si>
  <si>
    <t>No Guarantor with a FICO greater than 680.</t>
  </si>
  <si>
    <t>Borrower Credit history</t>
  </si>
  <si>
    <t>Borrower principal has material negative credit history, been in default, involved in a foreclosure or been given relief by any lender under the terms of any mortgage loan, mezzanine loan, contract for deed or similar arrangement (i.e. by modification, workout, forbearance), or material derogatory web search results (e.g. felony or financial criminal record, bankruptcy, foreclosure/short sale, material historical litigation and/or pending litigation)</t>
  </si>
  <si>
    <t>Guarantor</t>
  </si>
  <si>
    <t>No Warm Body Guarantor/Entity Guarantor Only</t>
  </si>
  <si>
    <t>Foreign carve-out Guarantor without institutional &amp; US multifamily experience and cumulative 2x net worth &amp; liquidity minimum when no other Guarantor is a US Citizen or 2) Sole foreign Guarantor does not reside in the US</t>
  </si>
  <si>
    <t>Borrower structure not compliant with policy</t>
  </si>
  <si>
    <t>Borrower that is a MAE</t>
  </si>
  <si>
    <t>Borrower that is a Corporation or General Partnership</t>
  </si>
  <si>
    <t>Borrower Requirements</t>
  </si>
  <si>
    <t>SBL – TIC</t>
  </si>
  <si>
    <t>Syndicated TIC or TIC structures with &gt; 5 co-tenants</t>
  </si>
  <si>
    <t>Borrower</t>
  </si>
  <si>
    <t>Sponsorship doesn't meet minimum experience requirement. - At the time of Seller Application, at least one Borrower
Principal with Control of the Borrower has ownership and control in either (i) a minimum of three (3) MF properties, with at least one for a minimum of the preceding two years or (ii) at least one multifamily property for the five preceding years.</t>
  </si>
  <si>
    <t>SBL – Documentation</t>
  </si>
  <si>
    <t>Insufficient documentation provided per the Borrower Requirements Policy</t>
  </si>
  <si>
    <t>Very Small Market loan where the Controlling member is new to Freddie Mac and the Optigo Lender</t>
  </si>
  <si>
    <t>Property Operations - Operating History</t>
  </si>
  <si>
    <t>Missing YTD, stabilized T-12 historical property operating financial statement or T12 occupancy statement</t>
  </si>
  <si>
    <t>Missing trailing monthly property collections for previous six months when the loan request is a refinance. Missing trailing monthly property collections for the previous three months is required for Acquisitions.</t>
  </si>
  <si>
    <t>Property Operations - Underwriting</t>
  </si>
  <si>
    <t>SBL - Commercial Income</t>
  </si>
  <si>
    <t>Commercial GPR or NRA &gt; 40% of GPR or NRA</t>
  </si>
  <si>
    <t>Commercial Income</t>
  </si>
  <si>
    <t>Commercial 10% vacancy and TI/LC are required to be Underwritten. Prescreen would assume TI/LC waiver or less than 10% vacancy is being used.</t>
  </si>
  <si>
    <t>Tenancy</t>
  </si>
  <si>
    <t>Owner occupied, or owner affiliated unit that is not underwritten pursuant to section 8SBL.8 of the Guide.</t>
  </si>
  <si>
    <t>SBL – Occupancy</t>
  </si>
  <si>
    <t>DISCUSS</t>
  </si>
  <si>
    <t>Physical occupancy at Final Underwriting &lt;90% and &gt;=85% as applied to the subject's three consecutive average month physical occupancy</t>
  </si>
  <si>
    <t>Income &amp; Expense</t>
  </si>
  <si>
    <t>Underwritten NRI &gt; the NRI calculated from the rent roll received with the Final U/W Package</t>
  </si>
  <si>
    <t>N/A at Screen</t>
  </si>
  <si>
    <t>Tax abatement benefit underwritten without required documentation or does not pass cashflow analysis test</t>
  </si>
  <si>
    <t>Tax Abatement</t>
  </si>
  <si>
    <t>SBL – Tax Abatement</t>
  </si>
  <si>
    <t>Tax abatement not policy compliant or not on the Freddie Mac Approved list</t>
  </si>
  <si>
    <t>Property Operations - Rent Roll</t>
  </si>
  <si>
    <t>A rent roll dated more than 7 days from the Final U/W Package date is used to underwrite rents</t>
  </si>
  <si>
    <t>Single employer (25%+), non-profit/transitional units (25%+), corporate (25%+)</t>
  </si>
  <si>
    <t>Student Concentration (regardless undergraduate/graduate) up to 25% is subject to prescreen; greater than and equal to 25% results in no path forward</t>
  </si>
  <si>
    <t>Military Concentration up to 25% is subject to prescreen; greater than and equal to 25% results in no path forward</t>
  </si>
  <si>
    <t>Any Nonresidential lease operating under a non-standard or controversial public use (i.e. a liquor store; a gun shop or
firearm range; massage parlor, pawn shop, or any business which sells, rents or permits the viewing of “adult” or
pornographic materials; an off-track betting parlor or arcade; operation of a so-called “head shop”; a burlesque or strip club; or any illegal activity)</t>
  </si>
  <si>
    <t>Master Lease concentration greater than 25%</t>
  </si>
  <si>
    <t>Property Operations - Management</t>
  </si>
  <si>
    <t>Property Management</t>
  </si>
  <si>
    <t>Borrower Principal is located greater than 100-miles from the subject property and third party management is not provided</t>
  </si>
  <si>
    <t>Property Characteristics - General</t>
  </si>
  <si>
    <t>Appraisal, Property Condition Report or Seismic Report not policy compliant (loan ≤ $6MM)</t>
  </si>
  <si>
    <t>Linked Loans</t>
  </si>
  <si>
    <t>SBL Linked Buildings located in a Small or Very Small SBL Market</t>
  </si>
  <si>
    <t>SBL Linked Buildings within &gt; 3 but ≤ 5 miles of each other</t>
  </si>
  <si>
    <t>Micro Units (defined as less than 250 SF) at a cap of 5% of the unit count</t>
  </si>
  <si>
    <t>SBL – Inspection</t>
  </si>
  <si>
    <t>Delegation of a Complete Property Inspection</t>
  </si>
  <si>
    <t>Inspections</t>
  </si>
  <si>
    <t>Post COVID: Lender inspection not policy-compliant</t>
  </si>
  <si>
    <t>Affordability Components</t>
  </si>
  <si>
    <t>Affordable restrictions: any rent/income restricted property &gt;50 units or any affordable property &lt;50 units with a HAP contract, LURA with &gt;24 months in investor recapture period, non-profit borrower/GP or subordinate debt</t>
  </si>
  <si>
    <t>Property Characteristics - Condition</t>
  </si>
  <si>
    <t>Electric Load</t>
  </si>
  <si>
    <t>Subject property does not qualify for omission of load test parameters between 40amps and 60amps</t>
  </si>
  <si>
    <t>Priority Repairs not escrowed at 100% when 1) repair amount is ≥ 2% of the loan amount or $25,000, whichever is greater or 2) if the property is in below average or poor condition. In addition to a 100% escrow, the Loan Agreement must require that the Priority Repairs be completed within 12 months of origination.</t>
  </si>
  <si>
    <t>Property Characteristics - Location</t>
  </si>
  <si>
    <t>Insurance</t>
  </si>
  <si>
    <t>Law and Ordinance insurance is not provided when the subject property is legally non-conforming and the zoning ordinance does not allow the property to be rebuilt 100% to its current use</t>
  </si>
  <si>
    <t>Zoning</t>
  </si>
  <si>
    <t>Non-permitted or non-legally occupied or marketed residential/commercial unit</t>
  </si>
  <si>
    <t>Crime</t>
  </si>
  <si>
    <t>Violent, drug related or persistent pattern of lesser crimes at the subject property in past 5 years</t>
  </si>
  <si>
    <t>Credit Risks and Non-starters - Effective 9/30/2020</t>
  </si>
  <si>
    <t>Credit Risks</t>
  </si>
  <si>
    <t>(requires sufficient mitigation in Optigo LenderASR/investment brief but does not require SBL Exception Form**)</t>
  </si>
  <si>
    <t>Mitigated</t>
  </si>
  <si>
    <t>Any material credit risk to the transaction that is not defined in the above category</t>
  </si>
  <si>
    <t>Subject property was purchased out of foreclosure or receivership by current sponsor</t>
  </si>
  <si>
    <t>Cash-out loan proceeds</t>
  </si>
  <si>
    <t>Loan to cost &gt;80% within 1-2 years of purchase</t>
  </si>
  <si>
    <t>Stressed valuation (ex. cap rate/value per unit/GRM top of comparable range, value conclusion lacks comparables sales, inputted underwritten cap rate materially different than Appraiser’s concluded direct cap rate, etc.)</t>
  </si>
  <si>
    <t>TIC borrower with the applicable loan document provisions</t>
  </si>
  <si>
    <t>Guarantor’s REO has material amount of 1) recourse debt, 2) pending maturities, 3) underperforming assets (below 1.00 DCR/greater than 80% LTV) 4) inflated values</t>
  </si>
  <si>
    <t>Limited operating history or inconsistent reporting (i.e. missing 1st 2nd or 3rd year historical property financials, monthly property financials not produced, large amount of capital expenditures expensed without detail, etc.). Missing 2nd year stabilized historical property operating financial statement for 1) refinance where the property maintained stabilized operations during that historical year or 2) acquisition by non-local sponsor in any market or 3) any loan in Small or Very Small Market</t>
  </si>
  <si>
    <t>property operating financial statement for 1) refinance where the property maintained stabilized operations during that historical year or</t>
  </si>
  <si>
    <t>2) acquisition by non-local sponsor in any market or 3) any loan in Small or Very Small Market</t>
  </si>
  <si>
    <t>Volatile or irregular historical income or expenses</t>
  </si>
  <si>
    <t>Declining or volatile collections</t>
  </si>
  <si>
    <t>Significant year over year historical subject property rent growth above subject’s market and underwritten income only supported by T-3 collections or less</t>
  </si>
  <si>
    <t>Underwritten expense ratio &lt;30% for non-top markets or below FRE portfolio submarket range</t>
  </si>
  <si>
    <t>Underwritten management fee &lt;5% in non-top markets, but equal to or greater than market &amp; contract</t>
  </si>
  <si>
    <t>Underwritten collections above T-3 (but below rent roll)</t>
  </si>
  <si>
    <t>Underwritten vacancy below sub-market vacancy (generally REIS and Appraiser vacancy conclusion reliance)</t>
  </si>
  <si>
    <t>Subject rents are above market/comparables</t>
  </si>
  <si>
    <t xml:space="preserve">High % of rollover MTM leases </t>
  </si>
  <si>
    <t>Subject’s property management lacks local experience</t>
  </si>
  <si>
    <t>Section 8 vouchers of any concentration; or Single employer, or corporate concentration up to 25%</t>
  </si>
  <si>
    <t>Unusual easement or shared amenities</t>
  </si>
  <si>
    <t>Subject property units’ interiors are significantly inferior to subject area and risks obsolescence or significant capital expenditures during loan term</t>
  </si>
  <si>
    <t>Down unit due to unit damage</t>
  </si>
  <si>
    <t>Material amount of open code violations</t>
  </si>
  <si>
    <t>Environmental concern (REC, UST, soil contamination, historical issue, etc.)</t>
  </si>
  <si>
    <t>High number of criminal incidents in subject’s neighborhood but not at subject property</t>
  </si>
  <si>
    <t>Tertiary market or perception of market volatility</t>
  </si>
  <si>
    <t>Flag lot or undesirable location or impaired visibility from public access road</t>
  </si>
  <si>
    <t>Credit Risks - No  Path Forward (9/30/2020)</t>
  </si>
  <si>
    <t>Septic Tanks</t>
  </si>
  <si>
    <t>Private Wells</t>
  </si>
  <si>
    <t>SEL &gt;= 40%</t>
  </si>
  <si>
    <t>Fractured condos</t>
  </si>
  <si>
    <t>Borrower is an individual or revocable trust</t>
  </si>
  <si>
    <t>*It is best practice for SBL Optigo lenders to prescreen multiple “Credit Risks” with the regional SBL Production office if impact is deemed material to the transaction. This prescreen is intended as a vetting of the issue(s) and is not a formal exception. This approach should prevent changes to proceeds, increased pricing or other requirements during Freddie Mac underwriting review.</t>
  </si>
  <si>
    <t>Input Values from FNM Loans for PD Calculation</t>
  </si>
  <si>
    <t>Limits per  the Expanded Delegation Table</t>
  </si>
  <si>
    <t>Testing for Pass/Fail (or NA)</t>
  </si>
  <si>
    <t>Property - Conventional or MAH:</t>
  </si>
  <si>
    <t>values from DataPage</t>
  </si>
  <si>
    <t>values from SBL Quotes tab</t>
  </si>
  <si>
    <t>Pass</t>
  </si>
  <si>
    <t>(Selected Loan)</t>
  </si>
  <si>
    <t>(to DataPage)</t>
  </si>
  <si>
    <t>Expand grouping ↑ to see each loan option from SBL Quotes</t>
  </si>
  <si>
    <t>Selected Loan</t>
  </si>
  <si>
    <t>Expanded Delegation</t>
  </si>
  <si>
    <t>LoanAmount</t>
  </si>
  <si>
    <t>Requirements  (per Fannie Mae document "Expanded Delegation - Small Loans" dated August 22, 2023)</t>
  </si>
  <si>
    <t>Is MAH</t>
  </si>
  <si>
    <t>(to DataPage) ↓</t>
  </si>
  <si>
    <t>LoanType</t>
  </si>
  <si>
    <t>Variable</t>
  </si>
  <si>
    <t>Fail</t>
  </si>
  <si>
    <t>Mortgage Loan Type</t>
  </si>
  <si>
    <t>must be a fixed rate Mortgage Loan</t>
  </si>
  <si>
    <t>Fannie Mkt Tier</t>
  </si>
  <si>
    <t>PD Maximum Loan Amount</t>
  </si>
  <si>
    <t>Strong Mkt or Eligible MSA</t>
  </si>
  <si>
    <t>and LTV doesn't exceed 65%</t>
  </si>
  <si>
    <t>Loan Amt: $0,000</t>
  </si>
  <si>
    <t xml:space="preserve"> or Priority Borrower</t>
  </si>
  <si>
    <t>All Mortgage Loans</t>
  </si>
  <si>
    <t>DSCR</t>
  </si>
  <si>
    <t>Minimum Base Exit Rate</t>
  </si>
  <si>
    <t>Is Priority Borrower</t>
  </si>
  <si>
    <t>LTV exceeds 65%</t>
  </si>
  <si>
    <t>Is Strong or Eligible</t>
  </si>
  <si>
    <t>LTV: 0.00%</t>
  </si>
  <si>
    <t>LTV does not exceed 65%</t>
  </si>
  <si>
    <t>Base Exit Rate</t>
  </si>
  <si>
    <t>Pre-Review Markets</t>
  </si>
  <si>
    <t>Located in one of:</t>
  </si>
  <si>
    <t>Houston-The Woodlands-Sugar Land, TX</t>
  </si>
  <si>
    <t>Cleveland-Elyria, OH</t>
  </si>
  <si>
    <t>Is PreReviewMkt</t>
  </si>
  <si>
    <t xml:space="preserve"> and:</t>
  </si>
  <si>
    <t>DSCR: 0.000</t>
  </si>
  <si>
    <t>Actual Amortizing DSCR</t>
  </si>
  <si>
    <t>must be at least</t>
  </si>
  <si>
    <t>LoanTerm</t>
  </si>
  <si>
    <t>must not exceed</t>
  </si>
  <si>
    <t>Requested yrs of IO</t>
  </si>
  <si>
    <t>Yrs of Amortization</t>
  </si>
  <si>
    <t>Max Yrs of IO per Guide</t>
  </si>
  <si>
    <t>Tier 2</t>
  </si>
  <si>
    <t>Occupancy</t>
  </si>
  <si>
    <t>Min Physical Occupancy</t>
  </si>
  <si>
    <t>Min Economic Occupancy</t>
  </si>
  <si>
    <t>Physical Occupancy</t>
  </si>
  <si>
    <t>Not Applicable</t>
  </si>
  <si>
    <t>Phys Occ: 95.05%</t>
  </si>
  <si>
    <t>Small Mortgage Loans</t>
  </si>
  <si>
    <t>Economic Occupancy</t>
  </si>
  <si>
    <t>Cash Out</t>
  </si>
  <si>
    <t xml:space="preserve">Cash-out, and </t>
  </si>
  <si>
    <t>Strong market</t>
  </si>
  <si>
    <t>Is Cashout deal</t>
  </si>
  <si>
    <t>not Cash-out</t>
  </si>
  <si>
    <t>or one of:</t>
  </si>
  <si>
    <t>Chicago-Naperville-Elgin, IL</t>
  </si>
  <si>
    <t>Is Strong or Select Mkt</t>
  </si>
  <si>
    <t>Los Angeles-Long Beach-Anaheim, CA</t>
  </si>
  <si>
    <t>Washington-Arlington-Alexandria, DC-VA-MD-WV</t>
  </si>
  <si>
    <t>Other Cash-out</t>
  </si>
  <si>
    <t>Number of Units</t>
  </si>
  <si>
    <t>Underwritten DSCR</t>
  </si>
  <si>
    <t>Min Actual Amortizing DSCR</t>
  </si>
  <si>
    <t>Is 5-50 (non-Student)</t>
  </si>
  <si>
    <t>Is Strong or LA</t>
  </si>
  <si>
    <t>Property Size and Location</t>
  </si>
  <si>
    <t>Min Loan Term</t>
  </si>
  <si>
    <t>Units: 101</t>
  </si>
  <si>
    <t>Is 5-50 Property</t>
  </si>
  <si>
    <t>doesn't exceed Small Mortgage Loan per the Guide</t>
  </si>
  <si>
    <t>No IO variances to Form 4660</t>
  </si>
  <si>
    <t>Strong, or</t>
  </si>
  <si>
    <t>All other Mortgages</t>
  </si>
  <si>
    <t>Insurance, Tax, Replacement Reserve Escrows</t>
  </si>
  <si>
    <t>Lender may vary the insurance, real estate tax, or Replacement Reserve escrow deposits if the Mortgage Loan:</t>
  </si>
  <si>
    <t>• is a Choice Refinance Loan; or</t>
  </si>
  <si>
    <t>• meets all of the following:</t>
  </si>
  <si>
    <t>o   LTV is less than or equal to 70%;</t>
  </si>
  <si>
    <t>o   Site inspection results in an overall rating of a “1” or a “2,” as shown on the Fannie Mae</t>
  </si>
  <si>
    <t>Assessment Addendum tab of the MBA Master Inspection Form;</t>
  </si>
  <si>
    <t>o   Completion/Repairs must be less than 4% of the Underwriting Value for refinance transactions</t>
  </si>
  <si>
    <t xml:space="preserve">          and less than 6% of the Underwritten Value for acquisition transactions; and</t>
  </si>
  <si>
    <t>o   the borrower is a Repeat Borrower.</t>
  </si>
  <si>
    <t>NOTE: this Expanded Delegation cannot be used if the Mortgage Loan is secured by a Rent-Stabilized</t>
  </si>
  <si>
    <t>Property located in New York State</t>
  </si>
  <si>
    <t>Underwritten NCF</t>
  </si>
  <si>
    <t>Lender may vary from the Underwritten NCF calculation, including the declining NRI requirement, if the Mortgage Loan is secured by a</t>
  </si>
  <si>
    <t>Property located in a Strong market or Eligible MSA and the following components of the Underwritten NCF comply with the Guide:</t>
  </si>
  <si>
    <t>• Gross Potential Rent;</t>
  </si>
  <si>
    <t>• physical vacancy;</t>
  </si>
  <si>
    <t>• bad debt;</t>
  </si>
  <si>
    <t>• concessions;</t>
  </si>
  <si>
    <t>• commercial income/vacancy;</t>
  </si>
  <si>
    <t>• recreation vehicle income; and</t>
  </si>
  <si>
    <t>• real estate taxes.</t>
  </si>
  <si>
    <t>NOTE: Lender may vary underwritten economic vacancy down to 3% for a 5-50 Property in a Strong</t>
  </si>
  <si>
    <t>Market or Eligible MSA as long as the Mortgage Loan does not exceed the maximum amount listed in</t>
  </si>
  <si>
    <t>the definition of Small Mortgage Loan</t>
  </si>
  <si>
    <t>Key Principle Guaranty Obligation</t>
  </si>
  <si>
    <t>(Small Balance Loans)</t>
  </si>
  <si>
    <t>Non-Recourse Guaranty not required for Tier 3 and Tier 4 Small Mortgage Loans.</t>
  </si>
  <si>
    <t>Is SARM</t>
  </si>
  <si>
    <t>SARMs</t>
  </si>
  <si>
    <t>&lt;=== or, select based on evaluating these criteria</t>
  </si>
  <si>
    <t>Is Repeat Borrower</t>
  </si>
  <si>
    <t>All Others</t>
  </si>
  <si>
    <t>Borrower Status</t>
  </si>
  <si>
    <t>Priority</t>
  </si>
  <si>
    <t>Repeat</t>
  </si>
  <si>
    <t>Minimum Loan Amount</t>
  </si>
  <si>
    <t>Maximum LTV</t>
  </si>
  <si>
    <t>Is Full Term IO</t>
  </si>
  <si>
    <t>Strike Rate: =IFERROR(IF(B38,'SARM Sizing'!F38,'SARM Sizing'!F37),0)</t>
  </si>
  <si>
    <t>Minimum Strike Rate</t>
  </si>
  <si>
    <t>Strike Rate</t>
  </si>
  <si>
    <t>=IFERROR(IF(B38,'SARM Sizing'!F38,'SARM Sizing'!F37),0)</t>
  </si>
  <si>
    <t>Interest Rate Spread/yr</t>
  </si>
  <si>
    <t>='SARM Sizing'!F36</t>
  </si>
  <si>
    <t>Rate Spread: ='SARM Sizing'!F36</t>
  </si>
  <si>
    <t>Minimum Interest Rate Spread/yr</t>
  </si>
  <si>
    <t>Initial Rate Cap</t>
  </si>
  <si>
    <t>=</t>
  </si>
  <si>
    <t>Initial Interest Rate Cap</t>
  </si>
  <si>
    <t>Rate Caps</t>
  </si>
  <si>
    <t>='SARM Sizing'!O6</t>
  </si>
  <si>
    <t xml:space="preserve">Selected on SARMS wks: </t>
  </si>
  <si>
    <t>Subsequent Interest Rate Cap</t>
  </si>
  <si>
    <t>3yrs, 2yrs</t>
  </si>
  <si>
    <t>3yrs, 3yrs, 1yr</t>
  </si>
  <si>
    <t>3yrs, 3yrs, 3yrs, 1yr</t>
  </si>
  <si>
    <t>Strike Rate Calcuation</t>
  </si>
  <si>
    <t>Full Term IO Loans</t>
  </si>
  <si>
    <t>IO Basis</t>
  </si>
  <si>
    <t>Amort Basis</t>
  </si>
  <si>
    <t>NOTE: When the Interest Rate Cap Term is 5-years, Lender must perform an escrow analysis on the replacement cap every 6 months.</t>
  </si>
  <si>
    <t>Built: XXXX</t>
  </si>
  <si>
    <t>Costar</t>
  </si>
  <si>
    <t>Axiometrics (if Students)</t>
  </si>
  <si>
    <t>Estimated First Payment Date</t>
  </si>
  <si>
    <t># of DUS GW Errors</t>
  </si>
  <si>
    <t>Google Maps</t>
  </si>
  <si>
    <t>Update grey cells on SBL Quotes, yellow cells manually</t>
  </si>
  <si>
    <t>Loan Options    (set loan amount to zero to exclude)</t>
  </si>
  <si>
    <t>Enter '$0' in Loan Amount to exclude that column from DUS Gateway upload</t>
  </si>
  <si>
    <t>Term (Years)</t>
  </si>
  <si>
    <t>Fixed/Floating</t>
  </si>
  <si>
    <t>Fixed Rate</t>
  </si>
  <si>
    <t>Primary Prepayment Option</t>
  </si>
  <si>
    <t>Primary Prepayment Option (Months)</t>
  </si>
  <si>
    <t>NOI</t>
  </si>
  <si>
    <t>Property Value</t>
  </si>
  <si>
    <t>Renovation Budget</t>
  </si>
  <si>
    <t>Closing Costs</t>
  </si>
  <si>
    <t>Total Costs</t>
  </si>
  <si>
    <t>Existing Debt to be Paid Off</t>
  </si>
  <si>
    <t>Interest Only (Years)</t>
  </si>
  <si>
    <t>Treasury Rate</t>
  </si>
  <si>
    <t>Estimated Spread Over Index (bps)</t>
  </si>
  <si>
    <t>Amortizing Payment</t>
  </si>
  <si>
    <t>Loan Amt by DSCR</t>
  </si>
  <si>
    <t>Loan Amt at Floor DSCR</t>
  </si>
  <si>
    <t>Loan Amt by LTV</t>
  </si>
  <si>
    <t>Loan Amt by LTC</t>
  </si>
  <si>
    <t>Actual LTV</t>
  </si>
  <si>
    <t>Actual LTC</t>
  </si>
  <si>
    <t>Min DSCR</t>
  </si>
  <si>
    <t>Actual DSCR</t>
  </si>
  <si>
    <t>Floor Rate/Max Rate (Strike = 2.12%)</t>
  </si>
  <si>
    <t>Floor DSCR</t>
  </si>
  <si>
    <t>Floor UW DSCR (Max Rate)</t>
  </si>
  <si>
    <t>Guide Tier Level</t>
  </si>
  <si>
    <t>Guide Min UW DSCR per Guide</t>
  </si>
  <si>
    <t>Guide Maximum LTV</t>
  </si>
  <si>
    <t xml:space="preserve">Standard Exit </t>
  </si>
  <si>
    <t>NCF at Maturity +1 Yr</t>
  </si>
  <si>
    <t>UPB at Maturity</t>
  </si>
  <si>
    <t>Alternative Exit</t>
  </si>
  <si>
    <t>Alternative NCF at Maturity +1 Yr</t>
  </si>
  <si>
    <t>Alternative Exit Value</t>
  </si>
  <si>
    <t>City, XX XXXXX</t>
  </si>
  <si>
    <t>Is Student or Seniors:</t>
  </si>
  <si>
    <t>Last Year to Show:</t>
  </si>
  <si>
    <t>↓ Requires DUS Gateway lookup ↓</t>
  </si>
  <si>
    <t>Std (Base) Exit Strategy</t>
  </si>
  <si>
    <t>Yr</t>
  </si>
  <si>
    <t>Proposed Transaction (1st Mortgage)</t>
  </si>
  <si>
    <t>INCOME - default Growth Rates</t>
  </si>
  <si>
    <t>Loan Term</t>
  </si>
  <si>
    <t>Gross Potential Rent (GPR)</t>
  </si>
  <si>
    <t>Loan Start Date</t>
  </si>
  <si>
    <t>Less Vacancy:</t>
  </si>
  <si>
    <t>Years of IO</t>
  </si>
  <si>
    <t>Less Bad Debt:</t>
  </si>
  <si>
    <t>Less Concessions:</t>
  </si>
  <si>
    <t>Net Rental Income</t>
  </si>
  <si>
    <t>Exit Strategy Summary</t>
  </si>
  <si>
    <t>Alternative</t>
  </si>
  <si>
    <t>Laundry</t>
  </si>
  <si>
    <t>Parking</t>
  </si>
  <si>
    <t>Commercial</t>
  </si>
  <si>
    <t>Other    (Total 1-8)</t>
  </si>
  <si>
    <t>Cumulative Amort. over Term (1st)</t>
  </si>
  <si>
    <t>EGI</t>
  </si>
  <si>
    <t>EXPENSES</t>
  </si>
  <si>
    <t>Growth</t>
  </si>
  <si>
    <t>Management (%EGI)</t>
  </si>
  <si>
    <t>Conventional Exit (term of loan)</t>
  </si>
  <si>
    <t>Administration</t>
  </si>
  <si>
    <t>Terminal Cap Rate</t>
  </si>
  <si>
    <t>Payroll</t>
  </si>
  <si>
    <t>Utilities</t>
  </si>
  <si>
    <t>Desired LTV to Test</t>
  </si>
  <si>
    <t>Water &amp; Sewer</t>
  </si>
  <si>
    <t>Cap Rate to Achieve LTV</t>
  </si>
  <si>
    <t>Repair &amp; Maint.</t>
  </si>
  <si>
    <t>Required DSCR @ Refi</t>
  </si>
  <si>
    <t>R.E. Taxes</t>
  </si>
  <si>
    <t>Amortization @ Refi</t>
  </si>
  <si>
    <t>Replacement Reserves</t>
  </si>
  <si>
    <t>Total Expenses</t>
  </si>
  <si>
    <t>NCF</t>
  </si>
  <si>
    <t>UW Test</t>
  </si>
  <si>
    <t>Total Debt Service</t>
  </si>
  <si>
    <t>Interest Rate @ Refi (UW Test)</t>
  </si>
  <si>
    <t>Amortization @ Refi (UW Test)</t>
  </si>
  <si>
    <t>Resulting DSCR at Refi Rate</t>
  </si>
  <si>
    <t>UW Interpolated LTV Exit</t>
  </si>
  <si>
    <t>Amortization of 1st (After IO)</t>
  </si>
  <si>
    <t>Interpolated UW Cap Rate</t>
  </si>
  <si>
    <t>UPB of 1st (Actual/360)</t>
  </si>
  <si>
    <t>Total UPB</t>
  </si>
  <si>
    <t>DSC at UPB @ Refi Interest Rate</t>
  </si>
  <si>
    <t>UPB to Value</t>
  </si>
  <si>
    <t>Alt Exit Strategy</t>
  </si>
  <si>
    <t>Rent Bump</t>
  </si>
  <si>
    <t>Phase-In (yrs):</t>
  </si>
  <si>
    <t>INCOME</t>
  </si>
  <si>
    <t>UPB of 1st</t>
  </si>
  <si>
    <t>Copy this Template into your Source Workbook and complete the Linked Values sections to reference data values to their corresponding row label.</t>
  </si>
  <si>
    <t>TheDUS Gateway Data File Tool can then be mapped to this worksheet.</t>
  </si>
  <si>
    <t># of Cells with Errors</t>
  </si>
  <si>
    <t>Record #</t>
  </si>
  <si>
    <t>Linked Values References</t>
  </si>
  <si>
    <t>Export Keys</t>
  </si>
  <si>
    <t>Linked Values</t>
  </si>
  <si>
    <t>Loan_Amount</t>
  </si>
  <si>
    <t>Interest Type</t>
  </si>
  <si>
    <t>Interest_Type</t>
  </si>
  <si>
    <t>Variable Product Type</t>
  </si>
  <si>
    <t>Variable_Product_Type</t>
  </si>
  <si>
    <t>Lien Position</t>
  </si>
  <si>
    <t>Lien_Position</t>
  </si>
  <si>
    <t>Supplemental Type</t>
  </si>
  <si>
    <t>Supplemental_Type</t>
  </si>
  <si>
    <t>Loan Term (months)</t>
  </si>
  <si>
    <t>Loan_Term_months</t>
  </si>
  <si>
    <t>Interest Only Period (months)</t>
  </si>
  <si>
    <t>Interest_Only_Period_months</t>
  </si>
  <si>
    <t>Amortization Term (months)</t>
  </si>
  <si>
    <t>Amortization_Term_months</t>
  </si>
  <si>
    <t>Loss Sharing Percent</t>
  </si>
  <si>
    <t>Loss_Sharing_Percent</t>
  </si>
  <si>
    <t>100.00%</t>
  </si>
  <si>
    <t>Prepayment Component (1)</t>
  </si>
  <si>
    <t>Prepayment_Component_1</t>
  </si>
  <si>
    <t>Prepayment Component to Months (1)</t>
  </si>
  <si>
    <t>Prepayment_Component_to_Months_1</t>
  </si>
  <si>
    <t>Prepayment Component (2)</t>
  </si>
  <si>
    <t>Prepayment_Component_2</t>
  </si>
  <si>
    <t>Prepayment Component to Months (2)</t>
  </si>
  <si>
    <t>Prepayment_Component_to_Months_2</t>
  </si>
  <si>
    <t>Declining Premium Schedule</t>
  </si>
  <si>
    <t>Declining_Premium_Schedule</t>
  </si>
  <si>
    <t>Other Prepayment Premium Schedule Description</t>
  </si>
  <si>
    <t>Other_Prepayment_Premium_Schedule</t>
  </si>
  <si>
    <t>Property Gross Potential Rent</t>
  </si>
  <si>
    <t>Property_Gross_Potential_Rent</t>
  </si>
  <si>
    <t>Property Economic Vacancy Amount</t>
  </si>
  <si>
    <t>Property_Economic_Vacancy_Amount</t>
  </si>
  <si>
    <t>Property Other Income</t>
  </si>
  <si>
    <t>Property_Other_Income</t>
  </si>
  <si>
    <t>Property Management Fee</t>
  </si>
  <si>
    <t>Property_Management_Fee</t>
  </si>
  <si>
    <t>Property Real Estate Taxes</t>
  </si>
  <si>
    <t>Property_Real_Estate_Taxes</t>
  </si>
  <si>
    <t>Property Insurance</t>
  </si>
  <si>
    <t>Property_Insurance</t>
  </si>
  <si>
    <t>Property Other Expenses</t>
  </si>
  <si>
    <t>Property_Other_Expenses</t>
  </si>
  <si>
    <t>Property Replacement Reserves</t>
  </si>
  <si>
    <t>Property_Replacement_Reserves</t>
  </si>
  <si>
    <t>Property Actual Cooperative NCF</t>
  </si>
  <si>
    <t>Property_Actual_Cooperative_NCF</t>
  </si>
  <si>
    <t>Property Purchase Price Amount</t>
  </si>
  <si>
    <t>Property_Purchase_Price</t>
  </si>
  <si>
    <t>Property Built-Up Cost Amount</t>
  </si>
  <si>
    <t>Property_Cost</t>
  </si>
  <si>
    <t>Property Underwritten Value Amount</t>
  </si>
  <si>
    <t>Property_Underwritten_Value</t>
  </si>
  <si>
    <t>Property Total Unit Count</t>
  </si>
  <si>
    <t>Property_Unit_Count</t>
  </si>
  <si>
    <t>1st Lien Interest Type</t>
  </si>
  <si>
    <t>X1st_Lien_Interest_Type</t>
  </si>
  <si>
    <t>1st Lien Original Loan Amount</t>
  </si>
  <si>
    <t>X1st_Lien_Original_Loan_Amount</t>
  </si>
  <si>
    <t>1st Lien Actual Fixed / Fixed Equivalent Interest Rate</t>
  </si>
  <si>
    <t>X1st_Lien_Actual_Fixed_Fixed_Equivalent_Interest_Rate</t>
  </si>
  <si>
    <t>1st Lien Loan Term (months)</t>
  </si>
  <si>
    <t>X1st_Lien_Loan_Term_months</t>
  </si>
  <si>
    <t>1st Lien Interest Only Period (months)</t>
  </si>
  <si>
    <t>X1st_Lien_Interest_Only_Period_months</t>
  </si>
  <si>
    <t>1st Lien Amortization Term (months)</t>
  </si>
  <si>
    <t>X1st_Lien_Amortization_Term_months</t>
  </si>
  <si>
    <t>1st Lien Variable UW Interest Rate</t>
  </si>
  <si>
    <t>X1st_Lien_Variable_UW_Interest_Rate</t>
  </si>
  <si>
    <t>1st Lien Purchased Cap Strike Rate</t>
  </si>
  <si>
    <t>X1st_Lien_Purchased_Cap_Strike_Rate</t>
  </si>
  <si>
    <t>1st Lien Interest Basis</t>
  </si>
  <si>
    <t>X1st_Lien_Interest_Basis</t>
  </si>
  <si>
    <t>1st Lien Loan Maturity Date</t>
  </si>
  <si>
    <t>X1st_Lien_Loan_Maturity_Date</t>
  </si>
  <si>
    <t>1st Lien Current UPB Amount</t>
  </si>
  <si>
    <t>X1st_Lien_Current_UPB_Amount</t>
  </si>
  <si>
    <t>1st Lien Required Min DSCR for Loan Sizing</t>
  </si>
  <si>
    <t>X1st_Lien_Required_Min_DSCR_for_Loan_Sizing</t>
  </si>
  <si>
    <t>2nd Lien Interest Type</t>
  </si>
  <si>
    <t>X2nd_Lien_Interest_Type</t>
  </si>
  <si>
    <t>2nd Lien Original Loan Amount</t>
  </si>
  <si>
    <t>X2nd_Lien_Original_Loan_Amount</t>
  </si>
  <si>
    <t>2nd Lien Actual Fixed / Fixed Equivalent Interest Rate</t>
  </si>
  <si>
    <t>X2nd_Lien_Actual_Fixed_Fixed_Equivalent_Interest_Rate</t>
  </si>
  <si>
    <t>2nd Lien Loan Term (months)</t>
  </si>
  <si>
    <t>X2nd_Lien_Loan_Term_months</t>
  </si>
  <si>
    <t>2nd Lien Interest Only Period (months)</t>
  </si>
  <si>
    <t>X2nd_Lien_Interest_Only_Period_months</t>
  </si>
  <si>
    <t>2nd Lien Amortization Term (months)</t>
  </si>
  <si>
    <t>X2nd_Lien_Amortization_Term_months</t>
  </si>
  <si>
    <t>2nd Lien Variable UW Interest Rate</t>
  </si>
  <si>
    <t>X2nd_Lien_Variable_UW_Interest_Rate</t>
  </si>
  <si>
    <t>2nd Lien Purchased Cap Strike Rate</t>
  </si>
  <si>
    <t>X2nd_Lien_Purchased_Cap_Strike_Rate</t>
  </si>
  <si>
    <t>2nd Lien Interest Basis</t>
  </si>
  <si>
    <t>X2nd_Lien_Interest_Basis</t>
  </si>
  <si>
    <t>2nd Lien Loan Maturity Date</t>
  </si>
  <si>
    <t>X2nd_Lien_Loan_Maturity_Date</t>
  </si>
  <si>
    <t>2nd Lien Current UPB Amount</t>
  </si>
  <si>
    <t>X2nd_Lien_Current_UPB_Amount</t>
  </si>
  <si>
    <t>2nd Lien Required Min DSCR for Loan Sizing</t>
  </si>
  <si>
    <t>X2nd_Lien_Required_Min_DSCR_for_Loan_Sizing</t>
  </si>
  <si>
    <t>Pricing Method</t>
  </si>
  <si>
    <t>Pricing_Method</t>
  </si>
  <si>
    <t>Latest Pricing Memo Guaranty Fee</t>
  </si>
  <si>
    <t>Latest_Pricing_Memo_Guaranty_Fee</t>
  </si>
  <si>
    <t>Latest Pricing Memo Servicing Fee</t>
  </si>
  <si>
    <t>Latest_Pricing_Memo_Servicing_Fee</t>
  </si>
  <si>
    <t>Commitment Period (days)</t>
  </si>
  <si>
    <t>Commitment_Period_days</t>
  </si>
  <si>
    <t>Rate_Lock_Type</t>
  </si>
  <si>
    <t>Interest Basis</t>
  </si>
  <si>
    <t>Interest_Basis</t>
  </si>
  <si>
    <t>Loan Purchase Price (% of par)</t>
  </si>
  <si>
    <t>Loan_Purchase_Price_of_par</t>
  </si>
  <si>
    <t>0.0%</t>
  </si>
  <si>
    <t>Excess Origination/Premium Amount</t>
  </si>
  <si>
    <t>Excess_OriginationPremium_Amount</t>
  </si>
  <si>
    <t>Estimated Origination Fee</t>
  </si>
  <si>
    <t>Estimated_Origination_Fee</t>
  </si>
  <si>
    <t>2.00%</t>
  </si>
  <si>
    <t>Origination Fee Paid to Broker</t>
  </si>
  <si>
    <t>Origination_Fee_Paid_to_Broker</t>
  </si>
  <si>
    <t>1.00%</t>
  </si>
  <si>
    <t>Origination Fee Paid to Correspondent</t>
  </si>
  <si>
    <t>Origination_Fee_Paid_to_Correspondent</t>
  </si>
  <si>
    <t>0.00%</t>
  </si>
  <si>
    <t>Fixed Index Rate Type</t>
  </si>
  <si>
    <t>Fixed_Index_Rate_Type</t>
  </si>
  <si>
    <t>Treasury_Rate</t>
  </si>
  <si>
    <t>4.314%</t>
  </si>
  <si>
    <t>4.451%</t>
  </si>
  <si>
    <t>Total Fixed Rate Investor Spread</t>
  </si>
  <si>
    <t>Total_Fixed_Rate_Investor_Spread</t>
  </si>
  <si>
    <t>0.860%</t>
  </si>
  <si>
    <t>0.980%</t>
  </si>
  <si>
    <t>1.160%</t>
  </si>
  <si>
    <t>0.862%</t>
  </si>
  <si>
    <t>0.921%</t>
  </si>
  <si>
    <t>0.916%</t>
  </si>
  <si>
    <t>Requested Fixed Rate Guaranty Fee</t>
  </si>
  <si>
    <t>Requested_Fixed_Rate_Guaranty_Fee</t>
  </si>
  <si>
    <t>1.152%</t>
  </si>
  <si>
    <t>1.032%</t>
  </si>
  <si>
    <t>0.912%</t>
  </si>
  <si>
    <t>1.080%</t>
  </si>
  <si>
    <t>0.960%</t>
  </si>
  <si>
    <t>Requested Fixed Rate Servicing Fee</t>
  </si>
  <si>
    <t>Requested_Fixed_Rate_Servicing_Fee</t>
  </si>
  <si>
    <t>0.768%</t>
  </si>
  <si>
    <t>0.688%</t>
  </si>
  <si>
    <t>0.608%</t>
  </si>
  <si>
    <t>0.720%</t>
  </si>
  <si>
    <t>0.640%</t>
  </si>
  <si>
    <t>Other Fixed Rate/Fee/Spread</t>
  </si>
  <si>
    <t>Other_Fixed_RateFeeSpread</t>
  </si>
  <si>
    <t>Index Rate Type</t>
  </si>
  <si>
    <t>Index_Rate_Type</t>
  </si>
  <si>
    <t>Index Rate</t>
  </si>
  <si>
    <t>Index_Rate</t>
  </si>
  <si>
    <t>0.000%</t>
  </si>
  <si>
    <t>Total Variable Rate Investor Spread</t>
  </si>
  <si>
    <t>Total_Variable_Rate_Investor_Spread</t>
  </si>
  <si>
    <t>Requested Variable Rate Guaranty Fee</t>
  </si>
  <si>
    <t>Requested_Variable_Rate_Guaranty_Fee</t>
  </si>
  <si>
    <t>Requested Variable Rate Servicing Fee</t>
  </si>
  <si>
    <t>Requested_Variable_Rate_Servicing_Fee</t>
  </si>
  <si>
    <t>Cap Cost Factor</t>
  </si>
  <si>
    <t>Cap_Cost_Factor</t>
  </si>
  <si>
    <t>Underwritten Stress / Max Lifetime Pass Thru Rate</t>
  </si>
  <si>
    <t>Underwritten_Stress_Max_Lifetime_Pass_Thru_Rate</t>
  </si>
  <si>
    <t>SARM Initial Cap Term (months)</t>
  </si>
  <si>
    <t>SARM_Initial_Cap_Term_months</t>
  </si>
  <si>
    <t>SARM Min Cap Strike Rate %</t>
  </si>
  <si>
    <t>SARM_Min_Cap_Strike_Rate</t>
  </si>
  <si>
    <t>UW Interest Rate Floor (per Guide)</t>
  </si>
  <si>
    <t>UW_Interest_Rate_Floor_per_Guide</t>
  </si>
  <si>
    <t>5.000%</t>
  </si>
  <si>
    <t>7.214%</t>
  </si>
  <si>
    <t>7.394%</t>
  </si>
  <si>
    <t>6.897%</t>
  </si>
  <si>
    <t>6.694%</t>
  </si>
  <si>
    <t>7.172%</t>
  </si>
  <si>
    <t>6.967%</t>
  </si>
  <si>
    <t>Guide_Tier_Level</t>
  </si>
  <si>
    <t>Guide Min Actual Cooperative DSCR</t>
  </si>
  <si>
    <t>Guide_Min_Actual_Cooperative_DSCR</t>
  </si>
  <si>
    <t>Guide_Min_UW_DSCR_per_Guide</t>
  </si>
  <si>
    <t>Guide_Maximum_LTV</t>
  </si>
  <si>
    <t>80.0%</t>
  </si>
  <si>
    <t>65.0%</t>
  </si>
  <si>
    <t>55.0%</t>
  </si>
  <si>
    <t>Guide FRT Min Actual Cooperative DSCR</t>
  </si>
  <si>
    <t>Guide_FRT_Min_Actual_Cooperative_DSCR</t>
  </si>
  <si>
    <t>Guide FRT Min UW DSCR per Guide</t>
  </si>
  <si>
    <t>Guide_FRT_Min_UW_DSCR_per_Guide</t>
  </si>
  <si>
    <t>Guide FRT LTV</t>
  </si>
  <si>
    <t>Guide_FRT_LTV</t>
  </si>
  <si>
    <t>75.0%</t>
  </si>
  <si>
    <t>Requested Tier Level</t>
  </si>
  <si>
    <t>Requested_Tier_Level</t>
  </si>
  <si>
    <t>Requested Min Actual Cooperative DSCR</t>
  </si>
  <si>
    <t>Requested_Min_Actual_Cooperative_DSCR</t>
  </si>
  <si>
    <t>Requested Min UW DSCR per Guide</t>
  </si>
  <si>
    <t>Requested_Min_UW_DSCR_per_Guide</t>
  </si>
  <si>
    <t>Requested Min Amortizing UW NCF DSCR</t>
  </si>
  <si>
    <t>Requested_Min_Amortizing_UW_NCF_DSCR</t>
  </si>
  <si>
    <t>Requested Maximum LTV</t>
  </si>
  <si>
    <t>Requested_Maximum_LTV</t>
  </si>
  <si>
    <t>Requested Maximum LTC</t>
  </si>
  <si>
    <t>Requested_Maximum_LTC</t>
  </si>
  <si>
    <t>Requested FRT Min Actual NCF COOP DSCR</t>
  </si>
  <si>
    <t>Requested_FRT_Min_Actual_NCF_COOP_DSCR</t>
  </si>
  <si>
    <t>Requested FRT Min UW DSCR per Guide</t>
  </si>
  <si>
    <t>Requested_FRT_Min_UW_DSCR_per_Guide</t>
  </si>
  <si>
    <t>Requested FRT Min Amortizing UW NCF DSCR</t>
  </si>
  <si>
    <t>Requested_FRT_Min_Amortizing_UW_NCF_DSCR</t>
  </si>
  <si>
    <t>Requested FRT LTV</t>
  </si>
  <si>
    <t>Requested_FRT_LTV</t>
  </si>
  <si>
    <t>Expected Exit Refinance Costs</t>
  </si>
  <si>
    <t>Expected_Exit_Refinance_Costs</t>
  </si>
  <si>
    <t>Expected Exit Amortization Term</t>
  </si>
  <si>
    <t>Expected_Exit_Amortization_Term</t>
  </si>
  <si>
    <t>Expected Exit Min UW DSCR per Guide</t>
  </si>
  <si>
    <t>Expected_Exit_Min_UW_DSCR_per_Guide</t>
  </si>
  <si>
    <t>Expected Exit Maximum LTV</t>
  </si>
  <si>
    <t>Expected_Exit_Maximum_LTV</t>
  </si>
  <si>
    <t>Expected Exit Refinance Interest Rate</t>
  </si>
  <si>
    <t>Expected_Exit_Refinance_Interest_Rate</t>
  </si>
  <si>
    <t>Expected Exit Terminal Cap Rate</t>
  </si>
  <si>
    <t>Expected_Exit_Terminal_Cap_Rate</t>
  </si>
  <si>
    <t>Mezzanine and Preferred Equity Debt Service</t>
  </si>
  <si>
    <t>Mezzanine_and_Preferred_Equity_Debt_Service</t>
  </si>
  <si>
    <t>Subordinate Financing 1</t>
  </si>
  <si>
    <t>Subordinate_Financing_1</t>
  </si>
  <si>
    <t>Subordinate Financing 2</t>
  </si>
  <si>
    <t>Subordinate_Financing_2</t>
  </si>
  <si>
    <t>Subordinate Financing 3</t>
  </si>
  <si>
    <t>Subordinate_Financing_3</t>
  </si>
  <si>
    <t>Mezz/Preferred Equity 1</t>
  </si>
  <si>
    <t>MezzPreferred_Equity_1</t>
  </si>
  <si>
    <t>Mezz/Preferred Equity 2</t>
  </si>
  <si>
    <t>MezzPreferred_Equity_2</t>
  </si>
  <si>
    <t>LIHTC Equity</t>
  </si>
  <si>
    <t>LIHTC_Equity</t>
  </si>
  <si>
    <t>Other Sources</t>
  </si>
  <si>
    <t>Other_Sources</t>
  </si>
  <si>
    <t>Payoff Existing Mortgage Loan</t>
  </si>
  <si>
    <t>Payoff_Existing_Mortgage_Loan</t>
  </si>
  <si>
    <t>Prepayment Premium</t>
  </si>
  <si>
    <t>Prepayment_Premium</t>
  </si>
  <si>
    <t>Property Development / Construction Cost</t>
  </si>
  <si>
    <t>Property_Development_Construction_Cost</t>
  </si>
  <si>
    <t>Affiliated Mezzanine Debt or Preferred Equity Payoff</t>
  </si>
  <si>
    <t>Affiliated_Mezzanine_Debt_or_Preferred_Equity_Payoff</t>
  </si>
  <si>
    <t>Non-Affiliated Mezzanine Debt or Preferred Equity Payoff</t>
  </si>
  <si>
    <t>NonAffiliated_Mezzanine_Debt_or_Preferred_Equity_Payoff</t>
  </si>
  <si>
    <t>Property Funded Capital Improvements</t>
  </si>
  <si>
    <t>Property_Funded_Capital_Improvements</t>
  </si>
  <si>
    <t>Property Funded Capital Expenditures (Replacement Reserve) Account</t>
  </si>
  <si>
    <t>Property_Funded_Capital_Expenditures_Replacement_Reserve_Account</t>
  </si>
  <si>
    <t>Property Funded Completion Repairs</t>
  </si>
  <si>
    <t>Property_Funded_Completion_Repairs</t>
  </si>
  <si>
    <t>Property Funded Other Escrows</t>
  </si>
  <si>
    <t>Property_Funded_Other_Escrows</t>
  </si>
  <si>
    <t>Interest Rate Cap/Hedging Fees</t>
  </si>
  <si>
    <t>Interest_Rate_CapHedging_Fees</t>
  </si>
  <si>
    <t>Origination_Fees</t>
  </si>
  <si>
    <t>Lender Closing/Transaction Fees</t>
  </si>
  <si>
    <t>Lender_ClosingTransaction_Fees</t>
  </si>
  <si>
    <t>Third Party Closing/Transaction Fees</t>
  </si>
  <si>
    <t>Third_Party_ClosingTransaction_Fees</t>
  </si>
  <si>
    <t>Other Uses</t>
  </si>
  <si>
    <t>Other_Uses</t>
  </si>
  <si>
    <t>Note: make certain any new rows are included in the above range "DUS_Gateway_Data"</t>
  </si>
  <si>
    <t>Econ. Vac %</t>
  </si>
  <si>
    <t>Concession %</t>
  </si>
  <si>
    <t>Res Vacancy %</t>
  </si>
  <si>
    <t>Bad Debt %</t>
  </si>
  <si>
    <t>RR/mo</t>
  </si>
  <si>
    <t xml:space="preserve">Historical Rent Collections </t>
  </si>
  <si>
    <t>T-1</t>
  </si>
  <si>
    <t>T-3</t>
  </si>
  <si>
    <t>T-6</t>
  </si>
  <si>
    <t>T-12</t>
  </si>
  <si>
    <t>Number of Units&gt;</t>
  </si>
  <si>
    <t># of Units:</t>
  </si>
  <si>
    <t>Avg Monthly Net Rental Collections</t>
  </si>
  <si>
    <t>Vacancy</t>
  </si>
  <si>
    <t>Annualized Net Rental Collections</t>
  </si>
  <si>
    <t>Management Fee</t>
  </si>
  <si>
    <t>SOURCE OF DATA</t>
  </si>
  <si>
    <t>Operating Statement</t>
  </si>
  <si>
    <t>Ytd</t>
  </si>
  <si>
    <t>T-12 / Year-To-Date</t>
  </si>
  <si>
    <t>3rd month back</t>
  </si>
  <si>
    <t>2nd month back</t>
  </si>
  <si>
    <t>1st month back</t>
  </si>
  <si>
    <t>T-3 Annualized</t>
  </si>
  <si>
    <t>Borrower Budget As is Proforma</t>
  </si>
  <si>
    <t>Borrower Budget As Stabilized Proforma</t>
  </si>
  <si>
    <t>Appraisal As Is Proforma</t>
  </si>
  <si>
    <t>Appraisal As Stabilized Proforma</t>
  </si>
  <si>
    <t>W&amp;D Underwriting</t>
  </si>
  <si>
    <t>Comps</t>
  </si>
  <si>
    <t>Year 3 Back</t>
  </si>
  <si>
    <t>Year 2 Back</t>
  </si>
  <si>
    <t>Year 1 Back</t>
  </si>
  <si>
    <t>Statement</t>
  </si>
  <si>
    <t>TIME PERIOD</t>
  </si>
  <si>
    <t>Months</t>
  </si>
  <si>
    <t xml:space="preserve">SBL Income Expense Comparable Engine - EXTERNAL
</t>
  </si>
  <si>
    <t>PER</t>
  </si>
  <si>
    <t>% Change</t>
  </si>
  <si>
    <t>All Rate locked SBL loans through December, 2022</t>
  </si>
  <si>
    <t>UNIT</t>
  </si>
  <si>
    <t>vs. PY</t>
  </si>
  <si>
    <t>Can Overide</t>
  </si>
  <si>
    <t>NOTES</t>
  </si>
  <si>
    <t>Gross Potential Rent-Residential</t>
  </si>
  <si>
    <t>Per Unit</t>
  </si>
  <si>
    <t>Less:  Residential Concessions</t>
  </si>
  <si>
    <t># of Loans</t>
  </si>
  <si>
    <t>Less: Residential Vacancy</t>
  </si>
  <si>
    <t>Avg Final Loan Amount</t>
  </si>
  <si>
    <t>Less:  Residential Bad Debt</t>
  </si>
  <si>
    <t>Average</t>
  </si>
  <si>
    <t>Median</t>
  </si>
  <si>
    <t>Standard Deviation</t>
  </si>
  <si>
    <t>Short Term Premiums</t>
  </si>
  <si>
    <t>Total Units</t>
  </si>
  <si>
    <t>Residential NET RENTAL INCOME</t>
  </si>
  <si>
    <t>Total Residential</t>
  </si>
  <si>
    <t xml:space="preserve">   Monthly Residential NRI</t>
  </si>
  <si>
    <t>Efficiency/Studio</t>
  </si>
  <si>
    <t>1 Bedroom</t>
  </si>
  <si>
    <t>Less: Commercial Vacancy</t>
  </si>
  <si>
    <t>2 Bedroom</t>
  </si>
  <si>
    <t>Commercial NET RENTAL INCOME</t>
  </si>
  <si>
    <t>3 Bedroom</t>
  </si>
  <si>
    <t>Monthly Commercial NRI</t>
  </si>
  <si>
    <t>4 Bedroom</t>
  </si>
  <si>
    <t xml:space="preserve">Coop Maint Fee </t>
  </si>
  <si>
    <t>Annual Residential NRI/Unit</t>
  </si>
  <si>
    <t>Utility Reimbursement</t>
  </si>
  <si>
    <t>Annual Commercial NRI/Unit</t>
  </si>
  <si>
    <t>Real Estate Taxes</t>
  </si>
  <si>
    <t>Cable</t>
  </si>
  <si>
    <t>Total Insurance</t>
  </si>
  <si>
    <t>Miscellaneous Other Income</t>
  </si>
  <si>
    <t>Sub-Total, Utilities/Water &amp; Sewer</t>
  </si>
  <si>
    <t>Total Other Income</t>
  </si>
  <si>
    <t>TOTAL FIXED EXPENSES</t>
  </si>
  <si>
    <t>Repair and Maintenance</t>
  </si>
  <si>
    <t>Nonresident Mgt.</t>
  </si>
  <si>
    <t>FIXED EXPENSES</t>
  </si>
  <si>
    <t>Total Payroll</t>
  </si>
  <si>
    <t>Total Gen &amp; Admin Expenses</t>
  </si>
  <si>
    <t>Miscellaneous Expenses</t>
  </si>
  <si>
    <t>Fuel</t>
  </si>
  <si>
    <t>TOTAL OPERATING EXPENSES</t>
  </si>
  <si>
    <t>Gas</t>
  </si>
  <si>
    <t>TOTAL EXPENSES</t>
  </si>
  <si>
    <t>Electricity</t>
  </si>
  <si>
    <t>Total Expenses &amp; Reserves</t>
  </si>
  <si>
    <t>Expense Ratio</t>
  </si>
  <si>
    <t>OPERATING EXPENSES</t>
  </si>
  <si>
    <t>Management Fee (% of EGI)</t>
  </si>
  <si>
    <t>Trash Removal</t>
  </si>
  <si>
    <t>Pest Control</t>
  </si>
  <si>
    <t>Bldg. Maint. &amp; Repair</t>
  </si>
  <si>
    <t>Int. &amp; Ext. Decorating</t>
  </si>
  <si>
    <t>Cleaning/Turnover</t>
  </si>
  <si>
    <t>Elevator Maintenance</t>
  </si>
  <si>
    <t>Recreation Amenities</t>
  </si>
  <si>
    <t>Parking Maint/Snow</t>
  </si>
  <si>
    <t>Grounds Maintenance</t>
  </si>
  <si>
    <t>Onsite Manager Salary</t>
  </si>
  <si>
    <t xml:space="preserve">Security </t>
  </si>
  <si>
    <t>Other Salaries</t>
  </si>
  <si>
    <t>Payroll Taxes &amp; Benefits</t>
  </si>
  <si>
    <t>Apt Allowance</t>
  </si>
  <si>
    <t>Advertising</t>
  </si>
  <si>
    <t>Office/Model/Down Units</t>
  </si>
  <si>
    <t>Office Expenses</t>
  </si>
  <si>
    <t>Legal &amp; Audit</t>
  </si>
  <si>
    <t>Leased Furniture</t>
  </si>
  <si>
    <t>License/Permits</t>
  </si>
  <si>
    <t>Other Taxes or  Assmnts</t>
  </si>
  <si>
    <t>Corporate Units</t>
  </si>
  <si>
    <t>Commercial Expenses</t>
  </si>
  <si>
    <t>Ground Rents</t>
  </si>
  <si>
    <t>TI&amp;LC</t>
  </si>
  <si>
    <t>Total Expenses/Reserves % of EGI</t>
  </si>
  <si>
    <t>Calculated NOI</t>
  </si>
  <si>
    <t>Capital Expenditures</t>
  </si>
  <si>
    <t>Cash Flow Before Debt Service</t>
  </si>
  <si>
    <t>Property: XXXX</t>
  </si>
  <si>
    <t>HISTORICAL OPERATING EXPENSE ANALYSIS</t>
  </si>
  <si>
    <t>Data Source</t>
  </si>
  <si>
    <t>Op Statement</t>
  </si>
  <si>
    <t>T-11</t>
  </si>
  <si>
    <t>T-10</t>
  </si>
  <si>
    <t>T-9</t>
  </si>
  <si>
    <t>T-8</t>
  </si>
  <si>
    <t>T-7</t>
  </si>
  <si>
    <t>T-5</t>
  </si>
  <si>
    <t>T-4</t>
  </si>
  <si>
    <t>T-2</t>
  </si>
  <si>
    <t>TR</t>
  </si>
  <si>
    <t>TR-12 Statement (9/2022)</t>
  </si>
  <si>
    <t>Budget</t>
  </si>
  <si>
    <t>Appraisal</t>
  </si>
  <si>
    <t>1st Lien Underwriting</t>
  </si>
  <si>
    <t>2nd Lien Underwriting</t>
  </si>
  <si>
    <t>3rd Lien Underwriting</t>
  </si>
  <si>
    <t>Lender</t>
  </si>
  <si>
    <t>Quote</t>
  </si>
  <si>
    <t>UW Notes:</t>
  </si>
  <si>
    <t>Other Notes:</t>
  </si>
  <si>
    <t>3 yr. Average</t>
  </si>
  <si>
    <t>Use Trailing Figures? &gt;&gt;&gt;</t>
  </si>
  <si>
    <t>Annualized</t>
  </si>
  <si>
    <t>Statement Mos.</t>
  </si>
  <si>
    <t>$PU/MO</t>
  </si>
  <si>
    <t>Year 1</t>
  </si>
  <si>
    <t>Adjusted</t>
  </si>
  <si>
    <t>Year</t>
  </si>
  <si>
    <t>plus 3%</t>
  </si>
  <si>
    <t>Annualized GPR (Rent Roll)</t>
  </si>
  <si>
    <t>Less Vacancy Loss</t>
  </si>
  <si>
    <t>Less Bad Debt</t>
  </si>
  <si>
    <t>Less Concessions</t>
  </si>
  <si>
    <t>Net Rentable Income</t>
  </si>
  <si>
    <t>Economic Vacancy</t>
  </si>
  <si>
    <t>Must be &gt; 5%</t>
  </si>
  <si>
    <t>Monthly NRI</t>
  </si>
  <si>
    <t>Laundry/Vending Income (Net)</t>
  </si>
  <si>
    <t>Parking Income (Net)</t>
  </si>
  <si>
    <t>Commercial Income (Net)</t>
  </si>
  <si>
    <t>Other (describe)</t>
  </si>
  <si>
    <t>RUBS</t>
  </si>
  <si>
    <t>Other Income (Allowable)</t>
  </si>
  <si>
    <t>App Fee</t>
  </si>
  <si>
    <t>Forfeit Deposits</t>
  </si>
  <si>
    <t>Late/Early Term Fees</t>
  </si>
  <si>
    <t>Pet Deposits</t>
  </si>
  <si>
    <t>Premiums</t>
  </si>
  <si>
    <t>Corporate Prem.</t>
  </si>
  <si>
    <t>Community Fee</t>
  </si>
  <si>
    <t>Second Occupant</t>
  </si>
  <si>
    <t>Respite Care</t>
  </si>
  <si>
    <t>Support Plans (AL/ALZ)</t>
  </si>
  <si>
    <t>Unallowable</t>
  </si>
  <si>
    <t>Excluded</t>
  </si>
  <si>
    <t>T-12 + 3%</t>
  </si>
  <si>
    <t>Other Taxes or Assessments</t>
  </si>
  <si>
    <t>Licenses</t>
  </si>
  <si>
    <t>Ground Rent</t>
  </si>
  <si>
    <t>Total Fixed</t>
  </si>
  <si>
    <t>Trash Removal (including contract)</t>
  </si>
  <si>
    <t>Gas / Fuel / Other</t>
  </si>
  <si>
    <t>Paint/Decorating/Turnover</t>
  </si>
  <si>
    <t>Pool Maintenance</t>
  </si>
  <si>
    <t>Park'g Maint/Snow/Other</t>
  </si>
  <si>
    <t>Gardening/Landscape</t>
  </si>
  <si>
    <t>Management Fees</t>
  </si>
  <si>
    <t>3.5% of EGI</t>
  </si>
  <si>
    <t>Manager Salary</t>
  </si>
  <si>
    <t>Other Leasing Salaries</t>
  </si>
  <si>
    <t>Maintenance Super Salary</t>
  </si>
  <si>
    <t>Other Maintenance Salaries</t>
  </si>
  <si>
    <t>Apartment Allowances</t>
  </si>
  <si>
    <t>Bonuses/Commissions/Other</t>
  </si>
  <si>
    <t>Benefits &amp; Payroll Taxes</t>
  </si>
  <si>
    <t>Advertising &amp; Marketing</t>
  </si>
  <si>
    <t>Professional Fees</t>
  </si>
  <si>
    <t>Meals Expense (Seniors Only)</t>
  </si>
  <si>
    <t>Room Expense - House Keeping (Seniors Only)</t>
  </si>
  <si>
    <t>General Administrative</t>
  </si>
  <si>
    <t>Office / Model Apts.</t>
  </si>
  <si>
    <t>Telephone / Cable</t>
  </si>
  <si>
    <t>Security Contract</t>
  </si>
  <si>
    <t>Other Administrative</t>
  </si>
  <si>
    <t>Other Expense</t>
  </si>
  <si>
    <t>Capital Expenditures (Replacement Reserves)</t>
  </si>
  <si>
    <t>#Units * 250</t>
  </si>
  <si>
    <t>Net Cash Flow</t>
  </si>
  <si>
    <t>Total Expenses Less RET &amp; RR</t>
  </si>
  <si>
    <t>Partnership Expenses:</t>
  </si>
  <si>
    <t>BL-Interest</t>
  </si>
  <si>
    <t>BL-Principal</t>
  </si>
  <si>
    <t>BL-Depreciation</t>
  </si>
  <si>
    <r>
      <t>BL-</t>
    </r>
    <r>
      <rPr>
        <b/>
        <color rgb="FF0000FF"/>
        <family val="2"/>
        <rFont val="Calibri"/>
        <scheme val="minor"/>
        <sz val="10"/>
      </rPr>
      <t>Other 1</t>
    </r>
  </si>
  <si>
    <r>
      <t>BL-</t>
    </r>
    <r>
      <rPr>
        <b/>
        <color rgb="FF0000FF"/>
        <family val="2"/>
        <rFont val="Calibri"/>
        <scheme val="minor"/>
        <sz val="10"/>
      </rPr>
      <t>Other 2</t>
    </r>
  </si>
  <si>
    <r>
      <t>BL-</t>
    </r>
    <r>
      <rPr>
        <b/>
        <color rgb="FF0000FF"/>
        <family val="2"/>
        <rFont val="Calibri"/>
        <scheme val="minor"/>
        <sz val="10"/>
      </rPr>
      <t>Other 3</t>
    </r>
  </si>
  <si>
    <r>
      <t>BL-</t>
    </r>
    <r>
      <rPr>
        <b/>
        <color rgb="FF0000FF"/>
        <family val="2"/>
        <rFont val="Calibri"/>
        <scheme val="minor"/>
        <sz val="10"/>
      </rPr>
      <t>Other 4</t>
    </r>
  </si>
  <si>
    <t>NCF - Calculated</t>
  </si>
  <si>
    <t>EXCLUDED INCOME ITEMS</t>
  </si>
  <si>
    <t>EXCLUDED EXPENSE ITEMS</t>
  </si>
  <si>
    <t>NCF - Operating Statement</t>
  </si>
  <si>
    <t>Difference (Calculated NCF &amp; Op. St.)</t>
  </si>
  <si>
    <t>Capital Expenditures (Below the Line)</t>
  </si>
  <si>
    <t>W&amp;D Kick-Off Memo - XXXX, City, XX</t>
  </si>
  <si>
    <t>DEAL SUMMARY:</t>
  </si>
  <si>
    <t>WDX Producer</t>
  </si>
  <si>
    <t>Deal Folder URL</t>
  </si>
  <si>
    <t>[URL]</t>
  </si>
  <si>
    <t>Full Address</t>
  </si>
  <si>
    <t>, City, XX XXXXX</t>
  </si>
  <si>
    <t>Repeat Sponsor</t>
  </si>
  <si>
    <t>Last Deal with Sponsor</t>
  </si>
  <si>
    <t>[Deal Name]</t>
  </si>
  <si>
    <t>EXTERNAL CONTACT INFORMATION:</t>
  </si>
  <si>
    <t>Borrower Contact</t>
  </si>
  <si>
    <t>Contact Name</t>
  </si>
  <si>
    <t>Contact Phone</t>
  </si>
  <si>
    <t>Contact Email</t>
  </si>
  <si>
    <t>Borrower Legal Contact</t>
  </si>
  <si>
    <t>Attorney Name</t>
  </si>
  <si>
    <t>Attorney Company</t>
  </si>
  <si>
    <t>Attorney Phone</t>
  </si>
  <si>
    <t>Attorney Email</t>
  </si>
  <si>
    <t>Borrower Insurance Contact</t>
  </si>
  <si>
    <t>Agent Name</t>
  </si>
  <si>
    <t>Agent Company</t>
  </si>
  <si>
    <t>Agent Phone</t>
  </si>
  <si>
    <t>Agent Email</t>
  </si>
  <si>
    <t>KEY DATES:</t>
  </si>
  <si>
    <t>Est. Third Party Reports Due Date</t>
  </si>
  <si>
    <t>Est. Site Visit Date</t>
  </si>
  <si>
    <t>Est. Submittal to Freddie Date</t>
  </si>
  <si>
    <t>Est. Rate Lock Date</t>
  </si>
  <si>
    <t>Est. Closing Date</t>
  </si>
  <si>
    <t>THIRD-PARTY BROKER INFORMATION:</t>
  </si>
  <si>
    <t>Broker involved?</t>
  </si>
  <si>
    <t>Copy broker on all correspondence?</t>
  </si>
  <si>
    <t>Broker Contact</t>
  </si>
  <si>
    <t>Broker Name</t>
  </si>
  <si>
    <t>Broker Company</t>
  </si>
  <si>
    <t>Broker Phone</t>
  </si>
  <si>
    <t>Broker Email</t>
  </si>
  <si>
    <t>Broker Fee (Amount + Structure)</t>
  </si>
  <si>
    <t>Describe fee amount paid to broker (% or $) and agreed-upon split structure</t>
  </si>
  <si>
    <t>COST &amp; FEES:</t>
  </si>
  <si>
    <t>Cost / Fee Cap(s):</t>
  </si>
  <si>
    <t>e.g. "WDX producer will be capping costs. Expenses above $X will be paid out of WDX producer origination fee." or "N/A"</t>
  </si>
  <si>
    <t>DEAL NUANCES (MEMO TO CLOSER &amp; UNDERWRITER):</t>
  </si>
  <si>
    <t>e.g. Sponsor credit, experience, financials, etc…</t>
  </si>
  <si>
    <t>Property</t>
  </si>
  <si>
    <t>e.g. Crime, known deferred maintenance, etc…</t>
  </si>
  <si>
    <t>e.g. Declining collections, lack of stabilized operating history, choppy trends, etc…</t>
  </si>
  <si>
    <t>e.g. Self-managed vs. third-party manager, etc…</t>
  </si>
  <si>
    <t>e.g. Discuss other potential issues or deal nuances that UW and closing should be made aware of.</t>
  </si>
  <si>
    <t>QLtr_NmbrOfColumnsToShow</t>
  </si>
  <si>
    <t>Producer's Name</t>
  </si>
  <si>
    <t>Producer's Email</t>
  </si>
  <si>
    <t>Producer's Phone#(s)</t>
  </si>
  <si>
    <t># of Options to show:</t>
  </si>
  <si>
    <t>We have reviewed the information on the above referenced property and are pleased to offer the following loan proposal:</t>
  </si>
  <si>
    <r>
      <rPr>
        <b/>
        <color rgb="FFFFFFFF"/>
        <family val="2"/>
        <rFont val="Calibri"/>
        <sz val="8"/>
      </rPr>
      <t>Freddie Mac</t>
    </r>
  </si>
  <si>
    <t>Indicative Loan Amount</t>
  </si>
  <si>
    <t>Indicative Interest Rate</t>
  </si>
  <si>
    <t>Maximum Loan-to-Value</t>
  </si>
  <si>
    <t>Minimum DSCR Calculated on a 30 YR AM</t>
  </si>
  <si>
    <t>Prepayment Terms (Years)</t>
  </si>
  <si>
    <t>Yield Maintenance,1%</t>
  </si>
  <si>
    <t>Recourse</t>
  </si>
  <si>
    <t>Non-recourse</t>
  </si>
  <si>
    <t>Escrows</t>
  </si>
  <si>
    <t>Deferred</t>
  </si>
  <si>
    <t>Origination Fee</t>
  </si>
  <si>
    <t>Freddie Mac Application Fee</t>
  </si>
  <si>
    <t>Refundable Lender Application Fee</t>
  </si>
  <si>
    <t>Good Faith Deposit</t>
  </si>
  <si>
    <t>Estimated Lender Legal Fees</t>
  </si>
  <si>
    <t>Supplemental Loan</t>
  </si>
  <si>
    <t>Additional Quote Stipulations</t>
  </si>
  <si>
    <t>Proposed loan terms are based on an estimated underwritten NOI of $-1,616,089 and are subject to Lender approval and appraisal support. Terms assume borrower meets minimum requirements including, but not limited to: (1) minimum net worth greater than or equal to the loan amount; (2) combined liquidity greater than or equal to 9 months' debt service; (3) acceptable credit history; and (4) acceptable experience owning/operating multifamily. Terms also assume the property is stabilized at an average occupancy of no less than 90% for the trailing three months and collections over the trailing three-month period are steady or improving. Quote dated xx/xx/xxxx.</t>
  </si>
  <si>
    <r>
      <rPr>
        <b/>
        <color rgb="FFFFFFFF"/>
        <family val="2"/>
        <rFont val="Calibri"/>
        <sz val="8"/>
      </rPr>
      <t>Fannie Mae</t>
    </r>
  </si>
  <si>
    <t>Spread over Index</t>
  </si>
  <si>
    <t>Index</t>
  </si>
  <si>
    <t>10-year UST</t>
  </si>
  <si>
    <t>5-year UST</t>
  </si>
  <si>
    <t>30-Day Average SOFR</t>
  </si>
  <si>
    <t>Taxes, Insurance, Replacement Reserves</t>
  </si>
  <si>
    <t>Fannie Mae Delivery Fee</t>
  </si>
  <si>
    <t>1% (2% if SERL)</t>
  </si>
  <si>
    <t>Available</t>
  </si>
  <si>
    <t>Walker Private Lending</t>
  </si>
  <si>
    <t>Term SOFR</t>
  </si>
  <si>
    <t>Non-Refundable Lender Application Fee</t>
  </si>
  <si>
    <t>UW NOI:</t>
  </si>
  <si>
    <t>Quote dated:</t>
  </si>
  <si>
    <t>xx/xx/xxxx</t>
  </si>
  <si>
    <t>For Conditional Formatting ==&gt;</t>
  </si>
  <si>
    <t>QUOTE SHEET</t>
  </si>
  <si>
    <t>Freddie SBL</t>
  </si>
  <si>
    <t>Fannie SML</t>
  </si>
  <si>
    <t>Prepay (Fixed/Floating)</t>
  </si>
  <si>
    <t>Non-Recourse</t>
  </si>
  <si>
    <t>Standard Carveouts</t>
  </si>
  <si>
    <t>70%</t>
  </si>
  <si>
    <t>80%</t>
  </si>
  <si>
    <t>65%</t>
  </si>
  <si>
    <t>55%</t>
  </si>
  <si>
    <t>Minimum DSCR</t>
  </si>
  <si>
    <t>1.40x</t>
  </si>
  <si>
    <t>1.25x</t>
  </si>
  <si>
    <t>1.35x</t>
  </si>
  <si>
    <t>1.55x</t>
  </si>
  <si>
    <t>Underwritten LTV</t>
  </si>
  <si>
    <t>0%</t>
  </si>
  <si>
    <t>0.00x</t>
  </si>
  <si>
    <t>Prepayment</t>
  </si>
  <si>
    <t>9.5 YM</t>
  </si>
  <si>
    <t>11.5 YM</t>
  </si>
  <si>
    <t>14.5 YM</t>
  </si>
  <si>
    <t>15 YM</t>
  </si>
  <si>
    <t>Current Rate</t>
  </si>
  <si>
    <t>New Interest Rate</t>
  </si>
  <si>
    <t>New Rate Index (Floating)</t>
  </si>
  <si>
    <t>30-Day Avg SOFR</t>
  </si>
  <si>
    <t>New Rate Spread (Floating)</t>
  </si>
  <si>
    <t>Floating Rate Period</t>
  </si>
  <si>
    <t>Biannual Interest Rate Adjustment</t>
  </si>
  <si>
    <t>Current Annual Debt Service</t>
  </si>
  <si>
    <t>New Annual Debt Service</t>
  </si>
  <si>
    <t>New Annual Debt Service (IO)</t>
  </si>
  <si>
    <t>Debt Service Savings (Increase)</t>
  </si>
  <si>
    <t>Debt Service IO Savings (Increase)</t>
  </si>
  <si>
    <t>Closing Fee</t>
  </si>
  <si>
    <t>Agency Review Fee</t>
  </si>
  <si>
    <t>Impounds</t>
  </si>
  <si>
    <t>RE Tax, Replacement Reserves</t>
  </si>
  <si>
    <t>RE Tax, Insurance, Replacement Reserves</t>
  </si>
  <si>
    <t>All terms are subject to review and approval by the lender and are subject to change.This analysis is based upon information provided to Walker &amp; Dunlop and/or market assumptions. Final terms and conditions are subject to Fannie Mae and/or Freddie Mac approval. 
This quote is subject to verification of several borrower and property attributes including but not limited to:
Principals of Borrower have (1) combined net worth equal to or greater than the loan amount, (2) combined liquidity equal to or greater than 9 months of debt service, (3) acceptable credit history, and (4) acceptable experience in multifamily ownership.  The property (1) is stabilized at a minimum average 90% occupancy for trailing 3 months and (2) operating history is indicative of current performance.</t>
  </si>
  <si>
    <t>FRE_PrepayAdjustmentsTable</t>
  </si>
  <si>
    <t>FRE_PremiumAdjustmentsTable</t>
  </si>
  <si>
    <r>
      <t xml:space="preserve">FRE_PrepayStrings </t>
    </r>
    <r>
      <rPr>
        <color theme="0"/>
        <family val="2"/>
        <rFont val="Calibri"/>
        <scheme val="minor"/>
        <sz val="8"/>
      </rPr>
      <t xml:space="preserve"> (used by Prepay Option Data Validation pulldowns)</t>
    </r>
  </si>
  <si>
    <t>Type</t>
  </si>
  <si>
    <t>Prepay Strings</t>
  </si>
  <si>
    <t>Total Premium</t>
  </si>
  <si>
    <t>Portion to Seller</t>
  </si>
  <si>
    <t>Portion to Freddie</t>
  </si>
  <si>
    <t>54321</t>
  </si>
  <si>
    <t>5544321</t>
  </si>
  <si>
    <t>5544332211</t>
  </si>
  <si>
    <t>Alt 1</t>
  </si>
  <si>
    <t>Alt 2</t>
  </si>
  <si>
    <t>54321,1%</t>
  </si>
  <si>
    <t>Alt 3</t>
  </si>
  <si>
    <t>5544321,1%</t>
  </si>
  <si>
    <t>5544332211,1%</t>
  </si>
  <si>
    <t>used only by</t>
  </si>
  <si>
    <t>Proprietary Cap</t>
  </si>
  <si>
    <t>Application Issuance Date:</t>
  </si>
  <si>
    <t>Application Expiration Date:</t>
  </si>
  <si>
    <r>
      <t>The undersigned (the “</t>
    </r>
    <r>
      <rPr>
        <b/>
        <color theme="1"/>
        <family val="1"/>
        <rFont val="Times New Roman"/>
        <sz val="11"/>
      </rPr>
      <t>Applicant</t>
    </r>
    <r>
      <rPr>
        <color theme="1"/>
        <family val="1"/>
        <rFont val="Times New Roman"/>
        <sz val="11"/>
      </rPr>
      <t>”) hereby makes an application to Walker &amp; Dunlop, LLC (“</t>
    </r>
    <r>
      <rPr>
        <b/>
        <color theme="1"/>
        <family val="1"/>
        <rFont val="Times New Roman"/>
        <sz val="11"/>
      </rPr>
      <t>Walker &amp; Dunlop</t>
    </r>
    <r>
      <rPr>
        <color theme="1"/>
        <family val="1"/>
        <rFont val="Times New Roman"/>
        <sz val="11"/>
      </rPr>
      <t>” or “</t>
    </r>
    <r>
      <rPr>
        <b/>
        <color theme="1"/>
        <family val="1"/>
        <rFont val="Times New Roman"/>
        <sz val="11"/>
      </rPr>
      <t>Lender</t>
    </r>
    <r>
      <rPr>
        <color theme="1"/>
        <family val="1"/>
        <rFont val="Times New Roman"/>
        <sz val="11"/>
      </rPr>
      <t>”) for a Commitment for a permanent loan (the “</t>
    </r>
    <r>
      <rPr>
        <b/>
        <color theme="1"/>
        <family val="1"/>
        <rFont val="Times New Roman"/>
        <sz val="11"/>
      </rPr>
      <t>Mortgage Loan</t>
    </r>
    <r>
      <rPr>
        <color theme="1"/>
        <family val="1"/>
        <rFont val="Times New Roman"/>
        <sz val="11"/>
      </rPr>
      <t>”) to be secured by a first lien on the</t>
    </r>
    <r>
      <rPr>
        <b/>
        <color theme="1"/>
        <family val="1"/>
        <rFont val="Times New Roman"/>
        <sz val="11"/>
      </rPr>
      <t xml:space="preserve"> </t>
    </r>
    <r>
      <rPr>
        <color theme="1"/>
        <family val="1"/>
        <rFont val="Times New Roman"/>
        <sz val="11"/>
      </rPr>
      <t>property described below under the Freddie Mac Small Balance Loan Program ("</t>
    </r>
    <r>
      <rPr>
        <b/>
        <color theme="1"/>
        <family val="1"/>
        <rFont val="Times New Roman"/>
        <sz val="11"/>
      </rPr>
      <t>Freddie Mac SBL Program</t>
    </r>
    <r>
      <rPr>
        <color theme="1"/>
        <family val="1"/>
        <rFont val="Times New Roman"/>
        <sz val="11"/>
      </rPr>
      <t>").</t>
    </r>
  </si>
  <si>
    <r>
      <t>Property Name(s):</t>
    </r>
    <r>
      <rPr>
        <color theme="1"/>
        <family val="1"/>
        <rFont val="Times New Roman"/>
        <sz val="11"/>
      </rPr>
      <t xml:space="preserve"> </t>
    </r>
  </si>
  <si>
    <t>Number of Units:</t>
  </si>
  <si>
    <t>101 Units</t>
  </si>
  <si>
    <t>Property Address(es):</t>
  </si>
  <si>
    <t>Borrower:</t>
  </si>
  <si>
    <t>Mortgage Loan Purpose:</t>
  </si>
  <si>
    <t>Security:</t>
  </si>
  <si>
    <r>
      <t>1</t>
    </r>
    <r>
      <rPr>
        <color theme="1"/>
        <family val="1"/>
        <rFont val="Times New Roman"/>
        <sz val="11"/>
        <vertAlign val="superscript"/>
      </rPr>
      <t>st</t>
    </r>
    <r>
      <rPr>
        <color theme="1"/>
        <family val="1"/>
        <rFont val="Times New Roman"/>
        <sz val="11"/>
      </rPr>
      <t xml:space="preserve"> Lien</t>
    </r>
  </si>
  <si>
    <r>
      <t>When we have received your acceptance of this application (the “</t>
    </r>
    <r>
      <rPr>
        <b/>
        <color theme="1"/>
        <family val="1"/>
        <rFont val="Times New Roman"/>
        <sz val="11"/>
      </rPr>
      <t>Application</t>
    </r>
    <r>
      <rPr>
        <color theme="1"/>
        <family val="1"/>
        <rFont val="Times New Roman"/>
        <sz val="11"/>
      </rPr>
      <t>”) along with the required deposits as well as any required documentation, we will process your Application based on the following terms and conditions or such other conditions as Walker &amp; Dunlop and Freddie Mac may determine reasonably appropriate</t>
    </r>
    <r>
      <rPr>
        <b/>
        <color theme="1"/>
        <family val="1"/>
        <rFont val="Times New Roman"/>
        <sz val="11"/>
      </rPr>
      <t xml:space="preserve">.  </t>
    </r>
    <r>
      <rPr>
        <color theme="1"/>
        <family val="1"/>
        <rFont val="Times New Roman"/>
        <sz val="11"/>
      </rPr>
      <t>A commitment for the Loan ("</t>
    </r>
    <r>
      <rPr>
        <b/>
        <color theme="1"/>
        <family val="1"/>
        <rFont val="Times New Roman"/>
        <sz val="11"/>
      </rPr>
      <t>Loan Commitment</t>
    </r>
    <r>
      <rPr>
        <color theme="1"/>
        <family val="1"/>
        <rFont val="Times New Roman"/>
        <sz val="11"/>
      </rPr>
      <t>") will be issued pursuant to the terms and conditions set forth below only if the Loan satisfies the conditions of this Application and the Freddie Mac Small Balance Loan Program.</t>
    </r>
    <r>
      <rPr>
        <b/>
        <color theme="1"/>
        <family val="1"/>
        <rFont val="Times New Roman"/>
        <sz val="11"/>
      </rPr>
      <t xml:space="preserve"> </t>
    </r>
  </si>
  <si>
    <t xml:space="preserve">THIS APPLICATION IS FOR A LOAN UNDER FREDDIE MAC’S SMALL BALANCE LOAN PROGRAM.  BORROWER ACKNOWLEDGES THAT THIS LOAN WILL BE SOLD TO FREDDIE MAC AND THAT FREDDIE MAC INTENDS TO SELL THIS LOAN INTO A COMMERCIAL MORTGAGE-BACKED SECURITIZATION (“SECURITIZED”) OR SIMILAR TYPE EXECUTION (I.E. TO A “REMIC TRUST”) AND THAT THE LOAN WILL NOT BE HELD IN FREDDIE MAC’S PORTFOLIO. THUS, THE REQUIREMENTS AND PROVISIONS IN THIS APPLICATION AND IN THE LOAN DOCUMENTS ARE ANALOGOUS TO THOSE FOR A SECURITIZED CONDUIT LOAN. PLEASE CONTACT THE UNDERSIGNED IF YOU HAVE ANY QUESTIONS CONCERNING THE FREDDIE MAC SBL PROGRAM OR REQUIREMENTS. FORM LOAN DOCUMENTS FOR THE FREDDIE MAC SBL PROGRAM ARE AVAILABLE UPON REQUEST IF YOU WISH TO REVIEW ANY FORM PROVISIONS PRIOR TO EXECUTING THIS APPLICATION. </t>
  </si>
  <si>
    <t xml:space="preserve">Loan Amount: </t>
  </si>
  <si>
    <t>Please Select Loan Option on SBL Quotes Tab (Cell B42)</t>
  </si>
  <si>
    <r>
      <t>Estimated Interest Rate</t>
    </r>
    <r>
      <rPr>
        <color theme="1"/>
        <family val="1"/>
        <rFont val="Times New Roman"/>
        <sz val="11"/>
      </rPr>
      <t xml:space="preserve">: </t>
    </r>
  </si>
  <si>
    <t>0.00% as of the Date of Issuance.</t>
  </si>
  <si>
    <t xml:space="preserve">Upon execution and delivery of this Loan Application in accordance with its terms, Freddie Mac guarantees to hold the coupon rate quoted in this application for 35 business days at no additional cost to the borrower. This valuable benefit is contingent on Freddie Mac receiving the complete underwriting package for this loan from Walker &amp; Dunlop within 35 business days from the date of acceptance of this application. Any submissions received by Freddie Mac after this date will be subject to repricing. </t>
  </si>
  <si>
    <t>Interest Calculation Method:</t>
  </si>
  <si>
    <t xml:space="preserve">Actual/360 </t>
  </si>
  <si>
    <t xml:space="preserve">Product: </t>
  </si>
  <si>
    <t xml:space="preserve">Term:  </t>
  </si>
  <si>
    <t>0 months</t>
  </si>
  <si>
    <t>Interest-Only Period:</t>
  </si>
  <si>
    <t xml:space="preserve">Amortization: </t>
  </si>
  <si>
    <t>0 months; balance due at loan maturity.</t>
  </si>
  <si>
    <t xml:space="preserve">Fixed Rate/Adjustable Rate Period: </t>
  </si>
  <si>
    <t>0 months, loan will convert to floating rate after fixed rate period ends.</t>
  </si>
  <si>
    <t>Periodic Adjustment of Interest Rate:</t>
  </si>
  <si>
    <t xml:space="preserve">Prepayment Schedule: </t>
  </si>
  <si>
    <t>Please choose a prepayment schedule in cell B54 on the SBL Quotes tab.</t>
  </si>
  <si>
    <t>Maximum LTV:</t>
  </si>
  <si>
    <t>Minimum DSCR:</t>
  </si>
  <si>
    <t>Guarantor(s):</t>
  </si>
  <si>
    <t xml:space="preserve">The Guarantor(s) will execute an acknowledgment of liability for the non-recourse carveouts.  Guarantor designation is subject to review and approval by Freddie Mac. </t>
  </si>
  <si>
    <t>Borrowing Entity:</t>
  </si>
  <si>
    <t>Single Asset Entities Required.</t>
  </si>
  <si>
    <t>Non-Recourse:</t>
  </si>
  <si>
    <t>Non-recourse to the Borrower with standard Freddie Mac exceptions/carveouts.</t>
  </si>
  <si>
    <t>Monthly Payments (P&amp;I):</t>
  </si>
  <si>
    <t xml:space="preserve">The monthly payment will be determined following Lender’s and Borrower’s execution of the Commitment, upon locking the Interest Rate based on the terms above.  Payment of monthly installments shall be made in immediately available funds on the first day of the month, by pre-authorized ACH debit from a bank account established and maintained by Borrower for such purpose.  </t>
  </si>
  <si>
    <t>Debt Service Reserve:</t>
  </si>
  <si>
    <r>
      <t xml:space="preserve">At Closing, Borrower shall escrow with the Lender an estimated amount which represents twelve (12) months of principal and interest payments calculated on a 30-year amortization basis, even if the loan has an interest only period. </t>
    </r>
    <r>
      <rPr>
        <color theme="1"/>
        <family val="1"/>
        <i/>
        <rFont val="Times New Roman"/>
        <sz val="11"/>
      </rPr>
      <t>Final amount to be determined at closing.</t>
    </r>
  </si>
  <si>
    <t>Releasing Funds Back to Borrower: The release of the remaining DSR will be within 30 days following satisfaction of the following five items:</t>
  </si>
  <si>
    <t>• Lender receives a release request from the borrower.</t>
  </si>
  <si>
    <t>• All federal, state and local emergency declarations or similar government actions related to COVID-19 have been lifted for at least 90 days or 12 months have elapsed since closing.</t>
  </si>
  <si>
    <t>• All due diligence items have been completed to Freddie Mac’s specifications and borrower has remediated all deferred due diligence shortfalls.</t>
  </si>
  <si>
    <t>• If borrower and Freddie Mac entered into a forbearance agreement, all of the forborne debt service payments have been repaid.</t>
  </si>
  <si>
    <t>• Borrower provides evidence satisfactory to Freddie Mac of residential occupancy at a minimum of 80% and collections, on a three-month average and for the last month, that satisfy the policy minimum underwritten Debt Coverage Ratio (DCR) for the loan. For example, 1.20x for Top Markets, 1.25x for Standard, etc., with appropriate adjustments for cash-out, full-term interest-only, etc.</t>
  </si>
  <si>
    <t xml:space="preserve">If the borrower does not satisfy the five items above within 15 months after the Effective Date of the Loan Agreement, the remainder of the DSR will be used first to pay down any remaining forborne debt service and then transferred to the Capital Replacement and Repair Reserve for the balance of the loan term and may be used to reimburse the borrower for the cost of Capital Replacements. </t>
  </si>
  <si>
    <t>Borrowers may choose to participate in forbearance per the terms of the CARES Act and Freddie Mac’s guidelines. If the borrower chooses forbearance, the forborne payments will be spread over the following 12 months’ debt service payments. If borrower’s repayment of forborne amounts begins while the DSR is still in effect, for any month where collections are below break-even, borrower may also apply the DSR to that month’s 1/12 repayment of the forborne amount.</t>
  </si>
  <si>
    <t>For properties located in areas where Freddie Mac requires a seismic report, SBL will require the borrower to carry earthquake insurance on the property until a satisfactory seismic report is complete.</t>
  </si>
  <si>
    <t xml:space="preserve">The lender is required to confirm with the title company issuing the title insurance policy for the loan that the recorder’s office for the property jurisdiction is receiving documents for recording (whether in person, electronically, by mail, overnight delivery, or drop box) in order to close the SBL loan. </t>
  </si>
  <si>
    <t>Escrow Deposits:</t>
  </si>
  <si>
    <t>Real Estate Taxes: Required</t>
  </si>
  <si>
    <t>Property/Liability Insurance: Required</t>
  </si>
  <si>
    <t>Replacement Reserves: Required</t>
  </si>
  <si>
    <t>Required Repairs/Repair Reserves*: TBD</t>
  </si>
  <si>
    <t>Required Repairs*:</t>
  </si>
  <si>
    <t xml:space="preserve">The Repair Escrow will be deferred if the total Priority Repair amount is less than $25,000, subject to Freddie Mac UW review, otherwise the Repair Escrow is required to be funded at 100% of the estimated repair cost and completed within 12 months of closing.  The required repair escrow deposit will be reimbursed upon verification and confirmation that repairs have been completed in a satisfactory manner.  </t>
  </si>
  <si>
    <t xml:space="preserve">Mortgage Loan Documents:              </t>
  </si>
  <si>
    <r>
      <t>The Mortgage Loan shall be evidenced, governed and secured by all such documentation or other instruments required by Lender and Freddie Mac (the “</t>
    </r>
    <r>
      <rPr>
        <b/>
        <color theme="1"/>
        <family val="1"/>
        <rFont val="Times New Roman"/>
        <sz val="11"/>
      </rPr>
      <t>Mortgage Loan Documents</t>
    </r>
    <r>
      <rPr>
        <color theme="1"/>
        <family val="1"/>
        <rFont val="Times New Roman"/>
        <sz val="11"/>
      </rPr>
      <t xml:space="preserve">”).  Borrower will be required to execute the Mortgage Loan documents on standard Freddie Mac forms, the terms of which are not subject to negotiation. The form Mortgage Loan documents will be provided by Lender or its counsel. </t>
    </r>
  </si>
  <si>
    <t>Secondary Financing:</t>
  </si>
  <si>
    <t xml:space="preserve">Not permitted. </t>
  </si>
  <si>
    <t xml:space="preserve">Assumption: </t>
  </si>
  <si>
    <t xml:space="preserve">The Loan is assumable subject to underwriting approval of the Lender and Freddie Mac with payment of a 1% transfer fee, and a non-refundable assumption processing fee of $5,000. Borrower shall pay all costs of Lender's legal counsel involved with closing the assumption.  </t>
  </si>
  <si>
    <r>
      <t>Application Deposit</t>
    </r>
    <r>
      <rPr>
        <color theme="1"/>
        <family val="1"/>
        <rFont val="Times New Roman"/>
        <sz val="11"/>
      </rPr>
      <t xml:space="preserve">: </t>
    </r>
  </si>
  <si>
    <t>Upon execution of this Application, Borrower will deposit with Lender the sum of $7,500 as a refundable Application Deposit, which will reimburse Lender for the cost of certain analysis and third party reports including, but not limited to, the Appraisal Report, Property Condition Report, Environmental Database Report (Phase I/II, if applicable), Zoning Report, Operations and Maintenance Programs, Credit Reports, Background Searches, Insurance Review, and Site Inspection Fees. Total Lender diligence costs have an estimated range of $15,000 to $17,500. Any due diligence costs incurred for the transaction above and beyond the initial application deposit will be paid by the borrower at closing. Conversely, should total due diligence costs come in lower than the Application deposit, the remainder shall be refundable to the Borrower.</t>
  </si>
  <si>
    <t>Freddie Mac Application Fee:</t>
  </si>
  <si>
    <t>Total Due:</t>
  </si>
  <si>
    <t>$7,500.00</t>
  </si>
  <si>
    <t>Legal Fees:</t>
  </si>
  <si>
    <t xml:space="preserve">To be determined.  Upon execution of this application, Lender will engage its own counsel to commence legal due diligence.  Borrower shall be responsible for Lender’s legal and costs relative to title insurance, survey costs, and recording upon Borrower’s execution of the Application, whether the Loan closes or not.  Such Legal Fees shall be paid at the earlier to occur of the closing of the Loan or the expiration or early termination of this Application for any reason.  </t>
  </si>
  <si>
    <t>Mortgage Origination Fee:</t>
  </si>
  <si>
    <t>Rate Lock Deposit:</t>
  </si>
  <si>
    <t xml:space="preserve">1.0% of the Loan Amount, payable prior to Rate Lock. The Deposit will be either (i) refunded to Borrower (a) if Rate Lock does not occur and this Application is terminated, or (b) if Rate Lock occurs and the loan is closed or (ii) applied against the Breakage Fee defined below.  Borrower will have the right to rate lock the interest rate after: (I) a Commitment has been issued by Lender, (II) the Commitment is accepted by Borrower, and (iii) Lender confirms that all the conditions identified in the Commitment as Rate Lock conditions have been met by Borrower.  Additionally, Rate Lock is subject to verified receipt by Lender of payment of the Rate Lock Deposit.  </t>
  </si>
  <si>
    <t xml:space="preserve"> </t>
  </si>
  <si>
    <t>Damages / Breakage Fee:</t>
  </si>
  <si>
    <t xml:space="preserve">If Borrower accepts a Loan Commitment and Rate Lock occurs, but the Loan subsequently fails to close for any reason other than the sole negligence or willful misconduct of Lender or, upon delivery to Freddie Mac, does not meet the requirements in the Loan Commitment and Borrower fails to correct/supply any issue or items required to complete the delivery, Borrower will be liable for the Breakage Fee defined in the Loan Commitment. </t>
  </si>
  <si>
    <t>Special Terms and Conditions:</t>
  </si>
  <si>
    <t xml:space="preserve">Estimated Interest Rate noted above is based on terms listed within this application and pricing indications from Freddie Mac at the time of application issuance: </t>
  </si>
  <si>
    <t xml:space="preserve">• Rate is also subject to 50% or more of the units being qualified mission affordable and/or qualifying as very low-income units as determined by Freddie Mac at time of rate lock and close.   </t>
  </si>
  <si>
    <t>• If LTV and DSC of the loan, or Affordability, at the time of rate lock and close are different, pricing is subject to change.</t>
  </si>
  <si>
    <t>• Property to maintain an average 90% physical occupancy for the three (3) months prior to rate lock.</t>
  </si>
  <si>
    <t>Borrower to meet minimum net worth and liquidity requirements per Freddie Mac guidelines:</t>
  </si>
  <si>
    <t>Property to meet minimum NRI of $119,366/monthly and $1,432,397/annually.</t>
  </si>
  <si>
    <t>Property valuation to meet or exceed ($32,321,786)</t>
  </si>
  <si>
    <t>UW NCF to meet or exceed ($1,742,202) subject to appraisal, engineering and market support.</t>
  </si>
  <si>
    <t xml:space="preserve">Single Counsel to review and confirm whether requirements are met for a survey. </t>
  </si>
  <si>
    <t>Signed credit authorization for each Borrower Principal/Guarantor must be provided for loan process to begin.</t>
  </si>
  <si>
    <t xml:space="preserve">All terms of the proposed loan are subject to full Lender property inspection to be conducted during underwriting, and/or receipt and satisfactory review of executed SBL document, Borrower Certification of Property Condition. </t>
  </si>
  <si>
    <t>Additional material terms or conditions relating to this Loan are still being determined and will be formalized or evidenced when a Loan Commitment is issued.</t>
  </si>
  <si>
    <t>Title / Escrow Services:</t>
  </si>
  <si>
    <t xml:space="preserve">If title contact is not identified on Schedule B, then escrow services shall be coordinated through one of Lender’s preferred national title company contacts at the time of underwriting. </t>
  </si>
  <si>
    <t>Legal Searches:</t>
  </si>
  <si>
    <t xml:space="preserve">Applicant acknowledges that Walker &amp; Dunlop will be performing legal searches on, at a minimum, Guarantor(s) and Borrowing Entity, as a requirement of loan closing. This cost will be incurred by the Guarantor and settled out of escrow prior to loan funding. </t>
  </si>
  <si>
    <t>Closing Fees:</t>
  </si>
  <si>
    <t>Applicant acknowledges that any due diligence costs incurred for the transaction above and beyond the initial application deposit will be paid by the borrower at closing or otherwise upon termination of this Application. Conversely, should total due diligence costs come in lower than the Application deposit, the remainder shall be refundable to the Borrower.</t>
  </si>
  <si>
    <r>
      <t>Governing Law</t>
    </r>
    <r>
      <rPr>
        <color theme="1"/>
        <family val="1"/>
        <rFont val="Times New Roman"/>
        <sz val="11"/>
      </rPr>
      <t>:</t>
    </r>
  </si>
  <si>
    <t>This application will be governed by the laws of Maryland.</t>
  </si>
  <si>
    <t>FHFA &amp; OFAC Certification</t>
  </si>
  <si>
    <t>Applicant acknowledges that neither the Borrowing Entity nor Guarantor or any members, shareholders, partners, beneficiaries, or trustees thereof (if applicable) is a person or entity that is included on the most current FHFA Suspended Counterparty List (SCP List) published by the Federal Housing Finance Agency, is a person or entity that is included on the Specially Designated National and Blocked Persons (SDN) list published by the US. Treasury Department Office of Foreign Assets Control (OFAC), or a person or entity that is included on the most current OFAC Consolidated Sanctions List.</t>
  </si>
  <si>
    <t>&lt;The remainder of this page has been intentionally left blank&gt;</t>
  </si>
  <si>
    <t>Acceptance Disclaimer</t>
  </si>
  <si>
    <r>
      <t xml:space="preserve">This Application does not constitute a Mortgage Loan Commitment and will expire if we have not received your acceptance, together with the required fees and deposits, by no later </t>
    </r>
    <r>
      <rPr>
        <b/>
        <color theme="1"/>
        <family val="1"/>
        <rFont val="Times New Roman"/>
        <sz val="10"/>
      </rPr>
      <t>than 7 business days following the date</t>
    </r>
    <r>
      <rPr>
        <color theme="1"/>
        <family val="1"/>
        <rFont val="Times New Roman"/>
        <sz val="10"/>
      </rPr>
      <t xml:space="preserve"> of this Application.  Following your acceptance, Walker &amp; Dunlop will provide an underwriting and legal checklist setting forth required information necessary for Mortgage Loan approval. Additional requests may be made as deemed appropriate by Walker &amp; Dunlop and/or Freddie Mac. Applicant agrees to furnish or provide access to all information on a timely and complete basis. Upon Walker &amp; Dunlop’s review and approval of all legal and underwriting aspects of the Mortgage Loan, a separate written Loan Commitment will be issued reflecting the final Mortgage Loan terms and any conditions for closing.</t>
    </r>
  </si>
  <si>
    <t xml:space="preserve">You agree that Walker &amp; Dunlop may release any information to those persons we determine to have a legitimate business purpose for it in connection with the processing of your Application. </t>
  </si>
  <si>
    <t xml:space="preserve">This Application may be modified or terminated by Walker &amp; Dunlop in its sole discretion if subsequent to the date of this Application there are material changes in the Property, the Applicant, Guarantor or the value of the security, or if representations made by the Applicant pursuant to this Application are substantially incorrect or if Applicant fails to disclose material facts. </t>
  </si>
  <si>
    <t xml:space="preserve">Applicant agrees that it will not seek financing for the Property from another lender for a period of 120 days from the date of acceptance of this Application.  </t>
  </si>
  <si>
    <r>
      <t xml:space="preserve">If you agree with the terms and conditions stated above, </t>
    </r>
    <r>
      <rPr>
        <color theme="1"/>
        <family val="1"/>
        <rFont val="Times New Roman"/>
        <sz val="10"/>
        <u/>
      </rPr>
      <t>please return</t>
    </r>
    <r>
      <rPr>
        <color theme="1"/>
        <family val="1"/>
        <rFont val="Times New Roman"/>
        <sz val="10"/>
      </rPr>
      <t xml:space="preserve">: </t>
    </r>
  </si>
  <si>
    <t xml:space="preserve">1. A signed copy of this Application. </t>
  </si>
  <si>
    <t xml:space="preserve">2. The Application Fee; and </t>
  </si>
  <si>
    <r>
      <t xml:space="preserve">3. Signed credit authorizations for </t>
    </r>
    <r>
      <rPr>
        <color theme="1"/>
        <family val="1"/>
        <rFont val="Times New Roman"/>
        <sz val="10"/>
        <u/>
      </rPr>
      <t>each</t>
    </r>
    <r>
      <rPr>
        <color theme="1"/>
        <family val="1"/>
        <rFont val="Times New Roman"/>
        <sz val="10"/>
      </rPr>
      <t xml:space="preserve"> Borrower Principal/Guarantor to the below account:</t>
    </r>
  </si>
  <si>
    <t>Wire Instructions for Walker &amp; Dunlop, LLC</t>
  </si>
  <si>
    <t xml:space="preserve">Bank Name               </t>
  </si>
  <si>
    <t>PNC Bank</t>
  </si>
  <si>
    <t xml:space="preserve">                                    </t>
  </si>
  <si>
    <r>
      <t>1900 E 9</t>
    </r>
    <r>
      <rPr>
        <b/>
        <color theme="1"/>
        <family val="1"/>
        <rFont val="Times New Roman"/>
        <sz val="11"/>
        <vertAlign val="superscript"/>
      </rPr>
      <t>th</t>
    </r>
    <r>
      <rPr>
        <b/>
        <color theme="1"/>
        <family val="1"/>
        <rFont val="Times New Roman"/>
        <sz val="11"/>
      </rPr>
      <t xml:space="preserve"> Street</t>
    </r>
  </si>
  <si>
    <t>Cleveland, OH 44144</t>
  </si>
  <si>
    <t xml:space="preserve">                                    </t>
  </si>
  <si>
    <t xml:space="preserve">ABA #                         </t>
  </si>
  <si>
    <t>041-000-124</t>
  </si>
  <si>
    <t xml:space="preserve">Account Name          </t>
  </si>
  <si>
    <t xml:space="preserve">Account #                   </t>
  </si>
  <si>
    <t xml:space="preserve">Reference:                 </t>
  </si>
  <si>
    <t>We appreciate the opportunity to serve your financing needs and look forward to a timely Mortgage Loan closing.</t>
  </si>
  <si>
    <t xml:space="preserve">Sincerely, </t>
  </si>
  <si>
    <t>ACCEPTED and APPROVED on _______________, 2021, by Applicant indicated below.</t>
  </si>
  <si>
    <t>Applicant Name: _________________________________________________________</t>
  </si>
  <si>
    <t>Applicant Signature: ______________________________________________________</t>
  </si>
  <si>
    <t>ATTACHMENTS:</t>
  </si>
  <si>
    <t>Schedule A:</t>
  </si>
  <si>
    <t>Borrower Organizational Structure</t>
  </si>
  <si>
    <t>Schedule B:</t>
  </si>
  <si>
    <t>Credit Authorization(s)</t>
  </si>
  <si>
    <t>Schedule C:</t>
  </si>
  <si>
    <t>Deal Contact Sheet</t>
  </si>
  <si>
    <t>Schedule A – Borrower Organizational Structure</t>
  </si>
  <si>
    <t>Schedule B - Credit Authorization(s)</t>
  </si>
  <si>
    <t xml:space="preserve">By signing below, you (“Guarantor/Borrowing Entity”) hereby authorize Walker &amp; Dunlop (“Lender”) to obtain any and all necessary credit and background searches to process this loan request. In addition, you authorize Walker &amp; Dunlop to discuss this transaction with the necessary parties with reference to payoff information, insurance information and title information as necessary to expedite the processing of this transaction. </t>
  </si>
  <si>
    <t>Guarantor:</t>
  </si>
  <si>
    <t>Name:</t>
  </si>
  <si>
    <t>Title:</t>
  </si>
  <si>
    <t>Full Address:</t>
  </si>
  <si>
    <t>SSN:</t>
  </si>
  <si>
    <r>
      <t>DOB:</t>
    </r>
    <r>
      <rPr>
        <color theme="1"/>
        <family val="1"/>
        <rFont val="Times New Roman"/>
        <sz val="11"/>
        <u/>
      </rPr>
      <t xml:space="preserve"> </t>
    </r>
  </si>
  <si>
    <t>Signature:</t>
  </si>
  <si>
    <t>Date:</t>
  </si>
  <si>
    <t>Additional Individual/Guarantor:</t>
  </si>
  <si>
    <t>DOB:</t>
  </si>
  <si>
    <r>
      <t>Name:</t>
    </r>
    <r>
      <rPr>
        <color theme="1"/>
        <family val="1"/>
        <rFont val="Times New Roman"/>
        <sz val="11"/>
        <u/>
      </rPr>
      <t xml:space="preserve"> </t>
    </r>
  </si>
  <si>
    <t>State of Formation:</t>
  </si>
  <si>
    <t>Date of Formation:</t>
  </si>
  <si>
    <t>Taxpayer Identification Number (TIN):</t>
  </si>
  <si>
    <t>Additional Principal/Entity:</t>
  </si>
  <si>
    <t>Schedule C - Deal Contact Sheet</t>
  </si>
  <si>
    <t>SEE ATTACHED</t>
  </si>
  <si>
    <t>Version #</t>
  </si>
  <si>
    <t>Timestamp</t>
  </si>
  <si>
    <t>IO Period (mo's)</t>
  </si>
  <si>
    <t>Premium       /Buy-Up</t>
  </si>
  <si>
    <t>Additional Affordability Discounts</t>
  </si>
  <si>
    <t>ATTN:</t>
  </si>
  <si>
    <t>TBD LLC</t>
  </si>
  <si>
    <t>1914 Terracina Drive #130</t>
  </si>
  <si>
    <t>Sacramento, CA 95834</t>
  </si>
  <si>
    <t>Dear XXXX:</t>
  </si>
  <si>
    <r>
      <t>The undersigned (the “</t>
    </r>
    <r>
      <rPr>
        <b/>
        <color theme="1"/>
        <family val="1"/>
        <rFont val="Times New Roman"/>
        <sz val="11"/>
      </rPr>
      <t>Applicant</t>
    </r>
    <r>
      <rPr>
        <color theme="1"/>
        <family val="1"/>
        <rFont val="Times New Roman"/>
        <sz val="11"/>
      </rPr>
      <t>”) hereby makes an application to Walker &amp; Dunlop, LLC (“</t>
    </r>
    <r>
      <rPr>
        <b/>
        <color theme="1"/>
        <family val="1"/>
        <rFont val="Times New Roman"/>
        <sz val="11"/>
      </rPr>
      <t>Walker &amp; Dunlop</t>
    </r>
    <r>
      <rPr>
        <color theme="1"/>
        <family val="1"/>
        <rFont val="Times New Roman"/>
        <sz val="11"/>
      </rPr>
      <t>”) for a Commitment for a permanent loan (the “</t>
    </r>
    <r>
      <rPr>
        <b/>
        <color theme="1"/>
        <family val="1"/>
        <rFont val="Times New Roman"/>
        <sz val="11"/>
      </rPr>
      <t>Mortgage Loan</t>
    </r>
    <r>
      <rPr>
        <color theme="1"/>
        <family val="1"/>
        <rFont val="Times New Roman"/>
        <sz val="11"/>
      </rPr>
      <t>”) to be secured by a first lien on the multifamily property described below under the Fannie Mae Small Loan Multifamily Delegated Underwriting and Servicing Product.</t>
    </r>
  </si>
  <si>
    <t xml:space="preserve">Property Name: </t>
  </si>
  <si>
    <t>Property Address:</t>
  </si>
  <si>
    <r>
      <t>When we have received your acceptance of this application (the “</t>
    </r>
    <r>
      <rPr>
        <b/>
        <color theme="1"/>
        <family val="1"/>
        <rFont val="Times New Roman"/>
        <sz val="11"/>
      </rPr>
      <t>Application</t>
    </r>
    <r>
      <rPr>
        <color theme="1"/>
        <family val="1"/>
        <rFont val="Times New Roman"/>
        <sz val="11"/>
      </rPr>
      <t xml:space="preserve">”) along with the required deposits as well as any required documentation, we will process your Application based on the following terms and conditions or such other conditions as Walker &amp; Dunlop may determine reasonably appropriate.  </t>
    </r>
  </si>
  <si>
    <t xml:space="preserve">Estimated Interest Rate: </t>
  </si>
  <si>
    <r>
      <t xml:space="preserve">The actual interest rate will be set based on market conditions at the time of rate lock.  The estimated interest rate is the sum of current 10-year U.S. Treasury index plus an indicative spread for an estimated rate of </t>
    </r>
    <r>
      <rPr>
        <b/>
        <color theme="1"/>
        <family val="1"/>
        <rFont val="Times New Roman"/>
        <sz val="11"/>
      </rPr>
      <t>3.24%</t>
    </r>
    <r>
      <rPr>
        <color theme="1"/>
        <family val="1"/>
        <rFont val="Times New Roman"/>
        <sz val="11"/>
      </rPr>
      <t xml:space="preserve"> as of </t>
    </r>
    <r>
      <rPr>
        <b/>
        <color theme="1"/>
        <family val="1"/>
        <rFont val="Times New Roman"/>
        <sz val="11"/>
      </rPr>
      <t>10/26/2020</t>
    </r>
    <r>
      <rPr>
        <color theme="1"/>
        <family val="1"/>
        <rFont val="Times New Roman"/>
        <sz val="11"/>
      </rPr>
      <t>. The 10-year U.S. Treasury will be based on the greater of a 0.90% floor or the actual 10-year UST at the time of rate lock. Both the index and the spread are subject to change based on market conditions at the time of rate lock.</t>
    </r>
  </si>
  <si>
    <t>0 months; 360 months amortization thereafter</t>
  </si>
  <si>
    <t xml:space="preserve">Fixed Rate Period: </t>
  </si>
  <si>
    <r>
      <t>Prepayment Schedule as provided in the Mortgage Loan Documents. The Prepayment Premium will be the greater of (i) one percent (1.00%) of the outstanding principal balance of the Mortgage Loan or (ii) the yield maintenance amount during the first 9.5 (114 months) years of the term of the Mortgage Loan (the “</t>
    </r>
    <r>
      <rPr>
        <b/>
        <color theme="1"/>
        <family val="1"/>
        <rFont val="Times New Roman"/>
        <sz val="11"/>
      </rPr>
      <t>Yield Maintenance Period</t>
    </r>
    <r>
      <rPr>
        <color theme="1"/>
        <family val="1"/>
        <rFont val="Times New Roman"/>
        <sz val="11"/>
      </rPr>
      <t xml:space="preserve">”) After the Yield Maintenance Period, the Prepayment Fee is one percent (1.00%) of the outstanding principal balance of the Mortgage Loan.  There will be no Prepayment Fee during the last three (3) months of the term of the Mortgage Loan.  </t>
    </r>
  </si>
  <si>
    <t>Key Principal/Guarantor:</t>
  </si>
  <si>
    <t>Mr. ____________</t>
  </si>
  <si>
    <t>(based on information provided to date and subject to Walker &amp; Dunlop’s confirmation after full underwriting). The Key Principal(s)/Guarantor(s) will be responsible for and execute, in the Fannie Mae required form, a guarantee of payment for losses related to certain “non-recourse carve-outs”. In the Fannie Mae Small Loan space, every Key Principal is considered a Guarantor and every Guarantor is considered a Key Principal.</t>
  </si>
  <si>
    <t>TBD, LLC</t>
  </si>
  <si>
    <t>(If MAE, Walker &amp; Dunlop reserves the right to investigate the financial performance of all the underlying assets in the MAE to ensure those assets will not impact the subject collateral).</t>
  </si>
  <si>
    <t>Non-recourse to the Borrower with standard Fannie Mae exceptions/carveouts.</t>
  </si>
  <si>
    <t xml:space="preserve">Real Estate Taxes: </t>
  </si>
  <si>
    <t>Required</t>
  </si>
  <si>
    <t xml:space="preserve">Property/Liability Insurance: </t>
  </si>
  <si>
    <t xml:space="preserve">Replacement Reserves: </t>
  </si>
  <si>
    <t>Required Repairs/Repair Reserves*:</t>
  </si>
  <si>
    <t>Ground Lease:</t>
  </si>
  <si>
    <t xml:space="preserve">Debt Service Reserve: </t>
  </si>
  <si>
    <t>At closing, Borrower shall escrow with the Lender an amount which represents eighteen (18) months of principal and interest payments calculated on a 30-year amortization basis, even if the loan has an interest only period. This escrow will be held for a minimum of six (6) months after the closing date plus one (1) additional successive quarter after the Property attains an actual amortizing DSCR equal to the minimum underwritten  DSCR. The Debt Service Reserve will be released no later  than thirty-six (36) months after the closing date if not released prior or drawn upon.</t>
  </si>
  <si>
    <t>Any amount (no minimum) of required repairs will be escrowed at 125% of the reported figure per the Property Condition Report and (if applicable) a Seismic Risk Assessment Report for properties located in an elevated seismic zone. The required repair escrow deposit will be reimbursed upon verification and confirmation that repairs have been completed in a satisfactory manner.</t>
  </si>
  <si>
    <r>
      <t>The Mortgage Loan shall be evidenced, governed and secured by all such documentation or other instruments required by Lender and Fannie Mae (the “</t>
    </r>
    <r>
      <rPr>
        <b/>
        <color theme="1"/>
        <family val="1"/>
        <rFont val="Times New Roman"/>
        <sz val="11"/>
      </rPr>
      <t>Mortgage Loan Documents</t>
    </r>
    <r>
      <rPr>
        <color theme="1"/>
        <family val="1"/>
        <rFont val="Times New Roman"/>
        <sz val="11"/>
      </rPr>
      <t>”).</t>
    </r>
  </si>
  <si>
    <t xml:space="preserve">Fannie Mae DUS Supplemental Mortgage Loans only, in Lender’s sole and absolute discretion. </t>
  </si>
  <si>
    <t xml:space="preserve">The Mortgage Loan may be assumed at any time, subject to a satisfactory review by Lender and Fannie Mae, in their sole discretion, of the assuming party’s credit and management experience and the payment to Lender of a one percent (1.00%) assumption fee together with all expenses in connection therewith, including Lender Counsel fees.  </t>
  </si>
  <si>
    <t xml:space="preserve">Application Deposit: </t>
  </si>
  <si>
    <t>Upon execution of this Application, Borrower will deposit with Lender the sum of Fifteen Thousand Dollars ($15,000.00) a refundable Application Deposit, which will reimburse Lender for the cost of certain analysis and third party reports including, but not limited to, the Appraisal Report, Property Condition Report, Environmental Database Report (Phase I/II, if applicable), Zoning Report, Operations and Maintenance Programs, Credit Reports, Background Searches, Insurance Review, and Site Inspection Fees. Total Lender diligence costs have an estimated range of $15,000 to $17,500. Any due diligence costs incurred for the transaction above and beyond the initial application deposit will be paid by the borrower at closing. Conversely, should total due diligence costs come in lower than the Application deposit, the remainder shall be refundable to the Borrower.</t>
  </si>
  <si>
    <t xml:space="preserve">Legal Fees:         </t>
  </si>
  <si>
    <t xml:space="preserve">1.0% Payable to Walker &amp; Dunlop and Monroe and Giordano, LLC. </t>
  </si>
  <si>
    <t>Good Faith Deposit:</t>
  </si>
  <si>
    <t xml:space="preserve">1.0% of the committed Mortgage Loan Amount, due prior to rate lock.  The good faith deposit will be refunded at Mortgage Loan closing.  </t>
  </si>
  <si>
    <t xml:space="preserve">Fannie Mae Delivery Fee: </t>
  </si>
  <si>
    <t>0.10% of final loan amount is due from Borrower at the time of rate lock and is non-refundable.</t>
  </si>
  <si>
    <t>Property to maintain minimum 85% physical occupancy and 70% economic occupancy for three (3) consecutive months prior to rate lock.</t>
  </si>
  <si>
    <t>Borrower to meet minimum net worth and liquidity requirements per Fannie Mae guidelines:</t>
  </si>
  <si>
    <t>o   Key Principal/Guarantor(s) to provide 2 months’ most recent bank statements (all pages) evidencing minimum liquidity worth 9-months of Principal &amp; Interest.</t>
  </si>
  <si>
    <t>Current sizing is based on a minimum net rental income (NRI) of $119,366/month or $1,432,397/annualized prior to rate lock. NRI must exclude rent premiums attributed to park owned homes, if applicable.</t>
  </si>
  <si>
    <t xml:space="preserve">Current monthly T-12 and rent roll required during underwriting, along with Certified Rent Collections Report by Unit &amp; Rent Delinquency Report dated no more than five days prior to rate lock. </t>
  </si>
  <si>
    <t>Current sizing based on UW NCF ($1,742,202)/annually subject to appraisal, engineering and market support.</t>
  </si>
  <si>
    <t>Property valuation to meet or exceed $0 subject to appraisal support.</t>
  </si>
  <si>
    <t>Interest Only subject to Loan Exit Analysis prior to rate lock</t>
  </si>
  <si>
    <t>Property will require land survey if existing one has not been conducted.</t>
  </si>
  <si>
    <t xml:space="preserve">Pricing is contingent upon at least 90% Mission-driven per FHFA scorecard. </t>
  </si>
  <si>
    <t>Subject to verification of mobile home community license and adequate park/community permits.</t>
  </si>
  <si>
    <t>Signed credit authorization for each Key Principal/Guarantor must be provided for loan process to begin.</t>
  </si>
  <si>
    <t>All terms of the proposed loan are subject to full Lender property inspection to be conducted during underwriting.</t>
  </si>
  <si>
    <t xml:space="preserve">Loan to meet PD metrics (7.25% DY / 6.75% exit rate) for interest only and DSCR floor waiver or Pre-Review waiver will be required in UW. </t>
  </si>
  <si>
    <t>Neither the Borrowing Entity nor Guarantor or any members, shareholders, partners, beneficiaries, or trustees thereof (if applicable) is a person or entity that is included on the most current FHFA Suspended Counterparty List (SCP List) published by the Federal Housing Finance Agency, is a person or entity that is included on the Specially Designated National and Blocked Persons (SDN) list published by the US. Treasury Department Office of Foreign Assets Control (OFAC), or a person or entity that is included on the most current OFAC Consolidated Sanctions List.</t>
  </si>
  <si>
    <t xml:space="preserve">If acceptable, title and escrow services shall be coordinated through one of Lender’s preferred national title company contacts. </t>
  </si>
  <si>
    <t xml:space="preserve">Applicant intends on using the preferred contact above:                        </t>
  </si>
  <si>
    <t>If yes, applicant acknowledges that Walker &amp; Dunlop will open title and escrow in connection with the proposed transaction.</t>
  </si>
  <si>
    <t>If no, and applicant would like to use an alternate title/escrow contact, please provide the contact information below:</t>
  </si>
  <si>
    <t>Agent Name:  ________________________________________</t>
  </si>
  <si>
    <t>Title Firm:  __________________________________________</t>
  </si>
  <si>
    <t>Phone Number:  ______________________________________</t>
  </si>
  <si>
    <t xml:space="preserve">       </t>
  </si>
  <si>
    <t>Email Address:  _______________________________________</t>
  </si>
  <si>
    <r>
      <t xml:space="preserve">Any and all fees associated with title and escrow services provided in conjunction with the proposed loan will be incurred by the borrower. This incurred amount will be settled during escrow and is </t>
    </r>
    <r>
      <rPr>
        <b/>
        <color theme="1"/>
        <family val="1"/>
        <rFont val="Times New Roman"/>
        <sz val="11"/>
      </rPr>
      <t>not included</t>
    </r>
    <r>
      <rPr>
        <color theme="1"/>
        <family val="1"/>
        <rFont val="Times New Roman"/>
        <sz val="11"/>
      </rPr>
      <t xml:space="preserve"> in the approximate closing costs for this transaction. </t>
    </r>
  </si>
  <si>
    <t>Please note, if the borrower elects to use an alternate title/escrow contact, title and escrow will not be opened by Walker &amp; Dunlop</t>
  </si>
  <si>
    <t>Applicant Initial__________</t>
  </si>
  <si>
    <t>Applicant acknowledges that any due diligence costs incurred for the transaction above and beyond the initial application deposit will be paid by the borrower at closing. Conversely, should total due diligence costs come in lower than the Application deposit, the remainder shall be refundable to the Borrower.</t>
  </si>
  <si>
    <r>
      <t xml:space="preserve">This Application does not constitute a Mortgage Loan Commitment and will expire if we have not received your acceptance, together with the required fees and deposits, by no later than </t>
    </r>
    <r>
      <rPr>
        <b/>
        <family val="1"/>
        <rFont val="Times New Roman"/>
        <sz val="11"/>
      </rPr>
      <t>3 business days following the date</t>
    </r>
    <r>
      <rPr>
        <family val="1"/>
        <rFont val="Times New Roman"/>
        <sz val="11"/>
      </rPr>
      <t xml:space="preserve"> of this Application.  Following your acceptance, Walker &amp; Dunlop will provide an underwriting and legal checklist setting forth required information necessary for Mortgage Loan approval.  Additional requests may be made as deemed appropriate by Walker &amp; Dunlop.  Applicant agrees to furnish or provide access to all information on a timely and complete basis. Upon Walker &amp; Dunlop’s review and approval of all legal and underwriting aspects of the Mortgage Loan, a separate written Mortgage Loan Commitment will be issued reflecting the final Mortgage Loan terms and any conditions for closing.</t>
    </r>
  </si>
  <si>
    <r>
      <t xml:space="preserve">If you agree with the terms and conditions stated above, </t>
    </r>
    <r>
      <rPr>
        <family val="1"/>
        <rFont val="Times New Roman"/>
        <sz val="11"/>
        <u/>
      </rPr>
      <t>please return</t>
    </r>
    <r>
      <rPr>
        <family val="1"/>
        <rFont val="Times New Roman"/>
        <sz val="11"/>
      </rPr>
      <t xml:space="preserve">: </t>
    </r>
  </si>
  <si>
    <t xml:space="preserve">1. A signed copy of this Term Loan Proposal. </t>
  </si>
  <si>
    <t>3. Signed credit authorizations for each Key Principal/Guarantor by 10/05/2023 to the below account:</t>
  </si>
  <si>
    <t>1900 E 9th Street</t>
  </si>
  <si>
    <t>ABA #</t>
  </si>
  <si>
    <t>Account Name</t>
  </si>
  <si>
    <t>Account #</t>
  </si>
  <si>
    <t>Reference:</t>
  </si>
  <si>
    <t>ACCEPTED and APPROVED on _______________, 2020, by Applicant indicated below.</t>
  </si>
  <si>
    <r>
      <t>Applicant Name:</t>
    </r>
    <r>
      <rPr>
        <color theme="1"/>
        <family val="1"/>
        <rFont val="Times New Roman"/>
        <sz val="11"/>
      </rPr>
      <t xml:space="preserve"> ______________________________________________       </t>
    </r>
  </si>
  <si>
    <r>
      <t>Applicant Signature:</t>
    </r>
    <r>
      <rPr>
        <color theme="1"/>
        <family val="1"/>
        <rFont val="Times New Roman"/>
        <sz val="11"/>
      </rPr>
      <t xml:space="preserve"> ___________________________________________ </t>
    </r>
  </si>
  <si>
    <t xml:space="preserve">Additional Contact Information  </t>
  </si>
  <si>
    <t>Insurance Contact:</t>
  </si>
  <si>
    <t>Name: ______________________________</t>
  </si>
  <si>
    <t>Firm: _______________________________</t>
  </si>
  <si>
    <t>Phone: ______________________________</t>
  </si>
  <si>
    <t xml:space="preserve">Email: ______________________________          </t>
  </si>
  <si>
    <t>Property Onsite Contact:</t>
  </si>
  <si>
    <t>Borrower Legal/Counsel Contact:</t>
  </si>
  <si>
    <t>Validation</t>
  </si>
  <si>
    <t>&lt;== Error Counter</t>
  </si>
  <si>
    <t>Not yet implemented</t>
  </si>
  <si>
    <t xml:space="preserve">SBL FRE Quote Option# </t>
  </si>
  <si>
    <t>&lt;No FRE Option Selected&gt;</t>
  </si>
  <si>
    <t>Min</t>
  </si>
  <si>
    <t>Max</t>
  </si>
  <si>
    <t>isRequired</t>
  </si>
  <si>
    <t>is Valid</t>
  </si>
  <si>
    <t>warn min</t>
  </si>
  <si>
    <t>warn max</t>
  </si>
  <si>
    <t>FRE Field</t>
  </si>
  <si>
    <t>Data</t>
  </si>
  <si>
    <t>Number Units</t>
  </si>
  <si>
    <t>Reponse from FRE:</t>
  </si>
  <si>
    <t>Not Sent</t>
  </si>
  <si>
    <t>New Loan</t>
  </si>
  <si>
    <t>Buy Up Percent</t>
  </si>
  <si>
    <t>0.75%</t>
  </si>
  <si>
    <t>Buy Down Dollars</t>
  </si>
  <si>
    <t>Delivery Type</t>
  </si>
  <si>
    <t>requires manual entry</t>
  </si>
  <si>
    <t>ERL Funding Timing</t>
  </si>
  <si>
    <t>Hedge Protection</t>
  </si>
  <si>
    <t>red text if invalid</t>
  </si>
  <si>
    <t>Lien position</t>
  </si>
  <si>
    <t>Max Capped Note Rate</t>
  </si>
  <si>
    <t>Net Spread to Freddie Mac</t>
  </si>
  <si>
    <t>Prepay Type</t>
  </si>
  <si>
    <t>SBL Yield Maintenance</t>
  </si>
  <si>
    <t>Product Type</t>
  </si>
  <si>
    <t>Conventional Mortgage</t>
  </si>
  <si>
    <t>&lt;&lt;&lt;   has no data validation</t>
  </si>
  <si>
    <t>Supplemental</t>
  </si>
  <si>
    <t>Swap Transaction</t>
  </si>
  <si>
    <t>Yield Maintenance with Treasuries Plus:</t>
  </si>
  <si>
    <t>YM with TSY</t>
  </si>
  <si>
    <t>Ext Submitter Email</t>
  </si>
  <si>
    <t>@walkerdunlop.com</t>
  </si>
  <si>
    <t>Originator Email</t>
  </si>
  <si>
    <t>Acquisition/Refinance</t>
  </si>
  <si>
    <t>Amort after IO Term</t>
  </si>
  <si>
    <t>Amortization Schedule</t>
  </si>
  <si>
    <t>Applicable Index Type</t>
  </si>
  <si>
    <t>Cash out Refinance?</t>
  </si>
  <si>
    <t>Existing Mortgage - UPB</t>
  </si>
  <si>
    <t>Extended Delivery</t>
  </si>
  <si>
    <t>Final Float</t>
  </si>
  <si>
    <t>Final Float Term</t>
  </si>
  <si>
    <t>Gross spread (%)</t>
  </si>
  <si>
    <t>Interest-Only Term (in mos)</t>
  </si>
  <si>
    <t>Premium/Buy-Up</t>
  </si>
  <si>
    <t>Prepay Term</t>
  </si>
  <si>
    <t>Rent Roll Date</t>
  </si>
  <si>
    <t>Scattered Site</t>
  </si>
  <si>
    <t>Total Term</t>
  </si>
  <si>
    <t>Underwritten Note Rate (%)</t>
  </si>
  <si>
    <t>UW NOI</t>
  </si>
  <si>
    <t>UW Value</t>
  </si>
  <si>
    <t>UW Value Per Unit</t>
  </si>
  <si>
    <t>SUMMARY OF HISTORICAL OPERATIONS</t>
  </si>
  <si>
    <t>Property Name:</t>
  </si>
  <si>
    <t>Number of Beds:</t>
  </si>
  <si>
    <t>Operating</t>
  </si>
  <si>
    <t>T-12 Annualized</t>
  </si>
  <si>
    <t>T-11 Annualized</t>
  </si>
  <si>
    <t>T-10 Annualized</t>
  </si>
  <si>
    <t>T-9 Annualized</t>
  </si>
  <si>
    <t>T-8 Annualized</t>
  </si>
  <si>
    <t>T-7 Annualized</t>
  </si>
  <si>
    <t>T-6 Annualized</t>
  </si>
  <si>
    <t>T-5 Annualized</t>
  </si>
  <si>
    <t>T-4 Annualized</t>
  </si>
  <si>
    <t>T-2 Annualized</t>
  </si>
  <si>
    <t>T-1 Annualized</t>
  </si>
  <si>
    <t>Lender Underwriting</t>
  </si>
  <si>
    <t>3 Yr. Average</t>
  </si>
  <si>
    <t>Expense Comps</t>
  </si>
  <si>
    <t>Income</t>
  </si>
  <si>
    <t>$PB/MO</t>
  </si>
  <si>
    <t>(1-6)</t>
  </si>
  <si>
    <t>(7)</t>
  </si>
  <si>
    <t>(8)</t>
  </si>
  <si>
    <t>(9)</t>
  </si>
  <si>
    <t>Subtotal</t>
  </si>
  <si>
    <t>Expenses</t>
  </si>
  <si>
    <t>Exp. Line Items</t>
  </si>
  <si>
    <t>$PU/YR</t>
  </si>
  <si>
    <t>$PB/YR</t>
  </si>
  <si>
    <t>Page 2</t>
  </si>
  <si>
    <t>Management Fee (% EGI)</t>
  </si>
  <si>
    <t>(17)</t>
  </si>
  <si>
    <t>General &amp; Administrative</t>
  </si>
  <si>
    <t>(2,4,27-31)</t>
  </si>
  <si>
    <t>(25)</t>
  </si>
  <si>
    <t>(26)</t>
  </si>
  <si>
    <t>Payroll / Benefits</t>
  </si>
  <si>
    <t>(18-24)</t>
  </si>
  <si>
    <t>(6-8)</t>
  </si>
  <si>
    <t>Repairs and Maintenance</t>
  </si>
  <si>
    <t>(10-16)</t>
  </si>
  <si>
    <t>(3)</t>
  </si>
  <si>
    <t>(1)</t>
  </si>
  <si>
    <t>(5)</t>
  </si>
  <si>
    <t>Other Expenses</t>
  </si>
  <si>
    <t>(32)</t>
  </si>
  <si>
    <t>% EGI</t>
  </si>
  <si>
    <t>Per square foot NRA</t>
  </si>
  <si>
    <t>Ratio of UW NCF to Appraisal NCF</t>
  </si>
  <si>
    <t>1st Debt Service</t>
  </si>
  <si>
    <t>2nd Debt Service</t>
  </si>
  <si>
    <t>3rd Debt Service</t>
  </si>
  <si>
    <t>1st. DSCR</t>
  </si>
  <si>
    <t>2nd. DSCR</t>
  </si>
  <si>
    <t>3rd. DSCR</t>
  </si>
  <si>
    <t>1st DSCR (Actual)</t>
  </si>
  <si>
    <t>1st DSCR (Floor)</t>
  </si>
  <si>
    <t>Combined Debt Service (Variable)</t>
  </si>
  <si>
    <t>1st DSCR (Pay)</t>
  </si>
  <si>
    <t>1st DSCR (Stress)</t>
  </si>
  <si>
    <t>Capital Improvements</t>
  </si>
  <si>
    <t>Breakeven Occupancy</t>
  </si>
  <si>
    <t>Cash Flow After Debt Service</t>
  </si>
  <si>
    <t>Yield</t>
  </si>
  <si>
    <t>From</t>
  </si>
  <si>
    <t>2019 to 2020</t>
  </si>
  <si>
    <t>2020 to 2021</t>
  </si>
  <si>
    <t>2021 to TR-12 Statement (9/2022)</t>
  </si>
  <si>
    <t>TR-12 Statement (9/2022) to Appraisal</t>
  </si>
  <si>
    <t>Appraisal to Lender Underwriting</t>
  </si>
  <si>
    <t>Appraisal Adjusted to Lender Underwriting</t>
  </si>
  <si>
    <t>TR-12 Statement (9/2022) to Lender Underwriting</t>
  </si>
  <si>
    <t>TR-12 Statement (9/2022) (2022) to Quote</t>
  </si>
  <si>
    <t>GPR % Growth from Year to Year</t>
  </si>
  <si>
    <t>NRI % Growth from Year to Year</t>
  </si>
  <si>
    <t>EGI % Growth from Year to Year</t>
  </si>
  <si>
    <t>Expense % Growth from Year to Year</t>
  </si>
  <si>
    <t>NCF % Growth from Year to Year</t>
  </si>
  <si>
    <t>UW Cap Rate:</t>
  </si>
  <si>
    <t># Units:</t>
  </si>
  <si>
    <t>Loan:</t>
  </si>
  <si>
    <t>Exit Rate:</t>
  </si>
  <si>
    <t>Loan Per Unit:</t>
  </si>
  <si>
    <t>Exit LTV:</t>
  </si>
  <si>
    <t>UW Value:</t>
  </si>
  <si>
    <t>UW LTV:</t>
  </si>
  <si>
    <t>UW Value per Unit:</t>
  </si>
  <si>
    <t>Show_Mkt_Rent_Column</t>
  </si>
  <si>
    <t>Unit Type has No Units</t>
  </si>
  <si>
    <t>Rent Roll Analysis</t>
  </si>
  <si>
    <t>Rent Roll Date:</t>
  </si>
  <si>
    <t>All Units have matching Unit Type</t>
  </si>
  <si>
    <t xml:space="preserve"># of Unit Types: </t>
  </si>
  <si>
    <t>All Unit Types have at least one matching Unit</t>
  </si>
  <si>
    <t>Unit Types</t>
  </si>
  <si>
    <t>Underwriter Notes:</t>
  </si>
  <si>
    <t># Bedrooms =&gt;</t>
  </si>
  <si>
    <t># Bedrooms</t>
  </si>
  <si>
    <t>Vacant Unit</t>
  </si>
  <si>
    <t># Baths =&gt;</t>
  </si>
  <si>
    <t># Baths</t>
  </si>
  <si>
    <t>Market Rent</t>
  </si>
  <si>
    <t>Is Chapter 9</t>
  </si>
  <si>
    <t># Bedrooms / # Bathrooms =&gt;</t>
  </si>
  <si>
    <t>1 / 0</t>
  </si>
  <si>
    <t>0 / 0</t>
  </si>
  <si>
    <t>2 / 0</t>
  </si>
  <si>
    <t># Bedrooms / # Baths</t>
  </si>
  <si>
    <t>Source:</t>
  </si>
  <si>
    <t>Designated Unit Type =&gt;</t>
  </si>
  <si>
    <t>1 BR</t>
  </si>
  <si>
    <t>1 TH</t>
  </si>
  <si>
    <t>2 BR</t>
  </si>
  <si>
    <t>2 TH</t>
  </si>
  <si>
    <t>1 CH</t>
  </si>
  <si>
    <t>F</t>
  </si>
  <si>
    <t>G</t>
  </si>
  <si>
    <t>H</t>
  </si>
  <si>
    <t>I</t>
  </si>
  <si>
    <t>J</t>
  </si>
  <si>
    <t>K</t>
  </si>
  <si>
    <t>L</t>
  </si>
  <si>
    <t>M</t>
  </si>
  <si>
    <t>N</t>
  </si>
  <si>
    <t>O</t>
  </si>
  <si>
    <t>P</t>
  </si>
  <si>
    <t>Q</t>
  </si>
  <si>
    <t>R</t>
  </si>
  <si>
    <t>S</t>
  </si>
  <si>
    <t>T</t>
  </si>
  <si>
    <t>U</t>
  </si>
  <si>
    <t>V</t>
  </si>
  <si>
    <t>W</t>
  </si>
  <si>
    <t>X</t>
  </si>
  <si>
    <t>Y</t>
  </si>
  <si>
    <t>Z</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</si>
  <si>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</si>
  <si>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</si>
  <si>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</si>
  <si>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</si>
  <si>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</si>
  <si>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</si>
  <si>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</si>
  <si>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</si>
  <si>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</si>
  <si>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</si>
  <si>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</si>
  <si>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</si>
  <si>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</si>
  <si>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</si>
  <si>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</si>
  <si>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</si>
  <si>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</si>
  <si>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</si>
  <si>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</si>
  <si>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</si>
  <si>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</si>
  <si>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</si>
  <si>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</si>
  <si>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</si>
  <si>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</si>
  <si>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</si>
  <si>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CA</t>
  </si>
  <si>
    <t>CB</t>
  </si>
  <si>
    <t>CC</t>
  </si>
  <si>
    <t>CD</t>
  </si>
  <si>
    <t>CE</t>
  </si>
  <si>
    <t>CF</t>
  </si>
  <si>
    <t>CG</t>
  </si>
  <si>
    <t>CH</t>
  </si>
  <si>
    <t>CI</t>
  </si>
  <si>
    <t>CJ</t>
  </si>
  <si>
    <t>CK</t>
  </si>
  <si>
    <t>CL</t>
  </si>
  <si>
    <t>CM</t>
  </si>
  <si>
    <t>CN</t>
  </si>
  <si>
    <t>CO</t>
  </si>
  <si>
    <t>CP</t>
  </si>
  <si>
    <t>CQ</t>
  </si>
  <si>
    <t>CR</t>
  </si>
  <si>
    <t>CS</t>
  </si>
  <si>
    <t>CT</t>
  </si>
  <si>
    <t>CU</t>
  </si>
  <si>
    <t>CV</t>
  </si>
  <si>
    <t>CW</t>
  </si>
  <si>
    <t>CX</t>
  </si>
  <si>
    <t>CY</t>
  </si>
  <si>
    <t>CZ</t>
  </si>
  <si>
    <t>DA</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</si>
  <si>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</si>
  <si>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</si>
  <si>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</si>
  <si>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</si>
  <si>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</si>
  <si>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</si>
  <si>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</si>
  <si>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</si>
  <si>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</si>
  <si>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</si>
  <si>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</si>
  <si>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</si>
  <si>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</si>
  <si>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</si>
  <si>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</si>
  <si>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</si>
  <si>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</si>
  <si>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</si>
  <si>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</si>
  <si>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</si>
  <si>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</si>
  <si>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</si>
  <si>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</si>
  <si>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</si>
  <si>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</si>
  <si>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EA</t>
  </si>
  <si>
    <t>EB</t>
  </si>
  <si>
    <t>EC</t>
  </si>
  <si>
    <t>ED</t>
  </si>
  <si>
    <t>EE</t>
  </si>
  <si>
    <t>EF</t>
  </si>
  <si>
    <t>EG</t>
  </si>
  <si>
    <t>EH</t>
  </si>
  <si>
    <t>EI</t>
  </si>
  <si>
    <t>EJ</t>
  </si>
  <si>
    <t>EK</t>
  </si>
  <si>
    <t>EL</t>
  </si>
  <si>
    <t>EM</t>
  </si>
  <si>
    <t>EN</t>
  </si>
  <si>
    <t>EO</t>
  </si>
  <si>
    <t>EP</t>
  </si>
  <si>
    <t>EQ</t>
  </si>
  <si>
    <t>ER</t>
  </si>
  <si>
    <t>ES</t>
  </si>
  <si>
    <t>ET</t>
  </si>
  <si>
    <t>EU</t>
  </si>
  <si>
    <t>EV</t>
  </si>
  <si>
    <t>EW</t>
  </si>
  <si>
    <t>EX</t>
  </si>
  <si>
    <t>EY</t>
  </si>
  <si>
    <t>EZ</t>
  </si>
  <si>
    <t>FA</t>
  </si>
  <si>
    <t>FB</t>
  </si>
  <si>
    <t>FC</t>
  </si>
  <si>
    <t>FD</t>
  </si>
  <si>
    <t>FE</t>
  </si>
  <si>
    <t>FF</t>
  </si>
  <si>
    <t>FG</t>
  </si>
  <si>
    <t>FH</t>
  </si>
  <si>
    <t>FI</t>
  </si>
  <si>
    <t>FJ</t>
  </si>
  <si>
    <t>Unit Type</t>
  </si>
  <si>
    <t>Market Rent =&gt;</t>
  </si>
  <si>
    <t>Fannie Mae Affordability Estimator</t>
  </si>
  <si>
    <t>Fannie Mae Rent Roll Template</t>
  </si>
  <si>
    <t>Square Footage =&gt;</t>
  </si>
  <si>
    <t>Square Footage</t>
  </si>
  <si>
    <t>Market</t>
  </si>
  <si>
    <t>UW Rent Adjusted</t>
  </si>
  <si>
    <t>GPR/unit</t>
  </si>
  <si>
    <t>ERents</t>
  </si>
  <si>
    <t>Employee</t>
  </si>
  <si>
    <t>Model / 
Office</t>
  </si>
  <si>
    <t>Units w/o Matching Unit Type</t>
  </si>
  <si>
    <t>Unit #</t>
  </si>
  <si>
    <t>A) Number of 
Bedrooms Per Unit</t>
  </si>
  <si>
    <t>B) Monthly Rent Per Unit Type</t>
  </si>
  <si>
    <t>C) Number of Units Per Bedroom Type</t>
  </si>
  <si>
    <t>Unit Identifier</t>
  </si>
  <si>
    <t>Unit Suffix</t>
  </si>
  <si>
    <t>Tenant Name</t>
  </si>
  <si>
    <t>Unit Bedrooms Count</t>
  </si>
  <si>
    <t>Tenant Contract Rent Amount</t>
  </si>
  <si>
    <t>Utilities Included in Contract Rent Indicator</t>
  </si>
  <si>
    <t>AMI Percent Restriction Level</t>
  </si>
  <si>
    <t>Manufactured Housing Pad Only Rent Amount</t>
  </si>
  <si>
    <t>Manufactured Housing Rental Unit Only Rent Amount</t>
  </si>
  <si>
    <t>Manufactured Housing RV Pad Only Rent Amount</t>
  </si>
  <si>
    <t>Manufactured Housing Production Date Pre-1976 Year Indicator</t>
  </si>
  <si>
    <t>Market Comparable Rent Amount</t>
  </si>
  <si>
    <t>Subsidy Rent Type</t>
  </si>
  <si>
    <t>Subsidy Rent Detailed Amount</t>
  </si>
  <si>
    <t>Concession Amount</t>
  </si>
  <si>
    <t>Concession Term Count</t>
  </si>
  <si>
    <t>Seniors Housing Unit Care Segment Type</t>
  </si>
  <si>
    <t>Seniors Housing Care Or Service Fee Amount</t>
  </si>
  <si>
    <t>Private Pay Indicator</t>
  </si>
  <si>
    <t>Private Room Indicator</t>
  </si>
  <si>
    <t>Lease Status Type</t>
  </si>
  <si>
    <t>Unit Square Feet Number</t>
  </si>
  <si>
    <t>Subunit Type</t>
  </si>
  <si>
    <t>Unit Full Bathrooms Count</t>
  </si>
  <si>
    <t>Unit Half Bathrooms Count</t>
  </si>
  <si>
    <t>Additional Fee Type</t>
  </si>
  <si>
    <t>Additional Fee Detailed Amount</t>
  </si>
  <si>
    <t>Lease Begin Date</t>
  </si>
  <si>
    <t>Lease End Date</t>
  </si>
  <si>
    <t>Move In Date</t>
  </si>
  <si>
    <t>Move Out Date</t>
  </si>
  <si>
    <t>Paid Through Date</t>
  </si>
  <si>
    <t>Security Deposit Amount</t>
  </si>
  <si>
    <t>Seniors Housing Community Fee Amount</t>
  </si>
  <si>
    <t>Unit Charge Amount</t>
  </si>
  <si>
    <t>Unit Billing Amount</t>
  </si>
  <si>
    <t>Tenant Guarantee Indicator</t>
  </si>
  <si>
    <t>Lease Comment Text</t>
  </si>
  <si>
    <t>Floor Plan Name</t>
  </si>
  <si>
    <t>O/V</t>
  </si>
  <si>
    <t>Building #</t>
  </si>
  <si>
    <t>Market Rent per Rent Roll</t>
  </si>
  <si>
    <t>Tenant</t>
  </si>
  <si>
    <t>Contract
 Rent</t>
  </si>
  <si>
    <t>Rent
Adjustments</t>
  </si>
  <si>
    <t>UW Rent
Adjusted</t>
  </si>
  <si>
    <t>Concession</t>
  </si>
  <si>
    <t>Emp Allow</t>
  </si>
  <si>
    <t>Model
/Office</t>
  </si>
  <si>
    <t>Subsidy</t>
  </si>
  <si>
    <t>Lease Start Date</t>
  </si>
  <si>
    <t>Contract Rent</t>
  </si>
  <si>
    <t>Vacant at Market</t>
  </si>
  <si>
    <t>Erents</t>
  </si>
  <si>
    <t>1-100</t>
  </si>
  <si>
    <t>Williams, Lenon</t>
  </si>
  <si>
    <t>2 Bedroom Unit</t>
  </si>
  <si>
    <t>Occupied</t>
  </si>
  <si>
    <t>Apartment</t>
  </si>
  <si>
    <t>1-101</t>
  </si>
  <si>
    <t>Sutton, Charles</t>
  </si>
  <si>
    <t>1-102</t>
  </si>
  <si>
    <t>Salazar, Alondra</t>
  </si>
  <si>
    <t>1-103</t>
  </si>
  <si>
    <t>Mendoza, Ruben</t>
  </si>
  <si>
    <t>1-104</t>
  </si>
  <si>
    <t>Diep, Suong</t>
  </si>
  <si>
    <t>1-105</t>
  </si>
  <si>
    <t>Flores, Damian</t>
  </si>
  <si>
    <t>1-106</t>
  </si>
  <si>
    <t>Perez, Ruben</t>
  </si>
  <si>
    <t>1-107</t>
  </si>
  <si>
    <t>Fernandez, Juan</t>
  </si>
  <si>
    <t>2-200</t>
  </si>
  <si>
    <t>Farris, Tremaine</t>
  </si>
  <si>
    <t>1 Bedroom Unit</t>
  </si>
  <si>
    <t>2-201</t>
  </si>
  <si>
    <t>Justus O,  Ogunmeru</t>
  </si>
  <si>
    <t>2-202</t>
  </si>
  <si>
    <t>Violanti, Zachary</t>
  </si>
  <si>
    <t>2-203</t>
  </si>
  <si>
    <t>Robin, John</t>
  </si>
  <si>
    <t>2-204</t>
  </si>
  <si>
    <t>Marfiandra, Kevin</t>
  </si>
  <si>
    <t>2-205</t>
  </si>
  <si>
    <t>Aouadi,  Nejmeddine</t>
  </si>
  <si>
    <t>2-206</t>
  </si>
  <si>
    <t>Alexandra, Kleis</t>
  </si>
  <si>
    <t>2-207</t>
  </si>
  <si>
    <t>DAndrea,  Anthony</t>
  </si>
  <si>
    <t>2-208</t>
  </si>
  <si>
    <t>Nguyen, Anh</t>
  </si>
  <si>
    <t>2-209</t>
  </si>
  <si>
    <t>Garcia, Michael</t>
  </si>
  <si>
    <t>2-210</t>
  </si>
  <si>
    <t>McNeil, Linda</t>
  </si>
  <si>
    <t>2-211</t>
  </si>
  <si>
    <t>Stevens, William</t>
  </si>
  <si>
    <t>2-212</t>
  </si>
  <si>
    <t>Rivera, Antonie</t>
  </si>
  <si>
    <t>2-213</t>
  </si>
  <si>
    <t>Minjarez, Auden</t>
  </si>
  <si>
    <t>2-214</t>
  </si>
  <si>
    <t>De la Cruz,  Neftali</t>
  </si>
  <si>
    <t>2-215</t>
  </si>
  <si>
    <t>Ezenwa, Nkechi</t>
  </si>
  <si>
    <t>3-300</t>
  </si>
  <si>
    <t>Cuai, Blak</t>
  </si>
  <si>
    <t>3-301</t>
  </si>
  <si>
    <t>Portillo-Rodriguez , Sergio</t>
  </si>
  <si>
    <t>3-302</t>
  </si>
  <si>
    <t>HI-TECH  ELECTRIC,  INC., *</t>
  </si>
  <si>
    <t>3-303</t>
  </si>
  <si>
    <t>Molina Jr., Paul</t>
  </si>
  <si>
    <t>3-304</t>
  </si>
  <si>
    <t>Been, Jennifer</t>
  </si>
  <si>
    <t>Vacant</t>
  </si>
  <si>
    <t>3-305</t>
  </si>
  <si>
    <t>VACANT</t>
  </si>
  <si>
    <t>3-306</t>
  </si>
  <si>
    <t>Gonzalez, Oscar</t>
  </si>
  <si>
    <t>3-307</t>
  </si>
  <si>
    <t>Melvin, Presley</t>
  </si>
  <si>
    <t>4-400</t>
  </si>
  <si>
    <t>Leland, Matthew</t>
  </si>
  <si>
    <t>0 Bedroom Unit (Efficiency/Studio)</t>
  </si>
  <si>
    <t>4-401</t>
  </si>
  <si>
    <t>4-402</t>
  </si>
  <si>
    <t>Alvarado, Jovana</t>
  </si>
  <si>
    <t>4-403</t>
  </si>
  <si>
    <t>Baker, Elizabeth</t>
  </si>
  <si>
    <t>4-404</t>
  </si>
  <si>
    <t>Taylor, Ashley</t>
  </si>
  <si>
    <t>4-405</t>
  </si>
  <si>
    <t>Webb, Keara</t>
  </si>
  <si>
    <t>4-406</t>
  </si>
  <si>
    <t>4-407</t>
  </si>
  <si>
    <t>Chang, Kristina</t>
  </si>
  <si>
    <t>4-408</t>
  </si>
  <si>
    <t>Fragoso, Jose</t>
  </si>
  <si>
    <t>4-409</t>
  </si>
  <si>
    <t>Martinez, Soledad</t>
  </si>
  <si>
    <t>4-410</t>
  </si>
  <si>
    <t>Rios, Natalie</t>
  </si>
  <si>
    <t>4-411</t>
  </si>
  <si>
    <t>Bealies, Austin</t>
  </si>
  <si>
    <t>5-500</t>
  </si>
  <si>
    <t>Patnode,  Zachary</t>
  </si>
  <si>
    <t>5-501</t>
  </si>
  <si>
    <t>Dunn, Marvin</t>
  </si>
  <si>
    <t>5-502</t>
  </si>
  <si>
    <t>Coffield ,  Zachary</t>
  </si>
  <si>
    <t>5-503</t>
  </si>
  <si>
    <t>Jefferson, Jamil</t>
  </si>
  <si>
    <t>5-504</t>
  </si>
  <si>
    <t>Mcfadin, James</t>
  </si>
  <si>
    <t>5-505</t>
  </si>
  <si>
    <t>Atchison, Angela</t>
  </si>
  <si>
    <t>5-506</t>
  </si>
  <si>
    <t>Rivera, Amber</t>
  </si>
  <si>
    <t>5-507</t>
  </si>
  <si>
    <t>Marshall, Kody</t>
  </si>
  <si>
    <t>5-508</t>
  </si>
  <si>
    <t>Martinez, Adan</t>
  </si>
  <si>
    <t>5-509</t>
  </si>
  <si>
    <t>Martinez, Eurigue</t>
  </si>
  <si>
    <t>5-510</t>
  </si>
  <si>
    <t>Ayala, Joanna</t>
  </si>
  <si>
    <t>5-511</t>
  </si>
  <si>
    <t>Peters, Dillon</t>
  </si>
  <si>
    <t>5-512</t>
  </si>
  <si>
    <t>Villegas, Josie</t>
  </si>
  <si>
    <t>5-513</t>
  </si>
  <si>
    <t>Emmauel,  Agbelusi</t>
  </si>
  <si>
    <t>6-600</t>
  </si>
  <si>
    <t>Jackson, Johnny</t>
  </si>
  <si>
    <t>6-601</t>
  </si>
  <si>
    <t>Gonzales,  Christopher</t>
  </si>
  <si>
    <t>6-602</t>
  </si>
  <si>
    <t>Davis, Dena</t>
  </si>
  <si>
    <t>6-603</t>
  </si>
  <si>
    <t>West, Rebecca</t>
  </si>
  <si>
    <t>6-604</t>
  </si>
  <si>
    <t>Valenzuela, Evan</t>
  </si>
  <si>
    <t>6-605</t>
  </si>
  <si>
    <t>Hulett, Larry</t>
  </si>
  <si>
    <t>6-606</t>
  </si>
  <si>
    <t>Dorais, Kyla</t>
  </si>
  <si>
    <t>6-607</t>
  </si>
  <si>
    <t>Nelson, Daijia</t>
  </si>
  <si>
    <t>6-608</t>
  </si>
  <si>
    <t>Sigala, David</t>
  </si>
  <si>
    <t>6-609</t>
  </si>
  <si>
    <t>Mundell,  Stephano</t>
  </si>
  <si>
    <t>6-610</t>
  </si>
  <si>
    <t>Trujillo, Jose</t>
  </si>
  <si>
    <t>6-611</t>
  </si>
  <si>
    <t>Acharya, Kiran</t>
  </si>
  <si>
    <t>6-612</t>
  </si>
  <si>
    <t>Dean, Logan</t>
  </si>
  <si>
    <t>6-613</t>
  </si>
  <si>
    <t>Taylor, Richard</t>
  </si>
  <si>
    <t>6-614</t>
  </si>
  <si>
    <t>Taamilo,  Wynonna</t>
  </si>
  <si>
    <t>6-615</t>
  </si>
  <si>
    <t>Ruiz, Jose</t>
  </si>
  <si>
    <t>7-700</t>
  </si>
  <si>
    <t>Perkins, Di`Sha</t>
  </si>
  <si>
    <t>7-701</t>
  </si>
  <si>
    <t>Walters, Kailyn</t>
  </si>
  <si>
    <t>7-702</t>
  </si>
  <si>
    <t>Sanchez, Refugio</t>
  </si>
  <si>
    <t>7-703</t>
  </si>
  <si>
    <t>Gibson, Thomas</t>
  </si>
  <si>
    <t>7-704</t>
  </si>
  <si>
    <t>Guel, Starlett</t>
  </si>
  <si>
    <t>7-705</t>
  </si>
  <si>
    <t>7-706</t>
  </si>
  <si>
    <t>Ogunbajo, Abiola</t>
  </si>
  <si>
    <t>7-707</t>
  </si>
  <si>
    <t>Blekestad,  Catherine</t>
  </si>
  <si>
    <t>7-708</t>
  </si>
  <si>
    <t>Pesson, Tony</t>
  </si>
  <si>
    <t>7-709</t>
  </si>
  <si>
    <t>Perez, Christian</t>
  </si>
  <si>
    <t>7-710</t>
  </si>
  <si>
    <t>Bahm, Elissa</t>
  </si>
  <si>
    <t>7-711</t>
  </si>
  <si>
    <t>Mbakwa, Festus</t>
  </si>
  <si>
    <t>7-712</t>
  </si>
  <si>
    <t>Montonez,  Josemar</t>
  </si>
  <si>
    <t>7-713</t>
  </si>
  <si>
    <t>Villa, Gilbert</t>
  </si>
  <si>
    <t>8-800</t>
  </si>
  <si>
    <t>Walls, Joel</t>
  </si>
  <si>
    <t>8-801</t>
  </si>
  <si>
    <t>Daniels, Amy</t>
  </si>
  <si>
    <t>8-802</t>
  </si>
  <si>
    <t>Rios, Sugey</t>
  </si>
  <si>
    <t>8-803</t>
  </si>
  <si>
    <t>Hernandez,  Douglas</t>
  </si>
  <si>
    <t>8-804</t>
  </si>
  <si>
    <t>Paramo,  Stephanie</t>
  </si>
  <si>
    <t>8-805</t>
  </si>
  <si>
    <t>Spake, Mchenzi</t>
  </si>
  <si>
    <t>8-806</t>
  </si>
  <si>
    <t>Pertile, Megan</t>
  </si>
  <si>
    <t>8-807</t>
  </si>
  <si>
    <t>8-808</t>
  </si>
  <si>
    <t>Muhammad,  Keith</t>
  </si>
  <si>
    <t>8-809</t>
  </si>
  <si>
    <t>Roberts, Norman</t>
  </si>
  <si>
    <t>8-810</t>
  </si>
  <si>
    <t>Turner, Shawna</t>
  </si>
  <si>
    <t>8-811</t>
  </si>
  <si>
    <t>Rickard, Ryan</t>
  </si>
  <si>
    <t>9-900</t>
  </si>
  <si>
    <t>Madrid, Joshua</t>
  </si>
  <si>
    <t>Total Rent/Month:</t>
  </si>
  <si>
    <t>Total Occupied Units:</t>
  </si>
  <si>
    <t>Total Vacant Units:</t>
  </si>
  <si>
    <t>% Unit Type:</t>
  </si>
  <si>
    <t>Average Rent/Month:</t>
  </si>
  <si>
    <t>GPR/Month:</t>
  </si>
  <si>
    <t>Annual GPR:</t>
  </si>
  <si>
    <t>No. Vacant Units:</t>
  </si>
  <si>
    <t>Leased Rents (Including Model and Emp):</t>
  </si>
  <si>
    <t>% Vacant:</t>
  </si>
  <si>
    <t>Vacant Units at Market:</t>
  </si>
  <si>
    <t>Physical Occupancy:</t>
  </si>
  <si>
    <t>UW Economic Occupancy:</t>
  </si>
  <si>
    <t>Gross Potential Rent Per Month (GPR):</t>
  </si>
  <si>
    <t>Gross Potential Rent Annualized (GPR):</t>
  </si>
  <si>
    <t>Total Units:</t>
  </si>
  <si>
    <t>Commercial Building Rent Roll and Underwriting</t>
  </si>
  <si>
    <t>Unit</t>
  </si>
  <si>
    <t>Name</t>
  </si>
  <si>
    <t>Square Feet</t>
  </si>
  <si>
    <t>Actual Rent</t>
  </si>
  <si>
    <t>Rent psf p.a.</t>
  </si>
  <si>
    <t>Lease Start
Date</t>
  </si>
  <si>
    <t>Lease End
Date</t>
  </si>
  <si>
    <t>Total</t>
  </si>
  <si>
    <t>Actual Monthly Rent:</t>
  </si>
  <si>
    <t>Actual Annual Rent:</t>
  </si>
  <si>
    <t>Vacancy (10%):</t>
  </si>
  <si>
    <t>EGI:</t>
  </si>
  <si>
    <t>Commercial Income as % of UW EGI:</t>
  </si>
  <si>
    <t>Landlord Expenses</t>
  </si>
  <si>
    <t>Management:</t>
  </si>
  <si>
    <t>Taxes:</t>
  </si>
  <si>
    <t>Insurance:</t>
  </si>
  <si>
    <t>Common Area Utilities Plus 2 Apts:</t>
  </si>
  <si>
    <t>Other:</t>
  </si>
  <si>
    <t>Reserves for Leasing Commissions:</t>
  </si>
  <si>
    <t>on commercial only</t>
  </si>
  <si>
    <t>Reserves for T&amp;I:</t>
  </si>
  <si>
    <t>Reserves for Apts:</t>
  </si>
  <si>
    <t>per unit</t>
  </si>
  <si>
    <t>Total Expenses:</t>
  </si>
  <si>
    <t>NOI of Commercial Space:</t>
  </si>
  <si>
    <t>Underwritten Commercial NOI:</t>
  </si>
  <si>
    <t>underwriter used appraisers numbers</t>
  </si>
  <si>
    <t>OS 1 Yr Back</t>
  </si>
  <si>
    <t>OS 2 Yr Back</t>
  </si>
  <si>
    <t>OS 3 Yr Back</t>
  </si>
  <si>
    <t>OS 1-Yr Back</t>
  </si>
  <si>
    <t>OS 2-Yr Back</t>
  </si>
  <si>
    <t>OS 3-Yr Back</t>
  </si>
  <si>
    <t>Show All</t>
  </si>
  <si>
    <r>
      <t>User Categorization</t>
    </r>
    <r>
      <rPr>
        <b/>
        <family val="2"/>
        <rFont val="Calibri"/>
        <scheme val="minor"/>
        <sz val="9"/>
      </rPr>
      <t xml:space="preserve"> (Double-click cells below for Smart pull-down)</t>
    </r>
  </si>
  <si>
    <t>Enodo Categorization</t>
  </si>
  <si>
    <t>Expense Line Items</t>
  </si>
  <si>
    <t>TOTAL</t>
  </si>
  <si>
    <t>User Categorization</t>
  </si>
  <si>
    <t>Appraiser's Line Items</t>
  </si>
  <si>
    <t>Appraisal Total</t>
  </si>
  <si>
    <t>Adjusted Appraisal Total</t>
  </si>
  <si>
    <t>Avg</t>
  </si>
  <si>
    <t>StDev</t>
  </si>
  <si>
    <t>Less Concessions (income line item)</t>
  </si>
  <si>
    <t>RUBS (income line item)</t>
  </si>
  <si>
    <t>RUBS (expense line item)</t>
  </si>
  <si>
    <t>Net Rental Income Analysis</t>
  </si>
  <si>
    <t>Historical Collections
(Adjusted for Non-Revenue Units)</t>
  </si>
  <si>
    <t>Discretionary Adjustments</t>
  </si>
  <si>
    <t>Report</t>
  </si>
  <si>
    <t>Add Back</t>
  </si>
  <si>
    <t xml:space="preserve">% of </t>
  </si>
  <si>
    <t>Economic</t>
  </si>
  <si>
    <t>Net Rental</t>
  </si>
  <si>
    <t>"X"</t>
  </si>
  <si>
    <t>Adj. Economic</t>
  </si>
  <si>
    <t>Adjusted NRI</t>
  </si>
  <si>
    <t>GPR</t>
  </si>
  <si>
    <t>Model/Office</t>
  </si>
  <si>
    <t>Total GPR</t>
  </si>
  <si>
    <t>Concessions</t>
  </si>
  <si>
    <t>Bad Debt</t>
  </si>
  <si>
    <t>Collections</t>
  </si>
  <si>
    <t>Adjustment</t>
  </si>
  <si>
    <t>January</t>
  </si>
  <si>
    <t>February</t>
  </si>
  <si>
    <t>March</t>
  </si>
  <si>
    <t>April</t>
  </si>
  <si>
    <t>May</t>
  </si>
  <si>
    <t>June</t>
  </si>
  <si>
    <t>July</t>
  </si>
  <si>
    <t>August</t>
  </si>
  <si>
    <t>September</t>
  </si>
  <si>
    <t>October</t>
  </si>
  <si>
    <t>November</t>
  </si>
  <si>
    <t>December</t>
  </si>
  <si>
    <t>Last Month</t>
  </si>
  <si>
    <t>NRI (Un-Adj)</t>
  </si>
  <si>
    <t>NRI (Adj)</t>
  </si>
  <si>
    <t>Tr-1</t>
  </si>
  <si>
    <t>Tr-3</t>
  </si>
  <si>
    <t>Tr-6</t>
  </si>
  <si>
    <t>Tr-9</t>
  </si>
  <si>
    <t>Tr-12</t>
  </si>
  <si>
    <t>Last</t>
  </si>
  <si>
    <t>NRI (T12)</t>
  </si>
  <si>
    <t>Hist. Ops (T12)</t>
  </si>
  <si>
    <t>NRI ANALYSIS</t>
  </si>
  <si>
    <t>Rent Roll (Date):</t>
  </si>
  <si>
    <t>Unit Count</t>
  </si>
  <si>
    <t>Occ.</t>
  </si>
  <si>
    <t>Cert. by Lender and Borr.:</t>
  </si>
  <si>
    <t>Underwritten NRI</t>
  </si>
  <si>
    <t>Contract Rents:</t>
  </si>
  <si>
    <t>96 Units</t>
  </si>
  <si>
    <t>Vacant Units @ market:</t>
  </si>
  <si>
    <t>5 Units</t>
  </si>
  <si>
    <t>Model Units @ market:</t>
  </si>
  <si>
    <t>0 Units</t>
  </si>
  <si>
    <t>Employee Discounts:</t>
  </si>
  <si>
    <t>Total Rents per month:</t>
  </si>
  <si>
    <t>Annualized:</t>
  </si>
  <si>
    <t>Total Physical Occ.</t>
  </si>
  <si>
    <t>Underwritten NRI Variance</t>
  </si>
  <si>
    <t>UW GPR:</t>
  </si>
  <si>
    <t xml:space="preserve">UW Vs. </t>
  </si>
  <si>
    <t>NRI Trend Analysis</t>
  </si>
  <si>
    <t xml:space="preserve">NRI Adjustment Calculation (If Applicable) </t>
  </si>
  <si>
    <t>T-3 Vs. T-6:</t>
  </si>
  <si>
    <t>Pre-Review Required:</t>
  </si>
  <si>
    <t xml:space="preserve"> NRI Adjustment:</t>
  </si>
  <si>
    <t>T-3 Vs. T-12:</t>
  </si>
  <si>
    <t>Min. 2% Adj. Required:</t>
  </si>
  <si>
    <t>Adjusted NRI:</t>
  </si>
  <si>
    <t xml:space="preserve">Notes: </t>
  </si>
  <si>
    <t xml:space="preserve">Adjusted Rent Collections </t>
  </si>
  <si>
    <t>E</t>
  </si>
  <si>
    <t>B</t>
  </si>
  <si>
    <t>Y-Axis Label</t>
  </si>
  <si>
    <t>NRI</t>
  </si>
  <si>
    <t>21</t>
  </si>
  <si>
    <t>Oct-21</t>
  </si>
  <si>
    <t>22</t>
  </si>
  <si>
    <t>Nov-21</t>
  </si>
  <si>
    <t>Dec-21</t>
  </si>
  <si>
    <t>Jan-22</t>
  </si>
  <si>
    <t>Feb-22</t>
  </si>
  <si>
    <t>Mar-22</t>
  </si>
  <si>
    <t>Apr-22</t>
  </si>
  <si>
    <t>May-22</t>
  </si>
  <si>
    <t>Jun-22</t>
  </si>
  <si>
    <t>Jul-22</t>
  </si>
  <si>
    <t>Aug-22</t>
  </si>
  <si>
    <t>Sep-22</t>
  </si>
  <si>
    <t>Expense Comparable Analysis</t>
  </si>
  <si>
    <t>Enodo Expense Comps</t>
  </si>
  <si>
    <t>Expense Year:</t>
  </si>
  <si>
    <t>Lender's Expense Comparables</t>
  </si>
  <si>
    <t>2022 Per Unit Expenses</t>
  </si>
  <si>
    <t>2021 - 2022</t>
  </si>
  <si>
    <t>#</t>
  </si>
  <si>
    <t>Project Name</t>
  </si>
  <si>
    <t>Similarity</t>
  </si>
  <si>
    <t>Units/Beds</t>
  </si>
  <si>
    <t>Occ</t>
  </si>
  <si>
    <t>Mgmt. % of EGI</t>
  </si>
  <si>
    <t>Mgmt.</t>
  </si>
  <si>
    <t>Adv</t>
  </si>
  <si>
    <t>Prof</t>
  </si>
  <si>
    <t>Admin</t>
  </si>
  <si>
    <t>W&amp;S</t>
  </si>
  <si>
    <t>R&amp;M</t>
  </si>
  <si>
    <t>Insur- ance</t>
  </si>
  <si>
    <t>RET</t>
  </si>
  <si>
    <t>RR</t>
  </si>
  <si>
    <t>Total (less RET and RR)</t>
  </si>
  <si>
    <t>% Diff</t>
  </si>
  <si>
    <t>% of EGI</t>
  </si>
  <si>
    <t>Prior NCF</t>
  </si>
  <si>
    <t>NCF Change</t>
  </si>
  <si>
    <t>Prior DSCR</t>
  </si>
  <si>
    <t>UW Loan Amt</t>
  </si>
  <si>
    <t>UW NCF</t>
  </si>
  <si>
    <t>Orig. Year</t>
  </si>
  <si>
    <t>Payroll + R&amp;M</t>
  </si>
  <si>
    <t>Payroll + R&amp;M + Admin + Prof + Adv</t>
  </si>
  <si>
    <t>Maximum</t>
  </si>
  <si>
    <t>UW</t>
  </si>
  <si>
    <t>Appraiser's Expense Comparables</t>
  </si>
  <si>
    <t>DUS Insights Expense Comparables</t>
  </si>
  <si>
    <t>Borrower's Portfolio Expenses</t>
  </si>
  <si>
    <t>XXXX - Unit Mix</t>
  </si>
  <si>
    <t>HasUnitCountsMatch</t>
  </si>
  <si>
    <t>Warning - Unit Counts for DataPage and Unit Counts for Rent Comps don't match</t>
  </si>
  <si>
    <t>%</t>
  </si>
  <si>
    <t># of
Bedrooms</t>
  </si>
  <si>
    <t># of
Baths</t>
  </si>
  <si>
    <t>Size
(sq ft)</t>
  </si>
  <si>
    <t>Market
Rent/mo</t>
  </si>
  <si>
    <t>Market
Rent/sq ft</t>
  </si>
  <si>
    <t>Total Rent /mo</t>
  </si>
  <si>
    <t>Average Actual
Rent/mo</t>
  </si>
  <si>
    <t>Avg Actual
Rent/mo w/ Conc</t>
  </si>
  <si>
    <t>Average Actual
Rent/sq ft</t>
  </si>
  <si>
    <t>Units Occupied</t>
  </si>
  <si>
    <t>Units
Vacant</t>
  </si>
  <si>
    <t>% Physically
Vacant</t>
  </si>
  <si>
    <t>Designated Unit Type</t>
  </si>
  <si>
    <t>Column in RR</t>
  </si>
  <si>
    <t>UnitMix_UnitTypesRowVisibility</t>
  </si>
  <si>
    <t>1/0</t>
  </si>
  <si>
    <t>0/0</t>
  </si>
  <si>
    <t>2/0</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</si>
  <si>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</si>
  <si>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</si>
  <si>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</si>
  <si>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</si>
  <si>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</si>
  <si>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</si>
  <si>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</si>
  <si>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</si>
  <si>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</si>
  <si>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</si>
  <si>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</si>
  <si>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</si>
  <si>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</si>
  <si>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</si>
  <si>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</si>
  <si>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</si>
  <si>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</si>
  <si>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</si>
  <si>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</si>
  <si>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</si>
  <si>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</si>
  <si>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</si>
  <si>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</si>
  <si>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</si>
  <si>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</si>
  <si>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</si>
  <si>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r>
      <t>NRA (ft</t>
    </r>
    <r>
      <rPr>
        <color theme="1"/>
        <family val="2"/>
        <rFont val="Calibri"/>
        <scheme val="minor"/>
        <sz val="10"/>
        <vertAlign val="superscript"/>
      </rPr>
      <t>2</t>
    </r>
    <r>
      <rPr>
        <color theme="1"/>
        <family val="2"/>
        <rFont val="Calibri"/>
        <scheme val="minor"/>
        <sz val="10"/>
      </rPr>
      <t>)</t>
    </r>
  </si>
  <si>
    <t>Housing Affordability</t>
  </si>
  <si>
    <t>Submarket Average Market Rent:</t>
  </si>
  <si>
    <t>Difference (Subject vs. Submarket):</t>
  </si>
  <si>
    <t>Submarket Inventory:</t>
  </si>
  <si>
    <t>Median Sales Price of Existing Homes:</t>
  </si>
  <si>
    <t>Units under construction in Submarket:</t>
  </si>
  <si>
    <t>Avg. 30-yr fixed mortgage int. rate:</t>
  </si>
  <si>
    <t>Inventory Growth:</t>
  </si>
  <si>
    <t>Mort. Payment (assuming 10% down &amp; 1.5% T&amp;I):</t>
  </si>
  <si>
    <t>Percentage home ownership to rentals:</t>
  </si>
  <si>
    <t>% Difference between Mortgage Cost &amp; Subject Rent:</t>
  </si>
  <si>
    <t>For Unit Mix on Data Page</t>
  </si>
  <si>
    <t>Avg Actual Rent/mo</t>
  </si>
  <si>
    <t>Total Sq. Ft.</t>
  </si>
  <si>
    <t>Avg Sq. Ft.</t>
  </si>
  <si>
    <t>2BR / 1.0BA</t>
  </si>
  <si>
    <t>2BR / 1.5BA</t>
  </si>
  <si>
    <t>2BR / 2.0BA</t>
  </si>
  <si>
    <t>2BR / 2.5BA</t>
  </si>
  <si>
    <t>For Unit Mix on Rent Comps (not implemented for SBL Sizer)</t>
  </si>
  <si>
    <t>UnitMix_RentCompsRowVisibility</t>
  </si>
  <si>
    <t>Avg Act Rent</t>
  </si>
  <si>
    <t>Sqft</t>
  </si>
  <si>
    <t>Floorplans</t>
  </si>
  <si>
    <t>Property Name: XXXX</t>
  </si>
  <si>
    <t># Borrowers</t>
  </si>
  <si>
    <t># KPs / Guarantors</t>
  </si>
  <si>
    <t># Principals</t>
  </si>
  <si>
    <t>Entity Information:</t>
  </si>
  <si>
    <t>Borrower #1</t>
  </si>
  <si>
    <t>Borrower #2</t>
  </si>
  <si>
    <t>Borrower #3</t>
  </si>
  <si>
    <t>Borrower #4</t>
  </si>
  <si>
    <t>Borrower #5</t>
  </si>
  <si>
    <t>Borrower #6</t>
  </si>
  <si>
    <t>Borrower #7</t>
  </si>
  <si>
    <t>Borrower #8</t>
  </si>
  <si>
    <t>Borrower #9</t>
  </si>
  <si>
    <t>Borrower #10</t>
  </si>
  <si>
    <t>KP #1</t>
  </si>
  <si>
    <t>KP #2</t>
  </si>
  <si>
    <t>KP #3</t>
  </si>
  <si>
    <t>KP #4</t>
  </si>
  <si>
    <t>KP #5</t>
  </si>
  <si>
    <t>KP #6</t>
  </si>
  <si>
    <t>KP #7</t>
  </si>
  <si>
    <t>KP #8</t>
  </si>
  <si>
    <t>Principal #1</t>
  </si>
  <si>
    <t>Principal #2</t>
  </si>
  <si>
    <t>Principal #3</t>
  </si>
  <si>
    <t>Principal #4</t>
  </si>
  <si>
    <t>Principal #5</t>
  </si>
  <si>
    <t>Principal #6</t>
  </si>
  <si>
    <t>Principal #7</t>
  </si>
  <si>
    <t>Principal #8</t>
  </si>
  <si>
    <t>Principal #9</t>
  </si>
  <si>
    <t>Principal #10</t>
  </si>
  <si>
    <t>Principal #11</t>
  </si>
  <si>
    <t>Principal #12</t>
  </si>
  <si>
    <t>Principal #13</t>
  </si>
  <si>
    <t>Principal #14</t>
  </si>
  <si>
    <t>Principal #15</t>
  </si>
  <si>
    <t>&lt;=  Hide unneeded columns, do not delete.</t>
  </si>
  <si>
    <t>Name: max length of 50 characters, no illegal characters: ", ', &lt;, &gt;, &amp;</t>
  </si>
  <si>
    <t xml:space="preserve">  Deleting columns will cause C&amp;D Export to fail.</t>
  </si>
  <si>
    <t>Financial Information Waived?</t>
  </si>
  <si>
    <t>Financial Information Dated:</t>
  </si>
  <si>
    <t>Assets</t>
  </si>
  <si>
    <t>Bank Cash &amp; Certificates of Deposit</t>
  </si>
  <si>
    <t>Marketable Securities</t>
  </si>
  <si>
    <t>Total Cash and Equivalent</t>
  </si>
  <si>
    <t>Unlisted Stocks or Value in Closely Held Companies</t>
  </si>
  <si>
    <t>Value of Personal Residences</t>
  </si>
  <si>
    <t>Value of Other Real Estate</t>
  </si>
  <si>
    <t>Value of all Real Estate</t>
  </si>
  <si>
    <t>Accounts Receivable</t>
  </si>
  <si>
    <t>Notes Receivable</t>
  </si>
  <si>
    <t>IRA's/Life Insurance</t>
  </si>
  <si>
    <t>Other Assets</t>
  </si>
  <si>
    <t>Sub-Total Other Assets</t>
  </si>
  <si>
    <t>Total Assets</t>
  </si>
  <si>
    <t>Liabilities</t>
  </si>
  <si>
    <t>Secured by Personal Residence</t>
  </si>
  <si>
    <t>Secured by Other Real Estate Owned</t>
  </si>
  <si>
    <t>Sub-Total of all Real Estate</t>
  </si>
  <si>
    <t>Accounts Payable</t>
  </si>
  <si>
    <t>Notes Payable</t>
  </si>
  <si>
    <t>Other Liabilities</t>
  </si>
  <si>
    <t>Sub-Total Other Liabilities</t>
  </si>
  <si>
    <t>TOTAL LIABILITIES</t>
  </si>
  <si>
    <t>Net Worth</t>
  </si>
  <si>
    <t>Approximate cash flow from real estate?</t>
  </si>
  <si>
    <t>Contingent Liabilities</t>
  </si>
  <si>
    <t>Current Liabilities</t>
  </si>
  <si>
    <t>Amount of Liquidity Verified (KP's Only)</t>
  </si>
  <si>
    <t>% of Liquidity Verified</t>
  </si>
  <si>
    <t>Prior W&amp;D experience?, If yes = $</t>
  </si>
  <si>
    <t>Prior FNMA experience?, If yes = $</t>
  </si>
  <si>
    <t>C&amp;D Participant Role</t>
  </si>
  <si>
    <t>Liquidity Ratio:</t>
  </si>
  <si>
    <t>Tangible Net Worth Ratio:</t>
  </si>
  <si>
    <t>Portfolio DSCR:</t>
  </si>
  <si>
    <t>Borrower's, Key Principal's and Principals Credit Information:</t>
  </si>
  <si>
    <t>Domestic Borrower?</t>
  </si>
  <si>
    <t>Single asset entity:</t>
  </si>
  <si>
    <t>Type of Entity:</t>
  </si>
  <si>
    <t>Date Formed:</t>
  </si>
  <si>
    <t>Address:</t>
  </si>
  <si>
    <t>City:</t>
  </si>
  <si>
    <t>State:</t>
  </si>
  <si>
    <t>Zip:</t>
  </si>
  <si>
    <t>Years of Ownership/Mgmt Experience:</t>
  </si>
  <si>
    <t>Years of Mgmt Experience in this Market:</t>
  </si>
  <si>
    <t>Percent of Ownership:</t>
  </si>
  <si>
    <t>Credit Checks</t>
  </si>
  <si>
    <t>Date of Credit Report/Public Record Search:</t>
  </si>
  <si>
    <t>Fico Score</t>
  </si>
  <si>
    <t>Date of AEC?</t>
  </si>
  <si>
    <t>Date of Google Search?</t>
  </si>
  <si>
    <t>Date of OFAC?</t>
  </si>
  <si>
    <t>Date of Lexis/Nexis?</t>
  </si>
  <si>
    <t>Date of LDP (HUD):</t>
  </si>
  <si>
    <t>Date of EPLS (HUD)</t>
  </si>
  <si>
    <t>Date of Suspended CP (FHFA)</t>
  </si>
  <si>
    <t>Courtlink Search</t>
  </si>
  <si>
    <t>FRM Report ("N/A" if not required for the transaction)</t>
  </si>
  <si>
    <t>Credit Check Acceptable?</t>
  </si>
  <si>
    <t>Combined KP Net Worth / 0.00% of Loan Amount</t>
  </si>
  <si>
    <t>Combined KP Liquidity  / 0.00% of Loan Amount</t>
  </si>
  <si>
    <t>Bottom Righthand Corner Cell</t>
  </si>
  <si>
    <t>Combined KP Net Worth as % of Loan Amount</t>
  </si>
  <si>
    <t>Combined KP Liquidity as % of Loan Amount</t>
  </si>
  <si>
    <t>Schedule of Real Estate Owned</t>
  </si>
  <si>
    <t>Key Principal:</t>
  </si>
  <si>
    <t>NOTE - FOR OCC % PLEASE REFLECT CURRENT OCCUPANCY BASED ON % OF TENANTS CURRENTLY PAYING RENT</t>
  </si>
  <si>
    <t>Property Info</t>
  </si>
  <si>
    <t>Debt</t>
  </si>
  <si>
    <t>Cash Flow</t>
  </si>
  <si>
    <t>Valuation</t>
  </si>
  <si>
    <t>Lender Valuation</t>
  </si>
  <si>
    <t>Ownership</t>
  </si>
  <si>
    <t>Stress DSCR Test</t>
  </si>
  <si>
    <t>Property 
Name</t>
  </si>
  <si>
    <t>Asset Type</t>
  </si>
  <si>
    <t>Units</t>
  </si>
  <si>
    <t>Occ. 
%</t>
  </si>
  <si>
    <t>Owned Since</t>
  </si>
  <si>
    <t>Status</t>
  </si>
  <si>
    <t>Outstanding Loan(s)</t>
  </si>
  <si>
    <t>Supplemental Loan(s)</t>
  </si>
  <si>
    <t>Total Loan(s)</t>
  </si>
  <si>
    <t>Combined Annual Debt Service</t>
  </si>
  <si>
    <t>Interest Rate 
(1st / 2nd)</t>
  </si>
  <si>
    <t>IO or Amortizing Debt Service</t>
  </si>
  <si>
    <t>Maturity Date(s)</t>
  </si>
  <si>
    <t>Lender(s)</t>
  </si>
  <si>
    <t>FNMA 
or 
FRE Mac Loan</t>
  </si>
  <si>
    <t>Forbearance Requested/Granted due to Covid-19 (Y/N)</t>
  </si>
  <si>
    <t>NCF
(before Debt Service)</t>
  </si>
  <si>
    <t>Total
DCR</t>
  </si>
  <si>
    <t>Market Value</t>
  </si>
  <si>
    <t>Value per Unit</t>
  </si>
  <si>
    <t>Implied Cap Rate</t>
  </si>
  <si>
    <t>XXXX Ownership Role</t>
  </si>
  <si>
    <t>XXXX Ownership Interest</t>
  </si>
  <si>
    <t>Total Equity</t>
  </si>
  <si>
    <t>Total CF</t>
  </si>
  <si>
    <t>Amount of Recourse</t>
  </si>
  <si>
    <t>MV per Stressed Cap Rate</t>
  </si>
  <si>
    <t>Stressed LTV</t>
  </si>
  <si>
    <t>Debt Service at Stressed Interest Rate</t>
  </si>
  <si>
    <t>KP Equity / Cash Flow:</t>
  </si>
  <si>
    <t>Equity / Cash Flow:</t>
  </si>
  <si>
    <t>W&amp;D Loans</t>
  </si>
  <si>
    <t>FNMA Loans</t>
  </si>
  <si>
    <t>Commercial/Retail/Office</t>
  </si>
  <si>
    <t>NOTE - FOR OCC % PLEASE REFLECT CURRENT OCCUPANCY BASED ON % OF TENANTS CURRENTLY PAYING RENT AND IDENTIFY RETAIL TENANTS CURRENTLY CLOSED DUE TO COVID-19</t>
  </si>
  <si>
    <t>Sq.Ft.</t>
  </si>
  <si>
    <t>Value per SF</t>
  </si>
  <si>
    <t>Land</t>
  </si>
  <si>
    <t>Asset Type  
(to be built)</t>
  </si>
  <si>
    <t>Acres</t>
  </si>
  <si>
    <t>Anticipated YR of Const.</t>
  </si>
  <si>
    <t>Under Construction / Non-Stabilized</t>
  </si>
  <si>
    <t>Units/
Sq.Ft.</t>
  </si>
  <si>
    <t>Estimated Date of Completion</t>
  </si>
  <si>
    <t>Est. Date of Stabilization</t>
  </si>
  <si>
    <t>Equity Reported in Financial Statements</t>
  </si>
  <si>
    <t>Difference between FS and SREO</t>
  </si>
  <si>
    <t>% Difference between FS and SREO</t>
  </si>
  <si>
    <t>NCF 
(before Debt Service)</t>
  </si>
  <si>
    <t>#Comps</t>
  </si>
  <si>
    <t>#Incomplete</t>
  </si>
  <si>
    <t>XXXX - Rent Comparable Analysis</t>
  </si>
  <si>
    <t xml:space="preserve">   Seniors  ======================================&gt;</t>
  </si>
  <si>
    <t>Has Data</t>
  </si>
  <si>
    <t>Has All Non-UnitType data</t>
  </si>
  <si>
    <t>Number of Complete UnitType rows</t>
  </si>
  <si>
    <t>UnitType is complete</t>
  </si>
  <si>
    <t>Is Complete &amp; Valid</t>
  </si>
  <si>
    <t xml:space="preserve">Property Name </t>
  </si>
  <si>
    <t>Property Address</t>
  </si>
  <si>
    <t>Property City</t>
  </si>
  <si>
    <t>Property State</t>
  </si>
  <si>
    <t>Property Zip</t>
  </si>
  <si>
    <t>Occ%</t>
  </si>
  <si>
    <t># of Bed- rooms</t>
  </si>
  <si>
    <t># of Bath- rooms</t>
  </si>
  <si>
    <t>Min Unit Size(SF)</t>
  </si>
  <si>
    <t>Max Unit Size(SF)</t>
  </si>
  <si>
    <t>Min Rent /Unit</t>
  </si>
  <si>
    <t>Max Rent /Unit</t>
  </si>
  <si>
    <t>Rent Range/Unit by  Independent Living</t>
  </si>
  <si>
    <t>Rent Range/Unit by Assisted Living</t>
  </si>
  <si>
    <t>Rent Range/Unit by Alzheimer’s Care</t>
  </si>
  <si>
    <t>Rent Range/Unit by Skilled Nursing</t>
  </si>
  <si>
    <t>Comparable 1</t>
  </si>
  <si>
    <t>Comparable 2</t>
  </si>
  <si>
    <t>Comparable 3</t>
  </si>
  <si>
    <t>Comparable 4</t>
  </si>
  <si>
    <t>Comparable 5</t>
  </si>
  <si>
    <t>Comparable 6</t>
  </si>
  <si>
    <t>Comparable 7</t>
  </si>
  <si>
    <t>Comparable 8</t>
  </si>
  <si>
    <t>Comparable 9</t>
  </si>
  <si>
    <t>Comparable 10</t>
  </si>
  <si>
    <t># Comps</t>
  </si>
  <si>
    <t># Incomplete</t>
  </si>
  <si>
    <t>Is Complete</t>
  </si>
  <si>
    <t>Sales Comparable Analysis</t>
  </si>
  <si>
    <t>Date of Sale</t>
  </si>
  <si>
    <t>Average Sq. Ft./Unit</t>
  </si>
  <si>
    <t>Sale Price</t>
  </si>
  <si>
    <t>Sale Price/Sq. Ft.</t>
  </si>
  <si>
    <t>Sale Price/Unit</t>
  </si>
  <si>
    <t>Adj. Price/Unit</t>
  </si>
  <si>
    <t>Comparison</t>
  </si>
  <si>
    <t>ENGINEERING REPORT SUMMARY &amp; RESERVE CALCULATION</t>
  </si>
  <si>
    <t>Company:</t>
  </si>
  <si>
    <t>Overall Condition of Asset:</t>
  </si>
  <si>
    <t>Fair</t>
  </si>
  <si>
    <t>Date of Report:</t>
  </si>
  <si>
    <t>Report Complete:</t>
  </si>
  <si>
    <t>Reserve Schedule Term:</t>
  </si>
  <si>
    <t>Immediate</t>
  </si>
  <si>
    <t>Initial</t>
  </si>
  <si>
    <t>Inflation</t>
  </si>
  <si>
    <t>YEAR</t>
  </si>
  <si>
    <t>Engineer's Item</t>
  </si>
  <si>
    <t>Repairs</t>
  </si>
  <si>
    <t>Deposit</t>
  </si>
  <si>
    <t>Factor</t>
  </si>
  <si>
    <t>Inflation factor</t>
  </si>
  <si>
    <t>Escrow Interest Rate</t>
  </si>
  <si>
    <t>Paving Repairs/Seal Coat</t>
  </si>
  <si>
    <t>----</t>
  </si>
  <si>
    <t>Sidewalk Repairs</t>
  </si>
  <si>
    <t>Refinish Pools</t>
  </si>
  <si>
    <t>Exterior Paint &amp; Repair</t>
  </si>
  <si>
    <t>Clubhouse Finish</t>
  </si>
  <si>
    <t>Clubhouse Condensers</t>
  </si>
  <si>
    <t>Laundry DHW Heater</t>
  </si>
  <si>
    <t>Unit DHW Heaters</t>
  </si>
  <si>
    <t>Unit Pad Mounted Condensers</t>
  </si>
  <si>
    <t>Carpet in Units</t>
  </si>
  <si>
    <t>Vinyl Floors</t>
  </si>
  <si>
    <t>Countertop &amp; Sinks</t>
  </si>
  <si>
    <t>Dishwashers</t>
  </si>
  <si>
    <t>Ranges</t>
  </si>
  <si>
    <t>Refrigerators</t>
  </si>
  <si>
    <t>UNDERWRITER'S TOTAL</t>
  </si>
  <si>
    <t>Escrow/Initial Deposit</t>
  </si>
  <si>
    <t>Collected Per Unit Per Year</t>
  </si>
  <si>
    <t>Min. RR/Unit/Anum:</t>
  </si>
  <si>
    <t>Total Annual Collection</t>
  </si>
  <si>
    <t>Reserves with ID:</t>
  </si>
  <si>
    <t>Interest</t>
  </si>
  <si>
    <t>Reserves w/o ID:</t>
  </si>
  <si>
    <t>Escrow Balance</t>
  </si>
  <si>
    <t>Replacement Reserves Waived?</t>
  </si>
  <si>
    <t>IMMEDIATE REPAIRS</t>
  </si>
  <si>
    <t>Completion Timeframe (post closing)</t>
  </si>
  <si>
    <t>Amount</t>
  </si>
  <si>
    <t>Inflation Factor</t>
  </si>
  <si>
    <t>Escrow Amount</t>
  </si>
  <si>
    <t>Life Safety Items</t>
  </si>
  <si>
    <t>Repair Description</t>
  </si>
  <si>
    <t>Critical Repairs</t>
  </si>
  <si>
    <t>Deferred Maintenance Costs</t>
  </si>
  <si>
    <t>Green Rewards</t>
  </si>
  <si>
    <t>Completion Repair Escrow</t>
  </si>
  <si>
    <t>Immediate Repairs Waived?</t>
  </si>
  <si>
    <t>Calculated RR/Unit:</t>
  </si>
  <si>
    <t>RR/Unit</t>
  </si>
  <si>
    <t>Prior to Rate Lock</t>
  </si>
  <si>
    <t>Prior to Closing</t>
  </si>
  <si>
    <t>1 Month</t>
  </si>
  <si>
    <t>2 Months</t>
  </si>
  <si>
    <t>3 Months</t>
  </si>
  <si>
    <t>6 Months</t>
  </si>
  <si>
    <t>12 Months</t>
  </si>
  <si>
    <t>Completed</t>
  </si>
  <si>
    <t>Fannie Mae (FM) Underwriter's Data Form (4662)</t>
  </si>
  <si>
    <t>Version 5.1 | Last Revised 11/2020</t>
  </si>
  <si>
    <t>Deal Name:</t>
  </si>
  <si>
    <t>Lender Name:</t>
  </si>
  <si>
    <t>Fannie Mae Commitment Number:</t>
  </si>
  <si>
    <t>Funding/Pool Number (MBS Only):</t>
  </si>
  <si>
    <t>Borrower Loan Purpose:</t>
  </si>
  <si>
    <t>Application Loan Amount:</t>
  </si>
  <si>
    <t>Number of Buildings:</t>
  </si>
  <si>
    <t>Mezz. Loan Acquisition UPB:</t>
  </si>
  <si>
    <t>Mo. Pmt:</t>
  </si>
  <si>
    <t>Phase Number:</t>
  </si>
  <si>
    <t>Pricing Tier:</t>
  </si>
  <si>
    <t>Rate Lock Term:</t>
  </si>
  <si>
    <t>Year Completed:</t>
  </si>
  <si>
    <t>Tier Drop Eligible?</t>
  </si>
  <si>
    <t>Expiration Date:</t>
  </si>
  <si>
    <t>Constructed Units:</t>
  </si>
  <si>
    <t>Treasury Rate:</t>
  </si>
  <si>
    <t>Total Residential Units:</t>
  </si>
  <si>
    <t>Gross Spread:</t>
  </si>
  <si>
    <t>Rentable Residential Area:</t>
  </si>
  <si>
    <t>sq. ft.</t>
  </si>
  <si>
    <t>Cap Cost Factor:</t>
  </si>
  <si>
    <t>(SARMs Only)</t>
  </si>
  <si>
    <t>UW Floor Rate:</t>
  </si>
  <si>
    <t>(Fixed Rate Only)</t>
  </si>
  <si>
    <t>Age Restricted?</t>
  </si>
  <si>
    <t>Taxes Escrowed?</t>
  </si>
  <si>
    <t>UW Rate:</t>
  </si>
  <si>
    <t>Terrorism Ins. Coverage?</t>
  </si>
  <si>
    <t>Insurance Escrowed?</t>
  </si>
  <si>
    <t>Seismic Zone 3 or 4?</t>
  </si>
  <si>
    <t>Other Special Escrows?</t>
  </si>
  <si>
    <t>High Seismic Risk?</t>
  </si>
  <si>
    <t>All Utilities Included in Rent?</t>
  </si>
  <si>
    <t>USGS PGA Calculation Tutorial</t>
  </si>
  <si>
    <t>Op. Statement (Fiscal Year):</t>
  </si>
  <si>
    <t>UW Phys. Occ.:</t>
  </si>
  <si>
    <t>UW Econ. Occ.:</t>
  </si>
  <si>
    <t>Affordable Housing Type:</t>
  </si>
  <si>
    <t>UW Property Value:</t>
  </si>
  <si>
    <t>as of date:</t>
  </si>
  <si>
    <t>Describe if "Other":</t>
  </si>
  <si>
    <t>Mezz. CLTV:</t>
  </si>
  <si>
    <t>HAP Remaining Term:</t>
  </si>
  <si>
    <t>mos.</t>
  </si>
  <si>
    <t>Affordable Housing Data Guidance</t>
  </si>
  <si>
    <t>(Include Hard Addtl Debt)</t>
  </si>
  <si>
    <t>(Only with Mezz. Financing)</t>
  </si>
  <si>
    <t>For All Properties with Income or Rent Restrictions:</t>
  </si>
  <si>
    <t>(Max. Total = 100%)</t>
  </si>
  <si>
    <t>UW EGI:</t>
  </si>
  <si>
    <t>UW Tot. Op. Exp.:</t>
  </si>
  <si>
    <t>% of Units at or Below 80% AMI ("Low Income"):</t>
  </si>
  <si>
    <t>UW NCF:</t>
  </si>
  <si>
    <t>Co-Op Equiv. NCF:</t>
  </si>
  <si>
    <t>% of Units at or Below 60% AMI:</t>
  </si>
  <si>
    <t>% of Units at or Below 50% AMI ("Very Low Income"):</t>
  </si>
  <si>
    <t>Min. UW DSCR Hurdle:</t>
  </si>
  <si>
    <t>Total Percentage of Units with Income or Rent Restrictions:</t>
  </si>
  <si>
    <t>UW DSCR per Guide Rqmts.:</t>
  </si>
  <si>
    <t>Actual DSCR:</t>
  </si>
  <si>
    <t>DSCR at Max. Payment:</t>
  </si>
  <si>
    <t>Immediate Repair Total:</t>
  </si>
  <si>
    <t>Combined Actual DSCR:</t>
  </si>
  <si>
    <t>(Incl. Mezz. Financing)</t>
  </si>
  <si>
    <t>Lender Comments:</t>
  </si>
  <si>
    <t>Chief Underwriter</t>
  </si>
  <si>
    <t>Underwriter's Data Form</t>
  </si>
  <si>
    <t>Form 4662</t>
  </si>
  <si>
    <t>©2020 Fannie Mae</t>
  </si>
  <si>
    <t>Fannie Mae</t>
  </si>
  <si>
    <t>Walker &amp; Dunlop - Fannie Mae Trade Term Sheet</t>
  </si>
  <si>
    <t>Estimated Loan Amount</t>
  </si>
  <si>
    <t>Property:</t>
  </si>
  <si>
    <t>Pricing Information:</t>
  </si>
  <si>
    <t>Trade Price: Expected</t>
  </si>
  <si>
    <t>Today's Rate</t>
  </si>
  <si>
    <t>Minimum Fee Collected?</t>
  </si>
  <si>
    <t>City, XX, XXXXX</t>
  </si>
  <si>
    <t>Max Note Rate (for max proceeds):</t>
  </si>
  <si>
    <t>Max Approved Loan Amount</t>
  </si>
  <si>
    <t>Property County:</t>
  </si>
  <si>
    <t>Approved Fixed Rate</t>
  </si>
  <si>
    <t>Approved Variable Rate</t>
  </si>
  <si>
    <t>Approved Fixed Rate Constant</t>
  </si>
  <si>
    <t>Approved Variable Constant</t>
  </si>
  <si>
    <t>Fixed Rate (Remaining NCF's)</t>
  </si>
  <si>
    <t>Variable Rate (Remaining NCF's)</t>
  </si>
  <si>
    <t>Loan Details</t>
  </si>
  <si>
    <t>Settlement &amp; Trade Data:</t>
  </si>
  <si>
    <t>Approved Floor Rate</t>
  </si>
  <si>
    <t>Stress Rate</t>
  </si>
  <si>
    <t>Rem. NCF (Note Rate)</t>
  </si>
  <si>
    <t>Rem. NCF (Pay Rate)</t>
  </si>
  <si>
    <t>Est Loan Amt / Max Approved Loan Amount:</t>
  </si>
  <si>
    <t>Closing Date:</t>
  </si>
  <si>
    <t>XX/XX/XXXX</t>
  </si>
  <si>
    <t>Approved Floor Constant</t>
  </si>
  <si>
    <t>Stress Constant</t>
  </si>
  <si>
    <t>Interest Rate:</t>
  </si>
  <si>
    <t>Settlement Date:</t>
  </si>
  <si>
    <t>Rem. NCF (Floor Rate)</t>
  </si>
  <si>
    <t>Rem. NCF (Stress Rate)</t>
  </si>
  <si>
    <t>Lien Position:</t>
  </si>
  <si>
    <t>First</t>
  </si>
  <si>
    <t>Not to Exceed (Fixed Rate)</t>
  </si>
  <si>
    <t>Loan Term:</t>
  </si>
  <si>
    <t>Delivery Tolerance (Up/Down):</t>
  </si>
  <si>
    <t>Max Rate (SARM)</t>
  </si>
  <si>
    <t>Prepayment Protection (string):</t>
  </si>
  <si>
    <t>Product Type:</t>
  </si>
  <si>
    <t>DUS MBS</t>
  </si>
  <si>
    <t>Interest Only Period:</t>
  </si>
  <si>
    <t>Number  of Loans:</t>
  </si>
  <si>
    <t>Min Actual UW DSCR (Actual/Note)</t>
  </si>
  <si>
    <t>Min Actual UW DSCR (Pay Rate)</t>
  </si>
  <si>
    <t>Amortization Term (UW / Actual):</t>
  </si>
  <si>
    <t>Percentage of Initial Pool Balance:</t>
  </si>
  <si>
    <t>Interest Accrual:</t>
  </si>
  <si>
    <t>Eligible for Re-Securitization:</t>
  </si>
  <si>
    <t>Min UW DSCR (Floor)</t>
  </si>
  <si>
    <t>Min Tier UW DSCR (Stress Rate)</t>
  </si>
  <si>
    <t>UST Floor (%):</t>
  </si>
  <si>
    <t>Not Received</t>
  </si>
  <si>
    <t>Rate Constant</t>
  </si>
  <si>
    <t>Approved Loan Amount</t>
  </si>
  <si>
    <t>Max Loan @ UW DSCR Actual Rate</t>
  </si>
  <si>
    <t>Max Loan @ UW DSCR Floor Rate</t>
  </si>
  <si>
    <t>Max Loan @ UW DSCR Pay Rate</t>
  </si>
  <si>
    <t>Max Loan @ UW DSCR Stress Rate</t>
  </si>
  <si>
    <t>Standard Multifamily</t>
  </si>
  <si>
    <r>
      <t>Tier /</t>
    </r>
    <r>
      <rPr>
        <color rgb="FF0000FF"/>
        <family val="2"/>
        <rFont val="Calibri"/>
        <scheme val="minor"/>
        <sz val="11"/>
      </rPr>
      <t xml:space="preserve"> Tier Dropping:</t>
    </r>
  </si>
  <si>
    <t>Specialty Property %:</t>
  </si>
  <si>
    <t xml:space="preserve">Guaranty Fee:                          </t>
  </si>
  <si>
    <t>Loan Purpose:</t>
  </si>
  <si>
    <t xml:space="preserve">Servicing Fee: </t>
  </si>
  <si>
    <r>
      <rPr>
        <family val="2"/>
        <rFont val="Calibri"/>
        <scheme val="minor"/>
        <sz val="11"/>
      </rPr>
      <t xml:space="preserve">Number of Units / </t>
    </r>
    <r>
      <rPr>
        <color rgb="FF0000FF"/>
        <family val="2"/>
        <rFont val="Calibri"/>
        <scheme val="minor"/>
        <sz val="11"/>
      </rPr>
      <t>Properties</t>
    </r>
    <r>
      <rPr>
        <color theme="1"/>
        <family val="2"/>
        <rFont val="Calibri"/>
        <scheme val="minor"/>
        <sz val="11"/>
      </rPr>
      <t>:</t>
    </r>
  </si>
  <si>
    <t>Total G&amp;S:</t>
  </si>
  <si>
    <t>U/W NCF:</t>
  </si>
  <si>
    <r>
      <t xml:space="preserve">Year Built / </t>
    </r>
    <r>
      <rPr>
        <color rgb="FF0000FF"/>
        <family val="2"/>
        <rFont val="Calibri"/>
        <scheme val="minor"/>
        <sz val="12"/>
      </rPr>
      <t>Renovated</t>
    </r>
    <r>
      <rPr>
        <family val="2"/>
        <rFont val="Calibri"/>
        <scheme val="minor"/>
        <sz val="12"/>
      </rPr>
      <t>:</t>
    </r>
  </si>
  <si>
    <t>Minimum UW NCF DSCR:</t>
  </si>
  <si>
    <t>Cross Default/Cross Collateralization:</t>
  </si>
  <si>
    <t>Est. UW NCF DSCR (amort / IO):</t>
  </si>
  <si>
    <t>Green Financing Type:</t>
  </si>
  <si>
    <t>U/W Property Value:</t>
  </si>
  <si>
    <t>Green Building Certification:</t>
  </si>
  <si>
    <t>Ownership Type:</t>
  </si>
  <si>
    <t>Fee Simple</t>
  </si>
  <si>
    <t>Estimated LTV:</t>
  </si>
  <si>
    <t>Pre-Existing Additional Debt (Bal):</t>
  </si>
  <si>
    <t>Affordability Information</t>
  </si>
  <si>
    <t>Restricted</t>
  </si>
  <si>
    <t>Rent Roll*</t>
  </si>
  <si>
    <t>Additional Debt (Rate/Maturity):</t>
  </si>
  <si>
    <t>% Units &lt;= 50% AMI</t>
  </si>
  <si>
    <t>Existing Credit Facility #Assets/UPB</t>
  </si>
  <si>
    <t>% of Units &gt; 50% - 60% AMI</t>
  </si>
  <si>
    <t>% of Units &gt; 60% - 80% AMI</t>
  </si>
  <si>
    <t>% of Units &gt; 80% - 100% AMI</t>
  </si>
  <si>
    <t>% of Units &gt; 100% - 120% AMI</t>
  </si>
  <si>
    <t>% of Units &gt; 120% AMI</t>
  </si>
  <si>
    <t>*Data based on the MAE Multifamily Affordability Estimator</t>
  </si>
  <si>
    <t>ARM Related Fields</t>
  </si>
  <si>
    <t>ARM Product</t>
  </si>
  <si>
    <t>Lifetime Pass Thru Cap:</t>
  </si>
  <si>
    <t>Convertible:</t>
  </si>
  <si>
    <t>Est. UW NCR DSCR at Cap:</t>
  </si>
  <si>
    <t>Lockout Term (months):</t>
  </si>
  <si>
    <t>Per Rate Change Cap:</t>
  </si>
  <si>
    <t>Standard Lookback (days):</t>
  </si>
  <si>
    <t>Fixed Principal Payment (SARM):</t>
  </si>
  <si>
    <t>Rate Reset Frequency (months):</t>
  </si>
  <si>
    <t>Estimated MBS Margin (bps):</t>
  </si>
  <si>
    <t>MBS Security Disclosures:</t>
  </si>
  <si>
    <t>Signatures:</t>
  </si>
  <si>
    <t>Underwriter:</t>
  </si>
  <si>
    <t>DCU:</t>
  </si>
  <si>
    <t>Applicant Check / Reviewed Commitment:</t>
  </si>
  <si>
    <t xml:space="preserve">Producer: </t>
  </si>
  <si>
    <t>Closer:</t>
  </si>
  <si>
    <t>Completed by Trading:</t>
  </si>
  <si>
    <t>Investor:</t>
  </si>
  <si>
    <t>Investor Spread:</t>
  </si>
  <si>
    <t>Investor Contact:</t>
  </si>
  <si>
    <t>Pass Thru/Coupon:</t>
  </si>
  <si>
    <t>Swap Spread:</t>
  </si>
  <si>
    <t>Gross Rate:</t>
  </si>
  <si>
    <t>Trade Price:</t>
  </si>
  <si>
    <t>Contract Taken By:</t>
  </si>
  <si>
    <t>Trader</t>
  </si>
  <si>
    <t>Time</t>
  </si>
  <si>
    <t>If apply, please include in "Other Notes" section:</t>
  </si>
  <si>
    <t>SARM details:</t>
  </si>
  <si>
    <t>Affordable details:</t>
  </si>
  <si>
    <t>ARM Index Description (1M Libor, 3M Libor)</t>
  </si>
  <si>
    <t>Affordable Type (HAP, LIHTC, LURA)</t>
  </si>
  <si>
    <t>Convertible (Yes or No)</t>
  </si>
  <si>
    <t>Income Restrictions % of Units at % AMI</t>
  </si>
  <si>
    <t>DSCR at Interest Rate Cap</t>
  </si>
  <si>
    <t>Term of Tax Credits 
(Benefit + Compliance Period)</t>
  </si>
  <si>
    <t>DSCR at Fixed Rate Test</t>
  </si>
  <si>
    <t>Provide copy of HAP Contract and/or LURA (if applicable)</t>
  </si>
  <si>
    <t>Note Rate Ceiling and/or Floor</t>
  </si>
  <si>
    <t>Fixed Principal Payment, what is it?</t>
  </si>
  <si>
    <t>Other Notes Examples:</t>
  </si>
  <si>
    <t>Rate Change Date (1st Payment Date)</t>
  </si>
  <si>
    <t>Green MBS/Certification</t>
  </si>
  <si>
    <t>Additional Disclosure for Non-Standard Characteristics:  Loans on Properties Securing Additional Current or Future Debt</t>
  </si>
  <si>
    <r>
      <rPr>
        <b/>
        <color rgb="FF000000"/>
        <family val="2"/>
        <rFont val="Calibri"/>
        <sz val="11"/>
      </rPr>
      <t>Bifurcated Mortgage Loan</t>
    </r>
    <r>
      <rPr>
        <color theme="1"/>
        <family val="2"/>
        <rFont val="Calibri"/>
        <scheme val="minor"/>
        <sz val="11"/>
      </rPr>
      <t xml:space="preserve">:  A Bifurcated Mortgage Loan is a single Mortgage Loan where the aggregate amount of the debt is divided among two separate Notes having the same (i.e., pari passu) payment priority, with both Notes being secured by a single Security Instrument. Each Note in a Bifurcated Mortgage Loan generally has different loan terms (e.g., Maturity Date, required Prepayment Premium), which permits the Borrower to pay off a portion of the total debt during the term of the Bifurcated Mortgage Loan. An example of a Bifurcated Mortgage Loan: one Note is subject to an Interest Reduction Program (“IRP”) and the other is not. </t>
    </r>
  </si>
  <si>
    <r>
      <rPr>
        <b/>
        <color rgb="FF000000"/>
        <family val="2"/>
        <rFont val="Calibri"/>
        <sz val="11"/>
      </rPr>
      <t>Split Mortgage Loan</t>
    </r>
    <r>
      <rPr>
        <color theme="1"/>
        <family val="2"/>
        <rFont val="Calibri"/>
        <scheme val="minor"/>
        <sz val="11"/>
      </rPr>
      <t xml:space="preserve">:  A Split Mortgage Loan consists of two Mortgage Loans, a Senior Mortgage Loan and a Subordinate Mortgage Loan, that are underwritten concurrently as a single credit, but are documented as separate Mortgage Loans (i.e., each is evidenced and/or secured by a separate Loan Agreement, Note, and Security Instrument). Each Mortgage Loan in a Split Mortgage Loan may have different loan terms (e.g., Maturity Date, required Prepayment Premium), which permits the Borrower to pay off a portion of the total debt during the term of the Split Mortgage Loan.
</t>
    </r>
    <r>
      <rPr>
        <b/>
        <color rgb="FF000000"/>
        <family val="2"/>
        <rFont val="Calibri"/>
        <sz val="11"/>
      </rPr>
      <t>NOTE</t>
    </r>
    <r>
      <rPr>
        <color theme="1"/>
        <family val="2"/>
        <rFont val="Calibri"/>
        <scheme val="minor"/>
        <sz val="11"/>
      </rPr>
      <t>: Additional details for delivering a Bifurcated Mortgage Loan or a Split Mortgage Loan are available in the “</t>
    </r>
    <r>
      <rPr>
        <color rgb="FF000000"/>
        <family val="2"/>
        <i/>
        <rFont val="Calibri"/>
        <sz val="11"/>
      </rPr>
      <t>Job Aid: Split, Bifurcated, and Interest Reduction Payment (IRP) Subsidy Loan Structures</t>
    </r>
    <r>
      <rPr>
        <color theme="1"/>
        <family val="2"/>
        <rFont val="Calibri"/>
        <scheme val="minor"/>
        <sz val="11"/>
      </rPr>
      <t xml:space="preserve">”. </t>
    </r>
  </si>
  <si>
    <r>
      <rPr>
        <b/>
        <color rgb="FF000000"/>
        <family val="2"/>
        <rFont val="Calibri"/>
        <sz val="11"/>
      </rPr>
      <t>Cross-Defaulted/Cross-Collateralized:</t>
    </r>
    <r>
      <rPr>
        <color theme="1"/>
        <family val="2"/>
        <rFont val="Calibri"/>
        <scheme val="minor"/>
        <sz val="11"/>
      </rPr>
      <t xml:space="preserve">  A Mortgage Loan with a provision that causes (i) a default under that Mortgage Loan due to the occurrence of a default under a second Mortgage Loan, and/or (ii) the Property securing that Mortgage Loan to also secure a second Mortgage Loan requires Additional Disclosure as provided by the "</t>
    </r>
    <r>
      <rPr>
        <color rgb="FF000000"/>
        <family val="2"/>
        <i/>
        <rFont val="Calibri"/>
        <sz val="11"/>
      </rPr>
      <t>Job Aid: Data Guidance for Cross-Defaulted and Cross-Collateralized Mortgage Loans</t>
    </r>
    <r>
      <rPr>
        <color theme="1"/>
        <family val="2"/>
        <rFont val="Calibri"/>
        <scheme val="minor"/>
        <sz val="11"/>
      </rPr>
      <t xml:space="preserve">”. Any crossdefaulted and/or cross- collateralized Mortgage Loan that allows for the release of one of the Properties or which contains a “due on sale” clause requires Additional Disclosure. </t>
    </r>
  </si>
  <si>
    <t xml:space="preserve">     Job Aid: Data Guidance for Cross-Defaulted and Cross-Collateralized Mortgage Loans</t>
  </si>
  <si>
    <r>
      <rPr>
        <b/>
        <color rgb="FF000000"/>
        <family val="2"/>
        <rFont val="Calibri"/>
        <sz val="11"/>
      </rPr>
      <t>Manufactured Housing Communities (MHC) Financing of Borrower-Owned Manufactured Homes (“Manufactured Housing Rentals”)</t>
    </r>
    <r>
      <rPr>
        <color theme="1"/>
        <family val="2"/>
        <rFont val="Calibri"/>
        <scheme val="minor"/>
        <sz val="11"/>
      </rPr>
      <t>:  Collateral for the Mortgage Loan includes Borrower-owned Manufactured Homes rented to tenants along with the Site Lease.</t>
    </r>
  </si>
  <si>
    <r>
      <rPr>
        <b/>
        <color rgb="FF000000"/>
        <family val="2"/>
        <rFont val="Calibri"/>
        <sz val="11"/>
      </rPr>
      <t>Mezzanine Financing or Preferred Equity</t>
    </r>
    <r>
      <rPr>
        <color theme="1"/>
        <family val="2"/>
        <rFont val="Calibri"/>
        <scheme val="minor"/>
        <sz val="11"/>
      </rPr>
      <t xml:space="preserve">:  Mortgage Loans with (i) Mezzanine Financing permitted under the Loan Agreement, including third party or DUS Lender Affiliate Mezzanine Financing, and which is secured by direct or indirect equity interests in the Borrower, or (ii) Preferred Equity that is identified as a Pre-Review Mortgage Loan in the Multifamily Underwriting Standards (Form 4660). Data for a Mortgage Loan with Hard Preferred Equity should be entered in the Mezzanine Financing fields in C&amp;D. This data will be disclosed in the Mezzanine data fields on Annex A, and in a footnote stating it is Hard Preferred Equity. </t>
    </r>
  </si>
  <si>
    <r>
      <rPr>
        <b/>
        <color rgb="FF000000"/>
        <family val="2"/>
        <rFont val="Calibri"/>
        <sz val="11"/>
      </rPr>
      <t>Senior Third-Party Debt</t>
    </r>
    <r>
      <rPr>
        <color theme="1"/>
        <family val="2"/>
        <rFont val="Calibri"/>
        <scheme val="minor"/>
        <sz val="11"/>
      </rPr>
      <t xml:space="preserve">:  Mortgage Loans with non-Fannie Mae financing secured by a Lien senior to the Mortgage Loan (e.g., state or federal loans or grants with senior Liens on the Property).
</t>
    </r>
    <r>
      <rPr>
        <b/>
        <color rgb="FF000000"/>
        <family val="2"/>
        <rFont val="Calibri"/>
        <sz val="11"/>
      </rPr>
      <t>NOTE</t>
    </r>
    <r>
      <rPr>
        <color theme="1"/>
        <family val="2"/>
        <rFont val="Calibri"/>
        <scheme val="minor"/>
        <sz val="11"/>
      </rPr>
      <t xml:space="preserve">: Subordinate debt that is currently in place or is being placed on the Property concurrently with the Mortgage Loan should not be submitted as Additional Disclosure. Data for such debt should be reflected in C&amp;D in the “Additional Debt” section on both the Commitment and Loan pages. A subset of this data will then be disclosed on Annex A. “Soft subordinate debt” should not be included as “Additional Debt” in C&amp;D. For assistance in determining if a transaction has soft subordinate debt, please contact your Fannie Mae Deal Team. </t>
    </r>
  </si>
  <si>
    <t>Additional Disclosure for Non-Standard Characteristics:  Prepayments</t>
  </si>
  <si>
    <r>
      <rPr>
        <b/>
        <color rgb="FF000000"/>
        <family val="2"/>
        <rFont val="Calibri"/>
        <sz val="11"/>
      </rPr>
      <t>Additional Non-Real Estate Collateral</t>
    </r>
    <r>
      <rPr>
        <color theme="1"/>
        <family val="2"/>
        <rFont val="Calibri"/>
        <scheme val="minor"/>
        <sz val="11"/>
      </rPr>
      <t xml:space="preserve">:  Mortgage Loans that are supported by a Letter of Credit or other additional collateral that secure specific performance by the Borrower and where the proceeds of the Letter of Credit or additional collateral may be used to pay down the Mortgage Loan if the Borrower fails to perform as required (e.g., a Mortgage Loan where an Achievement Agreement provides for a pay down of the Unpaid Principal Balance (UPB) if specific performance benchmarks at the Property are not met). </t>
    </r>
  </si>
  <si>
    <r>
      <rPr>
        <b/>
        <color rgb="FF000000"/>
        <family val="2"/>
        <rFont val="Calibri"/>
        <sz val="11"/>
      </rPr>
      <t>Partial Prepayment</t>
    </r>
    <r>
      <rPr>
        <color theme="1"/>
        <family val="2"/>
        <rFont val="Calibri"/>
        <scheme val="minor"/>
        <sz val="11"/>
      </rPr>
      <t>:  The Loan Documents permit the Borrower to make a voluntary partial Prepayment during the term of the Mortgage Loan (e.g., a partial Prepayment is permitted after a partial release of collateral).</t>
    </r>
  </si>
  <si>
    <t>Additional Disclosure for Non-Standard Characteristics:  Property-Related Issues</t>
  </si>
  <si>
    <r>
      <rPr>
        <b/>
        <color rgb="FF000000"/>
        <family val="2"/>
        <rFont val="Calibri"/>
        <sz val="11"/>
      </rPr>
      <t>Commercial Condominium Project (includes Vertical Subdivision or Air Rights)</t>
    </r>
    <r>
      <rPr>
        <color theme="1"/>
        <family val="2"/>
        <rFont val="Calibri"/>
        <scheme val="minor"/>
        <sz val="11"/>
      </rPr>
      <t xml:space="preserve">:  The Property consists of one or more multifamily housing units of a condominium project, together with any related facilities such as parking areas or recreation facilities, with the remaining units being used for purposes other than multifamily housing (i.e., retail sales). The remaining units are typically not included in the Property, but may include benefits and/or burdens such as easements, rights of way, or common areas that could impact the Property. A standard condominium or a fractured condominium does not require Additional Disclosure unless it is also a commercial condominium. </t>
    </r>
  </si>
  <si>
    <r>
      <rPr>
        <b/>
        <color rgb="FF000000"/>
        <family val="2"/>
        <rFont val="Calibri"/>
        <sz val="11"/>
      </rPr>
      <t>Delaware Statutory Trust (DST)</t>
    </r>
    <r>
      <rPr>
        <color theme="1"/>
        <family val="2"/>
        <rFont val="Calibri"/>
        <scheme val="minor"/>
        <sz val="11"/>
      </rPr>
      <t xml:space="preserve">:  Additional Disclosure is required if:
• the Mortgage Loan Documents permit the DST Borrower to reorganize as an LLC (other than a Springing LLC that is created upon any dissolution of the DST); or
• any DST Borrower is owned by a DST entity. </t>
    </r>
  </si>
  <si>
    <r>
      <rPr>
        <b/>
        <color rgb="FF000000"/>
        <family val="2"/>
        <rFont val="Calibri"/>
        <sz val="11"/>
      </rPr>
      <t>Due-on-Sale and Related Property Transfer Restrictions</t>
    </r>
    <r>
      <rPr>
        <color theme="1"/>
        <family val="2"/>
        <rFont val="Calibri"/>
        <scheme val="minor"/>
        <sz val="11"/>
      </rPr>
      <t xml:space="preserve">:  The Loan Documents contain an additional covenant or event of default providing that the Mortgage Loan will be in default or must be paid in full upon the occurrence of a specified event such as:
• the violation of a covenant requiring the Borrower, or an Affiliate of the Borrower, to acquire an adjacent or related Property (or a controlling interest in the entity owning such Property) so that the adjacent or related Property (or the controlling interest in the entity owning such Property) is not acquired by a third party that is not an Affiliate of the Borrower; or
• the purchase of the Property (or a transfer of a controlling interest in the Borrower or in a Key Principal) by a third party is permitted only if the third party also simultaneously purchases an existing or future phase of the Property or a related Property (or acquires a controlling interest in the entity that owns the phase or Property); a failure to comply with the restrictions on sale or transfer results in acceleration of the Mortgage Loan. </t>
    </r>
  </si>
  <si>
    <r>
      <rPr>
        <b/>
        <color rgb="FF000000"/>
        <family val="2"/>
        <rFont val="Calibri"/>
        <sz val="11"/>
      </rPr>
      <t>Future Release, Condemnation, or Property Not Security</t>
    </r>
    <r>
      <rPr>
        <color theme="1"/>
        <family val="2"/>
        <rFont val="Calibri"/>
        <scheme val="minor"/>
        <sz val="11"/>
      </rPr>
      <t xml:space="preserve">:  Mortgage Loans secured by a Property where a portion of the Property is:
• expected to be released after the MBS Issue Date (e.g., a partial release where the Borrower plans to sell a portion of the undeveloped area of the Property);
• scheduled to be condemned (e.g., a portion will be taken by a governmental agency through eminent domain); or
• not available as security for the Mortgage Loan. </t>
    </r>
  </si>
  <si>
    <r>
      <rPr>
        <b/>
        <color rgb="FF000000"/>
        <family val="2"/>
        <rFont val="Calibri"/>
        <sz val="11"/>
      </rPr>
      <t>Healthy Housing Rewards</t>
    </r>
    <r>
      <rPr>
        <color theme="1"/>
        <family val="2"/>
        <rFont val="Calibri"/>
        <scheme val="minor"/>
        <sz val="11"/>
      </rPr>
      <t xml:space="preserve">:  Mortgage Loans secured by a Property that participates in either:
• </t>
    </r>
    <r>
      <rPr>
        <b/>
        <color rgb="FF000000"/>
        <family val="2"/>
        <rFont val="Calibri"/>
        <sz val="11"/>
      </rPr>
      <t>Healthy Design</t>
    </r>
    <r>
      <rPr>
        <color theme="1"/>
        <family val="2"/>
        <rFont val="Calibri"/>
        <scheme val="minor"/>
        <sz val="11"/>
      </rPr>
      <t xml:space="preserve">:  A program that incentivizes borrowers to incorporate health-promoting design and operational features into their multifamily affordable housing (MAH) properties. (Requires Form 6265); or
• </t>
    </r>
    <r>
      <rPr>
        <b/>
        <color rgb="FF000000"/>
        <family val="2"/>
        <rFont val="Calibri"/>
        <sz val="11"/>
      </rPr>
      <t>Enhanced Resident Services</t>
    </r>
    <r>
      <rPr>
        <color theme="1"/>
        <family val="2"/>
        <rFont val="Calibri"/>
        <scheme val="minor"/>
        <sz val="11"/>
      </rPr>
      <t xml:space="preserve">:  A program that incentivizes borrowers to provide certain services (such as Health and Wellness, food access and security, youth education and enrichment, work and financial capability support and housing stability support programs) to the residents of the multifamily affordable housing (MAH) property. (Requires Form 6263). </t>
    </r>
  </si>
  <si>
    <r>
      <rPr>
        <b/>
        <color rgb="FF000000"/>
        <family val="2"/>
        <rFont val="Calibri"/>
        <sz val="11"/>
      </rPr>
      <t>Impairment on Use</t>
    </r>
    <r>
      <rPr>
        <color theme="1"/>
        <family val="2"/>
        <rFont val="Calibri"/>
        <scheme val="minor"/>
        <sz val="11"/>
      </rPr>
      <t xml:space="preserve">:  A special circumstance exists related to the use or operation of the Property that may negatively affect the performance of the Property or increase the likelihood of Prepayment of the Mortgage Loan (e.g., successful operation of the Property requires continued access to a private water source that is not under the control of the Borrower). </t>
    </r>
  </si>
  <si>
    <r>
      <rPr>
        <b/>
        <color rgb="FF000000"/>
        <family val="2"/>
        <rFont val="Calibri"/>
        <sz val="11"/>
      </rPr>
      <t>Insurance Related Partial Prepayment</t>
    </r>
    <r>
      <rPr>
        <color theme="1"/>
        <family val="2"/>
        <rFont val="Calibri"/>
        <scheme val="minor"/>
        <sz val="11"/>
      </rPr>
      <t xml:space="preserve">:  The Lender agrees at the Mortgage Loan Origination Date to use condemnation or insurance proceeds to pay down the Mortgage Loan, rather than to repair or restore the damaged Property. </t>
    </r>
  </si>
  <si>
    <r>
      <rPr>
        <b/>
        <color rgb="FF000000"/>
        <family val="2"/>
        <rFont val="Calibri"/>
        <sz val="11"/>
      </rPr>
      <t>Master Operating Lease</t>
    </r>
    <r>
      <rPr>
        <color theme="1"/>
        <family val="2"/>
        <rFont val="Calibri"/>
        <scheme val="minor"/>
        <sz val="11"/>
      </rPr>
      <t>:  The Property is subject to a master operating lease. Typically, the Borrower under the Loan Documents enters into a lease with a single entity tenant which operates the Property and an event of default under the master operating lease is an event of default under the Loan Documents. Typically, in these transactions the Mortgaged Property is owned by a non-profit or other 3rd party and is leased back to the Borrower. This is often done to qualify for Tax Abatement or Tax Exemption. Transitional Housing properties often use a master lease.</t>
    </r>
  </si>
  <si>
    <r>
      <rPr>
        <b/>
        <color rgb="FF000000"/>
        <family val="2"/>
        <rFont val="Calibri"/>
        <sz val="11"/>
      </rPr>
      <t>Seniors Housing Property Master Operating Lease</t>
    </r>
    <r>
      <rPr>
        <color theme="1"/>
        <family val="2"/>
        <rFont val="Calibri"/>
        <scheme val="minor"/>
        <sz val="11"/>
      </rPr>
      <t>:  The Seniors Housing Property is subject to a master operating lease that also covers properties outside the MBS Pool, and an event of default under the master operating lease is an event of default under the Loan Documents.</t>
    </r>
  </si>
  <si>
    <r>
      <rPr>
        <b/>
        <color rgb="FF000000"/>
        <family val="2"/>
        <rFont val="Calibri"/>
        <sz val="11"/>
      </rPr>
      <t>Participation Interests</t>
    </r>
    <r>
      <rPr>
        <color theme="1"/>
        <family val="2"/>
        <rFont val="Calibri"/>
        <scheme val="minor"/>
        <sz val="11"/>
      </rPr>
      <t xml:space="preserve">:  Any MBS Pool that holds a less than 100% participation interest in a Mortgage Loan. </t>
    </r>
  </si>
  <si>
    <r>
      <rPr>
        <b/>
        <color rgb="FF000000"/>
        <family val="2"/>
        <rFont val="Calibri"/>
        <sz val="11"/>
      </rPr>
      <t>Pending Litigation</t>
    </r>
    <r>
      <rPr>
        <color theme="1"/>
        <family val="2"/>
        <rFont val="Calibri"/>
        <scheme val="minor"/>
        <sz val="11"/>
      </rPr>
      <t xml:space="preserve">:  Significant litigation is ongoing that may have a material adverse effect on the future operations and performance of the Property or the Borrower, or materially increase the likelihood of an event of default under the Loan Documents. </t>
    </r>
  </si>
  <si>
    <r>
      <rPr>
        <b/>
        <color rgb="FF000000"/>
        <family val="2"/>
        <rFont val="Calibri"/>
        <sz val="11"/>
      </rPr>
      <t>Property Valuation</t>
    </r>
    <r>
      <rPr>
        <color theme="1"/>
        <family val="2"/>
        <rFont val="Calibri"/>
        <scheme val="minor"/>
        <sz val="11"/>
      </rPr>
      <t xml:space="preserve">:  An Underwriting Value used by the Lender and approved by Fannie Mae that differs from the methodology for determining Property value as required by the Guide. </t>
    </r>
  </si>
  <si>
    <r>
      <rPr>
        <b/>
        <color rgb="FF000000"/>
        <family val="2"/>
        <rFont val="Calibri"/>
        <sz val="11"/>
      </rPr>
      <t>Right to Purchase</t>
    </r>
    <r>
      <rPr>
        <color theme="1"/>
        <family val="2"/>
        <rFont val="Calibri"/>
        <scheme val="minor"/>
        <sz val="11"/>
      </rPr>
      <t xml:space="preserve">:  Additional Disclosure is required if a third-party has the right to purchase the Mortgaged Property. For example, if a Texas housing finance corporation has the right to purchase the property under the Texas Local Government Code, disclosure of the right to purchase is required. </t>
    </r>
  </si>
  <si>
    <r>
      <rPr>
        <b/>
        <color rgb="FF000000"/>
        <family val="2"/>
        <rFont val="Calibri"/>
        <sz val="11"/>
      </rPr>
      <t>Special Public Purpose</t>
    </r>
    <r>
      <rPr>
        <color theme="1"/>
        <family val="2"/>
        <rFont val="Calibri"/>
        <scheme val="minor"/>
        <sz val="11"/>
      </rPr>
      <t>:  Properties that adhere to the MAH requirements for Special Public Purpose.  Additional Disclosure comments must include:
• whether the Property is (i) Rent and Income restricted; (ii) Rent-Restricted, or (iii) Income Restricted; and
• details on when the Property must be in compliance with the Regulatory Agreement, including: ο if compliance is phased in over time; and ο the specific information on the timing (i.e., 12 months or 36 months; no deadline but is subject to the “Next Available Unit” rule; or no deadline – it states that the Property must “reserve” its units for qualified residents.)
See “</t>
    </r>
    <r>
      <rPr>
        <color rgb="FF000000"/>
        <family val="2"/>
        <i/>
        <rFont val="Calibri"/>
        <sz val="11"/>
      </rPr>
      <t>Job Aid:  Affordable Housing Data Guidance</t>
    </r>
    <r>
      <rPr>
        <color theme="1"/>
        <family val="2"/>
        <rFont val="Calibri"/>
        <scheme val="minor"/>
        <sz val="11"/>
      </rPr>
      <t xml:space="preserve">” for more details. </t>
    </r>
  </si>
  <si>
    <r>
      <rPr>
        <b/>
        <color rgb="FF000000"/>
        <family val="2"/>
        <rFont val="Calibri"/>
        <sz val="11"/>
      </rPr>
      <t>Sponsor-Dedicated Workforce Housing (SDW) with Cost Burdened and Very Cost Burdened</t>
    </r>
    <r>
      <rPr>
        <color theme="1"/>
        <family val="2"/>
        <rFont val="Calibri"/>
        <scheme val="minor"/>
        <sz val="11"/>
      </rPr>
      <t>:  A property that participates in the Sponsor-Dedicated Workforce Housing (SDW) program that uses FHFA’s “cost-burdened” (100% AMI) and “very cost-burdened” (120% AMI) markets to identify applicable geographies, or that adhere to the standard of a state or local housing affordability initiative.
-See “</t>
    </r>
    <r>
      <rPr>
        <color rgb="FF000000"/>
        <family val="2"/>
        <i/>
        <rFont val="Calibri"/>
        <sz val="11"/>
      </rPr>
      <t>DUS Disclose Frequently Asked Questions (FAQs)</t>
    </r>
    <r>
      <rPr>
        <color theme="1"/>
        <family val="2"/>
        <rFont val="Calibri"/>
        <scheme val="minor"/>
        <sz val="11"/>
      </rPr>
      <t>” for details on “cost-burdened” and “very cost-burdened markets”.
-See “</t>
    </r>
    <r>
      <rPr>
        <color rgb="FF000000"/>
        <family val="2"/>
        <i/>
        <rFont val="Calibri"/>
        <sz val="11"/>
      </rPr>
      <t>Job Aid: Affordable Housing Data Guidance</t>
    </r>
    <r>
      <rPr>
        <color theme="1"/>
        <family val="2"/>
        <rFont val="Calibri"/>
        <scheme val="minor"/>
        <sz val="11"/>
      </rPr>
      <t xml:space="preserve">” for more details. </t>
    </r>
  </si>
  <si>
    <t>Additional Disclosure for Non-Standard Characteristics:  Other</t>
  </si>
  <si>
    <r>
      <rPr>
        <b/>
        <color rgb="FF000000"/>
        <family val="2"/>
        <rFont val="Calibri"/>
        <sz val="11"/>
      </rPr>
      <t>Mortgage Loan Delivered in an MBS Pool without REMIC Tax Election</t>
    </r>
    <r>
      <rPr>
        <color theme="1"/>
        <family val="2"/>
        <rFont val="Calibri"/>
        <scheme val="minor"/>
        <sz val="11"/>
      </rPr>
      <t xml:space="preserve">:  If Fannie Mae has approved a Mortgage Loan for Delivery that fails to satisfy the requirements for making a REMIC tax election on the related MBS, Additional Disclosure is required to specify that a REMIC tax election will not be made upon securitization and that the MBS will be ineligible for re-securitization. For example, a Mortgage Loan is ineligible to make a REMIC tax election if: (i) the Lender cannot make the required Delivery representation in the Guide; or (ii) the aggregate UPB of a Seniors Housing Mortgage Loan exceeds 100% of the real estate value of the Property. In determining if the Mortgage Loan qualifies for a REMIC-eligible MBS, the value attributed to the real estate must only include value attributed to land and improvements, and must exclude all value attributed to goodwill, business value, intangibles, and/or furniture, fixtures and equipment in the Appraisal.
</t>
    </r>
    <r>
      <rPr>
        <b/>
        <color rgb="FF000000"/>
        <family val="2"/>
        <rFont val="Calibri"/>
        <sz val="11"/>
      </rPr>
      <t>NOTE</t>
    </r>
    <r>
      <rPr>
        <color theme="1"/>
        <family val="2"/>
        <rFont val="Calibri"/>
        <scheme val="minor"/>
        <sz val="11"/>
      </rPr>
      <t>: Fannie Mae will not generally approve a Mortgage Loan for Delivery that is not eligible to make a REMIC tax election.</t>
    </r>
  </si>
  <si>
    <r>
      <rPr>
        <b/>
        <color rgb="FF000000"/>
        <family val="2"/>
        <rFont val="Calibri"/>
        <sz val="11"/>
      </rPr>
      <t>Conflict Mortgage Loans (i.e., Lender’s Equity Interest)</t>
    </r>
    <r>
      <rPr>
        <color theme="1"/>
        <family val="2"/>
        <rFont val="Calibri"/>
        <scheme val="minor"/>
        <sz val="11"/>
      </rPr>
      <t xml:space="preserve">:  The Mortgage Loan is a Conflict Mortgage Loan. (Any equity interest acquired in the Borrower relating solely to obtaining the associated LIHTCs is not considered when determining if the Mortgage Loan is a Conflict Mortgage Loan.)
• A Conflict Mortgage is any Mortgage Loan in which:
          - a Lender, any Lender Affiliate, or any Lender Senior Executive 
</t>
    </r>
    <r>
      <rPr>
        <color rgb="FF000000"/>
        <family val="2"/>
        <i/>
        <rFont val="Calibri"/>
        <sz val="11"/>
      </rPr>
      <t xml:space="preserve">                    &gt; owns (or will own) any direct or indirect equity interest in the Borrower, or
                    &gt; directly or indirectly controls the Borrower; or
</t>
    </r>
    <r>
      <rPr>
        <color theme="1"/>
        <family val="2"/>
        <rFont val="Calibri"/>
        <scheme val="minor"/>
        <sz val="11"/>
      </rPr>
      <t xml:space="preserve">          - any Lender employee, or group of employees, owns (or will own) more than a 5% direct or indirect equity interest in the Borrower.
• Any Mortgage Loan with DLA Mezzanine Financing. </t>
    </r>
  </si>
  <si>
    <r>
      <rPr>
        <b/>
        <color rgb="FF000000"/>
        <family val="2"/>
        <rFont val="Calibri"/>
        <sz val="11"/>
      </rPr>
      <t>Expanded Housing Choice Vouchers</t>
    </r>
    <r>
      <rPr>
        <color theme="1"/>
        <family val="2"/>
        <rFont val="Calibri"/>
        <scheme val="minor"/>
        <sz val="11"/>
      </rPr>
      <t xml:space="preserve">:  The Expanded Housing Choice (EHC) pilot incentivizes Borrowers to accept HUD Housing Choice Vouchers as a valid source of income for eligible properties. The EHC pilot is currently available only for Properties located in North Carolina and Texas. Additional Disclosure is required generally to describe the additional Events of Default associated with participating in the program. </t>
    </r>
  </si>
  <si>
    <r>
      <rPr>
        <b/>
        <color rgb="FF000000"/>
        <family val="2"/>
        <rFont val="Calibri"/>
        <sz val="11"/>
      </rPr>
      <t>Full Recourse Mortgage Loan</t>
    </r>
    <r>
      <rPr>
        <color theme="1"/>
        <family val="2"/>
        <rFont val="Calibri"/>
        <scheme val="minor"/>
        <sz val="11"/>
      </rPr>
      <t xml:space="preserve">:  The Mortgage Loan is approved for Delivery and is either (i) full recourse to the Borrower, or (ii) includes a full or partial Payment Guaranty. </t>
    </r>
  </si>
  <si>
    <r>
      <rPr>
        <b/>
        <color rgb="FF000000"/>
        <family val="2"/>
        <rFont val="Calibri"/>
        <sz val="11"/>
      </rPr>
      <t>LIHTC Investment</t>
    </r>
    <r>
      <rPr>
        <color theme="1"/>
        <family val="2"/>
        <rFont val="Calibri"/>
        <scheme val="minor"/>
        <sz val="11"/>
      </rPr>
      <t xml:space="preserve">:  Fannie Mae is a LIHTC investor and owns, either directly or indirectly, an equity interest in the Borrower. Disclosure is required without regard to the amount of ownership (i.e., there is no de minimus exception). </t>
    </r>
  </si>
  <si>
    <r>
      <rPr>
        <b/>
        <color rgb="FF000000"/>
        <family val="2"/>
        <rFont val="Calibri"/>
        <sz val="11"/>
      </rPr>
      <t>MBS as Bond Collateral (i.e., MTEB)</t>
    </r>
    <r>
      <rPr>
        <color theme="1"/>
        <family val="2"/>
        <rFont val="Calibri"/>
        <scheme val="minor"/>
        <sz val="11"/>
      </rPr>
      <t xml:space="preserve">:  An MBS that collateralizes a Bond under an affordable housing program, and issues related to the performance of the parties under the Bond transaction may cause an early termination of the MBS. </t>
    </r>
  </si>
  <si>
    <r>
      <rPr>
        <b/>
        <color rgb="FF000000"/>
        <family val="2"/>
        <rFont val="Calibri"/>
        <sz val="11"/>
      </rPr>
      <t>Multiple Series Limited Liability Company</t>
    </r>
    <r>
      <rPr>
        <color theme="1"/>
        <family val="2"/>
        <rFont val="Calibri"/>
        <scheme val="minor"/>
        <sz val="11"/>
      </rPr>
      <t xml:space="preserve">:  A Borrower is formed under a Series LLC statute. </t>
    </r>
  </si>
  <si>
    <r>
      <t>Near Stabilized Property:</t>
    </r>
    <r>
      <rPr>
        <color rgb="FF000000"/>
        <family val="2"/>
        <rFont val="Calibri"/>
        <sz val="11"/>
      </rPr>
      <t xml:space="preserve">  A newly constructed or recently rehabilitated Property, with all construction or rehabilitation complete, which is expected to achieve Stabilized Residential Occupancy and the applicable required Underwritten Debt Service Coverage Ratio within 120 days (or other period approved by Fannie Mae) after the Mortgage Loan Origination Date. </t>
    </r>
    <r>
      <rPr>
        <color rgb="FF0000FF"/>
        <family val="2"/>
        <rFont val="Calibri"/>
        <sz val="11"/>
      </rPr>
      <t>Please add the following to the TTS in Other Notes: "Occupancy % is the “As-Stabilized” % occupancy expected in X months. As of the X/XX rent roll, property was Y% occupied and Z% pre-leased."</t>
    </r>
  </si>
  <si>
    <r>
      <rPr>
        <b/>
        <color rgb="FF000000"/>
        <family val="2"/>
        <rFont val="Calibri"/>
        <sz val="11"/>
      </rPr>
      <t>Non-Standard Events of Default and/or Personal Recourse Triggers</t>
    </r>
    <r>
      <rPr>
        <color theme="1"/>
        <family val="2"/>
        <rFont val="Calibri"/>
        <scheme val="minor"/>
        <sz val="11"/>
      </rPr>
      <t xml:space="preserve">:  The Loan Documents include one or more events of default that are not standard (e.g., the failure to maintain specific financial covenants, such as net worth and liquidity benchmarks; the failure to comply with the terms of an environmental indemnity agreement; litigation or arbitration or any action or event related to litigation or arbitration). The above examples are not intended to be a complete list of the non-standard events of default that require Additional Disclosure. </t>
    </r>
  </si>
  <si>
    <r>
      <rPr>
        <b/>
        <color rgb="FF000000"/>
        <family val="2"/>
        <rFont val="Calibri"/>
        <sz val="11"/>
      </rPr>
      <t>Operating Deficit Guaranty</t>
    </r>
    <r>
      <rPr>
        <color theme="1"/>
        <family val="2"/>
        <rFont val="Calibri"/>
        <scheme val="minor"/>
        <sz val="11"/>
      </rPr>
      <t xml:space="preserve">: Substantial rehabilitation is planned at the Property, and an operating deficit Guaranty is required. </t>
    </r>
  </si>
  <si>
    <r>
      <rPr>
        <b/>
        <color rgb="FF000000"/>
        <family val="2"/>
        <rFont val="Calibri"/>
        <sz val="11"/>
      </rPr>
      <t>Revenue or Expense Changes (e.g., Tax Abatements)</t>
    </r>
    <r>
      <rPr>
        <color theme="1"/>
        <family val="2"/>
        <rFont val="Calibri"/>
        <scheme val="minor"/>
        <sz val="11"/>
      </rPr>
      <t xml:space="preserve">: Additional Disclosure comments must include the length of the Tax Abatement and whether it eliminates or reduces the tax.
• The Property benefits from a state or local tax abatement or a payment in lieu of taxes (PILOT) arrangement and maintaining the tax abatement requires compliance with a state or local ordinance, the tax code, etc., and may require an annual application. (The Loan Documents generally include covenants requiring the Borrower to maintain (or obtain within a stated period from the Effective Date of the Mortgage Loan and maintain) the tax abatement with the failure of the Borrower to do so constituting an event of default.)
• The Property receives additional revenue from a source other than operations of the Property, and the revenue is a primary or significant contributing source of income needed to provide debt service for the Mortgage Loan. This additional revenue or reduced expense may or may not be considered in the underwriting of the Mortgage Loan, but the term of the agreement/arrangement providing the revenue is shorter than the term of the Mortgage Loan (e.g., significant assistance is provided under an agreement for a federal or state program). </t>
    </r>
  </si>
  <si>
    <r>
      <rPr>
        <b/>
        <color rgb="FF000000"/>
        <family val="2"/>
        <rFont val="Calibri"/>
        <sz val="11"/>
      </rPr>
      <t>Transfer/Assumption with Economic Test</t>
    </r>
    <r>
      <rPr>
        <color theme="1"/>
        <family val="2"/>
        <rFont val="Calibri"/>
        <scheme val="minor"/>
        <sz val="11"/>
      </rPr>
      <t>: The Loan Documents specify that a transfer of the Property (or a controlling interest in the Borrower or Key Principal), or an assumption of the Mortgage Loan will be approved only if a DSCR, LTV, or other economic test is met.</t>
    </r>
  </si>
  <si>
    <t>Systems Additional</t>
  </si>
  <si>
    <r>
      <t xml:space="preserve">For Systems Additional Disclosure, the Commitment in C&amp;D will need to indicate Additional Disclosure by selecting “Additional Disclosure – Yes”. However, the Lender does not need to mark the Mortgage Loan as requiring “Additional Disclosure” for marketing purposes. Form 4097 should include these non-standard characteristics. 
</t>
    </r>
    <r>
      <rPr>
        <b/>
        <color rgb="FF000000"/>
        <family val="2"/>
        <rFont val="Calibri"/>
        <sz val="11"/>
      </rPr>
      <t>Declining Prepayment Premium and Other Prepayment Premium</t>
    </r>
    <r>
      <rPr>
        <color theme="1"/>
        <family val="2"/>
        <rFont val="Calibri"/>
        <scheme val="minor"/>
        <sz val="11"/>
      </rPr>
      <t>:
• Loans delivered through MSFMS: The Mortgage Loan is a fixed or variable (including certain Hybrid ARM) rate Mortgage Loan and “Other Prepayment Premium” is selected as the Prepayment Protection Type in the MSFMS Acquisition system only. “Other Prepayment Premium” option is selected when Graduated Prepayment and Declining Prepayment Premium schedules are not available as allowable values in dropdown lists.
Please refer to “</t>
    </r>
    <r>
      <rPr>
        <color rgb="FF000000"/>
        <family val="2"/>
        <i/>
        <rFont val="Calibri"/>
        <sz val="11"/>
      </rPr>
      <t>Job Aid: Entering Data for Fixed and Variable Rate Mortgage Loans with Graduated Prepayment Premium Schedule</t>
    </r>
    <r>
      <rPr>
        <color theme="1"/>
        <family val="2"/>
        <rFont val="Calibri"/>
        <scheme val="minor"/>
        <sz val="11"/>
      </rPr>
      <t xml:space="preserve">” to see examples. </t>
    </r>
  </si>
  <si>
    <t>DO NOT DELETE OR CHANGE - DROP DOWN SELECTIONS</t>
  </si>
  <si>
    <t>Is_Fixed:</t>
  </si>
  <si>
    <t>SARM Loan</t>
  </si>
  <si>
    <t>Is SARM:</t>
  </si>
  <si>
    <t>ARM 5-5 Loan</t>
  </si>
  <si>
    <t>Is ARM:</t>
  </si>
  <si>
    <t>ARM 7-6 Loan</t>
  </si>
  <si>
    <t>Variable - Other</t>
  </si>
  <si>
    <t>Hybrid ARM Loan</t>
  </si>
  <si>
    <t>Coterminous Supplemental</t>
  </si>
  <si>
    <t>Non Coterminous Supplemental</t>
  </si>
  <si>
    <t>Coterminous Supplemental - 3rd</t>
  </si>
  <si>
    <t>Non Coterminous Supplemental - 3rd</t>
  </si>
  <si>
    <t>Prepayment:</t>
  </si>
  <si>
    <t>YM, then open</t>
  </si>
  <si>
    <t>YM - Modified</t>
  </si>
  <si>
    <t>Defeasance</t>
  </si>
  <si>
    <t>1 Yr LO - 1%</t>
  </si>
  <si>
    <t>2 Yr LO - 1%</t>
  </si>
  <si>
    <t>LO - Declining</t>
  </si>
  <si>
    <t>Declining</t>
  </si>
  <si>
    <t>Tier:</t>
  </si>
  <si>
    <t>Tier Dropping</t>
  </si>
  <si>
    <t>Pricing Structure:</t>
  </si>
  <si>
    <t>Enhanced Standard</t>
  </si>
  <si>
    <t>Tier Plus</t>
  </si>
  <si>
    <t>Tier Plus Plus</t>
  </si>
  <si>
    <t>First Level Delegated</t>
  </si>
  <si>
    <t>Second Level Delegated</t>
  </si>
  <si>
    <t>Fannie Approved Waiver</t>
  </si>
  <si>
    <t>Cooperative</t>
  </si>
  <si>
    <t>Manufactured Housing</t>
  </si>
  <si>
    <t>Seniors</t>
  </si>
  <si>
    <t>Dedicated Student</t>
  </si>
  <si>
    <t xml:space="preserve">Military </t>
  </si>
  <si>
    <t>Streamline Refinance</t>
  </si>
  <si>
    <t>Acquisition</t>
  </si>
  <si>
    <t>Garden</t>
  </si>
  <si>
    <t>High-Rise</t>
  </si>
  <si>
    <t>Mid-Rise</t>
  </si>
  <si>
    <t>Townhouse</t>
  </si>
  <si>
    <t>Project Affordability:</t>
  </si>
  <si>
    <t>Affordable Housing Type</t>
  </si>
  <si>
    <t>LIHTC</t>
  </si>
  <si>
    <t>Project Based HAP/Sec 8</t>
  </si>
  <si>
    <t>LIHTC &amp; Project Based HAP/Sec 8</t>
  </si>
  <si>
    <t xml:space="preserve">Other </t>
  </si>
  <si>
    <t>Other - Sponsor Initiated</t>
  </si>
  <si>
    <t>Other - Special Public Purpose</t>
  </si>
  <si>
    <t>Other - Sponsor Dedicated Workforce</t>
  </si>
  <si>
    <t>Not MAH</t>
  </si>
  <si>
    <t>Delivery:</t>
  </si>
  <si>
    <t>MBS</t>
  </si>
  <si>
    <t>Cash</t>
  </si>
  <si>
    <t>ERL:</t>
  </si>
  <si>
    <t>Received</t>
  </si>
  <si>
    <t>Pre-Review:</t>
  </si>
  <si>
    <t>Fee Sharing:</t>
  </si>
  <si>
    <t>Non Standard</t>
  </si>
  <si>
    <t>Applicant Check;</t>
  </si>
  <si>
    <t>Reviewed Commitment:</t>
  </si>
  <si>
    <t>Green Financing</t>
  </si>
  <si>
    <t>Green Certification</t>
  </si>
  <si>
    <t>Pending</t>
  </si>
  <si>
    <t>Approved</t>
  </si>
  <si>
    <t>DUS</t>
  </si>
  <si>
    <t>Non-DUS</t>
  </si>
  <si>
    <t>Credit Facility</t>
  </si>
  <si>
    <t>Bulk Delivery</t>
  </si>
  <si>
    <t>Negotiated Transaction</t>
  </si>
  <si>
    <t>Streamlined (SERL)</t>
  </si>
  <si>
    <t>ERL</t>
  </si>
  <si>
    <t>Prepayment Protection Strings:</t>
  </si>
  <si>
    <t>5/3</t>
  </si>
  <si>
    <t>YM(36), 1%(21), O(3)</t>
  </si>
  <si>
    <t>5/3 - open</t>
  </si>
  <si>
    <t>YM(36), O(24)</t>
  </si>
  <si>
    <t>5/4.5</t>
  </si>
  <si>
    <t>YM(54), 1%(3), O(3)</t>
  </si>
  <si>
    <t>5/4.5 - open</t>
  </si>
  <si>
    <t>YM(54), O(6)</t>
  </si>
  <si>
    <t>7/3</t>
  </si>
  <si>
    <t>YM(36), 1%(45), O(3)</t>
  </si>
  <si>
    <t>7/3 - open</t>
  </si>
  <si>
    <t>YM(36), O(48)</t>
  </si>
  <si>
    <t>7/5</t>
  </si>
  <si>
    <t>YM(60), 1%(21), O(3)</t>
  </si>
  <si>
    <t>7/5 - open</t>
  </si>
  <si>
    <t>YM(60), O(24)</t>
  </si>
  <si>
    <t>7/6.5</t>
  </si>
  <si>
    <t>YM(78), 1%(3), O(3)</t>
  </si>
  <si>
    <t>7/6.5 - open</t>
  </si>
  <si>
    <t>YM(78), O(6)</t>
  </si>
  <si>
    <t>10/5</t>
  </si>
  <si>
    <t>YM(60), 1%(57), O(3)</t>
  </si>
  <si>
    <t>10/5 - open</t>
  </si>
  <si>
    <t>YM(60), O(60)</t>
  </si>
  <si>
    <t>10/7</t>
  </si>
  <si>
    <t>YM(84), 1%(33), O(3)</t>
  </si>
  <si>
    <t>10/7 - open</t>
  </si>
  <si>
    <t>YM(84), O(36)</t>
  </si>
  <si>
    <t>10/9.5</t>
  </si>
  <si>
    <t>YM(114), 1%(3), O(3)</t>
  </si>
  <si>
    <t>10/9.5 - open</t>
  </si>
  <si>
    <t>YM(114), O(6)</t>
  </si>
  <si>
    <t>12/10</t>
  </si>
  <si>
    <t>YM(120), 1%(21), O(3)</t>
  </si>
  <si>
    <t>12/10 - open</t>
  </si>
  <si>
    <t>YM(120), O(24)</t>
  </si>
  <si>
    <t>12/11.5</t>
  </si>
  <si>
    <t>YM(138), 1%(3), O(3)</t>
  </si>
  <si>
    <t>12/11.5 - open</t>
  </si>
  <si>
    <t>YM(138), O(6)</t>
  </si>
  <si>
    <t>15/10</t>
  </si>
  <si>
    <t>YM(120), 1%(57), O(3)</t>
  </si>
  <si>
    <t>15/10 - open</t>
  </si>
  <si>
    <t>YM(120), O(60)</t>
  </si>
  <si>
    <t>15/14.5</t>
  </si>
  <si>
    <t>YM(174), 1%(3), O(3)</t>
  </si>
  <si>
    <t>15/14.5 - open</t>
  </si>
  <si>
    <t>YM(174), O(6)</t>
  </si>
  <si>
    <t>18/10</t>
  </si>
  <si>
    <t>YM(120), 1%(93), O(3)</t>
  </si>
  <si>
    <t>18/15</t>
  </si>
  <si>
    <t>YM(180), 1%(33), O(3)</t>
  </si>
  <si>
    <t>20/10</t>
  </si>
  <si>
    <t>YM(120), 1%(117), O(3)</t>
  </si>
  <si>
    <t>20/15</t>
  </si>
  <si>
    <t>YM(180), 1%(57), O(3)</t>
  </si>
  <si>
    <t>20/19.5</t>
  </si>
  <si>
    <t>YM(234), 1%(3), O(3)</t>
  </si>
  <si>
    <t>25/10</t>
  </si>
  <si>
    <t>YM(120), 1%(177), O(3)</t>
  </si>
  <si>
    <t>25/15</t>
  </si>
  <si>
    <t>YM(180), 1%(117), O(3)</t>
  </si>
  <si>
    <t>30/10</t>
  </si>
  <si>
    <t>YM(120), 1%(237), O(3)</t>
  </si>
  <si>
    <t>30/15</t>
  </si>
  <si>
    <t>YM(180), 1%(177), O(3)</t>
  </si>
  <si>
    <t>5yr Decline</t>
  </si>
  <si>
    <t>5%(12), 4%(12), 3%(12), 2%(12), 1%(9), O(3)</t>
  </si>
  <si>
    <t>7yr Decline</t>
  </si>
  <si>
    <t>L(24), 5%(12), 4%(12), 3%(12), 2%(12), 1%(9), O(3)</t>
  </si>
  <si>
    <t>10yr Decline</t>
  </si>
  <si>
    <t>5%(24), 4%(24), 3%(24), 2%(24), 1%(21), O(3)</t>
  </si>
  <si>
    <t>12yr Decline</t>
  </si>
  <si>
    <t>5%(48), 4%(24), 3%(24), 2%(24), 1%(21), O(3)</t>
  </si>
  <si>
    <t>15yr Decline</t>
  </si>
  <si>
    <t>5%(84), 4%(24), 3%(24), 2%(24), 1%(21), O(3)</t>
  </si>
  <si>
    <t>18yr Decline</t>
  </si>
  <si>
    <t>5%(84), 4%(24), 3%(24), 2%(24), 1%(57), O(3)</t>
  </si>
  <si>
    <t>30yr Decline</t>
  </si>
  <si>
    <t>5%(84), 4%(24), 3%(24), 2%(24), 1%(201), O(3)</t>
  </si>
  <si>
    <t>L(12), 1%(69), O(3)</t>
  </si>
  <si>
    <t>5yr SARM 1%</t>
  </si>
  <si>
    <t>L(12), 1%(45), O(3)</t>
  </si>
  <si>
    <t>7yr SARM 1%</t>
  </si>
  <si>
    <t>10yr  SARM 1%</t>
  </si>
  <si>
    <t>L(12), 1%(105), O(3)</t>
  </si>
  <si>
    <t>5yr SARM Decline</t>
  </si>
  <si>
    <t>L(12), 4%(12), 3%(12), 2%(12), 1%(9), O(3)</t>
  </si>
  <si>
    <t>7yr SARM Decline</t>
  </si>
  <si>
    <t>L(12), 4%(12), 3%(12), 2%(12), 1%(33), O(3)</t>
  </si>
  <si>
    <t>10yr SARM Decline</t>
  </si>
  <si>
    <t>L(12), 4%(12), 3%(12), 2%(12), 1%(57), O(3)</t>
  </si>
  <si>
    <t>Ownership Type</t>
  </si>
  <si>
    <t>Leasehold</t>
  </si>
  <si>
    <t xml:space="preserve">Cross Default/Cross Collateralization </t>
  </si>
  <si>
    <t>Cross Default Only</t>
  </si>
  <si>
    <t>Cross Default and Cross Collateralize</t>
  </si>
  <si>
    <t>One Way Cross Default Only</t>
  </si>
  <si>
    <t>Future Cross</t>
  </si>
  <si>
    <t>Preferred Equity Payment</t>
  </si>
  <si>
    <t>Mezzanine Payment</t>
  </si>
  <si>
    <t>Cap Strike Rate
(Get from Closing)</t>
  </si>
  <si>
    <t>C&amp;D Data Inputs</t>
  </si>
  <si>
    <t>From SARM Sizing Template:</t>
  </si>
  <si>
    <t>FixedPrinPayment</t>
  </si>
  <si>
    <t>ARM</t>
  </si>
  <si>
    <t>SARM</t>
  </si>
  <si>
    <t>SARMPayRate</t>
  </si>
  <si>
    <t>UW NCF DSCR</t>
  </si>
  <si>
    <t>SARMPayConstant</t>
  </si>
  <si>
    <t>Partial IO</t>
  </si>
  <si>
    <t>SARMStressConstant</t>
  </si>
  <si>
    <t>Fully IO</t>
  </si>
  <si>
    <t>SARMStressRate</t>
  </si>
  <si>
    <t>SARMInvestorSpread</t>
  </si>
  <si>
    <t>SARMGuarantyFee</t>
  </si>
  <si>
    <t>SARMCapCostFactor</t>
  </si>
  <si>
    <t>UW NCF DSCR IO</t>
  </si>
  <si>
    <t>SARMCushion</t>
  </si>
  <si>
    <t>SARMServicingFee</t>
  </si>
  <si>
    <t>UW NCF DSCR ALL IN</t>
  </si>
  <si>
    <t>UW NCF DSCR at Cap</t>
  </si>
  <si>
    <t>Counter</t>
  </si>
  <si>
    <t>Section</t>
  </si>
  <si>
    <t>Label</t>
  </si>
  <si>
    <t>Field Name</t>
  </si>
  <si>
    <t>Refers To</t>
  </si>
  <si>
    <t>R1C1 Reference</t>
  </si>
  <si>
    <t>Data Type</t>
  </si>
  <si>
    <t>Display Format</t>
  </si>
  <si>
    <t>Data Validation</t>
  </si>
  <si>
    <t>Data Validation Type (xlDVType)</t>
  </si>
  <si>
    <t>Data Validation Description</t>
  </si>
  <si>
    <t>Validation Allowable Values</t>
  </si>
  <si>
    <t>Value</t>
  </si>
  <si>
    <t>Source Worksheet</t>
  </si>
  <si>
    <t>Source Column</t>
  </si>
  <si>
    <t>Source Row</t>
  </si>
  <si>
    <t>Source Reference</t>
  </si>
  <si>
    <t>Source Formula (Or Constant)</t>
  </si>
  <si>
    <t>Source To Use</t>
  </si>
  <si>
    <t>Deal</t>
  </si>
  <si>
    <t>DL_NM</t>
  </si>
  <si>
    <t>'Form 4662'!$H$3</t>
  </si>
  <si>
    <t>R3C8</t>
  </si>
  <si>
    <t>General</t>
  </si>
  <si>
    <t>Fannie Mae Commitment Number</t>
  </si>
  <si>
    <t>CMT_NBR</t>
  </si>
  <si>
    <t>'Form 4662'!$O$4</t>
  </si>
  <si>
    <t>R4C15</t>
  </si>
  <si>
    <t>Number</t>
  </si>
  <si>
    <t>0</t>
  </si>
  <si>
    <t>Data is validated using an arbitrary formula.</t>
  </si>
  <si>
    <t>Whole Number with Character Length Equal To 6</t>
  </si>
  <si>
    <t>Funding / Pool Number (MBS Only)</t>
  </si>
  <si>
    <t>PL_NBR</t>
  </si>
  <si>
    <t>'Form 4662'!$O$5</t>
  </si>
  <si>
    <t>R5C15</t>
  </si>
  <si>
    <t>Length of text.</t>
  </si>
  <si>
    <t>Character Length Equal To 6</t>
  </si>
  <si>
    <t>LNDR_NM</t>
  </si>
  <si>
    <t>'Form 4662'!$AI$3</t>
  </si>
  <si>
    <t>R3C35</t>
  </si>
  <si>
    <t>PROP_NM</t>
  </si>
  <si>
    <t>'Form 4662'!$H$8</t>
  </si>
  <si>
    <t>R8C8</t>
  </si>
  <si>
    <t>PROP_TYP</t>
  </si>
  <si>
    <t>'Form 4662'!$H$9</t>
  </si>
  <si>
    <t>R9C8</t>
  </si>
  <si>
    <t>Value must be present in a specified list.</t>
  </si>
  <si>
    <t>Multifamily, Cooperative, Dedicated Student, Manufactured Housing, Seniors, Military</t>
  </si>
  <si>
    <t>BLDG_TYP</t>
  </si>
  <si>
    <t>'Form 4662'!$U$9</t>
  </si>
  <si>
    <t>R9C21</t>
  </si>
  <si>
    <t>Garden, High-Rise, Mid-Rise, Single Family Rental, Townhouse, Other</t>
  </si>
  <si>
    <t>Number of Buildings</t>
  </si>
  <si>
    <t>BLDG_CNT</t>
  </si>
  <si>
    <t>'Form 4662'!$U$10</t>
  </si>
  <si>
    <t>R10C21</t>
  </si>
  <si>
    <t>Whole numeric values.</t>
  </si>
  <si>
    <t>Whole Number Greater Than 0</t>
  </si>
  <si>
    <t>Rentable Residential Area</t>
  </si>
  <si>
    <t>RES_AREA</t>
  </si>
  <si>
    <t>'Form 4662'!$O$17</t>
  </si>
  <si>
    <t>R17C15</t>
  </si>
  <si>
    <t>Residential Units</t>
  </si>
  <si>
    <t>RES_UNTS</t>
  </si>
  <si>
    <t>'Form 4662'!$O$16</t>
  </si>
  <si>
    <t>R16C15</t>
  </si>
  <si>
    <t>Whole Number Greater Than 0 And Equal To The Sum Of The Phase Constructed Units (If Populated)</t>
  </si>
  <si>
    <t>UTIL_INCL</t>
  </si>
  <si>
    <t>'Form 4662'!$X$22</t>
  </si>
  <si>
    <t>R22C24</t>
  </si>
  <si>
    <t>True/False</t>
  </si>
  <si>
    <t>Yes,No</t>
  </si>
  <si>
    <t>YR_BLT</t>
  </si>
  <si>
    <t>'Form 4662'!$H$10</t>
  </si>
  <si>
    <t>R10C8</t>
  </si>
  <si>
    <t>Whole Number Between 1800 And Current Year + 5</t>
  </si>
  <si>
    <t>Phase 1 Completion Year</t>
  </si>
  <si>
    <t>PHS1_YR</t>
  </si>
  <si>
    <t>'Form 4662'!$L$13</t>
  </si>
  <si>
    <t>R13C12</t>
  </si>
  <si>
    <t>Phase 1 Constructed Units</t>
  </si>
  <si>
    <t>PHS1_UNTS</t>
  </si>
  <si>
    <t>'Form 4662'!$L$14</t>
  </si>
  <si>
    <t>R14C12</t>
  </si>
  <si>
    <t>Phase 2 Completion Year</t>
  </si>
  <si>
    <t>PHS2_YR</t>
  </si>
  <si>
    <t>'Form 4662'!$N$13</t>
  </si>
  <si>
    <t>R13C14</t>
  </si>
  <si>
    <t>Phase 2 Constructed Units</t>
  </si>
  <si>
    <t>PHS2_UNTS</t>
  </si>
  <si>
    <t>'Form 4662'!$N$14</t>
  </si>
  <si>
    <t>R14C14</t>
  </si>
  <si>
    <t>Phase 3 Completion Year</t>
  </si>
  <si>
    <t>PHS3_YR</t>
  </si>
  <si>
    <t>'Form 4662'!$P$13</t>
  </si>
  <si>
    <t>R13C16</t>
  </si>
  <si>
    <t>Phase 3 Constructed Units</t>
  </si>
  <si>
    <t>PHS3_UNTS</t>
  </si>
  <si>
    <t>'Form 4662'!$P$14</t>
  </si>
  <si>
    <t>R14C16</t>
  </si>
  <si>
    <t>Phase 4 Completion Year</t>
  </si>
  <si>
    <t>PHS4_YR</t>
  </si>
  <si>
    <t>'Form 4662'!$R$13</t>
  </si>
  <si>
    <t>R13C18</t>
  </si>
  <si>
    <t>Phase 4 Constructed Units</t>
  </si>
  <si>
    <t>PHS4_UNTS</t>
  </si>
  <si>
    <t>'Form 4662'!$R$14</t>
  </si>
  <si>
    <t>R14C18</t>
  </si>
  <si>
    <t>Phase 5 Completion Year</t>
  </si>
  <si>
    <t>PHS5_YR</t>
  </si>
  <si>
    <t>'Form 4662'!$T$13</t>
  </si>
  <si>
    <t>R13C20</t>
  </si>
  <si>
    <t>Phase 5 Constructed Units</t>
  </si>
  <si>
    <t>PHS5_UNTS</t>
  </si>
  <si>
    <t>'Form 4662'!$T$14</t>
  </si>
  <si>
    <t>R14C20</t>
  </si>
  <si>
    <t>Phase 6 Completion Year</t>
  </si>
  <si>
    <t>PHS6_YR</t>
  </si>
  <si>
    <t>'Form 4662'!$V$13</t>
  </si>
  <si>
    <t>R13C22</t>
  </si>
  <si>
    <t>Phase 6 Constructed Units</t>
  </si>
  <si>
    <t>PHS6_UNTS</t>
  </si>
  <si>
    <t>'Form 4662'!$V$14</t>
  </si>
  <si>
    <t>R14C22</t>
  </si>
  <si>
    <t>Phase 7 Completion Year</t>
  </si>
  <si>
    <t>PHS7_YR</t>
  </si>
  <si>
    <t>'Form 4662'!$X$13</t>
  </si>
  <si>
    <t>R13C24</t>
  </si>
  <si>
    <t>Phase 7 Constructed Units</t>
  </si>
  <si>
    <t>PHS7_UNTS</t>
  </si>
  <si>
    <t>'Form 4662'!$X$14</t>
  </si>
  <si>
    <t>R14C24</t>
  </si>
  <si>
    <t>Loan</t>
  </si>
  <si>
    <t>Borrower Loan Purpose</t>
  </si>
  <si>
    <t>LN_PRPS</t>
  </si>
  <si>
    <t>'Form 4662'!$AM$8</t>
  </si>
  <si>
    <t>R8C39</t>
  </si>
  <si>
    <t>Acquisition, Refinance, Forward Conversion, ARM to Fixed Conversion, Rehabilitation, Equity, Construction Take Out, New Construction</t>
  </si>
  <si>
    <t>APP_LN_AMT</t>
  </si>
  <si>
    <t>'Form 4662'!$AM$9</t>
  </si>
  <si>
    <t>R9C39</t>
  </si>
  <si>
    <t>Currency</t>
  </si>
  <si>
    <t>_($* #,##0.00_);_($* (#,##0.00);_($* "-"??_);_(@_)</t>
  </si>
  <si>
    <t>Numeric values.</t>
  </si>
  <si>
    <t>Decimal Greater Than 0</t>
  </si>
  <si>
    <t>TIER</t>
  </si>
  <si>
    <t>'Form 4662'!$AM$12</t>
  </si>
  <si>
    <t>R12C39</t>
  </si>
  <si>
    <t>2, 3, 4</t>
  </si>
  <si>
    <t>TIER_DRP</t>
  </si>
  <si>
    <t>'Form 4662'!$AM$13</t>
  </si>
  <si>
    <t>R13C39</t>
  </si>
  <si>
    <t>Rate Lock Term</t>
  </si>
  <si>
    <t>LCK_TRM</t>
  </si>
  <si>
    <t>'Form 4662'!$AV$12</t>
  </si>
  <si>
    <t>R12C48</t>
  </si>
  <si>
    <t>Lock Expiration Date</t>
  </si>
  <si>
    <t>LCK_EXP_DT</t>
  </si>
  <si>
    <t>'Form 4662'!$AV$13</t>
  </si>
  <si>
    <t>R13C48</t>
  </si>
  <si>
    <t>m/d/yyyy</t>
  </si>
  <si>
    <t>TRSY_RT</t>
  </si>
  <si>
    <t>'Form 4662'!$AO$15</t>
  </si>
  <si>
    <t>R15C41</t>
  </si>
  <si>
    <t>0.000</t>
  </si>
  <si>
    <t>Decimal Between 0 And 25</t>
  </si>
  <si>
    <t>Gross Spread</t>
  </si>
  <si>
    <t>GRS_SPRD</t>
  </si>
  <si>
    <t>'Form 4662'!$AO$16</t>
  </si>
  <si>
    <t>R16C41</t>
  </si>
  <si>
    <t>UW Floor Rate (If Applicable: Fixed Rate Loans Only)</t>
  </si>
  <si>
    <t>UW_FLR_RT</t>
  </si>
  <si>
    <t>'Form 4662'!$AO$18</t>
  </si>
  <si>
    <t>R18C41</t>
  </si>
  <si>
    <t>UW Rate</t>
  </si>
  <si>
    <t>UW_RT</t>
  </si>
  <si>
    <t>'Form 4662'!$AO$19</t>
  </si>
  <si>
    <t>R19C41</t>
  </si>
  <si>
    <t>UW_NCF</t>
  </si>
  <si>
    <t>'Form 4662'!$AI$31</t>
  </si>
  <si>
    <t>R31C35</t>
  </si>
  <si>
    <t>Co-Op Equiv. NCF</t>
  </si>
  <si>
    <t>COOP_NCF</t>
  </si>
  <si>
    <t>'Form 4662'!$AU$31</t>
  </si>
  <si>
    <t>R31C47</t>
  </si>
  <si>
    <t>Decimal Greater Than Or Equal To 0</t>
  </si>
  <si>
    <t>UW EGI</t>
  </si>
  <si>
    <t>UW_EGI</t>
  </si>
  <si>
    <t>'Form 4662'!$AI$30</t>
  </si>
  <si>
    <t>R30C35</t>
  </si>
  <si>
    <t>UW Total Operating Expense</t>
  </si>
  <si>
    <t>UW_TOE</t>
  </si>
  <si>
    <t>'Form 4662'!$AU$30</t>
  </si>
  <si>
    <t>R30C47</t>
  </si>
  <si>
    <t>UW Physical Occupancy</t>
  </si>
  <si>
    <t>UW_PHYS_OCC</t>
  </si>
  <si>
    <t>'Form 4662'!$AX$23</t>
  </si>
  <si>
    <t>R23C50</t>
  </si>
  <si>
    <t>0.0</t>
  </si>
  <si>
    <t>Decimal Between 0 And 100</t>
  </si>
  <si>
    <t>UW Economic Occupancy</t>
  </si>
  <si>
    <t>UW_ECON_OCC</t>
  </si>
  <si>
    <t>'Form 4662'!$AX$24</t>
  </si>
  <si>
    <t>R24C50</t>
  </si>
  <si>
    <t>Minimum UW DSCR Hurdle</t>
  </si>
  <si>
    <t>MIN_HRDL_DSCR</t>
  </si>
  <si>
    <t>'Form 4662'!$AO$33</t>
  </si>
  <si>
    <t>R33C41</t>
  </si>
  <si>
    <t>0.00</t>
  </si>
  <si>
    <t>Decimal Between 0 And 99.99</t>
  </si>
  <si>
    <t>ACTL_DSCR</t>
  </si>
  <si>
    <t>'Form 4662'!$AO$35</t>
  </si>
  <si>
    <t>R35C41</t>
  </si>
  <si>
    <t>Decimal Greater Than 0 And Less Than 100</t>
  </si>
  <si>
    <t>DSCR at Maximum Payment</t>
  </si>
  <si>
    <t>MAX_PMT_DSCR</t>
  </si>
  <si>
    <t>'Form 4662'!$AO$36</t>
  </si>
  <si>
    <t>R36C41</t>
  </si>
  <si>
    <t>UW DSCR per Guide Requirements</t>
  </si>
  <si>
    <t>UW_DSCR</t>
  </si>
  <si>
    <t>'Form 4662'!$AO$34</t>
  </si>
  <si>
    <t>R34C41</t>
  </si>
  <si>
    <t>Combined Actual DSCR (Including Mezzanine Financing)</t>
  </si>
  <si>
    <t>MEZZ_DSCR</t>
  </si>
  <si>
    <t>'Form 4662'!$AO$37</t>
  </si>
  <si>
    <t>R37C41</t>
  </si>
  <si>
    <t>UW Cap Rate</t>
  </si>
  <si>
    <t>UW_CAP_RT</t>
  </si>
  <si>
    <t>'Form 4662'!$AN$24</t>
  </si>
  <si>
    <t>R24C40</t>
  </si>
  <si>
    <t>UW Property Value</t>
  </si>
  <si>
    <t>UW_PROP_VAL</t>
  </si>
  <si>
    <t>'Form 4662'!$AL$26</t>
  </si>
  <si>
    <t>R26C38</t>
  </si>
  <si>
    <t>UW_LTV</t>
  </si>
  <si>
    <t>'Form 4662'!$AL$27</t>
  </si>
  <si>
    <t>R27C38</t>
  </si>
  <si>
    <t>Decimal Greater Than 0 And Less Than Or Equal To 100</t>
  </si>
  <si>
    <t>Affordable</t>
  </si>
  <si>
    <t>Units with Income or Rent Restrictions</t>
  </si>
  <si>
    <t>MAH_UNTS</t>
  </si>
  <si>
    <t>'Form 4662'!$X$34</t>
  </si>
  <si>
    <t>R34C24</t>
  </si>
  <si>
    <t>=IF(AND(MAH_UNDR_80="",MAH_UNDR_60="",MAH_UNDR_50=""),"",SUM(MAH_UNDR_80,MAH_UNDR_60,MAH_UNDR_50))</t>
  </si>
  <si>
    <t>Formula</t>
  </si>
  <si>
    <t>MAH_TYP</t>
  </si>
  <si>
    <t>'Form 4662'!$L$26</t>
  </si>
  <si>
    <t>R26C12</t>
  </si>
  <si>
    <t>LIHTC, Proj Based HAP (incl. Sec. 8), Both LIHTC &amp; Proj Based HAP, Other, Not MAH</t>
  </si>
  <si>
    <t>Other Affordable Housing Type</t>
  </si>
  <si>
    <t>OTR_MAH_TYP</t>
  </si>
  <si>
    <t>'Form 4662'!$J$27</t>
  </si>
  <si>
    <t>R27C10</t>
  </si>
  <si>
    <t>At or Below 80% AMI (Low to Moderate Inc - HAP/Sec. 8)</t>
  </si>
  <si>
    <t>MAH_UNDR_80</t>
  </si>
  <si>
    <t>'Form 4662'!$X$31</t>
  </si>
  <si>
    <t>R31C24</t>
  </si>
  <si>
    <t>At or Below 60% AMI:</t>
  </si>
  <si>
    <t>MAH_UNDR_60</t>
  </si>
  <si>
    <t>'Form 4662'!$X$32</t>
  </si>
  <si>
    <t>R32C24</t>
  </si>
  <si>
    <t>At or Below 50% AMI (Very Low Income - HAP/Sec. 8)</t>
  </si>
  <si>
    <t>MAH_UNDR_50</t>
  </si>
  <si>
    <t>'Form 4662'!$X$33</t>
  </si>
  <si>
    <t>R33C24</t>
  </si>
  <si>
    <t>Reserves</t>
  </si>
  <si>
    <t>Immediate Repair Total</t>
  </si>
  <si>
    <t>RPR_TOT</t>
  </si>
  <si>
    <t>'Form 4662'!$P$37</t>
  </si>
  <si>
    <t>R37C16</t>
  </si>
  <si>
    <t>SZ_ZN</t>
  </si>
  <si>
    <t>'Form 4662'!$K$21</t>
  </si>
  <si>
    <t>R21C11</t>
  </si>
  <si>
    <t>Terrorism Insurance Coverage?</t>
  </si>
  <si>
    <t>TRSM_INS</t>
  </si>
  <si>
    <t>'Form 4662'!$K$20</t>
  </si>
  <si>
    <t>R20C11</t>
  </si>
  <si>
    <t>TX_ESCRW</t>
  </si>
  <si>
    <t>'Form 4662'!$X$19</t>
  </si>
  <si>
    <t>R19C24</t>
  </si>
  <si>
    <t>INS_ESCRW</t>
  </si>
  <si>
    <t>'Form 4662'!$X$20</t>
  </si>
  <si>
    <t>R20C24</t>
  </si>
  <si>
    <t>OTR_ESCRW</t>
  </si>
  <si>
    <t>'Form 4662'!$X$21</t>
  </si>
  <si>
    <t>R21C24</t>
  </si>
  <si>
    <t>Comments</t>
  </si>
  <si>
    <t>Lender Comments</t>
  </si>
  <si>
    <t>LNDR_CMTS</t>
  </si>
  <si>
    <t>'Form 4662'!$C$41</t>
  </si>
  <si>
    <t>R41C3</t>
  </si>
  <si>
    <t>Signature</t>
  </si>
  <si>
    <t>Underwriter Signature</t>
  </si>
  <si>
    <t>UW_SIGN</t>
  </si>
  <si>
    <t>'Form 4662'!$C$47</t>
  </si>
  <si>
    <t>R47C3</t>
  </si>
  <si>
    <t>Underwriter Signature Date</t>
  </si>
  <si>
    <t>UW_SIGN_DT</t>
  </si>
  <si>
    <t>'Form 4662'!$S$47</t>
  </si>
  <si>
    <t>R47C19</t>
  </si>
  <si>
    <t>Date values.</t>
  </si>
  <si>
    <t>Date &lt;= Current Date</t>
  </si>
  <si>
    <t>Chief Underwriter Signature</t>
  </si>
  <si>
    <t>CUW_SIGN</t>
  </si>
  <si>
    <t>'Form 4662'!$AC$47</t>
  </si>
  <si>
    <t>R47C29</t>
  </si>
  <si>
    <t>Chief Underwriter Signature Date</t>
  </si>
  <si>
    <t>CUW_SIGN_DT</t>
  </si>
  <si>
    <t>'Form 4662'!$AS$47</t>
  </si>
  <si>
    <t>R47C45</t>
  </si>
  <si>
    <t>HAP Remaining Term (months):</t>
  </si>
  <si>
    <t>HAP_REM_TRM</t>
  </si>
  <si>
    <t>'Form 4662'!$K$28</t>
  </si>
  <si>
    <t>R28C11</t>
  </si>
  <si>
    <t>AGE_RESTR</t>
  </si>
  <si>
    <t>'Form 4662'!$K$19</t>
  </si>
  <si>
    <t>R19C11</t>
  </si>
  <si>
    <t>Mezzanine Combined LTV:</t>
  </si>
  <si>
    <t>UW_CLTV</t>
  </si>
  <si>
    <t>'Form 4662'!$AW$27</t>
  </si>
  <si>
    <t>R27C49</t>
  </si>
  <si>
    <t>Operating Statement (Fiscal Year):</t>
  </si>
  <si>
    <t>OP_STMT_FY</t>
  </si>
  <si>
    <t>'Form 4662'!$AN$23</t>
  </si>
  <si>
    <t>R23C40</t>
  </si>
  <si>
    <t>Whole Number Between Current Year - 1 And Current Year + 1</t>
  </si>
  <si>
    <t>High Seismic Risk?  (“Yes”, if 10% or greater probability of the Peak Ground Acceleration exceeding 0.15g)</t>
  </si>
  <si>
    <t>SZ_RSK</t>
  </si>
  <si>
    <t>'Form 4662'!$K$22</t>
  </si>
  <si>
    <t>R22C11</t>
  </si>
  <si>
    <t>UW Property Value as of Date</t>
  </si>
  <si>
    <t>UW_PROP_VAL_DT</t>
  </si>
  <si>
    <t>'Form 4662'!$AW$26</t>
  </si>
  <si>
    <t>R26C49</t>
  </si>
  <si>
    <t>Mezzanine Loan Acquisition UPB</t>
  </si>
  <si>
    <t>MEZZ_LN_ACQ_UPB</t>
  </si>
  <si>
    <t>'Form 4662'!$AM$10</t>
  </si>
  <si>
    <t>R10C39</t>
  </si>
  <si>
    <t>Mezzanine Monthly Payment</t>
  </si>
  <si>
    <t>MEZZ_LN_MO_PMT</t>
  </si>
  <si>
    <t>'Form 4662'!$AX$10</t>
  </si>
  <si>
    <t>R10C50</t>
  </si>
  <si>
    <t>Cap Cost Factor (If Applicable: Structured ARM's Only)</t>
  </si>
  <si>
    <t>CAP_COST_FCTR</t>
  </si>
  <si>
    <t>'Form 4662'!$AO$17</t>
  </si>
  <si>
    <t>R17C41</t>
  </si>
  <si>
    <t>Identifier</t>
  </si>
  <si>
    <t xml:space="preserve">Collateral Reference Number </t>
  </si>
  <si>
    <t>Property Financial Type</t>
  </si>
  <si>
    <t>Age Restricted (as defined in the Housing for Older Persons Act (HOPA))?</t>
  </si>
  <si>
    <t>Continuum of Care Residential Community Property?</t>
  </si>
  <si>
    <t>Total Number 
of Buildings</t>
  </si>
  <si>
    <t>Address 1</t>
  </si>
  <si>
    <t>Address 2</t>
  </si>
  <si>
    <t>Lot &amp; Block Description</t>
  </si>
  <si>
    <t>Postal
Code</t>
  </si>
  <si>
    <t>Management Company Name</t>
  </si>
  <si>
    <t>Phase Number</t>
  </si>
  <si>
    <t>Phase Completion Year</t>
  </si>
  <si>
    <t>Phase Construction Units</t>
  </si>
  <si>
    <t>Underwritten Property Value</t>
  </si>
  <si>
    <t>Underwritten Capitalization Rate</t>
  </si>
  <si>
    <t>Property Value as of Date</t>
  </si>
  <si>
    <t>Operating Statement Fiscal Year</t>
  </si>
  <si>
    <t>Gross Potential Rent</t>
  </si>
  <si>
    <t>Medicare/Medicaid</t>
  </si>
  <si>
    <t>Nursing/Medical Income</t>
  </si>
  <si>
    <t>Meals Income</t>
  </si>
  <si>
    <t>Second Resident Income</t>
  </si>
  <si>
    <t>Laundry/Vending Income</t>
  </si>
  <si>
    <t>Parking Income</t>
  </si>
  <si>
    <t>Other Income</t>
  </si>
  <si>
    <t>Underwritten NRI ($)</t>
  </si>
  <si>
    <t>Trailing Collections (T-1) ($)</t>
  </si>
  <si>
    <t>Trailing Collections (T-3) ($)</t>
  </si>
  <si>
    <t>Trailing Collections (T-6) ($)</t>
  </si>
  <si>
    <t>Trailing Collections (T-12) ($)</t>
  </si>
  <si>
    <t>Meals Expense</t>
  </si>
  <si>
    <t>Payroll/Benefits</t>
  </si>
  <si>
    <t>Room Expense - Housekeeping</t>
  </si>
  <si>
    <t>Cooperative Equivalent NCF ($)</t>
  </si>
  <si>
    <t>Initial Deposit to Capital Expenditures (Replacement Reserves) ($)</t>
  </si>
  <si>
    <t>Ongoing Deposit to Capital Expenditures (Replacement Reserves) Waived (?)</t>
  </si>
  <si>
    <t>Is there Post-Closing Required Repairs/Renovation/Rehabilitation (?)</t>
  </si>
  <si>
    <t>Post-Closing Total Required Repairs/Renovation/Rehabilitation Amount($)</t>
  </si>
  <si>
    <t>Amount Escrowed by Servicer for Post-Closing Total Required Repairs/Renovation/Rehabilitation Amount ($)</t>
  </si>
  <si>
    <t>Final Completion Due Date of Total Required Repairs/Renovation/Rehabilitation</t>
  </si>
  <si>
    <t>Taxes Currently Escrowed (?)</t>
  </si>
  <si>
    <t>Third Party Operating Leases?</t>
  </si>
  <si>
    <t>Lease Payment ($)</t>
  </si>
  <si>
    <t>Upfront Fee?</t>
  </si>
  <si>
    <t>Upfront Fee Amount ($)</t>
  </si>
  <si>
    <t>Upfront Fee Refundable?</t>
  </si>
  <si>
    <t>State License Required</t>
  </si>
  <si>
    <t>State License Expiration Date</t>
  </si>
  <si>
    <t>Most Recent License Survey Date</t>
  </si>
  <si>
    <t>Deficiencies on Most Recent Survey</t>
  </si>
  <si>
    <t>Deficiencies on Most Recent Survey Description</t>
  </si>
  <si>
    <t>Deficiencies Corrected</t>
  </si>
  <si>
    <t>Deficiencies Corrected Description</t>
  </si>
  <si>
    <t>Suspension Due to Deficiency</t>
  </si>
  <si>
    <t>Suspension Due to Deficiency Description</t>
  </si>
  <si>
    <t>Independent Living Senior Units</t>
  </si>
  <si>
    <t>Assisted Living Senior Units</t>
  </si>
  <si>
    <t>Skilled Nursing Senior Units</t>
  </si>
  <si>
    <t>Alzheimers Senior Units</t>
  </si>
  <si>
    <t>Non-Senior Units</t>
  </si>
  <si>
    <t>Other Senior Units</t>
  </si>
  <si>
    <t>Independent Living Senior Units Exceeding HUD Limit</t>
  </si>
  <si>
    <t>Assisted Living Senior Units Exceeding HUD Limit</t>
  </si>
  <si>
    <t>Alzheimers Senior Units Exceeding HUD Limit</t>
  </si>
  <si>
    <t>Other Senior Units Exceeding HUD Limit</t>
  </si>
  <si>
    <t>Land Ownership Rights</t>
  </si>
  <si>
    <t>MHC Quality Rating</t>
  </si>
  <si>
    <t>MHC Ownership Type</t>
  </si>
  <si>
    <t>Property Stabilization Level</t>
  </si>
  <si>
    <t>Units with Tenant Site Lease Protections (%)</t>
  </si>
  <si>
    <t>Property Operating At Stable Residential Physical Occupancy?</t>
  </si>
  <si>
    <t>Property Expected To Reach Stable Residential Physical Occupancy</t>
  </si>
  <si>
    <t>Underwritten Physical Occupancy</t>
  </si>
  <si>
    <t>Military-Related Physical Occupancy (%)</t>
  </si>
  <si>
    <t>Underwritten Economic Occupancy</t>
  </si>
  <si>
    <t>Occupancy as of Date</t>
  </si>
  <si>
    <t>Assessment Results</t>
  </si>
  <si>
    <t>Rentable Residential Area (sq ft)</t>
  </si>
  <si>
    <t>Rentable Commercial Area (sq ft)</t>
  </si>
  <si>
    <t>Gross Property Area (sq ft)</t>
  </si>
  <si>
    <t>Special Flood Hazard Area Indicator</t>
  </si>
  <si>
    <t>Special Flood Hazard Area Insurance Type</t>
  </si>
  <si>
    <t>Seismic Zone</t>
  </si>
  <si>
    <t>Terrorism Insurance Coverage</t>
  </si>
  <si>
    <t>Does Property Include Licensed Childcare?</t>
  </si>
  <si>
    <t>Green Building Certification Organization</t>
  </si>
  <si>
    <t>Green Building Certification</t>
  </si>
  <si>
    <t>Is Green Building Certification Final?</t>
  </si>
  <si>
    <t>Green Building Certification Version</t>
  </si>
  <si>
    <t>Green Building Certification Level</t>
  </si>
  <si>
    <t>Is this Property subject to a State or Local Government Affordable Housing Program?</t>
  </si>
  <si>
    <t>Is this a HUD 202 Property?</t>
  </si>
  <si>
    <t>Original Tax Credit ($)</t>
  </si>
  <si>
    <t>Remaining Credit Period for Tax Credits</t>
  </si>
  <si>
    <t>Units with Income or Rent Restrictions (%)</t>
  </si>
  <si>
    <t>120%-Percentage of Units Set Aside for Tenants with Household Income at or below 120%</t>
  </si>
  <si>
    <t xml:space="preserve">100%-Percentage of Units Set Aside for Tenants with Household Income at or below 100% </t>
  </si>
  <si>
    <t>80%-Percentage of Units Set Aside for Tenants with Household Income at or below 80%</t>
  </si>
  <si>
    <t>60%-Percentage of Units Set Aside for Tenants with Household Income at or below 60%</t>
  </si>
  <si>
    <t>50%-Percentage of Units Set Aside for Tenants with Household Income at or below 50%</t>
  </si>
  <si>
    <t>Tax Credit Percent</t>
  </si>
  <si>
    <t>Tax Exemption or Abatement</t>
  </si>
  <si>
    <t>Remaining Term Of Tax Exemption or Abatement</t>
  </si>
  <si>
    <t>Section 8 Occupancy</t>
  </si>
  <si>
    <t>HAP Remaining Term (months)</t>
  </si>
  <si>
    <t>Property Management Type</t>
  </si>
  <si>
    <t>Financial Statement Frequency</t>
  </si>
  <si>
    <t>Property Site Inspection Frequency</t>
  </si>
  <si>
    <t>Number of Years Property Has Been Operating at Stable Occupancy</t>
  </si>
  <si>
    <t>Percentage Of Units With 12-month Leases(%)</t>
  </si>
  <si>
    <t>Percentage Of Units With Parental Guarantees (%)</t>
  </si>
  <si>
    <t>Distance to Campus</t>
  </si>
  <si>
    <t>Number of Student Properties Owned by the Key Managing Principal</t>
  </si>
  <si>
    <t>Unit Floor Plans Specialized?</t>
  </si>
  <si>
    <t>Number of Full Time Students Enrolled at the Campus(es) Served By This Property</t>
  </si>
  <si>
    <t>Name of College or University</t>
  </si>
  <si>
    <t>Cooperative Management Type</t>
  </si>
  <si>
    <t>Limited Equity Cooperative?</t>
  </si>
  <si>
    <t>Cooperative Cash and Reserves ($)</t>
  </si>
  <si>
    <t>Cooperative Sold Shares (%)</t>
  </si>
  <si>
    <t>Cooperative Units Sold In Last 12 Months?</t>
  </si>
  <si>
    <t>Cooperative Average Unit Sales Price ($)</t>
  </si>
  <si>
    <t>Cooperative Audited Financial Statement?</t>
  </si>
  <si>
    <t>Cooperative Maintenance Fees in Arrears (%)</t>
  </si>
  <si>
    <t>Base</t>
  </si>
  <si>
    <t>1</t>
  </si>
  <si>
    <t>Quarterly</t>
  </si>
  <si>
    <t>Every Two Years</t>
  </si>
  <si>
    <t>Deal Participant Name</t>
  </si>
  <si>
    <t>Tax ID</t>
  </si>
  <si>
    <t>Counterparty Type</t>
  </si>
  <si>
    <t>Sponsor?</t>
  </si>
  <si>
    <t>Borrower?</t>
  </si>
  <si>
    <t>Principal?</t>
  </si>
  <si>
    <t>Forward?</t>
  </si>
  <si>
    <t>Single Asset Borrower</t>
  </si>
  <si>
    <t>Foreign Borrower</t>
  </si>
  <si>
    <t>Fannie Mae an 
Investor in Counterparty</t>
  </si>
  <si>
    <t>Borrower Recourse</t>
  </si>
  <si>
    <t>Postal Code</t>
  </si>
  <si>
    <t>Phone</t>
  </si>
  <si>
    <t>Fax</t>
  </si>
  <si>
    <t>E-mail</t>
  </si>
  <si>
    <t>Principal Recourse</t>
  </si>
  <si>
    <t>Partial Recourse (%)</t>
  </si>
  <si>
    <t>Cash Contributions ($)</t>
  </si>
  <si>
    <t>FICO Score</t>
  </si>
  <si>
    <t>Does Participant Occupy the Property?</t>
  </si>
  <si>
    <t>Is the Key Financial Principal a Publicly Rated Company?</t>
  </si>
  <si>
    <t>Long Term Public Debt Rating (S&amp;P Rating)</t>
  </si>
  <si>
    <t>Long Term Public Debt Rating (Moody's Rating)</t>
  </si>
  <si>
    <t>Long Term Public Debt Rating (Fitch Rating)</t>
  </si>
  <si>
    <t>Key Financial Principal Guaranty</t>
  </si>
  <si>
    <t>Duration of Key Financial Principal Guaranty</t>
  </si>
  <si>
    <t>Portfolio DSCR</t>
  </si>
  <si>
    <t>Tangible Net Worth Ratio</t>
  </si>
  <si>
    <t>Liquidity Ratio</t>
  </si>
  <si>
    <t>Years of Ownership or Management Experience With This Property Type</t>
  </si>
  <si>
    <t>Years of Management Experience in This Market</t>
  </si>
  <si>
    <t>{"data_quality": "OK", "data": [{"created_on": "09/15/2023, 13:37:47", "date": "09/15/2023", "fannie_1m_libor": "0.053133", "fannie_sofr": "0.053271", "fannie_1m_tsy": "0.053704", "fannie_3m_tsy": "0.054609", "fannie_6m_tsy": "0.055226", "fannie_1y_tsy": "0.054237", "fannie_2y_tsy": "0.050347", "fannie_3y_tsy": "0.047126", "fannie_4y_tsy": "0.045816", "fannie_5y_tsy": "0.044509", "fannie_7y_tsy": "0.044065", "fannie_10y_tsy": "0.043144", "fannie_30y_tsy": "0.043957", "fannie_5y_swap_spread": "-0.002181", "fannie_7y_swap_spread": "-0.003107", "fannie_10y_swap_spread": "-0.002966", "fannie_release_1": "09/13/2023 07:00 | MBA Mortgage Applications | --", "fannie_release_2": "09/13/2023 08:30 | CPI Ex Food and Energy YoY | 0.043", "fannie_release_3": "09/13/2023 08:30 | CPI Ex Food and Energy MoM | 0.002", "fannie_release_4": "09/13/2023 08:30 | CPI YoY | 0.036", "fannie_release_5": "09/13/2023 08:30 | CPI MoM | 0.006", "fannie_release_6": "09/13/2023 14:00 | Monthly Budget Statement | -$245.0b", "fannie_release_7": "09/14/2023 08:30 | PPI Ex Food and Energy MoM | 0.002", "fannie_release_8": "09/14/2023 08:30 | Continuing Claims | 1695k", "fannie_release_9": "09/14/2023 08:30 | PPI Final Demand YoY | 0.013", "fannie_release_10": "09/14/2023 08:30 | PPI Final Demand MoM | 0.004", "fannie_release_11": "09/14/2023 08:30 | Retail Sales Advance MoM | 0.001", "fannie_release_12": "09/14/2023 08:30 | Initial Jobless Claims | 225k", "fannie_release_13": "09/15/2023 08:30 | Import Price Index MoM | 0.003", "fannie_release_14": "09/15/2023 08:30 | Empire Manufacturing | -10", "fannie_release_15": "09/15/2023 09:15 | Industrial Production MoM | 0.001", "fannie_release_16": "09/15/2023 10:00 | U. of Mich. Sentiment | 69.1", "fannie_5yr_fixed_rate_investor_4_5yr_ym": "0.006900", "fannie_7yr_fixed_rate_investor_6_5yr_ym": "0.006900", "fannie_10yr_fixed_rate_investor_9_5yr_ym": "0.007300", "fannie_12yr_fixed_rate_investor_11_5yr_ym": "0.008700", "fannie_15yr_fixed_rate_investor_14_5yr_ym": "0.010500", "fannie_18yr_fixed_rate_investor_15yr_ym": "0.012100", "fannie_30yr_fixed_rate_investor_15yr_ym": "0.013000", "fannie_5yr_fixed_rate_investor_3yr_ym": "0.012900", "fannie_7yr_fixed_rate_investor_5yr_ym": "0.012900", "fannie_10yr_fixed_rate_investor_7yr_ym": "0.013300", "fannie_arm_7_6_floating_rate_investor": null, "fannie_10y_SARM_floating_rate_investor": "0.008000", "fannie_5y_fixed_rate_4_5yr_ym_gs": "0.019300", "fannie_7y_fixed_rate_6_5yr_ym_gs": "0.016600", "fannie_10y_fixed_rate_9_5yr_ym_gs": "0.015100", "fannie_12y_fixed_rate_11_5yr_ym_gs": "0.015100", "fannie_15y_fixed_rate_14_5yr_ym_gs": "0.015100", "fannie_18y_fixed_rate_15yr_ym_gs": "0.015100", "fannie_30y_fixed_rate_15yr_ym_gs": "0.015100", "fannie_5y_fixed_rate_3yr_ym_gs": "0.019600", "fannie_7y_fixed_rate_5yr_ym_gs": "0.016900", "fannie_10y_fixed_rate_7yr_ym_gs": "0.015300", "fannie_arm_7_6_floating_rate": null, "fannie_10y_SARM_floating_rate": "0.020000", "fannie_1yr_7_6_5_interest_only_cost": "0.007325", "fannie_2yr_7_6_5_interest_only_cost": "0.003449", "fannie_3yr_7_6_5_interest_only_cost": "0.000418", "fannie_5yr_7_6_5_interest_only_cost": "-0.003359", "fannie_full_term_IO_7_6_5_interset_only_cost": "-0.004090", "fannie_1yr_10_9_5_interest_only_cost": "0.009380", "fannie_2yr_10_9_5_interest_only_cost": "0.007074", "fannie_3yr_10_9_5_interest_only_cost": "0.005143", "fannie_5yr_10_9_5_interest_only_cost": "0.002258", "fannie_full_term_IO_10_9_5_interset_only_cost": "-0.000265", "fannie_1yr_12_11_5_interest_only_cost": "0.010640", "fannie_2yr_12_11_5_interest_only_cost": "0.009411", "fannie_3yr_12_11_5_interest_only_cost": "0.008375", "fannie_5yr_12_11_5_interest_only_cost": "0.006768", "fannie_full_term_IO_12_11_5_interset_only_cost": "0.004847", "fannie_1yr_15_14_5_interest_only_cost": "0.010751", "fannie_2yr_15_14_5_interest_only_cost": "0.009582", "fannie_3yr_15_14_5_interest_only_cost": "0.008586", "fannie_5yr_15_14_5_interest_only_cost": "0.006981", "fannie_full_term_IO_15_14_5_interset_only_cost": "0.004040", "fannie_extended_delivery_45days": "0.000100", "fannie_extended_delivery_60days": "0.000500", "fannie_extended_delivery_75days": "0.000700", "fannie_extended_delivery_90days": "0.001000", "fannie_extended_delivery_120days": "0.001400", "freddie_CME_7yr_6_75yr_net_spread": "0.019000", "freddie_CME_10yr_9_75yr_net_spread": "0.018500", "freddie_CME_12yr_11_75yr_net_spread": "0.019500", "freddie_CME_15yr_14_75yr_net_spread": null, "freddie_CME_7yr_6_75yr_servicing": "0.001000", "freddie_CME_10yr_9_75yr_servicing": "0.001000", "freddie_CME_12yr_11_75yr_servicing": "0.001000", "freddie_CME_15yr_14_75yr_servicing": null, "ginnie_mae_permanent_loan_post_gs": "0.061644", "ginnie_mae_construction_loan_post_gs": "0.065944", "fannie_1yr_5_4_5_interest_only_cost": "0.005936", "fannie_2yr_5_4_5_interest_only_cost": "0.001328", "fannie_3yr_5_4_5_interest_only_cost": "-0.001809", "fannie_5yr_5_4_5_interest_only_cost": "-0.003627", "fannie_full_term_IO_5_4_5_interset_only_cost": "-0.006800", "fannie_30y_swap_spread": "0.000000", "fannie_5y_large_tier3_fixed_rate_4_5yr_ym_gs": "0.013900", "fannie_7y_large_tier3_fixed_rate_6_5yr_ym_gs": "0.013500", "fannie_10y_large_tier3_fixed_rate_9_5yr_ym_gs": "0.013100", "fannie_12y_large_tier3_fixed_rate_11_5yr_ym_gs": "0.013100", "fannie_15y_large_tier3_fixed_rate_14_5yr_ym_gs": "0.013100", "fannie_18y_large_tier3_fixed_rate_15yr_ym_gs": "0.013100", "fannie_30y_large_tier3_fixed_rate_15yr_ym_gs": "0.013100", "fannie_5y_large_tier3_fixed_rate_3yr_ym_gs": "0.013900", "fannie_7y_large_tier3_fixed_rate_5yr_ym_gs": "0.013500", "fannie_10y_large_tier3_fixed_rate_7yr_ym_gs": "0.013100", "fannie_5y_large_tier4_fixed_rate_4_5yr_ym_gs": "0.011900", "fannie_7y_large_tier4_fixed_rate_6_5yr_ym_gs": "0.011500", "fannie_10y_large_tier4_fixed_rate_9_5yr_ym_gs": "0.011100", "fannie_12y_large_tier4_fixed_rate_11_5yr_ym_gs": "0.011100", "fannie_15y_large_tier4_fixed_rate_14_5yr_ym_gs": "0.011100", "fannie_18y_large_tier4_fixed_rate_15yr_ym_gs": "0.011100", "fannie_30y_large_tier4_fixed_rate_15yr_ym_gs": "0.011100", "fannie_5y_large_tier4_fixed_rate_3yr_ym_gs": "0.011900", "fannie_7y_large_tier4_fixed_rate_5yr_ym_gs": "0.011500", "fannie_10y_large_tier4_fixed_rate_7yr_ym_gs": "0.011100", "fannie_5y_small_tier2_fixed_rate_4_5yr_ym_gs": "0.023400", "fannie_7y_small_tier2_fixed_rate_6_5yr_ym_gs": "0.020700", "fannie_10y_small_tier2_fixed_rate_9_5yr_ym_gs": "0.019200", "fannie_12y_small_tier2_fixed_rate_11_5yr_ym_gs": "0.019200", "fannie_15y_small_tier2_fixed_rate_14_5yr_ym_gs": "0.019200", "fannie_18y_small_tier2_fixed_rate_15yr_ym_gs": "0.019200", "fannie_30y_small_tier2_fixed_rate_15yr_ym_gs": "0.019200", "fannie_5y_small_tier2_fixed_rate_3yr_ym_gs": "0.023400", "fannie_7y_small_tier2_fixed_rate_5yr_ym_gs": "0.020700", "fannie_10y_small_tier2_fixed_rate_7yr_ym_gs": "0.019200", "fannie_5y_small_tier3_fixed_rate_4_5yr_ym_gs": "0.018000", "fannie_7y_small_tier3_fixed_rate_6_5yr_ym_gs": "0.017600", "fannie_10y_small_tier3_fixed_rate_9_5yr_ym_gs": "0.017200", "fannie_12y_small_tier3_fixed_rate_11_5yr_ym_gs": "0.017200", "fannie_15y_small_tier3_fixed_rate_14_5yr_ym_gs": "0.017200", "fannie_18y_small_tier3_fixed_rate_15yr_ym_gs": "0.017200", "fannie_30y_small_tier3_fixed_rate_15yr_ym_gs": "0.017200", "fannie_5y_small_tier3_fixed_rate_3yr_ym_gs": "0.018000", "fannie_7y_small_tier3_fixed_rate_5yr_ym_gs": "0.017600", "fannie_10y_small_tier3_fixed_rate_7yr_ym_gs": "0.017200", "fannie_5y_small_tier4_fixed_rate_4_5yr_ym_gs": "0.016000", "fannie_7y_small_tier4_fixed_rate_6_5yr_ym_gs": "0.015600", "fannie_10y_small_tier4_fixed_rate_9_5yr_ym_gs": "0.015200", "fannie_12y_small_tier4_fixed_rate_11_5yr_ym_gs": "0.015200", "fannie_15y_small_tier4_fixed_rate_14_5yr_ym_gs": "0.015200", "fannie_18y_small_tier4_fixed_rate_15yr_ym_gs": "0.015200", "fannie_30y_small_tier4_fixed_rate_15yr_ym_gs": "0.015200", "fannie_5y_small_tier4_fixed_rate_3yr_ym_gs": "0.016000", "fannie_7y_small_tier4_fixed_rate_5yr_ym_gs": "0.015600", "fannie_10y_small_tier4_fixed_rate_7yr_ym_gs": "0.015200", "small_loan_spread_adder": "0.001000", "declining_prepayment_penalty_investor_spread_adder": "0.007000", "manf_housing_penalty_investor_spread_adder": "0.000300", "manf_housing_gs_tier2_adder": "0.005200", "manf_housing_gs_tier34_adder": "0.000000", "libor_1mo": "0.053133", "sofr_30d_Avg": "0.053271", "sofr_1mo_term": "0.053704", "TBill_1mo": "0.053704", "TBill_3mo": "0.054609", "TBill_6mo": "0.055226", "TBill_12mo": "0.054237", "UST_2yr": "0.050347", "UST_3yr": "0.047126", "UST_4yr": "0.045816", "UST_5yr": "0.044509", "UST_7yr": "0.044065", "UST_10yr": "0.043144", "UST_20yr": "0.045820", "UST_30yr": "0.043957"}]}</t>
  </si>
  <si>
    <t>DailyPricingTblDataIsStale</t>
  </si>
  <si>
    <t>DailyPricingUpdateTimestamp</t>
  </si>
  <si>
    <t>DailyPricingImportedData</t>
  </si>
  <si>
    <t>DailyPricingTbl</t>
  </si>
  <si>
    <t>date</t>
  </si>
  <si>
    <t>libor_1mo</t>
  </si>
  <si>
    <t>sofr_30d_Avg</t>
  </si>
  <si>
    <t>sofr_1mo_term</t>
  </si>
  <si>
    <t>fannie_sofr</t>
  </si>
  <si>
    <t>Tbill_1mo</t>
  </si>
  <si>
    <t>Tbill_3mo</t>
  </si>
  <si>
    <t>Tbill_6mo</t>
  </si>
  <si>
    <t>Tbill_12mo</t>
  </si>
  <si>
    <t>UST_2yr</t>
  </si>
  <si>
    <t>UST_3yr</t>
  </si>
  <si>
    <t>UST_4yr</t>
  </si>
  <si>
    <t>UST_5yr</t>
  </si>
  <si>
    <t>UST_7yr</t>
  </si>
  <si>
    <t>UST_10yr</t>
  </si>
  <si>
    <t>UST_20yr</t>
  </si>
  <si>
    <t>UST_30yr</t>
  </si>
  <si>
    <t>fannie_5yr_fixed_rate_investor_4_5yr_ym</t>
  </si>
  <si>
    <t>fannie_7yr_fixed_rate_investor_6_5yr_ym</t>
  </si>
  <si>
    <t>fannie_10yr_fixed_rate_investor_9_5yr_ym</t>
  </si>
  <si>
    <t>fannie_12yr_fixed_rate_investor_11_5yr_ym</t>
  </si>
  <si>
    <t>fannie_15yr_fixed_rate_investor_14_5yr_ym</t>
  </si>
  <si>
    <t>fannie_18yr_fixed_rate_investor_15yr_ym</t>
  </si>
  <si>
    <t>fannie_30yr_fixed_rate_investor_15yr_ym</t>
  </si>
  <si>
    <t>fannie_5yr_fixed_rate_investor_3yr_ym</t>
  </si>
  <si>
    <t>fannie_7yr_fixed_rate_investor_5yr_ym</t>
  </si>
  <si>
    <t>fannie_10yr_fixed_rate_investor_7yr_ym</t>
  </si>
  <si>
    <t>fannie_5y_small_tier2_fixed_rate_4_5yr_ym_gs</t>
  </si>
  <si>
    <t>fannie_7y_small_tier2_fixed_rate_6_5yr_ym_gs</t>
  </si>
  <si>
    <t>fannie_10y_small_tier2_fixed_rate_9_5yr_ym_gs</t>
  </si>
  <si>
    <t>fannie_12y_small_tier2_fixed_rate_11_5yr_ym_gs</t>
  </si>
  <si>
    <t>fannie_15y_small_tier2_fixed_rate_14_5yr_ym_gs</t>
  </si>
  <si>
    <t>fannie_18y_small_tier2_fixed_rate_15yr_ym_gs</t>
  </si>
  <si>
    <t>fannie_30y_small_tier2_fixed_rate_15yr_ym_gs</t>
  </si>
  <si>
    <t>fannie_5y_small_tier2_fixed_rate_3yr_ym_gs</t>
  </si>
  <si>
    <t>fannie_7y_small_tier2_fixed_rate_5yr_ym_gs</t>
  </si>
  <si>
    <t>fannie_10y_small_tier2_fixed_rate_7yr_ym_gs</t>
  </si>
  <si>
    <t>fannie_5y_small_tier3_fixed_rate_4_5yr_ym_gs</t>
  </si>
  <si>
    <t>fannie_7y_small_tier3_fixed_rate_6_5yr_ym_gs</t>
  </si>
  <si>
    <t>fannie_10y_small_tier3_fixed_rate_9_5yr_ym_gs</t>
  </si>
  <si>
    <t>fannie_12y_small_tier3_fixed_rate_11_5yr_ym_gs</t>
  </si>
  <si>
    <t>fannie_15y_small_tier3_fixed_rate_14_5yr_ym_gs</t>
  </si>
  <si>
    <t>fannie_18y_small_tier3_fixed_rate_15yr_ym_gs</t>
  </si>
  <si>
    <t>fannie_30y_small_tier3_fixed_rate_15yr_ym_gs</t>
  </si>
  <si>
    <t>fannie_5y_small_tier3_fixed_rate_3yr_ym_gs</t>
  </si>
  <si>
    <t>fannie_7y_small_tier3_fixed_rate_5yr_ym_gs</t>
  </si>
  <si>
    <t>fannie_10y_small_tier3_fixed_rate_7yr_ym_gs</t>
  </si>
  <si>
    <t>fannie_5y_small_tier4_fixed_rate_4_5yr_ym_gs</t>
  </si>
  <si>
    <t>fannie_7y_small_tier4_fixed_rate_6_5yr_ym_gs</t>
  </si>
  <si>
    <t>fannie_10y_small_tier4_fixed_rate_9_5yr_ym_gs</t>
  </si>
  <si>
    <t>fannie_12y_small_tier4_fixed_rate_11_5yr_ym_gs</t>
  </si>
  <si>
    <t>fannie_15y_small_tier4_fixed_rate_14_5yr_ym_gs</t>
  </si>
  <si>
    <t>fannie_18y_small_tier4_fixed_rate_15yr_ym_gs</t>
  </si>
  <si>
    <t>fannie_30y_small_tier4_fixed_rate_15yr_ym_gs</t>
  </si>
  <si>
    <t>fannie_5y_small_tier4_fixed_rate_3yr_ym_gs</t>
  </si>
  <si>
    <t>fannie_7y_small_tier4_fixed_rate_5yr_ym_gs</t>
  </si>
  <si>
    <t>fannie_10y_small_tier4_fixed_rate_7yr_ym_gs</t>
  </si>
  <si>
    <t>fannie_arm_7_6_floating_rate</t>
  </si>
  <si>
    <t>fannie_10y_SARM_floating_rate</t>
  </si>
  <si>
    <t>fannie_1yr_5_4_5_interest_only_cost</t>
  </si>
  <si>
    <t>fannie_2yr_5_4_5_interest_only_cost</t>
  </si>
  <si>
    <t>fannie_3yr_5_4_5_interest_only_cost</t>
  </si>
  <si>
    <t>fannie_5yr_5_4_5_interest_only_cost</t>
  </si>
  <si>
    <t>fannie_1yr_7_6_5_interest_only_cost</t>
  </si>
  <si>
    <t>fannie_2yr_7_6_5_interest_only_cost</t>
  </si>
  <si>
    <t>fannie_3yr_7_6_5_interest_only_cost</t>
  </si>
  <si>
    <t>fannie_5yr_7_6_5_interest_only_cost</t>
  </si>
  <si>
    <t>fannie_full_term_IO_7_6_5_interset_only_cost</t>
  </si>
  <si>
    <t>fannie_1yr_10_9_5_interest_only_cost</t>
  </si>
  <si>
    <t>fannie_2yr_10_9_5_interest_only_cost</t>
  </si>
  <si>
    <t>fannie_3yr_10_9_5_interest_only_cost</t>
  </si>
  <si>
    <t>fannie_5yr_10_9_5_interest_only_cost</t>
  </si>
  <si>
    <t>fannie_full_term_IO_10_9_5_interset_only_cost</t>
  </si>
  <si>
    <t>fannie_1yr_12_11_5_interest_only_cost</t>
  </si>
  <si>
    <t>fannie_2yr_12_11_5_interest_only_cost</t>
  </si>
  <si>
    <t>fannie_3yr_12_11_5_interest_only_cost</t>
  </si>
  <si>
    <t>fannie_5yr_12_11_5_interest_only_cost</t>
  </si>
  <si>
    <t>fannie_full_term_IO_12_11_5_interset_only_cost</t>
  </si>
  <si>
    <t>fannie_1yr_15_14_5_interest_only_cost</t>
  </si>
  <si>
    <t>fannie_2yr_15_14_5_interest_only_cost</t>
  </si>
  <si>
    <t>fannie_3yr_15_14_5_interest_only_cost</t>
  </si>
  <si>
    <t>fannie_5yr_15_14_5_interest_only_cost</t>
  </si>
  <si>
    <t>fannie_full_term_IO_15_14_5_interset_only_cost</t>
  </si>
  <si>
    <t>declining_prepayment_penalty_investor_spread_adder</t>
  </si>
  <si>
    <t>manf_housing_penalty_investor_spread_adder</t>
  </si>
  <si>
    <t>manf_housing_gs_tier2_adder</t>
  </si>
  <si>
    <t>manf_housing_gs_tier34_adder</t>
  </si>
  <si>
    <t>fannie_full_term_IO_5_4_5_interset_only_cost</t>
  </si>
  <si>
    <t>fannie_arm_7_6_floating_rate_investor</t>
  </si>
  <si>
    <t>fannie_10y_SARM_floating_rate_investor</t>
  </si>
  <si>
    <t>fannie_extended_delivery_45days</t>
  </si>
  <si>
    <t>fannie_extended_delivery_60days</t>
  </si>
  <si>
    <t>fannie_extended_delivery_75days</t>
  </si>
  <si>
    <t>fannie_extended_delivery_90days</t>
  </si>
  <si>
    <t>fannie_extended_delivery_120days</t>
  </si>
  <si>
    <t>freddie_CME_7yr_6_75yr_net_spread</t>
  </si>
  <si>
    <t>freddie_CME_10yr_9_75yr_net_spread</t>
  </si>
  <si>
    <t>freddie_CME_12yr_11_75yr_net_spread</t>
  </si>
  <si>
    <t>freddie_CME_15yr_14_75yr_net_spread</t>
  </si>
  <si>
    <t>freddie_CME_7yr_6_75yr_servicing</t>
  </si>
  <si>
    <t>freddie_CME_10yr_9_75yr_servicing</t>
  </si>
  <si>
    <t>freddie_CME_12yr_11_75yr_servicing</t>
  </si>
  <si>
    <t>freddie_CME_15yr_14_75yr_servicing</t>
  </si>
  <si>
    <t>ginnie_mae_permanent_loan_post_gs</t>
  </si>
  <si>
    <t>ginnie_mae_construction_loan_post_gs</t>
  </si>
  <si>
    <t>fannie_5y_swap_spread</t>
  </si>
  <si>
    <t>fannie_7y_swap_spread</t>
  </si>
  <si>
    <t>fannie_10y_swap_spread</t>
  </si>
  <si>
    <t>fannie_30y_swap_spread</t>
  </si>
  <si>
    <t>small_loan_spread_adder</t>
  </si>
  <si>
    <t>fannie large (above $6MM) Tier2</t>
  </si>
  <si>
    <t>fannie_5y_fixed_rate_4_5yr_ym_gs</t>
  </si>
  <si>
    <t>fannie_7y_fixed_rate_6_5yr_ym_gs</t>
  </si>
  <si>
    <t>fannie_10y_fixed_rate_9_5yr_ym_gs</t>
  </si>
  <si>
    <t>fannie_12y_fixed_rate_11_5yr_ym_gs</t>
  </si>
  <si>
    <t>fannie_15y_fixed_rate_14_5yr_ym_gs</t>
  </si>
  <si>
    <t>fannie_18y_fixed_rate_15yr_ym_gs</t>
  </si>
  <si>
    <t>fannie_30y_fixed_rate_15yr_ym_gs</t>
  </si>
  <si>
    <t>fannie_5y_fixed_rate_3yr_ym_gs</t>
  </si>
  <si>
    <t>fannie_7y_fixed_rate_5yr_ym_gs</t>
  </si>
  <si>
    <t>fannie_10y_fixed_rate_7yr_ym_gs</t>
  </si>
  <si>
    <t>fannie large (above $6MM) Tier3</t>
  </si>
  <si>
    <t>fannie_5y_large_tier3_fixed_rate_4_5yr_ym_gs</t>
  </si>
  <si>
    <t>fannie_7y_large_tier3_fixed_rate_6_5yr_ym_gs</t>
  </si>
  <si>
    <t>fannie_10y_large_tier3_fixed_rate_9_5yr_ym_gs</t>
  </si>
  <si>
    <t>fannie_12y_large_tier3_fixed_rate_11_5yr_ym_gs</t>
  </si>
  <si>
    <t>fannie_15y_large_tier3_fixed_rate_14_5yr_ym_gs</t>
  </si>
  <si>
    <t>fannie_18y_large_tier3_fixed_rate_15yr_ym_gs</t>
  </si>
  <si>
    <t>fannie_30y_large_tier3_fixed_rate_15yr_ym_gs</t>
  </si>
  <si>
    <t>fannie_5y_large_tier3_fixed_rate_3yr_ym_gs</t>
  </si>
  <si>
    <t>fannie_7y_large_tier3_fixed_rate_5yr_ym_gs</t>
  </si>
  <si>
    <t>fannie_10y_large_tier3_fixed_rate_7yr_ym_gs</t>
  </si>
  <si>
    <t>fannie large (above $6MM) Tier4</t>
  </si>
  <si>
    <t>fannie_5y_large_tier4_fixed_rate_4_5yr_ym_gs</t>
  </si>
  <si>
    <t>fannie_7y_large_tier4_fixed_rate_6_5yr_ym_gs</t>
  </si>
  <si>
    <t>fannie_10y_large_tier4_fixed_rate_9_5yr_ym_gs</t>
  </si>
  <si>
    <t>fannie_12y_large_tier4_fixed_rate_11_5yr_ym_gs</t>
  </si>
  <si>
    <t>fannie_15y_large_tier4_fixed_rate_14_5yr_ym_gs</t>
  </si>
  <si>
    <t>fannie_18y_large_tier4_fixed_rate_15yr_ym_gs</t>
  </si>
  <si>
    <t>fannie_30y_large_tier4_fixed_rate_15yr_ym_gs</t>
  </si>
  <si>
    <t>fannie_5y_large_tier4_fixed_rate_3yr_ym_gs</t>
  </si>
  <si>
    <t>fannie_7y_large_tier4_fixed_rate_5yr_ym_gs</t>
  </si>
  <si>
    <t>fannie_10y_large_tier4_fixed_rate_7yr_ym_gs</t>
  </si>
  <si>
    <t>BuildingTypes</t>
  </si>
  <si>
    <t>BorrowerLoanPurposes</t>
  </si>
  <si>
    <t>MAHTypes</t>
  </si>
  <si>
    <t>PropertyTypes</t>
  </si>
  <si>
    <t>StateCodes</t>
  </si>
  <si>
    <t>Tiers</t>
  </si>
  <si>
    <t>YesNo</t>
  </si>
  <si>
    <t>YesNoNA</t>
  </si>
  <si>
    <t>Sheets in Book</t>
  </si>
  <si>
    <t>WorksheetNames</t>
  </si>
  <si>
    <t>Sheets in List</t>
  </si>
  <si>
    <t>Proj Based HAP (incl. Sec. 8)</t>
  </si>
  <si>
    <t>Forward Conversion</t>
  </si>
  <si>
    <t>Both LIHTC &amp; Proj Based HAP</t>
  </si>
  <si>
    <t>Single Family Rental</t>
  </si>
  <si>
    <t>ARM to Fixed Conversion</t>
  </si>
  <si>
    <t>Rehabilitation</t>
  </si>
  <si>
    <t>Equity</t>
  </si>
  <si>
    <t>Sponsor Initiated Affordability</t>
  </si>
  <si>
    <t>Military</t>
  </si>
  <si>
    <t>Construction Take Out</t>
  </si>
  <si>
    <t>New Construction</t>
  </si>
  <si>
    <t>FL</t>
  </si>
  <si>
    <t>GA</t>
  </si>
  <si>
    <t>GU</t>
  </si>
  <si>
    <t>HI</t>
  </si>
  <si>
    <t>ID</t>
  </si>
  <si>
    <t>IL</t>
  </si>
  <si>
    <t>IN</t>
  </si>
  <si>
    <t>IA</t>
  </si>
  <si>
    <t>KS</t>
  </si>
  <si>
    <t>KY</t>
  </si>
  <si>
    <t>LA</t>
  </si>
  <si>
    <t>ME</t>
  </si>
  <si>
    <t>MD</t>
  </si>
  <si>
    <t>MA</t>
  </si>
  <si>
    <t>MI</t>
  </si>
  <si>
    <t>MN</t>
  </si>
  <si>
    <t>MS</t>
  </si>
  <si>
    <t>MO</t>
  </si>
  <si>
    <t>MT</t>
  </si>
  <si>
    <t>NV</t>
  </si>
  <si>
    <t>NH</t>
  </si>
  <si>
    <t>NJ</t>
  </si>
  <si>
    <t>NM</t>
  </si>
  <si>
    <t>NY</t>
  </si>
  <si>
    <t>NC</t>
  </si>
  <si>
    <t>ND</t>
  </si>
  <si>
    <t>OH</t>
  </si>
  <si>
    <t>OK</t>
  </si>
  <si>
    <t>OR</t>
  </si>
  <si>
    <t>PA</t>
  </si>
  <si>
    <t>PR</t>
  </si>
  <si>
    <t>RI</t>
  </si>
  <si>
    <t>SC</t>
  </si>
  <si>
    <t>SD</t>
  </si>
  <si>
    <t>TN</t>
  </si>
  <si>
    <t>TX</t>
  </si>
  <si>
    <t>UT</t>
  </si>
  <si>
    <t>VT</t>
  </si>
  <si>
    <t>VA</t>
  </si>
  <si>
    <t>VI</t>
  </si>
  <si>
    <t>WA</t>
  </si>
  <si>
    <t>WV</t>
  </si>
  <si>
    <t>WI</t>
  </si>
  <si>
    <t>WY</t>
  </si>
  <si>
    <t>Mapping_DataPageData</t>
  </si>
  <si>
    <t>Mapping_TradeSheetData</t>
  </si>
  <si>
    <t>Mapping_SBLQuotesDefaultValues</t>
  </si>
  <si>
    <t>Endpoint:</t>
  </si>
  <si>
    <t>/v3/deals/&lt;deal_id&gt;/data_page</t>
  </si>
  <si>
    <t>/TBD?</t>
  </si>
  <si>
    <t>Green cells are dynamic addresses</t>
  </si>
  <si>
    <t>'=RangeNameAddress(B5,TRUE)</t>
  </si>
  <si>
    <t>RangeName</t>
  </si>
  <si>
    <t>EnodoField</t>
  </si>
  <si>
    <t>Default/Reset to</t>
  </si>
  <si>
    <t>InService</t>
  </si>
  <si>
    <t>property</t>
  </si>
  <si>
    <t>Range</t>
  </si>
  <si>
    <t>Default Value</t>
  </si>
  <si>
    <t>ApplicationLoan</t>
  </si>
  <si>
    <t>loan.application_amount</t>
  </si>
  <si>
    <t>name</t>
  </si>
  <si>
    <t>string</t>
  </si>
  <si>
    <t>SBL_ZipCode</t>
  </si>
  <si>
    <t>Appraisal_Company</t>
  </si>
  <si>
    <t>valuation.firm</t>
  </si>
  <si>
    <t>address</t>
  </si>
  <si>
    <t>property_name</t>
  </si>
  <si>
    <t>Appraisal_Date</t>
  </si>
  <si>
    <t>valuation.date_of</t>
  </si>
  <si>
    <t>city</t>
  </si>
  <si>
    <t>SBL_EstCapRate</t>
  </si>
  <si>
    <t>valuation.cap_rate</t>
  </si>
  <si>
    <t>county</t>
  </si>
  <si>
    <t>SblQuotes_CityState</t>
  </si>
  <si>
    <t>Analyst_Name</t>
  </si>
  <si>
    <t>opportunity.OpportunityTeamMembers.Underwriting Analyst.1.User.Name</t>
  </si>
  <si>
    <t>state</t>
  </si>
  <si>
    <t>SBL_CensusTractNmbr</t>
  </si>
  <si>
    <t>opportunity.OpportunityTeamMembers.Producer Analyst.1.User.Name</t>
  </si>
  <si>
    <t>zipcode</t>
  </si>
  <si>
    <t>SBL_LatitudeLongitude</t>
  </si>
  <si>
    <t>&lt;clear&gt;</t>
  </si>
  <si>
    <t>DCU_Name</t>
  </si>
  <si>
    <t>opportunity.OpportunityTeamMembers.Deputy Chief Underwriter.1.User.Name</t>
  </si>
  <si>
    <t>loan_details</t>
  </si>
  <si>
    <t>number_units</t>
  </si>
  <si>
    <t>=RentRollTotalUnits</t>
  </si>
  <si>
    <t>Underwriter_Name</t>
  </si>
  <si>
    <t>opportunity.OpportunityTeamMembers.Underwriter.1.User.Name</t>
  </si>
  <si>
    <t>loan_amount</t>
  </si>
  <si>
    <t>decimal</t>
  </si>
  <si>
    <t>SBL_PropertyType</t>
  </si>
  <si>
    <t>Min_Tier</t>
  </si>
  <si>
    <t>opportunity.Loan_Tier__c</t>
  </si>
  <si>
    <t>=Requested_Tier</t>
  </si>
  <si>
    <t>max_approved_loan_amount</t>
  </si>
  <si>
    <t>SBL_YearBuilt</t>
  </si>
  <si>
    <t>Tier_Max_LTV</t>
  </si>
  <si>
    <t>loan.tier_ltv</t>
  </si>
  <si>
    <t>interest_rate_type</t>
  </si>
  <si>
    <t>Enum</t>
  </si>
  <si>
    <t>SBL_DatePriced</t>
  </si>
  <si>
    <t>GR_YieldMaintenance</t>
  </si>
  <si>
    <t>loan.yield_maintenance</t>
  </si>
  <si>
    <t>lien_position</t>
  </si>
  <si>
    <t>SblQuotes_County</t>
  </si>
  <si>
    <t>GR_InterestOnly</t>
  </si>
  <si>
    <t>opportunity.IO_mths__c</t>
  </si>
  <si>
    <t>loan_term_months</t>
  </si>
  <si>
    <t>integer</t>
  </si>
  <si>
    <t>Loan_Purpose</t>
  </si>
  <si>
    <t>deal.purpose</t>
  </si>
  <si>
    <t>prepayment_protection</t>
  </si>
  <si>
    <t>SblQuotes_WDMarketRating</t>
  </si>
  <si>
    <t>YM_Type</t>
  </si>
  <si>
    <t>loan.prepayment_type</t>
  </si>
  <si>
    <t>interest_only_period_months</t>
  </si>
  <si>
    <t>SblQuotes_PcntCollegeAndMilitary</t>
  </si>
  <si>
    <t>loan.rate_lock_type</t>
  </si>
  <si>
    <t>amortization_term_uw_months</t>
  </si>
  <si>
    <t>region</t>
  </si>
  <si>
    <t>SBL_DelegatedLevel</t>
  </si>
  <si>
    <t>opportunity.Delegated_Authority_Level__c</t>
  </si>
  <si>
    <t>amortization_term_actual</t>
  </si>
  <si>
    <t>either "Full IO: No Amort" or blank</t>
  </si>
  <si>
    <t>SblQuotes_FreddieMktTier</t>
  </si>
  <si>
    <t>Top</t>
  </si>
  <si>
    <t>Loan_Execution_Type</t>
  </si>
  <si>
    <t>opportunity.quote.Execution_Type__c</t>
  </si>
  <si>
    <t>interest_accrual</t>
  </si>
  <si>
    <t>$B$24</t>
  </si>
  <si>
    <t>Interest_Calc</t>
  </si>
  <si>
    <t>opportunity.quote.Interest_Calculation__c</t>
  </si>
  <si>
    <t>ust_floor_percentage</t>
  </si>
  <si>
    <t>$B$28</t>
  </si>
  <si>
    <t>Interest_Rate_Type</t>
  </si>
  <si>
    <t>opportunity.Rate_Type__c</t>
  </si>
  <si>
    <t>pricing_information</t>
  </si>
  <si>
    <t>$B$29</t>
  </si>
  <si>
    <t>computed.msa</t>
  </si>
  <si>
    <t>trade_price_expected</t>
  </si>
  <si>
    <t>$B$31</t>
  </si>
  <si>
    <t>City_DataPageTab</t>
  </si>
  <si>
    <t>deal.city</t>
  </si>
  <si>
    <t>minimum_fee_is_collected</t>
  </si>
  <si>
    <t>Yes/No/TBD</t>
  </si>
  <si>
    <t>SblQuotes_FannieMktTier</t>
  </si>
  <si>
    <t>Strong</t>
  </si>
  <si>
    <t>deal.deal_name</t>
  </si>
  <si>
    <t>max_note_rate_percentage</t>
  </si>
  <si>
    <t>$B$36</t>
  </si>
  <si>
    <t>State_DataPageTab</t>
  </si>
  <si>
    <t>deal.state</t>
  </si>
  <si>
    <t>property_information</t>
  </si>
  <si>
    <t>$B$37</t>
  </si>
  <si>
    <t>deal.street_address</t>
  </si>
  <si>
    <t>property_type</t>
  </si>
  <si>
    <t>$B$38</t>
  </si>
  <si>
    <t>deal.zip_code</t>
  </si>
  <si>
    <t>specialty_property_percentage</t>
  </si>
  <si>
    <t>could be text</t>
  </si>
  <si>
    <t>SBL_BuildingType</t>
  </si>
  <si>
    <t>building.building_type.1</t>
  </si>
  <si>
    <t>loan_purpose</t>
  </si>
  <si>
    <t>SBL_FreddieNOI</t>
  </si>
  <si>
    <t>='Freddie I&amp;E'!$AD$84</t>
  </si>
  <si>
    <t>NumOfBldg_DataPageTab</t>
  </si>
  <si>
    <t>building.buildings</t>
  </si>
  <si>
    <t>number_of_units</t>
  </si>
  <si>
    <t>SBL_FannieNOI</t>
  </si>
  <si>
    <t>=HOps_NetCashFlow</t>
  </si>
  <si>
    <t>GBA</t>
  </si>
  <si>
    <t>building.gross_area</t>
  </si>
  <si>
    <t>number_of_properties</t>
  </si>
  <si>
    <t>GR_Amort</t>
  </si>
  <si>
    <t>opportunity.Amortization_Term_mths__c</t>
  </si>
  <si>
    <t>physical_occupancy_percentage</t>
  </si>
  <si>
    <t>95.050%</t>
  </si>
  <si>
    <t>$B$50</t>
  </si>
  <si>
    <t>GR_Term</t>
  </si>
  <si>
    <t>opportunity.Loan_Term_mos__c</t>
  </si>
  <si>
    <t>year_built</t>
  </si>
  <si>
    <t>Loan_Program_Accepted</t>
  </si>
  <si>
    <t>Sq_Feet_Commercial</t>
  </si>
  <si>
    <t>building.total_commercial</t>
  </si>
  <si>
    <t>year_renovated</t>
  </si>
  <si>
    <t>Loan_Option_Accepted</t>
  </si>
  <si>
    <t>opportunity.Property_Associations__r.0.Year_Built__c</t>
  </si>
  <si>
    <t>cross_collateralization</t>
  </si>
  <si>
    <t>Yes/No</t>
  </si>
  <si>
    <t>$B$55</t>
  </si>
  <si>
    <t>building.year_built</t>
  </si>
  <si>
    <t>green_financing_type</t>
  </si>
  <si>
    <t>$B$56</t>
  </si>
  <si>
    <t>=IF(Loan_Program_Accepted="Proprietary Capital",12500,7500)</t>
  </si>
  <si>
    <t>opportunity.Property_Associations__r.0.Property__r.Year_Renovated__c</t>
  </si>
  <si>
    <t>green_building_certification</t>
  </si>
  <si>
    <t>ProducerName</t>
  </si>
  <si>
    <t>building.year_rehabbed</t>
  </si>
  <si>
    <t>age_restricted</t>
  </si>
  <si>
    <t>$B$64</t>
  </si>
  <si>
    <t>opportunity.Property_Associations__r.0.Property_Type__c</t>
  </si>
  <si>
    <t>affordable_housing_type</t>
  </si>
  <si>
    <t>$E$25:$P$25</t>
  </si>
  <si>
    <t>deal.property_type</t>
  </si>
  <si>
    <t>percentage_of_units_&lt;=_50%ami_restricted</t>
  </si>
  <si>
    <t>$E$26</t>
  </si>
  <si>
    <t>Management_Company</t>
  </si>
  <si>
    <t>opportunity.Opportunity_Roles__r.Sponsor Contact.1.Company_Name__r.Name</t>
  </si>
  <si>
    <t>percentage_of_units_&gt;50%_&lt;=60%ami_restricted</t>
  </si>
  <si>
    <t>$E$30:$P$30</t>
  </si>
  <si>
    <t>Sponsor_Name</t>
  </si>
  <si>
    <t>opportunity.Opportunity_Roles__r.Sponsor Contact.1.Contact_Name__r.Name</t>
  </si>
  <si>
    <t>percentage_of_units_&gt;60%_&lt;=80%ami_restricted</t>
  </si>
  <si>
    <t>$E$31</t>
  </si>
  <si>
    <t>LenderCommitments</t>
  </si>
  <si>
    <t>exposure.commitments</t>
  </si>
  <si>
    <t>percentage_of_units_&gt;80%_&lt;=100%ami_restricted</t>
  </si>
  <si>
    <t>$E$32</t>
  </si>
  <si>
    <t>=E33</t>
  </si>
  <si>
    <t>LenderOutstandingBalances</t>
  </si>
  <si>
    <t>exposure.lender_balance</t>
  </si>
  <si>
    <t>percentage_of_units_&gt;100%_&lt;=120%ami_restricted</t>
  </si>
  <si>
    <t>$E$35</t>
  </si>
  <si>
    <t>LenderExposure</t>
  </si>
  <si>
    <t>exposure.lender_exposure</t>
  </si>
  <si>
    <t>percentage_of_units_&gt;120%ami_restricted</t>
  </si>
  <si>
    <t>$E$38</t>
  </si>
  <si>
    <t>FannieMaeLargeLoanFee</t>
  </si>
  <si>
    <t>sources.Fannie_Mae_Large_Loan_Fee.modifier</t>
  </si>
  <si>
    <t>percentage_of_units_&lt;=_50%ami_affordability_estimator</t>
  </si>
  <si>
    <t>$E$43</t>
  </si>
  <si>
    <t>=E44</t>
  </si>
  <si>
    <t>FannieMaeFees</t>
  </si>
  <si>
    <t>sources.Minimum_FNM_Origination_Fee.modifier</t>
  </si>
  <si>
    <t>percentage_of_units_&gt;50%_&lt;=60%ami_affordability_estimator</t>
  </si>
  <si>
    <t>$E$46</t>
  </si>
  <si>
    <t>RehabilitationEscrow</t>
  </si>
  <si>
    <t>sources.Repair_Escrow_(Immediate_Repairs).amount</t>
  </si>
  <si>
    <t>percentage_of_units_&gt;60%_&lt;=80%ami_affordability_estimator</t>
  </si>
  <si>
    <t>$E$47</t>
  </si>
  <si>
    <t>AMI_UnitCount_120</t>
  </si>
  <si>
    <t>qualifying_units.unit_counts.120%</t>
  </si>
  <si>
    <t>percentage_of_units_&gt;80%_&lt;=100%ami_affordability_estimator</t>
  </si>
  <si>
    <t>$E$66:$P$66</t>
  </si>
  <si>
    <t>AMI_UnitCount_100</t>
  </si>
  <si>
    <t>qualifying_units.unit_counts.100%</t>
  </si>
  <si>
    <t>percentage_of_units_&gt;100%_&lt;=120%ami_affordability_estimator</t>
  </si>
  <si>
    <t>$E$102:$P$102</t>
  </si>
  <si>
    <t>AMI_UnitCount_80</t>
  </si>
  <si>
    <t>qualifying_units.unit_counts.80%</t>
  </si>
  <si>
    <t>percentage_of_units_&gt;120%ami_affordability_estimator</t>
  </si>
  <si>
    <t>100.000%</t>
  </si>
  <si>
    <t>$F$26</t>
  </si>
  <si>
    <t>AMI_UnitCount_60</t>
  </si>
  <si>
    <t>qualifying_units.unit_counts.60%</t>
  </si>
  <si>
    <t>settlement_and_trade_data</t>
  </si>
  <si>
    <t>$F$31</t>
  </si>
  <si>
    <t>AMI_UnitCount_50</t>
  </si>
  <si>
    <t>qualifying_units.unit_counts.50%</t>
  </si>
  <si>
    <t>closing_date</t>
  </si>
  <si>
    <t>yyyy-mm-dd</t>
  </si>
  <si>
    <t>$F$32</t>
  </si>
  <si>
    <t>=F33</t>
  </si>
  <si>
    <t>AMI_UnitCount_40</t>
  </si>
  <si>
    <t>qualifying_units.unit_counts.40%</t>
  </si>
  <si>
    <t>settlement_date</t>
  </si>
  <si>
    <t>$F$35</t>
  </si>
  <si>
    <t>AMI_CalcsIncludeUtilities</t>
  </si>
  <si>
    <t>qualifying_units.utilities_included</t>
  </si>
  <si>
    <t>&lt;blank&gt;</t>
  </si>
  <si>
    <t>rate_lock_type</t>
  </si>
  <si>
    <t>$F$38</t>
  </si>
  <si>
    <t>AMI_CostBurden</t>
  </si>
  <si>
    <t>qualifying_units.cost_burden</t>
  </si>
  <si>
    <t>delivery_tolerance_up_percentage</t>
  </si>
  <si>
    <t>$F$43</t>
  </si>
  <si>
    <t>=F44</t>
  </si>
  <si>
    <t>AMI_IsRural</t>
  </si>
  <si>
    <t>qualifying_units.is_rural</t>
  </si>
  <si>
    <t>delivery_tolerance_down_percentage</t>
  </si>
  <si>
    <t>$F$46</t>
  </si>
  <si>
    <t>AMI_HighNeedsRural_Marker</t>
  </si>
  <si>
    <t>qualifying_units.high_needs_rural</t>
  </si>
  <si>
    <t>product_type</t>
  </si>
  <si>
    <t>$F$47</t>
  </si>
  <si>
    <t>AMI_MissionDriven_UnitCount_PerFannie</t>
  </si>
  <si>
    <t>qualifying_units.unit_counts.fannie_mission_driven</t>
  </si>
  <si>
    <t>number_of_loans</t>
  </si>
  <si>
    <t>$G$26</t>
  </si>
  <si>
    <t>AMI_MissionDriven_UnitCount_PerFreddie</t>
  </si>
  <si>
    <t>qualifying_units.unit_counts.freddie_mission_driven</t>
  </si>
  <si>
    <t>percentage_of_initial_pool_balance</t>
  </si>
  <si>
    <t>$G$31</t>
  </si>
  <si>
    <t>AMI_MissionDriven_Discount_Afford40</t>
  </si>
  <si>
    <t>qualifying_units.unit_counts.mission_booleans.affordability_discount_40</t>
  </si>
  <si>
    <t>eligible_for_re-securitization</t>
  </si>
  <si>
    <t>$G$32</t>
  </si>
  <si>
    <t>=G33</t>
  </si>
  <si>
    <t>AMI_MissionDriven_Discount_Afford80</t>
  </si>
  <si>
    <t>qualifying_units.unit_counts.mission_booleans.affordability_discount_80</t>
  </si>
  <si>
    <t>good_faith_deposit_amount</t>
  </si>
  <si>
    <t>$G$35</t>
  </si>
  <si>
    <t>AMI_MissionDriven_Discount_Addnl60</t>
  </si>
  <si>
    <t>qualifying_units.unit_counts.mission_booleans.additional_discount_60</t>
  </si>
  <si>
    <t>good_faith_deposit_percentage</t>
  </si>
  <si>
    <t>2.000%</t>
  </si>
  <si>
    <t>$G$38</t>
  </si>
  <si>
    <t>AMI_MissionDriven_Discount_Addnl80</t>
  </si>
  <si>
    <t>qualifying_units.unit_counts.mission_booleans.additional_discount_80</t>
  </si>
  <si>
    <t>good_faith_deposit_isreceived</t>
  </si>
  <si>
    <t>Received/Not Received</t>
  </si>
  <si>
    <t>$G$43</t>
  </si>
  <si>
    <t>=G44</t>
  </si>
  <si>
    <t>settlement_and_trade_data2</t>
  </si>
  <si>
    <t>$G$46</t>
  </si>
  <si>
    <t>tier</t>
  </si>
  <si>
    <t>$G$47</t>
  </si>
  <si>
    <t>tier_dropping</t>
  </si>
  <si>
    <t>$R$25:$Y$25</t>
  </si>
  <si>
    <t>guaranty_fee_percentage</t>
  </si>
  <si>
    <t>$R$26</t>
  </si>
  <si>
    <t>servicing_fee_percentage</t>
  </si>
  <si>
    <t>$R$30:$Y$30</t>
  </si>
  <si>
    <t>total_g&amp;s_percentage</t>
  </si>
  <si>
    <t>$R$31</t>
  </si>
  <si>
    <t>uw_ncf</t>
  </si>
  <si>
    <t>$R$32</t>
  </si>
  <si>
    <t>minimum_uw_ncf_dscr</t>
  </si>
  <si>
    <t>$R$38</t>
  </si>
  <si>
    <t>est_uw_ncf_dscr_amort</t>
  </si>
  <si>
    <t>$R$39</t>
  </si>
  <si>
    <t>est_uw_ncf_dscr_io</t>
  </si>
  <si>
    <t>variant</t>
  </si>
  <si>
    <t>numeric, can be N/A</t>
  </si>
  <si>
    <t>$R$43</t>
  </si>
  <si>
    <t>=R44</t>
  </si>
  <si>
    <t>uw_property_value</t>
  </si>
  <si>
    <t>$R$46</t>
  </si>
  <si>
    <t>ownership_type</t>
  </si>
  <si>
    <t>$R$47</t>
  </si>
  <si>
    <t>maximum_ltv</t>
  </si>
  <si>
    <t>$R$65:$Y$65</t>
  </si>
  <si>
    <t>estimated_ltv</t>
  </si>
  <si>
    <t>$R$66:$Y$66</t>
  </si>
  <si>
    <t>pre-existing_additional_debt_bal</t>
  </si>
  <si>
    <t>$R$102:$Y$102</t>
  </si>
  <si>
    <t>additional_debt_rate_percentage</t>
  </si>
  <si>
    <t>$S$26</t>
  </si>
  <si>
    <t>additional_debt_maturity_year</t>
  </si>
  <si>
    <t>$S$31</t>
  </si>
  <si>
    <t>existing_credit_facility_assets</t>
  </si>
  <si>
    <t>$S$32</t>
  </si>
  <si>
    <t>existing_credit_facility_upb</t>
  </si>
  <si>
    <t>$S$38</t>
  </si>
  <si>
    <t>arm_related</t>
  </si>
  <si>
    <t>$S$39</t>
  </si>
  <si>
    <t>arm_product</t>
  </si>
  <si>
    <t>Enum or N/A</t>
  </si>
  <si>
    <t>$S$43</t>
  </si>
  <si>
    <t>=S44</t>
  </si>
  <si>
    <t>convertible</t>
  </si>
  <si>
    <t>$S$46</t>
  </si>
  <si>
    <t>lockout_term_months</t>
  </si>
  <si>
    <t>can be N/A</t>
  </si>
  <si>
    <t>$S$47</t>
  </si>
  <si>
    <t>standard_lookback_days</t>
  </si>
  <si>
    <t>$T$26</t>
  </si>
  <si>
    <t>rate_reset_frequency_months</t>
  </si>
  <si>
    <t>$T$31</t>
  </si>
  <si>
    <t>lifetime_pass_thru_cap_percentage</t>
  </si>
  <si>
    <t>$T$32</t>
  </si>
  <si>
    <t>est_uw_ncr_dscr_at_cap</t>
  </si>
  <si>
    <t>$T$38</t>
  </si>
  <si>
    <t>per_rate_change_cap_percentage</t>
  </si>
  <si>
    <t>$T$39</t>
  </si>
  <si>
    <t>fixed_principal_payment_sarm</t>
  </si>
  <si>
    <t>$T$43</t>
  </si>
  <si>
    <t>=T44</t>
  </si>
  <si>
    <t>estimated_mbs_margin_bps_percentage</t>
  </si>
  <si>
    <t>$T$46</t>
  </si>
  <si>
    <t>mbs_security_disclosures</t>
  </si>
  <si>
    <t>$T$47</t>
  </si>
  <si>
    <t>notes</t>
  </si>
  <si>
    <t>$AA$25:$AH$25</t>
  </si>
  <si>
    <t>other_notes</t>
  </si>
  <si>
    <t>$AA$66:$AH$66</t>
  </si>
  <si>
    <t>$AA$102:$AH$102</t>
  </si>
  <si>
    <t>signatures</t>
  </si>
  <si>
    <t>$AK$11</t>
  </si>
  <si>
    <t>underwriter</t>
  </si>
  <si>
    <t>$AK$14</t>
  </si>
  <si>
    <t>applicant_check</t>
  </si>
  <si>
    <t>$AK$16</t>
  </si>
  <si>
    <t>reviewed_commitment</t>
  </si>
  <si>
    <t>$AK$17</t>
  </si>
  <si>
    <t>producer</t>
  </si>
  <si>
    <t>$AK$20</t>
  </si>
  <si>
    <t>dcu</t>
  </si>
  <si>
    <t>$AK$21</t>
  </si>
  <si>
    <t>=TODAY()</t>
  </si>
  <si>
    <t>closer</t>
  </si>
  <si>
    <t>$AK$23</t>
  </si>
  <si>
    <t>completed_by_trading</t>
  </si>
  <si>
    <t>$AK$24</t>
  </si>
  <si>
    <t>treasury_rate</t>
  </si>
  <si>
    <t>$AK$41</t>
  </si>
  <si>
    <t>investor</t>
  </si>
  <si>
    <t>$AK$42</t>
  </si>
  <si>
    <t>investor_spread</t>
  </si>
  <si>
    <t>$AK$43</t>
  </si>
  <si>
    <t>investor_contact</t>
  </si>
  <si>
    <t>$AK$44</t>
  </si>
  <si>
    <t>pass_thru/coupon</t>
  </si>
  <si>
    <t>$AK$45</t>
  </si>
  <si>
    <t>swap_spread</t>
  </si>
  <si>
    <t>$AK$46</t>
  </si>
  <si>
    <t>gross_rate</t>
  </si>
  <si>
    <t>$AK$47</t>
  </si>
  <si>
    <t>trade_price</t>
  </si>
  <si>
    <t>$AK$48</t>
  </si>
  <si>
    <t>contract_taken_by_tradername</t>
  </si>
  <si>
    <t>$AK$49</t>
  </si>
  <si>
    <t>contract_taken_by_date</t>
  </si>
  <si>
    <t>$AK$50</t>
  </si>
  <si>
    <t>contract_taken_by_time</t>
  </si>
  <si>
    <t>$AK$51</t>
  </si>
  <si>
    <t>special_disclosure_additional_debt</t>
  </si>
  <si>
    <t>$AJ$55:$AN$56</t>
  </si>
  <si>
    <t>bifurcated</t>
  </si>
  <si>
    <t>$AJ$58:$AN$59</t>
  </si>
  <si>
    <t>split</t>
  </si>
  <si>
    <t>$AJ$62:$AN$63</t>
  </si>
  <si>
    <t>cross_defaulted_cross_collateralized</t>
  </si>
  <si>
    <t>$AJ$66:$AN$67</t>
  </si>
  <si>
    <t>mhc_or_borrower_owned_manf_homes</t>
  </si>
  <si>
    <t>$AK$70</t>
  </si>
  <si>
    <t>mezzanine_financing_or_preferred_equity</t>
  </si>
  <si>
    <t>$AK$71</t>
  </si>
  <si>
    <t>senior_third_party_debt</t>
  </si>
  <si>
    <t>$AK$72</t>
  </si>
  <si>
    <t>special_disclosure_prepayments</t>
  </si>
  <si>
    <t>$AK$73</t>
  </si>
  <si>
    <t>additional_non-real_estate_collateral</t>
  </si>
  <si>
    <t>$AK$74</t>
  </si>
  <si>
    <t>partial_prepayment</t>
  </si>
  <si>
    <t>$AK$75</t>
  </si>
  <si>
    <t>special_disclosure_property_related_issues</t>
  </si>
  <si>
    <t>$AK$76</t>
  </si>
  <si>
    <t>commercial_condominium_project</t>
  </si>
  <si>
    <t>$AK$78</t>
  </si>
  <si>
    <t>=IF(AK77="No","No","Select")</t>
  </si>
  <si>
    <t>delaware_statutory_trust</t>
  </si>
  <si>
    <t>$AK$79</t>
  </si>
  <si>
    <t>due-on-sale_and_related_property_transfer_restrictions</t>
  </si>
  <si>
    <t>$AK$80</t>
  </si>
  <si>
    <t>future_release_condemnation_or_unavailable_portion_of_property</t>
  </si>
  <si>
    <t>$AK$81</t>
  </si>
  <si>
    <t>healthy_housing_rewards</t>
  </si>
  <si>
    <t>$AK$82</t>
  </si>
  <si>
    <t>impairment_on_use</t>
  </si>
  <si>
    <t>$AK$83</t>
  </si>
  <si>
    <t>insurance_related_partial_prepayment</t>
  </si>
  <si>
    <t>$AK$84</t>
  </si>
  <si>
    <t>master_operating_lease</t>
  </si>
  <si>
    <t>$AN$3</t>
  </si>
  <si>
    <t>='Data Page'!$K$31</t>
  </si>
  <si>
    <t>seniors_housing_master_operating_lease</t>
  </si>
  <si>
    <t>$AN$10</t>
  </si>
  <si>
    <t>participation_interests</t>
  </si>
  <si>
    <t>$AN$13</t>
  </si>
  <si>
    <t>pending_litigation</t>
  </si>
  <si>
    <t>$AN$16</t>
  </si>
  <si>
    <t>property_valuation</t>
  </si>
  <si>
    <t>$AN$17</t>
  </si>
  <si>
    <t>right_to_purchase</t>
  </si>
  <si>
    <t>$AN$20</t>
  </si>
  <si>
    <t>special_public_purpose</t>
  </si>
  <si>
    <t>$AN$22</t>
  </si>
  <si>
    <t>sdw_with_cost_and_very_cost_burdened</t>
  </si>
  <si>
    <t>$AN$41</t>
  </si>
  <si>
    <t>special_disclosure_other</t>
  </si>
  <si>
    <t>$AN$42</t>
  </si>
  <si>
    <t>mbs_pool_without_remic_tax_election</t>
  </si>
  <si>
    <t>$AN$43</t>
  </si>
  <si>
    <t>conflict_mortgage_loans</t>
  </si>
  <si>
    <t>$AN$44</t>
  </si>
  <si>
    <t>expanded_housing_choice_vouchers</t>
  </si>
  <si>
    <t>$AN$45</t>
  </si>
  <si>
    <t>full_recourse</t>
  </si>
  <si>
    <t>$AN$46</t>
  </si>
  <si>
    <t>lihtc_investment</t>
  </si>
  <si>
    <t>$AN$47</t>
  </si>
  <si>
    <t>mbs_as_bond_collateral</t>
  </si>
  <si>
    <t>$AN$48</t>
  </si>
  <si>
    <t>multiple_series_llc</t>
  </si>
  <si>
    <t>$AN$49</t>
  </si>
  <si>
    <t>near_stabilized_property</t>
  </si>
  <si>
    <t>$AN$50</t>
  </si>
  <si>
    <t>non_std_events_of_default</t>
  </si>
  <si>
    <t>$AN$70</t>
  </si>
  <si>
    <t>operating_deficit_guaranty</t>
  </si>
  <si>
    <t>$AN$71</t>
  </si>
  <si>
    <t>revenue_or_expense_changes</t>
  </si>
  <si>
    <t>$AN$72</t>
  </si>
  <si>
    <t>transfer_assumption_with economic_test</t>
  </si>
  <si>
    <t>$AN$73</t>
  </si>
  <si>
    <t>systems_additional</t>
  </si>
  <si>
    <t>$AN$74</t>
  </si>
  <si>
    <t>declining_and_other_prepayment_premium</t>
  </si>
  <si>
    <t>$AN$75</t>
  </si>
  <si>
    <t>$AN$76</t>
  </si>
  <si>
    <t>$AN$78</t>
  </si>
  <si>
    <t>$AN$79</t>
  </si>
  <si>
    <t>$AN$80</t>
  </si>
  <si>
    <t>$AN$81</t>
  </si>
  <si>
    <t>$AN$82</t>
  </si>
  <si>
    <t>$AN$83</t>
  </si>
  <si>
    <t>$AJ$88:$AN$89</t>
  </si>
  <si>
    <t>$AJ$93:$AN$95</t>
  </si>
  <si>
    <t>$AJ$97:$AN$99</t>
  </si>
  <si>
    <t>$AJ$101:$AN$103</t>
  </si>
  <si>
    <t>$AJ$105:$AN$107</t>
  </si>
  <si>
    <t>$AJ$112:$AN$113</t>
  </si>
  <si>
    <t>$AJ$116:$AN$117</t>
  </si>
  <si>
    <t>$AJ$119:$AN$120</t>
  </si>
  <si>
    <t>$AJ$125:$AN$126</t>
  </si>
  <si>
    <t>$AK$128</t>
  </si>
  <si>
    <t>$AK$129</t>
  </si>
  <si>
    <t>$AK$130</t>
  </si>
  <si>
    <t>$AK$131</t>
  </si>
  <si>
    <t>$AK$132</t>
  </si>
  <si>
    <t>$AK$133</t>
  </si>
  <si>
    <t>$AK$134</t>
  </si>
  <si>
    <t>$AK$135</t>
  </si>
  <si>
    <t>$AK$136</t>
  </si>
  <si>
    <t>$AK$137</t>
  </si>
  <si>
    <t>$AN$128</t>
  </si>
  <si>
    <t>$AN$129</t>
  </si>
  <si>
    <t>$AN$130</t>
  </si>
  <si>
    <t>$AN$131</t>
  </si>
  <si>
    <t>$AN$132</t>
  </si>
  <si>
    <t>$AN$133</t>
  </si>
  <si>
    <t>$AN$134</t>
  </si>
  <si>
    <t>$AN$135</t>
  </si>
  <si>
    <t>$AN$136</t>
  </si>
  <si>
    <t>$AJ$142:$AN$143</t>
  </si>
  <si>
    <t>$AJ$148:$AN$149</t>
  </si>
  <si>
    <t>$AJ$151:$AN$152</t>
  </si>
  <si>
    <t>$AJ$154:$AN$155</t>
  </si>
  <si>
    <t>$AJ$157:$AN$158</t>
  </si>
  <si>
    <t>$AJ$160:$AN$161</t>
  </si>
  <si>
    <t>Applies To:</t>
  </si>
  <si>
    <t>Periodic Adjustment of Interest Rate (FRE_APP!C35)</t>
  </si>
  <si>
    <t>Once floating, the interest rate is adjusted every 6 months and amortization is recalculated. The interest rate adjustment will initially be based on a compounded average of SOFR over a rolling 30-calendar day period, to be transitioned to a forward-looking term rate with a tenor of approximately one calendar month based on SOFR (or such updated index as provided in the Note) plus a margin of 3.25%; subject to the limitation that the adjusted rate may not be an increase or decrease of more than 1% of the applicable interest rate immediately prior thereto.</t>
  </si>
  <si>
    <t>Prepayment Schedule (FRE_APP!C37)</t>
  </si>
  <si>
    <t>5 YEAR HYBRID (YM)</t>
  </si>
  <si>
    <t>5 YEAR FIXED (YM)</t>
  </si>
  <si>
    <t>5 YEAR FIXED (54321)</t>
  </si>
  <si>
    <t>5 YEAR HYBRID (54321)</t>
  </si>
  <si>
    <t>5 YEAR FIXED (32111)</t>
  </si>
  <si>
    <t>5 YEAR HYBRID (32111)</t>
  </si>
  <si>
    <t>5 YEAR FIXED (31000)</t>
  </si>
  <si>
    <t>5 YEAR HYBRID (31000)</t>
  </si>
  <si>
    <t>7 YEAR HYBRID (YM)</t>
  </si>
  <si>
    <t>7 YEAR FIXED (YM)</t>
  </si>
  <si>
    <t>7 YEAR FIXED (5544321)</t>
  </si>
  <si>
    <t>7 YEAR HYBRID (5544321)</t>
  </si>
  <si>
    <t>7 YEAR FIXED (3322111)</t>
  </si>
  <si>
    <t>7 YEAR HYBRID (3322111)</t>
  </si>
  <si>
    <t>10 YEAR HYBRID (YM)</t>
  </si>
  <si>
    <t>10 YEAR FIXED (YM)</t>
  </si>
  <si>
    <t>10 YEAR FIXED (5544332211)</t>
  </si>
  <si>
    <t>10 YEAR HYBRID (5544332211)</t>
  </si>
  <si>
    <t>10 YEAR FIXED (3332221111)</t>
  </si>
  <si>
    <t>10 YEAR HYBRID (3332221111)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</si>
  <si>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5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 
During the Floating Rate period the coupon is based on a 30-day average SOFR + 325 margin. Every six months, the floating rate may: 
(i) Increase or decrease by 1.0%, 
(ii) Never be less than a floor of the initial fixed interest rate,
(iii) Never be greater than a maximum lifetime cap of the initial fixed interest rate +5%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</si>
  <si>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4.75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</si>
  <si>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5%, 4%, 3%, 2%,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</si>
  <si>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5%, 4%, 3%, 2%, 1%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</si>
  <si>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3%, 2%, 1%, 1%,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</si>
  <si>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3%, 2%, 1%, 1%, 1%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</si>
  <si>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3%, 1%, 0%, 0%, 0%</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</si>
  <si>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60 Month Fixed Rate Period Step-Down Prepayment:
3%, 1%, 0%, 0%, 0%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</si>
  <si>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7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 
During the Floating Rate period the coupon is based on a 30-day average SOFR + 325 margin. Every six months, the floating rate may: 
(i) Increase or decrease by 1.0%, 
(ii) Never be less than a floor of the initial fixed interest rate,
(iii) Never be greater than a maximum lifetime cap of the initial fixed interest rate +5%
During the Floating Rate Period, the prepayment penalty is waived (1%) if the Property is sold to a third party or refinanced with Freddie Mac.</t>
  </si>
  <si>
    <t xml:space="preserve">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6.75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 </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</si>
  <si>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84 Month Fixed Rate Period Step-Down Prepayment:
5%, 5%, 4%, 4%, 3%, 2%,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</si>
  <si>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84 Month Fixed Rate Period Step-Down Prepayment:
5%, 5%, 4%, 4%, 3%, 2%, 1%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</si>
  <si>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84 Month Fixed Rate Period Step-Down Prepayment:
3%, 3%, 2%, 2%, 1%, 1%,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</si>
  <si>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84 Month Fixed Rate Period Step-Down Prepayment:
3%, 3%, 2%, 2%, 1%, 1%, 1%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</si>
  <si>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10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 
During the Floating Rate period the coupon is based on a 30-day average SOFR + 325 margin. Every six months, the floating rate may:
(i) Increase or decrease by 1.0%, 
(ii) Never be less than a floor of the initial fixed interest rate,
(iii) Never be greater than a maximum lifetime cap of the initial fixed interest rate +5%
During the Floating Rate Period, the prepayment penalty is waived (1%) if the Property is sold to a third party or refinanced with Freddie Mac.</t>
  </si>
  <si>
    <t xml:space="preserve">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(a) If prepayment occurs during the first 9.75 years of the Loan
Term ("Yield Maintenance Period"), the prepayment premium is the greater of the amount of Freddie Mac's standard yield maintenance calculation or 1% of the unpaid principal balance.
(b) If prepayment is made after the yield maintenance period and
before the last ninety (90) days of the Loan Term, the prepayment  charge will be 1.0% of the unpaid principal balance.
(c) If prepayment occurs during the last ninety (90) days of the
Loan Term, no prepayment premium is required. </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</si>
  <si>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120 Month Fixed Rate Period Step-Down Prepayment:
5%, 5%, 4%, 4%, 3%, 3%, 2%, 2%, 1%,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</si>
  <si>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120 Month Fixed Rate Period Step-Down Prepayment:
5%, 5%, 4%, 4%, 3%, 3%, 2%, 2%, 1%, 1%
During the Floating Rate Period, the prepayment penalty is waived (1%) if the Property is sold to a third party or refinanced with Freddie Mac.</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</si>
  <si>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120 Month Fixed Rate Period Step-Down Prepayment:
3%, 3%, 3%, 2%, 2%, 2%, 1%, 1%, 1%, 1%</t>
  </si>
  <si>
    <t>The Loan may be prepaid, in whole but not in part, provided that (i) prepayment is made on a scheduled monthly payment date, (ii) Borrower gives written notice of intent to prepay at least thirty (30) days prior to the intended prepayment date, (iii) Borrower pays all amounts then due and outstanding, and (iv) Borrower pays a prepayment premium in full with such prepayment, calculated as follows:  
120 Month Fixed Rate Period Step-Down Prepayment:
3%, 3%, 3%, 2%, 2%, 2%, 1%, 1%, 1%, 1%
During the Floating Rate Period, the prepayment penalty is waived (1%) if the Property is sold to a third party or refinanced with Freddie Mac.</t>
  </si>
  <si>
    <t>Maximum LTV (FRE_APP!C39)</t>
  </si>
  <si>
    <t xml:space="preserve"> of the lesser of a Lender approved third party appraisal and the Lender’s underwriting value as determined by Lender in accordance with the Freddie Mac Multifamily Seller/Servicer Guide. For all acquisition financing and properties recently acquired, as specified by Freddie Mac -the Mortgage Loan will be constrained by the lower of built-up purchase price or appraised value. </t>
  </si>
  <si>
    <t xml:space="preserve"> of the lesser of a Lender approved third party appraisal and the Lender’s underwriting value as determined by Lender in accordance with the Fannie Mae Multifamily Selling and Servicing Guide. For all acquisition financing and properties recently acquired, as specified by Fannie Mae -the Mortgage Loan will be constrained by the lower of built-up purchase price or appraised value. </t>
  </si>
  <si>
    <t>Freddie Mac Application Fee (FRE_APP!C92)</t>
  </si>
  <si>
    <t>) is due at the time the application is executed the from Borrower and is non-refundable if the loan has been submitted to Freddie Mac for full underwriting review.  In the event the Mortgage Loan does not close, the Application Deposit will be used to pay Lender’s actual costs.</t>
  </si>
  <si>
    <t>BORROWER'S OPERATING PLAN: Will the existing management team remain and what changes can we expect under new ownership and/or management? What is the Borrower's operating plan for the Subject and how will NRI and NCF benefit? - i.e. operate as is, increase rents, begin or resume a cap ex plan, implement new income producing / cost saving measures, etc. (Please provide estimates as appropriate.)</t>
  </si>
  <si>
    <t>Financing within 1 year of acquisition</t>
  </si>
  <si>
    <t>BORROWER'S OPERATING PLAN: What is the Borrower's operating plan for the Subject and how will NRI and NCF benefit? - i.e. operate as is, increase rents, begin or resume a cap ex plan, implement new income producing / cost saving measures, etc. (Please provide estimates as appropriate.)</t>
  </si>
  <si>
    <t>Refinance within 3 years of acquisition</t>
  </si>
  <si>
    <t>Refinance of a long-term hold</t>
  </si>
  <si>
    <t>No Direct Value Add / Market forces only w/ Stable T-24 Occ.</t>
  </si>
  <si>
    <t>NRI/NCF HISTORICAL CONTEXT: Describe occupancy and rent growth at the Subject over the last 3 years.  Are rents and occupancy at market levels?  Are future market projections for rent growth and occupancy at the Subject favorable?</t>
  </si>
  <si>
    <t>Value Add w/ Stable T12 Occ.</t>
  </si>
  <si>
    <t>NRI/NCF HISTORICAL CONTEXT: Describe occupancy and rent growth at the Subject over the last 3 years.  What has been done to drive NRI and/or occupancy at the Subject? (i.e. describe broad rent increases to market levels, other income program implementations, unit renovations / premiums, cost reductions, etc.). Over what time period did these improvements take place? Are the improvements ongoing / what work remains? If cap ex was performed, what was the scope and how much was spent per unit?   Are rents and occupancy currently at market levels?</t>
  </si>
  <si>
    <t>Value Add w/ Lease-up or Retenanting over T12</t>
  </si>
  <si>
    <t>NRI/NCF HISTORICAL CONTEXT: Describe occupancy and rent growth at the Subject prior to the value add.  What has been done to drive NRI and/or occupancy at the Subject? (i.e. describe broad rent increases to market levels, other income program implementations, unit renovations / premiums, cost reductions, etc.). Over what time period did these improvements take place?  If cap ex was performed, what was the scope and how much was spent per unit?  Describe the retenanting / lease up process and provide a T12 physical occupancy report.  Do any improvements remain? Are rents and occupancy now at market levels?</t>
  </si>
  <si>
    <t>New Construction w/ Lease Up over T12</t>
  </si>
  <si>
    <t>NRI/NCF HISTORICAL CONTEXT: Provide a quick explanation of the development including cost/unit, timeframe, and competition. (Additional cost and asset details will be collected below).  Describe the retenanting / lease up process and provide a T12 physical occupancy report.  Do any improvements remain? Are rents and occupancy now at market levels?</t>
  </si>
  <si>
    <r>
      <t xml:space="preserve">Unstable Physical Occupancy over </t>
    </r>
    <r>
      <rPr>
        <b/>
        <color theme="1"/>
        <family val="2"/>
        <rFont val="Calibri"/>
        <scheme val="minor"/>
        <sz val="8"/>
      </rPr>
      <t>T-24</t>
    </r>
    <r>
      <rPr>
        <color theme="1"/>
        <family val="2"/>
        <rFont val="Calibri"/>
        <scheme val="minor"/>
        <sz val="8"/>
      </rPr>
      <t xml:space="preserve"> (other)</t>
    </r>
  </si>
  <si>
    <t>NRI/NCF HISTORICAL CONTEXT: Please explain the nature of any unstable occupancy or collections within the last 24 months.  What occurred and what was done about it?  Why are we confident that poor performance will not repeat?</t>
  </si>
  <si>
    <t>Please detail any violent or drug related incidents at the Subject in the last 5 years.  Please state the nature of the incident.  Was anyone hurt or killed? Did it involve tenants or guests of tenants at the Subject?  Did the Subject suffer reputational or operational damage as a result of the incident? What was management's immediate reation? What has management done since the incident to prevent future incidents? What are the Subject's crime mitigating features (fencing, gated parking, security doors, overhead lighting, security patrols, cameras, etc.)?</t>
  </si>
  <si>
    <t>Application fee post-text</t>
  </si>
  <si>
    <t xml:space="preserve"> as a refundable Application Deposit, which will reimburse Lender for the cost of certain analysis and third party reports including, but not limited to, the Appraisal Report, Property Condition Report, Environmental Database Report (Phase I/II, if applicable), Zoning Report, Operations and Maintenance Programs, Credit Reports, Background Searches, Insurance Review, and Site Inspection Fees. Total Lender diligence costs have an estimated range of $15,000 to $17,500. Any due diligence costs incurred for the transaction above and beyond the initial application deposit will be paid by the borrower at closing. Conversely, should total due diligence costs come in lower than the Application deposit, the remainder shall be refundable to the Borrower.</t>
  </si>
  <si>
    <t>Yes/No boxes</t>
  </si>
  <si>
    <t>Fixed/Variable boxes</t>
  </si>
  <si>
    <t>MAH Type</t>
  </si>
  <si>
    <t>Env Survey</t>
  </si>
  <si>
    <t>Data Page</t>
  </si>
  <si>
    <t>Disclosure Page</t>
  </si>
  <si>
    <t>Historical Ops Page</t>
  </si>
  <si>
    <t>Engineering Schedule</t>
  </si>
  <si>
    <t>Historical Ops</t>
  </si>
  <si>
    <t>Schedules of REO</t>
  </si>
  <si>
    <t>OpSt Dump</t>
  </si>
  <si>
    <t>Trade Sheet</t>
  </si>
  <si>
    <t>Rent Roll</t>
  </si>
  <si>
    <t>Supplemental Page</t>
  </si>
  <si>
    <t>Dropdowns_ListOfStates</t>
  </si>
  <si>
    <t>Data Page 
(FNM Quote Sheet)</t>
  </si>
  <si>
    <t xml:space="preserve">Data Page </t>
  </si>
  <si>
    <t>Data Page: Dropdowns_BorrowerPriority</t>
  </si>
  <si>
    <t>Sales Comps</t>
  </si>
  <si>
    <t>Sponsor Page</t>
  </si>
  <si>
    <t>MAH?</t>
  </si>
  <si>
    <t>SBLQuotes &amp; Data Page</t>
  </si>
  <si>
    <t>Op St Dump</t>
  </si>
  <si>
    <t>Gateway TAB</t>
  </si>
  <si>
    <t>MHC Rating Tab</t>
  </si>
  <si>
    <t>Borr-KP-Prin Tab</t>
  </si>
  <si>
    <t>Dropdowns_ILPSizerLenderList</t>
  </si>
  <si>
    <t>Dropdowns_DeputyChiefUnderwriters</t>
  </si>
  <si>
    <t>NonGSELoanEmailList</t>
  </si>
  <si>
    <t>BusinessPlanList</t>
  </si>
  <si>
    <t>Enodo Chart Of Accounts Options - add any changes here to the Enumerations module</t>
  </si>
  <si>
    <t>Dropdowns_AMI_SelectorList</t>
  </si>
  <si>
    <t>Enodo Sizer Type</t>
  </si>
  <si>
    <t>ProducerNames and ProducerContactInfo</t>
  </si>
  <si>
    <t>DropDowns_FNM_LoanOptions</t>
  </si>
  <si>
    <t>DropDowns_PC_LoanOptions</t>
  </si>
  <si>
    <t>DropDowns_FRE_LoanOptions</t>
  </si>
  <si>
    <t>Dropdowns_LineItemList</t>
  </si>
  <si>
    <t>Dropdowns_FNM_TermOptions</t>
  </si>
  <si>
    <t>B2B Data Validation Pulldown Lists</t>
  </si>
  <si>
    <t>Phase I Acceptable (or ASTM 1527/1528)</t>
  </si>
  <si>
    <t xml:space="preserve">Refinance </t>
  </si>
  <si>
    <t>YTD</t>
  </si>
  <si>
    <t>Stabilized</t>
  </si>
  <si>
    <t>1st</t>
  </si>
  <si>
    <t>1st lvl Delegated</t>
  </si>
  <si>
    <t>Model</t>
  </si>
  <si>
    <t>TD</t>
  </si>
  <si>
    <t>Full DUS</t>
  </si>
  <si>
    <t>Angelica Dichoco</t>
  </si>
  <si>
    <t>Yield Maintenance (years)</t>
  </si>
  <si>
    <t>Lockout 1%</t>
  </si>
  <si>
    <t>Priority Borrower</t>
  </si>
  <si>
    <t>Superior</t>
  </si>
  <si>
    <t>MSA (Strong Market)</t>
  </si>
  <si>
    <t>1- Month Treasure Bill</t>
  </si>
  <si>
    <t>1-Month Treasury Bill</t>
  </si>
  <si>
    <t>11 FHLB COFI (1 Month)</t>
  </si>
  <si>
    <t xml:space="preserve"> 5-4-3-2-1-1-1-1-1-1</t>
  </si>
  <si>
    <t>Individual</t>
  </si>
  <si>
    <t>Managing KP</t>
  </si>
  <si>
    <t>Resident-owned</t>
  </si>
  <si>
    <t>Nearly Stabilized</t>
  </si>
  <si>
    <t>Build It Green</t>
  </si>
  <si>
    <t>Certified</t>
  </si>
  <si>
    <t>BX JV (BOA)</t>
  </si>
  <si>
    <t>ILPQuotes@walkerdunlop.com</t>
  </si>
  <si>
    <t>Fannie</t>
  </si>
  <si>
    <t>Jared Sobel</t>
  </si>
  <si>
    <t>Jared Sobel
Managing Director | Real Estate Finance 
Walker &amp; Dunlop
M: 845-659-2175
JSobel@walkerdunlop.com</t>
  </si>
  <si>
    <t>jsobel@walkerdunlop.com</t>
  </si>
  <si>
    <t>M: 845-659-2175</t>
  </si>
  <si>
    <t>5 YR Variable</t>
  </si>
  <si>
    <t>DMBS</t>
  </si>
  <si>
    <t>Phase I Acceptable w/ O&amp;M (or ASTM 1527/1528)</t>
  </si>
  <si>
    <t>If Acquisition (within 1 year)</t>
  </si>
  <si>
    <t>Multifamily Preservation Plus</t>
  </si>
  <si>
    <t>Leadership in Energy and Environmental Design (LEED), US Green Building Council</t>
  </si>
  <si>
    <t>Correspondent Fee</t>
  </si>
  <si>
    <t>Lease-Up</t>
  </si>
  <si>
    <t>Student</t>
  </si>
  <si>
    <t>Fannie Mae</t>
  </si>
  <si>
    <t>Partial Interest Only</t>
  </si>
  <si>
    <t>2nd</t>
  </si>
  <si>
    <t>2nd lvl Delegated</t>
  </si>
  <si>
    <t>Office</t>
  </si>
  <si>
    <t>Non-Standard</t>
  </si>
  <si>
    <t>Modified DUS</t>
  </si>
  <si>
    <t>Archna Gupta</t>
  </si>
  <si>
    <t>Small (Guide,  Part III,  Chapter 9)</t>
  </si>
  <si>
    <t>Choice Refinance</t>
  </si>
  <si>
    <t>1-No substantial concerns observed</t>
  </si>
  <si>
    <t>Non-Coterminous</t>
  </si>
  <si>
    <t>Streamlined</t>
  </si>
  <si>
    <t>Lockout Declining</t>
  </si>
  <si>
    <t>Full Term Hedge</t>
  </si>
  <si>
    <t>Full Recourse</t>
  </si>
  <si>
    <t>All other Borrowers</t>
  </si>
  <si>
    <t>Slightly Superior</t>
  </si>
  <si>
    <t>MAH</t>
  </si>
  <si>
    <t>MSA (Standard Market)</t>
  </si>
  <si>
    <t>Performance Differentiation</t>
  </si>
  <si>
    <t>Treasury 3 yr</t>
  </si>
  <si>
    <t>3-Month Treasury Bill</t>
  </si>
  <si>
    <t>11 FHLB COFI (6 Month)</t>
  </si>
  <si>
    <t>Prepayment Lockout</t>
  </si>
  <si>
    <t>5-1-1-1-1-1-1-1-1-1</t>
  </si>
  <si>
    <t>LLC</t>
  </si>
  <si>
    <t>Financial KP</t>
  </si>
  <si>
    <t>Alzheimer/Memory Care</t>
  </si>
  <si>
    <t>Government-owned</t>
  </si>
  <si>
    <t>Enterprise Green Community Partners</t>
  </si>
  <si>
    <t>Silver</t>
  </si>
  <si>
    <t>BX JV (Goldman)</t>
  </si>
  <si>
    <t>WDIP_Debt@walkerdunlop.com</t>
  </si>
  <si>
    <t>Freddie</t>
  </si>
  <si>
    <t xml:space="preserve">Enodo Analysis - Utilities Included </t>
  </si>
  <si>
    <t>Allison Herrera</t>
  </si>
  <si>
    <t>Allison Herrera
Senior Director
Walker &amp; Dunlop
P: 380-212-6406 M: 614-306-4389
AHerrera@walkerdunlop.com</t>
  </si>
  <si>
    <t>aherrera@walkerdunlop.com</t>
  </si>
  <si>
    <t>P: 380-212-6406 M: 614-306-4389</t>
  </si>
  <si>
    <t>Hard Cash Equity</t>
  </si>
  <si>
    <t>7 YR Variable</t>
  </si>
  <si>
    <t>B2B_DeliveryType_List</t>
  </si>
  <si>
    <t>B2B_BuyUpPercentages_List</t>
  </si>
  <si>
    <t>Other, See Below</t>
  </si>
  <si>
    <t>CASH</t>
  </si>
  <si>
    <t>Proj Based HAP/Section 8</t>
  </si>
  <si>
    <t>Phase II Acceptable</t>
  </si>
  <si>
    <t>If Acquisition (beyond 1 year)</t>
  </si>
  <si>
    <t>(Fixed +1) DUS MBS</t>
  </si>
  <si>
    <t>Fixed + 1</t>
  </si>
  <si>
    <t>Variable: Standard</t>
  </si>
  <si>
    <t>Other Green Financing</t>
  </si>
  <si>
    <t>Green Communities, Enterprise Community Partners</t>
  </si>
  <si>
    <t>Under Construction</t>
  </si>
  <si>
    <t>Freddie Mac</t>
  </si>
  <si>
    <t>Full Interest Only</t>
  </si>
  <si>
    <t>3rd</t>
  </si>
  <si>
    <t>Fannie Mae Approved</t>
  </si>
  <si>
    <t>+</t>
  </si>
  <si>
    <t>Pari Passu</t>
  </si>
  <si>
    <t>Breck Nolley</t>
  </si>
  <si>
    <t>Green</t>
  </si>
  <si>
    <t>Supplemental Financing</t>
  </si>
  <si>
    <t>Defensive Refinance</t>
  </si>
  <si>
    <t>2-Minor Issues, limited follow-up</t>
  </si>
  <si>
    <t>DUS Split 2nd</t>
  </si>
  <si>
    <t>Early</t>
  </si>
  <si>
    <t>Less than Full Term</t>
  </si>
  <si>
    <t>Partial Recourse</t>
  </si>
  <si>
    <t>Similar</t>
  </si>
  <si>
    <t>MSA (Pre-Review Market)</t>
  </si>
  <si>
    <t>Pre-Review</t>
  </si>
  <si>
    <t>Treasury 5 yr</t>
  </si>
  <si>
    <t>6-Month Treasury Bill</t>
  </si>
  <si>
    <t>1 Year CMT Weekly Average Treasury</t>
  </si>
  <si>
    <t>Declining Premium</t>
  </si>
  <si>
    <t>5-4-3-2-1-1-1</t>
  </si>
  <si>
    <t>Limited Partnership</t>
  </si>
  <si>
    <t>Managing &amp; Financial KP</t>
  </si>
  <si>
    <t>Assisted Living</t>
  </si>
  <si>
    <t>Nonprofit-owned</t>
  </si>
  <si>
    <t>Green Building Initiative</t>
  </si>
  <si>
    <t>Gold</t>
  </si>
  <si>
    <t>BX JV (USBank)</t>
  </si>
  <si>
    <t>Blair Priest</t>
  </si>
  <si>
    <t>gsmith@walkerdunlop.com</t>
  </si>
  <si>
    <t>Value-Add</t>
  </si>
  <si>
    <t>Fannie_Affordability</t>
  </si>
  <si>
    <t xml:space="preserve">Enodo Analysis - Utilities Excluded </t>
  </si>
  <si>
    <t>HUD</t>
  </si>
  <si>
    <t>Matt Baldwin</t>
  </si>
  <si>
    <t>Matt Baldwin
Senior Director
Walker &amp; Dunlop
P: 813-793-6681 M: 312-614-9152
mbaldwin@walkerdunlop.com</t>
  </si>
  <si>
    <t>mbaldwin@walkerdunlop.com</t>
  </si>
  <si>
    <t>P: 813-793-6681 M: 312-614-9152</t>
  </si>
  <si>
    <t>Strong Property Performance</t>
  </si>
  <si>
    <t>ERL Delivery</t>
  </si>
  <si>
    <t>0.125%</t>
  </si>
  <si>
    <t>BCE</t>
  </si>
  <si>
    <t>Both LIHTC &amp; Project Based HAP/Sec. 8</t>
  </si>
  <si>
    <t>Phase II Acceptable w/ O&amp;M</t>
  </si>
  <si>
    <t>If Construction</t>
  </si>
  <si>
    <t>(Standard) DUS Cash</t>
  </si>
  <si>
    <t>Variable: SARM</t>
  </si>
  <si>
    <t>Forward Conver.</t>
  </si>
  <si>
    <t>ARM 7-6</t>
  </si>
  <si>
    <t>GreenPoint, Build It Green</t>
  </si>
  <si>
    <t>Students</t>
  </si>
  <si>
    <t>++</t>
  </si>
  <si>
    <t>Tier Plus/Plus</t>
  </si>
  <si>
    <t>Modified Pari Passu</t>
  </si>
  <si>
    <t>Assumption with Supplemental</t>
  </si>
  <si>
    <t>Military Concentration</t>
  </si>
  <si>
    <t>3-Substantial/Critical issues, documented follow-up</t>
  </si>
  <si>
    <t>New Loan Test</t>
  </si>
  <si>
    <t>CE Bond</t>
  </si>
  <si>
    <t>No Hedge</t>
  </si>
  <si>
    <t>Non-recourse with carve outs</t>
  </si>
  <si>
    <t>Slightly Inferior</t>
  </si>
  <si>
    <t>Treasury 10 yr</t>
  </si>
  <si>
    <t>1-Year Treasury Note</t>
  </si>
  <si>
    <t>3 Year CMT Weekly Average Treasury</t>
  </si>
  <si>
    <t>5-1-1-1-1-1-1</t>
  </si>
  <si>
    <t>Less than 3 (Pre-Review)</t>
  </si>
  <si>
    <t>General Partnership</t>
  </si>
  <si>
    <t>Independent Living</t>
  </si>
  <si>
    <t>Privately-owned</t>
  </si>
  <si>
    <t>Home Innovation Research Labs</t>
  </si>
  <si>
    <t>Platinum</t>
  </si>
  <si>
    <t>Legacy (BOA)</t>
  </si>
  <si>
    <t>Pref Equity</t>
  </si>
  <si>
    <t>WDIP_Equity@walkerdunlop.com</t>
  </si>
  <si>
    <t>Asset_Overview</t>
  </si>
  <si>
    <t>WDIS</t>
  </si>
  <si>
    <t>Luke Erlandson</t>
  </si>
  <si>
    <t>Luke Erlandson
Senior Director
Walker &amp; Dunlop
P: 312-428-2532 M: 651-307-9799
LErlandson@walkerdunlop.com</t>
  </si>
  <si>
    <t>lerlandson@walkerdunlop.com</t>
  </si>
  <si>
    <t>P: 312-428-2532 M: 651-307-9799</t>
  </si>
  <si>
    <t>Conservative Loan Economics</t>
  </si>
  <si>
    <t>High Bad Debt / Collection Loss</t>
  </si>
  <si>
    <t>0.25%</t>
  </si>
  <si>
    <t>(Fixed +1) DUS Cash</t>
  </si>
  <si>
    <t>Variable: ARM 7-6</t>
  </si>
  <si>
    <t>ARM to Fixed</t>
  </si>
  <si>
    <t>EarthCraft, Greater Atlanta Home Builders Association &amp; South Face</t>
  </si>
  <si>
    <t>MHC/MHP</t>
  </si>
  <si>
    <t>First Level Lender Delegated</t>
  </si>
  <si>
    <t>No Recourse</t>
  </si>
  <si>
    <t>Joe Tarantino</t>
  </si>
  <si>
    <t>Forward</t>
  </si>
  <si>
    <t>4-Overall deterioration, action plan required</t>
  </si>
  <si>
    <t>Non-recourse without carve outs</t>
  </si>
  <si>
    <t>Inferior</t>
  </si>
  <si>
    <t>Treasury 56 months</t>
  </si>
  <si>
    <t>2-Year Treasury Note</t>
  </si>
  <si>
    <t>5 Year CMT Weekly Average Treasury</t>
  </si>
  <si>
    <t>Defeasance Lockout</t>
  </si>
  <si>
    <t>5-4-3-2-1</t>
  </si>
  <si>
    <t>Corporation (Not Cooperative)</t>
  </si>
  <si>
    <t>International Living Future Institute</t>
  </si>
  <si>
    <t>1 Globe</t>
  </si>
  <si>
    <t>Legacy (TD Bank)</t>
  </si>
  <si>
    <t>Denise Oluwo</t>
  </si>
  <si>
    <t>tedwards@walkerdunlop.com</t>
  </si>
  <si>
    <t>OSAR</t>
  </si>
  <si>
    <t>Apprise</t>
  </si>
  <si>
    <t>Ana Ramos</t>
  </si>
  <si>
    <t>Ana Ramos
Managing Director
Walker &amp; Dunlop
P: 424-281-1517 M: 310-308-9373
ARamos@walkerdunlop.com</t>
  </si>
  <si>
    <t>aramos@walkerdunlop.com</t>
  </si>
  <si>
    <t>P: 424-281-1517 M: 310-308-9373</t>
  </si>
  <si>
    <t>Strong Market Fundamentals</t>
  </si>
  <si>
    <t>Weak Occupancy</t>
  </si>
  <si>
    <t>0.375%</t>
  </si>
  <si>
    <t>Variable: ILP</t>
  </si>
  <si>
    <t>Home Energy Rating System, Residential Energy Services  Network (RESNET)</t>
  </si>
  <si>
    <t>Retail</t>
  </si>
  <si>
    <t>Second Level Lender Delegated</t>
  </si>
  <si>
    <t>Judson Birdsong</t>
  </si>
  <si>
    <t>5-Severe maintenance issues, action plan required, TBD</t>
  </si>
  <si>
    <t>LIBOR 1 month</t>
  </si>
  <si>
    <t>3-Year Treasury Note</t>
  </si>
  <si>
    <t>Wall Street Journal Prime Rate</t>
  </si>
  <si>
    <t>Fee Maintenance</t>
  </si>
  <si>
    <t>5-5-4-4-3-3-2-2-1-1</t>
  </si>
  <si>
    <t>Skilled Nursing</t>
  </si>
  <si>
    <t>Passive House Institute US (PHIUS)</t>
  </si>
  <si>
    <t>2 Globes</t>
  </si>
  <si>
    <t>Legacy (Wells)</t>
  </si>
  <si>
    <t>Hud</t>
  </si>
  <si>
    <t>John Hinder</t>
  </si>
  <si>
    <t>John Hinder
Senior Director
Walker &amp; Dunlop
P: 301-215-5516 M: 202-815-5055
jhinder@walkerdunlop.com</t>
  </si>
  <si>
    <t>jhinder@walkerdunlop.com</t>
  </si>
  <si>
    <t>P: 301-215-5516 M: 202-815-5055</t>
  </si>
  <si>
    <t>Excellent Location</t>
  </si>
  <si>
    <t>Lack of Stabilized Operating History</t>
  </si>
  <si>
    <t>Less Concessions (expense line item)</t>
  </si>
  <si>
    <t>B2B_InterestCalc_List</t>
  </si>
  <si>
    <t>0.5%</t>
  </si>
  <si>
    <t>National Green Building Program, National Association of Home Builders (NAHB)</t>
  </si>
  <si>
    <t>Fannie Mae Waiver</t>
  </si>
  <si>
    <t>Wayne Elibero</t>
  </si>
  <si>
    <t>LIBOR 3 months</t>
  </si>
  <si>
    <t>5-Year Treasury Note</t>
  </si>
  <si>
    <t>1 Month LIBOR</t>
  </si>
  <si>
    <t>Other Prepayment Premium</t>
  </si>
  <si>
    <t>10-10-5-4-3-2-1</t>
  </si>
  <si>
    <t>Trust</t>
  </si>
  <si>
    <t>Passive House Institute (PHI)</t>
  </si>
  <si>
    <t>3 Globes</t>
  </si>
  <si>
    <t>Fannie_Senior</t>
  </si>
  <si>
    <t>Natalie Dumont</t>
  </si>
  <si>
    <t>Natalie Dumont
Director | Agency Production
Walker &amp; Dunlop
M: 617-678-5636
ndumont@walkerdunlop.com</t>
  </si>
  <si>
    <t>ndumont@walkerdunlop.com</t>
  </si>
  <si>
    <t>M: 617-678-5636</t>
  </si>
  <si>
    <t>Financially Strong Sponsorship</t>
  </si>
  <si>
    <t>Limited Historical Data</t>
  </si>
  <si>
    <t>0.625%</t>
  </si>
  <si>
    <t xml:space="preserve">Green Globes, Green Building Initiative </t>
  </si>
  <si>
    <t>William Carroll</t>
  </si>
  <si>
    <t>LIBOR 6 months</t>
  </si>
  <si>
    <t>7-Year Treasury Note</t>
  </si>
  <si>
    <t>3 Month LIBOR</t>
  </si>
  <si>
    <t>1% Fixed Prepayment</t>
  </si>
  <si>
    <t>5-1-1-1-1</t>
  </si>
  <si>
    <t>REIT</t>
  </si>
  <si>
    <t>Southface</t>
  </si>
  <si>
    <t>4 Globes</t>
  </si>
  <si>
    <t>Katie Gilrain</t>
  </si>
  <si>
    <t>Morgan Dowdy</t>
  </si>
  <si>
    <t>Morgan Dowdy
mdowdy@walkerdunlop.com
804-280-6672</t>
  </si>
  <si>
    <t>mdowdy@walkerdunlop.com</t>
  </si>
  <si>
    <t>804-280-6672</t>
  </si>
  <si>
    <t>Experienced Sponsorship</t>
  </si>
  <si>
    <t>Limited Sponsor NW or Liquidity</t>
  </si>
  <si>
    <t>Other Green Building Certification</t>
  </si>
  <si>
    <t>Guarantor #1</t>
  </si>
  <si>
    <t>LIBOR 1 year</t>
  </si>
  <si>
    <t>10-Year Treasury Note</t>
  </si>
  <si>
    <t>6 Month LIBOR</t>
  </si>
  <si>
    <t>5-5-5-5-4-4-3-3-2-2-1-1</t>
  </si>
  <si>
    <t>Non-Profit Corporation</t>
  </si>
  <si>
    <t>US Department of Energy</t>
  </si>
  <si>
    <t>Bronze</t>
  </si>
  <si>
    <t>Paul Lewicki</t>
  </si>
  <si>
    <t>Logan Zotovich</t>
  </si>
  <si>
    <t>Logan Zotovich
lzotovich@walkerdunlop.com
949-271-8548</t>
  </si>
  <si>
    <t>lzotovich@walkerdunlop.com</t>
  </si>
  <si>
    <t>949-271-8548</t>
  </si>
  <si>
    <t>Local Ownership</t>
  </si>
  <si>
    <t>Age of Property</t>
  </si>
  <si>
    <t>30 YR Fixed</t>
  </si>
  <si>
    <t>0.875%</t>
  </si>
  <si>
    <t>Guarantor #2</t>
  </si>
  <si>
    <t>LIBOR 10 years</t>
  </si>
  <si>
    <t>30-Year Treasury Note</t>
  </si>
  <si>
    <t>5-5-5-5-5-5-5-4-4-3-3-2-2-1-1</t>
  </si>
  <si>
    <t>US Environmental Protection Agency</t>
  </si>
  <si>
    <t>Emerald</t>
  </si>
  <si>
    <t>HUD_Lean</t>
  </si>
  <si>
    <t>Mackenzie Kerin</t>
  </si>
  <si>
    <t>Mackenzie Kerin
mkerin@walkerdunlop.com
424-220-8455</t>
  </si>
  <si>
    <t>mkerin@walkerdunlop.com</t>
  </si>
  <si>
    <t>424-220-8455</t>
  </si>
  <si>
    <t>Strong Management</t>
  </si>
  <si>
    <t>Syndicated Ownership Structure</t>
  </si>
  <si>
    <t>B2B_PrepayType_List</t>
  </si>
  <si>
    <t>1.0%</t>
  </si>
  <si>
    <t>Guarantor #3</t>
  </si>
  <si>
    <t>11th District Cost of Funds Index</t>
  </si>
  <si>
    <t>5-5-5-5-5-5-5-4-4-3-3-2-2-1-1-1-1-1</t>
  </si>
  <si>
    <t>USGBC</t>
  </si>
  <si>
    <t>Certified Zero Carbon</t>
  </si>
  <si>
    <t>Freddie_Senior</t>
  </si>
  <si>
    <t>TJ Spaeth</t>
  </si>
  <si>
    <t>TJ Spaeth
tjspaeth@walkerdunlop.com,
949-271-8500</t>
  </si>
  <si>
    <t>tjspaeth@walkerdunlop.com,</t>
  </si>
  <si>
    <t>949-271-8500</t>
  </si>
  <si>
    <t>Excellent Property Condition</t>
  </si>
  <si>
    <t>Out of State Ownership</t>
  </si>
  <si>
    <t>20 YR Fixed</t>
  </si>
  <si>
    <t>31000</t>
  </si>
  <si>
    <t>1.125%</t>
  </si>
  <si>
    <t>Guarantor #4</t>
  </si>
  <si>
    <t>12-Month Treasury Average</t>
  </si>
  <si>
    <t>5-5-5-5-5-5-5-4-4-3-3-2-2-1-1-1-1-1-1-1-1-1-1-1-1-1-1-1-1-1</t>
  </si>
  <si>
    <t>Viridiant</t>
  </si>
  <si>
    <t>Certified Net Zero</t>
  </si>
  <si>
    <t>Capital_Markets</t>
  </si>
  <si>
    <t>George Melby</t>
  </si>
  <si>
    <t>George Melby
gmelby@walkerdunlop.com
301-202-3240</t>
  </si>
  <si>
    <t>gmelby@walkerdunlop.com</t>
  </si>
  <si>
    <t>301-202-3240</t>
  </si>
  <si>
    <t>Recent Renovation</t>
  </si>
  <si>
    <t>Limited Multifamily Ownership Experience</t>
  </si>
  <si>
    <t>25 YR Fixed</t>
  </si>
  <si>
    <t>32111</t>
  </si>
  <si>
    <t>1.25%</t>
  </si>
  <si>
    <t>Guarantor #5</t>
  </si>
  <si>
    <t>Bank Prime Loan</t>
  </si>
  <si>
    <t>Certified Zero Energy</t>
  </si>
  <si>
    <t>OTHER (Explain)</t>
  </si>
  <si>
    <t>3322111</t>
  </si>
  <si>
    <t>1.375%</t>
  </si>
  <si>
    <t>Guarantor #6</t>
  </si>
  <si>
    <t>PHIUS+ Source Zero</t>
  </si>
  <si>
    <t>Weak SREO Performance</t>
  </si>
  <si>
    <t>6 YR Fixed</t>
  </si>
  <si>
    <t>3332221111</t>
  </si>
  <si>
    <t>1.5%</t>
  </si>
  <si>
    <t>Guarantor #7</t>
  </si>
  <si>
    <t>PHIUS+ 2015</t>
  </si>
  <si>
    <t>New Supply</t>
  </si>
  <si>
    <t>8 YR Fixed</t>
  </si>
  <si>
    <t>5-4-3-2-1, then 1%</t>
  </si>
  <si>
    <t>1.625%</t>
  </si>
  <si>
    <t>Guarantor #8</t>
  </si>
  <si>
    <t>PHIUS+ Core</t>
  </si>
  <si>
    <t>Loan to Cost &gt; 90% within 3 years of ownership</t>
  </si>
  <si>
    <t>9 YR Fixed</t>
  </si>
  <si>
    <t>1.75%</t>
  </si>
  <si>
    <t>PHIUS+ 2018</t>
  </si>
  <si>
    <t>1.875%</t>
  </si>
  <si>
    <t>Classic</t>
  </si>
  <si>
    <t>11 YR Fixed</t>
  </si>
  <si>
    <t>2.0%</t>
  </si>
  <si>
    <t>LEED 2008</t>
  </si>
  <si>
    <t>Plus</t>
  </si>
  <si>
    <t>13 YR Fixed</t>
  </si>
  <si>
    <t>2.0625%</t>
  </si>
  <si>
    <t>LEED 2009</t>
  </si>
  <si>
    <t>Premium</t>
  </si>
  <si>
    <t>14 YR Fixed</t>
  </si>
  <si>
    <t>B2B_HedgeProtection_List</t>
  </si>
  <si>
    <t>2.125%</t>
  </si>
  <si>
    <t>LEED v4</t>
  </si>
  <si>
    <t>Zero Carbon</t>
  </si>
  <si>
    <t>2.1875%</t>
  </si>
  <si>
    <t>LEED 4.1</t>
  </si>
  <si>
    <t>Zero Energy</t>
  </si>
  <si>
    <t>16 YR Fixed</t>
  </si>
  <si>
    <t>3rd Party Rate Cap</t>
  </si>
  <si>
    <t>2.25%</t>
  </si>
  <si>
    <t>LEED Zero Carbon</t>
  </si>
  <si>
    <t>17 YR Fixed</t>
  </si>
  <si>
    <t>Freddie Mac Cap</t>
  </si>
  <si>
    <t>2.3125%</t>
  </si>
  <si>
    <t>LEED Zero Resources</t>
  </si>
  <si>
    <t>18 YR Fixed</t>
  </si>
  <si>
    <t>Freddie Mac Rate Cap</t>
  </si>
  <si>
    <t>2.375%</t>
  </si>
  <si>
    <t>Rev. 07</t>
  </si>
  <si>
    <t>19 YR Fixed</t>
  </si>
  <si>
    <t>Life-time Third Party Cap</t>
  </si>
  <si>
    <t>2.4375%</t>
  </si>
  <si>
    <t>Renewable 3rd Party Cap</t>
  </si>
  <si>
    <t>2.5%</t>
  </si>
  <si>
    <t>21 YR Fixed</t>
  </si>
  <si>
    <t>Renewable Third Party Cap - Annual Review</t>
  </si>
  <si>
    <t>2.5625%</t>
  </si>
  <si>
    <t>22 YR Fixed</t>
  </si>
  <si>
    <t>Renewable Third Party Cap - Semi-Annual Review</t>
  </si>
  <si>
    <t>2.625%</t>
  </si>
  <si>
    <t>23 YR Fixed</t>
  </si>
  <si>
    <t>Swap Agmnt w/ FM Guaranty</t>
  </si>
  <si>
    <t>2.6875%</t>
  </si>
  <si>
    <t>24 YR Fixed</t>
  </si>
  <si>
    <t>Swap Agmnt w/o FM Guaranty</t>
  </si>
  <si>
    <t>2.75%</t>
  </si>
  <si>
    <t>2.8125%</t>
  </si>
  <si>
    <t>26 YR Fixed</t>
  </si>
  <si>
    <t>2.875%</t>
  </si>
  <si>
    <t>27 YR Fixed</t>
  </si>
  <si>
    <t>B2B_ERL_FundingTiming_List</t>
  </si>
  <si>
    <t>2.9375%</t>
  </si>
  <si>
    <t>28 YR Fixed</t>
  </si>
  <si>
    <t>3.0%</t>
  </si>
  <si>
    <t>29 YR Fixed</t>
  </si>
  <si>
    <t>45-Day</t>
  </si>
  <si>
    <t>3.125%</t>
  </si>
  <si>
    <t>60-Day</t>
  </si>
  <si>
    <t>3.25%</t>
  </si>
  <si>
    <t>75-Day</t>
  </si>
  <si>
    <t>3.375%</t>
  </si>
  <si>
    <t>90-Day</t>
  </si>
  <si>
    <t>3.5%</t>
  </si>
  <si>
    <t>120-Day</t>
  </si>
  <si>
    <t>3.625%</t>
  </si>
  <si>
    <t>ERL+1</t>
  </si>
  <si>
    <t>3.75%</t>
  </si>
  <si>
    <t>ERL+2</t>
  </si>
  <si>
    <t>3.875%</t>
  </si>
  <si>
    <t>ERL+3</t>
  </si>
  <si>
    <t>4.0%</t>
  </si>
  <si>
    <t>Apartment Allowances (income line item)</t>
  </si>
  <si>
    <t>ERL+4</t>
  </si>
  <si>
    <t>4.125%</t>
  </si>
  <si>
    <t>Apartment Allowances (expense line item)</t>
  </si>
  <si>
    <t>ERL+5</t>
  </si>
  <si>
    <t>4.25%</t>
  </si>
  <si>
    <t>ERL+6</t>
  </si>
  <si>
    <t>4.375%</t>
  </si>
  <si>
    <t>ERL+7</t>
  </si>
  <si>
    <t>4.5%</t>
  </si>
  <si>
    <t>ERL+8</t>
  </si>
  <si>
    <t>4.625%</t>
  </si>
  <si>
    <t>4.75%</t>
  </si>
  <si>
    <t>ERL Standard Delivery</t>
  </si>
  <si>
    <t>4.875%</t>
  </si>
  <si>
    <t>Office / Model Apts. (income line item)</t>
  </si>
  <si>
    <t>5.0%</t>
  </si>
  <si>
    <t>Office / Model Apts. (expense line item)</t>
  </si>
  <si>
    <t>5.125%</t>
  </si>
  <si>
    <t>B2B_InterestType_List</t>
  </si>
  <si>
    <t>5.25%</t>
  </si>
  <si>
    <t>5.375%</t>
  </si>
  <si>
    <t>5.5%</t>
  </si>
  <si>
    <t>5.625%</t>
  </si>
  <si>
    <t>B2B_PropertyType_List</t>
  </si>
  <si>
    <t>5.75%</t>
  </si>
  <si>
    <t>5.875%</t>
  </si>
  <si>
    <t>Multifamily Senior Housing</t>
  </si>
  <si>
    <t>6.0%</t>
  </si>
  <si>
    <t>BL-Other 1</t>
  </si>
  <si>
    <t>BL-Other 2</t>
  </si>
  <si>
    <t>Multifamily w/Commercial</t>
  </si>
  <si>
    <t>B2B_YieldMaintenanceTreasuriesPlus_List</t>
  </si>
  <si>
    <t>BL-Other 3</t>
  </si>
  <si>
    <t>BL-Other 4</t>
  </si>
  <si>
    <t>Operating Statement NOI</t>
  </si>
  <si>
    <t>B2B_ApplicableIndexType_List</t>
  </si>
  <si>
    <t>Treasuries +25bps</t>
  </si>
  <si>
    <t>Employee Units (as negative)</t>
  </si>
  <si>
    <t>30-day FHLMC Ref Bill</t>
  </si>
  <si>
    <t>Treasuries +50bps</t>
  </si>
  <si>
    <t>Office / Model Apts. (as negative)</t>
  </si>
  <si>
    <t>Partnership Expenses (Below the Line):</t>
  </si>
  <si>
    <t>30-day LIBOR</t>
  </si>
  <si>
    <t>Treasuries +75bps</t>
  </si>
  <si>
    <t>90-day FHLMC Ref Bill</t>
  </si>
  <si>
    <t>Treasuries +100bps</t>
  </si>
  <si>
    <t>90-day LIBOR</t>
  </si>
  <si>
    <t>Treasuries +Net Spread</t>
  </si>
  <si>
    <t>180-day LIBOR</t>
  </si>
  <si>
    <t>Treasuries +Other</t>
  </si>
  <si>
    <t>BL-Other 1</t>
  </si>
  <si>
    <t>Treasuries +RNY</t>
  </si>
  <si>
    <t>BL-Other 2</t>
  </si>
  <si>
    <t>2-yr UST</t>
  </si>
  <si>
    <t>BL-Other 3</t>
  </si>
  <si>
    <t>3-yr UST</t>
  </si>
  <si>
    <t>BL-Other 4</t>
  </si>
  <si>
    <t>4 Week BMA</t>
  </si>
  <si>
    <t>4-yr Interp. UST</t>
  </si>
  <si>
    <t>52 Week BMA</t>
  </si>
  <si>
    <t>Senior Housing Income Line Items:</t>
  </si>
  <si>
    <t>52 week SIFMA</t>
  </si>
  <si>
    <t>5-yr UST</t>
  </si>
  <si>
    <t>6-yr Interp. UST</t>
  </si>
  <si>
    <t>7-yr Interp. UST</t>
  </si>
  <si>
    <t>8-yr Interp. UST</t>
  </si>
  <si>
    <t>9-yr Interp. UST</t>
  </si>
  <si>
    <t>Senior Housing Expense Line Items:</t>
  </si>
  <si>
    <t>10-yr UST</t>
  </si>
  <si>
    <t>FreddieMac Reference Bills-1Mo</t>
  </si>
  <si>
    <t>2 month Freddie Mac Reference</t>
  </si>
  <si>
    <t>FreddieMac Reference Bills-3Mo</t>
  </si>
  <si>
    <t>LIBOR 1 Week</t>
  </si>
  <si>
    <t>LIBOR 1 Month</t>
  </si>
  <si>
    <t>LIBOR 3 Month</t>
  </si>
  <si>
    <t>Spot BMA</t>
  </si>
  <si>
    <t>SWAP</t>
  </si>
  <si>
    <t>UST</t>
  </si>
  <si>
    <t>Prop Name</t>
  </si>
  <si>
    <t>Month, Year</t>
  </si>
  <si>
    <t>Property Name Header</t>
  </si>
  <si>
    <t>City, State Header</t>
  </si>
  <si>
    <t>No. of Units 2</t>
  </si>
  <si>
    <t>Locations: (MSA)</t>
  </si>
  <si>
    <t>Loan Amount / Unit</t>
  </si>
  <si>
    <t>Transaction Purpose</t>
  </si>
  <si>
    <t>Cash (In, Nuetral, Out)?</t>
  </si>
  <si>
    <t>Cash (In, Nuetral, Out) $</t>
  </si>
  <si>
    <t>Tax Escrow Waived?</t>
  </si>
  <si>
    <t>Insurance Escrow Waived?</t>
  </si>
  <si>
    <t>Sponsor Rating</t>
  </si>
  <si>
    <t>Sponsor Rating 2</t>
  </si>
  <si>
    <t>Prepayment Period</t>
  </si>
  <si>
    <t>Interest Only Term</t>
  </si>
  <si>
    <t>Non-Recourse Carveouts?</t>
  </si>
  <si>
    <t>Reserves Escrow Waived?</t>
  </si>
  <si>
    <t>Repair Escrow Waived?</t>
  </si>
  <si>
    <t>Loan To Cost:</t>
  </si>
  <si>
    <t>Performance Differentiation?</t>
  </si>
  <si>
    <t>Min UW DSCR at Floor</t>
  </si>
  <si>
    <t>Min UW DSCR at Actual</t>
  </si>
  <si>
    <t>Actual UW DSCR at Floor</t>
  </si>
  <si>
    <t>Actual UW DSCR at Actual</t>
  </si>
  <si>
    <t>IO DSCR at Floor</t>
  </si>
  <si>
    <t>IO DSCR at Actual</t>
  </si>
  <si>
    <t>Min ARM UW DSCR at Stress Rate</t>
  </si>
  <si>
    <t>Error</t>
  </si>
  <si>
    <t>Min ARM UW DSCR at Pay Rate</t>
  </si>
  <si>
    <t>Actual ARM UW DSCR at Stress Rate</t>
  </si>
  <si>
    <t>Actual ARM UW DSCR at Pay Rate</t>
  </si>
  <si>
    <t>ARM IO DSCR at Stress Rate</t>
  </si>
  <si>
    <t>ARM IO DSCR at Pay Rate</t>
  </si>
  <si>
    <t>DUS Loan</t>
  </si>
  <si>
    <t>Existing Financing or Mezz</t>
  </si>
  <si>
    <t>Subtotal Sources</t>
  </si>
  <si>
    <t>Refi or Acquisition</t>
  </si>
  <si>
    <t>UPB or Purchase Price</t>
  </si>
  <si>
    <t>Prepayment Penalty</t>
  </si>
  <si>
    <t>Fannie Mae Large Loan Fee:</t>
  </si>
  <si>
    <t>Origination Fees:</t>
  </si>
  <si>
    <t>Origination %:</t>
  </si>
  <si>
    <t>Origination % 2:</t>
  </si>
  <si>
    <t>Gfee</t>
  </si>
  <si>
    <t>Sfee</t>
  </si>
  <si>
    <t>Closing Costs:</t>
  </si>
  <si>
    <t>Initial Deposit into Reserve Escrow:</t>
  </si>
  <si>
    <t>Rehabilitation Escrow:</t>
  </si>
  <si>
    <t>Subtotal Uses</t>
  </si>
  <si>
    <t>Cash to Borrower:</t>
  </si>
  <si>
    <t>Property Type 2</t>
  </si>
  <si>
    <t>Year Built/Rehabbed</t>
  </si>
  <si>
    <t>1-Month SOFR</t>
  </si>
  <si>
    <t>Cushion</t>
  </si>
  <si>
    <t>Pay Rate</t>
  </si>
  <si>
    <t>Strike Rate (Amort)</t>
  </si>
  <si>
    <t>Strike Rate (IO)</t>
  </si>
  <si>
    <t>Max Rate Required</t>
  </si>
  <si>
    <t>Fixed Principal Payment</t>
  </si>
  <si>
    <t>Unit Breakdown</t>
  </si>
  <si>
    <t>Average Square Footage</t>
  </si>
  <si>
    <t>Composition</t>
  </si>
  <si>
    <t>2 BR / 1 BA</t>
  </si>
  <si>
    <t>2 BR / 2 BA</t>
  </si>
  <si>
    <t>3 BR</t>
  </si>
  <si>
    <t>4 BR</t>
  </si>
  <si>
    <t>Total Number of Units</t>
  </si>
  <si>
    <t>Total Residential Square Footage</t>
  </si>
  <si>
    <t>Avg. Sq Ft.</t>
  </si>
  <si>
    <t>Total Commercial Square Footage</t>
  </si>
  <si>
    <t>Commercial Percentage of GBA</t>
  </si>
  <si>
    <t>PCA</t>
  </si>
  <si>
    <t>Company</t>
  </si>
  <si>
    <t>Replacement Reserve</t>
  </si>
  <si>
    <t>Repair Escrow</t>
  </si>
  <si>
    <t>Repair Escrow Description</t>
  </si>
  <si>
    <t>(at 0%)</t>
  </si>
  <si>
    <t>Environmental Company</t>
  </si>
  <si>
    <t>Environmental Company2</t>
  </si>
  <si>
    <t>Environmental Company3</t>
  </si>
  <si>
    <t>Environmental Company4</t>
  </si>
  <si>
    <t>Date Of PCA Report</t>
  </si>
  <si>
    <t>Date of Env Report</t>
  </si>
  <si>
    <t>Micro-Market Analysis Chart</t>
  </si>
  <si>
    <t>Rent Comps</t>
  </si>
  <si>
    <t>Subject Actual</t>
  </si>
  <si>
    <t>Appraisal Proforma</t>
  </si>
  <si>
    <t>Average Occupancy</t>
  </si>
  <si>
    <t>Broken Cell Equation from Fannie version 1</t>
  </si>
  <si>
    <t>Broken Cell Equation from Fannie version 1 ($/SF)</t>
  </si>
  <si>
    <t>Broken Cell Equation from Fannie version 2</t>
  </si>
  <si>
    <t>Broken Cell Equation from Fannie version 2 ($/SF)</t>
  </si>
  <si>
    <t>Broken Cell Equation from Fannie version 3</t>
  </si>
  <si>
    <t>Broken Cell Equation from Fannie version 3 ($/SF)</t>
  </si>
  <si>
    <t>Broken Cell Equation from Fannie version 4</t>
  </si>
  <si>
    <t>Broken Cell Equation from Fannie version 4 ($/SF)</t>
  </si>
  <si>
    <t>Broken Cell Equation from Fannie version 5</t>
  </si>
  <si>
    <t>Broken Cell Equation from Fannie version 5 ($/SF)</t>
  </si>
  <si>
    <t>Broken Cell Equation from Fannie version 6</t>
  </si>
  <si>
    <t>Broken Cell Equation from Fannie version 6 ($/SF)</t>
  </si>
  <si>
    <t>Broken Cell Equation from Fannie version 7</t>
  </si>
  <si>
    <t>Broken Cell Equation from Fannie version 7 ($/SF)</t>
  </si>
  <si>
    <t>Overall Average Rent</t>
  </si>
  <si>
    <t>Overall Average Rent ($/SF)</t>
  </si>
  <si>
    <t>Borrower Single Asset Entity?</t>
  </si>
  <si>
    <t>Borrower Credit Checks Acceptable</t>
  </si>
  <si>
    <t>Lender Outstanding Balances</t>
  </si>
  <si>
    <t>Loender Commitments</t>
  </si>
  <si>
    <t>Total Lender Exposure</t>
  </si>
  <si>
    <t>Sponsor Chart</t>
  </si>
  <si>
    <t>Yrs Multifamily Exp</t>
  </si>
  <si>
    <t>Guarantor?</t>
  </si>
  <si>
    <t>NW</t>
  </si>
  <si>
    <t>Liquidity</t>
  </si>
  <si>
    <t>Credit Checks Acceptable?</t>
  </si>
  <si>
    <t>REO Overall LTV</t>
  </si>
  <si>
    <t>REO Overall DSCR</t>
  </si>
  <si>
    <t>REO Multifamily LTV</t>
  </si>
  <si>
    <t>REO Multifamily DSCR</t>
  </si>
  <si>
    <t>Estimated Cash Flow</t>
  </si>
  <si>
    <t>Combined NW</t>
  </si>
  <si>
    <t>Combined NW as % of Loan</t>
  </si>
  <si>
    <t>Combined Liquidity</t>
  </si>
  <si>
    <t>Combined Liquidity as % of Loan</t>
  </si>
  <si>
    <t>Name of Principal(s):</t>
  </si>
  <si>
    <t>Appraisal Firm</t>
  </si>
  <si>
    <t>Date of Valuation:</t>
  </si>
  <si>
    <t>Cap Rate</t>
  </si>
  <si>
    <t>Appraised Value Per Unit</t>
  </si>
  <si>
    <t>UW Value Conclusion</t>
  </si>
  <si>
    <t>UW Rent Roll Date:</t>
  </si>
  <si>
    <t>Trailing Period Description</t>
  </si>
  <si>
    <t>Trailing Period Description2</t>
  </si>
  <si>
    <t>Trailing Period Description3</t>
  </si>
  <si>
    <t>Trailing Period Description4</t>
  </si>
  <si>
    <t>T12 Operating Statement Period</t>
  </si>
  <si>
    <t>Historical Performance Chart</t>
  </si>
  <si>
    <t>TR-12 Statement (9/2022), 2022</t>
  </si>
  <si>
    <t>Borrower Proforma</t>
  </si>
  <si>
    <t>Appraiser</t>
  </si>
  <si>
    <t>W&amp;D Comps avg</t>
  </si>
  <si>
    <t>W&amp;D UW</t>
  </si>
  <si>
    <t>% change from T12</t>
  </si>
  <si>
    <t>GPR/Unit</t>
  </si>
  <si>
    <t>EGI/Unit</t>
  </si>
  <si>
    <t>RET/Unit</t>
  </si>
  <si>
    <t>Insurance/Unit</t>
  </si>
  <si>
    <t>Utilities/Unit</t>
  </si>
  <si>
    <t>W&amp;S/Unit</t>
  </si>
  <si>
    <t>R&amp;M/Unit</t>
  </si>
  <si>
    <t>MGMT%</t>
  </si>
  <si>
    <t>Payroll/Unit</t>
  </si>
  <si>
    <t>Admin/Unit</t>
  </si>
  <si>
    <t>Seniors Expenses</t>
  </si>
  <si>
    <t>Other Expenses and Ground Rent</t>
  </si>
  <si>
    <t>Reserves/Unit/Annum</t>
  </si>
  <si>
    <t>Expenses/Unit (exclude taxes and reserves)</t>
  </si>
  <si>
    <t>NRI Analysis</t>
  </si>
  <si>
    <t>T3 NRI/Unit</t>
  </si>
  <si>
    <t>T3 NRI/Unit vs T6 NRI/Unit</t>
  </si>
  <si>
    <t>T3 NRI/Unit vs T12 NRI/Unit</t>
  </si>
  <si>
    <t>T3 NRI/Unit vs UW NRI/Unit</t>
  </si>
  <si>
    <t>UW NRI 2</t>
  </si>
  <si>
    <t>Base Exit Analysis</t>
  </si>
  <si>
    <t>base_rent_growth_rate_yr2</t>
  </si>
  <si>
    <t>base_rent_growth_rate_yr3</t>
  </si>
  <si>
    <t>base_rent_growth_rate_yr4</t>
  </si>
  <si>
    <t>base_rent_growth_rate_yr5</t>
  </si>
  <si>
    <t>base_rent_growth_rate_yr6+</t>
  </si>
  <si>
    <t>Capitalization Rate @ Refinance</t>
  </si>
  <si>
    <t>LTV @ Refinance</t>
  </si>
  <si>
    <t>Interest Rate @ Refinance</t>
  </si>
  <si>
    <t>Resulting DSCR at Refinance</t>
  </si>
  <si>
    <t>Stressed Interest Rate for DSCR</t>
  </si>
  <si>
    <t>Alternative Exit Analysis</t>
  </si>
  <si>
    <t>Qualifying Units &lt;= 120% AMI</t>
  </si>
  <si>
    <t>Qualifying Units &lt;= 100% AMI</t>
  </si>
  <si>
    <t>Qualifying Units &lt;= 80% AMI</t>
  </si>
  <si>
    <t>Qualifying Units &lt;= 60% AMI</t>
  </si>
  <si>
    <t>Qualifying Units &lt;= 50% AMI</t>
  </si>
  <si>
    <t>Estimated % Exclusion from CAP</t>
  </si>
  <si>
    <t>Performance Differentation Info</t>
  </si>
  <si>
    <t>Loan Size</t>
  </si>
  <si>
    <t>Exclusions?</t>
  </si>
  <si>
    <t>Exclusions: MAH, Seniors, Structured, Small Loans</t>
  </si>
  <si>
    <t>0% meets PD requirements</t>
  </si>
  <si>
    <t>Min Debt Yield</t>
  </si>
  <si>
    <t>0% does not meet PD requirements</t>
  </si>
  <si>
    <t>Min Exit</t>
  </si>
  <si>
    <t>Lender Delegation</t>
  </si>
  <si>
    <t>Large Loans, DSC, IO, LTC, SARM's (SARM's delegated to Priority Borrowers with specified interest rate cap terms for volume above $10M)</t>
  </si>
  <si>
    <t>WD Comps Occupancy</t>
  </si>
  <si>
    <t>Appraisal Occupancy</t>
  </si>
  <si>
    <t>Subject Occupancy</t>
  </si>
  <si>
    <t>This worksheet is used to test model logic, with tests to identify regression bugs and other model failures.</t>
  </si>
  <si>
    <t>RegressTesting_TestSets</t>
  </si>
  <si>
    <t>Data Set Name</t>
  </si>
  <si>
    <t>IVY PARK</t>
  </si>
  <si>
    <t>HUNTER CHASE</t>
  </si>
  <si>
    <t>serverUrl</t>
  </si>
  <si>
    <t>https://api.enodoinc.com</t>
  </si>
  <si>
    <t>token</t>
  </si>
  <si>
    <t>4Mdljmx08WxUqw</t>
  </si>
  <si>
    <t>nay5pxEW6ss1hg</t>
  </si>
  <si>
    <t>rr_id</t>
  </si>
  <si>
    <t>5d3f89b0-9e3a-4048-8027-76e7bab40b1b</t>
  </si>
  <si>
    <t>e8ca7afe-0144-423c-a933-1f228970015a</t>
  </si>
  <si>
    <t>t12_1</t>
  </si>
  <si>
    <t>4046ce03-8c52-4a44-b2f0-b983daeee4ff</t>
  </si>
  <si>
    <t>4bb5db17-fce9-4af2-8841-49b739d382d1</t>
  </si>
  <si>
    <t>t12_2</t>
  </si>
  <si>
    <t>8826beb9-b094-4fd6-8d38-1ed58f15f6a6</t>
  </si>
  <si>
    <t>fc65f186-d9bd-448b-95c5-df97e2e56712</t>
  </si>
  <si>
    <t>t12_3</t>
  </si>
  <si>
    <t>9773e5a9-7248-4cfe-a81a-8248541a33f6</t>
  </si>
  <si>
    <t>8a041a11-380c-47fe-bdff-ab70294e4fab</t>
  </si>
  <si>
    <t>t12_4</t>
  </si>
  <si>
    <t>budget</t>
  </si>
  <si>
    <t>5a29ac2d-ec0c-42b2-abe9-5627b4e2e2c0</t>
  </si>
  <si>
    <t>51c9f216-cbdc-43c7-ba62-4d6929930ac0</t>
  </si>
  <si>
    <t>deal_id</t>
  </si>
  <si>
    <t>15484</t>
  </si>
  <si>
    <t>15316</t>
  </si>
  <si>
    <t>Error Counter</t>
  </si>
  <si>
    <t>Other data</t>
  </si>
  <si>
    <t>Term (Months)</t>
  </si>
  <si>
    <t>Interest Only (Yrs)</t>
  </si>
  <si>
    <t>RegressTesting_Tests</t>
  </si>
  <si>
    <t>(Worksheet)</t>
  </si>
  <si>
    <t>Test</t>
  </si>
  <si>
    <t>Expected</t>
  </si>
  <si>
    <t>Equal?</t>
  </si>
  <si>
    <t>Market Rent (total)</t>
  </si>
  <si>
    <t>UnitMix</t>
  </si>
  <si>
    <t>No of Units</t>
  </si>
  <si>
    <t>% Vacant</t>
  </si>
  <si>
    <t>NRA</t>
  </si>
  <si>
    <t>Sum of first (top) table Total Line</t>
  </si>
  <si>
    <t>Sum of 'DataPage Tbl' Total Line</t>
  </si>
  <si>
    <t>Sum of 'RentComps Tbl' Total Line</t>
  </si>
  <si>
    <t>HOps</t>
  </si>
  <si>
    <t>Sum of Net Cash Flow</t>
  </si>
  <si>
    <t>Sum of Property</t>
  </si>
  <si>
    <t>Exit Strategy</t>
  </si>
  <si>
    <t>Base NCF at Maturity +1 Yr</t>
  </si>
  <si>
    <t>Alt NCF at Maturity +1 Yr</t>
  </si>
  <si>
    <t>SBL Quotes</t>
  </si>
  <si>
    <t>Census Tract Number</t>
  </si>
  <si>
    <t>MSA (Fannie)</t>
  </si>
  <si>
    <t>Baton Rouge, LA</t>
  </si>
  <si>
    <t>Clarksville, TN-KY</t>
  </si>
  <si>
    <t>End of Test List</t>
  </si>
  <si>
    <t>Insert new tests above this line</t>
  </si>
  <si>
    <t>88f-f2vNZac8bg</t>
  </si>
  <si>
    <t>02f77506-7855-4b81-a0bd-4684d864ecbe</t>
  </si>
  <si>
    <t>Enodo it!</t>
  </si>
  <si>
    <t>https://beta.enodoinc.com/rent_roll/02f77506-7855-4b81-a0bd-4684d864ecbe/analysis</t>
  </si>
  <si>
    <t>d729b2ab-6c65-48b6-8c8f-f855531bd453</t>
  </si>
  <si>
    <t>https://beta.enodoinc.com/operating_statement/d729b2ab-6c65-48b6-8c8f-f855531bd453/analysis</t>
  </si>
  <si>
    <t>https://beta.enodoinc.com/operating_statement//analysis</t>
  </si>
  <si>
    <t>deal_name</t>
  </si>
  <si>
    <t>count_files</t>
  </si>
  <si>
    <t>enodoUrl</t>
  </si>
  <si>
    <t>https://beta.enodoinc.com</t>
  </si>
  <si>
    <t>salesforce_opportunity_nmbr</t>
  </si>
  <si>
    <t>initialLoadCompleted</t>
  </si>
  <si>
    <t>freddieMac_loan_id</t>
  </si>
  <si>
    <t>addin_function</t>
  </si>
  <si>
    <t>addin_functionParameter1</t>
  </si>
  <si>
    <t>unique_id</t>
  </si>
  <si>
    <t>version</t>
  </si>
  <si>
    <t>release_date</t>
  </si>
  <si>
    <t>sizer_type</t>
  </si>
  <si>
    <t>applicable_COAs</t>
  </si>
  <si>
    <t>deal_identifier (for Mixpanel)</t>
  </si>
  <si>
    <t>88f-f2vNZac8bg20231002.11</t>
  </si>
  <si>
    <t>property_id_string</t>
  </si>
  <si>
    <t>Endpoints</t>
  </si>
  <si>
    <t>apiendpoints</t>
  </si>
  <si>
    <t>&lt;future&gt;</t>
  </si>
  <si>
    <t>apiendpoints_pricing_treasury_rates</t>
  </si>
  <si>
    <t>/me/sizer/treasury_rates</t>
  </si>
  <si>
    <t>apiendpoints_pricing_treasury_rates_dates</t>
  </si>
  <si>
    <t>/me/sizer/treasury_rates/dates</t>
  </si>
  <si>
    <t>apiendpoints_pricing_freddie_sbl_rates</t>
  </si>
  <si>
    <t>/me/sizer/freddie_sbl_rates</t>
  </si>
  <si>
    <t>apiendpoints_pricing_freddie_sbl_rates_dates</t>
  </si>
  <si>
    <t>/me/sizer/freddie_sbl_rates/dates</t>
  </si>
  <si>
    <t>apiendpoints_pricing_daily_rates</t>
  </si>
  <si>
    <t>/me/sizer/daily_pricing</t>
  </si>
  <si>
    <t>apiendpoints_pricing_daily_rates_dates</t>
  </si>
  <si>
    <t>/me/sizer/daily_pricing/dates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</si>
</sst>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123">
    <numFmt numFmtId="170" formatCode="&quot;$&quot;#,##0\ ;[Red]\(&quot;$&quot;#,##0\)"/>
    <numFmt numFmtId="171" formatCode="&quot;$&quot;#,##0.00\ ;[Red]\(&quot;$&quot;#,##0.00\)"/>
    <numFmt numFmtId="172" formatCode="#,##0.0"/>
    <numFmt numFmtId="173" formatCode="_(* #,##0.00_);_(* \(#,##0.00\);_(* &quot;-&quot;??_);_(@_)"/>
    <numFmt numFmtId="174" formatCode="0.000_)"/>
    <numFmt numFmtId="243" formatCode="_(&quot;$&quot;* #,##0.00_);_(&quot;$&quot;* \(#,##0.00\);_(&quot;$&quot;* &quot;-&quot;??_);_(@_)"/>
    <numFmt numFmtId="307" formatCode="&quot;$&quot;#,##0\ ;\(&quot;$&quot;#,##0\)"/>
    <numFmt numFmtId="308" formatCode="&quot;$&quot;#,##0"/>
    <numFmt numFmtId="309" formatCode="_(&quot;$&quot;* #,##0_);_(&quot;$&quot;* \(#,##0\);_(&quot;$&quot;* &quot;-&quot;_);_(@_)"/>
    <numFmt numFmtId="324" formatCode="&quot;$&quot;#,##0_);[Red]\(&quot;$&quot;#,##0\)"/>
    <numFmt numFmtId="1163" formatCode="&quot;$&quot;#,##0.00"/>
    <numFmt numFmtId="58" formatCode="m/d/yyyy"/>
    <numFmt numFmtId="1993" formatCode="m/d/yy;@"/>
    <numFmt numFmtId="1998" formatCode="mmm"/>
    <numFmt numFmtId="2003" formatCode="[$-409]mmm\-yy;@"/>
    <numFmt numFmtId="4004" formatCode="[$-409]h:mm\ AM/PM;@"/>
    <numFmt numFmtId="4005" formatCode="#,##0;[Red]#,##0"/>
    <numFmt numFmtId="4006" formatCode="&quot;IR£&quot;#,##0;\-&quot;IR£&quot;#,##0"/>
    <numFmt numFmtId="4007" formatCode="mmmm\ d\,\ yyyy"/>
    <numFmt numFmtId="4008" formatCode="#,##0.000;[Red]\-#,##0.000"/>
    <numFmt numFmtId="4009" formatCode="#,##0.0%;\(#,##0.0%\)"/>
    <numFmt numFmtId="4010" formatCode="0.00_)"/>
    <numFmt numFmtId="4011" formatCode="#\ &quot;Years&quot;\ "/>
    <numFmt numFmtId="4014" formatCode="#.0\ &quot;Years&quot;\ "/>
    <numFmt numFmtId="4020" formatCode="#,##0.000"/>
    <numFmt numFmtId="4029" formatCode="#,##0.00000"/>
    <numFmt numFmtId="4030" formatCode="00000"/>
    <numFmt numFmtId="4031" formatCode="0.0%"/>
    <numFmt numFmtId="4041" formatCode="0.000%"/>
    <numFmt numFmtId="4051" formatCode="0.0000%"/>
    <numFmt numFmtId="4053" formatCode="0.00000%"/>
    <numFmt numFmtId="4057" formatCode="[&lt;=9999999]###\-####;\(###\)\ ###\-####"/>
    <numFmt numFmtId="4063" formatCode="&quot;$&quot;#,##0_);\(&quot;$&quot;#,##0\)"/>
    <numFmt numFmtId="4075" formatCode="0.00_);\(0.00\)"/>
    <numFmt numFmtId="4090" formatCode="&quot;$&quot;#,##0.00_);\(&quot;$&quot;#,##0.00\)"/>
    <numFmt numFmtId="4091" formatCode="0_);\(0\)"/>
    <numFmt numFmtId="4116" formatCode="_(&quot;$&quot;* #,##0_);_(&quot;$&quot;* \(#,##0\);_(&quot;$&quot;* &quot;-&quot;??_);_(@_)"/>
    <numFmt numFmtId="4140" formatCode="0.000000"/>
    <numFmt numFmtId="4159" formatCode="0.000_);\(0.000\)"/>
    <numFmt numFmtId="4188" formatCode="0\ &quot;Units&quot;"/>
    <numFmt numFmtId="4255" formatCode="_(* #,##0_);_(* \(#,##0\);_(* &quot;-&quot;_);_(@_)"/>
    <numFmt numFmtId="4259" formatCode="&quot;$&quot;#,##0.00000_);\(&quot;$&quot;#,##0.00000\)"/>
    <numFmt numFmtId="4269" formatCode="[$-F800]dddd\,\ mmmm\ dd\,\ yyyy"/>
    <numFmt numFmtId="4270" formatCode="&quot;$&quot;#,##0.000_);\(&quot;$&quot;#,##0.000\)"/>
    <numFmt numFmtId="4273" formatCode="0.00\x"/>
    <numFmt numFmtId="4367" formatCode="####\ &quot;Construction&quot;"/>
    <numFmt numFmtId="4389" formatCode="####\ &quot;Units&quot;"/>
    <numFmt numFmtId="4447" formatCode="0.0000"/>
    <numFmt numFmtId="4463" formatCode="&quot;$&quot;#,##0;[Red]&quot;$&quot;#,##0"/>
    <numFmt numFmtId="4470" formatCode="mm/yy"/>
    <numFmt numFmtId="4471" formatCode="0.000"/>
    <numFmt numFmtId="4473" formatCode="0.0"/>
    <numFmt numFmtId="4474" formatCode="m/yy;@"/>
    <numFmt numFmtId="4551" formatCode="m/d/yyyy;@"/>
    <numFmt numFmtId="4566" formatCode="yyyy\-mm\-dd\ hh:mm:ss"/>
    <numFmt numFmtId="4571" formatCode="&quot;$&quot;#,##0.0,,&quot;M&quot;"/>
    <numFmt numFmtId="4575" formatCode="yyyy\-mm\-dd"/>
    <numFmt numFmtId="4605" formatCode="[$-409]mmmm\ d\,\ yyyy;@"/>
    <numFmt numFmtId="4607" formatCode="#,##0.000000"/>
    <numFmt numFmtId="4630" formatCode="#&quot; yr | 4.5 yrs YM&quot;"/>
    <numFmt numFmtId="4631" formatCode="#&quot; yr | 6.5 yrs YM&quot;"/>
    <numFmt numFmtId="4632" formatCode="#&quot; yr | 9.5 yrs YM&quot;"/>
    <numFmt numFmtId="4633" formatCode="#&quot; yr | 11.5 yrs YM&quot;"/>
    <numFmt numFmtId="4634" formatCode="#&quot; yr | 14.5 yrs YM&quot;"/>
    <numFmt numFmtId="4635" formatCode="#&quot; yr | 15 yrs YM&quot;"/>
    <numFmt numFmtId="4637" formatCode="#&quot; yr | 3 yrs YM&quot;"/>
    <numFmt numFmtId="4638" formatCode="#&quot; yr | 5 yrs YM&quot;"/>
    <numFmt numFmtId="4719" formatCode="mm/dd/yy;@"/>
    <numFmt numFmtId="4876" formatCode="###0;###0"/>
    <numFmt numFmtId="4889" formatCode="General\ &quot;YR&quot;"/>
    <numFmt numFmtId="4890" formatCode="General\ &quot;Years&quot;"/>
    <numFmt numFmtId="4908" formatCode="General\ &quot;Yrs.&quot;"/>
    <numFmt numFmtId="4913" formatCode="0.00&quot;x&quot;"/>
    <numFmt numFmtId="4937" formatCode="_(* #,##0.000_);_(* \(#,##0.000\);_(* &quot;-&quot;??_);_(@_)"/>
    <numFmt numFmtId="4939" formatCode="0\ &quot; mo&quot;"/>
    <numFmt numFmtId="4948" formatCode="m/d/yy\ \ \ h:mm:ss\ AM/PM"/>
    <numFmt numFmtId="4955" formatCode="&quot;OPTION &quot;0"/>
    <numFmt numFmtId="4957" formatCode="0&quot; yrs.&quot;"/>
    <numFmt numFmtId="4961" formatCode="0.0%&quot; Max&quot;"/>
    <numFmt numFmtId="4989" formatCode="#\ &quot;Year Fixed&quot;"/>
    <numFmt numFmtId="5001" formatCode="#&quot; yr | 7 yrs YM&quot;"/>
    <numFmt numFmtId="5003" formatCode="mm/dd/yy\ \ hh:mm:ss"/>
    <numFmt numFmtId="5004" formatCode="mm/dd/yyyy;@"/>
    <numFmt numFmtId="5005" formatCode="ddd\,\ m/d/yy\ h:mm\ AM/PM;@"/>
    <numFmt numFmtId="5019" formatCode="&quot;Show&quot;\ 0\ &quot;Option(s)&quot;"/>
    <numFmt numFmtId="5075" formatCode="&quot;Tier&quot;\ 0"/>
    <numFmt numFmtId="5097" formatCode="General&quot; years&quot;"/>
    <numFmt numFmtId="5141" formatCode="&quot;$&quot;#,##0.00_);[Red]\(&quot;$&quot;#,##0.00\)"/>
    <numFmt numFmtId="5151" formatCode="0\ &quot; Units&quot;"/>
    <numFmt numFmtId="5155" formatCode="mm/dd/yyyy"/>
    <numFmt numFmtId="5156" formatCode="yyyy\-mm\-dd;@"/>
    <numFmt numFmtId="5158" formatCode="0\ &quot;mos&quot;"/>
    <numFmt numFmtId="5159" formatCode="0\ &quot;yrs&quot;"/>
    <numFmt numFmtId="5165" formatCode="mm/yyyy"/>
    <numFmt numFmtId="5183" formatCode="00000000000"/>
    <numFmt numFmtId="5214" formatCode="&quot;Value @&quot;\ 0.00%"/>
    <numFmt numFmtId="5219" formatCode="#\ &quot;Year SARM&quot;"/>
    <numFmt numFmtId="5245" formatCode="#,##0.0000_);\(#,##0.0000\)"/>
    <numFmt numFmtId="5275" formatCode="#,##0.000_);\(#,##0.000\)"/>
    <numFmt numFmtId="5279" formatCode="&quot;min of &quot;0.00\ &quot;Act Amort DSCR&quot;"/>
    <numFmt numFmtId="5280" formatCode="&quot;max of &quot;0%&quot; LTV&quot;"/>
    <numFmt numFmtId="5281" formatCode="0\ &quot;years&quot;"/>
    <numFmt numFmtId="5283" formatCode="&quot;not above &quot;\ 0%"/>
    <numFmt numFmtId="5294" formatCode="0&quot; yrs&quot;"/>
    <numFmt numFmtId="5295" formatCode="&quot;at least &quot;0%"/>
    <numFmt numFmtId="5308" formatCode="&quot;$&quot;#,##0\ &quot;min&quot;"/>
    <numFmt numFmtId="5313" formatCode="&quot;Option &quot;#"/>
    <numFmt numFmtId="5343" formatCode="&quot;Exp. Growth: &quot;0.00"/>
    <numFmt numFmtId="5344" formatCode="&quot;Growth: &quot;0.00"/>
    <numFmt numFmtId="5347" formatCode="\$#,##0;\(\$#,##0\);\$#,##0"/>
    <numFmt numFmtId="5350" formatCode="&quot;$&quot;#,##0\ &quot;max&quot;"/>
    <numFmt numFmtId="5356" formatCode="0&quot; BR&quot;"/>
    <numFmt numFmtId="5358" formatCode="0&quot;+BR&quot;"/>
    <numFmt numFmtId="5376" formatCode="\$#,##0"/>
    <numFmt numFmtId="5387" formatCode="mmmm\,\ yyyy"/>
    <numFmt numFmtId="5412" formatCode="[$-409]d\-mmm\-yy;@"/>
    <numFmt numFmtId="5415" formatCode="0\ &quot;months&quot;"/>
    <numFmt numFmtId="5454" formatCode="&quot;exceeds &quot;#%"/>
    <numFmt numFmtId="5455" formatCode="&quot;at least &quot;0&quot; yrs&quot;"/>
    <numFmt numFmtId="5456" formatCode="#%&quot; or less&quot;"/>
    <numFmt numFmtId="5458" formatCode="&quot;$&quot;#,###&quot; or less&quot;"/>
    <numFmt numFmtId="5530" formatCode="#.00\x"/>
    <numFmt numFmtId="5608" formatCode="&quot;/ &quot;&quot;$&quot;#,##0"/>
  </numFmts>
  <fonts count="358">
    <font>
      <sz val="11"/>
      <color theme="1"/>
      <name val="Calibri"/>
      <scheme val="minor"/>
    </font>
    <font>
      <sz val="12"/>
      <color auto="1"/>
      <name val="Arial MT"/>
    </font>
    <font>
      <sz val="11"/>
      <color rgb="FF000000"/>
      <name val="Calibri"/>
    </font>
    <font>
      <sz val="11"/>
      <color theme="0"/>
      <name val="Calibri"/>
      <scheme val="minor"/>
    </font>
    <font>
      <sz val="11"/>
      <color rgb="FFFFFFFF"/>
      <name val="Calibri"/>
    </font>
    <font>
      <sz val="8"/>
      <color auto="1"/>
      <name val="Arial"/>
    </font>
    <font>
      <sz val="8"/>
      <color auto="1"/>
      <name val="Tahoma"/>
    </font>
    <font>
      <sz val="11"/>
      <color rgb="FF9C0006"/>
      <name val="Calibri"/>
      <scheme val="minor"/>
    </font>
    <font>
      <sz val="11"/>
      <color rgb="FF800080"/>
      <name val="Calibri"/>
    </font>
    <font>
      <sz val="12"/>
      <color auto="1"/>
      <name val="Tms Rmn"/>
    </font>
    <font>
      <b/>
      <sz val="12"/>
      <color auto="1"/>
      <name val="Times New Roman"/>
    </font>
    <font>
      <sz val="7"/>
      <color auto="1"/>
      <name val="Arial"/>
    </font>
    <font>
      <b/>
      <sz val="11"/>
      <color rgb="FFFA7D00"/>
      <name val="Calibri"/>
      <scheme val="minor"/>
    </font>
    <font>
      <b/>
      <sz val="11"/>
      <color rgb="FFFF9900"/>
      <name val="Calibri"/>
    </font>
    <font>
      <b/>
      <sz val="11"/>
      <color theme="0"/>
      <name val="Calibri"/>
      <scheme val="minor"/>
    </font>
    <font>
      <b/>
      <sz val="11"/>
      <color rgb="FFFFFFFF"/>
      <name val="Calibri"/>
    </font>
    <font>
      <b/>
      <sz val="10"/>
      <color auto="1"/>
      <name val="Georgia"/>
    </font>
    <font>
      <sz val="8"/>
      <color auto="1"/>
      <name val="Verdana"/>
    </font>
    <font>
      <sz val="11"/>
      <color auto="1"/>
      <name val="Tms Rmn"/>
    </font>
    <font>
      <sz val="10"/>
      <color auto="1"/>
      <name val="Arial"/>
    </font>
    <font>
      <sz val="12"/>
      <color auto="1"/>
      <name val="Times New Roman"/>
    </font>
    <font>
      <b/>
      <sz val="10"/>
      <color auto="1"/>
      <name val="Arial"/>
    </font>
    <font>
      <sz val="12"/>
      <color rgb="FF000000"/>
      <name val="Times New Roman"/>
    </font>
    <font>
      <sz val="10"/>
      <color rgb="FF000000"/>
      <name val="Times New Roman"/>
    </font>
    <font>
      <sz val="11"/>
      <color theme="1"/>
      <name val="Times New Roman"/>
    </font>
    <font>
      <sz val="10"/>
      <color auto="1"/>
      <name val="Verdana"/>
    </font>
    <font>
      <b/>
      <sz val="10"/>
      <color rgb="FFFF0000"/>
      <name val="Verdana"/>
    </font>
    <font>
      <b/>
      <sz val="9"/>
      <color rgb="FFFF0000"/>
      <name val="Verdana"/>
    </font>
    <font>
      <b/>
      <sz val="10"/>
      <color auto="1"/>
      <name val="Verdana"/>
    </font>
    <font>
      <b/>
      <sz val="8"/>
      <color auto="1"/>
      <name val="Verdana"/>
    </font>
    <font>
      <b/>
      <sz val="9"/>
      <color auto="1"/>
      <name val="Verdana"/>
    </font>
    <font>
      <sz val="9"/>
      <color auto="1"/>
      <name val="Tahoma"/>
    </font>
    <font>
      <sz val="10"/>
      <color rgb="FF000000"/>
      <name val="Arial"/>
    </font>
    <font>
      <sz val="10"/>
      <color auto="1"/>
      <name val="Georgia"/>
    </font>
    <font>
      <sz val="10"/>
      <color rgb="FF008080"/>
      <name val="Verdana"/>
    </font>
    <font>
      <i/>
      <sz val="11"/>
      <color rgb="FF7F7F7F"/>
      <name val="Calibri"/>
      <scheme val="minor"/>
    </font>
    <font>
      <i/>
      <sz val="11"/>
      <color rgb="FF808080"/>
      <name val="Calibri"/>
    </font>
    <font>
      <sz val="11"/>
      <color auto="1"/>
      <name val="Arial"/>
    </font>
    <font>
      <sz val="11"/>
      <color rgb="FF006100"/>
      <name val="Calibri"/>
      <scheme val="minor"/>
    </font>
    <font>
      <sz val="11"/>
      <color rgb="FF008000"/>
      <name val="Calibri"/>
    </font>
    <font>
      <b/>
      <sz val="12"/>
      <color rgb="FF808000"/>
      <name val="Georgia"/>
    </font>
    <font>
      <i/>
      <u/>
      <sz val="11"/>
      <color auto="1"/>
      <name val="Tahoma"/>
    </font>
    <font>
      <b/>
      <sz val="12"/>
      <color auto="1"/>
      <name val="Arial"/>
    </font>
    <font>
      <b/>
      <sz val="12"/>
      <color auto="1"/>
      <name val="Georgia"/>
    </font>
    <font>
      <b/>
      <sz val="14"/>
      <color rgb="FFFF6600"/>
      <name val="Georgia"/>
    </font>
    <font>
      <b/>
      <sz val="11"/>
      <color rgb="FFFF6600"/>
      <name val="Georgia"/>
    </font>
    <font>
      <b/>
      <sz val="15"/>
      <color theme="3"/>
      <name val="Calibri"/>
      <scheme val="minor"/>
    </font>
    <font>
      <sz val="18"/>
      <color rgb="FF9999FF"/>
      <name val="Times New Roman"/>
    </font>
    <font>
      <b/>
      <sz val="13"/>
      <color theme="3"/>
      <name val="Calibri"/>
      <scheme val="minor"/>
    </font>
    <font>
      <sz val="8"/>
      <color rgb="FF9999FF"/>
      <name val="Times New Roman"/>
    </font>
    <font>
      <b/>
      <sz val="11"/>
      <color theme="3"/>
      <name val="Calibri"/>
      <scheme val="minor"/>
    </font>
    <font>
      <b/>
      <sz val="11"/>
      <color rgb="FF003366"/>
      <name val="Calibri"/>
    </font>
    <font>
      <u/>
      <sz val="7.5"/>
      <color rgb="FF0000FF"/>
      <name val="Arial"/>
    </font>
    <font>
      <u/>
      <sz val="10"/>
      <color rgb="FF0000FF"/>
      <name val="Arial"/>
    </font>
    <font>
      <u/>
      <sz val="10"/>
      <color rgb="FF0000FF"/>
      <name val="Verdana"/>
    </font>
    <font>
      <u/>
      <sz val="12"/>
      <color theme="10"/>
      <name val="Calibri"/>
      <scheme val="minor"/>
    </font>
    <font>
      <u/>
      <sz val="10"/>
      <color theme="10"/>
      <name val="Arial"/>
    </font>
    <font>
      <i/>
      <sz val="11"/>
      <color auto="1"/>
      <name val="Arial"/>
    </font>
    <font>
      <b/>
      <sz val="10"/>
      <color auto="1"/>
      <name val="Times New Roman"/>
    </font>
    <font>
      <sz val="11"/>
      <color rgb="FF3F3F76"/>
      <name val="Calibri"/>
      <scheme val="minor"/>
    </font>
    <font>
      <sz val="11"/>
      <color rgb="FF333399"/>
      <name val="Calibri"/>
    </font>
    <font>
      <sz val="10"/>
      <color auto="1"/>
      <name val="Times New Roman"/>
    </font>
    <font>
      <sz val="11"/>
      <color rgb="FFFA7D00"/>
      <name val="Calibri"/>
      <scheme val="minor"/>
    </font>
    <font>
      <sz val="11"/>
      <color rgb="FFFF9900"/>
      <name val="Calibri"/>
    </font>
    <font>
      <sz val="10"/>
      <color auto="1"/>
      <name val="MS Sans Serif"/>
    </font>
    <font>
      <sz val="11"/>
      <color rgb="FF9C6500"/>
      <name val="Calibri"/>
      <scheme val="minor"/>
    </font>
    <font>
      <sz val="11"/>
      <color rgb="FF993300"/>
      <name val="Calibri"/>
    </font>
    <font>
      <sz val="7"/>
      <color auto="1"/>
      <name val="Small Fonts"/>
    </font>
    <font>
      <b/>
      <i/>
      <sz val="16"/>
      <color auto="1"/>
      <name val="Helv"/>
    </font>
    <font>
      <sz val="10"/>
      <color auto="1"/>
      <name val="Courier"/>
    </font>
    <font>
      <sz val="11"/>
      <color auto="1"/>
      <name val="Cambria"/>
    </font>
    <font>
      <sz val="12"/>
      <color theme="1"/>
      <name val="Calibri"/>
      <scheme val="minor"/>
    </font>
    <font>
      <sz val="8"/>
      <color auto="1"/>
      <name val="Times New Roman"/>
    </font>
    <font>
      <b/>
      <sz val="11"/>
      <color rgb="FF3F3F3F"/>
      <name val="Calibri"/>
      <scheme val="minor"/>
    </font>
    <font>
      <b/>
      <sz val="11"/>
      <color rgb="FF333333"/>
      <name val="Calibri"/>
    </font>
    <font>
      <sz val="10"/>
      <color rgb="FFFF0000"/>
      <name val="Verdana"/>
    </font>
    <font>
      <b/>
      <sz val="10"/>
      <color auto="1"/>
      <name val="MS Sans Serif"/>
    </font>
    <font>
      <b/>
      <sz val="10"/>
      <color auto="1"/>
      <name val="Helvetica"/>
    </font>
    <font>
      <b/>
      <sz val="10"/>
      <color rgb="FFFF00FF"/>
      <name val="Times New Roman"/>
    </font>
    <font>
      <sz val="10"/>
      <color rgb="FFFF0000"/>
      <name val="Georgia"/>
    </font>
    <font>
      <b/>
      <sz val="10"/>
      <color rgb="FFFF0000"/>
      <name val="Georgia"/>
    </font>
    <font>
      <b/>
      <sz val="10"/>
      <color rgb="FF808000"/>
      <name val="Georgia"/>
    </font>
    <font>
      <b/>
      <u/>
      <sz val="8"/>
      <color auto="1"/>
      <name val="Verdana"/>
    </font>
    <font>
      <b/>
      <sz val="10"/>
      <color rgb="FFFFFFCC"/>
      <name val="Tahoma"/>
    </font>
    <font>
      <sz val="10"/>
      <color auto="1"/>
      <name val="Geneva"/>
    </font>
    <font>
      <b/>
      <sz val="11"/>
      <color auto="1"/>
      <name val="Arial"/>
    </font>
    <font>
      <b/>
      <sz val="11"/>
      <color auto="1"/>
      <name val="Times New Roman"/>
    </font>
    <font>
      <b/>
      <sz val="18"/>
      <color theme="3"/>
      <name val="Cambria"/>
      <scheme val="major"/>
    </font>
    <font>
      <b/>
      <sz val="18"/>
      <color rgb="FF003366"/>
      <name val="Cambria"/>
    </font>
    <font>
      <b/>
      <sz val="11"/>
      <color theme="1"/>
      <name val="Calibri"/>
      <scheme val="minor"/>
    </font>
    <font>
      <sz val="11"/>
      <color rgb="FFFF0000"/>
      <name val="Calibri"/>
      <scheme val="minor"/>
    </font>
    <font>
      <sz val="11"/>
      <color rgb="FFFF0000"/>
      <name val="Calibri"/>
    </font>
    <font>
      <b/>
      <sz val="8"/>
      <color auto="1"/>
      <name val="Arial"/>
    </font>
    <font>
      <sz val="11"/>
      <color theme="1"/>
      <name val="Arial"/>
    </font>
    <font>
      <b/>
      <sz val="10"/>
      <color theme="1"/>
      <name val="Arial"/>
    </font>
    <font>
      <b/>
      <sz val="10"/>
      <color rgb="FFFF0000"/>
      <name val="Arial"/>
    </font>
    <font>
      <b/>
      <sz val="11"/>
      <color theme="1"/>
      <name val="Arial"/>
    </font>
    <font>
      <sz val="10"/>
      <color theme="1"/>
      <name val="Arial"/>
    </font>
    <font>
      <b/>
      <sz val="10"/>
      <color rgb="FF0000FF"/>
      <name val="Arial"/>
    </font>
    <font>
      <sz val="10"/>
      <color rgb="FF0000FF"/>
      <name val="Arial"/>
    </font>
    <font>
      <b/>
      <u/>
      <sz val="10"/>
      <color theme="1"/>
      <name val="Arial"/>
    </font>
    <font>
      <sz val="11"/>
      <color auto="1"/>
      <name val="Calibri"/>
      <scheme val="minor"/>
    </font>
    <font>
      <b/>
      <sz val="11"/>
      <color rgb="FF0000FF"/>
      <name val="Arial"/>
    </font>
    <font>
      <b/>
      <sz val="12"/>
      <color rgb="FFFF0000"/>
      <name val="Arial"/>
    </font>
    <font>
      <b/>
      <sz val="10"/>
      <color rgb="FF008000"/>
      <name val="Arial"/>
    </font>
    <font>
      <sz val="11"/>
      <color rgb="FF0000FF"/>
      <name val="Arial"/>
    </font>
    <font>
      <sz val="8"/>
      <color theme="1"/>
      <name val="Arial"/>
    </font>
    <font>
      <b/>
      <u/>
      <sz val="14"/>
      <color auto="1"/>
      <name val="Arial"/>
    </font>
    <font>
      <b/>
      <sz val="8"/>
      <color rgb="FF0000FF"/>
      <name val="Arial"/>
    </font>
    <font>
      <b/>
      <sz val="8"/>
      <color theme="1"/>
      <name val="Arial"/>
    </font>
    <font>
      <b/>
      <sz val="10"/>
      <color theme="0"/>
      <name val="Arial"/>
    </font>
    <font>
      <b/>
      <sz val="8"/>
      <color rgb="FFFF0000"/>
      <name val="Arial"/>
    </font>
    <font>
      <b/>
      <sz val="8"/>
      <color rgb="FF000000"/>
      <name val="Arial"/>
    </font>
    <font>
      <b/>
      <sz val="9"/>
      <color rgb="FF0000FF"/>
      <name val="Arial"/>
    </font>
    <font>
      <b/>
      <sz val="8"/>
      <color rgb="FFD9D9D9"/>
      <name val="Arial"/>
    </font>
    <font>
      <sz val="10"/>
      <color theme="0"/>
      <name val="Arial"/>
    </font>
    <font>
      <b/>
      <sz val="9"/>
      <color rgb="FFFF0000"/>
      <name val="Calibri"/>
      <scheme val="minor"/>
    </font>
    <font>
      <sz val="9"/>
      <color auto="1"/>
      <name val="Calibri"/>
      <scheme val="minor"/>
    </font>
    <font>
      <b/>
      <sz val="9"/>
      <color auto="1"/>
      <name val="Calibri"/>
      <scheme val="minor"/>
    </font>
    <font>
      <i/>
      <sz val="9"/>
      <color auto="1"/>
      <name val="Calibri"/>
      <scheme val="minor"/>
    </font>
    <font>
      <sz val="10"/>
      <color auto="1"/>
      <name val="Calibri"/>
    </font>
    <font>
      <b/>
      <sz val="20"/>
      <color theme="1"/>
      <name val="Calibri"/>
      <scheme val="minor"/>
    </font>
    <font>
      <b/>
      <sz val="14"/>
      <color auto="1"/>
      <name val="Calibri"/>
      <scheme val="minor"/>
    </font>
    <font>
      <b/>
      <sz val="12"/>
      <color theme="1"/>
      <name val="Calibri"/>
      <scheme val="minor"/>
    </font>
    <font>
      <b/>
      <i/>
      <u/>
      <sz val="13"/>
      <color theme="1"/>
      <name val="Calibri"/>
      <scheme val="minor"/>
    </font>
    <font>
      <b/>
      <i/>
      <u/>
      <sz val="13"/>
      <color auto="1"/>
      <name val="Calibri"/>
      <scheme val="minor"/>
    </font>
    <font>
      <b/>
      <sz val="12"/>
      <color auto="1"/>
      <name val="Calibri"/>
      <scheme val="minor"/>
    </font>
    <font>
      <b/>
      <sz val="12"/>
      <color rgb="FF0000FF"/>
      <name val="Calibri"/>
      <scheme val="minor"/>
    </font>
    <font>
      <sz val="12"/>
      <color auto="1"/>
      <name val="Calibri"/>
      <scheme val="minor"/>
    </font>
    <font>
      <sz val="12"/>
      <color rgb="FF0000FF"/>
      <name val="Calibri"/>
      <scheme val="minor"/>
    </font>
    <font>
      <sz val="12"/>
      <color rgb="FF0000CC"/>
      <name val="Calibri"/>
      <scheme val="minor"/>
    </font>
    <font>
      <sz val="11"/>
      <color rgb="FF0000FF"/>
      <name val="Calibri"/>
      <scheme val="minor"/>
    </font>
    <font>
      <u/>
      <sz val="12"/>
      <color theme="1"/>
      <name val="Calibri"/>
      <scheme val="minor"/>
    </font>
    <font>
      <sz val="12"/>
      <color theme="2" tint="-0.9"/>
      <name val="Calibri"/>
      <scheme val="minor"/>
    </font>
    <font>
      <b/>
      <i/>
      <sz val="11"/>
      <color rgb="FFC00000"/>
      <name val="Calibri"/>
      <scheme val="minor"/>
    </font>
    <font>
      <sz val="12"/>
      <color rgb="FFC00000"/>
      <name val="Calibri"/>
      <scheme val="minor"/>
    </font>
    <font>
      <i/>
      <sz val="9"/>
      <color rgb="FF0000FF"/>
      <name val="Calibri"/>
      <scheme val="minor"/>
    </font>
    <font>
      <i/>
      <sz val="12"/>
      <color theme="1"/>
      <name val="Calibri"/>
      <scheme val="minor"/>
    </font>
    <font>
      <i/>
      <u/>
      <sz val="13"/>
      <color theme="1"/>
      <name val="Calibri"/>
      <scheme val="minor"/>
    </font>
    <font>
      <b/>
      <u/>
      <sz val="11"/>
      <color theme="1"/>
      <name val="Calibri"/>
      <scheme val="minor"/>
    </font>
    <font>
      <sz val="10"/>
      <color theme="1"/>
      <name val="Calibri"/>
      <scheme val="minor"/>
    </font>
    <font>
      <sz val="10"/>
      <color rgb="FF0000FF"/>
      <name val="Calibri"/>
      <scheme val="minor"/>
    </font>
    <font>
      <b/>
      <sz val="11"/>
      <color theme="4"/>
      <name val="Calibri"/>
      <scheme val="minor"/>
    </font>
    <font>
      <b/>
      <sz val="11"/>
      <color rgb="FF000000"/>
      <name val="Calibri"/>
      <scheme val="minor"/>
    </font>
    <font>
      <b/>
      <u/>
      <sz val="14"/>
      <color rgb="FFC00000"/>
      <name val="Calibri"/>
      <scheme val="minor"/>
    </font>
    <font>
      <sz val="16"/>
      <color theme="1"/>
      <name val="Arial"/>
    </font>
    <font>
      <b/>
      <sz val="14"/>
      <color theme="1"/>
      <name val="Arial"/>
    </font>
    <font>
      <b/>
      <i/>
      <sz val="14"/>
      <color theme="1"/>
      <name val="Arial"/>
    </font>
    <font>
      <sz val="8"/>
      <color theme="1"/>
      <name val="Calibri"/>
      <scheme val="minor"/>
    </font>
    <font>
      <b/>
      <sz val="11"/>
      <color auto="1"/>
      <name val="Calibri"/>
      <scheme val="minor"/>
    </font>
    <font>
      <sz val="9"/>
      <color theme="1"/>
      <name val="Calibri"/>
      <scheme val="minor"/>
    </font>
    <font>
      <b/>
      <u/>
      <sz val="8"/>
      <color theme="1"/>
      <name val="Arial"/>
    </font>
    <font>
      <sz val="8"/>
      <color rgb="FF0000FF"/>
      <name val="Arial"/>
    </font>
    <font>
      <u/>
      <sz val="8"/>
      <color theme="1"/>
      <name val="Arial"/>
    </font>
    <font>
      <b/>
      <sz val="11"/>
      <color rgb="FF0000FF"/>
      <name val="Calibri"/>
      <scheme val="minor"/>
    </font>
    <font>
      <sz val="11"/>
      <color rgb="FF000000"/>
      <name val="Calibri"/>
      <scheme val="minor"/>
    </font>
    <font>
      <i/>
      <sz val="11"/>
      <color theme="1"/>
      <name val="Calibri"/>
      <scheme val="minor"/>
    </font>
    <font>
      <i/>
      <sz val="8"/>
      <color rgb="FF1D1C1D"/>
      <name val="Arial"/>
    </font>
    <font>
      <sz val="16"/>
      <color rgb="FF0000FF"/>
      <name val="Calibri"/>
      <scheme val="minor"/>
    </font>
    <font>
      <sz val="16"/>
      <color theme="1"/>
      <name val="Calibri"/>
      <scheme val="minor"/>
    </font>
    <font>
      <b/>
      <sz val="8"/>
      <color rgb="FF000080"/>
      <name val="Verdana"/>
    </font>
    <font>
      <b/>
      <sz val="8"/>
      <color rgb="FF000000"/>
      <name val="Verdana"/>
    </font>
    <font>
      <b/>
      <sz val="8"/>
      <color theme="1"/>
      <name val="Verdana"/>
    </font>
    <font>
      <sz val="11"/>
      <color rgb="FFC00000"/>
      <name val="Calibri"/>
      <scheme val="minor"/>
    </font>
    <font>
      <sz val="12"/>
      <color rgb="FF000000"/>
      <name val="Calibri"/>
    </font>
    <font>
      <sz val="10"/>
      <color auto="1"/>
      <name val="Source Sans Pro"/>
    </font>
    <font>
      <i/>
      <sz val="9"/>
      <color auto="1"/>
      <name val="Source Sans Pro"/>
    </font>
    <font>
      <b/>
      <sz val="10"/>
      <color auto="1"/>
      <name val="Source Sans Pro"/>
    </font>
    <font>
      <strike/>
      <sz val="10"/>
      <color rgb="FFFF0000"/>
      <name val="Source Sans Pro"/>
    </font>
    <font>
      <sz val="9"/>
      <color auto="1"/>
      <name val="Source Sans Pro"/>
    </font>
    <font>
      <i/>
      <sz val="10"/>
      <color auto="1"/>
      <name val="Source Sans Pro"/>
    </font>
    <font>
      <b/>
      <i/>
      <sz val="10"/>
      <color auto="1"/>
      <name val="Source Sans Pro"/>
    </font>
    <font>
      <b/>
      <sz val="12"/>
      <color rgb="FFFF0000"/>
      <name val="Source Sans Pro"/>
    </font>
    <font>
      <sz val="8"/>
      <color auto="1"/>
      <name val="Calibri"/>
      <scheme val="minor"/>
    </font>
    <font>
      <b/>
      <sz val="9"/>
      <color theme="1"/>
      <name val="Calibri"/>
      <scheme val="minor"/>
    </font>
    <font>
      <sz val="9"/>
      <color rgb="FF0000FF"/>
      <name val="Calibri"/>
      <scheme val="minor"/>
    </font>
    <font>
      <b/>
      <sz val="9"/>
      <color theme="0"/>
      <name val="Calibri"/>
      <scheme val="minor"/>
    </font>
    <font>
      <sz val="9"/>
      <color theme="0"/>
      <name val="Calibri"/>
      <scheme val="minor"/>
    </font>
    <font>
      <u/>
      <sz val="9"/>
      <color rgb="FF0000FF"/>
      <name val="Calibri"/>
      <scheme val="minor"/>
    </font>
    <font>
      <b/>
      <sz val="9"/>
      <color rgb="FF0000FF"/>
      <name val="Calibri"/>
      <scheme val="minor"/>
    </font>
    <font>
      <b/>
      <sz val="9"/>
      <color auto="1"/>
      <name val="Source Sans Pro"/>
    </font>
    <font>
      <b/>
      <sz val="10"/>
      <color auto="1"/>
      <name val="Calibri"/>
      <scheme val="minor"/>
    </font>
    <font>
      <b/>
      <sz val="10"/>
      <color theme="1"/>
      <name val="Calibri"/>
      <scheme val="minor"/>
    </font>
    <font>
      <sz val="10"/>
      <color auto="1"/>
      <name val="Calibri"/>
      <scheme val="minor"/>
    </font>
    <font>
      <b/>
      <sz val="8"/>
      <color theme="1"/>
      <name val="Calibri"/>
      <scheme val="minor"/>
    </font>
    <font>
      <sz val="11"/>
      <color rgb="FFD1D2D3"/>
      <name val="Arial"/>
    </font>
    <font>
      <sz val="8"/>
      <color theme="0"/>
      <name val="Calibri"/>
      <scheme val="minor"/>
    </font>
    <font>
      <b/>
      <i/>
      <sz val="9"/>
      <color auto="1"/>
      <name val="Calibri"/>
      <scheme val="minor"/>
    </font>
    <font>
      <sz val="8"/>
      <color theme="0" tint="-0.35"/>
      <name val="Calibri"/>
      <scheme val="minor"/>
    </font>
    <font>
      <sz val="9"/>
      <color theme="5" tint="-0.25"/>
      <name val="Calibri"/>
      <scheme val="minor"/>
    </font>
    <font>
      <sz val="11"/>
      <color theme="5"/>
      <name val="Calibri"/>
      <scheme val="minor"/>
    </font>
    <font>
      <b/>
      <sz val="12"/>
      <color theme="0"/>
      <name val="Calibri"/>
      <scheme val="minor"/>
    </font>
    <font>
      <b/>
      <sz val="12"/>
      <color theme="0"/>
      <name val="Arial"/>
    </font>
    <font>
      <b/>
      <sz val="14"/>
      <color theme="0"/>
      <name val="Arial"/>
    </font>
    <font>
      <sz val="16"/>
      <color theme="0"/>
      <name val="Arial"/>
    </font>
    <font>
      <b/>
      <u/>
      <sz val="22"/>
      <color theme="1"/>
      <name val="Calibri"/>
      <scheme val="minor"/>
    </font>
    <font>
      <sz val="11"/>
      <color rgb="FFFFFFFF"/>
      <name val="Calibri"/>
      <scheme val="minor"/>
    </font>
    <font>
      <sz val="11"/>
      <color theme="2" tint="-0.75"/>
      <name val="Calibri"/>
      <scheme val="minor"/>
    </font>
    <font>
      <b/>
      <sz val="12"/>
      <color rgb="FF41B6E6"/>
      <name val="Calibri"/>
      <scheme val="minor"/>
    </font>
    <font>
      <b/>
      <sz val="12"/>
      <color rgb="FF002A4E"/>
      <name val="Calibri"/>
      <scheme val="minor"/>
    </font>
    <font>
      <b/>
      <sz val="11"/>
      <color rgb="FF636462"/>
      <name val="Calibri"/>
      <scheme val="minor"/>
    </font>
    <font>
      <sz val="11"/>
      <color auto="1"/>
      <name val="Times New Roman"/>
    </font>
    <font>
      <b/>
      <sz val="11"/>
      <color theme="1"/>
      <name val="Times New Roman"/>
    </font>
    <font>
      <sz val="11"/>
      <color rgb="FF0000FF"/>
      <name val="Times New Roman"/>
    </font>
    <font>
      <b/>
      <sz val="12"/>
      <color theme="1"/>
      <name val="Times New Roman"/>
    </font>
    <font>
      <i/>
      <sz val="11"/>
      <color theme="1"/>
      <name val="Times New Roman"/>
    </font>
    <font>
      <b/>
      <u/>
      <sz val="11"/>
      <color theme="1"/>
      <name val="Times New Roman"/>
    </font>
    <font>
      <u/>
      <sz val="11"/>
      <color theme="1"/>
      <name val="Times New Roman"/>
    </font>
    <font>
      <b/>
      <sz val="8"/>
      <color rgb="FF0000FF"/>
      <name val="Calibri"/>
      <scheme val="minor"/>
    </font>
    <font>
      <b/>
      <sz val="10"/>
      <color rgb="FF000000"/>
      <name val="Arial"/>
    </font>
    <font>
      <sz val="10"/>
      <color theme="0"/>
      <name val="Calibri"/>
      <scheme val="minor"/>
    </font>
    <font>
      <b/>
      <sz val="10"/>
      <color theme="0"/>
      <name val="Calibri"/>
      <scheme val="minor"/>
    </font>
    <font>
      <u/>
      <sz val="8"/>
      <color theme="1"/>
      <name val="Calibri"/>
      <scheme val="minor"/>
    </font>
    <font>
      <b/>
      <u/>
      <sz val="10"/>
      <color theme="1"/>
      <name val="Calibri"/>
      <scheme val="minor"/>
    </font>
    <font>
      <b/>
      <sz val="10"/>
      <color rgb="FF008000"/>
      <name val="Calibri"/>
      <scheme val="minor"/>
    </font>
    <font>
      <b/>
      <sz val="10"/>
      <color rgb="FFFF0000"/>
      <name val="Calibri"/>
      <scheme val="minor"/>
    </font>
    <font>
      <b/>
      <sz val="10"/>
      <color rgb="FF0000FF"/>
      <name val="Calibri"/>
      <scheme val="minor"/>
    </font>
    <font>
      <i/>
      <sz val="10"/>
      <color theme="1"/>
      <name val="Calibri"/>
      <scheme val="minor"/>
    </font>
    <font>
      <b/>
      <i/>
      <sz val="10"/>
      <color auto="1"/>
      <name val="Calibri"/>
      <scheme val="minor"/>
    </font>
    <font>
      <b/>
      <i/>
      <sz val="10"/>
      <color theme="1"/>
      <name val="Calibri"/>
      <scheme val="minor"/>
    </font>
    <font>
      <b/>
      <i/>
      <sz val="10"/>
      <color theme="0"/>
      <name val="Calibri"/>
      <scheme val="minor"/>
    </font>
    <font>
      <i/>
      <sz val="11"/>
      <color auto="1"/>
      <name val="Calibri"/>
      <scheme val="minor"/>
    </font>
    <font>
      <b/>
      <i/>
      <sz val="11"/>
      <color auto="1"/>
      <name val="Calibri"/>
      <scheme val="minor"/>
    </font>
    <font>
      <sz val="10"/>
      <color rgb="FF000000"/>
      <name val="Calibri"/>
      <scheme val="minor"/>
    </font>
    <font>
      <b/>
      <sz val="8"/>
      <color theme="0"/>
      <name val="Calibri"/>
      <scheme val="minor"/>
    </font>
    <font>
      <b/>
      <sz val="10"/>
      <color rgb="FF000000"/>
      <name val="Calibri"/>
      <scheme val="minor"/>
    </font>
    <font>
      <b/>
      <sz val="16"/>
      <color auto="1"/>
      <name val="Calibri"/>
      <scheme val="minor"/>
    </font>
    <font>
      <b/>
      <sz val="16"/>
      <color auto="1"/>
      <name val="Arial"/>
    </font>
    <font>
      <sz val="28"/>
      <color theme="1"/>
      <name val="Brush Script Std"/>
    </font>
    <font>
      <u/>
      <sz val="11"/>
      <color rgb="FF0000FF"/>
      <name val="Calibri"/>
      <scheme val="minor"/>
    </font>
    <font>
      <sz val="9"/>
      <color auto="1"/>
      <name val="Arial"/>
    </font>
    <font>
      <b/>
      <sz val="9"/>
      <color auto="1"/>
      <name val="Arial"/>
    </font>
    <font>
      <sz val="12"/>
      <color auto="1"/>
      <name val="Arial"/>
    </font>
    <font>
      <sz val="11"/>
      <color theme="1"/>
      <name val="Calibri"/>
    </font>
    <font>
      <sz val="10"/>
      <color rgb="FF000000"/>
      <name val="Calibri"/>
    </font>
    <font>
      <sz val="9"/>
      <color rgb="FF000000"/>
      <name val="Calibri"/>
    </font>
    <font>
      <sz val="18"/>
      <color rgb="FFFFFFFF"/>
      <name val="Calibri"/>
    </font>
    <font>
      <b/>
      <sz val="8"/>
      <color theme="0" tint="-0.25"/>
      <name val="Arial"/>
    </font>
    <font>
      <sz val="11"/>
      <color theme="9" tint="-0.25"/>
      <name val="Calibri"/>
      <scheme val="minor"/>
    </font>
    <font>
      <sz val="8"/>
      <color rgb="FF0000FF"/>
      <name val="Calibri"/>
      <scheme val="minor"/>
    </font>
    <font>
      <sz val="11"/>
      <color theme="9" tint="0.4"/>
      <name val="Calibri"/>
      <scheme val="minor"/>
    </font>
    <font>
      <sz val="12"/>
      <color rgb="FF000000"/>
      <name val="Calibri"/>
      <scheme val="minor"/>
    </font>
    <font>
      <sz val="8"/>
      <color theme="0" tint="-0.25"/>
      <name val="Calibri"/>
      <scheme val="minor"/>
    </font>
    <font>
      <sz val="11"/>
      <color theme="0" tint="-0.25"/>
      <name val="Calibri"/>
      <scheme val="minor"/>
    </font>
    <font>
      <sz val="9"/>
      <color theme="0" tint="-0.15"/>
      <name val="Calibri"/>
      <scheme val="minor"/>
    </font>
    <font>
      <b/>
      <sz val="13"/>
      <color rgb="FFFFFFFF"/>
      <name val="Calibri"/>
      <scheme val="minor"/>
    </font>
    <font>
      <b/>
      <sz val="10"/>
      <color rgb="FFFFFFFF"/>
      <name val="Calibri"/>
      <scheme val="minor"/>
    </font>
    <font>
      <b/>
      <sz val="9"/>
      <color rgb="FFFFFFFF"/>
      <name val="Calibri"/>
      <scheme val="minor"/>
    </font>
    <font>
      <b/>
      <sz val="8"/>
      <color theme="0" tint="-0.35"/>
      <name val="Arial"/>
    </font>
    <font>
      <u/>
      <sz val="11"/>
      <color auto="1"/>
      <name val="Calibri"/>
      <scheme val="minor"/>
    </font>
    <font>
      <u/>
      <sz val="9"/>
      <color auto="1"/>
      <name val="Calibri"/>
      <scheme val="minor"/>
    </font>
    <font>
      <b/>
      <sz val="16"/>
      <color theme="1"/>
      <name val="Calibri"/>
      <scheme val="minor"/>
    </font>
    <font>
      <b/>
      <sz val="11"/>
      <color theme="0" tint="-0.15"/>
      <name val="Calibri"/>
      <scheme val="minor"/>
    </font>
    <font>
      <sz val="11"/>
      <color theme="0" tint="-0.15"/>
      <name val="Calibri"/>
      <scheme val="minor"/>
    </font>
    <font>
      <sz val="11"/>
      <color theme="0" tint="-0.35"/>
      <name val="Calibri"/>
      <scheme val="minor"/>
    </font>
    <font>
      <b/>
      <sz val="11"/>
      <color theme="0" tint="-0.35"/>
      <name val="Calibri"/>
      <scheme val="minor"/>
    </font>
    <font>
      <sz val="8"/>
      <color auto="1"/>
      <name val="Consolas"/>
    </font>
    <font>
      <u/>
      <sz val="11"/>
      <color theme="1"/>
      <name val="Calibri"/>
      <scheme val="minor"/>
    </font>
    <font>
      <sz val="10"/>
      <color theme="1"/>
      <name val="Consolas"/>
    </font>
    <font>
      <sz val="8"/>
      <color theme="1"/>
      <name val="Consolas"/>
    </font>
    <font>
      <sz val="11"/>
      <color theme="1"/>
      <name val="Consolas"/>
    </font>
    <font>
      <b/>
      <sz val="11"/>
      <color rgb="FF0099CC"/>
      <name val="Calibri"/>
      <scheme val="minor"/>
    </font>
    <font>
      <sz val="8"/>
      <color rgb="FF0099CC"/>
      <name val="Calibri"/>
      <scheme val="minor"/>
    </font>
    <font>
      <sz val="11"/>
      <color rgb="FF444444"/>
      <name val="Roboto"/>
    </font>
    <font>
      <b/>
      <sz val="24"/>
      <color rgb="FF002A4E"/>
      <name val="Times New Roman"/>
    </font>
    <font>
      <b/>
      <sz val="11"/>
      <color theme="4" tint="-0.5"/>
      <name val="Calibri"/>
      <scheme val="minor"/>
    </font>
    <font>
      <b/>
      <sz val="11"/>
      <color rgb="FF002A4E"/>
      <name val="Calibri"/>
      <scheme val="minor"/>
    </font>
    <font>
      <sz val="11"/>
      <color rgb="FF000000"/>
      <name val="Arial"/>
    </font>
    <font>
      <sz val="8"/>
      <color rgb="FFFFFFFF"/>
      <name val="Calibri"/>
      <scheme val="minor"/>
    </font>
    <font>
      <sz val="10"/>
      <color rgb="FFFFFFFF"/>
      <name val="Calibri"/>
      <scheme val="minor"/>
    </font>
    <font>
      <sz val="10"/>
      <color theme="0" tint="-0.5"/>
      <name val="Arial"/>
    </font>
    <font>
      <sz val="9"/>
      <color theme="0" tint="-0.15"/>
      <name val="Arial"/>
    </font>
    <font>
      <sz val="11"/>
      <color theme="0" tint="-0.5"/>
      <name val="Calibri"/>
      <scheme val="minor"/>
    </font>
    <font>
      <sz val="10"/>
      <color theme="5" tint="-0.25"/>
      <name val="Calibri"/>
      <scheme val="minor"/>
    </font>
    <font>
      <sz val="10"/>
      <color theme="3" tint="-0.25"/>
      <name val="Calibri"/>
      <scheme val="minor"/>
    </font>
    <font>
      <b/>
      <u/>
      <sz val="14"/>
      <color rgb="FF689F38"/>
      <name val="Arial"/>
    </font>
    <font>
      <sz val="16"/>
      <color auto="1"/>
      <name val="Calibri"/>
      <scheme val="minor"/>
    </font>
    <font>
      <b/>
      <u/>
      <sz val="16"/>
      <color theme="0"/>
      <name val="Calibri"/>
      <scheme val="minor"/>
    </font>
    <font>
      <b/>
      <sz val="11"/>
      <color rgb="FFFF0000"/>
      <name val="Calibri"/>
      <scheme val="minor"/>
    </font>
    <font>
      <sz val="11"/>
      <color theme="3" tint="-0.25"/>
      <name val="Calibri"/>
      <scheme val="minor"/>
    </font>
    <font>
      <sz val="16"/>
      <color theme="0"/>
      <name val="Calibri"/>
      <scheme val="minor"/>
    </font>
    <font>
      <b/>
      <i/>
      <sz val="11"/>
      <color rgb="FF0000FF"/>
      <name val="Calibri"/>
      <scheme val="minor"/>
    </font>
    <font>
      <sz val="11"/>
      <color theme="0"/>
      <name val="Calibri"/>
    </font>
    <font>
      <i/>
      <sz val="11"/>
      <color theme="1"/>
      <name val="Calibri"/>
    </font>
    <font>
      <sz val="10"/>
      <color rgb="FF0099CC"/>
      <name val="Calibri"/>
      <scheme val="minor"/>
    </font>
    <font>
      <b/>
      <sz val="8"/>
      <color rgb="FF0099CC"/>
      <name val="Arial"/>
    </font>
    <font>
      <sz val="7.5"/>
      <color theme="1"/>
      <name val="Calibri"/>
      <scheme val="minor"/>
    </font>
    <font>
      <sz val="9"/>
      <color theme="0" tint="-0.25"/>
      <name val="Calibri"/>
      <scheme val="minor"/>
    </font>
    <font>
      <b/>
      <sz val="18"/>
      <color theme="1"/>
      <name val="Calibri"/>
      <scheme val="minor"/>
    </font>
    <font>
      <strike/>
      <sz val="11"/>
      <color theme="1"/>
      <name val="Calibri"/>
      <scheme val="minor"/>
    </font>
    <font>
      <strike/>
      <sz val="11"/>
      <color auto="1"/>
      <name val="Calibri"/>
      <scheme val="minor"/>
    </font>
    <font>
      <b/>
      <sz val="16"/>
      <color theme="1"/>
      <name val="Arial"/>
    </font>
    <font>
      <u/>
      <sz val="22"/>
      <color rgb="FF0000FF"/>
      <name val="Arial"/>
    </font>
    <font>
      <sz val="10"/>
      <color theme="0" tint="-0.35"/>
      <name val="Arial"/>
    </font>
    <font>
      <b/>
      <sz val="9"/>
      <color theme="1"/>
      <name val="Arial"/>
    </font>
    <font>
      <b/>
      <sz val="9"/>
      <color theme="1"/>
      <name val="Calibri"/>
    </font>
    <font>
      <b/>
      <sz val="12"/>
      <color theme="1"/>
      <name val="Arial"/>
    </font>
    <font>
      <sz val="24"/>
      <color rgb="FFFF0000"/>
      <name val="Arial"/>
    </font>
    <font>
      <sz val="10"/>
      <color rgb="FFFF0000"/>
      <name val="Arial"/>
    </font>
    <font>
      <sz val="11"/>
      <color theme="0"/>
      <name val="Arial"/>
    </font>
    <font>
      <b/>
      <sz val="10"/>
      <color theme="3" tint="-0.25"/>
      <name val="Arial"/>
    </font>
    <font>
      <sz val="10"/>
      <color theme="3" tint="-0.25"/>
      <name val="Arial"/>
    </font>
    <font>
      <i/>
      <sz val="11"/>
      <color rgb="FFFFFFFF"/>
      <name val="Calibri"/>
    </font>
    <font>
      <b/>
      <sz val="10"/>
      <color rgb="FFFFFF00"/>
      <name val="Calibri"/>
      <scheme val="minor"/>
    </font>
    <font>
      <b/>
      <sz val="14"/>
      <color theme="1"/>
      <name val="Calibri"/>
      <scheme val="minor"/>
    </font>
    <font>
      <b/>
      <sz val="10"/>
      <color theme="0" tint="-0.35"/>
      <name val="Calibri"/>
      <scheme val="minor"/>
    </font>
    <font>
      <sz val="8"/>
      <color rgb="FF000000"/>
      <name val="Calibri"/>
      <scheme val="minor"/>
    </font>
    <font>
      <b/>
      <sz val="5.5"/>
      <color rgb="FF000000"/>
      <name val="Calibri"/>
    </font>
    <font>
      <sz val="5.5"/>
      <color auto="1"/>
      <name val="Calibri"/>
    </font>
    <font>
      <sz val="5.5"/>
      <color rgb="FF000000"/>
      <name val="Calibri"/>
    </font>
    <font>
      <b/>
      <sz val="5.5"/>
      <color auto="1"/>
      <name val="Calibri"/>
    </font>
    <font>
      <sz val="10"/>
      <color theme="0" tint="-0.35"/>
      <name val="Calibri"/>
      <scheme val="minor"/>
    </font>
    <font>
      <sz val="10"/>
      <color theme="0"/>
      <name val="Times New Roman"/>
    </font>
    <font>
      <b/>
      <sz val="5.5"/>
      <color rgb="FFFFFFFF"/>
      <name val="Calibri"/>
    </font>
    <font>
      <b/>
      <sz val="5.5"/>
      <color theme="0"/>
      <name val="Calibri"/>
    </font>
    <font>
      <sz val="9"/>
      <color rgb="FF000000"/>
      <name val="Times New Roman"/>
    </font>
    <font>
      <b/>
      <sz val="8"/>
      <color rgb="FFFFFFFF"/>
      <name val="Calibri"/>
    </font>
    <font>
      <b/>
      <sz val="8"/>
      <color auto="1"/>
      <name val="Calibri"/>
    </font>
    <font>
      <sz val="10"/>
      <color rgb="FFFF0000"/>
      <name val="Calibri"/>
      <scheme val="minor"/>
    </font>
    <font>
      <b/>
      <u/>
      <sz val="14"/>
      <color rgb="FF0000FF"/>
      <name val="Calibri"/>
      <scheme val="minor"/>
    </font>
    <font>
      <u/>
      <sz val="14"/>
      <color rgb="FF0000FF"/>
      <name val="Arial"/>
    </font>
    <font>
      <b/>
      <i/>
      <sz val="13"/>
      <color theme="1"/>
      <name val="Calibri"/>
      <scheme val="minor"/>
    </font>
    <font>
      <sz val="11.5"/>
      <color rgb="FF0000FF"/>
      <name val="Calibri"/>
      <scheme val="minor"/>
    </font>
    <font>
      <sz val="9"/>
      <color theme="2" tint="-0.5"/>
      <name val="Calibri"/>
      <scheme val="minor"/>
    </font>
    <font>
      <b/>
      <sz val="12"/>
      <color theme="3" tint="-0.25"/>
      <name val="Arial"/>
    </font>
    <font>
      <b/>
      <sz val="11"/>
      <color rgb="FFC00000"/>
      <name val="Arial"/>
    </font>
    <font>
      <sz val="9"/>
      <color theme="0" tint="-0.35"/>
      <name val="Calibri"/>
      <scheme val="minor"/>
    </font>
    <font>
      <sz val="11"/>
      <color theme="0" tint="-0.05"/>
      <name val="Calibri"/>
      <scheme val="minor"/>
    </font>
    <font>
      <sz val="9"/>
      <color theme="0" tint="-0.05"/>
      <name val="Calibri"/>
      <scheme val="minor"/>
    </font>
    <font>
      <sz val="9"/>
      <color theme="0"/>
      <name val="Calibri"/>
    </font>
    <font>
      <sz val="18"/>
      <color theme="0"/>
      <name val="Arial"/>
    </font>
    <font>
      <b/>
      <sz val="18"/>
      <color theme="0"/>
      <name val="Calibri"/>
      <scheme val="minor"/>
    </font>
    <font>
      <b/>
      <sz val="10"/>
      <color theme="1" tint="0.35"/>
      <name val="Calibri"/>
      <scheme val="minor"/>
    </font>
    <font>
      <b/>
      <sz val="18"/>
      <color rgb="FFFFFFFF"/>
      <name val="Calibri"/>
    </font>
    <font>
      <b/>
      <sz val="12"/>
      <color rgb="FF000000"/>
      <name val="Calibri"/>
    </font>
    <font>
      <b/>
      <sz val="7.5"/>
      <color rgb="FF0070C0"/>
      <name val="Calibri"/>
    </font>
    <font>
      <b/>
      <sz val="7.5"/>
      <color auto="1"/>
      <name val="Calibri"/>
    </font>
    <font>
      <sz val="6.5"/>
      <color auto="1"/>
      <name val="Calibri"/>
    </font>
    <font>
      <sz val="8"/>
      <color rgb="FF000000"/>
      <name val="Calibri"/>
    </font>
    <font>
      <i/>
      <sz val="9"/>
      <color theme="2" tint="-0.5"/>
      <name val="Calibri"/>
      <scheme val="minor"/>
    </font>
    <font>
      <b/>
      <sz val="18"/>
      <color rgb="FF41B6E6"/>
      <name val="Calibri"/>
      <scheme val="minor"/>
    </font>
    <font>
      <b/>
      <i/>
      <u/>
      <sz val="11"/>
      <color theme="1"/>
      <name val="Times New Roman"/>
    </font>
    <font>
      <sz val="10"/>
      <color theme="1"/>
      <name val="Times New Roman"/>
    </font>
    <font>
      <i/>
      <sz val="12"/>
      <color theme="1"/>
      <name val="Times New Roman"/>
    </font>
    <font>
      <b/>
      <u/>
      <sz val="14"/>
      <color theme="1"/>
      <name val="Times New Roman"/>
    </font>
    <font>
      <b/>
      <u/>
      <sz val="11"/>
      <color auto="1"/>
      <name val="Times New Roman"/>
    </font>
    <font>
      <b/>
      <sz val="11"/>
      <color theme="0"/>
      <name val="Arial"/>
    </font>
    <font>
      <i/>
      <u/>
      <sz val="9"/>
      <color theme="10"/>
      <name val="Source Sans Pro"/>
    </font>
    <font>
      <sz val="8"/>
      <color auto="1"/>
      <name val="Source Sans Pro"/>
    </font>
    <font>
      <sz val="10"/>
      <color rgb="FF0000FF"/>
      <name val="Source Sans Pro"/>
    </font>
    <font>
      <i/>
      <sz val="11"/>
      <color rgb="FF0000FF"/>
      <name val="Calibri"/>
      <scheme val="minor"/>
    </font>
    <font>
      <b/>
      <sz val="11"/>
      <color rgb="FF000000"/>
      <name val="Calibri"/>
    </font>
    <font>
      <sz val="10"/>
      <color auto="1"/>
      <name val="Calibri"/>
      <scheme val="minor"/>
    </font>
    <font>
      <sz val="10"/>
      <color auto="1"/>
      <name val="Calibri"/>
      <scheme val="minor"/>
    </font>
    <font>
      <b/>
      <sz val="10"/>
      <color auto="1"/>
      <name val="Arial"/>
    </font>
    <font>
      <sz val="10"/>
      <color auto="1"/>
      <name val="Arial"/>
    </font>
    <font>
      <b/>
      <sz val="8"/>
      <color auto="1"/>
      <name val="Arial"/>
    </font>
    <font>
      <sz val="10"/>
      <color auto="1"/>
      <name val="Arial"/>
    </font>
  </fonts>
  <fills count="116">
    <fill>
      <patternFill patternType="none"/>
    </fill>
    <fill>
      <patternFill patternType="gray125"/>
    </fill>
    <fill>
      <patternFill patternType="solid">
        <fgColor theme="4" tint="0.8"/>
      </patternFill>
    </fill>
    <fill>
      <patternFill patternType="solid">
        <fgColor rgb="FFCCCCFF"/>
      </patternFill>
    </fill>
    <fill>
      <patternFill patternType="solid">
        <fgColor theme="5" tint="0.8"/>
      </patternFill>
    </fill>
    <fill>
      <patternFill patternType="solid">
        <fgColor rgb="FFFF99CC"/>
      </patternFill>
    </fill>
    <fill>
      <patternFill patternType="solid">
        <fgColor theme="6" tint="0.8"/>
      </patternFill>
    </fill>
    <fill>
      <patternFill patternType="solid">
        <fgColor rgb="FFCCFFCC"/>
      </patternFill>
    </fill>
    <fill>
      <patternFill patternType="solid">
        <fgColor theme="7" tint="0.8"/>
      </patternFill>
    </fill>
    <fill>
      <patternFill patternType="solid">
        <fgColor rgb="FFCC99FF"/>
      </patternFill>
    </fill>
    <fill>
      <patternFill patternType="solid">
        <fgColor theme="8" tint="0.8"/>
      </patternFill>
    </fill>
    <fill>
      <patternFill patternType="solid">
        <fgColor rgb="FFCCFFFF"/>
      </patternFill>
    </fill>
    <fill>
      <patternFill patternType="solid">
        <fgColor theme="9" tint="0.8"/>
      </patternFill>
    </fill>
    <fill>
      <patternFill patternType="solid">
        <fgColor rgb="FFFFCC99"/>
      </patternFill>
    </fill>
    <fill>
      <patternFill patternType="solid">
        <fgColor theme="4" tint="0.6"/>
      </patternFill>
    </fill>
    <fill>
      <patternFill patternType="solid">
        <fgColor rgb="FF99CCFF"/>
      </patternFill>
    </fill>
    <fill>
      <patternFill patternType="solid">
        <fgColor theme="5" tint="0.6"/>
      </patternFill>
    </fill>
    <fill>
      <patternFill patternType="solid">
        <fgColor rgb="FFFF8080"/>
      </patternFill>
    </fill>
    <fill>
      <patternFill patternType="solid">
        <fgColor theme="6" tint="0.6"/>
      </patternFill>
    </fill>
    <fill>
      <patternFill patternType="solid">
        <fgColor rgb="FF00FF00"/>
      </patternFill>
    </fill>
    <fill>
      <patternFill patternType="solid">
        <fgColor theme="7" tint="0.6"/>
      </patternFill>
    </fill>
    <fill>
      <patternFill patternType="solid">
        <fgColor theme="8" tint="0.6"/>
      </patternFill>
    </fill>
    <fill>
      <patternFill patternType="solid">
        <fgColor theme="9" tint="0.6"/>
      </patternFill>
    </fill>
    <fill>
      <patternFill patternType="solid">
        <fgColor rgb="FFFFCC00"/>
      </patternFill>
    </fill>
    <fill>
      <patternFill patternType="solid">
        <fgColor theme="4" tint="0.4"/>
      </patternFill>
    </fill>
    <fill>
      <patternFill patternType="solid">
        <fgColor rgb="FF0066CC"/>
      </patternFill>
    </fill>
    <fill>
      <patternFill patternType="solid">
        <fgColor theme="5" tint="0.4"/>
      </patternFill>
    </fill>
    <fill>
      <patternFill patternType="solid">
        <fgColor theme="6" tint="0.4"/>
      </patternFill>
    </fill>
    <fill>
      <patternFill patternType="solid">
        <fgColor theme="7" tint="0.4"/>
      </patternFill>
    </fill>
    <fill>
      <patternFill patternType="solid">
        <fgColor rgb="FF800080"/>
      </patternFill>
    </fill>
    <fill>
      <patternFill patternType="solid">
        <fgColor theme="8" tint="0.4"/>
      </patternFill>
    </fill>
    <fill>
      <patternFill patternType="solid">
        <fgColor rgb="FF33CCCC"/>
      </patternFill>
    </fill>
    <fill>
      <patternFill patternType="solid">
        <fgColor theme="9" tint="0.4"/>
      </patternFill>
    </fill>
    <fill>
      <patternFill patternType="solid">
        <fgColor rgb="FFFF9900"/>
      </patternFill>
    </fill>
    <fill>
      <patternFill patternType="solid">
        <fgColor theme="4"/>
      </patternFill>
    </fill>
    <fill>
      <patternFill patternType="solid">
        <fgColor rgb="FF333399"/>
      </patternFill>
    </fill>
    <fill>
      <patternFill patternType="solid">
        <fgColor theme="5"/>
      </patternFill>
    </fill>
    <fill>
      <patternFill patternType="solid">
        <fgColor rgb="FFFF0000"/>
      </patternFill>
    </fill>
    <fill>
      <patternFill patternType="solid">
        <fgColor theme="6"/>
      </patternFill>
    </fill>
    <fill>
      <patternFill patternType="solid">
        <fgColor rgb="FF339966"/>
      </patternFill>
    </fill>
    <fill>
      <patternFill patternType="solid">
        <fgColor theme="7"/>
      </patternFill>
    </fill>
    <fill>
      <patternFill patternType="solid">
        <fgColor theme="8"/>
      </patternFill>
    </fill>
    <fill>
      <patternFill patternType="solid">
        <fgColor theme="9"/>
      </patternFill>
    </fill>
    <fill>
      <patternFill patternType="solid">
        <fgColor rgb="FFFF6600"/>
      </patternFill>
    </fill>
    <fill>
      <patternFill patternType="solid">
        <fgColor rgb="FFFFC7CE"/>
      </patternFill>
    </fill>
    <fill>
      <patternFill patternType="solid">
        <fgColor rgb="FFF2F2F2"/>
      </patternFill>
    </fill>
    <fill>
      <patternFill patternType="solid">
        <fgColor rgb="FFC0C0C0"/>
      </patternFill>
    </fill>
    <fill>
      <patternFill patternType="solid">
        <fgColor rgb="FFA5A5A5"/>
      </patternFill>
    </fill>
    <fill>
      <patternFill patternType="solid">
        <fgColor rgb="FF969696"/>
      </patternFill>
    </fill>
    <fill>
      <patternFill patternType="solid">
        <fgColor rgb="FFFFFFFF"/>
      </patternFill>
    </fill>
    <fill>
      <patternFill patternType="solid">
        <fgColor rgb="FF008080"/>
      </patternFill>
    </fill>
    <fill>
      <patternFill patternType="solid">
        <fgColor rgb="FFC6EFCE"/>
      </patternFill>
    </fill>
    <fill>
      <patternFill patternType="solid">
        <fgColor rgb="FFFFFFCC"/>
      </patternFill>
    </fill>
    <fill>
      <patternFill patternType="solid">
        <fgColor rgb="FFFFEB9C"/>
      </patternFill>
    </fill>
    <fill>
      <patternFill patternType="solid">
        <fgColor rgb="FFFFFF99"/>
      </patternFill>
    </fill>
    <fill>
      <patternFill patternType="mediumGray">
        <fgColor rgb="FFC0C0C0"/>
        <bgColor auto="1"/>
      </patternFill>
    </fill>
    <fill>
      <patternFill patternType="solid">
        <fgColor rgb="FF3366FF"/>
      </patternFill>
    </fill>
    <fill>
      <patternFill patternType="solid">
        <fgColor theme="0"/>
      </patternFill>
    </fill>
    <fill>
      <patternFill patternType="gray125">
        <fgColor auto="1"/>
        <bgColor theme="0"/>
      </patternFill>
    </fill>
    <fill>
      <patternFill patternType="solid">
        <fgColor theme="0" tint="-0.15"/>
      </patternFill>
    </fill>
    <fill>
      <patternFill patternType="solid">
        <fgColor theme="0" tint="-0.25"/>
      </patternFill>
    </fill>
    <fill>
      <patternFill patternType="solid">
        <fgColor theme="0" tint="-0.35"/>
      </patternFill>
    </fill>
    <fill>
      <patternFill patternType="solid">
        <fgColor rgb="FFFFFF00"/>
      </patternFill>
    </fill>
    <fill>
      <patternFill patternType="solid">
        <fgColor theme="1" tint="0.25"/>
      </patternFill>
    </fill>
    <fill>
      <patternFill patternType="solid">
        <fgColor rgb="FF00B050"/>
      </patternFill>
    </fill>
    <fill>
      <patternFill patternType="solid">
        <fgColor theme="9" tint="-0.25"/>
      </patternFill>
    </fill>
    <fill>
      <patternFill patternType="solid">
        <fgColor rgb="FF0070C0"/>
      </patternFill>
    </fill>
    <fill>
      <patternFill patternType="solid">
        <fgColor rgb="FFD9D9D9"/>
      </patternFill>
    </fill>
    <fill>
      <patternFill patternType="solid">
        <fgColor theme="0" tint="-0.05"/>
      </patternFill>
    </fill>
    <fill>
      <patternFill patternType="solid">
        <fgColor theme="1" tint="0.5"/>
      </patternFill>
    </fill>
    <fill>
      <patternFill patternType="solid">
        <fgColor theme="3" tint="-0.25"/>
      </patternFill>
    </fill>
    <fill>
      <patternFill patternType="solid">
        <fgColor theme="3" tint="0.8"/>
      </patternFill>
    </fill>
    <fill>
      <patternFill patternType="solid">
        <fgColor rgb="FFDDDDF0"/>
      </patternFill>
    </fill>
    <fill>
      <patternFill patternType="solid">
        <fgColor rgb="FFFDF4DC"/>
      </patternFill>
    </fill>
    <fill>
      <patternFill patternType="solid">
        <fgColor rgb="FF41B6E6"/>
      </patternFill>
    </fill>
    <fill>
      <patternFill patternType="solid">
        <fgColor rgb="FF002A4E"/>
      </patternFill>
    </fill>
    <fill>
      <patternFill patternType="solid">
        <fgColor theme="8" tint="-0.5"/>
      </patternFill>
    </fill>
    <fill>
      <patternFill patternType="solid">
        <fgColor theme="1" tint="0.05"/>
      </patternFill>
    </fill>
    <fill>
      <patternFill patternType="solid">
        <fgColor theme="1"/>
      </patternFill>
    </fill>
    <fill>
      <patternFill patternType="solid">
        <fgColor rgb="FF000000"/>
      </patternFill>
    </fill>
    <fill>
      <patternFill patternType="solid">
        <fgColor rgb="FFFFFFC5"/>
      </patternFill>
    </fill>
    <fill>
      <patternFill patternType="solid">
        <fgColor rgb="FF020C66"/>
      </patternFill>
    </fill>
    <fill>
      <patternFill patternType="solid">
        <fgColor theme="8" tint="-0.25"/>
      </patternFill>
    </fill>
    <fill>
      <patternFill patternType="solid">
        <fgColor rgb="FF92D050"/>
      </patternFill>
    </fill>
    <fill>
      <patternFill patternType="solid">
        <fgColor rgb="FFC00000"/>
      </patternFill>
    </fill>
    <fill>
      <patternFill patternType="solid">
        <fgColor rgb="FFFFC000"/>
      </patternFill>
    </fill>
    <fill>
      <patternFill patternType="solid">
        <fgColor rgb="FFFABF90"/>
      </patternFill>
    </fill>
    <fill>
      <patternFill patternType="solid">
        <fgColor rgb="FF92CDDC"/>
      </patternFill>
    </fill>
    <fill>
      <patternFill patternType="solid">
        <fgColor rgb="FFB2A1C7"/>
      </patternFill>
    </fill>
    <fill>
      <patternFill patternType="solid">
        <fgColor rgb="FF04B4F3"/>
      </patternFill>
    </fill>
    <fill>
      <patternFill patternType="solid">
        <fgColor rgb="FFE0E0E0"/>
      </patternFill>
    </fill>
    <fill>
      <patternFill patternType="lightUp">
        <fgColor auto="1"/>
        <bgColor auto="1"/>
      </patternFill>
    </fill>
    <fill>
      <patternFill patternType="solid">
        <fgColor theme="4" tint="-0.5"/>
      </patternFill>
    </fill>
    <fill>
      <patternFill patternType="solid">
        <fgColor theme="3" tint="0.6"/>
      </patternFill>
    </fill>
    <fill>
      <patternFill patternType="gray0625">
        <fgColor auto="1"/>
        <bgColor theme="0"/>
      </patternFill>
    </fill>
    <fill>
      <patternFill patternType="solid">
        <fgColor rgb="FFB7DEE8"/>
      </patternFill>
    </fill>
    <fill>
      <patternFill patternType="solid">
        <fgColor theme="4" tint="-0.25"/>
      </patternFill>
    </fill>
    <fill>
      <patternFill patternType="solid">
        <fgColor rgb="FF494529"/>
      </patternFill>
    </fill>
    <fill>
      <patternFill patternType="solid">
        <fgColor rgb="FFDDD9C4"/>
      </patternFill>
    </fill>
    <fill>
      <patternFill patternType="solid">
        <fgColor rgb="FF9C0006"/>
      </patternFill>
    </fill>
    <fill>
      <patternFill patternType="gray0625">
        <fgColor auto="1"/>
        <bgColor theme="0" tint="-0.05"/>
      </patternFill>
    </fill>
    <fill>
      <patternFill patternType="gray0625">
        <fgColor auto="1"/>
        <bgColor theme="8" tint="0.6"/>
      </patternFill>
    </fill>
    <fill>
      <patternFill patternType="solid">
        <fgColor rgb="FF020B65"/>
      </patternFill>
    </fill>
    <fill>
      <patternFill patternType="solid">
        <fgColor rgb="FF00543D"/>
      </patternFill>
    </fill>
    <fill>
      <patternFill patternType="solid">
        <fgColor theme="2" tint="-0.1"/>
      </patternFill>
    </fill>
    <fill>
      <patternFill patternType="solid">
        <fgColor theme="2" tint="-0.25"/>
      </patternFill>
    </fill>
    <fill>
      <patternFill patternType="solid">
        <fgColor theme="0" tint="-0.5"/>
      </patternFill>
    </fill>
    <fill>
      <patternFill patternType="solid">
        <fgColor rgb="FF00B0F0"/>
      </patternFill>
    </fill>
    <fill>
      <patternFill patternType="solid">
        <fgColor rgb="FF002060"/>
      </patternFill>
    </fill>
    <fill>
      <patternFill patternType="solid">
        <fgColor rgb="FF44546A"/>
      </patternFill>
    </fill>
    <fill>
      <patternFill patternType="solid">
        <fgColor rgb="FFD9E1F2"/>
      </patternFill>
    </fill>
    <fill>
      <patternFill patternType="gray0625">
        <bgColor theme="8" tint="0.6"/>
      </patternFill>
    </fill>
    <fill>
      <patternFill patternType="gray0625">
        <bgColor theme="0"/>
      </patternFill>
    </fill>
    <fill>
      <patternFill patternType="lightUp"/>
    </fill>
    <fill>
      <patternFill patternType="gray0625">
        <bgColor theme="0" tint="-0.05"/>
      </patternFill>
    </fill>
    <fill>
      <patternFill patternType="gray125">
        <bgColor theme="0"/>
      </patternFill>
    </fill>
  </fills>
  <borders count="215">
    <border>
      <left/>
      <right/>
      <top/>
      <bottom/>
    </border>
    <border>
      <bottom style="thin">
        <color rgb="FF000000"/>
      </bottom>
    </border>
    <border>
      <left style="thin">
        <color rgb="FF000000"/>
      </left>
      <right style="thin">
        <color rgb="FF000000"/>
      </right>
      <top style="thin">
        <color rgb="FF000000"/>
      </top>
      <bottom style="thin">
        <color rgb="FF000000"/>
      </bottom>
    </border>
    <border>
      <left style="thin">
        <color rgb="FF7F7F7F"/>
      </left>
      <right style="thin">
        <color rgb="FF7F7F7F"/>
      </right>
      <top style="thin">
        <color rgb="FF7F7F7F"/>
      </top>
      <bottom style="thin">
        <color rgb="FF7F7F7F"/>
      </bottom>
    </border>
    <border>
      <left style="thin">
        <color rgb="FF808080"/>
      </left>
      <right style="thin">
        <color rgb="FF808080"/>
      </right>
      <top style="thin">
        <color rgb="FF808080"/>
      </top>
      <bottom style="thin">
        <color rgb="FF808080"/>
      </bottom>
    </border>
    <border>
      <left style="double">
        <color rgb="FF3F3F3F"/>
      </left>
      <right style="double">
        <color rgb="FF3F3F3F"/>
      </right>
      <top style="double">
        <color rgb="FF3F3F3F"/>
      </top>
      <bottom style="double">
        <color rgb="FF3F3F3F"/>
      </bottom>
    </border>
    <border>
      <left style="double">
        <color rgb="FF333333"/>
      </left>
      <right style="double">
        <color rgb="FF333333"/>
      </right>
      <top style="double">
        <color rgb="FF333333"/>
      </top>
      <bottom style="double">
        <color rgb="FF333333"/>
      </bottom>
    </border>
    <border>
      <left style="thin">
        <color rgb="FF000000"/>
      </left>
      <right style="thin">
        <color rgb="FF000000"/>
      </right>
      <top style="thin">
        <color rgb="FF000000"/>
      </top>
      <bottom style="medium">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thin">
        <color rgb="FF000000"/>
      </top>
    </border>
    <border>
      <left style="medium">
        <color rgb="FFFF0000"/>
      </left>
      <right style="medium">
        <color rgb="FFFF0000"/>
      </right>
      <top style="medium">
        <color rgb="FFFF0000"/>
      </top>
      <bottom style="medium">
        <color rgb="FFFF0000"/>
      </bottom>
    </border>
    <border>
      <bottom style="hair">
        <color rgb="FFC0C0C0"/>
      </bottom>
    </border>
    <border>
      <top style="medium">
        <color rgb="FF000000"/>
      </top>
      <bottom style="medium">
        <color rgb="FF000000"/>
      </bottom>
    </border>
    <border>
      <left style="medium">
        <color rgb="FFFF6600"/>
      </left>
      <right style="medium">
        <color rgb="FFFF6600"/>
      </right>
      <top style="medium">
        <color rgb="FFFF6600"/>
      </top>
      <bottom style="medium">
        <color rgb="FFFF6600"/>
      </bottom>
    </border>
    <border>
      <top style="thin">
        <color rgb="FF000000"/>
      </top>
      <bottom style="thin">
        <color rgb="FF000000"/>
      </bottom>
    </border>
    <border>
      <left style="thin">
        <color rgb="FFFF6600"/>
      </left>
      <right style="thin">
        <color rgb="FFFF6600"/>
      </right>
      <top style="thin">
        <color rgb="FFFF6600"/>
      </top>
      <bottom style="thin">
        <color rgb="FFFF6600"/>
      </bottom>
    </border>
    <border>
      <left style="medium">
        <color rgb="FFFF6600"/>
      </left>
      <top style="medium">
        <color rgb="FFFF6600"/>
      </top>
    </border>
    <border>
      <bottom style="thick">
        <color theme="4"/>
      </bottom>
    </border>
    <border>
      <bottom style="thick">
        <color theme="4" tint="0.5"/>
      </bottom>
    </border>
    <border>
      <bottom style="medium">
        <color theme="4" tint="0.4"/>
      </bottom>
    </border>
    <border>
      <bottom style="medium">
        <color rgb="FF0066CC"/>
      </bottom>
    </border>
    <border>
      <bottom style="double">
        <color rgb="FFFF8001"/>
      </bottom>
    </border>
    <border>
      <bottom style="double">
        <color rgb="FFFF9900"/>
      </bottom>
    </border>
    <border>
      <left style="thin">
        <color rgb="FFB2B2B2"/>
      </left>
      <right style="thin">
        <color rgb="FFB2B2B2"/>
      </right>
      <top style="thin">
        <color rgb="FFB2B2B2"/>
      </top>
      <bottom style="thin">
        <color rgb="FFB2B2B2"/>
      </bottom>
    </border>
    <border>
      <left style="thin">
        <color rgb="FFC0C0C0"/>
      </left>
      <right style="thin">
        <color rgb="FFC0C0C0"/>
      </right>
      <top style="thin">
        <color rgb="FFC0C0C0"/>
      </top>
      <bottom style="thin">
        <color rgb="FFC0C0C0"/>
      </bottom>
    </border>
    <border>
      <left style="thin">
        <color rgb="FF3F3F3F"/>
      </left>
      <right style="thin">
        <color rgb="FF3F3F3F"/>
      </right>
      <top style="thin">
        <color rgb="FF3F3F3F"/>
      </top>
      <bottom style="thin">
        <color rgb="FF3F3F3F"/>
      </bottom>
    </border>
    <border>
      <left style="thin">
        <color rgb="FF333333"/>
      </left>
      <right style="thin">
        <color rgb="FF333333"/>
      </right>
      <top style="thin">
        <color rgb="FF333333"/>
      </top>
      <bottom style="thin">
        <color rgb="FF333333"/>
      </bottom>
    </border>
    <border>
      <top style="thin">
        <color rgb="FF000000"/>
      </top>
      <bottom style="hair">
        <color rgb="FFC0C0C0"/>
      </bottom>
    </border>
    <border>
      <bottom style="medium">
        <color rgb="FF000000"/>
      </bottom>
    </border>
    <border>
      <top style="thin">
        <color rgb="FF000000"/>
      </top>
      <bottom style="thick">
        <color rgb="FF000000"/>
      </bottom>
    </border>
    <border>
      <top style="thick">
        <color rgb="FF000000"/>
      </top>
      <bottom style="medium">
        <color rgb="FF000000"/>
      </bottom>
    </border>
    <border>
      <top style="thin">
        <color theme="4"/>
      </top>
      <bottom style="double">
        <color theme="4"/>
      </bottom>
    </border>
    <border>
      <top style="double">
        <color rgb="FF000000"/>
      </top>
    </border>
    <border>
      <left style="medium">
        <color rgb="FF000000"/>
      </left>
      <right style="medium">
        <color rgb="FF000000"/>
      </right>
    </border>
    <border>
      <left style="medium">
        <color rgb="FF000000"/>
      </left>
      <top style="medium">
        <color rgb="FF000000"/>
      </top>
    </border>
    <border>
      <left style="medium">
        <color rgb="FF000000"/>
      </left>
    </border>
    <border>
      <right style="medium">
        <color rgb="FF000000"/>
      </right>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rder>
    <border>
      <top style="medium">
        <color rgb="FF000000"/>
      </top>
    </border>
    <border>
      <left style="medium">
        <color rgb="FF000000"/>
      </left>
      <top style="medium">
        <color rgb="FF000000"/>
      </top>
      <bottom style="medium">
        <color rgb="FF000000"/>
      </bottom>
    </border>
    <border>
      <left style="thin">
        <color rgb="FF000000"/>
      </lef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ttom style="double">
        <color rgb="FF000000"/>
      </bottom>
    </border>
    <border>
      <right style="medium">
        <color rgb="FF000000"/>
      </right>
      <bottom style="medium">
        <color rgb="FF000000"/>
      </bottom>
    </border>
    <border>
      <left style="thin">
        <color rgb="FF000000"/>
      </left>
      <right style="thin">
        <color rgb="FF000000"/>
      </right>
      <top style="medium">
        <color rgb="FF000000"/>
      </top>
      <bottom style="medium">
        <color rgb="FF000000"/>
      </bottom>
    </border>
    <border>
      <top style="thin">
        <color rgb="FF000000"/>
      </top>
      <bottom style="double">
        <color rgb="FF000000"/>
      </bottom>
    </border>
    <border>
      <top style="thick">
        <color rgb="FF000000"/>
      </top>
    </border>
    <border>
      <left style="thin">
        <color rgb="FF000000"/>
      </left>
      <right style="thin">
        <color rgb="FF000000"/>
      </right>
      <top style="double">
        <color rgb="FF000000"/>
      </top>
      <bottom style="thin">
        <color rgb="FF000000"/>
      </bottom>
    </border>
    <border>
      <left style="thin">
        <color rgb="FF000000"/>
      </left>
      <top style="double">
        <color rgb="FF000000"/>
      </top>
      <bottom style="thin">
        <color rgb="FF000000"/>
      </bottom>
    </border>
    <border>
      <right style="medium">
        <color rgb="FF000000"/>
      </right>
      <top style="medium">
        <color rgb="FF000000"/>
      </top>
    </border>
    <border>
      <left style="medium">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thin">
        <color rgb="FF000000"/>
      </bottom>
    </border>
    <border>
      <left style="medium">
        <color rgb="FF000000"/>
      </left>
      <top style="thin">
        <color rgb="FF000000"/>
      </top>
      <bottom style="thin">
        <color rgb="FF000000"/>
      </bottom>
    </border>
    <border>
      <left style="medium">
        <color rgb="FF000000"/>
      </left>
      <top style="thin">
        <color rgb="FF000000"/>
      </top>
      <bottom style="medium">
        <color rgb="FF000000"/>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bottom style="double">
        <color rgb="FF000000"/>
      </bottom>
    </border>
    <border>
      <bottom style="dotted">
        <color rgb="FF000000"/>
      </bottom>
    </border>
    <border>
      <left style="hair">
        <color rgb="FF000000"/>
      </left>
      <right style="hair">
        <color rgb="FF000000"/>
      </right>
      <top style="hair">
        <color rgb="FF000000"/>
      </top>
      <bottom style="hair">
        <color rgb="FF000000"/>
      </bottom>
    </border>
    <border>
      <right style="thin">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right style="medium">
        <color rgb="FF000000"/>
      </right>
      <bottom style="thin">
        <color rgb="FF000000"/>
      </bottom>
    </border>
    <border>
      <right style="medium">
        <color rgb="FF000000"/>
      </right>
      <bottom style="thin">
        <color rgb="FF000000"/>
      </bottom>
    </border>
    <border>
      <right style="medium">
        <color rgb="FF000000"/>
      </right>
      <top style="thin">
        <color rgb="FF000000"/>
      </top>
      <bottom style="thin">
        <color rgb="FF000000"/>
      </bottom>
    </border>
    <border>
      <left style="medium">
        <color rgb="FF000000"/>
      </left>
      <right style="medium">
        <color rgb="FF000000"/>
      </right>
      <top style="thin">
        <color rgb="FF000000"/>
      </top>
    </border>
    <border>
      <right style="medium">
        <color rgb="FF000000"/>
      </right>
      <top style="thin">
        <color rgb="FF000000"/>
      </top>
    </border>
    <border>
      <top style="thin">
        <color rgb="FF000000"/>
      </top>
      <bottom style="medium">
        <color rgb="FF000000"/>
      </bottom>
    </border>
    <border>
      <right style="medium">
        <color rgb="FF000000"/>
      </right>
      <top style="thin">
        <color rgb="FF000000"/>
      </top>
      <bottom style="medium">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top style="medium">
        <color rgb="FF000000"/>
      </top>
      <bottom style="medium">
        <color rgb="FF000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000000"/>
      </left>
      <bottom style="dotted">
        <color rgb="FF000000"/>
      </bottom>
    </border>
    <border>
      <right style="thick">
        <color rgb="FF000000"/>
      </right>
      <top style="thick">
        <color rgb="FF000000"/>
      </top>
    </border>
    <border>
      <right style="thick">
        <color rgb="FF000000"/>
      </right>
    </border>
    <border>
      <top style="medium">
        <color rgb="FF000000"/>
      </top>
      <bottom style="thick">
        <color rgb="FF000000"/>
      </bottom>
    </border>
    <border>
      <right style="thick">
        <color rgb="FF000000"/>
      </right>
      <top style="medium">
        <color rgb="FF000000"/>
      </top>
      <bottom style="thick">
        <color rgb="FF000000"/>
      </bottom>
    </border>
    <border>
      <left style="medium">
        <color rgb="FF000000"/>
      </left>
      <bottom style="thin">
        <color rgb="FF000000"/>
      </bottom>
    </border>
    <border>
      <left style="medium">
        <color rgb="FF000000"/>
      </left>
      <right style="thin">
        <color rgb="FF000000"/>
      </right>
      <top style="medium">
        <color rgb="FF000000"/>
      </top>
    </border>
    <border>
      <left style="thin">
        <color rgb="FF000000"/>
      </left>
      <right style="medium">
        <color rgb="FF000000"/>
      </right>
      <top style="medium">
        <color rgb="FF000000"/>
      </top>
    </border>
    <border>
      <left style="hair">
        <color rgb="FF000000"/>
      </left>
      <right style="medium">
        <color rgb="FF000000"/>
      </right>
      <top style="medium">
        <color rgb="FF000000"/>
      </top>
    </border>
    <border>
      <left style="hair">
        <color rgb="FF000000"/>
      </left>
      <right style="thin">
        <color rgb="FF000000"/>
      </right>
      <top style="medium">
        <color rgb="FF000000"/>
      </top>
    </border>
    <border>
      <left style="hair">
        <color rgb="FF000000"/>
      </left>
      <right style="medium">
        <color rgb="FF000000"/>
      </right>
    </border>
    <border>
      <left style="hair">
        <color rgb="FF000000"/>
      </left>
      <right style="thin">
        <color rgb="FF000000"/>
      </right>
    </border>
    <border>
      <left style="medium">
        <color rgb="FF000000"/>
      </left>
      <right style="hair">
        <color rgb="FF000000"/>
      </right>
      <bottom style="hair">
        <color rgb="FF000000"/>
      </bottom>
    </border>
    <border>
      <left style="hair">
        <color rgb="FF000000"/>
      </left>
      <right style="thin">
        <color rgb="FF000000"/>
      </right>
      <top style="hair">
        <color rgb="FF000000"/>
      </top>
      <bottom style="hair">
        <color rgb="FF000000"/>
      </bottom>
    </border>
    <border>
      <left style="hair">
        <color rgb="FF000000"/>
      </left>
      <right style="thin">
        <color rgb="FF000000"/>
      </right>
      <bottom style="hair">
        <color rgb="FF000000"/>
      </bottom>
    </border>
    <border>
      <bottom style="hair">
        <color rgb="FF000000"/>
      </bottom>
    </border>
    <border>
      <right style="medium">
        <color rgb="FF000000"/>
      </right>
      <bottom style="hair">
        <color rgb="FF000000"/>
      </bottom>
    </border>
    <border>
      <left style="medium">
        <color rgb="FF000000"/>
      </left>
      <right style="hair">
        <color rgb="FF000000"/>
      </right>
      <top style="hair">
        <color rgb="FF000000"/>
      </top>
      <bottom style="hair">
        <color rgb="FF000000"/>
      </bottom>
    </border>
    <border>
      <left style="medium">
        <color rgb="FF000000"/>
      </left>
      <right style="hair">
        <color rgb="FF000000"/>
      </right>
    </border>
    <border>
      <left style="medium">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right style="medium">
        <color rgb="FF000000"/>
      </right>
      <bottom style="hair">
        <color rgb="FF000000"/>
      </bottom>
    </border>
    <border>
      <left style="medium">
        <color rgb="FF000000"/>
      </left>
      <right style="hair">
        <color rgb="FF000000"/>
      </right>
      <top style="hair">
        <color rgb="FF000000"/>
      </top>
    </border>
    <border>
      <left style="hair">
        <color rgb="FF000000"/>
      </left>
      <right style="thin">
        <color rgb="FF000000"/>
      </right>
      <top style="hair">
        <color rgb="FF000000"/>
      </top>
    </border>
    <border>
      <left style="hair">
        <color rgb="FF000000"/>
      </left>
      <right style="medium">
        <color rgb="FF000000"/>
      </right>
      <top style="thin">
        <color rgb="FF000000"/>
      </top>
      <bottom style="thin">
        <color rgb="FF000000"/>
      </bottom>
    </border>
    <border>
      <left style="hair">
        <color rgb="FF000000"/>
      </left>
      <right style="medium">
        <color rgb="FF000000"/>
      </right>
      <bottom style="hair">
        <color rgb="FF000000"/>
      </bottom>
    </border>
    <border>
      <left style="hair">
        <color rgb="FF000000"/>
      </left>
      <right style="medium">
        <color rgb="FF000000"/>
      </right>
      <top style="hair">
        <color rgb="FF000000"/>
      </top>
      <bottom style="hair">
        <color rgb="FF000000"/>
      </bottom>
    </border>
    <border>
      <left style="hair">
        <color rgb="FF000000"/>
      </left>
      <right style="hair">
        <color rgb="FF000000"/>
      </right>
      <top style="hair">
        <color rgb="FF000000"/>
      </top>
      <bottom style="medium">
        <color rgb="FF000000"/>
      </bottom>
    </border>
    <border>
      <left style="hair">
        <color rgb="FF000000"/>
      </left>
      <right style="medium">
        <color rgb="FF000000"/>
      </right>
      <top style="hair">
        <color rgb="FF000000"/>
      </top>
      <bottom style="medium">
        <color rgb="FF000000"/>
      </bottom>
    </border>
    <border>
      <left style="medium">
        <color rgb="FF000000"/>
      </left>
      <right style="hair">
        <color rgb="FF000000"/>
      </right>
      <top style="medium">
        <color rgb="FF000000"/>
      </top>
      <bottom style="medium">
        <color rgb="FF000000"/>
      </bottom>
    </border>
    <border>
      <left style="hair">
        <color rgb="FF000000"/>
      </left>
      <right style="medium">
        <color rgb="FF000000"/>
      </right>
      <top style="medium">
        <color rgb="FF000000"/>
      </top>
      <bottom style="medium">
        <color rgb="FF000000"/>
      </bottom>
    </border>
    <border>
      <left style="hair">
        <color rgb="FF000000"/>
      </left>
      <right style="thin">
        <color rgb="FF000000"/>
      </right>
      <top style="medium">
        <color rgb="FF000000"/>
      </top>
      <bottom style="medium">
        <color rgb="FF000000"/>
      </bottom>
    </border>
    <border>
      <left style="thin">
        <color rgb="FF000000"/>
      </left>
      <right style="medium">
        <color rgb="FF000000"/>
      </right>
      <top style="hair">
        <color rgb="FF000000"/>
      </top>
      <bottom style="hair">
        <color rgb="FF000000"/>
      </bottom>
    </border>
    <border>
      <left style="medium">
        <color rgb="FF000000"/>
      </left>
      <right style="hair">
        <color rgb="FF000000"/>
      </right>
      <top style="hair">
        <color rgb="FF000000"/>
      </top>
      <bottom style="medium">
        <color rgb="FF000000"/>
      </bottom>
    </border>
    <border>
      <left style="hair">
        <color rgb="FF000000"/>
      </left>
      <right style="thin">
        <color rgb="FF000000"/>
      </right>
      <top style="hair">
        <color rgb="FF000000"/>
      </top>
      <bottom style="medium">
        <color rgb="FF000000"/>
      </bottom>
    </border>
    <border>
      <left style="medium">
        <color rgb="FF000000"/>
      </left>
      <bottom style="hair">
        <color rgb="FF000000"/>
      </bottom>
    </border>
    <border>
      <left style="hair">
        <color rgb="FF000000"/>
      </left>
      <bottom style="hair">
        <color rgb="FF000000"/>
      </bottom>
    </border>
    <border>
      <left style="thin">
        <color rgb="FF000000"/>
      </left>
      <right style="medium">
        <color rgb="FF000000"/>
      </right>
    </border>
    <border>
      <top style="hair">
        <color rgb="FF000000"/>
      </top>
      <bottom style="hair">
        <color rgb="FF000000"/>
      </bottom>
    </border>
    <border>
      <left style="hair">
        <color rgb="FF000000"/>
      </left>
      <top style="medium">
        <color rgb="FF000000"/>
      </top>
      <bottom style="medium">
        <color rgb="FF000000"/>
      </bottom>
    </border>
    <border>
      <left style="hair">
        <color rgb="FF000000"/>
      </left>
      <right style="medium">
        <color rgb="FF000000"/>
      </right>
      <top style="hair">
        <color rgb="FF000000"/>
      </top>
    </border>
    <border>
      <left style="hair">
        <color rgb="FF000000"/>
      </left>
      <top style="hair">
        <color rgb="FF000000"/>
      </top>
    </border>
    <border>
      <left style="thin">
        <color rgb="FF000000"/>
      </left>
      <right style="medium">
        <color rgb="FF000000"/>
      </right>
      <top style="hair">
        <color rgb="FF000000"/>
      </top>
    </border>
    <border>
      <left style="hair">
        <color rgb="FF000000"/>
      </left>
      <top style="hair">
        <color rgb="FF000000"/>
      </top>
      <bottom style="hair">
        <color rgb="FF000000"/>
      </bottom>
    </border>
    <border>
      <left style="hair">
        <color rgb="FF000000"/>
      </left>
    </border>
    <border>
      <left style="hair">
        <color rgb="FF000000"/>
      </left>
      <top style="thin">
        <color rgb="FF000000"/>
      </top>
      <bottom style="thin">
        <color rgb="FF000000"/>
      </bottom>
    </border>
    <border>
      <left style="hair">
        <color rgb="FF000000"/>
      </left>
      <top style="hair">
        <color rgb="FF000000"/>
      </top>
      <bottom style="medium">
        <color rgb="FF000000"/>
      </bottom>
    </border>
    <border>
      <left style="medium">
        <color rgb="FF000000"/>
      </left>
      <right style="medium">
        <color rgb="FF000000"/>
      </right>
      <top style="hair">
        <color rgb="FF000000"/>
      </top>
      <bottom style="hair">
        <color rgb="FF000000"/>
      </bottom>
    </border>
    <border>
      <left style="medium">
        <color rgb="FF000000"/>
      </left>
      <right style="medium">
        <color rgb="FF000000"/>
      </right>
      <bottom style="hair">
        <color rgb="FF000000"/>
      </bottom>
    </border>
    <border>
      <left style="thin">
        <color rgb="FF000000"/>
      </left>
      <top style="hair">
        <color rgb="FF000000"/>
      </top>
    </border>
    <border>
      <left style="medium">
        <color rgb="FF000000"/>
      </left>
      <right style="medium">
        <color rgb="FF000000"/>
      </right>
      <top style="hair">
        <color rgb="FF000000"/>
      </top>
    </border>
    <border>
      <left style="hair">
        <color rgb="FF000000"/>
      </left>
      <top style="medium">
        <color rgb="FF000000"/>
      </top>
    </border>
    <border>
      <left style="hair">
        <color rgb="FF000000"/>
      </left>
      <right style="thin">
        <color rgb="FF000000"/>
      </right>
      <bottom style="medium">
        <color rgb="FF000000"/>
      </bottom>
    </border>
    <border>
      <left style="hair">
        <color rgb="FF000000"/>
      </left>
      <right style="medium">
        <color rgb="FF000000"/>
      </right>
      <bottom style="medium">
        <color rgb="FF000000"/>
      </bottom>
    </border>
    <border>
      <left style="hair">
        <color rgb="FF000000"/>
      </left>
      <bottom style="medium">
        <color rgb="FF000000"/>
      </bottom>
    </border>
    <border>
      <left style="thin">
        <color rgb="FF000000"/>
      </left>
      <right style="thin">
        <color rgb="FF000000"/>
      </right>
      <bottom style="dotted">
        <color rgb="FF000000"/>
      </bottom>
    </border>
    <border>
      <left style="thin">
        <color rgb="FF000000"/>
      </left>
      <right style="thin">
        <color rgb="FF000000"/>
      </right>
      <bottom style="thick">
        <color rgb="FF000000"/>
      </bottom>
    </border>
    <border>
      <right style="hair">
        <color rgb="FF000000"/>
      </right>
    </border>
    <border>
      <left style="dotted">
        <color rgb="FF000000"/>
      </left>
      <right style="thin">
        <color rgb="FF000000"/>
      </right>
      <top style="thin">
        <color rgb="FF000000"/>
      </top>
      <bottom style="thin">
        <color rgb="FF000000"/>
      </bottom>
    </border>
    <border>
      <left style="thin">
        <color rgb="FF000000"/>
      </left>
      <right style="thin">
        <color rgb="FF000000"/>
      </right>
      <top style="dotted">
        <color rgb="FF000000"/>
      </top>
      <bottom style="dotted">
        <color rgb="FF000000"/>
      </bottom>
    </border>
    <border>
      <right style="thin">
        <color rgb="FF000000"/>
      </right>
      <top style="thin">
        <color rgb="FF000000"/>
      </top>
      <bottom style="thick">
        <color rgb="FF000000"/>
      </bottom>
    </border>
    <border>
      <left style="thin">
        <color rgb="FF000000"/>
      </left>
      <right style="thin">
        <color rgb="FFFFFFFF"/>
      </right>
      <bottom style="thin">
        <color rgb="FFFFFFFF"/>
      </bottom>
    </border>
    <border>
      <left style="thin">
        <color rgb="FFFFFFFF"/>
      </left>
      <right style="thin">
        <color rgb="FF000000"/>
      </right>
      <bottom style="thin">
        <color rgb="FFFFFFFF"/>
      </bottom>
    </border>
    <border>
      <left style="thin">
        <color rgb="FF000000"/>
      </left>
      <right style="thin">
        <color rgb="FFFFFFFF"/>
      </right>
      <top style="thin">
        <color rgb="FFFFFFFF"/>
      </top>
      <bottom style="thin">
        <color rgb="FFFFFFFF"/>
      </bottom>
    </border>
    <border>
      <left style="thin">
        <color rgb="FFFFFFFF"/>
      </left>
      <right style="thin">
        <color rgb="FF000000"/>
      </right>
      <top style="thin">
        <color rgb="FFFFFFFF"/>
      </top>
      <bottom style="thin">
        <color rgb="FFFFFFFF"/>
      </bottom>
    </border>
    <border>
      <left style="thin">
        <color rgb="FF000000"/>
      </left>
      <right style="thin">
        <color rgb="FF000000"/>
      </right>
      <top style="thin">
        <color rgb="FF000000"/>
      </top>
      <bottom style="dotted">
        <color rgb="FF000000"/>
      </bottom>
    </border>
    <border>
      <left style="thin">
        <color rgb="FF000000"/>
      </left>
      <top style="thin">
        <color rgb="FF000000"/>
      </top>
      <bottom style="thick">
        <color rgb="FF000000"/>
      </bottom>
    </border>
    <border>
      <left style="medium">
        <color rgb="FF000000"/>
      </left>
      <top style="hair">
        <color rgb="FF000000"/>
      </top>
      <bottom style="hair">
        <color rgb="FF000000"/>
      </bottom>
    </border>
    <border>
      <left style="thin">
        <color theme="3" tint="-0.5"/>
      </left>
      <top style="thin">
        <color theme="3" tint="-0.5"/>
      </top>
      <bottom style="thin">
        <color theme="3" tint="-0.5"/>
      </bottom>
    </border>
    <border>
      <top style="thin">
        <color theme="3" tint="-0.5"/>
      </top>
      <bottom style="thin">
        <color theme="3" tint="-0.5"/>
      </bottom>
    </border>
    <border>
      <right style="thin">
        <color theme="3" tint="-0.5"/>
      </right>
      <top style="thin">
        <color theme="3" tint="-0.5"/>
      </top>
      <bottom style="thin">
        <color theme="3" tint="-0.5"/>
      </bottom>
    </border>
    <border>
      <left style="medium">
        <color theme="4" tint="-0.5"/>
      </left>
      <top style="medium">
        <color theme="4" tint="-0.5"/>
      </top>
    </border>
    <border>
      <top style="medium">
        <color theme="4" tint="-0.5"/>
      </top>
    </border>
    <border>
      <right style="medium">
        <color theme="4" tint="-0.5"/>
      </right>
      <top style="medium">
        <color theme="4" tint="-0.5"/>
      </top>
    </border>
    <border>
      <left style="medium">
        <color theme="4" tint="-0.5"/>
      </left>
    </border>
    <border>
      <right style="medium">
        <color theme="4" tint="-0.5"/>
      </right>
    </border>
    <border>
      <left style="medium">
        <color theme="4" tint="-0.5"/>
      </left>
      <bottom style="medium">
        <color theme="4" tint="-0.5"/>
      </bottom>
    </border>
    <border>
      <left style="thin">
        <color rgb="FF000000"/>
      </left>
      <top style="thin">
        <color rgb="FF000000"/>
      </top>
      <bottom style="medium">
        <color theme="4" tint="-0.5"/>
      </bottom>
    </border>
    <border>
      <top style="thin">
        <color rgb="FF000000"/>
      </top>
      <bottom style="medium">
        <color theme="4" tint="-0.5"/>
      </bottom>
    </border>
    <border>
      <bottom style="medium">
        <color theme="4" tint="-0.5"/>
      </bottom>
    </border>
    <border>
      <right style="medium">
        <color theme="4" tint="-0.5"/>
      </right>
      <bottom style="medium">
        <color theme="4" tint="-0.5"/>
      </bottom>
    </border>
    <border>
      <right style="thin">
        <color rgb="FF000000"/>
      </right>
      <top style="thin">
        <color rgb="FF000000"/>
      </top>
      <bottom style="medium">
        <color theme="4" tint="-0.5"/>
      </bottom>
    </border>
    <border>
      <left style="thin">
        <color rgb="FF000000"/>
      </left>
      <top style="medium">
        <color theme="4" tint="-0.5"/>
      </top>
    </border>
    <border>
      <right style="medium">
        <color theme="4" tint="-0.5"/>
      </right>
      <top style="thin">
        <color rgb="FF000000"/>
      </top>
      <bottom style="medium">
        <color theme="4" tint="-0.5"/>
      </bottom>
    </border>
    <border>
      <right style="thin">
        <color rgb="FF000000"/>
      </right>
      <bottom style="medium">
        <color rgb="FF000000"/>
      </bottom>
    </border>
    <border>
      <top style="thin">
        <color theme="3" tint="-0.5"/>
      </top>
    </border>
    <border>
      <bottom style="thin">
        <color theme="3" tint="-0.5"/>
      </bottom>
    </border>
    <border>
      <left style="thin">
        <color theme="3" tint="-0.5"/>
      </left>
      <right style="thin">
        <color theme="3" tint="-0.5"/>
      </right>
      <top style="thin">
        <color theme="3" tint="-0.5"/>
      </top>
      <bottom style="thin">
        <color rgb="FF000000"/>
      </bottom>
    </border>
    <border>
      <bottom style="thin">
        <color theme="4"/>
      </bottom>
    </border>
    <border>
      <left style="hair">
        <color rgb="FF000000"/>
      </left>
      <bottom style="thin">
        <color rgb="FF000000"/>
      </bottom>
    </border>
    <border>
      <right style="thin">
        <color rgb="FF000000"/>
      </right>
      <top style="medium">
        <color theme="4" tint="-0.5"/>
      </top>
    </border>
    <border>
      <right style="thin">
        <color rgb="FF000000"/>
      </right>
      <bottom style="medium">
        <color theme="4" tint="-0.5"/>
      </bottom>
    </border>
    <border>
      <left style="thin">
        <color rgb="FF000000"/>
      </left>
      <top style="thin">
        <color rgb="FFFFFFFF"/>
      </top>
    </border>
    <border>
      <top style="thin">
        <color rgb="FFFFFFFF"/>
      </top>
    </border>
    <border>
      <right style="thin">
        <color rgb="FF000000"/>
      </right>
      <top style="thin">
        <color rgb="FFFFFFFF"/>
      </top>
    </border>
    <border>
      <right style="medium">
        <color theme="4" tint="-0.5"/>
      </right>
      <bottom style="thin">
        <color rgb="FF000000"/>
      </bottom>
    </border>
    <border>
      <left style="thin">
        <color rgb="FF000000"/>
      </left>
      <right style="medium">
        <color theme="4" tint="-0.5"/>
      </right>
      <top style="thin">
        <color rgb="FF000000"/>
      </top>
    </border>
    <border>
      <left style="thin">
        <color rgb="FF000000"/>
      </left>
      <right style="medium">
        <color theme="4" tint="-0.5"/>
      </right>
    </border>
    <border>
      <left style="thin">
        <color rgb="FF000000"/>
      </left>
      <right style="medium">
        <color theme="4" tint="-0.5"/>
      </right>
      <bottom style="thin">
        <color rgb="FF000000"/>
      </bottom>
    </border>
    <border>
      <left style="thin">
        <color theme="0"/>
      </left>
      <top style="thin">
        <color theme="0"/>
      </top>
    </border>
    <border>
      <top style="thin">
        <color theme="0"/>
      </top>
    </border>
    <border>
      <left style="thin">
        <color theme="4"/>
      </left>
      <top style="thin">
        <color theme="4"/>
      </top>
      <bottom style="thin">
        <color theme="4"/>
      </bottom>
    </border>
    <border>
      <top style="thin">
        <color theme="4"/>
      </top>
      <bottom style="thin">
        <color theme="4"/>
      </bottom>
    </border>
    <border>
      <right style="thin">
        <color theme="4"/>
      </right>
      <top style="thin">
        <color theme="4"/>
      </top>
      <bottom style="thin">
        <color theme="4"/>
      </bottom>
    </border>
    <border>
      <left style="medium">
        <color rgb="FF000000"/>
      </left>
      <right style="thin">
        <color rgb="FF000000"/>
      </right>
      <bottom style="medium">
        <color rgb="FF000000"/>
      </bottom>
    </border>
    <border>
      <left style="thin">
        <color rgb="FF000000"/>
      </left>
      <right style="medium">
        <color rgb="FF000000"/>
      </right>
      <bottom style="medium">
        <color rgb="FF000000"/>
      </bottom>
    </border>
    <border>
      <left style="thin">
        <color rgb="FF000000"/>
      </left>
      <right style="thin">
        <color rgb="FF000000"/>
      </right>
      <top style="medium">
        <color rgb="FF000000"/>
      </top>
    </border>
    <border>
      <left style="thin">
        <color rgb="FF000000"/>
      </left>
      <right style="thin">
        <color rgb="FF000000"/>
      </right>
      <bottom style="medium">
        <color rgb="FF000000"/>
      </bottom>
    </border>
    <border>
      <left style="thin">
        <color rgb="FF000000"/>
      </left>
      <top style="medium">
        <color rgb="FF000000"/>
      </top>
    </border>
    <border>
      <right style="thin">
        <color rgb="FF000000"/>
      </right>
      <top style="medium">
        <color rgb="FF000000"/>
      </top>
    </border>
    <border>
      <left style="thin">
        <color rgb="FF000000"/>
      </left>
      <bottom style="medium">
        <color rgb="FF000000"/>
      </bottom>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top style="hair">
        <color rgb="FF000000"/>
      </top>
    </border>
    <border>
      <right style="hair">
        <color rgb="FF000000"/>
      </right>
      <top style="hair">
        <color rgb="FF000000"/>
      </top>
    </border>
    <border>
      <right style="hair">
        <color rgb="FF000000"/>
      </right>
      <bottom style="hair">
        <color rgb="FF000000"/>
      </bottom>
    </border>
    <border>
      <left style="medium">
        <color rgb="FF000000"/>
      </left>
      <top style="thin">
        <color rgb="FF000000"/>
      </top>
    </border>
    <border>
      <left style="medium">
        <color rgb="FF000000"/>
      </left>
      <right style="thin">
        <color rgb="FF000000"/>
      </right>
    </border>
  </borders>
  <cellStyleXfs count="384">
    <xf numFmtId="0" fontId="0" fillId="0" borderId="0"/>
    <xf numFmtId="170" fontId="1" fillId="0" borderId="0" applyFont="0" applyFill="0" applyBorder="0" applyAlignment="0" applyProtection="0"/>
    <xf numFmtId="171" fontId="1" fillId="0" borderId="0" applyFont="0" applyFill="0" applyBorder="0" applyAlignment="0" applyProtection="0"/>
    <xf numFmtId="0" fontId="0" fillId="2" borderId="0" applyBorder="0" applyNumberFormat="0" applyAlignment="0" applyProtection="0"/>
    <xf numFmtId="0" fontId="2" fillId="3" borderId="0" applyBorder="0" applyNumberFormat="0" applyAlignment="0" applyProtection="0"/>
    <xf numFmtId="0" fontId="0" fillId="4" borderId="0" applyBorder="0" applyNumberFormat="0" applyAlignment="0" applyProtection="0"/>
    <xf numFmtId="0" fontId="2" fillId="5" borderId="0" applyBorder="0" applyNumberFormat="0" applyAlignment="0" applyProtection="0"/>
    <xf numFmtId="0" fontId="0" fillId="6" borderId="0" applyBorder="0" applyNumberFormat="0" applyAlignment="0" applyProtection="0"/>
    <xf numFmtId="0" fontId="2" fillId="7" borderId="0" applyBorder="0" applyNumberFormat="0" applyAlignment="0" applyProtection="0"/>
    <xf numFmtId="0" fontId="0" fillId="8" borderId="0" applyBorder="0" applyNumberFormat="0" applyAlignment="0" applyProtection="0"/>
    <xf numFmtId="0" fontId="2" fillId="9" borderId="0" applyBorder="0" applyNumberFormat="0" applyAlignment="0" applyProtection="0"/>
    <xf numFmtId="0" fontId="0" fillId="10" borderId="0" applyBorder="0" applyNumberFormat="0" applyAlignment="0" applyProtection="0"/>
    <xf numFmtId="0" fontId="2" fillId="11" borderId="0" applyBorder="0" applyNumberFormat="0" applyAlignment="0" applyProtection="0"/>
    <xf numFmtId="0" fontId="0" fillId="12" borderId="0" applyBorder="0" applyNumberFormat="0" applyAlignment="0" applyProtection="0"/>
    <xf numFmtId="0" fontId="2" fillId="13" borderId="0" applyBorder="0" applyNumberFormat="0" applyAlignment="0" applyProtection="0"/>
    <xf numFmtId="0" fontId="0" fillId="14" borderId="0" applyBorder="0" applyNumberFormat="0" applyAlignment="0" applyProtection="0"/>
    <xf numFmtId="0" fontId="2" fillId="15" borderId="0" applyBorder="0" applyNumberFormat="0" applyAlignment="0" applyProtection="0"/>
    <xf numFmtId="0" fontId="0" fillId="16" borderId="0" applyBorder="0" applyNumberFormat="0" applyAlignment="0" applyProtection="0"/>
    <xf numFmtId="0" fontId="2" fillId="17" borderId="0" applyBorder="0" applyNumberFormat="0" applyAlignment="0" applyProtection="0"/>
    <xf numFmtId="0" fontId="0" fillId="18" borderId="0" applyBorder="0" applyNumberFormat="0" applyAlignment="0" applyProtection="0"/>
    <xf numFmtId="0" fontId="2" fillId="19" borderId="0" applyBorder="0" applyNumberFormat="0" applyAlignment="0" applyProtection="0"/>
    <xf numFmtId="0" fontId="0" fillId="20" borderId="0" applyBorder="0" applyNumberFormat="0" applyAlignment="0" applyProtection="0"/>
    <xf numFmtId="0" fontId="0" fillId="21" borderId="0" applyBorder="0" applyNumberFormat="0" applyAlignment="0" applyProtection="0"/>
    <xf numFmtId="0" fontId="0" fillId="22" borderId="0" applyBorder="0" applyNumberFormat="0" applyAlignment="0" applyProtection="0"/>
    <xf numFmtId="0" fontId="2" fillId="23" borderId="0" applyBorder="0" applyNumberFormat="0" applyAlignment="0" applyProtection="0"/>
    <xf numFmtId="0" fontId="3" fillId="24" borderId="0" applyBorder="0" applyNumberFormat="0" applyAlignment="0" applyProtection="0"/>
    <xf numFmtId="0" fontId="4" fillId="25" borderId="0" applyBorder="0" applyNumberFormat="0" applyAlignment="0" applyProtection="0"/>
    <xf numFmtId="0" fontId="3" fillId="26" borderId="0" applyBorder="0" applyNumberFormat="0" applyAlignment="0" applyProtection="0"/>
    <xf numFmtId="0" fontId="4" fillId="17" borderId="0" applyBorder="0" applyNumberFormat="0" applyAlignment="0" applyProtection="0"/>
    <xf numFmtId="0" fontId="3" fillId="27" borderId="0" applyBorder="0" applyNumberFormat="0" applyAlignment="0" applyProtection="0"/>
    <xf numFmtId="0" fontId="4" fillId="19" borderId="0" applyBorder="0" applyNumberFormat="0" applyAlignment="0" applyProtection="0"/>
    <xf numFmtId="0" fontId="3" fillId="28" borderId="0" applyBorder="0" applyNumberFormat="0" applyAlignment="0" applyProtection="0"/>
    <xf numFmtId="0" fontId="4" fillId="29" borderId="0" applyBorder="0" applyNumberFormat="0" applyAlignment="0" applyProtection="0"/>
    <xf numFmtId="0" fontId="3" fillId="30" borderId="0" applyBorder="0" applyNumberFormat="0" applyAlignment="0" applyProtection="0"/>
    <xf numFmtId="0" fontId="4" fillId="31" borderId="0" applyBorder="0" applyNumberFormat="0" applyAlignment="0" applyProtection="0"/>
    <xf numFmtId="0" fontId="3" fillId="32" borderId="0" applyBorder="0" applyNumberFormat="0" applyAlignment="0" applyProtection="0"/>
    <xf numFmtId="0" fontId="4" fillId="33" borderId="0" applyBorder="0" applyNumberFormat="0" applyAlignment="0" applyProtection="0"/>
    <xf numFmtId="0" fontId="3" fillId="34" borderId="0" applyBorder="0" applyNumberFormat="0" applyAlignment="0" applyProtection="0"/>
    <xf numFmtId="0" fontId="4" fillId="35" borderId="0" applyBorder="0" applyNumberFormat="0" applyAlignment="0" applyProtection="0"/>
    <xf numFmtId="0" fontId="3" fillId="36" borderId="0" applyBorder="0" applyNumberFormat="0" applyAlignment="0" applyProtection="0"/>
    <xf numFmtId="0" fontId="4" fillId="37" borderId="0" applyBorder="0" applyNumberFormat="0" applyAlignment="0" applyProtection="0"/>
    <xf numFmtId="0" fontId="3" fillId="38" borderId="0" applyBorder="0" applyNumberFormat="0" applyAlignment="0" applyProtection="0"/>
    <xf numFmtId="0" fontId="4" fillId="39" borderId="0" applyBorder="0" applyNumberFormat="0" applyAlignment="0" applyProtection="0"/>
    <xf numFmtId="0" fontId="3" fillId="40" borderId="0" applyBorder="0" applyNumberFormat="0" applyAlignment="0" applyProtection="0"/>
    <xf numFmtId="0" fontId="3" fillId="41" borderId="0" applyBorder="0" applyNumberFormat="0" applyAlignment="0" applyProtection="0"/>
    <xf numFmtId="0" fontId="3" fillId="42" borderId="0" applyBorder="0" applyNumberFormat="0" applyAlignment="0" applyProtection="0"/>
    <xf numFmtId="0" fontId="4" fillId="43" borderId="0" applyBorder="0" applyNumberFormat="0" applyAlignment="0" applyProtection="0"/>
    <xf numFmtId="0" fontId="5" fillId="0" borderId="0" applyNumberFormat="0" applyAlignment="0"/>
    <xf numFmtId="0" fontId="6" fillId="11" borderId="0">
      <alignment horizontal="general" vertical="center"/>
    </xf>
    <xf numFmtId="0" fontId="7" fillId="44" borderId="0" applyBorder="0" applyNumberFormat="0" applyAlignment="0" applyProtection="0"/>
    <xf numFmtId="0" fontId="8" fillId="5" borderId="0" applyBorder="0" applyNumberFormat="0" applyAlignment="0" applyProtection="0"/>
    <xf numFmtId="0" fontId="9" fillId="0" borderId="0" applyFill="0" applyBorder="0" applyNumberFormat="0" applyAlignment="0" applyProtection="0"/>
    <xf numFmtId="0" fontId="10" fillId="0" borderId="1" applyFill="0" applyNumberFormat="0" applyAlignment="0" applyProtection="0"/>
    <xf numFmtId="0" fontId="11" fillId="0" borderId="2"/>
    <xf numFmtId="172" fontId="1" fillId="0" borderId="0" applyFont="0" applyFill="0" applyBorder="0" applyAlignment="0" applyProtection="0"/>
    <xf numFmtId="0" fontId="12" fillId="45" borderId="3" applyNumberFormat="0" applyAlignment="0" applyProtection="0"/>
    <xf numFmtId="0" fontId="13" fillId="46" borderId="4" applyNumberFormat="0" applyAlignment="0" applyProtection="0"/>
    <xf numFmtId="0" fontId="14" fillId="47" borderId="5" applyNumberFormat="0" applyAlignment="0" applyProtection="0"/>
    <xf numFmtId="0" fontId="15" fillId="48" borderId="6" applyNumberFormat="0" applyAlignment="0" applyProtection="0"/>
    <xf numFmtId="0" fontId="16" fillId="46" borderId="2">
      <alignment horizontal="center" vertical="center"/>
    </xf>
    <xf numFmtId="0" fontId="17" fillId="46" borderId="2">
      <alignment horizontal="center" vertical="bottom" wrapText="1"/>
    </xf>
    <xf numFmtId="0" fontId="16" fillId="46" borderId="2" applyFont="0" applyFill="0">
      <alignment horizontal="center" vertical="top"/>
    </xf>
    <xf numFmtId="173" fontId="0" fillId="0" borderId="0" applyFont="0" applyFill="0" applyBorder="0" applyAlignment="0" applyProtection="0"/>
    <xf numFmtId="174" fontId="18" fillId="0" borderId="0"/>
    <xf numFmtId="173" fontId="19" fillId="0" borderId="0" applyFont="0" applyFill="0" applyBorder="0" applyAlignment="0" applyProtection="0"/>
    <xf numFmtId="173" fontId="20" fillId="0" borderId="0" applyFont="0" applyFill="0" applyBorder="0" applyAlignment="0" applyProtection="0"/>
    <xf numFmtId="173" fontId="21" fillId="0" borderId="0" applyFont="0" applyFill="0" applyBorder="0" applyAlignment="0" applyProtection="0"/>
    <xf numFmtId="3" fontId="22" fillId="0" borderId="0" applyFont="0" applyFill="0" applyBorder="0" applyAlignment="0" applyProtection="0"/>
    <xf numFmtId="243" fontId="0" fillId="0" borderId="0" applyFont="0" applyFill="0" applyBorder="0" applyAlignment="0" applyProtection="0"/>
    <xf numFmtId="243" fontId="19" fillId="0" borderId="0" applyFont="0" applyFill="0" applyBorder="0" applyAlignment="0" applyProtection="0"/>
    <xf numFmtId="243" fontId="21" fillId="0" borderId="0" applyFont="0" applyFill="0" applyBorder="0" applyAlignment="0" applyProtection="0"/>
    <xf numFmtId="243" fontId="23" fillId="0" borderId="0" applyFont="0" applyFill="0" applyBorder="0" applyAlignment="0" applyProtection="0"/>
    <xf numFmtId="243" fontId="2" fillId="0" borderId="0" applyFont="0" applyFill="0" applyBorder="0" applyAlignment="0" applyProtection="0"/>
    <xf numFmtId="243" fontId="24" fillId="0" borderId="0" applyFont="0" applyFill="0" applyBorder="0" applyAlignment="0" applyProtection="0"/>
    <xf numFmtId="307" fontId="22" fillId="0" borderId="0" applyFont="0" applyFill="0" applyBorder="0" applyAlignment="0" applyProtection="0"/>
    <xf numFmtId="308" fontId="25" fillId="15" borderId="2">
      <protection locked="0"/>
    </xf>
    <xf numFmtId="309" fontId="25" fillId="49" borderId="2">
      <protection locked="0"/>
    </xf>
    <xf numFmtId="308" fontId="25" fillId="15" borderId="7">
      <protection locked="0"/>
    </xf>
    <xf numFmtId="308" fontId="25" fillId="15" borderId="2">
      <alignment horizontal="center" vertical="bottom"/>
      <protection locked="0"/>
    </xf>
    <xf numFmtId="308" fontId="25" fillId="15" borderId="7">
      <alignment horizontal="center" vertical="bottom"/>
      <protection locked="0"/>
    </xf>
    <xf numFmtId="308" fontId="26" fillId="15" borderId="2">
      <protection locked="0"/>
    </xf>
    <xf numFmtId="308" fontId="27" fillId="15" borderId="2">
      <protection locked="0"/>
    </xf>
    <xf numFmtId="308" fontId="25" fillId="7" borderId="2"/>
    <xf numFmtId="309" fontId="25" fillId="7" borderId="2"/>
    <xf numFmtId="308" fontId="28" fillId="7" borderId="2"/>
    <xf numFmtId="309" fontId="28" fillId="7" borderId="2"/>
    <xf numFmtId="308" fontId="26" fillId="7" borderId="2"/>
    <xf numFmtId="308" fontId="29" fillId="7" borderId="2"/>
    <xf numFmtId="308" fontId="25" fillId="7" borderId="2">
      <alignment horizontal="center" vertical="bottom"/>
    </xf>
    <xf numFmtId="308" fontId="28" fillId="7" borderId="2">
      <alignment horizontal="center" vertical="bottom"/>
    </xf>
    <xf numFmtId="324" fontId="28" fillId="7" borderId="2">
      <alignment horizontal="center" vertical="bottom"/>
    </xf>
    <xf numFmtId="324" fontId="28" fillId="7" borderId="8">
      <alignment horizontal="center" vertical="bottom"/>
    </xf>
    <xf numFmtId="324" fontId="30" fillId="7" borderId="8">
      <alignment horizontal="right" vertical="bottom"/>
    </xf>
    <xf numFmtId="324" fontId="25" fillId="7" borderId="2">
      <alignment horizontal="left" vertical="bottom"/>
    </xf>
    <xf numFmtId="324" fontId="28" fillId="7" borderId="2">
      <alignment horizontal="right" vertical="bottom"/>
    </xf>
    <xf numFmtId="308" fontId="17" fillId="7" borderId="2"/>
    <xf numFmtId="308" fontId="25" fillId="7" borderId="9" applyBorder="0">
      <alignment horizontal="left" vertical="bottom"/>
    </xf>
    <xf numFmtId="324" fontId="25" fillId="7" borderId="2"/>
    <xf numFmtId="308" fontId="25" fillId="7" borderId="2">
      <alignment horizontal="right" vertical="bottom"/>
    </xf>
    <xf numFmtId="308" fontId="25" fillId="7" borderId="10"/>
    <xf numFmtId="308" fontId="17" fillId="49" borderId="2">
      <protection locked="0"/>
    </xf>
    <xf numFmtId="309" fontId="28" fillId="49" borderId="2">
      <protection locked="0"/>
    </xf>
    <xf numFmtId="308" fontId="26" fillId="15" borderId="2">
      <alignment horizontal="right" vertical="bottom"/>
      <protection locked="0"/>
    </xf>
    <xf numFmtId="308" fontId="25" fillId="15" borderId="2">
      <alignment horizontal="right" vertical="bottom"/>
      <protection locked="0"/>
    </xf>
    <xf numFmtId="1163" fontId="25" fillId="15" borderId="2">
      <protection locked="0"/>
    </xf>
    <xf numFmtId="1163" fontId="25" fillId="7" borderId="2"/>
    <xf numFmtId="1163" fontId="17" fillId="7" borderId="2"/>
    <xf numFmtId="308" fontId="25" fillId="15" borderId="2">
      <alignment horizontal="left" vertical="bottom"/>
      <protection locked="0"/>
    </xf>
    <xf numFmtId="308" fontId="27" fillId="0" borderId="2"/>
    <xf numFmtId="308" fontId="25" fillId="15" borderId="10">
      <protection locked="0"/>
    </xf>
    <xf numFmtId="324" fontId="25" fillId="15" borderId="2">
      <protection locked="0"/>
    </xf>
    <xf numFmtId="39" fontId="31" fillId="0" borderId="0">
      <alignment horizontal="right" vertical="bottom"/>
    </xf>
    <xf numFmtId="0" fontId="22" fillId="0" borderId="0" applyFont="0" applyFill="0" applyBorder="0" applyAlignment="0" applyProtection="0"/>
    <xf numFmtId="58" fontId="32" fillId="0" borderId="0" applyFill="0" applyBorder="0" applyAlignment="0"/>
    <xf numFmtId="1993" fontId="25" fillId="49" borderId="2">
      <protection locked="0"/>
    </xf>
    <xf numFmtId="1993" fontId="26" fillId="15" borderId="2">
      <protection locked="0"/>
    </xf>
    <xf numFmtId="1993" fontId="25" fillId="49" borderId="2">
      <alignment horizontal="left" vertical="bottom"/>
      <protection locked="0"/>
    </xf>
    <xf numFmtId="1993" fontId="25" fillId="7" borderId="11" applyBorder="0">
      <alignment horizontal="center" vertical="center"/>
    </xf>
    <xf numFmtId="1993" fontId="25" fillId="49" borderId="2">
      <alignment horizontal="center" vertical="center"/>
      <protection locked="0"/>
    </xf>
    <xf numFmtId="58" fontId="25" fillId="49" borderId="9" applyBorder="0">
      <alignment horizontal="center" vertical="bottom"/>
      <protection locked="0"/>
    </xf>
    <xf numFmtId="58" fontId="25" fillId="49" borderId="9" applyBorder="0">
      <alignment horizontal="left" vertical="bottom"/>
      <protection locked="0"/>
    </xf>
    <xf numFmtId="58" fontId="25" fillId="49" borderId="9" applyBorder="0">
      <alignment horizontal="right" vertical="bottom"/>
      <protection locked="0"/>
    </xf>
    <xf numFmtId="1998" fontId="25" fillId="50" borderId="2">
      <alignment horizontal="center" vertical="bottom"/>
    </xf>
    <xf numFmtId="1993" fontId="25" fillId="7" borderId="2"/>
    <xf numFmtId="1993" fontId="26" fillId="49" borderId="2">
      <alignment horizontal="right" vertical="bottom"/>
      <protection locked="0"/>
    </xf>
    <xf numFmtId="1993" fontId="25" fillId="49" borderId="2">
      <alignment horizontal="right" vertical="bottom"/>
      <protection locked="0"/>
    </xf>
    <xf numFmtId="1993" fontId="25" fillId="7" borderId="2">
      <alignment horizontal="left" vertical="bottom"/>
    </xf>
    <xf numFmtId="2003" fontId="25" fillId="50" borderId="2">
      <alignment horizontal="center" vertical="center"/>
    </xf>
    <xf numFmtId="2003" fontId="25" fillId="49" borderId="2">
      <alignment horizontal="center" vertical="center"/>
      <protection locked="0"/>
    </xf>
    <xf numFmtId="0" fontId="6" fillId="7" borderId="2">
      <alignment horizontal="general" vertical="center"/>
    </xf>
    <xf numFmtId="0" fontId="25" fillId="49" borderId="2">
      <protection locked="0"/>
    </xf>
    <xf numFmtId="0" fontId="25" fillId="49" borderId="2">
      <alignment horizontal="center" vertical="center" wrapText="1"/>
      <protection locked="0"/>
    </xf>
    <xf numFmtId="0" fontId="25" fillId="49" borderId="7">
      <alignment horizontal="center" vertical="center" wrapText="1"/>
      <protection locked="0"/>
    </xf>
    <xf numFmtId="1" fontId="25" fillId="49" borderId="2">
      <alignment horizontal="center" vertical="center" wrapText="1"/>
      <protection locked="0"/>
    </xf>
    <xf numFmtId="0" fontId="33" fillId="49" borderId="0">
      <protection locked="0"/>
    </xf>
    <xf numFmtId="0" fontId="25" fillId="49" borderId="2">
      <alignment horizontal="right" vertical="bottom"/>
      <protection locked="0"/>
    </xf>
    <xf numFmtId="1" fontId="17" fillId="7" borderId="2">
      <alignment horizontal="right" vertical="center" shrinkToFit="1" indent="1"/>
      <protection locked="0"/>
    </xf>
    <xf numFmtId="0" fontId="34" fillId="50" borderId="2"/>
    <xf numFmtId="308" fontId="25" fillId="15" borderId="12">
      <alignment horizontal="center" vertical="bottom"/>
      <protection locked="0"/>
    </xf>
    <xf numFmtId="308" fontId="25" fillId="15" borderId="12">
      <alignment horizontal="right" vertical="bottom"/>
      <protection locked="0"/>
    </xf>
    <xf numFmtId="1993" fontId="25" fillId="49" borderId="12">
      <alignment horizontal="center" vertical="center"/>
      <protection locked="0"/>
    </xf>
    <xf numFmtId="0" fontId="25" fillId="49" borderId="12">
      <protection locked="0"/>
    </xf>
    <xf numFmtId="0" fontId="25" fillId="49" borderId="12">
      <alignment horizontal="right" vertical="bottom"/>
      <protection locked="0"/>
    </xf>
    <xf numFmtId="3" fontId="25" fillId="15" borderId="12">
      <alignment horizontal="center" vertical="bottom"/>
      <protection locked="0"/>
    </xf>
    <xf numFmtId="0" fontId="33" fillId="49" borderId="12">
      <alignment horizontal="center" vertical="center" wrapText="1"/>
      <protection locked="0"/>
    </xf>
    <xf numFmtId="0" fontId="19" fillId="0" borderId="13" applyFont="0" applyFill="0" applyNumberFormat="0" applyAlignment="0" applyProtection="0"/>
    <xf numFmtId="0" fontId="35" fillId="0" borderId="0" applyFill="0" applyBorder="0" applyNumberFormat="0" applyAlignment="0" applyProtection="0"/>
    <xf numFmtId="0" fontId="36" fillId="0" borderId="0" applyFill="0" applyBorder="0" applyNumberFormat="0" applyAlignment="0" applyProtection="0"/>
    <xf numFmtId="2" fontId="22" fillId="0" borderId="0" applyFont="0" applyFill="0" applyBorder="0" applyAlignment="0" applyProtection="0"/>
    <xf numFmtId="0" fontId="37" fillId="0" borderId="0"/>
    <xf numFmtId="0" fontId="38" fillId="51" borderId="0" applyBorder="0" applyNumberFormat="0" applyAlignment="0" applyProtection="0"/>
    <xf numFmtId="0" fontId="39" fillId="7" borderId="0" applyBorder="0" applyNumberFormat="0" applyAlignment="0" applyProtection="0"/>
    <xf numFmtId="38" fontId="5" fillId="46" borderId="0" applyBorder="0" applyNumberFormat="0" applyAlignment="0" applyProtection="0"/>
    <xf numFmtId="0" fontId="40" fillId="50" borderId="0">
      <alignment horizontal="center" vertical="bottom"/>
    </xf>
    <xf numFmtId="0" fontId="41" fillId="0" borderId="0" applyFill="0" applyBorder="0" applyNumberFormat="0" applyAlignment="0" applyProtection="0">
      <alignment horizontal="left" vertical="bottom"/>
    </xf>
    <xf numFmtId="0" fontId="21" fillId="15" borderId="9">
      <alignment horizontal="centerContinuous" vertical="center"/>
    </xf>
    <xf numFmtId="1993" fontId="25" fillId="50" borderId="0">
      <alignment horizontal="left" vertical="bottom"/>
    </xf>
    <xf numFmtId="4004" fontId="25" fillId="50" borderId="0">
      <alignment horizontal="left" vertical="bottom"/>
    </xf>
    <xf numFmtId="0" fontId="42" fillId="0" borderId="14" applyNumberFormat="0" applyAlignment="0" applyProtection="0">
      <alignment horizontal="left" vertical="center"/>
    </xf>
    <xf numFmtId="0" fontId="33" fillId="50" borderId="0">
      <alignment horizontal="right" vertical="bottom"/>
    </xf>
    <xf numFmtId="0" fontId="33" fillId="50" borderId="2">
      <alignment horizontal="center" vertical="center"/>
    </xf>
    <xf numFmtId="0" fontId="16" fillId="50" borderId="2" applyBorder="0">
      <alignment horizontal="center" vertical="center"/>
    </xf>
    <xf numFmtId="0" fontId="33" fillId="50" borderId="0">
      <alignment horizontal="left" vertical="bottom"/>
    </xf>
    <xf numFmtId="0" fontId="16" fillId="50" borderId="0">
      <alignment horizontal="left" vertical="bottom"/>
    </xf>
    <xf numFmtId="0" fontId="33" fillId="50" borderId="2">
      <alignment horizontal="left" vertical="bottom"/>
    </xf>
    <xf numFmtId="0" fontId="43" fillId="50" borderId="0">
      <alignment horizontal="center" vertical="center"/>
    </xf>
    <xf numFmtId="0" fontId="43" fillId="50" borderId="0">
      <alignment horizontal="left" vertical="bottom"/>
    </xf>
    <xf numFmtId="0" fontId="44" fillId="50" borderId="0">
      <alignment horizontal="center" vertical="center" wrapText="1"/>
    </xf>
    <xf numFmtId="0" fontId="44" fillId="50" borderId="15">
      <alignment horizontal="center" vertical="center" wrapText="1"/>
    </xf>
    <xf numFmtId="0" fontId="42" fillId="0" borderId="16">
      <alignment horizontal="left" vertical="center"/>
    </xf>
    <xf numFmtId="0" fontId="40" fillId="50" borderId="2">
      <alignment horizontal="center" vertical="bottom"/>
    </xf>
    <xf numFmtId="0" fontId="40" fillId="50" borderId="17">
      <alignment horizontal="left" vertical="bottom"/>
    </xf>
    <xf numFmtId="0" fontId="45" fillId="7" borderId="18" applyBorder="0">
      <alignment horizontal="left" vertical="bottom"/>
    </xf>
    <xf numFmtId="0" fontId="46" fillId="0" borderId="19" applyFill="0" applyNumberFormat="0" applyAlignment="0" applyProtection="0"/>
    <xf numFmtId="0" fontId="47" fillId="0" borderId="0" applyFill="0" applyBorder="0" applyNumberFormat="0" applyAlignment="0" applyProtection="0"/>
    <xf numFmtId="0" fontId="48" fillId="0" borderId="20" applyFill="0" applyNumberFormat="0" applyAlignment="0" applyProtection="0"/>
    <xf numFmtId="0" fontId="49" fillId="0" borderId="0" applyFill="0" applyBorder="0" applyNumberFormat="0" applyAlignment="0" applyProtection="0"/>
    <xf numFmtId="0" fontId="50" fillId="0" borderId="21" applyFill="0" applyNumberFormat="0" applyAlignment="0" applyProtection="0"/>
    <xf numFmtId="0" fontId="51" fillId="0" borderId="22" applyFill="0" applyNumberFormat="0" applyAlignment="0" applyProtection="0"/>
    <xf numFmtId="0" fontId="50" fillId="0" borderId="0" applyFill="0" applyBorder="0" applyNumberFormat="0" applyAlignment="0" applyProtection="0"/>
    <xf numFmtId="0" fontId="51" fillId="0" borderId="0" applyFill="0" applyBorder="0" applyNumberFormat="0" applyAlignment="0" applyProtection="0"/>
    <xf numFmtId="0" fontId="52" fillId="0" borderId="0" applyFill="0" applyBorder="0" applyNumberFormat="0" applyAlignment="0" applyProtection="0">
      <alignment horizontal="general" vertical="top"/>
      <protection locked="0"/>
    </xf>
    <xf numFmtId="0" fontId="53" fillId="0" borderId="0" applyFill="0" applyBorder="0" applyNumberFormat="0" applyAlignment="0" applyProtection="0">
      <alignment horizontal="general" vertical="top"/>
      <protection locked="0"/>
    </xf>
    <xf numFmtId="0" fontId="54" fillId="0" borderId="0" applyFill="0" applyBorder="0" applyNumberFormat="0" applyAlignment="0" applyProtection="0">
      <alignment horizontal="general" vertical="top"/>
      <protection locked="0"/>
    </xf>
    <xf numFmtId="0" fontId="55" fillId="0" borderId="0" applyFill="0" applyBorder="0" applyNumberFormat="0" applyAlignment="0" applyProtection="0"/>
    <xf numFmtId="0" fontId="56" fillId="0" borderId="0" applyFill="0" applyBorder="0" applyNumberFormat="0" applyAlignment="0" applyProtection="0">
      <alignment horizontal="general" vertical="top"/>
      <protection locked="0"/>
    </xf>
    <xf numFmtId="0" fontId="57" fillId="0" borderId="0" applyFill="0" applyBorder="0" applyNumberFormat="0" applyProtection="0">
      <alignment horizontal="left" vertical="top" wrapText="1" indent="1"/>
      <protection locked="0"/>
    </xf>
    <xf numFmtId="0" fontId="58" fillId="0" borderId="0" applyFont="0" applyBorder="0" applyNumberFormat="0" applyAlignment="0">
      <alignment horizontal="centerContinuous" vertical="bottom"/>
    </xf>
    <xf numFmtId="0" fontId="59" fillId="13" borderId="3" applyNumberFormat="0" applyAlignment="0" applyProtection="0"/>
    <xf numFmtId="10" fontId="5" fillId="52" borderId="2" applyBorder="0" applyNumberFormat="0" applyAlignment="0" applyProtection="0"/>
    <xf numFmtId="10" fontId="5" fillId="52" borderId="2"/>
    <xf numFmtId="0" fontId="60" fillId="13" borderId="4" applyNumberFormat="0" applyAlignment="0" applyProtection="0"/>
    <xf numFmtId="0" fontId="61" fillId="0" borderId="0" applyFont="0" applyFill="0" applyBorder="0" applyNumberFormat="0" applyProtection="0">
      <alignment horizontal="left" vertical="center"/>
    </xf>
    <xf numFmtId="0" fontId="62" fillId="0" borderId="23" applyFill="0" applyNumberFormat="0" applyAlignment="0" applyProtection="0"/>
    <xf numFmtId="0" fontId="63" fillId="0" borderId="24" applyFill="0" applyNumberFormat="0" applyAlignment="0" applyProtection="0"/>
    <xf numFmtId="0" fontId="21" fillId="0" borderId="2">
      <alignment horizontal="centerContinuous" vertical="bottom"/>
    </xf>
    <xf numFmtId="4005" fontId="64" fillId="0" borderId="0" applyFont="0" applyFill="0" applyBorder="0" applyAlignment="0" applyProtection="0"/>
    <xf numFmtId="4006" fontId="64" fillId="0" borderId="0" applyFont="0" applyFill="0" applyBorder="0" applyAlignment="0" applyProtection="0"/>
    <xf numFmtId="4007" fontId="64" fillId="0" borderId="0" applyFont="0" applyFill="0" applyBorder="0" applyAlignment="0" applyProtection="0"/>
    <xf numFmtId="4008" fontId="64" fillId="0" borderId="0" applyFont="0" applyFill="0" applyBorder="0" applyAlignment="0" applyProtection="0"/>
    <xf numFmtId="0" fontId="65" fillId="53" borderId="0" applyBorder="0" applyNumberFormat="0" applyAlignment="0" applyProtection="0"/>
    <xf numFmtId="0" fontId="66" fillId="54" borderId="0" applyBorder="0" applyNumberFormat="0" applyAlignment="0" applyProtection="0"/>
    <xf numFmtId="37" fontId="67" fillId="0" borderId="0"/>
    <xf numFmtId="4009" fontId="19" fillId="0" borderId="0"/>
    <xf numFmtId="4010" fontId="68" fillId="0" borderId="0"/>
    <xf numFmtId="0" fontId="25" fillId="0" borderId="0"/>
    <xf numFmtId="0" fontId="19" fillId="0" borderId="0"/>
    <xf numFmtId="0" fontId="25" fillId="50" borderId="0"/>
    <xf numFmtId="0" fontId="2" fillId="0" borderId="0"/>
    <xf numFmtId="0" fontId="69" fillId="0" borderId="0"/>
    <xf numFmtId="0" fontId="19" fillId="0" borderId="0">
      <alignment horizontal="left" vertical="bottom" wrapText="1"/>
    </xf>
    <xf numFmtId="0" fontId="19" fillId="0" borderId="0">
      <alignment horizontal="general" vertical="center"/>
    </xf>
    <xf numFmtId="0" fontId="20" fillId="0" borderId="0"/>
    <xf numFmtId="0" fontId="24" fillId="0" borderId="0"/>
    <xf numFmtId="0" fontId="70" fillId="0" borderId="2"/>
    <xf numFmtId="0" fontId="71" fillId="0" borderId="0"/>
    <xf numFmtId="0" fontId="23" fillId="0" borderId="0"/>
    <xf numFmtId="0" fontId="72" fillId="0" borderId="0"/>
    <xf numFmtId="0" fontId="1" fillId="0" borderId="0"/>
    <xf numFmtId="0" fontId="25" fillId="50" borderId="0">
      <protection locked="0"/>
    </xf>
    <xf numFmtId="0" fontId="0" fillId="52" borderId="25" applyFont="0" applyNumberFormat="0" applyAlignment="0" applyProtection="0"/>
    <xf numFmtId="0" fontId="19" fillId="52" borderId="26" applyFont="0" applyNumberFormat="0" applyAlignment="0" applyProtection="0"/>
    <xf numFmtId="3" fontId="25" fillId="15" borderId="2">
      <protection locked="0"/>
    </xf>
    <xf numFmtId="3" fontId="25" fillId="15" borderId="2">
      <alignment horizontal="center" vertical="bottom"/>
      <protection locked="0"/>
    </xf>
    <xf numFmtId="3" fontId="25" fillId="15" borderId="2">
      <alignment horizontal="center" vertical="center"/>
      <protection locked="0"/>
    </xf>
    <xf numFmtId="3" fontId="26" fillId="15" borderId="2">
      <protection locked="0"/>
    </xf>
    <xf numFmtId="3" fontId="27" fillId="15" borderId="2">
      <protection locked="0"/>
    </xf>
    <xf numFmtId="3" fontId="25" fillId="7" borderId="2"/>
    <xf numFmtId="3" fontId="28" fillId="7" borderId="2"/>
    <xf numFmtId="3" fontId="25" fillId="7" borderId="2">
      <alignment horizontal="center" vertical="bottom"/>
    </xf>
    <xf numFmtId="3" fontId="25" fillId="7" borderId="0">
      <alignment horizontal="center" vertical="bottom"/>
    </xf>
    <xf numFmtId="1" fontId="25" fillId="7" borderId="2">
      <alignment horizontal="center" vertical="bottom"/>
    </xf>
    <xf numFmtId="3" fontId="28" fillId="7" borderId="2">
      <alignment horizontal="center" vertical="bottom"/>
    </xf>
    <xf numFmtId="4011" fontId="25" fillId="7" borderId="2">
      <alignment horizontal="center" vertical="bottom"/>
    </xf>
    <xf numFmtId="1" fontId="25" fillId="7" borderId="2"/>
    <xf numFmtId="1" fontId="25" fillId="7" borderId="2">
      <alignment horizontal="general" vertical="center"/>
    </xf>
    <xf numFmtId="1" fontId="25" fillId="7" borderId="0">
      <alignment horizontal="right" vertical="bottom"/>
    </xf>
    <xf numFmtId="3" fontId="17" fillId="7" borderId="2"/>
    <xf numFmtId="3" fontId="26" fillId="15" borderId="2">
      <alignment horizontal="right" vertical="bottom"/>
      <protection locked="0"/>
    </xf>
    <xf numFmtId="3" fontId="25" fillId="7" borderId="2">
      <alignment horizontal="left" vertical="bottom"/>
    </xf>
    <xf numFmtId="3" fontId="26" fillId="7" borderId="2">
      <alignment horizontal="center" vertical="bottom"/>
    </xf>
    <xf numFmtId="3" fontId="17" fillId="0" borderId="2">
      <protection locked="0"/>
    </xf>
    <xf numFmtId="3" fontId="25" fillId="15" borderId="7">
      <alignment horizontal="center" vertical="bottom"/>
      <protection locked="0"/>
    </xf>
    <xf numFmtId="1" fontId="25" fillId="15" borderId="2">
      <alignment horizontal="left" vertical="bottom"/>
      <protection locked="0"/>
    </xf>
    <xf numFmtId="172" fontId="25" fillId="7" borderId="2">
      <alignment horizontal="right" vertical="bottom"/>
    </xf>
    <xf numFmtId="172" fontId="26" fillId="7" borderId="2">
      <alignment horizontal="right" vertical="bottom"/>
    </xf>
    <xf numFmtId="4014" fontId="25" fillId="7" borderId="2">
      <alignment horizontal="right" vertical="bottom"/>
    </xf>
    <xf numFmtId="172" fontId="25" fillId="15" borderId="2">
      <alignment horizontal="center" vertical="bottom"/>
      <protection locked="0"/>
    </xf>
    <xf numFmtId="4014" fontId="25" fillId="15" borderId="2">
      <alignment horizontal="center" vertical="bottom"/>
      <protection locked="0"/>
    </xf>
    <xf numFmtId="4014" fontId="25" fillId="15" borderId="7">
      <alignment horizontal="center" vertical="bottom"/>
      <protection locked="0"/>
    </xf>
    <xf numFmtId="172" fontId="25" fillId="15" borderId="2">
      <alignment horizontal="left" vertical="bottom"/>
      <protection locked="0"/>
    </xf>
    <xf numFmtId="172" fontId="25" fillId="15" borderId="2">
      <alignment horizontal="right" vertical="bottom"/>
      <protection locked="0"/>
    </xf>
    <xf numFmtId="4" fontId="25" fillId="15" borderId="2">
      <protection locked="0"/>
    </xf>
    <xf numFmtId="4" fontId="25" fillId="7" borderId="2">
      <alignment horizontal="center" vertical="bottom"/>
    </xf>
    <xf numFmtId="4" fontId="25" fillId="7" borderId="2"/>
    <xf numFmtId="4" fontId="25" fillId="7" borderId="2">
      <alignment horizontal="right" vertical="bottom"/>
    </xf>
    <xf numFmtId="4" fontId="25" fillId="15" borderId="2">
      <alignment horizontal="center" vertical="bottom"/>
      <protection locked="0"/>
    </xf>
    <xf numFmtId="4" fontId="25" fillId="15" borderId="2">
      <alignment horizontal="left" vertical="bottom"/>
      <protection locked="0"/>
    </xf>
    <xf numFmtId="4020" fontId="25" fillId="49" borderId="2">
      <protection locked="0"/>
    </xf>
    <xf numFmtId="4020" fontId="25" fillId="15" borderId="2">
      <protection locked="0"/>
    </xf>
    <xf numFmtId="4020" fontId="26" fillId="49" borderId="2">
      <protection locked="0"/>
    </xf>
    <xf numFmtId="4020" fontId="25" fillId="7" borderId="2"/>
    <xf numFmtId="4020" fontId="28" fillId="7" borderId="2"/>
    <xf numFmtId="4020" fontId="25" fillId="7" borderId="2">
      <alignment horizontal="center" vertical="bottom"/>
    </xf>
    <xf numFmtId="4020" fontId="26" fillId="7" borderId="2"/>
    <xf numFmtId="4020" fontId="25" fillId="49" borderId="2">
      <alignment horizontal="center" vertical="bottom"/>
      <protection locked="0"/>
    </xf>
    <xf numFmtId="4020" fontId="25" fillId="49" borderId="2">
      <alignment horizontal="right" vertical="bottom"/>
      <protection locked="0"/>
    </xf>
    <xf numFmtId="4029" fontId="25" fillId="7" borderId="2"/>
    <xf numFmtId="3" fontId="25" fillId="15" borderId="9" applyBorder="0">
      <alignment horizontal="center" vertical="bottom"/>
      <protection locked="0"/>
    </xf>
    <xf numFmtId="1" fontId="25" fillId="15" borderId="2">
      <alignment horizontal="center" vertical="bottom"/>
      <protection locked="0"/>
    </xf>
    <xf numFmtId="1" fontId="25" fillId="15" borderId="2">
      <alignment horizontal="right" vertical="bottom"/>
      <protection locked="0"/>
    </xf>
    <xf numFmtId="4030" fontId="25" fillId="15" borderId="2">
      <protection locked="0"/>
    </xf>
    <xf numFmtId="0" fontId="73" fillId="45" borderId="27" applyNumberFormat="0" applyAlignment="0" applyProtection="0"/>
    <xf numFmtId="0" fontId="74" fillId="46" borderId="28" applyNumberFormat="0" applyAlignment="0" applyProtection="0"/>
    <xf numFmtId="0" fontId="19" fillId="0" borderId="29" applyFont="0" applyFill="0" applyNumberFormat="0" applyAlignment="0" applyProtection="0"/>
    <xf numFmtId="0" fontId="44" fillId="50" borderId="0"/>
    <xf numFmtId="9" fontId="0"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3" fillId="0" borderId="0" applyFont="0" applyFill="0" applyBorder="0" applyAlignment="0" applyProtection="0"/>
    <xf numFmtId="9" fontId="24" fillId="0" borderId="0" applyFont="0" applyFill="0" applyBorder="0" applyAlignment="0" applyProtection="0"/>
    <xf numFmtId="4031" fontId="25" fillId="49" borderId="2">
      <protection locked="0"/>
    </xf>
    <xf numFmtId="4031" fontId="25" fillId="49" borderId="2">
      <alignment horizontal="center" vertical="bottom"/>
      <protection locked="0"/>
    </xf>
    <xf numFmtId="4031" fontId="25" fillId="49" borderId="2">
      <alignment horizontal="right" vertical="bottom"/>
      <protection locked="0"/>
    </xf>
    <xf numFmtId="4031" fontId="25" fillId="7" borderId="2"/>
    <xf numFmtId="4031" fontId="25" fillId="7" borderId="2">
      <alignment horizontal="center" vertical="bottom"/>
    </xf>
    <xf numFmtId="4031" fontId="28" fillId="7" borderId="2">
      <alignment horizontal="center" vertical="bottom"/>
    </xf>
    <xf numFmtId="4031" fontId="75" fillId="7" borderId="2"/>
    <xf numFmtId="4031" fontId="17" fillId="7" borderId="2"/>
    <xf numFmtId="4031" fontId="17" fillId="15" borderId="2">
      <protection locked="0"/>
    </xf>
    <xf numFmtId="9" fontId="17" fillId="7" borderId="2"/>
    <xf numFmtId="9" fontId="17" fillId="15" borderId="2">
      <protection locked="0"/>
    </xf>
    <xf numFmtId="10" fontId="25" fillId="49" borderId="2">
      <protection locked="0"/>
    </xf>
    <xf numFmtId="10" fontId="25" fillId="15" borderId="2">
      <protection locked="0"/>
    </xf>
    <xf numFmtId="10" fontId="25" fillId="7" borderId="2"/>
    <xf numFmtId="10" fontId="25" fillId="7" borderId="2">
      <alignment horizontal="center" vertical="bottom"/>
    </xf>
    <xf numFmtId="10" fontId="17" fillId="7" borderId="2"/>
    <xf numFmtId="10" fontId="25" fillId="49" borderId="2">
      <alignment horizontal="center" vertical="bottom"/>
      <protection locked="0"/>
    </xf>
    <xf numFmtId="10" fontId="25" fillId="49" borderId="2">
      <alignment horizontal="center" vertical="center"/>
      <protection locked="0"/>
    </xf>
    <xf numFmtId="10" fontId="17" fillId="15" borderId="2">
      <protection locked="0"/>
    </xf>
    <xf numFmtId="10" fontId="25" fillId="49" borderId="2">
      <alignment horizontal="left" vertical="bottom"/>
      <protection locked="0"/>
    </xf>
    <xf numFmtId="10" fontId="25" fillId="49" borderId="2">
      <alignment horizontal="center" vertical="center"/>
    </xf>
    <xf numFmtId="10" fontId="25" fillId="49" borderId="2">
      <alignment horizontal="right" vertical="bottom"/>
      <protection locked="0"/>
    </xf>
    <xf numFmtId="4041" fontId="25" fillId="49" borderId="2">
      <protection locked="0"/>
    </xf>
    <xf numFmtId="4041" fontId="25" fillId="15" borderId="2">
      <protection locked="0"/>
    </xf>
    <xf numFmtId="4041" fontId="25" fillId="7" borderId="2"/>
    <xf numFmtId="4041" fontId="28" fillId="7" borderId="2"/>
    <xf numFmtId="4041" fontId="30" fillId="7" borderId="2"/>
    <xf numFmtId="4041" fontId="26" fillId="7" borderId="2"/>
    <xf numFmtId="4041" fontId="25" fillId="7" borderId="2">
      <alignment horizontal="center" vertical="bottom"/>
    </xf>
    <xf numFmtId="4041" fontId="25" fillId="49" borderId="2">
      <alignment horizontal="center" vertical="bottom"/>
      <protection locked="0"/>
    </xf>
    <xf numFmtId="4041" fontId="25" fillId="49" borderId="9" applyBorder="0">
      <alignment horizontal="left" vertical="bottom"/>
      <protection locked="0"/>
    </xf>
    <xf numFmtId="4041" fontId="25" fillId="49" borderId="2">
      <alignment horizontal="right" vertical="bottom"/>
      <protection locked="0"/>
    </xf>
    <xf numFmtId="4051" fontId="25" fillId="49" borderId="2">
      <alignment horizontal="center" vertical="bottom"/>
      <protection locked="0"/>
    </xf>
    <xf numFmtId="4051" fontId="25" fillId="49" borderId="2">
      <alignment horizontal="center" vertical="center"/>
    </xf>
    <xf numFmtId="4053" fontId="25" fillId="15" borderId="2">
      <alignment horizontal="center" vertical="bottom"/>
      <protection locked="0"/>
    </xf>
    <xf numFmtId="4053" fontId="25" fillId="15" borderId="2">
      <protection locked="0"/>
    </xf>
    <xf numFmtId="4053" fontId="25" fillId="7" borderId="2"/>
    <xf numFmtId="4053" fontId="25" fillId="7" borderId="2">
      <alignment horizontal="center" vertical="bottom"/>
    </xf>
    <xf numFmtId="9" fontId="25" fillId="49" borderId="2">
      <alignment horizontal="center" vertical="center"/>
      <protection locked="0"/>
    </xf>
    <xf numFmtId="0" fontId="6" fillId="48" borderId="0">
      <protection locked="0"/>
    </xf>
    <xf numFmtId="0" fontId="64" fillId="0" borderId="0" applyFont="0" applyFill="0" applyBorder="0" applyNumberFormat="0" applyAlignment="0" applyProtection="0">
      <alignment horizontal="left" vertical="bottom"/>
    </xf>
    <xf numFmtId="15" fontId="64" fillId="0" borderId="0" applyFont="0" applyFill="0" applyBorder="0" applyAlignment="0" applyProtection="0"/>
    <xf numFmtId="4" fontId="64" fillId="0" borderId="0" applyFont="0" applyFill="0" applyBorder="0" applyAlignment="0" applyProtection="0"/>
    <xf numFmtId="0" fontId="76" fillId="0" borderId="30">
      <alignment horizontal="center" vertical="bottom"/>
    </xf>
    <xf numFmtId="3" fontId="64" fillId="0" borderId="0" applyFont="0" applyFill="0" applyBorder="0" applyAlignment="0" applyProtection="0"/>
    <xf numFmtId="0" fontId="64" fillId="55" borderId="0" applyFont="0" applyBorder="0" applyNumberFormat="0" applyAlignment="0" applyProtection="0"/>
    <xf numFmtId="0" fontId="77" fillId="0" borderId="0"/>
    <xf numFmtId="0" fontId="78" fillId="0" borderId="0">
      <alignment horizontal="right" vertical="top"/>
    </xf>
    <xf numFmtId="0" fontId="31" fillId="0" borderId="0" applyFill="0" applyBorder="0" applyNumberFormat="0" applyAlignment="0" applyProtection="0"/>
    <xf numFmtId="0" fontId="79" fillId="50" borderId="0">
      <alignment horizontal="left" vertical="bottom"/>
    </xf>
    <xf numFmtId="0" fontId="80" fillId="50" borderId="0">
      <alignment horizontal="left" vertical="bottom"/>
    </xf>
    <xf numFmtId="0" fontId="16" fillId="50" borderId="2">
      <alignment horizontal="center" vertical="center" textRotation="90"/>
    </xf>
    <xf numFmtId="0" fontId="33" fillId="50" borderId="0">
      <alignment horizontal="center" vertical="center" textRotation="90"/>
    </xf>
    <xf numFmtId="0" fontId="33" fillId="50" borderId="2">
      <alignment horizontal="center" vertical="center" textRotation="90"/>
    </xf>
    <xf numFmtId="0" fontId="16" fillId="50" borderId="2">
      <alignment horizontal="center" vertical="bottom"/>
    </xf>
    <xf numFmtId="0" fontId="16" fillId="50" borderId="2">
      <alignment horizontal="left" vertical="bottom"/>
    </xf>
    <xf numFmtId="0" fontId="30" fillId="50" borderId="9" applyBorder="0">
      <alignment horizontal="right" vertical="bottom"/>
    </xf>
    <xf numFmtId="0" fontId="81" fillId="50" borderId="0"/>
    <xf numFmtId="0" fontId="40" fillId="50" borderId="0">
      <alignment horizontal="left" vertical="bottom"/>
    </xf>
    <xf numFmtId="0" fontId="82" fillId="15" borderId="0">
      <alignment horizontal="general" vertical="center"/>
    </xf>
    <xf numFmtId="0" fontId="83" fillId="56" borderId="2">
      <alignment horizontal="centerContinuous" vertical="center"/>
    </xf>
    <xf numFmtId="0" fontId="84" fillId="0" borderId="0"/>
    <xf numFmtId="0" fontId="61" fillId="0" borderId="0"/>
    <xf numFmtId="3" fontId="19" fillId="0" borderId="0" applyBorder="0" applyNumberFormat="0" applyProtection="0">
      <alignment horizontal="center" vertical="top" wrapText="1"/>
    </xf>
    <xf numFmtId="0" fontId="19" fillId="0" borderId="31" applyNumberFormat="0" applyProtection="0">
      <alignment horizontal="left" vertical="center"/>
    </xf>
    <xf numFmtId="0" fontId="19" fillId="0" borderId="0" applyFill="0" applyBorder="0" applyNumberFormat="0" applyProtection="0">
      <alignment horizontal="left" vertical="top" wrapText="1" indent="1"/>
    </xf>
    <xf numFmtId="0" fontId="19" fillId="0" borderId="0" applyNumberFormat="0" applyProtection="0">
      <alignment horizontal="general" vertical="top" wrapText="1"/>
    </xf>
    <xf numFmtId="0" fontId="85" fillId="0" borderId="32" applyNumberFormat="0" applyProtection="0">
      <alignment horizontal="centerContinuous" vertical="center"/>
    </xf>
    <xf numFmtId="4057" fontId="25" fillId="15" borderId="2">
      <alignment horizontal="left" vertical="bottom"/>
      <protection locked="0"/>
    </xf>
    <xf numFmtId="4057" fontId="25" fillId="7" borderId="2">
      <alignment horizontal="left" vertical="bottom"/>
    </xf>
    <xf numFmtId="0" fontId="25" fillId="49" borderId="2">
      <alignment horizontal="left" vertical="top" wrapText="1"/>
      <protection locked="0"/>
    </xf>
    <xf numFmtId="0" fontId="25" fillId="49" borderId="0">
      <alignment horizontal="left" vertical="top" wrapText="1"/>
      <protection locked="0"/>
    </xf>
    <xf numFmtId="0" fontId="33" fillId="15" borderId="2">
      <alignment horizontal="left" vertical="bottom"/>
      <protection locked="0"/>
    </xf>
    <xf numFmtId="0" fontId="25" fillId="49" borderId="2">
      <alignment horizontal="center" vertical="bottom"/>
      <protection locked="0"/>
    </xf>
    <xf numFmtId="0" fontId="25" fillId="7" borderId="2">
      <alignment horizontal="left" vertical="bottom"/>
    </xf>
    <xf numFmtId="0" fontId="25" fillId="7" borderId="2">
      <alignment horizontal="right" vertical="bottom"/>
    </xf>
    <xf numFmtId="0" fontId="33" fillId="7" borderId="2">
      <alignment horizontal="center" vertical="bottom"/>
    </xf>
    <xf numFmtId="0" fontId="25" fillId="49" borderId="0">
      <alignment horizontal="center" vertical="center"/>
      <protection locked="0"/>
    </xf>
    <xf numFmtId="0" fontId="25" fillId="49" borderId="2">
      <alignment horizontal="left" vertical="bottom"/>
      <protection locked="0"/>
    </xf>
    <xf numFmtId="0" fontId="25" fillId="49" borderId="2">
      <alignment horizontal="left" vertical="bottom" wrapText="1"/>
      <protection locked="0"/>
    </xf>
    <xf numFmtId="0" fontId="25" fillId="49" borderId="7">
      <alignment horizontal="center" vertical="bottom"/>
      <protection locked="0"/>
    </xf>
    <xf numFmtId="0" fontId="16" fillId="49" borderId="2">
      <alignment horizontal="center" vertical="center" wrapText="1"/>
      <protection locked="0"/>
    </xf>
    <xf numFmtId="0" fontId="33" fillId="49" borderId="2">
      <alignment horizontal="center" vertical="center" wrapText="1"/>
      <protection locked="0"/>
    </xf>
    <xf numFmtId="49" fontId="33" fillId="49" borderId="9">
      <alignment horizontal="center" vertical="center" wrapText="1"/>
      <protection locked="0"/>
    </xf>
    <xf numFmtId="0" fontId="33" fillId="49" borderId="2">
      <alignment horizontal="left" vertical="bottom"/>
      <protection locked="0"/>
    </xf>
    <xf numFmtId="0" fontId="33" fillId="49" borderId="0">
      <alignment horizontal="left" vertical="bottom"/>
      <protection locked="0"/>
    </xf>
    <xf numFmtId="0" fontId="25" fillId="49" borderId="2">
      <alignment horizontal="center" vertical="center"/>
      <protection locked="0"/>
    </xf>
    <xf numFmtId="0" fontId="25" fillId="49" borderId="2">
      <alignment horizontal="left" vertical="center" wrapText="1"/>
      <protection locked="0"/>
    </xf>
    <xf numFmtId="0" fontId="25" fillId="49" borderId="7">
      <alignment horizontal="left" vertical="center" wrapText="1"/>
      <protection locked="0"/>
    </xf>
    <xf numFmtId="0" fontId="25" fillId="49" borderId="2">
      <alignment horizontal="center" vertical="center"/>
    </xf>
    <xf numFmtId="0" fontId="25" fillId="50" borderId="2">
      <alignment horizontal="left" vertical="center" wrapText="1"/>
    </xf>
    <xf numFmtId="0" fontId="25" fillId="49" borderId="2">
      <alignment horizontal="left" vertical="top"/>
      <protection locked="0"/>
    </xf>
    <xf numFmtId="0" fontId="25" fillId="7" borderId="2">
      <alignment horizontal="center" vertical="center" wrapText="1"/>
    </xf>
    <xf numFmtId="0" fontId="16" fillId="7" borderId="0">
      <alignment horizontal="left" vertical="bottom"/>
    </xf>
    <xf numFmtId="40" fontId="86" fillId="0" borderId="0"/>
    <xf numFmtId="0" fontId="87" fillId="0" borderId="0" applyFill="0" applyBorder="0" applyNumberFormat="0" applyAlignment="0" applyProtection="0"/>
    <xf numFmtId="0" fontId="88" fillId="0" borderId="0" applyFill="0" applyBorder="0" applyNumberFormat="0" applyAlignment="0" applyProtection="0"/>
    <xf numFmtId="0" fontId="89" fillId="0" borderId="33" applyFill="0" applyNumberFormat="0" applyAlignment="0" applyProtection="0"/>
    <xf numFmtId="0" fontId="22" fillId="0" borderId="34" applyFont="0" applyFill="0" applyNumberFormat="0" applyAlignment="0" applyProtection="0"/>
    <xf numFmtId="0" fontId="90" fillId="0" borderId="0" applyFill="0" applyBorder="0" applyNumberFormat="0" applyAlignment="0" applyProtection="0"/>
    <xf numFmtId="0" fontId="91" fillId="0" borderId="0" applyFill="0" applyBorder="0" applyNumberFormat="0" applyAlignment="0" applyProtection="0"/>
    <xf numFmtId="0" fontId="84" fillId="0" borderId="0" applyFont="0" applyFill="0" applyBorder="0" applyNumberFormat="0" applyProtection="0">
      <alignment horizontal="center" vertical="center" wrapText="1"/>
    </xf>
  </cellStyleXfs>
  <cellXfs count="5003">
    <xf numFmtId="0" fontId="0" fillId="0" borderId="0" xfId="0"/>
    <xf numFmtId="0" fontId="0" fillId="57" borderId="0" xfId="0">
      <alignment horizontal="center" vertical="bottom"/>
    </xf>
    <xf numFmtId="0" fontId="330" fillId="70" borderId="0" xfId="0">
      <alignment horizontal="center" vertical="bottom"/>
    </xf>
    <xf numFmtId="0" fontId="0" fillId="68" borderId="0" xfId="0">
      <alignment horizontal="right" vertical="bottom" indent="1"/>
    </xf>
    <xf numFmtId="0" fontId="0" fillId="57" borderId="2" xfId="0">
      <alignment horizontal="center" vertical="bottom"/>
    </xf>
    <xf numFmtId="0" fontId="0" fillId="57" borderId="0" xfId="0">
      <alignment horizontal="right" vertical="bottom"/>
    </xf>
    <xf numFmtId="0" fontId="0" fillId="57" borderId="0" xfId="0"/>
    <xf numFmtId="58" fontId="0" fillId="57" borderId="0" xfId="0">
      <alignment horizontal="left" vertical="bottom" indent="1"/>
    </xf>
    <xf numFmtId="0" fontId="279" fillId="57" borderId="1" xfId="0">
      <alignment horizontal="left" vertical="bottom" indent="1"/>
    </xf>
    <xf numFmtId="0" fontId="0" fillId="57" borderId="1" xfId="0"/>
    <xf numFmtId="0" fontId="274" fillId="6" borderId="0" xfId="0">
      <alignment horizontal="right" vertical="top" indent="1"/>
    </xf>
    <xf numFmtId="4719" fontId="274" fillId="6" borderId="0" xfId="0">
      <alignment horizontal="center" vertical="top"/>
    </xf>
    <xf numFmtId="0" fontId="274" fillId="6" borderId="0" xfId="0"/>
    <xf numFmtId="0" fontId="274" fillId="6" borderId="0" xfId="0">
      <alignment horizontal="left" vertical="top" wrapText="1"/>
    </xf>
    <xf numFmtId="0" fontId="279" fillId="6" borderId="0" xfId="0"/>
    <xf numFmtId="0" fontId="274" fillId="57" borderId="0" xfId="0">
      <alignment horizontal="right" vertical="top" indent="1"/>
    </xf>
    <xf numFmtId="4719" fontId="274" fillId="57" borderId="0" xfId="0">
      <alignment horizontal="center" vertical="top"/>
    </xf>
    <xf numFmtId="0" fontId="274" fillId="57" borderId="0" xfId="0"/>
    <xf numFmtId="0" fontId="274" fillId="57" borderId="0" xfId="0">
      <alignment horizontal="left" vertical="top" wrapText="1"/>
    </xf>
    <xf numFmtId="0" fontId="279" fillId="57" borderId="0" xfId="0"/>
    <xf numFmtId="0" fontId="274" fillId="0" borderId="0" xfId="0">
      <alignment horizontal="left" vertical="top" wrapText="1"/>
    </xf>
    <xf numFmtId="0" fontId="0" fillId="68" borderId="0" xfId="0"/>
    <xf numFmtId="0" fontId="92" fillId="57" borderId="0" xfId="0"/>
    <xf numFmtId="0" fontId="92" fillId="57" borderId="0" xfId="0">
      <alignment vertical="center"/>
    </xf>
    <xf numFmtId="0" fontId="107" fillId="57" borderId="0" xfId="0"/>
    <xf numFmtId="0" fontId="5" fillId="57" borderId="0" xfId="0">
      <alignment vertical="bottom" wrapText="1"/>
    </xf>
    <xf numFmtId="0" fontId="37" fillId="57" borderId="0" xfId="0"/>
    <xf numFmtId="0" fontId="101" fillId="57" borderId="0" xfId="0"/>
    <xf numFmtId="0" fontId="174" fillId="57" borderId="0" xfId="0">
      <alignment horizontal="center" vertical="bottom"/>
    </xf>
    <xf numFmtId="0" fontId="109" fillId="0" borderId="0" xfId="0">
      <alignment vertical="center"/>
    </xf>
    <xf numFmtId="58" fontId="5" fillId="57" borderId="0" xfId="0">
      <alignment vertical="bottom" wrapText="1"/>
    </xf>
    <xf numFmtId="1" fontId="92" fillId="57" borderId="0" xfId="0"/>
    <xf numFmtId="0" fontId="150" fillId="57" borderId="0" xfId="0"/>
    <xf numFmtId="0" fontId="179" fillId="57" borderId="0" xfId="0"/>
    <xf numFmtId="4004" fontId="5" fillId="57" borderId="0" xfId="0"/>
    <xf numFmtId="0" fontId="148" fillId="0" borderId="0" xfId="0"/>
    <xf numFmtId="0" fontId="92" fillId="57" borderId="0" xfId="0">
      <alignment horizontal="right" vertical="center"/>
    </xf>
    <xf numFmtId="1" fontId="92" fillId="0" borderId="0" xfId="0">
      <alignment horizontal="left" vertical="center"/>
    </xf>
    <xf numFmtId="0" fontId="92" fillId="57" borderId="0" xfId="0">
      <alignment horizontal="left" vertical="bottom"/>
    </xf>
    <xf numFmtId="0" fontId="5" fillId="57" borderId="0" xfId="0"/>
    <xf numFmtId="0" fontId="173" fillId="57" borderId="0" xfId="0"/>
    <xf numFmtId="0" fontId="148" fillId="57" borderId="0" xfId="0"/>
    <xf numFmtId="0" fontId="148" fillId="57" borderId="0" xfId="0">
      <alignment horizontal="right" vertical="bottom"/>
    </xf>
    <xf numFmtId="0" fontId="208" fillId="52" borderId="0" xfId="0" quotePrefix="1">
      <alignment horizontal="center" vertical="bottom"/>
    </xf>
    <xf numFmtId="0" fontId="92" fillId="57" borderId="0" xfId="217">
      <alignment horizontal="right" vertical="bottom"/>
      <protection locked="0"/>
    </xf>
    <xf numFmtId="0" fontId="92" fillId="57" borderId="0" xfId="0">
      <alignment horizontal="left" vertical="bottom"/>
      <protection locked="0"/>
    </xf>
    <xf numFmtId="0" fontId="148" fillId="57" borderId="0" xfId="0">
      <alignment horizontal="center" vertical="bottom"/>
    </xf>
    <xf numFmtId="0" fontId="92" fillId="59" borderId="46" xfId="0">
      <alignment horizontal="left" vertical="bottom"/>
    </xf>
    <xf numFmtId="0" fontId="92" fillId="59" borderId="47" xfId="0"/>
    <xf numFmtId="0" fontId="92" fillId="57" borderId="47" xfId="217">
      <alignment horizontal="left" vertical="bottom"/>
      <protection locked="0"/>
    </xf>
    <xf numFmtId="0" fontId="92" fillId="57" borderId="48" xfId="217">
      <alignment horizontal="left" vertical="bottom"/>
      <protection locked="0"/>
    </xf>
    <xf numFmtId="0" fontId="92" fillId="59" borderId="46" xfId="0"/>
    <xf numFmtId="0" fontId="108" fillId="57" borderId="48" xfId="217">
      <alignment horizontal="right" vertical="bottom"/>
      <protection locked="0"/>
    </xf>
    <xf numFmtId="0" fontId="92" fillId="59" borderId="46" xfId="217">
      <alignment horizontal="right" vertical="bottom"/>
      <protection locked="0"/>
    </xf>
    <xf numFmtId="0" fontId="92" fillId="59" borderId="47" xfId="0">
      <alignment horizontal="center" vertical="bottom"/>
    </xf>
    <xf numFmtId="0" fontId="92" fillId="59" borderId="47" xfId="217">
      <alignment horizontal="center" vertical="bottom"/>
      <protection locked="0"/>
    </xf>
    <xf numFmtId="0" fontId="92" fillId="59" borderId="48" xfId="217">
      <alignment horizontal="center" vertical="bottom"/>
    </xf>
    <xf numFmtId="0" fontId="92" fillId="59" borderId="47" xfId="0">
      <alignment horizontal="left" vertical="bottom"/>
    </xf>
    <xf numFmtId="0" fontId="92" fillId="59" borderId="48" xfId="0">
      <alignment horizontal="left" vertical="bottom"/>
    </xf>
    <xf numFmtId="0" fontId="92" fillId="57" borderId="46" xfId="0">
      <alignment horizontal="left" vertical="bottom"/>
    </xf>
    <xf numFmtId="0" fontId="92" fillId="57" borderId="47" xfId="0">
      <alignment horizontal="left" vertical="bottom"/>
    </xf>
    <xf numFmtId="0" fontId="92" fillId="57" borderId="47" xfId="0"/>
    <xf numFmtId="0" fontId="92" fillId="57" borderId="9" xfId="0">
      <alignment horizontal="right" vertical="bottom"/>
    </xf>
    <xf numFmtId="0" fontId="92" fillId="57" borderId="2" xfId="0">
      <alignment horizontal="right" vertical="bottom"/>
    </xf>
    <xf numFmtId="0" fontId="92" fillId="57" borderId="9" xfId="0">
      <alignment horizontal="left" vertical="bottom"/>
    </xf>
    <xf numFmtId="0" fontId="92" fillId="57" borderId="53" xfId="0"/>
    <xf numFmtId="0" fontId="92" fillId="57" borderId="0" xfId="0">
      <alignment horizontal="center" vertical="bottom"/>
    </xf>
    <xf numFmtId="0" fontId="151" fillId="57" borderId="0" xfId="0">
      <alignment horizontal="left" vertical="bottom"/>
    </xf>
    <xf numFmtId="0" fontId="106" fillId="57" borderId="0" xfId="0"/>
    <xf numFmtId="0" fontId="92" fillId="59" borderId="50" xfId="0">
      <alignment horizontal="left" vertical="bottom"/>
    </xf>
    <xf numFmtId="0" fontId="92" fillId="59" borderId="0" xfId="0"/>
    <xf numFmtId="0" fontId="108" fillId="52" borderId="0" xfId="0">
      <alignment horizontal="left" vertical="bottom"/>
    </xf>
    <xf numFmtId="0" fontId="108" fillId="52" borderId="51" xfId="0">
      <alignment horizontal="left" vertical="bottom"/>
      <protection locked="0"/>
    </xf>
    <xf numFmtId="0" fontId="92" fillId="59" borderId="50" xfId="217"/>
    <xf numFmtId="0" fontId="108" fillId="57" borderId="154" xfId="217">
      <alignment horizontal="right" vertical="bottom" indent="1"/>
    </xf>
    <xf numFmtId="0" fontId="108" fillId="57" borderId="108" xfId="217">
      <alignment horizontal="right" vertical="bottom"/>
      <protection locked="0"/>
    </xf>
    <xf numFmtId="0" fontId="92" fillId="59" borderId="50" xfId="217">
      <alignment horizontal="right" vertical="bottom"/>
    </xf>
    <xf numFmtId="37" fontId="112" fillId="57" borderId="2" xfId="217">
      <alignment horizontal="right" vertical="bottom" indent="2"/>
    </xf>
    <xf numFmtId="37" fontId="112" fillId="57" borderId="2" xfId="217">
      <alignment horizontal="right" vertical="bottom" indent="2"/>
      <protection locked="0"/>
    </xf>
    <xf numFmtId="4031" fontId="92" fillId="59" borderId="2" xfId="217">
      <alignment horizontal="right" vertical="bottom" indent="3"/>
    </xf>
    <xf numFmtId="37" fontId="92" fillId="57" borderId="2" xfId="217">
      <alignment horizontal="left" vertical="bottom"/>
    </xf>
    <xf numFmtId="10" fontId="92" fillId="59" borderId="2" xfId="217">
      <alignment horizontal="left" vertical="bottom"/>
    </xf>
    <xf numFmtId="0" fontId="92" fillId="59" borderId="48" xfId="0"/>
    <xf numFmtId="0" fontId="108" fillId="52" borderId="50" xfId="0">
      <alignment horizontal="right" vertical="bottom"/>
    </xf>
    <xf numFmtId="0" fontId="108" fillId="52" borderId="52" xfId="0">
      <alignment horizontal="right" vertical="bottom"/>
    </xf>
    <xf numFmtId="0" fontId="5" fillId="57" borderId="0" xfId="0">
      <alignment horizontal="right" vertical="bottom"/>
    </xf>
    <xf numFmtId="0" fontId="5" fillId="57" borderId="50" xfId="0">
      <alignment horizontal="right" vertical="bottom" indent="1"/>
    </xf>
    <xf numFmtId="308" fontId="5" fillId="57" borderId="51" xfId="0">
      <alignment horizontal="right" vertical="bottom"/>
    </xf>
    <xf numFmtId="308" fontId="5" fillId="57" borderId="0" xfId="0">
      <alignment horizontal="right" vertical="bottom"/>
    </xf>
    <xf numFmtId="0" fontId="92" fillId="59" borderId="0" xfId="0">
      <alignment horizontal="left" vertical="bottom"/>
    </xf>
    <xf numFmtId="0" fontId="108" fillId="52" borderId="51" xfId="0">
      <alignment horizontal="left" vertical="bottom"/>
    </xf>
    <xf numFmtId="0" fontId="108" fillId="57" borderId="51" xfId="217">
      <alignment horizontal="right" vertical="bottom"/>
      <protection locked="0"/>
    </xf>
    <xf numFmtId="0" fontId="92" fillId="59" borderId="50" xfId="217">
      <alignment horizontal="right" vertical="bottom"/>
      <protection locked="0"/>
    </xf>
    <xf numFmtId="0" fontId="92" fillId="59" borderId="51" xfId="0"/>
    <xf numFmtId="1" fontId="108" fillId="52" borderId="50" xfId="217">
      <alignment horizontal="right" vertical="bottom"/>
    </xf>
    <xf numFmtId="1" fontId="108" fillId="52" borderId="52" xfId="217">
      <alignment horizontal="right" vertical="bottom"/>
    </xf>
    <xf numFmtId="308" fontId="5" fillId="57" borderId="0" xfId="0"/>
    <xf numFmtId="0" fontId="109" fillId="57" borderId="0" xfId="0"/>
    <xf numFmtId="0" fontId="148" fillId="0" borderId="0" xfId="0">
      <alignment horizontal="center" vertical="bottom"/>
    </xf>
    <xf numFmtId="1" fontId="285" fillId="52" borderId="51" xfId="217">
      <alignment horizontal="right" vertical="bottom"/>
      <protection locked="0"/>
    </xf>
    <xf numFmtId="0" fontId="5" fillId="57" borderId="45" xfId="0">
      <alignment horizontal="right" vertical="bottom" indent="1"/>
    </xf>
    <xf numFmtId="308" fontId="5" fillId="57" borderId="49" xfId="0">
      <alignment horizontal="right" vertical="bottom"/>
    </xf>
    <xf numFmtId="0" fontId="109" fillId="57" borderId="46" xfId="0"/>
    <xf numFmtId="0" fontId="106" fillId="57" borderId="47" xfId="0"/>
    <xf numFmtId="0" fontId="106" fillId="57" borderId="48" xfId="0"/>
    <xf numFmtId="0" fontId="106" fillId="57" borderId="46" xfId="0"/>
    <xf numFmtId="0" fontId="148" fillId="68" borderId="11" xfId="0"/>
    <xf numFmtId="0" fontId="148" fillId="68" borderId="11" xfId="0">
      <alignment horizontal="center" vertical="bottom"/>
    </xf>
    <xf numFmtId="0" fontId="148" fillId="68" borderId="46" xfId="0">
      <alignment horizontal="center" vertical="bottom"/>
    </xf>
    <xf numFmtId="0" fontId="148" fillId="68" borderId="48" xfId="0">
      <alignment horizontal="center" vertical="bottom"/>
    </xf>
    <xf numFmtId="0" fontId="92" fillId="59" borderId="45" xfId="0">
      <alignment horizontal="left" vertical="bottom"/>
    </xf>
    <xf numFmtId="0" fontId="92" fillId="59" borderId="1" xfId="0">
      <alignment horizontal="left" vertical="bottom"/>
    </xf>
    <xf numFmtId="0" fontId="108" fillId="52" borderId="1" xfId="0">
      <alignment horizontal="left" vertical="bottom"/>
    </xf>
    <xf numFmtId="0" fontId="108" fillId="52" borderId="49" xfId="0">
      <alignment horizontal="left" vertical="bottom"/>
    </xf>
    <xf numFmtId="3" fontId="108" fillId="52" borderId="51" xfId="217">
      <alignment horizontal="right" vertical="bottom"/>
      <protection locked="0"/>
    </xf>
    <xf numFmtId="0" fontId="5" fillId="57" borderId="50" xfId="0">
      <alignment horizontal="left" vertical="bottom"/>
    </xf>
    <xf numFmtId="0" fontId="5" fillId="57" borderId="51" xfId="0">
      <alignment horizontal="right" vertical="bottom"/>
    </xf>
    <xf numFmtId="0" fontId="106" fillId="57" borderId="50" xfId="0"/>
    <xf numFmtId="4063" fontId="106" fillId="57" borderId="51" xfId="0"/>
    <xf numFmtId="0" fontId="106" fillId="57" borderId="50" xfId="0">
      <alignment horizontal="left" vertical="bottom" indent="4"/>
    </xf>
    <xf numFmtId="4063" fontId="152" fillId="52" borderId="51" xfId="0">
      <alignment horizontal="right" vertical="bottom"/>
    </xf>
    <xf numFmtId="0" fontId="148" fillId="68" borderId="52" xfId="0"/>
    <xf numFmtId="0" fontId="148" fillId="68" borderId="45" xfId="0" quotePrefix="1">
      <alignment horizontal="center" vertical="bottom"/>
    </xf>
    <xf numFmtId="0" fontId="262" fillId="57" borderId="9" xfId="0">
      <alignment horizontal="center" vertical="bottom"/>
    </xf>
    <xf numFmtId="0" fontId="148" fillId="57" borderId="53" xfId="0">
      <alignment horizontal="center" vertical="bottom"/>
    </xf>
    <xf numFmtId="3" fontId="108" fillId="57" borderId="51" xfId="217">
      <alignment horizontal="right" vertical="bottom"/>
      <protection locked="0"/>
    </xf>
    <xf numFmtId="308" fontId="108" fillId="52" borderId="50" xfId="217">
      <alignment horizontal="right" vertical="bottom"/>
    </xf>
    <xf numFmtId="308" fontId="108" fillId="52" borderId="52" xfId="217">
      <alignment horizontal="right" vertical="bottom"/>
    </xf>
    <xf numFmtId="0" fontId="152" fillId="57" borderId="50" xfId="0"/>
    <xf numFmtId="0" fontId="152" fillId="57" borderId="0" xfId="0"/>
    <xf numFmtId="4063" fontId="152" fillId="57" borderId="51" xfId="0"/>
    <xf numFmtId="4063" fontId="5" fillId="57" borderId="51" xfId="0">
      <alignment horizontal="right" vertical="bottom"/>
    </xf>
    <xf numFmtId="9" fontId="148" fillId="68" borderId="50" xfId="0">
      <alignment horizontal="right" vertical="bottom" indent="1"/>
    </xf>
    <xf numFmtId="1" fontId="262" fillId="57" borderId="50" xfId="0">
      <alignment horizontal="right" vertical="bottom" indent="1"/>
    </xf>
    <xf numFmtId="10" fontId="173" fillId="68" borderId="51" xfId="0">
      <alignment horizontal="right" vertical="bottom" indent="1"/>
    </xf>
    <xf numFmtId="3" fontId="108" fillId="52" borderId="51" xfId="0">
      <alignment horizontal="right" vertical="bottom"/>
    </xf>
    <xf numFmtId="308" fontId="92" fillId="49" borderId="50" xfId="206">
      <alignment horizontal="right" vertical="bottom"/>
    </xf>
    <xf numFmtId="308" fontId="92" fillId="49" borderId="52" xfId="206">
      <alignment horizontal="right" vertical="bottom"/>
    </xf>
    <xf numFmtId="0" fontId="152" fillId="57" borderId="50" xfId="0">
      <alignment horizontal="left" vertical="bottom" indent="4"/>
    </xf>
    <xf numFmtId="0" fontId="148" fillId="2" borderId="0" xfId="0">
      <alignment horizontal="center" vertical="bottom"/>
    </xf>
    <xf numFmtId="0" fontId="108" fillId="52" borderId="47" xfId="217">
      <alignment horizontal="left" vertical="bottom"/>
    </xf>
    <xf numFmtId="0" fontId="108" fillId="52" borderId="48" xfId="217">
      <alignment horizontal="left" vertical="bottom"/>
    </xf>
    <xf numFmtId="0" fontId="92" fillId="59" borderId="45" xfId="0"/>
    <xf numFmtId="0" fontId="92" fillId="59" borderId="1" xfId="0"/>
    <xf numFmtId="10" fontId="92" fillId="59" borderId="49" xfId="217">
      <alignment horizontal="right" vertical="bottom"/>
    </xf>
    <xf numFmtId="0" fontId="92" fillId="59" borderId="45" xfId="217" quotePrefix="1">
      <alignment horizontal="right" vertical="bottom"/>
      <protection locked="0"/>
    </xf>
    <xf numFmtId="37" fontId="92" fillId="59" borderId="1" xfId="217">
      <alignment horizontal="right" vertical="bottom" indent="2"/>
    </xf>
    <xf numFmtId="37" fontId="112" fillId="59" borderId="2" xfId="217">
      <alignment horizontal="right" vertical="bottom" indent="2"/>
    </xf>
    <xf numFmtId="37" fontId="92" fillId="59" borderId="1" xfId="217">
      <alignment horizontal="left" vertical="bottom"/>
    </xf>
    <xf numFmtId="0" fontId="92" fillId="59" borderId="49" xfId="0">
      <alignment horizontal="left" vertical="bottom"/>
    </xf>
    <xf numFmtId="0" fontId="106" fillId="57" borderId="51" xfId="0"/>
    <xf numFmtId="0" fontId="148" fillId="2" borderId="0" xfId="0"/>
    <xf numFmtId="0" fontId="108" fillId="52" borderId="1" xfId="217">
      <alignment horizontal="left" vertical="bottom"/>
    </xf>
    <xf numFmtId="0" fontId="108" fillId="52" borderId="49" xfId="217">
      <alignment horizontal="left" vertical="bottom"/>
    </xf>
    <xf numFmtId="0" fontId="148" fillId="57" borderId="0" xfId="0">
      <alignment horizontal="left" vertical="bottom"/>
    </xf>
    <xf numFmtId="4063" fontId="109" fillId="57" borderId="2" xfId="0"/>
    <xf numFmtId="0" fontId="106" fillId="57" borderId="0" xfId="0">
      <alignment horizontal="left" vertical="bottom" indent="4"/>
    </xf>
    <xf numFmtId="4063" fontId="152" fillId="52" borderId="51" xfId="0"/>
    <xf numFmtId="0" fontId="148" fillId="21" borderId="0" xfId="0">
      <alignment horizontal="center" vertical="bottom"/>
    </xf>
    <xf numFmtId="0" fontId="148" fillId="111" borderId="0" xfId="0">
      <alignment horizontal="center" vertical="bottom"/>
    </xf>
    <xf numFmtId="0" fontId="92" fillId="57" borderId="1" xfId="0">
      <alignment horizontal="left" vertical="bottom"/>
    </xf>
    <xf numFmtId="0" fontId="92" fillId="57" borderId="1" xfId="217"/>
    <xf numFmtId="0" fontId="92" fillId="57" borderId="1" xfId="217">
      <protection locked="0"/>
    </xf>
    <xf numFmtId="0" fontId="92" fillId="57" borderId="1" xfId="217" quotePrefix="1">
      <alignment horizontal="right" vertical="bottom"/>
      <protection locked="0"/>
    </xf>
    <xf numFmtId="49" fontId="92" fillId="57" borderId="1" xfId="217">
      <alignment horizontal="center" vertical="bottom"/>
    </xf>
    <xf numFmtId="49" fontId="92" fillId="57" borderId="1" xfId="217">
      <alignment horizontal="left" vertical="bottom"/>
    </xf>
    <xf numFmtId="10" fontId="108" fillId="52" borderId="50" xfId="0">
      <alignment horizontal="right" vertical="bottom"/>
    </xf>
    <xf numFmtId="10" fontId="108" fillId="52" borderId="52" xfId="0">
      <alignment horizontal="right" vertical="bottom"/>
    </xf>
    <xf numFmtId="0" fontId="5" fillId="57" borderId="0" xfId="0">
      <alignment horizontal="left" vertical="bottom"/>
    </xf>
    <xf numFmtId="0" fontId="109" fillId="57" borderId="50" xfId="0"/>
    <xf numFmtId="4063" fontId="5" fillId="57" borderId="51" xfId="0"/>
    <xf numFmtId="0" fontId="148" fillId="21" borderId="0" xfId="0"/>
    <xf numFmtId="0" fontId="92" fillId="59" borderId="46" xfId="0">
      <alignment horizontal="left" vertical="top"/>
    </xf>
    <xf numFmtId="0" fontId="92" fillId="59" borderId="47" xfId="217" quotePrefix="1">
      <alignment horizontal="center" vertical="bottom"/>
      <protection locked="0"/>
    </xf>
    <xf numFmtId="10" fontId="108" fillId="52" borderId="47" xfId="0">
      <alignment horizontal="right" vertical="bottom"/>
    </xf>
    <xf numFmtId="0" fontId="92" fillId="59" borderId="48" xfId="217">
      <alignment horizontal="left" vertical="bottom"/>
      <protection locked="0"/>
    </xf>
    <xf numFmtId="0" fontId="92" fillId="59" borderId="49" xfId="0"/>
    <xf numFmtId="4140" fontId="92" fillId="49" borderId="45" xfId="206">
      <alignment horizontal="right" vertical="bottom"/>
    </xf>
    <xf numFmtId="4140" fontId="92" fillId="49" borderId="8" xfId="206">
      <alignment horizontal="right" vertical="bottom"/>
    </xf>
    <xf numFmtId="0" fontId="153" fillId="57" borderId="50" xfId="0">
      <alignment horizontal="left" vertical="bottom" indent="4"/>
    </xf>
    <xf numFmtId="9" fontId="148" fillId="68" borderId="45" xfId="0">
      <alignment horizontal="right" vertical="bottom" indent="1"/>
    </xf>
    <xf numFmtId="1" fontId="262" fillId="57" borderId="45" xfId="0">
      <alignment horizontal="right" vertical="bottom" indent="1"/>
    </xf>
    <xf numFmtId="10" fontId="173" fillId="68" borderId="49" xfId="0">
      <alignment horizontal="right" vertical="bottom" indent="1"/>
    </xf>
    <xf numFmtId="0" fontId="108" fillId="57" borderId="47" xfId="0"/>
    <xf numFmtId="0" fontId="108" fillId="57" borderId="48" xfId="0"/>
    <xf numFmtId="0" fontId="92" fillId="59" borderId="50" xfId="0">
      <alignment horizontal="left" vertical="top"/>
    </xf>
    <xf numFmtId="10" fontId="92" fillId="59" borderId="0" xfId="0">
      <alignment horizontal="center" vertical="bottom"/>
    </xf>
    <xf numFmtId="10" fontId="108" fillId="52" borderId="0" xfId="0">
      <alignment horizontal="right" vertical="bottom"/>
    </xf>
    <xf numFmtId="10" fontId="92" fillId="59" borderId="51" xfId="217">
      <alignment horizontal="left" vertical="bottom"/>
    </xf>
    <xf numFmtId="0" fontId="92" fillId="59" borderId="1" xfId="0">
      <alignment horizontal="right" vertical="bottom"/>
    </xf>
    <xf numFmtId="0" fontId="108" fillId="52" borderId="8" xfId="0">
      <alignment horizontal="center" vertical="bottom"/>
    </xf>
    <xf numFmtId="308" fontId="92" fillId="57" borderId="45" xfId="0">
      <alignment horizontal="right" vertical="bottom"/>
    </xf>
    <xf numFmtId="308" fontId="92" fillId="57" borderId="8" xfId="0">
      <alignment horizontal="right" vertical="bottom"/>
    </xf>
    <xf numFmtId="0" fontId="148" fillId="68" borderId="9" xfId="0"/>
    <xf numFmtId="0" fontId="148" fillId="68" borderId="16" xfId="0">
      <alignment horizontal="right" vertical="bottom"/>
    </xf>
    <xf numFmtId="0" fontId="148" fillId="68" borderId="53" xfId="0"/>
    <xf numFmtId="0" fontId="178" fillId="59" borderId="0" xfId="181">
      <alignment horizontal="center" vertical="bottom"/>
    </xf>
    <xf numFmtId="0" fontId="108" fillId="57" borderId="0" xfId="0"/>
    <xf numFmtId="0" fontId="148" fillId="0" borderId="51" xfId="0"/>
    <xf numFmtId="10" fontId="92" fillId="59" borderId="0" xfId="0">
      <alignment horizontal="right" vertical="bottom"/>
    </xf>
    <xf numFmtId="0" fontId="92" fillId="57" borderId="50" xfId="0">
      <alignment horizontal="left" vertical="bottom"/>
    </xf>
    <xf numFmtId="308" fontId="92" fillId="57" borderId="0" xfId="0">
      <alignment horizontal="right" vertical="bottom"/>
    </xf>
    <xf numFmtId="308" fontId="92" fillId="57" borderId="51" xfId="0">
      <alignment horizontal="right" vertical="bottom"/>
    </xf>
    <xf numFmtId="0" fontId="5" fillId="57" borderId="50" xfId="0">
      <alignment horizontal="left" vertical="bottom" indent="4"/>
    </xf>
    <xf numFmtId="0" fontId="148" fillId="68" borderId="46" xfId="0" quotePrefix="1">
      <alignment horizontal="center" vertical="bottom"/>
    </xf>
    <xf numFmtId="0" fontId="262" fillId="57" borderId="47" xfId="0">
      <alignment horizontal="center" vertical="bottom"/>
    </xf>
    <xf numFmtId="0" fontId="262" fillId="57" borderId="48" xfId="0">
      <alignment horizontal="center" vertical="bottom"/>
    </xf>
    <xf numFmtId="0" fontId="237" fillId="59" borderId="0" xfId="217">
      <alignment horizontal="center" vertical="bottom"/>
    </xf>
    <xf numFmtId="0" fontId="108" fillId="57" borderId="51" xfId="0"/>
    <xf numFmtId="0" fontId="92" fillId="59" borderId="0" xfId="276">
      <alignment horizontal="left" vertical="bottom"/>
    </xf>
    <xf numFmtId="10" fontId="108" fillId="59" borderId="0" xfId="0">
      <alignment horizontal="right" vertical="bottom"/>
    </xf>
    <xf numFmtId="0" fontId="92" fillId="59" borderId="51" xfId="0">
      <alignment horizontal="left" vertical="bottom"/>
    </xf>
    <xf numFmtId="1" fontId="92" fillId="57" borderId="0" xfId="0">
      <alignment horizontal="right" vertical="bottom"/>
    </xf>
    <xf numFmtId="1" fontId="92" fillId="57" borderId="51" xfId="217">
      <alignment horizontal="right" vertical="bottom"/>
    </xf>
    <xf numFmtId="0" fontId="148" fillId="68" borderId="50" xfId="0">
      <alignment horizontal="right" vertical="bottom" indent="1"/>
    </xf>
    <xf numFmtId="0" fontId="262" fillId="57" borderId="0" xfId="0"/>
    <xf numFmtId="0" fontId="148" fillId="68" borderId="51" xfId="0"/>
    <xf numFmtId="0" fontId="92" fillId="57" borderId="0" xfId="217">
      <protection locked="0"/>
    </xf>
    <xf numFmtId="0" fontId="108" fillId="57" borderId="51" xfId="0">
      <protection locked="0"/>
    </xf>
    <xf numFmtId="0" fontId="92" fillId="59" borderId="0" xfId="68">
      <alignment horizontal="center" vertical="bottom"/>
    </xf>
    <xf numFmtId="10" fontId="108" fillId="52" borderId="0" xfId="68">
      <alignment horizontal="right" vertical="bottom"/>
    </xf>
    <xf numFmtId="0" fontId="92" fillId="59" borderId="51" xfId="217">
      <alignment horizontal="left" vertical="bottom"/>
    </xf>
    <xf numFmtId="0" fontId="92" fillId="57" borderId="45" xfId="206">
      <alignment horizontal="left" vertical="bottom"/>
    </xf>
    <xf numFmtId="0" fontId="92" fillId="57" borderId="1" xfId="0"/>
    <xf numFmtId="0" fontId="92" fillId="57" borderId="0" xfId="0">
      <alignment horizontal="right" vertical="bottom"/>
    </xf>
    <xf numFmtId="0" fontId="92" fillId="57" borderId="1" xfId="0">
      <alignment horizontal="right" vertical="bottom"/>
    </xf>
    <xf numFmtId="0" fontId="92" fillId="57" borderId="51" xfId="0">
      <alignment horizontal="right" vertical="bottom"/>
    </xf>
    <xf numFmtId="0" fontId="148" fillId="68" borderId="45" xfId="0"/>
    <xf numFmtId="0" fontId="148" fillId="68" borderId="1" xfId="0">
      <alignment horizontal="right" vertical="bottom" indent="1"/>
    </xf>
    <xf numFmtId="0" fontId="262" fillId="57" borderId="1" xfId="0"/>
    <xf numFmtId="0" fontId="148" fillId="57" borderId="49" xfId="0"/>
    <xf numFmtId="0" fontId="108" fillId="57" borderId="0" xfId="0">
      <protection locked="0"/>
    </xf>
    <xf numFmtId="4159" fontId="92" fillId="59" borderId="1" xfId="217">
      <alignment horizontal="center" vertical="bottom"/>
    </xf>
    <xf numFmtId="10" fontId="108" fillId="59" borderId="1" xfId="217">
      <alignment horizontal="right" vertical="bottom"/>
    </xf>
    <xf numFmtId="10" fontId="108" fillId="52" borderId="1" xfId="217">
      <alignment horizontal="right" vertical="bottom"/>
    </xf>
    <xf numFmtId="4159" fontId="92" fillId="59" borderId="1" xfId="217">
      <alignment horizontal="left" vertical="bottom"/>
    </xf>
    <xf numFmtId="4159" fontId="92" fillId="59" borderId="49" xfId="0">
      <alignment horizontal="left" vertical="bottom"/>
    </xf>
    <xf numFmtId="0" fontId="92" fillId="57" borderId="48" xfId="0">
      <alignment horizontal="left" vertical="bottom"/>
    </xf>
    <xf numFmtId="0" fontId="108" fillId="52" borderId="11" xfId="0" quotePrefix="1">
      <alignment horizontal="right" vertical="bottom"/>
    </xf>
    <xf numFmtId="10" fontId="106" fillId="57" borderId="0" xfId="276"/>
    <xf numFmtId="0" fontId="106" fillId="57" borderId="45" xfId="0">
      <alignment horizontal="left" vertical="bottom" indent="4"/>
    </xf>
    <xf numFmtId="0" fontId="106" fillId="57" borderId="1" xfId="0"/>
    <xf numFmtId="10" fontId="106" fillId="57" borderId="49" xfId="276"/>
    <xf numFmtId="0" fontId="184" fillId="68" borderId="16" xfId="0"/>
    <xf numFmtId="0" fontId="148" fillId="68" borderId="16" xfId="0"/>
    <xf numFmtId="4030" fontId="108" fillId="57" borderId="0" xfId="68">
      <alignment horizontal="left" vertical="bottom"/>
    </xf>
    <xf numFmtId="4030" fontId="108" fillId="57" borderId="51" xfId="68"/>
    <xf numFmtId="0" fontId="108" fillId="52" borderId="46" xfId="0">
      <alignment horizontal="right" vertical="bottom"/>
    </xf>
    <xf numFmtId="0" fontId="108" fillId="52" borderId="11" xfId="0">
      <alignment horizontal="right" vertical="bottom"/>
    </xf>
    <xf numFmtId="0" fontId="108" fillId="52" borderId="48" xfId="0">
      <alignment horizontal="right" vertical="bottom"/>
    </xf>
    <xf numFmtId="0" fontId="148" fillId="68" borderId="50" xfId="0"/>
    <xf numFmtId="0" fontId="148" fillId="68" borderId="0" xfId="0">
      <alignment horizontal="right" vertical="bottom" indent="1"/>
    </xf>
    <xf numFmtId="0" fontId="92" fillId="57" borderId="45" xfId="0">
      <alignment horizontal="left" vertical="bottom"/>
    </xf>
    <xf numFmtId="0" fontId="108" fillId="57" borderId="1" xfId="0">
      <protection locked="0"/>
    </xf>
    <xf numFmtId="0" fontId="108" fillId="57" borderId="49" xfId="0">
      <protection locked="0"/>
    </xf>
    <xf numFmtId="0" fontId="92" fillId="52" borderId="1" xfId="217">
      <alignment horizontal="left" vertical="bottom"/>
    </xf>
    <xf numFmtId="0" fontId="92" fillId="57" borderId="51" xfId="0"/>
    <xf numFmtId="58" fontId="5" fillId="57" borderId="52" xfId="217">
      <alignment horizontal="right" vertical="bottom"/>
    </xf>
    <xf numFmtId="0" fontId="109" fillId="57" borderId="0" xfId="0">
      <alignment horizontal="left" vertical="bottom" indent="2"/>
    </xf>
    <xf numFmtId="0" fontId="109" fillId="59" borderId="46" xfId="181"/>
    <xf numFmtId="58" fontId="108" fillId="57" borderId="47" xfId="217">
      <alignment horizontal="center" vertical="bottom"/>
      <protection locked="0"/>
    </xf>
    <xf numFmtId="58" fontId="108" fillId="57" borderId="47" xfId="217">
      <alignment horizontal="right" vertical="bottom"/>
      <protection locked="0"/>
    </xf>
    <xf numFmtId="58" fontId="108" fillId="59" borderId="47" xfId="217">
      <alignment horizontal="right" vertical="bottom"/>
      <protection locked="0"/>
    </xf>
    <xf numFmtId="308" fontId="92" fillId="59" borderId="48" xfId="0">
      <alignment horizontal="left" vertical="bottom"/>
    </xf>
    <xf numFmtId="58" fontId="108" fillId="52" borderId="50" xfId="217">
      <alignment horizontal="right" vertical="bottom"/>
    </xf>
    <xf numFmtId="58" fontId="108" fillId="52" borderId="52" xfId="217">
      <alignment horizontal="right" vertical="bottom"/>
    </xf>
    <xf numFmtId="58" fontId="108" fillId="52" borderId="51" xfId="217">
      <alignment horizontal="right" vertical="bottom"/>
    </xf>
    <xf numFmtId="0" fontId="109" fillId="57" borderId="0" xfId="0">
      <alignment horizontal="right" vertical="bottom"/>
    </xf>
    <xf numFmtId="4063" fontId="108" fillId="52" borderId="1" xfId="0"/>
    <xf numFmtId="0" fontId="148" fillId="68" borderId="0" xfId="0"/>
    <xf numFmtId="0" fontId="212" fillId="68" borderId="51" xfId="0"/>
    <xf numFmtId="0" fontId="92" fillId="59" borderId="45" xfId="181"/>
    <xf numFmtId="4063" fontId="108" fillId="57" borderId="1" xfId="217">
      <alignment horizontal="right" vertical="bottom"/>
      <protection locked="0"/>
    </xf>
    <xf numFmtId="4063" fontId="108" fillId="59" borderId="1" xfId="217">
      <alignment horizontal="right" vertical="bottom"/>
      <protection locked="0"/>
    </xf>
    <xf numFmtId="308" fontId="92" fillId="59" borderId="49" xfId="217">
      <alignment horizontal="left" vertical="bottom"/>
    </xf>
    <xf numFmtId="0" fontId="92" fillId="57" borderId="50" xfId="217">
      <alignment horizontal="left" vertical="bottom"/>
    </xf>
    <xf numFmtId="0" fontId="92" fillId="57" borderId="51" xfId="217">
      <alignment horizontal="left" vertical="bottom"/>
    </xf>
    <xf numFmtId="2" fontId="92" fillId="57" borderId="0" xfId="0">
      <alignment horizontal="right" vertical="bottom"/>
    </xf>
    <xf numFmtId="4063" fontId="108" fillId="52" borderId="16" xfId="0"/>
    <xf numFmtId="0" fontId="262" fillId="57" borderId="51" xfId="0"/>
    <xf numFmtId="0" fontId="92" fillId="59" borderId="46" xfId="217"/>
    <xf numFmtId="4063" fontId="108" fillId="57" borderId="47" xfId="217"/>
    <xf numFmtId="0" fontId="111" fillId="59" borderId="47" xfId="0">
      <alignment horizontal="left" vertical="bottom"/>
    </xf>
    <xf numFmtId="0" fontId="92" fillId="57" borderId="16" xfId="0">
      <alignment horizontal="left" vertical="bottom"/>
    </xf>
    <xf numFmtId="0" fontId="92" fillId="57" borderId="16" xfId="0">
      <alignment horizontal="right" vertical="bottom"/>
    </xf>
    <xf numFmtId="0" fontId="92" fillId="57" borderId="53" xfId="0">
      <alignment horizontal="right" vertical="bottom"/>
    </xf>
    <xf numFmtId="58" fontId="92" fillId="57" borderId="9" xfId="0">
      <alignment horizontal="center" vertical="bottom"/>
    </xf>
    <xf numFmtId="58" fontId="92" fillId="57" borderId="16" xfId="0">
      <alignment horizontal="center" vertical="bottom"/>
    </xf>
    <xf numFmtId="58" fontId="92" fillId="57" borderId="53" xfId="0">
      <alignment horizontal="center" vertical="bottom"/>
    </xf>
    <xf numFmtId="0" fontId="173" fillId="68" borderId="51" xfId="0"/>
    <xf numFmtId="0" fontId="92" fillId="57" borderId="0" xfId="181"/>
    <xf numFmtId="0" fontId="92" fillId="52" borderId="50" xfId="0">
      <alignment horizontal="left" vertical="bottom"/>
    </xf>
    <xf numFmtId="0" fontId="92" fillId="59" borderId="0" xfId="181"/>
    <xf numFmtId="4063" fontId="92" fillId="57" borderId="51" xfId="0">
      <alignment horizontal="right" vertical="bottom"/>
      <protection locked="0"/>
    </xf>
    <xf numFmtId="4063" fontId="108" fillId="57" borderId="0" xfId="217"/>
    <xf numFmtId="4063" fontId="108" fillId="59" borderId="0" xfId="217"/>
    <xf numFmtId="308" fontId="92" fillId="59" borderId="51" xfId="217">
      <alignment horizontal="left" vertical="bottom"/>
      <protection locked="0"/>
    </xf>
    <xf numFmtId="0" fontId="109" fillId="57" borderId="47" xfId="0"/>
    <xf numFmtId="10" fontId="108" fillId="52" borderId="51" xfId="0">
      <alignment horizontal="right" vertical="bottom"/>
    </xf>
    <xf numFmtId="0" fontId="108" fillId="57" borderId="0" xfId="217">
      <alignment horizontal="right" vertical="bottom"/>
    </xf>
    <xf numFmtId="4063" fontId="108" fillId="59" borderId="0" xfId="217">
      <alignment horizontal="right" vertical="bottom"/>
    </xf>
    <xf numFmtId="2" fontId="92" fillId="57" borderId="50" xfId="0">
      <alignment horizontal="right" vertical="bottom"/>
    </xf>
    <xf numFmtId="2" fontId="92" fillId="57" borderId="11" xfId="0">
      <alignment horizontal="right" vertical="bottom"/>
    </xf>
    <xf numFmtId="4063" fontId="109" fillId="57" borderId="1" xfId="0"/>
    <xf numFmtId="0" fontId="148" fillId="68" borderId="0" xfId="0" quotePrefix="1">
      <alignment horizontal="right" vertical="bottom" indent="1"/>
    </xf>
    <xf numFmtId="0" fontId="108" fillId="57" borderId="0" xfId="0">
      <alignment horizontal="right" vertical="bottom"/>
    </xf>
    <xf numFmtId="4063" fontId="92" fillId="57" borderId="0" xfId="0"/>
    <xf numFmtId="4063" fontId="92" fillId="59" borderId="0" xfId="217"/>
    <xf numFmtId="308" fontId="92" fillId="59" borderId="51" xfId="217">
      <alignment horizontal="left" vertical="bottom"/>
    </xf>
    <xf numFmtId="2" fontId="92" fillId="57" borderId="52" xfId="0">
      <alignment horizontal="right" vertical="bottom"/>
    </xf>
    <xf numFmtId="0" fontId="148" fillId="68" borderId="1" xfId="0"/>
    <xf numFmtId="0" fontId="262" fillId="57" borderId="49" xfId="0"/>
    <xf numFmtId="10" fontId="92" fillId="57" borderId="1" xfId="217">
      <alignment horizontal="right" vertical="bottom"/>
    </xf>
    <xf numFmtId="10" fontId="111" fillId="59" borderId="1" xfId="217">
      <alignment horizontal="left" vertical="bottom"/>
    </xf>
    <xf numFmtId="308" fontId="92" fillId="59" borderId="49" xfId="217">
      <alignment horizontal="left" vertical="bottom"/>
      <protection locked="0"/>
    </xf>
    <xf numFmtId="0" fontId="92" fillId="57" borderId="49" xfId="0">
      <alignment horizontal="right" vertical="bottom"/>
    </xf>
    <xf numFmtId="2" fontId="92" fillId="57" borderId="45" xfId="0">
      <alignment horizontal="right" vertical="bottom"/>
    </xf>
    <xf numFmtId="2" fontId="92" fillId="57" borderId="8" xfId="0">
      <alignment horizontal="right" vertical="bottom"/>
    </xf>
    <xf numFmtId="2" fontId="92" fillId="57" borderId="49" xfId="0">
      <alignment horizontal="right" vertical="bottom"/>
    </xf>
    <xf numFmtId="0" fontId="5" fillId="57" borderId="50" xfId="0"/>
    <xf numFmtId="39" fontId="108" fillId="57" borderId="48" xfId="276">
      <alignment horizontal="right" vertical="bottom"/>
      <protection locked="0"/>
    </xf>
    <xf numFmtId="0" fontId="92" fillId="59" borderId="9" xfId="217"/>
    <xf numFmtId="0" fontId="111" fillId="59" borderId="16" xfId="217"/>
    <xf numFmtId="0" fontId="92" fillId="57" borderId="16" xfId="217">
      <alignment horizontal="right" vertical="bottom"/>
      <protection locked="0"/>
    </xf>
    <xf numFmtId="4063" fontId="112" fillId="57" borderId="16" xfId="217">
      <alignment horizontal="right" vertical="bottom"/>
    </xf>
    <xf numFmtId="4063" fontId="108" fillId="59" borderId="16" xfId="217">
      <alignment horizontal="right" vertical="bottom"/>
    </xf>
    <xf numFmtId="0" fontId="92" fillId="59" borderId="16" xfId="0">
      <alignment horizontal="left" vertical="bottom"/>
    </xf>
    <xf numFmtId="308" fontId="92" fillId="59" borderId="53" xfId="0">
      <alignment horizontal="left" vertical="bottom"/>
      <protection locked="0"/>
    </xf>
    <xf numFmtId="0" fontId="173" fillId="57" borderId="0" xfId="0">
      <alignment horizontal="left" vertical="bottom"/>
    </xf>
    <xf numFmtId="3" fontId="92" fillId="57" borderId="0" xfId="217">
      <alignment horizontal="right" vertical="bottom"/>
    </xf>
    <xf numFmtId="3" fontId="92" fillId="57" borderId="51" xfId="217">
      <alignment horizontal="right" vertical="bottom"/>
    </xf>
    <xf numFmtId="58" fontId="108" fillId="57" borderId="0" xfId="0">
      <alignment horizontal="right" vertical="bottom"/>
    </xf>
    <xf numFmtId="4063" fontId="108" fillId="57" borderId="0" xfId="0">
      <alignment horizontal="right" vertical="bottom"/>
    </xf>
    <xf numFmtId="308" fontId="92" fillId="57" borderId="0" xfId="217">
      <alignment horizontal="left" vertical="bottom"/>
    </xf>
    <xf numFmtId="0" fontId="111" fillId="57" borderId="0" xfId="217"/>
    <xf numFmtId="4063" fontId="112" fillId="57" borderId="0" xfId="217">
      <alignment horizontal="right" vertical="bottom"/>
    </xf>
    <xf numFmtId="4063" fontId="108" fillId="57" borderId="0" xfId="217">
      <alignment horizontal="right" vertical="bottom"/>
    </xf>
    <xf numFmtId="308" fontId="92" fillId="57" borderId="0" xfId="217">
      <alignment horizontal="left" vertical="bottom"/>
      <protection locked="0"/>
    </xf>
    <xf numFmtId="308" fontId="92" fillId="57" borderId="0" xfId="0">
      <alignment horizontal="left" vertical="bottom"/>
    </xf>
    <xf numFmtId="3" fontId="92" fillId="57" borderId="0" xfId="0"/>
    <xf numFmtId="3" fontId="92" fillId="57" borderId="51" xfId="0"/>
    <xf numFmtId="0" fontId="108" fillId="57" borderId="47" xfId="0">
      <alignment horizontal="right" vertical="bottom"/>
    </xf>
    <xf numFmtId="0" fontId="108" fillId="52" borderId="47" xfId="217">
      <alignment horizontal="right" vertical="bottom"/>
    </xf>
    <xf numFmtId="0" fontId="173" fillId="57" borderId="50" xfId="0">
      <alignment horizontal="left" vertical="bottom"/>
    </xf>
    <xf numFmtId="0" fontId="173" fillId="57" borderId="51" xfId="0"/>
    <xf numFmtId="0" fontId="108" fillId="52" borderId="0" xfId="0">
      <alignment horizontal="right" vertical="bottom"/>
    </xf>
    <xf numFmtId="308" fontId="92" fillId="59" borderId="51" xfId="0">
      <alignment horizontal="left" vertical="bottom"/>
    </xf>
    <xf numFmtId="4140" fontId="92" fillId="57" borderId="0" xfId="0">
      <alignment horizontal="right" vertical="bottom"/>
    </xf>
    <xf numFmtId="0" fontId="92" fillId="59" borderId="9" xfId="0">
      <alignment horizontal="left" vertical="bottom"/>
    </xf>
    <xf numFmtId="10" fontId="108" fillId="52" borderId="53" xfId="217">
      <alignment horizontal="right" vertical="bottom"/>
      <protection locked="0"/>
    </xf>
    <xf numFmtId="58" fontId="108" fillId="52" borderId="0" xfId="0">
      <alignment horizontal="right" vertical="bottom"/>
    </xf>
    <xf numFmtId="58" fontId="92" fillId="57" borderId="0" xfId="0"/>
    <xf numFmtId="58" fontId="92" fillId="57" borderId="51" xfId="0"/>
    <xf numFmtId="10" fontId="108" fillId="57" borderId="47" xfId="217">
      <alignment horizontal="right" vertical="bottom"/>
      <protection locked="0"/>
    </xf>
    <xf numFmtId="0" fontId="92" fillId="59" borderId="9" xfId="217">
      <alignment horizontal="left" vertical="bottom"/>
    </xf>
    <xf numFmtId="0" fontId="108" fillId="57" borderId="16" xfId="276">
      <alignment horizontal="right" vertical="bottom"/>
    </xf>
    <xf numFmtId="4063" fontId="108" fillId="52" borderId="16" xfId="0">
      <alignment horizontal="right" vertical="bottom"/>
    </xf>
    <xf numFmtId="308" fontId="92" fillId="59" borderId="53" xfId="217">
      <alignment horizontal="left" vertical="bottom"/>
    </xf>
    <xf numFmtId="0" fontId="108" fillId="52" borderId="9" xfId="0">
      <alignment horizontal="center" vertical="bottom"/>
    </xf>
    <xf numFmtId="0" fontId="108" fillId="52" borderId="16" xfId="0">
      <alignment horizontal="center" vertical="bottom"/>
    </xf>
    <xf numFmtId="0" fontId="108" fillId="52" borderId="53" xfId="0">
      <alignment horizontal="center" vertical="bottom"/>
    </xf>
    <xf numFmtId="10" fontId="108" fillId="57" borderId="1" xfId="217">
      <alignment horizontal="right" vertical="bottom"/>
      <protection locked="0"/>
    </xf>
    <xf numFmtId="58" fontId="108" fillId="57" borderId="47" xfId="0">
      <alignment horizontal="right" vertical="bottom"/>
    </xf>
    <xf numFmtId="4063" fontId="108" fillId="52" borderId="47" xfId="0">
      <alignment horizontal="right" vertical="bottom"/>
    </xf>
    <xf numFmtId="2" fontId="92" fillId="57" borderId="51" xfId="0">
      <alignment horizontal="right" vertical="bottom"/>
    </xf>
    <xf numFmtId="10" fontId="92" fillId="57" borderId="0" xfId="0">
      <alignment horizontal="right" vertical="bottom"/>
    </xf>
    <xf numFmtId="10" fontId="152" fillId="52" borderId="0" xfId="0"/>
    <xf numFmtId="4063" fontId="106" fillId="57" borderId="51" xfId="276"/>
    <xf numFmtId="0" fontId="108" fillId="57" borderId="47" xfId="217">
      <alignment horizontal="right" vertical="bottom"/>
    </xf>
    <xf numFmtId="0" fontId="108" fillId="57" borderId="48" xfId="217">
      <alignment horizontal="right" vertical="bottom"/>
    </xf>
    <xf numFmtId="0" fontId="111" fillId="57" borderId="0" xfId="0">
      <alignment vertical="bottom" wrapText="1"/>
    </xf>
    <xf numFmtId="4063" fontId="108" fillId="52" borderId="0" xfId="0">
      <alignment horizontal="right" vertical="bottom"/>
    </xf>
    <xf numFmtId="0" fontId="248" fillId="59" borderId="50" xfId="0">
      <alignment horizontal="left" vertical="bottom"/>
    </xf>
    <xf numFmtId="0" fontId="108" fillId="57" borderId="0" xfId="217">
      <alignment horizontal="center" vertical="bottom"/>
    </xf>
    <xf numFmtId="0" fontId="108" fillId="57" borderId="51" xfId="217">
      <alignment horizontal="center" vertical="bottom"/>
    </xf>
    <xf numFmtId="4063" fontId="108" fillId="57" borderId="1" xfId="0">
      <alignment horizontal="right" vertical="bottom"/>
    </xf>
    <xf numFmtId="4063" fontId="108" fillId="52" borderId="1" xfId="0">
      <alignment horizontal="right" vertical="bottom"/>
    </xf>
    <xf numFmtId="0" fontId="92" fillId="59" borderId="1" xfId="0">
      <alignment horizontal="left" vertical="bottom"/>
      <protection locked="0"/>
    </xf>
    <xf numFmtId="0" fontId="112" fillId="49" borderId="158" xfId="217">
      <alignment horizontal="left" vertical="bottom"/>
    </xf>
    <xf numFmtId="0" fontId="112" fillId="49" borderId="95" xfId="217">
      <alignment horizontal="left" vertical="bottom"/>
    </xf>
    <xf numFmtId="0" fontId="112" fillId="49" borderId="95" xfId="217">
      <alignment vertical="bottom" wrapText="1"/>
    </xf>
    <xf numFmtId="0" fontId="112" fillId="49" borderId="159" xfId="217">
      <alignment vertical="bottom" wrapText="1"/>
    </xf>
    <xf numFmtId="0" fontId="152" fillId="57" borderId="45" xfId="0"/>
    <xf numFmtId="0" fontId="152" fillId="57" borderId="1" xfId="0"/>
    <xf numFmtId="10" fontId="152" fillId="52" borderId="1" xfId="0"/>
    <xf numFmtId="4063" fontId="106" fillId="57" borderId="49" xfId="276"/>
    <xf numFmtId="0" fontId="108" fillId="52" borderId="0" xfId="217">
      <alignment horizontal="right" vertical="bottom"/>
    </xf>
    <xf numFmtId="0" fontId="108" fillId="52" borderId="51" xfId="217">
      <alignment horizontal="right" vertical="bottom"/>
    </xf>
    <xf numFmtId="4063" fontId="108" fillId="57" borderId="47" xfId="0">
      <alignment horizontal="right" vertical="bottom"/>
    </xf>
    <xf numFmtId="0" fontId="112" fillId="49" borderId="160" xfId="0">
      <alignment horizontal="left" vertical="bottom"/>
    </xf>
    <xf numFmtId="0" fontId="112" fillId="49" borderId="96" xfId="0">
      <alignment horizontal="left" vertical="bottom"/>
    </xf>
    <xf numFmtId="0" fontId="112" fillId="49" borderId="96" xfId="0"/>
    <xf numFmtId="308" fontId="112" fillId="49" borderId="96" xfId="0">
      <alignment horizontal="right" vertical="bottom"/>
    </xf>
    <xf numFmtId="308" fontId="112" fillId="49" borderId="161" xfId="0">
      <alignment horizontal="right" vertical="bottom"/>
    </xf>
    <xf numFmtId="0" fontId="108" fillId="52" borderId="0" xfId="217">
      <alignment horizontal="right" vertical="bottom"/>
      <protection locked="0"/>
    </xf>
    <xf numFmtId="0" fontId="108" fillId="52" borderId="51" xfId="217">
      <alignment horizontal="right" vertical="bottom"/>
      <protection locked="0"/>
    </xf>
    <xf numFmtId="0" fontId="112" fillId="49" borderId="189" xfId="217">
      <alignment horizontal="left" vertical="top" wrapText="1"/>
    </xf>
    <xf numFmtId="0" fontId="112" fillId="49" borderId="190" xfId="217">
      <alignment horizontal="left" vertical="top" wrapText="1"/>
    </xf>
    <xf numFmtId="0" fontId="112" fillId="49" borderId="191" xfId="217">
      <alignment horizontal="left" vertical="top" wrapText="1"/>
    </xf>
    <xf numFmtId="10" fontId="108" fillId="57" borderId="47" xfId="0">
      <alignment horizontal="right" vertical="bottom"/>
    </xf>
    <xf numFmtId="0" fontId="112" fillId="49" borderId="50" xfId="217">
      <alignment horizontal="left" vertical="top" wrapText="1"/>
    </xf>
    <xf numFmtId="0" fontId="112" fillId="49" borderId="0" xfId="217">
      <alignment horizontal="left" vertical="top" wrapText="1"/>
    </xf>
    <xf numFmtId="0" fontId="112" fillId="49" borderId="51" xfId="217">
      <alignment horizontal="left" vertical="top" wrapText="1"/>
    </xf>
    <xf numFmtId="10" fontId="108" fillId="57" borderId="1" xfId="217" quotePrefix="1">
      <alignment horizontal="right" vertical="bottom"/>
      <protection locked="0"/>
    </xf>
    <xf numFmtId="10" fontId="108" fillId="52" borderId="1" xfId="217" quotePrefix="1">
      <alignment horizontal="right" vertical="bottom"/>
      <protection locked="0"/>
    </xf>
    <xf numFmtId="10" fontId="92" fillId="57" borderId="0" xfId="0">
      <alignment horizontal="right" vertical="bottom"/>
      <protection locked="0"/>
    </xf>
    <xf numFmtId="0" fontId="114" fillId="57" borderId="0" xfId="217">
      <alignment horizontal="left" vertical="bottom"/>
    </xf>
    <xf numFmtId="10" fontId="92" fillId="57" borderId="0" xfId="217">
      <alignment horizontal="left" vertical="bottom"/>
    </xf>
    <xf numFmtId="0" fontId="112" fillId="49" borderId="45" xfId="217">
      <alignment horizontal="left" vertical="top" wrapText="1"/>
    </xf>
    <xf numFmtId="0" fontId="112" fillId="49" borderId="1" xfId="217">
      <alignment horizontal="left" vertical="top" wrapText="1"/>
    </xf>
    <xf numFmtId="0" fontId="112" fillId="49" borderId="49" xfId="217">
      <alignment horizontal="left" vertical="top" wrapText="1"/>
    </xf>
    <xf numFmtId="0" fontId="184" fillId="57" borderId="0" xfId="0"/>
    <xf numFmtId="0" fontId="184" fillId="57" borderId="0" xfId="0">
      <alignment horizontal="center" vertical="bottom"/>
    </xf>
    <xf numFmtId="0" fontId="92" fillId="59" borderId="46" xfId="217">
      <alignment horizontal="left" vertical="bottom"/>
    </xf>
    <xf numFmtId="0" fontId="92" fillId="59" borderId="47" xfId="217">
      <alignment horizontal="left" vertical="bottom"/>
    </xf>
    <xf numFmtId="0" fontId="92" fillId="59" borderId="2" xfId="217">
      <alignment horizontal="center" vertical="bottom"/>
      <protection locked="0"/>
    </xf>
    <xf numFmtId="0" fontId="92" fillId="59" borderId="53" xfId="217">
      <alignment horizontal="center" vertical="bottom"/>
      <protection locked="0"/>
    </xf>
    <xf numFmtId="0" fontId="92" fillId="59" borderId="47" xfId="0">
      <alignment horizontal="left" vertical="bottom"/>
      <protection locked="0"/>
    </xf>
    <xf numFmtId="10" fontId="92" fillId="57" borderId="47" xfId="276">
      <alignment horizontal="right" vertical="bottom"/>
      <protection locked="0"/>
    </xf>
    <xf numFmtId="0" fontId="92" fillId="59" borderId="48" xfId="0">
      <alignment horizontal="left" vertical="bottom"/>
      <protection locked="0"/>
    </xf>
    <xf numFmtId="0" fontId="112" fillId="59" borderId="46" xfId="0">
      <alignment horizontal="left" vertical="bottom"/>
    </xf>
    <xf numFmtId="0" fontId="112" fillId="59" borderId="47" xfId="0">
      <alignment horizontal="left" vertical="bottom"/>
    </xf>
    <xf numFmtId="0" fontId="112" fillId="59" borderId="47" xfId="0"/>
    <xf numFmtId="1" fontId="108" fillId="52" borderId="46" xfId="0">
      <alignment horizontal="center" vertical="bottom"/>
    </xf>
    <xf numFmtId="1" fontId="112" fillId="52" borderId="47" xfId="0">
      <alignment horizontal="center" vertical="bottom"/>
    </xf>
    <xf numFmtId="1" fontId="112" fillId="52" borderId="48" xfId="0">
      <alignment horizontal="center" vertical="bottom"/>
    </xf>
    <xf numFmtId="0" fontId="148" fillId="57" borderId="9" xfId="0">
      <alignment horizontal="right" vertical="bottom" indent="1"/>
    </xf>
    <xf numFmtId="0" fontId="148" fillId="57" borderId="2" xfId="0">
      <alignment horizontal="center" vertical="bottom"/>
    </xf>
    <xf numFmtId="1" fontId="108" fillId="57" borderId="8" xfId="217">
      <alignment horizontal="center" vertical="center"/>
      <protection locked="0"/>
    </xf>
    <xf numFmtId="1" fontId="92" fillId="57" borderId="49" xfId="217">
      <alignment horizontal="center" vertical="center"/>
      <protection locked="0"/>
    </xf>
    <xf numFmtId="0" fontId="92" fillId="59" borderId="50" xfId="181">
      <alignment horizontal="left" vertical="bottom"/>
    </xf>
    <xf numFmtId="0" fontId="92" fillId="59" borderId="0" xfId="217">
      <alignment horizontal="left" vertical="bottom"/>
      <protection locked="0"/>
    </xf>
    <xf numFmtId="10" fontId="92" fillId="57" borderId="0" xfId="217">
      <alignment horizontal="right" vertical="bottom"/>
      <protection locked="0"/>
    </xf>
    <xf numFmtId="0" fontId="92" fillId="59" borderId="51" xfId="217">
      <alignment horizontal="left" vertical="bottom"/>
      <protection locked="0"/>
    </xf>
    <xf numFmtId="0" fontId="112" fillId="59" borderId="50" xfId="0">
      <alignment horizontal="left" vertical="bottom"/>
    </xf>
    <xf numFmtId="0" fontId="112" fillId="59" borderId="0" xfId="0">
      <alignment horizontal="left" vertical="bottom"/>
    </xf>
    <xf numFmtId="0" fontId="112" fillId="59" borderId="0" xfId="0"/>
    <xf numFmtId="9" fontId="108" fillId="52" borderId="50" xfId="276">
      <alignment horizontal="center" vertical="bottom"/>
    </xf>
    <xf numFmtId="9" fontId="112" fillId="57" borderId="0" xfId="276">
      <alignment horizontal="center" vertical="bottom"/>
    </xf>
    <xf numFmtId="9" fontId="112" fillId="57" borderId="51" xfId="276">
      <alignment horizontal="center" vertical="bottom"/>
    </xf>
    <xf numFmtId="0" fontId="148" fillId="57" borderId="45" xfId="0">
      <alignment horizontal="right" vertical="bottom" indent="1"/>
    </xf>
    <xf numFmtId="9" fontId="108" fillId="57" borderId="8" xfId="217">
      <alignment horizontal="center" vertical="bottom"/>
      <protection locked="0"/>
    </xf>
    <xf numFmtId="9" fontId="92" fillId="57" borderId="49" xfId="217" quotePrefix="1">
      <alignment horizontal="center" vertical="bottom"/>
      <protection locked="0"/>
    </xf>
    <xf numFmtId="0" fontId="92" fillId="59" borderId="0" xfId="217">
      <alignment horizontal="right" vertical="bottom"/>
      <protection locked="0"/>
    </xf>
    <xf numFmtId="308" fontId="92" fillId="57" borderId="0" xfId="217">
      <alignment horizontal="right" vertical="bottom"/>
      <protection locked="0"/>
    </xf>
    <xf numFmtId="308" fontId="92" fillId="57" borderId="51" xfId="217">
      <alignment horizontal="left" vertical="bottom"/>
      <protection locked="0"/>
    </xf>
    <xf numFmtId="2" fontId="108" fillId="52" borderId="50" xfId="0">
      <alignment horizontal="center" vertical="bottom"/>
    </xf>
    <xf numFmtId="2" fontId="112" fillId="57" borderId="0" xfId="0">
      <alignment horizontal="center" vertical="bottom"/>
    </xf>
    <xf numFmtId="2" fontId="112" fillId="57" borderId="51" xfId="0">
      <alignment horizontal="center" vertical="bottom"/>
    </xf>
    <xf numFmtId="4571" fontId="148" fillId="57" borderId="53" xfId="0">
      <alignment horizontal="center" vertical="bottom"/>
    </xf>
    <xf numFmtId="4571" fontId="148" fillId="57" borderId="0" xfId="0"/>
    <xf numFmtId="2" fontId="92" fillId="57" borderId="11" xfId="0">
      <alignment horizontal="center" vertical="bottom"/>
    </xf>
    <xf numFmtId="2" fontId="92" fillId="57" borderId="48" xfId="0" quotePrefix="1">
      <alignment horizontal="center" vertical="bottom"/>
    </xf>
    <xf numFmtId="10" fontId="111" fillId="59" borderId="0" xfId="217">
      <alignment horizontal="right" vertical="bottom"/>
    </xf>
    <xf numFmtId="0" fontId="114" fillId="59" borderId="0" xfId="0">
      <alignment horizontal="left" vertical="bottom"/>
    </xf>
    <xf numFmtId="0" fontId="92" fillId="67" borderId="51" xfId="0">
      <alignment horizontal="left" vertical="bottom"/>
    </xf>
    <xf numFmtId="1" fontId="108" fillId="52" borderId="50" xfId="0">
      <alignment horizontal="center" vertical="bottom"/>
    </xf>
    <xf numFmtId="1" fontId="112" fillId="57" borderId="0" xfId="0">
      <alignment horizontal="center" vertical="bottom"/>
    </xf>
    <xf numFmtId="1" fontId="112" fillId="57" borderId="51" xfId="0">
      <alignment horizontal="center" vertical="bottom"/>
    </xf>
    <xf numFmtId="10" fontId="92" fillId="57" borderId="0" xfId="0">
      <alignment horizontal="left" vertical="bottom"/>
    </xf>
    <xf numFmtId="0" fontId="148" fillId="0" borderId="0" xfId="0">
      <alignment horizontal="right" vertical="bottom"/>
    </xf>
    <xf numFmtId="2" fontId="92" fillId="57" borderId="52" xfId="217">
      <alignment horizontal="center" vertical="bottom"/>
      <protection locked="0"/>
    </xf>
    <xf numFmtId="2" fontId="92" fillId="57" borderId="51" xfId="217">
      <alignment horizontal="center" vertical="bottom"/>
      <protection locked="0"/>
    </xf>
    <xf numFmtId="10" fontId="92" fillId="49" borderId="51" xfId="217">
      <alignment horizontal="left" vertical="bottom"/>
    </xf>
    <xf numFmtId="10" fontId="108" fillId="52" borderId="50" xfId="0">
      <alignment horizontal="center" vertical="bottom"/>
    </xf>
    <xf numFmtId="10" fontId="112" fillId="57" borderId="0" xfId="0">
      <alignment horizontal="center" vertical="bottom"/>
    </xf>
    <xf numFmtId="10" fontId="112" fillId="57" borderId="51" xfId="0">
      <alignment horizontal="center" vertical="bottom"/>
    </xf>
    <xf numFmtId="10" fontId="148" fillId="57" borderId="53" xfId="0">
      <alignment horizontal="center" vertical="bottom"/>
    </xf>
    <xf numFmtId="9" fontId="148" fillId="57" borderId="0" xfId="0"/>
    <xf numFmtId="0" fontId="148" fillId="57" borderId="11" xfId="0"/>
    <xf numFmtId="0" fontId="148" fillId="112" borderId="11" xfId="0"/>
    <xf numFmtId="0" fontId="92" fillId="57" borderId="0" xfId="0">
      <alignment horizontal="left" vertical="center"/>
    </xf>
    <xf numFmtId="1" fontId="92" fillId="57" borderId="11" xfId="276">
      <alignment horizontal="center" vertical="bottom"/>
      <protection locked="0"/>
    </xf>
    <xf numFmtId="1" fontId="92" fillId="57" borderId="48" xfId="276" quotePrefix="1">
      <alignment horizontal="center" vertical="bottom"/>
      <protection locked="0"/>
    </xf>
    <xf numFmtId="10" fontId="92" fillId="57" borderId="1" xfId="0">
      <alignment horizontal="right" vertical="bottom"/>
    </xf>
    <xf numFmtId="0" fontId="112" fillId="59" borderId="1" xfId="0">
      <alignment horizontal="left" vertical="bottom"/>
    </xf>
    <xf numFmtId="10" fontId="92" fillId="49" borderId="49" xfId="217">
      <alignment horizontal="left" vertical="bottom"/>
    </xf>
    <xf numFmtId="0" fontId="52" fillId="57" borderId="0" xfId="181">
      <alignment horizontal="center" vertical="bottom"/>
    </xf>
    <xf numFmtId="0" fontId="148" fillId="57" borderId="2" xfId="0"/>
    <xf numFmtId="0" fontId="92" fillId="59" borderId="50" xfId="217">
      <alignment horizontal="left" vertical="center"/>
    </xf>
    <xf numFmtId="0" fontId="92" fillId="59" borderId="0" xfId="217">
      <alignment horizontal="left" vertical="center"/>
    </xf>
    <xf numFmtId="1" fontId="92" fillId="57" borderId="52" xfId="0">
      <alignment horizontal="center" vertical="bottom"/>
    </xf>
    <xf numFmtId="1" fontId="92" fillId="57" borderId="51" xfId="0" quotePrefix="1">
      <alignment horizontal="center" vertical="bottom"/>
    </xf>
    <xf numFmtId="4159" fontId="92" fillId="57" borderId="0" xfId="217">
      <alignment horizontal="center" vertical="center"/>
    </xf>
    <xf numFmtId="4159" fontId="114" fillId="57" borderId="0" xfId="217">
      <alignment horizontal="center" vertical="center"/>
    </xf>
    <xf numFmtId="4159" fontId="92" fillId="57" borderId="0" xfId="217">
      <alignment horizontal="left" vertical="center"/>
    </xf>
    <xf numFmtId="4159" fontId="92" fillId="57" borderId="0" xfId="0">
      <alignment horizontal="left" vertical="bottom"/>
    </xf>
    <xf numFmtId="4159" fontId="92" fillId="57" borderId="0" xfId="217">
      <alignment horizontal="left" vertical="center"/>
      <protection locked="0"/>
    </xf>
    <xf numFmtId="0" fontId="92" fillId="57" borderId="0" xfId="217">
      <alignment horizontal="left" vertical="center"/>
      <protection locked="0"/>
    </xf>
    <xf numFmtId="4607" fontId="112" fillId="57" borderId="50" xfId="0">
      <alignment horizontal="center" vertical="bottom"/>
    </xf>
    <xf numFmtId="4607" fontId="112" fillId="57" borderId="0" xfId="0">
      <alignment horizontal="center" vertical="bottom"/>
    </xf>
    <xf numFmtId="4607" fontId="112" fillId="57" borderId="51" xfId="0">
      <alignment horizontal="center" vertical="bottom"/>
    </xf>
    <xf numFmtId="0" fontId="3" fillId="57" borderId="0" xfId="43"/>
    <xf numFmtId="0" fontId="108" fillId="52" borderId="50" xfId="217">
      <alignment horizontal="left" vertical="center"/>
    </xf>
    <xf numFmtId="4473" fontId="108" fillId="57" borderId="52" xfId="0">
      <alignment horizontal="center" vertical="center"/>
    </xf>
    <xf numFmtId="4473" fontId="108" fillId="52" borderId="51" xfId="0">
      <alignment horizontal="center" vertical="center"/>
    </xf>
    <xf numFmtId="0" fontId="92" fillId="57" borderId="0" xfId="0">
      <alignment horizontal="left" vertical="top"/>
    </xf>
    <xf numFmtId="0" fontId="92" fillId="57" borderId="0" xfId="276">
      <alignment horizontal="left" vertical="bottom"/>
    </xf>
    <xf numFmtId="10" fontId="114" fillId="57" borderId="0" xfId="0">
      <alignment horizontal="right" vertical="bottom"/>
    </xf>
    <xf numFmtId="308" fontId="112" fillId="57" borderId="50" xfId="0">
      <alignment horizontal="center" vertical="bottom"/>
    </xf>
    <xf numFmtId="308" fontId="112" fillId="57" borderId="0" xfId="0">
      <alignment horizontal="center" vertical="bottom"/>
    </xf>
    <xf numFmtId="308" fontId="112" fillId="57" borderId="51" xfId="0">
      <alignment horizontal="center" vertical="bottom"/>
    </xf>
    <xf numFmtId="0" fontId="148" fillId="49" borderId="0" xfId="0"/>
    <xf numFmtId="1" fontId="92" fillId="57" borderId="8" xfId="217">
      <alignment horizontal="center" vertical="bottom"/>
    </xf>
    <xf numFmtId="1" fontId="92" fillId="57" borderId="49" xfId="217" quotePrefix="1">
      <alignment horizontal="center" vertical="bottom"/>
    </xf>
    <xf numFmtId="0" fontId="92" fillId="59" borderId="47" xfId="68">
      <alignment horizontal="center" vertical="bottom"/>
    </xf>
    <xf numFmtId="0" fontId="112" fillId="67" borderId="47" xfId="68">
      <alignment horizontal="center" vertical="bottom"/>
    </xf>
    <xf numFmtId="0" fontId="92" fillId="67" borderId="47" xfId="68">
      <alignment horizontal="center" vertical="bottom"/>
    </xf>
    <xf numFmtId="0" fontId="92" fillId="59" borderId="48" xfId="217">
      <alignment horizontal="left" vertical="bottom"/>
    </xf>
    <xf numFmtId="0" fontId="112" fillId="59" borderId="45" xfId="0">
      <alignment horizontal="left" vertical="bottom"/>
    </xf>
    <xf numFmtId="0" fontId="112" fillId="59" borderId="1" xfId="0"/>
    <xf numFmtId="308" fontId="112" fillId="57" borderId="45" xfId="0">
      <alignment horizontal="center" vertical="bottom"/>
    </xf>
    <xf numFmtId="308" fontId="112" fillId="57" borderId="1" xfId="0">
      <alignment horizontal="center" vertical="bottom"/>
    </xf>
    <xf numFmtId="308" fontId="112" fillId="57" borderId="49" xfId="0">
      <alignment horizontal="center" vertical="bottom"/>
    </xf>
    <xf numFmtId="4159" fontId="92" fillId="57" borderId="0" xfId="217">
      <alignment horizontal="center" vertical="bottom"/>
    </xf>
    <xf numFmtId="4159" fontId="112" fillId="49" borderId="50" xfId="217">
      <alignment horizontal="center" vertical="bottom"/>
    </xf>
    <xf numFmtId="4159" fontId="92" fillId="67" borderId="0" xfId="217">
      <alignment horizontal="center" vertical="bottom"/>
    </xf>
    <xf numFmtId="4159" fontId="92" fillId="59" borderId="0" xfId="0">
      <alignment horizontal="left" vertical="bottom"/>
    </xf>
    <xf numFmtId="4159" fontId="92" fillId="59" borderId="51" xfId="0">
      <alignment horizontal="left" vertical="bottom"/>
    </xf>
    <xf numFmtId="0" fontId="112" fillId="57" borderId="50" xfId="217">
      <alignment horizontal="left" vertical="bottom"/>
      <protection locked="0"/>
    </xf>
    <xf numFmtId="0" fontId="112" fillId="57" borderId="0" xfId="217">
      <alignment horizontal="left" vertical="bottom"/>
      <protection locked="0"/>
    </xf>
    <xf numFmtId="0" fontId="112" fillId="57" borderId="0" xfId="217">
      <protection locked="0"/>
    </xf>
    <xf numFmtId="0" fontId="267" fillId="57" borderId="0" xfId="0"/>
    <xf numFmtId="0" fontId="267" fillId="57" borderId="47" xfId="0"/>
    <xf numFmtId="0" fontId="267" fillId="57" borderId="48" xfId="0"/>
    <xf numFmtId="4159" fontId="112" fillId="49" borderId="50" xfId="217">
      <alignment horizontal="center" vertical="center"/>
    </xf>
    <xf numFmtId="4159" fontId="92" fillId="67" borderId="0" xfId="217">
      <alignment horizontal="left" vertical="center"/>
    </xf>
    <xf numFmtId="4159" fontId="92" fillId="59" borderId="51" xfId="217">
      <alignment horizontal="left" vertical="center"/>
      <protection locked="0"/>
    </xf>
    <xf numFmtId="0" fontId="267" fillId="57" borderId="51" xfId="0"/>
    <xf numFmtId="0" fontId="92" fillId="59" borderId="47" xfId="217">
      <alignment horizontal="left" vertical="bottom"/>
      <protection locked="0"/>
    </xf>
    <xf numFmtId="0" fontId="108" fillId="52" borderId="48" xfId="217" quotePrefix="1">
      <alignment horizontal="right" vertical="bottom"/>
      <protection locked="0"/>
    </xf>
    <xf numFmtId="10" fontId="92" fillId="57" borderId="47" xfId="68">
      <alignment horizontal="center" vertical="bottom"/>
    </xf>
    <xf numFmtId="10" fontId="112" fillId="49" borderId="46" xfId="68">
      <alignment horizontal="center" vertical="bottom"/>
    </xf>
    <xf numFmtId="0" fontId="114" fillId="67" borderId="47" xfId="217">
      <alignment horizontal="left" vertical="bottom"/>
    </xf>
    <xf numFmtId="0" fontId="112" fillId="57" borderId="50" xfId="0">
      <alignment horizontal="left" vertical="bottom"/>
    </xf>
    <xf numFmtId="0" fontId="112" fillId="57" borderId="0" xfId="0">
      <alignment horizontal="left" vertical="bottom"/>
    </xf>
    <xf numFmtId="0" fontId="112" fillId="57" borderId="0" xfId="0"/>
    <xf numFmtId="0" fontId="112" fillId="57" borderId="1" xfId="0"/>
    <xf numFmtId="0" fontId="112" fillId="57" borderId="49" xfId="0"/>
    <xf numFmtId="4041" fontId="92" fillId="57" borderId="51" xfId="217" quotePrefix="1">
      <alignment horizontal="right" vertical="bottom"/>
      <protection locked="0"/>
    </xf>
    <xf numFmtId="10" fontId="92" fillId="57" borderId="0" xfId="0">
      <alignment horizontal="center" vertical="bottom"/>
      <protection locked="0"/>
    </xf>
    <xf numFmtId="10" fontId="112" fillId="49" borderId="50" xfId="0">
      <alignment horizontal="center" vertical="bottom"/>
      <protection locked="0"/>
    </xf>
    <xf numFmtId="0" fontId="114" fillId="67" borderId="0" xfId="217">
      <alignment horizontal="left" vertical="bottom"/>
    </xf>
    <xf numFmtId="0" fontId="112" fillId="52" borderId="9" xfId="0">
      <alignment horizontal="center" vertical="bottom"/>
    </xf>
    <xf numFmtId="0" fontId="112" fillId="52" borderId="16" xfId="0">
      <alignment horizontal="center" vertical="bottom"/>
    </xf>
    <xf numFmtId="0" fontId="112" fillId="52" borderId="53" xfId="0">
      <alignment horizontal="center" vertical="bottom"/>
    </xf>
    <xf numFmtId="0" fontId="5" fillId="57" borderId="0" xfId="0">
      <alignment vertical="center"/>
    </xf>
    <xf numFmtId="4041" fontId="237" fillId="59" borderId="0" xfId="276">
      <alignment horizontal="center" vertical="bottom"/>
    </xf>
    <xf numFmtId="10" fontId="112" fillId="49" borderId="1" xfId="68">
      <alignment horizontal="center" vertical="bottom"/>
    </xf>
    <xf numFmtId="10" fontId="112" fillId="49" borderId="45" xfId="68">
      <alignment horizontal="center" vertical="bottom"/>
    </xf>
    <xf numFmtId="0" fontId="114" fillId="67" borderId="1" xfId="0">
      <alignment horizontal="left" vertical="bottom"/>
    </xf>
    <xf numFmtId="0" fontId="92" fillId="59" borderId="1" xfId="68">
      <alignment horizontal="left" vertical="bottom"/>
    </xf>
    <xf numFmtId="4041" fontId="108" fillId="52" borderId="46" xfId="276">
      <alignment horizontal="center" vertical="bottom"/>
    </xf>
    <xf numFmtId="4041" fontId="112" fillId="57" borderId="47" xfId="276">
      <alignment horizontal="center" vertical="bottom"/>
    </xf>
    <xf numFmtId="4041" fontId="112" fillId="57" borderId="48" xfId="276">
      <alignment horizontal="center" vertical="bottom"/>
    </xf>
    <xf numFmtId="4041" fontId="92" fillId="57" borderId="51" xfId="217">
      <alignment horizontal="right" vertical="bottom"/>
    </xf>
    <xf numFmtId="4063" fontId="108" fillId="57" borderId="0" xfId="276">
      <alignment horizontal="right" vertical="bottom"/>
      <protection locked="0"/>
    </xf>
    <xf numFmtId="4041" fontId="108" fillId="52" borderId="45" xfId="276">
      <alignment horizontal="center" vertical="bottom"/>
    </xf>
    <xf numFmtId="4041" fontId="112" fillId="57" borderId="1" xfId="276">
      <alignment horizontal="center" vertical="bottom"/>
    </xf>
    <xf numFmtId="4041" fontId="112" fillId="57" borderId="49" xfId="276">
      <alignment horizontal="center" vertical="bottom"/>
    </xf>
    <xf numFmtId="9" fontId="92" fillId="59" borderId="0" xfId="0">
      <alignment horizontal="center" vertical="bottom"/>
    </xf>
    <xf numFmtId="0" fontId="92" fillId="57" borderId="0" xfId="217">
      <alignment horizontal="left" vertical="top"/>
    </xf>
    <xf numFmtId="308" fontId="92" fillId="57" borderId="47" xfId="217">
      <alignment horizontal="left" vertical="bottom"/>
    </xf>
    <xf numFmtId="4063" fontId="108" fillId="57" borderId="47" xfId="276">
      <alignment horizontal="right" vertical="bottom"/>
      <protection locked="0"/>
    </xf>
    <xf numFmtId="0" fontId="92" fillId="59" borderId="47" xfId="217">
      <alignment horizontal="right" vertical="bottom"/>
    </xf>
    <xf numFmtId="308" fontId="92" fillId="59" borderId="48" xfId="217">
      <alignment horizontal="left" vertical="bottom"/>
    </xf>
    <xf numFmtId="0" fontId="92" fillId="59" borderId="58" xfId="217">
      <alignment horizontal="left" vertical="bottom"/>
    </xf>
    <xf numFmtId="308" fontId="92" fillId="59" borderId="98" xfId="217">
      <alignment horizontal="left" vertical="bottom"/>
    </xf>
    <xf numFmtId="4063" fontId="108" fillId="52" borderId="0" xfId="276">
      <alignment horizontal="right" vertical="bottom"/>
      <protection locked="0"/>
    </xf>
    <xf numFmtId="0" fontId="92" fillId="59" borderId="0" xfId="217">
      <alignment horizontal="right" vertical="bottom"/>
    </xf>
    <xf numFmtId="308" fontId="92" fillId="59" borderId="99" xfId="0">
      <alignment horizontal="left" vertical="bottom"/>
    </xf>
    <xf numFmtId="0" fontId="92" fillId="59" borderId="1" xfId="68">
      <alignment horizontal="center" vertical="bottom"/>
    </xf>
    <xf numFmtId="4041" fontId="92" fillId="57" borderId="49" xfId="217">
      <alignment horizontal="right" vertical="bottom"/>
    </xf>
    <xf numFmtId="4063" fontId="92" fillId="57" borderId="0" xfId="276">
      <alignment horizontal="right" vertical="bottom"/>
      <protection locked="0"/>
    </xf>
    <xf numFmtId="4041" fontId="108" fillId="52" borderId="50" xfId="276">
      <alignment horizontal="center" vertical="bottom"/>
    </xf>
    <xf numFmtId="4041" fontId="112" fillId="57" borderId="0" xfId="276">
      <alignment horizontal="center" vertical="bottom"/>
    </xf>
    <xf numFmtId="4041" fontId="112" fillId="57" borderId="51" xfId="276">
      <alignment horizontal="center" vertical="bottom"/>
    </xf>
    <xf numFmtId="4041" fontId="92" fillId="59" borderId="47" xfId="217">
      <alignment horizontal="center" vertical="bottom"/>
      <protection locked="0"/>
    </xf>
    <xf numFmtId="4041" fontId="92" fillId="57" borderId="48" xfId="217">
      <alignment horizontal="right" vertical="bottom"/>
    </xf>
    <xf numFmtId="4041" fontId="112" fillId="57" borderId="46" xfId="276">
      <alignment horizontal="center" vertical="bottom"/>
    </xf>
    <xf numFmtId="0" fontId="92" fillId="59" borderId="1" xfId="217">
      <alignment horizontal="left" vertical="bottom"/>
      <protection locked="0"/>
    </xf>
    <xf numFmtId="4041" fontId="112" fillId="57" borderId="45" xfId="276">
      <alignment horizontal="center" vertical="bottom"/>
    </xf>
    <xf numFmtId="4140" fontId="92" fillId="57" borderId="48" xfId="217">
      <alignment horizontal="right" vertical="bottom"/>
    </xf>
    <xf numFmtId="0" fontId="248" fillId="59" borderId="0" xfId="0">
      <alignment horizontal="left" vertical="bottom"/>
    </xf>
    <xf numFmtId="308" fontId="248" fillId="57" borderId="0" xfId="0">
      <alignment horizontal="left" vertical="bottom"/>
    </xf>
    <xf numFmtId="4063" fontId="248" fillId="57" borderId="0" xfId="68">
      <alignment horizontal="right" vertical="bottom"/>
    </xf>
    <xf numFmtId="0" fontId="248" fillId="59" borderId="0" xfId="217">
      <alignment horizontal="right" vertical="bottom"/>
    </xf>
    <xf numFmtId="308" fontId="248" fillId="59" borderId="51" xfId="0">
      <alignment horizontal="left" vertical="bottom"/>
    </xf>
    <xf numFmtId="4140" fontId="92" fillId="57" borderId="49" xfId="217">
      <alignment horizontal="right" vertical="bottom"/>
    </xf>
    <xf numFmtId="0" fontId="248" fillId="59" borderId="50" xfId="276">
      <alignment horizontal="left" vertical="bottom"/>
    </xf>
    <xf numFmtId="0" fontId="248" fillId="59" borderId="0" xfId="276">
      <alignment horizontal="left" vertical="bottom"/>
    </xf>
    <xf numFmtId="0" fontId="112" fillId="57" borderId="1" xfId="0">
      <alignment horizontal="center" vertical="bottom"/>
    </xf>
    <xf numFmtId="0" fontId="112" fillId="57" borderId="49" xfId="0">
      <alignment horizontal="center" vertical="bottom"/>
    </xf>
    <xf numFmtId="0" fontId="92" fillId="59" borderId="0" xfId="0">
      <alignment horizontal="left" vertical="center"/>
    </xf>
    <xf numFmtId="4041" fontId="92" fillId="57" borderId="51" xfId="217">
      <alignment horizontal="right" vertical="center"/>
    </xf>
    <xf numFmtId="0" fontId="111" fillId="57" borderId="0" xfId="0">
      <alignment horizontal="left" vertical="bottom"/>
    </xf>
    <xf numFmtId="0" fontId="92" fillId="59" borderId="9" xfId="217">
      <alignment horizontal="left" vertical="center"/>
    </xf>
    <xf numFmtId="0" fontId="92" fillId="59" borderId="16" xfId="217">
      <alignment horizontal="left" vertical="center"/>
    </xf>
    <xf numFmtId="308" fontId="92" fillId="57" borderId="16" xfId="0">
      <alignment horizontal="left" vertical="center"/>
    </xf>
    <xf numFmtId="4063" fontId="92" fillId="57" borderId="16" xfId="43">
      <alignment horizontal="right" vertical="center"/>
    </xf>
    <xf numFmtId="0" fontId="92" fillId="59" borderId="16" xfId="217">
      <alignment horizontal="right" vertical="bottom"/>
    </xf>
    <xf numFmtId="0" fontId="92" fillId="59" borderId="16" xfId="217">
      <alignment horizontal="left" vertical="bottom"/>
    </xf>
    <xf numFmtId="308" fontId="92" fillId="59" borderId="53" xfId="217">
      <alignment horizontal="left" vertical="bottom"/>
      <protection locked="0"/>
    </xf>
    <xf numFmtId="0" fontId="92" fillId="59" borderId="100" xfId="217">
      <alignment horizontal="left" vertical="bottom"/>
    </xf>
    <xf numFmtId="308" fontId="92" fillId="59" borderId="101" xfId="217">
      <alignment horizontal="left" vertical="bottom"/>
      <protection locked="0"/>
    </xf>
    <xf numFmtId="0" fontId="112" fillId="59" borderId="2" xfId="0">
      <alignment horizontal="left" vertical="bottom"/>
    </xf>
    <xf numFmtId="0" fontId="112" fillId="59" borderId="9" xfId="0">
      <alignment horizontal="left" vertical="bottom"/>
    </xf>
    <xf numFmtId="0" fontId="112" fillId="59" borderId="16" xfId="0"/>
    <xf numFmtId="0" fontId="267" fillId="59" borderId="53" xfId="0"/>
    <xf numFmtId="308" fontId="112" fillId="57" borderId="9" xfId="0">
      <alignment horizontal="center" vertical="bottom"/>
    </xf>
    <xf numFmtId="308" fontId="112" fillId="57" borderId="16" xfId="0">
      <alignment horizontal="center" vertical="bottom"/>
    </xf>
    <xf numFmtId="308" fontId="112" fillId="57" borderId="53" xfId="0">
      <alignment horizontal="center" vertical="bottom"/>
    </xf>
    <xf numFmtId="10" fontId="108" fillId="52" borderId="49" xfId="217">
      <alignment horizontal="right" vertical="bottom"/>
    </xf>
    <xf numFmtId="0" fontId="0" fillId="57" borderId="0" xfId="0">
      <alignment horizontal="left" vertical="bottom"/>
    </xf>
    <xf numFmtId="0" fontId="101" fillId="57" borderId="0" xfId="0">
      <alignment horizontal="left" vertical="bottom"/>
    </xf>
    <xf numFmtId="0" fontId="0" fillId="0" borderId="0" xfId="0">
      <alignment horizontal="left" vertical="bottom"/>
    </xf>
    <xf numFmtId="0" fontId="101" fillId="0" borderId="0" xfId="0">
      <alignment horizontal="left" vertical="bottom"/>
    </xf>
    <xf numFmtId="4031" fontId="108" fillId="52" borderId="47" xfId="276">
      <alignment horizontal="center" vertical="bottom"/>
    </xf>
    <xf numFmtId="4063" fontId="108" fillId="52" borderId="47" xfId="276">
      <alignment horizontal="right" vertical="bottom"/>
      <protection locked="0"/>
    </xf>
    <xf numFmtId="4063" fontId="92" fillId="0" borderId="47" xfId="276">
      <alignment horizontal="right" vertical="bottom"/>
      <protection locked="0"/>
    </xf>
    <xf numFmtId="0" fontId="0" fillId="0" borderId="50" xfId="0"/>
    <xf numFmtId="4031" fontId="92" fillId="57" borderId="0" xfId="276">
      <alignment horizontal="center" vertical="bottom"/>
    </xf>
    <xf numFmtId="4063" fontId="92" fillId="0" borderId="0" xfId="276">
      <alignment horizontal="right" vertical="bottom"/>
      <protection locked="0"/>
    </xf>
    <xf numFmtId="308" fontId="92" fillId="59" borderId="1" xfId="0">
      <alignment horizontal="left" vertical="bottom"/>
    </xf>
    <xf numFmtId="4063" fontId="108" fillId="52" borderId="1" xfId="276">
      <alignment horizontal="right" vertical="bottom"/>
      <protection locked="0"/>
    </xf>
    <xf numFmtId="0" fontId="0" fillId="0" borderId="0" xfId="0"/>
    <xf numFmtId="0" fontId="101" fillId="0" borderId="0" xfId="0"/>
    <xf numFmtId="0" fontId="0" fillId="57" borderId="0" xfId="0">
      <alignment vertical="center"/>
      <protection locked="0"/>
    </xf>
    <xf numFmtId="0" fontId="156" fillId="57" borderId="0" xfId="0">
      <alignment vertical="center" wrapText="1"/>
      <protection locked="0"/>
    </xf>
    <xf numFmtId="0" fontId="140" fillId="0" borderId="0" xfId="0">
      <alignment horizontal="right" vertical="center"/>
    </xf>
    <xf numFmtId="5019" fontId="141" fillId="52" borderId="0" xfId="0">
      <alignment horizontal="center" vertical="center"/>
    </xf>
    <xf numFmtId="0" fontId="0" fillId="57" borderId="0" xfId="0">
      <alignment vertical="center"/>
    </xf>
    <xf numFmtId="0" fontId="140" fillId="57" borderId="0" xfId="0">
      <alignment vertical="center"/>
    </xf>
    <xf numFmtId="0" fontId="140" fillId="57" borderId="0" xfId="0">
      <alignment horizontal="left" vertical="center"/>
    </xf>
    <xf numFmtId="0" fontId="274" fillId="57" borderId="0" xfId="0">
      <alignment vertical="center"/>
    </xf>
    <xf numFmtId="0" fontId="140" fillId="57" borderId="0" xfId="0">
      <alignment horizontal="center" vertical="center"/>
    </xf>
    <xf numFmtId="0" fontId="140" fillId="57" borderId="50" xfId="0">
      <alignment vertical="center"/>
    </xf>
    <xf numFmtId="0" fontId="140" fillId="57" borderId="51" xfId="0">
      <alignment vertical="center"/>
    </xf>
    <xf numFmtId="4605" fontId="14" fillId="57" borderId="0" xfId="0">
      <alignment vertical="center"/>
    </xf>
    <xf numFmtId="4605" fontId="14" fillId="92" borderId="0" xfId="0">
      <alignment horizontal="center" vertical="center"/>
    </xf>
    <xf numFmtId="4605" fontId="211" fillId="81" borderId="1" xfId="0">
      <alignment vertical="center"/>
    </xf>
    <xf numFmtId="4605" fontId="211" fillId="57" borderId="0" xfId="0">
      <alignment vertical="center"/>
    </xf>
    <xf numFmtId="0" fontId="123" fillId="57" borderId="0" xfId="0">
      <alignment vertical="center"/>
    </xf>
    <xf numFmtId="0" fontId="251" fillId="57" borderId="0" xfId="0">
      <alignment vertical="center"/>
    </xf>
    <xf numFmtId="0" fontId="89" fillId="57" borderId="0" xfId="0">
      <alignment horizontal="center" vertical="center"/>
    </xf>
    <xf numFmtId="0" fontId="210" fillId="70" borderId="0" xfId="0">
      <alignment horizontal="right" vertical="center" indent="1"/>
    </xf>
    <xf numFmtId="0" fontId="140" fillId="57" borderId="2" xfId="0">
      <alignment horizontal="center" vertical="center"/>
    </xf>
    <xf numFmtId="0" fontId="140" fillId="57" borderId="0" xfId="0" quotePrefix="1">
      <alignment horizontal="center" vertical="center"/>
    </xf>
    <xf numFmtId="0" fontId="244" fillId="57" borderId="0" xfId="0">
      <alignment horizontal="right" vertical="center"/>
    </xf>
    <xf numFmtId="4255" fontId="242" fillId="57" borderId="0" xfId="0">
      <alignment horizontal="left" vertical="center" indent="2"/>
    </xf>
    <xf numFmtId="4255" fontId="243" fillId="57" borderId="0" xfId="0">
      <alignment horizontal="left" vertical="center" indent="2"/>
    </xf>
    <xf numFmtId="0" fontId="0" fillId="57" borderId="0" xfId="0">
      <alignment horizontal="center" vertical="center"/>
    </xf>
    <xf numFmtId="308" fontId="0" fillId="57" borderId="0" xfId="0">
      <alignment horizontal="center" vertical="center"/>
    </xf>
    <xf numFmtId="0" fontId="183" fillId="57" borderId="0" xfId="0">
      <alignment vertical="center"/>
    </xf>
    <xf numFmtId="0" fontId="183" fillId="57" borderId="0" xfId="0">
      <alignment horizontal="center" vertical="center"/>
    </xf>
    <xf numFmtId="4063" fontId="141" fillId="52" borderId="0" xfId="0">
      <alignment horizontal="center" vertical="center"/>
      <protection locked="0"/>
    </xf>
    <xf numFmtId="4605" fontId="211" fillId="92" borderId="9" xfId="0">
      <alignment vertical="center"/>
    </xf>
    <xf numFmtId="4605" fontId="211" fillId="92" borderId="16" xfId="0">
      <alignment vertical="center"/>
    </xf>
    <xf numFmtId="4605" fontId="211" fillId="92" borderId="53" xfId="0">
      <alignment vertical="center"/>
    </xf>
    <xf numFmtId="0" fontId="274" fillId="57" borderId="0" xfId="0" quotePrefix="1">
      <alignment vertical="center"/>
    </xf>
    <xf numFmtId="0" fontId="14" fillId="92" borderId="9" xfId="0">
      <alignment horizontal="center" vertical="center"/>
    </xf>
    <xf numFmtId="0" fontId="14" fillId="92" borderId="2" xfId="0">
      <alignment horizontal="center" vertical="center"/>
    </xf>
    <xf numFmtId="0" fontId="140" fillId="57" borderId="0" xfId="0" quotePrefix="1">
      <alignment vertical="center"/>
    </xf>
    <xf numFmtId="5004" fontId="181" fillId="57" borderId="2" xfId="0">
      <alignment horizontal="center" vertical="center" wrapText="1"/>
    </xf>
    <xf numFmtId="0" fontId="246" fillId="57" borderId="0" xfId="0">
      <alignment horizontal="center" vertical="center" wrapText="1"/>
    </xf>
    <xf numFmtId="4041" fontId="181" fillId="57" borderId="0" xfId="276">
      <alignment horizontal="center" vertical="center" wrapText="1"/>
    </xf>
    <xf numFmtId="0" fontId="181" fillId="57" borderId="0" xfId="0">
      <alignment horizontal="center" vertical="center" wrapText="1"/>
    </xf>
    <xf numFmtId="0" fontId="14" fillId="92" borderId="9" xfId="0">
      <alignment horizontal="left" vertical="center"/>
    </xf>
    <xf numFmtId="0" fontId="140" fillId="57" borderId="51" xfId="0" quotePrefix="1">
      <alignment vertical="center"/>
    </xf>
    <xf numFmtId="0" fontId="89" fillId="57" borderId="1" xfId="0">
      <alignment horizontal="left" vertical="center" wrapText="1"/>
      <protection locked="0"/>
    </xf>
    <xf numFmtId="0" fontId="89" fillId="57" borderId="0" xfId="0">
      <alignment vertical="center"/>
    </xf>
    <xf numFmtId="0" fontId="183" fillId="57" borderId="0" xfId="0">
      <alignment horizontal="left" vertical="center"/>
    </xf>
    <xf numFmtId="4063" fontId="140" fillId="57" borderId="0" xfId="0">
      <alignment horizontal="center" vertical="center"/>
    </xf>
    <xf numFmtId="4551" fontId="141" fillId="52" borderId="0" xfId="0">
      <alignment vertical="center"/>
    </xf>
    <xf numFmtId="10" fontId="229" fillId="0" borderId="2" xfId="181">
      <alignment horizontal="left" vertical="center"/>
    </xf>
    <xf numFmtId="58" fontId="101" fillId="0" borderId="2" xfId="184">
      <alignment horizontal="center" vertical="center"/>
    </xf>
    <xf numFmtId="4051" fontId="101" fillId="0" borderId="2" xfId="0">
      <alignment horizontal="center" vertical="center"/>
    </xf>
    <xf numFmtId="4051" fontId="101" fillId="113" borderId="2" xfId="0">
      <alignment horizontal="center" vertical="center"/>
    </xf>
    <xf numFmtId="0" fontId="181" fillId="57" borderId="0" xfId="0">
      <alignment vertical="center" wrapText="1"/>
    </xf>
    <xf numFmtId="10" fontId="140" fillId="57" borderId="51" xfId="276">
      <alignment vertical="center"/>
    </xf>
    <xf numFmtId="0" fontId="273" fillId="57" borderId="51" xfId="0">
      <alignment vertical="center"/>
    </xf>
    <xf numFmtId="5005" fontId="0" fillId="57" borderId="0" xfId="0">
      <alignment horizontal="center" vertical="center"/>
    </xf>
    <xf numFmtId="10" fontId="3" fillId="82" borderId="0" xfId="0">
      <alignment horizontal="center" vertical="center"/>
    </xf>
    <xf numFmtId="10" fontId="3" fillId="76" borderId="0" xfId="0">
      <alignment horizontal="center" vertical="center"/>
    </xf>
    <xf numFmtId="10" fontId="3" fillId="66" borderId="0" xfId="0">
      <alignment horizontal="center" vertical="center"/>
    </xf>
    <xf numFmtId="4116" fontId="141" fillId="52" borderId="0" xfId="68">
      <alignment vertical="center"/>
    </xf>
    <xf numFmtId="10" fontId="101" fillId="0" borderId="2" xfId="184">
      <alignment horizontal="left" vertical="center"/>
    </xf>
    <xf numFmtId="4051" fontId="101" fillId="0" borderId="2" xfId="0" quotePrefix="1">
      <alignment horizontal="center" vertical="center"/>
    </xf>
    <xf numFmtId="0" fontId="149" fillId="57" borderId="0" xfId="0">
      <alignment vertical="center"/>
    </xf>
    <xf numFmtId="0" fontId="245" fillId="70" borderId="46" xfId="0" quotePrefix="1">
      <alignment horizontal="left" vertical="center"/>
    </xf>
    <xf numFmtId="0" fontId="245" fillId="70" borderId="47" xfId="0">
      <alignment horizontal="left" vertical="center"/>
    </xf>
    <xf numFmtId="0" fontId="245" fillId="70" borderId="48" xfId="0">
      <alignment horizontal="left" vertical="center"/>
    </xf>
    <xf numFmtId="0" fontId="245" fillId="57" borderId="0" xfId="0">
      <alignment horizontal="left" vertical="center" wrapText="1"/>
    </xf>
    <xf numFmtId="0" fontId="245" fillId="57" borderId="50" xfId="0">
      <alignment horizontal="left" vertical="center" wrapText="1"/>
    </xf>
    <xf numFmtId="2" fontId="140" fillId="57" borderId="51" xfId="276">
      <alignment vertical="center"/>
    </xf>
    <xf numFmtId="0" fontId="245" fillId="0" borderId="0" xfId="0">
      <alignment horizontal="left" vertical="center" wrapText="1"/>
    </xf>
    <xf numFmtId="0" fontId="0" fillId="0" borderId="0" xfId="0">
      <alignment vertical="center"/>
    </xf>
    <xf numFmtId="49" fontId="261" fillId="52" borderId="0" xfId="278" quotePrefix="1">
      <alignment horizontal="center" vertical="center"/>
      <protection locked="0"/>
    </xf>
    <xf numFmtId="1" fontId="3" fillId="82" borderId="0" xfId="0">
      <alignment horizontal="center" vertical="center"/>
    </xf>
    <xf numFmtId="1" fontId="3" fillId="76" borderId="0" xfId="0">
      <alignment horizontal="center" vertical="center"/>
    </xf>
    <xf numFmtId="1" fontId="3" fillId="66" borderId="0" xfId="0">
      <alignment horizontal="center" vertical="center"/>
    </xf>
    <xf numFmtId="1" fontId="0" fillId="57" borderId="0" xfId="0">
      <alignment horizontal="center" vertical="center"/>
    </xf>
    <xf numFmtId="0" fontId="0" fillId="57" borderId="2" xfId="0">
      <alignment vertical="center"/>
    </xf>
    <xf numFmtId="0" fontId="246" fillId="89" borderId="50" xfId="0">
      <alignment horizontal="left" vertical="center"/>
    </xf>
    <xf numFmtId="0" fontId="246" fillId="89" borderId="0" xfId="0">
      <alignment horizontal="left" vertical="center"/>
    </xf>
    <xf numFmtId="0" fontId="246" fillId="89" borderId="51" xfId="0">
      <alignment horizontal="left" vertical="center"/>
    </xf>
    <xf numFmtId="0" fontId="246" fillId="57" borderId="50" xfId="0">
      <alignment horizontal="center" vertical="center" wrapText="1"/>
    </xf>
    <xf numFmtId="4041" fontId="140" fillId="57" borderId="51" xfId="276">
      <alignment vertical="center"/>
    </xf>
    <xf numFmtId="0" fontId="246" fillId="0" borderId="0" xfId="0">
      <alignment horizontal="center" vertical="center" wrapText="1"/>
    </xf>
    <xf numFmtId="0" fontId="0" fillId="68" borderId="0" xfId="0">
      <alignment vertical="center"/>
    </xf>
    <xf numFmtId="308" fontId="0" fillId="68" borderId="0" xfId="0">
      <alignment horizontal="center" vertical="center"/>
    </xf>
    <xf numFmtId="0" fontId="182" fillId="0" borderId="50" xfId="0">
      <alignment horizontal="left" vertical="center"/>
    </xf>
    <xf numFmtId="0" fontId="140" fillId="0" borderId="0" xfId="0">
      <alignment horizontal="left" vertical="center"/>
    </xf>
    <xf numFmtId="0" fontId="140" fillId="0" borderId="51" xfId="0">
      <alignment horizontal="left" vertical="center"/>
    </xf>
    <xf numFmtId="0" fontId="0" fillId="57" borderId="50" xfId="0"/>
    <xf numFmtId="10" fontId="183" fillId="57" borderId="0" xfId="276">
      <alignment horizontal="center" vertical="center"/>
    </xf>
    <xf numFmtId="0" fontId="140" fillId="0" borderId="0" xfId="0">
      <alignment vertical="center"/>
    </xf>
    <xf numFmtId="0" fontId="140" fillId="93" borderId="0" xfId="0">
      <alignment horizontal="center" vertical="center"/>
    </xf>
    <xf numFmtId="0" fontId="140" fillId="93" borderId="0" xfId="0">
      <alignment vertical="center"/>
    </xf>
    <xf numFmtId="4041" fontId="140" fillId="93" borderId="0" xfId="0">
      <alignment horizontal="center" vertical="center"/>
    </xf>
    <xf numFmtId="0" fontId="182" fillId="90" borderId="50" xfId="0">
      <alignment horizontal="left" vertical="center"/>
    </xf>
    <xf numFmtId="0" fontId="140" fillId="90" borderId="0" xfId="0">
      <alignment horizontal="left" vertical="center"/>
    </xf>
    <xf numFmtId="0" fontId="140" fillId="90" borderId="51" xfId="0">
      <alignment horizontal="left" vertical="center"/>
    </xf>
    <xf numFmtId="0" fontId="89" fillId="57" borderId="9" xfId="0">
      <alignment horizontal="left" vertical="center"/>
    </xf>
    <xf numFmtId="49" fontId="261" fillId="52" borderId="16" xfId="278">
      <alignment horizontal="center" vertical="center"/>
      <protection locked="0"/>
    </xf>
    <xf numFmtId="4889" fontId="0" fillId="68" borderId="0" xfId="0">
      <alignment horizontal="center" vertical="center"/>
    </xf>
    <xf numFmtId="0" fontId="0" fillId="93" borderId="0" xfId="0"/>
    <xf numFmtId="4041" fontId="140" fillId="93" borderId="1" xfId="0">
      <alignment horizontal="center" vertical="center"/>
    </xf>
    <xf numFmtId="0" fontId="0" fillId="93" borderId="0" xfId="0">
      <alignment vertical="center"/>
    </xf>
    <xf numFmtId="5183" fontId="261" fillId="52" borderId="0" xfId="278" quotePrefix="1">
      <alignment horizontal="center" vertical="center"/>
      <protection locked="0"/>
    </xf>
    <xf numFmtId="4908" fontId="0" fillId="57" borderId="0" xfId="0">
      <alignment horizontal="center" vertical="center"/>
    </xf>
    <xf numFmtId="0" fontId="141" fillId="52" borderId="0" xfId="0">
      <alignment horizontal="center" vertical="center"/>
      <protection locked="0"/>
    </xf>
    <xf numFmtId="4031" fontId="141" fillId="52" borderId="0" xfId="0">
      <alignment vertical="center"/>
    </xf>
    <xf numFmtId="0" fontId="14" fillId="92" borderId="9" xfId="0">
      <alignment vertical="center"/>
    </xf>
    <xf numFmtId="0" fontId="14" fillId="92" borderId="53" xfId="0">
      <alignment vertical="center"/>
    </xf>
    <xf numFmtId="0" fontId="14" fillId="92" borderId="16" xfId="0">
      <alignment vertical="center"/>
    </xf>
    <xf numFmtId="0" fontId="14" fillId="92" borderId="16" xfId="0">
      <alignment horizontal="center" vertical="center"/>
    </xf>
    <xf numFmtId="0" fontId="14" fillId="92" borderId="53" xfId="0">
      <alignment horizontal="center" vertical="center"/>
    </xf>
    <xf numFmtId="49" fontId="140" fillId="90" borderId="0" xfId="0">
      <alignment horizontal="left" vertical="center"/>
    </xf>
    <xf numFmtId="49" fontId="140" fillId="90" borderId="51" xfId="0">
      <alignment horizontal="left" vertical="center"/>
    </xf>
    <xf numFmtId="0" fontId="140" fillId="0" borderId="0" xfId="0">
      <alignment horizontal="center" vertical="center"/>
    </xf>
    <xf numFmtId="0" fontId="0" fillId="68" borderId="0" xfId="0">
      <alignment horizontal="center" vertical="center"/>
    </xf>
    <xf numFmtId="308" fontId="140" fillId="57" borderId="0" xfId="0">
      <alignment horizontal="center" vertical="center"/>
    </xf>
    <xf numFmtId="0" fontId="89" fillId="72" borderId="45" xfId="0">
      <alignment horizontal="left" vertical="center"/>
    </xf>
    <xf numFmtId="0" fontId="89" fillId="72" borderId="1" xfId="0">
      <alignment horizontal="center" vertical="center"/>
    </xf>
    <xf numFmtId="0" fontId="89" fillId="93" borderId="2" xfId="0">
      <alignment horizontal="center" vertical="center"/>
    </xf>
    <xf numFmtId="0" fontId="89" fillId="72" borderId="2" xfId="0">
      <alignment horizontal="center" vertical="center"/>
    </xf>
    <xf numFmtId="0" fontId="89" fillId="72" borderId="9" xfId="0">
      <alignment horizontal="center" vertical="center"/>
    </xf>
    <xf numFmtId="4041" fontId="89" fillId="93" borderId="9" xfId="0">
      <alignment horizontal="center" vertical="center"/>
    </xf>
    <xf numFmtId="4188" fontId="149" fillId="57" borderId="0" xfId="0">
      <alignment horizontal="center" vertical="center"/>
      <protection locked="0"/>
    </xf>
    <xf numFmtId="4890" fontId="0" fillId="57" borderId="0" xfId="0">
      <alignment horizontal="center" vertical="center"/>
    </xf>
    <xf numFmtId="4630" fontId="0" fillId="49" borderId="46" xfId="0">
      <alignment horizontal="left" vertical="top"/>
    </xf>
    <xf numFmtId="0" fontId="0" fillId="49" borderId="47" xfId="0">
      <alignment horizontal="center" vertical="top"/>
    </xf>
    <xf numFmtId="4041" fontId="0" fillId="57" borderId="52" xfId="0">
      <alignment horizontal="center" vertical="bottom"/>
    </xf>
    <xf numFmtId="4051" fontId="0" fillId="57" borderId="52" xfId="0">
      <alignment horizontal="center" vertical="bottom"/>
    </xf>
    <xf numFmtId="10" fontId="154" fillId="52" borderId="51" xfId="0">
      <alignment horizontal="center" vertical="bottom"/>
    </xf>
    <xf numFmtId="4041" fontId="0" fillId="57" borderId="52" xfId="0">
      <alignment horizontal="center" vertical="center"/>
    </xf>
    <xf numFmtId="0" fontId="261" fillId="52" borderId="0" xfId="0">
      <alignment horizontal="center" vertical="center"/>
      <protection locked="0"/>
    </xf>
    <xf numFmtId="4273" fontId="0" fillId="68" borderId="0" xfId="0">
      <alignment horizontal="center" vertical="center"/>
    </xf>
    <xf numFmtId="0" fontId="210" fillId="57" borderId="0" xfId="0">
      <alignment horizontal="center" vertical="center"/>
    </xf>
    <xf numFmtId="0" fontId="141" fillId="52" borderId="0" xfId="0" quotePrefix="1">
      <alignment horizontal="center" vertical="center"/>
      <protection locked="0"/>
    </xf>
    <xf numFmtId="4631" fontId="0" fillId="49" borderId="50" xfId="0">
      <alignment horizontal="left" vertical="top"/>
    </xf>
    <xf numFmtId="0" fontId="0" fillId="49" borderId="0" xfId="0">
      <alignment horizontal="center" vertical="top"/>
    </xf>
    <xf numFmtId="4051" fontId="0" fillId="0" borderId="52" xfId="0">
      <alignment horizontal="center" vertical="bottom"/>
    </xf>
    <xf numFmtId="4041" fontId="101" fillId="57" borderId="51" xfId="0">
      <alignment horizontal="center" vertical="bottom"/>
    </xf>
    <xf numFmtId="4051" fontId="0" fillId="57" borderId="51" xfId="0">
      <alignment horizontal="center" vertical="bottom"/>
    </xf>
    <xf numFmtId="9" fontId="140" fillId="0" borderId="0" xfId="0">
      <alignment horizontal="left" vertical="center"/>
    </xf>
    <xf numFmtId="0" fontId="0" fillId="0" borderId="1" xfId="0">
      <alignment vertical="center"/>
    </xf>
    <xf numFmtId="1" fontId="261" fillId="52" borderId="1" xfId="0">
      <alignment horizontal="center" vertical="center"/>
      <protection locked="0"/>
    </xf>
    <xf numFmtId="9" fontId="0" fillId="57" borderId="0" xfId="0">
      <alignment horizontal="center" vertical="center"/>
    </xf>
    <xf numFmtId="0" fontId="284" fillId="52" borderId="0" xfId="0">
      <alignment horizontal="center" vertical="center"/>
      <protection locked="0"/>
    </xf>
    <xf numFmtId="4632" fontId="0" fillId="49" borderId="50" xfId="0">
      <alignment horizontal="left" vertical="top"/>
    </xf>
    <xf numFmtId="0" fontId="0" fillId="57" borderId="0" xfId="0">
      <alignment horizontal="left" vertical="center"/>
    </xf>
    <xf numFmtId="58" fontId="154" fillId="52" borderId="0" xfId="278">
      <alignment horizontal="center" vertical="center"/>
      <protection locked="0"/>
    </xf>
    <xf numFmtId="4913" fontId="0" fillId="68" borderId="0" xfId="0">
      <alignment horizontal="center" vertical="center"/>
    </xf>
    <xf numFmtId="4633" fontId="0" fillId="57" borderId="50" xfId="0">
      <alignment horizontal="left" vertical="bottom"/>
    </xf>
    <xf numFmtId="49" fontId="0" fillId="57" borderId="0" xfId="0">
      <alignment horizontal="center" vertical="center"/>
    </xf>
    <xf numFmtId="10" fontId="0" fillId="57" borderId="0" xfId="0">
      <alignment horizontal="center" vertical="center"/>
    </xf>
    <xf numFmtId="4031" fontId="141" fillId="52" borderId="0" xfId="276">
      <alignment horizontal="center" vertical="center"/>
      <protection locked="0"/>
    </xf>
    <xf numFmtId="0" fontId="140" fillId="57" borderId="0" xfId="0">
      <alignment horizontal="right" vertical="center"/>
    </xf>
    <xf numFmtId="4634" fontId="0" fillId="49" borderId="50" xfId="0">
      <alignment horizontal="left" vertical="top"/>
    </xf>
    <xf numFmtId="0" fontId="263" fillId="57" borderId="50" xfId="0"/>
    <xf numFmtId="49" fontId="0" fillId="57" borderId="0" xfId="0">
      <alignment horizontal="left" vertical="center"/>
    </xf>
    <xf numFmtId="4116" fontId="140" fillId="57" borderId="0" xfId="0">
      <alignment vertical="center"/>
    </xf>
    <xf numFmtId="4635" fontId="0" fillId="49" borderId="50" xfId="0">
      <alignment horizontal="left" vertical="top"/>
    </xf>
    <xf numFmtId="0" fontId="0" fillId="57" borderId="52" xfId="0"/>
    <xf numFmtId="0" fontId="0" fillId="57" borderId="51" xfId="0"/>
    <xf numFmtId="4041" fontId="0" fillId="57" borderId="51" xfId="0">
      <alignment horizontal="center" vertical="bottom"/>
    </xf>
    <xf numFmtId="0" fontId="0" fillId="57" borderId="51" xfId="0">
      <alignment vertical="center"/>
    </xf>
    <xf numFmtId="10" fontId="140" fillId="90" borderId="0" xfId="0">
      <alignment horizontal="left" vertical="center"/>
    </xf>
    <xf numFmtId="10" fontId="140" fillId="90" borderId="51" xfId="0">
      <alignment horizontal="left" vertical="center"/>
    </xf>
    <xf numFmtId="0" fontId="101" fillId="57" borderId="0" xfId="0">
      <alignment horizontal="center" vertical="center"/>
    </xf>
    <xf numFmtId="308" fontId="3" fillId="82" borderId="0" xfId="0">
      <alignment horizontal="center" vertical="center"/>
    </xf>
    <xf numFmtId="308" fontId="3" fillId="76" borderId="0" xfId="0">
      <alignment horizontal="center" vertical="center"/>
    </xf>
    <xf numFmtId="308" fontId="3" fillId="66" borderId="0" xfId="0">
      <alignment horizontal="center" vertical="center"/>
    </xf>
    <xf numFmtId="0" fontId="141" fillId="0" borderId="0" xfId="0">
      <alignment horizontal="center" vertical="center"/>
    </xf>
    <xf numFmtId="4031" fontId="140" fillId="57" borderId="0" xfId="0">
      <alignment vertical="center"/>
    </xf>
    <xf numFmtId="4635" fontId="0" fillId="49" borderId="45" xfId="0">
      <alignment horizontal="left" vertical="top"/>
    </xf>
    <xf numFmtId="0" fontId="0" fillId="49" borderId="1" xfId="0">
      <alignment horizontal="center" vertical="top"/>
    </xf>
    <xf numFmtId="4041" fontId="0" fillId="57" borderId="8" xfId="0">
      <alignment horizontal="center" vertical="bottom"/>
    </xf>
    <xf numFmtId="4051" fontId="0" fillId="57" borderId="8" xfId="0">
      <alignment horizontal="center" vertical="bottom"/>
    </xf>
    <xf numFmtId="10" fontId="140" fillId="0" borderId="0" xfId="0">
      <alignment horizontal="left" vertical="center"/>
    </xf>
    <xf numFmtId="10" fontId="140" fillId="0" borderId="51" xfId="0">
      <alignment horizontal="left" vertical="center"/>
    </xf>
    <xf numFmtId="0" fontId="89" fillId="72" borderId="9" xfId="0">
      <alignment horizontal="left" vertical="center"/>
    </xf>
    <xf numFmtId="0" fontId="89" fillId="72" borderId="16" xfId="0">
      <alignment horizontal="center" vertical="center"/>
    </xf>
    <xf numFmtId="4041" fontId="154" fillId="72" borderId="53" xfId="0">
      <alignment horizontal="center" vertical="center"/>
    </xf>
    <xf numFmtId="4051" fontId="89" fillId="72" borderId="2" xfId="0">
      <alignment horizontal="center" vertical="center"/>
    </xf>
    <xf numFmtId="4041" fontId="89" fillId="72" borderId="53" xfId="0">
      <alignment horizontal="center" vertical="center"/>
    </xf>
    <xf numFmtId="4041" fontId="89" fillId="72" borderId="2" xfId="0">
      <alignment horizontal="center" vertical="center"/>
    </xf>
    <xf numFmtId="49" fontId="101" fillId="57" borderId="0" xfId="0">
      <alignment horizontal="center" vertical="center"/>
    </xf>
    <xf numFmtId="0" fontId="156" fillId="57" borderId="0" xfId="0">
      <alignment horizontal="left" vertical="center" wrapText="1"/>
    </xf>
    <xf numFmtId="4637" fontId="0" fillId="49" borderId="50" xfId="0">
      <alignment horizontal="left" vertical="top"/>
    </xf>
    <xf numFmtId="4041" fontId="101" fillId="57" borderId="11" xfId="0">
      <alignment horizontal="center" vertical="bottom"/>
    </xf>
    <xf numFmtId="4051" fontId="254" fillId="57" borderId="11" xfId="0">
      <alignment horizontal="center" vertical="bottom"/>
    </xf>
    <xf numFmtId="0" fontId="0" fillId="0" borderId="51" xfId="0">
      <alignment horizontal="left" vertical="bottom"/>
    </xf>
    <xf numFmtId="4041" fontId="0" fillId="57" borderId="51" xfId="276"/>
    <xf numFmtId="0" fontId="0" fillId="10" borderId="47" xfId="0">
      <alignment horizontal="left" vertical="center"/>
    </xf>
    <xf numFmtId="0" fontId="101" fillId="57" borderId="47" xfId="0">
      <alignment horizontal="center" vertical="center"/>
    </xf>
    <xf numFmtId="4551" fontId="183" fillId="57" borderId="0" xfId="0">
      <alignment horizontal="center" vertical="center"/>
      <protection locked="0"/>
    </xf>
    <xf numFmtId="4031" fontId="183" fillId="57" borderId="0" xfId="276">
      <alignment horizontal="center" vertical="center"/>
    </xf>
    <xf numFmtId="4638" fontId="0" fillId="49" borderId="50" xfId="0">
      <alignment horizontal="left" vertical="top"/>
    </xf>
    <xf numFmtId="4041" fontId="101" fillId="57" borderId="52" xfId="0">
      <alignment horizontal="center" vertical="bottom"/>
    </xf>
    <xf numFmtId="4051" fontId="254" fillId="57" borderId="52" xfId="0">
      <alignment horizontal="center" vertical="bottom"/>
    </xf>
    <xf numFmtId="4041" fontId="0" fillId="57" borderId="51" xfId="0">
      <alignment horizontal="center" vertical="center"/>
    </xf>
    <xf numFmtId="0" fontId="0" fillId="10" borderId="0" xfId="0">
      <alignment horizontal="left" vertical="center"/>
    </xf>
    <xf numFmtId="2" fontId="101" fillId="57" borderId="0" xfId="0">
      <alignment horizontal="center" vertical="center"/>
    </xf>
    <xf numFmtId="308" fontId="183" fillId="57" borderId="0" xfId="68">
      <alignment horizontal="center" vertical="center"/>
    </xf>
    <xf numFmtId="5001" fontId="0" fillId="49" borderId="50" xfId="0">
      <alignment horizontal="left" vertical="top"/>
    </xf>
    <xf numFmtId="308" fontId="141" fillId="52" borderId="0" xfId="68">
      <alignment horizontal="center" vertical="center"/>
      <protection locked="0"/>
    </xf>
    <xf numFmtId="0" fontId="0" fillId="57" borderId="47" xfId="0"/>
    <xf numFmtId="0" fontId="0" fillId="57" borderId="47" xfId="0">
      <alignment horizontal="center" vertical="bottom"/>
    </xf>
    <xf numFmtId="10" fontId="154" fillId="52" borderId="0" xfId="278">
      <alignment horizontal="center" vertical="center"/>
      <protection locked="0"/>
    </xf>
    <xf numFmtId="0" fontId="149" fillId="57" borderId="1" xfId="206">
      <alignment horizontal="left" vertical="center" shrinkToFit="1"/>
    </xf>
    <xf numFmtId="4605" fontId="14" fillId="92" borderId="1" xfId="0">
      <alignment horizontal="center" vertical="center"/>
    </xf>
    <xf numFmtId="10" fontId="101" fillId="57" borderId="0" xfId="278">
      <alignment horizontal="center" vertical="center"/>
      <protection locked="0"/>
    </xf>
    <xf numFmtId="0" fontId="101" fillId="57" borderId="0" xfId="206">
      <alignment horizontal="left" vertical="center" shrinkToFit="1"/>
    </xf>
    <xf numFmtId="3" fontId="154" fillId="52" borderId="0" xfId="0">
      <alignment horizontal="center" vertical="center"/>
    </xf>
    <xf numFmtId="0" fontId="131" fillId="80" borderId="3" xfId="188">
      <alignment horizontal="center" vertical="center" shrinkToFit="1"/>
      <protection locked="0"/>
    </xf>
    <xf numFmtId="4041" fontId="254" fillId="57" borderId="52" xfId="0">
      <alignment horizontal="center" vertical="bottom"/>
    </xf>
    <xf numFmtId="0" fontId="0" fillId="57" borderId="45" xfId="0"/>
    <xf numFmtId="4041" fontId="0" fillId="57" borderId="49" xfId="276"/>
    <xf numFmtId="0" fontId="140" fillId="0" borderId="0" xfId="0" quotePrefix="1">
      <alignment vertical="center"/>
    </xf>
    <xf numFmtId="3" fontId="0" fillId="57" borderId="0" xfId="0">
      <alignment horizontal="center" vertical="center"/>
    </xf>
    <xf numFmtId="4473" fontId="183" fillId="57" borderId="0" xfId="62">
      <alignment horizontal="center" vertical="center"/>
    </xf>
    <xf numFmtId="4051" fontId="254" fillId="0" borderId="52" xfId="0">
      <alignment horizontal="center" vertical="bottom"/>
    </xf>
    <xf numFmtId="0" fontId="156" fillId="57" borderId="0" xfId="0">
      <alignment vertical="center"/>
    </xf>
    <xf numFmtId="0" fontId="181" fillId="57" borderId="0" xfId="0">
      <alignment vertical="center"/>
    </xf>
    <xf numFmtId="308" fontId="181" fillId="57" borderId="0" xfId="68">
      <alignment horizontal="center" vertical="center"/>
    </xf>
    <xf numFmtId="0" fontId="182" fillId="57" borderId="0" xfId="0">
      <alignment horizontal="center" vertical="center"/>
    </xf>
    <xf numFmtId="4031" fontId="181" fillId="57" borderId="0" xfId="276">
      <alignment horizontal="center" vertical="center"/>
    </xf>
    <xf numFmtId="0" fontId="0" fillId="10" borderId="1" xfId="0">
      <alignment horizontal="left" vertical="center"/>
    </xf>
    <xf numFmtId="0" fontId="149" fillId="59" borderId="0" xfId="0">
      <alignment horizontal="left" vertical="center" shrinkToFit="1"/>
    </xf>
    <xf numFmtId="3" fontId="154" fillId="59" borderId="0" xfId="0">
      <alignment horizontal="center" vertical="center"/>
    </xf>
    <xf numFmtId="0" fontId="216" fillId="52" borderId="0" xfId="0">
      <alignment vertical="center"/>
    </xf>
    <xf numFmtId="0" fontId="181" fillId="0" borderId="0" xfId="0">
      <alignment vertical="center"/>
    </xf>
    <xf numFmtId="0" fontId="0" fillId="57" borderId="16" xfId="0">
      <alignment horizontal="left" vertical="center"/>
    </xf>
    <xf numFmtId="10" fontId="154" fillId="52" borderId="16" xfId="278">
      <alignment horizontal="center" vertical="center"/>
      <protection locked="0"/>
    </xf>
    <xf numFmtId="4041" fontId="131" fillId="52" borderId="0" xfId="0">
      <alignment horizontal="center" vertical="center"/>
      <protection locked="0"/>
    </xf>
    <xf numFmtId="58" fontId="141" fillId="52" borderId="0" xfId="0">
      <alignment vertical="center"/>
    </xf>
    <xf numFmtId="4605" fontId="211" fillId="92" borderId="16" xfId="0">
      <alignment horizontal="center" vertical="center"/>
    </xf>
    <xf numFmtId="4605" fontId="211" fillId="92" borderId="53" xfId="0">
      <alignment horizontal="right" vertical="center"/>
    </xf>
    <xf numFmtId="0" fontId="0" fillId="12" borderId="0" xfId="0">
      <alignment horizontal="left" vertical="center"/>
    </xf>
    <xf numFmtId="0" fontId="101" fillId="57" borderId="47" xfId="278">
      <alignment horizontal="center" vertical="center"/>
    </xf>
    <xf numFmtId="4041" fontId="131" fillId="80" borderId="0" xfId="278">
      <alignment horizontal="center" vertical="center"/>
      <protection locked="0"/>
    </xf>
    <xf numFmtId="4041" fontId="131" fillId="52" borderId="0" xfId="276">
      <alignment horizontal="center" vertical="center"/>
      <protection locked="0"/>
    </xf>
    <xf numFmtId="308" fontId="141" fillId="52" borderId="0" xfId="0">
      <alignment vertical="center"/>
    </xf>
    <xf numFmtId="0" fontId="140" fillId="57" borderId="0" xfId="0"/>
    <xf numFmtId="0" fontId="216" fillId="52" borderId="0" xfId="0"/>
    <xf numFmtId="324" fontId="140" fillId="57" borderId="0" xfId="0">
      <alignment vertical="center"/>
    </xf>
    <xf numFmtId="4051" fontId="254" fillId="57" borderId="8" xfId="0">
      <alignment horizontal="center" vertical="bottom"/>
    </xf>
    <xf numFmtId="4041" fontId="156" fillId="57" borderId="0" xfId="0">
      <alignment horizontal="center" vertical="center"/>
    </xf>
    <xf numFmtId="4051" fontId="255" fillId="72" borderId="2" xfId="0">
      <alignment horizontal="center" vertical="center"/>
    </xf>
    <xf numFmtId="0" fontId="155" fillId="57" borderId="0" xfId="0">
      <alignment horizontal="left" vertical="center" shrinkToFit="1"/>
    </xf>
    <xf numFmtId="4041" fontId="0" fillId="57" borderId="0" xfId="0">
      <alignment horizontal="center" vertical="center"/>
    </xf>
    <xf numFmtId="308" fontId="131" fillId="57" borderId="0" xfId="0">
      <alignment horizontal="center" vertical="center"/>
    </xf>
    <xf numFmtId="9" fontId="140" fillId="57" borderId="0" xfId="0">
      <alignment vertical="center"/>
    </xf>
    <xf numFmtId="0" fontId="155" fillId="59" borderId="0" xfId="206">
      <alignment horizontal="left" vertical="center" shrinkToFit="1"/>
    </xf>
    <xf numFmtId="308" fontId="89" fillId="59" borderId="0" xfId="0">
      <alignment horizontal="center" vertical="center"/>
    </xf>
    <xf numFmtId="308" fontId="149" fillId="59" borderId="0" xfId="0">
      <alignment horizontal="center" vertical="center"/>
    </xf>
    <xf numFmtId="308" fontId="140" fillId="57" borderId="0" xfId="0">
      <alignment vertical="center"/>
    </xf>
    <xf numFmtId="5001" fontId="0" fillId="49" borderId="45" xfId="0">
      <alignment horizontal="left" vertical="top"/>
    </xf>
    <xf numFmtId="10" fontId="154" fillId="52" borderId="49" xfId="0">
      <alignment horizontal="center" vertical="bottom"/>
    </xf>
    <xf numFmtId="4041" fontId="0" fillId="57" borderId="8" xfId="0">
      <alignment horizontal="center" vertical="center"/>
    </xf>
    <xf numFmtId="0" fontId="0" fillId="57" borderId="8" xfId="0"/>
    <xf numFmtId="0" fontId="0" fillId="57" borderId="49" xfId="0"/>
    <xf numFmtId="4041" fontId="0" fillId="57" borderId="49" xfId="0">
      <alignment horizontal="center" vertical="bottom"/>
    </xf>
    <xf numFmtId="0" fontId="0" fillId="12" borderId="1" xfId="0">
      <alignment horizontal="left" vertical="center"/>
    </xf>
    <xf numFmtId="0" fontId="143" fillId="59" borderId="0" xfId="206">
      <alignment horizontal="left" vertical="center" shrinkToFit="1"/>
    </xf>
    <xf numFmtId="10" fontId="140" fillId="57" borderId="0" xfId="0">
      <alignment vertical="center"/>
    </xf>
    <xf numFmtId="0" fontId="140" fillId="57" borderId="16" xfId="0">
      <alignment vertical="center"/>
    </xf>
    <xf numFmtId="0" fontId="89" fillId="57" borderId="1" xfId="0">
      <alignment horizontal="left" vertical="center"/>
    </xf>
    <xf numFmtId="49" fontId="131" fillId="52" borderId="3" xfId="188">
      <alignment horizontal="center" vertical="center"/>
      <protection locked="0"/>
    </xf>
    <xf numFmtId="49" fontId="239" fillId="52" borderId="3" xfId="188">
      <alignment horizontal="center" vertical="center"/>
      <protection locked="0"/>
    </xf>
    <xf numFmtId="0" fontId="101" fillId="57" borderId="0" xfId="0">
      <alignment horizontal="left" vertical="center"/>
    </xf>
    <xf numFmtId="3" fontId="149" fillId="57" borderId="0" xfId="278">
      <alignment horizontal="center" vertical="center"/>
    </xf>
    <xf numFmtId="0" fontId="101" fillId="57" borderId="0" xfId="0">
      <alignment vertical="center"/>
    </xf>
    <xf numFmtId="0" fontId="0" fillId="57" borderId="0" xfId="0">
      <alignment vertical="center" wrapText="1"/>
    </xf>
    <xf numFmtId="5075" fontId="131" fillId="52" borderId="3" xfId="188">
      <alignment horizontal="center" vertical="center"/>
      <protection locked="0"/>
    </xf>
    <xf numFmtId="4273" fontId="101" fillId="57" borderId="0" xfId="276">
      <alignment horizontal="center" vertical="center"/>
      <protection locked="0"/>
    </xf>
    <xf numFmtId="0" fontId="0" fillId="57" borderId="1" xfId="0">
      <alignment horizontal="left" vertical="center"/>
    </xf>
    <xf numFmtId="10" fontId="154" fillId="52" borderId="1" xfId="278">
      <alignment horizontal="center" vertical="center"/>
      <protection locked="0"/>
    </xf>
    <xf numFmtId="4273" fontId="0" fillId="57" borderId="0" xfId="0">
      <alignment horizontal="left" vertical="center" shrinkToFit="1"/>
    </xf>
    <xf numFmtId="4031" fontId="0" fillId="57" borderId="0" xfId="0">
      <alignment horizontal="center" vertical="center"/>
      <protection locked="0"/>
    </xf>
    <xf numFmtId="4063" fontId="154" fillId="52" borderId="0" xfId="68">
      <alignment horizontal="center" vertical="center"/>
      <protection locked="0"/>
    </xf>
    <xf numFmtId="4031" fontId="0" fillId="57" borderId="0" xfId="0">
      <alignment horizontal="center" vertical="center"/>
    </xf>
    <xf numFmtId="3" fontId="101" fillId="57" borderId="0" xfId="0">
      <alignment horizontal="center" vertical="center"/>
    </xf>
    <xf numFmtId="0" fontId="0" fillId="10" borderId="1" xfId="0">
      <alignment vertical="center"/>
    </xf>
    <xf numFmtId="3" fontId="0" fillId="57" borderId="1" xfId="0">
      <alignment horizontal="center" vertical="center"/>
    </xf>
    <xf numFmtId="4889" fontId="131" fillId="52" borderId="0" xfId="0">
      <alignment horizontal="center" vertical="center"/>
      <protection locked="0"/>
    </xf>
    <xf numFmtId="0" fontId="246" fillId="57" borderId="51" xfId="0">
      <alignment horizontal="center" vertical="center" wrapText="1"/>
    </xf>
    <xf numFmtId="0" fontId="0" fillId="12" borderId="0" xfId="0">
      <alignment vertical="center"/>
    </xf>
    <xf numFmtId="0" fontId="221" fillId="57" borderId="0" xfId="0">
      <alignment vertical="center"/>
    </xf>
    <xf numFmtId="4889" fontId="221" fillId="57" borderId="0" xfId="0">
      <alignment horizontal="center" vertical="center"/>
    </xf>
    <xf numFmtId="0" fontId="140" fillId="57" borderId="50" xfId="0">
      <alignment horizontal="left" vertical="center"/>
    </xf>
    <xf numFmtId="0" fontId="140" fillId="57" borderId="51" xfId="0">
      <alignment horizontal="left" vertical="center"/>
    </xf>
    <xf numFmtId="4890" fontId="131" fillId="52" borderId="0" xfId="0">
      <alignment horizontal="center" vertical="center"/>
      <protection locked="0"/>
    </xf>
    <xf numFmtId="4890" fontId="101" fillId="57" borderId="0" xfId="0">
      <alignment horizontal="center" vertical="center"/>
      <protection locked="0"/>
    </xf>
    <xf numFmtId="9" fontId="183" fillId="57" borderId="0" xfId="0">
      <alignment vertical="center"/>
    </xf>
    <xf numFmtId="0" fontId="246" fillId="57" borderId="45" xfId="0">
      <alignment horizontal="left" vertical="center"/>
    </xf>
    <xf numFmtId="0" fontId="181" fillId="57" borderId="1" xfId="0">
      <alignment horizontal="left" vertical="center"/>
    </xf>
    <xf numFmtId="0" fontId="181" fillId="57" borderId="49" xfId="0">
      <alignment horizontal="left" vertical="center"/>
    </xf>
    <xf numFmtId="0" fontId="183" fillId="57" borderId="1" xfId="206">
      <alignment horizontal="left" vertical="center" shrinkToFit="1"/>
    </xf>
    <xf numFmtId="4890" fontId="141" fillId="52" borderId="1" xfId="0">
      <alignment horizontal="center" vertical="center"/>
      <protection locked="0"/>
    </xf>
    <xf numFmtId="4890" fontId="131" fillId="52" borderId="1" xfId="0">
      <alignment horizontal="center" vertical="center"/>
      <protection locked="0"/>
    </xf>
    <xf numFmtId="4890" fontId="0" fillId="57" borderId="1" xfId="0">
      <alignment horizontal="center" vertical="center"/>
      <protection locked="0"/>
    </xf>
    <xf numFmtId="0" fontId="245" fillId="70" borderId="46" xfId="0">
      <alignment horizontal="left" vertical="center"/>
    </xf>
    <xf numFmtId="0" fontId="245" fillId="57" borderId="51" xfId="0">
      <alignment horizontal="left" vertical="center" wrapText="1"/>
    </xf>
    <xf numFmtId="0" fontId="154" fillId="52" borderId="0" xfId="217">
      <alignment horizontal="center" vertical="bottom"/>
    </xf>
    <xf numFmtId="0" fontId="247" fillId="89" borderId="50" xfId="0">
      <alignment horizontal="left" vertical="center"/>
    </xf>
    <xf numFmtId="0" fontId="247" fillId="89" borderId="0" xfId="0">
      <alignment horizontal="left" vertical="center"/>
    </xf>
    <xf numFmtId="0" fontId="247" fillId="89" borderId="51" xfId="0">
      <alignment horizontal="left" vertical="center"/>
    </xf>
    <xf numFmtId="0" fontId="247" fillId="57" borderId="0" xfId="0">
      <alignment horizontal="center" vertical="center" wrapText="1"/>
    </xf>
    <xf numFmtId="0" fontId="247" fillId="57" borderId="50" xfId="0">
      <alignment horizontal="center" vertical="center" wrapText="1"/>
    </xf>
    <xf numFmtId="0" fontId="247" fillId="57" borderId="51" xfId="0">
      <alignment horizontal="center" vertical="center" wrapText="1"/>
    </xf>
    <xf numFmtId="0" fontId="247" fillId="0" borderId="0" xfId="0">
      <alignment horizontal="center" vertical="center" wrapText="1"/>
    </xf>
    <xf numFmtId="0" fontId="243" fillId="12" borderId="0" xfId="0">
      <alignment horizontal="left" vertical="center"/>
    </xf>
    <xf numFmtId="0" fontId="154" fillId="52" borderId="0" xfId="0">
      <alignment horizontal="center" vertical="center"/>
    </xf>
    <xf numFmtId="0" fontId="0" fillId="57" borderId="1" xfId="0">
      <alignment vertical="center"/>
    </xf>
    <xf numFmtId="0" fontId="0" fillId="57" borderId="1" xfId="0">
      <alignment horizontal="center" vertical="center"/>
    </xf>
    <xf numFmtId="0" fontId="140" fillId="57" borderId="1" xfId="0">
      <alignment vertical="center"/>
    </xf>
    <xf numFmtId="4041" fontId="149" fillId="57" borderId="0" xfId="0">
      <alignment horizontal="center" vertical="center"/>
    </xf>
    <xf numFmtId="0" fontId="0" fillId="12" borderId="46" xfId="0">
      <alignment horizontal="left" vertical="center"/>
    </xf>
    <xf numFmtId="0" fontId="154" fillId="52" borderId="48" xfId="0">
      <alignment horizontal="center" vertical="center"/>
    </xf>
    <xf numFmtId="0" fontId="143" fillId="57" borderId="0" xfId="206">
      <alignment horizontal="left" vertical="center" shrinkToFit="1"/>
    </xf>
    <xf numFmtId="4041" fontId="89" fillId="57" borderId="0" xfId="0">
      <alignment horizontal="center" vertical="center"/>
    </xf>
    <xf numFmtId="0" fontId="0" fillId="12" borderId="50" xfId="0">
      <alignment horizontal="left" vertical="center"/>
    </xf>
    <xf numFmtId="0" fontId="101" fillId="57" borderId="51" xfId="0">
      <alignment horizontal="center" vertical="center"/>
    </xf>
    <xf numFmtId="4041" fontId="154" fillId="52" borderId="0" xfId="278">
      <alignment horizontal="center" vertical="center"/>
    </xf>
    <xf numFmtId="0" fontId="149" fillId="59" borderId="9" xfId="0"/>
    <xf numFmtId="0" fontId="89" fillId="59" borderId="53" xfId="0">
      <alignment vertical="center"/>
    </xf>
    <xf numFmtId="0" fontId="89" fillId="57" borderId="1" xfId="0">
      <alignment vertical="center"/>
    </xf>
    <xf numFmtId="4041" fontId="149" fillId="57" borderId="1" xfId="0">
      <alignment horizontal="center" vertical="center"/>
      <protection locked="0"/>
    </xf>
    <xf numFmtId="4041" fontId="278" fillId="57" borderId="1" xfId="0">
      <alignment horizontal="center" vertical="center"/>
      <protection locked="0"/>
    </xf>
    <xf numFmtId="0" fontId="141" fillId="57" borderId="0" xfId="0">
      <alignment horizontal="center" vertical="center"/>
    </xf>
    <xf numFmtId="0" fontId="210" fillId="70" borderId="9" xfId="0">
      <alignment horizontal="center" vertical="center"/>
    </xf>
    <xf numFmtId="0" fontId="210" fillId="70" borderId="53" xfId="0">
      <alignment horizontal="center" vertical="center"/>
    </xf>
    <xf numFmtId="16" fontId="140" fillId="90" borderId="0" xfId="0">
      <alignment horizontal="left" vertical="center"/>
    </xf>
    <xf numFmtId="16" fontId="140" fillId="90" borderId="51" xfId="0">
      <alignment horizontal="left" vertical="center"/>
    </xf>
    <xf numFmtId="0" fontId="0" fillId="83" borderId="51" xfId="0">
      <alignment horizontal="center" vertical="center"/>
    </xf>
    <xf numFmtId="0" fontId="149" fillId="59" borderId="0" xfId="206">
      <alignment horizontal="left" vertical="center"/>
    </xf>
    <xf numFmtId="0" fontId="89" fillId="59" borderId="0" xfId="0">
      <alignment vertical="center"/>
    </xf>
    <xf numFmtId="4041" fontId="101" fillId="57" borderId="0" xfId="0">
      <alignment horizontal="center" vertical="center"/>
    </xf>
    <xf numFmtId="4041" fontId="0" fillId="57" borderId="45" xfId="276">
      <alignment vertical="center"/>
    </xf>
    <xf numFmtId="4041" fontId="0" fillId="57" borderId="49" xfId="276">
      <alignment vertical="center"/>
    </xf>
    <xf numFmtId="0" fontId="140" fillId="59" borderId="46" xfId="0">
      <alignment vertical="center"/>
    </xf>
    <xf numFmtId="0" fontId="140" fillId="59" borderId="48" xfId="0">
      <alignment horizontal="right" vertical="center" indent="1"/>
    </xf>
    <xf numFmtId="0" fontId="0" fillId="57" borderId="0" xfId="0">
      <alignment horizontal="left" vertical="center" shrinkToFit="1"/>
    </xf>
    <xf numFmtId="0" fontId="140" fillId="59" borderId="50" xfId="0">
      <alignment vertical="center"/>
    </xf>
    <xf numFmtId="0" fontId="140" fillId="59" borderId="51" xfId="0">
      <alignment horizontal="right" vertical="center" indent="1"/>
    </xf>
    <xf numFmtId="0" fontId="101" fillId="68" borderId="0" xfId="206">
      <alignment horizontal="left" vertical="center" shrinkToFit="1"/>
    </xf>
    <xf numFmtId="4041" fontId="101" fillId="68" borderId="0" xfId="0">
      <alignment horizontal="center" vertical="center"/>
    </xf>
    <xf numFmtId="4041" fontId="101" fillId="68" borderId="0" xfId="278">
      <alignment horizontal="center" vertical="center"/>
    </xf>
    <xf numFmtId="0" fontId="141" fillId="52" borderId="0" xfId="0">
      <alignment vertical="center"/>
      <protection locked="0"/>
    </xf>
    <xf numFmtId="0" fontId="140" fillId="86" borderId="50" xfId="0">
      <alignment vertical="center"/>
    </xf>
    <xf numFmtId="10" fontId="140" fillId="86" borderId="51" xfId="0">
      <alignment horizontal="right" vertical="center" indent="1"/>
    </xf>
    <xf numFmtId="308" fontId="154" fillId="52" borderId="49" xfId="0">
      <alignment horizontal="center" vertical="center"/>
    </xf>
    <xf numFmtId="4041" fontId="101" fillId="57" borderId="0" xfId="278">
      <alignment horizontal="center" vertical="center"/>
    </xf>
    <xf numFmtId="0" fontId="89" fillId="59" borderId="9" xfId="0">
      <alignment vertical="center"/>
    </xf>
    <xf numFmtId="0" fontId="0" fillId="59" borderId="53" xfId="0">
      <alignment vertical="center"/>
    </xf>
    <xf numFmtId="4041" fontId="131" fillId="57" borderId="0" xfId="0">
      <alignment horizontal="center" vertical="center"/>
    </xf>
    <xf numFmtId="0" fontId="140" fillId="87" borderId="50" xfId="0">
      <alignment vertical="center"/>
    </xf>
    <xf numFmtId="0" fontId="140" fillId="87" borderId="51" xfId="0">
      <alignment horizontal="right" vertical="center" indent="1"/>
    </xf>
    <xf numFmtId="4" fontId="154" fillId="52" borderId="0" xfId="278" quotePrefix="1">
      <alignment horizontal="left" vertical="center"/>
      <protection locked="0"/>
    </xf>
    <xf numFmtId="0" fontId="241" fillId="57" borderId="0" xfId="206">
      <alignment horizontal="left" vertical="center" shrinkToFit="1"/>
    </xf>
    <xf numFmtId="10" fontId="140" fillId="87" borderId="51" xfId="0">
      <alignment horizontal="right" vertical="center" indent="1"/>
    </xf>
    <xf numFmtId="0" fontId="265" fillId="57" borderId="11" xfId="0">
      <alignment vertical="top" wrapText="1"/>
    </xf>
    <xf numFmtId="0" fontId="140" fillId="88" borderId="50" xfId="0">
      <alignment vertical="center"/>
    </xf>
    <xf numFmtId="0" fontId="140" fillId="88" borderId="51" xfId="0">
      <alignment horizontal="right" vertical="center" indent="1"/>
    </xf>
    <xf numFmtId="0" fontId="265" fillId="57" borderId="52" xfId="0">
      <alignment vertical="top" wrapText="1"/>
    </xf>
    <xf numFmtId="0" fontId="140" fillId="57" borderId="0" xfId="0">
      <alignment horizontal="left" vertical="top" wrapText="1"/>
    </xf>
    <xf numFmtId="0" fontId="140" fillId="88" borderId="45" xfId="0">
      <alignment vertical="center"/>
    </xf>
    <xf numFmtId="10" fontId="140" fillId="88" borderId="49" xfId="0">
      <alignment horizontal="right" vertical="center" indent="1"/>
    </xf>
    <xf numFmtId="0" fontId="155" fillId="68" borderId="0" xfId="0">
      <alignment horizontal="left" vertical="center" shrinkToFit="1"/>
    </xf>
    <xf numFmtId="4041" fontId="0" fillId="57" borderId="0" xfId="0">
      <alignment vertical="center"/>
    </xf>
    <xf numFmtId="0" fontId="252" fillId="61" borderId="9" xfId="0">
      <alignment vertical="center"/>
    </xf>
    <xf numFmtId="0" fontId="252" fillId="61" borderId="16" xfId="0">
      <alignment vertical="center"/>
    </xf>
    <xf numFmtId="0" fontId="252" fillId="61" borderId="2" xfId="0">
      <alignment horizontal="center" vertical="center"/>
    </xf>
    <xf numFmtId="0" fontId="252" fillId="57" borderId="0" xfId="0">
      <alignment horizontal="center" vertical="center"/>
    </xf>
    <xf numFmtId="0" fontId="0" fillId="57" borderId="50" xfId="0">
      <alignment horizontal="left" vertical="top"/>
    </xf>
    <xf numFmtId="10" fontId="0" fillId="57" borderId="52" xfId="0">
      <alignment horizontal="center" vertical="bottom"/>
    </xf>
    <xf numFmtId="0" fontId="140" fillId="0" borderId="0" xfId="0">
      <alignment horizontal="left" vertical="bottom"/>
    </xf>
    <xf numFmtId="0" fontId="140" fillId="0" borderId="51" xfId="0">
      <alignment horizontal="left" vertical="bottom"/>
    </xf>
    <xf numFmtId="0" fontId="265" fillId="57" borderId="8" xfId="0">
      <alignment vertical="top" wrapText="1"/>
    </xf>
    <xf numFmtId="0" fontId="183" fillId="68" borderId="0" xfId="206">
      <alignment horizontal="left" vertical="center" shrinkToFit="1"/>
    </xf>
    <xf numFmtId="0" fontId="0" fillId="57" borderId="45" xfId="0">
      <alignment horizontal="left" vertical="top"/>
    </xf>
    <xf numFmtId="4051" fontId="0" fillId="0" borderId="8" xfId="0">
      <alignment horizontal="center" vertical="bottom"/>
    </xf>
    <xf numFmtId="10" fontId="0" fillId="57" borderId="8" xfId="0">
      <alignment horizontal="center" vertical="bottom"/>
    </xf>
    <xf numFmtId="0" fontId="154" fillId="52" borderId="2" xfId="0">
      <alignment horizontal="left" vertical="center"/>
      <protection locked="0"/>
    </xf>
    <xf numFmtId="4041" fontId="131" fillId="0" borderId="0" xfId="278">
      <alignment horizontal="center" vertical="center"/>
    </xf>
    <xf numFmtId="4041" fontId="131" fillId="57" borderId="0" xfId="0">
      <alignment horizontal="center" vertical="center"/>
      <protection locked="0"/>
    </xf>
    <xf numFmtId="4041" fontId="0" fillId="57" borderId="0" xfId="0">
      <alignment horizontal="center" vertical="bottom"/>
    </xf>
    <xf numFmtId="0" fontId="131" fillId="57" borderId="0" xfId="0">
      <alignment horizontal="left" vertical="center" shrinkToFit="1"/>
    </xf>
    <xf numFmtId="4051" fontId="101" fillId="57" borderId="0" xfId="276">
      <alignment horizontal="center" vertical="top"/>
    </xf>
    <xf numFmtId="0" fontId="131" fillId="57" borderId="1" xfId="0">
      <alignment horizontal="left" vertical="center" shrinkToFit="1"/>
    </xf>
    <xf numFmtId="4041" fontId="131" fillId="52" borderId="1" xfId="0">
      <alignment horizontal="center" vertical="center"/>
      <protection locked="0"/>
    </xf>
    <xf numFmtId="0" fontId="149" fillId="57" borderId="0" xfId="0">
      <alignment horizontal="left" vertical="center" shrinkToFit="1"/>
    </xf>
    <xf numFmtId="0" fontId="0" fillId="57" borderId="97" xfId="0"/>
    <xf numFmtId="0" fontId="0" fillId="57" borderId="81" xfId="0"/>
    <xf numFmtId="4041" fontId="101" fillId="57" borderId="152" xfId="276">
      <alignment horizontal="center" vertical="top"/>
    </xf>
    <xf numFmtId="0" fontId="143" fillId="67" borderId="0" xfId="206">
      <alignment horizontal="left" vertical="center" shrinkToFit="1"/>
    </xf>
    <xf numFmtId="4041" fontId="149" fillId="59" borderId="0" xfId="278">
      <alignment horizontal="center" vertical="center"/>
    </xf>
    <xf numFmtId="4041" fontId="149" fillId="0" borderId="0" xfId="278">
      <alignment horizontal="center" vertical="center"/>
    </xf>
    <xf numFmtId="0" fontId="141" fillId="57" borderId="0" xfId="0">
      <alignment vertical="center"/>
    </xf>
    <xf numFmtId="4041" fontId="101" fillId="57" borderId="52" xfId="276">
      <alignment horizontal="center" vertical="top"/>
    </xf>
    <xf numFmtId="10" fontId="101" fillId="57" borderId="0" xfId="0">
      <alignment horizontal="center" vertical="center"/>
    </xf>
    <xf numFmtId="0" fontId="0" fillId="59" borderId="0" xfId="0">
      <alignment vertical="center"/>
    </xf>
    <xf numFmtId="4273" fontId="101" fillId="57" borderId="0" xfId="276">
      <alignment horizontal="center" vertical="center"/>
    </xf>
    <xf numFmtId="0" fontId="14" fillId="57" borderId="0" xfId="215">
      <alignment horizontal="center" vertical="center"/>
    </xf>
    <xf numFmtId="10" fontId="101" fillId="57" borderId="0" xfId="215">
      <alignment horizontal="center" vertical="bottom"/>
    </xf>
    <xf numFmtId="0" fontId="181" fillId="57" borderId="0" xfId="0">
      <alignment horizontal="left" vertical="center"/>
    </xf>
    <xf numFmtId="0" fontId="223" fillId="57" borderId="0" xfId="206">
      <alignment horizontal="left" vertical="center" shrinkToFit="1"/>
    </xf>
    <xf numFmtId="4273" fontId="131" fillId="52" borderId="0" xfId="276">
      <alignment horizontal="center" vertical="center"/>
    </xf>
    <xf numFmtId="4041" fontId="101" fillId="57" borderId="8" xfId="276">
      <alignment horizontal="center" vertical="top"/>
    </xf>
    <xf numFmtId="0" fontId="155" fillId="68" borderId="0" xfId="206">
      <alignment horizontal="left" vertical="center" shrinkToFit="1"/>
    </xf>
    <xf numFmtId="0" fontId="252" fillId="61" borderId="9" xfId="0"/>
    <xf numFmtId="0" fontId="253" fillId="61" borderId="16" xfId="0"/>
    <xf numFmtId="0" fontId="253" fillId="61" borderId="16" xfId="0">
      <alignment horizontal="center" vertical="bottom"/>
    </xf>
    <xf numFmtId="10" fontId="0" fillId="57" borderId="0" xfId="0">
      <alignment horizontal="center" vertical="center" shrinkToFit="1"/>
    </xf>
    <xf numFmtId="0" fontId="0" fillId="49" borderId="50" xfId="0">
      <alignment horizontal="left" vertical="top"/>
    </xf>
    <xf numFmtId="4" fontId="101" fillId="57" borderId="0" xfId="0">
      <alignment horizontal="center" vertical="bottom"/>
    </xf>
    <xf numFmtId="3" fontId="0" fillId="68" borderId="0" xfId="0">
      <alignment horizontal="center" vertical="center"/>
    </xf>
    <xf numFmtId="3" fontId="101" fillId="68" borderId="0" xfId="0">
      <alignment horizontal="center" vertical="center"/>
    </xf>
    <xf numFmtId="0" fontId="101" fillId="57" borderId="0" xfId="215">
      <alignment horizontal="center" vertical="bottom"/>
    </xf>
    <xf numFmtId="4" fontId="101" fillId="57" borderId="0" xfId="215">
      <alignment horizontal="center" vertical="center"/>
    </xf>
    <xf numFmtId="10" fontId="0" fillId="68" borderId="0" xfId="0">
      <alignment horizontal="center" vertical="center" shrinkToFit="1"/>
    </xf>
    <xf numFmtId="10" fontId="3" fillId="68" borderId="0" xfId="0">
      <alignment horizontal="center" vertical="center" shrinkToFit="1"/>
    </xf>
    <xf numFmtId="0" fontId="0" fillId="57" borderId="50" xfId="0">
      <alignment horizontal="left" vertical="bottom"/>
    </xf>
    <xf numFmtId="0" fontId="181" fillId="57" borderId="0" xfId="0">
      <alignment horizontal="center" vertical="center"/>
    </xf>
    <xf numFmtId="0" fontId="140" fillId="68" borderId="0" xfId="0">
      <alignment vertical="center"/>
    </xf>
    <xf numFmtId="10" fontId="101" fillId="68" borderId="0" xfId="0">
      <alignment horizontal="center" vertical="center" shrinkToFit="1"/>
    </xf>
    <xf numFmtId="10" fontId="278" fillId="68" borderId="0" xfId="0">
      <alignment horizontal="center" vertical="center" shrinkToFit="1"/>
    </xf>
    <xf numFmtId="5141" fontId="0" fillId="57" borderId="0" xfId="0">
      <alignment horizontal="left" vertical="center" shrinkToFit="1"/>
    </xf>
    <xf numFmtId="0" fontId="0" fillId="49" borderId="45" xfId="0">
      <alignment horizontal="left" vertical="top"/>
    </xf>
    <xf numFmtId="0" fontId="149" fillId="59" borderId="0" xfId="206">
      <alignment horizontal="left" vertical="center" shrinkToFit="1"/>
    </xf>
    <xf numFmtId="3" fontId="0" fillId="59" borderId="0" xfId="0">
      <alignment horizontal="center" vertical="center"/>
    </xf>
    <xf numFmtId="3" fontId="149" fillId="59" borderId="0" xfId="278">
      <alignment horizontal="center" vertical="center"/>
    </xf>
    <xf numFmtId="3" fontId="140" fillId="57" borderId="0" xfId="0">
      <alignment vertical="center"/>
    </xf>
    <xf numFmtId="0" fontId="183" fillId="57" borderId="0" xfId="0">
      <alignment horizontal="left" vertical="center" wrapText="1"/>
    </xf>
    <xf numFmtId="0" fontId="252" fillId="61" borderId="9" xfId="0">
      <alignment horizontal="left" vertical="center"/>
    </xf>
    <xf numFmtId="3" fontId="101" fillId="57" borderId="0" xfId="0">
      <alignment horizontal="left" vertical="center" shrinkToFit="1"/>
    </xf>
    <xf numFmtId="0" fontId="141" fillId="57" borderId="0" xfId="0">
      <alignment horizontal="center" vertical="center"/>
      <protection locked="0"/>
    </xf>
    <xf numFmtId="3" fontId="89" fillId="59" borderId="0" xfId="0">
      <alignment horizontal="center" vertical="center"/>
    </xf>
    <xf numFmtId="0" fontId="140" fillId="57" borderId="0" xfId="0">
      <alignment horizontal="left" vertical="center" wrapText="1"/>
    </xf>
    <xf numFmtId="3" fontId="0" fillId="57" borderId="0" xfId="0">
      <alignment vertical="center"/>
    </xf>
    <xf numFmtId="0" fontId="101" fillId="57" borderId="1" xfId="215">
      <alignment horizontal="center" vertical="bottom"/>
    </xf>
    <xf numFmtId="10" fontId="101" fillId="57" borderId="1" xfId="215">
      <alignment horizontal="center" vertical="bottom"/>
    </xf>
    <xf numFmtId="10" fontId="0" fillId="68" borderId="0" xfId="0">
      <alignment horizontal="center" vertical="center"/>
    </xf>
    <xf numFmtId="4" fontId="0" fillId="57" borderId="0" xfId="0">
      <alignment horizontal="center" vertical="center"/>
    </xf>
    <xf numFmtId="4031" fontId="0" fillId="68" borderId="0" xfId="0">
      <alignment horizontal="center" vertical="center"/>
    </xf>
    <xf numFmtId="0" fontId="183" fillId="57" borderId="0" xfId="0">
      <alignment vertical="center"/>
      <protection locked="0"/>
    </xf>
    <xf numFmtId="4041" fontId="0" fillId="68" borderId="0" xfId="0">
      <alignment horizontal="center" vertical="center"/>
    </xf>
    <xf numFmtId="0" fontId="141" fillId="57" borderId="0" xfId="0">
      <alignment vertical="center"/>
      <protection locked="0"/>
    </xf>
    <xf numFmtId="0" fontId="150" fillId="57" borderId="50" xfId="0">
      <alignment horizontal="left" vertical="center"/>
    </xf>
    <xf numFmtId="0" fontId="140" fillId="57" borderId="0" xfId="0">
      <alignment horizontal="left" vertical="bottom"/>
    </xf>
    <xf numFmtId="0" fontId="140" fillId="57" borderId="51" xfId="0">
      <alignment horizontal="left" vertical="bottom"/>
    </xf>
    <xf numFmtId="0" fontId="140" fillId="57" borderId="0" xfId="0" quotePrefix="1">
      <alignment horizontal="right" vertical="center"/>
    </xf>
    <xf numFmtId="0" fontId="182" fillId="57" borderId="45" xfId="0">
      <alignment horizontal="left" vertical="center"/>
    </xf>
    <xf numFmtId="0" fontId="140" fillId="57" borderId="1" xfId="0">
      <alignment horizontal="left" vertical="center"/>
    </xf>
    <xf numFmtId="0" fontId="140" fillId="57" borderId="49" xfId="0">
      <alignment horizontal="left" vertical="center"/>
    </xf>
    <xf numFmtId="0" fontId="89" fillId="59" borderId="47" xfId="0">
      <alignment vertical="center"/>
    </xf>
    <xf numFmtId="0" fontId="0" fillId="59" borderId="47" xfId="0">
      <alignment vertical="center"/>
    </xf>
    <xf numFmtId="0" fontId="140" fillId="57" borderId="50" xfId="0" quotePrefix="1">
      <alignment horizontal="left" vertical="center" indent="2"/>
    </xf>
    <xf numFmtId="0" fontId="101" fillId="68" borderId="0" xfId="0">
      <alignment horizontal="center" vertical="center"/>
    </xf>
    <xf numFmtId="0" fontId="182" fillId="57" borderId="0" xfId="0">
      <alignment horizontal="left" vertical="center"/>
    </xf>
    <xf numFmtId="0" fontId="140" fillId="57" borderId="47" xfId="0">
      <alignment vertical="center"/>
    </xf>
    <xf numFmtId="0" fontId="140" fillId="57" borderId="0" xfId="0">
      <alignment horizontal="right" vertical="center" indent="1"/>
    </xf>
    <xf numFmtId="1" fontId="140" fillId="57" borderId="0" xfId="0">
      <alignment horizontal="left" vertical="center"/>
    </xf>
    <xf numFmtId="0" fontId="148" fillId="68" borderId="0" xfId="0">
      <alignment vertical="center"/>
    </xf>
    <xf numFmtId="0" fontId="131" fillId="52" borderId="0" xfId="0">
      <alignment vertical="center"/>
      <protection locked="0"/>
    </xf>
    <xf numFmtId="0" fontId="131" fillId="57" borderId="0" xfId="0">
      <alignment vertical="center"/>
      <protection locked="0"/>
    </xf>
    <xf numFmtId="4031" fontId="140" fillId="57" borderId="0" xfId="0">
      <alignment horizontal="center" vertical="center"/>
    </xf>
    <xf numFmtId="1" fontId="140" fillId="57" borderId="0" xfId="0">
      <alignment horizontal="center" vertical="center"/>
    </xf>
    <xf numFmtId="10" fontId="140" fillId="68" borderId="0" xfId="0">
      <alignment horizontal="center" vertical="center"/>
    </xf>
    <xf numFmtId="4041" fontId="140" fillId="57" borderId="0" xfId="0">
      <alignment horizontal="center" vertical="center"/>
    </xf>
    <xf numFmtId="10" fontId="141" fillId="52" borderId="0" xfId="0">
      <alignment horizontal="center" vertical="center"/>
    </xf>
    <xf numFmtId="4041" fontId="131" fillId="52" borderId="0" xfId="278">
      <alignment horizontal="center" vertical="center"/>
    </xf>
    <xf numFmtId="9" fontId="140" fillId="57" borderId="0" xfId="276">
      <alignment vertical="center"/>
    </xf>
    <xf numFmtId="4605" fontId="211" fillId="81" borderId="0" xfId="0">
      <alignment vertical="center"/>
    </xf>
    <xf numFmtId="10" fontId="140" fillId="57" borderId="0" xfId="0">
      <alignment horizontal="center" vertical="center"/>
    </xf>
    <xf numFmtId="10" fontId="140" fillId="0" borderId="0" xfId="0">
      <alignment horizontal="center" vertical="center"/>
    </xf>
    <xf numFmtId="4041" fontId="183" fillId="57" borderId="0" xfId="276">
      <alignment horizontal="center" vertical="center"/>
    </xf>
    <xf numFmtId="0" fontId="140" fillId="0" borderId="47" xfId="0">
      <alignment vertical="center"/>
    </xf>
    <xf numFmtId="0" fontId="140" fillId="0" borderId="47" xfId="0">
      <alignment horizontal="center" vertical="center"/>
    </xf>
    <xf numFmtId="0" fontId="227" fillId="0" borderId="0" xfId="206"/>
    <xf numFmtId="0" fontId="211" fillId="78" borderId="2" xfId="206">
      <alignment horizontal="center" vertical="center"/>
    </xf>
    <xf numFmtId="0" fontId="224" fillId="78" borderId="2" xfId="206">
      <alignment horizontal="center" vertical="center" wrapText="1"/>
    </xf>
    <xf numFmtId="0" fontId="211" fillId="77" borderId="2" xfId="216">
      <alignment horizontal="center" vertical="top"/>
    </xf>
    <xf numFmtId="0" fontId="181" fillId="107" borderId="9" xfId="206">
      <alignment horizontal="left" vertical="center"/>
    </xf>
    <xf numFmtId="0" fontId="181" fillId="107" borderId="16" xfId="206">
      <alignment horizontal="left" vertical="center"/>
    </xf>
    <xf numFmtId="0" fontId="181" fillId="107" borderId="53" xfId="206">
      <alignment horizontal="left" vertical="center"/>
    </xf>
    <xf numFmtId="0" fontId="183" fillId="0" borderId="2" xfId="206">
      <alignment horizontal="center" vertical="center"/>
    </xf>
    <xf numFmtId="0" fontId="173" fillId="0" borderId="2" xfId="206">
      <alignment vertical="center" wrapText="1"/>
    </xf>
    <xf numFmtId="0" fontId="215" fillId="22" borderId="2" xfId="216">
      <alignment horizontal="center" vertical="top"/>
    </xf>
    <xf numFmtId="0" fontId="223" fillId="0" borderId="2" xfId="216">
      <alignment horizontal="left" vertical="top"/>
    </xf>
    <xf numFmtId="0" fontId="215" fillId="0" borderId="2" xfId="216">
      <alignment horizontal="center" vertical="top"/>
    </xf>
    <xf numFmtId="0" fontId="215" fillId="57" borderId="2" xfId="216">
      <alignment horizontal="center" vertical="top"/>
    </xf>
    <xf numFmtId="0" fontId="181" fillId="85" borderId="9" xfId="206">
      <alignment horizontal="left" vertical="center"/>
    </xf>
    <xf numFmtId="0" fontId="181" fillId="85" borderId="16" xfId="206">
      <alignment horizontal="left" vertical="center"/>
    </xf>
    <xf numFmtId="0" fontId="181" fillId="85" borderId="53" xfId="206">
      <alignment horizontal="left" vertical="center"/>
    </xf>
    <xf numFmtId="0" fontId="181" fillId="83" borderId="9" xfId="206">
      <alignment horizontal="left" vertical="center"/>
    </xf>
    <xf numFmtId="0" fontId="181" fillId="83" borderId="16" xfId="206">
      <alignment horizontal="left" vertical="center"/>
    </xf>
    <xf numFmtId="0" fontId="181" fillId="83" borderId="53" xfId="206">
      <alignment horizontal="left" vertical="center"/>
    </xf>
    <xf numFmtId="0" fontId="182" fillId="22" borderId="2" xfId="216">
      <alignment horizontal="center" vertical="top"/>
    </xf>
    <xf numFmtId="0" fontId="181" fillId="24" borderId="9" xfId="206">
      <alignment horizontal="left" vertical="center"/>
    </xf>
    <xf numFmtId="0" fontId="181" fillId="24" borderId="16" xfId="206">
      <alignment horizontal="left" vertical="center"/>
    </xf>
    <xf numFmtId="0" fontId="181" fillId="24" borderId="53" xfId="206">
      <alignment horizontal="left" vertical="center"/>
    </xf>
    <xf numFmtId="0" fontId="226" fillId="0" borderId="0" xfId="216">
      <alignment horizontal="left" vertical="top"/>
    </xf>
    <xf numFmtId="0" fontId="223" fillId="0" borderId="0" xfId="216">
      <alignment horizontal="left" vertical="top"/>
    </xf>
    <xf numFmtId="58" fontId="225" fillId="0" borderId="0" xfId="216">
      <alignment horizontal="left" vertical="top"/>
    </xf>
    <xf numFmtId="0" fontId="211" fillId="79" borderId="9" xfId="216">
      <alignment horizontal="left" vertical="top"/>
    </xf>
    <xf numFmtId="0" fontId="211" fillId="79" borderId="53" xfId="216">
      <alignment horizontal="left" vertical="top"/>
    </xf>
    <xf numFmtId="0" fontId="223" fillId="77" borderId="0" xfId="216">
      <alignment horizontal="left" vertical="top"/>
    </xf>
    <xf numFmtId="0" fontId="210" fillId="79" borderId="9" xfId="216">
      <alignment horizontal="left" vertical="top"/>
    </xf>
    <xf numFmtId="0" fontId="210" fillId="79" borderId="53" xfId="216">
      <alignment horizontal="left" vertical="top"/>
    </xf>
    <xf numFmtId="0" fontId="183" fillId="67" borderId="9" xfId="216">
      <alignment horizontal="left" vertical="top"/>
    </xf>
    <xf numFmtId="0" fontId="183" fillId="67" borderId="53" xfId="216">
      <alignment horizontal="left" vertical="top"/>
    </xf>
    <xf numFmtId="4876" fontId="225" fillId="0" borderId="2" xfId="206">
      <alignment horizontal="center" vertical="top" wrapText="1"/>
    </xf>
    <xf numFmtId="0" fontId="173" fillId="0" borderId="2" xfId="0">
      <alignment horizontal="left" vertical="top" wrapText="1"/>
    </xf>
    <xf numFmtId="0" fontId="223" fillId="0" borderId="2" xfId="216">
      <alignment horizontal="left" vertical="top" wrapText="1"/>
    </xf>
    <xf numFmtId="0" fontId="181" fillId="85" borderId="9" xfId="206">
      <alignment horizontal="left" vertical="center" wrapText="1"/>
    </xf>
    <xf numFmtId="0" fontId="181" fillId="85" borderId="16" xfId="206">
      <alignment horizontal="left" vertical="center" wrapText="1"/>
    </xf>
    <xf numFmtId="0" fontId="181" fillId="83" borderId="9" xfId="206">
      <alignment horizontal="left" vertical="center" wrapText="1"/>
    </xf>
    <xf numFmtId="0" fontId="181" fillId="83" borderId="16" xfId="206">
      <alignment horizontal="left" vertical="center" wrapText="1"/>
    </xf>
    <xf numFmtId="0" fontId="181" fillId="61" borderId="9" xfId="206">
      <alignment horizontal="left" vertical="center" wrapText="1"/>
    </xf>
    <xf numFmtId="0" fontId="181" fillId="61" borderId="16" xfId="206">
      <alignment horizontal="left" vertical="center" wrapText="1"/>
    </xf>
    <xf numFmtId="0" fontId="173" fillId="0" borderId="2" xfId="206">
      <alignment horizontal="left" vertical="top" wrapText="1"/>
    </xf>
    <xf numFmtId="0" fontId="211" fillId="79" borderId="9" xfId="0">
      <alignment horizontal="left" vertical="top"/>
    </xf>
    <xf numFmtId="0" fontId="211" fillId="79" borderId="53" xfId="0">
      <alignment horizontal="left" vertical="top"/>
    </xf>
    <xf numFmtId="4876" fontId="225" fillId="0" borderId="2" xfId="206">
      <alignment horizontal="left" vertical="top"/>
    </xf>
    <xf numFmtId="0" fontId="173" fillId="0" borderId="2" xfId="206">
      <alignment horizontal="left" vertical="top"/>
    </xf>
    <xf numFmtId="4876" fontId="225" fillId="0" borderId="2" xfId="206">
      <alignment horizontal="left" vertical="top" wrapText="1"/>
    </xf>
    <xf numFmtId="0" fontId="140" fillId="0" borderId="0" xfId="0"/>
    <xf numFmtId="4876" fontId="225" fillId="0" borderId="0" xfId="206">
      <alignment horizontal="left" vertical="top"/>
    </xf>
    <xf numFmtId="0" fontId="183" fillId="0" borderId="0" xfId="206">
      <alignment horizontal="left" vertical="top"/>
    </xf>
    <xf numFmtId="0" fontId="223" fillId="0" borderId="0" xfId="216">
      <alignment vertical="top" wrapText="1"/>
    </xf>
    <xf numFmtId="0" fontId="0" fillId="0" borderId="0" xfId="0">
      <alignment vertical="bottom" wrapText="1"/>
    </xf>
    <xf numFmtId="0" fontId="3" fillId="70" borderId="0" xfId="0">
      <alignment horizontal="center" vertical="bottom"/>
    </xf>
    <xf numFmtId="4116" fontId="14" fillId="70" borderId="0" xfId="68">
      <alignment horizontal="center" vertical="bottom"/>
    </xf>
    <xf numFmtId="0" fontId="3" fillId="70" borderId="184" xfId="0">
      <alignment vertical="center"/>
    </xf>
    <xf numFmtId="0" fontId="0" fillId="0" borderId="0" xfId="0">
      <alignment horizontal="center" vertical="bottom"/>
    </xf>
    <xf numFmtId="0" fontId="3" fillId="70" borderId="196" xfId="0">
      <alignment horizontal="center" vertical="bottom"/>
    </xf>
    <xf numFmtId="0" fontId="3" fillId="70" borderId="197" xfId="0">
      <alignment horizontal="center" vertical="bottom"/>
    </xf>
    <xf numFmtId="4116" fontId="14" fillId="70" borderId="0" xfId="0">
      <alignment horizontal="center" vertical="bottom"/>
    </xf>
    <xf numFmtId="0" fontId="0" fillId="57" borderId="2" xfId="0">
      <alignment horizontal="center" vertical="center"/>
    </xf>
    <xf numFmtId="0" fontId="0" fillId="57" borderId="166" xfId="0">
      <alignment horizontal="center" vertical="bottom"/>
    </xf>
    <xf numFmtId="0" fontId="0" fillId="57" borderId="167" xfId="0">
      <alignment horizontal="center" vertical="bottom"/>
    </xf>
    <xf numFmtId="0" fontId="0" fillId="68" borderId="0" xfId="0">
      <alignment horizontal="center" vertical="bottom"/>
    </xf>
    <xf numFmtId="0" fontId="0" fillId="60" borderId="0" xfId="0">
      <alignment horizontal="center" vertical="bottom"/>
    </xf>
    <xf numFmtId="0" fontId="101" fillId="57" borderId="182" xfId="0">
      <alignment horizontal="center" vertical="bottom"/>
    </xf>
    <xf numFmtId="0" fontId="156" fillId="57" borderId="0" xfId="0">
      <alignment horizontal="left" vertical="bottom"/>
    </xf>
    <xf numFmtId="308" fontId="0" fillId="68" borderId="0" xfId="0">
      <alignment horizontal="center" vertical="bottom"/>
    </xf>
    <xf numFmtId="5313" fontId="0" fillId="60" borderId="9" xfId="0">
      <alignment horizontal="center" vertical="center"/>
    </xf>
    <xf numFmtId="5313" fontId="0" fillId="60" borderId="16" xfId="0">
      <alignment horizontal="center" vertical="center"/>
    </xf>
    <xf numFmtId="5313" fontId="0" fillId="60" borderId="53" xfId="0">
      <alignment horizontal="center" vertical="center"/>
    </xf>
    <xf numFmtId="0" fontId="0" fillId="68" borderId="9" xfId="0">
      <alignment horizontal="center" vertical="center"/>
    </xf>
    <xf numFmtId="0" fontId="0" fillId="68" borderId="16" xfId="0">
      <alignment horizontal="center" vertical="center" wrapText="1"/>
    </xf>
    <xf numFmtId="0" fontId="0" fillId="68" borderId="53" xfId="0">
      <alignment horizontal="center" vertical="center" wrapText="1"/>
    </xf>
    <xf numFmtId="0" fontId="0" fillId="68" borderId="9" xfId="0">
      <alignment horizontal="center" vertical="center" wrapText="1"/>
    </xf>
    <xf numFmtId="0" fontId="0" fillId="68" borderId="16" xfId="0">
      <alignment horizontal="center" vertical="bottom" wrapText="1"/>
    </xf>
    <xf numFmtId="0" fontId="0" fillId="68" borderId="53" xfId="0">
      <alignment horizontal="center" vertical="bottom" wrapText="1"/>
    </xf>
    <xf numFmtId="0" fontId="288" fillId="57" borderId="0" xfId="0">
      <alignment horizontal="center" vertical="center"/>
    </xf>
    <xf numFmtId="0" fontId="0" fillId="57" borderId="1" xfId="0">
      <alignment horizontal="center" vertical="bottom" wrapText="1"/>
    </xf>
    <xf numFmtId="0" fontId="0" fillId="57" borderId="183" xfId="0">
      <alignment horizontal="center" vertical="bottom"/>
    </xf>
    <xf numFmtId="4063" fontId="101" fillId="68" borderId="0" xfId="37">
      <alignment horizontal="center" vertical="bottom"/>
    </xf>
    <xf numFmtId="4063" fontId="173" fillId="59" borderId="0" xfId="39">
      <alignment horizontal="center" vertical="bottom"/>
    </xf>
    <xf numFmtId="4116" fontId="89" fillId="68" borderId="0" xfId="68">
      <alignment horizontal="center" vertical="bottom"/>
    </xf>
    <xf numFmtId="0" fontId="0" fillId="68" borderId="48" xfId="0">
      <alignment horizontal="center" vertical="bottom"/>
    </xf>
    <xf numFmtId="0" fontId="123" fillId="68" borderId="0" xfId="0">
      <alignment horizontal="center" vertical="center"/>
    </xf>
    <xf numFmtId="0" fontId="14" fillId="70" borderId="165" xfId="0"/>
    <xf numFmtId="0" fontId="3" fillId="70" borderId="16" xfId="0"/>
    <xf numFmtId="0" fontId="3" fillId="70" borderId="166" xfId="0"/>
    <xf numFmtId="0" fontId="3" fillId="70" borderId="167" xfId="0"/>
    <xf numFmtId="4063" fontId="101" fillId="60" borderId="0" xfId="39">
      <alignment horizontal="center" vertical="bottom"/>
    </xf>
    <xf numFmtId="4116" fontId="0" fillId="57" borderId="0" xfId="0">
      <alignment horizontal="center" vertical="bottom"/>
    </xf>
    <xf numFmtId="0" fontId="0" fillId="68" borderId="51" xfId="0">
      <alignment horizontal="center" vertical="bottom"/>
    </xf>
    <xf numFmtId="4116" fontId="0" fillId="68" borderId="0" xfId="68">
      <alignment horizontal="center" vertical="bottom"/>
    </xf>
    <xf numFmtId="4116" fontId="0" fillId="57" borderId="0" xfId="68">
      <alignment horizontal="center" vertical="bottom"/>
    </xf>
    <xf numFmtId="4116" fontId="0" fillId="57" borderId="0" xfId="0">
      <alignment horizontal="left" vertical="bottom" indent="1"/>
    </xf>
    <xf numFmtId="0" fontId="0" fillId="59" borderId="0" xfId="0">
      <alignment horizontal="center" vertical="bottom"/>
    </xf>
    <xf numFmtId="0" fontId="0" fillId="68" borderId="16" xfId="0">
      <alignment horizontal="center" vertical="bottom"/>
    </xf>
    <xf numFmtId="5281" fontId="0" fillId="68" borderId="16" xfId="0">
      <alignment horizontal="center" vertical="bottom"/>
    </xf>
    <xf numFmtId="5281" fontId="0" fillId="68" borderId="53" xfId="0">
      <alignment horizontal="center" vertical="bottom"/>
    </xf>
    <xf numFmtId="0" fontId="150" fillId="68" borderId="16" xfId="0">
      <alignment horizontal="center" vertical="bottom"/>
    </xf>
    <xf numFmtId="0" fontId="287" fillId="68" borderId="16" xfId="0">
      <alignment horizontal="center" vertical="bottom"/>
    </xf>
    <xf numFmtId="4116" fontId="0" fillId="68" borderId="16" xfId="68">
      <alignment horizontal="center" vertical="bottom"/>
    </xf>
    <xf numFmtId="0" fontId="89" fillId="57" borderId="168" xfId="0">
      <alignment horizontal="left" vertical="bottom" indent="1"/>
    </xf>
    <xf numFmtId="3" fontId="0" fillId="57" borderId="43" xfId="0">
      <alignment horizontal="center" vertical="bottom"/>
    </xf>
    <xf numFmtId="0" fontId="0" fillId="57" borderId="169" xfId="0">
      <alignment horizontal="left" vertical="bottom" indent="1"/>
    </xf>
    <xf numFmtId="4116" fontId="0" fillId="57" borderId="43" xfId="68">
      <alignment horizontal="center" vertical="bottom"/>
    </xf>
    <xf numFmtId="4116" fontId="0" fillId="57" borderId="61" xfId="68">
      <alignment horizontal="center" vertical="bottom"/>
    </xf>
    <xf numFmtId="0" fontId="101" fillId="68" borderId="0" xfId="37">
      <alignment horizontal="center" vertical="bottom"/>
    </xf>
    <xf numFmtId="37" fontId="101" fillId="60" borderId="0" xfId="39">
      <alignment horizontal="center" vertical="bottom"/>
    </xf>
    <xf numFmtId="4116" fontId="0" fillId="57" borderId="37" xfId="68">
      <alignment horizontal="center" vertical="bottom"/>
    </xf>
    <xf numFmtId="4116" fontId="0" fillId="57" borderId="0" xfId="68">
      <alignment horizontal="left" vertical="bottom" indent="1"/>
    </xf>
    <xf numFmtId="4116" fontId="0" fillId="57" borderId="38" xfId="68">
      <alignment horizontal="center" vertical="bottom"/>
    </xf>
    <xf numFmtId="0" fontId="0" fillId="57" borderId="0" xfId="0" quotePrefix="1">
      <alignment horizontal="center" vertical="bottom"/>
    </xf>
    <xf numFmtId="5350" fontId="101" fillId="59" borderId="47" xfId="45">
      <alignment horizontal="center" vertical="bottom"/>
    </xf>
    <xf numFmtId="3" fontId="0" fillId="59" borderId="47" xfId="0">
      <alignment horizontal="center" vertical="bottom"/>
    </xf>
    <xf numFmtId="3" fontId="0" fillId="59" borderId="48" xfId="0">
      <alignment horizontal="center" vertical="bottom"/>
    </xf>
    <xf numFmtId="3" fontId="150" fillId="59" borderId="47" xfId="0">
      <alignment horizontal="center" vertical="bottom"/>
    </xf>
    <xf numFmtId="0" fontId="150" fillId="59" borderId="47" xfId="0" quotePrefix="1">
      <alignment horizontal="center" vertical="bottom"/>
    </xf>
    <xf numFmtId="0" fontId="327" fillId="68" borderId="179" xfId="0">
      <alignment horizontal="left" vertical="bottom" indent="1"/>
    </xf>
    <xf numFmtId="0" fontId="328" fillId="68" borderId="169" xfId="0"/>
    <xf numFmtId="4063" fontId="327" fillId="68" borderId="187" xfId="68"/>
    <xf numFmtId="0" fontId="0" fillId="57" borderId="169" xfId="0">
      <alignment horizontal="center" vertical="bottom"/>
    </xf>
    <xf numFmtId="0" fontId="0" fillId="57" borderId="170" xfId="0">
      <alignment horizontal="center" vertical="bottom"/>
    </xf>
    <xf numFmtId="0" fontId="148" fillId="68" borderId="0" xfId="0">
      <alignment horizontal="left" vertical="bottom"/>
    </xf>
    <xf numFmtId="0" fontId="148" fillId="60" borderId="0" xfId="0">
      <alignment horizontal="left" vertical="bottom"/>
    </xf>
    <xf numFmtId="0" fontId="0" fillId="59" borderId="51" xfId="0">
      <alignment horizontal="center" vertical="bottom"/>
    </xf>
    <xf numFmtId="0" fontId="150" fillId="59" borderId="0" xfId="0">
      <alignment horizontal="center" vertical="bottom"/>
    </xf>
    <xf numFmtId="0" fontId="286" fillId="57" borderId="171" xfId="0">
      <alignment horizontal="left" vertical="bottom" indent="1"/>
    </xf>
    <xf numFmtId="0" fontId="327" fillId="68" borderId="45" xfId="0">
      <alignment horizontal="left" vertical="bottom" indent="1"/>
    </xf>
    <xf numFmtId="0" fontId="327" fillId="68" borderId="1" xfId="0">
      <alignment horizontal="left" vertical="bottom"/>
    </xf>
    <xf numFmtId="4063" fontId="327" fillId="68" borderId="49" xfId="68"/>
    <xf numFmtId="0" fontId="0" fillId="57" borderId="172" xfId="0">
      <alignment horizontal="center" vertical="bottom"/>
    </xf>
    <xf numFmtId="10" fontId="101" fillId="68" borderId="0" xfId="37">
      <alignment horizontal="center" vertical="bottom"/>
    </xf>
    <xf numFmtId="10" fontId="101" fillId="59" borderId="0" xfId="39">
      <alignment horizontal="center" vertical="bottom"/>
    </xf>
    <xf numFmtId="10" fontId="0" fillId="57" borderId="0" xfId="0">
      <alignment horizontal="center" vertical="bottom"/>
    </xf>
    <xf numFmtId="10" fontId="0" fillId="59" borderId="0" xfId="276">
      <alignment horizontal="center" vertical="bottom"/>
    </xf>
    <xf numFmtId="10" fontId="0" fillId="59" borderId="51" xfId="276">
      <alignment horizontal="center" vertical="bottom"/>
    </xf>
    <xf numFmtId="10" fontId="150" fillId="59" borderId="0" xfId="276">
      <alignment horizontal="center" vertical="bottom"/>
    </xf>
    <xf numFmtId="10" fontId="286" fillId="57" borderId="173" xfId="276">
      <alignment horizontal="left" vertical="bottom" indent="1"/>
    </xf>
    <xf numFmtId="0" fontId="0" fillId="57" borderId="174" xfId="0">
      <alignment horizontal="left" vertical="bottom" indent="1"/>
    </xf>
    <xf numFmtId="0" fontId="0" fillId="57" borderId="175" xfId="0"/>
    <xf numFmtId="5458" fontId="0" fillId="57" borderId="178" xfId="68">
      <alignment horizontal="left" vertical="bottom"/>
    </xf>
    <xf numFmtId="10" fontId="0" fillId="57" borderId="176" xfId="276">
      <alignment horizontal="center" vertical="bottom"/>
    </xf>
    <xf numFmtId="10" fontId="0" fillId="57" borderId="177" xfId="276">
      <alignment horizontal="center" vertical="bottom"/>
    </xf>
    <xf numFmtId="5275" fontId="101" fillId="68" borderId="0" xfId="39">
      <alignment horizontal="center" vertical="bottom"/>
    </xf>
    <xf numFmtId="4471" fontId="101" fillId="59" borderId="0" xfId="39">
      <alignment horizontal="center" vertical="bottom"/>
    </xf>
    <xf numFmtId="10" fontId="0" fillId="68" borderId="47" xfId="276">
      <alignment horizontal="center" vertical="bottom"/>
    </xf>
    <xf numFmtId="10" fontId="0" fillId="68" borderId="48" xfId="276">
      <alignment horizontal="center" vertical="bottom"/>
    </xf>
    <xf numFmtId="4937" fontId="150" fillId="68" borderId="47" xfId="62">
      <alignment horizontal="center" vertical="bottom"/>
    </xf>
    <xf numFmtId="0" fontId="150" fillId="68" borderId="47" xfId="0" quotePrefix="1">
      <alignment horizontal="center" vertical="bottom"/>
    </xf>
    <xf numFmtId="4937" fontId="0" fillId="57" borderId="0" xfId="62">
      <alignment horizontal="center" vertical="bottom"/>
    </xf>
    <xf numFmtId="4937" fontId="0" fillId="57" borderId="43" xfId="0">
      <alignment horizontal="center" vertical="center"/>
    </xf>
    <xf numFmtId="4937" fontId="0" fillId="57" borderId="169" xfId="62">
      <alignment horizontal="center" vertical="bottom"/>
    </xf>
    <xf numFmtId="4937" fontId="0" fillId="57" borderId="170" xfId="62">
      <alignment horizontal="center" vertical="bottom"/>
    </xf>
    <xf numFmtId="0" fontId="188" fillId="60" borderId="0" xfId="0">
      <alignment horizontal="center" vertical="bottom"/>
    </xf>
    <xf numFmtId="0" fontId="150" fillId="68" borderId="0" xfId="0">
      <alignment horizontal="center" vertical="bottom"/>
    </xf>
    <xf numFmtId="0" fontId="0" fillId="57" borderId="9" xfId="0">
      <alignment horizontal="left" vertical="bottom" indent="1"/>
    </xf>
    <xf numFmtId="10" fontId="0" fillId="57" borderId="16" xfId="0">
      <alignment horizontal="center" vertical="bottom"/>
    </xf>
    <xf numFmtId="10" fontId="0" fillId="57" borderId="53" xfId="0">
      <alignment horizontal="center" vertical="bottom"/>
    </xf>
    <xf numFmtId="0" fontId="286" fillId="57" borderId="173" xfId="0">
      <alignment horizontal="left" vertical="bottom" indent="1"/>
    </xf>
    <xf numFmtId="10" fontId="0" fillId="57" borderId="175" xfId="0">
      <alignment horizontal="center" vertical="bottom"/>
    </xf>
    <xf numFmtId="10" fontId="0" fillId="57" borderId="178" xfId="0">
      <alignment horizontal="center" vertical="bottom"/>
    </xf>
    <xf numFmtId="0" fontId="0" fillId="57" borderId="176" xfId="0">
      <alignment horizontal="center" vertical="bottom"/>
    </xf>
    <xf numFmtId="0" fontId="0" fillId="57" borderId="177" xfId="0">
      <alignment horizontal="center" vertical="bottom"/>
    </xf>
    <xf numFmtId="10" fontId="101" fillId="68" borderId="0" xfId="0">
      <alignment horizontal="center" vertical="bottom"/>
    </xf>
    <xf numFmtId="10" fontId="101" fillId="60" borderId="0" xfId="39">
      <alignment horizontal="center" vertical="bottom"/>
    </xf>
    <xf numFmtId="0" fontId="0" fillId="59" borderId="47" xfId="0">
      <alignment horizontal="center" vertical="bottom"/>
    </xf>
    <xf numFmtId="0" fontId="0" fillId="59" borderId="48" xfId="0">
      <alignment horizontal="center" vertical="bottom"/>
    </xf>
    <xf numFmtId="0" fontId="150" fillId="59" borderId="47" xfId="0">
      <alignment horizontal="center" vertical="bottom"/>
    </xf>
    <xf numFmtId="0" fontId="0" fillId="57" borderId="168" xfId="0">
      <alignment horizontal="left" vertical="bottom" indent="1"/>
    </xf>
    <xf numFmtId="0" fontId="0" fillId="57" borderId="43" xfId="0">
      <alignment horizontal="center" vertical="bottom"/>
    </xf>
    <xf numFmtId="0" fontId="148" fillId="57" borderId="169" xfId="0">
      <alignment horizontal="left" vertical="bottom" indent="1"/>
    </xf>
    <xf numFmtId="0" fontId="0" fillId="57" borderId="171" xfId="0">
      <alignment horizontal="left" vertical="bottom" indent="1"/>
    </xf>
    <xf numFmtId="0" fontId="0" fillId="57" borderId="0" xfId="0">
      <alignment horizontal="left" vertical="bottom" indent="1"/>
    </xf>
    <xf numFmtId="0" fontId="148" fillId="57" borderId="0" xfId="0">
      <alignment horizontal="left" vertical="bottom" indent="1"/>
    </xf>
    <xf numFmtId="5279" fontId="148" fillId="59" borderId="0" xfId="0">
      <alignment horizontal="center" vertical="bottom"/>
    </xf>
    <xf numFmtId="5279" fontId="0" fillId="59" borderId="0" xfId="0">
      <alignment horizontal="center" vertical="bottom"/>
    </xf>
    <xf numFmtId="5279" fontId="0" fillId="59" borderId="51" xfId="0">
      <alignment horizontal="center" vertical="bottom"/>
    </xf>
    <xf numFmtId="5280" fontId="0" fillId="59" borderId="0" xfId="0">
      <alignment horizontal="center" vertical="bottom"/>
    </xf>
    <xf numFmtId="5281" fontId="101" fillId="68" borderId="0" xfId="37">
      <alignment horizontal="center" vertical="bottom"/>
    </xf>
    <xf numFmtId="5281" fontId="0" fillId="59" borderId="0" xfId="0">
      <alignment horizontal="center" vertical="bottom"/>
    </xf>
    <xf numFmtId="0" fontId="0" fillId="57" borderId="176" xfId="0">
      <alignment horizontal="left" vertical="bottom" indent="1"/>
    </xf>
    <xf numFmtId="9" fontId="0" fillId="57" borderId="176" xfId="0">
      <alignment horizontal="center" vertical="bottom"/>
    </xf>
    <xf numFmtId="5281" fontId="0" fillId="68" borderId="47" xfId="0">
      <alignment horizontal="center" vertical="bottom"/>
    </xf>
    <xf numFmtId="5281" fontId="0" fillId="68" borderId="48" xfId="0">
      <alignment horizontal="center" vertical="bottom"/>
    </xf>
    <xf numFmtId="0" fontId="150" fillId="68" borderId="47" xfId="0">
      <alignment horizontal="center" vertical="bottom"/>
    </xf>
    <xf numFmtId="0" fontId="89" fillId="57" borderId="171" xfId="0">
      <alignment horizontal="left" vertical="bottom" indent="1"/>
    </xf>
    <xf numFmtId="5281" fontId="0" fillId="57" borderId="0" xfId="0">
      <alignment horizontal="center" vertical="bottom"/>
    </xf>
    <xf numFmtId="5281" fontId="0" fillId="68" borderId="0" xfId="0">
      <alignment horizontal="center" vertical="bottom"/>
    </xf>
    <xf numFmtId="5281" fontId="0" fillId="68" borderId="51" xfId="0">
      <alignment horizontal="center" vertical="bottom"/>
    </xf>
    <xf numFmtId="0" fontId="287" fillId="68" borderId="0" xfId="0">
      <alignment horizontal="center" vertical="bottom"/>
    </xf>
    <xf numFmtId="0" fontId="150" fillId="68" borderId="0" xfId="0" quotePrefix="1">
      <alignment horizontal="center" vertical="bottom"/>
    </xf>
    <xf numFmtId="0" fontId="0" fillId="57" borderId="11" xfId="0">
      <alignment horizontal="center" vertical="bottom"/>
    </xf>
    <xf numFmtId="5454" fontId="0" fillId="57" borderId="9" xfId="0">
      <alignment horizontal="center" vertical="bottom"/>
    </xf>
    <xf numFmtId="5455" fontId="0" fillId="57" borderId="16" xfId="0">
      <alignment horizontal="center" vertical="bottom"/>
    </xf>
    <xf numFmtId="5281" fontId="0" fillId="57" borderId="16" xfId="0">
      <alignment horizontal="center" vertical="bottom"/>
    </xf>
    <xf numFmtId="0" fontId="0" fillId="57" borderId="53" xfId="0">
      <alignment horizontal="center" vertical="bottom"/>
    </xf>
    <xf numFmtId="0" fontId="0" fillId="57" borderId="8" xfId="0">
      <alignment horizontal="center" vertical="bottom"/>
    </xf>
    <xf numFmtId="5456" fontId="0" fillId="57" borderId="9" xfId="0">
      <alignment horizontal="center" vertical="bottom"/>
    </xf>
    <xf numFmtId="0" fontId="0" fillId="57" borderId="16" xfId="0"/>
    <xf numFmtId="0" fontId="0" fillId="57" borderId="9" xfId="0">
      <alignment horizontal="center" vertical="bottom"/>
    </xf>
    <xf numFmtId="5281" fontId="0" fillId="57" borderId="16" xfId="0">
      <alignment horizontal="left" vertical="bottom" indent="1"/>
    </xf>
    <xf numFmtId="0" fontId="0" fillId="57" borderId="174" xfId="0">
      <alignment horizontal="center" vertical="bottom"/>
    </xf>
    <xf numFmtId="5281" fontId="0" fillId="57" borderId="175" xfId="0">
      <alignment horizontal="left" vertical="bottom" indent="1"/>
    </xf>
    <xf numFmtId="5281" fontId="0" fillId="57" borderId="175" xfId="0">
      <alignment horizontal="center" vertical="bottom"/>
    </xf>
    <xf numFmtId="0" fontId="0" fillId="57" borderId="178" xfId="0">
      <alignment horizontal="center" vertical="bottom"/>
    </xf>
    <xf numFmtId="9" fontId="0" fillId="59" borderId="47" xfId="276">
      <alignment horizontal="center" vertical="bottom"/>
    </xf>
    <xf numFmtId="5279" fontId="0" fillId="59" borderId="47" xfId="0">
      <alignment horizontal="center" vertical="bottom"/>
    </xf>
    <xf numFmtId="5279" fontId="0" fillId="59" borderId="48" xfId="0">
      <alignment horizontal="center" vertical="bottom"/>
    </xf>
    <xf numFmtId="0" fontId="326" fillId="59" borderId="47" xfId="0">
      <alignment horizontal="center" vertical="bottom"/>
    </xf>
    <xf numFmtId="0" fontId="148" fillId="57" borderId="169" xfId="0">
      <alignment horizontal="center" vertical="bottom"/>
    </xf>
    <xf numFmtId="10" fontId="0" fillId="68" borderId="0" xfId="0">
      <alignment horizontal="center" vertical="bottom"/>
    </xf>
    <xf numFmtId="10" fontId="188" fillId="60" borderId="0" xfId="0">
      <alignment horizontal="center" vertical="bottom"/>
    </xf>
    <xf numFmtId="5295" fontId="0" fillId="59" borderId="0" xfId="0">
      <alignment horizontal="center" vertical="bottom"/>
    </xf>
    <xf numFmtId="5295" fontId="0" fillId="57" borderId="47" xfId="0">
      <alignment horizontal="center" vertical="bottom"/>
    </xf>
    <xf numFmtId="5295" fontId="0" fillId="57" borderId="48" xfId="0">
      <alignment horizontal="center" vertical="bottom"/>
    </xf>
    <xf numFmtId="5295" fontId="0" fillId="57" borderId="176" xfId="0">
      <alignment horizontal="center" vertical="bottom"/>
    </xf>
    <xf numFmtId="5295" fontId="0" fillId="57" borderId="188" xfId="0">
      <alignment horizontal="center" vertical="bottom"/>
    </xf>
    <xf numFmtId="9" fontId="0" fillId="68" borderId="47" xfId="276">
      <alignment horizontal="center" vertical="bottom"/>
    </xf>
    <xf numFmtId="9" fontId="0" fillId="68" borderId="48" xfId="276">
      <alignment horizontal="center" vertical="bottom"/>
    </xf>
    <xf numFmtId="0" fontId="0" fillId="57" borderId="45" xfId="0">
      <alignment horizontal="left" vertical="bottom" indent="1"/>
    </xf>
    <xf numFmtId="5283" fontId="0" fillId="57" borderId="49" xfId="0">
      <alignment horizontal="center" vertical="bottom"/>
    </xf>
    <xf numFmtId="0" fontId="289" fillId="68" borderId="0" xfId="0"/>
    <xf numFmtId="4063" fontId="290" fillId="68" borderId="0" xfId="39">
      <alignment horizontal="center" vertical="bottom"/>
    </xf>
    <xf numFmtId="0" fontId="188" fillId="59" borderId="0" xfId="0">
      <alignment horizontal="center" vertical="bottom"/>
    </xf>
    <xf numFmtId="9" fontId="0" fillId="68" borderId="0" xfId="276">
      <alignment horizontal="center" vertical="bottom"/>
    </xf>
    <xf numFmtId="9" fontId="0" fillId="68" borderId="51" xfId="276">
      <alignment horizontal="center" vertical="bottom"/>
    </xf>
    <xf numFmtId="0" fontId="0" fillId="57" borderId="46" xfId="0">
      <alignment horizontal="left" vertical="bottom" indent="1"/>
    </xf>
    <xf numFmtId="5283" fontId="0" fillId="57" borderId="48" xfId="0">
      <alignment horizontal="center" vertical="bottom"/>
    </xf>
    <xf numFmtId="0" fontId="101" fillId="68" borderId="0" xfId="0">
      <alignment horizontal="center" vertical="bottom"/>
    </xf>
    <xf numFmtId="0" fontId="0" fillId="57" borderId="50" xfId="0">
      <alignment horizontal="right" vertical="bottom" indent="1"/>
    </xf>
    <xf numFmtId="5283" fontId="0" fillId="57" borderId="51" xfId="0">
      <alignment horizontal="center" vertical="bottom"/>
    </xf>
    <xf numFmtId="0" fontId="0" fillId="57" borderId="171" xfId="0"/>
    <xf numFmtId="0" fontId="0" fillId="57" borderId="50" xfId="0">
      <alignment horizontal="left" vertical="bottom" indent="1"/>
    </xf>
    <xf numFmtId="0" fontId="148" fillId="57" borderId="1" xfId="0">
      <alignment horizontal="left" vertical="bottom"/>
    </xf>
    <xf numFmtId="0" fontId="0" fillId="57" borderId="179" xfId="0"/>
    <xf numFmtId="0" fontId="0" fillId="57" borderId="169" xfId="0"/>
    <xf numFmtId="0" fontId="0" fillId="57" borderId="170" xfId="0">
      <alignment horizontal="center" vertical="top" wrapText="1"/>
    </xf>
    <xf numFmtId="0" fontId="0" fillId="68" borderId="0" xfId="0" quotePrefix="1">
      <alignment horizontal="center" vertical="bottom"/>
    </xf>
    <xf numFmtId="0" fontId="150" fillId="59" borderId="0" xfId="0" quotePrefix="1">
      <alignment horizontal="center" vertical="bottom"/>
    </xf>
    <xf numFmtId="0" fontId="0" fillId="57" borderId="172" xfId="0">
      <alignment horizontal="center" vertical="top" wrapText="1"/>
    </xf>
    <xf numFmtId="0" fontId="101" fillId="57" borderId="45" xfId="0">
      <alignment horizontal="center" vertical="bottom"/>
    </xf>
    <xf numFmtId="0" fontId="0" fillId="57" borderId="1" xfId="0">
      <alignment horizontal="center" vertical="bottom"/>
    </xf>
    <xf numFmtId="0" fontId="0" fillId="57" borderId="192" xfId="0">
      <alignment horizontal="center" vertical="top" wrapText="1"/>
    </xf>
    <xf numFmtId="5281" fontId="101" fillId="68" borderId="0" xfId="0">
      <alignment horizontal="center" vertical="bottom"/>
    </xf>
    <xf numFmtId="5281" fontId="101" fillId="59" borderId="0" xfId="39">
      <alignment horizontal="center" vertical="bottom"/>
    </xf>
    <xf numFmtId="0" fontId="0" fillId="57" borderId="11" xfId="0">
      <alignment horizontal="center" vertical="top" wrapText="1"/>
    </xf>
    <xf numFmtId="5415" fontId="0" fillId="57" borderId="11" xfId="0">
      <alignment horizontal="center" vertical="center"/>
    </xf>
    <xf numFmtId="9" fontId="0" fillId="57" borderId="11" xfId="0">
      <alignment horizontal="center" vertical="center"/>
    </xf>
    <xf numFmtId="2" fontId="0" fillId="57" borderId="193" xfId="0">
      <alignment horizontal="center" vertical="center"/>
    </xf>
    <xf numFmtId="0" fontId="0" fillId="59" borderId="0" xfId="0"/>
    <xf numFmtId="0" fontId="0" fillId="57" borderId="52" xfId="0">
      <alignment horizontal="center" vertical="top" wrapText="1"/>
    </xf>
    <xf numFmtId="5415" fontId="0" fillId="57" borderId="52" xfId="0">
      <alignment horizontal="center" vertical="center"/>
    </xf>
    <xf numFmtId="9" fontId="0" fillId="57" borderId="52" xfId="0">
      <alignment horizontal="center" vertical="center"/>
    </xf>
    <xf numFmtId="2" fontId="0" fillId="57" borderId="194" xfId="0">
      <alignment horizontal="center" vertical="center"/>
    </xf>
    <xf numFmtId="0" fontId="148" fillId="57" borderId="8" xfId="0">
      <alignment horizontal="right" vertical="bottom"/>
    </xf>
    <xf numFmtId="0" fontId="0" fillId="57" borderId="8" xfId="0">
      <alignment horizontal="center" vertical="top" wrapText="1"/>
    </xf>
    <xf numFmtId="5415" fontId="0" fillId="57" borderId="8" xfId="0">
      <alignment horizontal="center" vertical="center"/>
    </xf>
    <xf numFmtId="9" fontId="0" fillId="57" borderId="8" xfId="0">
      <alignment horizontal="center" vertical="center"/>
    </xf>
    <xf numFmtId="2" fontId="0" fillId="57" borderId="195" xfId="0">
      <alignment horizontal="center" vertical="center"/>
    </xf>
    <xf numFmtId="0" fontId="0" fillId="60" borderId="1" xfId="0">
      <alignment horizontal="center" vertical="bottom"/>
    </xf>
    <xf numFmtId="0" fontId="0" fillId="57" borderId="173" xfId="0">
      <alignment horizontal="left" vertical="bottom" indent="1"/>
    </xf>
    <xf numFmtId="0" fontId="0" fillId="57" borderId="30" xfId="0"/>
    <xf numFmtId="0" fontId="0" fillId="57" borderId="181" xfId="0"/>
    <xf numFmtId="0" fontId="0" fillId="57" borderId="175" xfId="0">
      <alignment horizontal="center" vertical="bottom"/>
    </xf>
    <xf numFmtId="0" fontId="0" fillId="57" borderId="180" xfId="0">
      <alignment horizontal="center" vertical="bottom"/>
    </xf>
    <xf numFmtId="0" fontId="0" fillId="57" borderId="0" xfId="0">
      <alignment horizontal="left" vertical="bottom" indent="2"/>
    </xf>
    <xf numFmtId="0" fontId="0" fillId="57" borderId="0" xfId="0">
      <alignment horizontal="left" vertical="bottom" indent="4"/>
    </xf>
    <xf numFmtId="0" fontId="0" fillId="57" borderId="0" xfId="0">
      <alignment horizontal="left" vertical="bottom" indent="8"/>
    </xf>
    <xf numFmtId="0" fontId="0" fillId="59" borderId="49" xfId="0">
      <alignment horizontal="center" vertical="bottom"/>
    </xf>
    <xf numFmtId="0" fontId="0" fillId="57" borderId="176" xfId="0">
      <alignment horizontal="left" vertical="bottom"/>
    </xf>
    <xf numFmtId="0" fontId="0" fillId="68" borderId="47" xfId="0">
      <alignment horizontal="center" vertical="bottom"/>
    </xf>
    <xf numFmtId="0" fontId="0" fillId="57" borderId="43" xfId="0">
      <alignment horizontal="left" vertical="bottom"/>
    </xf>
    <xf numFmtId="0" fontId="0" fillId="57" borderId="61" xfId="0">
      <alignment horizontal="center" vertical="bottom"/>
    </xf>
    <xf numFmtId="0" fontId="0" fillId="57" borderId="37" xfId="0">
      <alignment horizontal="center" vertical="bottom"/>
    </xf>
    <xf numFmtId="0" fontId="0" fillId="57" borderId="38" xfId="0">
      <alignment horizontal="center" vertical="bottom"/>
    </xf>
    <xf numFmtId="0" fontId="0" fillId="57" borderId="39" xfId="0">
      <alignment horizontal="center" vertical="bottom"/>
    </xf>
    <xf numFmtId="0" fontId="0" fillId="57" borderId="30" xfId="0">
      <alignment horizontal="center" vertical="bottom"/>
    </xf>
    <xf numFmtId="0" fontId="0" fillId="57" borderId="55" xfId="0">
      <alignment horizontal="center" vertical="bottom"/>
    </xf>
    <xf numFmtId="0" fontId="0" fillId="68" borderId="47" xfId="0"/>
    <xf numFmtId="0" fontId="101" fillId="68" borderId="47" xfId="39">
      <alignment horizontal="center" vertical="bottom"/>
    </xf>
    <xf numFmtId="0" fontId="101" fillId="59" borderId="0" xfId="39">
      <alignment horizontal="center" vertical="bottom"/>
    </xf>
    <xf numFmtId="0" fontId="0" fillId="114" borderId="47" xfId="0">
      <alignment horizontal="center" vertical="bottom"/>
    </xf>
    <xf numFmtId="0" fontId="0" fillId="114" borderId="48" xfId="0">
      <alignment horizontal="center" vertical="bottom"/>
    </xf>
    <xf numFmtId="0" fontId="150" fillId="114" borderId="47" xfId="0">
      <alignment horizontal="center" vertical="bottom"/>
    </xf>
    <xf numFmtId="0" fontId="150" fillId="114" borderId="47" xfId="0" quotePrefix="1">
      <alignment horizontal="center" vertical="bottom"/>
    </xf>
    <xf numFmtId="0" fontId="0" fillId="52" borderId="0" xfId="0">
      <alignment horizontal="right" vertical="bottom" indent="1"/>
    </xf>
    <xf numFmtId="0" fontId="0" fillId="114" borderId="0" xfId="0">
      <alignment horizontal="center" vertical="bottom"/>
    </xf>
    <xf numFmtId="5281" fontId="0" fillId="114" borderId="0" xfId="0">
      <alignment horizontal="center" vertical="bottom"/>
    </xf>
    <xf numFmtId="5281" fontId="0" fillId="114" borderId="51" xfId="0">
      <alignment horizontal="center" vertical="bottom"/>
    </xf>
    <xf numFmtId="0" fontId="150" fillId="114" borderId="0" xfId="0">
      <alignment horizontal="center" vertical="bottom"/>
    </xf>
    <xf numFmtId="0" fontId="257" fillId="57" borderId="47" xfId="0">
      <alignment horizontal="right" vertical="bottom"/>
    </xf>
    <xf numFmtId="0" fontId="257" fillId="57" borderId="48" xfId="0">
      <alignment horizontal="right" vertical="bottom"/>
    </xf>
    <xf numFmtId="4116" fontId="0" fillId="57" borderId="0" xfId="68"/>
    <xf numFmtId="5308" fontId="0" fillId="26" borderId="0" xfId="0">
      <alignment horizontal="center" vertical="bottom"/>
    </xf>
    <xf numFmtId="4063" fontId="0" fillId="57" borderId="0" xfId="68"/>
    <xf numFmtId="4063" fontId="0" fillId="57" borderId="51" xfId="68"/>
    <xf numFmtId="9" fontId="0" fillId="57" borderId="0" xfId="0">
      <alignment horizontal="right" vertical="bottom"/>
    </xf>
    <xf numFmtId="9" fontId="0" fillId="114" borderId="0" xfId="0">
      <alignment horizontal="center" vertical="bottom"/>
    </xf>
    <xf numFmtId="9" fontId="0" fillId="114" borderId="51" xfId="0">
      <alignment horizontal="center" vertical="bottom"/>
    </xf>
    <xf numFmtId="9" fontId="0" fillId="57" borderId="1" xfId="0">
      <alignment horizontal="right" vertical="bottom"/>
    </xf>
    <xf numFmtId="9" fontId="0" fillId="57" borderId="49" xfId="0">
      <alignment horizontal="right" vertical="bottom"/>
    </xf>
    <xf numFmtId="10" fontId="0" fillId="114" borderId="0" xfId="0">
      <alignment horizontal="center" vertical="bottom"/>
    </xf>
    <xf numFmtId="10" fontId="0" fillId="114" borderId="51" xfId="0">
      <alignment horizontal="center" vertical="bottom"/>
    </xf>
    <xf numFmtId="10" fontId="0" fillId="57" borderId="47" xfId="0">
      <alignment horizontal="right" vertical="bottom"/>
    </xf>
    <xf numFmtId="10" fontId="0" fillId="57" borderId="0" xfId="0"/>
    <xf numFmtId="10" fontId="243" fillId="68" borderId="0" xfId="39" quotePrefix="1">
      <alignment horizontal="left" vertical="bottom"/>
    </xf>
    <xf numFmtId="0" fontId="0" fillId="114" borderId="51" xfId="0">
      <alignment horizontal="center" vertical="bottom"/>
    </xf>
    <xf numFmtId="10" fontId="0" fillId="57" borderId="1" xfId="0"/>
    <xf numFmtId="10" fontId="0" fillId="57" borderId="49" xfId="0"/>
    <xf numFmtId="10" fontId="0" fillId="57" borderId="16" xfId="0"/>
    <xf numFmtId="10" fontId="0" fillId="57" borderId="53" xfId="0"/>
    <xf numFmtId="5281" fontId="243" fillId="68" borderId="0" xfId="0">
      <alignment horizontal="left" vertical="bottom"/>
    </xf>
    <xf numFmtId="5281" fontId="0" fillId="60" borderId="0" xfId="0">
      <alignment horizontal="center" vertical="bottom"/>
    </xf>
    <xf numFmtId="5281" fontId="0" fillId="57" borderId="47" xfId="0"/>
    <xf numFmtId="0" fontId="0" fillId="57" borderId="48" xfId="0">
      <alignment horizontal="center" vertical="bottom"/>
    </xf>
    <xf numFmtId="5294" fontId="243" fillId="68" borderId="0" xfId="39" quotePrefix="1">
      <alignment horizontal="left" vertical="bottom"/>
    </xf>
    <xf numFmtId="5294" fontId="101" fillId="60" borderId="0" xfId="39">
      <alignment horizontal="center" vertical="bottom"/>
    </xf>
    <xf numFmtId="0" fontId="101" fillId="114" borderId="0" xfId="45">
      <alignment horizontal="center" vertical="bottom"/>
    </xf>
    <xf numFmtId="0" fontId="101" fillId="114" borderId="51" xfId="45">
      <alignment horizontal="center" vertical="bottom"/>
    </xf>
    <xf numFmtId="5281" fontId="257" fillId="57" borderId="47" xfId="0">
      <alignment horizontal="center" vertical="bottom"/>
    </xf>
    <xf numFmtId="5281" fontId="257" fillId="57" borderId="48" xfId="0">
      <alignment horizontal="center" vertical="bottom"/>
    </xf>
    <xf numFmtId="5281" fontId="0" fillId="57" borderId="0" xfId="0"/>
    <xf numFmtId="5294" fontId="286" fillId="57" borderId="171" xfId="0">
      <alignment horizontal="center" vertical="bottom"/>
    </xf>
    <xf numFmtId="16" fontId="0" fillId="57" borderId="1" xfId="0" quotePrefix="1">
      <alignment horizontal="center" vertical="bottom"/>
    </xf>
    <xf numFmtId="16" fontId="0" fillId="57" borderId="49" xfId="0" quotePrefix="1">
      <alignment horizontal="center" vertical="bottom"/>
    </xf>
    <xf numFmtId="16" fontId="0" fillId="57" borderId="0" xfId="0" quotePrefix="1">
      <alignment horizontal="right" vertical="bottom"/>
    </xf>
    <xf numFmtId="0" fontId="117" fillId="114" borderId="0" xfId="45">
      <alignment horizontal="center" vertical="bottom"/>
    </xf>
    <xf numFmtId="0" fontId="286" fillId="57" borderId="0" xfId="0">
      <alignment horizontal="left" vertical="bottom" indent="1"/>
    </xf>
    <xf numFmtId="0" fontId="257" fillId="57" borderId="47" xfId="0">
      <alignment horizontal="center" vertical="bottom"/>
    </xf>
    <xf numFmtId="0" fontId="0" fillId="57" borderId="48" xfId="0">
      <alignment horizontal="right" vertical="bottom"/>
    </xf>
    <xf numFmtId="0" fontId="0" fillId="57" borderId="49" xfId="0">
      <alignment horizontal="right" vertical="bottom"/>
    </xf>
    <xf numFmtId="0" fontId="0" fillId="68" borderId="171" xfId="0">
      <alignment horizontal="left" vertical="bottom" indent="1"/>
    </xf>
    <xf numFmtId="0" fontId="0" fillId="68" borderId="175" xfId="0">
      <alignment horizontal="left" vertical="bottom" indent="1"/>
    </xf>
    <xf numFmtId="0" fontId="0" fillId="68" borderId="51" xfId="0">
      <alignment horizontal="right" vertical="bottom"/>
    </xf>
    <xf numFmtId="0" fontId="0" fillId="68" borderId="0" xfId="0">
      <alignment horizontal="right" vertical="bottom"/>
    </xf>
    <xf numFmtId="0" fontId="0" fillId="68" borderId="172" xfId="0">
      <alignment horizontal="center" vertical="bottom"/>
    </xf>
    <xf numFmtId="0" fontId="149" fillId="57" borderId="0" xfId="206"/>
    <xf numFmtId="4367" fontId="89" fillId="57" borderId="0" xfId="0">
      <alignment horizontal="right" vertical="bottom"/>
    </xf>
    <xf numFmtId="0" fontId="149" fillId="57" borderId="0" xfId="0">
      <alignment horizontal="center" vertical="bottom"/>
    </xf>
    <xf numFmtId="0" fontId="149" fillId="57" borderId="51" xfId="206"/>
    <xf numFmtId="0" fontId="229" fillId="57" borderId="47" xfId="181">
      <alignment horizontal="left" vertical="bottom" indent="1"/>
    </xf>
    <xf numFmtId="0" fontId="150" fillId="57" borderId="48" xfId="0"/>
    <xf numFmtId="4389" fontId="89" fillId="57" borderId="0" xfId="0">
      <alignment horizontal="right" vertical="bottom"/>
    </xf>
    <xf numFmtId="0" fontId="229" fillId="57" borderId="0" xfId="181">
      <alignment horizontal="left" vertical="bottom" indent="1"/>
    </xf>
    <xf numFmtId="0" fontId="150" fillId="57" borderId="51" xfId="0"/>
    <xf numFmtId="0" fontId="89" fillId="57" borderId="9" xfId="0"/>
    <xf numFmtId="58" fontId="154" fillId="52" borderId="2" xfId="0">
      <alignment horizontal="center" vertical="bottom"/>
    </xf>
    <xf numFmtId="0" fontId="177" fillId="84" borderId="0" xfId="0">
      <alignment horizontal="center" vertical="top"/>
    </xf>
    <xf numFmtId="4389" fontId="174" fillId="57" borderId="0" xfId="0"/>
    <xf numFmtId="0" fontId="229" fillId="57" borderId="1" xfId="181">
      <alignment horizontal="left" vertical="bottom" indent="1"/>
    </xf>
    <xf numFmtId="0" fontId="150" fillId="57" borderId="49" xfId="0"/>
    <xf numFmtId="4367" fontId="89" fillId="57" borderId="0" xfId="0"/>
    <xf numFmtId="0" fontId="179" fillId="57" borderId="0" xfId="206">
      <alignment horizontal="left" vertical="bottom"/>
    </xf>
    <xf numFmtId="0" fontId="14" fillId="57" borderId="0" xfId="206">
      <alignment horizontal="center" vertical="bottom"/>
    </xf>
    <xf numFmtId="0" fontId="14" fillId="108" borderId="9" xfId="206">
      <alignment horizontal="center" vertical="bottom"/>
    </xf>
    <xf numFmtId="0" fontId="14" fillId="108" borderId="16" xfId="0">
      <alignment horizontal="center" vertical="bottom"/>
    </xf>
    <xf numFmtId="0" fontId="14" fillId="108" borderId="16" xfId="206">
      <alignment horizontal="center" vertical="bottom"/>
    </xf>
    <xf numFmtId="4" fontId="149" fillId="57" borderId="0" xfId="206">
      <alignment horizontal="right" vertical="bottom"/>
    </xf>
    <xf numFmtId="0" fontId="154" fillId="57" borderId="0" xfId="206">
      <alignment horizontal="center" vertical="bottom"/>
    </xf>
    <xf numFmtId="0" fontId="149" fillId="68" borderId="9" xfId="206">
      <alignment horizontal="right" vertical="bottom"/>
    </xf>
    <xf numFmtId="0" fontId="149" fillId="57" borderId="9" xfId="206">
      <alignment horizontal="right" vertical="bottom"/>
    </xf>
    <xf numFmtId="0" fontId="149" fillId="57" borderId="2" xfId="206">
      <alignment horizontal="right" vertical="bottom"/>
    </xf>
    <xf numFmtId="4447" fontId="0" fillId="0" borderId="0" xfId="0"/>
    <xf numFmtId="0" fontId="149" fillId="57" borderId="9" xfId="206"/>
    <xf numFmtId="0" fontId="149" fillId="57" borderId="16" xfId="206"/>
    <xf numFmtId="0" fontId="149" fillId="57" borderId="53" xfId="206">
      <alignment horizontal="center" vertical="bottom"/>
    </xf>
    <xf numFmtId="3" fontId="101" fillId="68" borderId="9" xfId="0">
      <alignment horizontal="right" vertical="bottom"/>
    </xf>
    <xf numFmtId="0" fontId="149" fillId="57" borderId="46" xfId="206"/>
    <xf numFmtId="0" fontId="149" fillId="57" borderId="47" xfId="206"/>
    <xf numFmtId="0" fontId="149" fillId="57" borderId="48" xfId="206">
      <alignment horizontal="center" vertical="bottom"/>
    </xf>
    <xf numFmtId="308" fontId="154" fillId="68" borderId="11" xfId="206">
      <alignment horizontal="right" vertical="bottom"/>
    </xf>
    <xf numFmtId="4989" fontId="101" fillId="68" borderId="9" xfId="0">
      <alignment horizontal="right" vertical="bottom"/>
    </xf>
    <xf numFmtId="0" fontId="0" fillId="57" borderId="46" xfId="0"/>
    <xf numFmtId="49" fontId="148" fillId="68" borderId="11" xfId="0"/>
    <xf numFmtId="49" fontId="148" fillId="68" borderId="46" xfId="0"/>
    <xf numFmtId="0" fontId="101" fillId="57" borderId="45" xfId="206"/>
    <xf numFmtId="0" fontId="0" fillId="57" borderId="49" xfId="0">
      <alignment horizontal="center" vertical="bottom"/>
    </xf>
    <xf numFmtId="0" fontId="0" fillId="68" borderId="8" xfId="0"/>
    <xf numFmtId="0" fontId="0" fillId="68" borderId="45" xfId="0"/>
    <xf numFmtId="0" fontId="149" fillId="57" borderId="50" xfId="206"/>
    <xf numFmtId="0" fontId="149" fillId="57" borderId="51" xfId="206">
      <alignment horizontal="center" vertical="bottom"/>
    </xf>
    <xf numFmtId="308" fontId="149" fillId="68" borderId="52" xfId="0">
      <alignment horizontal="right" vertical="bottom"/>
    </xf>
    <xf numFmtId="308" fontId="149" fillId="61" borderId="52" xfId="0">
      <alignment horizontal="right" vertical="bottom"/>
    </xf>
    <xf numFmtId="308" fontId="149" fillId="61" borderId="50" xfId="0">
      <alignment horizontal="right" vertical="bottom"/>
    </xf>
    <xf numFmtId="0" fontId="149" fillId="57" borderId="45" xfId="206">
      <alignment horizontal="left" vertical="bottom"/>
    </xf>
    <xf numFmtId="0" fontId="149" fillId="57" borderId="1" xfId="206">
      <alignment horizontal="left" vertical="bottom"/>
    </xf>
    <xf numFmtId="0" fontId="149" fillId="57" borderId="49" xfId="206">
      <alignment horizontal="center" vertical="bottom"/>
    </xf>
    <xf numFmtId="308" fontId="149" fillId="68" borderId="8" xfId="206">
      <alignment horizontal="right" vertical="bottom"/>
    </xf>
    <xf numFmtId="308" fontId="149" fillId="61" borderId="49" xfId="206">
      <alignment horizontal="right" vertical="bottom"/>
    </xf>
    <xf numFmtId="308" fontId="149" fillId="61" borderId="1" xfId="206">
      <alignment horizontal="right" vertical="bottom"/>
    </xf>
    <xf numFmtId="0" fontId="101" fillId="57" borderId="50" xfId="206">
      <alignment horizontal="left" vertical="bottom" indent="1"/>
    </xf>
    <xf numFmtId="0" fontId="101" fillId="57" borderId="0" xfId="206">
      <alignment horizontal="left" vertical="bottom" indent="1"/>
    </xf>
    <xf numFmtId="0" fontId="101" fillId="57" borderId="51" xfId="206">
      <alignment horizontal="center" vertical="bottom"/>
    </xf>
    <xf numFmtId="308" fontId="131" fillId="52" borderId="52" xfId="206">
      <alignment horizontal="right" vertical="bottom"/>
    </xf>
    <xf numFmtId="308" fontId="131" fillId="52" borderId="51" xfId="206">
      <alignment horizontal="right" vertical="bottom"/>
    </xf>
    <xf numFmtId="308" fontId="131" fillId="52" borderId="0" xfId="206">
      <alignment horizontal="right" vertical="bottom"/>
    </xf>
    <xf numFmtId="0" fontId="101" fillId="57" borderId="45" xfId="206">
      <alignment horizontal="left" vertical="bottom" indent="1"/>
    </xf>
    <xf numFmtId="0" fontId="101" fillId="57" borderId="1" xfId="206">
      <alignment horizontal="left" vertical="bottom" indent="1"/>
    </xf>
    <xf numFmtId="0" fontId="101" fillId="57" borderId="49" xfId="206">
      <alignment horizontal="center" vertical="bottom"/>
    </xf>
    <xf numFmtId="308" fontId="101" fillId="68" borderId="8" xfId="0">
      <alignment horizontal="right" vertical="bottom"/>
    </xf>
    <xf numFmtId="308" fontId="101" fillId="61" borderId="49" xfId="206">
      <alignment horizontal="right" vertical="bottom"/>
    </xf>
    <xf numFmtId="308" fontId="101" fillId="61" borderId="1" xfId="206">
      <alignment horizontal="right" vertical="bottom"/>
    </xf>
    <xf numFmtId="308" fontId="149" fillId="68" borderId="11" xfId="206">
      <alignment horizontal="right" vertical="bottom"/>
    </xf>
    <xf numFmtId="308" fontId="149" fillId="68" borderId="46" xfId="206">
      <alignment horizontal="right" vertical="bottom"/>
    </xf>
    <xf numFmtId="308" fontId="89" fillId="68" borderId="2" xfId="0">
      <alignment horizontal="right" vertical="bottom"/>
    </xf>
    <xf numFmtId="308" fontId="89" fillId="68" borderId="9" xfId="0">
      <alignment horizontal="right" vertical="bottom"/>
    </xf>
    <xf numFmtId="0" fontId="149" fillId="57" borderId="46" xfId="206">
      <alignment horizontal="left" vertical="bottom"/>
    </xf>
    <xf numFmtId="0" fontId="149" fillId="57" borderId="47" xfId="206">
      <alignment horizontal="left" vertical="bottom"/>
    </xf>
    <xf numFmtId="3" fontId="149" fillId="68" borderId="50" xfId="0">
      <alignment horizontal="right" vertical="bottom"/>
    </xf>
    <xf numFmtId="4041" fontId="149" fillId="68" borderId="45" xfId="278">
      <alignment horizontal="right" vertical="bottom"/>
    </xf>
    <xf numFmtId="0" fontId="101" fillId="57" borderId="46" xfId="206">
      <alignment horizontal="left" vertical="bottom" indent="1"/>
    </xf>
    <xf numFmtId="0" fontId="101" fillId="57" borderId="47" xfId="206">
      <alignment horizontal="left" vertical="bottom" indent="1"/>
    </xf>
    <xf numFmtId="0" fontId="101" fillId="57" borderId="48" xfId="206">
      <alignment horizontal="center" vertical="bottom"/>
    </xf>
    <xf numFmtId="3" fontId="101" fillId="68" borderId="50" xfId="278">
      <alignment horizontal="right" vertical="bottom"/>
    </xf>
    <xf numFmtId="9" fontId="131" fillId="52" borderId="0" xfId="206">
      <alignment horizontal="right" vertical="bottom" indent="1"/>
    </xf>
    <xf numFmtId="9" fontId="101" fillId="57" borderId="0" xfId="206">
      <alignment horizontal="right" vertical="bottom" indent="1"/>
    </xf>
    <xf numFmtId="3" fontId="131" fillId="52" borderId="45" xfId="278">
      <alignment horizontal="right" vertical="bottom"/>
    </xf>
    <xf numFmtId="0" fontId="149" fillId="57" borderId="9" xfId="206">
      <alignment horizontal="left" vertical="bottom"/>
    </xf>
    <xf numFmtId="0" fontId="149" fillId="57" borderId="16" xfId="206">
      <alignment horizontal="left" vertical="bottom"/>
    </xf>
    <xf numFmtId="3" fontId="149" fillId="68" borderId="45" xfId="206">
      <alignment horizontal="right" vertical="bottom"/>
    </xf>
    <xf numFmtId="4041" fontId="149" fillId="68" borderId="9" xfId="278">
      <alignment horizontal="right" vertical="bottom"/>
    </xf>
    <xf numFmtId="308" fontId="149" fillId="68" borderId="9" xfId="0">
      <alignment horizontal="right" vertical="bottom"/>
    </xf>
    <xf numFmtId="308" fontId="149" fillId="68" borderId="50" xfId="0">
      <alignment horizontal="right" vertical="bottom"/>
    </xf>
    <xf numFmtId="308" fontId="101" fillId="68" borderId="50" xfId="0">
      <alignment horizontal="right" vertical="bottom"/>
    </xf>
    <xf numFmtId="308" fontId="101" fillId="68" borderId="52" xfId="0">
      <alignment horizontal="right" vertical="bottom"/>
    </xf>
    <xf numFmtId="308" fontId="101" fillId="68" borderId="45" xfId="0">
      <alignment horizontal="right" vertical="bottom"/>
    </xf>
    <xf numFmtId="4031" fontId="101" fillId="68" borderId="50" xfId="278">
      <alignment horizontal="right" vertical="bottom"/>
    </xf>
    <xf numFmtId="4913" fontId="101" fillId="68" borderId="50" xfId="206">
      <alignment horizontal="right" vertical="bottom"/>
    </xf>
    <xf numFmtId="0" fontId="101" fillId="57" borderId="51" xfId="206">
      <alignment horizontal="right" vertical="bottom"/>
    </xf>
    <xf numFmtId="10" fontId="101" fillId="68" borderId="46" xfId="278">
      <alignment horizontal="right" vertical="bottom"/>
    </xf>
    <xf numFmtId="4913" fontId="101" fillId="68" borderId="45" xfId="206">
      <alignment horizontal="right" vertical="bottom"/>
    </xf>
    <xf numFmtId="0" fontId="149" fillId="57" borderId="50" xfId="206">
      <alignment horizontal="left" vertical="bottom" indent="1"/>
    </xf>
    <xf numFmtId="0" fontId="117" fillId="68" borderId="11" xfId="0">
      <alignment horizontal="right" vertical="bottom"/>
      <protection locked="0"/>
    </xf>
    <xf numFmtId="4471" fontId="117" fillId="68" borderId="52" xfId="0">
      <alignment horizontal="right" vertical="bottom"/>
      <protection locked="0"/>
    </xf>
    <xf numFmtId="4471" fontId="117" fillId="68" borderId="50" xfId="0">
      <alignment horizontal="right" vertical="bottom"/>
      <protection locked="0"/>
    </xf>
    <xf numFmtId="4031" fontId="117" fillId="68" borderId="8" xfId="0">
      <alignment horizontal="right" vertical="bottom"/>
      <protection locked="0"/>
    </xf>
    <xf numFmtId="4031" fontId="117" fillId="68" borderId="45" xfId="0">
      <alignment horizontal="right" vertical="bottom"/>
      <protection locked="0"/>
    </xf>
    <xf numFmtId="0" fontId="14" fillId="34" borderId="9" xfId="0">
      <alignment horizontal="left" vertical="bottom"/>
    </xf>
    <xf numFmtId="0" fontId="14" fillId="34" borderId="16" xfId="0">
      <alignment horizontal="left" vertical="bottom"/>
    </xf>
    <xf numFmtId="0" fontId="14" fillId="34" borderId="53" xfId="0">
      <alignment horizontal="center" vertical="bottom"/>
    </xf>
    <xf numFmtId="0" fontId="14" fillId="34" borderId="2" xfId="0">
      <alignment horizontal="left" vertical="bottom"/>
    </xf>
    <xf numFmtId="0" fontId="14" fillId="34" borderId="53" xfId="0">
      <alignment horizontal="left" vertical="bottom"/>
    </xf>
    <xf numFmtId="0" fontId="101" fillId="2" borderId="46" xfId="206">
      <alignment horizontal="left" vertical="bottom"/>
    </xf>
    <xf numFmtId="0" fontId="101" fillId="2" borderId="47" xfId="206">
      <alignment horizontal="left" vertical="bottom"/>
    </xf>
    <xf numFmtId="0" fontId="101" fillId="2" borderId="48" xfId="206">
      <alignment horizontal="center" vertical="bottom"/>
    </xf>
    <xf numFmtId="308" fontId="0" fillId="14" borderId="11" xfId="0">
      <alignment horizontal="right" vertical="bottom"/>
    </xf>
    <xf numFmtId="0" fontId="101" fillId="2" borderId="50" xfId="206">
      <alignment horizontal="left" vertical="bottom"/>
    </xf>
    <xf numFmtId="0" fontId="101" fillId="2" borderId="0" xfId="206">
      <alignment horizontal="left" vertical="bottom"/>
    </xf>
    <xf numFmtId="0" fontId="101" fillId="2" borderId="51" xfId="206">
      <alignment horizontal="center" vertical="bottom"/>
    </xf>
    <xf numFmtId="308" fontId="0" fillId="14" borderId="52" xfId="0">
      <alignment horizontal="right" vertical="bottom"/>
    </xf>
    <xf numFmtId="4" fontId="0" fillId="57" borderId="0" xfId="0"/>
    <xf numFmtId="0" fontId="101" fillId="2" borderId="50" xfId="206"/>
    <xf numFmtId="0" fontId="101" fillId="2" borderId="0" xfId="206"/>
    <xf numFmtId="4041" fontId="0" fillId="14" borderId="52" xfId="0">
      <alignment horizontal="right" vertical="bottom"/>
    </xf>
    <xf numFmtId="0" fontId="0" fillId="2" borderId="50" xfId="0"/>
    <xf numFmtId="0" fontId="0" fillId="2" borderId="0" xfId="0"/>
    <xf numFmtId="0" fontId="0" fillId="2" borderId="51" xfId="0">
      <alignment horizontal="center" vertical="bottom"/>
    </xf>
    <xf numFmtId="4031" fontId="0" fillId="14" borderId="52" xfId="0">
      <alignment horizontal="right" vertical="bottom"/>
    </xf>
    <xf numFmtId="4" fontId="101" fillId="2" borderId="50" xfId="206"/>
    <xf numFmtId="4" fontId="101" fillId="2" borderId="0" xfId="206"/>
    <xf numFmtId="4" fontId="101" fillId="2" borderId="51" xfId="206">
      <alignment horizontal="center" vertical="bottom"/>
    </xf>
    <xf numFmtId="4" fontId="0" fillId="14" borderId="52" xfId="0">
      <alignment horizontal="right" vertical="bottom"/>
    </xf>
    <xf numFmtId="0" fontId="0" fillId="2" borderId="45" xfId="0"/>
    <xf numFmtId="0" fontId="0" fillId="2" borderId="1" xfId="0"/>
    <xf numFmtId="0" fontId="0" fillId="2" borderId="49" xfId="0">
      <alignment horizontal="center" vertical="bottom"/>
    </xf>
    <xf numFmtId="10" fontId="0" fillId="14" borderId="52" xfId="0">
      <alignment horizontal="right" vertical="bottom"/>
    </xf>
    <xf numFmtId="0" fontId="14" fillId="65" borderId="9" xfId="0">
      <alignment horizontal="left" vertical="bottom"/>
    </xf>
    <xf numFmtId="0" fontId="14" fillId="65" borderId="16" xfId="0">
      <alignment horizontal="left" vertical="bottom"/>
    </xf>
    <xf numFmtId="0" fontId="14" fillId="65" borderId="53" xfId="0">
      <alignment horizontal="center" vertical="bottom"/>
    </xf>
    <xf numFmtId="0" fontId="14" fillId="65" borderId="2" xfId="0">
      <alignment horizontal="left" vertical="bottom"/>
    </xf>
    <xf numFmtId="0" fontId="14" fillId="65" borderId="53" xfId="0">
      <alignment horizontal="left" vertical="bottom"/>
    </xf>
    <xf numFmtId="4" fontId="0" fillId="0" borderId="0" xfId="0"/>
    <xf numFmtId="0" fontId="101" fillId="12" borderId="46" xfId="206">
      <alignment horizontal="left" vertical="bottom"/>
    </xf>
    <xf numFmtId="0" fontId="101" fillId="12" borderId="47" xfId="206">
      <alignment horizontal="left" vertical="bottom"/>
    </xf>
    <xf numFmtId="308" fontId="0" fillId="12" borderId="50" xfId="0">
      <alignment horizontal="right" vertical="bottom"/>
    </xf>
    <xf numFmtId="308" fontId="0" fillId="12" borderId="52" xfId="0">
      <alignment horizontal="right" vertical="bottom"/>
    </xf>
    <xf numFmtId="308" fontId="0" fillId="12" borderId="51" xfId="0">
      <alignment horizontal="right" vertical="bottom"/>
    </xf>
    <xf numFmtId="0" fontId="101" fillId="12" borderId="50" xfId="206">
      <alignment horizontal="left" vertical="bottom"/>
    </xf>
    <xf numFmtId="0" fontId="101" fillId="12" borderId="0" xfId="206">
      <alignment horizontal="left" vertical="bottom"/>
    </xf>
    <xf numFmtId="308" fontId="101" fillId="12" borderId="50" xfId="0">
      <alignment horizontal="right" vertical="bottom"/>
    </xf>
    <xf numFmtId="308" fontId="101" fillId="12" borderId="52" xfId="0">
      <alignment horizontal="right" vertical="bottom"/>
    </xf>
    <xf numFmtId="308" fontId="101" fillId="12" borderId="51" xfId="0">
      <alignment horizontal="right" vertical="bottom"/>
    </xf>
    <xf numFmtId="0" fontId="101" fillId="12" borderId="50" xfId="206"/>
    <xf numFmtId="0" fontId="101" fillId="12" borderId="0" xfId="206"/>
    <xf numFmtId="4041" fontId="0" fillId="12" borderId="50" xfId="0">
      <alignment horizontal="right" vertical="bottom"/>
    </xf>
    <xf numFmtId="4041" fontId="0" fillId="12" borderId="52" xfId="0">
      <alignment horizontal="right" vertical="bottom"/>
    </xf>
    <xf numFmtId="4041" fontId="0" fillId="12" borderId="51" xfId="0">
      <alignment horizontal="right" vertical="bottom"/>
    </xf>
    <xf numFmtId="4041" fontId="0" fillId="12" borderId="50" xfId="276">
      <alignment horizontal="right" vertical="bottom"/>
    </xf>
    <xf numFmtId="4041" fontId="0" fillId="12" borderId="52" xfId="276">
      <alignment horizontal="right" vertical="bottom"/>
    </xf>
    <xf numFmtId="4041" fontId="0" fillId="12" borderId="51" xfId="276">
      <alignment horizontal="right" vertical="bottom"/>
    </xf>
    <xf numFmtId="0" fontId="0" fillId="12" borderId="50" xfId="0"/>
    <xf numFmtId="0" fontId="0" fillId="12" borderId="0" xfId="0"/>
    <xf numFmtId="4031" fontId="0" fillId="12" borderId="50" xfId="276">
      <alignment horizontal="right" vertical="bottom"/>
    </xf>
    <xf numFmtId="4031" fontId="0" fillId="12" borderId="52" xfId="276">
      <alignment horizontal="right" vertical="bottom"/>
    </xf>
    <xf numFmtId="4031" fontId="0" fillId="12" borderId="51" xfId="276">
      <alignment horizontal="right" vertical="bottom"/>
    </xf>
    <xf numFmtId="9" fontId="101" fillId="52" borderId="0" xfId="276"/>
    <xf numFmtId="1" fontId="101" fillId="52" borderId="0" xfId="62">
      <alignment horizontal="center" vertical="bottom"/>
    </xf>
    <xf numFmtId="2" fontId="101" fillId="52" borderId="0" xfId="62">
      <alignment horizontal="right" vertical="bottom"/>
    </xf>
    <xf numFmtId="4041" fontId="101" fillId="12" borderId="50" xfId="276">
      <alignment horizontal="right" vertical="bottom"/>
    </xf>
    <xf numFmtId="4041" fontId="101" fillId="12" borderId="52" xfId="276">
      <alignment horizontal="right" vertical="bottom"/>
    </xf>
    <xf numFmtId="4041" fontId="101" fillId="12" borderId="51" xfId="276">
      <alignment horizontal="right" vertical="bottom"/>
    </xf>
    <xf numFmtId="4" fontId="101" fillId="12" borderId="50" xfId="206"/>
    <xf numFmtId="10" fontId="101" fillId="52" borderId="0" xfId="276"/>
    <xf numFmtId="4" fontId="101" fillId="12" borderId="0" xfId="206"/>
    <xf numFmtId="4" fontId="101" fillId="12" borderId="50" xfId="206">
      <alignment horizontal="right" vertical="bottom"/>
    </xf>
    <xf numFmtId="4" fontId="101" fillId="12" borderId="52" xfId="206">
      <alignment horizontal="right" vertical="bottom"/>
    </xf>
    <xf numFmtId="0" fontId="0" fillId="12" borderId="45" xfId="0"/>
    <xf numFmtId="0" fontId="0" fillId="12" borderId="1" xfId="0"/>
    <xf numFmtId="10" fontId="0" fillId="12" borderId="45" xfId="0">
      <alignment horizontal="right" vertical="bottom"/>
    </xf>
    <xf numFmtId="10" fontId="0" fillId="12" borderId="8" xfId="0">
      <alignment horizontal="right" vertical="bottom"/>
    </xf>
    <xf numFmtId="10" fontId="0" fillId="12" borderId="49" xfId="0">
      <alignment horizontal="right" vertical="bottom"/>
    </xf>
    <xf numFmtId="0" fontId="164" fillId="57" borderId="0" xfId="0"/>
    <xf numFmtId="4367" fontId="89" fillId="57" borderId="0" xfId="0">
      <alignment horizontal="left" vertical="bottom"/>
    </xf>
    <xf numFmtId="4389" fontId="89" fillId="57" borderId="0" xfId="0">
      <alignment horizontal="left" vertical="bottom"/>
    </xf>
    <xf numFmtId="4989" fontId="131" fillId="57" borderId="0" xfId="0">
      <alignment horizontal="right" vertical="bottom"/>
    </xf>
    <xf numFmtId="5219" fontId="131" fillId="57" borderId="0" xfId="0">
      <alignment horizontal="right" vertical="bottom"/>
    </xf>
    <xf numFmtId="0" fontId="0" fillId="57" borderId="0" xfId="0">
      <alignment horizontal="right" vertical="bottom" indent="1"/>
    </xf>
    <xf numFmtId="0" fontId="154" fillId="52" borderId="2" xfId="0">
      <alignment horizontal="center" vertical="bottom"/>
    </xf>
    <xf numFmtId="0" fontId="0" fillId="0" borderId="0" xfId="0">
      <alignment horizontal="right" vertical="bottom" indent="1"/>
    </xf>
    <xf numFmtId="1" fontId="154" fillId="52" borderId="2" xfId="0">
      <alignment horizontal="center" vertical="bottom"/>
    </xf>
    <xf numFmtId="4989" fontId="101" fillId="57" borderId="0" xfId="0">
      <alignment horizontal="left" vertical="bottom"/>
    </xf>
    <xf numFmtId="0" fontId="118" fillId="92" borderId="0" xfId="206"/>
    <xf numFmtId="0" fontId="280" fillId="92" borderId="30" xfId="206"/>
    <xf numFmtId="0" fontId="14" fillId="92" borderId="30" xfId="0">
      <alignment horizontal="center" vertical="bottom"/>
    </xf>
    <xf numFmtId="0" fontId="14" fillId="92" borderId="30" xfId="0"/>
    <xf numFmtId="0" fontId="14" fillId="92" borderId="0" xfId="0"/>
    <xf numFmtId="0" fontId="89" fillId="59" borderId="44" xfId="0"/>
    <xf numFmtId="0" fontId="0" fillId="59" borderId="41" xfId="0"/>
    <xf numFmtId="0" fontId="89" fillId="57" borderId="14" xfId="0">
      <alignment horizontal="left" vertical="bottom"/>
    </xf>
    <xf numFmtId="0" fontId="89" fillId="57" borderId="14" xfId="0">
      <alignment horizontal="center" vertical="bottom"/>
    </xf>
    <xf numFmtId="4031" fontId="101" fillId="57" borderId="14" xfId="276">
      <protection locked="0"/>
    </xf>
    <xf numFmtId="4041" fontId="154" fillId="52" borderId="14" xfId="276">
      <protection locked="0"/>
    </xf>
    <xf numFmtId="4031" fontId="154" fillId="52" borderId="14" xfId="276">
      <protection locked="0"/>
    </xf>
    <xf numFmtId="308" fontId="281" fillId="92" borderId="0" xfId="276">
      <protection locked="0"/>
    </xf>
    <xf numFmtId="0" fontId="0" fillId="57" borderId="36" xfId="0"/>
    <xf numFmtId="3" fontId="0" fillId="57" borderId="61" xfId="0">
      <alignment horizontal="center" vertical="bottom"/>
    </xf>
    <xf numFmtId="0" fontId="89" fillId="57" borderId="0" xfId="0">
      <alignment horizontal="right" vertical="bottom"/>
    </xf>
    <xf numFmtId="308" fontId="0" fillId="57" borderId="0" xfId="0"/>
    <xf numFmtId="0" fontId="0" fillId="57" borderId="37" xfId="0"/>
    <xf numFmtId="1993" fontId="0" fillId="57" borderId="38" xfId="0">
      <alignment horizontal="center" vertical="bottom"/>
    </xf>
    <xf numFmtId="10" fontId="154" fillId="52" borderId="0" xfId="0">
      <alignment horizontal="center" vertical="bottom"/>
      <protection locked="0"/>
    </xf>
    <xf numFmtId="308" fontId="155" fillId="49" borderId="0" xfId="0"/>
    <xf numFmtId="4" fontId="156" fillId="92" borderId="0" xfId="0"/>
    <xf numFmtId="0" fontId="0" fillId="92" borderId="0" xfId="0"/>
    <xf numFmtId="0" fontId="0" fillId="57" borderId="39" xfId="0"/>
    <xf numFmtId="308" fontId="0" fillId="57" borderId="55" xfId="0">
      <alignment horizontal="center" vertical="bottom"/>
    </xf>
    <xf numFmtId="0" fontId="0" fillId="57" borderId="30" xfId="0">
      <alignment horizontal="left" vertical="bottom"/>
    </xf>
    <xf numFmtId="10" fontId="154" fillId="52" borderId="30" xfId="0">
      <alignment horizontal="center" vertical="bottom"/>
      <protection locked="0"/>
    </xf>
    <xf numFmtId="308" fontId="155" fillId="49" borderId="30" xfId="0"/>
    <xf numFmtId="0" fontId="89" fillId="57" borderId="0" xfId="0"/>
    <xf numFmtId="308" fontId="0" fillId="57" borderId="0" xfId="0">
      <alignment horizontal="center" vertical="bottom"/>
    </xf>
    <xf numFmtId="0" fontId="89" fillId="57" borderId="0" xfId="0">
      <alignment horizontal="left" vertical="bottom"/>
    </xf>
    <xf numFmtId="0" fontId="89" fillId="57" borderId="0" xfId="0">
      <alignment horizontal="center" vertical="bottom"/>
    </xf>
    <xf numFmtId="308" fontId="89" fillId="57" borderId="0" xfId="0"/>
    <xf numFmtId="0" fontId="14" fillId="92" borderId="40" xfId="0">
      <alignment horizontal="center" vertical="bottom"/>
    </xf>
    <xf numFmtId="0" fontId="14" fillId="97" borderId="40" xfId="0">
      <alignment horizontal="center" vertical="bottom"/>
    </xf>
    <xf numFmtId="0" fontId="150" fillId="92" borderId="0" xfId="0"/>
    <xf numFmtId="10" fontId="154" fillId="57" borderId="0" xfId="0">
      <alignment horizontal="center" vertical="bottom"/>
      <protection locked="0"/>
    </xf>
    <xf numFmtId="0" fontId="0" fillId="57" borderId="37" xfId="0">
      <alignment horizontal="left" vertical="bottom"/>
    </xf>
    <xf numFmtId="308" fontId="0" fillId="2" borderId="35" xfId="0">
      <alignment horizontal="center" vertical="bottom"/>
    </xf>
    <xf numFmtId="308" fontId="0" fillId="98" borderId="38" xfId="0">
      <alignment horizontal="center" vertical="bottom"/>
    </xf>
    <xf numFmtId="4389" fontId="89" fillId="92" borderId="0" xfId="0"/>
    <xf numFmtId="0" fontId="89" fillId="92" borderId="0" xfId="0"/>
    <xf numFmtId="10" fontId="0" fillId="2" borderId="35" xfId="276">
      <alignment horizontal="center" vertical="bottom"/>
    </xf>
    <xf numFmtId="10" fontId="0" fillId="98" borderId="38" xfId="0">
      <alignment horizontal="center" vertical="bottom"/>
    </xf>
    <xf numFmtId="10" fontId="154" fillId="57" borderId="30" xfId="0">
      <alignment horizontal="center" vertical="bottom"/>
      <protection locked="0"/>
    </xf>
    <xf numFmtId="308" fontId="0" fillId="57" borderId="30" xfId="0"/>
    <xf numFmtId="308" fontId="0" fillId="92" borderId="0" xfId="0"/>
    <xf numFmtId="308" fontId="89" fillId="57" borderId="14" xfId="0"/>
    <xf numFmtId="308" fontId="155" fillId="92" borderId="0" xfId="0"/>
    <xf numFmtId="10" fontId="0" fillId="2" borderId="84" xfId="0">
      <alignment horizontal="center" vertical="bottom"/>
    </xf>
    <xf numFmtId="10" fontId="0" fillId="98" borderId="55" xfId="0">
      <alignment horizontal="center" vertical="bottom"/>
    </xf>
    <xf numFmtId="4031" fontId="149" fillId="57" borderId="14" xfId="276">
      <protection locked="0"/>
    </xf>
    <xf numFmtId="0" fontId="101" fillId="57" borderId="0" xfId="0">
      <alignment horizontal="center" vertical="bottom"/>
    </xf>
    <xf numFmtId="10" fontId="131" fillId="57" borderId="0" xfId="276">
      <alignment horizontal="center" vertical="bottom"/>
      <protection locked="0"/>
    </xf>
    <xf numFmtId="308" fontId="89" fillId="92" borderId="0" xfId="0"/>
    <xf numFmtId="10" fontId="101" fillId="2" borderId="35" xfId="0">
      <alignment horizontal="center" vertical="bottom"/>
    </xf>
    <xf numFmtId="10" fontId="154" fillId="52" borderId="38" xfId="276">
      <alignment horizontal="center" vertical="bottom"/>
      <protection locked="0"/>
    </xf>
    <xf numFmtId="10" fontId="101" fillId="57" borderId="0" xfId="0">
      <alignment horizontal="center" vertical="bottom"/>
    </xf>
    <xf numFmtId="4031" fontId="101" fillId="2" borderId="35" xfId="276">
      <alignment horizontal="center" vertical="bottom"/>
    </xf>
    <xf numFmtId="4031" fontId="101" fillId="98" borderId="38" xfId="276">
      <alignment horizontal="center" vertical="bottom"/>
    </xf>
    <xf numFmtId="10" fontId="101" fillId="52" borderId="35" xfId="276">
      <alignment horizontal="center" vertical="bottom"/>
      <protection locked="0"/>
    </xf>
    <xf numFmtId="4041" fontId="101" fillId="2" borderId="35" xfId="276">
      <alignment horizontal="center" vertical="bottom"/>
    </xf>
    <xf numFmtId="4041" fontId="101" fillId="98" borderId="38" xfId="276">
      <alignment horizontal="center" vertical="bottom"/>
    </xf>
    <xf numFmtId="4607" fontId="0" fillId="57" borderId="0" xfId="0">
      <alignment horizontal="center" vertical="bottom"/>
    </xf>
    <xf numFmtId="4" fontId="101" fillId="52" borderId="35" xfId="276">
      <alignment horizontal="center" vertical="bottom"/>
    </xf>
    <xf numFmtId="4" fontId="101" fillId="52" borderId="38" xfId="276">
      <alignment horizontal="center" vertical="bottom"/>
    </xf>
    <xf numFmtId="0" fontId="131" fillId="57" borderId="0" xfId="0">
      <alignment horizontal="center" vertical="bottom"/>
      <protection locked="0"/>
    </xf>
    <xf numFmtId="4041" fontId="0" fillId="2" borderId="35" xfId="276">
      <alignment horizontal="center" vertical="bottom"/>
    </xf>
    <xf numFmtId="4041" fontId="0" fillId="98" borderId="38" xfId="276">
      <alignment horizontal="center" vertical="bottom"/>
    </xf>
    <xf numFmtId="308" fontId="154" fillId="52" borderId="0" xfId="0">
      <protection locked="0"/>
    </xf>
    <xf numFmtId="4031" fontId="154" fillId="92" borderId="0" xfId="276">
      <protection locked="0"/>
    </xf>
    <xf numFmtId="0" fontId="154" fillId="52" borderId="35" xfId="0">
      <alignment horizontal="center" vertical="bottom"/>
      <protection locked="0"/>
    </xf>
    <xf numFmtId="0" fontId="154" fillId="52" borderId="38" xfId="0">
      <alignment horizontal="center" vertical="bottom"/>
      <protection locked="0"/>
    </xf>
    <xf numFmtId="10" fontId="0" fillId="57" borderId="30" xfId="0">
      <alignment horizontal="center" vertical="bottom"/>
    </xf>
    <xf numFmtId="4" fontId="101" fillId="2" borderId="84" xfId="276">
      <alignment horizontal="center" vertical="bottom"/>
      <protection locked="0"/>
    </xf>
    <xf numFmtId="4" fontId="101" fillId="98" borderId="55" xfId="276">
      <alignment horizontal="center" vertical="bottom"/>
      <protection locked="0"/>
    </xf>
    <xf numFmtId="4" fontId="0" fillId="57" borderId="0" xfId="276">
      <alignment horizontal="center" vertical="bottom"/>
    </xf>
    <xf numFmtId="4140" fontId="101" fillId="57" borderId="0" xfId="0">
      <alignment horizontal="center" vertical="bottom"/>
    </xf>
    <xf numFmtId="0" fontId="89" fillId="57" borderId="1" xfId="0">
      <alignment horizontal="left" vertical="bottom"/>
    </xf>
    <xf numFmtId="0" fontId="89" fillId="57" borderId="1" xfId="0">
      <alignment horizontal="center" vertical="bottom"/>
    </xf>
    <xf numFmtId="308" fontId="89" fillId="57" borderId="1" xfId="0"/>
    <xf numFmtId="0" fontId="0" fillId="57" borderId="36" xfId="0">
      <alignment horizontal="left" vertical="bottom"/>
    </xf>
    <xf numFmtId="10" fontId="154" fillId="52" borderId="42" xfId="276">
      <alignment horizontal="center" vertical="bottom"/>
      <protection locked="0"/>
    </xf>
    <xf numFmtId="10" fontId="154" fillId="52" borderId="61" xfId="276">
      <alignment horizontal="center" vertical="bottom"/>
      <protection locked="0"/>
    </xf>
    <xf numFmtId="1" fontId="131" fillId="57" borderId="0" xfId="0">
      <alignment horizontal="center" vertical="bottom"/>
      <protection locked="0"/>
    </xf>
    <xf numFmtId="0" fontId="156" fillId="57" borderId="0" xfId="0">
      <alignment horizontal="center" vertical="bottom"/>
    </xf>
    <xf numFmtId="4" fontId="156" fillId="57" borderId="0" xfId="0"/>
    <xf numFmtId="1" fontId="154" fillId="52" borderId="35" xfId="0">
      <alignment horizontal="center" vertical="bottom"/>
      <protection locked="0"/>
    </xf>
    <xf numFmtId="1" fontId="154" fillId="52" borderId="38" xfId="0">
      <alignment horizontal="center" vertical="bottom"/>
      <protection locked="0"/>
    </xf>
    <xf numFmtId="0" fontId="156" fillId="57" borderId="0" xfId="0"/>
    <xf numFmtId="172" fontId="156" fillId="57" borderId="0" xfId="0">
      <alignment horizontal="right" vertical="bottom"/>
    </xf>
    <xf numFmtId="4" fontId="0" fillId="2" borderId="84" xfId="276">
      <alignment horizontal="center" vertical="bottom"/>
    </xf>
    <xf numFmtId="4" fontId="0" fillId="98" borderId="55" xfId="276">
      <alignment horizontal="center" vertical="bottom"/>
    </xf>
    <xf numFmtId="0" fontId="89" fillId="59" borderId="40" xfId="0"/>
    <xf numFmtId="0" fontId="0" fillId="2" borderId="1" xfId="0">
      <alignment horizontal="left" vertical="bottom"/>
    </xf>
    <xf numFmtId="172" fontId="0" fillId="2" borderId="1" xfId="0">
      <alignment horizontal="right" vertical="bottom"/>
    </xf>
    <xf numFmtId="0" fontId="0" fillId="57" borderId="42" xfId="0"/>
    <xf numFmtId="308" fontId="156" fillId="57" borderId="0" xfId="0"/>
    <xf numFmtId="0" fontId="0" fillId="57" borderId="84" xfId="0"/>
    <xf numFmtId="308" fontId="156" fillId="57" borderId="0" xfId="0">
      <alignment horizontal="right" vertical="bottom"/>
    </xf>
    <xf numFmtId="308" fontId="0" fillId="2" borderId="1" xfId="0">
      <alignment horizontal="right" vertical="bottom"/>
    </xf>
    <xf numFmtId="308" fontId="89" fillId="57" borderId="0" xfId="0">
      <alignment horizontal="right" vertical="bottom"/>
    </xf>
    <xf numFmtId="172" fontId="156" fillId="92" borderId="0" xfId="0">
      <alignment horizontal="right" vertical="bottom"/>
    </xf>
    <xf numFmtId="5214" fontId="0" fillId="57" borderId="1" xfId="0">
      <alignment horizontal="left" vertical="bottom"/>
    </xf>
    <xf numFmtId="308" fontId="0" fillId="57" borderId="1" xfId="0"/>
    <xf numFmtId="10" fontId="89" fillId="57" borderId="0" xfId="0"/>
    <xf numFmtId="172" fontId="0" fillId="92" borderId="0" xfId="0">
      <alignment horizontal="right" vertical="bottom"/>
    </xf>
    <xf numFmtId="0" fontId="3" fillId="97" borderId="0" xfId="0"/>
    <xf numFmtId="0" fontId="280" fillId="97" borderId="0" xfId="206"/>
    <xf numFmtId="0" fontId="14" fillId="97" borderId="0" xfId="0">
      <alignment horizontal="center" vertical="bottom"/>
    </xf>
    <xf numFmtId="0" fontId="14" fillId="97" borderId="0" xfId="0"/>
    <xf numFmtId="58" fontId="0" fillId="57" borderId="0" xfId="0"/>
    <xf numFmtId="1163" fontId="154" fillId="52" borderId="2" xfId="68">
      <alignment horizontal="center" vertical="bottom"/>
    </xf>
    <xf numFmtId="4031" fontId="154" fillId="52" borderId="2" xfId="68">
      <alignment horizontal="center" vertical="bottom"/>
    </xf>
    <xf numFmtId="0" fontId="221" fillId="57" borderId="30" xfId="206"/>
    <xf numFmtId="0" fontId="89" fillId="57" borderId="30" xfId="0">
      <alignment horizontal="center" vertical="bottom"/>
    </xf>
    <xf numFmtId="0" fontId="89" fillId="57" borderId="30" xfId="0"/>
    <xf numFmtId="4031" fontId="154" fillId="57" borderId="14" xfId="276">
      <protection locked="0"/>
    </xf>
    <xf numFmtId="308" fontId="101" fillId="57" borderId="0" xfId="0">
      <protection locked="0"/>
    </xf>
    <xf numFmtId="0" fontId="0" fillId="98" borderId="1" xfId="0">
      <alignment horizontal="left" vertical="bottom"/>
    </xf>
    <xf numFmtId="0" fontId="0" fillId="98" borderId="1" xfId="0"/>
    <xf numFmtId="172" fontId="0" fillId="98" borderId="1" xfId="0">
      <alignment horizontal="right" vertical="bottom"/>
    </xf>
    <xf numFmtId="308" fontId="0" fillId="98" borderId="1" xfId="0">
      <alignment horizontal="right" vertical="bottom"/>
    </xf>
    <xf numFmtId="4031" fontId="0" fillId="57" borderId="0" xfId="276">
      <alignment horizontal="center" vertical="bottom"/>
    </xf>
    <xf numFmtId="0" fontId="116" fillId="0" borderId="47" xfId="0">
      <alignment horizontal="left" vertical="top" indent="1"/>
    </xf>
    <xf numFmtId="0" fontId="117" fillId="0" borderId="47" xfId="0"/>
    <xf numFmtId="0" fontId="117" fillId="0" borderId="0" xfId="0"/>
    <xf numFmtId="0" fontId="116" fillId="0" borderId="0" xfId="0">
      <alignment horizontal="left" vertical="top" indent="1"/>
    </xf>
    <xf numFmtId="0" fontId="118" fillId="0" borderId="0" xfId="0">
      <alignment horizontal="center" vertical="top"/>
    </xf>
    <xf numFmtId="0" fontId="187" fillId="0" borderId="0" xfId="0">
      <alignment horizontal="right" vertical="top" indent="1"/>
    </xf>
    <xf numFmtId="0" fontId="118" fillId="0" borderId="44" xfId="0">
      <alignment horizontal="left" vertical="top" indent="1"/>
    </xf>
    <xf numFmtId="0" fontId="118" fillId="0" borderId="14" xfId="0">
      <alignment horizontal="center" vertical="top"/>
    </xf>
    <xf numFmtId="0" fontId="118" fillId="0" borderId="41" xfId="0">
      <alignment horizontal="center" vertical="top"/>
    </xf>
    <xf numFmtId="0" fontId="118" fillId="0" borderId="0" xfId="0">
      <alignment horizontal="right" vertical="top" indent="1"/>
    </xf>
    <xf numFmtId="0" fontId="173" fillId="0" borderId="0" xfId="0">
      <alignment horizontal="right" vertical="top" indent="1"/>
    </xf>
    <xf numFmtId="0" fontId="175" fillId="0" borderId="8" xfId="0">
      <alignment horizontal="center" vertical="bottom"/>
      <protection locked="0"/>
    </xf>
    <xf numFmtId="0" fontId="117" fillId="0" borderId="2" xfId="0">
      <alignment horizontal="center" vertical="bottom"/>
      <protection locked="0"/>
    </xf>
    <xf numFmtId="0" fontId="119" fillId="0" borderId="0" xfId="0">
      <alignment horizontal="right" vertical="top" indent="1"/>
    </xf>
    <xf numFmtId="0" fontId="117" fillId="59" borderId="2" xfId="0">
      <alignment horizontal="center" vertical="bottom"/>
      <protection locked="0"/>
    </xf>
    <xf numFmtId="1" fontId="117" fillId="59" borderId="2" xfId="0">
      <alignment horizontal="center" vertical="bottom"/>
      <protection locked="0"/>
    </xf>
    <xf numFmtId="0" fontId="117" fillId="6" borderId="2" xfId="0">
      <alignment horizontal="center" vertical="bottom"/>
      <protection locked="0"/>
    </xf>
    <xf numFmtId="0" fontId="188" fillId="0" borderId="0" xfId="0">
      <alignment horizontal="right" vertical="top" indent="1"/>
    </xf>
    <xf numFmtId="0" fontId="117" fillId="57" borderId="2" xfId="0">
      <alignment horizontal="center" vertical="bottom"/>
      <protection locked="0"/>
    </xf>
    <xf numFmtId="0" fontId="118" fillId="40" borderId="0" xfId="0">
      <alignment horizontal="right" vertical="top" indent="1"/>
    </xf>
    <xf numFmtId="0" fontId="173" fillId="12" borderId="0" xfId="0">
      <alignment horizontal="right" vertical="top" indent="1"/>
    </xf>
    <xf numFmtId="2" fontId="117" fillId="42" borderId="2" xfId="0">
      <alignment horizontal="center" vertical="bottom"/>
      <protection locked="0"/>
    </xf>
    <xf numFmtId="2" fontId="117" fillId="6" borderId="2" xfId="0">
      <alignment horizontal="center" vertical="bottom"/>
      <protection locked="0"/>
    </xf>
    <xf numFmtId="9" fontId="0" fillId="0" borderId="0" xfId="0"/>
    <xf numFmtId="1" fontId="117" fillId="42" borderId="2" xfId="0">
      <alignment horizontal="center" vertical="bottom"/>
      <protection locked="0"/>
    </xf>
    <xf numFmtId="1" fontId="117" fillId="28" borderId="2" xfId="0">
      <alignment horizontal="center" vertical="bottom"/>
      <protection locked="0"/>
    </xf>
    <xf numFmtId="0" fontId="117" fillId="28" borderId="2" xfId="0">
      <alignment horizontal="center" vertical="bottom"/>
      <protection locked="0"/>
    </xf>
    <xf numFmtId="1" fontId="117" fillId="0" borderId="2" xfId="0">
      <alignment horizontal="center" vertical="bottom"/>
      <protection locked="0"/>
    </xf>
    <xf numFmtId="0" fontId="117" fillId="0" borderId="0" xfId="0">
      <alignment horizontal="right" vertical="top" indent="1"/>
    </xf>
    <xf numFmtId="3" fontId="117" fillId="59" borderId="2" xfId="0">
      <alignment horizontal="center" vertical="bottom"/>
      <protection locked="0"/>
    </xf>
    <xf numFmtId="3" fontId="117" fillId="6" borderId="2" xfId="0">
      <alignment horizontal="center" vertical="bottom"/>
      <protection locked="0"/>
    </xf>
    <xf numFmtId="0" fontId="119" fillId="40" borderId="0" xfId="0">
      <alignment horizontal="right" vertical="top" indent="1"/>
    </xf>
    <xf numFmtId="3" fontId="117" fillId="42" borderId="2" xfId="0">
      <alignment horizontal="center" vertical="bottom"/>
      <protection locked="0"/>
    </xf>
    <xf numFmtId="0" fontId="119" fillId="85" borderId="0" xfId="0">
      <alignment horizontal="right" vertical="top" indent="1"/>
    </xf>
    <xf numFmtId="3" fontId="117" fillId="6" borderId="2" xfId="0" quotePrefix="1">
      <alignment horizontal="center" vertical="bottom"/>
      <protection locked="0"/>
    </xf>
    <xf numFmtId="0" fontId="188" fillId="12" borderId="0" xfId="0">
      <alignment horizontal="right" vertical="top" indent="1"/>
    </xf>
    <xf numFmtId="4041" fontId="117" fillId="57" borderId="2" xfId="0">
      <alignment horizontal="center" vertical="bottom"/>
      <protection locked="0"/>
    </xf>
    <xf numFmtId="4471" fontId="117" fillId="42" borderId="2" xfId="0">
      <alignment horizontal="center" vertical="bottom"/>
      <protection locked="0"/>
    </xf>
    <xf numFmtId="4471" fontId="117" fillId="6" borderId="2" xfId="0">
      <alignment horizontal="center" vertical="bottom"/>
      <protection locked="0"/>
    </xf>
    <xf numFmtId="4041" fontId="117" fillId="0" borderId="2" xfId="0">
      <alignment horizontal="center" vertical="bottom"/>
      <protection locked="0"/>
    </xf>
    <xf numFmtId="308" fontId="117" fillId="6" borderId="2" xfId="0">
      <alignment horizontal="center" vertical="bottom"/>
      <protection locked="0"/>
    </xf>
    <xf numFmtId="0" fontId="173" fillId="10" borderId="0" xfId="0">
      <alignment horizontal="right" vertical="top" indent="1"/>
    </xf>
    <xf numFmtId="4566" fontId="117" fillId="42" borderId="2" xfId="0">
      <alignment horizontal="center" vertical="bottom"/>
      <protection locked="0"/>
    </xf>
    <xf numFmtId="4566" fontId="117" fillId="6" borderId="2" xfId="0">
      <alignment horizontal="center" vertical="bottom"/>
      <protection locked="0"/>
    </xf>
    <xf numFmtId="4471" fontId="117" fillId="0" borderId="2" xfId="0">
      <alignment horizontal="center" vertical="bottom"/>
      <protection locked="0"/>
    </xf>
    <xf numFmtId="0" fontId="117" fillId="42" borderId="2" xfId="0">
      <alignment horizontal="center" vertical="bottom"/>
      <protection locked="0"/>
    </xf>
    <xf numFmtId="0" fontId="117" fillId="85" borderId="0" xfId="0">
      <alignment horizontal="right" vertical="top" indent="1"/>
    </xf>
    <xf numFmtId="1" fontId="117" fillId="57" borderId="2" xfId="0">
      <alignment horizontal="center" vertical="bottom"/>
      <protection locked="0"/>
    </xf>
    <xf numFmtId="0" fontId="118" fillId="85" borderId="0" xfId="0">
      <alignment horizontal="right" vertical="top" indent="1"/>
    </xf>
    <xf numFmtId="4473" fontId="117" fillId="59" borderId="2" xfId="0">
      <alignment horizontal="center" vertical="bottom"/>
      <protection locked="0"/>
    </xf>
    <xf numFmtId="4473" fontId="117" fillId="6" borderId="2" xfId="0">
      <alignment horizontal="center" vertical="bottom"/>
      <protection locked="0"/>
    </xf>
    <xf numFmtId="2" fontId="117" fillId="59" borderId="2" xfId="0">
      <alignment horizontal="center" vertical="bottom"/>
      <protection locked="0"/>
    </xf>
    <xf numFmtId="3" fontId="117" fillId="57" borderId="2" xfId="0">
      <alignment horizontal="center" vertical="bottom"/>
      <protection locked="0"/>
    </xf>
    <xf numFmtId="4041" fontId="117" fillId="68" borderId="2" xfId="0">
      <alignment horizontal="center" vertical="bottom"/>
      <protection locked="0"/>
    </xf>
    <xf numFmtId="4" fontId="117" fillId="6" borderId="2" xfId="0">
      <alignment horizontal="center" vertical="bottom"/>
      <protection locked="0"/>
    </xf>
    <xf numFmtId="4041" fontId="117" fillId="6" borderId="2" xfId="0">
      <alignment horizontal="center" vertical="bottom"/>
      <protection locked="0"/>
    </xf>
    <xf numFmtId="4471" fontId="117" fillId="6" borderId="2" xfId="276">
      <alignment horizontal="center" vertical="bottom"/>
      <protection locked="0"/>
    </xf>
    <xf numFmtId="4471" fontId="189" fillId="0" borderId="50" xfId="0">
      <alignment horizontal="left" vertical="bottom"/>
      <protection locked="0"/>
    </xf>
    <xf numFmtId="4471" fontId="117" fillId="59" borderId="2" xfId="0">
      <alignment horizontal="center" vertical="bottom"/>
      <protection locked="0"/>
    </xf>
    <xf numFmtId="4471" fontId="117" fillId="68" borderId="2" xfId="0">
      <alignment horizontal="center" vertical="bottom"/>
      <protection locked="0"/>
    </xf>
    <xf numFmtId="4020" fontId="117" fillId="59" borderId="2" xfId="0">
      <alignment horizontal="center" vertical="bottom"/>
      <protection locked="0"/>
    </xf>
    <xf numFmtId="4473" fontId="117" fillId="59" borderId="2" xfId="276">
      <alignment horizontal="center" vertical="bottom"/>
      <protection locked="0"/>
    </xf>
    <xf numFmtId="4031" fontId="117" fillId="59" borderId="2" xfId="0">
      <alignment horizontal="center" vertical="bottom"/>
      <protection locked="0"/>
    </xf>
    <xf numFmtId="4471" fontId="117" fillId="0" borderId="50" xfId="0">
      <alignment horizontal="center" vertical="bottom"/>
      <protection locked="0"/>
    </xf>
    <xf numFmtId="0" fontId="117" fillId="59" borderId="2" xfId="0" quotePrefix="1">
      <alignment horizontal="center" vertical="bottom"/>
      <protection locked="0"/>
    </xf>
    <xf numFmtId="3" fontId="117" fillId="0" borderId="2" xfId="0">
      <alignment horizontal="center" vertical="bottom"/>
      <protection locked="0"/>
    </xf>
    <xf numFmtId="0" fontId="101" fillId="49" borderId="0" xfId="218">
      <alignment vertical="center"/>
    </xf>
    <xf numFmtId="0" fontId="14" fillId="57" borderId="0" xfId="0">
      <protection locked="0"/>
    </xf>
    <xf numFmtId="0" fontId="101" fillId="57" borderId="44" xfId="218">
      <alignment vertical="center"/>
    </xf>
    <xf numFmtId="0" fontId="0" fillId="0" borderId="14" xfId="0">
      <alignment vertical="center"/>
    </xf>
    <xf numFmtId="0" fontId="101" fillId="57" borderId="14" xfId="218">
      <alignment vertical="center"/>
    </xf>
    <xf numFmtId="10" fontId="101" fillId="57" borderId="14" xfId="0">
      <alignment vertical="center"/>
    </xf>
    <xf numFmtId="10" fontId="101" fillId="57" borderId="14" xfId="218">
      <alignment vertical="center"/>
    </xf>
    <xf numFmtId="10" fontId="101" fillId="57" borderId="41" xfId="278">
      <alignment vertical="center"/>
    </xf>
    <xf numFmtId="0" fontId="89" fillId="57" borderId="0" xfId="0">
      <alignment horizontal="center" vertical="bottom"/>
      <protection locked="0"/>
    </xf>
    <xf numFmtId="3" fontId="149" fillId="57" borderId="0" xfId="218">
      <alignment horizontal="left" vertical="center"/>
    </xf>
    <xf numFmtId="3" fontId="149" fillId="57" borderId="0" xfId="0">
      <alignment horizontal="center" vertical="center"/>
    </xf>
    <xf numFmtId="10" fontId="101" fillId="57" borderId="0" xfId="278">
      <alignment vertical="center"/>
    </xf>
    <xf numFmtId="0" fontId="149" fillId="57" borderId="0" xfId="218">
      <alignment horizontal="left" vertical="center"/>
    </xf>
    <xf numFmtId="0" fontId="181" fillId="57" borderId="36" xfId="218">
      <alignment horizontal="left" vertical="bottom"/>
    </xf>
    <xf numFmtId="4063" fontId="181" fillId="57" borderId="61" xfId="68">
      <alignment horizontal="right" vertical="bottom" indent="1"/>
    </xf>
    <xf numFmtId="0" fontId="14" fillId="70" borderId="9" xfId="0"/>
    <xf numFmtId="0" fontId="14" fillId="70" borderId="16" xfId="0">
      <alignment horizontal="center" vertical="bottom"/>
      <protection locked="0"/>
    </xf>
    <xf numFmtId="0" fontId="14" fillId="70" borderId="16" xfId="0">
      <alignment horizontal="center" vertical="bottom"/>
    </xf>
    <xf numFmtId="0" fontId="14" fillId="70" borderId="53" xfId="0">
      <alignment horizontal="center" vertical="bottom"/>
    </xf>
    <xf numFmtId="0" fontId="181" fillId="57" borderId="37" xfId="218">
      <alignment horizontal="left" vertical="bottom"/>
    </xf>
    <xf numFmtId="0" fontId="181" fillId="57" borderId="38" xfId="0">
      <alignment horizontal="right" vertical="bottom" indent="1"/>
    </xf>
    <xf numFmtId="308" fontId="0" fillId="57" borderId="47" xfId="0">
      <alignment horizontal="center" vertical="bottom"/>
      <protection locked="0"/>
    </xf>
    <xf numFmtId="308" fontId="0" fillId="57" borderId="47" xfId="0">
      <alignment horizontal="center" vertical="bottom"/>
    </xf>
    <xf numFmtId="308" fontId="0" fillId="57" borderId="48" xfId="0">
      <alignment horizontal="center" vertical="bottom"/>
    </xf>
    <xf numFmtId="4031" fontId="216" fillId="52" borderId="38" xfId="276">
      <alignment horizontal="right" vertical="bottom" indent="1"/>
      <protection locked="0"/>
    </xf>
    <xf numFmtId="308" fontId="0" fillId="57" borderId="0" xfId="0">
      <alignment horizontal="center" vertical="bottom"/>
      <protection locked="0"/>
    </xf>
    <xf numFmtId="308" fontId="0" fillId="57" borderId="51" xfId="0">
      <alignment horizontal="center" vertical="bottom"/>
    </xf>
    <xf numFmtId="10" fontId="0" fillId="57" borderId="1" xfId="0">
      <alignment horizontal="center" vertical="bottom"/>
      <protection locked="0"/>
    </xf>
    <xf numFmtId="10" fontId="0" fillId="57" borderId="1" xfId="0">
      <alignment horizontal="center" vertical="bottom"/>
    </xf>
    <xf numFmtId="10" fontId="0" fillId="57" borderId="49" xfId="0">
      <alignment horizontal="center" vertical="bottom"/>
    </xf>
    <xf numFmtId="0" fontId="181" fillId="57" borderId="39" xfId="218">
      <alignment horizontal="left" vertical="bottom"/>
    </xf>
    <xf numFmtId="4090" fontId="216" fillId="52" borderId="55" xfId="68">
      <alignment horizontal="right" vertical="bottom" indent="1"/>
      <protection locked="0"/>
    </xf>
    <xf numFmtId="0" fontId="131" fillId="57" borderId="0" xfId="218">
      <alignment vertical="center"/>
    </xf>
    <xf numFmtId="0" fontId="149" fillId="57" borderId="0" xfId="218">
      <alignment horizontal="right" vertical="center" indent="1"/>
    </xf>
    <xf numFmtId="0" fontId="149" fillId="57" borderId="38" xfId="218">
      <alignment horizontal="right" vertical="center" indent="1"/>
    </xf>
    <xf numFmtId="0" fontId="14" fillId="70" borderId="36" xfId="218">
      <alignment horizontal="center" vertical="center"/>
    </xf>
    <xf numFmtId="0" fontId="14" fillId="70" borderId="61" xfId="218">
      <alignment horizontal="center" vertical="center"/>
    </xf>
    <xf numFmtId="0" fontId="14" fillId="70" borderId="43" xfId="218">
      <alignment horizontal="center" vertical="center"/>
    </xf>
    <xf numFmtId="49" fontId="149" fillId="49" borderId="42" xfId="218">
      <alignment horizontal="center" vertical="center"/>
    </xf>
    <xf numFmtId="49" fontId="14" fillId="70" borderId="44" xfId="218">
      <alignment horizontal="center" vertical="center"/>
    </xf>
    <xf numFmtId="49" fontId="14" fillId="70" borderId="14" xfId="218">
      <alignment horizontal="center" vertical="center"/>
    </xf>
    <xf numFmtId="49" fontId="14" fillId="70" borderId="41" xfId="218">
      <alignment horizontal="center" vertical="center"/>
    </xf>
    <xf numFmtId="49" fontId="149" fillId="49" borderId="103" xfId="218">
      <alignment horizontal="centerContinuous" vertical="center"/>
    </xf>
    <xf numFmtId="0" fontId="149" fillId="49" borderId="104" xfId="218">
      <alignment horizontal="centerContinuous" vertical="center"/>
    </xf>
    <xf numFmtId="49" fontId="14" fillId="70" borderId="36" xfId="218">
      <alignment horizontal="center" vertical="center" wrapText="1"/>
    </xf>
    <xf numFmtId="49" fontId="14" fillId="70" borderId="61" xfId="218">
      <alignment horizontal="center" vertical="center" wrapText="1"/>
    </xf>
    <xf numFmtId="0" fontId="14" fillId="70" borderId="42" xfId="0">
      <alignment horizontal="center" vertical="center"/>
      <protection locked="0"/>
    </xf>
    <xf numFmtId="49" fontId="14" fillId="70" borderId="37" xfId="218">
      <alignment horizontal="center" vertical="center"/>
    </xf>
    <xf numFmtId="49" fontId="14" fillId="70" borderId="38" xfId="218">
      <alignment horizontal="center" vertical="center"/>
    </xf>
    <xf numFmtId="49" fontId="14" fillId="70" borderId="0" xfId="218">
      <alignment horizontal="center" vertical="center"/>
    </xf>
    <xf numFmtId="0" fontId="149" fillId="49" borderId="37" xfId="218">
      <alignment horizontal="center" vertical="center"/>
    </xf>
    <xf numFmtId="0" fontId="149" fillId="21" borderId="44" xfId="218">
      <alignment horizontal="center" vertical="center"/>
      <protection locked="0"/>
    </xf>
    <xf numFmtId="0" fontId="149" fillId="21" borderId="14" xfId="218">
      <alignment horizontal="center" vertical="center"/>
      <protection locked="0"/>
    </xf>
    <xf numFmtId="0" fontId="149" fillId="21" borderId="41" xfId="218">
      <alignment horizontal="center" vertical="center"/>
      <protection locked="0"/>
    </xf>
    <xf numFmtId="0" fontId="149" fillId="49" borderId="37" xfId="218">
      <alignment vertical="center"/>
    </xf>
    <xf numFmtId="0" fontId="149" fillId="49" borderId="38" xfId="218">
      <alignment vertical="center"/>
    </xf>
    <xf numFmtId="49" fontId="14" fillId="70" borderId="37" xfId="218">
      <alignment horizontal="center" vertical="center" wrapText="1"/>
    </xf>
    <xf numFmtId="49" fontId="14" fillId="70" borderId="38" xfId="218">
      <alignment horizontal="center" vertical="center" wrapText="1"/>
    </xf>
    <xf numFmtId="0" fontId="14" fillId="70" borderId="84" xfId="0">
      <alignment horizontal="center" vertical="center"/>
      <protection locked="0"/>
    </xf>
    <xf numFmtId="0" fontId="14" fillId="57" borderId="0" xfId="0">
      <alignment horizontal="center" vertical="center"/>
      <protection locked="0"/>
    </xf>
    <xf numFmtId="5165" fontId="149" fillId="21" borderId="36" xfId="218">
      <alignment horizontal="center" vertical="center"/>
      <protection locked="0"/>
    </xf>
    <xf numFmtId="5165" fontId="149" fillId="21" borderId="43" xfId="218">
      <alignment horizontal="center" vertical="center"/>
      <protection locked="0"/>
    </xf>
    <xf numFmtId="5165" fontId="149" fillId="21" borderId="44" xfId="218">
      <alignment horizontal="center" vertical="center"/>
      <protection locked="0"/>
    </xf>
    <xf numFmtId="5165" fontId="149" fillId="21" borderId="14" xfId="218">
      <alignment horizontal="center" vertical="center"/>
      <protection locked="0"/>
    </xf>
    <xf numFmtId="5165" fontId="149" fillId="21" borderId="41" xfId="218">
      <alignment horizontal="center" vertical="center"/>
      <protection locked="0"/>
    </xf>
    <xf numFmtId="0" fontId="101" fillId="49" borderId="37" xfId="218">
      <alignment horizontal="center" vertical="center"/>
    </xf>
    <xf numFmtId="5165" fontId="149" fillId="21" borderId="61" xfId="218">
      <alignment horizontal="center" vertical="center"/>
      <protection locked="0"/>
    </xf>
    <xf numFmtId="5165" fontId="154" fillId="11" borderId="37" xfId="0">
      <alignment horizontal="center" vertical="center"/>
      <protection locked="0"/>
    </xf>
    <xf numFmtId="5165" fontId="154" fillId="11" borderId="37" xfId="218">
      <alignment horizontal="center" vertical="center"/>
      <protection locked="0"/>
    </xf>
    <xf numFmtId="0" fontId="154" fillId="11" borderId="38" xfId="218">
      <alignment horizontal="center" vertical="center"/>
      <protection locked="0"/>
    </xf>
    <xf numFmtId="5165" fontId="149" fillId="21" borderId="44" xfId="0">
      <alignment horizontal="center" vertical="center"/>
      <protection locked="0"/>
    </xf>
    <xf numFmtId="0" fontId="149" fillId="21" borderId="41" xfId="0">
      <alignment horizontal="center" vertical="center"/>
      <protection locked="0"/>
    </xf>
    <xf numFmtId="5165" fontId="149" fillId="21" borderId="36" xfId="0">
      <alignment horizontal="center" vertical="center"/>
      <protection locked="0"/>
    </xf>
    <xf numFmtId="5165" fontId="149" fillId="21" borderId="61" xfId="0">
      <alignment horizontal="center" vertical="center"/>
      <protection locked="0"/>
    </xf>
    <xf numFmtId="0" fontId="149" fillId="21" borderId="42" xfId="0">
      <alignment horizontal="center" vertical="center"/>
      <protection locked="0"/>
    </xf>
    <xf numFmtId="0" fontId="331" fillId="70" borderId="0" xfId="0">
      <alignment horizontal="left" vertical="top" wrapText="1"/>
    </xf>
    <xf numFmtId="0" fontId="101" fillId="49" borderId="36" xfId="0">
      <alignment vertical="center"/>
    </xf>
    <xf numFmtId="0" fontId="149" fillId="49" borderId="105" xfId="0">
      <alignment horizontal="center" vertical="center"/>
    </xf>
    <xf numFmtId="0" fontId="149" fillId="49" borderId="106" xfId="0">
      <alignment horizontal="center" vertical="center"/>
    </xf>
    <xf numFmtId="0" fontId="149" fillId="49" borderId="38" xfId="218">
      <alignment horizontal="center" vertical="center"/>
    </xf>
    <xf numFmtId="0" fontId="149" fillId="49" borderId="0" xfId="218">
      <alignment horizontal="center" vertical="center"/>
    </xf>
    <xf numFmtId="1" fontId="149" fillId="21" borderId="40" xfId="218">
      <alignment horizontal="center" vertical="center" wrapText="1"/>
      <protection locked="0"/>
    </xf>
    <xf numFmtId="0" fontId="149" fillId="49" borderId="106" xfId="218">
      <alignment horizontal="center" vertical="center"/>
    </xf>
    <xf numFmtId="0" fontId="149" fillId="49" borderId="61" xfId="218">
      <alignment horizontal="center" vertical="center"/>
    </xf>
    <xf numFmtId="0" fontId="101" fillId="49" borderId="36" xfId="218">
      <alignment vertical="center"/>
    </xf>
    <xf numFmtId="0" fontId="149" fillId="49" borderId="148" xfId="218">
      <alignment horizontal="center" vertical="center"/>
    </xf>
    <xf numFmtId="0" fontId="149" fillId="49" borderId="105" xfId="218">
      <alignment horizontal="center" vertical="center"/>
    </xf>
    <xf numFmtId="0" fontId="149" fillId="49" borderId="42" xfId="218">
      <alignment horizontal="center" vertical="bottom"/>
    </xf>
    <xf numFmtId="0" fontId="149" fillId="57" borderId="0" xfId="218">
      <alignment horizontal="center" vertical="bottom"/>
    </xf>
    <xf numFmtId="0" fontId="332" fillId="0" borderId="0" xfId="0">
      <alignment horizontal="left" vertical="top" wrapText="1"/>
    </xf>
    <xf numFmtId="49" fontId="101" fillId="49" borderId="37" xfId="218">
      <alignment vertical="center"/>
    </xf>
    <xf numFmtId="0" fontId="149" fillId="49" borderId="107" xfId="218">
      <alignment horizontal="center" vertical="center"/>
    </xf>
    <xf numFmtId="0" fontId="101" fillId="49" borderId="37" xfId="218">
      <alignment vertical="center"/>
    </xf>
    <xf numFmtId="0" fontId="149" fillId="49" borderId="108" xfId="218">
      <alignment horizontal="center" vertical="center"/>
    </xf>
    <xf numFmtId="1" fontId="101" fillId="49" borderId="40" xfId="218">
      <alignment vertical="center"/>
    </xf>
    <xf numFmtId="0" fontId="221" fillId="49" borderId="39" xfId="218">
      <alignment horizontal="center" vertical="center"/>
    </xf>
    <xf numFmtId="0" fontId="149" fillId="49" borderId="149" xfId="218">
      <alignment horizontal="center" vertical="center"/>
    </xf>
    <xf numFmtId="0" fontId="149" fillId="49" borderId="55" xfId="218">
      <alignment horizontal="center" vertical="center"/>
    </xf>
    <xf numFmtId="0" fontId="101" fillId="49" borderId="39" xfId="0">
      <alignment vertical="center"/>
    </xf>
    <xf numFmtId="0" fontId="149" fillId="49" borderId="150" xfId="0">
      <alignment horizontal="center" vertical="center"/>
    </xf>
    <xf numFmtId="0" fontId="149" fillId="49" borderId="151" xfId="218">
      <alignment horizontal="center" vertical="center"/>
    </xf>
    <xf numFmtId="0" fontId="101" fillId="49" borderId="39" xfId="218">
      <alignment vertical="center"/>
    </xf>
    <xf numFmtId="0" fontId="149" fillId="49" borderId="150" xfId="218">
      <alignment horizontal="center" vertical="center"/>
    </xf>
    <xf numFmtId="0" fontId="149" fillId="49" borderId="84" xfId="218">
      <alignment horizontal="center" vertical="bottom"/>
    </xf>
    <xf numFmtId="0" fontId="89" fillId="57" borderId="2" xfId="0">
      <alignment horizontal="center" vertical="bottom"/>
    </xf>
    <xf numFmtId="0" fontId="288" fillId="0" borderId="1" xfId="0">
      <alignment horizontal="left" vertical="top" wrapText="1"/>
    </xf>
    <xf numFmtId="0" fontId="149" fillId="49" borderId="0" xfId="218">
      <alignment vertical="center"/>
    </xf>
    <xf numFmtId="4063" fontId="131" fillId="10" borderId="109" xfId="218">
      <alignment vertical="center"/>
      <protection locked="0"/>
    </xf>
    <xf numFmtId="4063" fontId="101" fillId="0" borderId="110" xfId="218">
      <alignment vertical="center"/>
    </xf>
    <xf numFmtId="4063" fontId="101" fillId="0" borderId="111" xfId="218">
      <alignment vertical="center"/>
    </xf>
    <xf numFmtId="10" fontId="101" fillId="0" borderId="112" xfId="218">
      <alignment horizontal="right" vertical="center"/>
    </xf>
    <xf numFmtId="4063" fontId="101" fillId="21" borderId="145" xfId="0">
      <alignment vertical="center"/>
      <protection locked="0"/>
    </xf>
    <xf numFmtId="10" fontId="101" fillId="0" borderId="113" xfId="218">
      <alignment horizontal="right" vertical="center"/>
    </xf>
    <xf numFmtId="4063" fontId="131" fillId="11" borderId="109" xfId="218">
      <alignment vertical="center"/>
      <protection locked="0"/>
    </xf>
    <xf numFmtId="4063" fontId="101" fillId="11" borderId="109" xfId="218">
      <alignment vertical="center"/>
      <protection locked="0"/>
    </xf>
    <xf numFmtId="4063" fontId="101" fillId="0" borderId="133" xfId="218">
      <alignment vertical="center"/>
    </xf>
    <xf numFmtId="0" fontId="0" fillId="57" borderId="35" xfId="0">
      <alignment vertical="center"/>
    </xf>
    <xf numFmtId="4063" fontId="101" fillId="0" borderId="145" xfId="218">
      <alignment horizontal="center" vertical="bottom"/>
    </xf>
    <xf numFmtId="4063" fontId="101" fillId="57" borderId="0" xfId="218">
      <alignment horizontal="center" vertical="bottom"/>
    </xf>
    <xf numFmtId="0" fontId="0" fillId="57" borderId="2" xfId="0"/>
    <xf numFmtId="0" fontId="304" fillId="21" borderId="2" xfId="0">
      <alignment horizontal="center" vertical="center"/>
    </xf>
    <xf numFmtId="0" fontId="0" fillId="21" borderId="2" xfId="0">
      <alignment horizontal="center" vertical="bottom"/>
    </xf>
    <xf numFmtId="38" fontId="101" fillId="49" borderId="0" xfId="218">
      <alignment vertical="center"/>
    </xf>
    <xf numFmtId="4063" fontId="131" fillId="10" borderId="114" xfId="218">
      <alignment vertical="center"/>
      <protection locked="0"/>
    </xf>
    <xf numFmtId="4063" fontId="101" fillId="21" borderId="144" xfId="0">
      <alignment vertical="center"/>
      <protection locked="0"/>
    </xf>
    <xf numFmtId="4063" fontId="131" fillId="11" borderId="114" xfId="218">
      <alignment vertical="center"/>
      <protection locked="0"/>
    </xf>
    <xf numFmtId="4063" fontId="101" fillId="0" borderId="140" xfId="218">
      <alignment vertical="center"/>
    </xf>
    <xf numFmtId="4063" fontId="101" fillId="0" borderId="144" xfId="218">
      <alignment horizontal="center" vertical="bottom"/>
    </xf>
    <xf numFmtId="0" fontId="89" fillId="0" borderId="9" xfId="0"/>
    <xf numFmtId="0" fontId="0" fillId="0" borderId="8" xfId="0">
      <alignment horizontal="center" vertical="bottom"/>
    </xf>
    <xf numFmtId="4063" fontId="131" fillId="10" borderId="115" xfId="218">
      <alignment vertical="center"/>
      <protection locked="0"/>
    </xf>
    <xf numFmtId="4063" fontId="101" fillId="0" borderId="108" xfId="218">
      <alignment vertical="center"/>
    </xf>
    <xf numFmtId="4063" fontId="101" fillId="21" borderId="35" xfId="0">
      <alignment vertical="center"/>
      <protection locked="0"/>
    </xf>
    <xf numFmtId="10" fontId="101" fillId="0" borderId="38" xfId="218">
      <alignment horizontal="right" vertical="center"/>
    </xf>
    <xf numFmtId="4063" fontId="131" fillId="11" borderId="115" xfId="218">
      <alignment vertical="center"/>
      <protection locked="0"/>
    </xf>
    <xf numFmtId="4063" fontId="101" fillId="0" borderId="141" xfId="218">
      <alignment vertical="center"/>
    </xf>
    <xf numFmtId="0" fontId="0" fillId="0" borderId="2" xfId="0">
      <alignment horizontal="center" vertical="bottom"/>
    </xf>
    <xf numFmtId="0" fontId="3" fillId="70" borderId="2" xfId="0"/>
    <xf numFmtId="0" fontId="3" fillId="70" borderId="2" xfId="0">
      <alignment horizontal="center" vertical="center"/>
    </xf>
    <xf numFmtId="0" fontId="89" fillId="0" borderId="2" xfId="0">
      <alignment horizontal="left" vertical="bottom"/>
    </xf>
    <xf numFmtId="4091" fontId="0" fillId="0" borderId="2" xfId="0">
      <alignment horizontal="center" vertical="center"/>
    </xf>
    <xf numFmtId="0" fontId="149" fillId="46" borderId="0" xfId="218">
      <alignment vertical="center"/>
    </xf>
    <xf numFmtId="0" fontId="101" fillId="46" borderId="0" xfId="218">
      <alignment vertical="center"/>
    </xf>
    <xf numFmtId="4063" fontId="149" fillId="46" borderId="116" xfId="0">
      <alignment vertical="center"/>
    </xf>
    <xf numFmtId="4063" fontId="149" fillId="46" borderId="117" xfId="218">
      <alignment vertical="center"/>
    </xf>
    <xf numFmtId="10" fontId="149" fillId="46" borderId="16" xfId="0">
      <alignment horizontal="right" vertical="center"/>
    </xf>
    <xf numFmtId="10" fontId="149" fillId="46" borderId="16" xfId="218">
      <alignment horizontal="right" vertical="center"/>
    </xf>
    <xf numFmtId="4063" fontId="149" fillId="46" borderId="74" xfId="218">
      <alignment vertical="center"/>
    </xf>
    <xf numFmtId="10" fontId="149" fillId="46" borderId="68" xfId="218">
      <alignment horizontal="right" vertical="center"/>
    </xf>
    <xf numFmtId="4063" fontId="149" fillId="46" borderId="142" xfId="0">
      <alignment vertical="center"/>
    </xf>
    <xf numFmtId="4063" fontId="149" fillId="46" borderId="142" xfId="218">
      <alignment vertical="center"/>
    </xf>
    <xf numFmtId="4063" fontId="149" fillId="46" borderId="42" xfId="218">
      <alignment horizontal="center" vertical="bottom"/>
    </xf>
    <xf numFmtId="4063" fontId="149" fillId="57" borderId="0" xfId="218">
      <alignment horizontal="center" vertical="bottom"/>
    </xf>
    <xf numFmtId="5347" fontId="0" fillId="0" borderId="2" xfId="0">
      <alignment horizontal="center" vertical="center"/>
    </xf>
    <xf numFmtId="0" fontId="149" fillId="46" borderId="0" xfId="218">
      <alignment horizontal="right" vertical="center"/>
    </xf>
    <xf numFmtId="10" fontId="149" fillId="46" borderId="9" xfId="218">
      <alignment horizontal="right" vertical="center"/>
    </xf>
    <xf numFmtId="4063" fontId="149" fillId="46" borderId="40" xfId="0">
      <alignment horizontal="center" vertical="bottom"/>
    </xf>
    <xf numFmtId="38" fontId="101" fillId="49" borderId="0" xfId="218">
      <alignment horizontal="left" vertical="center"/>
    </xf>
    <xf numFmtId="10" fontId="101" fillId="0" borderId="118" xfId="218">
      <alignment horizontal="right" vertical="center"/>
    </xf>
    <xf numFmtId="4063" fontId="131" fillId="10" borderId="119" xfId="218">
      <alignment vertical="center"/>
      <protection locked="0"/>
    </xf>
    <xf numFmtId="4063" fontId="101" fillId="0" borderId="120" xfId="0">
      <alignment vertical="center"/>
    </xf>
    <xf numFmtId="10" fontId="101" fillId="0" borderId="0" xfId="218">
      <alignment horizontal="right" vertical="center"/>
    </xf>
    <xf numFmtId="4063" fontId="101" fillId="21" borderId="147" xfId="218">
      <alignment vertical="center"/>
      <protection locked="0"/>
    </xf>
    <xf numFmtId="4063" fontId="131" fillId="11" borderId="119" xfId="218">
      <alignment vertical="center"/>
      <protection locked="0"/>
    </xf>
    <xf numFmtId="4063" fontId="101" fillId="0" borderId="138" xfId="218">
      <alignment vertical="center"/>
    </xf>
    <xf numFmtId="4063" fontId="101" fillId="0" borderId="147" xfId="218">
      <alignment horizontal="center" vertical="bottom"/>
    </xf>
    <xf numFmtId="4063" fontId="149" fillId="46" borderId="121" xfId="0">
      <alignment vertical="center"/>
    </xf>
    <xf numFmtId="10" fontId="149" fillId="46" borderId="74" xfId="218">
      <alignment horizontal="right" vertical="center"/>
    </xf>
    <xf numFmtId="0" fontId="222" fillId="57" borderId="0" xfId="218">
      <alignment vertical="center"/>
    </xf>
    <xf numFmtId="10" fontId="149" fillId="46" borderId="87" xfId="218">
      <alignment horizontal="right" vertical="center"/>
    </xf>
    <xf numFmtId="4063" fontId="101" fillId="11" borderId="114" xfId="218">
      <alignment vertical="center"/>
      <protection locked="0"/>
    </xf>
    <xf numFmtId="4063" fontId="149" fillId="46" borderId="114" xfId="218">
      <alignment vertical="center"/>
    </xf>
    <xf numFmtId="4063" fontId="149" fillId="46" borderId="123" xfId="218">
      <alignment vertical="center"/>
    </xf>
    <xf numFmtId="10" fontId="149" fillId="46" borderId="112" xfId="218">
      <alignment horizontal="right" vertical="center"/>
    </xf>
    <xf numFmtId="4063" fontId="149" fillId="46" borderId="144" xfId="218">
      <alignment vertical="center"/>
    </xf>
    <xf numFmtId="10" fontId="149" fillId="46" borderId="113" xfId="218">
      <alignment horizontal="right" vertical="center"/>
    </xf>
    <xf numFmtId="4063" fontId="149" fillId="46" borderId="114" xfId="0">
      <alignment vertical="center"/>
    </xf>
    <xf numFmtId="4063" fontId="149" fillId="46" borderId="110" xfId="0">
      <alignment vertical="center"/>
    </xf>
    <xf numFmtId="4063" fontId="149" fillId="46" borderId="140" xfId="218">
      <alignment vertical="center"/>
    </xf>
    <xf numFmtId="4063" fontId="149" fillId="46" borderId="116" xfId="218">
      <alignment vertical="center"/>
    </xf>
    <xf numFmtId="4063" fontId="149" fillId="46" borderId="121" xfId="218">
      <alignment vertical="center"/>
    </xf>
    <xf numFmtId="0" fontId="101" fillId="52" borderId="0" xfId="218">
      <alignment vertical="center"/>
    </xf>
    <xf numFmtId="0" fontId="101" fillId="52" borderId="37" xfId="0">
      <alignment vertical="center"/>
    </xf>
    <xf numFmtId="0" fontId="101" fillId="52" borderId="38" xfId="218">
      <alignment vertical="center"/>
    </xf>
    <xf numFmtId="0" fontId="101" fillId="52" borderId="51" xfId="218">
      <alignment vertical="center"/>
    </xf>
    <xf numFmtId="10" fontId="101" fillId="52" borderId="0" xfId="218">
      <alignment horizontal="right" vertical="center"/>
    </xf>
    <xf numFmtId="10" fontId="101" fillId="52" borderId="50" xfId="218">
      <alignment horizontal="right" vertical="center"/>
    </xf>
    <xf numFmtId="0" fontId="101" fillId="52" borderId="35" xfId="218">
      <alignment vertical="center"/>
    </xf>
    <xf numFmtId="0" fontId="101" fillId="52" borderId="37" xfId="218">
      <alignment vertical="center"/>
    </xf>
    <xf numFmtId="0" fontId="149" fillId="52" borderId="0" xfId="218">
      <alignment vertical="center"/>
    </xf>
    <xf numFmtId="0" fontId="149" fillId="52" borderId="38" xfId="218">
      <alignment horizontal="center" vertical="center"/>
    </xf>
    <xf numFmtId="0" fontId="149" fillId="52" borderId="51" xfId="218">
      <alignment horizontal="center" vertical="center"/>
    </xf>
    <xf numFmtId="10" fontId="149" fillId="52" borderId="0" xfId="218">
      <alignment horizontal="right" vertical="center"/>
    </xf>
    <xf numFmtId="10" fontId="149" fillId="52" borderId="50" xfId="218">
      <alignment horizontal="right" vertical="center"/>
    </xf>
    <xf numFmtId="0" fontId="149" fillId="52" borderId="35" xfId="218">
      <alignment vertical="center"/>
    </xf>
    <xf numFmtId="0" fontId="149" fillId="52" borderId="0" xfId="218">
      <alignment horizontal="center" vertical="center"/>
    </xf>
    <xf numFmtId="5343" fontId="131" fillId="52" borderId="37" xfId="62">
      <alignment vertical="center"/>
      <protection locked="0"/>
    </xf>
    <xf numFmtId="4063" fontId="154" fillId="46" borderId="109" xfId="0">
      <alignment vertical="center"/>
      <protection locked="0"/>
    </xf>
    <xf numFmtId="4063" fontId="149" fillId="46" borderId="122" xfId="218">
      <alignment vertical="center"/>
    </xf>
    <xf numFmtId="4063" fontId="149" fillId="46" borderId="111" xfId="218">
      <alignment vertical="center"/>
    </xf>
    <xf numFmtId="4063" fontId="154" fillId="46" borderId="145" xfId="218">
      <alignment vertical="center"/>
      <protection locked="0"/>
    </xf>
    <xf numFmtId="4063" fontId="149" fillId="46" borderId="109" xfId="218">
      <alignment vertical="center"/>
      <protection locked="0"/>
    </xf>
    <xf numFmtId="4063" fontId="149" fillId="46" borderId="133" xfId="218">
      <alignment vertical="center"/>
    </xf>
    <xf numFmtId="4063" fontId="154" fillId="46" borderId="109" xfId="218">
      <alignment vertical="center"/>
      <protection locked="0"/>
    </xf>
    <xf numFmtId="4063" fontId="149" fillId="60" borderId="145" xfId="218">
      <alignment horizontal="center" vertical="bottom"/>
    </xf>
    <xf numFmtId="4063" fontId="154" fillId="46" borderId="114" xfId="0">
      <alignment vertical="center"/>
      <protection locked="0"/>
    </xf>
    <xf numFmtId="4063" fontId="149" fillId="46" borderId="123" xfId="0">
      <alignment vertical="center"/>
    </xf>
    <xf numFmtId="4063" fontId="149" fillId="46" borderId="110" xfId="218">
      <alignment vertical="center"/>
    </xf>
    <xf numFmtId="4063" fontId="154" fillId="46" borderId="144" xfId="218">
      <alignment vertical="center"/>
      <protection locked="0"/>
    </xf>
    <xf numFmtId="4063" fontId="154" fillId="46" borderId="114" xfId="218">
      <alignment vertical="center"/>
      <protection locked="0"/>
    </xf>
    <xf numFmtId="4063" fontId="149" fillId="60" borderId="144" xfId="218">
      <alignment horizontal="center" vertical="bottom"/>
    </xf>
    <xf numFmtId="4063" fontId="101" fillId="0" borderId="122" xfId="218">
      <alignment vertical="center"/>
    </xf>
    <xf numFmtId="4063" fontId="101" fillId="0" borderId="123" xfId="218">
      <alignment vertical="center"/>
    </xf>
    <xf numFmtId="4063" fontId="149" fillId="46" borderId="124" xfId="218">
      <alignment vertical="center"/>
    </xf>
    <xf numFmtId="10" fontId="149" fillId="46" borderId="125" xfId="218">
      <alignment horizontal="right" vertical="center"/>
    </xf>
    <xf numFmtId="10" fontId="149" fillId="46" borderId="143" xfId="218">
      <alignment horizontal="right" vertical="center"/>
    </xf>
    <xf numFmtId="10" fontId="0" fillId="0" borderId="2" xfId="0">
      <alignment horizontal="center" vertical="center"/>
    </xf>
    <xf numFmtId="4063" fontId="149" fillId="46" borderId="126" xfId="218">
      <alignment vertical="center"/>
    </xf>
    <xf numFmtId="4063" fontId="149" fillId="46" borderId="127" xfId="0">
      <alignment vertical="center"/>
    </xf>
    <xf numFmtId="4063" fontId="149" fillId="46" borderId="128" xfId="0">
      <alignment vertical="center"/>
    </xf>
    <xf numFmtId="10" fontId="149" fillId="46" borderId="66" xfId="0">
      <alignment horizontal="right" vertical="center"/>
    </xf>
    <xf numFmtId="10" fontId="149" fillId="46" borderId="94" xfId="218">
      <alignment horizontal="right" vertical="center"/>
    </xf>
    <xf numFmtId="4063" fontId="149" fillId="46" borderId="40" xfId="0">
      <alignment vertical="center"/>
    </xf>
    <xf numFmtId="4063" fontId="149" fillId="46" borderId="136" xfId="0">
      <alignment vertical="center"/>
    </xf>
    <xf numFmtId="4063" fontId="101" fillId="52" borderId="37" xfId="218">
      <alignment vertical="center"/>
    </xf>
    <xf numFmtId="4063" fontId="101" fillId="52" borderId="38" xfId="218">
      <alignment vertical="center"/>
    </xf>
    <xf numFmtId="4063" fontId="101" fillId="52" borderId="0" xfId="218">
      <alignment vertical="center"/>
    </xf>
    <xf numFmtId="4063" fontId="101" fillId="52" borderId="38" xfId="218">
      <alignment horizontal="right" vertical="center"/>
    </xf>
    <xf numFmtId="4063" fontId="101" fillId="52" borderId="40" xfId="218">
      <alignment horizontal="center" vertical="bottom"/>
    </xf>
    <xf numFmtId="10" fontId="101" fillId="0" borderId="129" xfId="218">
      <alignment horizontal="right" vertical="center"/>
    </xf>
    <xf numFmtId="4063" fontId="101" fillId="21" borderId="114" xfId="218">
      <alignment vertical="center"/>
      <protection locked="0"/>
    </xf>
    <xf numFmtId="10" fontId="0" fillId="57" borderId="2" xfId="0"/>
    <xf numFmtId="10" fontId="149" fillId="46" borderId="123" xfId="278">
      <alignment vertical="center"/>
    </xf>
    <xf numFmtId="10" fontId="149" fillId="46" borderId="110" xfId="278">
      <alignment vertical="center"/>
    </xf>
    <xf numFmtId="4063" fontId="149" fillId="46" borderId="114" xfId="218">
      <alignment vertical="center"/>
      <protection locked="0"/>
    </xf>
    <xf numFmtId="10" fontId="149" fillId="46" borderId="140" xfId="278">
      <alignment vertical="center"/>
    </xf>
    <xf numFmtId="4063" fontId="101" fillId="21" borderId="144" xfId="218">
      <alignment vertical="center"/>
      <protection locked="0"/>
    </xf>
    <xf numFmtId="4063" fontId="154" fillId="46" borderId="130" xfId="218">
      <alignment vertical="center"/>
      <protection locked="0"/>
    </xf>
    <xf numFmtId="4063" fontId="149" fillId="46" borderId="125" xfId="218">
      <alignment vertical="center"/>
    </xf>
    <xf numFmtId="4063" fontId="149" fillId="46" borderId="131" xfId="218">
      <alignment vertical="center"/>
    </xf>
    <xf numFmtId="10" fontId="149" fillId="46" borderId="0" xfId="218">
      <alignment horizontal="right" vertical="center"/>
    </xf>
    <xf numFmtId="10" fontId="149" fillId="46" borderId="38" xfId="218">
      <alignment horizontal="right" vertical="center"/>
    </xf>
    <xf numFmtId="4063" fontId="149" fillId="46" borderId="130" xfId="218">
      <alignment vertical="center"/>
      <protection locked="0"/>
    </xf>
    <xf numFmtId="4063" fontId="149" fillId="46" borderId="143" xfId="218">
      <alignment vertical="center"/>
    </xf>
    <xf numFmtId="0" fontId="149" fillId="46" borderId="0" xfId="218">
      <alignment horizontal="left" vertical="center"/>
    </xf>
    <xf numFmtId="10" fontId="101" fillId="52" borderId="43" xfId="218">
      <alignment horizontal="right" vertical="center"/>
    </xf>
    <xf numFmtId="4063" fontId="101" fillId="52" borderId="35" xfId="218">
      <alignment horizontal="center" vertical="bottom"/>
    </xf>
    <xf numFmtId="0" fontId="149" fillId="46" borderId="0" xfId="218">
      <alignment horizontal="center" vertical="center"/>
    </xf>
    <xf numFmtId="4063" fontId="149" fillId="46" borderId="40" xfId="218">
      <alignment vertical="center"/>
    </xf>
    <xf numFmtId="4063" fontId="149" fillId="46" borderId="40" xfId="218">
      <alignment horizontal="center" vertical="bottom"/>
    </xf>
    <xf numFmtId="4063" fontId="131" fillId="10" borderId="132" xfId="218">
      <alignment vertical="center"/>
      <protection locked="0"/>
    </xf>
    <xf numFmtId="10" fontId="101" fillId="0" borderId="134" xfId="218">
      <alignment horizontal="right" vertical="center"/>
    </xf>
    <xf numFmtId="4063" fontId="101" fillId="21" borderId="145" xfId="218">
      <alignment vertical="center"/>
      <protection locked="0"/>
    </xf>
    <xf numFmtId="4063" fontId="131" fillId="11" borderId="132" xfId="218">
      <alignment vertical="center"/>
      <protection locked="0"/>
    </xf>
    <xf numFmtId="4063" fontId="101" fillId="11" borderId="132" xfId="218">
      <alignment vertical="center"/>
      <protection locked="0"/>
    </xf>
    <xf numFmtId="4063" fontId="131" fillId="10" borderId="164" xfId="218">
      <alignment vertical="center"/>
      <protection locked="0"/>
    </xf>
    <xf numFmtId="4063" fontId="101" fillId="0" borderId="135" xfId="218">
      <alignment vertical="center"/>
    </xf>
    <xf numFmtId="4063" fontId="131" fillId="49" borderId="132" xfId="218">
      <alignment vertical="center"/>
    </xf>
    <xf numFmtId="4063" fontId="101" fillId="10" borderId="111" xfId="218">
      <alignment vertical="center"/>
      <protection locked="0"/>
    </xf>
    <xf numFmtId="4063" fontId="131" fillId="10" borderId="111" xfId="218">
      <alignment vertical="center"/>
      <protection locked="0"/>
    </xf>
    <xf numFmtId="4063" fontId="131" fillId="10" borderId="39" xfId="218">
      <alignment vertical="center"/>
      <protection locked="0"/>
    </xf>
    <xf numFmtId="4063" fontId="101" fillId="0" borderId="30" xfId="218">
      <alignment vertical="center"/>
    </xf>
    <xf numFmtId="10" fontId="149" fillId="57" borderId="0" xfId="278">
      <alignment horizontal="center" vertical="bottom"/>
    </xf>
    <xf numFmtId="0" fontId="101" fillId="52" borderId="0" xfId="218">
      <alignment horizontal="right" vertical="center"/>
    </xf>
    <xf numFmtId="10" fontId="149" fillId="52" borderId="0" xfId="278">
      <alignment vertical="center"/>
    </xf>
    <xf numFmtId="10" fontId="149" fillId="52" borderId="84" xfId="278">
      <alignment horizontal="center" vertical="bottom"/>
    </xf>
    <xf numFmtId="4063" fontId="149" fillId="46" borderId="44" xfId="0">
      <alignment vertical="center"/>
    </xf>
    <xf numFmtId="4063" fontId="149" fillId="46" borderId="128" xfId="218">
      <alignment vertical="center"/>
    </xf>
    <xf numFmtId="10" fontId="149" fillId="46" borderId="66" xfId="218">
      <alignment horizontal="right" vertical="center"/>
    </xf>
    <xf numFmtId="4063" fontId="131" fillId="10" borderId="35" xfId="218">
      <alignment vertical="center"/>
      <protection locked="0"/>
    </xf>
    <xf numFmtId="10" fontId="101" fillId="0" borderId="50" xfId="218">
      <alignment horizontal="right" vertical="center"/>
    </xf>
    <xf numFmtId="4063" fontId="101" fillId="21" borderId="35" xfId="218">
      <alignment vertical="center"/>
      <protection locked="0"/>
    </xf>
    <xf numFmtId="4063" fontId="101" fillId="0" borderId="120" xfId="218">
      <alignment vertical="center"/>
    </xf>
    <xf numFmtId="4063" fontId="131" fillId="11" borderId="37" xfId="218">
      <alignment vertical="center"/>
      <protection locked="0"/>
    </xf>
    <xf numFmtId="4063" fontId="101" fillId="11" borderId="37" xfId="218">
      <alignment vertical="center"/>
      <protection locked="0"/>
    </xf>
    <xf numFmtId="4063" fontId="101" fillId="0" borderId="107" xfId="218">
      <alignment vertical="center"/>
    </xf>
    <xf numFmtId="4063" fontId="131" fillId="10" borderId="37" xfId="218">
      <alignment vertical="center"/>
      <protection locked="0"/>
    </xf>
    <xf numFmtId="4063" fontId="101" fillId="0" borderId="35" xfId="218">
      <alignment horizontal="center" vertical="bottom"/>
    </xf>
    <xf numFmtId="4063" fontId="149" fillId="46" borderId="37" xfId="218">
      <alignment vertical="center"/>
    </xf>
    <xf numFmtId="4063" fontId="149" fillId="46" borderId="137" xfId="218">
      <alignment vertical="center"/>
    </xf>
    <xf numFmtId="4063" fontId="149" fillId="46" borderId="138" xfId="218">
      <alignment vertical="center"/>
    </xf>
    <xf numFmtId="10" fontId="149" fillId="46" borderId="139" xfId="218">
      <alignment horizontal="right" vertical="center"/>
    </xf>
    <xf numFmtId="10" fontId="149" fillId="46" borderId="146" xfId="218">
      <alignment horizontal="right" vertical="center"/>
    </xf>
    <xf numFmtId="4063" fontId="149" fillId="46" borderId="44" xfId="218">
      <alignment vertical="center"/>
    </xf>
    <xf numFmtId="4063" fontId="149" fillId="46" borderId="83" xfId="218">
      <alignment vertical="center"/>
    </xf>
    <xf numFmtId="10" fontId="149" fillId="46" borderId="41" xfId="218">
      <alignment horizontal="right" vertical="center"/>
    </xf>
    <xf numFmtId="4063" fontId="149" fillId="46" borderId="127" xfId="218">
      <alignment vertical="center"/>
    </xf>
    <xf numFmtId="4063" fontId="149" fillId="46" borderId="136" xfId="218">
      <alignment vertical="center"/>
    </xf>
    <xf numFmtId="0" fontId="182" fillId="57" borderId="0" xfId="0">
      <alignment horizontal="left" vertical="bottom"/>
      <protection locked="0"/>
    </xf>
    <xf numFmtId="0" fontId="182" fillId="57" borderId="16" xfId="0">
      <alignment horizontal="center" vertical="bottom"/>
      <protection locked="0"/>
    </xf>
    <xf numFmtId="0" fontId="213" fillId="57" borderId="0" xfId="0">
      <alignment horizontal="right" vertical="bottom"/>
      <protection locked="0"/>
    </xf>
    <xf numFmtId="5151" fontId="182" fillId="57" borderId="2" xfId="0">
      <alignment horizontal="center" vertical="bottom"/>
      <protection locked="0"/>
    </xf>
    <xf numFmtId="4719" fontId="140" fillId="57" borderId="0" xfId="0">
      <alignment horizontal="right" vertical="bottom"/>
      <protection locked="0"/>
    </xf>
    <xf numFmtId="4004" fontId="140" fillId="57" borderId="0" xfId="0">
      <alignment horizontal="right" vertical="bottom"/>
      <protection locked="0"/>
    </xf>
    <xf numFmtId="0" fontId="182" fillId="57" borderId="0" xfId="0">
      <alignment horizontal="right" vertical="bottom"/>
      <protection locked="0"/>
    </xf>
    <xf numFmtId="4" fontId="182" fillId="57" borderId="0" xfId="0">
      <alignment horizontal="left" vertical="bottom"/>
      <protection locked="0"/>
    </xf>
    <xf numFmtId="0" fontId="213" fillId="57" borderId="0" xfId="0">
      <protection locked="0"/>
    </xf>
    <xf numFmtId="308" fontId="182" fillId="57" borderId="0" xfId="0">
      <alignment horizontal="left" vertical="bottom"/>
      <protection locked="0"/>
    </xf>
    <xf numFmtId="0" fontId="182" fillId="57" borderId="0" xfId="0">
      <alignment horizontal="center" vertical="bottom"/>
      <protection locked="0"/>
    </xf>
    <xf numFmtId="0" fontId="182" fillId="57" borderId="0" xfId="0">
      <protection locked="0"/>
    </xf>
    <xf numFmtId="0" fontId="211" fillId="76" borderId="9" xfId="0">
      <alignment horizontal="left" vertical="bottom"/>
      <protection locked="0"/>
    </xf>
    <xf numFmtId="0" fontId="211" fillId="76" borderId="53" xfId="0">
      <alignment horizontal="left" vertical="bottom"/>
      <protection locked="0"/>
    </xf>
    <xf numFmtId="0" fontId="211" fillId="76" borderId="9" xfId="0">
      <alignment horizontal="center" vertical="bottom"/>
      <protection locked="0"/>
    </xf>
    <xf numFmtId="0" fontId="211" fillId="76" borderId="53" xfId="0">
      <alignment horizontal="center" vertical="bottom"/>
      <protection locked="0"/>
    </xf>
    <xf numFmtId="0" fontId="211" fillId="76" borderId="48" xfId="0">
      <alignment horizontal="center" vertical="bottom"/>
      <protection locked="0"/>
    </xf>
    <xf numFmtId="0" fontId="211" fillId="76" borderId="11" xfId="0">
      <alignment horizontal="center" vertical="bottom"/>
      <protection locked="0"/>
    </xf>
    <xf numFmtId="0" fontId="216" fillId="52" borderId="2" xfId="0">
      <alignment horizontal="center" vertical="bottom"/>
      <protection locked="0"/>
    </xf>
    <xf numFmtId="0" fontId="211" fillId="76" borderId="46" xfId="0">
      <alignment horizontal="center" vertical="bottom"/>
      <protection locked="0"/>
    </xf>
    <xf numFmtId="0" fontId="182" fillId="57" borderId="0" xfId="0">
      <alignment vertical="center"/>
      <protection locked="0"/>
    </xf>
    <xf numFmtId="0" fontId="182" fillId="57" borderId="36" xfId="0">
      <alignment horizontal="center" vertical="bottom"/>
      <protection locked="0"/>
    </xf>
    <xf numFmtId="0" fontId="182" fillId="57" borderId="61" xfId="0">
      <alignment horizontal="center" vertical="bottom"/>
      <protection locked="0"/>
    </xf>
    <xf numFmtId="0" fontId="219" fillId="57" borderId="1" xfId="0">
      <alignment horizontal="left" vertical="bottom" indent="1"/>
      <protection locked="0"/>
    </xf>
    <xf numFmtId="0" fontId="140" fillId="0" borderId="1" xfId="0"/>
    <xf numFmtId="0" fontId="216" fillId="57" borderId="45" xfId="0">
      <alignment horizontal="center" vertical="bottom"/>
      <protection locked="0"/>
    </xf>
    <xf numFmtId="0" fontId="216" fillId="57" borderId="49" xfId="0">
      <alignment horizontal="center" vertical="bottom"/>
      <protection locked="0"/>
    </xf>
    <xf numFmtId="0" fontId="211" fillId="76" borderId="49" xfId="0">
      <alignment horizontal="center" vertical="bottom"/>
      <protection locked="0"/>
    </xf>
    <xf numFmtId="0" fontId="211" fillId="76" borderId="8" xfId="0">
      <alignment horizontal="center" vertical="bottom"/>
      <protection locked="0"/>
    </xf>
    <xf numFmtId="0" fontId="182" fillId="57" borderId="8" xfId="0">
      <alignment horizontal="center" vertical="bottom"/>
      <protection locked="0"/>
    </xf>
    <xf numFmtId="0" fontId="211" fillId="76" borderId="45" xfId="0">
      <alignment horizontal="center" vertical="bottom"/>
      <protection locked="0"/>
    </xf>
    <xf numFmtId="0" fontId="182" fillId="57" borderId="37" xfId="0">
      <alignment horizontal="center" vertical="bottom"/>
      <protection locked="0"/>
    </xf>
    <xf numFmtId="0" fontId="182" fillId="57" borderId="38" xfId="0">
      <alignment horizontal="center" vertical="bottom"/>
      <protection locked="0"/>
    </xf>
    <xf numFmtId="0" fontId="182" fillId="57" borderId="1" xfId="0">
      <protection locked="0"/>
    </xf>
    <xf numFmtId="0" fontId="181" fillId="21" borderId="8" xfId="0">
      <alignment horizontal="center" vertical="bottom"/>
      <protection locked="0"/>
    </xf>
    <xf numFmtId="0" fontId="211" fillId="57" borderId="0" xfId="0">
      <protection locked="0"/>
    </xf>
    <xf numFmtId="0" fontId="211" fillId="57" borderId="52" xfId="0">
      <protection locked="0"/>
    </xf>
    <xf numFmtId="1" fontId="216" fillId="52" borderId="2" xfId="0">
      <alignment horizontal="center" vertical="bottom"/>
      <protection locked="0"/>
    </xf>
    <xf numFmtId="0" fontId="181" fillId="21" borderId="49" xfId="0">
      <alignment horizontal="center" vertical="bottom"/>
      <protection locked="0"/>
    </xf>
    <xf numFmtId="0" fontId="181" fillId="21" borderId="2" xfId="0">
      <alignment horizontal="center" vertical="bottom"/>
      <protection locked="0"/>
    </xf>
    <xf numFmtId="0" fontId="216" fillId="57" borderId="0" xfId="0">
      <alignment horizontal="center" vertical="bottom"/>
      <protection locked="0"/>
    </xf>
    <xf numFmtId="0" fontId="214" fillId="57" borderId="0" xfId="0">
      <alignment horizontal="center" vertical="bottom"/>
      <protection locked="0"/>
    </xf>
    <xf numFmtId="0" fontId="182" fillId="57" borderId="0" xfId="0">
      <alignment horizontal="center" vertical="center"/>
      <protection locked="0"/>
    </xf>
    <xf numFmtId="0" fontId="214" fillId="57" borderId="39" xfId="0">
      <alignment horizontal="center" vertical="bottom"/>
      <protection locked="0"/>
    </xf>
    <xf numFmtId="0" fontId="214" fillId="57" borderId="55" xfId="0">
      <alignment horizontal="center" vertical="bottom"/>
      <protection locked="0"/>
    </xf>
    <xf numFmtId="308" fontId="216" fillId="57" borderId="50" xfId="0">
      <alignment horizontal="right" vertical="bottom"/>
      <protection locked="0"/>
    </xf>
    <xf numFmtId="308" fontId="182" fillId="57" borderId="51" xfId="0">
      <alignment horizontal="right" vertical="bottom"/>
      <protection locked="0"/>
    </xf>
    <xf numFmtId="308" fontId="216" fillId="57" borderId="0" xfId="0">
      <alignment horizontal="right" vertical="bottom"/>
      <protection locked="0"/>
    </xf>
    <xf numFmtId="308" fontId="182" fillId="57" borderId="0" xfId="0">
      <alignment horizontal="right" vertical="bottom"/>
      <protection locked="0"/>
    </xf>
    <xf numFmtId="308" fontId="183" fillId="2" borderId="0" xfId="211">
      <alignment horizontal="right" vertical="center"/>
    </xf>
    <xf numFmtId="308" fontId="183" fillId="2" borderId="52" xfId="211">
      <alignment horizontal="right" vertical="center"/>
    </xf>
    <xf numFmtId="308" fontId="216" fillId="57" borderId="52" xfId="68">
      <alignment horizontal="right" vertical="bottom"/>
      <protection locked="0"/>
    </xf>
    <xf numFmtId="308" fontId="181" fillId="57" borderId="50" xfId="68">
      <protection locked="0"/>
    </xf>
    <xf numFmtId="308" fontId="216" fillId="57" borderId="50" xfId="68" quotePrefix="1">
      <alignment horizontal="right" vertical="bottom"/>
      <protection locked="0"/>
    </xf>
    <xf numFmtId="309" fontId="182" fillId="57" borderId="0" xfId="0">
      <protection locked="0"/>
    </xf>
    <xf numFmtId="0" fontId="216" fillId="57" borderId="2" xfId="0">
      <alignment horizontal="center" vertical="bottom"/>
      <protection locked="0"/>
    </xf>
    <xf numFmtId="0" fontId="182" fillId="57" borderId="11" xfId="0">
      <alignment horizontal="center" vertical="top" wrapText="1"/>
      <protection locked="0"/>
    </xf>
    <xf numFmtId="0" fontId="182" fillId="57" borderId="0" xfId="0">
      <alignment vertical="top" wrapText="1"/>
      <protection locked="0"/>
    </xf>
    <xf numFmtId="308" fontId="214" fillId="57" borderId="37" xfId="0">
      <alignment horizontal="right" vertical="bottom"/>
      <protection locked="0"/>
    </xf>
    <xf numFmtId="308" fontId="214" fillId="57" borderId="37" xfId="68">
      <alignment horizontal="right" vertical="bottom"/>
      <protection locked="0"/>
    </xf>
    <xf numFmtId="308" fontId="182" fillId="57" borderId="38" xfId="0">
      <alignment horizontal="right" vertical="bottom"/>
      <protection locked="0"/>
    </xf>
    <xf numFmtId="308" fontId="215" fillId="57" borderId="50" xfId="68">
      <alignment horizontal="right" vertical="bottom"/>
      <protection locked="0"/>
    </xf>
    <xf numFmtId="4031" fontId="182" fillId="57" borderId="51" xfId="276">
      <alignment horizontal="right" vertical="bottom"/>
      <protection locked="0"/>
    </xf>
    <xf numFmtId="308" fontId="215" fillId="57" borderId="52" xfId="68">
      <alignment horizontal="right" vertical="bottom"/>
      <protection locked="0"/>
    </xf>
    <xf numFmtId="0" fontId="182" fillId="57" borderId="0" xfId="276">
      <protection locked="0"/>
    </xf>
    <xf numFmtId="10" fontId="182" fillId="57" borderId="0" xfId="276">
      <protection locked="0"/>
    </xf>
    <xf numFmtId="0" fontId="182" fillId="57" borderId="52" xfId="0">
      <alignment horizontal="center" vertical="top" wrapText="1"/>
      <protection locked="0"/>
    </xf>
    <xf numFmtId="308" fontId="215" fillId="57" borderId="37" xfId="68">
      <alignment horizontal="right" vertical="bottom"/>
      <protection locked="0"/>
    </xf>
    <xf numFmtId="10" fontId="182" fillId="57" borderId="0" xfId="276">
      <alignment horizontal="right" vertical="bottom"/>
      <protection locked="0"/>
    </xf>
    <xf numFmtId="308" fontId="215" fillId="57" borderId="37" xfId="0">
      <alignment horizontal="right" vertical="bottom"/>
      <protection locked="0"/>
    </xf>
    <xf numFmtId="10" fontId="182" fillId="57" borderId="38" xfId="276">
      <alignment horizontal="right" vertical="bottom"/>
      <protection locked="0"/>
    </xf>
    <xf numFmtId="0" fontId="182" fillId="57" borderId="1" xfId="0">
      <alignment horizontal="left" vertical="bottom"/>
      <protection locked="0"/>
    </xf>
    <xf numFmtId="308" fontId="215" fillId="57" borderId="45" xfId="68">
      <alignment horizontal="right" vertical="bottom"/>
      <protection locked="0"/>
    </xf>
    <xf numFmtId="4031" fontId="182" fillId="57" borderId="49" xfId="276">
      <alignment horizontal="right" vertical="bottom"/>
      <protection locked="0"/>
    </xf>
    <xf numFmtId="308" fontId="215" fillId="57" borderId="1" xfId="68">
      <alignment horizontal="right" vertical="bottom"/>
      <protection locked="0"/>
    </xf>
    <xf numFmtId="4031" fontId="182" fillId="57" borderId="1" xfId="276">
      <alignment horizontal="right" vertical="bottom"/>
      <protection locked="0"/>
    </xf>
    <xf numFmtId="308" fontId="183" fillId="2" borderId="1" xfId="211">
      <alignment horizontal="right" vertical="center"/>
    </xf>
    <xf numFmtId="308" fontId="183" fillId="2" borderId="8" xfId="211">
      <alignment horizontal="right" vertical="center"/>
    </xf>
    <xf numFmtId="308" fontId="215" fillId="57" borderId="8" xfId="68">
      <alignment horizontal="right" vertical="bottom"/>
      <protection locked="0"/>
    </xf>
    <xf numFmtId="308" fontId="215" fillId="57" borderId="102" xfId="68">
      <alignment horizontal="right" vertical="bottom"/>
      <protection locked="0"/>
    </xf>
    <xf numFmtId="10" fontId="182" fillId="57" borderId="86" xfId="276">
      <alignment horizontal="right" vertical="bottom"/>
      <protection locked="0"/>
    </xf>
    <xf numFmtId="0" fontId="182" fillId="57" borderId="16" xfId="0">
      <alignment horizontal="left" vertical="bottom"/>
      <protection locked="0"/>
    </xf>
    <xf numFmtId="0" fontId="182" fillId="57" borderId="16" xfId="0">
      <protection locked="0"/>
    </xf>
    <xf numFmtId="308" fontId="182" fillId="57" borderId="9" xfId="0">
      <alignment horizontal="right" vertical="bottom"/>
      <protection locked="0"/>
    </xf>
    <xf numFmtId="308" fontId="182" fillId="57" borderId="53" xfId="0">
      <alignment horizontal="right" vertical="bottom"/>
      <protection locked="0"/>
    </xf>
    <xf numFmtId="308" fontId="182" fillId="57" borderId="16" xfId="68">
      <alignment horizontal="right" vertical="bottom"/>
      <protection locked="0"/>
    </xf>
    <xf numFmtId="308" fontId="182" fillId="57" borderId="16" xfId="0">
      <alignment horizontal="right" vertical="bottom"/>
      <protection locked="0"/>
    </xf>
    <xf numFmtId="308" fontId="181" fillId="57" borderId="16" xfId="211">
      <alignment horizontal="right" vertical="center"/>
    </xf>
    <xf numFmtId="308" fontId="181" fillId="57" borderId="2" xfId="211">
      <alignment horizontal="right" vertical="center"/>
    </xf>
    <xf numFmtId="308" fontId="182" fillId="57" borderId="2" xfId="0">
      <alignment horizontal="right" vertical="bottom"/>
      <protection locked="0"/>
    </xf>
    <xf numFmtId="0" fontId="182" fillId="57" borderId="2" xfId="0">
      <alignment horizontal="center" vertical="bottom"/>
      <protection locked="0"/>
    </xf>
    <xf numFmtId="308" fontId="182" fillId="57" borderId="71" xfId="68">
      <alignment horizontal="right" vertical="bottom"/>
      <protection locked="0"/>
    </xf>
    <xf numFmtId="308" fontId="182" fillId="57" borderId="1" xfId="0">
      <alignment horizontal="right" vertical="bottom"/>
      <protection locked="0"/>
    </xf>
    <xf numFmtId="308" fontId="182" fillId="57" borderId="102" xfId="68">
      <alignment horizontal="right" vertical="bottom"/>
      <protection locked="0"/>
    </xf>
    <xf numFmtId="308" fontId="182" fillId="57" borderId="86" xfId="0">
      <alignment horizontal="right" vertical="bottom"/>
      <protection locked="0"/>
    </xf>
    <xf numFmtId="10" fontId="182" fillId="57" borderId="0" xfId="276">
      <alignment horizontal="right" vertical="center"/>
      <protection locked="0"/>
    </xf>
    <xf numFmtId="0" fontId="218" fillId="59" borderId="0" xfId="0">
      <alignment horizontal="left" vertical="center" indent="1"/>
      <protection locked="0"/>
    </xf>
    <xf numFmtId="0" fontId="217" fillId="59" borderId="0" xfId="0"/>
    <xf numFmtId="308" fontId="218" fillId="59" borderId="50" xfId="276">
      <alignment horizontal="right" vertical="center"/>
      <protection locked="0"/>
    </xf>
    <xf numFmtId="4031" fontId="218" fillId="59" borderId="51" xfId="276">
      <alignment horizontal="right" vertical="center"/>
      <protection locked="0"/>
    </xf>
    <xf numFmtId="308" fontId="218" fillId="59" borderId="0" xfId="276">
      <alignment horizontal="right" vertical="center"/>
      <protection locked="0"/>
    </xf>
    <xf numFmtId="4031" fontId="218" fillId="59" borderId="0" xfId="276">
      <alignment horizontal="right" vertical="center"/>
      <protection locked="0"/>
    </xf>
    <xf numFmtId="4031" fontId="218" fillId="59" borderId="0" xfId="211">
      <alignment horizontal="right" vertical="center"/>
    </xf>
    <xf numFmtId="4031" fontId="218" fillId="59" borderId="52" xfId="211">
      <alignment horizontal="right" vertical="center"/>
    </xf>
    <xf numFmtId="308" fontId="218" fillId="59" borderId="52" xfId="276">
      <alignment horizontal="right" vertical="center"/>
      <protection locked="0"/>
    </xf>
    <xf numFmtId="10" fontId="181" fillId="57" borderId="0" xfId="276">
      <alignment horizontal="right" vertical="center"/>
      <protection locked="0"/>
    </xf>
    <xf numFmtId="0" fontId="181" fillId="57" borderId="0" xfId="0">
      <alignment horizontal="right" vertical="center"/>
      <protection locked="0"/>
    </xf>
    <xf numFmtId="0" fontId="182" fillId="57" borderId="0" xfId="0">
      <alignment horizontal="right" vertical="center"/>
      <protection locked="0"/>
    </xf>
    <xf numFmtId="308" fontId="182" fillId="57" borderId="37" xfId="0">
      <alignment horizontal="right" vertical="center"/>
      <protection locked="0"/>
    </xf>
    <xf numFmtId="10" fontId="181" fillId="57" borderId="0" xfId="0">
      <alignment horizontal="right" vertical="center"/>
      <protection locked="0"/>
    </xf>
    <xf numFmtId="10" fontId="181" fillId="57" borderId="38" xfId="276">
      <alignment horizontal="right" vertical="center"/>
      <protection locked="0"/>
    </xf>
    <xf numFmtId="0" fontId="218" fillId="59" borderId="1" xfId="0">
      <alignment horizontal="left" vertical="center" indent="1"/>
      <protection locked="0"/>
    </xf>
    <xf numFmtId="0" fontId="217" fillId="59" borderId="1" xfId="0"/>
    <xf numFmtId="308" fontId="218" fillId="59" borderId="45" xfId="276">
      <alignment horizontal="right" vertical="center"/>
      <protection locked="0"/>
    </xf>
    <xf numFmtId="308" fontId="218" fillId="59" borderId="49" xfId="276">
      <alignment horizontal="right" vertical="center"/>
      <protection locked="0"/>
    </xf>
    <xf numFmtId="308" fontId="218" fillId="59" borderId="1" xfId="276">
      <alignment horizontal="right" vertical="center"/>
      <protection locked="0"/>
    </xf>
    <xf numFmtId="308" fontId="218" fillId="59" borderId="1" xfId="211">
      <alignment horizontal="right" vertical="center"/>
    </xf>
    <xf numFmtId="308" fontId="218" fillId="59" borderId="8" xfId="211">
      <alignment horizontal="right" vertical="center"/>
    </xf>
    <xf numFmtId="308" fontId="218" fillId="59" borderId="8" xfId="276">
      <alignment horizontal="right" vertical="center"/>
      <protection locked="0"/>
    </xf>
    <xf numFmtId="309" fontId="182" fillId="57" borderId="51" xfId="0">
      <alignment horizontal="right" vertical="bottom"/>
      <protection locked="0"/>
    </xf>
    <xf numFmtId="308" fontId="216" fillId="57" borderId="52" xfId="0">
      <alignment horizontal="right" vertical="bottom"/>
      <protection locked="0"/>
    </xf>
    <xf numFmtId="308" fontId="182" fillId="57" borderId="37" xfId="0">
      <alignment horizontal="right" vertical="bottom"/>
      <protection locked="0"/>
    </xf>
    <xf numFmtId="309" fontId="182" fillId="57" borderId="0" xfId="0">
      <alignment horizontal="right" vertical="bottom"/>
      <protection locked="0"/>
    </xf>
    <xf numFmtId="309" fontId="182" fillId="57" borderId="38" xfId="0">
      <alignment horizontal="right" vertical="bottom"/>
      <protection locked="0"/>
    </xf>
    <xf numFmtId="0" fontId="181" fillId="57" borderId="0" xfId="0"/>
    <xf numFmtId="0" fontId="216" fillId="57" borderId="0" xfId="0">
      <protection locked="0"/>
    </xf>
    <xf numFmtId="0" fontId="182" fillId="57" borderId="0" xfId="0"/>
    <xf numFmtId="0" fontId="182" fillId="57" borderId="9" xfId="0">
      <alignment horizontal="left" vertical="bottom"/>
      <protection locked="0"/>
    </xf>
    <xf numFmtId="308" fontId="182" fillId="60" borderId="40" xfId="0">
      <alignment horizontal="right" vertical="bottom"/>
      <protection locked="0"/>
    </xf>
    <xf numFmtId="308" fontId="182" fillId="59" borderId="56" xfId="0">
      <alignment horizontal="right" vertical="bottom"/>
      <protection locked="0"/>
    </xf>
    <xf numFmtId="308" fontId="182" fillId="59" borderId="66" xfId="0">
      <alignment horizontal="right" vertical="bottom"/>
      <protection locked="0"/>
    </xf>
    <xf numFmtId="308" fontId="140" fillId="57" borderId="0" xfId="0">
      <alignment horizontal="right" vertical="bottom"/>
    </xf>
    <xf numFmtId="0" fontId="182" fillId="57" borderId="47" xfId="0">
      <alignment horizontal="center" vertical="bottom"/>
      <protection locked="0"/>
    </xf>
    <xf numFmtId="0" fontId="182" fillId="57" borderId="37" xfId="0">
      <alignment horizontal="right" vertical="bottom"/>
      <protection locked="0"/>
    </xf>
    <xf numFmtId="0" fontId="182" fillId="57" borderId="38" xfId="0">
      <alignment horizontal="right" vertical="bottom"/>
      <protection locked="0"/>
    </xf>
    <xf numFmtId="0" fontId="211" fillId="76" borderId="1" xfId="0">
      <alignment horizontal="left" vertical="bottom"/>
      <protection locked="0"/>
    </xf>
    <xf numFmtId="0" fontId="211" fillId="76" borderId="1" xfId="0">
      <protection locked="0"/>
    </xf>
    <xf numFmtId="0" fontId="211" fillId="76" borderId="9" xfId="0">
      <alignment horizontal="right" vertical="bottom"/>
      <protection locked="0"/>
    </xf>
    <xf numFmtId="0" fontId="211" fillId="76" borderId="53" xfId="0">
      <alignment horizontal="right" vertical="bottom"/>
      <protection locked="0"/>
    </xf>
    <xf numFmtId="308" fontId="210" fillId="76" borderId="2" xfId="0">
      <alignment horizontal="right" vertical="center"/>
    </xf>
    <xf numFmtId="308" fontId="210" fillId="76" borderId="53" xfId="0">
      <alignment horizontal="right" vertical="center"/>
    </xf>
    <xf numFmtId="0" fontId="211" fillId="76" borderId="1" xfId="0">
      <alignment horizontal="right" vertical="bottom"/>
      <protection locked="0"/>
    </xf>
    <xf numFmtId="5344" fontId="303" fillId="76" borderId="45" xfId="0">
      <alignment horizontal="right" vertical="bottom"/>
      <protection locked="0"/>
    </xf>
    <xf numFmtId="0" fontId="182" fillId="57" borderId="1" xfId="0">
      <alignment horizontal="center" vertical="bottom"/>
      <protection locked="0"/>
    </xf>
    <xf numFmtId="0" fontId="182" fillId="57" borderId="44" xfId="0">
      <alignment horizontal="right" vertical="bottom"/>
      <protection locked="0"/>
    </xf>
    <xf numFmtId="0" fontId="182" fillId="57" borderId="40" xfId="0">
      <alignment horizontal="right" vertical="bottom"/>
      <protection locked="0"/>
    </xf>
    <xf numFmtId="308" fontId="183" fillId="2" borderId="51" xfId="211">
      <alignment horizontal="right" vertical="center"/>
    </xf>
    <xf numFmtId="4063" fontId="182" fillId="57" borderId="0" xfId="0">
      <protection locked="0"/>
    </xf>
    <xf numFmtId="308" fontId="214" fillId="57" borderId="85" xfId="0">
      <alignment horizontal="right" vertical="bottom"/>
      <protection locked="0"/>
    </xf>
    <xf numFmtId="308" fontId="182" fillId="57" borderId="85" xfId="0">
      <alignment horizontal="right" vertical="bottom"/>
      <protection locked="0"/>
    </xf>
    <xf numFmtId="308" fontId="214" fillId="57" borderId="74" xfId="0">
      <alignment horizontal="right" vertical="bottom"/>
      <protection locked="0"/>
    </xf>
    <xf numFmtId="308" fontId="182" fillId="57" borderId="74" xfId="0">
      <alignment horizontal="right" vertical="bottom"/>
      <protection locked="0"/>
    </xf>
    <xf numFmtId="308" fontId="216" fillId="57" borderId="45" xfId="0">
      <alignment horizontal="right" vertical="bottom"/>
      <protection locked="0"/>
    </xf>
    <xf numFmtId="308" fontId="182" fillId="57" borderId="49" xfId="0">
      <alignment horizontal="right" vertical="bottom"/>
      <protection locked="0"/>
    </xf>
    <xf numFmtId="308" fontId="183" fillId="2" borderId="49" xfId="211">
      <alignment horizontal="right" vertical="center"/>
    </xf>
    <xf numFmtId="308" fontId="216" fillId="57" borderId="1" xfId="0">
      <alignment horizontal="right" vertical="bottom"/>
      <protection locked="0"/>
    </xf>
    <xf numFmtId="308" fontId="214" fillId="57" borderId="75" xfId="0">
      <alignment horizontal="right" vertical="bottom"/>
      <protection locked="0"/>
    </xf>
    <xf numFmtId="308" fontId="182" fillId="57" borderId="75" xfId="0">
      <alignment horizontal="right" vertical="bottom"/>
      <protection locked="0"/>
    </xf>
    <xf numFmtId="308" fontId="182" fillId="57" borderId="50" xfId="0">
      <alignment horizontal="right" vertical="bottom"/>
      <protection locked="0"/>
    </xf>
    <xf numFmtId="308" fontId="182" fillId="57" borderId="52" xfId="0">
      <alignment horizontal="right" vertical="bottom"/>
      <protection locked="0"/>
    </xf>
    <xf numFmtId="308" fontId="182" fillId="60" borderId="41" xfId="0">
      <alignment horizontal="right" vertical="bottom"/>
      <protection locked="0"/>
    </xf>
    <xf numFmtId="308" fontId="211" fillId="76" borderId="45" xfId="0">
      <alignment horizontal="right" vertical="bottom"/>
      <protection locked="0"/>
    </xf>
    <xf numFmtId="308" fontId="211" fillId="76" borderId="49" xfId="0">
      <alignment horizontal="right" vertical="bottom"/>
      <protection locked="0"/>
    </xf>
    <xf numFmtId="308" fontId="210" fillId="76" borderId="8" xfId="211">
      <alignment horizontal="right" vertical="center"/>
    </xf>
    <xf numFmtId="308" fontId="210" fillId="76" borderId="49" xfId="211">
      <alignment horizontal="right" vertical="center"/>
    </xf>
    <xf numFmtId="308" fontId="211" fillId="76" borderId="1" xfId="0">
      <alignment horizontal="right" vertical="bottom"/>
      <protection locked="0"/>
    </xf>
    <xf numFmtId="308" fontId="182" fillId="57" borderId="44" xfId="0">
      <alignment horizontal="right" vertical="bottom"/>
      <protection locked="0"/>
    </xf>
    <xf numFmtId="308" fontId="182" fillId="57" borderId="14" xfId="0">
      <alignment horizontal="right" vertical="bottom"/>
      <protection locked="0"/>
    </xf>
    <xf numFmtId="308" fontId="182" fillId="57" borderId="41" xfId="0">
      <alignment horizontal="right" vertical="bottom"/>
      <protection locked="0"/>
    </xf>
    <xf numFmtId="0" fontId="181" fillId="57" borderId="0" xfId="0">
      <protection locked="0"/>
    </xf>
    <xf numFmtId="0" fontId="216" fillId="57" borderId="73" xfId="0">
      <alignment horizontal="center" vertical="bottom"/>
      <protection locked="0"/>
    </xf>
    <xf numFmtId="308" fontId="214" fillId="57" borderId="1" xfId="0">
      <alignment horizontal="right" vertical="bottom"/>
      <protection locked="0"/>
    </xf>
    <xf numFmtId="0" fontId="216" fillId="57" borderId="35" xfId="0">
      <alignment horizontal="center" vertical="bottom"/>
      <protection locked="0"/>
    </xf>
    <xf numFmtId="308" fontId="214" fillId="57" borderId="16" xfId="0">
      <alignment horizontal="right" vertical="bottom"/>
      <protection locked="0"/>
    </xf>
    <xf numFmtId="0" fontId="181" fillId="57" borderId="1" xfId="0">
      <protection locked="0"/>
    </xf>
    <xf numFmtId="0" fontId="216" fillId="57" borderId="75" xfId="0">
      <alignment horizontal="center" vertical="bottom"/>
      <protection locked="0"/>
    </xf>
    <xf numFmtId="0" fontId="181" fillId="57" borderId="16" xfId="0">
      <protection locked="0"/>
    </xf>
    <xf numFmtId="308" fontId="216" fillId="57" borderId="9" xfId="0">
      <alignment horizontal="right" vertical="bottom"/>
      <protection locked="0"/>
    </xf>
    <xf numFmtId="308" fontId="183" fillId="2" borderId="2" xfId="211">
      <alignment horizontal="right" vertical="center"/>
    </xf>
    <xf numFmtId="308" fontId="183" fillId="2" borderId="53" xfId="211">
      <alignment horizontal="right" vertical="center"/>
    </xf>
    <xf numFmtId="308" fontId="216" fillId="57" borderId="16" xfId="0">
      <alignment horizontal="right" vertical="bottom"/>
      <protection locked="0"/>
    </xf>
    <xf numFmtId="0" fontId="216" fillId="57" borderId="40" xfId="0">
      <alignment horizontal="center" vertical="bottom"/>
      <protection locked="0"/>
    </xf>
    <xf numFmtId="0" fontId="216" fillId="57" borderId="74" xfId="0">
      <alignment horizontal="center" vertical="bottom"/>
      <protection locked="0"/>
    </xf>
    <xf numFmtId="10" fontId="182" fillId="57" borderId="53" xfId="276">
      <alignment horizontal="right" vertical="bottom"/>
      <protection locked="0"/>
    </xf>
    <xf numFmtId="0" fontId="216" fillId="57" borderId="85" xfId="0">
      <alignment horizontal="center" vertical="bottom"/>
      <protection locked="0"/>
    </xf>
    <xf numFmtId="0" fontId="216" fillId="57" borderId="1" xfId="0">
      <protection locked="0"/>
    </xf>
    <xf numFmtId="308" fontId="214" fillId="57" borderId="88" xfId="0">
      <alignment horizontal="right" vertical="bottom"/>
      <protection locked="0"/>
    </xf>
    <xf numFmtId="308" fontId="214" fillId="57" borderId="47" xfId="0">
      <alignment horizontal="right" vertical="bottom"/>
      <protection locked="0"/>
    </xf>
    <xf numFmtId="308" fontId="182" fillId="57" borderId="88" xfId="0">
      <alignment horizontal="right" vertical="bottom"/>
      <protection locked="0"/>
    </xf>
    <xf numFmtId="308" fontId="181" fillId="57" borderId="53" xfId="211">
      <alignment horizontal="right" vertical="center"/>
    </xf>
    <xf numFmtId="4063" fontId="182" fillId="57" borderId="62" xfId="0">
      <alignment horizontal="right" vertical="bottom"/>
      <protection locked="0"/>
    </xf>
    <xf numFmtId="308" fontId="182" fillId="57" borderId="40" xfId="0">
      <alignment horizontal="right" vertical="bottom"/>
      <protection locked="0"/>
    </xf>
    <xf numFmtId="4063" fontId="182" fillId="57" borderId="83" xfId="0">
      <alignment horizontal="right" vertical="bottom"/>
      <protection locked="0"/>
    </xf>
    <xf numFmtId="1163" fontId="218" fillId="57" borderId="0" xfId="211">
      <alignment horizontal="right" vertical="center"/>
    </xf>
    <xf numFmtId="4063" fontId="182" fillId="57" borderId="0" xfId="0">
      <alignment horizontal="right" vertical="bottom"/>
      <protection locked="0"/>
    </xf>
    <xf numFmtId="308" fontId="215" fillId="57" borderId="0" xfId="0">
      <alignment horizontal="right" vertical="bottom"/>
      <protection locked="0"/>
    </xf>
    <xf numFmtId="308" fontId="214" fillId="57" borderId="2" xfId="0">
      <alignment horizontal="right" vertical="bottom"/>
      <protection locked="0"/>
    </xf>
    <xf numFmtId="308" fontId="183" fillId="57" borderId="0" xfId="211">
      <alignment horizontal="right" vertical="center"/>
    </xf>
    <xf numFmtId="308" fontId="140" fillId="57" borderId="0" xfId="0">
      <alignment horizontal="right" vertical="center"/>
    </xf>
    <xf numFmtId="0" fontId="182" fillId="57" borderId="8" xfId="0">
      <alignment horizontal="center" vertical="top" wrapText="1"/>
      <protection locked="0"/>
    </xf>
    <xf numFmtId="308" fontId="181" fillId="57" borderId="0" xfId="211">
      <alignment horizontal="right" vertical="center"/>
    </xf>
    <xf numFmtId="0" fontId="182" fillId="57" borderId="0" xfId="0">
      <alignment horizontal="center" vertical="top" wrapText="1"/>
      <protection locked="0"/>
    </xf>
    <xf numFmtId="0" fontId="211" fillId="76" borderId="16" xfId="0">
      <protection locked="0"/>
    </xf>
    <xf numFmtId="1163" fontId="220" fillId="76" borderId="1" xfId="211">
      <alignment horizontal="right" vertical="center"/>
    </xf>
    <xf numFmtId="308" fontId="216" fillId="57" borderId="46" xfId="0">
      <alignment horizontal="right" vertical="bottom"/>
      <protection locked="0"/>
    </xf>
    <xf numFmtId="308" fontId="182" fillId="57" borderId="48" xfId="0">
      <alignment horizontal="right" vertical="bottom"/>
      <protection locked="0"/>
    </xf>
    <xf numFmtId="308" fontId="183" fillId="2" borderId="11" xfId="211">
      <alignment horizontal="right" vertical="center"/>
    </xf>
    <xf numFmtId="308" fontId="216" fillId="57" borderId="11" xfId="0">
      <alignment horizontal="right" vertical="bottom"/>
      <protection locked="0"/>
    </xf>
    <xf numFmtId="308" fontId="216" fillId="57" borderId="8" xfId="0">
      <alignment horizontal="right" vertical="bottom"/>
      <protection locked="0"/>
    </xf>
    <xf numFmtId="308" fontId="183" fillId="57" borderId="2" xfId="211">
      <alignment horizontal="right" vertical="center"/>
    </xf>
    <xf numFmtId="0" fontId="217" fillId="57" borderId="0" xfId="0">
      <protection locked="0"/>
    </xf>
    <xf numFmtId="308" fontId="217" fillId="57" borderId="46" xfId="0">
      <alignment horizontal="right" vertical="bottom"/>
      <protection locked="0"/>
    </xf>
    <xf numFmtId="308" fontId="183" fillId="57" borderId="52" xfId="211">
      <alignment horizontal="right" vertical="center"/>
    </xf>
    <xf numFmtId="308" fontId="217" fillId="57" borderId="0" xfId="0">
      <alignment horizontal="right" vertical="bottom"/>
      <protection locked="0"/>
    </xf>
    <xf numFmtId="308" fontId="217" fillId="57" borderId="50" xfId="0">
      <alignment horizontal="right" vertical="bottom"/>
      <protection locked="0"/>
    </xf>
    <xf numFmtId="0" fontId="217" fillId="57" borderId="1" xfId="0">
      <protection locked="0"/>
    </xf>
    <xf numFmtId="308" fontId="217" fillId="57" borderId="45" xfId="0">
      <alignment horizontal="right" vertical="bottom"/>
      <protection locked="0"/>
    </xf>
    <xf numFmtId="308" fontId="183" fillId="57" borderId="8" xfId="211">
      <alignment horizontal="right" vertical="center"/>
    </xf>
    <xf numFmtId="308" fontId="217" fillId="57" borderId="1" xfId="0">
      <alignment horizontal="right" vertical="bottom"/>
      <protection locked="0"/>
    </xf>
    <xf numFmtId="308" fontId="182" fillId="57" borderId="0" xfId="0">
      <protection locked="0"/>
    </xf>
    <xf numFmtId="0" fontId="182" fillId="57" borderId="53" xfId="0">
      <protection locked="0"/>
    </xf>
    <xf numFmtId="308" fontId="181" fillId="57" borderId="9" xfId="0">
      <alignment horizontal="right" vertical="bottom"/>
      <protection locked="0"/>
    </xf>
    <xf numFmtId="308" fontId="181" fillId="57" borderId="16" xfId="0">
      <alignment horizontal="right" vertical="bottom"/>
      <protection locked="0"/>
    </xf>
    <xf numFmtId="1163" fontId="217" fillId="57" borderId="1" xfId="0">
      <alignment horizontal="right" vertical="center"/>
    </xf>
    <xf numFmtId="4063" fontId="182" fillId="57" borderId="9" xfId="0">
      <alignment horizontal="right" vertical="bottom"/>
      <protection locked="0"/>
    </xf>
    <xf numFmtId="0" fontId="182" fillId="0" borderId="0" xfId="0">
      <protection locked="0"/>
    </xf>
    <xf numFmtId="0" fontId="182" fillId="0" borderId="0" xfId="0">
      <alignment horizontal="right" vertical="bottom"/>
      <protection locked="0"/>
    </xf>
    <xf numFmtId="0" fontId="182" fillId="57" borderId="16" xfId="0">
      <alignment horizontal="right" vertical="bottom"/>
      <protection locked="0"/>
    </xf>
    <xf numFmtId="1163" fontId="140" fillId="57" borderId="16" xfId="0">
      <alignment horizontal="right" vertical="center"/>
    </xf>
    <xf numFmtId="0" fontId="217" fillId="57" borderId="16" xfId="0">
      <protection locked="0"/>
    </xf>
    <xf numFmtId="4063" fontId="217" fillId="57" borderId="9" xfId="0">
      <alignment horizontal="right" vertical="bottom"/>
      <protection locked="0"/>
    </xf>
    <xf numFmtId="0" fontId="217" fillId="57" borderId="53" xfId="0">
      <alignment horizontal="right" vertical="bottom"/>
      <protection locked="0"/>
    </xf>
    <xf numFmtId="1163" fontId="219" fillId="57" borderId="16" xfId="0">
      <alignment horizontal="right" vertical="center"/>
    </xf>
    <xf numFmtId="1163" fontId="218" fillId="57" borderId="16" xfId="211">
      <alignment horizontal="right" vertical="center"/>
    </xf>
    <xf numFmtId="4063" fontId="217" fillId="57" borderId="16" xfId="0">
      <alignment horizontal="right" vertical="bottom"/>
      <protection locked="0"/>
    </xf>
    <xf numFmtId="0" fontId="217" fillId="57" borderId="16" xfId="0">
      <alignment horizontal="right" vertical="bottom"/>
      <protection locked="0"/>
    </xf>
    <xf numFmtId="0" fontId="217" fillId="57" borderId="0" xfId="0">
      <alignment horizontal="right" vertical="bottom"/>
      <protection locked="0"/>
    </xf>
    <xf numFmtId="0" fontId="217" fillId="57" borderId="0" xfId="0">
      <alignment horizontal="center" vertical="bottom"/>
      <protection locked="0"/>
    </xf>
    <xf numFmtId="0" fontId="140" fillId="57" borderId="0" xfId="0">
      <alignment horizontal="right" vertical="bottom"/>
    </xf>
    <xf numFmtId="0" fontId="140" fillId="57" borderId="0" xfId="0">
      <alignment horizontal="center" vertical="bottom"/>
    </xf>
    <xf numFmtId="0" fontId="140" fillId="0" borderId="0" xfId="0">
      <alignment horizontal="right" vertical="bottom"/>
    </xf>
    <xf numFmtId="0" fontId="140" fillId="0" borderId="0" xfId="0">
      <alignment horizontal="center" vertical="bottom"/>
    </xf>
    <xf numFmtId="0" fontId="233" fillId="57" borderId="0" xfId="0"/>
    <xf numFmtId="0" fontId="333" fillId="109" borderId="46" xfId="0">
      <alignment horizontal="center" vertical="center" wrapText="1"/>
    </xf>
    <xf numFmtId="0" fontId="333" fillId="109" borderId="48" xfId="0">
      <alignment horizontal="center" vertical="center" wrapText="1"/>
    </xf>
    <xf numFmtId="0" fontId="333" fillId="109" borderId="45" xfId="0">
      <alignment horizontal="center" vertical="center" wrapText="1"/>
    </xf>
    <xf numFmtId="0" fontId="333" fillId="109" borderId="49" xfId="0">
      <alignment horizontal="center" vertical="center" wrapText="1"/>
    </xf>
    <xf numFmtId="0" fontId="233" fillId="57" borderId="9" xfId="0">
      <alignment horizontal="left" vertical="center" wrapText="1" indent="1"/>
    </xf>
    <xf numFmtId="0" fontId="236" fillId="57" borderId="53" xfId="0">
      <alignment horizontal="center" vertical="center" wrapText="1"/>
    </xf>
    <xf numFmtId="0" fontId="334" fillId="110" borderId="9" xfId="0">
      <alignment horizontal="left" vertical="bottom" wrapText="1" indent="1"/>
    </xf>
    <xf numFmtId="0" fontId="334" fillId="110" borderId="53" xfId="0">
      <alignment horizontal="left" vertical="bottom" wrapText="1" indent="1"/>
    </xf>
    <xf numFmtId="0" fontId="233" fillId="49" borderId="2" xfId="0">
      <alignment horizontal="left" vertical="bottom" wrapText="1"/>
    </xf>
    <xf numFmtId="4" fontId="233" fillId="49" borderId="2" xfId="0">
      <alignment horizontal="center" vertical="bottom" wrapText="1"/>
    </xf>
    <xf numFmtId="4" fontId="233" fillId="52" borderId="2" xfId="0">
      <alignment horizontal="center" vertical="bottom" wrapText="1"/>
    </xf>
    <xf numFmtId="0" fontId="233" fillId="49" borderId="2" xfId="0">
      <alignment horizontal="center" vertical="bottom" wrapText="1"/>
    </xf>
    <xf numFmtId="0" fontId="233" fillId="49" borderId="11" xfId="0">
      <alignment horizontal="left" vertical="top" wrapText="1"/>
    </xf>
    <xf numFmtId="0" fontId="233" fillId="49" borderId="11" xfId="0">
      <alignment horizontal="center" vertical="top" wrapText="1"/>
    </xf>
    <xf numFmtId="0" fontId="233" fillId="49" borderId="52" xfId="0">
      <alignment horizontal="left" vertical="top" wrapText="1"/>
    </xf>
    <xf numFmtId="4057" fontId="233" fillId="49" borderId="52" xfId="0">
      <alignment horizontal="center" vertical="top" wrapText="1"/>
    </xf>
    <xf numFmtId="0" fontId="233" fillId="49" borderId="8" xfId="0">
      <alignment horizontal="left" vertical="top" wrapText="1"/>
    </xf>
    <xf numFmtId="0" fontId="233" fillId="49" borderId="8" xfId="0">
      <alignment horizontal="center" vertical="top" wrapText="1"/>
    </xf>
    <xf numFmtId="0" fontId="233" fillId="49" borderId="52" xfId="0">
      <alignment horizontal="center" vertical="top" wrapText="1"/>
    </xf>
    <xf numFmtId="58" fontId="233" fillId="49" borderId="2" xfId="0">
      <alignment horizontal="center" vertical="bottom" wrapText="1"/>
    </xf>
    <xf numFmtId="0" fontId="233" fillId="49" borderId="2" xfId="0">
      <alignment horizontal="left" vertical="top" wrapText="1"/>
    </xf>
    <xf numFmtId="0" fontId="234" fillId="49" borderId="11" xfId="276">
      <alignment horizontal="left" vertical="top" wrapText="1"/>
    </xf>
    <xf numFmtId="0" fontId="235" fillId="49" borderId="2" xfId="0">
      <alignment horizontal="left" vertical="top" wrapText="1"/>
    </xf>
    <xf numFmtId="0" fontId="233" fillId="57" borderId="0" xfId="0">
      <alignment horizontal="left" vertical="center" indent="2"/>
    </xf>
    <xf numFmtId="0" fontId="233" fillId="0" borderId="0" xfId="0">
      <alignment horizontal="left" vertical="center" indent="2"/>
    </xf>
    <xf numFmtId="0" fontId="233" fillId="0" borderId="0" xfId="0">
      <alignment horizontal="left" vertical="center" indent="1"/>
    </xf>
    <xf numFmtId="0" fontId="233" fillId="0" borderId="0" xfId="0">
      <alignment horizontal="left" vertical="center" indent="10"/>
    </xf>
    <xf numFmtId="0" fontId="233" fillId="0" borderId="0" xfId="0">
      <alignment vertical="center"/>
    </xf>
    <xf numFmtId="58" fontId="233" fillId="0" borderId="0" xfId="0"/>
    <xf numFmtId="0" fontId="233" fillId="0" borderId="0" xfId="0"/>
    <xf numFmtId="0" fontId="23" fillId="68" borderId="0" xfId="216">
      <alignment horizontal="left" vertical="top"/>
    </xf>
    <xf numFmtId="0" fontId="210" fillId="70" borderId="0" xfId="216">
      <alignment horizontal="left" vertical="top"/>
    </xf>
    <xf numFmtId="0" fontId="312" fillId="70" borderId="0" xfId="216">
      <alignment horizontal="left" vertical="top"/>
    </xf>
    <xf numFmtId="0" fontId="311" fillId="68" borderId="2" xfId="216">
      <alignment horizontal="center" vertical="center"/>
    </xf>
    <xf numFmtId="0" fontId="223" fillId="68" borderId="0" xfId="216">
      <alignment horizontal="left" vertical="top"/>
    </xf>
    <xf numFmtId="0" fontId="23" fillId="0" borderId="0" xfId="216">
      <alignment horizontal="center" vertical="top"/>
    </xf>
    <xf numFmtId="0" fontId="234" fillId="0" borderId="0" xfId="216">
      <alignment horizontal="center" vertical="top"/>
    </xf>
    <xf numFmtId="0" fontId="335" fillId="0" borderId="0" xfId="216">
      <alignment horizontal="right" vertical="center" wrapText="1"/>
    </xf>
    <xf numFmtId="0" fontId="335" fillId="57" borderId="0" xfId="216">
      <alignment horizontal="right" vertical="center" wrapText="1"/>
    </xf>
    <xf numFmtId="0" fontId="223" fillId="68" borderId="0" xfId="216">
      <alignment horizontal="center" vertical="center"/>
    </xf>
    <xf numFmtId="0" fontId="306" fillId="68" borderId="0" xfId="216">
      <alignment horizontal="center" vertical="bottom" wrapText="1"/>
    </xf>
    <xf numFmtId="0" fontId="336" fillId="0" borderId="0" xfId="216">
      <alignment horizontal="center" vertical="top" wrapText="1"/>
    </xf>
    <xf numFmtId="0" fontId="306" fillId="68" borderId="0" xfId="216">
      <alignment horizontal="left" vertical="top"/>
    </xf>
    <xf numFmtId="0" fontId="337" fillId="0" borderId="0" xfId="216">
      <alignment horizontal="left" vertical="top" wrapText="1"/>
    </xf>
    <xf numFmtId="0" fontId="216" fillId="52" borderId="2" xfId="216">
      <alignment horizontal="center" vertical="center"/>
    </xf>
    <xf numFmtId="0" fontId="223" fillId="68" borderId="0" xfId="216">
      <alignment horizontal="center" vertical="top"/>
    </xf>
    <xf numFmtId="0" fontId="317" fillId="102" borderId="8" xfId="216">
      <alignment horizontal="center" vertical="center" wrapText="1"/>
    </xf>
    <xf numFmtId="1" fontId="313" fillId="102" borderId="8" xfId="216">
      <alignment horizontal="center" vertical="top" wrapText="1"/>
    </xf>
    <xf numFmtId="0" fontId="23" fillId="0" borderId="0" xfId="216">
      <alignment horizontal="left" vertical="center"/>
    </xf>
    <xf numFmtId="0" fontId="23" fillId="68" borderId="0" xfId="216">
      <alignment horizontal="left" vertical="center"/>
    </xf>
    <xf numFmtId="0" fontId="223" fillId="68" borderId="0" xfId="216">
      <alignment horizontal="left" vertical="center"/>
    </xf>
    <xf numFmtId="0" fontId="310" fillId="0" borderId="11" xfId="216">
      <alignment horizontal="left" vertical="center" wrapText="1" indent="1"/>
    </xf>
    <xf numFmtId="5376" fontId="307" fillId="0" borderId="11" xfId="216">
      <alignment horizontal="center" vertical="center" shrinkToFit="1"/>
    </xf>
    <xf numFmtId="0" fontId="310" fillId="59" borderId="2" xfId="216">
      <alignment horizontal="left" vertical="center" wrapText="1" indent="1"/>
    </xf>
    <xf numFmtId="10" fontId="307" fillId="67" borderId="2" xfId="216">
      <alignment horizontal="center" vertical="center" shrinkToFit="1"/>
    </xf>
    <xf numFmtId="0" fontId="308" fillId="0" borderId="2" xfId="216">
      <alignment horizontal="left" vertical="center" wrapText="1" indent="1"/>
    </xf>
    <xf numFmtId="10" fontId="308" fillId="0" borderId="2" xfId="280">
      <alignment horizontal="center" vertical="center" wrapText="1"/>
    </xf>
    <xf numFmtId="10" fontId="23" fillId="0" borderId="0" xfId="216">
      <alignment horizontal="left" vertical="center"/>
    </xf>
    <xf numFmtId="0" fontId="308" fillId="67" borderId="2" xfId="216">
      <alignment horizontal="left" vertical="center" wrapText="1" indent="1"/>
    </xf>
    <xf numFmtId="10" fontId="309" fillId="67" borderId="8" xfId="216">
      <alignment horizontal="center" vertical="center" shrinkToFit="1"/>
    </xf>
    <xf numFmtId="2" fontId="309" fillId="0" borderId="2" xfId="0">
      <alignment horizontal="center" vertical="center" shrinkToFit="1"/>
    </xf>
    <xf numFmtId="2" fontId="309" fillId="67" borderId="2" xfId="216">
      <alignment horizontal="center" vertical="center" shrinkToFit="1"/>
    </xf>
    <xf numFmtId="1" fontId="309" fillId="0" borderId="2" xfId="216">
      <alignment horizontal="center" vertical="center" shrinkToFit="1"/>
    </xf>
    <xf numFmtId="1" fontId="309" fillId="67" borderId="2" xfId="216">
      <alignment horizontal="center" vertical="center" shrinkToFit="1"/>
    </xf>
    <xf numFmtId="0" fontId="308" fillId="59" borderId="2" xfId="216">
      <alignment horizontal="left" vertical="center" wrapText="1" indent="1"/>
    </xf>
    <xf numFmtId="0" fontId="308" fillId="57" borderId="2" xfId="216">
      <alignment horizontal="left" vertical="center" wrapText="1" indent="1"/>
    </xf>
    <xf numFmtId="0" fontId="309" fillId="0" borderId="2" xfId="216">
      <alignment horizontal="center" vertical="center" shrinkToFit="1"/>
    </xf>
    <xf numFmtId="0" fontId="309" fillId="67" borderId="2" xfId="216">
      <alignment horizontal="center" vertical="center" shrinkToFit="1"/>
    </xf>
    <xf numFmtId="4031" fontId="308" fillId="0" borderId="2" xfId="216">
      <alignment horizontal="center" vertical="center" wrapText="1"/>
    </xf>
    <xf numFmtId="10" fontId="308" fillId="59" borderId="2" xfId="216">
      <alignment horizontal="center" vertical="center" wrapText="1"/>
    </xf>
    <xf numFmtId="308" fontId="309" fillId="57" borderId="2" xfId="216">
      <alignment horizontal="center" vertical="center" shrinkToFit="1"/>
    </xf>
    <xf numFmtId="10" fontId="309" fillId="59" borderId="2" xfId="71">
      <alignment horizontal="center" vertical="center" shrinkToFit="1"/>
    </xf>
    <xf numFmtId="5376" fontId="309" fillId="59" borderId="2" xfId="216">
      <alignment horizontal="center" vertical="center" shrinkToFit="1"/>
    </xf>
    <xf numFmtId="0" fontId="234" fillId="0" borderId="47" xfId="216">
      <alignment horizontal="center" vertical="bottom" wrapText="1"/>
    </xf>
    <xf numFmtId="0" fontId="317" fillId="0" borderId="0" xfId="216">
      <alignment horizontal="left" vertical="center" indent="1"/>
    </xf>
    <xf numFmtId="0" fontId="234" fillId="0" borderId="0" xfId="216">
      <alignment horizontal="left" vertical="bottom"/>
    </xf>
    <xf numFmtId="10" fontId="338" fillId="0" borderId="198" xfId="216">
      <alignment horizontal="left" vertical="top" wrapText="1" shrinkToFit="1"/>
    </xf>
    <xf numFmtId="10" fontId="338" fillId="0" borderId="199" xfId="216">
      <alignment horizontal="left" vertical="top" wrapText="1" shrinkToFit="1"/>
    </xf>
    <xf numFmtId="10" fontId="338" fillId="0" borderId="200" xfId="216">
      <alignment horizontal="left" vertical="top" wrapText="1" shrinkToFit="1"/>
    </xf>
    <xf numFmtId="0" fontId="317" fillId="102" borderId="8" xfId="0">
      <alignment horizontal="center" vertical="center" wrapText="1"/>
    </xf>
    <xf numFmtId="1" fontId="314" fillId="102" borderId="8" xfId="216">
      <alignment horizontal="center" vertical="top" wrapText="1"/>
    </xf>
    <xf numFmtId="0" fontId="310" fillId="0" borderId="52" xfId="216">
      <alignment horizontal="left" vertical="center" wrapText="1"/>
    </xf>
    <xf numFmtId="5376" fontId="307" fillId="0" borderId="52" xfId="216">
      <alignment horizontal="center" vertical="center" shrinkToFit="1"/>
    </xf>
    <xf numFmtId="0" fontId="310" fillId="67" borderId="2" xfId="216">
      <alignment horizontal="left" vertical="center" wrapText="1" indent="1"/>
    </xf>
    <xf numFmtId="10" fontId="0" fillId="0" borderId="0" xfId="280">
      <alignment horizontal="left" vertical="center"/>
    </xf>
    <xf numFmtId="10" fontId="0" fillId="68" borderId="0" xfId="0">
      <alignment horizontal="left" vertical="center"/>
    </xf>
    <xf numFmtId="10" fontId="0" fillId="68" borderId="0" xfId="280">
      <alignment horizontal="left" vertical="center"/>
    </xf>
    <xf numFmtId="10" fontId="308" fillId="57" borderId="2" xfId="280">
      <alignment horizontal="left" vertical="center" wrapText="1" indent="1"/>
    </xf>
    <xf numFmtId="10" fontId="308" fillId="59" borderId="2" xfId="216">
      <alignment horizontal="center" vertical="center" shrinkToFit="1"/>
    </xf>
    <xf numFmtId="10" fontId="309" fillId="0" borderId="2" xfId="280">
      <alignment horizontal="center" vertical="center" shrinkToFit="1"/>
    </xf>
    <xf numFmtId="0" fontId="308" fillId="67" borderId="8" xfId="216">
      <alignment horizontal="left" vertical="center" wrapText="1" indent="1"/>
    </xf>
    <xf numFmtId="10" fontId="308" fillId="0" borderId="2" xfId="280">
      <alignment horizontal="left" vertical="center" wrapText="1" indent="1"/>
    </xf>
    <xf numFmtId="2" fontId="308" fillId="67" borderId="2" xfId="216">
      <alignment horizontal="left" vertical="center" wrapText="1" indent="1"/>
    </xf>
    <xf numFmtId="2" fontId="308" fillId="0" borderId="2" xfId="216">
      <alignment horizontal="left" vertical="center" wrapText="1" indent="1"/>
    </xf>
    <xf numFmtId="2" fontId="309" fillId="0" borderId="2" xfId="216">
      <alignment horizontal="center" vertical="center" shrinkToFit="1"/>
    </xf>
    <xf numFmtId="0" fontId="308" fillId="0" borderId="2" xfId="216">
      <alignment horizontal="center" vertical="center" wrapText="1"/>
    </xf>
    <xf numFmtId="4031" fontId="308" fillId="67" borderId="2" xfId="216">
      <alignment horizontal="center" vertical="center" wrapText="1"/>
    </xf>
    <xf numFmtId="10" fontId="308" fillId="57" borderId="2" xfId="216">
      <alignment horizontal="center" vertical="center" wrapText="1"/>
    </xf>
    <xf numFmtId="308" fontId="309" fillId="59" borderId="2" xfId="216">
      <alignment horizontal="center" vertical="center" shrinkToFit="1"/>
    </xf>
    <xf numFmtId="10" fontId="309" fillId="57" borderId="2" xfId="216">
      <alignment horizontal="center" vertical="center" shrinkToFit="1"/>
    </xf>
    <xf numFmtId="5376" fontId="309" fillId="57" borderId="2" xfId="216">
      <alignment horizontal="center" vertical="center" shrinkToFit="1"/>
    </xf>
    <xf numFmtId="0" fontId="234" fillId="0" borderId="0" xfId="216">
      <alignment horizontal="left" vertical="bottom" wrapText="1"/>
    </xf>
    <xf numFmtId="0" fontId="23" fillId="0" borderId="0" xfId="216">
      <alignment horizontal="left" vertical="top"/>
    </xf>
    <xf numFmtId="0" fontId="316" fillId="102" borderId="8" xfId="216">
      <alignment horizontal="center" vertical="center" wrapText="1"/>
    </xf>
    <xf numFmtId="0" fontId="310" fillId="0" borderId="52" xfId="216">
      <alignment horizontal="left" vertical="top" wrapText="1" indent="1"/>
    </xf>
    <xf numFmtId="5376" fontId="307" fillId="0" borderId="52" xfId="216">
      <alignment horizontal="center" vertical="top" shrinkToFit="1"/>
    </xf>
    <xf numFmtId="10" fontId="308" fillId="67" borderId="2" xfId="216">
      <alignment horizontal="center" vertical="center" shrinkToFit="1"/>
    </xf>
    <xf numFmtId="308" fontId="309" fillId="57" borderId="8" xfId="216">
      <alignment horizontal="center" vertical="center" shrinkToFit="1"/>
    </xf>
    <xf numFmtId="0" fontId="315" fillId="68" borderId="0" xfId="216">
      <alignment horizontal="right" vertical="top"/>
    </xf>
    <xf numFmtId="308" fontId="175" fillId="52" borderId="2" xfId="216">
      <alignment horizontal="center" vertical="top"/>
    </xf>
    <xf numFmtId="0" fontId="234" fillId="57" borderId="47" xfId="216">
      <alignment horizontal="left" vertical="bottom" wrapText="1"/>
    </xf>
    <xf numFmtId="0" fontId="23" fillId="57" borderId="0" xfId="216">
      <alignment horizontal="left" vertical="top"/>
    </xf>
    <xf numFmtId="58" fontId="175" fillId="52" borderId="2" xfId="216">
      <alignment horizontal="center" vertical="top"/>
    </xf>
    <xf numFmtId="0" fontId="317" fillId="57" borderId="0" xfId="216">
      <alignment horizontal="left" vertical="center" indent="1"/>
    </xf>
    <xf numFmtId="0" fontId="234" fillId="57" borderId="0" xfId="216">
      <alignment horizontal="left" vertical="top"/>
    </xf>
    <xf numFmtId="0" fontId="234" fillId="57" borderId="185" xfId="216">
      <alignment horizontal="left" vertical="top"/>
    </xf>
    <xf numFmtId="0" fontId="264" fillId="73" borderId="0" xfId="0">
      <alignment horizontal="center" vertical="center"/>
    </xf>
    <xf numFmtId="0" fontId="0" fillId="73" borderId="0" xfId="0"/>
    <xf numFmtId="0" fontId="264" fillId="73" borderId="0" xfId="0">
      <alignment vertical="center"/>
    </xf>
    <xf numFmtId="4" fontId="340" fillId="73" borderId="0" xfId="0">
      <alignment horizontal="center" vertical="bottom"/>
    </xf>
    <xf numFmtId="0" fontId="126" fillId="73" borderId="0" xfId="0">
      <alignment horizontal="center" vertical="top"/>
    </xf>
    <xf numFmtId="0" fontId="265" fillId="73" borderId="0" xfId="0">
      <alignment horizontal="left" vertical="top" wrapText="1" indent="2"/>
    </xf>
    <xf numFmtId="4955" fontId="199" fillId="73" borderId="0" xfId="0">
      <alignment horizontal="center" vertical="center"/>
    </xf>
    <xf numFmtId="4955" fontId="198" fillId="73" borderId="0" xfId="0">
      <alignment horizontal="center" vertical="center"/>
    </xf>
    <xf numFmtId="0" fontId="200" fillId="73" borderId="0" xfId="0">
      <alignment horizontal="right" vertical="center"/>
    </xf>
    <xf numFmtId="0" fontId="199" fillId="73" borderId="0" xfId="0">
      <alignment horizontal="center" vertical="center"/>
    </xf>
    <xf numFmtId="0" fontId="198" fillId="73" borderId="0" xfId="0">
      <alignment horizontal="center" vertical="center"/>
    </xf>
    <xf numFmtId="0" fontId="197" fillId="73" borderId="0" xfId="0">
      <alignment horizontal="left" vertical="center" indent="2"/>
    </xf>
    <xf numFmtId="0" fontId="196" fillId="75" borderId="0" xfId="0">
      <alignment horizontal="center" vertical="center"/>
    </xf>
    <xf numFmtId="0" fontId="196" fillId="74" borderId="0" xfId="0">
      <alignment horizontal="center" vertical="center"/>
    </xf>
    <xf numFmtId="324" fontId="196" fillId="75" borderId="0" xfId="0">
      <alignment horizontal="center" vertical="center"/>
    </xf>
    <xf numFmtId="324" fontId="196" fillId="74" borderId="0" xfId="0">
      <alignment horizontal="center" vertical="center"/>
    </xf>
    <xf numFmtId="4957" fontId="196" fillId="75" borderId="0" xfId="0">
      <alignment horizontal="center" vertical="center"/>
    </xf>
    <xf numFmtId="4957" fontId="196" fillId="74" borderId="0" xfId="0">
      <alignment horizontal="center" vertical="center"/>
    </xf>
    <xf numFmtId="9" fontId="196" fillId="75" borderId="0" xfId="0">
      <alignment horizontal="center" vertical="center"/>
    </xf>
    <xf numFmtId="0" fontId="196" fillId="75" borderId="0" xfId="0">
      <alignment horizontal="center" vertical="center" wrapText="1"/>
    </xf>
    <xf numFmtId="0" fontId="196" fillId="74" borderId="0" xfId="0">
      <alignment horizontal="center" vertical="center" wrapText="1"/>
    </xf>
    <xf numFmtId="0" fontId="269" fillId="75" borderId="0" xfId="0">
      <alignment horizontal="center" vertical="center" wrapText="1"/>
    </xf>
    <xf numFmtId="0" fontId="269" fillId="74" borderId="0" xfId="0">
      <alignment horizontal="center" vertical="center" wrapText="1"/>
    </xf>
    <xf numFmtId="0" fontId="140" fillId="73" borderId="0" xfId="0">
      <alignment vertical="bottom" wrapText="1"/>
    </xf>
    <xf numFmtId="9" fontId="196" fillId="75" borderId="0" xfId="276">
      <alignment horizontal="center" vertical="center"/>
    </xf>
    <xf numFmtId="9" fontId="196" fillId="74" borderId="0" xfId="276">
      <alignment horizontal="center" vertical="center"/>
    </xf>
    <xf numFmtId="9" fontId="3" fillId="75" borderId="0" xfId="0">
      <alignment horizontal="center" vertical="center"/>
    </xf>
    <xf numFmtId="9" fontId="3" fillId="74" borderId="0" xfId="276">
      <alignment horizontal="center" vertical="center"/>
    </xf>
    <xf numFmtId="10" fontId="196" fillId="75" borderId="0" xfId="276">
      <alignment horizontal="center" vertical="center"/>
    </xf>
    <xf numFmtId="10" fontId="196" fillId="74" borderId="0" xfId="276">
      <alignment horizontal="center" vertical="center"/>
    </xf>
    <xf numFmtId="0" fontId="90" fillId="73" borderId="0" xfId="0">
      <alignment horizontal="left" vertical="center" indent="2"/>
    </xf>
    <xf numFmtId="10" fontId="196" fillId="75" borderId="0" xfId="0">
      <alignment horizontal="center" vertical="center"/>
    </xf>
    <xf numFmtId="10" fontId="196" fillId="74" borderId="0" xfId="0">
      <alignment horizontal="center" vertical="center"/>
    </xf>
    <xf numFmtId="5097" fontId="196" fillId="75" borderId="0" xfId="0">
      <alignment horizontal="center" vertical="center"/>
    </xf>
    <xf numFmtId="5097" fontId="196" fillId="74" borderId="0" xfId="0">
      <alignment horizontal="center" vertical="center"/>
    </xf>
    <xf numFmtId="4961" fontId="196" fillId="75" borderId="0" xfId="0">
      <alignment horizontal="center" vertical="center"/>
    </xf>
    <xf numFmtId="4961" fontId="196" fillId="74" borderId="0" xfId="0">
      <alignment horizontal="center" vertical="center"/>
    </xf>
    <xf numFmtId="308" fontId="196" fillId="75" borderId="0" xfId="0">
      <alignment horizontal="center" vertical="center"/>
    </xf>
    <xf numFmtId="308" fontId="196" fillId="74" borderId="0" xfId="0">
      <alignment horizontal="center" vertical="center"/>
    </xf>
    <xf numFmtId="308" fontId="196" fillId="75" borderId="0" xfId="68">
      <alignment horizontal="center" vertical="center"/>
    </xf>
    <xf numFmtId="308" fontId="196" fillId="74" borderId="0" xfId="68">
      <alignment horizontal="center" vertical="center"/>
    </xf>
    <xf numFmtId="0" fontId="197" fillId="73" borderId="0" xfId="0">
      <alignment horizontal="left" vertical="top" indent="2"/>
    </xf>
    <xf numFmtId="10" fontId="268" fillId="75" borderId="0" xfId="0">
      <alignment horizontal="center" vertical="top" wrapText="1"/>
    </xf>
    <xf numFmtId="9" fontId="0" fillId="73" borderId="0" xfId="0"/>
    <xf numFmtId="0" fontId="0" fillId="73" borderId="0" xfId="0" quotePrefix="1"/>
    <xf numFmtId="0" fontId="339" fillId="73" borderId="0" xfId="0">
      <alignment horizontal="left" vertical="center" wrapText="1" indent="2"/>
    </xf>
    <xf numFmtId="0" fontId="266" fillId="73" borderId="0" xfId="0">
      <alignment horizontal="left" vertical="center" wrapText="1" indent="2"/>
    </xf>
    <xf numFmtId="0" fontId="0" fillId="73" borderId="0" xfId="0">
      <alignment horizontal="center" vertical="bottom"/>
    </xf>
    <xf numFmtId="0" fontId="210" fillId="70" borderId="0" xfId="0">
      <alignment vertical="center"/>
    </xf>
    <xf numFmtId="49" fontId="140" fillId="0" borderId="0" xfId="0">
      <alignment vertical="center"/>
    </xf>
    <xf numFmtId="49" fontId="140" fillId="0" borderId="0" xfId="0">
      <alignment horizontal="center" vertical="center"/>
    </xf>
    <xf numFmtId="0" fontId="183" fillId="0" borderId="0" xfId="0">
      <alignment vertical="center"/>
    </xf>
    <xf numFmtId="49" fontId="183" fillId="0" borderId="0" xfId="0">
      <alignment horizontal="center" vertical="center"/>
    </xf>
    <xf numFmtId="4041" fontId="183" fillId="0" borderId="0" xfId="0">
      <alignment horizontal="center" vertical="center"/>
    </xf>
    <xf numFmtId="4041" fontId="140" fillId="0" borderId="0" xfId="0">
      <alignment horizontal="center" vertical="center"/>
    </xf>
    <xf numFmtId="49" fontId="140" fillId="4" borderId="0" xfId="0">
      <alignment horizontal="center" vertical="center"/>
    </xf>
    <xf numFmtId="49" fontId="0" fillId="68" borderId="0" xfId="0"/>
    <xf numFmtId="0" fontId="0" fillId="4" borderId="0" xfId="0"/>
    <xf numFmtId="0" fontId="201" fillId="57" borderId="0" xfId="0"/>
    <xf numFmtId="0" fontId="202" fillId="57" borderId="0" xfId="0">
      <alignment vertical="top"/>
    </xf>
    <xf numFmtId="58" fontId="24" fillId="57" borderId="0" xfId="0">
      <alignment horizontal="left" vertical="top"/>
    </xf>
    <xf numFmtId="1" fontId="201" fillId="0" borderId="0" xfId="0"/>
    <xf numFmtId="0" fontId="24" fillId="57" borderId="0" xfId="0">
      <alignment vertical="top"/>
    </xf>
    <xf numFmtId="0" fontId="24" fillId="57" borderId="0" xfId="0">
      <alignment vertical="top" wrapText="1"/>
    </xf>
    <xf numFmtId="0" fontId="24" fillId="57" borderId="0" xfId="0">
      <alignment horizontal="left" vertical="top" wrapText="1"/>
    </xf>
    <xf numFmtId="10" fontId="24" fillId="57" borderId="0" xfId="0">
      <alignment vertical="top"/>
    </xf>
    <xf numFmtId="0" fontId="24" fillId="57" borderId="0" xfId="0">
      <alignment vertical="center"/>
    </xf>
    <xf numFmtId="0" fontId="24" fillId="57" borderId="0" xfId="0">
      <alignment horizontal="left" vertical="top"/>
    </xf>
    <xf numFmtId="0" fontId="202" fillId="57" borderId="0" xfId="0">
      <alignment vertical="top" wrapText="1"/>
    </xf>
    <xf numFmtId="324" fontId="24" fillId="57" borderId="0" xfId="0">
      <alignment vertical="top"/>
    </xf>
    <xf numFmtId="0" fontId="201" fillId="57" borderId="0" xfId="206"/>
    <xf numFmtId="0" fontId="201" fillId="57" borderId="0" xfId="0">
      <alignment vertical="top" wrapText="1"/>
    </xf>
    <xf numFmtId="0" fontId="201" fillId="0" borderId="0" xfId="0">
      <alignment vertical="top" wrapText="1"/>
    </xf>
    <xf numFmtId="0" fontId="203" fillId="57" borderId="0" xfId="0">
      <alignment vertical="top"/>
    </xf>
    <xf numFmtId="0" fontId="24" fillId="57" borderId="0" xfId="0" quotePrefix="1">
      <alignment horizontal="left" vertical="top" wrapText="1" indent="3"/>
    </xf>
    <xf numFmtId="0" fontId="24" fillId="57" borderId="0" xfId="0">
      <alignment horizontal="left" vertical="top" wrapText="1" indent="3"/>
    </xf>
    <xf numFmtId="0" fontId="24" fillId="57" borderId="0" xfId="0">
      <alignment horizontal="left" vertical="center"/>
    </xf>
    <xf numFmtId="0" fontId="24" fillId="57" borderId="0" xfId="0">
      <alignment horizontal="left" vertical="top" indent="2"/>
    </xf>
    <xf numFmtId="324" fontId="202" fillId="57" borderId="0" xfId="0">
      <alignment vertical="top"/>
    </xf>
    <xf numFmtId="3" fontId="204" fillId="57" borderId="0" xfId="0">
      <alignment vertical="top"/>
    </xf>
    <xf numFmtId="4041" fontId="24" fillId="57" borderId="0" xfId="0">
      <alignment vertical="center"/>
    </xf>
    <xf numFmtId="0" fontId="202" fillId="57" borderId="0" xfId="0">
      <alignment horizontal="left" vertical="top"/>
    </xf>
    <xf numFmtId="0" fontId="24" fillId="57" borderId="0" xfId="0">
      <alignment horizontal="left" vertical="top" wrapText="1" indent="4"/>
    </xf>
    <xf numFmtId="0" fontId="24" fillId="57" borderId="0" xfId="0">
      <alignment horizontal="left" vertical="top" wrapText="1" indent="2"/>
    </xf>
    <xf numFmtId="0" fontId="205" fillId="57" borderId="0" xfId="0">
      <alignment horizontal="center" vertical="top"/>
    </xf>
    <xf numFmtId="0" fontId="24" fillId="57" borderId="0" xfId="0">
      <alignment horizontal="center" vertical="top"/>
    </xf>
    <xf numFmtId="0" fontId="206" fillId="57" borderId="0" xfId="0">
      <alignment vertical="top"/>
    </xf>
    <xf numFmtId="0" fontId="343" fillId="57" borderId="0" xfId="0">
      <alignment horizontal="center" vertical="top"/>
    </xf>
    <xf numFmtId="0" fontId="344" fillId="57" borderId="0" xfId="0">
      <alignment horizontal="center" vertical="top"/>
    </xf>
    <xf numFmtId="0" fontId="202" fillId="57" borderId="0" xfId="0">
      <alignment horizontal="center" vertical="top"/>
    </xf>
    <xf numFmtId="0" fontId="342" fillId="57" borderId="0" xfId="0">
      <alignment vertical="top" wrapText="1"/>
    </xf>
    <xf numFmtId="0" fontId="61" fillId="0" borderId="0" xfId="0"/>
    <xf numFmtId="0" fontId="61" fillId="57" borderId="0" xfId="0"/>
    <xf numFmtId="0" fontId="342" fillId="57" borderId="0" xfId="0">
      <alignment horizontal="left" vertical="top"/>
    </xf>
    <xf numFmtId="0" fontId="342" fillId="57" borderId="0" xfId="0">
      <alignment horizontal="left" vertical="top" indent="1"/>
    </xf>
    <xf numFmtId="0" fontId="202" fillId="0" borderId="0" xfId="0"/>
    <xf numFmtId="0" fontId="202" fillId="0" borderId="0" xfId="0">
      <alignment horizontal="left" vertical="bottom"/>
    </xf>
    <xf numFmtId="4" fontId="228" fillId="57" borderId="0" xfId="0">
      <alignment vertical="top"/>
    </xf>
    <xf numFmtId="0" fontId="202" fillId="57" borderId="0" xfId="0">
      <alignment horizontal="left" vertical="center"/>
    </xf>
    <xf numFmtId="0" fontId="201" fillId="57" borderId="0" xfId="0">
      <alignment vertical="top"/>
    </xf>
    <xf numFmtId="0" fontId="202" fillId="57" borderId="0" xfId="0">
      <alignment vertical="center"/>
    </xf>
    <xf numFmtId="0" fontId="206" fillId="57" borderId="0" xfId="0">
      <alignment horizontal="center" vertical="top"/>
    </xf>
    <xf numFmtId="0" fontId="24" fillId="57" borderId="1" xfId="0">
      <alignment horizontal="left" vertical="top"/>
    </xf>
    <xf numFmtId="0" fontId="207" fillId="57" borderId="0" xfId="0">
      <alignment horizontal="left" vertical="top"/>
    </xf>
    <xf numFmtId="0" fontId="206" fillId="57" borderId="0" xfId="0">
      <alignment horizontal="left" vertical="top"/>
    </xf>
    <xf numFmtId="0" fontId="341" fillId="57" borderId="0" xfId="0">
      <alignment horizontal="center" vertical="top"/>
    </xf>
    <xf numFmtId="0" fontId="201" fillId="0" borderId="0" xfId="0"/>
    <xf numFmtId="0" fontId="201" fillId="0" borderId="0" xfId="0">
      <alignment vertical="top"/>
    </xf>
    <xf numFmtId="0" fontId="183" fillId="57" borderId="0" xfId="0">
      <alignment horizontal="center" vertical="bottom" wrapText="1"/>
    </xf>
    <xf numFmtId="0" fontId="210" fillId="70" borderId="0" xfId="0">
      <alignment horizontal="center" vertical="bottom" wrapText="1"/>
    </xf>
    <xf numFmtId="4948" fontId="210" fillId="70" borderId="0" xfId="0">
      <alignment horizontal="center" vertical="bottom" wrapText="1"/>
    </xf>
    <xf numFmtId="308" fontId="210" fillId="70" borderId="0" xfId="0">
      <alignment horizontal="center" vertical="bottom" wrapText="1"/>
    </xf>
    <xf numFmtId="4937" fontId="210" fillId="70" borderId="0" xfId="62">
      <alignment horizontal="center" vertical="bottom" wrapText="1"/>
    </xf>
    <xf numFmtId="4041" fontId="210" fillId="70" borderId="0" xfId="0">
      <alignment horizontal="center" vertical="bottom" wrapText="1"/>
    </xf>
    <xf numFmtId="4948" fontId="0" fillId="57" borderId="0" xfId="0">
      <alignment horizontal="center" vertical="bottom"/>
    </xf>
    <xf numFmtId="308" fontId="0" fillId="57" borderId="0" xfId="0">
      <alignment horizontal="right" vertical="bottom" indent="1"/>
    </xf>
    <xf numFmtId="4937" fontId="0" fillId="57" borderId="0" xfId="62">
      <alignment horizontal="right" vertical="bottom" indent="1"/>
    </xf>
    <xf numFmtId="4939" fontId="0" fillId="57" borderId="0" xfId="0">
      <alignment horizontal="right" vertical="bottom" indent="1"/>
    </xf>
    <xf numFmtId="4041" fontId="0" fillId="57" borderId="0" xfId="0">
      <alignment horizontal="right" vertical="bottom" indent="1"/>
    </xf>
    <xf numFmtId="308" fontId="0" fillId="57" borderId="0" xfId="0">
      <alignment horizontal="right" vertical="bottom"/>
    </xf>
    <xf numFmtId="4041" fontId="0" fillId="57" borderId="0" xfId="0">
      <alignment horizontal="right" vertical="bottom"/>
    </xf>
    <xf numFmtId="4605" fontId="202" fillId="57" borderId="0" xfId="0">
      <alignment horizontal="right" vertical="top"/>
    </xf>
    <xf numFmtId="324" fontId="86" fillId="57" borderId="0" xfId="0">
      <alignment horizontal="left" vertical="top"/>
    </xf>
    <xf numFmtId="0" fontId="86" fillId="57" borderId="0" xfId="0">
      <alignment vertical="top"/>
    </xf>
    <xf numFmtId="0" fontId="86" fillId="57" borderId="0" xfId="0">
      <alignment vertical="top" wrapText="1"/>
    </xf>
    <xf numFmtId="49" fontId="201" fillId="57" borderId="0" xfId="0">
      <alignment vertical="top"/>
    </xf>
    <xf numFmtId="0" fontId="201" fillId="57" borderId="0" xfId="0">
      <alignment horizontal="left" vertical="top" indent="2"/>
    </xf>
    <xf numFmtId="0" fontId="201" fillId="57" borderId="0" xfId="0">
      <alignment horizontal="left" vertical="top" wrapText="1" indent="2"/>
    </xf>
    <xf numFmtId="0" fontId="201" fillId="57" borderId="0" xfId="0">
      <alignment horizontal="left" vertical="bottom" wrapText="1" indent="4"/>
    </xf>
    <xf numFmtId="0" fontId="86" fillId="57" borderId="0" xfId="0">
      <alignment horizontal="right" vertical="bottom"/>
    </xf>
    <xf numFmtId="0" fontId="345" fillId="57" borderId="0" xfId="0">
      <alignment horizontal="center" vertical="top"/>
    </xf>
    <xf numFmtId="0" fontId="201" fillId="57" borderId="0" xfId="0">
      <alignment horizontal="left" vertical="top"/>
    </xf>
    <xf numFmtId="0" fontId="3" fillId="70" borderId="0" xfId="0">
      <protection locked="0"/>
    </xf>
    <xf numFmtId="0" fontId="3" fillId="70" borderId="0" xfId="0">
      <alignment horizontal="center" vertical="bottom"/>
      <protection locked="0"/>
    </xf>
    <xf numFmtId="0" fontId="272" fillId="68" borderId="0" xfId="0">
      <protection locked="0"/>
    </xf>
    <xf numFmtId="0" fontId="0" fillId="59" borderId="0" xfId="0">
      <protection locked="0"/>
    </xf>
    <xf numFmtId="0" fontId="0" fillId="68" borderId="0" xfId="0">
      <alignment horizontal="left" vertical="bottom" indent="1"/>
      <protection locked="0"/>
    </xf>
    <xf numFmtId="0" fontId="0" fillId="68" borderId="1" xfId="0">
      <alignment horizontal="center" vertical="bottom"/>
      <protection locked="0"/>
    </xf>
    <xf numFmtId="0" fontId="0" fillId="68" borderId="1" xfId="0">
      <alignment horizontal="center" vertical="bottom"/>
    </xf>
    <xf numFmtId="0" fontId="0" fillId="68" borderId="1" xfId="0">
      <protection locked="0"/>
    </xf>
    <xf numFmtId="0" fontId="14" fillId="92" borderId="2" xfId="0"/>
    <xf numFmtId="0" fontId="14" fillId="92" borderId="2" xfId="0">
      <alignment horizontal="left" vertical="bottom" indent="1"/>
      <protection locked="0"/>
    </xf>
    <xf numFmtId="0" fontId="14" fillId="68" borderId="50" xfId="0">
      <alignment horizontal="right" vertical="bottom"/>
      <protection locked="0"/>
    </xf>
    <xf numFmtId="0" fontId="0" fillId="68" borderId="0" xfId="0">
      <protection locked="0"/>
    </xf>
    <xf numFmtId="0" fontId="0" fillId="57" borderId="2" xfId="0">
      <alignment horizontal="left" vertical="bottom" indent="1"/>
      <protection locked="0"/>
    </xf>
    <xf numFmtId="0" fontId="0" fillId="68" borderId="50" xfId="0">
      <alignment horizontal="right" vertical="bottom"/>
      <protection locked="0"/>
    </xf>
    <xf numFmtId="0" fontId="0" fillId="68" borderId="0" xfId="0">
      <alignment horizontal="center" vertical="bottom"/>
      <protection locked="0"/>
    </xf>
    <xf numFmtId="58" fontId="0" fillId="68" borderId="0" xfId="0">
      <protection locked="0"/>
    </xf>
    <xf numFmtId="58" fontId="0" fillId="68" borderId="0" xfId="0"/>
    <xf numFmtId="5156" fontId="0" fillId="57" borderId="2" xfId="0">
      <alignment horizontal="left" vertical="bottom" indent="1"/>
      <protection locked="0"/>
    </xf>
    <xf numFmtId="58" fontId="0" fillId="68" borderId="0" xfId="0">
      <alignment horizontal="right" vertical="bottom"/>
      <protection locked="0"/>
    </xf>
    <xf numFmtId="0" fontId="233" fillId="0" borderId="2" xfId="0">
      <alignment horizontal="center" vertical="center"/>
      <protection locked="0"/>
    </xf>
    <xf numFmtId="0" fontId="254" fillId="68" borderId="0" xfId="0">
      <alignment horizontal="center" vertical="bottom"/>
      <protection locked="0"/>
    </xf>
    <xf numFmtId="0" fontId="0" fillId="57" borderId="7" xfId="0"/>
    <xf numFmtId="0" fontId="0" fillId="57" borderId="7" xfId="0">
      <alignment horizontal="left" vertical="bottom" indent="1"/>
      <protection locked="0"/>
    </xf>
    <xf numFmtId="49" fontId="0" fillId="57" borderId="2" xfId="0">
      <alignment horizontal="left" vertical="center" indent="1"/>
      <protection locked="0"/>
    </xf>
    <xf numFmtId="0" fontId="148" fillId="68" borderId="0" xfId="0">
      <alignment horizontal="left" vertical="bottom" indent="1"/>
      <protection locked="0"/>
    </xf>
    <xf numFmtId="308" fontId="0" fillId="57" borderId="2" xfId="0">
      <alignment horizontal="left" vertical="center" indent="1"/>
      <protection locked="0"/>
    </xf>
    <xf numFmtId="0" fontId="0" fillId="57" borderId="2" xfId="0">
      <alignment horizontal="left" vertical="center" indent="1"/>
      <protection locked="0"/>
    </xf>
    <xf numFmtId="0" fontId="131" fillId="54" borderId="2" xfId="0">
      <alignment horizontal="center" vertical="center"/>
      <protection locked="0"/>
    </xf>
    <xf numFmtId="0" fontId="163" fillId="44" borderId="2" xfId="0">
      <alignment horizontal="center" vertical="center"/>
      <protection locked="0"/>
    </xf>
    <xf numFmtId="4041" fontId="0" fillId="57" borderId="2" xfId="0">
      <alignment horizontal="left" vertical="center" indent="1"/>
      <protection locked="0"/>
    </xf>
    <xf numFmtId="0" fontId="101" fillId="57" borderId="2" xfId="0">
      <alignment horizontal="left" vertical="center" indent="1"/>
      <protection locked="0"/>
    </xf>
    <xf numFmtId="49" fontId="0" fillId="57" borderId="2" xfId="0">
      <alignment horizontal="left" vertical="bottom" indent="1"/>
      <protection locked="0"/>
    </xf>
    <xf numFmtId="0" fontId="0" fillId="68" borderId="0" xfId="0">
      <alignment horizontal="right" vertical="bottom"/>
      <protection locked="0"/>
    </xf>
    <xf numFmtId="10" fontId="0" fillId="57" borderId="8" xfId="0">
      <alignment horizontal="left" vertical="bottom" indent="1"/>
      <protection locked="0"/>
    </xf>
    <xf numFmtId="10" fontId="0" fillId="68" borderId="0" xfId="0">
      <alignment horizontal="right" vertical="bottom"/>
      <protection locked="0"/>
    </xf>
    <xf numFmtId="5158" fontId="0" fillId="57" borderId="2" xfId="0">
      <alignment horizontal="left" vertical="center" indent="1"/>
      <protection locked="0"/>
    </xf>
    <xf numFmtId="3" fontId="0" fillId="68" borderId="0" xfId="0">
      <protection locked="0"/>
    </xf>
    <xf numFmtId="3" fontId="0" fillId="68" borderId="0" xfId="0">
      <alignment horizontal="right" vertical="bottom"/>
      <protection locked="0"/>
    </xf>
    <xf numFmtId="5159" fontId="0" fillId="57" borderId="2" xfId="0">
      <alignment horizontal="left" vertical="bottom" indent="1"/>
      <protection locked="0"/>
    </xf>
    <xf numFmtId="308" fontId="0" fillId="57" borderId="2" xfId="0">
      <alignment horizontal="left" vertical="bottom" indent="1"/>
      <protection locked="0"/>
    </xf>
    <xf numFmtId="10" fontId="0" fillId="57" borderId="2" xfId="0">
      <alignment horizontal="left" vertical="bottom" indent="1"/>
      <protection locked="0"/>
    </xf>
    <xf numFmtId="10" fontId="0" fillId="57" borderId="2" xfId="276">
      <alignment horizontal="left" vertical="bottom" indent="1"/>
      <protection locked="0"/>
    </xf>
    <xf numFmtId="0" fontId="0" fillId="68" borderId="0" xfId="0" quotePrefix="1">
      <protection locked="0"/>
    </xf>
    <xf numFmtId="5159" fontId="0" fillId="57" borderId="2" xfId="0">
      <alignment horizontal="left" vertical="center" indent="1"/>
      <protection locked="0"/>
    </xf>
    <xf numFmtId="4041" fontId="0" fillId="57" borderId="2" xfId="276">
      <alignment horizontal="left" vertical="bottom" indent="1"/>
      <protection locked="0"/>
    </xf>
    <xf numFmtId="0" fontId="148" fillId="68" borderId="0" xfId="0" quotePrefix="1">
      <alignment horizontal="left" vertical="bottom" indent="1"/>
      <protection locked="0"/>
    </xf>
    <xf numFmtId="4041" fontId="101" fillId="57" borderId="2" xfId="0">
      <alignment horizontal="left" vertical="center" indent="1"/>
      <protection locked="0"/>
    </xf>
    <xf numFmtId="3" fontId="0" fillId="57" borderId="2" xfId="0">
      <alignment horizontal="left" vertical="bottom" indent="1"/>
      <protection locked="0"/>
    </xf>
    <xf numFmtId="0" fontId="0" fillId="68" borderId="0" xfId="0">
      <alignment horizontal="right" vertical="center"/>
      <protection locked="0"/>
    </xf>
    <xf numFmtId="0" fontId="131" fillId="68" borderId="0" xfId="0">
      <alignment horizontal="right" vertical="center"/>
      <protection locked="0"/>
    </xf>
    <xf numFmtId="0" fontId="100" fillId="57" borderId="0" xfId="0"/>
    <xf numFmtId="0" fontId="100" fillId="57" borderId="0" xfId="0">
      <alignment horizontal="left" vertical="bottom"/>
    </xf>
    <xf numFmtId="0" fontId="100" fillId="57" borderId="0" xfId="0">
      <alignment horizontal="right" vertical="bottom"/>
    </xf>
    <xf numFmtId="0" fontId="100" fillId="57" borderId="0" xfId="0">
      <alignment horizontal="center" vertical="bottom"/>
    </xf>
    <xf numFmtId="58" fontId="93" fillId="57" borderId="0" xfId="0"/>
    <xf numFmtId="0" fontId="94" fillId="57" borderId="0" xfId="0"/>
    <xf numFmtId="0" fontId="94" fillId="57" borderId="0" xfId="0">
      <alignment horizontal="left" vertical="bottom"/>
    </xf>
    <xf numFmtId="0" fontId="94" fillId="57" borderId="0" xfId="0">
      <alignment horizontal="right" vertical="bottom"/>
    </xf>
    <xf numFmtId="4004" fontId="93" fillId="57" borderId="0" xfId="0"/>
    <xf numFmtId="0" fontId="209" fillId="57" borderId="0" xfId="0">
      <alignment horizontal="left" vertical="bottom"/>
    </xf>
    <xf numFmtId="0" fontId="94" fillId="57" borderId="36" xfId="0">
      <alignment horizontal="center" vertical="bottom"/>
    </xf>
    <xf numFmtId="0" fontId="94" fillId="57" borderId="43" xfId="0">
      <alignment horizontal="center" vertical="bottom"/>
    </xf>
    <xf numFmtId="0" fontId="94" fillId="57" borderId="61" xfId="0">
      <alignment horizontal="center" vertical="bottom"/>
    </xf>
    <xf numFmtId="0" fontId="94" fillId="57" borderId="61" xfId="0"/>
    <xf numFmtId="1163" fontId="110" fillId="96" borderId="42" xfId="211">
      <alignment horizontal="center" vertical="center"/>
    </xf>
    <xf numFmtId="0" fontId="94" fillId="57" borderId="35" xfId="0"/>
    <xf numFmtId="0" fontId="94" fillId="57" borderId="35" xfId="0">
      <alignment horizontal="center" vertical="bottom"/>
    </xf>
    <xf numFmtId="0" fontId="94" fillId="57" borderId="37" xfId="0"/>
    <xf numFmtId="0" fontId="94" fillId="57" borderId="37" xfId="0">
      <alignment horizontal="center" vertical="bottom"/>
    </xf>
    <xf numFmtId="0" fontId="94" fillId="57" borderId="0" xfId="0">
      <alignment horizontal="center" vertical="bottom"/>
    </xf>
    <xf numFmtId="0" fontId="94" fillId="57" borderId="38" xfId="0">
      <alignment horizontal="center" vertical="bottom"/>
    </xf>
    <xf numFmtId="0" fontId="94" fillId="57" borderId="38" xfId="0"/>
    <xf numFmtId="1163" fontId="110" fillId="96" borderId="35" xfId="211">
      <alignment horizontal="center" vertical="center"/>
    </xf>
    <xf numFmtId="0" fontId="94" fillId="57" borderId="39" xfId="0">
      <alignment horizontal="center" vertical="bottom"/>
    </xf>
    <xf numFmtId="0" fontId="94" fillId="57" borderId="30" xfId="0">
      <alignment horizontal="center" vertical="bottom"/>
    </xf>
    <xf numFmtId="0" fontId="94" fillId="57" borderId="55" xfId="0">
      <alignment horizontal="center" vertical="bottom"/>
    </xf>
    <xf numFmtId="0" fontId="94" fillId="57" borderId="39" xfId="0"/>
    <xf numFmtId="0" fontId="94" fillId="57" borderId="55" xfId="0"/>
    <xf numFmtId="1163" fontId="110" fillId="96" borderId="84" xfId="211">
      <alignment horizontal="center" vertical="center"/>
    </xf>
    <xf numFmtId="0" fontId="94" fillId="57" borderId="36" xfId="0"/>
    <xf numFmtId="0" fontId="94" fillId="57" borderId="43" xfId="0">
      <alignment horizontal="right" vertical="bottom"/>
    </xf>
    <xf numFmtId="0" fontId="94" fillId="57" borderId="61" xfId="0">
      <alignment horizontal="right" vertical="bottom"/>
    </xf>
    <xf numFmtId="0" fontId="94" fillId="57" borderId="42" xfId="0"/>
    <xf numFmtId="0" fontId="94" fillId="57" borderId="43" xfId="0"/>
    <xf numFmtId="0" fontId="94" fillId="57" borderId="38" xfId="0">
      <alignment horizontal="right" vertical="bottom"/>
    </xf>
    <xf numFmtId="0" fontId="94" fillId="57" borderId="37" xfId="0">
      <alignment horizontal="right" vertical="bottom"/>
    </xf>
    <xf numFmtId="0" fontId="94" fillId="57" borderId="35" xfId="0">
      <alignment horizontal="right" vertical="bottom"/>
    </xf>
    <xf numFmtId="4063" fontId="94" fillId="57" borderId="37" xfId="0"/>
    <xf numFmtId="4063" fontId="94" fillId="57" borderId="0" xfId="0">
      <alignment horizontal="right" vertical="bottom"/>
    </xf>
    <xf numFmtId="4063" fontId="94" fillId="57" borderId="38" xfId="0">
      <alignment horizontal="right" vertical="bottom"/>
    </xf>
    <xf numFmtId="4063" fontId="94" fillId="57" borderId="38" xfId="0"/>
    <xf numFmtId="4063" fontId="94" fillId="57" borderId="35" xfId="0"/>
    <xf numFmtId="4063" fontId="94" fillId="57" borderId="0" xfId="0"/>
    <xf numFmtId="4090" fontId="94" fillId="57" borderId="35" xfId="0"/>
    <xf numFmtId="4063" fontId="95" fillId="57" borderId="37" xfId="0"/>
    <xf numFmtId="4031" fontId="94" fillId="57" borderId="0" xfId="0">
      <alignment horizontal="right" vertical="bottom"/>
    </xf>
    <xf numFmtId="4031" fontId="94" fillId="57" borderId="38" xfId="276">
      <alignment horizontal="right" vertical="bottom"/>
    </xf>
    <xf numFmtId="4031" fontId="94" fillId="57" borderId="38" xfId="276"/>
    <xf numFmtId="4031" fontId="94" fillId="57" borderId="0" xfId="276">
      <alignment horizontal="right" vertical="bottom"/>
    </xf>
    <xf numFmtId="4031" fontId="94" fillId="57" borderId="35" xfId="276"/>
    <xf numFmtId="4031" fontId="94" fillId="57" borderId="0" xfId="0"/>
    <xf numFmtId="10" fontId="94" fillId="57" borderId="38" xfId="276"/>
    <xf numFmtId="0" fontId="94" fillId="57" borderId="44" xfId="0">
      <alignment horizontal="left" vertical="bottom"/>
    </xf>
    <xf numFmtId="0" fontId="94" fillId="57" borderId="14" xfId="0"/>
    <xf numFmtId="4063" fontId="94" fillId="57" borderId="44" xfId="0"/>
    <xf numFmtId="4063" fontId="94" fillId="57" borderId="14" xfId="0">
      <alignment horizontal="right" vertical="bottom"/>
    </xf>
    <xf numFmtId="4063" fontId="94" fillId="57" borderId="41" xfId="0">
      <alignment horizontal="right" vertical="bottom"/>
    </xf>
    <xf numFmtId="4063" fontId="94" fillId="57" borderId="41" xfId="0"/>
    <xf numFmtId="4063" fontId="94" fillId="57" borderId="40" xfId="0"/>
    <xf numFmtId="4063" fontId="94" fillId="57" borderId="14" xfId="0"/>
    <xf numFmtId="0" fontId="94" fillId="57" borderId="0" xfId="0">
      <alignment horizontal="right" vertical="center"/>
    </xf>
    <xf numFmtId="0" fontId="21" fillId="57" borderId="0" xfId="0">
      <alignment horizontal="left" vertical="center"/>
    </xf>
    <xf numFmtId="10" fontId="21" fillId="57" borderId="37" xfId="0">
      <alignment horizontal="right" vertical="center"/>
    </xf>
    <xf numFmtId="4031" fontId="21" fillId="57" borderId="0" xfId="276">
      <alignment horizontal="right" vertical="center"/>
    </xf>
    <xf numFmtId="10" fontId="21" fillId="57" borderId="37" xfId="276">
      <alignment horizontal="right" vertical="center"/>
    </xf>
    <xf numFmtId="4031" fontId="21" fillId="57" borderId="35" xfId="276">
      <alignment horizontal="right" vertical="center"/>
    </xf>
    <xf numFmtId="10" fontId="21" fillId="57" borderId="35" xfId="276">
      <alignment horizontal="right" vertical="center"/>
    </xf>
    <xf numFmtId="10" fontId="21" fillId="57" borderId="38" xfId="276">
      <alignment horizontal="right" vertical="center"/>
    </xf>
    <xf numFmtId="4031" fontId="21" fillId="57" borderId="38" xfId="276">
      <alignment horizontal="right" vertical="center"/>
    </xf>
    <xf numFmtId="9" fontId="21" fillId="57" borderId="37" xfId="276">
      <alignment horizontal="right" vertical="center"/>
    </xf>
    <xf numFmtId="9" fontId="98" fillId="57" borderId="35" xfId="276">
      <alignment horizontal="right" vertical="center"/>
    </xf>
    <xf numFmtId="4063" fontId="21" fillId="57" borderId="37" xfId="276">
      <alignment horizontal="right" vertical="center"/>
    </xf>
    <xf numFmtId="4090" fontId="21" fillId="57" borderId="35" xfId="276">
      <alignment horizontal="right" vertical="center"/>
    </xf>
    <xf numFmtId="0" fontId="94" fillId="57" borderId="37" xfId="0">
      <alignment horizontal="right" vertical="center"/>
    </xf>
    <xf numFmtId="0" fontId="94" fillId="57" borderId="0" xfId="0" quotePrefix="1">
      <alignment horizontal="center" vertical="bottom"/>
    </xf>
    <xf numFmtId="0" fontId="94" fillId="57" borderId="41" xfId="0"/>
    <xf numFmtId="4063" fontId="94" fillId="57" borderId="40" xfId="0">
      <alignment horizontal="right" vertical="bottom"/>
    </xf>
    <xf numFmtId="4063" fontId="94" fillId="57" borderId="44" xfId="0">
      <alignment horizontal="right" vertical="bottom"/>
    </xf>
    <xf numFmtId="308" fontId="94" fillId="57" borderId="39" xfId="0"/>
    <xf numFmtId="308" fontId="94" fillId="57" borderId="30" xfId="0">
      <alignment horizontal="right" vertical="bottom"/>
    </xf>
    <xf numFmtId="308" fontId="94" fillId="57" borderId="41" xfId="0">
      <alignment horizontal="right" vertical="bottom"/>
    </xf>
    <xf numFmtId="308" fontId="94" fillId="57" borderId="41" xfId="0"/>
    <xf numFmtId="308" fontId="94" fillId="57" borderId="40" xfId="0"/>
    <xf numFmtId="308" fontId="94" fillId="57" borderId="84" xfId="0"/>
    <xf numFmtId="308" fontId="94" fillId="57" borderId="55" xfId="0"/>
    <xf numFmtId="308" fontId="94" fillId="57" borderId="30" xfId="0"/>
    <xf numFmtId="4063" fontId="94" fillId="57" borderId="39" xfId="0"/>
    <xf numFmtId="4063" fontId="94" fillId="59" borderId="40" xfId="0"/>
    <xf numFmtId="4063" fontId="94" fillId="59" borderId="40" xfId="0">
      <alignment horizontal="right" vertical="bottom"/>
    </xf>
    <xf numFmtId="4063" fontId="94" fillId="59" borderId="44" xfId="0">
      <alignment horizontal="right" vertical="bottom"/>
    </xf>
    <xf numFmtId="4063" fontId="94" fillId="57" borderId="36" xfId="0"/>
    <xf numFmtId="4063" fontId="94" fillId="57" borderId="37" xfId="0">
      <alignment horizontal="right" vertical="bottom"/>
    </xf>
    <xf numFmtId="49" fontId="94" fillId="57" borderId="0" xfId="0">
      <alignment horizontal="center" vertical="bottom"/>
    </xf>
    <xf numFmtId="308" fontId="94" fillId="57" borderId="35" xfId="0"/>
    <xf numFmtId="308" fontId="94" fillId="57" borderId="37" xfId="0"/>
    <xf numFmtId="49" fontId="94" fillId="57" borderId="0" xfId="0"/>
    <xf numFmtId="4063" fontId="94" fillId="57" borderId="30" xfId="0">
      <alignment horizontal="right" vertical="bottom"/>
    </xf>
    <xf numFmtId="4063" fontId="94" fillId="57" borderId="55" xfId="0">
      <alignment horizontal="right" vertical="bottom"/>
    </xf>
    <xf numFmtId="4063" fontId="94" fillId="57" borderId="55" xfId="0"/>
    <xf numFmtId="4063" fontId="94" fillId="57" borderId="84" xfId="0"/>
    <xf numFmtId="4063" fontId="94" fillId="57" borderId="30" xfId="0"/>
    <xf numFmtId="49" fontId="94" fillId="57" borderId="41" xfId="0"/>
    <xf numFmtId="4063" fontId="94" fillId="57" borderId="42" xfId="0"/>
    <xf numFmtId="4063" fontId="94" fillId="57" borderId="42" xfId="0">
      <alignment horizontal="right" vertical="bottom"/>
    </xf>
    <xf numFmtId="4063" fontId="94" fillId="57" borderId="61" xfId="0"/>
    <xf numFmtId="4090" fontId="94" fillId="57" borderId="0" xfId="0"/>
    <xf numFmtId="10" fontId="94" fillId="57" borderId="0" xfId="0"/>
    <xf numFmtId="10" fontId="94" fillId="57" borderId="0" xfId="0">
      <alignment horizontal="right" vertical="bottom"/>
    </xf>
    <xf numFmtId="4075" fontId="94" fillId="57" borderId="0" xfId="0"/>
    <xf numFmtId="4075" fontId="94" fillId="57" borderId="0" xfId="0">
      <alignment horizontal="left" vertical="bottom"/>
    </xf>
    <xf numFmtId="4075" fontId="94" fillId="57" borderId="0" xfId="0">
      <alignment horizontal="right" vertical="bottom"/>
    </xf>
    <xf numFmtId="0" fontId="94" fillId="57" borderId="0" xfId="0">
      <alignment vertical="center"/>
    </xf>
    <xf numFmtId="0" fontId="94" fillId="57" borderId="44" xfId="0">
      <alignment horizontal="left" vertical="center"/>
    </xf>
    <xf numFmtId="49" fontId="94" fillId="57" borderId="41" xfId="0">
      <alignment vertical="center"/>
    </xf>
    <xf numFmtId="4063" fontId="94" fillId="59" borderId="40" xfId="0">
      <alignment vertical="center"/>
    </xf>
    <xf numFmtId="4063" fontId="94" fillId="59" borderId="40" xfId="0">
      <alignment horizontal="right" vertical="center"/>
    </xf>
    <xf numFmtId="4090" fontId="94" fillId="57" borderId="0" xfId="0">
      <alignment vertical="center"/>
    </xf>
    <xf numFmtId="4063" fontId="94" fillId="59" borderId="44" xfId="0">
      <alignment vertical="center"/>
    </xf>
    <xf numFmtId="4063" fontId="94" fillId="57" borderId="0" xfId="0">
      <alignment vertical="center"/>
    </xf>
    <xf numFmtId="4116" fontId="94" fillId="57" borderId="0" xfId="68"/>
    <xf numFmtId="0" fontId="94" fillId="0" borderId="0" xfId="0">
      <alignment horizontal="right" vertical="bottom"/>
    </xf>
    <xf numFmtId="10" fontId="94" fillId="0" borderId="0" xfId="276"/>
    <xf numFmtId="10" fontId="94" fillId="0" borderId="0" xfId="276">
      <alignment horizontal="right" vertical="bottom"/>
    </xf>
    <xf numFmtId="4031" fontId="94" fillId="57" borderId="40" xfId="276"/>
    <xf numFmtId="4075" fontId="94" fillId="57" borderId="40" xfId="0"/>
    <xf numFmtId="308" fontId="94" fillId="57" borderId="0" xfId="0"/>
    <xf numFmtId="308" fontId="94" fillId="57" borderId="0" xfId="0">
      <alignment horizontal="left" vertical="bottom"/>
    </xf>
    <xf numFmtId="308" fontId="94" fillId="57" borderId="0" xfId="0">
      <alignment horizontal="right" vertical="bottom"/>
    </xf>
    <xf numFmtId="308" fontId="94" fillId="57" borderId="40" xfId="0">
      <alignment horizontal="right" vertical="bottom"/>
    </xf>
    <xf numFmtId="308" fontId="94" fillId="57" borderId="44" xfId="0">
      <alignment horizontal="left" vertical="bottom"/>
    </xf>
    <xf numFmtId="0" fontId="94" fillId="57" borderId="40" xfId="0">
      <alignment horizontal="left" vertical="bottom"/>
    </xf>
    <xf numFmtId="2" fontId="94" fillId="57" borderId="40" xfId="0">
      <alignment horizontal="right" vertical="bottom"/>
    </xf>
    <xf numFmtId="2" fontId="94" fillId="57" borderId="0" xfId="0">
      <alignment horizontal="right" vertical="bottom"/>
    </xf>
    <xf numFmtId="2" fontId="94" fillId="57" borderId="0" xfId="0"/>
    <xf numFmtId="39" fontId="94" fillId="57" borderId="0" xfId="0">
      <alignment horizontal="right" vertical="bottom"/>
    </xf>
    <xf numFmtId="39" fontId="94" fillId="57" borderId="0" xfId="0"/>
    <xf numFmtId="39" fontId="94" fillId="57" borderId="40" xfId="0">
      <alignment horizontal="right" vertical="bottom"/>
    </xf>
    <xf numFmtId="0" fontId="94" fillId="57" borderId="14" xfId="0">
      <alignment horizontal="left" vertical="bottom"/>
    </xf>
    <xf numFmtId="39" fontId="94" fillId="57" borderId="14" xfId="0">
      <alignment horizontal="right" vertical="bottom"/>
    </xf>
    <xf numFmtId="0" fontId="94" fillId="68" borderId="0" xfId="0">
      <alignment horizontal="left" vertical="bottom"/>
    </xf>
    <xf numFmtId="0" fontId="94" fillId="68" borderId="0" xfId="0"/>
    <xf numFmtId="0" fontId="94" fillId="68" borderId="0" xfId="0">
      <alignment horizontal="right" vertical="bottom"/>
    </xf>
    <xf numFmtId="0" fontId="94" fillId="68" borderId="0" xfId="276"/>
    <xf numFmtId="0" fontId="94" fillId="57" borderId="40" xfId="276"/>
    <xf numFmtId="4063" fontId="94" fillId="68" borderId="0" xfId="0"/>
    <xf numFmtId="4031" fontId="94" fillId="68" borderId="0" xfId="276"/>
    <xf numFmtId="0" fontId="0" fillId="0" borderId="14" xfId="0"/>
    <xf numFmtId="0" fontId="94" fillId="57" borderId="14" xfId="0">
      <alignment horizontal="right" vertical="bottom"/>
    </xf>
    <xf numFmtId="0" fontId="94" fillId="57" borderId="41" xfId="0">
      <alignment horizontal="right" vertical="bottom"/>
    </xf>
    <xf numFmtId="0" fontId="94" fillId="57" borderId="41" xfId="0">
      <alignment horizontal="center" vertical="bottom"/>
    </xf>
    <xf numFmtId="0" fontId="94" fillId="57" borderId="36" xfId="0">
      <alignment horizontal="left" vertical="bottom"/>
    </xf>
    <xf numFmtId="0" fontId="94" fillId="57" borderId="43" xfId="0">
      <alignment horizontal="left" vertical="bottom"/>
    </xf>
    <xf numFmtId="10" fontId="94" fillId="57" borderId="43" xfId="0">
      <alignment horizontal="right" vertical="bottom"/>
    </xf>
    <xf numFmtId="10" fontId="94" fillId="57" borderId="43" xfId="276">
      <alignment horizontal="right" vertical="bottom"/>
    </xf>
    <xf numFmtId="10" fontId="94" fillId="57" borderId="61" xfId="276">
      <alignment horizontal="right" vertical="bottom"/>
    </xf>
    <xf numFmtId="10" fontId="94" fillId="57" borderId="61" xfId="276">
      <alignment horizontal="center" vertical="bottom"/>
    </xf>
    <xf numFmtId="10" fontId="94" fillId="57" borderId="0" xfId="276">
      <alignment horizontal="center" vertical="bottom"/>
    </xf>
    <xf numFmtId="10" fontId="94" fillId="57" borderId="36" xfId="276">
      <alignment horizontal="center" vertical="bottom"/>
    </xf>
    <xf numFmtId="10" fontId="94" fillId="57" borderId="61" xfId="276"/>
    <xf numFmtId="0" fontId="94" fillId="57" borderId="37" xfId="0">
      <alignment horizontal="left" vertical="bottom"/>
    </xf>
    <xf numFmtId="10" fontId="94" fillId="57" borderId="0" xfId="276">
      <alignment horizontal="right" vertical="bottom"/>
    </xf>
    <xf numFmtId="10" fontId="94" fillId="57" borderId="38" xfId="276">
      <alignment horizontal="right" vertical="bottom"/>
    </xf>
    <xf numFmtId="10" fontId="94" fillId="57" borderId="38" xfId="276">
      <alignment horizontal="center" vertical="bottom"/>
    </xf>
    <xf numFmtId="10" fontId="94" fillId="57" borderId="37" xfId="276">
      <alignment horizontal="center" vertical="bottom"/>
    </xf>
    <xf numFmtId="0" fontId="94" fillId="57" borderId="39" xfId="0">
      <alignment horizontal="left" vertical="bottom"/>
    </xf>
    <xf numFmtId="0" fontId="94" fillId="57" borderId="30" xfId="0">
      <alignment horizontal="left" vertical="bottom"/>
    </xf>
    <xf numFmtId="10" fontId="94" fillId="57" borderId="30" xfId="0">
      <alignment horizontal="right" vertical="bottom"/>
    </xf>
    <xf numFmtId="10" fontId="94" fillId="57" borderId="30" xfId="276">
      <alignment horizontal="right" vertical="bottom"/>
    </xf>
    <xf numFmtId="10" fontId="94" fillId="57" borderId="55" xfId="276">
      <alignment horizontal="right" vertical="bottom"/>
    </xf>
    <xf numFmtId="10" fontId="94" fillId="57" borderId="55" xfId="276">
      <alignment horizontal="center" vertical="bottom"/>
    </xf>
    <xf numFmtId="10" fontId="94" fillId="57" borderId="39" xfId="276">
      <alignment horizontal="center" vertical="bottom"/>
    </xf>
    <xf numFmtId="10" fontId="94" fillId="57" borderId="55" xfId="276"/>
    <xf numFmtId="4063" fontId="94" fillId="57" borderId="0" xfId="0">
      <alignment horizontal="right" vertical="bottom" indent="1"/>
    </xf>
    <xf numFmtId="4063" fontId="94" fillId="57" borderId="0" xfId="0">
      <alignment horizontal="left" vertical="bottom" indent="1"/>
    </xf>
    <xf numFmtId="10" fontId="94" fillId="57" borderId="0" xfId="0">
      <alignment horizontal="right" vertical="bottom" indent="1"/>
    </xf>
    <xf numFmtId="10" fontId="94" fillId="57" borderId="0" xfId="0">
      <alignment horizontal="left" vertical="bottom" indent="1"/>
    </xf>
    <xf numFmtId="37" fontId="94" fillId="57" borderId="0" xfId="0">
      <alignment horizontal="left" vertical="bottom"/>
    </xf>
    <xf numFmtId="37" fontId="94" fillId="57" borderId="0" xfId="0">
      <alignment horizontal="right" vertical="bottom"/>
    </xf>
    <xf numFmtId="4091" fontId="94" fillId="57" borderId="0" xfId="0">
      <alignment horizontal="left" vertical="bottom"/>
    </xf>
    <xf numFmtId="4091" fontId="94" fillId="57" borderId="0" xfId="0">
      <alignment horizontal="right" vertical="bottom"/>
    </xf>
    <xf numFmtId="0" fontId="0" fillId="0" borderId="0" xfId="0">
      <alignment horizontal="right" vertical="bottom"/>
    </xf>
    <xf numFmtId="0" fontId="97" fillId="59" borderId="0" xfId="0">
      <alignment horizontal="center" vertical="center"/>
    </xf>
    <xf numFmtId="0" fontId="0" fillId="0" borderId="0" xfId="0">
      <protection locked="0"/>
    </xf>
    <xf numFmtId="0" fontId="94" fillId="59" borderId="0" xfId="0">
      <alignment horizontal="right" vertical="center" indent="1"/>
    </xf>
    <xf numFmtId="308" fontId="270" fillId="59" borderId="0" xfId="0">
      <alignment horizontal="center" vertical="center"/>
    </xf>
    <xf numFmtId="0" fontId="293" fillId="59" borderId="2" xfId="0">
      <alignment horizontal="center" vertical="center"/>
    </xf>
    <xf numFmtId="3" fontId="293" fillId="59" borderId="0" xfId="0">
      <alignment horizontal="left" vertical="center"/>
    </xf>
    <xf numFmtId="0" fontId="293" fillId="59" borderId="0" xfId="0">
      <alignment horizontal="left" vertical="center"/>
    </xf>
    <xf numFmtId="0" fontId="293" fillId="59" borderId="0" xfId="0">
      <alignment horizontal="center" vertical="center"/>
    </xf>
    <xf numFmtId="0" fontId="97" fillId="59" borderId="0" xfId="0">
      <alignment vertical="center"/>
    </xf>
    <xf numFmtId="0" fontId="291" fillId="59" borderId="0" xfId="0">
      <alignment horizontal="right" vertical="center"/>
    </xf>
    <xf numFmtId="0" fontId="275" fillId="59" borderId="0" xfId="181">
      <alignment horizontal="center" vertical="center"/>
    </xf>
    <xf numFmtId="0" fontId="292" fillId="59" borderId="0" xfId="181">
      <alignment vertical="center" wrapText="1"/>
    </xf>
    <xf numFmtId="0" fontId="94" fillId="59" borderId="0" xfId="0">
      <alignment horizontal="right" vertical="center"/>
    </xf>
    <xf numFmtId="0" fontId="97" fillId="59" borderId="0" xfId="0">
      <alignment horizontal="left" vertical="center"/>
    </xf>
    <xf numFmtId="0" fontId="97" fillId="61" borderId="0" xfId="0">
      <alignment horizontal="left" vertical="center"/>
    </xf>
    <xf numFmtId="0" fontId="94" fillId="59" borderId="0" xfId="0">
      <alignment vertical="center"/>
    </xf>
    <xf numFmtId="0" fontId="94" fillId="59" borderId="0" xfId="0">
      <alignment horizontal="left" vertical="center"/>
    </xf>
    <xf numFmtId="0" fontId="97" fillId="61" borderId="0" xfId="0">
      <alignment horizontal="center" vertical="center"/>
    </xf>
    <xf numFmtId="0" fontId="115" fillId="59" borderId="0" xfId="0">
      <alignment horizontal="left" vertical="center"/>
    </xf>
    <xf numFmtId="0" fontId="94" fillId="59" borderId="0" xfId="0">
      <alignment horizontal="right" vertical="center" wrapText="1" indent="1"/>
    </xf>
    <xf numFmtId="58" fontId="94" fillId="57" borderId="40" xfId="0">
      <alignment horizontal="center" vertical="center"/>
      <protection locked="0"/>
    </xf>
    <xf numFmtId="1" fontId="0" fillId="59" borderId="0" xfId="0">
      <alignment horizontal="center" vertical="top" wrapText="1"/>
    </xf>
    <xf numFmtId="0" fontId="97" fillId="59" borderId="0" xfId="0">
      <alignment vertical="top" wrapText="1"/>
    </xf>
    <xf numFmtId="1" fontId="97" fillId="59" borderId="0" xfId="0">
      <alignment horizontal="center" vertical="top" wrapText="1"/>
    </xf>
    <xf numFmtId="1" fontId="97" fillId="57" borderId="2" xfId="0">
      <alignment horizontal="center" vertical="center"/>
    </xf>
    <xf numFmtId="0" fontId="297" fillId="59" borderId="0" xfId="0">
      <alignment vertical="center"/>
    </xf>
    <xf numFmtId="0" fontId="191" fillId="70" borderId="9" xfId="0">
      <alignment horizontal="center" vertical="center"/>
    </xf>
    <xf numFmtId="0" fontId="115" fillId="70" borderId="16" xfId="0">
      <alignment horizontal="center" vertical="center"/>
    </xf>
    <xf numFmtId="0" fontId="115" fillId="70" borderId="16" xfId="0">
      <alignment horizontal="left" vertical="center"/>
    </xf>
    <xf numFmtId="0" fontId="97" fillId="59" borderId="50" xfId="0">
      <alignment vertical="center"/>
    </xf>
    <xf numFmtId="0" fontId="97" fillId="59" borderId="11" xfId="0">
      <alignment horizontal="center" vertical="center" wrapText="1"/>
    </xf>
    <xf numFmtId="0" fontId="182" fillId="57" borderId="46" xfId="0">
      <alignment horizontal="left" vertical="top" wrapText="1"/>
    </xf>
    <xf numFmtId="0" fontId="182" fillId="57" borderId="47" xfId="0">
      <alignment horizontal="left" vertical="top" wrapText="1"/>
    </xf>
    <xf numFmtId="0" fontId="182" fillId="57" borderId="48" xfId="0">
      <alignment horizontal="left" vertical="top" wrapText="1"/>
    </xf>
    <xf numFmtId="0" fontId="97" fillId="21" borderId="8" xfId="0">
      <alignment horizontal="center" vertical="center"/>
      <protection locked="0"/>
    </xf>
    <xf numFmtId="0" fontId="115" fillId="70" borderId="11" xfId="0">
      <alignment horizontal="center" vertical="center"/>
    </xf>
    <xf numFmtId="0" fontId="97" fillId="59" borderId="52" xfId="0">
      <alignment horizontal="center" vertical="center" wrapText="1"/>
    </xf>
    <xf numFmtId="0" fontId="182" fillId="57" borderId="50" xfId="0">
      <alignment horizontal="left" vertical="top" wrapText="1"/>
    </xf>
    <xf numFmtId="0" fontId="182" fillId="57" borderId="0" xfId="0">
      <alignment horizontal="left" vertical="top" wrapText="1"/>
    </xf>
    <xf numFmtId="0" fontId="182" fillId="57" borderId="51" xfId="0">
      <alignment horizontal="left" vertical="top" wrapText="1"/>
    </xf>
    <xf numFmtId="0" fontId="97" fillId="21" borderId="2" xfId="0">
      <alignment horizontal="center" vertical="center"/>
      <protection locked="0"/>
    </xf>
    <xf numFmtId="0" fontId="115" fillId="70" borderId="52" xfId="0">
      <alignment horizontal="center" vertical="center"/>
    </xf>
    <xf numFmtId="0" fontId="109" fillId="59" borderId="0" xfId="0">
      <alignment vertical="center" wrapText="1"/>
    </xf>
    <xf numFmtId="0" fontId="97" fillId="57" borderId="2" xfId="0">
      <alignment horizontal="center" vertical="center" wrapText="1"/>
    </xf>
    <xf numFmtId="0" fontId="97" fillId="57" borderId="11" xfId="0">
      <alignment horizontal="center" vertical="center" wrapText="1"/>
    </xf>
    <xf numFmtId="0" fontId="115" fillId="70" borderId="8" xfId="0">
      <alignment horizontal="center" vertical="center"/>
    </xf>
    <xf numFmtId="0" fontId="97" fillId="59" borderId="0" xfId="0">
      <alignment horizontal="center" vertical="bottom"/>
    </xf>
    <xf numFmtId="0" fontId="97" fillId="59" borderId="8" xfId="0">
      <alignment horizontal="center" vertical="center" wrapText="1"/>
    </xf>
    <xf numFmtId="49" fontId="97" fillId="21" borderId="2" xfId="0">
      <alignment horizontal="center" vertical="center"/>
      <protection locked="0"/>
    </xf>
    <xf numFmtId="49" fontId="97" fillId="21" borderId="9" xfId="0">
      <alignment horizontal="center" vertical="center"/>
      <protection locked="0"/>
    </xf>
    <xf numFmtId="49" fontId="97" fillId="21" borderId="53" xfId="0">
      <alignment horizontal="center" vertical="center"/>
      <protection locked="0"/>
    </xf>
    <xf numFmtId="0" fontId="108" fillId="52" borderId="11" xfId="0">
      <alignment horizontal="center" vertical="center" wrapText="1"/>
    </xf>
    <xf numFmtId="0" fontId="97" fillId="57" borderId="2" xfId="0">
      <alignment horizontal="center" vertical="center"/>
    </xf>
    <xf numFmtId="0" fontId="97" fillId="59" borderId="2" xfId="0">
      <alignment vertical="center"/>
    </xf>
    <xf numFmtId="0" fontId="145" fillId="59" borderId="0" xfId="0">
      <alignment vertical="center"/>
    </xf>
    <xf numFmtId="0" fontId="145" fillId="59" borderId="0" xfId="0">
      <alignment horizontal="center" vertical="center"/>
    </xf>
    <xf numFmtId="0" fontId="145" fillId="61" borderId="0" xfId="0">
      <alignment vertical="center"/>
    </xf>
    <xf numFmtId="0" fontId="146" fillId="59" borderId="0" xfId="0">
      <alignment vertical="center" wrapText="1"/>
    </xf>
    <xf numFmtId="0" fontId="145" fillId="59" borderId="0" xfId="0">
      <alignment vertical="center" wrapText="1"/>
    </xf>
    <xf numFmtId="0" fontId="182" fillId="57" borderId="45" xfId="0">
      <alignment horizontal="left" vertical="top" wrapText="1"/>
    </xf>
    <xf numFmtId="0" fontId="182" fillId="57" borderId="1" xfId="0">
      <alignment horizontal="left" vertical="top" wrapText="1"/>
    </xf>
    <xf numFmtId="0" fontId="182" fillId="57" borderId="49" xfId="0">
      <alignment horizontal="left" vertical="top" wrapText="1"/>
    </xf>
    <xf numFmtId="0" fontId="97" fillId="21" borderId="11" xfId="0">
      <alignment horizontal="center" vertical="center"/>
      <protection locked="0"/>
    </xf>
    <xf numFmtId="0" fontId="97" fillId="21" borderId="52" xfId="0">
      <alignment horizontal="center" vertical="center"/>
      <protection locked="0"/>
    </xf>
    <xf numFmtId="0" fontId="108" fillId="52" borderId="8" xfId="0">
      <alignment horizontal="center" vertical="center" wrapText="1"/>
    </xf>
    <xf numFmtId="3" fontId="145" fillId="59" borderId="0" xfId="0">
      <alignment horizontal="center" vertical="center"/>
    </xf>
    <xf numFmtId="0" fontId="192" fillId="70" borderId="0" xfId="0">
      <alignment vertical="center"/>
    </xf>
    <xf numFmtId="0" fontId="193" fillId="70" borderId="0" xfId="0">
      <alignment vertical="center" wrapText="1"/>
    </xf>
    <xf numFmtId="0" fontId="194" fillId="70" borderId="0" xfId="0">
      <alignment vertical="center" wrapText="1"/>
    </xf>
    <xf numFmtId="0" fontId="97" fillId="59" borderId="0" xfId="0">
      <alignment horizontal="right" vertical="center" wrapText="1"/>
    </xf>
    <xf numFmtId="0" fontId="295" fillId="59" borderId="0" xfId="0">
      <alignment horizontal="center" vertical="center"/>
    </xf>
    <xf numFmtId="0" fontId="294" fillId="59" borderId="0" xfId="0">
      <alignment horizontal="center" vertical="center"/>
    </xf>
    <xf numFmtId="0" fontId="294" fillId="59" borderId="0" xfId="0">
      <alignment horizontal="left" vertical="center"/>
    </xf>
    <xf numFmtId="0" fontId="97" fillId="21" borderId="2" xfId="0">
      <alignment horizontal="center" vertical="center" wrapText="1"/>
      <protection locked="0"/>
    </xf>
    <xf numFmtId="0" fontId="97" fillId="59" borderId="0" xfId="0">
      <alignment horizontal="center" vertical="center" wrapText="1"/>
    </xf>
    <xf numFmtId="0" fontId="211" fillId="70" borderId="2" xfId="0">
      <alignment horizontal="center" vertical="center" wrapText="1"/>
    </xf>
    <xf numFmtId="0" fontId="21" fillId="0" borderId="11" xfId="0">
      <alignment horizontal="center" vertical="center" wrapText="1"/>
    </xf>
    <xf numFmtId="0" fontId="21" fillId="59" borderId="50" xfId="0">
      <alignment horizontal="center" vertical="center" wrapText="1"/>
    </xf>
    <xf numFmtId="49" fontId="97" fillId="59" borderId="53" xfId="0">
      <alignment horizontal="center" vertical="center"/>
      <protection locked="0"/>
    </xf>
    <xf numFmtId="49" fontId="97" fillId="59" borderId="2" xfId="0">
      <alignment horizontal="center" vertical="center"/>
      <protection locked="0"/>
    </xf>
    <xf numFmtId="0" fontId="94" fillId="57" borderId="11" xfId="0">
      <alignment horizontal="center" vertical="center" wrapText="1"/>
    </xf>
    <xf numFmtId="0" fontId="210" fillId="70" borderId="2" xfId="0">
      <alignment horizontal="center" vertical="center" wrapText="1"/>
    </xf>
    <xf numFmtId="49" fontId="210" fillId="70" borderId="2" xfId="0">
      <alignment horizontal="center" vertical="center" wrapText="1"/>
    </xf>
    <xf numFmtId="4719" fontId="210" fillId="70" borderId="2" xfId="0">
      <alignment horizontal="center" vertical="center" wrapText="1"/>
    </xf>
    <xf numFmtId="0" fontId="94" fillId="59" borderId="1" xfId="0">
      <alignment horizontal="left" vertical="center"/>
    </xf>
    <xf numFmtId="0" fontId="97" fillId="59" borderId="1" xfId="0">
      <alignment horizontal="center" vertical="center"/>
    </xf>
    <xf numFmtId="0" fontId="97" fillId="59" borderId="1" xfId="0">
      <alignment horizontal="left" vertical="center"/>
    </xf>
    <xf numFmtId="0" fontId="300" fillId="70" borderId="2" xfId="0">
      <alignment vertical="center"/>
    </xf>
    <xf numFmtId="0" fontId="300" fillId="70" borderId="2" xfId="0">
      <alignment horizontal="center" vertical="center"/>
    </xf>
    <xf numFmtId="0" fontId="301" fillId="70" borderId="2" xfId="0">
      <alignment vertical="center"/>
    </xf>
    <xf numFmtId="0" fontId="21" fillId="0" borderId="8" xfId="0">
      <alignment horizontal="center" vertical="center" wrapText="1"/>
    </xf>
    <xf numFmtId="0" fontId="19" fillId="59" borderId="53" xfId="0">
      <alignment horizontal="center" vertical="center"/>
    </xf>
    <xf numFmtId="0" fontId="19" fillId="59" borderId="2" xfId="0">
      <alignment horizontal="center" vertical="center"/>
    </xf>
    <xf numFmtId="0" fontId="19" fillId="59" borderId="0" xfId="0">
      <alignment horizontal="center" vertical="center"/>
    </xf>
    <xf numFmtId="0" fontId="21" fillId="59" borderId="0" xfId="0">
      <alignment horizontal="left" vertical="center"/>
    </xf>
    <xf numFmtId="0" fontId="21" fillId="61" borderId="0" xfId="0">
      <alignment horizontal="left" vertical="center"/>
    </xf>
    <xf numFmtId="0" fontId="94" fillId="57" borderId="8" xfId="0">
      <alignment horizontal="center" vertical="center" wrapText="1"/>
    </xf>
    <xf numFmtId="0" fontId="97" fillId="59" borderId="0" xfId="0"/>
    <xf numFmtId="308" fontId="97" fillId="21" borderId="2" xfId="0">
      <alignment horizontal="right" vertical="center" indent="2"/>
      <protection locked="0"/>
    </xf>
    <xf numFmtId="49" fontId="97" fillId="21" borderId="2" xfId="0">
      <alignment horizontal="left" vertical="center" indent="1"/>
      <protection locked="0"/>
    </xf>
    <xf numFmtId="308" fontId="97" fillId="57" borderId="2" xfId="0">
      <alignment horizontal="right" vertical="center" indent="2"/>
      <protection locked="0"/>
    </xf>
    <xf numFmtId="308" fontId="97" fillId="57" borderId="2" xfId="0">
      <alignment horizontal="right" vertical="center" indent="2"/>
    </xf>
    <xf numFmtId="4719" fontId="97" fillId="21" borderId="2" xfId="0">
      <alignment horizontal="right" vertical="center" indent="2"/>
      <protection locked="0"/>
    </xf>
    <xf numFmtId="308" fontId="97" fillId="0" borderId="2" xfId="0">
      <alignment horizontal="right" vertical="center" indent="1"/>
    </xf>
    <xf numFmtId="308" fontId="97" fillId="57" borderId="2" xfId="68">
      <alignment horizontal="right" vertical="center" indent="1"/>
    </xf>
    <xf numFmtId="308" fontId="97" fillId="57" borderId="2" xfId="0">
      <alignment horizontal="right" vertical="center"/>
    </xf>
    <xf numFmtId="0" fontId="97" fillId="59" borderId="0" xfId="0">
      <alignment horizontal="right" vertical="center"/>
    </xf>
    <xf numFmtId="4116" fontId="97" fillId="57" borderId="2" xfId="68">
      <alignment horizontal="right" vertical="center"/>
    </xf>
    <xf numFmtId="0" fontId="97" fillId="61" borderId="2" xfId="0">
      <alignment horizontal="right" vertical="center"/>
    </xf>
    <xf numFmtId="0" fontId="97" fillId="61" borderId="0" xfId="0">
      <alignment horizontal="right" vertical="center"/>
    </xf>
    <xf numFmtId="0" fontId="97" fillId="57" borderId="2" xfId="0">
      <alignment horizontal="right" vertical="center"/>
    </xf>
    <xf numFmtId="0" fontId="97" fillId="95" borderId="2" xfId="0">
      <alignment horizontal="right" vertical="center"/>
      <protection locked="0"/>
    </xf>
    <xf numFmtId="0" fontId="94" fillId="95" borderId="2" xfId="0">
      <alignment horizontal="right" vertical="center"/>
      <protection locked="0"/>
    </xf>
    <xf numFmtId="0" fontId="298" fillId="70" borderId="2" xfId="0">
      <alignment horizontal="center" vertical="center"/>
    </xf>
    <xf numFmtId="49" fontId="298" fillId="70" borderId="2" xfId="0">
      <alignment horizontal="center" vertical="center"/>
    </xf>
    <xf numFmtId="308" fontId="298" fillId="70" borderId="2" xfId="0">
      <alignment horizontal="right" vertical="center" indent="2"/>
      <protection locked="0"/>
    </xf>
    <xf numFmtId="49" fontId="298" fillId="70" borderId="2" xfId="0">
      <alignment horizontal="left" vertical="center" indent="1"/>
      <protection locked="0"/>
    </xf>
    <xf numFmtId="308" fontId="298" fillId="70" borderId="2" xfId="0">
      <alignment horizontal="right" vertical="center" indent="2"/>
    </xf>
    <xf numFmtId="308" fontId="298" fillId="70" borderId="2" xfId="0">
      <alignment horizontal="right" vertical="bottom" indent="2"/>
    </xf>
    <xf numFmtId="4719" fontId="298" fillId="70" borderId="2" xfId="0">
      <alignment horizontal="right" vertical="center" indent="2"/>
    </xf>
    <xf numFmtId="308" fontId="298" fillId="70" borderId="2" xfId="0">
      <alignment horizontal="right" vertical="center" indent="1"/>
    </xf>
    <xf numFmtId="308" fontId="298" fillId="70" borderId="2" xfId="68">
      <alignment horizontal="right" vertical="center" indent="1"/>
    </xf>
    <xf numFmtId="308" fontId="298" fillId="70" borderId="2" xfId="0">
      <alignment horizontal="right" vertical="center"/>
    </xf>
    <xf numFmtId="4116" fontId="298" fillId="70" borderId="2" xfId="68">
      <alignment horizontal="right" vertical="center"/>
    </xf>
    <xf numFmtId="0" fontId="97" fillId="78" borderId="0" xfId="0">
      <alignment horizontal="right" vertical="center"/>
    </xf>
    <xf numFmtId="0" fontId="97" fillId="70" borderId="0" xfId="0">
      <alignment horizontal="right" vertical="center"/>
    </xf>
    <xf numFmtId="0" fontId="97" fillId="70" borderId="0" xfId="0">
      <alignment horizontal="right" vertical="center" indent="2"/>
    </xf>
    <xf numFmtId="0" fontId="94" fillId="70" borderId="0" xfId="0">
      <alignment horizontal="right" vertical="center"/>
    </xf>
    <xf numFmtId="0" fontId="97" fillId="57" borderId="9" xfId="0">
      <alignment vertical="center"/>
    </xf>
    <xf numFmtId="0" fontId="97" fillId="57" borderId="16" xfId="0">
      <alignment vertical="center"/>
    </xf>
    <xf numFmtId="0" fontId="97" fillId="57" borderId="16" xfId="0">
      <alignment horizontal="center" vertical="center"/>
    </xf>
    <xf numFmtId="4063" fontId="97" fillId="57" borderId="2" xfId="0">
      <alignment horizontal="right" vertical="center" indent="2"/>
    </xf>
    <xf numFmtId="4063" fontId="97" fillId="57" borderId="48" xfId="0">
      <alignment horizontal="right" vertical="center" indent="2"/>
    </xf>
    <xf numFmtId="0" fontId="97" fillId="57" borderId="48" xfId="0">
      <alignment horizontal="center" vertical="center"/>
    </xf>
    <xf numFmtId="58" fontId="97" fillId="57" borderId="9" xfId="0">
      <alignment horizontal="right" vertical="center" indent="2"/>
    </xf>
    <xf numFmtId="58" fontId="97" fillId="57" borderId="53" xfId="0">
      <alignment horizontal="right" vertical="center" indent="2"/>
    </xf>
    <xf numFmtId="4063" fontId="97" fillId="57" borderId="2" xfId="0">
      <alignment horizontal="center" vertical="center"/>
    </xf>
    <xf numFmtId="308" fontId="97" fillId="28" borderId="2" xfId="68">
      <alignment horizontal="right" vertical="center"/>
    </xf>
    <xf numFmtId="4116" fontId="97" fillId="28" borderId="2" xfId="68">
      <alignment horizontal="right" vertical="center"/>
    </xf>
    <xf numFmtId="37" fontId="97" fillId="28" borderId="2" xfId="68">
      <alignment horizontal="right" vertical="center"/>
    </xf>
    <xf numFmtId="0" fontId="97" fillId="0" borderId="0" xfId="0">
      <alignment horizontal="right" vertical="center"/>
    </xf>
    <xf numFmtId="3" fontId="97" fillId="57" borderId="2" xfId="0">
      <alignment horizontal="right" vertical="center" indent="3"/>
    </xf>
    <xf numFmtId="3" fontId="97" fillId="57" borderId="53" xfId="0">
      <alignment horizontal="right" vertical="center" indent="3"/>
    </xf>
    <xf numFmtId="0" fontId="97" fillId="57" borderId="53" xfId="0">
      <alignment horizontal="center" vertical="center"/>
    </xf>
    <xf numFmtId="0" fontId="97" fillId="57" borderId="9" xfId="0">
      <alignment horizontal="center" vertical="center"/>
    </xf>
    <xf numFmtId="4031" fontId="97" fillId="57" borderId="2" xfId="276">
      <alignment horizontal="center" vertical="center"/>
    </xf>
    <xf numFmtId="308" fontId="97" fillId="57" borderId="2" xfId="0">
      <alignment horizontal="center" vertical="center"/>
    </xf>
    <xf numFmtId="0" fontId="97" fillId="57" borderId="2" xfId="0">
      <alignment vertical="center"/>
    </xf>
    <xf numFmtId="0" fontId="94" fillId="57" borderId="9" xfId="0">
      <alignment vertical="center"/>
    </xf>
    <xf numFmtId="0" fontId="94" fillId="57" borderId="16" xfId="0">
      <alignment vertical="center"/>
    </xf>
    <xf numFmtId="0" fontId="94" fillId="57" borderId="53" xfId="0">
      <alignment horizontal="center" vertical="center"/>
    </xf>
    <xf numFmtId="0" fontId="94" fillId="59" borderId="0" xfId="0">
      <alignment horizontal="center" vertical="center"/>
    </xf>
    <xf numFmtId="0" fontId="21" fillId="57" borderId="9" xfId="0">
      <alignment horizontal="right" vertical="center"/>
    </xf>
    <xf numFmtId="0" fontId="21" fillId="57" borderId="16" xfId="0">
      <alignment horizontal="right" vertical="center"/>
    </xf>
    <xf numFmtId="0" fontId="21" fillId="57" borderId="53" xfId="0">
      <alignment horizontal="right" vertical="center"/>
    </xf>
    <xf numFmtId="4063" fontId="94" fillId="57" borderId="2" xfId="0">
      <alignment horizontal="center" vertical="center"/>
    </xf>
    <xf numFmtId="3" fontId="97" fillId="59" borderId="0" xfId="0">
      <alignment horizontal="center" vertical="center"/>
    </xf>
    <xf numFmtId="10" fontId="94" fillId="57" borderId="53" xfId="276">
      <alignment horizontal="center" vertical="center"/>
    </xf>
    <xf numFmtId="10" fontId="94" fillId="59" borderId="0" xfId="276">
      <alignment horizontal="center" vertical="center"/>
    </xf>
    <xf numFmtId="324" fontId="21" fillId="57" borderId="9" xfId="0">
      <alignment horizontal="right" vertical="center"/>
    </xf>
    <xf numFmtId="324" fontId="21" fillId="57" borderId="16" xfId="0">
      <alignment horizontal="right" vertical="center"/>
    </xf>
    <xf numFmtId="324" fontId="21" fillId="57" borderId="53" xfId="0">
      <alignment horizontal="right" vertical="center"/>
    </xf>
    <xf numFmtId="4" fontId="97" fillId="59" borderId="0" xfId="0">
      <alignment horizontal="center" vertical="center"/>
    </xf>
    <xf numFmtId="324" fontId="21" fillId="59" borderId="1" xfId="0">
      <alignment horizontal="right" vertical="center"/>
    </xf>
    <xf numFmtId="4063" fontId="94" fillId="59" borderId="0" xfId="0">
      <alignment horizontal="center" vertical="center"/>
    </xf>
    <xf numFmtId="324" fontId="97" fillId="59" borderId="0" xfId="0">
      <alignment horizontal="center" vertical="center"/>
    </xf>
    <xf numFmtId="0" fontId="94" fillId="57" borderId="53" xfId="0">
      <alignment vertical="center"/>
    </xf>
    <xf numFmtId="49" fontId="97" fillId="59" borderId="0" xfId="0">
      <alignment vertical="center"/>
    </xf>
    <xf numFmtId="0" fontId="0" fillId="59" borderId="0" xfId="0">
      <alignment horizontal="left" vertical="bottom"/>
    </xf>
    <xf numFmtId="0" fontId="192" fillId="70" borderId="46" xfId="0"/>
    <xf numFmtId="0" fontId="299" fillId="70" borderId="47" xfId="0"/>
    <xf numFmtId="0" fontId="299" fillId="70" borderId="48" xfId="0"/>
    <xf numFmtId="0" fontId="109" fillId="59" borderId="10" xfId="0">
      <alignment horizontal="center" vertical="bottom"/>
    </xf>
    <xf numFmtId="0" fontId="109" fillId="59" borderId="10" xfId="0">
      <alignment horizontal="center" vertical="bottom" wrapText="1"/>
    </xf>
    <xf numFmtId="0" fontId="106" fillId="57" borderId="2" xfId="0">
      <alignment horizontal="center" vertical="bottom"/>
    </xf>
    <xf numFmtId="3" fontId="106" fillId="57" borderId="2" xfId="0">
      <alignment horizontal="center" vertical="bottom"/>
    </xf>
    <xf numFmtId="4063" fontId="106" fillId="57" borderId="2" xfId="0">
      <alignment horizontal="center" vertical="bottom"/>
    </xf>
    <xf numFmtId="4090" fontId="106" fillId="57" borderId="2" xfId="0">
      <alignment horizontal="center" vertical="bottom"/>
    </xf>
    <xf numFmtId="58" fontId="106" fillId="57" borderId="2" xfId="0">
      <alignment horizontal="center" vertical="bottom"/>
    </xf>
    <xf numFmtId="0" fontId="109" fillId="59" borderId="2" xfId="0">
      <alignment horizontal="center" vertical="bottom"/>
    </xf>
    <xf numFmtId="3" fontId="109" fillId="59" borderId="2" xfId="0">
      <alignment horizontal="center" vertical="bottom"/>
    </xf>
    <xf numFmtId="4063" fontId="109" fillId="59" borderId="2" xfId="0">
      <alignment horizontal="center" vertical="bottom"/>
    </xf>
    <xf numFmtId="4090" fontId="109" fillId="59" borderId="2" xfId="0">
      <alignment horizontal="center" vertical="bottom"/>
    </xf>
    <xf numFmtId="58" fontId="109" fillId="59" borderId="2" xfId="0">
      <alignment horizontal="center" vertical="bottom"/>
    </xf>
    <xf numFmtId="0" fontId="106" fillId="59" borderId="0" xfId="0"/>
    <xf numFmtId="0" fontId="106" fillId="57" borderId="2" xfId="0"/>
    <xf numFmtId="0" fontId="148" fillId="59" borderId="0" xfId="0"/>
    <xf numFmtId="4063" fontId="106" fillId="57" borderId="2" xfId="0">
      <alignment horizontal="right" vertical="bottom"/>
    </xf>
    <xf numFmtId="4063" fontId="106" fillId="59" borderId="0" xfId="0">
      <alignment horizontal="right" vertical="bottom"/>
    </xf>
    <xf numFmtId="0" fontId="106" fillId="59" borderId="0" xfId="0">
      <alignment horizontal="left" vertical="bottom"/>
    </xf>
    <xf numFmtId="9" fontId="106" fillId="59" borderId="0" xfId="0">
      <alignment horizontal="left" vertical="bottom"/>
    </xf>
    <xf numFmtId="0" fontId="296" fillId="59" borderId="0" xfId="0"/>
    <xf numFmtId="9" fontId="106" fillId="59" borderId="0" xfId="0">
      <alignment horizontal="center" vertical="bottom"/>
    </xf>
    <xf numFmtId="0" fontId="106" fillId="59" borderId="0" xfId="0">
      <alignment horizontal="center" vertical="bottom"/>
    </xf>
    <xf numFmtId="4063" fontId="106" fillId="0" borderId="2" xfId="0">
      <alignment horizontal="right" vertical="bottom"/>
    </xf>
    <xf numFmtId="4090" fontId="106" fillId="59" borderId="0" xfId="0">
      <alignment horizontal="center" vertical="bottom"/>
    </xf>
    <xf numFmtId="0" fontId="159" fillId="0" borderId="0" xfId="0">
      <alignment vertical="center"/>
    </xf>
    <xf numFmtId="0" fontId="159" fillId="2" borderId="0" xfId="0">
      <alignment vertical="center"/>
    </xf>
    <xf numFmtId="0" fontId="275" fillId="2" borderId="0" xfId="181">
      <alignment horizontal="center" vertical="center"/>
    </xf>
    <xf numFmtId="3" fontId="276" fillId="2" borderId="0" xfId="0">
      <alignment horizontal="center" vertical="center"/>
    </xf>
    <xf numFmtId="58" fontId="276" fillId="2" borderId="0" xfId="0">
      <alignment horizontal="center" vertical="center"/>
    </xf>
    <xf numFmtId="243" fontId="276" fillId="2" borderId="0" xfId="0">
      <alignment horizontal="center" vertical="center"/>
    </xf>
    <xf numFmtId="308" fontId="277" fillId="2" borderId="0" xfId="0">
      <alignment horizontal="right" vertical="center"/>
    </xf>
    <xf numFmtId="0" fontId="276" fillId="2" borderId="0" xfId="0">
      <alignment horizontal="center" vertical="center"/>
    </xf>
    <xf numFmtId="0" fontId="226" fillId="2" borderId="0" xfId="0">
      <alignment horizontal="center" vertical="center"/>
    </xf>
    <xf numFmtId="0" fontId="277" fillId="2" borderId="0" xfId="0">
      <alignment horizontal="center" vertical="center"/>
    </xf>
    <xf numFmtId="58" fontId="277" fillId="2" borderId="0" xfId="0">
      <alignment horizontal="center" vertical="center"/>
    </xf>
    <xf numFmtId="0" fontId="226" fillId="2" borderId="0" xfId="0" quotePrefix="1">
      <alignment horizontal="center" vertical="center"/>
    </xf>
    <xf numFmtId="0" fontId="159" fillId="2" borderId="0" xfId="0">
      <alignment horizontal="center" vertical="center"/>
    </xf>
    <xf numFmtId="0" fontId="251" fillId="2" borderId="0" xfId="0">
      <alignment horizontal="center" vertical="center"/>
    </xf>
    <xf numFmtId="0" fontId="159" fillId="2" borderId="30" xfId="0">
      <alignment horizontal="center" vertical="center"/>
    </xf>
    <xf numFmtId="0" fontId="158" fillId="52" borderId="0" xfId="0">
      <alignment horizontal="center" vertical="center"/>
    </xf>
    <xf numFmtId="0" fontId="149" fillId="2" borderId="2" xfId="0">
      <alignment horizontal="center" vertical="center" wrapText="1"/>
    </xf>
    <xf numFmtId="0" fontId="14" fillId="96" borderId="2" xfId="0">
      <alignment horizontal="center" vertical="center"/>
    </xf>
    <xf numFmtId="0" fontId="149" fillId="2" borderId="2" xfId="0">
      <alignment horizontal="center" vertical="center"/>
    </xf>
    <xf numFmtId="2003" fontId="149" fillId="2" borderId="2" xfId="211">
      <alignment horizontal="center" vertical="center"/>
    </xf>
    <xf numFmtId="2003" fontId="154" fillId="2" borderId="2" xfId="0">
      <alignment horizontal="center" vertical="center"/>
    </xf>
    <xf numFmtId="308" fontId="14" fillId="2" borderId="2" xfId="211">
      <alignment horizontal="center" vertical="center"/>
    </xf>
    <xf numFmtId="0" fontId="101" fillId="2" borderId="0" xfId="0">
      <alignment horizontal="center" vertical="center"/>
    </xf>
    <xf numFmtId="38" fontId="149" fillId="2" borderId="2" xfId="211">
      <alignment horizontal="center" vertical="center"/>
    </xf>
    <xf numFmtId="1" fontId="149" fillId="2" borderId="2" xfId="211">
      <alignment horizontal="center" vertical="center"/>
    </xf>
    <xf numFmtId="1163" fontId="149" fillId="2" borderId="2" xfId="211">
      <alignment horizontal="center" vertical="center"/>
    </xf>
    <xf numFmtId="0" fontId="0" fillId="2" borderId="0" xfId="0">
      <alignment horizontal="center" vertical="center"/>
    </xf>
    <xf numFmtId="308" fontId="149" fillId="2" borderId="2" xfId="211">
      <alignment horizontal="center" vertical="center"/>
    </xf>
    <xf numFmtId="0" fontId="0" fillId="2" borderId="0" xfId="0">
      <alignment vertical="center"/>
    </xf>
    <xf numFmtId="0" fontId="89" fillId="2" borderId="62" xfId="0">
      <alignment horizontal="center" vertical="center"/>
    </xf>
    <xf numFmtId="0" fontId="89" fillId="2" borderId="66" xfId="0">
      <alignment horizontal="center" vertical="center"/>
    </xf>
    <xf numFmtId="308" fontId="0" fillId="0" borderId="0" xfId="0">
      <alignment vertical="center"/>
    </xf>
    <xf numFmtId="308" fontId="101" fillId="0" borderId="47" xfId="0">
      <alignment vertical="center"/>
    </xf>
    <xf numFmtId="0" fontId="101" fillId="0" borderId="0" xfId="0">
      <alignment horizontal="left" vertical="center"/>
    </xf>
    <xf numFmtId="308" fontId="101" fillId="0" borderId="0" xfId="0">
      <alignment horizontal="right" vertical="center"/>
    </xf>
    <xf numFmtId="308" fontId="101" fillId="0" borderId="0" xfId="0">
      <alignment horizontal="center" vertical="center"/>
    </xf>
    <xf numFmtId="0" fontId="131" fillId="0" borderId="0" xfId="0">
      <alignment horizontal="left" vertical="center"/>
    </xf>
    <xf numFmtId="308" fontId="101" fillId="0" borderId="0" xfId="211">
      <alignment horizontal="right" vertical="center"/>
    </xf>
    <xf numFmtId="0" fontId="101" fillId="0" borderId="0" xfId="211">
      <alignment horizontal="left" vertical="center"/>
    </xf>
    <xf numFmtId="308" fontId="0" fillId="0" borderId="2" xfId="0">
      <alignment vertical="center"/>
    </xf>
    <xf numFmtId="308" fontId="101" fillId="0" borderId="0" xfId="0">
      <alignment vertical="center"/>
    </xf>
    <xf numFmtId="308" fontId="249" fillId="0" borderId="0" xfId="0">
      <alignment horizontal="right" vertical="center"/>
    </xf>
    <xf numFmtId="22" fontId="101" fillId="0" borderId="0" xfId="0">
      <alignment horizontal="left" vertical="center"/>
    </xf>
    <xf numFmtId="22" fontId="101" fillId="0" borderId="0" xfId="211">
      <alignment horizontal="left" vertical="center"/>
    </xf>
    <xf numFmtId="308" fontId="3" fillId="0" borderId="0" xfId="0">
      <alignment vertical="center"/>
    </xf>
    <xf numFmtId="308" fontId="0" fillId="59" borderId="0" xfId="0">
      <alignment vertical="center"/>
    </xf>
    <xf numFmtId="0" fontId="131" fillId="59" borderId="0" xfId="0">
      <alignment horizontal="left" vertical="center"/>
    </xf>
    <xf numFmtId="0" fontId="101" fillId="59" borderId="0" xfId="0">
      <alignment horizontal="left" vertical="center"/>
    </xf>
    <xf numFmtId="308" fontId="101" fillId="59" borderId="0" xfId="0">
      <alignment horizontal="right" vertical="center"/>
    </xf>
    <xf numFmtId="308" fontId="101" fillId="59" borderId="0" xfId="0">
      <alignment horizontal="center" vertical="center"/>
    </xf>
    <xf numFmtId="308" fontId="0" fillId="59" borderId="2" xfId="0">
      <alignment vertical="center"/>
    </xf>
    <xf numFmtId="0" fontId="0" fillId="60" borderId="0" xfId="0">
      <alignment vertical="center"/>
    </xf>
    <xf numFmtId="0" fontId="131" fillId="60" borderId="0" xfId="0">
      <alignment horizontal="left" vertical="center"/>
    </xf>
    <xf numFmtId="308" fontId="0" fillId="60" borderId="0" xfId="0">
      <alignment horizontal="right" vertical="center"/>
    </xf>
    <xf numFmtId="308" fontId="0" fillId="0" borderId="0" xfId="0">
      <alignment horizontal="right" vertical="center"/>
    </xf>
    <xf numFmtId="0" fontId="42" fillId="49" borderId="0" xfId="206">
      <alignment horizontal="center" vertical="bottom"/>
    </xf>
    <xf numFmtId="4551" fontId="93" fillId="57" borderId="0" xfId="0"/>
    <xf numFmtId="0" fontId="93" fillId="57" borderId="0" xfId="0"/>
    <xf numFmtId="0" fontId="42" fillId="49" borderId="0" xfId="206"/>
    <xf numFmtId="0" fontId="19" fillId="0" borderId="0" xfId="0"/>
    <xf numFmtId="0" fontId="94" fillId="57" borderId="0" xfId="0">
      <protection locked="0"/>
    </xf>
    <xf numFmtId="10" fontId="19" fillId="0" borderId="0" xfId="206"/>
    <xf numFmtId="0" fontId="103" fillId="49" borderId="0" xfId="206">
      <alignment horizontal="centerContinuous" vertical="bottom"/>
    </xf>
    <xf numFmtId="0" fontId="42" fillId="49" borderId="44" xfId="206">
      <alignment horizontal="center" vertical="center" wrapText="1"/>
    </xf>
    <xf numFmtId="0" fontId="42" fillId="49" borderId="14" xfId="206">
      <alignment horizontal="center" vertical="center" wrapText="1"/>
    </xf>
    <xf numFmtId="0" fontId="42" fillId="49" borderId="41" xfId="206">
      <alignment horizontal="center" vertical="center" wrapText="1"/>
    </xf>
    <xf numFmtId="0" fontId="42" fillId="57" borderId="44" xfId="212">
      <alignment horizontal="center" vertical="center"/>
    </xf>
    <xf numFmtId="0" fontId="42" fillId="57" borderId="14" xfId="212">
      <alignment horizontal="center" vertical="center"/>
    </xf>
    <xf numFmtId="0" fontId="42" fillId="57" borderId="41" xfId="212">
      <alignment horizontal="center" vertical="center"/>
    </xf>
    <xf numFmtId="0" fontId="42" fillId="49" borderId="0" xfId="206">
      <alignment horizontal="centerContinuous" vertical="bottom"/>
    </xf>
    <xf numFmtId="0" fontId="85" fillId="60" borderId="50" xfId="212">
      <alignment horizontal="center" vertical="bottom"/>
      <protection locked="0"/>
    </xf>
    <xf numFmtId="0" fontId="21" fillId="60" borderId="50" xfId="212">
      <alignment horizontal="center" vertical="bottom"/>
      <protection locked="0"/>
    </xf>
    <xf numFmtId="243" fontId="21" fillId="46" borderId="50" xfId="69">
      <alignment horizontal="center" vertical="bottom"/>
    </xf>
    <xf numFmtId="243" fontId="21" fillId="46" borderId="52" xfId="69">
      <alignment horizontal="center" vertical="bottom"/>
    </xf>
    <xf numFmtId="243" fontId="21" fillId="46" borderId="0" xfId="69">
      <alignment horizontal="center" vertical="bottom"/>
    </xf>
    <xf numFmtId="243" fontId="21" fillId="57" borderId="52" xfId="69">
      <alignment horizontal="center" vertical="bottom"/>
    </xf>
    <xf numFmtId="243" fontId="98" fillId="46" borderId="47" xfId="69">
      <alignment horizontal="center" vertical="bottom"/>
    </xf>
    <xf numFmtId="10" fontId="21" fillId="46" borderId="11" xfId="278">
      <alignment horizontal="center" vertical="bottom"/>
    </xf>
    <xf numFmtId="243" fontId="21" fillId="60" borderId="11" xfId="69">
      <alignment horizontal="center" vertical="bottom"/>
    </xf>
    <xf numFmtId="243" fontId="21" fillId="57" borderId="50" xfId="69">
      <alignment horizontal="center" vertical="bottom"/>
    </xf>
    <xf numFmtId="243" fontId="21" fillId="0" borderId="0" xfId="69">
      <alignment horizontal="center" vertical="bottom"/>
    </xf>
    <xf numFmtId="0" fontId="21" fillId="46" borderId="45" xfId="0">
      <alignment horizontal="center" vertical="bottom"/>
    </xf>
    <xf numFmtId="0" fontId="21" fillId="60" borderId="45" xfId="212">
      <alignment horizontal="center" vertical="bottom"/>
    </xf>
    <xf numFmtId="243" fontId="21" fillId="46" borderId="45" xfId="69">
      <alignment horizontal="center" vertical="bottom"/>
    </xf>
    <xf numFmtId="243" fontId="21" fillId="46" borderId="8" xfId="69">
      <alignment horizontal="center" vertical="bottom"/>
    </xf>
    <xf numFmtId="243" fontId="21" fillId="46" borderId="1" xfId="69">
      <alignment horizontal="center" vertical="bottom"/>
    </xf>
    <xf numFmtId="10" fontId="21" fillId="46" borderId="8" xfId="278">
      <alignment horizontal="center" vertical="bottom"/>
    </xf>
    <xf numFmtId="243" fontId="21" fillId="60" borderId="8" xfId="69">
      <alignment horizontal="center" vertical="bottom"/>
    </xf>
    <xf numFmtId="17" fontId="21" fillId="46" borderId="2" xfId="212">
      <alignment horizontal="left" vertical="bottom"/>
    </xf>
    <xf numFmtId="4063" fontId="98" fillId="57" borderId="2" xfId="212">
      <alignment horizontal="center" vertical="bottom"/>
    </xf>
    <xf numFmtId="4063" fontId="21" fillId="0" borderId="2" xfId="69">
      <alignment horizontal="center" vertical="bottom"/>
      <protection locked="0"/>
    </xf>
    <xf numFmtId="4063" fontId="95" fillId="0" borderId="2" xfId="69">
      <alignment horizontal="center" vertical="bottom"/>
      <protection locked="0"/>
    </xf>
    <xf numFmtId="4031" fontId="21" fillId="0" borderId="2" xfId="69">
      <alignment horizontal="center" vertical="bottom"/>
    </xf>
    <xf numFmtId="4063" fontId="95" fillId="0" borderId="16" xfId="69">
      <alignment horizontal="center" vertical="bottom"/>
      <protection locked="0"/>
    </xf>
    <xf numFmtId="10" fontId="21" fillId="0" borderId="16" xfId="69">
      <alignment horizontal="center" vertical="bottom"/>
      <protection locked="0"/>
    </xf>
    <xf numFmtId="4063" fontId="110" fillId="57" borderId="52" xfId="69">
      <alignment horizontal="center" vertical="bottom"/>
      <protection locked="0"/>
    </xf>
    <xf numFmtId="4063" fontId="98" fillId="0" borderId="16" xfId="69">
      <alignment horizontal="center" vertical="bottom"/>
    </xf>
    <xf numFmtId="324" fontId="98" fillId="0" borderId="2" xfId="278">
      <alignment horizontal="center" vertical="bottom"/>
    </xf>
    <xf numFmtId="10" fontId="21" fillId="0" borderId="2" xfId="278">
      <alignment horizontal="center" vertical="bottom"/>
    </xf>
    <xf numFmtId="4063" fontId="21" fillId="57" borderId="50" xfId="69">
      <alignment horizontal="center" vertical="bottom"/>
    </xf>
    <xf numFmtId="37" fontId="104" fillId="0" borderId="0" xfId="206">
      <alignment horizontal="center" vertical="bottom"/>
      <protection locked="0"/>
    </xf>
    <xf numFmtId="37" fontId="21" fillId="0" borderId="0" xfId="206">
      <alignment horizontal="center" vertical="bottom"/>
      <protection locked="0"/>
    </xf>
    <xf numFmtId="4063" fontId="19" fillId="0" borderId="0" xfId="206"/>
    <xf numFmtId="17" fontId="21" fillId="46" borderId="54" xfId="212">
      <alignment horizontal="left" vertical="bottom"/>
    </xf>
    <xf numFmtId="4063" fontId="98" fillId="57" borderId="54" xfId="212">
      <alignment horizontal="center" vertical="bottom"/>
    </xf>
    <xf numFmtId="4063" fontId="21" fillId="0" borderId="54" xfId="69">
      <alignment horizontal="center" vertical="bottom"/>
      <protection locked="0"/>
    </xf>
    <xf numFmtId="4063" fontId="95" fillId="0" borderId="54" xfId="69">
      <alignment horizontal="center" vertical="bottom"/>
      <protection locked="0"/>
    </xf>
    <xf numFmtId="4031" fontId="21" fillId="0" borderId="54" xfId="69">
      <alignment horizontal="center" vertical="bottom"/>
    </xf>
    <xf numFmtId="4063" fontId="95" fillId="0" borderId="57" xfId="69">
      <alignment horizontal="center" vertical="bottom"/>
      <protection locked="0"/>
    </xf>
    <xf numFmtId="4063" fontId="98" fillId="0" borderId="57" xfId="69">
      <alignment horizontal="center" vertical="bottom"/>
    </xf>
    <xf numFmtId="324" fontId="98" fillId="0" borderId="54" xfId="278">
      <alignment horizontal="center" vertical="bottom"/>
    </xf>
    <xf numFmtId="10" fontId="21" fillId="0" borderId="54" xfId="278">
      <alignment horizontal="center" vertical="bottom"/>
    </xf>
    <xf numFmtId="4063" fontId="21" fillId="57" borderId="50" xfId="69">
      <alignment horizontal="center" vertical="bottom"/>
      <protection locked="0"/>
    </xf>
    <xf numFmtId="17" fontId="21" fillId="46" borderId="59" xfId="212">
      <alignment horizontal="center" vertical="bottom"/>
    </xf>
    <xf numFmtId="4063" fontId="21" fillId="0" borderId="59" xfId="0">
      <alignment horizontal="center" vertical="bottom"/>
    </xf>
    <xf numFmtId="4031" fontId="21" fillId="0" borderId="59" xfId="69">
      <alignment horizontal="center" vertical="bottom"/>
    </xf>
    <xf numFmtId="10" fontId="21" fillId="0" borderId="60" xfId="276">
      <alignment horizontal="center" vertical="bottom"/>
    </xf>
    <xf numFmtId="4063" fontId="21" fillId="57" borderId="52" xfId="69">
      <alignment horizontal="center" vertical="bottom"/>
    </xf>
    <xf numFmtId="4063" fontId="21" fillId="0" borderId="59" xfId="278">
      <alignment horizontal="center" vertical="bottom"/>
    </xf>
    <xf numFmtId="10" fontId="21" fillId="0" borderId="59" xfId="278">
      <alignment horizontal="center" vertical="bottom"/>
    </xf>
    <xf numFmtId="4063" fontId="21" fillId="0" borderId="0" xfId="69">
      <alignment horizontal="center" vertical="bottom"/>
    </xf>
    <xf numFmtId="0" fontId="19" fillId="0" borderId="0" xfId="212">
      <alignment horizontal="right" vertical="bottom"/>
    </xf>
    <xf numFmtId="4063" fontId="19" fillId="7" borderId="0" xfId="69">
      <alignment horizontal="center" vertical="center"/>
    </xf>
    <xf numFmtId="4063" fontId="19" fillId="0" borderId="0" xfId="0">
      <alignment horizontal="center" vertical="center"/>
    </xf>
    <xf numFmtId="4063" fontId="19" fillId="57" borderId="0" xfId="0">
      <alignment horizontal="center" vertical="center"/>
    </xf>
    <xf numFmtId="4063" fontId="19" fillId="0" borderId="0" xfId="69">
      <alignment horizontal="center" vertical="center"/>
    </xf>
    <xf numFmtId="37" fontId="19" fillId="0" borderId="0" xfId="69">
      <alignment horizontal="center" vertical="center"/>
    </xf>
    <xf numFmtId="37" fontId="115" fillId="0" borderId="0" xfId="69">
      <alignment horizontal="center" vertical="center"/>
    </xf>
    <xf numFmtId="243" fontId="19" fillId="57" borderId="0" xfId="69">
      <alignment horizontal="center" vertical="bottom"/>
    </xf>
    <xf numFmtId="243" fontId="19" fillId="0" borderId="0" xfId="69">
      <alignment horizontal="center" vertical="bottom"/>
    </xf>
    <xf numFmtId="9" fontId="19" fillId="0" borderId="0" xfId="278">
      <alignment horizontal="center" vertical="bottom"/>
    </xf>
    <xf numFmtId="10" fontId="19" fillId="0" borderId="0" xfId="278">
      <alignment horizontal="center" vertical="bottom"/>
    </xf>
    <xf numFmtId="0" fontId="85" fillId="60" borderId="11" xfId="212">
      <alignment horizontal="center" vertical="bottom"/>
      <protection locked="0"/>
    </xf>
    <xf numFmtId="0" fontId="21" fillId="60" borderId="46" xfId="212">
      <alignment horizontal="center" vertical="bottom"/>
      <protection locked="0"/>
    </xf>
    <xf numFmtId="243" fontId="21" fillId="46" borderId="46" xfId="69">
      <alignment horizontal="center" vertical="bottom"/>
    </xf>
    <xf numFmtId="243" fontId="21" fillId="46" borderId="11" xfId="69">
      <alignment horizontal="center" vertical="bottom"/>
    </xf>
    <xf numFmtId="243" fontId="21" fillId="46" borderId="47" xfId="69">
      <alignment horizontal="center" vertical="bottom"/>
    </xf>
    <xf numFmtId="10" fontId="21" fillId="0" borderId="0" xfId="278">
      <alignment horizontal="center" vertical="bottom"/>
    </xf>
    <xf numFmtId="0" fontId="21" fillId="46" borderId="8" xfId="212">
      <alignment horizontal="center" vertical="bottom"/>
    </xf>
    <xf numFmtId="4063" fontId="104" fillId="0" borderId="0" xfId="69">
      <alignment horizontal="center" vertical="bottom"/>
    </xf>
    <xf numFmtId="0" fontId="19" fillId="57" borderId="0" xfId="0">
      <alignment horizontal="center" vertical="bottom"/>
    </xf>
    <xf numFmtId="4116" fontId="19" fillId="0" borderId="0" xfId="69">
      <alignment horizontal="center" vertical="bottom"/>
    </xf>
    <xf numFmtId="37" fontId="19" fillId="0" borderId="0" xfId="206">
      <alignment horizontal="center" vertical="bottom"/>
    </xf>
    <xf numFmtId="37" fontId="19" fillId="57" borderId="0" xfId="206">
      <alignment horizontal="center" vertical="bottom"/>
    </xf>
    <xf numFmtId="0" fontId="19" fillId="57" borderId="0" xfId="0"/>
    <xf numFmtId="309" fontId="19" fillId="57" borderId="0" xfId="212">
      <alignment horizontal="center" vertical="bottom"/>
    </xf>
    <xf numFmtId="4116" fontId="19" fillId="57" borderId="0" xfId="69">
      <alignment horizontal="center" vertical="bottom"/>
    </xf>
    <xf numFmtId="10" fontId="19" fillId="57" borderId="0" xfId="0">
      <alignment horizontal="center" vertical="bottom"/>
    </xf>
    <xf numFmtId="10" fontId="19" fillId="57" borderId="0" xfId="206"/>
    <xf numFmtId="0" fontId="42" fillId="57" borderId="0" xfId="212">
      <alignment horizontal="center" vertical="bottom"/>
    </xf>
    <xf numFmtId="0" fontId="42" fillId="57" borderId="44" xfId="212">
      <alignment horizontal="center" vertical="bottom" wrapText="1"/>
    </xf>
    <xf numFmtId="0" fontId="42" fillId="57" borderId="14" xfId="212">
      <alignment horizontal="center" vertical="bottom" wrapText="1"/>
    </xf>
    <xf numFmtId="0" fontId="42" fillId="57" borderId="41" xfId="212">
      <alignment horizontal="center" vertical="bottom" wrapText="1"/>
    </xf>
    <xf numFmtId="0" fontId="21" fillId="46" borderId="50" xfId="69">
      <alignment horizontal="center" vertical="bottom"/>
    </xf>
    <xf numFmtId="243" fontId="98" fillId="46" borderId="0" xfId="69">
      <alignment horizontal="center" vertical="bottom"/>
    </xf>
    <xf numFmtId="10" fontId="21" fillId="46" borderId="52" xfId="278">
      <alignment horizontal="center" vertical="bottom"/>
    </xf>
    <xf numFmtId="243" fontId="21" fillId="60" borderId="52" xfId="69">
      <alignment horizontal="center" vertical="bottom"/>
    </xf>
    <xf numFmtId="0" fontId="21" fillId="46" borderId="45" xfId="212">
      <alignment horizontal="center" vertical="bottom"/>
    </xf>
    <xf numFmtId="4063" fontId="95" fillId="57" borderId="2" xfId="69">
      <alignment horizontal="center" vertical="bottom"/>
      <protection locked="0"/>
    </xf>
    <xf numFmtId="4031" fontId="21" fillId="57" borderId="2" xfId="69">
      <alignment horizontal="center" vertical="bottom"/>
    </xf>
    <xf numFmtId="4063" fontId="95" fillId="57" borderId="16" xfId="69">
      <alignment horizontal="center" vertical="bottom"/>
      <protection locked="0"/>
    </xf>
    <xf numFmtId="4063" fontId="104" fillId="0" borderId="0" xfId="69">
      <alignment horizontal="center" vertical="bottom"/>
      <protection locked="0"/>
    </xf>
    <xf numFmtId="0" fontId="97" fillId="57" borderId="0" xfId="0"/>
    <xf numFmtId="10" fontId="97" fillId="57" borderId="0" xfId="0"/>
    <xf numFmtId="0" fontId="97" fillId="57" borderId="0" xfId="0">
      <alignment horizontal="right" vertical="bottom"/>
    </xf>
    <xf numFmtId="309" fontId="97" fillId="57" borderId="0" xfId="0"/>
    <xf numFmtId="0" fontId="21" fillId="57" borderId="0" xfId="0"/>
    <xf numFmtId="4031" fontId="21" fillId="57" borderId="54" xfId="69">
      <alignment horizontal="center" vertical="bottom"/>
    </xf>
    <xf numFmtId="0" fontId="19" fillId="49" borderId="0" xfId="206"/>
    <xf numFmtId="4063" fontId="19" fillId="49" borderId="0" xfId="206">
      <alignment horizontal="center" vertical="center"/>
    </xf>
    <xf numFmtId="37" fontId="19" fillId="49" borderId="0" xfId="206">
      <alignment horizontal="center" vertical="center"/>
    </xf>
    <xf numFmtId="0" fontId="19" fillId="49" borderId="0" xfId="206">
      <alignment horizontal="center" vertical="bottom"/>
    </xf>
    <xf numFmtId="10" fontId="19" fillId="49" borderId="0" xfId="276">
      <alignment horizontal="center" vertical="bottom"/>
    </xf>
    <xf numFmtId="58" fontId="19" fillId="57" borderId="0" xfId="0">
      <alignment horizontal="center" vertical="bottom"/>
    </xf>
    <xf numFmtId="0" fontId="85" fillId="60" borderId="46" xfId="212">
      <alignment horizontal="center" vertical="bottom"/>
      <protection locked="0"/>
    </xf>
    <xf numFmtId="0" fontId="21" fillId="46" borderId="46" xfId="69">
      <alignment horizontal="center" vertical="bottom"/>
    </xf>
    <xf numFmtId="0" fontId="21" fillId="0" borderId="0" xfId="206">
      <alignment horizontal="center" vertical="center"/>
    </xf>
    <xf numFmtId="308" fontId="19" fillId="57" borderId="0" xfId="0">
      <alignment horizontal="center" vertical="bottom"/>
    </xf>
    <xf numFmtId="0" fontId="19" fillId="57" borderId="11" xfId="206"/>
    <xf numFmtId="0" fontId="21" fillId="0" borderId="0" xfId="206">
      <alignment horizontal="right" vertical="center"/>
    </xf>
    <xf numFmtId="1163" fontId="19" fillId="57" borderId="2" xfId="206"/>
    <xf numFmtId="0" fontId="19" fillId="57" borderId="52" xfId="206"/>
    <xf numFmtId="1163" fontId="19" fillId="57" borderId="8" xfId="206"/>
    <xf numFmtId="1163" fontId="19" fillId="57" borderId="49" xfId="206"/>
    <xf numFmtId="0" fontId="99" fillId="57" borderId="0" xfId="0"/>
    <xf numFmtId="308" fontId="99" fillId="57" borderId="0" xfId="0">
      <alignment horizontal="center" vertical="bottom"/>
    </xf>
    <xf numFmtId="10" fontId="19" fillId="57" borderId="0" xfId="0">
      <alignment vertical="center"/>
    </xf>
    <xf numFmtId="0" fontId="19" fillId="57" borderId="0" xfId="0">
      <alignment vertical="center"/>
    </xf>
    <xf numFmtId="0" fontId="19" fillId="57" borderId="8" xfId="206"/>
    <xf numFmtId="0" fontId="21" fillId="49" borderId="0" xfId="206"/>
    <xf numFmtId="0" fontId="19" fillId="49" borderId="0" xfId="206">
      <protection locked="0"/>
    </xf>
    <xf numFmtId="4063" fontId="21" fillId="57" borderId="0" xfId="206">
      <alignment horizontal="center" vertical="center"/>
    </xf>
    <xf numFmtId="4063" fontId="19" fillId="57" borderId="0" xfId="68">
      <alignment horizontal="center" vertical="center"/>
    </xf>
    <xf numFmtId="0" fontId="21" fillId="49" borderId="46" xfId="206"/>
    <xf numFmtId="4063" fontId="101" fillId="57" borderId="47" xfId="45">
      <alignment horizontal="center" vertical="center"/>
    </xf>
    <xf numFmtId="4063" fontId="21" fillId="57" borderId="47" xfId="206">
      <alignment horizontal="center" vertical="center"/>
    </xf>
    <xf numFmtId="4063" fontId="19" fillId="57" borderId="47" xfId="68">
      <alignment horizontal="center" vertical="center"/>
    </xf>
    <xf numFmtId="4063" fontId="19" fillId="49" borderId="47" xfId="0">
      <alignment horizontal="center" vertical="center"/>
    </xf>
    <xf numFmtId="4063" fontId="19" fillId="49" borderId="47" xfId="206">
      <alignment horizontal="center" vertical="center"/>
    </xf>
    <xf numFmtId="0" fontId="21" fillId="49" borderId="50" xfId="206"/>
    <xf numFmtId="0" fontId="21" fillId="49" borderId="45" xfId="206"/>
    <xf numFmtId="4063" fontId="101" fillId="57" borderId="1" xfId="45">
      <alignment horizontal="center" vertical="center"/>
    </xf>
    <xf numFmtId="4063" fontId="21" fillId="57" borderId="1" xfId="206">
      <alignment horizontal="center" vertical="center"/>
    </xf>
    <xf numFmtId="4063" fontId="19" fillId="57" borderId="1" xfId="206">
      <alignment horizontal="center" vertical="center"/>
    </xf>
    <xf numFmtId="4063" fontId="19" fillId="49" borderId="1" xfId="206">
      <alignment horizontal="center" vertical="center"/>
    </xf>
    <xf numFmtId="0" fontId="19" fillId="49" borderId="0" xfId="206">
      <alignment horizontal="centerContinuous" vertical="bottom"/>
    </xf>
    <xf numFmtId="0" fontId="21" fillId="57" borderId="0" xfId="206">
      <alignment horizontal="right" vertical="bottom"/>
    </xf>
    <xf numFmtId="0" fontId="21" fillId="57" borderId="0" xfId="206">
      <alignment horizontal="center" vertical="bottom"/>
    </xf>
    <xf numFmtId="38" fontId="21" fillId="57" borderId="0" xfId="206">
      <alignment horizontal="center" vertical="bottom"/>
    </xf>
    <xf numFmtId="0" fontId="42" fillId="60" borderId="44" xfId="206">
      <alignment horizontal="center" vertical="bottom"/>
    </xf>
    <xf numFmtId="0" fontId="42" fillId="60" borderId="14" xfId="206">
      <alignment horizontal="center" vertical="bottom"/>
    </xf>
    <xf numFmtId="0" fontId="42" fillId="60" borderId="41" xfId="206">
      <alignment horizontal="center" vertical="bottom"/>
    </xf>
    <xf numFmtId="0" fontId="19" fillId="57" borderId="46" xfId="0"/>
    <xf numFmtId="0" fontId="19" fillId="57" borderId="47" xfId="0"/>
    <xf numFmtId="58" fontId="19" fillId="57" borderId="16" xfId="0">
      <alignment horizontal="center" vertical="bottom"/>
    </xf>
    <xf numFmtId="0" fontId="19" fillId="57" borderId="11" xfId="0">
      <alignment horizontal="center" vertical="bottom"/>
    </xf>
    <xf numFmtId="10" fontId="19" fillId="57" borderId="11" xfId="0">
      <alignment horizontal="center" vertical="bottom"/>
    </xf>
    <xf numFmtId="0" fontId="21" fillId="0" borderId="37" xfId="206">
      <alignment horizontal="center" vertical="bottom"/>
    </xf>
    <xf numFmtId="0" fontId="21" fillId="0" borderId="0" xfId="206">
      <alignment horizontal="center" vertical="bottom"/>
    </xf>
    <xf numFmtId="0" fontId="21" fillId="0" borderId="38" xfId="206">
      <alignment horizontal="center" vertical="bottom"/>
    </xf>
    <xf numFmtId="0" fontId="19" fillId="57" borderId="50" xfId="0"/>
    <xf numFmtId="0" fontId="19" fillId="57" borderId="16" xfId="0">
      <alignment horizontal="center" vertical="bottom"/>
    </xf>
    <xf numFmtId="0" fontId="19" fillId="57" borderId="52" xfId="0">
      <alignment horizontal="center" vertical="bottom"/>
    </xf>
    <xf numFmtId="10" fontId="19" fillId="57" borderId="52" xfId="0">
      <alignment horizontal="center" vertical="bottom"/>
    </xf>
    <xf numFmtId="0" fontId="19" fillId="0" borderId="37" xfId="206"/>
    <xf numFmtId="0" fontId="21" fillId="60" borderId="44" xfId="206">
      <alignment horizontal="center" vertical="bottom"/>
    </xf>
    <xf numFmtId="0" fontId="21" fillId="60" borderId="14" xfId="206">
      <alignment horizontal="center" vertical="bottom"/>
    </xf>
    <xf numFmtId="0" fontId="21" fillId="60" borderId="41" xfId="206">
      <alignment horizontal="center" vertical="bottom"/>
    </xf>
    <xf numFmtId="0" fontId="21" fillId="0" borderId="36" xfId="206"/>
    <xf numFmtId="0" fontId="21" fillId="0" borderId="43" xfId="0">
      <alignment horizontal="center" vertical="bottom"/>
    </xf>
    <xf numFmtId="0" fontId="21" fillId="0" borderId="61" xfId="0">
      <alignment horizontal="center" vertical="bottom"/>
    </xf>
    <xf numFmtId="308" fontId="21" fillId="0" borderId="36" xfId="206">
      <alignment horizontal="center" vertical="bottom"/>
    </xf>
    <xf numFmtId="308" fontId="21" fillId="0" borderId="43" xfId="206">
      <alignment horizontal="center" vertical="bottom"/>
    </xf>
    <xf numFmtId="308" fontId="21" fillId="0" borderId="61" xfId="206">
      <alignment horizontal="center" vertical="bottom"/>
    </xf>
    <xf numFmtId="308" fontId="19" fillId="57" borderId="1" xfId="0">
      <alignment horizontal="center" vertical="bottom"/>
    </xf>
    <xf numFmtId="4188" fontId="19" fillId="57" borderId="52" xfId="0">
      <alignment horizontal="center" vertical="bottom"/>
    </xf>
    <xf numFmtId="0" fontId="21" fillId="0" borderId="37" xfId="206"/>
    <xf numFmtId="308" fontId="21" fillId="0" borderId="37" xfId="206">
      <alignment horizontal="center" vertical="bottom"/>
    </xf>
    <xf numFmtId="308" fontId="21" fillId="0" borderId="0" xfId="206">
      <alignment horizontal="center" vertical="bottom"/>
    </xf>
    <xf numFmtId="308" fontId="21" fillId="0" borderId="38" xfId="206">
      <alignment horizontal="center" vertical="bottom"/>
    </xf>
    <xf numFmtId="0" fontId="21" fillId="0" borderId="39" xfId="206"/>
    <xf numFmtId="0" fontId="21" fillId="0" borderId="30" xfId="0">
      <alignment horizontal="center" vertical="bottom"/>
    </xf>
    <xf numFmtId="0" fontId="21" fillId="0" borderId="55" xfId="0">
      <alignment horizontal="center" vertical="bottom"/>
    </xf>
    <xf numFmtId="10" fontId="21" fillId="0" borderId="39" xfId="276">
      <alignment horizontal="center" vertical="bottom"/>
    </xf>
    <xf numFmtId="10" fontId="21" fillId="0" borderId="30" xfId="276">
      <alignment horizontal="center" vertical="bottom"/>
    </xf>
    <xf numFmtId="10" fontId="21" fillId="0" borderId="55" xfId="276">
      <alignment horizontal="center" vertical="bottom"/>
    </xf>
    <xf numFmtId="308" fontId="19" fillId="57" borderId="16" xfId="0">
      <alignment horizontal="center" vertical="bottom"/>
    </xf>
    <xf numFmtId="0" fontId="21" fillId="0" borderId="0" xfId="0"/>
    <xf numFmtId="0" fontId="21" fillId="0" borderId="14" xfId="206">
      <alignment horizontal="center" vertical="bottom"/>
    </xf>
    <xf numFmtId="0" fontId="21" fillId="0" borderId="38" xfId="206"/>
    <xf numFmtId="308" fontId="21" fillId="57" borderId="0" xfId="206">
      <alignment horizontal="center" vertical="bottom"/>
      <protection locked="0"/>
    </xf>
    <xf numFmtId="0" fontId="99" fillId="57" borderId="50" xfId="0"/>
    <xf numFmtId="308" fontId="99" fillId="57" borderId="16" xfId="0">
      <alignment horizontal="center" vertical="bottom"/>
    </xf>
    <xf numFmtId="308" fontId="21" fillId="57" borderId="36" xfId="206">
      <alignment horizontal="center" vertical="bottom"/>
    </xf>
    <xf numFmtId="308" fontId="21" fillId="57" borderId="43" xfId="206">
      <alignment horizontal="center" vertical="bottom"/>
    </xf>
    <xf numFmtId="308" fontId="21" fillId="57" borderId="61" xfId="206">
      <alignment horizontal="center" vertical="bottom"/>
    </xf>
    <xf numFmtId="308" fontId="21" fillId="57" borderId="0" xfId="0">
      <alignment horizontal="center" vertical="bottom"/>
    </xf>
    <xf numFmtId="308" fontId="21" fillId="57" borderId="37" xfId="206">
      <alignment horizontal="center" vertical="bottom"/>
    </xf>
    <xf numFmtId="308" fontId="21" fillId="57" borderId="0" xfId="206">
      <alignment horizontal="center" vertical="bottom"/>
    </xf>
    <xf numFmtId="308" fontId="21" fillId="57" borderId="38" xfId="206">
      <alignment horizontal="center" vertical="bottom"/>
    </xf>
    <xf numFmtId="0" fontId="19" fillId="0" borderId="30" xfId="206"/>
    <xf numFmtId="10" fontId="21" fillId="57" borderId="39" xfId="276">
      <alignment horizontal="center" vertical="bottom"/>
    </xf>
    <xf numFmtId="10" fontId="21" fillId="57" borderId="30" xfId="276">
      <alignment horizontal="center" vertical="bottom"/>
    </xf>
    <xf numFmtId="10" fontId="21" fillId="57" borderId="55" xfId="276">
      <alignment horizontal="center" vertical="bottom"/>
    </xf>
    <xf numFmtId="10" fontId="21" fillId="57" borderId="0" xfId="206">
      <alignment horizontal="center" vertical="bottom"/>
    </xf>
    <xf numFmtId="0" fontId="19" fillId="57" borderId="46" xfId="0">
      <alignment horizontal="center" vertical="bottom"/>
    </xf>
    <xf numFmtId="0" fontId="19" fillId="57" borderId="48" xfId="0">
      <alignment horizontal="center" vertical="bottom"/>
    </xf>
    <xf numFmtId="0" fontId="19" fillId="0" borderId="38" xfId="206"/>
    <xf numFmtId="0" fontId="19" fillId="57" borderId="50" xfId="0">
      <alignment horizontal="center" vertical="bottom"/>
    </xf>
    <xf numFmtId="0" fontId="19" fillId="57" borderId="51" xfId="0">
      <alignment horizontal="center" vertical="bottom"/>
    </xf>
    <xf numFmtId="0" fontId="21" fillId="60" borderId="44" xfId="206"/>
    <xf numFmtId="0" fontId="21" fillId="60" borderId="14" xfId="206"/>
    <xf numFmtId="0" fontId="19" fillId="60" borderId="14" xfId="206"/>
    <xf numFmtId="10" fontId="19" fillId="57" borderId="50" xfId="0">
      <alignment horizontal="center" vertical="center"/>
    </xf>
    <xf numFmtId="10" fontId="19" fillId="57" borderId="51" xfId="0">
      <alignment horizontal="center" vertical="center"/>
    </xf>
    <xf numFmtId="4063" fontId="92" fillId="0" borderId="0" xfId="206"/>
    <xf numFmtId="0" fontId="21" fillId="0" borderId="44" xfId="206">
      <alignment horizontal="right" vertical="bottom"/>
    </xf>
    <xf numFmtId="0" fontId="21" fillId="0" borderId="14" xfId="206">
      <alignment horizontal="right" vertical="bottom"/>
    </xf>
    <xf numFmtId="0" fontId="21" fillId="0" borderId="41" xfId="206">
      <alignment horizontal="right" vertical="bottom"/>
    </xf>
    <xf numFmtId="10" fontId="21" fillId="0" borderId="44" xfId="276">
      <alignment horizontal="center" vertical="bottom"/>
    </xf>
    <xf numFmtId="10" fontId="21" fillId="0" borderId="14" xfId="276">
      <alignment horizontal="center" vertical="bottom"/>
    </xf>
    <xf numFmtId="10" fontId="21" fillId="0" borderId="41" xfId="276">
      <alignment horizontal="center" vertical="bottom"/>
    </xf>
    <xf numFmtId="10" fontId="21" fillId="57" borderId="44" xfId="276" quotePrefix="1">
      <alignment horizontal="center" vertical="bottom"/>
    </xf>
    <xf numFmtId="10" fontId="21" fillId="57" borderId="14" xfId="276" quotePrefix="1">
      <alignment horizontal="center" vertical="bottom"/>
    </xf>
    <xf numFmtId="10" fontId="21" fillId="57" borderId="41" xfId="276" quotePrefix="1">
      <alignment horizontal="center" vertical="bottom"/>
    </xf>
    <xf numFmtId="4063" fontId="92" fillId="57" borderId="0" xfId="206"/>
    <xf numFmtId="0" fontId="97" fillId="57" borderId="45" xfId="0"/>
    <xf numFmtId="0" fontId="97" fillId="57" borderId="1" xfId="0"/>
    <xf numFmtId="10" fontId="19" fillId="57" borderId="45" xfId="0">
      <alignment horizontal="center" vertical="center"/>
    </xf>
    <xf numFmtId="10" fontId="19" fillId="57" borderId="49" xfId="0">
      <alignment horizontal="center" vertical="center"/>
    </xf>
    <xf numFmtId="4063" fontId="92" fillId="0" borderId="0" xfId="206">
      <alignment horizontal="left" vertical="bottom"/>
    </xf>
    <xf numFmtId="4063" fontId="92" fillId="57" borderId="0" xfId="206">
      <alignment horizontal="left" vertical="bottom"/>
    </xf>
    <xf numFmtId="4063" fontId="92" fillId="57" borderId="0" xfId="206">
      <alignment horizontal="center" vertical="bottom"/>
    </xf>
    <xf numFmtId="0" fontId="110" fillId="0" borderId="0" xfId="206"/>
    <xf numFmtId="0" fontId="115" fillId="0" borderId="0" xfId="206"/>
    <xf numFmtId="0" fontId="115" fillId="0" borderId="0" xfId="206">
      <alignment horizontal="right" vertical="bottom"/>
    </xf>
    <xf numFmtId="0" fontId="115" fillId="0" borderId="38" xfId="206"/>
    <xf numFmtId="308" fontId="92" fillId="57" borderId="0" xfId="206">
      <alignment horizontal="center" vertical="bottom"/>
    </xf>
    <xf numFmtId="0" fontId="21" fillId="0" borderId="36" xfId="206">
      <alignment horizontal="center" vertical="bottom"/>
    </xf>
    <xf numFmtId="0" fontId="21" fillId="0" borderId="43" xfId="206">
      <alignment horizontal="center" vertical="bottom"/>
    </xf>
    <xf numFmtId="0" fontId="21" fillId="0" borderId="61" xfId="206">
      <alignment horizontal="center" vertical="bottom"/>
    </xf>
    <xf numFmtId="10" fontId="21" fillId="0" borderId="36" xfId="206">
      <alignment horizontal="center" vertical="bottom" wrapText="1"/>
    </xf>
    <xf numFmtId="10" fontId="21" fillId="0" borderId="43" xfId="206">
      <alignment horizontal="center" vertical="bottom" wrapText="1"/>
    </xf>
    <xf numFmtId="10" fontId="21" fillId="0" borderId="61" xfId="206">
      <alignment horizontal="center" vertical="bottom" wrapText="1"/>
    </xf>
    <xf numFmtId="0" fontId="110" fillId="0" borderId="36" xfId="206">
      <alignment horizontal="right" vertical="bottom"/>
    </xf>
    <xf numFmtId="0" fontId="110" fillId="0" borderId="43" xfId="206">
      <alignment horizontal="right" vertical="bottom"/>
    </xf>
    <xf numFmtId="0" fontId="110" fillId="0" borderId="43" xfId="206">
      <alignment horizontal="left" vertical="bottom" indent="2"/>
    </xf>
    <xf numFmtId="0" fontId="110" fillId="0" borderId="61" xfId="206">
      <alignment horizontal="left" vertical="bottom" indent="2"/>
    </xf>
    <xf numFmtId="10" fontId="110" fillId="0" borderId="43" xfId="206">
      <alignment horizontal="center" vertical="bottom"/>
    </xf>
    <xf numFmtId="10" fontId="110" fillId="0" borderId="61" xfId="206">
      <alignment horizontal="center" vertical="bottom"/>
    </xf>
    <xf numFmtId="10" fontId="92" fillId="57" borderId="0" xfId="278">
      <alignment horizontal="center" vertical="bottom"/>
    </xf>
    <xf numFmtId="0" fontId="21" fillId="0" borderId="39" xfId="206">
      <alignment horizontal="center" vertical="bottom"/>
    </xf>
    <xf numFmtId="0" fontId="21" fillId="0" borderId="30" xfId="206">
      <alignment horizontal="center" vertical="bottom"/>
    </xf>
    <xf numFmtId="0" fontId="21" fillId="0" borderId="55" xfId="206">
      <alignment horizontal="center" vertical="bottom"/>
    </xf>
    <xf numFmtId="10" fontId="21" fillId="57" borderId="39" xfId="206">
      <alignment horizontal="center" vertical="bottom" wrapText="1"/>
    </xf>
    <xf numFmtId="10" fontId="21" fillId="57" borderId="30" xfId="206">
      <alignment horizontal="center" vertical="bottom" wrapText="1"/>
    </xf>
    <xf numFmtId="10" fontId="21" fillId="57" borderId="55" xfId="206">
      <alignment horizontal="center" vertical="bottom" wrapText="1"/>
    </xf>
    <xf numFmtId="324" fontId="110" fillId="57" borderId="39" xfId="69" quotePrefix="1">
      <alignment horizontal="right" vertical="bottom"/>
    </xf>
    <xf numFmtId="324" fontId="110" fillId="57" borderId="30" xfId="69" quotePrefix="1">
      <alignment horizontal="right" vertical="bottom"/>
    </xf>
    <xf numFmtId="0" fontId="110" fillId="0" borderId="30" xfId="206">
      <alignment horizontal="left" vertical="bottom" indent="2"/>
    </xf>
    <xf numFmtId="0" fontId="110" fillId="0" borderId="55" xfId="206">
      <alignment horizontal="left" vertical="bottom" indent="2"/>
    </xf>
    <xf numFmtId="0" fontId="110" fillId="0" borderId="39" xfId="206">
      <alignment horizontal="right" vertical="bottom"/>
    </xf>
    <xf numFmtId="0" fontId="110" fillId="0" borderId="30" xfId="206">
      <alignment horizontal="right" vertical="bottom"/>
    </xf>
    <xf numFmtId="0" fontId="110" fillId="0" borderId="30" xfId="206">
      <alignment horizontal="center" vertical="bottom"/>
    </xf>
    <xf numFmtId="0" fontId="110" fillId="0" borderId="55" xfId="206">
      <alignment horizontal="center" vertical="bottom"/>
    </xf>
    <xf numFmtId="0" fontId="19" fillId="0" borderId="0" xfId="0">
      <alignment horizontal="center" vertical="bottom"/>
    </xf>
    <xf numFmtId="10" fontId="92" fillId="0" borderId="0" xfId="278">
      <alignment horizontal="center" vertical="bottom"/>
    </xf>
    <xf numFmtId="0" fontId="92" fillId="0" borderId="0" xfId="206">
      <alignment horizontal="center" vertical="bottom"/>
    </xf>
    <xf numFmtId="0" fontId="19" fillId="49" borderId="0" xfId="206">
      <alignment vertical="top"/>
      <protection locked="0"/>
    </xf>
    <xf numFmtId="10" fontId="92" fillId="0" borderId="0" xfId="278">
      <alignment horizontal="left" vertical="bottom"/>
    </xf>
    <xf numFmtId="0" fontId="92" fillId="0" borderId="0" xfId="206"/>
    <xf numFmtId="0" fontId="21" fillId="49" borderId="46" xfId="206">
      <alignment horizontal="left" vertical="top"/>
      <protection locked="0"/>
    </xf>
    <xf numFmtId="0" fontId="21" fillId="49" borderId="47" xfId="206">
      <alignment horizontal="left" vertical="top"/>
      <protection locked="0"/>
    </xf>
    <xf numFmtId="0" fontId="21" fillId="49" borderId="48" xfId="206">
      <alignment horizontal="left" vertical="top"/>
      <protection locked="0"/>
    </xf>
    <xf numFmtId="0" fontId="21" fillId="49" borderId="50" xfId="206">
      <alignment horizontal="left" vertical="top"/>
      <protection locked="0"/>
    </xf>
    <xf numFmtId="0" fontId="21" fillId="49" borderId="0" xfId="206">
      <alignment horizontal="left" vertical="top"/>
      <protection locked="0"/>
    </xf>
    <xf numFmtId="0" fontId="21" fillId="49" borderId="51" xfId="206">
      <alignment horizontal="left" vertical="top"/>
      <protection locked="0"/>
    </xf>
    <xf numFmtId="4090" fontId="92" fillId="0" borderId="0" xfId="69">
      <alignment horizontal="center" vertical="bottom"/>
    </xf>
    <xf numFmtId="4063" fontId="92" fillId="0" borderId="0" xfId="0"/>
    <xf numFmtId="308" fontId="92" fillId="0" borderId="0" xfId="206">
      <alignment horizontal="center" vertical="bottom"/>
    </xf>
    <xf numFmtId="0" fontId="21" fillId="49" borderId="45" xfId="206">
      <alignment horizontal="left" vertical="top"/>
      <protection locked="0"/>
    </xf>
    <xf numFmtId="0" fontId="21" fillId="49" borderId="1" xfId="206">
      <alignment horizontal="left" vertical="top"/>
      <protection locked="0"/>
    </xf>
    <xf numFmtId="0" fontId="21" fillId="49" borderId="49" xfId="206">
      <alignment horizontal="left" vertical="top"/>
      <protection locked="0"/>
    </xf>
    <xf numFmtId="0" fontId="21" fillId="60" borderId="44" xfId="206">
      <alignment horizontal="right" vertical="bottom" indent="1"/>
    </xf>
    <xf numFmtId="0" fontId="21" fillId="60" borderId="14" xfId="206">
      <alignment horizontal="right" vertical="bottom" indent="1"/>
    </xf>
    <xf numFmtId="10" fontId="21" fillId="60" borderId="14" xfId="276">
      <alignment horizontal="left" vertical="bottom" indent="1"/>
    </xf>
    <xf numFmtId="10" fontId="21" fillId="60" borderId="41" xfId="276">
      <alignment horizontal="left" vertical="bottom" indent="1"/>
    </xf>
    <xf numFmtId="16" fontId="19" fillId="0" borderId="0" xfId="206"/>
    <xf numFmtId="1" fontId="19" fillId="59" borderId="0" xfId="206"/>
    <xf numFmtId="0" fontId="19" fillId="0" borderId="55" xfId="206">
      <alignment horizontal="center" vertical="bottom"/>
    </xf>
    <xf numFmtId="0" fontId="19" fillId="57" borderId="62" xfId="206">
      <alignment horizontal="center" vertical="bottom"/>
    </xf>
    <xf numFmtId="0" fontId="19" fillId="57" borderId="66" xfId="206">
      <alignment horizontal="center" vertical="bottom"/>
    </xf>
    <xf numFmtId="0" fontId="19" fillId="0" borderId="2" xfId="206"/>
    <xf numFmtId="2003" fontId="19" fillId="57" borderId="63" xfId="206">
      <alignment horizontal="center" vertical="bottom"/>
    </xf>
    <xf numFmtId="324" fontId="19" fillId="57" borderId="63" xfId="206">
      <alignment horizontal="center" vertical="bottom"/>
    </xf>
    <xf numFmtId="324" fontId="19" fillId="57" borderId="67" xfId="206">
      <alignment horizontal="center" vertical="bottom"/>
    </xf>
    <xf numFmtId="0" fontId="19" fillId="59" borderId="0" xfId="206"/>
    <xf numFmtId="0" fontId="19" fillId="62" borderId="0" xfId="206"/>
    <xf numFmtId="2003" fontId="19" fillId="57" borderId="64" xfId="206">
      <alignment horizontal="center" vertical="bottom"/>
    </xf>
    <xf numFmtId="324" fontId="19" fillId="57" borderId="64" xfId="206">
      <alignment horizontal="center" vertical="bottom"/>
    </xf>
    <xf numFmtId="324" fontId="19" fillId="57" borderId="68" xfId="206">
      <alignment horizontal="center" vertical="bottom"/>
    </xf>
    <xf numFmtId="2003" fontId="19" fillId="57" borderId="65" xfId="206">
      <alignment horizontal="center" vertical="bottom"/>
    </xf>
    <xf numFmtId="324" fontId="19" fillId="57" borderId="65" xfId="206">
      <alignment horizontal="center" vertical="bottom"/>
    </xf>
    <xf numFmtId="324" fontId="19" fillId="57" borderId="69" xfId="206">
      <alignment horizontal="center" vertical="bottom"/>
    </xf>
    <xf numFmtId="324" fontId="19" fillId="59" borderId="70" xfId="206">
      <alignment horizontal="center" vertical="bottom"/>
    </xf>
    <xf numFmtId="324" fontId="19" fillId="59" borderId="73" xfId="206"/>
    <xf numFmtId="0" fontId="19" fillId="61" borderId="40" xfId="206"/>
    <xf numFmtId="324" fontId="19" fillId="59" borderId="71" xfId="206">
      <alignment horizontal="center" vertical="bottom"/>
    </xf>
    <xf numFmtId="324" fontId="19" fillId="59" borderId="74" xfId="206"/>
    <xf numFmtId="324" fontId="19" fillId="59" borderId="72" xfId="206">
      <alignment horizontal="center" vertical="bottom"/>
    </xf>
    <xf numFmtId="324" fontId="19" fillId="59" borderId="75" xfId="206"/>
    <xf numFmtId="0" fontId="19" fillId="0" borderId="40" xfId="206"/>
    <xf numFmtId="10" fontId="0" fillId="0" borderId="0" xfId="0"/>
    <xf numFmtId="4031" fontId="0" fillId="57" borderId="0" xfId="0"/>
    <xf numFmtId="0" fontId="146" fillId="57" borderId="0" xfId="0"/>
    <xf numFmtId="0" fontId="146" fillId="57" borderId="0" xfId="0">
      <alignment horizontal="left" vertical="bottom"/>
    </xf>
    <xf numFmtId="0" fontId="146" fillId="57" borderId="0" xfId="0">
      <alignment horizontal="center" vertical="bottom"/>
    </xf>
    <xf numFmtId="4091" fontId="146" fillId="57" borderId="0" xfId="0">
      <alignment horizontal="center" vertical="bottom"/>
    </xf>
    <xf numFmtId="37" fontId="146" fillId="57" borderId="0" xfId="0">
      <alignment horizontal="center" vertical="bottom"/>
    </xf>
    <xf numFmtId="308" fontId="146" fillId="57" borderId="0" xfId="0">
      <alignment horizontal="center" vertical="bottom"/>
    </xf>
    <xf numFmtId="10" fontId="146" fillId="57" borderId="0" xfId="0">
      <alignment horizontal="center" vertical="bottom"/>
    </xf>
    <xf numFmtId="309" fontId="146" fillId="57" borderId="0" xfId="0"/>
    <xf numFmtId="39" fontId="146" fillId="57" borderId="0" xfId="0">
      <alignment horizontal="center" vertical="bottom"/>
    </xf>
    <xf numFmtId="0" fontId="53" fillId="57" borderId="0" xfId="181">
      <alignment horizontal="left" vertical="bottom"/>
    </xf>
    <xf numFmtId="58" fontId="93" fillId="57" borderId="0" xfId="0">
      <alignment horizontal="right" vertical="bottom"/>
    </xf>
    <xf numFmtId="4031" fontId="146" fillId="57" borderId="0" xfId="0"/>
    <xf numFmtId="0" fontId="97" fillId="57" borderId="46" xfId="0">
      <alignment horizontal="left" vertical="bottom"/>
    </xf>
    <xf numFmtId="0" fontId="97" fillId="57" borderId="48" xfId="0">
      <alignment horizontal="center" vertical="bottom"/>
    </xf>
    <xf numFmtId="0" fontId="97" fillId="57" borderId="0" xfId="0">
      <alignment horizontal="center" vertical="bottom"/>
    </xf>
    <xf numFmtId="4091" fontId="97" fillId="57" borderId="0" xfId="0">
      <alignment horizontal="center" vertical="bottom"/>
    </xf>
    <xf numFmtId="37" fontId="97" fillId="57" borderId="0" xfId="0">
      <alignment horizontal="center" vertical="bottom"/>
    </xf>
    <xf numFmtId="308" fontId="97" fillId="57" borderId="0" xfId="0">
      <alignment horizontal="center" vertical="bottom"/>
    </xf>
    <xf numFmtId="10" fontId="97" fillId="57" borderId="0" xfId="0">
      <alignment horizontal="center" vertical="bottom"/>
    </xf>
    <xf numFmtId="39" fontId="97" fillId="57" borderId="0" xfId="0">
      <alignment horizontal="center" vertical="bottom"/>
    </xf>
    <xf numFmtId="4031" fontId="97" fillId="57" borderId="0" xfId="0"/>
    <xf numFmtId="0" fontId="97" fillId="57" borderId="9" xfId="0">
      <alignment horizontal="left" vertical="bottom"/>
    </xf>
    <xf numFmtId="0" fontId="98" fillId="52" borderId="53" xfId="0">
      <alignment horizontal="center" vertical="bottom"/>
    </xf>
    <xf numFmtId="0" fontId="0" fillId="57" borderId="9" xfId="0"/>
    <xf numFmtId="0" fontId="97" fillId="57" borderId="0" xfId="0">
      <alignment horizontal="left" vertical="bottom"/>
    </xf>
    <xf numFmtId="0" fontId="147" fillId="57" borderId="0" xfId="0">
      <alignment horizontal="left" vertical="bottom"/>
    </xf>
    <xf numFmtId="0" fontId="97" fillId="57" borderId="0" xfId="0">
      <alignment horizontal="left" vertical="center"/>
    </xf>
    <xf numFmtId="0" fontId="97" fillId="57" borderId="0" xfId="0">
      <alignment horizontal="center" vertical="center"/>
    </xf>
    <xf numFmtId="4091" fontId="97" fillId="57" borderId="0" xfId="0">
      <alignment horizontal="center" vertical="center"/>
    </xf>
    <xf numFmtId="0" fontId="110" fillId="66" borderId="46" xfId="0">
      <alignment horizontal="center" vertical="center"/>
    </xf>
    <xf numFmtId="0" fontId="110" fillId="66" borderId="47" xfId="0">
      <alignment horizontal="center" vertical="center"/>
    </xf>
    <xf numFmtId="0" fontId="110" fillId="66" borderId="48" xfId="0">
      <alignment horizontal="center" vertical="center"/>
    </xf>
    <xf numFmtId="0" fontId="110" fillId="64" borderId="11" xfId="0">
      <alignment horizontal="center" vertical="center"/>
    </xf>
    <xf numFmtId="0" fontId="110" fillId="65" borderId="11" xfId="0">
      <alignment horizontal="center" vertical="center"/>
    </xf>
    <xf numFmtId="0" fontId="110" fillId="66" borderId="11" xfId="0">
      <alignment horizontal="center" vertical="center"/>
    </xf>
    <xf numFmtId="0" fontId="110" fillId="66" borderId="9" xfId="0">
      <alignment horizontal="center" vertical="center"/>
    </xf>
    <xf numFmtId="0" fontId="110" fillId="66" borderId="16" xfId="0">
      <alignment horizontal="center" vertical="center"/>
    </xf>
    <xf numFmtId="0" fontId="110" fillId="66" borderId="53" xfId="0">
      <alignment horizontal="center" vertical="center"/>
    </xf>
    <xf numFmtId="0" fontId="19" fillId="59" borderId="49" xfId="0">
      <alignment horizontal="center" vertical="center"/>
    </xf>
    <xf numFmtId="0" fontId="19" fillId="59" borderId="8" xfId="0">
      <alignment horizontal="center" vertical="center" wrapText="1"/>
    </xf>
    <xf numFmtId="309" fontId="21" fillId="59" borderId="8" xfId="0">
      <alignment horizontal="center" vertical="center" wrapText="1"/>
    </xf>
    <xf numFmtId="4091" fontId="19" fillId="59" borderId="8" xfId="0">
      <alignment horizontal="center" vertical="center" wrapText="1"/>
    </xf>
    <xf numFmtId="37" fontId="19" fillId="59" borderId="8" xfId="0">
      <alignment horizontal="center" vertical="center" wrapText="1"/>
    </xf>
    <xf numFmtId="308" fontId="19" fillId="59" borderId="8" xfId="0">
      <alignment horizontal="center" vertical="center" wrapText="1"/>
    </xf>
    <xf numFmtId="10" fontId="19" fillId="59" borderId="8" xfId="0">
      <alignment horizontal="center" vertical="center" wrapText="1"/>
    </xf>
    <xf numFmtId="309" fontId="19" fillId="59" borderId="8" xfId="0">
      <alignment horizontal="center" vertical="center" wrapText="1"/>
    </xf>
    <xf numFmtId="10" fontId="19" fillId="18" borderId="8" xfId="0">
      <alignment horizontal="center" vertical="center" wrapText="1"/>
    </xf>
    <xf numFmtId="39" fontId="19" fillId="59" borderId="8" xfId="0">
      <alignment horizontal="center" vertical="center" wrapText="1"/>
    </xf>
    <xf numFmtId="39" fontId="19" fillId="22" borderId="8" xfId="0">
      <alignment horizontal="center" vertical="center" wrapText="1"/>
    </xf>
    <xf numFmtId="39" fontId="19" fillId="18" borderId="8" xfId="0">
      <alignment horizontal="center" vertical="center" wrapText="1"/>
    </xf>
    <xf numFmtId="10" fontId="19" fillId="22" borderId="8" xfId="0">
      <alignment horizontal="center" vertical="center" wrapText="1"/>
    </xf>
    <xf numFmtId="4031" fontId="19" fillId="59" borderId="8" xfId="0">
      <alignment horizontal="center" vertical="center" wrapText="1"/>
    </xf>
    <xf numFmtId="0" fontId="19" fillId="59" borderId="45" xfId="0">
      <alignment horizontal="center" vertical="center" wrapText="1"/>
    </xf>
    <xf numFmtId="3" fontId="19" fillId="59" borderId="8" xfId="0">
      <alignment horizontal="center" vertical="center" wrapText="1"/>
    </xf>
    <xf numFmtId="0" fontId="19" fillId="0" borderId="53" xfId="0">
      <alignment horizontal="center" vertical="bottom"/>
    </xf>
    <xf numFmtId="0" fontId="19" fillId="0" borderId="2" xfId="0">
      <alignment horizontal="left" vertical="bottom"/>
    </xf>
    <xf numFmtId="0" fontId="19" fillId="0" borderId="2" xfId="0">
      <alignment horizontal="center" vertical="bottom"/>
    </xf>
    <xf numFmtId="0" fontId="19" fillId="0" borderId="2" xfId="0">
      <alignment horizontal="right" vertical="bottom"/>
    </xf>
    <xf numFmtId="4031" fontId="19" fillId="0" borderId="2" xfId="0">
      <alignment horizontal="right" vertical="bottom"/>
    </xf>
    <xf numFmtId="4091" fontId="19" fillId="0" borderId="2" xfId="0">
      <alignment horizontal="right" vertical="bottom"/>
    </xf>
    <xf numFmtId="37" fontId="19" fillId="0" borderId="2" xfId="0">
      <alignment horizontal="right" vertical="bottom"/>
    </xf>
    <xf numFmtId="4" fontId="19" fillId="0" borderId="2" xfId="0">
      <alignment horizontal="right" vertical="bottom"/>
    </xf>
    <xf numFmtId="308" fontId="19" fillId="0" borderId="2" xfId="0">
      <alignment horizontal="right" vertical="bottom"/>
    </xf>
    <xf numFmtId="10" fontId="19" fillId="0" borderId="2" xfId="0">
      <alignment horizontal="right" vertical="bottom"/>
    </xf>
    <xf numFmtId="10" fontId="19" fillId="6" borderId="2" xfId="0">
      <alignment horizontal="right" vertical="bottom"/>
    </xf>
    <xf numFmtId="308" fontId="19" fillId="12" borderId="2" xfId="0">
      <alignment horizontal="right" vertical="bottom"/>
    </xf>
    <xf numFmtId="308" fontId="19" fillId="6" borderId="2" xfId="0">
      <alignment horizontal="right" vertical="bottom"/>
    </xf>
    <xf numFmtId="2" fontId="19" fillId="0" borderId="2" xfId="0">
      <alignment horizontal="right" vertical="bottom"/>
    </xf>
    <xf numFmtId="2" fontId="19" fillId="12" borderId="2" xfId="0">
      <alignment horizontal="right" vertical="bottom"/>
    </xf>
    <xf numFmtId="0" fontId="19" fillId="0" borderId="9" xfId="0">
      <alignment horizontal="right" vertical="bottom"/>
    </xf>
    <xf numFmtId="308" fontId="19" fillId="0" borderId="9" xfId="0">
      <alignment horizontal="right" vertical="bottom"/>
    </xf>
    <xf numFmtId="308" fontId="19" fillId="0" borderId="46" xfId="0">
      <alignment horizontal="right" vertical="bottom"/>
    </xf>
    <xf numFmtId="308" fontId="19" fillId="57" borderId="11" xfId="0">
      <alignment horizontal="right" vertical="bottom"/>
    </xf>
    <xf numFmtId="308" fontId="19" fillId="57" borderId="0" xfId="0">
      <alignment horizontal="right" vertical="bottom"/>
    </xf>
    <xf numFmtId="4031" fontId="97" fillId="57" borderId="0" xfId="0">
      <alignment horizontal="center" vertical="bottom"/>
    </xf>
    <xf numFmtId="4091" fontId="97" fillId="57" borderId="0" xfId="0">
      <alignment horizontal="right" vertical="bottom"/>
    </xf>
    <xf numFmtId="37" fontId="97" fillId="57" borderId="0" xfId="0">
      <alignment horizontal="right" vertical="bottom"/>
    </xf>
    <xf numFmtId="308" fontId="97" fillId="57" borderId="0" xfId="0">
      <alignment horizontal="right" vertical="bottom"/>
    </xf>
    <xf numFmtId="4" fontId="97" fillId="57" borderId="0" xfId="0">
      <alignment horizontal="right" vertical="bottom"/>
    </xf>
    <xf numFmtId="10" fontId="97" fillId="57" borderId="0" xfId="0">
      <alignment horizontal="right" vertical="bottom"/>
    </xf>
    <xf numFmtId="2" fontId="97" fillId="57" borderId="0" xfId="0">
      <alignment horizontal="right" vertical="bottom"/>
    </xf>
    <xf numFmtId="0" fontId="97" fillId="57" borderId="9" xfId="0"/>
    <xf numFmtId="0" fontId="97" fillId="57" borderId="16" xfId="0">
      <alignment horizontal="left" vertical="bottom"/>
    </xf>
    <xf numFmtId="0" fontId="97" fillId="57" borderId="16" xfId="0">
      <alignment horizontal="center" vertical="bottom"/>
    </xf>
    <xf numFmtId="4031" fontId="97" fillId="57" borderId="16" xfId="0">
      <alignment horizontal="center" vertical="bottom"/>
    </xf>
    <xf numFmtId="4091" fontId="97" fillId="57" borderId="2" xfId="0">
      <alignment horizontal="right" vertical="bottom"/>
    </xf>
    <xf numFmtId="37" fontId="97" fillId="57" borderId="2" xfId="0">
      <alignment horizontal="right" vertical="bottom"/>
    </xf>
    <xf numFmtId="4" fontId="97" fillId="57" borderId="2" xfId="0">
      <alignment horizontal="right" vertical="bottom"/>
    </xf>
    <xf numFmtId="308" fontId="97" fillId="57" borderId="2" xfId="0">
      <alignment horizontal="right" vertical="bottom"/>
    </xf>
    <xf numFmtId="10" fontId="97" fillId="57" borderId="2" xfId="0">
      <alignment horizontal="right" vertical="bottom"/>
    </xf>
    <xf numFmtId="2" fontId="97" fillId="57" borderId="2" xfId="0">
      <alignment horizontal="right" vertical="bottom"/>
    </xf>
    <xf numFmtId="0" fontId="97" fillId="57" borderId="2" xfId="0">
      <alignment horizontal="right" vertical="bottom"/>
    </xf>
    <xf numFmtId="0" fontId="94" fillId="2" borderId="44" xfId="0"/>
    <xf numFmtId="0" fontId="94" fillId="2" borderId="14" xfId="0">
      <alignment horizontal="left" vertical="bottom"/>
    </xf>
    <xf numFmtId="0" fontId="94" fillId="2" borderId="14" xfId="0">
      <alignment horizontal="center" vertical="bottom"/>
    </xf>
    <xf numFmtId="4091" fontId="94" fillId="2" borderId="14" xfId="0">
      <alignment horizontal="right" vertical="bottom"/>
    </xf>
    <xf numFmtId="37" fontId="94" fillId="2" borderId="14" xfId="0">
      <alignment horizontal="right" vertical="bottom"/>
    </xf>
    <xf numFmtId="4463" fontId="94" fillId="2" borderId="14" xfId="0">
      <alignment horizontal="right" vertical="bottom"/>
    </xf>
    <xf numFmtId="10" fontId="94" fillId="2" borderId="14" xfId="0">
      <alignment horizontal="right" vertical="bottom"/>
    </xf>
    <xf numFmtId="308" fontId="94" fillId="2" borderId="14" xfId="0">
      <alignment horizontal="right" vertical="bottom"/>
    </xf>
    <xf numFmtId="2" fontId="94" fillId="2" borderId="14" xfId="0">
      <alignment horizontal="right" vertical="bottom"/>
    </xf>
    <xf numFmtId="0" fontId="94" fillId="2" borderId="14" xfId="0">
      <alignment horizontal="right" vertical="bottom"/>
    </xf>
    <xf numFmtId="308" fontId="94" fillId="2" borderId="41" xfId="0">
      <alignment horizontal="right" vertical="bottom"/>
    </xf>
    <xf numFmtId="309" fontId="97" fillId="57" borderId="0" xfId="0">
      <alignment horizontal="right" vertical="bottom"/>
    </xf>
    <xf numFmtId="39" fontId="97" fillId="57" borderId="0" xfId="0">
      <alignment horizontal="right" vertical="bottom"/>
    </xf>
    <xf numFmtId="4031" fontId="97" fillId="57" borderId="0" xfId="0">
      <alignment horizontal="right" vertical="bottom"/>
    </xf>
    <xf numFmtId="0" fontId="21" fillId="59" borderId="8" xfId="0">
      <alignment horizontal="center" vertical="center" wrapText="1"/>
    </xf>
    <xf numFmtId="4091" fontId="21" fillId="59" borderId="8" xfId="0">
      <alignment horizontal="center" vertical="center" wrapText="1"/>
    </xf>
    <xf numFmtId="308" fontId="21" fillId="59" borderId="8" xfId="0">
      <alignment horizontal="center" vertical="center" wrapText="1"/>
    </xf>
    <xf numFmtId="10" fontId="21" fillId="59" borderId="8" xfId="0">
      <alignment horizontal="center" vertical="center" wrapText="1"/>
    </xf>
    <xf numFmtId="309" fontId="21" fillId="59" borderId="45" xfId="0">
      <alignment horizontal="center" vertical="center" wrapText="1"/>
    </xf>
    <xf numFmtId="309" fontId="92" fillId="59" borderId="8" xfId="0">
      <alignment horizontal="center" vertical="center" wrapText="1"/>
    </xf>
    <xf numFmtId="0" fontId="97" fillId="0" borderId="53" xfId="0">
      <alignment horizontal="center" vertical="center"/>
    </xf>
    <xf numFmtId="0" fontId="97" fillId="0" borderId="2" xfId="0">
      <alignment horizontal="left" vertical="center"/>
    </xf>
    <xf numFmtId="0" fontId="97" fillId="0" borderId="2" xfId="0">
      <alignment horizontal="right" vertical="center"/>
    </xf>
    <xf numFmtId="4031" fontId="97" fillId="0" borderId="2" xfId="0">
      <alignment horizontal="right" vertical="center"/>
    </xf>
    <xf numFmtId="4091" fontId="97" fillId="0" borderId="2" xfId="0">
      <alignment horizontal="right" vertical="center"/>
    </xf>
    <xf numFmtId="37" fontId="97" fillId="0" borderId="2" xfId="0">
      <alignment horizontal="right" vertical="center"/>
    </xf>
    <xf numFmtId="4" fontId="97" fillId="0" borderId="2" xfId="0">
      <alignment horizontal="right" vertical="center"/>
    </xf>
    <xf numFmtId="308" fontId="97" fillId="0" borderId="2" xfId="0">
      <alignment horizontal="right" vertical="center"/>
    </xf>
    <xf numFmtId="10" fontId="97" fillId="0" borderId="2" xfId="0">
      <alignment horizontal="right" vertical="center"/>
    </xf>
    <xf numFmtId="308" fontId="97" fillId="0" borderId="9" xfId="0">
      <alignment horizontal="right" vertical="center"/>
    </xf>
    <xf numFmtId="0" fontId="97" fillId="0" borderId="48" xfId="0">
      <alignment horizontal="center" vertical="center"/>
    </xf>
    <xf numFmtId="0" fontId="97" fillId="0" borderId="11" xfId="0">
      <alignment horizontal="left" vertical="center"/>
    </xf>
    <xf numFmtId="0" fontId="97" fillId="0" borderId="11" xfId="0">
      <alignment horizontal="right" vertical="center"/>
    </xf>
    <xf numFmtId="4031" fontId="97" fillId="0" borderId="11" xfId="0">
      <alignment horizontal="right" vertical="center"/>
    </xf>
    <xf numFmtId="4091" fontId="97" fillId="0" borderId="11" xfId="0">
      <alignment horizontal="right" vertical="center"/>
    </xf>
    <xf numFmtId="37" fontId="97" fillId="0" borderId="11" xfId="0">
      <alignment horizontal="right" vertical="center"/>
    </xf>
    <xf numFmtId="4" fontId="97" fillId="0" borderId="11" xfId="0">
      <alignment horizontal="right" vertical="center"/>
    </xf>
    <xf numFmtId="308" fontId="97" fillId="0" borderId="11" xfId="0">
      <alignment horizontal="right" vertical="center"/>
    </xf>
    <xf numFmtId="10" fontId="97" fillId="0" borderId="11" xfId="0">
      <alignment horizontal="right" vertical="center"/>
    </xf>
    <xf numFmtId="308" fontId="97" fillId="0" borderId="46" xfId="0">
      <alignment horizontal="right" vertical="center"/>
    </xf>
    <xf numFmtId="4463" fontId="94" fillId="2" borderId="41" xfId="0">
      <alignment horizontal="right" vertical="bottom"/>
    </xf>
    <xf numFmtId="0" fontId="21" fillId="59" borderId="49" xfId="0">
      <alignment horizontal="center" vertical="center" wrapText="1"/>
    </xf>
    <xf numFmtId="0" fontId="97" fillId="0" borderId="2" xfId="0">
      <alignment horizontal="left" vertical="bottom"/>
    </xf>
    <xf numFmtId="0" fontId="97" fillId="0" borderId="2" xfId="0">
      <alignment horizontal="center" vertical="bottom"/>
    </xf>
    <xf numFmtId="4031" fontId="97" fillId="0" borderId="2" xfId="0">
      <alignment horizontal="center" vertical="bottom"/>
    </xf>
    <xf numFmtId="4091" fontId="97" fillId="0" borderId="2" xfId="0">
      <alignment horizontal="right" vertical="bottom"/>
    </xf>
    <xf numFmtId="37" fontId="97" fillId="0" borderId="2" xfId="0">
      <alignment horizontal="right" vertical="bottom"/>
    </xf>
    <xf numFmtId="4" fontId="97" fillId="0" borderId="2" xfId="0">
      <alignment horizontal="right" vertical="bottom"/>
    </xf>
    <xf numFmtId="308" fontId="97" fillId="0" borderId="2" xfId="0">
      <alignment horizontal="right" vertical="bottom"/>
    </xf>
    <xf numFmtId="10" fontId="97" fillId="0" borderId="2" xfId="0">
      <alignment horizontal="right" vertical="bottom"/>
    </xf>
    <xf numFmtId="308" fontId="97" fillId="0" borderId="8" xfId="0">
      <alignment horizontal="right" vertical="bottom"/>
    </xf>
    <xf numFmtId="0" fontId="97" fillId="0" borderId="11" xfId="0">
      <alignment horizontal="left" vertical="bottom"/>
    </xf>
    <xf numFmtId="0" fontId="97" fillId="0" borderId="11" xfId="0">
      <alignment horizontal="center" vertical="bottom"/>
    </xf>
    <xf numFmtId="4031" fontId="97" fillId="0" borderId="11" xfId="0">
      <alignment horizontal="center" vertical="bottom"/>
    </xf>
    <xf numFmtId="4091" fontId="97" fillId="0" borderId="11" xfId="0">
      <alignment horizontal="right" vertical="bottom"/>
    </xf>
    <xf numFmtId="37" fontId="97" fillId="0" borderId="11" xfId="0">
      <alignment horizontal="right" vertical="bottom"/>
    </xf>
    <xf numFmtId="4" fontId="97" fillId="0" borderId="11" xfId="0">
      <alignment horizontal="right" vertical="bottom"/>
    </xf>
    <xf numFmtId="308" fontId="97" fillId="0" borderId="11" xfId="0">
      <alignment horizontal="right" vertical="bottom"/>
    </xf>
    <xf numFmtId="10" fontId="97" fillId="0" borderId="11" xfId="0">
      <alignment horizontal="right" vertical="bottom"/>
    </xf>
    <xf numFmtId="308" fontId="97" fillId="0" borderId="46" xfId="0">
      <alignment horizontal="right" vertical="bottom"/>
    </xf>
    <xf numFmtId="39" fontId="94" fillId="57" borderId="0" xfId="0">
      <alignment horizontal="center" vertical="bottom"/>
    </xf>
    <xf numFmtId="10" fontId="94" fillId="57" borderId="0" xfId="0">
      <alignment horizontal="center" vertical="bottom"/>
    </xf>
    <xf numFmtId="4031" fontId="0" fillId="0" borderId="0" xfId="0"/>
    <xf numFmtId="0" fontId="94" fillId="59" borderId="49" xfId="0">
      <alignment horizontal="center" vertical="center" wrapText="1"/>
    </xf>
    <xf numFmtId="0" fontId="94" fillId="59" borderId="8" xfId="0">
      <alignment horizontal="center" vertical="center" wrapText="1"/>
    </xf>
    <xf numFmtId="309" fontId="94" fillId="59" borderId="8" xfId="0">
      <alignment horizontal="center" vertical="center" wrapText="1"/>
    </xf>
    <xf numFmtId="4091" fontId="94" fillId="59" borderId="8" xfId="0">
      <alignment horizontal="center" vertical="center" wrapText="1"/>
    </xf>
    <xf numFmtId="37" fontId="97" fillId="59" borderId="8" xfId="0">
      <alignment horizontal="center" vertical="center" wrapText="1"/>
    </xf>
    <xf numFmtId="308" fontId="94" fillId="59" borderId="8" xfId="0">
      <alignment horizontal="center" vertical="center" wrapText="1"/>
    </xf>
    <xf numFmtId="10" fontId="94" fillId="59" borderId="8" xfId="0">
      <alignment horizontal="center" vertical="center" wrapText="1"/>
    </xf>
    <xf numFmtId="309" fontId="94" fillId="59" borderId="45" xfId="0">
      <alignment horizontal="center" vertical="center" wrapText="1"/>
    </xf>
    <xf numFmtId="309" fontId="109" fillId="59" borderId="8" xfId="0">
      <alignment horizontal="center" vertical="center" wrapText="1"/>
    </xf>
    <xf numFmtId="0" fontId="97" fillId="59" borderId="49" xfId="0">
      <alignment horizontal="center" vertical="center"/>
    </xf>
    <xf numFmtId="0" fontId="97" fillId="0" borderId="53" xfId="0">
      <alignment horizontal="center" vertical="bottom"/>
    </xf>
    <xf numFmtId="0" fontId="97" fillId="0" borderId="2" xfId="0">
      <alignment horizontal="right" vertical="bottom"/>
    </xf>
    <xf numFmtId="4031" fontId="97" fillId="0" borderId="2" xfId="0">
      <alignment horizontal="right" vertical="bottom"/>
    </xf>
    <xf numFmtId="4091" fontId="97" fillId="59" borderId="8" xfId="0">
      <alignment horizontal="center" vertical="center" wrapText="1"/>
    </xf>
    <xf numFmtId="308" fontId="97" fillId="59" borderId="8" xfId="0">
      <alignment horizontal="center" vertical="center" wrapText="1"/>
    </xf>
    <xf numFmtId="10" fontId="97" fillId="59" borderId="8" xfId="0">
      <alignment horizontal="center" vertical="center" wrapText="1"/>
    </xf>
    <xf numFmtId="309" fontId="97" fillId="59" borderId="8" xfId="0">
      <alignment horizontal="center" vertical="center" wrapText="1"/>
    </xf>
    <xf numFmtId="10" fontId="97" fillId="18" borderId="8" xfId="0">
      <alignment horizontal="center" vertical="center" wrapText="1"/>
    </xf>
    <xf numFmtId="10" fontId="97" fillId="6" borderId="2" xfId="0">
      <alignment horizontal="right" vertical="bottom"/>
    </xf>
    <xf numFmtId="39" fontId="97" fillId="59" borderId="8" xfId="0">
      <alignment horizontal="center" vertical="center" wrapText="1"/>
    </xf>
    <xf numFmtId="39" fontId="97" fillId="22" borderId="8" xfId="0">
      <alignment horizontal="center" vertical="center" wrapText="1"/>
    </xf>
    <xf numFmtId="308" fontId="97" fillId="12" borderId="2" xfId="0">
      <alignment horizontal="right" vertical="bottom"/>
    </xf>
    <xf numFmtId="39" fontId="97" fillId="18" borderId="8" xfId="0">
      <alignment horizontal="center" vertical="center" wrapText="1"/>
    </xf>
    <xf numFmtId="308" fontId="97" fillId="6" borderId="2" xfId="0">
      <alignment horizontal="right" vertical="bottom"/>
    </xf>
    <xf numFmtId="2" fontId="97" fillId="0" borderId="2" xfId="0">
      <alignment horizontal="right" vertical="bottom"/>
    </xf>
    <xf numFmtId="10" fontId="97" fillId="22" borderId="8" xfId="0">
      <alignment horizontal="center" vertical="center" wrapText="1"/>
    </xf>
    <xf numFmtId="2" fontId="97" fillId="12" borderId="2" xfId="0">
      <alignment horizontal="right" vertical="bottom"/>
    </xf>
    <xf numFmtId="4031" fontId="97" fillId="59" borderId="8" xfId="0">
      <alignment horizontal="center" vertical="center" wrapText="1"/>
    </xf>
    <xf numFmtId="0" fontId="97" fillId="59" borderId="45" xfId="0">
      <alignment horizontal="center" vertical="center" wrapText="1"/>
    </xf>
    <xf numFmtId="0" fontId="97" fillId="0" borderId="9" xfId="0">
      <alignment horizontal="right" vertical="bottom"/>
    </xf>
    <xf numFmtId="3" fontId="97" fillId="59" borderId="8" xfId="0">
      <alignment horizontal="center" vertical="center" wrapText="1"/>
    </xf>
    <xf numFmtId="308" fontId="97" fillId="0" borderId="9" xfId="0">
      <alignment horizontal="right" vertical="bottom"/>
    </xf>
    <xf numFmtId="308" fontId="97" fillId="57" borderId="11" xfId="0">
      <alignment horizontal="right" vertical="bottom"/>
    </xf>
    <xf numFmtId="0" fontId="251" fillId="57" borderId="0" xfId="0">
      <alignment horizontal="left" vertical="center"/>
    </xf>
    <xf numFmtId="0" fontId="211" fillId="70" borderId="42" xfId="0">
      <alignment horizontal="center" vertical="center" wrapText="1"/>
    </xf>
    <xf numFmtId="0" fontId="211" fillId="70" borderId="36" xfId="0">
      <alignment horizontal="center" vertical="center" wrapText="1"/>
    </xf>
    <xf numFmtId="0" fontId="211" fillId="70" borderId="43" xfId="0">
      <alignment horizontal="center" vertical="center"/>
    </xf>
    <xf numFmtId="0" fontId="211" fillId="70" borderId="43" xfId="0">
      <alignment horizontal="center" vertical="center" wrapText="1"/>
    </xf>
    <xf numFmtId="0" fontId="211" fillId="70" borderId="61" xfId="0">
      <alignment horizontal="center" vertical="center" wrapText="1"/>
    </xf>
    <xf numFmtId="0" fontId="211" fillId="70" borderId="35" xfId="0">
      <alignment horizontal="center" vertical="center" wrapText="1"/>
    </xf>
    <xf numFmtId="0" fontId="211" fillId="70" borderId="37" xfId="0">
      <alignment horizontal="center" vertical="center" wrapText="1"/>
    </xf>
    <xf numFmtId="0" fontId="211" fillId="70" borderId="0" xfId="0">
      <alignment horizontal="center" vertical="center"/>
    </xf>
    <xf numFmtId="0" fontId="211" fillId="70" borderId="0" xfId="0">
      <alignment horizontal="center" vertical="center" wrapText="1"/>
    </xf>
    <xf numFmtId="0" fontId="211" fillId="70" borderId="38" xfId="0">
      <alignment horizontal="center" vertical="center" wrapText="1"/>
    </xf>
    <xf numFmtId="0" fontId="140" fillId="68" borderId="0" xfId="0">
      <alignment horizontal="center" vertical="center"/>
    </xf>
    <xf numFmtId="0" fontId="211" fillId="70" borderId="84" xfId="0">
      <alignment horizontal="center" vertical="center" wrapText="1"/>
    </xf>
    <xf numFmtId="0" fontId="211" fillId="70" borderId="39" xfId="0">
      <alignment horizontal="center" vertical="center" wrapText="1"/>
    </xf>
    <xf numFmtId="0" fontId="211" fillId="70" borderId="30" xfId="0">
      <alignment horizontal="center" vertical="center"/>
    </xf>
    <xf numFmtId="0" fontId="211" fillId="70" borderId="30" xfId="0">
      <alignment horizontal="center" vertical="center" wrapText="1"/>
    </xf>
    <xf numFmtId="0" fontId="211" fillId="70" borderId="55" xfId="0">
      <alignment horizontal="center" vertical="center" wrapText="1"/>
    </xf>
    <xf numFmtId="49" fontId="140" fillId="0" borderId="0" xfId="0" quotePrefix="1">
      <alignment vertical="center"/>
    </xf>
    <xf numFmtId="0" fontId="140" fillId="57" borderId="35" xfId="0">
      <alignment horizontal="center" vertical="center"/>
    </xf>
    <xf numFmtId="1" fontId="182" fillId="0" borderId="76" xfId="0">
      <alignment horizontal="right" vertical="center" indent="3"/>
    </xf>
    <xf numFmtId="10" fontId="182" fillId="59" borderId="8" xfId="0">
      <alignment horizontal="right" vertical="center" indent="2"/>
    </xf>
    <xf numFmtId="1" fontId="181" fillId="0" borderId="8" xfId="0">
      <alignment horizontal="center" vertical="center"/>
    </xf>
    <xf numFmtId="0" fontId="181" fillId="0" borderId="8" xfId="0">
      <alignment horizontal="center" vertical="center"/>
    </xf>
    <xf numFmtId="37" fontId="181" fillId="0" borderId="77" xfId="0">
      <alignment horizontal="right" vertical="center" indent="2"/>
    </xf>
    <xf numFmtId="4063" fontId="181" fillId="0" borderId="49" xfId="0">
      <alignment horizontal="center" vertical="center"/>
    </xf>
    <xf numFmtId="1163" fontId="182" fillId="0" borderId="8" xfId="0">
      <alignment horizontal="center" vertical="center"/>
    </xf>
    <xf numFmtId="308" fontId="181" fillId="0" borderId="8" xfId="0">
      <alignment horizontal="right" vertical="center" indent="2"/>
    </xf>
    <xf numFmtId="4091" fontId="182" fillId="0" borderId="8" xfId="0">
      <alignment horizontal="right" vertical="center" indent="3"/>
    </xf>
    <xf numFmtId="1" fontId="182" fillId="0" borderId="8" xfId="0">
      <alignment horizontal="right" vertical="center" indent="3"/>
    </xf>
    <xf numFmtId="4031" fontId="182" fillId="0" borderId="45" xfId="0">
      <alignment horizontal="right" vertical="center" indent="3"/>
    </xf>
    <xf numFmtId="2" fontId="182" fillId="0" borderId="73" xfId="0" quotePrefix="1">
      <alignment horizontal="center" vertical="center"/>
    </xf>
    <xf numFmtId="2" fontId="182" fillId="0" borderId="74" xfId="0" quotePrefix="1">
      <alignment horizontal="center" vertical="center"/>
    </xf>
    <xf numFmtId="2" fontId="182" fillId="0" borderId="75" xfId="0" quotePrefix="1">
      <alignment horizontal="center" vertical="center"/>
    </xf>
    <xf numFmtId="3" fontId="182" fillId="0" borderId="61" xfId="0">
      <alignment horizontal="center" vertical="center"/>
    </xf>
    <xf numFmtId="3" fontId="182" fillId="0" borderId="62" xfId="0">
      <alignment horizontal="right" vertical="center" indent="3"/>
    </xf>
    <xf numFmtId="10" fontId="182" fillId="59" borderId="94" xfId="0">
      <alignment horizontal="right" vertical="center" indent="2"/>
    </xf>
    <xf numFmtId="0" fontId="182" fillId="57" borderId="36" xfId="0">
      <alignment horizontal="center" vertical="center"/>
    </xf>
    <xf numFmtId="0" fontId="182" fillId="57" borderId="61" xfId="0">
      <alignment horizontal="center" vertical="center"/>
    </xf>
    <xf numFmtId="37" fontId="181" fillId="0" borderId="41" xfId="0">
      <alignment horizontal="right" vertical="center" indent="2"/>
    </xf>
    <xf numFmtId="4063" fontId="181" fillId="0" borderId="83" xfId="0">
      <alignment horizontal="center" vertical="center"/>
    </xf>
    <xf numFmtId="1163" fontId="182" fillId="0" borderId="56" xfId="0">
      <alignment horizontal="center" vertical="center"/>
    </xf>
    <xf numFmtId="308" fontId="181" fillId="0" borderId="56" xfId="0">
      <alignment horizontal="right" vertical="center" indent="2"/>
    </xf>
    <xf numFmtId="4063" fontId="181" fillId="0" borderId="56" xfId="0">
      <alignment horizontal="right" vertical="center" indent="2"/>
    </xf>
    <xf numFmtId="4091" fontId="182" fillId="0" borderId="56" xfId="0">
      <alignment horizontal="right" vertical="center" indent="3"/>
    </xf>
    <xf numFmtId="3" fontId="182" fillId="0" borderId="56" xfId="0">
      <alignment horizontal="right" vertical="center" indent="3"/>
    </xf>
    <xf numFmtId="4031" fontId="182" fillId="0" borderId="66" xfId="0">
      <alignment horizontal="right" vertical="center" indent="3"/>
    </xf>
    <xf numFmtId="0" fontId="140" fillId="57" borderId="36" xfId="0">
      <alignment vertical="center"/>
    </xf>
    <xf numFmtId="3" fontId="140" fillId="57" borderId="40" xfId="0">
      <alignment horizontal="center" vertical="center"/>
    </xf>
    <xf numFmtId="0" fontId="211" fillId="70" borderId="9" xfId="0">
      <alignment vertical="center"/>
    </xf>
    <xf numFmtId="0" fontId="210" fillId="70" borderId="16" xfId="0">
      <alignment vertical="center"/>
    </xf>
    <xf numFmtId="0" fontId="210" fillId="70" borderId="53" xfId="0">
      <alignment vertical="center"/>
    </xf>
    <xf numFmtId="0" fontId="140" fillId="57" borderId="46" xfId="0">
      <alignment vertical="center"/>
    </xf>
    <xf numFmtId="0" fontId="140" fillId="57" borderId="48" xfId="0">
      <alignment vertical="center"/>
    </xf>
    <xf numFmtId="308" fontId="141" fillId="52" borderId="2" xfId="0">
      <alignment horizontal="center" vertical="center"/>
    </xf>
    <xf numFmtId="0" fontId="140" fillId="57" borderId="51" xfId="0">
      <alignment horizontal="right" vertical="center"/>
    </xf>
    <xf numFmtId="10" fontId="183" fillId="57" borderId="2" xfId="276">
      <alignment horizontal="center" vertical="center"/>
    </xf>
    <xf numFmtId="37" fontId="141" fillId="52" borderId="2" xfId="0">
      <alignment horizontal="center" vertical="center"/>
    </xf>
    <xf numFmtId="4063" fontId="141" fillId="52" borderId="2" xfId="0">
      <alignment horizontal="center" vertical="center"/>
    </xf>
    <xf numFmtId="37" fontId="141" fillId="57" borderId="0" xfId="0">
      <alignment vertical="center"/>
    </xf>
    <xf numFmtId="10" fontId="141" fillId="52" borderId="2" xfId="0">
      <alignment horizontal="center" vertical="center"/>
    </xf>
    <xf numFmtId="10" fontId="140" fillId="57" borderId="2" xfId="0">
      <alignment horizontal="center" vertical="center"/>
    </xf>
    <xf numFmtId="4063" fontId="140" fillId="57" borderId="2" xfId="0">
      <alignment horizontal="center" vertical="center"/>
    </xf>
    <xf numFmtId="4031" fontId="141" fillId="52" borderId="2" xfId="0">
      <alignment horizontal="center" vertical="center"/>
    </xf>
    <xf numFmtId="9" fontId="141" fillId="57" borderId="47" xfId="0">
      <alignment horizontal="center" vertical="center"/>
    </xf>
    <xf numFmtId="9" fontId="141" fillId="57" borderId="0" xfId="0">
      <alignment vertical="center"/>
    </xf>
    <xf numFmtId="0" fontId="140" fillId="57" borderId="45" xfId="0">
      <alignment vertical="center"/>
    </xf>
    <xf numFmtId="0" fontId="140" fillId="57" borderId="49" xfId="0">
      <alignment vertical="center"/>
    </xf>
    <xf numFmtId="0" fontId="182" fillId="57" borderId="0" xfId="0">
      <alignment vertical="center"/>
    </xf>
    <xf numFmtId="0" fontId="211" fillId="70" borderId="46" xfId="217">
      <alignment horizontal="right" vertical="center"/>
      <protection locked="0"/>
    </xf>
    <xf numFmtId="0" fontId="211" fillId="70" borderId="47" xfId="217">
      <alignment horizontal="center" vertical="center" wrapText="1"/>
    </xf>
    <xf numFmtId="0" fontId="211" fillId="70" borderId="47" xfId="217">
      <alignment horizontal="center" vertical="center"/>
    </xf>
    <xf numFmtId="0" fontId="211" fillId="70" borderId="47" xfId="217">
      <alignment horizontal="center" vertical="center" wrapText="1"/>
      <protection locked="0"/>
    </xf>
    <xf numFmtId="0" fontId="211" fillId="70" borderId="48" xfId="217">
      <alignment horizontal="center" vertical="center" wrapText="1"/>
    </xf>
    <xf numFmtId="0" fontId="181" fillId="59" borderId="11" xfId="217">
      <alignment horizontal="right" vertical="center"/>
    </xf>
    <xf numFmtId="37" fontId="225" fillId="57" borderId="2" xfId="217">
      <alignment horizontal="right" vertical="center" indent="2"/>
    </xf>
    <xf numFmtId="37" fontId="225" fillId="57" borderId="2" xfId="217">
      <alignment horizontal="right" vertical="center" indent="3"/>
    </xf>
    <xf numFmtId="4063" fontId="225" fillId="57" borderId="2" xfId="217">
      <alignment horizontal="right" vertical="center" indent="1"/>
    </xf>
    <xf numFmtId="37" fontId="225" fillId="57" borderId="2" xfId="217">
      <alignment horizontal="right" vertical="center" indent="1"/>
    </xf>
    <xf numFmtId="37" fontId="225" fillId="57" borderId="2" xfId="217">
      <alignment horizontal="right" vertical="center" indent="1"/>
      <protection locked="0"/>
    </xf>
    <xf numFmtId="4031" fontId="181" fillId="59" borderId="2" xfId="217">
      <alignment horizontal="right" vertical="center" indent="2"/>
    </xf>
    <xf numFmtId="0" fontId="181" fillId="59" borderId="50" xfId="217">
      <alignment horizontal="right" vertical="center"/>
      <protection locked="0"/>
    </xf>
    <xf numFmtId="0" fontId="181" fillId="59" borderId="50" xfId="217">
      <alignment horizontal="right" vertical="center"/>
    </xf>
    <xf numFmtId="0" fontId="181" fillId="59" borderId="45" xfId="217" quotePrefix="1">
      <alignment horizontal="right" vertical="center"/>
      <protection locked="0"/>
    </xf>
    <xf numFmtId="37" fontId="181" fillId="59" borderId="2" xfId="217">
      <alignment horizontal="right" vertical="center" indent="2"/>
    </xf>
    <xf numFmtId="37" fontId="181" fillId="59" borderId="2" xfId="217">
      <alignment horizontal="center" vertical="center"/>
    </xf>
    <xf numFmtId="4063" fontId="181" fillId="59" borderId="2" xfId="217">
      <alignment horizontal="right" vertical="center" indent="1"/>
    </xf>
    <xf numFmtId="37" fontId="181" fillId="59" borderId="1" xfId="217">
      <alignment horizontal="center" vertical="center"/>
    </xf>
    <xf numFmtId="4031" fontId="181" fillId="59" borderId="2" xfId="217">
      <alignment horizontal="center" vertical="center"/>
    </xf>
    <xf numFmtId="0" fontId="305" fillId="57" borderId="0" xfId="0">
      <alignment vertical="center"/>
    </xf>
    <xf numFmtId="0" fontId="211" fillId="70" borderId="2" xfId="217">
      <alignment horizontal="center" vertical="center"/>
    </xf>
    <xf numFmtId="0" fontId="211" fillId="70" borderId="2" xfId="0">
      <alignment horizontal="center" vertical="center"/>
    </xf>
    <xf numFmtId="4188" fontId="211" fillId="70" borderId="2" xfId="217">
      <alignment horizontal="center" vertical="center"/>
    </xf>
    <xf numFmtId="0" fontId="140" fillId="10" borderId="0" xfId="0">
      <alignment horizontal="center" vertical="center"/>
    </xf>
    <xf numFmtId="5356" fontId="181" fillId="68" borderId="2" xfId="217">
      <alignment horizontal="center" vertical="center"/>
    </xf>
    <xf numFmtId="0" fontId="140" fillId="68" borderId="2" xfId="0">
      <alignment horizontal="right" vertical="center" indent="3"/>
    </xf>
    <xf numFmtId="4063" fontId="140" fillId="68" borderId="2" xfId="0">
      <alignment horizontal="right" vertical="center" indent="1"/>
    </xf>
    <xf numFmtId="3" fontId="140" fillId="68" borderId="2" xfId="0">
      <alignment horizontal="right" vertical="center" indent="2"/>
    </xf>
    <xf numFmtId="0" fontId="140" fillId="68" borderId="2" xfId="0">
      <alignment horizontal="center" vertical="center"/>
    </xf>
    <xf numFmtId="5356" fontId="181" fillId="59" borderId="2" xfId="217">
      <alignment horizontal="center" vertical="center"/>
    </xf>
    <xf numFmtId="0" fontId="140" fillId="59" borderId="2" xfId="0">
      <alignment horizontal="right" vertical="center" indent="3"/>
    </xf>
    <xf numFmtId="4063" fontId="140" fillId="59" borderId="2" xfId="0">
      <alignment horizontal="right" vertical="center" indent="1"/>
    </xf>
    <xf numFmtId="3" fontId="140" fillId="59" borderId="2" xfId="0">
      <alignment horizontal="right" vertical="center" indent="2"/>
    </xf>
    <xf numFmtId="0" fontId="140" fillId="59" borderId="2" xfId="0">
      <alignment horizontal="center" vertical="center"/>
    </xf>
    <xf numFmtId="5358" fontId="181" fillId="68" borderId="2" xfId="217">
      <alignment horizontal="center" vertical="center"/>
    </xf>
    <xf numFmtId="0" fontId="140" fillId="0" borderId="47" xfId="0">
      <alignment horizontal="right" vertical="center" indent="3"/>
    </xf>
    <xf numFmtId="4063" fontId="140" fillId="0" borderId="0" xfId="0">
      <alignment horizontal="right" vertical="center" indent="1"/>
    </xf>
    <xf numFmtId="3" fontId="140" fillId="0" borderId="0" xfId="0">
      <alignment horizontal="right" vertical="center" indent="2"/>
    </xf>
    <xf numFmtId="0" fontId="174" fillId="57" borderId="0" xfId="0">
      <alignment vertical="center"/>
    </xf>
    <xf numFmtId="0" fontId="150" fillId="57" borderId="0" xfId="0">
      <alignment vertical="center"/>
    </xf>
    <xf numFmtId="0" fontId="150" fillId="57" borderId="0" xfId="0">
      <alignment horizontal="center" vertical="center"/>
    </xf>
    <xf numFmtId="0" fontId="179" fillId="18" borderId="2" xfId="0">
      <alignment horizontal="left" vertical="center"/>
    </xf>
    <xf numFmtId="0" fontId="175" fillId="52" borderId="2" xfId="0">
      <alignment horizontal="center" vertical="center"/>
    </xf>
    <xf numFmtId="0" fontId="179" fillId="22" borderId="2" xfId="0">
      <alignment horizontal="left" vertical="center"/>
    </xf>
    <xf numFmtId="0" fontId="179" fillId="21" borderId="2" xfId="0">
      <alignment horizontal="left" vertical="center"/>
    </xf>
    <xf numFmtId="0" fontId="174" fillId="0" borderId="70" xfId="0">
      <alignment vertical="center"/>
    </xf>
    <xf numFmtId="0" fontId="179" fillId="18" borderId="73" xfId="0">
      <alignment horizontal="center" vertical="center"/>
    </xf>
    <xf numFmtId="0" fontId="179" fillId="18" borderId="93" xfId="0">
      <alignment horizontal="center" vertical="center"/>
    </xf>
    <xf numFmtId="0" fontId="179" fillId="22" borderId="93" xfId="0">
      <alignment horizontal="center" vertical="center"/>
    </xf>
    <xf numFmtId="0" fontId="179" fillId="21" borderId="93" xfId="0">
      <alignment horizontal="center" vertical="center"/>
    </xf>
    <xf numFmtId="0" fontId="150" fillId="57" borderId="0" xfId="0" quotePrefix="1">
      <alignment horizontal="left" vertical="center"/>
    </xf>
    <xf numFmtId="0" fontId="174" fillId="0" borderId="39" xfId="0">
      <alignment vertical="center" wrapText="1"/>
    </xf>
    <xf numFmtId="0" fontId="175" fillId="18" borderId="84" xfId="0">
      <alignment horizontal="center" vertical="center" wrapText="1"/>
    </xf>
    <xf numFmtId="0" fontId="175" fillId="18" borderId="55" xfId="0">
      <alignment horizontal="center" vertical="center" wrapText="1"/>
    </xf>
    <xf numFmtId="0" fontId="175" fillId="22" borderId="55" xfId="0">
      <alignment horizontal="center" vertical="center" wrapText="1"/>
    </xf>
    <xf numFmtId="0" fontId="175" fillId="21" borderId="55" xfId="0">
      <alignment horizontal="center" vertical="center" wrapText="1"/>
    </xf>
    <xf numFmtId="0" fontId="150" fillId="57" borderId="0" xfId="0">
      <alignment horizontal="left" vertical="center"/>
    </xf>
    <xf numFmtId="0" fontId="174" fillId="0" borderId="0" xfId="0">
      <alignment vertical="center"/>
    </xf>
    <xf numFmtId="58" fontId="175" fillId="57" borderId="35" xfId="0">
      <alignment horizontal="center" vertical="center"/>
    </xf>
    <xf numFmtId="58" fontId="175" fillId="57" borderId="38" xfId="0">
      <alignment horizontal="center" vertical="center"/>
    </xf>
    <xf numFmtId="0" fontId="174" fillId="0" borderId="1" xfId="0">
      <alignment vertical="center"/>
    </xf>
    <xf numFmtId="58" fontId="175" fillId="57" borderId="85" xfId="0">
      <alignment horizontal="center" vertical="center"/>
    </xf>
    <xf numFmtId="58" fontId="175" fillId="57" borderId="86" xfId="0">
      <alignment horizontal="center" vertical="center"/>
    </xf>
    <xf numFmtId="0" fontId="176" fillId="69" borderId="16" xfId="0">
      <alignment vertical="center"/>
    </xf>
    <xf numFmtId="0" fontId="176" fillId="69" borderId="74" xfId="0">
      <alignment horizontal="center" vertical="center"/>
    </xf>
    <xf numFmtId="0" fontId="176" fillId="69" borderId="87" xfId="0">
      <alignment horizontal="center" vertical="center"/>
    </xf>
    <xf numFmtId="0" fontId="117" fillId="57" borderId="0" xfId="0">
      <alignment horizontal="left" vertical="center"/>
    </xf>
    <xf numFmtId="309" fontId="175" fillId="57" borderId="35" xfId="0">
      <alignment horizontal="center" vertical="center"/>
    </xf>
    <xf numFmtId="309" fontId="175" fillId="57" borderId="38" xfId="0">
      <alignment horizontal="center" vertical="center"/>
    </xf>
    <xf numFmtId="0" fontId="117" fillId="57" borderId="1" xfId="0">
      <alignment horizontal="left" vertical="center"/>
    </xf>
    <xf numFmtId="0" fontId="174" fillId="57" borderId="1" xfId="0">
      <alignment vertical="center"/>
    </xf>
    <xf numFmtId="309" fontId="150" fillId="57" borderId="74" xfId="0">
      <alignment horizontal="center" vertical="center"/>
    </xf>
    <xf numFmtId="309" fontId="150" fillId="57" borderId="87" xfId="0">
      <alignment horizontal="center" vertical="center"/>
    </xf>
    <xf numFmtId="309" fontId="175" fillId="57" borderId="85" xfId="0">
      <alignment horizontal="center" vertical="center"/>
    </xf>
    <xf numFmtId="309" fontId="175" fillId="57" borderId="86" xfId="0">
      <alignment horizontal="center" vertical="center"/>
    </xf>
    <xf numFmtId="0" fontId="174" fillId="57" borderId="16" xfId="0">
      <alignment vertical="center"/>
    </xf>
    <xf numFmtId="309" fontId="175" fillId="57" borderId="88" xfId="0">
      <alignment horizontal="center" vertical="center"/>
    </xf>
    <xf numFmtId="309" fontId="175" fillId="57" borderId="89" xfId="0">
      <alignment horizontal="center" vertical="center"/>
    </xf>
    <xf numFmtId="0" fontId="174" fillId="57" borderId="90" xfId="0">
      <alignment vertical="center"/>
    </xf>
    <xf numFmtId="309" fontId="150" fillId="57" borderId="75" xfId="0">
      <alignment horizontal="center" vertical="center"/>
    </xf>
    <xf numFmtId="309" fontId="150" fillId="57" borderId="91" xfId="0">
      <alignment horizontal="center" vertical="center"/>
    </xf>
    <xf numFmtId="0" fontId="174" fillId="57" borderId="92" xfId="0">
      <alignment vertical="center"/>
    </xf>
    <xf numFmtId="309" fontId="150" fillId="57" borderId="73" xfId="0">
      <alignment horizontal="center" vertical="center"/>
    </xf>
    <xf numFmtId="309" fontId="150" fillId="57" borderId="93" xfId="0">
      <alignment horizontal="center" vertical="center"/>
    </xf>
    <xf numFmtId="0" fontId="176" fillId="69" borderId="1" xfId="0">
      <alignment vertical="center"/>
    </xf>
    <xf numFmtId="309" fontId="177" fillId="69" borderId="85" xfId="0">
      <alignment horizontal="center" vertical="center"/>
    </xf>
    <xf numFmtId="309" fontId="177" fillId="69" borderId="86" xfId="0">
      <alignment horizontal="center" vertical="center"/>
    </xf>
    <xf numFmtId="0" fontId="174" fillId="57" borderId="30" xfId="0">
      <alignment vertical="center"/>
    </xf>
    <xf numFmtId="309" fontId="150" fillId="57" borderId="85" xfId="0">
      <alignment horizontal="center" vertical="center"/>
    </xf>
    <xf numFmtId="309" fontId="150" fillId="57" borderId="86" xfId="0">
      <alignment horizontal="center" vertical="center"/>
    </xf>
    <xf numFmtId="0" fontId="174" fillId="68" borderId="1" xfId="0">
      <alignment vertical="center"/>
    </xf>
    <xf numFmtId="309" fontId="150" fillId="68" borderId="85" xfId="0">
      <alignment horizontal="center" vertical="center"/>
    </xf>
    <xf numFmtId="309" fontId="150" fillId="68" borderId="86" xfId="0">
      <alignment horizontal="center" vertical="center"/>
    </xf>
    <xf numFmtId="309" fontId="150" fillId="57" borderId="35" xfId="0">
      <alignment horizontal="center" vertical="center"/>
    </xf>
    <xf numFmtId="309" fontId="150" fillId="57" borderId="38" xfId="0">
      <alignment horizontal="center" vertical="center"/>
    </xf>
    <xf numFmtId="4063" fontId="150" fillId="57" borderId="38" xfId="0">
      <alignment horizontal="center" vertical="center"/>
    </xf>
    <xf numFmtId="0" fontId="118" fillId="0" borderId="0" xfId="0">
      <alignment vertical="center"/>
    </xf>
    <xf numFmtId="309" fontId="175" fillId="52" borderId="35" xfId="0">
      <alignment horizontal="center" vertical="center"/>
    </xf>
    <xf numFmtId="309" fontId="175" fillId="52" borderId="38" xfId="0">
      <alignment horizontal="center" vertical="center"/>
    </xf>
    <xf numFmtId="0" fontId="118" fillId="57" borderId="0" xfId="0">
      <alignment horizontal="left" vertical="center"/>
    </xf>
    <xf numFmtId="0" fontId="175" fillId="57" borderId="38" xfId="0">
      <alignment horizontal="center" vertical="center"/>
    </xf>
    <xf numFmtId="0" fontId="174" fillId="57" borderId="0" xfId="0">
      <alignment horizontal="left" vertical="center"/>
    </xf>
    <xf numFmtId="0" fontId="150" fillId="57" borderId="38" xfId="0">
      <alignment horizontal="center" vertical="center"/>
    </xf>
    <xf numFmtId="10" fontId="174" fillId="57" borderId="0" xfId="0">
      <alignment horizontal="left" vertical="center"/>
    </xf>
    <xf numFmtId="10" fontId="150" fillId="57" borderId="35" xfId="0">
      <alignment horizontal="center" vertical="center"/>
    </xf>
    <xf numFmtId="10" fontId="150" fillId="57" borderId="38" xfId="0">
      <alignment horizontal="center" vertical="center"/>
    </xf>
    <xf numFmtId="10" fontId="150" fillId="57" borderId="38" xfId="276">
      <alignment horizontal="center" vertical="center"/>
    </xf>
    <xf numFmtId="0" fontId="117" fillId="57" borderId="0" xfId="206">
      <alignment vertical="center"/>
    </xf>
    <xf numFmtId="4116" fontId="150" fillId="57" borderId="35" xfId="68">
      <alignment horizontal="center" vertical="center"/>
    </xf>
    <xf numFmtId="4116" fontId="150" fillId="57" borderId="38" xfId="68">
      <alignment horizontal="center" vertical="center"/>
    </xf>
    <xf numFmtId="4116" fontId="175" fillId="52" borderId="38" xfId="68">
      <alignment horizontal="center" vertical="center"/>
    </xf>
    <xf numFmtId="0" fontId="175" fillId="52" borderId="38" xfId="0">
      <alignment horizontal="center" vertical="center"/>
    </xf>
    <xf numFmtId="2" fontId="117" fillId="57" borderId="35" xfId="62">
      <alignment horizontal="center" vertical="center"/>
    </xf>
    <xf numFmtId="2" fontId="117" fillId="57" borderId="38" xfId="62">
      <alignment horizontal="center" vertical="center"/>
    </xf>
    <xf numFmtId="4075" fontId="117" fillId="57" borderId="38" xfId="0">
      <alignment horizontal="center" vertical="center"/>
    </xf>
    <xf numFmtId="309" fontId="117" fillId="57" borderId="38" xfId="0">
      <alignment horizontal="center" vertical="center"/>
    </xf>
    <xf numFmtId="2" fontId="174" fillId="57" borderId="0" xfId="0">
      <alignment horizontal="left" vertical="center"/>
    </xf>
    <xf numFmtId="2" fontId="150" fillId="57" borderId="35" xfId="0">
      <alignment horizontal="center" vertical="center"/>
    </xf>
    <xf numFmtId="2" fontId="150" fillId="57" borderId="38" xfId="0">
      <alignment horizontal="center" vertical="center"/>
    </xf>
    <xf numFmtId="0" fontId="150" fillId="57" borderId="85" xfId="0">
      <alignment horizontal="center" vertical="center"/>
    </xf>
    <xf numFmtId="0" fontId="150" fillId="57" borderId="86" xfId="0">
      <alignment horizontal="center" vertical="center"/>
    </xf>
    <xf numFmtId="4075" fontId="150" fillId="57" borderId="86" xfId="0">
      <alignment horizontal="center" vertical="center"/>
    </xf>
    <xf numFmtId="0" fontId="175" fillId="52" borderId="35" xfId="0">
      <alignment horizontal="center" vertical="center"/>
    </xf>
    <xf numFmtId="58" fontId="175" fillId="52" borderId="35" xfId="0">
      <alignment horizontal="center" vertical="center"/>
    </xf>
    <xf numFmtId="58" fontId="175" fillId="52" borderId="38" xfId="0">
      <alignment horizontal="center" vertical="center"/>
    </xf>
    <xf numFmtId="0" fontId="175" fillId="52" borderId="35" xfId="0">
      <alignment horizontal="center" vertical="center" wrapText="1"/>
    </xf>
    <xf numFmtId="0" fontId="175" fillId="52" borderId="38" xfId="0">
      <alignment horizontal="center" vertical="center" wrapText="1"/>
    </xf>
    <xf numFmtId="0" fontId="117" fillId="57" borderId="1" xfId="206">
      <alignment vertical="center"/>
    </xf>
    <xf numFmtId="9" fontId="175" fillId="52" borderId="85" xfId="276">
      <alignment horizontal="center" vertical="center" wrapText="1"/>
    </xf>
    <xf numFmtId="9" fontId="175" fillId="52" borderId="86" xfId="276">
      <alignment horizontal="center" vertical="center" wrapText="1"/>
    </xf>
    <xf numFmtId="0" fontId="176" fillId="69" borderId="85" xfId="0">
      <alignment horizontal="center" vertical="center"/>
    </xf>
    <xf numFmtId="0" fontId="176" fillId="69" borderId="86" xfId="0">
      <alignment horizontal="center" vertical="center"/>
    </xf>
    <xf numFmtId="9" fontId="175" fillId="69" borderId="86" xfId="276">
      <alignment horizontal="center" vertical="center" wrapText="1"/>
    </xf>
    <xf numFmtId="0" fontId="178" fillId="57" borderId="0" xfId="181">
      <alignment vertical="center"/>
    </xf>
    <xf numFmtId="58" fontId="175" fillId="57" borderId="35" xfId="0">
      <alignment horizontal="center" vertical="center" wrapText="1"/>
    </xf>
    <xf numFmtId="58" fontId="175" fillId="57" borderId="38" xfId="0">
      <alignment horizontal="center" vertical="center" wrapText="1"/>
    </xf>
    <xf numFmtId="1" fontId="117" fillId="57" borderId="35" xfId="0">
      <alignment horizontal="center" vertical="center" wrapText="1"/>
    </xf>
    <xf numFmtId="1" fontId="117" fillId="57" borderId="38" xfId="0">
      <alignment horizontal="center" vertical="center" wrapText="1"/>
    </xf>
    <xf numFmtId="1" fontId="175" fillId="57" borderId="38" xfId="0">
      <alignment horizontal="center" vertical="center" wrapText="1"/>
    </xf>
    <xf numFmtId="0" fontId="52" fillId="57" borderId="0" xfId="181">
      <alignment vertical="center"/>
    </xf>
    <xf numFmtId="0" fontId="174" fillId="57" borderId="55" xfId="0">
      <alignment vertical="center"/>
    </xf>
    <xf numFmtId="0" fontId="175" fillId="52" borderId="84" xfId="0">
      <alignment horizontal="center" vertical="center"/>
    </xf>
    <xf numFmtId="0" fontId="175" fillId="52" borderId="55" xfId="0">
      <alignment horizontal="center" vertical="center"/>
    </xf>
    <xf numFmtId="0" fontId="175" fillId="57" borderId="0" xfId="0">
      <alignment horizontal="center" vertical="center"/>
    </xf>
    <xf numFmtId="0" fontId="174" fillId="57" borderId="36" xfId="0">
      <alignment horizontal="left" vertical="center"/>
    </xf>
    <xf numFmtId="309" fontId="150" fillId="57" borderId="61" xfId="0">
      <alignment horizontal="center" vertical="center"/>
    </xf>
    <xf numFmtId="0" fontId="174" fillId="57" borderId="39" xfId="0">
      <alignment horizontal="left" vertical="center"/>
    </xf>
    <xf numFmtId="309" fontId="150" fillId="57" borderId="55" xfId="0">
      <alignment horizontal="center" vertical="center"/>
    </xf>
    <xf numFmtId="0" fontId="175" fillId="0" borderId="0" xfId="0">
      <alignment horizontal="center" vertical="center"/>
    </xf>
    <xf numFmtId="0" fontId="150" fillId="62" borderId="0" xfId="0">
      <alignment horizontal="center" vertical="center"/>
    </xf>
    <xf numFmtId="0" fontId="323" fillId="104" borderId="0" xfId="0">
      <alignment vertical="center"/>
    </xf>
    <xf numFmtId="0" fontId="175" fillId="104" borderId="0" xfId="0">
      <alignment horizontal="center" vertical="center"/>
    </xf>
    <xf numFmtId="0" fontId="323" fillId="104" borderId="0" xfId="0">
      <alignment horizontal="center" vertical="center"/>
    </xf>
    <xf numFmtId="308" fontId="323" fillId="104" borderId="0" xfId="0">
      <alignment horizontal="left" vertical="center" indent="1"/>
    </xf>
    <xf numFmtId="9" fontId="323" fillId="104" borderId="0" xfId="0">
      <alignment horizontal="left" vertical="center" indent="1"/>
    </xf>
    <xf numFmtId="0" fontId="150" fillId="0" borderId="0" xfId="0">
      <alignment vertical="center"/>
    </xf>
    <xf numFmtId="0" fontId="150" fillId="0" borderId="0" xfId="0">
      <alignment horizontal="center" vertical="center"/>
    </xf>
    <xf numFmtId="0" fontId="324" fillId="57" borderId="0" xfId="0"/>
    <xf numFmtId="0" fontId="93" fillId="57" borderId="0" xfId="0">
      <alignment vertical="center" wrapText="1"/>
    </xf>
    <xf numFmtId="0" fontId="93" fillId="57" borderId="0" xfId="0">
      <alignment vertical="bottom" wrapText="1"/>
    </xf>
    <xf numFmtId="0" fontId="93" fillId="57" borderId="0" xfId="0">
      <alignment horizontal="center" vertical="bottom" wrapText="1"/>
    </xf>
    <xf numFmtId="4091" fontId="93" fillId="57" borderId="0" xfId="0">
      <alignment horizontal="center" vertical="bottom" wrapText="1"/>
    </xf>
    <xf numFmtId="4091" fontId="93" fillId="57" borderId="0" xfId="276">
      <alignment horizontal="center" vertical="bottom" wrapText="1"/>
    </xf>
    <xf numFmtId="9" fontId="93" fillId="57" borderId="0" xfId="276">
      <alignment vertical="bottom" wrapText="1"/>
    </xf>
    <xf numFmtId="58" fontId="93" fillId="57" borderId="0" xfId="0">
      <alignment vertical="bottom" wrapText="1"/>
    </xf>
    <xf numFmtId="4063" fontId="93" fillId="57" borderId="0" xfId="0"/>
    <xf numFmtId="4063" fontId="93" fillId="57" borderId="0" xfId="0">
      <alignment horizontal="right" vertical="bottom"/>
    </xf>
    <xf numFmtId="4075" fontId="93" fillId="57" borderId="0" xfId="0"/>
    <xf numFmtId="10" fontId="93" fillId="57" borderId="0" xfId="0"/>
    <xf numFmtId="10" fontId="93" fillId="57" borderId="0" xfId="0">
      <alignment vertical="bottom" wrapText="1"/>
    </xf>
    <xf numFmtId="0" fontId="97" fillId="57" borderId="0" xfId="0">
      <alignment horizontal="right" vertical="center" wrapText="1"/>
    </xf>
    <xf numFmtId="58" fontId="99" fillId="52" borderId="0" xfId="0">
      <alignment horizontal="center" vertical="center" wrapText="1"/>
    </xf>
    <xf numFmtId="0" fontId="94" fillId="57" borderId="0" xfId="0">
      <alignment vertical="bottom" wrapText="1"/>
    </xf>
    <xf numFmtId="0" fontId="94" fillId="57" borderId="0" xfId="0">
      <alignment horizontal="center" vertical="bottom" wrapText="1"/>
    </xf>
    <xf numFmtId="0" fontId="96" fillId="59" borderId="44" xfId="0">
      <alignment horizontal="center" vertical="bottom"/>
    </xf>
    <xf numFmtId="0" fontId="96" fillId="59" borderId="14" xfId="0">
      <alignment horizontal="center" vertical="bottom"/>
    </xf>
    <xf numFmtId="0" fontId="96" fillId="59" borderId="14" xfId="0">
      <alignment horizontal="left" vertical="bottom"/>
    </xf>
    <xf numFmtId="4063" fontId="96" fillId="59" borderId="14" xfId="0">
      <alignment horizontal="left" vertical="bottom"/>
    </xf>
    <xf numFmtId="4063" fontId="96" fillId="59" borderId="41" xfId="0">
      <alignment horizontal="left" vertical="bottom"/>
    </xf>
    <xf numFmtId="0" fontId="346" fillId="70" borderId="44" xfId="0">
      <alignment horizontal="left" vertical="bottom"/>
    </xf>
    <xf numFmtId="0" fontId="346" fillId="70" borderId="14" xfId="0">
      <alignment horizontal="left" vertical="bottom"/>
    </xf>
    <xf numFmtId="0" fontId="346" fillId="70" borderId="41" xfId="0">
      <alignment horizontal="left" vertical="bottom"/>
    </xf>
    <xf numFmtId="0" fontId="96" fillId="57" borderId="0" xfId="0">
      <alignment horizontal="center" vertical="bottom" wrapText="1"/>
    </xf>
    <xf numFmtId="0" fontId="325" fillId="57" borderId="0" xfId="0"/>
    <xf numFmtId="4091" fontId="96" fillId="57" borderId="0" xfId="0">
      <alignment horizontal="center" vertical="bottom" wrapText="1"/>
    </xf>
    <xf numFmtId="4091" fontId="96" fillId="57" borderId="0" xfId="276">
      <alignment horizontal="center" vertical="bottom" wrapText="1"/>
    </xf>
    <xf numFmtId="9" fontId="96" fillId="57" borderId="0" xfId="276">
      <alignment vertical="bottom" wrapText="1"/>
    </xf>
    <xf numFmtId="58" fontId="96" fillId="57" borderId="0" xfId="0">
      <alignment vertical="bottom" wrapText="1"/>
    </xf>
    <xf numFmtId="0" fontId="96" fillId="57" borderId="0" xfId="0">
      <alignment vertical="bottom" wrapText="1"/>
    </xf>
    <xf numFmtId="4063" fontId="96" fillId="57" borderId="0" xfId="0"/>
    <xf numFmtId="4063" fontId="96" fillId="57" borderId="0" xfId="0">
      <alignment horizontal="right" vertical="bottom"/>
    </xf>
    <xf numFmtId="4075" fontId="96" fillId="57" borderId="0" xfId="0"/>
    <xf numFmtId="10" fontId="96" fillId="57" borderId="0" xfId="0"/>
    <xf numFmtId="10" fontId="96" fillId="57" borderId="0" xfId="0">
      <alignment vertical="bottom" wrapText="1"/>
    </xf>
    <xf numFmtId="0" fontId="96" fillId="57" borderId="0" xfId="0"/>
    <xf numFmtId="0" fontId="96" fillId="59" borderId="44" xfId="0">
      <alignment horizontal="left" vertical="bottom"/>
    </xf>
    <xf numFmtId="0" fontId="96" fillId="59" borderId="41" xfId="0">
      <alignment horizontal="left" vertical="bottom"/>
    </xf>
    <xf numFmtId="0" fontId="96" fillId="59" borderId="44" xfId="0">
      <alignment horizontal="left" vertical="bottom" wrapText="1"/>
    </xf>
    <xf numFmtId="0" fontId="96" fillId="59" borderId="14" xfId="0">
      <alignment horizontal="left" vertical="bottom" wrapText="1"/>
    </xf>
    <xf numFmtId="0" fontId="96" fillId="59" borderId="41" xfId="0">
      <alignment horizontal="left" vertical="bottom" wrapText="1"/>
    </xf>
    <xf numFmtId="4063" fontId="96" fillId="59" borderId="44" xfId="0">
      <alignment horizontal="center" vertical="bottom"/>
    </xf>
    <xf numFmtId="4063" fontId="96" fillId="59" borderId="41" xfId="0">
      <alignment horizontal="center" vertical="bottom"/>
    </xf>
    <xf numFmtId="4063" fontId="96" fillId="59" borderId="44" xfId="0">
      <alignment horizontal="left" vertical="bottom"/>
    </xf>
    <xf numFmtId="9" fontId="96" fillId="59" borderId="44" xfId="0">
      <alignment horizontal="left" vertical="bottom" wrapText="1"/>
    </xf>
    <xf numFmtId="9" fontId="96" fillId="59" borderId="14" xfId="0">
      <alignment horizontal="left" vertical="bottom" wrapText="1"/>
    </xf>
    <xf numFmtId="9" fontId="96" fillId="59" borderId="41" xfId="0">
      <alignment horizontal="left" vertical="bottom" wrapText="1"/>
    </xf>
    <xf numFmtId="0" fontId="94" fillId="59" borderId="42" xfId="0">
      <alignment horizontal="center" vertical="center" wrapText="1"/>
    </xf>
    <xf numFmtId="0" fontId="98" fillId="59" borderId="103" xfId="0">
      <alignment horizontal="center" vertical="center" wrapText="1"/>
    </xf>
    <xf numFmtId="0" fontId="98" fillId="59" borderId="203" xfId="0">
      <alignment horizontal="center" vertical="center" wrapText="1"/>
    </xf>
    <xf numFmtId="4091" fontId="98" fillId="59" borderId="203" xfId="276">
      <alignment horizontal="center" vertical="center" wrapText="1"/>
    </xf>
    <xf numFmtId="9" fontId="98" fillId="59" borderId="203" xfId="276">
      <alignment horizontal="center" vertical="center" wrapText="1"/>
    </xf>
    <xf numFmtId="58" fontId="98" fillId="59" borderId="203" xfId="0">
      <alignment horizontal="center" vertical="center" wrapText="1"/>
    </xf>
    <xf numFmtId="0" fontId="98" fillId="59" borderId="104" xfId="0">
      <alignment horizontal="center" vertical="center" wrapText="1"/>
    </xf>
    <xf numFmtId="4063" fontId="98" fillId="59" borderId="103" xfId="0">
      <alignment horizontal="center" vertical="center" wrapText="1"/>
    </xf>
    <xf numFmtId="4063" fontId="98" fillId="59" borderId="203" xfId="0">
      <alignment horizontal="center" vertical="center" wrapText="1"/>
    </xf>
    <xf numFmtId="4063" fontId="98" fillId="59" borderId="205" xfId="0">
      <alignment horizontal="center" vertical="center" wrapText="1"/>
    </xf>
    <xf numFmtId="4063" fontId="98" fillId="59" borderId="206" xfId="0">
      <alignment horizontal="center" vertical="center" wrapText="1"/>
    </xf>
    <xf numFmtId="0" fontId="98" fillId="59" borderId="42" xfId="0">
      <alignment horizontal="center" vertical="bottom" wrapText="1"/>
    </xf>
    <xf numFmtId="4063" fontId="94" fillId="59" borderId="103" xfId="0">
      <alignment horizontal="center" vertical="center" wrapText="1"/>
    </xf>
    <xf numFmtId="4075" fontId="94" fillId="59" borderId="104" xfId="0">
      <alignment horizontal="center" vertical="center" wrapText="1"/>
    </xf>
    <xf numFmtId="4063" fontId="94" fillId="59" borderId="203" xfId="0">
      <alignment horizontal="center" vertical="center" wrapText="1"/>
    </xf>
    <xf numFmtId="10" fontId="94" fillId="59" borderId="203" xfId="0">
      <alignment horizontal="center" vertical="center" wrapText="1"/>
    </xf>
    <xf numFmtId="10" fontId="94" fillId="59" borderId="104" xfId="0">
      <alignment horizontal="center" vertical="center" wrapText="1"/>
    </xf>
    <xf numFmtId="10" fontId="98" fillId="52" borderId="40" xfId="0">
      <alignment horizontal="center" vertical="center" wrapText="1"/>
    </xf>
    <xf numFmtId="10" fontId="94" fillId="59" borderId="42" xfId="0">
      <alignment horizontal="center" vertical="center" wrapText="1"/>
    </xf>
    <xf numFmtId="10" fontId="98" fillId="59" borderId="203" xfId="0">
      <alignment horizontal="center" vertical="center" wrapText="1"/>
    </xf>
    <xf numFmtId="4063" fontId="98" fillId="59" borderId="104" xfId="0">
      <alignment horizontal="center" vertical="center" wrapText="1"/>
    </xf>
    <xf numFmtId="0" fontId="94" fillId="57" borderId="0" xfId="0">
      <alignment horizontal="center" vertical="center" wrapText="1"/>
    </xf>
    <xf numFmtId="10" fontId="98" fillId="59" borderId="40" xfId="0">
      <alignment horizontal="center" vertical="center" wrapText="1"/>
    </xf>
    <xf numFmtId="4075" fontId="94" fillId="59" borderId="42" xfId="0">
      <alignment horizontal="center" vertical="center" wrapText="1"/>
    </xf>
    <xf numFmtId="0" fontId="94" fillId="59" borderId="84" xfId="0">
      <alignment horizontal="center" vertical="center" wrapText="1"/>
    </xf>
    <xf numFmtId="0" fontId="98" fillId="59" borderId="201" xfId="0">
      <alignment horizontal="center" vertical="center" wrapText="1"/>
    </xf>
    <xf numFmtId="0" fontId="98" fillId="59" borderId="204" xfId="0">
      <alignment horizontal="center" vertical="center" wrapText="1"/>
    </xf>
    <xf numFmtId="4091" fontId="98" fillId="59" borderId="204" xfId="276">
      <alignment horizontal="center" vertical="center" wrapText="1"/>
    </xf>
    <xf numFmtId="9" fontId="98" fillId="59" borderId="204" xfId="276">
      <alignment horizontal="center" vertical="center" wrapText="1"/>
    </xf>
    <xf numFmtId="58" fontId="98" fillId="59" borderId="204" xfId="0">
      <alignment horizontal="center" vertical="center" wrapText="1"/>
    </xf>
    <xf numFmtId="0" fontId="98" fillId="59" borderId="202" xfId="0">
      <alignment horizontal="center" vertical="center" wrapText="1"/>
    </xf>
    <xf numFmtId="4063" fontId="98" fillId="59" borderId="201" xfId="0">
      <alignment horizontal="center" vertical="center" wrapText="1"/>
    </xf>
    <xf numFmtId="4063" fontId="98" fillId="59" borderId="204" xfId="0">
      <alignment horizontal="center" vertical="center" wrapText="1"/>
    </xf>
    <xf numFmtId="4063" fontId="98" fillId="59" borderId="207" xfId="0">
      <alignment horizontal="center" vertical="center" wrapText="1"/>
    </xf>
    <xf numFmtId="4063" fontId="98" fillId="59" borderId="181" xfId="0">
      <alignment horizontal="center" vertical="center" wrapText="1"/>
    </xf>
    <xf numFmtId="0" fontId="0" fillId="0" borderId="84" xfId="0">
      <alignment horizontal="center" vertical="bottom" wrapText="1"/>
    </xf>
    <xf numFmtId="4063" fontId="94" fillId="59" borderId="201" xfId="0">
      <alignment horizontal="center" vertical="center" wrapText="1"/>
    </xf>
    <xf numFmtId="4075" fontId="94" fillId="59" borderId="202" xfId="0">
      <alignment horizontal="center" vertical="center" wrapText="1"/>
    </xf>
    <xf numFmtId="4063" fontId="94" fillId="59" borderId="204" xfId="0">
      <alignment horizontal="center" vertical="center" wrapText="1"/>
    </xf>
    <xf numFmtId="10" fontId="94" fillId="59" borderId="204" xfId="0">
      <alignment horizontal="center" vertical="center" wrapText="1"/>
    </xf>
    <xf numFmtId="10" fontId="94" fillId="59" borderId="202" xfId="0">
      <alignment horizontal="center" vertical="center" wrapText="1"/>
    </xf>
    <xf numFmtId="10" fontId="94" fillId="59" borderId="84" xfId="0">
      <alignment horizontal="center" vertical="center" wrapText="1"/>
    </xf>
    <xf numFmtId="10" fontId="98" fillId="59" borderId="204" xfId="0">
      <alignment horizontal="center" vertical="center" wrapText="1"/>
    </xf>
    <xf numFmtId="4063" fontId="98" fillId="59" borderId="202" xfId="0">
      <alignment horizontal="center" vertical="center" wrapText="1"/>
    </xf>
    <xf numFmtId="4075" fontId="94" fillId="59" borderId="84" xfId="0">
      <alignment horizontal="center" vertical="center" wrapText="1"/>
    </xf>
    <xf numFmtId="0" fontId="37" fillId="57" borderId="40" xfId="0">
      <alignment horizontal="center" vertical="center"/>
    </xf>
    <xf numFmtId="0" fontId="105" fillId="57" borderId="62" xfId="0">
      <alignment horizontal="center" vertical="center" wrapText="1"/>
    </xf>
    <xf numFmtId="0" fontId="105" fillId="57" borderId="56" xfId="0">
      <alignment horizontal="center" vertical="center" wrapText="1"/>
    </xf>
    <xf numFmtId="37" fontId="105" fillId="57" borderId="56" xfId="0">
      <alignment horizontal="center" vertical="center" wrapText="1"/>
    </xf>
    <xf numFmtId="4091" fontId="105" fillId="57" borderId="56" xfId="276">
      <alignment horizontal="center" vertical="center" wrapText="1"/>
    </xf>
    <xf numFmtId="4031" fontId="105" fillId="57" borderId="56" xfId="276">
      <alignment horizontal="center" vertical="center" wrapText="1"/>
    </xf>
    <xf numFmtId="4063" fontId="105" fillId="57" borderId="62" xfId="0">
      <alignment horizontal="center" vertical="center"/>
    </xf>
    <xf numFmtId="4063" fontId="105" fillId="57" borderId="56" xfId="0">
      <alignment horizontal="center" vertical="center"/>
    </xf>
    <xf numFmtId="4063" fontId="37" fillId="59" borderId="56" xfId="0">
      <alignment horizontal="center" vertical="center"/>
    </xf>
    <xf numFmtId="10" fontId="105" fillId="57" borderId="56" xfId="0">
      <alignment horizontal="center" vertical="center"/>
    </xf>
    <xf numFmtId="0" fontId="105" fillId="57" borderId="56" xfId="0">
      <alignment horizontal="center" vertical="center"/>
    </xf>
    <xf numFmtId="58" fontId="105" fillId="57" borderId="56" xfId="0">
      <alignment horizontal="center" vertical="center"/>
    </xf>
    <xf numFmtId="0" fontId="105" fillId="57" borderId="83" xfId="0">
      <alignment horizontal="center" vertical="center" wrapText="1"/>
    </xf>
    <xf numFmtId="0" fontId="105" fillId="57" borderId="66" xfId="0">
      <alignment horizontal="center" vertical="center" wrapText="1"/>
    </xf>
    <xf numFmtId="0" fontId="105" fillId="57" borderId="94" xfId="0">
      <alignment horizontal="center" vertical="center" wrapText="1"/>
    </xf>
    <xf numFmtId="4075" fontId="37" fillId="59" borderId="66" xfId="0">
      <alignment horizontal="center" vertical="center"/>
    </xf>
    <xf numFmtId="4063" fontId="37" fillId="59" borderId="83" xfId="0">
      <alignment horizontal="center" vertical="center"/>
    </xf>
    <xf numFmtId="10" fontId="37" fillId="59" borderId="56" xfId="0">
      <alignment horizontal="center" vertical="center"/>
    </xf>
    <xf numFmtId="4031" fontId="37" fillId="59" borderId="66" xfId="0">
      <alignment horizontal="center" vertical="center"/>
    </xf>
    <xf numFmtId="4063" fontId="37" fillId="59" borderId="40" xfId="0">
      <alignment horizontal="center" vertical="center"/>
    </xf>
    <xf numFmtId="4031" fontId="37" fillId="59" borderId="40" xfId="0">
      <alignment horizontal="center" vertical="center"/>
    </xf>
    <xf numFmtId="10" fontId="105" fillId="57" borderId="56" xfId="0">
      <alignment horizontal="center" vertical="center" wrapText="1"/>
    </xf>
    <xf numFmtId="4063" fontId="105" fillId="57" borderId="104" xfId="0">
      <alignment horizontal="center" vertical="center"/>
    </xf>
    <xf numFmtId="0" fontId="93" fillId="57" borderId="0" xfId="0">
      <alignment horizontal="center" vertical="center"/>
    </xf>
    <xf numFmtId="4063" fontId="105" fillId="59" borderId="62" xfId="0">
      <alignment horizontal="center" vertical="center"/>
    </xf>
    <xf numFmtId="0" fontId="93" fillId="57" borderId="40" xfId="0">
      <alignment horizontal="center" vertical="center"/>
    </xf>
    <xf numFmtId="0" fontId="96" fillId="59" borderId="44" xfId="0">
      <alignment horizontal="center" vertical="center"/>
    </xf>
    <xf numFmtId="0" fontId="96" fillId="59" borderId="41" xfId="0">
      <alignment horizontal="center" vertical="center"/>
    </xf>
    <xf numFmtId="0" fontId="96" fillId="57" borderId="43" xfId="0">
      <alignment horizontal="center" vertical="center" wrapText="1"/>
    </xf>
    <xf numFmtId="37" fontId="96" fillId="59" borderId="40" xfId="276">
      <alignment horizontal="center" vertical="center" wrapText="1"/>
    </xf>
    <xf numFmtId="37" fontId="96" fillId="57" borderId="42" xfId="276">
      <alignment horizontal="center" vertical="center" wrapText="1"/>
    </xf>
    <xf numFmtId="4031" fontId="96" fillId="59" borderId="40" xfId="276">
      <alignment horizontal="center" vertical="center" wrapText="1"/>
    </xf>
    <xf numFmtId="58" fontId="96" fillId="57" borderId="43" xfId="0">
      <alignment horizontal="center" vertical="center" wrapText="1"/>
    </xf>
    <xf numFmtId="4063" fontId="96" fillId="59" borderId="62" xfId="0">
      <alignment horizontal="center" vertical="center"/>
    </xf>
    <xf numFmtId="4063" fontId="96" fillId="59" borderId="56" xfId="0">
      <alignment horizontal="center" vertical="center"/>
    </xf>
    <xf numFmtId="4063" fontId="85" fillId="59" borderId="56" xfId="0">
      <alignment horizontal="center" vertical="center"/>
    </xf>
    <xf numFmtId="4063" fontId="96" fillId="59" borderId="66" xfId="0">
      <alignment horizontal="center" vertical="center"/>
    </xf>
    <xf numFmtId="4063" fontId="96" fillId="57" borderId="36" xfId="0">
      <alignment horizontal="center" vertical="center"/>
    </xf>
    <xf numFmtId="4063" fontId="96" fillId="57" borderId="43" xfId="0">
      <alignment horizontal="center" vertical="center"/>
    </xf>
    <xf numFmtId="0" fontId="96" fillId="57" borderId="43" xfId="0">
      <alignment horizontal="center" vertical="center"/>
    </xf>
    <xf numFmtId="58" fontId="96" fillId="57" borderId="43" xfId="0">
      <alignment horizontal="center" vertical="center"/>
    </xf>
    <xf numFmtId="37" fontId="102" fillId="57" borderId="0" xfId="0">
      <alignment horizontal="center" vertical="center" wrapText="1"/>
    </xf>
    <xf numFmtId="0" fontId="105" fillId="57" borderId="0" xfId="0">
      <alignment horizontal="center" vertical="center" wrapText="1"/>
    </xf>
    <xf numFmtId="4063" fontId="96" fillId="59" borderId="40" xfId="0">
      <alignment horizontal="center" vertical="center"/>
    </xf>
    <xf numFmtId="4075" fontId="96" fillId="59" borderId="40" xfId="0">
      <alignment horizontal="center" vertical="center"/>
    </xf>
    <xf numFmtId="10" fontId="96" fillId="59" borderId="56" xfId="0">
      <alignment horizontal="center" vertical="center"/>
    </xf>
    <xf numFmtId="4031" fontId="96" fillId="59" borderId="66" xfId="0">
      <alignment horizontal="center" vertical="center"/>
    </xf>
    <xf numFmtId="4063" fontId="85" fillId="59" borderId="40" xfId="0">
      <alignment horizontal="center" vertical="center"/>
    </xf>
    <xf numFmtId="4031" fontId="85" fillId="59" borderId="40" xfId="0">
      <alignment horizontal="center" vertical="center"/>
    </xf>
    <xf numFmtId="10" fontId="96" fillId="59" borderId="44" xfId="0">
      <alignment horizontal="center" vertical="center" wrapText="1"/>
    </xf>
    <xf numFmtId="10" fontId="96" fillId="59" borderId="83" xfId="0">
      <alignment horizontal="center" vertical="center" wrapText="1"/>
    </xf>
    <xf numFmtId="0" fontId="96" fillId="57" borderId="0" xfId="0">
      <alignment horizontal="center" vertical="center"/>
    </xf>
    <xf numFmtId="37" fontId="105" fillId="57" borderId="0" xfId="0">
      <alignment horizontal="center" vertical="bottom" wrapText="1"/>
    </xf>
    <xf numFmtId="10" fontId="96" fillId="57" borderId="43" xfId="0">
      <alignment horizontal="right" vertical="bottom"/>
    </xf>
    <xf numFmtId="10" fontId="96" fillId="59" borderId="44" xfId="0">
      <alignment horizontal="right" vertical="bottom" wrapText="1"/>
    </xf>
    <xf numFmtId="10" fontId="96" fillId="59" borderId="83" xfId="0">
      <alignment horizontal="right" vertical="bottom" wrapText="1"/>
    </xf>
    <xf numFmtId="4063" fontId="96" fillId="59" borderId="56" xfId="0">
      <alignment horizontal="right" vertical="bottom"/>
    </xf>
    <xf numFmtId="4063" fontId="93" fillId="104" borderId="9" xfId="0"/>
    <xf numFmtId="4063" fontId="93" fillId="104" borderId="16" xfId="0">
      <alignment horizontal="right" vertical="bottom"/>
    </xf>
    <xf numFmtId="4063" fontId="105" fillId="104" borderId="16" xfId="0"/>
    <xf numFmtId="0" fontId="105" fillId="104" borderId="16" xfId="0">
      <alignment vertical="bottom" wrapText="1"/>
    </xf>
    <xf numFmtId="0" fontId="105" fillId="104" borderId="16" xfId="0"/>
    <xf numFmtId="58" fontId="105" fillId="104" borderId="16" xfId="0"/>
    <xf numFmtId="37" fontId="105" fillId="104" borderId="16" xfId="0">
      <alignment horizontal="center" vertical="bottom" wrapText="1"/>
    </xf>
    <xf numFmtId="39" fontId="105" fillId="104" borderId="16" xfId="0"/>
    <xf numFmtId="10" fontId="105" fillId="104" borderId="16" xfId="0"/>
    <xf numFmtId="10" fontId="105" fillId="104" borderId="53" xfId="0"/>
    <xf numFmtId="4063" fontId="93" fillId="105" borderId="9" xfId="0"/>
    <xf numFmtId="4063" fontId="93" fillId="105" borderId="16" xfId="0">
      <alignment horizontal="right" vertical="bottom"/>
    </xf>
    <xf numFmtId="4063" fontId="105" fillId="105" borderId="53" xfId="0"/>
    <xf numFmtId="37" fontId="93" fillId="57" borderId="0" xfId="0">
      <alignment horizontal="center" vertical="bottom" wrapText="1"/>
    </xf>
    <xf numFmtId="0" fontId="96" fillId="57" borderId="0" xfId="0">
      <alignment horizontal="left" vertical="bottom" wrapText="1"/>
    </xf>
    <xf numFmtId="58" fontId="96" fillId="57" borderId="0" xfId="0"/>
    <xf numFmtId="4031" fontId="85" fillId="59" borderId="66" xfId="0">
      <alignment horizontal="center" vertical="center"/>
    </xf>
    <xf numFmtId="37" fontId="102" fillId="57" borderId="43" xfId="0">
      <alignment horizontal="center" vertical="center" wrapText="1"/>
    </xf>
    <xf numFmtId="0" fontId="93" fillId="57" borderId="0" xfId="0">
      <alignment horizontal="center" vertical="center" wrapText="1"/>
    </xf>
    <xf numFmtId="4091" fontId="93" fillId="57" borderId="0" xfId="0">
      <alignment horizontal="center" vertical="center" wrapText="1"/>
    </xf>
    <xf numFmtId="4091" fontId="93" fillId="57" borderId="0" xfId="276">
      <alignment horizontal="center" vertical="center" wrapText="1"/>
    </xf>
    <xf numFmtId="9" fontId="93" fillId="57" borderId="0" xfId="276">
      <alignment horizontal="center" vertical="center" wrapText="1"/>
    </xf>
    <xf numFmtId="58" fontId="93" fillId="57" borderId="0" xfId="0">
      <alignment horizontal="center" vertical="center" wrapText="1"/>
    </xf>
    <xf numFmtId="4063" fontId="93" fillId="57" borderId="0" xfId="0">
      <alignment horizontal="center" vertical="center"/>
    </xf>
    <xf numFmtId="58" fontId="93" fillId="57" borderId="0" xfId="0">
      <alignment horizontal="center" vertical="center"/>
    </xf>
    <xf numFmtId="4075" fontId="93" fillId="57" borderId="0" xfId="0">
      <alignment horizontal="center" vertical="center"/>
    </xf>
    <xf numFmtId="10" fontId="93" fillId="57" borderId="0" xfId="0">
      <alignment horizontal="center" vertical="center"/>
    </xf>
    <xf numFmtId="10" fontId="93" fillId="57" borderId="0" xfId="0">
      <alignment horizontal="center" vertical="center" wrapText="1"/>
    </xf>
    <xf numFmtId="37" fontId="105" fillId="57" borderId="0" xfId="0">
      <alignment horizontal="center" vertical="center" wrapText="1"/>
    </xf>
    <xf numFmtId="10" fontId="96" fillId="57" borderId="43" xfId="0">
      <alignment horizontal="center" vertical="center"/>
    </xf>
    <xf numFmtId="4063" fontId="96" fillId="57" borderId="0" xfId="0">
      <alignment horizontal="center" vertical="center"/>
    </xf>
    <xf numFmtId="4075" fontId="96" fillId="57" borderId="0" xfId="0">
      <alignment horizontal="center" vertical="center"/>
    </xf>
    <xf numFmtId="309" fontId="96" fillId="59" borderId="10" xfId="0">
      <alignment horizontal="right" vertical="bottom"/>
    </xf>
    <xf numFmtId="10" fontId="96" fillId="59" borderId="10" xfId="0">
      <alignment horizontal="right" vertical="bottom"/>
    </xf>
    <xf numFmtId="0" fontId="230" fillId="57" borderId="0" xfId="206">
      <alignment horizontal="center" vertical="bottom"/>
    </xf>
    <xf numFmtId="0" fontId="230" fillId="57" borderId="0" xfId="206"/>
    <xf numFmtId="0" fontId="42" fillId="57" borderId="0" xfId="206"/>
    <xf numFmtId="49" fontId="230" fillId="60" borderId="0" xfId="206"/>
    <xf numFmtId="0" fontId="230" fillId="0" borderId="0" xfId="206"/>
    <xf numFmtId="0" fontId="115" fillId="70" borderId="0" xfId="206">
      <alignment horizontal="center" vertical="bottom"/>
    </xf>
    <xf numFmtId="0" fontId="42" fillId="57" borderId="0" xfId="206">
      <alignment horizontal="left" vertical="bottom" indent="1"/>
    </xf>
    <xf numFmtId="0" fontId="231" fillId="57" borderId="0" xfId="206"/>
    <xf numFmtId="0" fontId="231" fillId="57" borderId="0" xfId="206">
      <alignment horizontal="right" vertical="bottom"/>
    </xf>
    <xf numFmtId="0" fontId="19" fillId="57" borderId="0" xfId="206">
      <alignment horizontal="center" vertical="bottom"/>
    </xf>
    <xf numFmtId="0" fontId="19" fillId="68" borderId="0" xfId="206">
      <alignment horizontal="center" vertical="bottom"/>
    </xf>
    <xf numFmtId="0" fontId="19" fillId="68" borderId="0" xfId="206">
      <alignment horizontal="center" vertical="bottom" wrapText="1"/>
    </xf>
    <xf numFmtId="0" fontId="115" fillId="70" borderId="2" xfId="206">
      <alignment horizontal="center" vertical="center" wrapText="1"/>
    </xf>
    <xf numFmtId="0" fontId="110" fillId="70" borderId="2" xfId="206">
      <alignment horizontal="center" vertical="center" wrapText="1"/>
    </xf>
    <xf numFmtId="1" fontId="110" fillId="70" borderId="2" xfId="206">
      <alignment horizontal="center" vertical="center" wrapText="1"/>
    </xf>
    <xf numFmtId="49" fontId="21" fillId="60" borderId="2" xfId="206">
      <alignment horizontal="center" vertical="bottom" wrapText="1"/>
    </xf>
    <xf numFmtId="0" fontId="110" fillId="70" borderId="11" xfId="206">
      <alignment horizontal="center" vertical="bottom" wrapText="1"/>
    </xf>
    <xf numFmtId="1" fontId="99" fillId="2" borderId="11" xfId="0">
      <alignment horizontal="left" vertical="top" wrapText="1"/>
      <protection locked="0"/>
    </xf>
    <xf numFmtId="1" fontId="99" fillId="2" borderId="46" xfId="0">
      <alignment horizontal="left" vertical="top" wrapText="1"/>
      <protection locked="0"/>
    </xf>
    <xf numFmtId="1" fontId="99" fillId="2" borderId="46" xfId="0">
      <alignment horizontal="center" vertical="top" wrapText="1"/>
      <protection locked="0"/>
    </xf>
    <xf numFmtId="49" fontId="99" fillId="2" borderId="46" xfId="0">
      <alignment horizontal="center" vertical="top" wrapText="1"/>
      <protection locked="0"/>
    </xf>
    <xf numFmtId="10" fontId="99" fillId="2" borderId="46" xfId="0">
      <alignment horizontal="center" vertical="top" wrapText="1"/>
      <protection locked="0"/>
    </xf>
    <xf numFmtId="1" fontId="152" fillId="2" borderId="162" xfId="0">
      <alignment horizontal="center" vertical="top"/>
      <protection locked="0"/>
    </xf>
    <xf numFmtId="3" fontId="152" fillId="2" borderId="162" xfId="0">
      <alignment horizontal="right" vertical="top" indent="2"/>
      <protection locked="0"/>
    </xf>
    <xf numFmtId="308" fontId="152" fillId="2" borderId="152" xfId="0">
      <alignment horizontal="right" vertical="top" indent="2"/>
      <protection locked="0"/>
    </xf>
    <xf numFmtId="49" fontId="152" fillId="68" borderId="156" xfId="0">
      <alignment horizontal="center" vertical="top"/>
      <protection locked="0"/>
    </xf>
    <xf numFmtId="0" fontId="271" fillId="68" borderId="0" xfId="206">
      <alignment horizontal="center" vertical="bottom"/>
    </xf>
    <xf numFmtId="0" fontId="115" fillId="70" borderId="52" xfId="0">
      <alignment horizontal="center" vertical="bottom" wrapText="1"/>
    </xf>
    <xf numFmtId="1" fontId="99" fillId="2" borderId="52" xfId="0">
      <alignment horizontal="left" vertical="top" wrapText="1"/>
      <protection locked="0"/>
    </xf>
    <xf numFmtId="1" fontId="99" fillId="2" borderId="50" xfId="0">
      <alignment horizontal="left" vertical="top" wrapText="1"/>
      <protection locked="0"/>
    </xf>
    <xf numFmtId="1" fontId="99" fillId="2" borderId="50" xfId="0">
      <alignment horizontal="center" vertical="top" wrapText="1"/>
      <protection locked="0"/>
    </xf>
    <xf numFmtId="49" fontId="99" fillId="2" borderId="50" xfId="0">
      <alignment horizontal="center" vertical="top" wrapText="1"/>
      <protection locked="0"/>
    </xf>
    <xf numFmtId="10" fontId="99" fillId="2" borderId="50" xfId="0">
      <alignment horizontal="center" vertical="top" wrapText="1"/>
      <protection locked="0"/>
    </xf>
    <xf numFmtId="1" fontId="152" fillId="2" borderId="156" xfId="0">
      <alignment horizontal="center" vertical="top"/>
      <protection locked="0"/>
    </xf>
    <xf numFmtId="3" fontId="152" fillId="2" borderId="156" xfId="0">
      <alignment horizontal="right" vertical="top" indent="2"/>
      <protection locked="0"/>
    </xf>
    <xf numFmtId="308" fontId="152" fillId="2" borderId="156" xfId="0">
      <alignment horizontal="right" vertical="top" indent="2"/>
      <protection locked="0"/>
    </xf>
    <xf numFmtId="0" fontId="115" fillId="70" borderId="153" xfId="0">
      <alignment horizontal="center" vertical="bottom" wrapText="1"/>
    </xf>
    <xf numFmtId="0" fontId="99" fillId="49" borderId="163" xfId="206">
      <alignment vertical="bottom" wrapText="1"/>
    </xf>
    <xf numFmtId="0" fontId="99" fillId="49" borderId="31" xfId="206">
      <alignment vertical="bottom" wrapText="1"/>
    </xf>
    <xf numFmtId="0" fontId="98" fillId="49" borderId="31" xfId="206">
      <alignment horizontal="right" vertical="center" wrapText="1"/>
    </xf>
    <xf numFmtId="0" fontId="98" fillId="49" borderId="157" xfId="206">
      <alignment horizontal="right" vertical="center" wrapText="1"/>
    </xf>
    <xf numFmtId="1" fontId="99" fillId="49" borderId="163" xfId="206">
      <alignment horizontal="center" vertical="bottom" wrapText="1"/>
    </xf>
    <xf numFmtId="0" fontId="99" fillId="49" borderId="163" xfId="206">
      <alignment horizontal="center" vertical="bottom" wrapText="1"/>
    </xf>
    <xf numFmtId="1" fontId="99" fillId="49" borderId="31" xfId="206">
      <alignment horizontal="center" vertical="bottom" wrapText="1"/>
    </xf>
    <xf numFmtId="3" fontId="99" fillId="49" borderId="31" xfId="206">
      <alignment horizontal="right" vertical="bottom" wrapText="1" indent="2"/>
    </xf>
    <xf numFmtId="308" fontId="99" fillId="49" borderId="31" xfId="206">
      <alignment horizontal="right" vertical="bottom" wrapText="1" indent="2"/>
    </xf>
    <xf numFmtId="49" fontId="19" fillId="68" borderId="157" xfId="206">
      <alignment horizontal="center" vertical="bottom" wrapText="1"/>
    </xf>
    <xf numFmtId="1" fontId="99" fillId="49" borderId="31" xfId="206">
      <alignment vertical="bottom" wrapText="1"/>
    </xf>
    <xf numFmtId="49" fontId="19" fillId="68" borderId="157" xfId="206">
      <alignment vertical="bottom" wrapText="1"/>
    </xf>
    <xf numFmtId="0" fontId="19" fillId="57" borderId="0" xfId="206"/>
    <xf numFmtId="49" fontId="19" fillId="57" borderId="0" xfId="206"/>
    <xf numFmtId="0" fontId="19" fillId="0" borderId="0" xfId="206">
      <alignment horizontal="center" vertical="bottom"/>
    </xf>
    <xf numFmtId="0" fontId="19" fillId="0" borderId="0" xfId="206"/>
    <xf numFmtId="49" fontId="19" fillId="0" borderId="0" xfId="206"/>
    <xf numFmtId="0" fontId="19" fillId="68" borderId="0" xfId="206"/>
    <xf numFmtId="0" fontId="115" fillId="70" borderId="0" xfId="206">
      <alignment horizontal="right" vertical="bottom"/>
    </xf>
    <xf numFmtId="0" fontId="232" fillId="57" borderId="0" xfId="206"/>
    <xf numFmtId="0" fontId="110" fillId="70" borderId="2" xfId="206">
      <alignment horizontal="left" vertical="bottom"/>
    </xf>
    <xf numFmtId="0" fontId="110" fillId="70" borderId="2" xfId="0">
      <alignment horizontal="center" vertical="center"/>
    </xf>
    <xf numFmtId="0" fontId="110" fillId="70" borderId="2" xfId="206">
      <alignment horizontal="center" vertical="center"/>
    </xf>
    <xf numFmtId="0" fontId="19" fillId="0" borderId="0" xfId="206">
      <alignment horizontal="center" vertical="center"/>
    </xf>
    <xf numFmtId="0" fontId="19" fillId="68" borderId="0" xfId="206">
      <alignment horizontal="center" vertical="center"/>
    </xf>
    <xf numFmtId="0" fontId="19" fillId="57" borderId="51" xfId="206">
      <alignment horizontal="center" vertical="center"/>
    </xf>
    <xf numFmtId="0" fontId="110" fillId="70" borderId="53" xfId="206">
      <alignment horizontal="left" vertical="center"/>
    </xf>
    <xf numFmtId="5155" fontId="99" fillId="2" borderId="2" xfId="276">
      <alignment horizontal="center" vertical="center"/>
      <protection locked="0"/>
    </xf>
    <xf numFmtId="0" fontId="230" fillId="57" borderId="0" xfId="206">
      <alignment horizontal="center" vertical="center"/>
    </xf>
    <xf numFmtId="0" fontId="230" fillId="0" borderId="0" xfId="206">
      <alignment horizontal="center" vertical="center"/>
    </xf>
    <xf numFmtId="0" fontId="19" fillId="0" borderId="0" xfId="206">
      <alignment vertical="top"/>
    </xf>
    <xf numFmtId="0" fontId="19" fillId="68" borderId="0" xfId="206">
      <alignment vertical="top"/>
    </xf>
    <xf numFmtId="0" fontId="19" fillId="57" borderId="51" xfId="206">
      <alignment vertical="top"/>
    </xf>
    <xf numFmtId="0" fontId="110" fillId="70" borderId="53" xfId="206">
      <alignment horizontal="left" vertical="top"/>
    </xf>
    <xf numFmtId="1" fontId="99" fillId="2" borderId="2" xfId="276">
      <alignment horizontal="center" vertical="top" wrapText="1"/>
      <protection locked="0"/>
    </xf>
    <xf numFmtId="0" fontId="230" fillId="57" borderId="0" xfId="206">
      <alignment vertical="top"/>
    </xf>
    <xf numFmtId="0" fontId="230" fillId="0" borderId="0" xfId="206">
      <alignment vertical="top"/>
    </xf>
    <xf numFmtId="1" fontId="99" fillId="2" borderId="2" xfId="278">
      <alignment horizontal="left" vertical="top" wrapText="1"/>
      <protection locked="0"/>
    </xf>
    <xf numFmtId="0" fontId="19" fillId="57" borderId="51" xfId="206"/>
    <xf numFmtId="0" fontId="110" fillId="70" borderId="53" xfId="206">
      <alignment horizontal="left" vertical="bottom"/>
    </xf>
    <xf numFmtId="1" fontId="99" fillId="2" borderId="2" xfId="276">
      <alignment horizontal="center" vertical="bottom"/>
      <protection locked="0"/>
    </xf>
    <xf numFmtId="49" fontId="99" fillId="2" borderId="2" xfId="276">
      <alignment horizontal="center" vertical="bottom"/>
      <protection locked="0"/>
    </xf>
    <xf numFmtId="49" fontId="99" fillId="2" borderId="2" xfId="278">
      <alignment horizontal="left" vertical="bottom"/>
      <protection locked="0"/>
    </xf>
    <xf numFmtId="49" fontId="230" fillId="57" borderId="0" xfId="206"/>
    <xf numFmtId="49" fontId="230" fillId="0" borderId="0" xfId="206"/>
    <xf numFmtId="1" fontId="99" fillId="2" borderId="2" xfId="276">
      <alignment horizontal="center" vertical="bottom" wrapText="1"/>
      <protection locked="0"/>
    </xf>
    <xf numFmtId="3" fontId="99" fillId="2" borderId="2" xfId="62">
      <alignment horizontal="center" vertical="bottom" wrapText="1"/>
      <protection locked="0"/>
    </xf>
    <xf numFmtId="324" fontId="270" fillId="14" borderId="2" xfId="278">
      <alignment horizontal="center" vertical="bottom"/>
    </xf>
    <xf numFmtId="324" fontId="99" fillId="2" borderId="2" xfId="278">
      <alignment horizontal="center" vertical="bottom"/>
    </xf>
    <xf numFmtId="10" fontId="99" fillId="2" borderId="2" xfId="276">
      <alignment horizontal="center" vertical="bottom"/>
      <protection locked="0"/>
    </xf>
    <xf numFmtId="4041" fontId="99" fillId="2" borderId="2" xfId="276">
      <alignment horizontal="center" vertical="bottom"/>
      <protection locked="0"/>
    </xf>
    <xf numFmtId="4041" fontId="99" fillId="2" borderId="2" xfId="278">
      <alignment horizontal="left" vertical="bottom"/>
      <protection locked="0"/>
    </xf>
    <xf numFmtId="0" fontId="21" fillId="0" borderId="0" xfId="206"/>
    <xf numFmtId="0" fontId="21" fillId="68" borderId="0" xfId="206"/>
    <xf numFmtId="0" fontId="21" fillId="57" borderId="0" xfId="206"/>
    <xf numFmtId="0" fontId="231" fillId="57" borderId="0" xfId="206">
      <alignment horizontal="center" vertical="bottom"/>
    </xf>
    <xf numFmtId="0" fontId="231" fillId="0" borderId="0" xfId="206"/>
    <xf numFmtId="0" fontId="98" fillId="57" borderId="0" xfId="0"/>
    <xf numFmtId="0" fontId="98" fillId="57" borderId="0" xfId="0">
      <alignment horizontal="left" vertical="bottom"/>
    </xf>
    <xf numFmtId="0" fontId="102" fillId="57" borderId="0" xfId="0">
      <alignment horizontal="right" vertical="bottom"/>
    </xf>
    <xf numFmtId="37" fontId="98" fillId="57" borderId="0" xfId="0">
      <alignment horizontal="left" vertical="bottom"/>
    </xf>
    <xf numFmtId="58" fontId="106" fillId="57" borderId="0" xfId="0"/>
    <xf numFmtId="58" fontId="98" fillId="57" borderId="0" xfId="0">
      <alignment horizontal="left" vertical="bottom"/>
    </xf>
    <xf numFmtId="4004" fontId="106" fillId="57" borderId="0" xfId="0"/>
    <xf numFmtId="4091" fontId="21" fillId="57" borderId="0" xfId="0"/>
    <xf numFmtId="4091" fontId="21" fillId="57" borderId="0" xfId="0">
      <alignment horizontal="left" vertical="bottom"/>
    </xf>
    <xf numFmtId="0" fontId="102" fillId="57" borderId="0" xfId="0">
      <alignment horizontal="left" vertical="bottom"/>
    </xf>
    <xf numFmtId="0" fontId="97" fillId="115" borderId="46" xfId="0"/>
    <xf numFmtId="0" fontId="97" fillId="115" borderId="47" xfId="0"/>
    <xf numFmtId="0" fontId="94" fillId="115" borderId="11" xfId="0">
      <alignment horizontal="right" vertical="bottom"/>
    </xf>
    <xf numFmtId="0" fontId="94" fillId="115" borderId="48" xfId="0">
      <alignment horizontal="right" vertical="bottom"/>
    </xf>
    <xf numFmtId="0" fontId="94" fillId="115" borderId="46" xfId="0">
      <alignment horizontal="right" vertical="bottom"/>
    </xf>
    <xf numFmtId="0" fontId="94" fillId="115" borderId="47" xfId="0">
      <alignment horizontal="right" vertical="bottom"/>
    </xf>
    <xf numFmtId="0" fontId="94" fillId="57" borderId="50" xfId="0">
      <alignment horizontal="right" vertical="bottom"/>
    </xf>
    <xf numFmtId="0" fontId="94" fillId="115" borderId="45" xfId="0"/>
    <xf numFmtId="0" fontId="94" fillId="115" borderId="1" xfId="0"/>
    <xf numFmtId="0" fontId="94" fillId="115" borderId="8" xfId="0">
      <alignment horizontal="right" vertical="bottom"/>
    </xf>
    <xf numFmtId="0" fontId="94" fillId="115" borderId="49" xfId="0">
      <alignment horizontal="right" vertical="bottom"/>
    </xf>
    <xf numFmtId="0" fontId="94" fillId="115" borderId="45" xfId="0">
      <alignment horizontal="right" vertical="bottom"/>
    </xf>
    <xf numFmtId="0" fontId="94" fillId="115" borderId="0" xfId="0">
      <alignment horizontal="right" vertical="bottom"/>
    </xf>
    <xf numFmtId="0" fontId="94" fillId="115" borderId="51" xfId="0">
      <alignment horizontal="right" vertical="bottom"/>
    </xf>
    <xf numFmtId="0" fontId="94" fillId="57" borderId="2" xfId="0"/>
    <xf numFmtId="0" fontId="94" fillId="59" borderId="46" xfId="0"/>
    <xf numFmtId="0" fontId="94" fillId="59" borderId="48" xfId="0"/>
    <xf numFmtId="10" fontId="99" fillId="59" borderId="2" xfId="0"/>
    <xf numFmtId="10" fontId="19" fillId="57" borderId="2" xfId="276"/>
    <xf numFmtId="0" fontId="94" fillId="59" borderId="45" xfId="0"/>
    <xf numFmtId="0" fontId="94" fillId="59" borderId="49" xfId="0"/>
    <xf numFmtId="0" fontId="94" fillId="59" borderId="8" xfId="0"/>
    <xf numFmtId="10" fontId="99" fillId="57" borderId="2" xfId="276"/>
    <xf numFmtId="0" fontId="98" fillId="57" borderId="2" xfId="0"/>
    <xf numFmtId="0" fontId="94" fillId="59" borderId="46" xfId="0" quotePrefix="1">
      <alignment horizontal="right" vertical="bottom"/>
    </xf>
    <xf numFmtId="37" fontId="99" fillId="57" borderId="2" xfId="0"/>
    <xf numFmtId="37" fontId="97" fillId="57" borderId="2" xfId="0"/>
    <xf numFmtId="37" fontId="94" fillId="57" borderId="0" xfId="0"/>
    <xf numFmtId="0" fontId="94" fillId="59" borderId="50" xfId="0" quotePrefix="1">
      <alignment horizontal="right" vertical="bottom"/>
    </xf>
    <xf numFmtId="0" fontId="94" fillId="59" borderId="51" xfId="0"/>
    <xf numFmtId="0" fontId="21" fillId="115" borderId="2" xfId="0"/>
    <xf numFmtId="4063" fontId="99" fillId="115" borderId="2" xfId="0"/>
    <xf numFmtId="9" fontId="99" fillId="115" borderId="2" xfId="0"/>
    <xf numFmtId="4063" fontId="97" fillId="115" borderId="2" xfId="0"/>
    <xf numFmtId="0" fontId="94" fillId="115" borderId="2" xfId="0"/>
    <xf numFmtId="0" fontId="21" fillId="57" borderId="2" xfId="0"/>
    <xf numFmtId="4063" fontId="19" fillId="57" borderId="2" xfId="0"/>
    <xf numFmtId="9" fontId="21" fillId="57" borderId="2" xfId="0"/>
    <xf numFmtId="4063" fontId="21" fillId="57" borderId="2" xfId="0"/>
    <xf numFmtId="4063" fontId="99" fillId="57" borderId="2" xfId="0"/>
    <xf numFmtId="4063" fontId="98" fillId="57" borderId="2" xfId="0"/>
    <xf numFmtId="0" fontId="94" fillId="57" borderId="2" xfId="0">
      <alignment horizontal="right" vertical="bottom"/>
    </xf>
    <xf numFmtId="0" fontId="94" fillId="57" borderId="50" xfId="0">
      <alignment horizontal="left" vertical="bottom"/>
    </xf>
    <xf numFmtId="0" fontId="97" fillId="57" borderId="2" xfId="0"/>
    <xf numFmtId="0" fontId="97" fillId="57" borderId="53" xfId="0"/>
    <xf numFmtId="308" fontId="98" fillId="57" borderId="2" xfId="0"/>
    <xf numFmtId="0" fontId="98" fillId="115" borderId="2" xfId="0"/>
    <xf numFmtId="0" fontId="97" fillId="57" borderId="9" xfId="0">
      <alignment horizontal="right" vertical="bottom"/>
    </xf>
    <xf numFmtId="308" fontId="99" fillId="57" borderId="2" xfId="0">
      <alignment horizontal="right" vertical="bottom"/>
    </xf>
    <xf numFmtId="0" fontId="99" fillId="57" borderId="2" xfId="0">
      <alignment horizontal="center" vertical="bottom"/>
    </xf>
    <xf numFmtId="4063" fontId="97" fillId="57" borderId="2" xfId="0"/>
    <xf numFmtId="0" fontId="97" fillId="115" borderId="2" xfId="0">
      <alignment horizontal="right" vertical="bottom"/>
    </xf>
    <xf numFmtId="0" fontId="97" fillId="115" borderId="2" xfId="0"/>
    <xf numFmtId="0" fontId="97" fillId="57" borderId="53" xfId="0">
      <alignment horizontal="right" vertical="bottom"/>
    </xf>
    <xf numFmtId="0" fontId="99" fillId="52" borderId="2" xfId="0">
      <alignment horizontal="center" vertical="bottom"/>
    </xf>
    <xf numFmtId="0" fontId="94" fillId="115" borderId="11" xfId="0"/>
    <xf numFmtId="0" fontId="94" fillId="115" borderId="11" xfId="0">
      <alignment horizontal="center" vertical="bottom" wrapText="1"/>
    </xf>
    <xf numFmtId="0" fontId="94" fillId="115" borderId="11" xfId="0">
      <alignment horizontal="center" vertical="bottom"/>
    </xf>
    <xf numFmtId="0" fontId="94" fillId="115" borderId="48" xfId="0">
      <alignment horizontal="center" vertical="bottom" wrapText="1"/>
    </xf>
    <xf numFmtId="0" fontId="94" fillId="115" borderId="8" xfId="0"/>
    <xf numFmtId="0" fontId="94" fillId="57" borderId="50" xfId="0"/>
    <xf numFmtId="0" fontId="21" fillId="52" borderId="44" xfId="0">
      <alignment horizontal="center" vertical="bottom" wrapText="1"/>
    </xf>
    <xf numFmtId="0" fontId="21" fillId="52" borderId="14" xfId="0">
      <alignment horizontal="center" vertical="bottom" wrapText="1"/>
    </xf>
    <xf numFmtId="0" fontId="21" fillId="52" borderId="41" xfId="0">
      <alignment horizontal="center" vertical="bottom" wrapText="1"/>
    </xf>
    <xf numFmtId="0" fontId="94" fillId="57" borderId="47" xfId="0" quotePrefix="1">
      <alignment horizontal="right" vertical="bottom"/>
    </xf>
    <xf numFmtId="0" fontId="98" fillId="57" borderId="76" xfId="0">
      <alignment vertical="bottom" wrapText="1"/>
    </xf>
    <xf numFmtId="0" fontId="113" fillId="57" borderId="8" xfId="0">
      <alignment horizontal="left" vertical="bottom" wrapText="1"/>
    </xf>
    <xf numFmtId="0" fontId="110" fillId="57" borderId="0" xfId="0"/>
    <xf numFmtId="4063" fontId="99" fillId="57" borderId="8" xfId="0"/>
    <xf numFmtId="9" fontId="99" fillId="57" borderId="8" xfId="0"/>
    <xf numFmtId="4063" fontId="97" fillId="57" borderId="77" xfId="0"/>
    <xf numFmtId="0" fontId="98" fillId="57" borderId="64" xfId="0">
      <alignment vertical="bottom" wrapText="1"/>
    </xf>
    <xf numFmtId="0" fontId="113" fillId="57" borderId="2" xfId="0">
      <alignment horizontal="left" vertical="bottom" wrapText="1"/>
    </xf>
    <xf numFmtId="9" fontId="99" fillId="57" borderId="2" xfId="0"/>
    <xf numFmtId="4063" fontId="97" fillId="57" borderId="68" xfId="0"/>
    <xf numFmtId="0" fontId="98" fillId="57" borderId="78" xfId="0">
      <alignment vertical="bottom" wrapText="1"/>
    </xf>
    <xf numFmtId="0" fontId="113" fillId="57" borderId="11" xfId="0">
      <alignment horizontal="left" vertical="bottom" wrapText="1"/>
    </xf>
    <xf numFmtId="4063" fontId="99" fillId="57" borderId="11" xfId="0"/>
    <xf numFmtId="9" fontId="99" fillId="57" borderId="11" xfId="0"/>
    <xf numFmtId="4063" fontId="97" fillId="57" borderId="79" xfId="0"/>
    <xf numFmtId="0" fontId="21" fillId="52" borderId="44" xfId="0">
      <alignment vertical="bottom" wrapText="1"/>
    </xf>
    <xf numFmtId="0" fontId="21" fillId="52" borderId="14" xfId="0">
      <alignment vertical="bottom" wrapText="1"/>
    </xf>
    <xf numFmtId="4063" fontId="21" fillId="52" borderId="14" xfId="0"/>
    <xf numFmtId="9" fontId="21" fillId="52" borderId="14" xfId="0"/>
    <xf numFmtId="4063" fontId="21" fillId="52" borderId="41" xfId="0"/>
    <xf numFmtId="0" fontId="21" fillId="57" borderId="44" xfId="0">
      <alignment vertical="bottom" wrapText="1"/>
    </xf>
    <xf numFmtId="0" fontId="21" fillId="57" borderId="14" xfId="0">
      <alignment vertical="bottom" wrapText="1"/>
    </xf>
    <xf numFmtId="4063" fontId="21" fillId="57" borderId="14" xfId="0"/>
    <xf numFmtId="9" fontId="21" fillId="57" borderId="14" xfId="0"/>
    <xf numFmtId="4063" fontId="21" fillId="57" borderId="41" xfId="0"/>
    <xf numFmtId="0" fontId="21" fillId="52" borderId="44" xfId="0"/>
    <xf numFmtId="0" fontId="94" fillId="52" borderId="14" xfId="0"/>
    <xf numFmtId="4063" fontId="99" fillId="57" borderId="0" xfId="0"/>
    <xf numFmtId="0" fontId="97" fillId="57" borderId="208" xfId="0">
      <alignment horizontal="right" vertical="bottom"/>
    </xf>
    <xf numFmtId="0" fontId="97" fillId="57" borderId="209" xfId="0">
      <alignment horizontal="right" vertical="bottom"/>
    </xf>
    <xf numFmtId="0" fontId="99" fillId="52" borderId="8" xfId="0">
      <alignment horizontal="center" vertical="bottom"/>
    </xf>
    <xf numFmtId="4063" fontId="99" fillId="57" borderId="50" xfId="0"/>
    <xf numFmtId="4063" fontId="98" fillId="57" borderId="0" xfId="0"/>
    <xf numFmtId="4063" fontId="97" fillId="57" borderId="0" xfId="0"/>
    <xf numFmtId="1" fontId="93" fillId="57" borderId="2" xfId="0"/>
    <xf numFmtId="37" fontId="94" fillId="57" borderId="0" xfId="0">
      <alignment horizontal="center" vertical="bottom"/>
    </xf>
    <xf numFmtId="0" fontId="93" fillId="57" borderId="0" xfId="0">
      <alignment horizontal="right" vertical="bottom"/>
    </xf>
    <xf numFmtId="0" fontId="93" fillId="57" borderId="0" xfId="0">
      <alignment horizontal="center" vertical="bottom"/>
    </xf>
    <xf numFmtId="37" fontId="93" fillId="57" borderId="0" xfId="0"/>
    <xf numFmtId="0" fontId="165" fillId="0" borderId="0" xfId="206">
      <alignment horizontal="left" vertical="bottom"/>
    </xf>
    <xf numFmtId="0" fontId="165" fillId="0" borderId="0" xfId="206">
      <alignment horizontal="right" vertical="bottom" indent="1"/>
    </xf>
    <xf numFmtId="0" fontId="180" fillId="0" borderId="0" xfId="206"/>
    <xf numFmtId="0" fontId="165" fillId="0" borderId="1" xfId="206">
      <alignment horizontal="left" vertical="bottom" shrinkToFit="1"/>
      <protection locked="0"/>
    </xf>
    <xf numFmtId="0" fontId="167" fillId="0" borderId="0" xfId="206"/>
    <xf numFmtId="1" fontId="165" fillId="0" borderId="16" xfId="206">
      <alignment horizontal="center" vertical="bottom" shrinkToFit="1"/>
      <protection locked="0"/>
    </xf>
    <xf numFmtId="0" fontId="165" fillId="0" borderId="0" xfId="206">
      <alignment horizontal="centerContinuous" vertical="bottom"/>
    </xf>
    <xf numFmtId="0" fontId="165" fillId="0" borderId="16" xfId="206">
      <alignment horizontal="center" vertical="bottom" shrinkToFit="1"/>
      <protection locked="0"/>
    </xf>
    <xf numFmtId="0" fontId="165" fillId="0" borderId="0" xfId="206">
      <alignment horizontal="center" vertical="bottom"/>
    </xf>
    <xf numFmtId="0" fontId="165" fillId="0" borderId="0" xfId="206" quotePrefix="1">
      <alignment horizontal="center" vertical="bottom"/>
    </xf>
    <xf numFmtId="0" fontId="169" fillId="0" borderId="0" xfId="206"/>
    <xf numFmtId="0" fontId="180" fillId="0" borderId="0" xfId="206">
      <alignment horizontal="right" vertical="bottom"/>
    </xf>
    <xf numFmtId="0" fontId="165" fillId="0" borderId="1" xfId="206">
      <alignment horizontal="center" vertical="bottom" shrinkToFit="1"/>
      <protection locked="0"/>
    </xf>
    <xf numFmtId="0" fontId="165" fillId="0" borderId="1" xfId="206">
      <alignment horizontal="left" vertical="bottom" indent="1"/>
      <protection locked="0"/>
    </xf>
    <xf numFmtId="0" fontId="165" fillId="0" borderId="16" xfId="206">
      <alignment horizontal="center" vertical="bottom"/>
      <protection locked="0"/>
    </xf>
    <xf numFmtId="0" fontId="167" fillId="0" borderId="0" xfId="206">
      <alignment horizontal="left" vertical="bottom"/>
    </xf>
    <xf numFmtId="243" fontId="165" fillId="0" borderId="16" xfId="206" quotePrefix="1">
      <alignment horizontal="center" vertical="bottom" shrinkToFit="1"/>
      <protection locked="0"/>
    </xf>
    <xf numFmtId="0" fontId="167" fillId="0" borderId="0" xfId="206">
      <alignment horizontal="right" vertical="bottom"/>
    </xf>
    <xf numFmtId="0" fontId="165" fillId="0" borderId="16" xfId="206" quotePrefix="1">
      <alignment horizontal="center" vertical="bottom"/>
      <protection locked="0"/>
    </xf>
    <xf numFmtId="243" fontId="165" fillId="0" borderId="16" xfId="206">
      <alignment horizontal="center" vertical="bottom"/>
    </xf>
    <xf numFmtId="243" fontId="165" fillId="0" borderId="1" xfId="206">
      <alignment horizontal="center" vertical="bottom"/>
    </xf>
    <xf numFmtId="0" fontId="180" fillId="0" borderId="9" xfId="206"/>
    <xf numFmtId="0" fontId="169" fillId="0" borderId="16" xfId="206"/>
    <xf numFmtId="0" fontId="169" fillId="0" borderId="53" xfId="206"/>
    <xf numFmtId="0" fontId="167" fillId="0" borderId="9" xfId="206">
      <alignment horizontal="center" vertical="bottom"/>
    </xf>
    <xf numFmtId="0" fontId="167" fillId="0" borderId="53" xfId="206">
      <alignment horizontal="center" vertical="bottom"/>
    </xf>
    <xf numFmtId="0" fontId="165" fillId="0" borderId="1" xfId="206" quotePrefix="1">
      <alignment horizontal="center" vertical="bottom"/>
      <protection locked="0"/>
    </xf>
    <xf numFmtId="0" fontId="169" fillId="0" borderId="9" xfId="206">
      <alignment horizontal="center" vertical="bottom"/>
      <protection locked="0"/>
    </xf>
    <xf numFmtId="0" fontId="169" fillId="0" borderId="53" xfId="206">
      <alignment horizontal="center" vertical="bottom"/>
      <protection locked="0"/>
    </xf>
    <xf numFmtId="0" fontId="165" fillId="0" borderId="0" xfId="206">
      <alignment horizontal="right" vertical="bottom"/>
    </xf>
    <xf numFmtId="58" fontId="165" fillId="0" borderId="1" xfId="206" quotePrefix="1">
      <alignment horizontal="center" vertical="bottom" shrinkToFit="1"/>
      <protection locked="0"/>
    </xf>
    <xf numFmtId="1" fontId="169" fillId="0" borderId="9" xfId="206">
      <alignment horizontal="center" vertical="bottom"/>
      <protection locked="0"/>
    </xf>
    <xf numFmtId="1" fontId="169" fillId="0" borderId="53" xfId="206">
      <alignment horizontal="center" vertical="bottom"/>
      <protection locked="0"/>
    </xf>
    <xf numFmtId="4471" fontId="165" fillId="0" borderId="1" xfId="206">
      <alignment horizontal="center" vertical="bottom"/>
      <protection locked="0"/>
    </xf>
    <xf numFmtId="1" fontId="165" fillId="0" borderId="1" xfId="206">
      <alignment horizontal="center" vertical="bottom"/>
      <protection locked="0"/>
    </xf>
    <xf numFmtId="4471" fontId="165" fillId="0" borderId="16" xfId="206" quotePrefix="1">
      <alignment horizontal="center" vertical="bottom"/>
      <protection locked="0"/>
    </xf>
    <xf numFmtId="1" fontId="165" fillId="0" borderId="16" xfId="206" quotePrefix="1">
      <alignment horizontal="center" vertical="bottom"/>
      <protection locked="0"/>
    </xf>
    <xf numFmtId="4471" fontId="165" fillId="54" borderId="16" xfId="206" quotePrefix="1">
      <alignment horizontal="center" vertical="bottom"/>
      <protection locked="0"/>
    </xf>
    <xf numFmtId="0" fontId="166" fillId="0" borderId="0" xfId="206"/>
    <xf numFmtId="0" fontId="165" fillId="0" borderId="1" xfId="206">
      <alignment horizontal="center" vertical="bottom"/>
      <protection locked="0"/>
    </xf>
    <xf numFmtId="2" fontId="165" fillId="57" borderId="16" xfId="206" quotePrefix="1">
      <alignment horizontal="center" vertical="bottom"/>
      <protection locked="0"/>
    </xf>
    <xf numFmtId="0" fontId="165" fillId="0" borderId="0" xfId="206">
      <protection locked="0"/>
    </xf>
    <xf numFmtId="0" fontId="165" fillId="0" borderId="16" xfId="206">
      <alignment horizontal="center" vertical="bottom"/>
    </xf>
    <xf numFmtId="0" fontId="347" fillId="0" borderId="0" xfId="185">
      <alignment horizontal="center" vertical="top"/>
    </xf>
    <xf numFmtId="1" fontId="349" fillId="0" borderId="1" xfId="206">
      <alignment horizontal="center" vertical="bottom"/>
      <protection locked="0"/>
    </xf>
    <xf numFmtId="4473" fontId="169" fillId="0" borderId="1" xfId="206" quotePrefix="1">
      <alignment horizontal="center" vertical="bottom"/>
      <protection locked="0"/>
    </xf>
    <xf numFmtId="0" fontId="165" fillId="0" borderId="0" xfId="0"/>
    <xf numFmtId="4473" fontId="169" fillId="0" borderId="16" xfId="206" quotePrefix="1">
      <alignment horizontal="center" vertical="bottom"/>
      <protection locked="0"/>
    </xf>
    <xf numFmtId="243" fontId="165" fillId="0" borderId="1" xfId="206" quotePrefix="1">
      <alignment horizontal="center" vertical="bottom" shrinkToFit="1"/>
      <protection locked="0"/>
    </xf>
    <xf numFmtId="58" fontId="165" fillId="0" borderId="1" xfId="206">
      <alignment horizontal="center" vertical="bottom"/>
    </xf>
    <xf numFmtId="2" fontId="165" fillId="0" borderId="16" xfId="206" quotePrefix="1">
      <alignment horizontal="center" vertical="bottom"/>
      <protection locked="0"/>
    </xf>
    <xf numFmtId="4473" fontId="165" fillId="0" borderId="16" xfId="206">
      <alignment horizontal="center" vertical="bottom"/>
      <protection locked="0"/>
    </xf>
    <xf numFmtId="1" fontId="165" fillId="0" borderId="16" xfId="206">
      <alignment horizontal="center" vertical="bottom"/>
      <protection locked="0"/>
    </xf>
    <xf numFmtId="0" fontId="347" fillId="0" borderId="47" xfId="185">
      <alignment horizontal="center" vertical="center"/>
    </xf>
    <xf numFmtId="0" fontId="166" fillId="0" borderId="0" xfId="206">
      <alignment horizontal="center" vertical="bottom"/>
    </xf>
    <xf numFmtId="0" fontId="347" fillId="0" borderId="0" xfId="185">
      <alignment horizontal="center" vertical="center"/>
    </xf>
    <xf numFmtId="0" fontId="171" fillId="0" borderId="0" xfId="206"/>
    <xf numFmtId="10" fontId="165" fillId="0" borderId="0" xfId="206" quotePrefix="1">
      <alignment horizontal="center" vertical="bottom"/>
    </xf>
    <xf numFmtId="2" fontId="165" fillId="0" borderId="1" xfId="206" quotePrefix="1">
      <alignment horizontal="center" vertical="bottom"/>
      <protection locked="0"/>
    </xf>
    <xf numFmtId="2" fontId="169" fillId="0" borderId="16" xfId="206" quotePrefix="1">
      <alignment horizontal="center" vertical="bottom"/>
    </xf>
    <xf numFmtId="0" fontId="166" fillId="0" borderId="0" xfId="206">
      <alignment horizontal="left" vertical="center"/>
    </xf>
    <xf numFmtId="0" fontId="168" fillId="0" borderId="0" xfId="206"/>
    <xf numFmtId="4" fontId="165" fillId="57" borderId="1" xfId="206" quotePrefix="1">
      <alignment horizontal="center" vertical="bottom" shrinkToFit="1"/>
      <protection locked="0"/>
    </xf>
    <xf numFmtId="243" fontId="165" fillId="54" borderId="1" xfId="206" quotePrefix="1">
      <alignment horizontal="center" vertical="bottom" shrinkToFit="1"/>
      <protection locked="0"/>
    </xf>
    <xf numFmtId="0" fontId="348" fillId="0" borderId="46" xfId="206">
      <alignment vertical="top" wrapText="1" shrinkToFit="1"/>
      <protection locked="0"/>
    </xf>
    <xf numFmtId="0" fontId="348" fillId="0" borderId="47" xfId="206">
      <alignment vertical="top" wrapText="1" shrinkToFit="1"/>
      <protection locked="0"/>
    </xf>
    <xf numFmtId="0" fontId="348" fillId="0" borderId="48" xfId="206">
      <alignment vertical="top" wrapText="1" shrinkToFit="1"/>
      <protection locked="0"/>
    </xf>
    <xf numFmtId="0" fontId="348" fillId="0" borderId="50" xfId="206">
      <alignment vertical="top" wrapText="1" shrinkToFit="1"/>
      <protection locked="0"/>
    </xf>
    <xf numFmtId="0" fontId="348" fillId="0" borderId="0" xfId="206">
      <alignment vertical="top" wrapText="1" shrinkToFit="1"/>
      <protection locked="0"/>
    </xf>
    <xf numFmtId="0" fontId="348" fillId="0" borderId="51" xfId="206">
      <alignment vertical="top" wrapText="1" shrinkToFit="1"/>
      <protection locked="0"/>
    </xf>
    <xf numFmtId="0" fontId="348" fillId="0" borderId="45" xfId="206">
      <alignment vertical="top" wrapText="1" shrinkToFit="1"/>
      <protection locked="0"/>
    </xf>
    <xf numFmtId="0" fontId="348" fillId="0" borderId="1" xfId="206">
      <alignment vertical="top" wrapText="1" shrinkToFit="1"/>
      <protection locked="0"/>
    </xf>
    <xf numFmtId="0" fontId="348" fillId="0" borderId="49" xfId="206">
      <alignment vertical="top" wrapText="1" shrinkToFit="1"/>
      <protection locked="0"/>
    </xf>
    <xf numFmtId="58" fontId="165" fillId="0" borderId="1" xfId="206">
      <alignment horizontal="center" vertical="bottom"/>
      <protection locked="0"/>
    </xf>
    <xf numFmtId="4470" fontId="165" fillId="0" borderId="0" xfId="206" quotePrefix="1">
      <alignment horizontal="centerContinuous" vertical="bottom"/>
    </xf>
    <xf numFmtId="0" fontId="170" fillId="0" borderId="0" xfId="206"/>
    <xf numFmtId="0" fontId="165" fillId="0" borderId="0" xfId="206" quotePrefix="1"/>
    <xf numFmtId="4255" fontId="0" fillId="57" borderId="0" xfId="0"/>
    <xf numFmtId="0" fontId="121" fillId="57" borderId="80" xfId="0"/>
    <xf numFmtId="0" fontId="0" fillId="57" borderId="80" xfId="0"/>
    <xf numFmtId="0" fontId="71" fillId="57" borderId="0" xfId="0"/>
    <xf numFmtId="10" fontId="122" fillId="57" borderId="9" xfId="276">
      <alignment horizontal="left" vertical="center"/>
    </xf>
    <xf numFmtId="10" fontId="122" fillId="57" borderId="53" xfId="276">
      <alignment horizontal="left" vertical="center"/>
    </xf>
    <xf numFmtId="308" fontId="122" fillId="57" borderId="2" xfId="276">
      <alignment horizontal="center" vertical="center"/>
    </xf>
    <xf numFmtId="308" fontId="122" fillId="57" borderId="0" xfId="276">
      <alignment horizontal="center" vertical="center"/>
    </xf>
    <xf numFmtId="0" fontId="71" fillId="57" borderId="0" xfId="0">
      <alignment vertical="center"/>
    </xf>
    <xf numFmtId="10" fontId="71" fillId="57" borderId="0" xfId="276">
      <alignment vertical="center"/>
    </xf>
    <xf numFmtId="0" fontId="124" fillId="57" borderId="0" xfId="0"/>
    <xf numFmtId="0" fontId="125" fillId="57" borderId="0" xfId="0"/>
    <xf numFmtId="0" fontId="126" fillId="57" borderId="0" xfId="0"/>
    <xf numFmtId="4041" fontId="126" fillId="57" borderId="0" xfId="276">
      <alignment horizontal="right" vertical="bottom"/>
    </xf>
    <xf numFmtId="0" fontId="128" fillId="57" borderId="0" xfId="0"/>
    <xf numFmtId="0" fontId="71" fillId="57" borderId="1" xfId="0">
      <alignment horizontal="left" vertical="bottom"/>
    </xf>
    <xf numFmtId="0" fontId="123" fillId="57" borderId="0" xfId="0"/>
    <xf numFmtId="4259" fontId="71" fillId="57" borderId="1" xfId="276">
      <alignment horizontal="left" vertical="bottom"/>
    </xf>
    <xf numFmtId="10" fontId="127" fillId="57" borderId="9" xfId="276">
      <alignment horizontal="left" vertical="center"/>
    </xf>
    <xf numFmtId="10" fontId="127" fillId="57" borderId="53" xfId="276">
      <alignment horizontal="left" vertical="center"/>
    </xf>
    <xf numFmtId="10" fontId="127" fillId="57" borderId="2" xfId="276">
      <alignment horizontal="center" vertical="center"/>
    </xf>
    <xf numFmtId="10" fontId="127" fillId="57" borderId="0" xfId="276">
      <alignment horizontal="center" vertical="center"/>
    </xf>
    <xf numFmtId="0" fontId="71" fillId="57" borderId="0" xfId="0">
      <alignment vertical="center" wrapText="1"/>
    </xf>
    <xf numFmtId="0" fontId="71" fillId="57" borderId="16" xfId="0">
      <alignment horizontal="left" vertical="bottom"/>
    </xf>
    <xf numFmtId="0" fontId="129" fillId="57" borderId="0" xfId="0"/>
    <xf numFmtId="4041" fontId="131" fillId="52" borderId="16" xfId="0">
      <alignment horizontal="left" vertical="bottom"/>
    </xf>
    <xf numFmtId="10" fontId="71" fillId="57" borderId="0" xfId="276">
      <alignment vertical="center" wrapText="1"/>
    </xf>
    <xf numFmtId="10" fontId="71" fillId="57" borderId="0" xfId="276">
      <alignment horizontal="left" vertical="center"/>
    </xf>
    <xf numFmtId="4041" fontId="0" fillId="57" borderId="16" xfId="0">
      <alignment horizontal="left" vertical="bottom"/>
    </xf>
    <xf numFmtId="0" fontId="0" fillId="57" borderId="16" xfId="0">
      <alignment horizontal="left" vertical="bottom"/>
    </xf>
    <xf numFmtId="4255" fontId="71" fillId="57" borderId="0" xfId="0"/>
    <xf numFmtId="10" fontId="123" fillId="57" borderId="9" xfId="276">
      <alignment horizontal="left" vertical="center"/>
    </xf>
    <xf numFmtId="10" fontId="71" fillId="57" borderId="53" xfId="276">
      <alignment horizontal="left" vertical="center"/>
    </xf>
    <xf numFmtId="308" fontId="127" fillId="57" borderId="2" xfId="276">
      <alignment horizontal="center" vertical="center"/>
    </xf>
    <xf numFmtId="308" fontId="71" fillId="57" borderId="0" xfId="0">
      <alignment horizontal="center" vertical="center"/>
    </xf>
    <xf numFmtId="308" fontId="71" fillId="57" borderId="0" xfId="0">
      <alignment horizontal="left" vertical="center"/>
    </xf>
    <xf numFmtId="0" fontId="128" fillId="57" borderId="16" xfId="0"/>
    <xf numFmtId="0" fontId="129" fillId="57" borderId="16" xfId="0"/>
    <xf numFmtId="0" fontId="128" fillId="57" borderId="0" xfId="0">
      <alignment horizontal="left" vertical="bottom"/>
    </xf>
    <xf numFmtId="4031" fontId="129" fillId="57" borderId="0" xfId="276">
      <alignment horizontal="left" vertical="bottom"/>
    </xf>
    <xf numFmtId="10" fontId="71" fillId="57" borderId="9" xfId="276">
      <alignment horizontal="left" vertical="center"/>
    </xf>
    <xf numFmtId="10" fontId="71" fillId="57" borderId="2" xfId="276">
      <alignment horizontal="center" vertical="center"/>
    </xf>
    <xf numFmtId="10" fontId="71" fillId="57" borderId="0" xfId="276">
      <alignment horizontal="center" vertical="center"/>
    </xf>
    <xf numFmtId="4607" fontId="71" fillId="57" borderId="2" xfId="0">
      <alignment horizontal="left" vertical="center"/>
    </xf>
    <xf numFmtId="10" fontId="128" fillId="57" borderId="2" xfId="276">
      <alignment horizontal="center" vertical="center"/>
    </xf>
    <xf numFmtId="10" fontId="128" fillId="57" borderId="9" xfId="276">
      <alignment horizontal="left" vertical="center"/>
    </xf>
    <xf numFmtId="10" fontId="128" fillId="57" borderId="53" xfId="276">
      <alignment horizontal="left" vertical="center"/>
    </xf>
    <xf numFmtId="4140" fontId="128" fillId="57" borderId="2" xfId="276">
      <alignment horizontal="center" vertical="center"/>
    </xf>
    <xf numFmtId="308" fontId="123" fillId="57" borderId="9" xfId="0">
      <alignment horizontal="center" vertical="center"/>
    </xf>
    <xf numFmtId="308" fontId="123" fillId="57" borderId="53" xfId="0">
      <alignment horizontal="center" vertical="center"/>
    </xf>
    <xf numFmtId="10" fontId="128" fillId="57" borderId="0" xfId="276">
      <alignment horizontal="center" vertical="center"/>
    </xf>
    <xf numFmtId="4607" fontId="71" fillId="57" borderId="0" xfId="0">
      <alignment horizontal="center" vertical="center"/>
    </xf>
    <xf numFmtId="308" fontId="71" fillId="57" borderId="2" xfId="0">
      <alignment horizontal="left" vertical="center"/>
    </xf>
    <xf numFmtId="308" fontId="71" fillId="57" borderId="2" xfId="0">
      <alignment horizontal="center" vertical="center"/>
    </xf>
    <xf numFmtId="308" fontId="71" fillId="52" borderId="2" xfId="0">
      <alignment horizontal="center" vertical="center"/>
    </xf>
    <xf numFmtId="4063" fontId="71" fillId="57" borderId="1" xfId="0">
      <alignment horizontal="left" vertical="bottom"/>
    </xf>
    <xf numFmtId="5608" fontId="71" fillId="57" borderId="1" xfId="0">
      <alignment horizontal="left" vertical="bottom"/>
    </xf>
    <xf numFmtId="4269" fontId="129" fillId="52" borderId="1" xfId="0">
      <alignment horizontal="left" vertical="bottom"/>
    </xf>
    <xf numFmtId="4140" fontId="71" fillId="57" borderId="2" xfId="276">
      <alignment horizontal="center" vertical="center"/>
    </xf>
    <xf numFmtId="0" fontId="71" fillId="59" borderId="2" xfId="0">
      <alignment horizontal="left" vertical="center"/>
    </xf>
    <xf numFmtId="308" fontId="71" fillId="59" borderId="2" xfId="0">
      <alignment horizontal="center" vertical="center"/>
    </xf>
    <xf numFmtId="0" fontId="129" fillId="52" borderId="16" xfId="0"/>
    <xf numFmtId="0" fontId="129" fillId="57" borderId="1" xfId="0"/>
    <xf numFmtId="4269" fontId="129" fillId="52" borderId="16" xfId="0">
      <alignment horizontal="left" vertical="bottom"/>
    </xf>
    <xf numFmtId="10" fontId="71" fillId="57" borderId="16" xfId="276">
      <alignment horizontal="left" vertical="center" wrapText="1"/>
    </xf>
    <xf numFmtId="308" fontId="71" fillId="57" borderId="1" xfId="276">
      <alignment horizontal="center" vertical="center" wrapText="1"/>
    </xf>
    <xf numFmtId="308" fontId="71" fillId="57" borderId="0" xfId="276">
      <alignment horizontal="center" vertical="center" wrapText="1"/>
    </xf>
    <xf numFmtId="308" fontId="71" fillId="57" borderId="0" xfId="276">
      <alignment horizontal="left" vertical="center" wrapText="1"/>
    </xf>
    <xf numFmtId="10" fontId="123" fillId="57" borderId="0" xfId="276">
      <alignment vertical="center" wrapText="1"/>
    </xf>
    <xf numFmtId="10" fontId="71" fillId="57" borderId="2" xfId="276">
      <alignment horizontal="left" vertical="center" wrapText="1"/>
    </xf>
    <xf numFmtId="308" fontId="0" fillId="57" borderId="2" xfId="276">
      <alignment horizontal="center" vertical="center" wrapText="1"/>
    </xf>
    <xf numFmtId="308" fontId="0" fillId="52" borderId="2" xfId="276">
      <alignment horizontal="center" vertical="center" wrapText="1"/>
    </xf>
    <xf numFmtId="0" fontId="129" fillId="52" borderId="16" xfId="0">
      <alignment horizontal="left" vertical="bottom"/>
    </xf>
    <xf numFmtId="0" fontId="130" fillId="57" borderId="0" xfId="0"/>
    <xf numFmtId="10" fontId="71" fillId="57" borderId="9" xfId="276">
      <alignment horizontal="left" vertical="center" wrapText="1"/>
    </xf>
    <xf numFmtId="10" fontId="71" fillId="57" borderId="53" xfId="276">
      <alignment horizontal="left" vertical="center" wrapText="1"/>
    </xf>
    <xf numFmtId="308" fontId="71" fillId="57" borderId="2" xfId="276">
      <alignment horizontal="center" vertical="center" wrapText="1"/>
    </xf>
    <xf numFmtId="308" fontId="71" fillId="57" borderId="2" xfId="276">
      <alignment horizontal="left" vertical="center" wrapText="1"/>
    </xf>
    <xf numFmtId="10" fontId="71" fillId="57" borderId="2" xfId="276">
      <alignment horizontal="center" vertical="center" wrapText="1"/>
    </xf>
    <xf numFmtId="10" fontId="71" fillId="59" borderId="2" xfId="276">
      <alignment horizontal="left" vertical="center" wrapText="1"/>
    </xf>
    <xf numFmtId="308" fontId="0" fillId="59" borderId="2" xfId="276">
      <alignment horizontal="center" vertical="center" wrapText="1"/>
    </xf>
    <xf numFmtId="5415" fontId="71" fillId="57" borderId="16" xfId="0">
      <alignment horizontal="left" vertical="bottom"/>
    </xf>
    <xf numFmtId="0" fontId="129" fillId="57" borderId="16" xfId="0">
      <alignment horizontal="left" vertical="bottom"/>
    </xf>
    <xf numFmtId="9" fontId="129" fillId="52" borderId="16" xfId="0">
      <alignment horizontal="left" vertical="bottom"/>
    </xf>
    <xf numFmtId="0" fontId="131" fillId="52" borderId="16" xfId="0"/>
    <xf numFmtId="10" fontId="71" fillId="59" borderId="9" xfId="276">
      <alignment horizontal="left" vertical="center" wrapText="1"/>
    </xf>
    <xf numFmtId="10" fontId="71" fillId="59" borderId="53" xfId="276">
      <alignment horizontal="left" vertical="center" wrapText="1"/>
    </xf>
    <xf numFmtId="308" fontId="71" fillId="59" borderId="2" xfId="276">
      <alignment horizontal="center" vertical="center" wrapText="1"/>
    </xf>
    <xf numFmtId="308" fontId="71" fillId="57" borderId="0" xfId="0">
      <alignment vertical="center"/>
    </xf>
    <xf numFmtId="5415" fontId="129" fillId="52" borderId="16" xfId="0">
      <alignment horizontal="left" vertical="bottom"/>
    </xf>
    <xf numFmtId="0" fontId="129" fillId="52" borderId="16" xfId="0">
      <alignment horizontal="center" vertical="bottom"/>
    </xf>
    <xf numFmtId="5412" fontId="129" fillId="52" borderId="16" xfId="0">
      <alignment horizontal="left" vertical="bottom"/>
    </xf>
    <xf numFmtId="10" fontId="71" fillId="57" borderId="16" xfId="276">
      <alignment horizontal="left" vertical="center"/>
    </xf>
    <xf numFmtId="4913" fontId="71" fillId="57" borderId="1" xfId="276">
      <alignment horizontal="center" vertical="center"/>
    </xf>
    <xf numFmtId="4913" fontId="71" fillId="57" borderId="0" xfId="276">
      <alignment horizontal="center" vertical="center"/>
    </xf>
    <xf numFmtId="4913" fontId="71" fillId="57" borderId="0" xfId="276">
      <alignment horizontal="left" vertical="center"/>
    </xf>
    <xf numFmtId="37" fontId="129" fillId="52" borderId="1" xfId="0">
      <alignment horizontal="left" vertical="bottom"/>
    </xf>
    <xf numFmtId="0" fontId="131" fillId="52" borderId="16" xfId="0">
      <alignment horizontal="center" vertical="bottom"/>
    </xf>
    <xf numFmtId="4913" fontId="71" fillId="57" borderId="2" xfId="276">
      <alignment horizontal="center" vertical="center"/>
    </xf>
    <xf numFmtId="4913" fontId="71" fillId="57" borderId="2" xfId="276">
      <alignment horizontal="left" vertical="center"/>
    </xf>
    <xf numFmtId="4913" fontId="71" fillId="52" borderId="2" xfId="276">
      <alignment horizontal="center" vertical="center"/>
    </xf>
    <xf numFmtId="10" fontId="89" fillId="57" borderId="0" xfId="276">
      <alignment vertical="center" wrapText="1"/>
    </xf>
    <xf numFmtId="0" fontId="129" fillId="57" borderId="142" xfId="0" quotePrefix="1">
      <alignment horizontal="left" vertical="bottom"/>
    </xf>
    <xf numFmtId="4041" fontId="129" fillId="52" borderId="16" xfId="276">
      <alignment horizontal="left" vertical="bottom"/>
    </xf>
    <xf numFmtId="4041" fontId="129" fillId="52" borderId="16" xfId="0">
      <alignment horizontal="center" vertical="bottom"/>
    </xf>
    <xf numFmtId="308" fontId="129" fillId="52" borderId="16" xfId="0">
      <alignment horizontal="left" vertical="bottom"/>
    </xf>
    <xf numFmtId="10" fontId="71" fillId="59" borderId="9" xfId="276">
      <alignment horizontal="left" vertical="center"/>
    </xf>
    <xf numFmtId="10" fontId="71" fillId="59" borderId="53" xfId="276">
      <alignment horizontal="left" vertical="center"/>
    </xf>
    <xf numFmtId="4913" fontId="71" fillId="59" borderId="2" xfId="276">
      <alignment horizontal="center" vertical="center"/>
    </xf>
    <xf numFmtId="4913" fontId="71" fillId="59" borderId="2" xfId="276">
      <alignment horizontal="left" vertical="center"/>
    </xf>
    <xf numFmtId="0" fontId="129" fillId="52" borderId="1" xfId="0"/>
    <xf numFmtId="4041" fontId="129" fillId="52" borderId="1" xfId="276">
      <alignment horizontal="center" vertical="bottom"/>
    </xf>
    <xf numFmtId="4063" fontId="129" fillId="52" borderId="1" xfId="0">
      <alignment horizontal="left" vertical="bottom"/>
    </xf>
    <xf numFmtId="0" fontId="123" fillId="57" borderId="0" xfId="0">
      <alignment horizontal="center" vertical="center"/>
    </xf>
    <xf numFmtId="10" fontId="129" fillId="52" borderId="16" xfId="0">
      <alignment horizontal="left" vertical="bottom"/>
    </xf>
    <xf numFmtId="4063" fontId="128" fillId="57" borderId="16" xfId="0">
      <alignment horizontal="left" vertical="bottom"/>
    </xf>
    <xf numFmtId="4269" fontId="129" fillId="57" borderId="47" xfId="0"/>
    <xf numFmtId="10" fontId="123" fillId="57" borderId="30" xfId="0">
      <alignment vertical="center" wrapText="1"/>
    </xf>
    <xf numFmtId="10" fontId="123" fillId="57" borderId="30" xfId="276">
      <alignment vertical="center" wrapText="1"/>
    </xf>
    <xf numFmtId="0" fontId="123" fillId="57" borderId="44" xfId="0">
      <alignment horizontal="center" vertical="center"/>
    </xf>
    <xf numFmtId="0" fontId="123" fillId="57" borderId="41" xfId="0">
      <alignment horizontal="center" vertical="center"/>
    </xf>
    <xf numFmtId="4269" fontId="129" fillId="57" borderId="0" xfId="0"/>
    <xf numFmtId="10" fontId="123" fillId="57" borderId="42" xfId="0">
      <alignment horizontal="center" vertical="center" wrapText="1"/>
    </xf>
    <xf numFmtId="10" fontId="123" fillId="57" borderId="0" xfId="276">
      <alignment horizontal="center" vertical="center" wrapText="1"/>
    </xf>
    <xf numFmtId="10" fontId="123" fillId="57" borderId="42" xfId="276">
      <alignment horizontal="center" vertical="center" wrapText="1"/>
    </xf>
    <xf numFmtId="10" fontId="89" fillId="57" borderId="103" xfId="276">
      <alignment horizontal="center" vertical="center" wrapText="1"/>
    </xf>
    <xf numFmtId="10" fontId="89" fillId="57" borderId="104" xfId="276">
      <alignment horizontal="center" vertical="center" wrapText="1"/>
    </xf>
    <xf numFmtId="37" fontId="71" fillId="57" borderId="1" xfId="0">
      <alignment horizontal="left" vertical="bottom"/>
    </xf>
    <xf numFmtId="0" fontId="0" fillId="0" borderId="1" xfId="0"/>
    <xf numFmtId="10" fontId="123" fillId="57" borderId="84" xfId="0">
      <alignment horizontal="center" vertical="center" wrapText="1"/>
    </xf>
    <xf numFmtId="10" fontId="123" fillId="57" borderId="84" xfId="276">
      <alignment horizontal="center" vertical="center" wrapText="1"/>
    </xf>
    <xf numFmtId="10" fontId="89" fillId="57" borderId="201" xfId="276">
      <alignment horizontal="center" vertical="center" wrapText="1"/>
    </xf>
    <xf numFmtId="10" fontId="89" fillId="57" borderId="202" xfId="276">
      <alignment horizontal="center" vertical="center" wrapText="1"/>
    </xf>
    <xf numFmtId="4031" fontId="129" fillId="52" borderId="16" xfId="276">
      <alignment horizontal="left" vertical="bottom"/>
    </xf>
    <xf numFmtId="4270" fontId="71" fillId="57" borderId="16" xfId="0">
      <alignment horizontal="left" vertical="bottom"/>
    </xf>
    <xf numFmtId="4041" fontId="128" fillId="57" borderId="16" xfId="276">
      <alignment horizontal="left" vertical="bottom"/>
    </xf>
    <xf numFmtId="4041" fontId="129" fillId="57" borderId="16" xfId="276">
      <alignment horizontal="left" vertical="bottom"/>
    </xf>
    <xf numFmtId="10" fontId="71" fillId="59" borderId="74" xfId="276">
      <alignment horizontal="center" vertical="center"/>
    </xf>
    <xf numFmtId="4140" fontId="71" fillId="59" borderId="74" xfId="0">
      <alignment horizontal="center" vertical="center"/>
    </xf>
    <xf numFmtId="308" fontId="71" fillId="59" borderId="74" xfId="0">
      <alignment horizontal="center" vertical="center"/>
    </xf>
    <xf numFmtId="308" fontId="71" fillId="57" borderId="85" xfId="0">
      <alignment horizontal="center" vertical="center"/>
    </xf>
    <xf numFmtId="308" fontId="71" fillId="57" borderId="76" xfId="0">
      <alignment horizontal="center" vertical="center"/>
    </xf>
    <xf numFmtId="308" fontId="71" fillId="57" borderId="8" xfId="0">
      <alignment horizontal="center" vertical="center"/>
    </xf>
    <xf numFmtId="308" fontId="71" fillId="57" borderId="77" xfId="0">
      <alignment horizontal="center" vertical="center"/>
    </xf>
    <xf numFmtId="0" fontId="131" fillId="57" borderId="0" xfId="0"/>
    <xf numFmtId="0" fontId="129" fillId="52" borderId="1" xfId="0">
      <alignment horizontal="left" vertical="bottom"/>
    </xf>
    <xf numFmtId="308" fontId="71" fillId="57" borderId="74" xfId="0">
      <alignment horizontal="center" vertical="center"/>
    </xf>
    <xf numFmtId="308" fontId="71" fillId="57" borderId="64" xfId="0">
      <alignment horizontal="center" vertical="center"/>
    </xf>
    <xf numFmtId="308" fontId="71" fillId="57" borderId="68" xfId="0">
      <alignment horizontal="center" vertical="center"/>
    </xf>
    <xf numFmtId="37" fontId="128" fillId="57" borderId="16" xfId="0">
      <alignment horizontal="left" vertical="bottom"/>
    </xf>
    <xf numFmtId="37" fontId="129" fillId="52" borderId="186" xfId="0">
      <alignment horizontal="left" vertical="bottom"/>
    </xf>
    <xf numFmtId="4270" fontId="71" fillId="57" borderId="1" xfId="276">
      <alignment horizontal="left" vertical="bottom"/>
    </xf>
    <xf numFmtId="4041" fontId="71" fillId="57" borderId="16" xfId="276">
      <alignment horizontal="left" vertical="bottom"/>
    </xf>
    <xf numFmtId="4031" fontId="71" fillId="57" borderId="16" xfId="276">
      <alignment horizontal="left" vertical="bottom"/>
    </xf>
    <xf numFmtId="4270" fontId="132" fillId="57" borderId="0" xfId="276">
      <alignment horizontal="left" vertical="bottom"/>
    </xf>
    <xf numFmtId="4063" fontId="128" fillId="57" borderId="1" xfId="0">
      <alignment horizontal="left" vertical="bottom"/>
    </xf>
    <xf numFmtId="0" fontId="129" fillId="52" borderId="142" xfId="0">
      <alignment horizontal="left" vertical="bottom"/>
    </xf>
    <xf numFmtId="4273" fontId="128" fillId="57" borderId="1" xfId="0">
      <alignment horizontal="left" vertical="bottom"/>
    </xf>
    <xf numFmtId="0" fontId="101" fillId="0" borderId="16" xfId="0"/>
    <xf numFmtId="0" fontId="141" fillId="57" borderId="0" xfId="0"/>
    <xf numFmtId="4270" fontId="129" fillId="52" borderId="16" xfId="276">
      <alignment horizontal="left" vertical="bottom"/>
    </xf>
    <xf numFmtId="4270" fontId="129" fillId="57" borderId="16" xfId="276">
      <alignment horizontal="left" vertical="bottom"/>
    </xf>
    <xf numFmtId="0" fontId="130" fillId="52" borderId="16" xfId="276">
      <alignment horizontal="left" vertical="bottom"/>
    </xf>
    <xf numFmtId="0" fontId="130" fillId="57" borderId="16" xfId="276">
      <alignment horizontal="left" vertical="bottom"/>
    </xf>
    <xf numFmtId="0" fontId="129" fillId="57" borderId="1" xfId="276">
      <alignment horizontal="left" vertical="bottom"/>
    </xf>
    <xf numFmtId="4273" fontId="129" fillId="52" borderId="1" xfId="0">
      <alignment horizontal="left" vertical="bottom"/>
    </xf>
    <xf numFmtId="4270" fontId="129" fillId="57" borderId="1" xfId="276">
      <alignment horizontal="left" vertical="bottom"/>
    </xf>
    <xf numFmtId="4031" fontId="128" fillId="57" borderId="16" xfId="276">
      <alignment horizontal="left" vertical="bottom"/>
    </xf>
    <xf numFmtId="4270" fontId="129" fillId="57" borderId="47" xfId="276">
      <alignment horizontal="left" vertical="bottom"/>
    </xf>
    <xf numFmtId="0" fontId="157" fillId="0" borderId="0" xfId="0"/>
    <xf numFmtId="4270" fontId="71" fillId="57" borderId="0" xfId="276">
      <alignment horizontal="left" vertical="bottom"/>
    </xf>
    <xf numFmtId="9" fontId="71" fillId="57" borderId="0" xfId="0">
      <alignment horizontal="center" vertical="bottom"/>
    </xf>
    <xf numFmtId="308" fontId="129" fillId="52" borderId="1" xfId="0">
      <alignment horizontal="left" vertical="bottom"/>
    </xf>
    <xf numFmtId="308" fontId="71" fillId="57" borderId="1" xfId="0">
      <alignment horizontal="left" vertical="bottom"/>
    </xf>
    <xf numFmtId="0" fontId="321" fillId="57" borderId="0" xfId="0">
      <alignment horizontal="center" vertical="bottom"/>
    </xf>
    <xf numFmtId="0" fontId="124" fillId="57" borderId="0" xfId="0">
      <alignment horizontal="center" vertical="bottom"/>
    </xf>
    <xf numFmtId="0" fontId="321" fillId="57" borderId="1" xfId="0">
      <alignment horizontal="center" vertical="bottom"/>
    </xf>
    <xf numFmtId="4041" fontId="129" fillId="52" borderId="1" xfId="0">
      <alignment horizontal="left" vertical="bottom"/>
    </xf>
    <xf numFmtId="5412" fontId="129" fillId="52" borderId="1" xfId="0">
      <alignment horizontal="left" vertical="bottom"/>
    </xf>
    <xf numFmtId="10" fontId="322" fillId="52" borderId="16" xfId="0">
      <alignment horizontal="center" vertical="bottom"/>
    </xf>
    <xf numFmtId="309" fontId="131" fillId="52" borderId="16" xfId="68"/>
    <xf numFmtId="309" fontId="71" fillId="57" borderId="16" xfId="68"/>
    <xf numFmtId="10" fontId="251" fillId="59" borderId="74" xfId="276">
      <alignment horizontal="center" vertical="center"/>
    </xf>
    <xf numFmtId="4140" fontId="251" fillId="59" borderId="74" xfId="276">
      <alignment horizontal="center" vertical="center"/>
    </xf>
    <xf numFmtId="308" fontId="251" fillId="59" borderId="74" xfId="276">
      <alignment horizontal="center" vertical="center"/>
    </xf>
    <xf numFmtId="308" fontId="251" fillId="57" borderId="74" xfId="0">
      <alignment horizontal="center" vertical="center"/>
    </xf>
    <xf numFmtId="308" fontId="251" fillId="57" borderId="64" xfId="0">
      <alignment horizontal="center" vertical="center"/>
    </xf>
    <xf numFmtId="308" fontId="251" fillId="57" borderId="2" xfId="0">
      <alignment horizontal="center" vertical="center"/>
    </xf>
    <xf numFmtId="308" fontId="251" fillId="57" borderId="68" xfId="0">
      <alignment horizontal="center" vertical="center"/>
    </xf>
    <xf numFmtId="4140" fontId="71" fillId="59" borderId="74" xfId="276">
      <alignment horizontal="center" vertical="center"/>
    </xf>
    <xf numFmtId="308" fontId="71" fillId="59" borderId="74" xfId="276">
      <alignment horizontal="center" vertical="center"/>
    </xf>
    <xf numFmtId="9" fontId="129" fillId="57" borderId="0" xfId="0">
      <alignment horizontal="center" vertical="center"/>
    </xf>
    <xf numFmtId="0" fontId="124" fillId="57" borderId="0" xfId="0">
      <alignment horizontal="left" vertical="bottom"/>
    </xf>
    <xf numFmtId="9" fontId="129" fillId="57" borderId="0" xfId="0">
      <alignment horizontal="left" vertical="bottom"/>
    </xf>
    <xf numFmtId="4041" fontId="71" fillId="57" borderId="1" xfId="0">
      <alignment horizontal="left" vertical="bottom"/>
    </xf>
    <xf numFmtId="0" fontId="133" fillId="57" borderId="0" xfId="0"/>
    <xf numFmtId="10" fontId="129" fillId="57" borderId="1" xfId="0">
      <alignment horizontal="left" vertical="bottom"/>
    </xf>
    <xf numFmtId="9" fontId="129" fillId="57" borderId="1" xfId="0">
      <alignment horizontal="left" vertical="bottom"/>
    </xf>
    <xf numFmtId="4270" fontId="71" fillId="57" borderId="16" xfId="276">
      <alignment horizontal="left" vertical="bottom"/>
    </xf>
    <xf numFmtId="0" fontId="129" fillId="0" borderId="0" xfId="0"/>
    <xf numFmtId="5530" fontId="71" fillId="52" borderId="16" xfId="0">
      <alignment horizontal="left" vertical="bottom"/>
    </xf>
    <xf numFmtId="1" fontId="129" fillId="57" borderId="1" xfId="0">
      <alignment horizontal="left" vertical="bottom"/>
    </xf>
    <xf numFmtId="1" fontId="129" fillId="57" borderId="1" xfId="0">
      <alignment horizontal="left" vertical="bottom" wrapText="1"/>
    </xf>
    <xf numFmtId="308" fontId="129" fillId="57" borderId="1" xfId="0">
      <alignment horizontal="left" vertical="bottom"/>
    </xf>
    <xf numFmtId="4041" fontId="129" fillId="57" borderId="1" xfId="0">
      <alignment horizontal="left" vertical="bottom"/>
    </xf>
    <xf numFmtId="308" fontId="129" fillId="57" borderId="0" xfId="0">
      <alignment horizontal="left" vertical="bottom"/>
    </xf>
    <xf numFmtId="0" fontId="125" fillId="57" borderId="0" xfId="0">
      <alignment vertical="top"/>
    </xf>
    <xf numFmtId="0" fontId="131" fillId="57" borderId="138" xfId="0">
      <alignment horizontal="left" vertical="top"/>
    </xf>
    <xf numFmtId="0" fontId="131" fillId="57" borderId="210" xfId="0">
      <alignment horizontal="left" vertical="top"/>
    </xf>
    <xf numFmtId="0" fontId="131" fillId="57" borderId="211" xfId="0">
      <alignment horizontal="left" vertical="top"/>
    </xf>
    <xf numFmtId="0" fontId="134" fillId="57" borderId="0" xfId="0">
      <alignment vertical="top"/>
    </xf>
    <xf numFmtId="0" fontId="131" fillId="57" borderId="141" xfId="0">
      <alignment horizontal="left" vertical="top"/>
    </xf>
    <xf numFmtId="0" fontId="131" fillId="57" borderId="0" xfId="0">
      <alignment horizontal="left" vertical="top"/>
    </xf>
    <xf numFmtId="0" fontId="131" fillId="57" borderId="154" xfId="0">
      <alignment horizontal="left" vertical="top"/>
    </xf>
    <xf numFmtId="10" fontId="251" fillId="57" borderId="0" xfId="276">
      <alignment vertical="center"/>
    </xf>
    <xf numFmtId="10" fontId="0" fillId="57" borderId="0" xfId="276">
      <alignment vertical="center"/>
    </xf>
    <xf numFmtId="0" fontId="163" fillId="57" borderId="0" xfId="0">
      <alignment vertical="top"/>
    </xf>
    <xf numFmtId="0" fontId="131" fillId="57" borderId="133" xfId="0">
      <alignment horizontal="left" vertical="top"/>
    </xf>
    <xf numFmtId="0" fontId="131" fillId="57" borderId="112" xfId="0">
      <alignment horizontal="left" vertical="top"/>
    </xf>
    <xf numFmtId="0" fontId="131" fillId="57" borderId="212" xfId="0">
      <alignment horizontal="left" vertical="top"/>
    </xf>
    <xf numFmtId="10" fontId="71" fillId="59" borderId="75" xfId="276">
      <alignment horizontal="center" vertical="center"/>
    </xf>
    <xf numFmtId="4140" fontId="71" fillId="59" borderId="75" xfId="276">
      <alignment horizontal="center" vertical="center"/>
    </xf>
    <xf numFmtId="308" fontId="71" fillId="59" borderId="75" xfId="276">
      <alignment horizontal="center" vertical="center"/>
    </xf>
    <xf numFmtId="308" fontId="71" fillId="57" borderId="75" xfId="0">
      <alignment horizontal="center" vertical="center"/>
    </xf>
    <xf numFmtId="308" fontId="71" fillId="57" borderId="65" xfId="0">
      <alignment horizontal="center" vertical="center"/>
    </xf>
    <xf numFmtId="308" fontId="71" fillId="57" borderId="7" xfId="0">
      <alignment horizontal="center" vertical="center"/>
    </xf>
    <xf numFmtId="308" fontId="71" fillId="57" borderId="69" xfId="0">
      <alignment horizontal="center" vertical="center"/>
    </xf>
    <xf numFmtId="10" fontId="71" fillId="57" borderId="0" xfId="276">
      <alignment horizontal="center" vertical="bottom"/>
    </xf>
    <xf numFmtId="4140" fontId="71" fillId="57" borderId="0" xfId="276">
      <alignment horizontal="center" vertical="bottom"/>
    </xf>
    <xf numFmtId="308" fontId="71" fillId="57" borderId="0" xfId="276">
      <alignment horizontal="center" vertical="bottom"/>
    </xf>
    <xf numFmtId="308" fontId="71" fillId="57" borderId="0" xfId="0">
      <alignment horizontal="center" vertical="bottom"/>
    </xf>
    <xf numFmtId="0" fontId="135" fillId="57" borderId="81" xfId="0"/>
    <xf numFmtId="0" fontId="71" fillId="57" borderId="81" xfId="0"/>
    <xf numFmtId="10" fontId="71" fillId="57" borderId="1" xfId="276">
      <alignment horizontal="left" vertical="bottom"/>
    </xf>
    <xf numFmtId="0" fontId="175" fillId="57" borderId="0" xfId="0"/>
    <xf numFmtId="0" fontId="175" fillId="52" borderId="16" xfId="0">
      <alignment horizontal="center" vertical="bottom"/>
    </xf>
    <xf numFmtId="0" fontId="175" fillId="57" borderId="0" xfId="0">
      <alignment horizontal="center" vertical="bottom"/>
    </xf>
    <xf numFmtId="0" fontId="136" fillId="57" borderId="0" xfId="0"/>
    <xf numFmtId="4041" fontId="71" fillId="57" borderId="47" xfId="276">
      <alignment horizontal="left" vertical="bottom"/>
    </xf>
    <xf numFmtId="0" fontId="71" fillId="57" borderId="47" xfId="0"/>
    <xf numFmtId="0" fontId="137" fillId="57" borderId="0" xfId="0"/>
    <xf numFmtId="0" fontId="71" fillId="57" borderId="1" xfId="0"/>
    <xf numFmtId="0" fontId="137" fillId="57" borderId="82" xfId="0"/>
    <xf numFmtId="0" fontId="71" fillId="57" borderId="30" xfId="0"/>
    <xf numFmtId="0" fontId="0" fillId="63" borderId="30" xfId="0"/>
    <xf numFmtId="0" fontId="71" fillId="63" borderId="30" xfId="0"/>
    <xf numFmtId="0" fontId="138" fillId="57" borderId="0" xfId="0"/>
    <xf numFmtId="0" fontId="139" fillId="57" borderId="0" xfId="0"/>
    <xf numFmtId="10" fontId="71" fillId="57" borderId="0" xfId="276"/>
    <xf numFmtId="4255" fontId="0" fillId="57" borderId="0" xfId="206"/>
    <xf numFmtId="4255" fontId="0" fillId="62" borderId="2" xfId="206"/>
    <xf numFmtId="0" fontId="140" fillId="57" borderId="0" xfId="206">
      <alignment vertical="center"/>
    </xf>
    <xf numFmtId="0" fontId="319" fillId="57" borderId="0" xfId="206">
      <alignment horizontal="left" vertical="center"/>
    </xf>
    <xf numFmtId="0" fontId="89" fillId="57" borderId="0" xfId="206">
      <alignment horizontal="left" vertical="center"/>
    </xf>
    <xf numFmtId="0" fontId="0" fillId="57" borderId="0" xfId="206">
      <alignment horizontal="center" vertical="center"/>
    </xf>
    <xf numFmtId="10" fontId="140" fillId="57" borderId="0" xfId="276">
      <alignment vertical="center"/>
    </xf>
    <xf numFmtId="0" fontId="0" fillId="57" borderId="0" xfId="206"/>
    <xf numFmtId="0" fontId="0" fillId="57" borderId="0" xfId="206">
      <alignment horizontal="center" vertical="bottom" wrapText="1"/>
    </xf>
    <xf numFmtId="0" fontId="0" fillId="57" borderId="0" xfId="206">
      <alignment horizontal="left" vertical="bottom" wrapText="1"/>
    </xf>
    <xf numFmtId="10" fontId="140" fillId="57" borderId="0" xfId="0"/>
    <xf numFmtId="0" fontId="154" fillId="57" borderId="40" xfId="206">
      <alignment horizontal="center" vertical="center" wrapText="1"/>
    </xf>
    <xf numFmtId="0" fontId="0" fillId="57" borderId="0" xfId="0">
      <alignment horizontal="left" vertical="center" wrapText="1"/>
    </xf>
    <xf numFmtId="4255" fontId="0" fillId="57" borderId="0" xfId="0">
      <alignment horizontal="center" vertical="center"/>
    </xf>
    <xf numFmtId="0" fontId="154" fillId="57" borderId="14" xfId="206">
      <alignment horizontal="center" vertical="center" wrapText="1"/>
    </xf>
    <xf numFmtId="0" fontId="142" fillId="57" borderId="0" xfId="206">
      <alignment horizontal="center" vertical="center" wrapText="1"/>
    </xf>
    <xf numFmtId="0" fontId="0" fillId="57" borderId="0" xfId="0">
      <alignment horizontal="left" vertical="center" wrapText="1" indent="4"/>
    </xf>
    <xf numFmtId="0" fontId="142" fillId="57" borderId="0" xfId="206">
      <alignment horizontal="left" vertical="center" wrapText="1" indent="4"/>
    </xf>
    <xf numFmtId="0" fontId="0" fillId="57" borderId="0" xfId="206">
      <alignment horizontal="left" vertical="bottom" indent="4"/>
    </xf>
    <xf numFmtId="10" fontId="53" fillId="57" borderId="0" xfId="181">
      <alignment horizontal="left" vertical="center"/>
    </xf>
    <xf numFmtId="10" fontId="53" fillId="57" borderId="0" xfId="181">
      <alignment horizontal="center" vertical="center"/>
    </xf>
    <xf numFmtId="0" fontId="154" fillId="57" borderId="0" xfId="206">
      <alignment horizontal="center" vertical="center" wrapText="1"/>
    </xf>
    <xf numFmtId="0" fontId="350" fillId="57" borderId="0" xfId="181">
      <alignment horizontal="left" vertical="top" wrapText="1"/>
    </xf>
    <xf numFmtId="0" fontId="320" fillId="57" borderId="0" xfId="181"/>
    <xf numFmtId="10" fontId="52" fillId="57" borderId="0" xfId="181"/>
    <xf numFmtId="0" fontId="0" fillId="57" borderId="0" xfId="206">
      <alignment horizontal="left" vertical="center" wrapText="1" indent="4"/>
    </xf>
    <xf numFmtId="0" fontId="154" fillId="57" borderId="43" xfId="206">
      <alignment horizontal="center" vertical="center" wrapText="1"/>
    </xf>
    <xf numFmtId="0" fontId="89" fillId="57" borderId="0" xfId="206">
      <alignment horizontal="left" vertical="center" wrapText="1"/>
    </xf>
    <xf numFmtId="0" fontId="141" fillId="57" borderId="0" xfId="206">
      <alignment vertical="center"/>
    </xf>
    <xf numFmtId="0" fontId="154" fillId="57" borderId="30" xfId="206">
      <alignment horizontal="center" vertical="center" wrapText="1"/>
    </xf>
    <xf numFmtId="10" fontId="140" fillId="57" borderId="0" xfId="276"/>
    <xf numFmtId="0" fontId="131" fillId="57" borderId="0" xfId="206">
      <alignment horizontal="center" vertical="bottom" wrapText="1"/>
    </xf>
    <xf numFmtId="0" fontId="142" fillId="57" borderId="0" xfId="206">
      <alignment horizontal="left" vertical="center" wrapText="1"/>
    </xf>
    <xf numFmtId="0" fontId="143" fillId="57" borderId="0" xfId="206">
      <alignment horizontal="left" vertical="bottom"/>
    </xf>
    <xf numFmtId="0" fontId="0" fillId="57" borderId="0" xfId="206">
      <alignment horizontal="left" vertical="center" wrapText="1"/>
    </xf>
    <xf numFmtId="0" fontId="351" fillId="57" borderId="0" xfId="206">
      <alignment horizontal="left" vertical="center" wrapText="1"/>
    </xf>
    <xf numFmtId="10" fontId="0" fillId="57" borderId="0" xfId="276"/>
    <xf numFmtId="0" fontId="144" fillId="57" borderId="0" xfId="0"/>
    <xf numFmtId="0" fontId="131" fillId="57" borderId="0" xfId="0">
      <alignment horizontal="right" vertical="bottom"/>
    </xf>
    <xf numFmtId="0" fontId="0" fillId="57" borderId="0" xfId="0" quotePrefix="1"/>
    <xf numFmtId="0" fontId="89" fillId="59" borderId="36" xfId="0"/>
    <xf numFmtId="4063" fontId="154" fillId="52" borderId="61" xfId="0"/>
    <xf numFmtId="0" fontId="89" fillId="59" borderId="39" xfId="0"/>
    <xf numFmtId="4063" fontId="154" fillId="52" borderId="55" xfId="0"/>
    <xf numFmtId="0" fontId="195" fillId="57" borderId="0" xfId="0"/>
    <xf numFmtId="0" fontId="89" fillId="59" borderId="44" xfId="0">
      <alignment vertical="bottom" wrapText="1"/>
    </xf>
    <xf numFmtId="10" fontId="154" fillId="52" borderId="41" xfId="276"/>
    <xf numFmtId="0" fontId="0" fillId="57" borderId="48" xfId="0"/>
    <xf numFmtId="4116" fontId="131" fillId="52" borderId="51" xfId="68">
      <alignment horizontal="right" vertical="bottom" indent="1"/>
    </xf>
    <xf numFmtId="0" fontId="89" fillId="57" borderId="0" xfId="0">
      <alignment horizontal="center" vertical="center" wrapText="1"/>
    </xf>
    <xf numFmtId="4041" fontId="131" fillId="52" borderId="51" xfId="276">
      <alignment horizontal="right" vertical="bottom" indent="1"/>
    </xf>
    <xf numFmtId="0" fontId="89" fillId="59" borderId="103" xfId="0">
      <alignment horizontal="center" vertical="center" wrapText="1"/>
    </xf>
    <xf numFmtId="0" fontId="0" fillId="59" borderId="203" xfId="0">
      <alignment horizontal="center" vertical="center"/>
    </xf>
    <xf numFmtId="0" fontId="0" fillId="59" borderId="10" xfId="0">
      <alignment horizontal="center" vertical="center"/>
    </xf>
    <xf numFmtId="0" fontId="0" fillId="57" borderId="10" xfId="0">
      <alignment horizontal="center" vertical="center"/>
    </xf>
    <xf numFmtId="0" fontId="0" fillId="57" borderId="67" xfId="0">
      <alignment horizontal="center" vertical="center"/>
    </xf>
    <xf numFmtId="0" fontId="89" fillId="57" borderId="36" xfId="0">
      <alignment horizontal="center" vertical="center"/>
    </xf>
    <xf numFmtId="0" fontId="89" fillId="57" borderId="206" xfId="0">
      <alignment horizontal="center" vertical="center"/>
    </xf>
    <xf numFmtId="0" fontId="0" fillId="57" borderId="205" xfId="0">
      <alignment horizontal="center" vertical="center"/>
    </xf>
    <xf numFmtId="0" fontId="0" fillId="57" borderId="206" xfId="0">
      <alignment horizontal="center" vertical="center"/>
    </xf>
    <xf numFmtId="0" fontId="0" fillId="57" borderId="61" xfId="0">
      <alignment horizontal="center" vertical="center"/>
    </xf>
    <xf numFmtId="0" fontId="89" fillId="59" borderId="36" xfId="0">
      <alignment horizontal="center" vertical="center"/>
    </xf>
    <xf numFmtId="0" fontId="89" fillId="59" borderId="206" xfId="0">
      <alignment horizontal="center" vertical="center"/>
    </xf>
    <xf numFmtId="4447" fontId="131" fillId="52" borderId="51" xfId="0">
      <alignment horizontal="right" vertical="bottom" indent="1"/>
    </xf>
    <xf numFmtId="0" fontId="89" fillId="59" borderId="214" xfId="0">
      <alignment horizontal="center" vertical="center" wrapText="1"/>
    </xf>
    <xf numFmtId="0" fontId="0" fillId="59" borderId="52" xfId="0">
      <alignment horizontal="center" vertical="center"/>
    </xf>
    <xf numFmtId="0" fontId="0" fillId="59" borderId="2" xfId="0">
      <alignment horizontal="center" vertical="center"/>
    </xf>
    <xf numFmtId="0" fontId="0" fillId="57" borderId="68" xfId="0">
      <alignment horizontal="center" vertical="center"/>
    </xf>
    <xf numFmtId="0" fontId="89" fillId="57" borderId="37" xfId="0">
      <alignment horizontal="center" vertical="center"/>
    </xf>
    <xf numFmtId="0" fontId="89" fillId="57" borderId="51" xfId="0">
      <alignment horizontal="center" vertical="center"/>
    </xf>
    <xf numFmtId="0" fontId="0" fillId="57" borderId="50" xfId="0">
      <alignment horizontal="center" vertical="center"/>
    </xf>
    <xf numFmtId="0" fontId="0" fillId="57" borderId="51" xfId="0">
      <alignment horizontal="center" vertical="center"/>
    </xf>
    <xf numFmtId="0" fontId="0" fillId="57" borderId="38" xfId="0">
      <alignment horizontal="center" vertical="center"/>
    </xf>
    <xf numFmtId="0" fontId="89" fillId="59" borderId="37" xfId="0">
      <alignment horizontal="center" vertical="center"/>
    </xf>
    <xf numFmtId="0" fontId="89" fillId="59" borderId="51" xfId="0">
      <alignment horizontal="center" vertical="center"/>
    </xf>
    <xf numFmtId="0" fontId="0" fillId="59" borderId="204" xfId="0">
      <alignment horizontal="center" vertical="center"/>
    </xf>
    <xf numFmtId="0" fontId="0" fillId="59" borderId="7" xfId="0">
      <alignment horizontal="center" vertical="center"/>
    </xf>
    <xf numFmtId="0" fontId="0" fillId="57" borderId="7" xfId="0">
      <alignment horizontal="center" vertical="center"/>
    </xf>
    <xf numFmtId="0" fontId="0" fillId="57" borderId="69" xfId="0">
      <alignment horizontal="center" vertical="center"/>
    </xf>
    <xf numFmtId="0" fontId="89" fillId="59" borderId="201" xfId="0">
      <alignment horizontal="center" vertical="center" wrapText="1"/>
    </xf>
    <xf numFmtId="0" fontId="89" fillId="57" borderId="102" xfId="0">
      <alignment horizontal="center" vertical="center"/>
    </xf>
    <xf numFmtId="0" fontId="89" fillId="57" borderId="49" xfId="0">
      <alignment horizontal="center" vertical="center"/>
    </xf>
    <xf numFmtId="0" fontId="0" fillId="57" borderId="45" xfId="0">
      <alignment horizontal="center" vertical="center"/>
    </xf>
    <xf numFmtId="0" fontId="0" fillId="57" borderId="49" xfId="0">
      <alignment horizontal="center" vertical="center"/>
    </xf>
    <xf numFmtId="0" fontId="0" fillId="57" borderId="86" xfId="0">
      <alignment horizontal="center" vertical="center"/>
    </xf>
    <xf numFmtId="0" fontId="89" fillId="59" borderId="102" xfId="0">
      <alignment horizontal="center" vertical="center"/>
    </xf>
    <xf numFmtId="0" fontId="89" fillId="59" borderId="49" xfId="0">
      <alignment horizontal="center" vertical="center"/>
    </xf>
    <xf numFmtId="0" fontId="0" fillId="59" borderId="67" xfId="0">
      <alignment horizontal="center" vertical="center"/>
    </xf>
    <xf numFmtId="0" fontId="89" fillId="57" borderId="213" xfId="0">
      <alignment horizontal="center" vertical="center"/>
    </xf>
    <xf numFmtId="0" fontId="89" fillId="57" borderId="48" xfId="0">
      <alignment horizontal="center" vertical="center"/>
    </xf>
    <xf numFmtId="0" fontId="0" fillId="57" borderId="46" xfId="0">
      <alignment horizontal="center" vertical="center"/>
    </xf>
    <xf numFmtId="0" fontId="0" fillId="57" borderId="48" xfId="0">
      <alignment horizontal="center" vertical="center"/>
    </xf>
    <xf numFmtId="0" fontId="0" fillId="57" borderId="89" xfId="0">
      <alignment horizontal="center" vertical="center"/>
    </xf>
    <xf numFmtId="0" fontId="89" fillId="59" borderId="213" xfId="0">
      <alignment horizontal="center" vertical="center"/>
    </xf>
    <xf numFmtId="0" fontId="89" fillId="59" borderId="48" xfId="0">
      <alignment horizontal="center" vertical="center"/>
    </xf>
    <xf numFmtId="0" fontId="89" fillId="57" borderId="39" xfId="0">
      <alignment horizontal="center" vertical="center"/>
    </xf>
    <xf numFmtId="0" fontId="89" fillId="57" borderId="181" xfId="0">
      <alignment horizontal="center" vertical="center"/>
    </xf>
    <xf numFmtId="0" fontId="0" fillId="57" borderId="207" xfId="0">
      <alignment horizontal="center" vertical="center"/>
    </xf>
    <xf numFmtId="0" fontId="0" fillId="57" borderId="181" xfId="0">
      <alignment horizontal="center" vertical="center"/>
    </xf>
    <xf numFmtId="0" fontId="0" fillId="57" borderId="55" xfId="0">
      <alignment horizontal="center" vertical="center"/>
    </xf>
    <xf numFmtId="0" fontId="89" fillId="59" borderId="39" xfId="0">
      <alignment horizontal="center" vertical="center"/>
    </xf>
    <xf numFmtId="0" fontId="89" fillId="59" borderId="181" xfId="0">
      <alignment horizontal="center" vertical="center"/>
    </xf>
    <xf numFmtId="0" fontId="167" fillId="0" borderId="2" xfId="206">
      <alignment vertical="bottom" wrapText="1"/>
    </xf>
    <xf numFmtId="0" fontId="167" fillId="0" borderId="2" xfId="206">
      <alignment horizontal="right" vertical="bottom" wrapText="1"/>
    </xf>
    <xf numFmtId="0" fontId="167" fillId="0" borderId="2" xfId="0">
      <alignment vertical="bottom" wrapText="1"/>
    </xf>
    <xf numFmtId="0" fontId="167" fillId="0" borderId="2" xfId="206"/>
    <xf numFmtId="0" fontId="165" fillId="0" borderId="2" xfId="206"/>
    <xf numFmtId="0" fontId="165" fillId="0" borderId="2" xfId="206">
      <alignment horizontal="right" vertical="bottom"/>
    </xf>
    <xf numFmtId="49" fontId="165" fillId="0" borderId="2" xfId="206"/>
    <xf numFmtId="0" fontId="165" fillId="0" borderId="2" xfId="0"/>
    <xf numFmtId="0" fontId="120" fillId="0" borderId="0" xfId="206" quotePrefix="1"/>
    <xf numFmtId="1" fontId="165" fillId="0" borderId="2" xfId="206">
      <alignment horizontal="right" vertical="bottom"/>
    </xf>
    <xf numFmtId="243" fontId="165" fillId="0" borderId="2" xfId="206">
      <alignment horizontal="right" vertical="bottom"/>
    </xf>
    <xf numFmtId="58" fontId="165" fillId="0" borderId="2" xfId="206">
      <alignment horizontal="right" vertical="bottom"/>
    </xf>
    <xf numFmtId="4471" fontId="165" fillId="0" borderId="2" xfId="206">
      <alignment horizontal="right" vertical="bottom"/>
    </xf>
    <xf numFmtId="4473" fontId="165" fillId="0" borderId="2" xfId="206">
      <alignment horizontal="right" vertical="bottom"/>
    </xf>
    <xf numFmtId="2" fontId="165" fillId="0" borderId="2" xfId="206">
      <alignment horizontal="right" vertical="bottom"/>
    </xf>
    <xf numFmtId="0" fontId="120" fillId="0" borderId="0" xfId="206"/>
    <xf numFmtId="0" fontId="120" fillId="0" borderId="0" xfId="206">
      <alignment horizontal="right" vertical="bottom"/>
    </xf>
    <xf numFmtId="1" fontId="165" fillId="0" borderId="2" xfId="206"/>
    <xf numFmtId="243" fontId="165" fillId="0" borderId="2" xfId="206"/>
    <xf numFmtId="58" fontId="165" fillId="0" borderId="2" xfId="206"/>
    <xf numFmtId="4471" fontId="165" fillId="0" borderId="2" xfId="206"/>
    <xf numFmtId="4473" fontId="165" fillId="0" borderId="2" xfId="206"/>
    <xf numFmtId="2" fontId="165" fillId="0" borderId="2" xfId="206"/>
    <xf numFmtId="0" fontId="29" fillId="0" borderId="0" xfId="0"/>
    <xf numFmtId="0" fontId="160" fillId="0" borderId="44" xfId="0">
      <alignment vertical="bottom" wrapText="1"/>
    </xf>
    <xf numFmtId="0" fontId="160" fillId="0" borderId="14" xfId="0">
      <alignment vertical="bottom" wrapText="1"/>
    </xf>
    <xf numFmtId="0" fontId="160" fillId="0" borderId="14" xfId="0"/>
    <xf numFmtId="0" fontId="29" fillId="0" borderId="14" xfId="0"/>
    <xf numFmtId="0" fontId="29" fillId="0" borderId="14" xfId="0">
      <alignment vertical="bottom" wrapText="1"/>
    </xf>
    <xf numFmtId="49" fontId="29" fillId="15" borderId="14" xfId="0">
      <alignment vertical="bottom" wrapText="1"/>
    </xf>
    <xf numFmtId="0" fontId="29" fillId="15" borderId="14" xfId="0">
      <alignment vertical="bottom" wrapText="1"/>
    </xf>
    <xf numFmtId="0" fontId="29" fillId="15" borderId="41" xfId="0">
      <alignment vertical="bottom" wrapText="1"/>
    </xf>
    <xf numFmtId="0" fontId="160" fillId="54" borderId="14" xfId="0">
      <alignment vertical="bottom" wrapText="1"/>
    </xf>
    <xf numFmtId="0" fontId="160" fillId="46" borderId="14" xfId="0">
      <alignment vertical="bottom" wrapText="1"/>
    </xf>
    <xf numFmtId="0" fontId="160" fillId="0" borderId="0" xfId="0">
      <alignment vertical="bottom" wrapText="1"/>
    </xf>
    <xf numFmtId="0" fontId="29" fillId="0" borderId="0" xfId="0">
      <alignment vertical="bottom" wrapText="1"/>
    </xf>
    <xf numFmtId="0" fontId="29" fillId="54" borderId="44" xfId="0">
      <alignment vertical="bottom" wrapText="1"/>
    </xf>
    <xf numFmtId="0" fontId="29" fillId="54" borderId="14" xfId="0">
      <alignment vertical="bottom" wrapText="1"/>
    </xf>
    <xf numFmtId="0" fontId="161" fillId="0" borderId="14" xfId="0">
      <alignment vertical="bottom" wrapText="1"/>
    </xf>
    <xf numFmtId="1" fontId="160" fillId="0" borderId="14" xfId="0">
      <alignment vertical="bottom" wrapText="1"/>
    </xf>
    <xf numFmtId="0" fontId="162" fillId="0" borderId="14" xfId="0">
      <alignment vertical="bottom" wrapText="1"/>
    </xf>
    <xf numFmtId="0" fontId="29" fillId="0" borderId="41" xfId="0">
      <alignment vertical="bottom" wrapText="1"/>
    </xf>
    <xf numFmtId="0" fontId="29" fillId="54" borderId="41" xfId="0">
      <alignment vertical="bottom" wrapText="1"/>
    </xf>
    <xf numFmtId="0" fontId="29" fillId="15" borderId="0" xfId="0">
      <alignment vertical="bottom" wrapText="1"/>
    </xf>
    <xf numFmtId="0" fontId="17" fillId="64" borderId="0" xfId="205"/>
    <xf numFmtId="0" fontId="17" fillId="37" borderId="0" xfId="205"/>
    <xf numFmtId="0" fontId="17" fillId="37" borderId="0" xfId="205">
      <alignment vertical="bottom" wrapText="1"/>
    </xf>
    <xf numFmtId="1" fontId="17" fillId="64" borderId="0" xfId="205"/>
    <xf numFmtId="1" fontId="17" fillId="64" borderId="0" xfId="205">
      <alignment horizontal="right" vertical="bottom"/>
    </xf>
    <xf numFmtId="4" fontId="17" fillId="64" borderId="0" xfId="205"/>
    <xf numFmtId="58" fontId="17" fillId="64" borderId="0" xfId="205"/>
    <xf numFmtId="4" fontId="17" fillId="42" borderId="0" xfId="0"/>
    <xf numFmtId="3" fontId="17" fillId="64" borderId="0" xfId="205"/>
    <xf numFmtId="58" fontId="17" fillId="42" borderId="0" xfId="205"/>
    <xf numFmtId="0" fontId="17" fillId="42" borderId="0" xfId="0"/>
    <xf numFmtId="1" fontId="17" fillId="42" borderId="0" xfId="0"/>
    <xf numFmtId="0" fontId="17" fillId="42" borderId="0" xfId="0">
      <alignment horizontal="left" vertical="top"/>
    </xf>
    <xf numFmtId="49" fontId="17" fillId="42" borderId="0" xfId="0"/>
    <xf numFmtId="49" fontId="17" fillId="42" borderId="0" xfId="205"/>
    <xf numFmtId="0" fontId="17" fillId="42" borderId="0" xfId="205">
      <alignment vertical="bottom" wrapText="1"/>
    </xf>
    <xf numFmtId="0" fontId="17" fillId="42" borderId="0" xfId="205">
      <alignment horizontal="center" vertical="bottom"/>
    </xf>
    <xf numFmtId="0" fontId="17" fillId="0" borderId="0" xfId="0"/>
    <xf numFmtId="58" fontId="17" fillId="0" borderId="0" xfId="0"/>
    <xf numFmtId="4" fontId="17" fillId="0" borderId="0" xfId="0"/>
    <xf numFmtId="4" fontId="17" fillId="21" borderId="0" xfId="205"/>
    <xf numFmtId="1" fontId="17" fillId="21" borderId="0" xfId="0"/>
    <xf numFmtId="0" fontId="17" fillId="0" borderId="0" xfId="0">
      <alignment horizontal="left" vertical="top"/>
    </xf>
    <xf numFmtId="49" fontId="17" fillId="0" borderId="0" xfId="0"/>
    <xf numFmtId="0" fontId="17" fillId="0" borderId="0" xfId="205">
      <alignment horizontal="center" vertical="bottom"/>
    </xf>
    <xf numFmtId="1" fontId="17" fillId="0" borderId="0" xfId="0"/>
    <xf numFmtId="0" fontId="94" fillId="0" borderId="0" xfId="0"/>
    <xf numFmtId="0" fontId="17" fillId="0" borderId="0" xfId="0">
      <alignment horizontal="right" vertical="bottom"/>
    </xf>
    <xf numFmtId="1163" fontId="17" fillId="0" borderId="0" xfId="0"/>
    <xf numFmtId="0" fontId="160" fillId="0" borderId="44" xfId="205">
      <alignment vertical="center"/>
    </xf>
    <xf numFmtId="0" fontId="160" fillId="0" borderId="14" xfId="205">
      <alignment vertical="center"/>
    </xf>
    <xf numFmtId="0" fontId="29" fillId="0" borderId="14" xfId="205">
      <alignment vertical="center"/>
    </xf>
    <xf numFmtId="0" fontId="160" fillId="0" borderId="14" xfId="205">
      <alignment vertical="center" wrapText="1"/>
    </xf>
    <xf numFmtId="49" fontId="29" fillId="0" borderId="14" xfId="205">
      <alignment vertical="center"/>
    </xf>
    <xf numFmtId="49" fontId="29" fillId="0" borderId="14" xfId="205">
      <alignment vertical="center" wrapText="1"/>
    </xf>
    <xf numFmtId="49" fontId="29" fillId="0" borderId="41" xfId="205">
      <alignment vertical="center" wrapText="1"/>
    </xf>
    <xf numFmtId="0" fontId="29" fillId="0" borderId="84" xfId="205">
      <alignment vertical="center" wrapText="1"/>
    </xf>
    <xf numFmtId="58" fontId="17" fillId="0" borderId="0" xfId="205">
      <alignment vertical="center" wrapText="1"/>
    </xf>
    <xf numFmtId="0" fontId="17" fillId="59" borderId="0" xfId="205">
      <alignment vertical="center"/>
    </xf>
    <xf numFmtId="0" fontId="17" fillId="0" borderId="0" xfId="205">
      <alignment vertical="center"/>
    </xf>
    <xf numFmtId="0" fontId="17" fillId="0" borderId="0" xfId="205">
      <alignment vertical="center" wrapText="1"/>
    </xf>
    <xf numFmtId="49" fontId="54" fillId="59" borderId="0" xfId="183">
      <alignment vertical="center"/>
    </xf>
    <xf numFmtId="2" fontId="17" fillId="0" borderId="0" xfId="205">
      <alignment vertical="center"/>
    </xf>
    <xf numFmtId="2" fontId="17" fillId="59" borderId="0" xfId="205">
      <alignment vertical="center"/>
    </xf>
    <xf numFmtId="49" fontId="17" fillId="59" borderId="0" xfId="205">
      <alignment vertical="center"/>
    </xf>
    <xf numFmtId="0" fontId="254" fillId="68" borderId="0" xfId="0"/>
    <xf numFmtId="0" fontId="101" fillId="68" borderId="0" xfId="0"/>
    <xf numFmtId="0" fontId="3" fillId="70" borderId="2" xfId="0">
      <alignment horizontal="right" vertical="bottom" indent="1"/>
    </xf>
    <xf numFmtId="5003" fontId="0" fillId="57" borderId="2" xfId="0">
      <alignment horizontal="center" vertical="bottom"/>
      <protection locked="0"/>
    </xf>
    <xf numFmtId="0" fontId="140" fillId="68" borderId="0" xfId="0"/>
    <xf numFmtId="0" fontId="3" fillId="70" borderId="9" xfId="0">
      <alignment horizontal="center" vertical="bottom"/>
    </xf>
    <xf numFmtId="0" fontId="3" fillId="70" borderId="53" xfId="0">
      <alignment horizontal="center" vertical="bottom"/>
    </xf>
    <xf numFmtId="0" fontId="3" fillId="70" borderId="2" xfId="0">
      <alignment horizontal="center" vertical="bottom"/>
    </xf>
    <xf numFmtId="0" fontId="183" fillId="57" borderId="2" xfId="0">
      <alignment vertical="center" wrapText="1"/>
    </xf>
    <xf numFmtId="58" fontId="140" fillId="0" borderId="2" xfId="0">
      <alignment vertical="center" wrapText="1"/>
      <protection locked="0"/>
    </xf>
    <xf numFmtId="58" fontId="140" fillId="57" borderId="2" xfId="0">
      <alignment vertical="center" wrapText="1"/>
      <protection locked="0"/>
    </xf>
    <xf numFmtId="0" fontId="140" fillId="68" borderId="0" xfId="0">
      <alignment horizontal="left" vertical="bottom"/>
    </xf>
    <xf numFmtId="0" fontId="140" fillId="0" borderId="2" xfId="0">
      <alignment vertical="center" wrapText="1"/>
      <protection locked="0"/>
    </xf>
    <xf numFmtId="4051" fontId="140" fillId="57" borderId="2" xfId="0">
      <alignment vertical="center" wrapText="1"/>
      <protection locked="0"/>
    </xf>
    <xf numFmtId="4051" fontId="140" fillId="57" borderId="2" xfId="276">
      <alignment vertical="center" wrapText="1"/>
      <protection locked="0"/>
    </xf>
    <xf numFmtId="0" fontId="183" fillId="57" borderId="11" xfId="0">
      <alignment vertical="center" wrapText="1"/>
    </xf>
    <xf numFmtId="0" fontId="183" fillId="57" borderId="73" xfId="0">
      <alignment vertical="center" wrapText="1"/>
    </xf>
    <xf numFmtId="0" fontId="140" fillId="0" borderId="53" xfId="0">
      <alignment vertical="center" wrapText="1"/>
      <protection locked="0"/>
    </xf>
    <xf numFmtId="0" fontId="183" fillId="57" borderId="74" xfId="0">
      <alignment vertical="center" wrapText="1"/>
    </xf>
    <xf numFmtId="0" fontId="183" fillId="57" borderId="75" xfId="0">
      <alignment vertical="center" wrapText="1"/>
    </xf>
    <xf numFmtId="0" fontId="183" fillId="60" borderId="2" xfId="0">
      <alignment vertical="center" wrapText="1"/>
    </xf>
    <xf numFmtId="0" fontId="172" fillId="0" borderId="0" xfId="206"/>
    <xf numFmtId="4474" fontId="165" fillId="0" borderId="0" xfId="206">
      <alignment horizontal="center" vertical="bottom"/>
    </xf>
    <xf numFmtId="0" fontId="3" fillId="70" borderId="0" xfId="0"/>
    <xf numFmtId="0" fontId="3" fillId="70" borderId="51" xfId="0"/>
    <xf numFmtId="0" fontId="191" fillId="70" borderId="46" xfId="0"/>
    <xf numFmtId="0" fontId="3" fillId="70" borderId="47" xfId="0"/>
    <xf numFmtId="0" fontId="3" fillId="70" borderId="48" xfId="0">
      <alignment horizontal="center" vertical="bottom"/>
    </xf>
    <xf numFmtId="0" fontId="0" fillId="60" borderId="0" xfId="0"/>
    <xf numFmtId="0" fontId="3" fillId="70" borderId="0" xfId="0">
      <alignment horizontal="left" vertical="bottom"/>
    </xf>
    <xf numFmtId="0" fontId="329" fillId="70" borderId="9" xfId="0">
      <alignment horizontal="right" vertical="center"/>
    </xf>
    <xf numFmtId="0" fontId="329" fillId="70" borderId="50" xfId="0">
      <alignment horizontal="left" vertical="center" indent="1"/>
    </xf>
    <xf numFmtId="0" fontId="329" fillId="70" borderId="0" xfId="0">
      <alignment horizontal="left" vertical="center" indent="1"/>
    </xf>
    <xf numFmtId="0" fontId="329" fillId="70" borderId="51" xfId="0">
      <alignment horizontal="left" vertical="center" indent="1"/>
    </xf>
    <xf numFmtId="0" fontId="177" fillId="70" borderId="45" xfId="0"/>
    <xf numFmtId="0" fontId="177" fillId="70" borderId="1" xfId="0"/>
    <xf numFmtId="0" fontId="3" fillId="70" borderId="49" xfId="0">
      <alignment horizontal="center" vertical="bottom"/>
    </xf>
    <xf numFmtId="0" fontId="238" fillId="68" borderId="0" xfId="0" quotePrefix="1"/>
    <xf numFmtId="0" fontId="0" fillId="68" borderId="0" xfId="0" quotePrefix="1">
      <alignment horizontal="left" vertical="bottom"/>
    </xf>
    <xf numFmtId="0" fontId="3" fillId="70" borderId="1" xfId="0">
      <alignment horizontal="center" vertical="bottom"/>
    </xf>
    <xf numFmtId="0" fontId="3" fillId="106" borderId="46" xfId="0"/>
    <xf numFmtId="0" fontId="3" fillId="106" borderId="47" xfId="0"/>
    <xf numFmtId="0" fontId="3" fillId="106" borderId="47" xfId="0">
      <alignment horizontal="center" vertical="bottom"/>
    </xf>
    <xf numFmtId="0" fontId="0" fillId="60" borderId="0" xfId="0">
      <alignment horizontal="left" vertical="bottom" indent="1"/>
    </xf>
    <xf numFmtId="0" fontId="3" fillId="70" borderId="2" xfId="0">
      <alignment horizontal="left" vertical="bottom"/>
    </xf>
    <xf numFmtId="0" fontId="253" fillId="99" borderId="0" xfId="0" quotePrefix="1">
      <alignment horizontal="left" vertical="bottom"/>
    </xf>
    <xf numFmtId="0" fontId="0" fillId="57" borderId="2" xfId="0">
      <alignment horizontal="left" vertical="bottom" indent="1"/>
    </xf>
    <xf numFmtId="1" fontId="0" fillId="57" borderId="2" xfId="0">
      <alignment horizontal="center" vertical="bottom"/>
    </xf>
    <xf numFmtId="0" fontId="0" fillId="71" borderId="51" xfId="0">
      <alignment horizontal="center" vertical="bottom"/>
    </xf>
    <xf numFmtId="0" fontId="0" fillId="71" borderId="0" xfId="0">
      <alignment horizontal="center" vertical="bottom"/>
    </xf>
    <xf numFmtId="0" fontId="0" fillId="57" borderId="2" xfId="0">
      <alignment horizontal="left" vertical="bottom"/>
    </xf>
    <xf numFmtId="4031" fontId="0" fillId="57" borderId="2" xfId="276">
      <alignment horizontal="center" vertical="bottom"/>
    </xf>
    <xf numFmtId="1" fontId="0" fillId="71" borderId="51" xfId="0">
      <alignment horizontal="center" vertical="bottom"/>
    </xf>
    <xf numFmtId="0" fontId="0" fillId="12" borderId="2" xfId="0">
      <alignment horizontal="left" vertical="bottom" indent="1"/>
    </xf>
    <xf numFmtId="0" fontId="0" fillId="71" borderId="49" xfId="0">
      <alignment horizontal="center" vertical="bottom"/>
    </xf>
    <xf numFmtId="0" fontId="0" fillId="57" borderId="2" xfId="0" quotePrefix="1">
      <alignment horizontal="left" vertical="bottom"/>
    </xf>
    <xf numFmtId="4063" fontId="0" fillId="71" borderId="51" xfId="68">
      <alignment horizontal="center" vertical="bottom"/>
    </xf>
    <xf numFmtId="4063" fontId="0" fillId="71" borderId="0" xfId="68">
      <alignment horizontal="center" vertical="bottom"/>
    </xf>
    <xf numFmtId="1" fontId="0" fillId="57" borderId="2" xfId="0" quotePrefix="1">
      <alignment horizontal="center" vertical="bottom"/>
    </xf>
    <xf numFmtId="0" fontId="101" fillId="57" borderId="2" xfId="0"/>
    <xf numFmtId="9" fontId="0" fillId="57" borderId="2" xfId="0">
      <alignment horizontal="center" vertical="bottom"/>
    </xf>
    <xf numFmtId="4473" fontId="0" fillId="57" borderId="2" xfId="0" quotePrefix="1">
      <alignment horizontal="center" vertical="bottom"/>
    </xf>
    <xf numFmtId="0" fontId="0" fillId="32" borderId="2" xfId="0"/>
    <xf numFmtId="10" fontId="0" fillId="71" borderId="49" xfId="276">
      <alignment horizontal="center" vertical="bottom"/>
    </xf>
    <xf numFmtId="4090" fontId="0" fillId="71" borderId="51" xfId="68">
      <alignment horizontal="center" vertical="bottom"/>
    </xf>
    <xf numFmtId="0" fontId="272" fillId="68" borderId="2" xfId="0">
      <alignment horizontal="left" vertical="bottom" indent="1"/>
    </xf>
    <xf numFmtId="0" fontId="272" fillId="68" borderId="2" xfId="0">
      <alignment horizontal="center" vertical="bottom"/>
    </xf>
    <xf numFmtId="4041" fontId="0" fillId="71" borderId="49" xfId="276">
      <alignment horizontal="center" vertical="bottom"/>
    </xf>
    <xf numFmtId="10" fontId="0" fillId="57" borderId="2" xfId="0">
      <alignment horizontal="left" vertical="bottom"/>
    </xf>
    <xf numFmtId="0" fontId="240" fillId="57" borderId="2" xfId="0" quotePrefix="1">
      <alignment horizontal="left" vertical="bottom"/>
    </xf>
    <xf numFmtId="0" fontId="0" fillId="4" borderId="2" xfId="0">
      <alignment horizontal="left" vertical="bottom" indent="1"/>
    </xf>
    <xf numFmtId="1" fontId="0" fillId="4" borderId="2" xfId="0">
      <alignment horizontal="center" vertical="bottom"/>
    </xf>
    <xf numFmtId="4041" fontId="0" fillId="71" borderId="51" xfId="276">
      <alignment horizontal="center" vertical="bottom"/>
    </xf>
    <xf numFmtId="324" fontId="0" fillId="57" borderId="2" xfId="0" quotePrefix="1">
      <alignment horizontal="left" vertical="bottom"/>
    </xf>
    <xf numFmtId="0" fontId="0" fillId="52" borderId="0" xfId="0"/>
    <xf numFmtId="0" fontId="0" fillId="22" borderId="2" xfId="0">
      <alignment horizontal="left" vertical="bottom" indent="1"/>
    </xf>
    <xf numFmtId="10" fontId="0" fillId="71" borderId="51" xfId="276">
      <alignment horizontal="center" vertical="bottom"/>
    </xf>
    <xf numFmtId="10" fontId="240" fillId="57" borderId="2" xfId="0" quotePrefix="1">
      <alignment horizontal="left" vertical="bottom"/>
    </xf>
    <xf numFmtId="10" fontId="0" fillId="57" borderId="2" xfId="0" quotePrefix="1">
      <alignment horizontal="left" vertical="bottom"/>
    </xf>
    <xf numFmtId="9" fontId="0" fillId="57" borderId="2" xfId="0">
      <alignment horizontal="left" vertical="bottom"/>
    </xf>
    <xf numFmtId="4575" fontId="0" fillId="71" borderId="51" xfId="0">
      <alignment horizontal="center" vertical="bottom"/>
    </xf>
    <xf numFmtId="0" fontId="150" fillId="57" borderId="2" xfId="0">
      <alignment horizontal="left" vertical="bottom" indent="1"/>
    </xf>
    <xf numFmtId="4031" fontId="0" fillId="71" borderId="51" xfId="276">
      <alignment horizontal="center" vertical="bottom"/>
    </xf>
    <xf numFmtId="243" fontId="0" fillId="71" borderId="51" xfId="68">
      <alignment horizontal="center" vertical="bottom"/>
    </xf>
    <xf numFmtId="0" fontId="190" fillId="57" borderId="45" xfId="0"/>
    <xf numFmtId="0" fontId="0" fillId="71" borderId="50" xfId="0">
      <alignment horizontal="center" vertical="bottom"/>
    </xf>
    <xf numFmtId="0" fontId="0" fillId="71" borderId="45" xfId="0">
      <alignment horizontal="center" vertical="bottom"/>
    </xf>
    <xf numFmtId="324" fontId="0" fillId="57" borderId="2" xfId="0">
      <alignment horizontal="left" vertical="bottom"/>
    </xf>
    <xf numFmtId="0" fontId="0" fillId="68" borderId="0" xfId="0">
      <alignment horizontal="left" vertical="bottom"/>
    </xf>
    <xf numFmtId="0" fontId="148" fillId="59" borderId="0" xfId="0">
      <alignment horizontal="left" vertical="bottom"/>
    </xf>
    <xf numFmtId="0" fontId="148" fillId="57" borderId="0" xfId="0">
      <alignment vertical="top"/>
    </xf>
    <xf numFmtId="0" fontId="148" fillId="59" borderId="0" xfId="0">
      <alignment horizontal="center" vertical="center"/>
    </xf>
    <xf numFmtId="0" fontId="148" fillId="57" borderId="2" xfId="0">
      <alignment vertical="top" wrapText="1"/>
    </xf>
    <xf numFmtId="0" fontId="148" fillId="57" borderId="50" xfId="0">
      <alignment vertical="top" wrapText="1"/>
    </xf>
    <xf numFmtId="0" fontId="148" fillId="57" borderId="0" xfId="0">
      <alignment vertical="top" wrapText="1"/>
    </xf>
    <xf numFmtId="0" fontId="148" fillId="59" borderId="0" xfId="0">
      <alignment horizontal="center" vertical="top"/>
    </xf>
    <xf numFmtId="0" fontId="148" fillId="57" borderId="16" xfId="0">
      <alignment vertical="top" wrapText="1"/>
    </xf>
    <xf numFmtId="0" fontId="148" fillId="57" borderId="1" xfId="0">
      <alignment vertical="top" wrapText="1"/>
    </xf>
    <xf numFmtId="0" fontId="212" fillId="57" borderId="2" xfId="0">
      <alignment vertical="center"/>
    </xf>
    <xf numFmtId="0" fontId="148" fillId="57" borderId="2" xfId="0">
      <alignment vertical="bottom" wrapText="1"/>
    </xf>
    <xf numFmtId="0" fontId="148" fillId="57" borderId="50" xfId="0"/>
    <xf numFmtId="0" fontId="148" fillId="57" borderId="2" xfId="0">
      <alignment vertical="top"/>
    </xf>
    <xf numFmtId="0" fontId="148" fillId="57" borderId="50" xfId="0">
      <alignment vertical="top"/>
    </xf>
    <xf numFmtId="0" fontId="148" fillId="59" borderId="0" xfId="0">
      <alignment horizontal="center" vertical="bottom"/>
    </xf>
    <xf numFmtId="0" fontId="0" fillId="0" borderId="1" xfId="0">
      <alignment horizontal="center" vertical="bottom"/>
    </xf>
    <xf numFmtId="0" fontId="3" fillId="70" borderId="0" xfId="0">
      <alignment vertical="bottom" wrapText="1"/>
    </xf>
    <xf numFmtId="0" fontId="0" fillId="0" borderId="0" xfId="0">
      <alignment horizontal="center" vertical="bottom" wrapText="1"/>
    </xf>
    <xf numFmtId="0" fontId="0" fillId="0" borderId="1" xfId="0">
      <alignment horizontal="center" vertical="bottom" wrapText="1"/>
    </xf>
    <xf numFmtId="0" fontId="161" fillId="0" borderId="0" xfId="0">
      <alignment vertical="bottom" wrapText="1"/>
    </xf>
    <xf numFmtId="0" fontId="162" fillId="0" borderId="0" xfId="0">
      <alignment vertical="bottom" wrapText="1"/>
    </xf>
    <xf numFmtId="0" fontId="161" fillId="0" borderId="14" xfId="0"/>
    <xf numFmtId="0" fontId="3" fillId="70" borderId="11" xfId="0"/>
    <xf numFmtId="0" fontId="186" fillId="70" borderId="1" xfId="0">
      <alignment horizontal="center" vertical="center"/>
    </xf>
    <xf numFmtId="0" fontId="186" fillId="70" borderId="0" xfId="0">
      <alignment horizontal="center" vertical="center"/>
    </xf>
    <xf numFmtId="0" fontId="186" fillId="70" borderId="0" xfId="0">
      <alignment horizontal="center" vertical="center" wrapText="1"/>
    </xf>
    <xf numFmtId="0" fontId="186" fillId="70" borderId="2" xfId="0">
      <alignment horizontal="center" vertical="center" wrapText="1"/>
    </xf>
    <xf numFmtId="0" fontId="186" fillId="70" borderId="1" xfId="0">
      <alignment horizontal="center" vertical="center" wrapText="1"/>
    </xf>
    <xf numFmtId="0" fontId="186" fillId="70" borderId="51" xfId="0">
      <alignment horizontal="center" vertical="center" wrapText="1"/>
    </xf>
    <xf numFmtId="0" fontId="3" fillId="70" borderId="9" xfId="0">
      <alignment horizontal="center" vertical="center"/>
    </xf>
    <xf numFmtId="0" fontId="3" fillId="70" borderId="16" xfId="0">
      <alignment horizontal="center" vertical="center"/>
      <protection locked="0"/>
    </xf>
    <xf numFmtId="0" fontId="3" fillId="70" borderId="53" xfId="0">
      <alignment horizontal="center" vertical="center"/>
    </xf>
    <xf numFmtId="0" fontId="0" fillId="0" borderId="11" xfId="0"/>
    <xf numFmtId="0" fontId="101" fillId="0" borderId="11" xfId="0"/>
    <xf numFmtId="0" fontId="0" fillId="6" borderId="11" xfId="0"/>
    <xf numFmtId="0" fontId="93" fillId="0" borderId="11" xfId="0"/>
    <xf numFmtId="0" fontId="0" fillId="0" borderId="11" xfId="0">
      <alignment horizontal="left" vertical="bottom"/>
    </xf>
    <xf numFmtId="0" fontId="0" fillId="0" borderId="2" xfId="0"/>
    <xf numFmtId="0" fontId="0" fillId="0" borderId="46" xfId="0"/>
    <xf numFmtId="0" fontId="0" fillId="0" borderId="11" xfId="0">
      <alignment horizontal="center" vertical="bottom"/>
    </xf>
    <xf numFmtId="0" fontId="0" fillId="6" borderId="46" xfId="0"/>
    <xf numFmtId="4057" fontId="0" fillId="0" borderId="48" xfId="0"/>
    <xf numFmtId="0" fontId="0" fillId="18" borderId="11" xfId="0"/>
    <xf numFmtId="0" fontId="0" fillId="6" borderId="0" xfId="0"/>
    <xf numFmtId="0" fontId="0" fillId="57" borderId="11" xfId="0"/>
    <xf numFmtId="2003" fontId="131" fillId="6" borderId="11" xfId="0"/>
    <xf numFmtId="0" fontId="0" fillId="0" borderId="0" xfId="0">
      <alignment vertical="top" wrapText="1"/>
    </xf>
    <xf numFmtId="0" fontId="17" fillId="46" borderId="0" xfId="0"/>
    <xf numFmtId="0" fontId="0" fillId="0" borderId="52" xfId="0"/>
    <xf numFmtId="0" fontId="148" fillId="6" borderId="11" xfId="0">
      <alignment horizontal="center" vertical="bottom"/>
    </xf>
    <xf numFmtId="0" fontId="148" fillId="6" borderId="11" xfId="0"/>
    <xf numFmtId="0" fontId="0" fillId="6" borderId="52" xfId="0">
      <alignment horizontal="center" vertical="bottom"/>
    </xf>
    <xf numFmtId="0" fontId="140" fillId="68" borderId="50" xfId="0"/>
    <xf numFmtId="0" fontId="140" fillId="68" borderId="0" xfId="0">
      <alignment horizontal="left" vertical="bottom" wrapText="1"/>
    </xf>
    <xf numFmtId="0" fontId="140" fillId="68" borderId="51" xfId="0">
      <alignment horizontal="left" vertical="bottom" wrapText="1"/>
    </xf>
    <xf numFmtId="0" fontId="0" fillId="6" borderId="11" xfId="0">
      <alignment horizontal="center" vertical="bottom"/>
    </xf>
    <xf numFmtId="308" fontId="117" fillId="68" borderId="11" xfId="0">
      <alignment horizontal="left" vertical="center"/>
    </xf>
    <xf numFmtId="0" fontId="101" fillId="0" borderId="52" xfId="0"/>
    <xf numFmtId="0" fontId="0" fillId="6" borderId="52" xfId="0"/>
    <xf numFmtId="0" fontId="0" fillId="0" borderId="8" xfId="0"/>
    <xf numFmtId="0" fontId="93" fillId="0" borderId="52" xfId="0"/>
    <xf numFmtId="0" fontId="0" fillId="0" borderId="52" xfId="0">
      <alignment horizontal="left" vertical="bottom"/>
    </xf>
    <xf numFmtId="0" fontId="0" fillId="0" borderId="52" xfId="0">
      <alignment horizontal="center" vertical="bottom"/>
    </xf>
    <xf numFmtId="0" fontId="0" fillId="6" borderId="50" xfId="0"/>
    <xf numFmtId="4057" fontId="0" fillId="0" borderId="51" xfId="0"/>
    <xf numFmtId="0" fontId="0" fillId="18" borderId="52" xfId="0"/>
    <xf numFmtId="2003" fontId="0" fillId="6" borderId="52" xfId="0"/>
    <xf numFmtId="0" fontId="148" fillId="6" borderId="52" xfId="0">
      <alignment horizontal="center" vertical="bottom"/>
    </xf>
    <xf numFmtId="0" fontId="148" fillId="6" borderId="52" xfId="0"/>
    <xf numFmtId="308" fontId="117" fillId="68" borderId="52" xfId="0">
      <alignment horizontal="left" vertical="center"/>
    </xf>
    <xf numFmtId="0" fontId="186" fillId="70" borderId="11" xfId="0"/>
    <xf numFmtId="0" fontId="101" fillId="0" borderId="8" xfId="0"/>
    <xf numFmtId="0" fontId="0" fillId="6" borderId="8" xfId="0"/>
    <xf numFmtId="0" fontId="0" fillId="0" borderId="8" xfId="0">
      <alignment horizontal="left" vertical="bottom"/>
    </xf>
    <xf numFmtId="0" fontId="0" fillId="0" borderId="50" xfId="0" quotePrefix="1"/>
    <xf numFmtId="0" fontId="0" fillId="0" borderId="52" xfId="0" quotePrefix="1"/>
    <xf numFmtId="0" fontId="0" fillId="18" borderId="8" xfId="0"/>
    <xf numFmtId="0" fontId="148" fillId="6" borderId="8" xfId="0"/>
    <xf numFmtId="49" fontId="148" fillId="57" borderId="52" xfId="0"/>
    <xf numFmtId="49" fontId="148" fillId="57" borderId="11" xfId="0"/>
    <xf numFmtId="0" fontId="0" fillId="0" borderId="8" xfId="0" quotePrefix="1"/>
    <xf numFmtId="0" fontId="97" fillId="0" borderId="52" xfId="0"/>
    <xf numFmtId="49" fontId="148" fillId="57" borderId="8" xfId="0"/>
    <xf numFmtId="0" fontId="97" fillId="0" borderId="8" xfId="0"/>
    <xf numFmtId="0" fontId="0" fillId="6" borderId="8" xfId="0">
      <alignment horizontal="center" vertical="bottom"/>
    </xf>
    <xf numFmtId="0" fontId="0" fillId="0" borderId="45" xfId="0"/>
    <xf numFmtId="0" fontId="140" fillId="68" borderId="45" xfId="0"/>
    <xf numFmtId="0" fontId="140" fillId="68" borderId="1" xfId="0">
      <alignment horizontal="left" vertical="bottom" wrapText="1"/>
    </xf>
    <xf numFmtId="0" fontId="140" fillId="68" borderId="49" xfId="0">
      <alignment horizontal="left" vertical="bottom" wrapText="1"/>
    </xf>
    <xf numFmtId="0" fontId="93" fillId="0" borderId="8" xfId="0"/>
    <xf numFmtId="0" fontId="0" fillId="6" borderId="45" xfId="0"/>
    <xf numFmtId="4057" fontId="0" fillId="0" borderId="49" xfId="0"/>
    <xf numFmtId="0" fontId="185" fillId="0" borderId="0" xfId="0"/>
    <xf numFmtId="0" fontId="0" fillId="0" borderId="47" xfId="0"/>
    <xf numFmtId="0" fontId="140" fillId="59" borderId="45" xfId="0"/>
    <xf numFmtId="0" fontId="140" fillId="59" borderId="1" xfId="0">
      <alignment horizontal="left" vertical="bottom" wrapText="1"/>
    </xf>
    <xf numFmtId="0" fontId="140" fillId="59" borderId="49" xfId="0">
      <alignment horizontal="left" vertical="bottom" wrapText="1"/>
    </xf>
    <xf numFmtId="308" fontId="250" fillId="68" borderId="52" xfId="0">
      <alignment horizontal="left" vertical="center"/>
    </xf>
    <xf numFmtId="0" fontId="0" fillId="0" borderId="51" xfId="0"/>
    <xf numFmtId="0" fontId="148" fillId="57" borderId="52" xfId="0"/>
    <xf numFmtId="2003" fontId="0" fillId="6" borderId="8" xfId="0"/>
    <xf numFmtId="2003" fontId="0" fillId="0" borderId="0" xfId="0"/>
    <xf numFmtId="0" fontId="148" fillId="57" borderId="8" xfId="0"/>
    <xf numFmtId="0" fontId="148" fillId="57" borderId="11" xfId="0">
      <alignment horizontal="center" vertical="bottom"/>
    </xf>
    <xf numFmtId="0" fontId="148" fillId="57" borderId="52" xfId="0">
      <alignment horizontal="center" vertical="bottom"/>
    </xf>
    <xf numFmtId="0" fontId="148" fillId="57" borderId="8" xfId="0">
      <alignment horizontal="center" vertical="bottom"/>
    </xf>
    <xf numFmtId="308" fontId="117" fillId="68" borderId="8" xfId="0">
      <alignment horizontal="left" vertical="center"/>
    </xf>
    <xf numFmtId="0" fontId="213" fillId="0" borderId="0" xfId="0">
      <alignment horizontal="left" vertical="bottom"/>
    </xf>
    <xf numFmtId="0" fontId="182" fillId="0" borderId="0" xfId="0">
      <alignment horizontal="left" vertical="bottom"/>
    </xf>
    <xf numFmtId="5387" fontId="140" fillId="0" borderId="0" xfId="0">
      <alignment horizontal="left" vertical="bottom"/>
    </xf>
    <xf numFmtId="0" fontId="210" fillId="103" borderId="0" xfId="0">
      <alignment horizontal="left" vertical="bottom"/>
    </xf>
    <xf numFmtId="308" fontId="140" fillId="0" borderId="0" xfId="0">
      <alignment horizontal="left" vertical="bottom"/>
    </xf>
    <xf numFmtId="4063" fontId="140" fillId="0" borderId="0" xfId="0">
      <alignment horizontal="left" vertical="bottom"/>
    </xf>
    <xf numFmtId="10" fontId="140" fillId="0" borderId="0" xfId="0">
      <alignment horizontal="left" vertical="bottom"/>
    </xf>
    <xf numFmtId="2" fontId="140" fillId="0" borderId="0" xfId="0">
      <alignment horizontal="left" vertical="bottom"/>
    </xf>
    <xf numFmtId="2" fontId="210" fillId="84" borderId="0" xfId="0">
      <alignment horizontal="left" vertical="bottom"/>
    </xf>
    <xf numFmtId="4063" fontId="140" fillId="0" borderId="0" xfId="0"/>
    <xf numFmtId="4063" fontId="182" fillId="0" borderId="0" xfId="0">
      <alignment horizontal="left" vertical="bottom"/>
    </xf>
    <xf numFmtId="2" fontId="183" fillId="0" borderId="0" xfId="0">
      <alignment horizontal="left" vertical="bottom"/>
    </xf>
    <xf numFmtId="37" fontId="140" fillId="0" borderId="0" xfId="0">
      <alignment horizontal="left" vertical="bottom"/>
    </xf>
    <xf numFmtId="3" fontId="140" fillId="0" borderId="0" xfId="0">
      <alignment horizontal="left" vertical="bottom"/>
    </xf>
    <xf numFmtId="0" fontId="140" fillId="0" borderId="0" xfId="0">
      <alignment vertical="top"/>
    </xf>
    <xf numFmtId="0" fontId="140" fillId="0" borderId="0" xfId="0">
      <alignment horizontal="left" vertical="top"/>
    </xf>
    <xf numFmtId="58" fontId="140" fillId="0" borderId="0" xfId="0">
      <alignment horizontal="left" vertical="bottom"/>
    </xf>
    <xf numFmtId="10" fontId="140" fillId="0" borderId="0" xfId="0"/>
    <xf numFmtId="0" fontId="140" fillId="84" borderId="0" xfId="0"/>
    <xf numFmtId="2" fontId="140" fillId="0" borderId="0" xfId="0"/>
    <xf numFmtId="0" fontId="182" fillId="0" borderId="0" xfId="0"/>
    <xf numFmtId="309" fontId="140" fillId="0" borderId="0" xfId="0">
      <alignment horizontal="left" vertical="bottom"/>
    </xf>
    <xf numFmtId="0" fontId="140" fillId="0" borderId="0" xfId="0" quotePrefix="1">
      <alignment horizontal="left" vertical="bottom"/>
    </xf>
    <xf numFmtId="0" fontId="140" fillId="0" borderId="0" xfId="0" quotePrefix="1"/>
    <xf numFmtId="3" fontId="140" fillId="0" borderId="0" xfId="0"/>
    <xf numFmtId="37" fontId="140" fillId="62" borderId="0" xfId="0">
      <alignment horizontal="left" vertical="bottom"/>
    </xf>
    <xf numFmtId="0" fontId="140" fillId="62" borderId="0" xfId="0"/>
    <xf numFmtId="2" fontId="318" fillId="0" borderId="0" xfId="0">
      <alignment horizontal="left" vertical="bottom"/>
    </xf>
    <xf numFmtId="4471" fontId="140" fillId="0" borderId="0" xfId="0">
      <alignment horizontal="left" vertical="bottom"/>
    </xf>
    <xf numFmtId="4" fontId="140" fillId="0" borderId="0" xfId="0">
      <alignment horizontal="left" vertical="bottom"/>
    </xf>
    <xf numFmtId="4" fontId="140" fillId="0" borderId="0" xfId="276">
      <alignment horizontal="left" vertical="bottom"/>
    </xf>
    <xf numFmtId="10" fontId="140" fillId="84" borderId="0" xfId="0">
      <alignment horizontal="left" vertical="bottom"/>
    </xf>
    <xf numFmtId="0" fontId="156" fillId="0" borderId="0" xfId="0"/>
    <xf numFmtId="0" fontId="282" fillId="70" borderId="0" xfId="0">
      <alignment horizontal="left" vertical="bottom" indent="1"/>
    </xf>
    <xf numFmtId="0" fontId="282" fillId="70" borderId="0" xfId="0"/>
    <xf numFmtId="0" fontId="282" fillId="70" borderId="50" xfId="0"/>
    <xf numFmtId="0" fontId="282" fillId="70" borderId="51" xfId="0"/>
    <xf numFmtId="0" fontId="4" fillId="70" borderId="50" xfId="0">
      <alignment horizontal="center" vertical="bottom"/>
    </xf>
    <xf numFmtId="0" fontId="4" fillId="70" borderId="51" xfId="0">
      <alignment horizontal="center" vertical="bottom"/>
    </xf>
    <xf numFmtId="0" fontId="233" fillId="0" borderId="46" xfId="0">
      <alignment horizontal="left" vertical="bottom" indent="1"/>
    </xf>
    <xf numFmtId="0" fontId="233" fillId="0" borderId="47" xfId="0"/>
    <xf numFmtId="49" fontId="235" fillId="49" borderId="46" xfId="0">
      <alignment horizontal="left" vertical="bottom"/>
      <protection locked="0"/>
    </xf>
    <xf numFmtId="0" fontId="235" fillId="0" borderId="48" xfId="0"/>
    <xf numFmtId="0" fontId="233" fillId="0" borderId="50" xfId="0">
      <alignment horizontal="left" vertical="bottom" indent="1"/>
    </xf>
    <xf numFmtId="0" fontId="235" fillId="49" borderId="50" xfId="0">
      <alignment horizontal="left" vertical="bottom"/>
      <protection locked="0"/>
    </xf>
    <xf numFmtId="0" fontId="235" fillId="0" borderId="51" xfId="0"/>
    <xf numFmtId="49" fontId="235" fillId="49" borderId="50" xfId="0">
      <alignment horizontal="left" vertical="bottom"/>
      <protection locked="0"/>
    </xf>
    <xf numFmtId="0" fontId="233" fillId="0" borderId="45" xfId="0">
      <alignment horizontal="left" vertical="bottom" indent="1"/>
    </xf>
    <xf numFmtId="0" fontId="233" fillId="0" borderId="1" xfId="0"/>
    <xf numFmtId="0" fontId="235" fillId="0" borderId="9" xfId="0">
      <alignment horizontal="center" vertical="bottom"/>
    </xf>
    <xf numFmtId="0" fontId="235" fillId="0" borderId="53" xfId="0"/>
    <xf numFmtId="0" fontId="233" fillId="0" borderId="0" xfId="0">
      <alignment horizontal="left" vertical="bottom" indent="1"/>
    </xf>
    <xf numFmtId="3" fontId="235" fillId="49" borderId="47" xfId="0">
      <alignment horizontal="left" vertical="bottom"/>
      <protection locked="0"/>
    </xf>
    <xf numFmtId="0" fontId="235" fillId="0" borderId="47" xfId="0"/>
    <xf numFmtId="0" fontId="235" fillId="0" borderId="0" xfId="0"/>
    <xf numFmtId="308" fontId="235" fillId="49" borderId="0" xfId="0">
      <alignment horizontal="right" vertical="bottom"/>
      <protection locked="0"/>
    </xf>
    <xf numFmtId="3" fontId="235" fillId="49" borderId="0" xfId="0">
      <alignment horizontal="right" vertical="bottom"/>
      <protection locked="0"/>
    </xf>
    <xf numFmtId="0" fontId="302" fillId="70" borderId="0" xfId="0"/>
    <xf numFmtId="0" fontId="4" fillId="70" borderId="0" xfId="0">
      <alignment horizontal="left" vertical="bottom" indent="1"/>
    </xf>
    <xf numFmtId="0" fontId="4" fillId="70" borderId="0" xfId="0">
      <alignment horizontal="right" vertical="bottom" indent="1"/>
    </xf>
    <xf numFmtId="0" fontId="4" fillId="70" borderId="50" xfId="0">
      <alignment horizontal="right" vertical="bottom" indent="1"/>
    </xf>
    <xf numFmtId="0" fontId="283" fillId="0" borderId="0" xfId="0"/>
    <xf numFmtId="3" fontId="233" fillId="0" borderId="0" xfId="0"/>
    <xf numFmtId="0" fontId="233" fillId="0" borderId="51" xfId="0"/>
    <xf numFmtId="5245" fontId="233" fillId="0" borderId="0" xfId="0"/>
    <xf numFmtId="0" fontId="233" fillId="0" borderId="50" xfId="0"/>
    <xf numFmtId="0" fontId="233" fillId="0" borderId="49" xfId="0"/>
    <xf numFmtId="0" fontId="233" fillId="0" borderId="9" xfId="0">
      <alignment horizontal="left" vertical="bottom" indent="1"/>
    </xf>
    <xf numFmtId="0" fontId="233" fillId="0" borderId="16" xfId="0"/>
    <xf numFmtId="0" fontId="233" fillId="0" borderId="53" xfId="0"/>
    <xf numFmtId="49" fontId="0" fillId="57" borderId="0" xfId="0">
      <alignment horizontal="left" vertical="bottom"/>
      <protection locked="0"/>
    </xf>
    <xf numFmtId="0" fontId="0" fillId="57" borderId="0" xfId="0">
      <alignment horizontal="left" vertical="bottom"/>
      <protection locked="0"/>
    </xf>
    <xf numFmtId="0" fontId="140" fillId="57" borderId="0" xfId="0">
      <alignment horizontal="left" vertical="bottom"/>
      <protection locked="0"/>
    </xf>
    <xf numFmtId="58" fontId="259" fillId="57" borderId="0" xfId="0">
      <alignment horizontal="center" vertical="bottom"/>
      <protection locked="0"/>
    </xf>
    <xf numFmtId="0" fontId="259" fillId="57" borderId="0" xfId="0">
      <alignment horizontal="left" vertical="bottom"/>
      <protection locked="0"/>
    </xf>
    <xf numFmtId="0" fontId="52" fillId="68" borderId="0" xfId="181">
      <alignment horizontal="right" vertical="bottom"/>
    </xf>
    <xf numFmtId="11" fontId="259" fillId="57" borderId="0" xfId="0">
      <alignment horizontal="left" vertical="bottom"/>
      <protection locked="0"/>
    </xf>
    <xf numFmtId="0" fontId="260" fillId="57" borderId="0" xfId="0">
      <alignment horizontal="left" vertical="bottom"/>
      <protection locked="0"/>
    </xf>
    <xf numFmtId="0" fontId="258" fillId="57" borderId="0" xfId="0">
      <alignment horizontal="left" vertical="bottom"/>
      <protection locked="0"/>
    </xf>
    <xf numFmtId="49" fontId="260" fillId="57" borderId="0" xfId="0">
      <alignment horizontal="left" vertical="bottom"/>
      <protection locked="0"/>
    </xf>
    <xf numFmtId="0" fontId="260" fillId="57" borderId="0" xfId="0"/>
    <xf numFmtId="49" fontId="260" fillId="57" borderId="0" xfId="0"/>
    <xf numFmtId="4551" fontId="0" fillId="0" borderId="0" xfId="0">
      <alignment horizontal="left" vertical="bottom"/>
    </xf>
    <xf numFmtId="49" fontId="0" fillId="57" borderId="16" xfId="0"/>
    <xf numFmtId="0" fontId="0" fillId="57" borderId="155" xfId="0"/>
    <xf numFmtId="0" fontId="0" fillId="68" borderId="0" xfId="0">
      <alignment horizontal="left" vertical="bottom" indent="1"/>
    </xf>
    <xf numFmtId="0" fontId="257" fillId="68" borderId="0" xfId="0"/>
    <xf numFmtId="0" fontId="256" fillId="0" borderId="0" xfId="0">
      <alignment horizontal="left" vertical="center"/>
    </xf>
  </cellXfs>
  <cellStyles count="36078">
    <cellStyle name="Normal" xfId="0" builtinId="0"/>
    <cellStyle name="£ BP" xfId="1"/>
    <cellStyle name="¥ JY" xfId="2"/>
    <cellStyle name="20% - Accent1" xfId="3" builtinId="30"/>
    <cellStyle name="20% - Accent1 2" xfId="4"/>
    <cellStyle name="20% - Accent2" xfId="5" builtinId="34"/>
    <cellStyle name="20% - Accent2 2" xfId="6"/>
    <cellStyle name="20% - Accent3" xfId="7" builtinId="38"/>
    <cellStyle name="20% - Accent3 2" xfId="8"/>
    <cellStyle name="20% - Accent4" xfId="9" builtinId="42"/>
    <cellStyle name="20% - Accent4 2" xfId="10"/>
    <cellStyle name="20% - Accent5" xfId="11" builtinId="46"/>
    <cellStyle name="20% - Accent5 2" xfId="12"/>
    <cellStyle name="20% - Accent6" xfId="13" builtinId="50"/>
    <cellStyle name="20% - Accent6 2" xfId="14"/>
    <cellStyle name="40% - Accent1" xfId="15" builtinId="31"/>
    <cellStyle name="40% - Accent1 2" xfId="16"/>
    <cellStyle name="40% - Accent2" xfId="17" builtinId="35"/>
    <cellStyle name="40% - Accent2 2" xfId="18"/>
    <cellStyle name="40% - Accent3" xfId="19" builtinId="39"/>
    <cellStyle name="40% - Accent3 2" xfId="20"/>
    <cellStyle name="40% - Accent4" xfId="21" builtinId="43"/>
    <cellStyle name="40% - Accent4 2" xfId="10"/>
    <cellStyle name="40% - Accent5" xfId="22" builtinId="47"/>
    <cellStyle name="40% - Accent5 2" xfId="16"/>
    <cellStyle name="40% - Accent6" xfId="23" builtinId="51"/>
    <cellStyle name="40% - Accent6 2" xfId="24"/>
    <cellStyle name="60% - Accent1" xfId="25" builtinId="32"/>
    <cellStyle name="60% - Accent1 2" xfId="26"/>
    <cellStyle name="60% - Accent2" xfId="27" builtinId="36"/>
    <cellStyle name="60% - Accent2 2" xfId="28"/>
    <cellStyle name="60% - Accent3" xfId="29" builtinId="40"/>
    <cellStyle name="60% - Accent3 2" xfId="30"/>
    <cellStyle name="60% - Accent4" xfId="31" builtinId="44"/>
    <cellStyle name="60% - Accent4 2" xfId="32"/>
    <cellStyle name="60% - Accent5" xfId="33" builtinId="48"/>
    <cellStyle name="60% - Accent5 2" xfId="34"/>
    <cellStyle name="60% - Accent6" xfId="35" builtinId="52"/>
    <cellStyle name="60% - Accent6 2" xfId="36"/>
    <cellStyle name="Accent1" xfId="37" builtinId="29"/>
    <cellStyle name="Accent1 2" xfId="38"/>
    <cellStyle name="Accent2" xfId="39" builtinId="33"/>
    <cellStyle name="Accent2 2" xfId="40"/>
    <cellStyle name="Accent3" xfId="41" builtinId="37"/>
    <cellStyle name="Accent3 2" xfId="42"/>
    <cellStyle name="Accent4" xfId="43" builtinId="41"/>
    <cellStyle name="Accent4 2" xfId="32"/>
    <cellStyle name="Accent5" xfId="44" builtinId="45"/>
    <cellStyle name="Accent5 2" xfId="34"/>
    <cellStyle name="Accent6" xfId="45" builtinId="49"/>
    <cellStyle name="Accent6 2" xfId="46"/>
    <cellStyle name="active" xfId="47"/>
    <cellStyle name="Background" xfId="48"/>
    <cellStyle name="Bad" xfId="49" builtinId="27"/>
    <cellStyle name="Bad 2" xfId="50"/>
    <cellStyle name="Body" xfId="51"/>
    <cellStyle name="Bold/Border" xfId="52"/>
    <cellStyle name="Bold/Border 2" xfId="52"/>
    <cellStyle name="Bold/Border 3" xfId="52"/>
    <cellStyle name="Bold/Border 4" xfId="52"/>
    <cellStyle name="Bold/Border 5" xfId="52"/>
    <cellStyle name="Bold/Border 6" xfId="52"/>
    <cellStyle name="box" xfId="53"/>
    <cellStyle name="box 2" xfId="53"/>
    <cellStyle name="box 2 2" xfId="53"/>
    <cellStyle name="box 2 2 2" xfId="53"/>
    <cellStyle name="box 2 2 2 2" xfId="53"/>
    <cellStyle name="box 2 2 3" xfId="53"/>
    <cellStyle name="box 2 2 3 2" xfId="53"/>
    <cellStyle name="box 2 2 4" xfId="53"/>
    <cellStyle name="box 2 2 4 2" xfId="53"/>
    <cellStyle name="box 2 2 5" xfId="53"/>
    <cellStyle name="box 2 2 5 2" xfId="53"/>
    <cellStyle name="box 2 3" xfId="53"/>
    <cellStyle name="box 2 3 2" xfId="53"/>
    <cellStyle name="box 2 4" xfId="53"/>
    <cellStyle name="box 2 4 2" xfId="53"/>
    <cellStyle name="box 2 5" xfId="53"/>
    <cellStyle name="box 2 5 2" xfId="53"/>
    <cellStyle name="box 2 6" xfId="53"/>
    <cellStyle name="box 3" xfId="53"/>
    <cellStyle name="box 3 2" xfId="53"/>
    <cellStyle name="box 3 2 2" xfId="53"/>
    <cellStyle name="box 3 3" xfId="53"/>
    <cellStyle name="box 3 3 2" xfId="53"/>
    <cellStyle name="box 3 4" xfId="53"/>
    <cellStyle name="box 3 4 2" xfId="53"/>
    <cellStyle name="box 3 5" xfId="53"/>
    <cellStyle name="box 3 5 2" xfId="53"/>
    <cellStyle name="box 4" xfId="53"/>
    <cellStyle name="box 4 2" xfId="53"/>
    <cellStyle name="box 5" xfId="53"/>
    <cellStyle name="box 5 2" xfId="53"/>
    <cellStyle name="box 6" xfId="53"/>
    <cellStyle name="box 7" xfId="53"/>
    <cellStyle name="box 8" xfId="53"/>
    <cellStyle name="Bullet" xfId="54"/>
    <cellStyle name="Calculation" xfId="55" builtinId="22"/>
    <cellStyle name="Calculation 2" xfId="56"/>
    <cellStyle name="Calculation 2 2" xfId="56"/>
    <cellStyle name="Calculation 2 2 2" xfId="56"/>
    <cellStyle name="Calculation 2 3" xfId="56"/>
    <cellStyle name="Calculation 2 3 2" xfId="56"/>
    <cellStyle name="Calculation 2 4" xfId="56"/>
    <cellStyle name="Calculation 2 4 2" xfId="56"/>
    <cellStyle name="Calculation 2 5" xfId="56"/>
    <cellStyle name="Calculation 3" xfId="56"/>
    <cellStyle name="Calculation 4" xfId="56"/>
    <cellStyle name="Check Cell" xfId="57" builtinId="23"/>
    <cellStyle name="Check Cell 2" xfId="58"/>
    <cellStyle name="Check Cell 3" xfId="58"/>
    <cellStyle name="Column Header" xfId="59"/>
    <cellStyle name="Column Header-S" xfId="60"/>
    <cellStyle name="Column Header-TopAlign" xfId="61"/>
    <cellStyle name="Comma" xfId="62" builtinId="3"/>
    <cellStyle name="Comma  - Style1" xfId="63"/>
    <cellStyle name="Comma  - Style2" xfId="63"/>
    <cellStyle name="Comma  - Style3" xfId="63"/>
    <cellStyle name="Comma  - Style4" xfId="63"/>
    <cellStyle name="Comma  - Style5" xfId="63"/>
    <cellStyle name="Comma  - Style6" xfId="63"/>
    <cellStyle name="Comma  - Style7" xfId="63"/>
    <cellStyle name="Comma  - Style8" xfId="63"/>
    <cellStyle name="Comma 10" xfId="64"/>
    <cellStyle name="Comma 11" xfId="64"/>
    <cellStyle name="Comma 12" xfId="64"/>
    <cellStyle name="Comma 13" xfId="64"/>
    <cellStyle name="Comma 14" xfId="64"/>
    <cellStyle name="Comma 15" xfId="64"/>
    <cellStyle name="Comma 16" xfId="64"/>
    <cellStyle name="Comma 17" xfId="64"/>
    <cellStyle name="Comma 18" xfId="64"/>
    <cellStyle name="Comma 19" xfId="64"/>
    <cellStyle name="Comma 2" xfId="64"/>
    <cellStyle name="Comma 2 2" xfId="64"/>
    <cellStyle name="Comma 2 3" xfId="64"/>
    <cellStyle name="Comma 2 4" xfId="64"/>
    <cellStyle name="Comma 2 4 2" xfId="65"/>
    <cellStyle name="Comma 2 4 3" xfId="65"/>
    <cellStyle name="Comma 2 4 4" xfId="65"/>
    <cellStyle name="Comma 2 5" xfId="64"/>
    <cellStyle name="Comma 2 6" xfId="64"/>
    <cellStyle name="Comma 20" xfId="64"/>
    <cellStyle name="Comma 21" xfId="64"/>
    <cellStyle name="Comma 22" xfId="66"/>
    <cellStyle name="Comma 23" xfId="66"/>
    <cellStyle name="Comma 24" xfId="66"/>
    <cellStyle name="Comma 25" xfId="66"/>
    <cellStyle name="Comma 26" xfId="66"/>
    <cellStyle name="Comma 27" xfId="66"/>
    <cellStyle name="Comma 28" xfId="66"/>
    <cellStyle name="Comma 29" xfId="66"/>
    <cellStyle name="Comma 3" xfId="64"/>
    <cellStyle name="Comma 3 2" xfId="64"/>
    <cellStyle name="Comma 3 3" xfId="65"/>
    <cellStyle name="Comma 3 4" xfId="66"/>
    <cellStyle name="Comma 30" xfId="66"/>
    <cellStyle name="Comma 31" xfId="66"/>
    <cellStyle name="Comma 32" xfId="66"/>
    <cellStyle name="Comma 33" xfId="66"/>
    <cellStyle name="Comma 34" xfId="64"/>
    <cellStyle name="Comma 35" xfId="66"/>
    <cellStyle name="Comma 36" xfId="66"/>
    <cellStyle name="Comma 37" xfId="66"/>
    <cellStyle name="Comma 38" xfId="64"/>
    <cellStyle name="Comma 39" xfId="64"/>
    <cellStyle name="Comma 4" xfId="64"/>
    <cellStyle name="Comma 4 2" xfId="64"/>
    <cellStyle name="Comma 4 3" xfId="65"/>
    <cellStyle name="Comma 4 4" xfId="66"/>
    <cellStyle name="Comma 40" xfId="64"/>
    <cellStyle name="Comma 41" xfId="64"/>
    <cellStyle name="Comma 42" xfId="64"/>
    <cellStyle name="Comma 43" xfId="64"/>
    <cellStyle name="Comma 44" xfId="64"/>
    <cellStyle name="Comma 45" xfId="64"/>
    <cellStyle name="Comma 46" xfId="64"/>
    <cellStyle name="Comma 47" xfId="64"/>
    <cellStyle name="Comma 48" xfId="64"/>
    <cellStyle name="Comma 5" xfId="64"/>
    <cellStyle name="Comma 6" xfId="64"/>
    <cellStyle name="Comma 7" xfId="64"/>
    <cellStyle name="Comma 8" xfId="64"/>
    <cellStyle name="Comma 9" xfId="64"/>
    <cellStyle name="Comma0" xfId="67"/>
    <cellStyle name="Currency" xfId="68" builtinId="4"/>
    <cellStyle name="Currency 10" xfId="69"/>
    <cellStyle name="Currency 11" xfId="69"/>
    <cellStyle name="Currency 12" xfId="69"/>
    <cellStyle name="Currency 13" xfId="69"/>
    <cellStyle name="Currency 14" xfId="69"/>
    <cellStyle name="Currency 15" xfId="69"/>
    <cellStyle name="Currency 16" xfId="69"/>
    <cellStyle name="Currency 17" xfId="69"/>
    <cellStyle name="Currency 18" xfId="69"/>
    <cellStyle name="Currency 19" xfId="69"/>
    <cellStyle name="Currency 2" xfId="69"/>
    <cellStyle name="Currency 2 2" xfId="69"/>
    <cellStyle name="Currency 2 3" xfId="69"/>
    <cellStyle name="Currency 2 4" xfId="69"/>
    <cellStyle name="Currency 2 4 2" xfId="68"/>
    <cellStyle name="Currency 2 4 3" xfId="68"/>
    <cellStyle name="Currency 2 4 4" xfId="68"/>
    <cellStyle name="Currency 2 5" xfId="69"/>
    <cellStyle name="Currency 2 6" xfId="69"/>
    <cellStyle name="Currency 2 7" xfId="68"/>
    <cellStyle name="Currency 20" xfId="69"/>
    <cellStyle name="Currency 21" xfId="69"/>
    <cellStyle name="Currency 22" xfId="70"/>
    <cellStyle name="Currency 23" xfId="69"/>
    <cellStyle name="Currency 24" xfId="68"/>
    <cellStyle name="Currency 24 2" xfId="68"/>
    <cellStyle name="Currency 25" xfId="68"/>
    <cellStyle name="Currency 26" xfId="71"/>
    <cellStyle name="Currency 3" xfId="69"/>
    <cellStyle name="Currency 3 2" xfId="69"/>
    <cellStyle name="Currency 3 2 2" xfId="72"/>
    <cellStyle name="Currency 3 2 2 2" xfId="68"/>
    <cellStyle name="Currency 3 2 2 3" xfId="68"/>
    <cellStyle name="Currency 3 2 2 4" xfId="68"/>
    <cellStyle name="Currency 3 2 3" xfId="68"/>
    <cellStyle name="Currency 3 2 4" xfId="72"/>
    <cellStyle name="Currency 3 2 5" xfId="72"/>
    <cellStyle name="Currency 3 2 6" xfId="68"/>
    <cellStyle name="Currency 3 3" xfId="68"/>
    <cellStyle name="Currency 3 4" xfId="68"/>
    <cellStyle name="Currency 3 5" xfId="68"/>
    <cellStyle name="Currency 3 6" xfId="68"/>
    <cellStyle name="Currency 3 7" xfId="68"/>
    <cellStyle name="Currency 3 8" xfId="68"/>
    <cellStyle name="Currency 4" xfId="69"/>
    <cellStyle name="Currency 5" xfId="69"/>
    <cellStyle name="Currency 6" xfId="69"/>
    <cellStyle name="Currency 7" xfId="69"/>
    <cellStyle name="Currency 8" xfId="69"/>
    <cellStyle name="Currency 8 2" xfId="73"/>
    <cellStyle name="Currency 8 2 2" xfId="73"/>
    <cellStyle name="Currency 8 2 3" xfId="73"/>
    <cellStyle name="Currency 8 2 4" xfId="73"/>
    <cellStyle name="Currency 8 2 5" xfId="73"/>
    <cellStyle name="Currency 8 3" xfId="73"/>
    <cellStyle name="Currency 8 3 2" xfId="73"/>
    <cellStyle name="Currency 8 4" xfId="73"/>
    <cellStyle name="Currency 8 5" xfId="73"/>
    <cellStyle name="Currency 8 6" xfId="73"/>
    <cellStyle name="Currency 8 7" xfId="73"/>
    <cellStyle name="Currency 8 8" xfId="73"/>
    <cellStyle name="Currency 8 9" xfId="73"/>
    <cellStyle name="Currency 9" xfId="69"/>
    <cellStyle name="Currency0" xfId="74"/>
    <cellStyle name="CurrencyTB" xfId="75"/>
    <cellStyle name="CurrencyTB-Accounting" xfId="76"/>
    <cellStyle name="CurrencyTB-BB" xfId="77"/>
    <cellStyle name="CurrencyTB-C" xfId="78"/>
    <cellStyle name="CurrencyTB-CBB" xfId="79"/>
    <cellStyle name="CurrencyTB-DuelMode" xfId="75"/>
    <cellStyle name="CurrencyTB-H" xfId="80"/>
    <cellStyle name="CurrencyTB-HVerdana9" xfId="81"/>
    <cellStyle name="CurrencyTB-R" xfId="82"/>
    <cellStyle name="CurrencyTB-R,Accounting" xfId="83"/>
    <cellStyle name="CurrencyTB-R,B" xfId="84"/>
    <cellStyle name="CurrencyTB-R,B,Accounting" xfId="85"/>
    <cellStyle name="CurrencyTB-R,B,H" xfId="86"/>
    <cellStyle name="CurrencyTB-R,BS8" xfId="87"/>
    <cellStyle name="CurrencyTB-R,C" xfId="88"/>
    <cellStyle name="CurrencyTB-R,CB" xfId="89"/>
    <cellStyle name="CurrencyTB-R,CBRed" xfId="90"/>
    <cellStyle name="CurrencyTB-R,CBRedWB" xfId="91"/>
    <cellStyle name="CurrencyTB-R,CBRedWB9" xfId="92"/>
    <cellStyle name="CurrencyTB-R,LAlignRedWB" xfId="93"/>
    <cellStyle name="CurrencyTB-R,RARedWB" xfId="94"/>
    <cellStyle name="CurrencyTB-R,S" xfId="95"/>
    <cellStyle name="CurrencyTB-R,S,B" xfId="87"/>
    <cellStyle name="CurrencyTB-RLeftAlign" xfId="96"/>
    <cellStyle name="CurrencyTB-RRed" xfId="97"/>
    <cellStyle name="CurrencyTB-RRightAlign" xfId="98"/>
    <cellStyle name="CurrencyTB-RWB" xfId="99"/>
    <cellStyle name="CurrencyTB-RWB 2" xfId="99"/>
    <cellStyle name="CurrencyTB-RWB 2 10" xfId="99"/>
    <cellStyle name="CurrencyTB-RWB 2 11" xfId="99"/>
    <cellStyle name="CurrencyTB-RWB 2 12" xfId="99"/>
    <cellStyle name="CurrencyTB-RWB 2 13" xfId="99"/>
    <cellStyle name="CurrencyTB-RWB 2 2" xfId="99"/>
    <cellStyle name="CurrencyTB-RWB 2 2 10" xfId="99"/>
    <cellStyle name="CurrencyTB-RWB 2 2 11" xfId="99"/>
    <cellStyle name="CurrencyTB-RWB 2 2 12" xfId="99"/>
    <cellStyle name="CurrencyTB-RWB 2 2 13" xfId="99"/>
    <cellStyle name="CurrencyTB-RWB 2 2 2" xfId="99"/>
    <cellStyle name="CurrencyTB-RWB 2 2 2 10" xfId="99"/>
    <cellStyle name="CurrencyTB-RWB 2 2 2 2" xfId="99"/>
    <cellStyle name="CurrencyTB-RWB 2 2 2 2 2" xfId="99"/>
    <cellStyle name="CurrencyTB-RWB 2 2 2 2 2 2" xfId="99"/>
    <cellStyle name="CurrencyTB-RWB 2 2 2 2 2 3" xfId="99"/>
    <cellStyle name="CurrencyTB-RWB 2 2 2 2 2 4" xfId="99"/>
    <cellStyle name="CurrencyTB-RWB 2 2 2 2 2 5" xfId="99"/>
    <cellStyle name="CurrencyTB-RWB 2 2 2 2 3" xfId="99"/>
    <cellStyle name="CurrencyTB-RWB 2 2 2 2 3 2" xfId="99"/>
    <cellStyle name="CurrencyTB-RWB 2 2 2 2 3 3" xfId="99"/>
    <cellStyle name="CurrencyTB-RWB 2 2 2 2 3 4" xfId="99"/>
    <cellStyle name="CurrencyTB-RWB 2 2 2 2 4" xfId="99"/>
    <cellStyle name="CurrencyTB-RWB 2 2 2 2 5" xfId="99"/>
    <cellStyle name="CurrencyTB-RWB 2 2 2 2 6" xfId="99"/>
    <cellStyle name="CurrencyTB-RWB 2 2 2 2 7" xfId="99"/>
    <cellStyle name="CurrencyTB-RWB 2 2 2 2 8" xfId="99"/>
    <cellStyle name="CurrencyTB-RWB 2 2 2 3" xfId="99"/>
    <cellStyle name="CurrencyTB-RWB 2 2 2 3 2" xfId="99"/>
    <cellStyle name="CurrencyTB-RWB 2 2 2 3 2 2" xfId="99"/>
    <cellStyle name="CurrencyTB-RWB 2 2 2 3 2 3" xfId="99"/>
    <cellStyle name="CurrencyTB-RWB 2 2 2 3 2 4" xfId="99"/>
    <cellStyle name="CurrencyTB-RWB 2 2 2 3 2 5" xfId="99"/>
    <cellStyle name="CurrencyTB-RWB 2 2 2 3 3" xfId="99"/>
    <cellStyle name="CurrencyTB-RWB 2 2 2 3 3 2" xfId="99"/>
    <cellStyle name="CurrencyTB-RWB 2 2 2 3 3 3" xfId="99"/>
    <cellStyle name="CurrencyTB-RWB 2 2 2 3 3 4" xfId="99"/>
    <cellStyle name="CurrencyTB-RWB 2 2 2 3 4" xfId="99"/>
    <cellStyle name="CurrencyTB-RWB 2 2 2 3 5" xfId="99"/>
    <cellStyle name="CurrencyTB-RWB 2 2 2 3 6" xfId="99"/>
    <cellStyle name="CurrencyTB-RWB 2 2 2 3 7" xfId="99"/>
    <cellStyle name="CurrencyTB-RWB 2 2 2 3 8" xfId="99"/>
    <cellStyle name="CurrencyTB-RWB 2 2 2 4" xfId="99"/>
    <cellStyle name="CurrencyTB-RWB 2 2 2 4 2" xfId="99"/>
    <cellStyle name="CurrencyTB-RWB 2 2 2 4 2 2" xfId="99"/>
    <cellStyle name="CurrencyTB-RWB 2 2 2 4 2 3" xfId="99"/>
    <cellStyle name="CurrencyTB-RWB 2 2 2 4 2 4" xfId="99"/>
    <cellStyle name="CurrencyTB-RWB 2 2 2 4 2 5" xfId="99"/>
    <cellStyle name="CurrencyTB-RWB 2 2 2 4 3" xfId="99"/>
    <cellStyle name="CurrencyTB-RWB 2 2 2 4 3 2" xfId="99"/>
    <cellStyle name="CurrencyTB-RWB 2 2 2 4 3 3" xfId="99"/>
    <cellStyle name="CurrencyTB-RWB 2 2 2 4 3 4" xfId="99"/>
    <cellStyle name="CurrencyTB-RWB 2 2 2 4 4" xfId="99"/>
    <cellStyle name="CurrencyTB-RWB 2 2 2 4 5" xfId="99"/>
    <cellStyle name="CurrencyTB-RWB 2 2 2 4 6" xfId="99"/>
    <cellStyle name="CurrencyTB-RWB 2 2 2 4 7" xfId="99"/>
    <cellStyle name="CurrencyTB-RWB 2 2 2 5" xfId="99"/>
    <cellStyle name="CurrencyTB-RWB 2 2 2 5 2" xfId="99"/>
    <cellStyle name="CurrencyTB-RWB 2 2 2 5 2 2" xfId="99"/>
    <cellStyle name="CurrencyTB-RWB 2 2 2 5 2 3" xfId="99"/>
    <cellStyle name="CurrencyTB-RWB 2 2 2 5 2 4" xfId="99"/>
    <cellStyle name="CurrencyTB-RWB 2 2 2 5 2 5" xfId="99"/>
    <cellStyle name="CurrencyTB-RWB 2 2 2 5 3" xfId="99"/>
    <cellStyle name="CurrencyTB-RWB 2 2 2 5 3 2" xfId="99"/>
    <cellStyle name="CurrencyTB-RWB 2 2 2 5 3 3" xfId="99"/>
    <cellStyle name="CurrencyTB-RWB 2 2 2 5 3 4" xfId="99"/>
    <cellStyle name="CurrencyTB-RWB 2 2 2 5 4" xfId="99"/>
    <cellStyle name="CurrencyTB-RWB 2 2 2 5 5" xfId="99"/>
    <cellStyle name="CurrencyTB-RWB 2 2 2 5 6" xfId="99"/>
    <cellStyle name="CurrencyTB-RWB 2 2 2 5 7" xfId="99"/>
    <cellStyle name="CurrencyTB-RWB 2 2 2 5 8" xfId="99"/>
    <cellStyle name="CurrencyTB-RWB 2 2 2 6" xfId="99"/>
    <cellStyle name="CurrencyTB-RWB 2 2 2 6 2" xfId="99"/>
    <cellStyle name="CurrencyTB-RWB 2 2 2 6 3" xfId="99"/>
    <cellStyle name="CurrencyTB-RWB 2 2 2 6 4" xfId="99"/>
    <cellStyle name="CurrencyTB-RWB 2 2 2 6 5" xfId="99"/>
    <cellStyle name="CurrencyTB-RWB 2 2 2 7" xfId="99"/>
    <cellStyle name="CurrencyTB-RWB 2 2 2 8" xfId="99"/>
    <cellStyle name="CurrencyTB-RWB 2 2 2 9" xfId="99"/>
    <cellStyle name="CurrencyTB-RWB 2 2 3" xfId="99"/>
    <cellStyle name="CurrencyTB-RWB 2 2 3 10" xfId="99"/>
    <cellStyle name="CurrencyTB-RWB 2 2 3 2" xfId="99"/>
    <cellStyle name="CurrencyTB-RWB 2 2 3 2 2" xfId="99"/>
    <cellStyle name="CurrencyTB-RWB 2 2 3 2 2 2" xfId="99"/>
    <cellStyle name="CurrencyTB-RWB 2 2 3 2 2 3" xfId="99"/>
    <cellStyle name="CurrencyTB-RWB 2 2 3 2 2 4" xfId="99"/>
    <cellStyle name="CurrencyTB-RWB 2 2 3 2 2 5" xfId="99"/>
    <cellStyle name="CurrencyTB-RWB 2 2 3 2 3" xfId="99"/>
    <cellStyle name="CurrencyTB-RWB 2 2 3 2 3 2" xfId="99"/>
    <cellStyle name="CurrencyTB-RWB 2 2 3 2 3 3" xfId="99"/>
    <cellStyle name="CurrencyTB-RWB 2 2 3 2 3 4" xfId="99"/>
    <cellStyle name="CurrencyTB-RWB 2 2 3 2 4" xfId="99"/>
    <cellStyle name="CurrencyTB-RWB 2 2 3 2 5" xfId="99"/>
    <cellStyle name="CurrencyTB-RWB 2 2 3 2 6" xfId="99"/>
    <cellStyle name="CurrencyTB-RWB 2 2 3 2 7" xfId="99"/>
    <cellStyle name="CurrencyTB-RWB 2 2 3 2 8" xfId="99"/>
    <cellStyle name="CurrencyTB-RWB 2 2 3 3" xfId="99"/>
    <cellStyle name="CurrencyTB-RWB 2 2 3 3 2" xfId="99"/>
    <cellStyle name="CurrencyTB-RWB 2 2 3 3 2 2" xfId="99"/>
    <cellStyle name="CurrencyTB-RWB 2 2 3 3 2 3" xfId="99"/>
    <cellStyle name="CurrencyTB-RWB 2 2 3 3 2 4" xfId="99"/>
    <cellStyle name="CurrencyTB-RWB 2 2 3 3 2 5" xfId="99"/>
    <cellStyle name="CurrencyTB-RWB 2 2 3 3 3" xfId="99"/>
    <cellStyle name="CurrencyTB-RWB 2 2 3 3 3 2" xfId="99"/>
    <cellStyle name="CurrencyTB-RWB 2 2 3 3 3 3" xfId="99"/>
    <cellStyle name="CurrencyTB-RWB 2 2 3 3 3 4" xfId="99"/>
    <cellStyle name="CurrencyTB-RWB 2 2 3 3 4" xfId="99"/>
    <cellStyle name="CurrencyTB-RWB 2 2 3 3 5" xfId="99"/>
    <cellStyle name="CurrencyTB-RWB 2 2 3 3 6" xfId="99"/>
    <cellStyle name="CurrencyTB-RWB 2 2 3 3 7" xfId="99"/>
    <cellStyle name="CurrencyTB-RWB 2 2 3 3 8" xfId="99"/>
    <cellStyle name="CurrencyTB-RWB 2 2 3 4" xfId="99"/>
    <cellStyle name="CurrencyTB-RWB 2 2 3 4 2" xfId="99"/>
    <cellStyle name="CurrencyTB-RWB 2 2 3 4 2 2" xfId="99"/>
    <cellStyle name="CurrencyTB-RWB 2 2 3 4 2 3" xfId="99"/>
    <cellStyle name="CurrencyTB-RWB 2 2 3 4 2 4" xfId="99"/>
    <cellStyle name="CurrencyTB-RWB 2 2 3 4 2 5" xfId="99"/>
    <cellStyle name="CurrencyTB-RWB 2 2 3 4 3" xfId="99"/>
    <cellStyle name="CurrencyTB-RWB 2 2 3 4 3 2" xfId="99"/>
    <cellStyle name="CurrencyTB-RWB 2 2 3 4 3 3" xfId="99"/>
    <cellStyle name="CurrencyTB-RWB 2 2 3 4 3 4" xfId="99"/>
    <cellStyle name="CurrencyTB-RWB 2 2 3 4 4" xfId="99"/>
    <cellStyle name="CurrencyTB-RWB 2 2 3 4 5" xfId="99"/>
    <cellStyle name="CurrencyTB-RWB 2 2 3 4 6" xfId="99"/>
    <cellStyle name="CurrencyTB-RWB 2 2 3 4 7" xfId="99"/>
    <cellStyle name="CurrencyTB-RWB 2 2 3 5" xfId="99"/>
    <cellStyle name="CurrencyTB-RWB 2 2 3 5 2" xfId="99"/>
    <cellStyle name="CurrencyTB-RWB 2 2 3 5 2 2" xfId="99"/>
    <cellStyle name="CurrencyTB-RWB 2 2 3 5 2 3" xfId="99"/>
    <cellStyle name="CurrencyTB-RWB 2 2 3 5 2 4" xfId="99"/>
    <cellStyle name="CurrencyTB-RWB 2 2 3 5 2 5" xfId="99"/>
    <cellStyle name="CurrencyTB-RWB 2 2 3 5 3" xfId="99"/>
    <cellStyle name="CurrencyTB-RWB 2 2 3 5 3 2" xfId="99"/>
    <cellStyle name="CurrencyTB-RWB 2 2 3 5 3 3" xfId="99"/>
    <cellStyle name="CurrencyTB-RWB 2 2 3 5 3 4" xfId="99"/>
    <cellStyle name="CurrencyTB-RWB 2 2 3 5 4" xfId="99"/>
    <cellStyle name="CurrencyTB-RWB 2 2 3 5 5" xfId="99"/>
    <cellStyle name="CurrencyTB-RWB 2 2 3 5 6" xfId="99"/>
    <cellStyle name="CurrencyTB-RWB 2 2 3 5 7" xfId="99"/>
    <cellStyle name="CurrencyTB-RWB 2 2 3 5 8" xfId="99"/>
    <cellStyle name="CurrencyTB-RWB 2 2 3 6" xfId="99"/>
    <cellStyle name="CurrencyTB-RWB 2 2 3 6 2" xfId="99"/>
    <cellStyle name="CurrencyTB-RWB 2 2 3 6 3" xfId="99"/>
    <cellStyle name="CurrencyTB-RWB 2 2 3 6 4" xfId="99"/>
    <cellStyle name="CurrencyTB-RWB 2 2 3 6 5" xfId="99"/>
    <cellStyle name="CurrencyTB-RWB 2 2 3 7" xfId="99"/>
    <cellStyle name="CurrencyTB-RWB 2 2 3 8" xfId="99"/>
    <cellStyle name="CurrencyTB-RWB 2 2 3 9" xfId="99"/>
    <cellStyle name="CurrencyTB-RWB 2 2 4" xfId="99"/>
    <cellStyle name="CurrencyTB-RWB 2 2 4 10" xfId="99"/>
    <cellStyle name="CurrencyTB-RWB 2 2 4 2" xfId="99"/>
    <cellStyle name="CurrencyTB-RWB 2 2 4 2 2" xfId="99"/>
    <cellStyle name="CurrencyTB-RWB 2 2 4 2 2 2" xfId="99"/>
    <cellStyle name="CurrencyTB-RWB 2 2 4 2 2 3" xfId="99"/>
    <cellStyle name="CurrencyTB-RWB 2 2 4 2 2 4" xfId="99"/>
    <cellStyle name="CurrencyTB-RWB 2 2 4 2 2 5" xfId="99"/>
    <cellStyle name="CurrencyTB-RWB 2 2 4 2 3" xfId="99"/>
    <cellStyle name="CurrencyTB-RWB 2 2 4 2 3 2" xfId="99"/>
    <cellStyle name="CurrencyTB-RWB 2 2 4 2 3 3" xfId="99"/>
    <cellStyle name="CurrencyTB-RWB 2 2 4 2 3 4" xfId="99"/>
    <cellStyle name="CurrencyTB-RWB 2 2 4 2 4" xfId="99"/>
    <cellStyle name="CurrencyTB-RWB 2 2 4 2 5" xfId="99"/>
    <cellStyle name="CurrencyTB-RWB 2 2 4 2 6" xfId="99"/>
    <cellStyle name="CurrencyTB-RWB 2 2 4 2 7" xfId="99"/>
    <cellStyle name="CurrencyTB-RWB 2 2 4 2 8" xfId="99"/>
    <cellStyle name="CurrencyTB-RWB 2 2 4 3" xfId="99"/>
    <cellStyle name="CurrencyTB-RWB 2 2 4 3 2" xfId="99"/>
    <cellStyle name="CurrencyTB-RWB 2 2 4 3 2 2" xfId="99"/>
    <cellStyle name="CurrencyTB-RWB 2 2 4 3 2 3" xfId="99"/>
    <cellStyle name="CurrencyTB-RWB 2 2 4 3 2 4" xfId="99"/>
    <cellStyle name="CurrencyTB-RWB 2 2 4 3 2 5" xfId="99"/>
    <cellStyle name="CurrencyTB-RWB 2 2 4 3 3" xfId="99"/>
    <cellStyle name="CurrencyTB-RWB 2 2 4 3 3 2" xfId="99"/>
    <cellStyle name="CurrencyTB-RWB 2 2 4 3 3 3" xfId="99"/>
    <cellStyle name="CurrencyTB-RWB 2 2 4 3 3 4" xfId="99"/>
    <cellStyle name="CurrencyTB-RWB 2 2 4 3 4" xfId="99"/>
    <cellStyle name="CurrencyTB-RWB 2 2 4 3 5" xfId="99"/>
    <cellStyle name="CurrencyTB-RWB 2 2 4 3 6" xfId="99"/>
    <cellStyle name="CurrencyTB-RWB 2 2 4 3 7" xfId="99"/>
    <cellStyle name="CurrencyTB-RWB 2 2 4 3 8" xfId="99"/>
    <cellStyle name="CurrencyTB-RWB 2 2 4 4" xfId="99"/>
    <cellStyle name="CurrencyTB-RWB 2 2 4 4 2" xfId="99"/>
    <cellStyle name="CurrencyTB-RWB 2 2 4 4 2 2" xfId="99"/>
    <cellStyle name="CurrencyTB-RWB 2 2 4 4 2 3" xfId="99"/>
    <cellStyle name="CurrencyTB-RWB 2 2 4 4 2 4" xfId="99"/>
    <cellStyle name="CurrencyTB-RWB 2 2 4 4 2 5" xfId="99"/>
    <cellStyle name="CurrencyTB-RWB 2 2 4 4 3" xfId="99"/>
    <cellStyle name="CurrencyTB-RWB 2 2 4 4 3 2" xfId="99"/>
    <cellStyle name="CurrencyTB-RWB 2 2 4 4 3 3" xfId="99"/>
    <cellStyle name="CurrencyTB-RWB 2 2 4 4 3 4" xfId="99"/>
    <cellStyle name="CurrencyTB-RWB 2 2 4 4 4" xfId="99"/>
    <cellStyle name="CurrencyTB-RWB 2 2 4 4 5" xfId="99"/>
    <cellStyle name="CurrencyTB-RWB 2 2 4 4 6" xfId="99"/>
    <cellStyle name="CurrencyTB-RWB 2 2 4 4 7" xfId="99"/>
    <cellStyle name="CurrencyTB-RWB 2 2 4 5" xfId="99"/>
    <cellStyle name="CurrencyTB-RWB 2 2 4 5 2" xfId="99"/>
    <cellStyle name="CurrencyTB-RWB 2 2 4 5 2 2" xfId="99"/>
    <cellStyle name="CurrencyTB-RWB 2 2 4 5 2 3" xfId="99"/>
    <cellStyle name="CurrencyTB-RWB 2 2 4 5 2 4" xfId="99"/>
    <cellStyle name="CurrencyTB-RWB 2 2 4 5 2 5" xfId="99"/>
    <cellStyle name="CurrencyTB-RWB 2 2 4 5 3" xfId="99"/>
    <cellStyle name="CurrencyTB-RWB 2 2 4 5 3 2" xfId="99"/>
    <cellStyle name="CurrencyTB-RWB 2 2 4 5 3 3" xfId="99"/>
    <cellStyle name="CurrencyTB-RWB 2 2 4 5 3 4" xfId="99"/>
    <cellStyle name="CurrencyTB-RWB 2 2 4 5 4" xfId="99"/>
    <cellStyle name="CurrencyTB-RWB 2 2 4 5 5" xfId="99"/>
    <cellStyle name="CurrencyTB-RWB 2 2 4 5 6" xfId="99"/>
    <cellStyle name="CurrencyTB-RWB 2 2 4 5 7" xfId="99"/>
    <cellStyle name="CurrencyTB-RWB 2 2 4 5 8" xfId="99"/>
    <cellStyle name="CurrencyTB-RWB 2 2 4 6" xfId="99"/>
    <cellStyle name="CurrencyTB-RWB 2 2 4 6 2" xfId="99"/>
    <cellStyle name="CurrencyTB-RWB 2 2 4 6 3" xfId="99"/>
    <cellStyle name="CurrencyTB-RWB 2 2 4 6 4" xfId="99"/>
    <cellStyle name="CurrencyTB-RWB 2 2 4 6 5" xfId="99"/>
    <cellStyle name="CurrencyTB-RWB 2 2 4 7" xfId="99"/>
    <cellStyle name="CurrencyTB-RWB 2 2 4 8" xfId="99"/>
    <cellStyle name="CurrencyTB-RWB 2 2 4 9" xfId="99"/>
    <cellStyle name="CurrencyTB-RWB 2 2 5" xfId="99"/>
    <cellStyle name="CurrencyTB-RWB 2 2 5 2" xfId="99"/>
    <cellStyle name="CurrencyTB-RWB 2 2 5 2 2" xfId="99"/>
    <cellStyle name="CurrencyTB-RWB 2 2 5 2 3" xfId="99"/>
    <cellStyle name="CurrencyTB-RWB 2 2 5 2 4" xfId="99"/>
    <cellStyle name="CurrencyTB-RWB 2 2 5 2 5" xfId="99"/>
    <cellStyle name="CurrencyTB-RWB 2 2 5 3" xfId="99"/>
    <cellStyle name="CurrencyTB-RWB 2 2 5 3 2" xfId="99"/>
    <cellStyle name="CurrencyTB-RWB 2 2 5 3 3" xfId="99"/>
    <cellStyle name="CurrencyTB-RWB 2 2 5 3 4" xfId="99"/>
    <cellStyle name="CurrencyTB-RWB 2 2 5 4" xfId="99"/>
    <cellStyle name="CurrencyTB-RWB 2 2 5 5" xfId="99"/>
    <cellStyle name="CurrencyTB-RWB 2 2 5 6" xfId="99"/>
    <cellStyle name="CurrencyTB-RWB 2 2 5 7" xfId="99"/>
    <cellStyle name="CurrencyTB-RWB 2 2 5 8" xfId="99"/>
    <cellStyle name="CurrencyTB-RWB 2 2 6" xfId="99"/>
    <cellStyle name="CurrencyTB-RWB 2 2 6 2" xfId="99"/>
    <cellStyle name="CurrencyTB-RWB 2 2 6 2 2" xfId="99"/>
    <cellStyle name="CurrencyTB-RWB 2 2 6 2 3" xfId="99"/>
    <cellStyle name="CurrencyTB-RWB 2 2 6 2 4" xfId="99"/>
    <cellStyle name="CurrencyTB-RWB 2 2 6 2 5" xfId="99"/>
    <cellStyle name="CurrencyTB-RWB 2 2 6 3" xfId="99"/>
    <cellStyle name="CurrencyTB-RWB 2 2 6 3 2" xfId="99"/>
    <cellStyle name="CurrencyTB-RWB 2 2 6 3 3" xfId="99"/>
    <cellStyle name="CurrencyTB-RWB 2 2 6 3 4" xfId="99"/>
    <cellStyle name="CurrencyTB-RWB 2 2 6 4" xfId="99"/>
    <cellStyle name="CurrencyTB-RWB 2 2 6 5" xfId="99"/>
    <cellStyle name="CurrencyTB-RWB 2 2 6 6" xfId="99"/>
    <cellStyle name="CurrencyTB-RWB 2 2 6 7" xfId="99"/>
    <cellStyle name="CurrencyTB-RWB 2 2 6 8" xfId="99"/>
    <cellStyle name="CurrencyTB-RWB 2 2 7" xfId="99"/>
    <cellStyle name="CurrencyTB-RWB 2 2 7 2" xfId="99"/>
    <cellStyle name="CurrencyTB-RWB 2 2 7 2 2" xfId="99"/>
    <cellStyle name="CurrencyTB-RWB 2 2 7 2 3" xfId="99"/>
    <cellStyle name="CurrencyTB-RWB 2 2 7 2 4" xfId="99"/>
    <cellStyle name="CurrencyTB-RWB 2 2 7 2 5" xfId="99"/>
    <cellStyle name="CurrencyTB-RWB 2 2 7 3" xfId="99"/>
    <cellStyle name="CurrencyTB-RWB 2 2 7 3 2" xfId="99"/>
    <cellStyle name="CurrencyTB-RWB 2 2 7 3 3" xfId="99"/>
    <cellStyle name="CurrencyTB-RWB 2 2 7 3 4" xfId="99"/>
    <cellStyle name="CurrencyTB-RWB 2 2 7 4" xfId="99"/>
    <cellStyle name="CurrencyTB-RWB 2 2 7 5" xfId="99"/>
    <cellStyle name="CurrencyTB-RWB 2 2 7 6" xfId="99"/>
    <cellStyle name="CurrencyTB-RWB 2 2 7 7" xfId="99"/>
    <cellStyle name="CurrencyTB-RWB 2 2 8" xfId="99"/>
    <cellStyle name="CurrencyTB-RWB 2 2 8 2" xfId="99"/>
    <cellStyle name="CurrencyTB-RWB 2 2 8 2 2" xfId="99"/>
    <cellStyle name="CurrencyTB-RWB 2 2 8 2 3" xfId="99"/>
    <cellStyle name="CurrencyTB-RWB 2 2 8 2 4" xfId="99"/>
    <cellStyle name="CurrencyTB-RWB 2 2 8 2 5" xfId="99"/>
    <cellStyle name="CurrencyTB-RWB 2 2 8 3" xfId="99"/>
    <cellStyle name="CurrencyTB-RWB 2 2 8 3 2" xfId="99"/>
    <cellStyle name="CurrencyTB-RWB 2 2 8 3 3" xfId="99"/>
    <cellStyle name="CurrencyTB-RWB 2 2 8 3 4" xfId="99"/>
    <cellStyle name="CurrencyTB-RWB 2 2 8 4" xfId="99"/>
    <cellStyle name="CurrencyTB-RWB 2 2 8 5" xfId="99"/>
    <cellStyle name="CurrencyTB-RWB 2 2 8 6" xfId="99"/>
    <cellStyle name="CurrencyTB-RWB 2 2 8 7" xfId="99"/>
    <cellStyle name="CurrencyTB-RWB 2 2 8 8" xfId="99"/>
    <cellStyle name="CurrencyTB-RWB 2 2 9" xfId="99"/>
    <cellStyle name="CurrencyTB-RWB 2 2 9 2" xfId="99"/>
    <cellStyle name="CurrencyTB-RWB 2 2 9 3" xfId="99"/>
    <cellStyle name="CurrencyTB-RWB 2 2 9 4" xfId="99"/>
    <cellStyle name="CurrencyTB-RWB 2 2 9 5" xfId="99"/>
    <cellStyle name="CurrencyTB-RWB 2 3" xfId="99"/>
    <cellStyle name="CurrencyTB-RWB 2 3 10" xfId="99"/>
    <cellStyle name="CurrencyTB-RWB 2 3 2" xfId="99"/>
    <cellStyle name="CurrencyTB-RWB 2 3 2 2" xfId="99"/>
    <cellStyle name="CurrencyTB-RWB 2 3 2 2 2" xfId="99"/>
    <cellStyle name="CurrencyTB-RWB 2 3 2 2 3" xfId="99"/>
    <cellStyle name="CurrencyTB-RWB 2 3 2 2 4" xfId="99"/>
    <cellStyle name="CurrencyTB-RWB 2 3 2 2 5" xfId="99"/>
    <cellStyle name="CurrencyTB-RWB 2 3 2 3" xfId="99"/>
    <cellStyle name="CurrencyTB-RWB 2 3 2 3 2" xfId="99"/>
    <cellStyle name="CurrencyTB-RWB 2 3 2 3 3" xfId="99"/>
    <cellStyle name="CurrencyTB-RWB 2 3 2 3 4" xfId="99"/>
    <cellStyle name="CurrencyTB-RWB 2 3 2 4" xfId="99"/>
    <cellStyle name="CurrencyTB-RWB 2 3 2 5" xfId="99"/>
    <cellStyle name="CurrencyTB-RWB 2 3 2 6" xfId="99"/>
    <cellStyle name="CurrencyTB-RWB 2 3 2 7" xfId="99"/>
    <cellStyle name="CurrencyTB-RWB 2 3 2 8" xfId="99"/>
    <cellStyle name="CurrencyTB-RWB 2 3 3" xfId="99"/>
    <cellStyle name="CurrencyTB-RWB 2 3 3 2" xfId="99"/>
    <cellStyle name="CurrencyTB-RWB 2 3 3 2 2" xfId="99"/>
    <cellStyle name="CurrencyTB-RWB 2 3 3 2 3" xfId="99"/>
    <cellStyle name="CurrencyTB-RWB 2 3 3 2 4" xfId="99"/>
    <cellStyle name="CurrencyTB-RWB 2 3 3 2 5" xfId="99"/>
    <cellStyle name="CurrencyTB-RWB 2 3 3 3" xfId="99"/>
    <cellStyle name="CurrencyTB-RWB 2 3 3 3 2" xfId="99"/>
    <cellStyle name="CurrencyTB-RWB 2 3 3 3 3" xfId="99"/>
    <cellStyle name="CurrencyTB-RWB 2 3 3 3 4" xfId="99"/>
    <cellStyle name="CurrencyTB-RWB 2 3 3 4" xfId="99"/>
    <cellStyle name="CurrencyTB-RWB 2 3 3 5" xfId="99"/>
    <cellStyle name="CurrencyTB-RWB 2 3 3 6" xfId="99"/>
    <cellStyle name="CurrencyTB-RWB 2 3 3 7" xfId="99"/>
    <cellStyle name="CurrencyTB-RWB 2 3 3 8" xfId="99"/>
    <cellStyle name="CurrencyTB-RWB 2 3 4" xfId="99"/>
    <cellStyle name="CurrencyTB-RWB 2 3 4 2" xfId="99"/>
    <cellStyle name="CurrencyTB-RWB 2 3 4 2 2" xfId="99"/>
    <cellStyle name="CurrencyTB-RWB 2 3 4 2 3" xfId="99"/>
    <cellStyle name="CurrencyTB-RWB 2 3 4 2 4" xfId="99"/>
    <cellStyle name="CurrencyTB-RWB 2 3 4 2 5" xfId="99"/>
    <cellStyle name="CurrencyTB-RWB 2 3 4 3" xfId="99"/>
    <cellStyle name="CurrencyTB-RWB 2 3 4 3 2" xfId="99"/>
    <cellStyle name="CurrencyTB-RWB 2 3 4 3 3" xfId="99"/>
    <cellStyle name="CurrencyTB-RWB 2 3 4 3 4" xfId="99"/>
    <cellStyle name="CurrencyTB-RWB 2 3 4 4" xfId="99"/>
    <cellStyle name="CurrencyTB-RWB 2 3 4 5" xfId="99"/>
    <cellStyle name="CurrencyTB-RWB 2 3 4 6" xfId="99"/>
    <cellStyle name="CurrencyTB-RWB 2 3 4 7" xfId="99"/>
    <cellStyle name="CurrencyTB-RWB 2 3 5" xfId="99"/>
    <cellStyle name="CurrencyTB-RWB 2 3 5 2" xfId="99"/>
    <cellStyle name="CurrencyTB-RWB 2 3 5 2 2" xfId="99"/>
    <cellStyle name="CurrencyTB-RWB 2 3 5 2 3" xfId="99"/>
    <cellStyle name="CurrencyTB-RWB 2 3 5 2 4" xfId="99"/>
    <cellStyle name="CurrencyTB-RWB 2 3 5 2 5" xfId="99"/>
    <cellStyle name="CurrencyTB-RWB 2 3 5 3" xfId="99"/>
    <cellStyle name="CurrencyTB-RWB 2 3 5 3 2" xfId="99"/>
    <cellStyle name="CurrencyTB-RWB 2 3 5 3 3" xfId="99"/>
    <cellStyle name="CurrencyTB-RWB 2 3 5 3 4" xfId="99"/>
    <cellStyle name="CurrencyTB-RWB 2 3 5 4" xfId="99"/>
    <cellStyle name="CurrencyTB-RWB 2 3 5 5" xfId="99"/>
    <cellStyle name="CurrencyTB-RWB 2 3 5 6" xfId="99"/>
    <cellStyle name="CurrencyTB-RWB 2 3 5 7" xfId="99"/>
    <cellStyle name="CurrencyTB-RWB 2 3 5 8" xfId="99"/>
    <cellStyle name="CurrencyTB-RWB 2 3 6" xfId="99"/>
    <cellStyle name="CurrencyTB-RWB 2 3 6 2" xfId="99"/>
    <cellStyle name="CurrencyTB-RWB 2 3 6 3" xfId="99"/>
    <cellStyle name="CurrencyTB-RWB 2 3 6 4" xfId="99"/>
    <cellStyle name="CurrencyTB-RWB 2 3 6 5" xfId="99"/>
    <cellStyle name="CurrencyTB-RWB 2 3 7" xfId="99"/>
    <cellStyle name="CurrencyTB-RWB 2 3 8" xfId="99"/>
    <cellStyle name="CurrencyTB-RWB 2 3 9" xfId="99"/>
    <cellStyle name="CurrencyTB-RWB 2 4" xfId="99"/>
    <cellStyle name="CurrencyTB-RWB 2 4 10" xfId="99"/>
    <cellStyle name="CurrencyTB-RWB 2 4 2" xfId="99"/>
    <cellStyle name="CurrencyTB-RWB 2 4 2 2" xfId="99"/>
    <cellStyle name="CurrencyTB-RWB 2 4 2 2 2" xfId="99"/>
    <cellStyle name="CurrencyTB-RWB 2 4 2 2 3" xfId="99"/>
    <cellStyle name="CurrencyTB-RWB 2 4 2 2 4" xfId="99"/>
    <cellStyle name="CurrencyTB-RWB 2 4 2 2 5" xfId="99"/>
    <cellStyle name="CurrencyTB-RWB 2 4 2 3" xfId="99"/>
    <cellStyle name="CurrencyTB-RWB 2 4 2 3 2" xfId="99"/>
    <cellStyle name="CurrencyTB-RWB 2 4 2 3 3" xfId="99"/>
    <cellStyle name="CurrencyTB-RWB 2 4 2 3 4" xfId="99"/>
    <cellStyle name="CurrencyTB-RWB 2 4 2 4" xfId="99"/>
    <cellStyle name="CurrencyTB-RWB 2 4 2 5" xfId="99"/>
    <cellStyle name="CurrencyTB-RWB 2 4 2 6" xfId="99"/>
    <cellStyle name="CurrencyTB-RWB 2 4 2 7" xfId="99"/>
    <cellStyle name="CurrencyTB-RWB 2 4 2 8" xfId="99"/>
    <cellStyle name="CurrencyTB-RWB 2 4 3" xfId="99"/>
    <cellStyle name="CurrencyTB-RWB 2 4 3 2" xfId="99"/>
    <cellStyle name="CurrencyTB-RWB 2 4 3 2 2" xfId="99"/>
    <cellStyle name="CurrencyTB-RWB 2 4 3 2 3" xfId="99"/>
    <cellStyle name="CurrencyTB-RWB 2 4 3 2 4" xfId="99"/>
    <cellStyle name="CurrencyTB-RWB 2 4 3 2 5" xfId="99"/>
    <cellStyle name="CurrencyTB-RWB 2 4 3 3" xfId="99"/>
    <cellStyle name="CurrencyTB-RWB 2 4 3 3 2" xfId="99"/>
    <cellStyle name="CurrencyTB-RWB 2 4 3 3 3" xfId="99"/>
    <cellStyle name="CurrencyTB-RWB 2 4 3 3 4" xfId="99"/>
    <cellStyle name="CurrencyTB-RWB 2 4 3 4" xfId="99"/>
    <cellStyle name="CurrencyTB-RWB 2 4 3 5" xfId="99"/>
    <cellStyle name="CurrencyTB-RWB 2 4 3 6" xfId="99"/>
    <cellStyle name="CurrencyTB-RWB 2 4 3 7" xfId="99"/>
    <cellStyle name="CurrencyTB-RWB 2 4 3 8" xfId="99"/>
    <cellStyle name="CurrencyTB-RWB 2 4 4" xfId="99"/>
    <cellStyle name="CurrencyTB-RWB 2 4 4 2" xfId="99"/>
    <cellStyle name="CurrencyTB-RWB 2 4 4 2 2" xfId="99"/>
    <cellStyle name="CurrencyTB-RWB 2 4 4 2 3" xfId="99"/>
    <cellStyle name="CurrencyTB-RWB 2 4 4 2 4" xfId="99"/>
    <cellStyle name="CurrencyTB-RWB 2 4 4 2 5" xfId="99"/>
    <cellStyle name="CurrencyTB-RWB 2 4 4 3" xfId="99"/>
    <cellStyle name="CurrencyTB-RWB 2 4 4 3 2" xfId="99"/>
    <cellStyle name="CurrencyTB-RWB 2 4 4 3 3" xfId="99"/>
    <cellStyle name="CurrencyTB-RWB 2 4 4 3 4" xfId="99"/>
    <cellStyle name="CurrencyTB-RWB 2 4 4 4" xfId="99"/>
    <cellStyle name="CurrencyTB-RWB 2 4 4 5" xfId="99"/>
    <cellStyle name="CurrencyTB-RWB 2 4 4 6" xfId="99"/>
    <cellStyle name="CurrencyTB-RWB 2 4 4 7" xfId="99"/>
    <cellStyle name="CurrencyTB-RWB 2 4 5" xfId="99"/>
    <cellStyle name="CurrencyTB-RWB 2 4 5 2" xfId="99"/>
    <cellStyle name="CurrencyTB-RWB 2 4 5 2 2" xfId="99"/>
    <cellStyle name="CurrencyTB-RWB 2 4 5 2 3" xfId="99"/>
    <cellStyle name="CurrencyTB-RWB 2 4 5 2 4" xfId="99"/>
    <cellStyle name="CurrencyTB-RWB 2 4 5 2 5" xfId="99"/>
    <cellStyle name="CurrencyTB-RWB 2 4 5 3" xfId="99"/>
    <cellStyle name="CurrencyTB-RWB 2 4 5 3 2" xfId="99"/>
    <cellStyle name="CurrencyTB-RWB 2 4 5 3 3" xfId="99"/>
    <cellStyle name="CurrencyTB-RWB 2 4 5 3 4" xfId="99"/>
    <cellStyle name="CurrencyTB-RWB 2 4 5 4" xfId="99"/>
    <cellStyle name="CurrencyTB-RWB 2 4 5 5" xfId="99"/>
    <cellStyle name="CurrencyTB-RWB 2 4 5 6" xfId="99"/>
    <cellStyle name="CurrencyTB-RWB 2 4 5 7" xfId="99"/>
    <cellStyle name="CurrencyTB-RWB 2 4 5 8" xfId="99"/>
    <cellStyle name="CurrencyTB-RWB 2 4 6" xfId="99"/>
    <cellStyle name="CurrencyTB-RWB 2 4 6 2" xfId="99"/>
    <cellStyle name="CurrencyTB-RWB 2 4 6 3" xfId="99"/>
    <cellStyle name="CurrencyTB-RWB 2 4 6 4" xfId="99"/>
    <cellStyle name="CurrencyTB-RWB 2 4 6 5" xfId="99"/>
    <cellStyle name="CurrencyTB-RWB 2 4 7" xfId="99"/>
    <cellStyle name="CurrencyTB-RWB 2 4 8" xfId="99"/>
    <cellStyle name="CurrencyTB-RWB 2 4 9" xfId="99"/>
    <cellStyle name="CurrencyTB-RWB 2 5" xfId="99"/>
    <cellStyle name="CurrencyTB-RWB 2 5 2" xfId="99"/>
    <cellStyle name="CurrencyTB-RWB 2 5 2 2" xfId="99"/>
    <cellStyle name="CurrencyTB-RWB 2 5 2 3" xfId="99"/>
    <cellStyle name="CurrencyTB-RWB 2 5 2 4" xfId="99"/>
    <cellStyle name="CurrencyTB-RWB 2 5 2 5" xfId="99"/>
    <cellStyle name="CurrencyTB-RWB 2 5 3" xfId="99"/>
    <cellStyle name="CurrencyTB-RWB 2 5 3 2" xfId="99"/>
    <cellStyle name="CurrencyTB-RWB 2 5 3 3" xfId="99"/>
    <cellStyle name="CurrencyTB-RWB 2 5 3 4" xfId="99"/>
    <cellStyle name="CurrencyTB-RWB 2 5 4" xfId="99"/>
    <cellStyle name="CurrencyTB-RWB 2 5 5" xfId="99"/>
    <cellStyle name="CurrencyTB-RWB 2 5 6" xfId="99"/>
    <cellStyle name="CurrencyTB-RWB 2 5 7" xfId="99"/>
    <cellStyle name="CurrencyTB-RWB 2 5 8" xfId="99"/>
    <cellStyle name="CurrencyTB-RWB 2 6" xfId="99"/>
    <cellStyle name="CurrencyTB-RWB 2 6 2" xfId="99"/>
    <cellStyle name="CurrencyTB-RWB 2 6 2 2" xfId="99"/>
    <cellStyle name="CurrencyTB-RWB 2 6 2 3" xfId="99"/>
    <cellStyle name="CurrencyTB-RWB 2 6 2 4" xfId="99"/>
    <cellStyle name="CurrencyTB-RWB 2 6 2 5" xfId="99"/>
    <cellStyle name="CurrencyTB-RWB 2 6 3" xfId="99"/>
    <cellStyle name="CurrencyTB-RWB 2 6 3 2" xfId="99"/>
    <cellStyle name="CurrencyTB-RWB 2 6 3 3" xfId="99"/>
    <cellStyle name="CurrencyTB-RWB 2 6 3 4" xfId="99"/>
    <cellStyle name="CurrencyTB-RWB 2 6 4" xfId="99"/>
    <cellStyle name="CurrencyTB-RWB 2 6 5" xfId="99"/>
    <cellStyle name="CurrencyTB-RWB 2 6 6" xfId="99"/>
    <cellStyle name="CurrencyTB-RWB 2 6 7" xfId="99"/>
    <cellStyle name="CurrencyTB-RWB 2 6 8" xfId="99"/>
    <cellStyle name="CurrencyTB-RWB 2 7" xfId="99"/>
    <cellStyle name="CurrencyTB-RWB 2 7 2" xfId="99"/>
    <cellStyle name="CurrencyTB-RWB 2 7 2 2" xfId="99"/>
    <cellStyle name="CurrencyTB-RWB 2 7 2 3" xfId="99"/>
    <cellStyle name="CurrencyTB-RWB 2 7 2 4" xfId="99"/>
    <cellStyle name="CurrencyTB-RWB 2 7 2 5" xfId="99"/>
    <cellStyle name="CurrencyTB-RWB 2 7 3" xfId="99"/>
    <cellStyle name="CurrencyTB-RWB 2 7 3 2" xfId="99"/>
    <cellStyle name="CurrencyTB-RWB 2 7 3 3" xfId="99"/>
    <cellStyle name="CurrencyTB-RWB 2 7 3 4" xfId="99"/>
    <cellStyle name="CurrencyTB-RWB 2 7 4" xfId="99"/>
    <cellStyle name="CurrencyTB-RWB 2 7 5" xfId="99"/>
    <cellStyle name="CurrencyTB-RWB 2 7 6" xfId="99"/>
    <cellStyle name="CurrencyTB-RWB 2 7 7" xfId="99"/>
    <cellStyle name="CurrencyTB-RWB 2 8" xfId="99"/>
    <cellStyle name="CurrencyTB-RWB 2 8 2" xfId="99"/>
    <cellStyle name="CurrencyTB-RWB 2 8 2 2" xfId="99"/>
    <cellStyle name="CurrencyTB-RWB 2 8 2 3" xfId="99"/>
    <cellStyle name="CurrencyTB-RWB 2 8 2 4" xfId="99"/>
    <cellStyle name="CurrencyTB-RWB 2 8 2 5" xfId="99"/>
    <cellStyle name="CurrencyTB-RWB 2 8 3" xfId="99"/>
    <cellStyle name="CurrencyTB-RWB 2 8 3 2" xfId="99"/>
    <cellStyle name="CurrencyTB-RWB 2 8 3 3" xfId="99"/>
    <cellStyle name="CurrencyTB-RWB 2 8 3 4" xfId="99"/>
    <cellStyle name="CurrencyTB-RWB 2 8 4" xfId="99"/>
    <cellStyle name="CurrencyTB-RWB 2 8 5" xfId="99"/>
    <cellStyle name="CurrencyTB-RWB 2 8 6" xfId="99"/>
    <cellStyle name="CurrencyTB-RWB 2 8 7" xfId="99"/>
    <cellStyle name="CurrencyTB-RWB 2 8 8" xfId="99"/>
    <cellStyle name="CurrencyTB-RWB 2 9" xfId="99"/>
    <cellStyle name="CurrencyTB-RWB 2 9 2" xfId="99"/>
    <cellStyle name="CurrencyTB-RWB 2 9 3" xfId="99"/>
    <cellStyle name="CurrencyTB-RWB 2 9 4" xfId="99"/>
    <cellStyle name="CurrencyTB-RWB 2 9 5" xfId="99"/>
    <cellStyle name="CurrencyTB-RWB 3" xfId="99"/>
    <cellStyle name="CurrencyTB-RWB 3 10" xfId="99"/>
    <cellStyle name="CurrencyTB-RWB 3 11" xfId="99"/>
    <cellStyle name="CurrencyTB-RWB 3 12" xfId="99"/>
    <cellStyle name="CurrencyTB-RWB 3 2" xfId="99"/>
    <cellStyle name="CurrencyTB-RWB 3 2 10" xfId="99"/>
    <cellStyle name="CurrencyTB-RWB 3 2 2" xfId="99"/>
    <cellStyle name="CurrencyTB-RWB 3 2 2 2" xfId="99"/>
    <cellStyle name="CurrencyTB-RWB 3 2 2 2 2" xfId="99"/>
    <cellStyle name="CurrencyTB-RWB 3 2 2 2 3" xfId="99"/>
    <cellStyle name="CurrencyTB-RWB 3 2 2 2 4" xfId="99"/>
    <cellStyle name="CurrencyTB-RWB 3 2 2 2 5" xfId="99"/>
    <cellStyle name="CurrencyTB-RWB 3 2 2 3" xfId="99"/>
    <cellStyle name="CurrencyTB-RWB 3 2 2 3 2" xfId="99"/>
    <cellStyle name="CurrencyTB-RWB 3 2 2 3 3" xfId="99"/>
    <cellStyle name="CurrencyTB-RWB 3 2 2 3 4" xfId="99"/>
    <cellStyle name="CurrencyTB-RWB 3 2 2 4" xfId="99"/>
    <cellStyle name="CurrencyTB-RWB 3 2 2 5" xfId="99"/>
    <cellStyle name="CurrencyTB-RWB 3 2 2 6" xfId="99"/>
    <cellStyle name="CurrencyTB-RWB 3 2 2 7" xfId="99"/>
    <cellStyle name="CurrencyTB-RWB 3 2 2 8" xfId="99"/>
    <cellStyle name="CurrencyTB-RWB 3 2 3" xfId="99"/>
    <cellStyle name="CurrencyTB-RWB 3 2 3 2" xfId="99"/>
    <cellStyle name="CurrencyTB-RWB 3 2 3 2 2" xfId="99"/>
    <cellStyle name="CurrencyTB-RWB 3 2 3 2 3" xfId="99"/>
    <cellStyle name="CurrencyTB-RWB 3 2 3 2 4" xfId="99"/>
    <cellStyle name="CurrencyTB-RWB 3 2 3 2 5" xfId="99"/>
    <cellStyle name="CurrencyTB-RWB 3 2 3 3" xfId="99"/>
    <cellStyle name="CurrencyTB-RWB 3 2 3 3 2" xfId="99"/>
    <cellStyle name="CurrencyTB-RWB 3 2 3 3 3" xfId="99"/>
    <cellStyle name="CurrencyTB-RWB 3 2 3 3 4" xfId="99"/>
    <cellStyle name="CurrencyTB-RWB 3 2 3 4" xfId="99"/>
    <cellStyle name="CurrencyTB-RWB 3 2 3 5" xfId="99"/>
    <cellStyle name="CurrencyTB-RWB 3 2 3 6" xfId="99"/>
    <cellStyle name="CurrencyTB-RWB 3 2 3 7" xfId="99"/>
    <cellStyle name="CurrencyTB-RWB 3 2 3 8" xfId="99"/>
    <cellStyle name="CurrencyTB-RWB 3 2 4" xfId="99"/>
    <cellStyle name="CurrencyTB-RWB 3 2 4 2" xfId="99"/>
    <cellStyle name="CurrencyTB-RWB 3 2 4 2 2" xfId="99"/>
    <cellStyle name="CurrencyTB-RWB 3 2 4 2 3" xfId="99"/>
    <cellStyle name="CurrencyTB-RWB 3 2 4 2 4" xfId="99"/>
    <cellStyle name="CurrencyTB-RWB 3 2 4 2 5" xfId="99"/>
    <cellStyle name="CurrencyTB-RWB 3 2 4 3" xfId="99"/>
    <cellStyle name="CurrencyTB-RWB 3 2 4 3 2" xfId="99"/>
    <cellStyle name="CurrencyTB-RWB 3 2 4 3 3" xfId="99"/>
    <cellStyle name="CurrencyTB-RWB 3 2 4 3 4" xfId="99"/>
    <cellStyle name="CurrencyTB-RWB 3 2 4 4" xfId="99"/>
    <cellStyle name="CurrencyTB-RWB 3 2 4 5" xfId="99"/>
    <cellStyle name="CurrencyTB-RWB 3 2 4 6" xfId="99"/>
    <cellStyle name="CurrencyTB-RWB 3 2 4 7" xfId="99"/>
    <cellStyle name="CurrencyTB-RWB 3 2 5" xfId="99"/>
    <cellStyle name="CurrencyTB-RWB 3 2 5 2" xfId="99"/>
    <cellStyle name="CurrencyTB-RWB 3 2 5 2 2" xfId="99"/>
    <cellStyle name="CurrencyTB-RWB 3 2 5 2 3" xfId="99"/>
    <cellStyle name="CurrencyTB-RWB 3 2 5 2 4" xfId="99"/>
    <cellStyle name="CurrencyTB-RWB 3 2 5 2 5" xfId="99"/>
    <cellStyle name="CurrencyTB-RWB 3 2 5 3" xfId="99"/>
    <cellStyle name="CurrencyTB-RWB 3 2 5 3 2" xfId="99"/>
    <cellStyle name="CurrencyTB-RWB 3 2 5 3 3" xfId="99"/>
    <cellStyle name="CurrencyTB-RWB 3 2 5 3 4" xfId="99"/>
    <cellStyle name="CurrencyTB-RWB 3 2 5 4" xfId="99"/>
    <cellStyle name="CurrencyTB-RWB 3 2 5 5" xfId="99"/>
    <cellStyle name="CurrencyTB-RWB 3 2 5 6" xfId="99"/>
    <cellStyle name="CurrencyTB-RWB 3 2 5 7" xfId="99"/>
    <cellStyle name="CurrencyTB-RWB 3 2 5 8" xfId="99"/>
    <cellStyle name="CurrencyTB-RWB 3 2 6" xfId="99"/>
    <cellStyle name="CurrencyTB-RWB 3 2 6 2" xfId="99"/>
    <cellStyle name="CurrencyTB-RWB 3 2 6 3" xfId="99"/>
    <cellStyle name="CurrencyTB-RWB 3 2 6 4" xfId="99"/>
    <cellStyle name="CurrencyTB-RWB 3 2 6 5" xfId="99"/>
    <cellStyle name="CurrencyTB-RWB 3 2 7" xfId="99"/>
    <cellStyle name="CurrencyTB-RWB 3 2 8" xfId="99"/>
    <cellStyle name="CurrencyTB-RWB 3 2 9" xfId="99"/>
    <cellStyle name="CurrencyTB-RWB 3 3" xfId="99"/>
    <cellStyle name="CurrencyTB-RWB 3 3 10" xfId="99"/>
    <cellStyle name="CurrencyTB-RWB 3 3 2" xfId="99"/>
    <cellStyle name="CurrencyTB-RWB 3 3 2 2" xfId="99"/>
    <cellStyle name="CurrencyTB-RWB 3 3 2 2 2" xfId="99"/>
    <cellStyle name="CurrencyTB-RWB 3 3 2 2 3" xfId="99"/>
    <cellStyle name="CurrencyTB-RWB 3 3 2 2 4" xfId="99"/>
    <cellStyle name="CurrencyTB-RWB 3 3 2 2 5" xfId="99"/>
    <cellStyle name="CurrencyTB-RWB 3 3 2 3" xfId="99"/>
    <cellStyle name="CurrencyTB-RWB 3 3 2 3 2" xfId="99"/>
    <cellStyle name="CurrencyTB-RWB 3 3 2 3 3" xfId="99"/>
    <cellStyle name="CurrencyTB-RWB 3 3 2 3 4" xfId="99"/>
    <cellStyle name="CurrencyTB-RWB 3 3 2 4" xfId="99"/>
    <cellStyle name="CurrencyTB-RWB 3 3 2 5" xfId="99"/>
    <cellStyle name="CurrencyTB-RWB 3 3 2 6" xfId="99"/>
    <cellStyle name="CurrencyTB-RWB 3 3 2 7" xfId="99"/>
    <cellStyle name="CurrencyTB-RWB 3 3 2 8" xfId="99"/>
    <cellStyle name="CurrencyTB-RWB 3 3 3" xfId="99"/>
    <cellStyle name="CurrencyTB-RWB 3 3 3 2" xfId="99"/>
    <cellStyle name="CurrencyTB-RWB 3 3 3 2 2" xfId="99"/>
    <cellStyle name="CurrencyTB-RWB 3 3 3 2 3" xfId="99"/>
    <cellStyle name="CurrencyTB-RWB 3 3 3 2 4" xfId="99"/>
    <cellStyle name="CurrencyTB-RWB 3 3 3 2 5" xfId="99"/>
    <cellStyle name="CurrencyTB-RWB 3 3 3 3" xfId="99"/>
    <cellStyle name="CurrencyTB-RWB 3 3 3 3 2" xfId="99"/>
    <cellStyle name="CurrencyTB-RWB 3 3 3 3 3" xfId="99"/>
    <cellStyle name="CurrencyTB-RWB 3 3 3 3 4" xfId="99"/>
    <cellStyle name="CurrencyTB-RWB 3 3 3 4" xfId="99"/>
    <cellStyle name="CurrencyTB-RWB 3 3 3 5" xfId="99"/>
    <cellStyle name="CurrencyTB-RWB 3 3 3 6" xfId="99"/>
    <cellStyle name="CurrencyTB-RWB 3 3 3 7" xfId="99"/>
    <cellStyle name="CurrencyTB-RWB 3 3 3 8" xfId="99"/>
    <cellStyle name="CurrencyTB-RWB 3 3 4" xfId="99"/>
    <cellStyle name="CurrencyTB-RWB 3 3 4 2" xfId="99"/>
    <cellStyle name="CurrencyTB-RWB 3 3 4 2 2" xfId="99"/>
    <cellStyle name="CurrencyTB-RWB 3 3 4 2 3" xfId="99"/>
    <cellStyle name="CurrencyTB-RWB 3 3 4 2 4" xfId="99"/>
    <cellStyle name="CurrencyTB-RWB 3 3 4 2 5" xfId="99"/>
    <cellStyle name="CurrencyTB-RWB 3 3 4 3" xfId="99"/>
    <cellStyle name="CurrencyTB-RWB 3 3 4 3 2" xfId="99"/>
    <cellStyle name="CurrencyTB-RWB 3 3 4 3 3" xfId="99"/>
    <cellStyle name="CurrencyTB-RWB 3 3 4 3 4" xfId="99"/>
    <cellStyle name="CurrencyTB-RWB 3 3 4 4" xfId="99"/>
    <cellStyle name="CurrencyTB-RWB 3 3 4 5" xfId="99"/>
    <cellStyle name="CurrencyTB-RWB 3 3 4 6" xfId="99"/>
    <cellStyle name="CurrencyTB-RWB 3 3 4 7" xfId="99"/>
    <cellStyle name="CurrencyTB-RWB 3 3 5" xfId="99"/>
    <cellStyle name="CurrencyTB-RWB 3 3 5 2" xfId="99"/>
    <cellStyle name="CurrencyTB-RWB 3 3 5 2 2" xfId="99"/>
    <cellStyle name="CurrencyTB-RWB 3 3 5 2 3" xfId="99"/>
    <cellStyle name="CurrencyTB-RWB 3 3 5 2 4" xfId="99"/>
    <cellStyle name="CurrencyTB-RWB 3 3 5 2 5" xfId="99"/>
    <cellStyle name="CurrencyTB-RWB 3 3 5 3" xfId="99"/>
    <cellStyle name="CurrencyTB-RWB 3 3 5 3 2" xfId="99"/>
    <cellStyle name="CurrencyTB-RWB 3 3 5 3 3" xfId="99"/>
    <cellStyle name="CurrencyTB-RWB 3 3 5 3 4" xfId="99"/>
    <cellStyle name="CurrencyTB-RWB 3 3 5 4" xfId="99"/>
    <cellStyle name="CurrencyTB-RWB 3 3 5 5" xfId="99"/>
    <cellStyle name="CurrencyTB-RWB 3 3 5 6" xfId="99"/>
    <cellStyle name="CurrencyTB-RWB 3 3 5 7" xfId="99"/>
    <cellStyle name="CurrencyTB-RWB 3 3 5 8" xfId="99"/>
    <cellStyle name="CurrencyTB-RWB 3 3 6" xfId="99"/>
    <cellStyle name="CurrencyTB-RWB 3 3 6 2" xfId="99"/>
    <cellStyle name="CurrencyTB-RWB 3 3 6 3" xfId="99"/>
    <cellStyle name="CurrencyTB-RWB 3 3 6 4" xfId="99"/>
    <cellStyle name="CurrencyTB-RWB 3 3 6 5" xfId="99"/>
    <cellStyle name="CurrencyTB-RWB 3 3 7" xfId="99"/>
    <cellStyle name="CurrencyTB-RWB 3 3 8" xfId="99"/>
    <cellStyle name="CurrencyTB-RWB 3 3 9" xfId="99"/>
    <cellStyle name="CurrencyTB-RWB 3 4" xfId="99"/>
    <cellStyle name="CurrencyTB-RWB 3 4 2" xfId="99"/>
    <cellStyle name="CurrencyTB-RWB 3 4 2 2" xfId="99"/>
    <cellStyle name="CurrencyTB-RWB 3 4 2 3" xfId="99"/>
    <cellStyle name="CurrencyTB-RWB 3 4 2 4" xfId="99"/>
    <cellStyle name="CurrencyTB-RWB 3 4 2 5" xfId="99"/>
    <cellStyle name="CurrencyTB-RWB 3 4 3" xfId="99"/>
    <cellStyle name="CurrencyTB-RWB 3 4 3 2" xfId="99"/>
    <cellStyle name="CurrencyTB-RWB 3 4 3 3" xfId="99"/>
    <cellStyle name="CurrencyTB-RWB 3 4 3 4" xfId="99"/>
    <cellStyle name="CurrencyTB-RWB 3 4 4" xfId="99"/>
    <cellStyle name="CurrencyTB-RWB 3 4 5" xfId="99"/>
    <cellStyle name="CurrencyTB-RWB 3 4 6" xfId="99"/>
    <cellStyle name="CurrencyTB-RWB 3 4 7" xfId="99"/>
    <cellStyle name="CurrencyTB-RWB 3 4 8" xfId="99"/>
    <cellStyle name="CurrencyTB-RWB 3 5" xfId="99"/>
    <cellStyle name="CurrencyTB-RWB 3 5 2" xfId="99"/>
    <cellStyle name="CurrencyTB-RWB 3 5 2 2" xfId="99"/>
    <cellStyle name="CurrencyTB-RWB 3 5 2 3" xfId="99"/>
    <cellStyle name="CurrencyTB-RWB 3 5 2 4" xfId="99"/>
    <cellStyle name="CurrencyTB-RWB 3 5 2 5" xfId="99"/>
    <cellStyle name="CurrencyTB-RWB 3 5 3" xfId="99"/>
    <cellStyle name="CurrencyTB-RWB 3 5 3 2" xfId="99"/>
    <cellStyle name="CurrencyTB-RWB 3 5 3 3" xfId="99"/>
    <cellStyle name="CurrencyTB-RWB 3 5 3 4" xfId="99"/>
    <cellStyle name="CurrencyTB-RWB 3 5 4" xfId="99"/>
    <cellStyle name="CurrencyTB-RWB 3 5 5" xfId="99"/>
    <cellStyle name="CurrencyTB-RWB 3 5 6" xfId="99"/>
    <cellStyle name="CurrencyTB-RWB 3 5 7" xfId="99"/>
    <cellStyle name="CurrencyTB-RWB 3 5 8" xfId="99"/>
    <cellStyle name="CurrencyTB-RWB 3 6" xfId="99"/>
    <cellStyle name="CurrencyTB-RWB 3 6 2" xfId="99"/>
    <cellStyle name="CurrencyTB-RWB 3 6 2 2" xfId="99"/>
    <cellStyle name="CurrencyTB-RWB 3 6 2 3" xfId="99"/>
    <cellStyle name="CurrencyTB-RWB 3 6 2 4" xfId="99"/>
    <cellStyle name="CurrencyTB-RWB 3 6 2 5" xfId="99"/>
    <cellStyle name="CurrencyTB-RWB 3 6 3" xfId="99"/>
    <cellStyle name="CurrencyTB-RWB 3 6 3 2" xfId="99"/>
    <cellStyle name="CurrencyTB-RWB 3 6 3 3" xfId="99"/>
    <cellStyle name="CurrencyTB-RWB 3 6 3 4" xfId="99"/>
    <cellStyle name="CurrencyTB-RWB 3 6 4" xfId="99"/>
    <cellStyle name="CurrencyTB-RWB 3 6 5" xfId="99"/>
    <cellStyle name="CurrencyTB-RWB 3 6 6" xfId="99"/>
    <cellStyle name="CurrencyTB-RWB 3 6 7" xfId="99"/>
    <cellStyle name="CurrencyTB-RWB 3 7" xfId="99"/>
    <cellStyle name="CurrencyTB-RWB 3 7 2" xfId="99"/>
    <cellStyle name="CurrencyTB-RWB 3 7 2 2" xfId="99"/>
    <cellStyle name="CurrencyTB-RWB 3 7 2 3" xfId="99"/>
    <cellStyle name="CurrencyTB-RWB 3 7 2 4" xfId="99"/>
    <cellStyle name="CurrencyTB-RWB 3 7 2 5" xfId="99"/>
    <cellStyle name="CurrencyTB-RWB 3 7 3" xfId="99"/>
    <cellStyle name="CurrencyTB-RWB 3 7 3 2" xfId="99"/>
    <cellStyle name="CurrencyTB-RWB 3 7 3 3" xfId="99"/>
    <cellStyle name="CurrencyTB-RWB 3 7 3 4" xfId="99"/>
    <cellStyle name="CurrencyTB-RWB 3 7 4" xfId="99"/>
    <cellStyle name="CurrencyTB-RWB 3 7 5" xfId="99"/>
    <cellStyle name="CurrencyTB-RWB 3 7 6" xfId="99"/>
    <cellStyle name="CurrencyTB-RWB 3 7 7" xfId="99"/>
    <cellStyle name="CurrencyTB-RWB 3 7 8" xfId="99"/>
    <cellStyle name="CurrencyTB-RWB 3 8" xfId="99"/>
    <cellStyle name="CurrencyTB-RWB 3 8 2" xfId="99"/>
    <cellStyle name="CurrencyTB-RWB 3 8 3" xfId="99"/>
    <cellStyle name="CurrencyTB-RWB 3 8 4" xfId="99"/>
    <cellStyle name="CurrencyTB-RWB 3 8 5" xfId="99"/>
    <cellStyle name="CurrencyTB-RWB 3 9" xfId="99"/>
    <cellStyle name="CurrencyTB-RWB 4" xfId="99"/>
    <cellStyle name="CurrencyTB-RWB 4 10" xfId="99"/>
    <cellStyle name="CurrencyTB-RWB 4 2" xfId="99"/>
    <cellStyle name="CurrencyTB-RWB 4 2 2" xfId="99"/>
    <cellStyle name="CurrencyTB-RWB 4 2 2 2" xfId="99"/>
    <cellStyle name="CurrencyTB-RWB 4 2 2 3" xfId="99"/>
    <cellStyle name="CurrencyTB-RWB 4 2 2 4" xfId="99"/>
    <cellStyle name="CurrencyTB-RWB 4 2 2 5" xfId="99"/>
    <cellStyle name="CurrencyTB-RWB 4 2 3" xfId="99"/>
    <cellStyle name="CurrencyTB-RWB 4 2 3 2" xfId="99"/>
    <cellStyle name="CurrencyTB-RWB 4 2 3 3" xfId="99"/>
    <cellStyle name="CurrencyTB-RWB 4 2 3 4" xfId="99"/>
    <cellStyle name="CurrencyTB-RWB 4 2 4" xfId="99"/>
    <cellStyle name="CurrencyTB-RWB 4 2 5" xfId="99"/>
    <cellStyle name="CurrencyTB-RWB 4 2 6" xfId="99"/>
    <cellStyle name="CurrencyTB-RWB 4 2 7" xfId="99"/>
    <cellStyle name="CurrencyTB-RWB 4 2 8" xfId="99"/>
    <cellStyle name="CurrencyTB-RWB 4 3" xfId="99"/>
    <cellStyle name="CurrencyTB-RWB 4 3 2" xfId="99"/>
    <cellStyle name="CurrencyTB-RWB 4 3 2 2" xfId="99"/>
    <cellStyle name="CurrencyTB-RWB 4 3 2 3" xfId="99"/>
    <cellStyle name="CurrencyTB-RWB 4 3 2 4" xfId="99"/>
    <cellStyle name="CurrencyTB-RWB 4 3 2 5" xfId="99"/>
    <cellStyle name="CurrencyTB-RWB 4 3 3" xfId="99"/>
    <cellStyle name="CurrencyTB-RWB 4 3 3 2" xfId="99"/>
    <cellStyle name="CurrencyTB-RWB 4 3 3 3" xfId="99"/>
    <cellStyle name="CurrencyTB-RWB 4 3 3 4" xfId="99"/>
    <cellStyle name="CurrencyTB-RWB 4 3 4" xfId="99"/>
    <cellStyle name="CurrencyTB-RWB 4 3 5" xfId="99"/>
    <cellStyle name="CurrencyTB-RWB 4 3 6" xfId="99"/>
    <cellStyle name="CurrencyTB-RWB 4 3 7" xfId="99"/>
    <cellStyle name="CurrencyTB-RWB 4 3 8" xfId="99"/>
    <cellStyle name="CurrencyTB-RWB 4 4" xfId="99"/>
    <cellStyle name="CurrencyTB-RWB 4 4 2" xfId="99"/>
    <cellStyle name="CurrencyTB-RWB 4 4 2 2" xfId="99"/>
    <cellStyle name="CurrencyTB-RWB 4 4 2 3" xfId="99"/>
    <cellStyle name="CurrencyTB-RWB 4 4 2 4" xfId="99"/>
    <cellStyle name="CurrencyTB-RWB 4 4 2 5" xfId="99"/>
    <cellStyle name="CurrencyTB-RWB 4 4 3" xfId="99"/>
    <cellStyle name="CurrencyTB-RWB 4 4 3 2" xfId="99"/>
    <cellStyle name="CurrencyTB-RWB 4 4 3 3" xfId="99"/>
    <cellStyle name="CurrencyTB-RWB 4 4 3 4" xfId="99"/>
    <cellStyle name="CurrencyTB-RWB 4 4 4" xfId="99"/>
    <cellStyle name="CurrencyTB-RWB 4 4 5" xfId="99"/>
    <cellStyle name="CurrencyTB-RWB 4 4 6" xfId="99"/>
    <cellStyle name="CurrencyTB-RWB 4 4 7" xfId="99"/>
    <cellStyle name="CurrencyTB-RWB 4 5" xfId="99"/>
    <cellStyle name="CurrencyTB-RWB 4 5 2" xfId="99"/>
    <cellStyle name="CurrencyTB-RWB 4 5 2 2" xfId="99"/>
    <cellStyle name="CurrencyTB-RWB 4 5 2 3" xfId="99"/>
    <cellStyle name="CurrencyTB-RWB 4 5 2 4" xfId="99"/>
    <cellStyle name="CurrencyTB-RWB 4 5 2 5" xfId="99"/>
    <cellStyle name="CurrencyTB-RWB 4 5 3" xfId="99"/>
    <cellStyle name="CurrencyTB-RWB 4 5 3 2" xfId="99"/>
    <cellStyle name="CurrencyTB-RWB 4 5 3 3" xfId="99"/>
    <cellStyle name="CurrencyTB-RWB 4 5 3 4" xfId="99"/>
    <cellStyle name="CurrencyTB-RWB 4 5 4" xfId="99"/>
    <cellStyle name="CurrencyTB-RWB 4 5 5" xfId="99"/>
    <cellStyle name="CurrencyTB-RWB 4 5 6" xfId="99"/>
    <cellStyle name="CurrencyTB-RWB 4 5 7" xfId="99"/>
    <cellStyle name="CurrencyTB-RWB 4 5 8" xfId="99"/>
    <cellStyle name="CurrencyTB-RWB 4 6" xfId="99"/>
    <cellStyle name="CurrencyTB-RWB 4 6 2" xfId="99"/>
    <cellStyle name="CurrencyTB-RWB 4 6 3" xfId="99"/>
    <cellStyle name="CurrencyTB-RWB 4 6 4" xfId="99"/>
    <cellStyle name="CurrencyTB-RWB 4 6 5" xfId="99"/>
    <cellStyle name="CurrencyTB-RWB 4 7" xfId="99"/>
    <cellStyle name="CurrencyTB-RWB 4 8" xfId="99"/>
    <cellStyle name="CurrencyTB-RWB 4 9" xfId="99"/>
    <cellStyle name="CurrencyTB-RWB 5" xfId="99"/>
    <cellStyle name="CurrencyTB-RWB 5 2" xfId="99"/>
    <cellStyle name="CurrencyTB-RWB 5 2 2" xfId="99"/>
    <cellStyle name="CurrencyTB-RWB 5 2 2 2" xfId="99"/>
    <cellStyle name="CurrencyTB-RWB 5 2 2 3" xfId="99"/>
    <cellStyle name="CurrencyTB-RWB 5 2 2 4" xfId="99"/>
    <cellStyle name="CurrencyTB-RWB 5 2 2 5" xfId="99"/>
    <cellStyle name="CurrencyTB-RWB 5 2 3" xfId="99"/>
    <cellStyle name="CurrencyTB-RWB 5 2 3 2" xfId="99"/>
    <cellStyle name="CurrencyTB-RWB 5 2 3 3" xfId="99"/>
    <cellStyle name="CurrencyTB-RWB 5 2 3 4" xfId="99"/>
    <cellStyle name="CurrencyTB-RWB 5 2 4" xfId="99"/>
    <cellStyle name="CurrencyTB-RWB 5 2 5" xfId="99"/>
    <cellStyle name="CurrencyTB-RWB 5 2 6" xfId="99"/>
    <cellStyle name="CurrencyTB-RWB 5 2 7" xfId="99"/>
    <cellStyle name="CurrencyTB-RWB 5 2 8" xfId="99"/>
    <cellStyle name="CurrencyTB-RWB 5 3" xfId="99"/>
    <cellStyle name="CurrencyTB-RWB 5 3 2" xfId="99"/>
    <cellStyle name="CurrencyTB-RWB 5 3 2 2" xfId="99"/>
    <cellStyle name="CurrencyTB-RWB 5 3 2 3" xfId="99"/>
    <cellStyle name="CurrencyTB-RWB 5 3 2 4" xfId="99"/>
    <cellStyle name="CurrencyTB-RWB 5 3 2 5" xfId="99"/>
    <cellStyle name="CurrencyTB-RWB 5 3 3" xfId="99"/>
    <cellStyle name="CurrencyTB-RWB 5 3 3 2" xfId="99"/>
    <cellStyle name="CurrencyTB-RWB 5 3 3 3" xfId="99"/>
    <cellStyle name="CurrencyTB-RWB 5 3 3 4" xfId="99"/>
    <cellStyle name="CurrencyTB-RWB 5 3 4" xfId="99"/>
    <cellStyle name="CurrencyTB-RWB 5 3 5" xfId="99"/>
    <cellStyle name="CurrencyTB-RWB 5 3 6" xfId="99"/>
    <cellStyle name="CurrencyTB-RWB 5 3 7" xfId="99"/>
    <cellStyle name="CurrencyTB-RWB 5 4" xfId="99"/>
    <cellStyle name="CurrencyTB-RWB 5 4 2" xfId="99"/>
    <cellStyle name="CurrencyTB-RWB 5 4 3" xfId="99"/>
    <cellStyle name="CurrencyTB-RWB 5 4 4" xfId="99"/>
    <cellStyle name="CurrencyTB-RWB 5 4 5" xfId="99"/>
    <cellStyle name="CurrencyTB-RWB 5 5" xfId="99"/>
    <cellStyle name="CurrencyTB-RWB 5 5 2" xfId="99"/>
    <cellStyle name="CurrencyTB-RWB 5 5 3" xfId="99"/>
    <cellStyle name="CurrencyTB-RWB 5 5 4" xfId="99"/>
    <cellStyle name="CurrencyTB-RWB 5 6" xfId="99"/>
    <cellStyle name="CurrencyTB-RWB 5 7" xfId="99"/>
    <cellStyle name="CurrencyTB-RWB 5 8" xfId="99"/>
    <cellStyle name="CurrencyTB-RWB 5 9" xfId="99"/>
    <cellStyle name="CurrencyTB-RWB 6" xfId="99"/>
    <cellStyle name="CurrencyTB-RWB 6 2" xfId="99"/>
    <cellStyle name="CurrencyTB-RWB 6 2 2" xfId="99"/>
    <cellStyle name="CurrencyTB-RWB 6 2 3" xfId="99"/>
    <cellStyle name="CurrencyTB-RWB 6 2 4" xfId="99"/>
    <cellStyle name="CurrencyTB-RWB 6 2 5" xfId="99"/>
    <cellStyle name="CurrencyTB-RWB 6 3" xfId="99"/>
    <cellStyle name="CurrencyTB-RWB 6 3 2" xfId="99"/>
    <cellStyle name="CurrencyTB-RWB 6 3 3" xfId="99"/>
    <cellStyle name="CurrencyTB-RWB 6 3 4" xfId="99"/>
    <cellStyle name="CurrencyTB-RWB 6 4" xfId="99"/>
    <cellStyle name="CurrencyTB-RWB 6 5" xfId="99"/>
    <cellStyle name="CurrencyTB-RWB 6 6" xfId="99"/>
    <cellStyle name="CurrencyTB-RWB 6 7" xfId="99"/>
    <cellStyle name="CurrencyTB-RWB 6 8" xfId="99"/>
    <cellStyle name="CurrencyTB-RWB 7" xfId="99"/>
    <cellStyle name="CurrencyTB-RWB 7 2" xfId="99"/>
    <cellStyle name="CurrencyTB-RWB 7 3" xfId="99"/>
    <cellStyle name="CurrencyTB-RWB 7 4" xfId="99"/>
    <cellStyle name="CurrencyTB-RWB 7 5" xfId="99"/>
    <cellStyle name="CurrencyTB-RWB 8" xfId="99"/>
    <cellStyle name="CurrencyTB-RWNeg" xfId="97"/>
    <cellStyle name="CurrencyTB-S" xfId="100"/>
    <cellStyle name="CurrencyTB,B,Accounting" xfId="101"/>
    <cellStyle name="CurrencyTB,rghtBoldRed" xfId="102"/>
    <cellStyle name="CurrencyTB,rIGHT" xfId="103"/>
    <cellStyle name="CurrencyTB2d" xfId="104"/>
    <cellStyle name="CurrencyTB2d-R" xfId="105"/>
    <cellStyle name="CurrencyTB2d-R,S" xfId="106"/>
    <cellStyle name="CurrencyTBLeftAlign" xfId="107"/>
    <cellStyle name="CurrencyTBR-HVerdana9" xfId="108"/>
    <cellStyle name="CurrencyTBWB" xfId="109"/>
    <cellStyle name="CurrencyTBWB 2" xfId="109"/>
    <cellStyle name="CurrencyTBWB 2 10" xfId="109"/>
    <cellStyle name="CurrencyTBWB 2 11" xfId="109"/>
    <cellStyle name="CurrencyTBWB 2 12" xfId="109"/>
    <cellStyle name="CurrencyTBWB 2 13" xfId="109"/>
    <cellStyle name="CurrencyTBWB 2 2" xfId="109"/>
    <cellStyle name="CurrencyTBWB 2 2 10" xfId="109"/>
    <cellStyle name="CurrencyTBWB 2 2 11" xfId="109"/>
    <cellStyle name="CurrencyTBWB 2 2 12" xfId="109"/>
    <cellStyle name="CurrencyTBWB 2 2 13" xfId="109"/>
    <cellStyle name="CurrencyTBWB 2 2 2" xfId="109"/>
    <cellStyle name="CurrencyTBWB 2 2 2 10" xfId="109"/>
    <cellStyle name="CurrencyTBWB 2 2 2 2" xfId="109"/>
    <cellStyle name="CurrencyTBWB 2 2 2 2 2" xfId="109"/>
    <cellStyle name="CurrencyTBWB 2 2 2 2 2 2" xfId="109"/>
    <cellStyle name="CurrencyTBWB 2 2 2 2 2 3" xfId="109"/>
    <cellStyle name="CurrencyTBWB 2 2 2 2 2 4" xfId="109"/>
    <cellStyle name="CurrencyTBWB 2 2 2 2 2 5" xfId="109"/>
    <cellStyle name="CurrencyTBWB 2 2 2 2 3" xfId="109"/>
    <cellStyle name="CurrencyTBWB 2 2 2 2 3 2" xfId="109"/>
    <cellStyle name="CurrencyTBWB 2 2 2 2 3 3" xfId="109"/>
    <cellStyle name="CurrencyTBWB 2 2 2 2 3 4" xfId="109"/>
    <cellStyle name="CurrencyTBWB 2 2 2 2 4" xfId="109"/>
    <cellStyle name="CurrencyTBWB 2 2 2 2 5" xfId="109"/>
    <cellStyle name="CurrencyTBWB 2 2 2 2 6" xfId="109"/>
    <cellStyle name="CurrencyTBWB 2 2 2 2 7" xfId="109"/>
    <cellStyle name="CurrencyTBWB 2 2 2 2 8" xfId="109"/>
    <cellStyle name="CurrencyTBWB 2 2 2 3" xfId="109"/>
    <cellStyle name="CurrencyTBWB 2 2 2 3 2" xfId="109"/>
    <cellStyle name="CurrencyTBWB 2 2 2 3 2 2" xfId="109"/>
    <cellStyle name="CurrencyTBWB 2 2 2 3 2 3" xfId="109"/>
    <cellStyle name="CurrencyTBWB 2 2 2 3 2 4" xfId="109"/>
    <cellStyle name="CurrencyTBWB 2 2 2 3 2 5" xfId="109"/>
    <cellStyle name="CurrencyTBWB 2 2 2 3 3" xfId="109"/>
    <cellStyle name="CurrencyTBWB 2 2 2 3 3 2" xfId="109"/>
    <cellStyle name="CurrencyTBWB 2 2 2 3 3 3" xfId="109"/>
    <cellStyle name="CurrencyTBWB 2 2 2 3 3 4" xfId="109"/>
    <cellStyle name="CurrencyTBWB 2 2 2 3 4" xfId="109"/>
    <cellStyle name="CurrencyTBWB 2 2 2 3 5" xfId="109"/>
    <cellStyle name="CurrencyTBWB 2 2 2 3 6" xfId="109"/>
    <cellStyle name="CurrencyTBWB 2 2 2 3 7" xfId="109"/>
    <cellStyle name="CurrencyTBWB 2 2 2 3 8" xfId="109"/>
    <cellStyle name="CurrencyTBWB 2 2 2 4" xfId="109"/>
    <cellStyle name="CurrencyTBWB 2 2 2 4 2" xfId="109"/>
    <cellStyle name="CurrencyTBWB 2 2 2 4 2 2" xfId="109"/>
    <cellStyle name="CurrencyTBWB 2 2 2 4 2 3" xfId="109"/>
    <cellStyle name="CurrencyTBWB 2 2 2 4 2 4" xfId="109"/>
    <cellStyle name="CurrencyTBWB 2 2 2 4 2 5" xfId="109"/>
    <cellStyle name="CurrencyTBWB 2 2 2 4 3" xfId="109"/>
    <cellStyle name="CurrencyTBWB 2 2 2 4 3 2" xfId="109"/>
    <cellStyle name="CurrencyTBWB 2 2 2 4 3 3" xfId="109"/>
    <cellStyle name="CurrencyTBWB 2 2 2 4 3 4" xfId="109"/>
    <cellStyle name="CurrencyTBWB 2 2 2 4 4" xfId="109"/>
    <cellStyle name="CurrencyTBWB 2 2 2 4 5" xfId="109"/>
    <cellStyle name="CurrencyTBWB 2 2 2 4 6" xfId="109"/>
    <cellStyle name="CurrencyTBWB 2 2 2 4 7" xfId="109"/>
    <cellStyle name="CurrencyTBWB 2 2 2 5" xfId="109"/>
    <cellStyle name="CurrencyTBWB 2 2 2 5 2" xfId="109"/>
    <cellStyle name="CurrencyTBWB 2 2 2 5 2 2" xfId="109"/>
    <cellStyle name="CurrencyTBWB 2 2 2 5 2 3" xfId="109"/>
    <cellStyle name="CurrencyTBWB 2 2 2 5 2 4" xfId="109"/>
    <cellStyle name="CurrencyTBWB 2 2 2 5 2 5" xfId="109"/>
    <cellStyle name="CurrencyTBWB 2 2 2 5 3" xfId="109"/>
    <cellStyle name="CurrencyTBWB 2 2 2 5 3 2" xfId="109"/>
    <cellStyle name="CurrencyTBWB 2 2 2 5 3 3" xfId="109"/>
    <cellStyle name="CurrencyTBWB 2 2 2 5 3 4" xfId="109"/>
    <cellStyle name="CurrencyTBWB 2 2 2 5 4" xfId="109"/>
    <cellStyle name="CurrencyTBWB 2 2 2 5 5" xfId="109"/>
    <cellStyle name="CurrencyTBWB 2 2 2 5 6" xfId="109"/>
    <cellStyle name="CurrencyTBWB 2 2 2 5 7" xfId="109"/>
    <cellStyle name="CurrencyTBWB 2 2 2 5 8" xfId="109"/>
    <cellStyle name="CurrencyTBWB 2 2 2 6" xfId="109"/>
    <cellStyle name="CurrencyTBWB 2 2 2 6 2" xfId="109"/>
    <cellStyle name="CurrencyTBWB 2 2 2 6 3" xfId="109"/>
    <cellStyle name="CurrencyTBWB 2 2 2 6 4" xfId="109"/>
    <cellStyle name="CurrencyTBWB 2 2 2 6 5" xfId="109"/>
    <cellStyle name="CurrencyTBWB 2 2 2 7" xfId="109"/>
    <cellStyle name="CurrencyTBWB 2 2 2 8" xfId="109"/>
    <cellStyle name="CurrencyTBWB 2 2 2 9" xfId="109"/>
    <cellStyle name="CurrencyTBWB 2 2 3" xfId="109"/>
    <cellStyle name="CurrencyTBWB 2 2 3 10" xfId="109"/>
    <cellStyle name="CurrencyTBWB 2 2 3 2" xfId="109"/>
    <cellStyle name="CurrencyTBWB 2 2 3 2 2" xfId="109"/>
    <cellStyle name="CurrencyTBWB 2 2 3 2 2 2" xfId="109"/>
    <cellStyle name="CurrencyTBWB 2 2 3 2 2 3" xfId="109"/>
    <cellStyle name="CurrencyTBWB 2 2 3 2 2 4" xfId="109"/>
    <cellStyle name="CurrencyTBWB 2 2 3 2 2 5" xfId="109"/>
    <cellStyle name="CurrencyTBWB 2 2 3 2 3" xfId="109"/>
    <cellStyle name="CurrencyTBWB 2 2 3 2 3 2" xfId="109"/>
    <cellStyle name="CurrencyTBWB 2 2 3 2 3 3" xfId="109"/>
    <cellStyle name="CurrencyTBWB 2 2 3 2 3 4" xfId="109"/>
    <cellStyle name="CurrencyTBWB 2 2 3 2 4" xfId="109"/>
    <cellStyle name="CurrencyTBWB 2 2 3 2 5" xfId="109"/>
    <cellStyle name="CurrencyTBWB 2 2 3 2 6" xfId="109"/>
    <cellStyle name="CurrencyTBWB 2 2 3 2 7" xfId="109"/>
    <cellStyle name="CurrencyTBWB 2 2 3 2 8" xfId="109"/>
    <cellStyle name="CurrencyTBWB 2 2 3 3" xfId="109"/>
    <cellStyle name="CurrencyTBWB 2 2 3 3 2" xfId="109"/>
    <cellStyle name="CurrencyTBWB 2 2 3 3 2 2" xfId="109"/>
    <cellStyle name="CurrencyTBWB 2 2 3 3 2 3" xfId="109"/>
    <cellStyle name="CurrencyTBWB 2 2 3 3 2 4" xfId="109"/>
    <cellStyle name="CurrencyTBWB 2 2 3 3 2 5" xfId="109"/>
    <cellStyle name="CurrencyTBWB 2 2 3 3 3" xfId="109"/>
    <cellStyle name="CurrencyTBWB 2 2 3 3 3 2" xfId="109"/>
    <cellStyle name="CurrencyTBWB 2 2 3 3 3 3" xfId="109"/>
    <cellStyle name="CurrencyTBWB 2 2 3 3 3 4" xfId="109"/>
    <cellStyle name="CurrencyTBWB 2 2 3 3 4" xfId="109"/>
    <cellStyle name="CurrencyTBWB 2 2 3 3 5" xfId="109"/>
    <cellStyle name="CurrencyTBWB 2 2 3 3 6" xfId="109"/>
    <cellStyle name="CurrencyTBWB 2 2 3 3 7" xfId="109"/>
    <cellStyle name="CurrencyTBWB 2 2 3 3 8" xfId="109"/>
    <cellStyle name="CurrencyTBWB 2 2 3 4" xfId="109"/>
    <cellStyle name="CurrencyTBWB 2 2 3 4 2" xfId="109"/>
    <cellStyle name="CurrencyTBWB 2 2 3 4 2 2" xfId="109"/>
    <cellStyle name="CurrencyTBWB 2 2 3 4 2 3" xfId="109"/>
    <cellStyle name="CurrencyTBWB 2 2 3 4 2 4" xfId="109"/>
    <cellStyle name="CurrencyTBWB 2 2 3 4 2 5" xfId="109"/>
    <cellStyle name="CurrencyTBWB 2 2 3 4 3" xfId="109"/>
    <cellStyle name="CurrencyTBWB 2 2 3 4 3 2" xfId="109"/>
    <cellStyle name="CurrencyTBWB 2 2 3 4 3 3" xfId="109"/>
    <cellStyle name="CurrencyTBWB 2 2 3 4 3 4" xfId="109"/>
    <cellStyle name="CurrencyTBWB 2 2 3 4 4" xfId="109"/>
    <cellStyle name="CurrencyTBWB 2 2 3 4 5" xfId="109"/>
    <cellStyle name="CurrencyTBWB 2 2 3 4 6" xfId="109"/>
    <cellStyle name="CurrencyTBWB 2 2 3 4 7" xfId="109"/>
    <cellStyle name="CurrencyTBWB 2 2 3 5" xfId="109"/>
    <cellStyle name="CurrencyTBWB 2 2 3 5 2" xfId="109"/>
    <cellStyle name="CurrencyTBWB 2 2 3 5 2 2" xfId="109"/>
    <cellStyle name="CurrencyTBWB 2 2 3 5 2 3" xfId="109"/>
    <cellStyle name="CurrencyTBWB 2 2 3 5 2 4" xfId="109"/>
    <cellStyle name="CurrencyTBWB 2 2 3 5 2 5" xfId="109"/>
    <cellStyle name="CurrencyTBWB 2 2 3 5 3" xfId="109"/>
    <cellStyle name="CurrencyTBWB 2 2 3 5 3 2" xfId="109"/>
    <cellStyle name="CurrencyTBWB 2 2 3 5 3 3" xfId="109"/>
    <cellStyle name="CurrencyTBWB 2 2 3 5 3 4" xfId="109"/>
    <cellStyle name="CurrencyTBWB 2 2 3 5 4" xfId="109"/>
    <cellStyle name="CurrencyTBWB 2 2 3 5 5" xfId="109"/>
    <cellStyle name="CurrencyTBWB 2 2 3 5 6" xfId="109"/>
    <cellStyle name="CurrencyTBWB 2 2 3 5 7" xfId="109"/>
    <cellStyle name="CurrencyTBWB 2 2 3 5 8" xfId="109"/>
    <cellStyle name="CurrencyTBWB 2 2 3 6" xfId="109"/>
    <cellStyle name="CurrencyTBWB 2 2 3 6 2" xfId="109"/>
    <cellStyle name="CurrencyTBWB 2 2 3 6 3" xfId="109"/>
    <cellStyle name="CurrencyTBWB 2 2 3 6 4" xfId="109"/>
    <cellStyle name="CurrencyTBWB 2 2 3 6 5" xfId="109"/>
    <cellStyle name="CurrencyTBWB 2 2 3 7" xfId="109"/>
    <cellStyle name="CurrencyTBWB 2 2 3 8" xfId="109"/>
    <cellStyle name="CurrencyTBWB 2 2 3 9" xfId="109"/>
    <cellStyle name="CurrencyTBWB 2 2 4" xfId="109"/>
    <cellStyle name="CurrencyTBWB 2 2 4 10" xfId="109"/>
    <cellStyle name="CurrencyTBWB 2 2 4 2" xfId="109"/>
    <cellStyle name="CurrencyTBWB 2 2 4 2 2" xfId="109"/>
    <cellStyle name="CurrencyTBWB 2 2 4 2 2 2" xfId="109"/>
    <cellStyle name="CurrencyTBWB 2 2 4 2 2 3" xfId="109"/>
    <cellStyle name="CurrencyTBWB 2 2 4 2 2 4" xfId="109"/>
    <cellStyle name="CurrencyTBWB 2 2 4 2 2 5" xfId="109"/>
    <cellStyle name="CurrencyTBWB 2 2 4 2 3" xfId="109"/>
    <cellStyle name="CurrencyTBWB 2 2 4 2 3 2" xfId="109"/>
    <cellStyle name="CurrencyTBWB 2 2 4 2 3 3" xfId="109"/>
    <cellStyle name="CurrencyTBWB 2 2 4 2 3 4" xfId="109"/>
    <cellStyle name="CurrencyTBWB 2 2 4 2 4" xfId="109"/>
    <cellStyle name="CurrencyTBWB 2 2 4 2 5" xfId="109"/>
    <cellStyle name="CurrencyTBWB 2 2 4 2 6" xfId="109"/>
    <cellStyle name="CurrencyTBWB 2 2 4 2 7" xfId="109"/>
    <cellStyle name="CurrencyTBWB 2 2 4 2 8" xfId="109"/>
    <cellStyle name="CurrencyTBWB 2 2 4 3" xfId="109"/>
    <cellStyle name="CurrencyTBWB 2 2 4 3 2" xfId="109"/>
    <cellStyle name="CurrencyTBWB 2 2 4 3 2 2" xfId="109"/>
    <cellStyle name="CurrencyTBWB 2 2 4 3 2 3" xfId="109"/>
    <cellStyle name="CurrencyTBWB 2 2 4 3 2 4" xfId="109"/>
    <cellStyle name="CurrencyTBWB 2 2 4 3 2 5" xfId="109"/>
    <cellStyle name="CurrencyTBWB 2 2 4 3 3" xfId="109"/>
    <cellStyle name="CurrencyTBWB 2 2 4 3 3 2" xfId="109"/>
    <cellStyle name="CurrencyTBWB 2 2 4 3 3 3" xfId="109"/>
    <cellStyle name="CurrencyTBWB 2 2 4 3 3 4" xfId="109"/>
    <cellStyle name="CurrencyTBWB 2 2 4 3 4" xfId="109"/>
    <cellStyle name="CurrencyTBWB 2 2 4 3 5" xfId="109"/>
    <cellStyle name="CurrencyTBWB 2 2 4 3 6" xfId="109"/>
    <cellStyle name="CurrencyTBWB 2 2 4 3 7" xfId="109"/>
    <cellStyle name="CurrencyTBWB 2 2 4 3 8" xfId="109"/>
    <cellStyle name="CurrencyTBWB 2 2 4 4" xfId="109"/>
    <cellStyle name="CurrencyTBWB 2 2 4 4 2" xfId="109"/>
    <cellStyle name="CurrencyTBWB 2 2 4 4 2 2" xfId="109"/>
    <cellStyle name="CurrencyTBWB 2 2 4 4 2 3" xfId="109"/>
    <cellStyle name="CurrencyTBWB 2 2 4 4 2 4" xfId="109"/>
    <cellStyle name="CurrencyTBWB 2 2 4 4 2 5" xfId="109"/>
    <cellStyle name="CurrencyTBWB 2 2 4 4 3" xfId="109"/>
    <cellStyle name="CurrencyTBWB 2 2 4 4 3 2" xfId="109"/>
    <cellStyle name="CurrencyTBWB 2 2 4 4 3 3" xfId="109"/>
    <cellStyle name="CurrencyTBWB 2 2 4 4 3 4" xfId="109"/>
    <cellStyle name="CurrencyTBWB 2 2 4 4 4" xfId="109"/>
    <cellStyle name="CurrencyTBWB 2 2 4 4 5" xfId="109"/>
    <cellStyle name="CurrencyTBWB 2 2 4 4 6" xfId="109"/>
    <cellStyle name="CurrencyTBWB 2 2 4 4 7" xfId="109"/>
    <cellStyle name="CurrencyTBWB 2 2 4 5" xfId="109"/>
    <cellStyle name="CurrencyTBWB 2 2 4 5 2" xfId="109"/>
    <cellStyle name="CurrencyTBWB 2 2 4 5 2 2" xfId="109"/>
    <cellStyle name="CurrencyTBWB 2 2 4 5 2 3" xfId="109"/>
    <cellStyle name="CurrencyTBWB 2 2 4 5 2 4" xfId="109"/>
    <cellStyle name="CurrencyTBWB 2 2 4 5 2 5" xfId="109"/>
    <cellStyle name="CurrencyTBWB 2 2 4 5 3" xfId="109"/>
    <cellStyle name="CurrencyTBWB 2 2 4 5 3 2" xfId="109"/>
    <cellStyle name="CurrencyTBWB 2 2 4 5 3 3" xfId="109"/>
    <cellStyle name="CurrencyTBWB 2 2 4 5 3 4" xfId="109"/>
    <cellStyle name="CurrencyTBWB 2 2 4 5 4" xfId="109"/>
    <cellStyle name="CurrencyTBWB 2 2 4 5 5" xfId="109"/>
    <cellStyle name="CurrencyTBWB 2 2 4 5 6" xfId="109"/>
    <cellStyle name="CurrencyTBWB 2 2 4 5 7" xfId="109"/>
    <cellStyle name="CurrencyTBWB 2 2 4 5 8" xfId="109"/>
    <cellStyle name="CurrencyTBWB 2 2 4 6" xfId="109"/>
    <cellStyle name="CurrencyTBWB 2 2 4 6 2" xfId="109"/>
    <cellStyle name="CurrencyTBWB 2 2 4 6 3" xfId="109"/>
    <cellStyle name="CurrencyTBWB 2 2 4 6 4" xfId="109"/>
    <cellStyle name="CurrencyTBWB 2 2 4 6 5" xfId="109"/>
    <cellStyle name="CurrencyTBWB 2 2 4 7" xfId="109"/>
    <cellStyle name="CurrencyTBWB 2 2 4 8" xfId="109"/>
    <cellStyle name="CurrencyTBWB 2 2 4 9" xfId="109"/>
    <cellStyle name="CurrencyTBWB 2 2 5" xfId="109"/>
    <cellStyle name="CurrencyTBWB 2 2 5 2" xfId="109"/>
    <cellStyle name="CurrencyTBWB 2 2 5 2 2" xfId="109"/>
    <cellStyle name="CurrencyTBWB 2 2 5 2 3" xfId="109"/>
    <cellStyle name="CurrencyTBWB 2 2 5 2 4" xfId="109"/>
    <cellStyle name="CurrencyTBWB 2 2 5 2 5" xfId="109"/>
    <cellStyle name="CurrencyTBWB 2 2 5 3" xfId="109"/>
    <cellStyle name="CurrencyTBWB 2 2 5 3 2" xfId="109"/>
    <cellStyle name="CurrencyTBWB 2 2 5 3 3" xfId="109"/>
    <cellStyle name="CurrencyTBWB 2 2 5 3 4" xfId="109"/>
    <cellStyle name="CurrencyTBWB 2 2 5 4" xfId="109"/>
    <cellStyle name="CurrencyTBWB 2 2 5 5" xfId="109"/>
    <cellStyle name="CurrencyTBWB 2 2 5 6" xfId="109"/>
    <cellStyle name="CurrencyTBWB 2 2 5 7" xfId="109"/>
    <cellStyle name="CurrencyTBWB 2 2 5 8" xfId="109"/>
    <cellStyle name="CurrencyTBWB 2 2 6" xfId="109"/>
    <cellStyle name="CurrencyTBWB 2 2 6 2" xfId="109"/>
    <cellStyle name="CurrencyTBWB 2 2 6 2 2" xfId="109"/>
    <cellStyle name="CurrencyTBWB 2 2 6 2 3" xfId="109"/>
    <cellStyle name="CurrencyTBWB 2 2 6 2 4" xfId="109"/>
    <cellStyle name="CurrencyTBWB 2 2 6 2 5" xfId="109"/>
    <cellStyle name="CurrencyTBWB 2 2 6 3" xfId="109"/>
    <cellStyle name="CurrencyTBWB 2 2 6 3 2" xfId="109"/>
    <cellStyle name="CurrencyTBWB 2 2 6 3 3" xfId="109"/>
    <cellStyle name="CurrencyTBWB 2 2 6 3 4" xfId="109"/>
    <cellStyle name="CurrencyTBWB 2 2 6 4" xfId="109"/>
    <cellStyle name="CurrencyTBWB 2 2 6 5" xfId="109"/>
    <cellStyle name="CurrencyTBWB 2 2 6 6" xfId="109"/>
    <cellStyle name="CurrencyTBWB 2 2 6 7" xfId="109"/>
    <cellStyle name="CurrencyTBWB 2 2 6 8" xfId="109"/>
    <cellStyle name="CurrencyTBWB 2 2 7" xfId="109"/>
    <cellStyle name="CurrencyTBWB 2 2 7 2" xfId="109"/>
    <cellStyle name="CurrencyTBWB 2 2 7 2 2" xfId="109"/>
    <cellStyle name="CurrencyTBWB 2 2 7 2 3" xfId="109"/>
    <cellStyle name="CurrencyTBWB 2 2 7 2 4" xfId="109"/>
    <cellStyle name="CurrencyTBWB 2 2 7 2 5" xfId="109"/>
    <cellStyle name="CurrencyTBWB 2 2 7 3" xfId="109"/>
    <cellStyle name="CurrencyTBWB 2 2 7 3 2" xfId="109"/>
    <cellStyle name="CurrencyTBWB 2 2 7 3 3" xfId="109"/>
    <cellStyle name="CurrencyTBWB 2 2 7 3 4" xfId="109"/>
    <cellStyle name="CurrencyTBWB 2 2 7 4" xfId="109"/>
    <cellStyle name="CurrencyTBWB 2 2 7 5" xfId="109"/>
    <cellStyle name="CurrencyTBWB 2 2 7 6" xfId="109"/>
    <cellStyle name="CurrencyTBWB 2 2 7 7" xfId="109"/>
    <cellStyle name="CurrencyTBWB 2 2 8" xfId="109"/>
    <cellStyle name="CurrencyTBWB 2 2 8 2" xfId="109"/>
    <cellStyle name="CurrencyTBWB 2 2 8 2 2" xfId="109"/>
    <cellStyle name="CurrencyTBWB 2 2 8 2 3" xfId="109"/>
    <cellStyle name="CurrencyTBWB 2 2 8 2 4" xfId="109"/>
    <cellStyle name="CurrencyTBWB 2 2 8 2 5" xfId="109"/>
    <cellStyle name="CurrencyTBWB 2 2 8 3" xfId="109"/>
    <cellStyle name="CurrencyTBWB 2 2 8 3 2" xfId="109"/>
    <cellStyle name="CurrencyTBWB 2 2 8 3 3" xfId="109"/>
    <cellStyle name="CurrencyTBWB 2 2 8 3 4" xfId="109"/>
    <cellStyle name="CurrencyTBWB 2 2 8 4" xfId="109"/>
    <cellStyle name="CurrencyTBWB 2 2 8 5" xfId="109"/>
    <cellStyle name="CurrencyTBWB 2 2 8 6" xfId="109"/>
    <cellStyle name="CurrencyTBWB 2 2 8 7" xfId="109"/>
    <cellStyle name="CurrencyTBWB 2 2 8 8" xfId="109"/>
    <cellStyle name="CurrencyTBWB 2 2 9" xfId="109"/>
    <cellStyle name="CurrencyTBWB 2 2 9 2" xfId="109"/>
    <cellStyle name="CurrencyTBWB 2 2 9 3" xfId="109"/>
    <cellStyle name="CurrencyTBWB 2 2 9 4" xfId="109"/>
    <cellStyle name="CurrencyTBWB 2 2 9 5" xfId="109"/>
    <cellStyle name="CurrencyTBWB 2 3" xfId="109"/>
    <cellStyle name="CurrencyTBWB 2 3 10" xfId="109"/>
    <cellStyle name="CurrencyTBWB 2 3 2" xfId="109"/>
    <cellStyle name="CurrencyTBWB 2 3 2 2" xfId="109"/>
    <cellStyle name="CurrencyTBWB 2 3 2 2 2" xfId="109"/>
    <cellStyle name="CurrencyTBWB 2 3 2 2 3" xfId="109"/>
    <cellStyle name="CurrencyTBWB 2 3 2 2 4" xfId="109"/>
    <cellStyle name="CurrencyTBWB 2 3 2 2 5" xfId="109"/>
    <cellStyle name="CurrencyTBWB 2 3 2 3" xfId="109"/>
    <cellStyle name="CurrencyTBWB 2 3 2 3 2" xfId="109"/>
    <cellStyle name="CurrencyTBWB 2 3 2 3 3" xfId="109"/>
    <cellStyle name="CurrencyTBWB 2 3 2 3 4" xfId="109"/>
    <cellStyle name="CurrencyTBWB 2 3 2 4" xfId="109"/>
    <cellStyle name="CurrencyTBWB 2 3 2 5" xfId="109"/>
    <cellStyle name="CurrencyTBWB 2 3 2 6" xfId="109"/>
    <cellStyle name="CurrencyTBWB 2 3 2 7" xfId="109"/>
    <cellStyle name="CurrencyTBWB 2 3 2 8" xfId="109"/>
    <cellStyle name="CurrencyTBWB 2 3 3" xfId="109"/>
    <cellStyle name="CurrencyTBWB 2 3 3 2" xfId="109"/>
    <cellStyle name="CurrencyTBWB 2 3 3 2 2" xfId="109"/>
    <cellStyle name="CurrencyTBWB 2 3 3 2 3" xfId="109"/>
    <cellStyle name="CurrencyTBWB 2 3 3 2 4" xfId="109"/>
    <cellStyle name="CurrencyTBWB 2 3 3 2 5" xfId="109"/>
    <cellStyle name="CurrencyTBWB 2 3 3 3" xfId="109"/>
    <cellStyle name="CurrencyTBWB 2 3 3 3 2" xfId="109"/>
    <cellStyle name="CurrencyTBWB 2 3 3 3 3" xfId="109"/>
    <cellStyle name="CurrencyTBWB 2 3 3 3 4" xfId="109"/>
    <cellStyle name="CurrencyTBWB 2 3 3 4" xfId="109"/>
    <cellStyle name="CurrencyTBWB 2 3 3 5" xfId="109"/>
    <cellStyle name="CurrencyTBWB 2 3 3 6" xfId="109"/>
    <cellStyle name="CurrencyTBWB 2 3 3 7" xfId="109"/>
    <cellStyle name="CurrencyTBWB 2 3 3 8" xfId="109"/>
    <cellStyle name="CurrencyTBWB 2 3 4" xfId="109"/>
    <cellStyle name="CurrencyTBWB 2 3 4 2" xfId="109"/>
    <cellStyle name="CurrencyTBWB 2 3 4 2 2" xfId="109"/>
    <cellStyle name="CurrencyTBWB 2 3 4 2 3" xfId="109"/>
    <cellStyle name="CurrencyTBWB 2 3 4 2 4" xfId="109"/>
    <cellStyle name="CurrencyTBWB 2 3 4 2 5" xfId="109"/>
    <cellStyle name="CurrencyTBWB 2 3 4 3" xfId="109"/>
    <cellStyle name="CurrencyTBWB 2 3 4 3 2" xfId="109"/>
    <cellStyle name="CurrencyTBWB 2 3 4 3 3" xfId="109"/>
    <cellStyle name="CurrencyTBWB 2 3 4 3 4" xfId="109"/>
    <cellStyle name="CurrencyTBWB 2 3 4 4" xfId="109"/>
    <cellStyle name="CurrencyTBWB 2 3 4 5" xfId="109"/>
    <cellStyle name="CurrencyTBWB 2 3 4 6" xfId="109"/>
    <cellStyle name="CurrencyTBWB 2 3 4 7" xfId="109"/>
    <cellStyle name="CurrencyTBWB 2 3 5" xfId="109"/>
    <cellStyle name="CurrencyTBWB 2 3 5 2" xfId="109"/>
    <cellStyle name="CurrencyTBWB 2 3 5 2 2" xfId="109"/>
    <cellStyle name="CurrencyTBWB 2 3 5 2 3" xfId="109"/>
    <cellStyle name="CurrencyTBWB 2 3 5 2 4" xfId="109"/>
    <cellStyle name="CurrencyTBWB 2 3 5 2 5" xfId="109"/>
    <cellStyle name="CurrencyTBWB 2 3 5 3" xfId="109"/>
    <cellStyle name="CurrencyTBWB 2 3 5 3 2" xfId="109"/>
    <cellStyle name="CurrencyTBWB 2 3 5 3 3" xfId="109"/>
    <cellStyle name="CurrencyTBWB 2 3 5 3 4" xfId="109"/>
    <cellStyle name="CurrencyTBWB 2 3 5 4" xfId="109"/>
    <cellStyle name="CurrencyTBWB 2 3 5 5" xfId="109"/>
    <cellStyle name="CurrencyTBWB 2 3 5 6" xfId="109"/>
    <cellStyle name="CurrencyTBWB 2 3 5 7" xfId="109"/>
    <cellStyle name="CurrencyTBWB 2 3 5 8" xfId="109"/>
    <cellStyle name="CurrencyTBWB 2 3 6" xfId="109"/>
    <cellStyle name="CurrencyTBWB 2 3 6 2" xfId="109"/>
    <cellStyle name="CurrencyTBWB 2 3 6 3" xfId="109"/>
    <cellStyle name="CurrencyTBWB 2 3 6 4" xfId="109"/>
    <cellStyle name="CurrencyTBWB 2 3 6 5" xfId="109"/>
    <cellStyle name="CurrencyTBWB 2 3 7" xfId="109"/>
    <cellStyle name="CurrencyTBWB 2 3 8" xfId="109"/>
    <cellStyle name="CurrencyTBWB 2 3 9" xfId="109"/>
    <cellStyle name="CurrencyTBWB 2 4" xfId="109"/>
    <cellStyle name="CurrencyTBWB 2 4 10" xfId="109"/>
    <cellStyle name="CurrencyTBWB 2 4 2" xfId="109"/>
    <cellStyle name="CurrencyTBWB 2 4 2 2" xfId="109"/>
    <cellStyle name="CurrencyTBWB 2 4 2 2 2" xfId="109"/>
    <cellStyle name="CurrencyTBWB 2 4 2 2 3" xfId="109"/>
    <cellStyle name="CurrencyTBWB 2 4 2 2 4" xfId="109"/>
    <cellStyle name="CurrencyTBWB 2 4 2 2 5" xfId="109"/>
    <cellStyle name="CurrencyTBWB 2 4 2 3" xfId="109"/>
    <cellStyle name="CurrencyTBWB 2 4 2 3 2" xfId="109"/>
    <cellStyle name="CurrencyTBWB 2 4 2 3 3" xfId="109"/>
    <cellStyle name="CurrencyTBWB 2 4 2 3 4" xfId="109"/>
    <cellStyle name="CurrencyTBWB 2 4 2 4" xfId="109"/>
    <cellStyle name="CurrencyTBWB 2 4 2 5" xfId="109"/>
    <cellStyle name="CurrencyTBWB 2 4 2 6" xfId="109"/>
    <cellStyle name="CurrencyTBWB 2 4 2 7" xfId="109"/>
    <cellStyle name="CurrencyTBWB 2 4 2 8" xfId="109"/>
    <cellStyle name="CurrencyTBWB 2 4 3" xfId="109"/>
    <cellStyle name="CurrencyTBWB 2 4 3 2" xfId="109"/>
    <cellStyle name="CurrencyTBWB 2 4 3 2 2" xfId="109"/>
    <cellStyle name="CurrencyTBWB 2 4 3 2 3" xfId="109"/>
    <cellStyle name="CurrencyTBWB 2 4 3 2 4" xfId="109"/>
    <cellStyle name="CurrencyTBWB 2 4 3 2 5" xfId="109"/>
    <cellStyle name="CurrencyTBWB 2 4 3 3" xfId="109"/>
    <cellStyle name="CurrencyTBWB 2 4 3 3 2" xfId="109"/>
    <cellStyle name="CurrencyTBWB 2 4 3 3 3" xfId="109"/>
    <cellStyle name="CurrencyTBWB 2 4 3 3 4" xfId="109"/>
    <cellStyle name="CurrencyTBWB 2 4 3 4" xfId="109"/>
    <cellStyle name="CurrencyTBWB 2 4 3 5" xfId="109"/>
    <cellStyle name="CurrencyTBWB 2 4 3 6" xfId="109"/>
    <cellStyle name="CurrencyTBWB 2 4 3 7" xfId="109"/>
    <cellStyle name="CurrencyTBWB 2 4 3 8" xfId="109"/>
    <cellStyle name="CurrencyTBWB 2 4 4" xfId="109"/>
    <cellStyle name="CurrencyTBWB 2 4 4 2" xfId="109"/>
    <cellStyle name="CurrencyTBWB 2 4 4 2 2" xfId="109"/>
    <cellStyle name="CurrencyTBWB 2 4 4 2 3" xfId="109"/>
    <cellStyle name="CurrencyTBWB 2 4 4 2 4" xfId="109"/>
    <cellStyle name="CurrencyTBWB 2 4 4 2 5" xfId="109"/>
    <cellStyle name="CurrencyTBWB 2 4 4 3" xfId="109"/>
    <cellStyle name="CurrencyTBWB 2 4 4 3 2" xfId="109"/>
    <cellStyle name="CurrencyTBWB 2 4 4 3 3" xfId="109"/>
    <cellStyle name="CurrencyTBWB 2 4 4 3 4" xfId="109"/>
    <cellStyle name="CurrencyTBWB 2 4 4 4" xfId="109"/>
    <cellStyle name="CurrencyTBWB 2 4 4 5" xfId="109"/>
    <cellStyle name="CurrencyTBWB 2 4 4 6" xfId="109"/>
    <cellStyle name="CurrencyTBWB 2 4 4 7" xfId="109"/>
    <cellStyle name="CurrencyTBWB 2 4 5" xfId="109"/>
    <cellStyle name="CurrencyTBWB 2 4 5 2" xfId="109"/>
    <cellStyle name="CurrencyTBWB 2 4 5 2 2" xfId="109"/>
    <cellStyle name="CurrencyTBWB 2 4 5 2 3" xfId="109"/>
    <cellStyle name="CurrencyTBWB 2 4 5 2 4" xfId="109"/>
    <cellStyle name="CurrencyTBWB 2 4 5 2 5" xfId="109"/>
    <cellStyle name="CurrencyTBWB 2 4 5 3" xfId="109"/>
    <cellStyle name="CurrencyTBWB 2 4 5 3 2" xfId="109"/>
    <cellStyle name="CurrencyTBWB 2 4 5 3 3" xfId="109"/>
    <cellStyle name="CurrencyTBWB 2 4 5 3 4" xfId="109"/>
    <cellStyle name="CurrencyTBWB 2 4 5 4" xfId="109"/>
    <cellStyle name="CurrencyTBWB 2 4 5 5" xfId="109"/>
    <cellStyle name="CurrencyTBWB 2 4 5 6" xfId="109"/>
    <cellStyle name="CurrencyTBWB 2 4 5 7" xfId="109"/>
    <cellStyle name="CurrencyTBWB 2 4 5 8" xfId="109"/>
    <cellStyle name="CurrencyTBWB 2 4 6" xfId="109"/>
    <cellStyle name="CurrencyTBWB 2 4 6 2" xfId="109"/>
    <cellStyle name="CurrencyTBWB 2 4 6 3" xfId="109"/>
    <cellStyle name="CurrencyTBWB 2 4 6 4" xfId="109"/>
    <cellStyle name="CurrencyTBWB 2 4 6 5" xfId="109"/>
    <cellStyle name="CurrencyTBWB 2 4 7" xfId="109"/>
    <cellStyle name="CurrencyTBWB 2 4 8" xfId="109"/>
    <cellStyle name="CurrencyTBWB 2 4 9" xfId="109"/>
    <cellStyle name="CurrencyTBWB 2 5" xfId="109"/>
    <cellStyle name="CurrencyTBWB 2 5 2" xfId="109"/>
    <cellStyle name="CurrencyTBWB 2 5 2 2" xfId="109"/>
    <cellStyle name="CurrencyTBWB 2 5 2 3" xfId="109"/>
    <cellStyle name="CurrencyTBWB 2 5 2 4" xfId="109"/>
    <cellStyle name="CurrencyTBWB 2 5 2 5" xfId="109"/>
    <cellStyle name="CurrencyTBWB 2 5 3" xfId="109"/>
    <cellStyle name="CurrencyTBWB 2 5 3 2" xfId="109"/>
    <cellStyle name="CurrencyTBWB 2 5 3 3" xfId="109"/>
    <cellStyle name="CurrencyTBWB 2 5 3 4" xfId="109"/>
    <cellStyle name="CurrencyTBWB 2 5 4" xfId="109"/>
    <cellStyle name="CurrencyTBWB 2 5 5" xfId="109"/>
    <cellStyle name="CurrencyTBWB 2 5 6" xfId="109"/>
    <cellStyle name="CurrencyTBWB 2 5 7" xfId="109"/>
    <cellStyle name="CurrencyTBWB 2 5 8" xfId="109"/>
    <cellStyle name="CurrencyTBWB 2 6" xfId="109"/>
    <cellStyle name="CurrencyTBWB 2 6 2" xfId="109"/>
    <cellStyle name="CurrencyTBWB 2 6 2 2" xfId="109"/>
    <cellStyle name="CurrencyTBWB 2 6 2 3" xfId="109"/>
    <cellStyle name="CurrencyTBWB 2 6 2 4" xfId="109"/>
    <cellStyle name="CurrencyTBWB 2 6 2 5" xfId="109"/>
    <cellStyle name="CurrencyTBWB 2 6 3" xfId="109"/>
    <cellStyle name="CurrencyTBWB 2 6 3 2" xfId="109"/>
    <cellStyle name="CurrencyTBWB 2 6 3 3" xfId="109"/>
    <cellStyle name="CurrencyTBWB 2 6 3 4" xfId="109"/>
    <cellStyle name="CurrencyTBWB 2 6 4" xfId="109"/>
    <cellStyle name="CurrencyTBWB 2 6 5" xfId="109"/>
    <cellStyle name="CurrencyTBWB 2 6 6" xfId="109"/>
    <cellStyle name="CurrencyTBWB 2 6 7" xfId="109"/>
    <cellStyle name="CurrencyTBWB 2 6 8" xfId="109"/>
    <cellStyle name="CurrencyTBWB 2 7" xfId="109"/>
    <cellStyle name="CurrencyTBWB 2 7 2" xfId="109"/>
    <cellStyle name="CurrencyTBWB 2 7 2 2" xfId="109"/>
    <cellStyle name="CurrencyTBWB 2 7 2 3" xfId="109"/>
    <cellStyle name="CurrencyTBWB 2 7 2 4" xfId="109"/>
    <cellStyle name="CurrencyTBWB 2 7 2 5" xfId="109"/>
    <cellStyle name="CurrencyTBWB 2 7 3" xfId="109"/>
    <cellStyle name="CurrencyTBWB 2 7 3 2" xfId="109"/>
    <cellStyle name="CurrencyTBWB 2 7 3 3" xfId="109"/>
    <cellStyle name="CurrencyTBWB 2 7 3 4" xfId="109"/>
    <cellStyle name="CurrencyTBWB 2 7 4" xfId="109"/>
    <cellStyle name="CurrencyTBWB 2 7 5" xfId="109"/>
    <cellStyle name="CurrencyTBWB 2 7 6" xfId="109"/>
    <cellStyle name="CurrencyTBWB 2 7 7" xfId="109"/>
    <cellStyle name="CurrencyTBWB 2 8" xfId="109"/>
    <cellStyle name="CurrencyTBWB 2 8 2" xfId="109"/>
    <cellStyle name="CurrencyTBWB 2 8 2 2" xfId="109"/>
    <cellStyle name="CurrencyTBWB 2 8 2 3" xfId="109"/>
    <cellStyle name="CurrencyTBWB 2 8 2 4" xfId="109"/>
    <cellStyle name="CurrencyTBWB 2 8 2 5" xfId="109"/>
    <cellStyle name="CurrencyTBWB 2 8 3" xfId="109"/>
    <cellStyle name="CurrencyTBWB 2 8 3 2" xfId="109"/>
    <cellStyle name="CurrencyTBWB 2 8 3 3" xfId="109"/>
    <cellStyle name="CurrencyTBWB 2 8 3 4" xfId="109"/>
    <cellStyle name="CurrencyTBWB 2 8 4" xfId="109"/>
    <cellStyle name="CurrencyTBWB 2 8 5" xfId="109"/>
    <cellStyle name="CurrencyTBWB 2 8 6" xfId="109"/>
    <cellStyle name="CurrencyTBWB 2 8 7" xfId="109"/>
    <cellStyle name="CurrencyTBWB 2 8 8" xfId="109"/>
    <cellStyle name="CurrencyTBWB 2 9" xfId="109"/>
    <cellStyle name="CurrencyTBWB 2 9 2" xfId="109"/>
    <cellStyle name="CurrencyTBWB 2 9 3" xfId="109"/>
    <cellStyle name="CurrencyTBWB 2 9 4" xfId="109"/>
    <cellStyle name="CurrencyTBWB 2 9 5" xfId="109"/>
    <cellStyle name="CurrencyTBWB 3" xfId="109"/>
    <cellStyle name="CurrencyTBWB 3 10" xfId="109"/>
    <cellStyle name="CurrencyTBWB 3 11" xfId="109"/>
    <cellStyle name="CurrencyTBWB 3 12" xfId="109"/>
    <cellStyle name="CurrencyTBWB 3 2" xfId="109"/>
    <cellStyle name="CurrencyTBWB 3 2 10" xfId="109"/>
    <cellStyle name="CurrencyTBWB 3 2 2" xfId="109"/>
    <cellStyle name="CurrencyTBWB 3 2 2 2" xfId="109"/>
    <cellStyle name="CurrencyTBWB 3 2 2 2 2" xfId="109"/>
    <cellStyle name="CurrencyTBWB 3 2 2 2 3" xfId="109"/>
    <cellStyle name="CurrencyTBWB 3 2 2 2 4" xfId="109"/>
    <cellStyle name="CurrencyTBWB 3 2 2 2 5" xfId="109"/>
    <cellStyle name="CurrencyTBWB 3 2 2 3" xfId="109"/>
    <cellStyle name="CurrencyTBWB 3 2 2 3 2" xfId="109"/>
    <cellStyle name="CurrencyTBWB 3 2 2 3 3" xfId="109"/>
    <cellStyle name="CurrencyTBWB 3 2 2 3 4" xfId="109"/>
    <cellStyle name="CurrencyTBWB 3 2 2 4" xfId="109"/>
    <cellStyle name="CurrencyTBWB 3 2 2 5" xfId="109"/>
    <cellStyle name="CurrencyTBWB 3 2 2 6" xfId="109"/>
    <cellStyle name="CurrencyTBWB 3 2 2 7" xfId="109"/>
    <cellStyle name="CurrencyTBWB 3 2 2 8" xfId="109"/>
    <cellStyle name="CurrencyTBWB 3 2 3" xfId="109"/>
    <cellStyle name="CurrencyTBWB 3 2 3 2" xfId="109"/>
    <cellStyle name="CurrencyTBWB 3 2 3 2 2" xfId="109"/>
    <cellStyle name="CurrencyTBWB 3 2 3 2 3" xfId="109"/>
    <cellStyle name="CurrencyTBWB 3 2 3 2 4" xfId="109"/>
    <cellStyle name="CurrencyTBWB 3 2 3 2 5" xfId="109"/>
    <cellStyle name="CurrencyTBWB 3 2 3 3" xfId="109"/>
    <cellStyle name="CurrencyTBWB 3 2 3 3 2" xfId="109"/>
    <cellStyle name="CurrencyTBWB 3 2 3 3 3" xfId="109"/>
    <cellStyle name="CurrencyTBWB 3 2 3 3 4" xfId="109"/>
    <cellStyle name="CurrencyTBWB 3 2 3 4" xfId="109"/>
    <cellStyle name="CurrencyTBWB 3 2 3 5" xfId="109"/>
    <cellStyle name="CurrencyTBWB 3 2 3 6" xfId="109"/>
    <cellStyle name="CurrencyTBWB 3 2 3 7" xfId="109"/>
    <cellStyle name="CurrencyTBWB 3 2 3 8" xfId="109"/>
    <cellStyle name="CurrencyTBWB 3 2 4" xfId="109"/>
    <cellStyle name="CurrencyTBWB 3 2 4 2" xfId="109"/>
    <cellStyle name="CurrencyTBWB 3 2 4 2 2" xfId="109"/>
    <cellStyle name="CurrencyTBWB 3 2 4 2 3" xfId="109"/>
    <cellStyle name="CurrencyTBWB 3 2 4 2 4" xfId="109"/>
    <cellStyle name="CurrencyTBWB 3 2 4 2 5" xfId="109"/>
    <cellStyle name="CurrencyTBWB 3 2 4 3" xfId="109"/>
    <cellStyle name="CurrencyTBWB 3 2 4 3 2" xfId="109"/>
    <cellStyle name="CurrencyTBWB 3 2 4 3 3" xfId="109"/>
    <cellStyle name="CurrencyTBWB 3 2 4 3 4" xfId="109"/>
    <cellStyle name="CurrencyTBWB 3 2 4 4" xfId="109"/>
    <cellStyle name="CurrencyTBWB 3 2 4 5" xfId="109"/>
    <cellStyle name="CurrencyTBWB 3 2 4 6" xfId="109"/>
    <cellStyle name="CurrencyTBWB 3 2 4 7" xfId="109"/>
    <cellStyle name="CurrencyTBWB 3 2 5" xfId="109"/>
    <cellStyle name="CurrencyTBWB 3 2 5 2" xfId="109"/>
    <cellStyle name="CurrencyTBWB 3 2 5 2 2" xfId="109"/>
    <cellStyle name="CurrencyTBWB 3 2 5 2 3" xfId="109"/>
    <cellStyle name="CurrencyTBWB 3 2 5 2 4" xfId="109"/>
    <cellStyle name="CurrencyTBWB 3 2 5 2 5" xfId="109"/>
    <cellStyle name="CurrencyTBWB 3 2 5 3" xfId="109"/>
    <cellStyle name="CurrencyTBWB 3 2 5 3 2" xfId="109"/>
    <cellStyle name="CurrencyTBWB 3 2 5 3 3" xfId="109"/>
    <cellStyle name="CurrencyTBWB 3 2 5 3 4" xfId="109"/>
    <cellStyle name="CurrencyTBWB 3 2 5 4" xfId="109"/>
    <cellStyle name="CurrencyTBWB 3 2 5 5" xfId="109"/>
    <cellStyle name="CurrencyTBWB 3 2 5 6" xfId="109"/>
    <cellStyle name="CurrencyTBWB 3 2 5 7" xfId="109"/>
    <cellStyle name="CurrencyTBWB 3 2 5 8" xfId="109"/>
    <cellStyle name="CurrencyTBWB 3 2 6" xfId="109"/>
    <cellStyle name="CurrencyTBWB 3 2 6 2" xfId="109"/>
    <cellStyle name="CurrencyTBWB 3 2 6 3" xfId="109"/>
    <cellStyle name="CurrencyTBWB 3 2 6 4" xfId="109"/>
    <cellStyle name="CurrencyTBWB 3 2 6 5" xfId="109"/>
    <cellStyle name="CurrencyTBWB 3 2 7" xfId="109"/>
    <cellStyle name="CurrencyTBWB 3 2 8" xfId="109"/>
    <cellStyle name="CurrencyTBWB 3 2 9" xfId="109"/>
    <cellStyle name="CurrencyTBWB 3 3" xfId="109"/>
    <cellStyle name="CurrencyTBWB 3 3 10" xfId="109"/>
    <cellStyle name="CurrencyTBWB 3 3 2" xfId="109"/>
    <cellStyle name="CurrencyTBWB 3 3 2 2" xfId="109"/>
    <cellStyle name="CurrencyTBWB 3 3 2 2 2" xfId="109"/>
    <cellStyle name="CurrencyTBWB 3 3 2 2 3" xfId="109"/>
    <cellStyle name="CurrencyTBWB 3 3 2 2 4" xfId="109"/>
    <cellStyle name="CurrencyTBWB 3 3 2 2 5" xfId="109"/>
    <cellStyle name="CurrencyTBWB 3 3 2 3" xfId="109"/>
    <cellStyle name="CurrencyTBWB 3 3 2 3 2" xfId="109"/>
    <cellStyle name="CurrencyTBWB 3 3 2 3 3" xfId="109"/>
    <cellStyle name="CurrencyTBWB 3 3 2 3 4" xfId="109"/>
    <cellStyle name="CurrencyTBWB 3 3 2 4" xfId="109"/>
    <cellStyle name="CurrencyTBWB 3 3 2 5" xfId="109"/>
    <cellStyle name="CurrencyTBWB 3 3 2 6" xfId="109"/>
    <cellStyle name="CurrencyTBWB 3 3 2 7" xfId="109"/>
    <cellStyle name="CurrencyTBWB 3 3 2 8" xfId="109"/>
    <cellStyle name="CurrencyTBWB 3 3 3" xfId="109"/>
    <cellStyle name="CurrencyTBWB 3 3 3 2" xfId="109"/>
    <cellStyle name="CurrencyTBWB 3 3 3 2 2" xfId="109"/>
    <cellStyle name="CurrencyTBWB 3 3 3 2 3" xfId="109"/>
    <cellStyle name="CurrencyTBWB 3 3 3 2 4" xfId="109"/>
    <cellStyle name="CurrencyTBWB 3 3 3 2 5" xfId="109"/>
    <cellStyle name="CurrencyTBWB 3 3 3 3" xfId="109"/>
    <cellStyle name="CurrencyTBWB 3 3 3 3 2" xfId="109"/>
    <cellStyle name="CurrencyTBWB 3 3 3 3 3" xfId="109"/>
    <cellStyle name="CurrencyTBWB 3 3 3 3 4" xfId="109"/>
    <cellStyle name="CurrencyTBWB 3 3 3 4" xfId="109"/>
    <cellStyle name="CurrencyTBWB 3 3 3 5" xfId="109"/>
    <cellStyle name="CurrencyTBWB 3 3 3 6" xfId="109"/>
    <cellStyle name="CurrencyTBWB 3 3 3 7" xfId="109"/>
    <cellStyle name="CurrencyTBWB 3 3 3 8" xfId="109"/>
    <cellStyle name="CurrencyTBWB 3 3 4" xfId="109"/>
    <cellStyle name="CurrencyTBWB 3 3 4 2" xfId="109"/>
    <cellStyle name="CurrencyTBWB 3 3 4 2 2" xfId="109"/>
    <cellStyle name="CurrencyTBWB 3 3 4 2 3" xfId="109"/>
    <cellStyle name="CurrencyTBWB 3 3 4 2 4" xfId="109"/>
    <cellStyle name="CurrencyTBWB 3 3 4 2 5" xfId="109"/>
    <cellStyle name="CurrencyTBWB 3 3 4 3" xfId="109"/>
    <cellStyle name="CurrencyTBWB 3 3 4 3 2" xfId="109"/>
    <cellStyle name="CurrencyTBWB 3 3 4 3 3" xfId="109"/>
    <cellStyle name="CurrencyTBWB 3 3 4 3 4" xfId="109"/>
    <cellStyle name="CurrencyTBWB 3 3 4 4" xfId="109"/>
    <cellStyle name="CurrencyTBWB 3 3 4 5" xfId="109"/>
    <cellStyle name="CurrencyTBWB 3 3 4 6" xfId="109"/>
    <cellStyle name="CurrencyTBWB 3 3 4 7" xfId="109"/>
    <cellStyle name="CurrencyTBWB 3 3 5" xfId="109"/>
    <cellStyle name="CurrencyTBWB 3 3 5 2" xfId="109"/>
    <cellStyle name="CurrencyTBWB 3 3 5 2 2" xfId="109"/>
    <cellStyle name="CurrencyTBWB 3 3 5 2 3" xfId="109"/>
    <cellStyle name="CurrencyTBWB 3 3 5 2 4" xfId="109"/>
    <cellStyle name="CurrencyTBWB 3 3 5 2 5" xfId="109"/>
    <cellStyle name="CurrencyTBWB 3 3 5 3" xfId="109"/>
    <cellStyle name="CurrencyTBWB 3 3 5 3 2" xfId="109"/>
    <cellStyle name="CurrencyTBWB 3 3 5 3 3" xfId="109"/>
    <cellStyle name="CurrencyTBWB 3 3 5 3 4" xfId="109"/>
    <cellStyle name="CurrencyTBWB 3 3 5 4" xfId="109"/>
    <cellStyle name="CurrencyTBWB 3 3 5 5" xfId="109"/>
    <cellStyle name="CurrencyTBWB 3 3 5 6" xfId="109"/>
    <cellStyle name="CurrencyTBWB 3 3 5 7" xfId="109"/>
    <cellStyle name="CurrencyTBWB 3 3 5 8" xfId="109"/>
    <cellStyle name="CurrencyTBWB 3 3 6" xfId="109"/>
    <cellStyle name="CurrencyTBWB 3 3 6 2" xfId="109"/>
    <cellStyle name="CurrencyTBWB 3 3 6 3" xfId="109"/>
    <cellStyle name="CurrencyTBWB 3 3 6 4" xfId="109"/>
    <cellStyle name="CurrencyTBWB 3 3 6 5" xfId="109"/>
    <cellStyle name="CurrencyTBWB 3 3 7" xfId="109"/>
    <cellStyle name="CurrencyTBWB 3 3 8" xfId="109"/>
    <cellStyle name="CurrencyTBWB 3 3 9" xfId="109"/>
    <cellStyle name="CurrencyTBWB 3 4" xfId="109"/>
    <cellStyle name="CurrencyTBWB 3 4 2" xfId="109"/>
    <cellStyle name="CurrencyTBWB 3 4 2 2" xfId="109"/>
    <cellStyle name="CurrencyTBWB 3 4 2 3" xfId="109"/>
    <cellStyle name="CurrencyTBWB 3 4 2 4" xfId="109"/>
    <cellStyle name="CurrencyTBWB 3 4 2 5" xfId="109"/>
    <cellStyle name="CurrencyTBWB 3 4 3" xfId="109"/>
    <cellStyle name="CurrencyTBWB 3 4 3 2" xfId="109"/>
    <cellStyle name="CurrencyTBWB 3 4 3 3" xfId="109"/>
    <cellStyle name="CurrencyTBWB 3 4 3 4" xfId="109"/>
    <cellStyle name="CurrencyTBWB 3 4 4" xfId="109"/>
    <cellStyle name="CurrencyTBWB 3 4 5" xfId="109"/>
    <cellStyle name="CurrencyTBWB 3 4 6" xfId="109"/>
    <cellStyle name="CurrencyTBWB 3 4 7" xfId="109"/>
    <cellStyle name="CurrencyTBWB 3 4 8" xfId="109"/>
    <cellStyle name="CurrencyTBWB 3 5" xfId="109"/>
    <cellStyle name="CurrencyTBWB 3 5 2" xfId="109"/>
    <cellStyle name="CurrencyTBWB 3 5 2 2" xfId="109"/>
    <cellStyle name="CurrencyTBWB 3 5 2 3" xfId="109"/>
    <cellStyle name="CurrencyTBWB 3 5 2 4" xfId="109"/>
    <cellStyle name="CurrencyTBWB 3 5 2 5" xfId="109"/>
    <cellStyle name="CurrencyTBWB 3 5 3" xfId="109"/>
    <cellStyle name="CurrencyTBWB 3 5 3 2" xfId="109"/>
    <cellStyle name="CurrencyTBWB 3 5 3 3" xfId="109"/>
    <cellStyle name="CurrencyTBWB 3 5 3 4" xfId="109"/>
    <cellStyle name="CurrencyTBWB 3 5 4" xfId="109"/>
    <cellStyle name="CurrencyTBWB 3 5 5" xfId="109"/>
    <cellStyle name="CurrencyTBWB 3 5 6" xfId="109"/>
    <cellStyle name="CurrencyTBWB 3 5 7" xfId="109"/>
    <cellStyle name="CurrencyTBWB 3 5 8" xfId="109"/>
    <cellStyle name="CurrencyTBWB 3 6" xfId="109"/>
    <cellStyle name="CurrencyTBWB 3 6 2" xfId="109"/>
    <cellStyle name="CurrencyTBWB 3 6 2 2" xfId="109"/>
    <cellStyle name="CurrencyTBWB 3 6 2 3" xfId="109"/>
    <cellStyle name="CurrencyTBWB 3 6 2 4" xfId="109"/>
    <cellStyle name="CurrencyTBWB 3 6 2 5" xfId="109"/>
    <cellStyle name="CurrencyTBWB 3 6 3" xfId="109"/>
    <cellStyle name="CurrencyTBWB 3 6 3 2" xfId="109"/>
    <cellStyle name="CurrencyTBWB 3 6 3 3" xfId="109"/>
    <cellStyle name="CurrencyTBWB 3 6 3 4" xfId="109"/>
    <cellStyle name="CurrencyTBWB 3 6 4" xfId="109"/>
    <cellStyle name="CurrencyTBWB 3 6 5" xfId="109"/>
    <cellStyle name="CurrencyTBWB 3 6 6" xfId="109"/>
    <cellStyle name="CurrencyTBWB 3 6 7" xfId="109"/>
    <cellStyle name="CurrencyTBWB 3 7" xfId="109"/>
    <cellStyle name="CurrencyTBWB 3 7 2" xfId="109"/>
    <cellStyle name="CurrencyTBWB 3 7 2 2" xfId="109"/>
    <cellStyle name="CurrencyTBWB 3 7 2 3" xfId="109"/>
    <cellStyle name="CurrencyTBWB 3 7 2 4" xfId="109"/>
    <cellStyle name="CurrencyTBWB 3 7 2 5" xfId="109"/>
    <cellStyle name="CurrencyTBWB 3 7 3" xfId="109"/>
    <cellStyle name="CurrencyTBWB 3 7 3 2" xfId="109"/>
    <cellStyle name="CurrencyTBWB 3 7 3 3" xfId="109"/>
    <cellStyle name="CurrencyTBWB 3 7 3 4" xfId="109"/>
    <cellStyle name="CurrencyTBWB 3 7 4" xfId="109"/>
    <cellStyle name="CurrencyTBWB 3 7 5" xfId="109"/>
    <cellStyle name="CurrencyTBWB 3 7 6" xfId="109"/>
    <cellStyle name="CurrencyTBWB 3 7 7" xfId="109"/>
    <cellStyle name="CurrencyTBWB 3 7 8" xfId="109"/>
    <cellStyle name="CurrencyTBWB 3 8" xfId="109"/>
    <cellStyle name="CurrencyTBWB 3 8 2" xfId="109"/>
    <cellStyle name="CurrencyTBWB 3 8 3" xfId="109"/>
    <cellStyle name="CurrencyTBWB 3 8 4" xfId="109"/>
    <cellStyle name="CurrencyTBWB 3 8 5" xfId="109"/>
    <cellStyle name="CurrencyTBWB 3 9" xfId="109"/>
    <cellStyle name="CurrencyTBWB 4" xfId="109"/>
    <cellStyle name="CurrencyTBWB 4 10" xfId="109"/>
    <cellStyle name="CurrencyTBWB 4 2" xfId="109"/>
    <cellStyle name="CurrencyTBWB 4 2 2" xfId="109"/>
    <cellStyle name="CurrencyTBWB 4 2 2 2" xfId="109"/>
    <cellStyle name="CurrencyTBWB 4 2 2 3" xfId="109"/>
    <cellStyle name="CurrencyTBWB 4 2 2 4" xfId="109"/>
    <cellStyle name="CurrencyTBWB 4 2 2 5" xfId="109"/>
    <cellStyle name="CurrencyTBWB 4 2 3" xfId="109"/>
    <cellStyle name="CurrencyTBWB 4 2 3 2" xfId="109"/>
    <cellStyle name="CurrencyTBWB 4 2 3 3" xfId="109"/>
    <cellStyle name="CurrencyTBWB 4 2 3 4" xfId="109"/>
    <cellStyle name="CurrencyTBWB 4 2 4" xfId="109"/>
    <cellStyle name="CurrencyTBWB 4 2 5" xfId="109"/>
    <cellStyle name="CurrencyTBWB 4 2 6" xfId="109"/>
    <cellStyle name="CurrencyTBWB 4 2 7" xfId="109"/>
    <cellStyle name="CurrencyTBWB 4 2 8" xfId="109"/>
    <cellStyle name="CurrencyTBWB 4 3" xfId="109"/>
    <cellStyle name="CurrencyTBWB 4 3 2" xfId="109"/>
    <cellStyle name="CurrencyTBWB 4 3 2 2" xfId="109"/>
    <cellStyle name="CurrencyTBWB 4 3 2 3" xfId="109"/>
    <cellStyle name="CurrencyTBWB 4 3 2 4" xfId="109"/>
    <cellStyle name="CurrencyTBWB 4 3 2 5" xfId="109"/>
    <cellStyle name="CurrencyTBWB 4 3 3" xfId="109"/>
    <cellStyle name="CurrencyTBWB 4 3 3 2" xfId="109"/>
    <cellStyle name="CurrencyTBWB 4 3 3 3" xfId="109"/>
    <cellStyle name="CurrencyTBWB 4 3 3 4" xfId="109"/>
    <cellStyle name="CurrencyTBWB 4 3 4" xfId="109"/>
    <cellStyle name="CurrencyTBWB 4 3 5" xfId="109"/>
    <cellStyle name="CurrencyTBWB 4 3 6" xfId="109"/>
    <cellStyle name="CurrencyTBWB 4 3 7" xfId="109"/>
    <cellStyle name="CurrencyTBWB 4 3 8" xfId="109"/>
    <cellStyle name="CurrencyTBWB 4 4" xfId="109"/>
    <cellStyle name="CurrencyTBWB 4 4 2" xfId="109"/>
    <cellStyle name="CurrencyTBWB 4 4 2 2" xfId="109"/>
    <cellStyle name="CurrencyTBWB 4 4 2 3" xfId="109"/>
    <cellStyle name="CurrencyTBWB 4 4 2 4" xfId="109"/>
    <cellStyle name="CurrencyTBWB 4 4 2 5" xfId="109"/>
    <cellStyle name="CurrencyTBWB 4 4 3" xfId="109"/>
    <cellStyle name="CurrencyTBWB 4 4 3 2" xfId="109"/>
    <cellStyle name="CurrencyTBWB 4 4 3 3" xfId="109"/>
    <cellStyle name="CurrencyTBWB 4 4 3 4" xfId="109"/>
    <cellStyle name="CurrencyTBWB 4 4 4" xfId="109"/>
    <cellStyle name="CurrencyTBWB 4 4 5" xfId="109"/>
    <cellStyle name="CurrencyTBWB 4 4 6" xfId="109"/>
    <cellStyle name="CurrencyTBWB 4 4 7" xfId="109"/>
    <cellStyle name="CurrencyTBWB 4 5" xfId="109"/>
    <cellStyle name="CurrencyTBWB 4 5 2" xfId="109"/>
    <cellStyle name="CurrencyTBWB 4 5 2 2" xfId="109"/>
    <cellStyle name="CurrencyTBWB 4 5 2 3" xfId="109"/>
    <cellStyle name="CurrencyTBWB 4 5 2 4" xfId="109"/>
    <cellStyle name="CurrencyTBWB 4 5 2 5" xfId="109"/>
    <cellStyle name="CurrencyTBWB 4 5 3" xfId="109"/>
    <cellStyle name="CurrencyTBWB 4 5 3 2" xfId="109"/>
    <cellStyle name="CurrencyTBWB 4 5 3 3" xfId="109"/>
    <cellStyle name="CurrencyTBWB 4 5 3 4" xfId="109"/>
    <cellStyle name="CurrencyTBWB 4 5 4" xfId="109"/>
    <cellStyle name="CurrencyTBWB 4 5 5" xfId="109"/>
    <cellStyle name="CurrencyTBWB 4 5 6" xfId="109"/>
    <cellStyle name="CurrencyTBWB 4 5 7" xfId="109"/>
    <cellStyle name="CurrencyTBWB 4 5 8" xfId="109"/>
    <cellStyle name="CurrencyTBWB 4 6" xfId="109"/>
    <cellStyle name="CurrencyTBWB 4 6 2" xfId="109"/>
    <cellStyle name="CurrencyTBWB 4 6 3" xfId="109"/>
    <cellStyle name="CurrencyTBWB 4 6 4" xfId="109"/>
    <cellStyle name="CurrencyTBWB 4 6 5" xfId="109"/>
    <cellStyle name="CurrencyTBWB 4 7" xfId="109"/>
    <cellStyle name="CurrencyTBWB 4 8" xfId="109"/>
    <cellStyle name="CurrencyTBWB 4 9" xfId="109"/>
    <cellStyle name="CurrencyTBWB 5" xfId="109"/>
    <cellStyle name="CurrencyTBWB 5 2" xfId="109"/>
    <cellStyle name="CurrencyTBWB 5 2 2" xfId="109"/>
    <cellStyle name="CurrencyTBWB 5 2 2 2" xfId="109"/>
    <cellStyle name="CurrencyTBWB 5 2 2 3" xfId="109"/>
    <cellStyle name="CurrencyTBWB 5 2 2 4" xfId="109"/>
    <cellStyle name="CurrencyTBWB 5 2 2 5" xfId="109"/>
    <cellStyle name="CurrencyTBWB 5 2 3" xfId="109"/>
    <cellStyle name="CurrencyTBWB 5 2 3 2" xfId="109"/>
    <cellStyle name="CurrencyTBWB 5 2 3 3" xfId="109"/>
    <cellStyle name="CurrencyTBWB 5 2 3 4" xfId="109"/>
    <cellStyle name="CurrencyTBWB 5 2 4" xfId="109"/>
    <cellStyle name="CurrencyTBWB 5 2 5" xfId="109"/>
    <cellStyle name="CurrencyTBWB 5 2 6" xfId="109"/>
    <cellStyle name="CurrencyTBWB 5 2 7" xfId="109"/>
    <cellStyle name="CurrencyTBWB 5 2 8" xfId="109"/>
    <cellStyle name="CurrencyTBWB 5 3" xfId="109"/>
    <cellStyle name="CurrencyTBWB 5 3 2" xfId="109"/>
    <cellStyle name="CurrencyTBWB 5 3 2 2" xfId="109"/>
    <cellStyle name="CurrencyTBWB 5 3 2 3" xfId="109"/>
    <cellStyle name="CurrencyTBWB 5 3 2 4" xfId="109"/>
    <cellStyle name="CurrencyTBWB 5 3 2 5" xfId="109"/>
    <cellStyle name="CurrencyTBWB 5 3 3" xfId="109"/>
    <cellStyle name="CurrencyTBWB 5 3 3 2" xfId="109"/>
    <cellStyle name="CurrencyTBWB 5 3 3 3" xfId="109"/>
    <cellStyle name="CurrencyTBWB 5 3 3 4" xfId="109"/>
    <cellStyle name="CurrencyTBWB 5 3 4" xfId="109"/>
    <cellStyle name="CurrencyTBWB 5 3 5" xfId="109"/>
    <cellStyle name="CurrencyTBWB 5 3 6" xfId="109"/>
    <cellStyle name="CurrencyTBWB 5 3 7" xfId="109"/>
    <cellStyle name="CurrencyTBWB 5 4" xfId="109"/>
    <cellStyle name="CurrencyTBWB 5 4 2" xfId="109"/>
    <cellStyle name="CurrencyTBWB 5 4 3" xfId="109"/>
    <cellStyle name="CurrencyTBWB 5 4 4" xfId="109"/>
    <cellStyle name="CurrencyTBWB 5 4 5" xfId="109"/>
    <cellStyle name="CurrencyTBWB 5 5" xfId="109"/>
    <cellStyle name="CurrencyTBWB 5 5 2" xfId="109"/>
    <cellStyle name="CurrencyTBWB 5 5 3" xfId="109"/>
    <cellStyle name="CurrencyTBWB 5 5 4" xfId="109"/>
    <cellStyle name="CurrencyTBWB 5 6" xfId="109"/>
    <cellStyle name="CurrencyTBWB 5 7" xfId="109"/>
    <cellStyle name="CurrencyTBWB 5 8" xfId="109"/>
    <cellStyle name="CurrencyTBWB 5 9" xfId="109"/>
    <cellStyle name="CurrencyTBWB 6" xfId="109"/>
    <cellStyle name="CurrencyTBWB 6 2" xfId="109"/>
    <cellStyle name="CurrencyTBWB 6 2 2" xfId="109"/>
    <cellStyle name="CurrencyTBWB 6 2 3" xfId="109"/>
    <cellStyle name="CurrencyTBWB 6 2 4" xfId="109"/>
    <cellStyle name="CurrencyTBWB 6 2 5" xfId="109"/>
    <cellStyle name="CurrencyTBWB 6 3" xfId="109"/>
    <cellStyle name="CurrencyTBWB 6 3 2" xfId="109"/>
    <cellStyle name="CurrencyTBWB 6 3 3" xfId="109"/>
    <cellStyle name="CurrencyTBWB 6 3 4" xfId="109"/>
    <cellStyle name="CurrencyTBWB 6 4" xfId="109"/>
    <cellStyle name="CurrencyTBWB 6 5" xfId="109"/>
    <cellStyle name="CurrencyTBWB 6 6" xfId="109"/>
    <cellStyle name="CurrencyTBWB 6 7" xfId="109"/>
    <cellStyle name="CurrencyTBWB 6 8" xfId="109"/>
    <cellStyle name="CurrencyTBWB 7" xfId="109"/>
    <cellStyle name="CurrencyTBWB 7 2" xfId="109"/>
    <cellStyle name="CurrencyTBWB 7 3" xfId="109"/>
    <cellStyle name="CurrencyTBWB 7 4" xfId="109"/>
    <cellStyle name="CurrencyTBWB 7 5" xfId="109"/>
    <cellStyle name="CurrencyTBWB 8" xfId="109"/>
    <cellStyle name="CurrencyTBWNeg" xfId="110"/>
    <cellStyle name="D" xfId="111"/>
    <cellStyle name="Date" xfId="112"/>
    <cellStyle name="Date Short" xfId="113"/>
    <cellStyle name="Date TB" xfId="114"/>
    <cellStyle name="Date TB-H" xfId="115"/>
    <cellStyle name="Date TB-Left" xfId="116"/>
    <cellStyle name="Date TB-R,C" xfId="117"/>
    <cellStyle name="Date TBCenterAlign" xfId="118"/>
    <cellStyle name="Date TBMMDDYYYYCenterAlign" xfId="119"/>
    <cellStyle name="Date TBMMDDYYYYLeftAlign" xfId="120"/>
    <cellStyle name="Date TBMMDDYYYYRightAlign" xfId="121"/>
    <cellStyle name="Date TBMMMM-R" xfId="122"/>
    <cellStyle name="Date TBR" xfId="123"/>
    <cellStyle name="Date TBRB-Red" xfId="124"/>
    <cellStyle name="Date TBRight" xfId="125"/>
    <cellStyle name="Date TBRLeftAlign" xfId="126"/>
    <cellStyle name="DateTBMMMDD" xfId="127"/>
    <cellStyle name="DateTBMMMDDWrite" xfId="128"/>
    <cellStyle name="DefaultNumberStandard" xfId="129"/>
    <cellStyle name="DefaultNumberStandard 2" xfId="129"/>
    <cellStyle name="DefaultNumberStandard 2 2" xfId="129"/>
    <cellStyle name="DefaultNumberStandard 2 2 2" xfId="129"/>
    <cellStyle name="DefaultNumberStandard 2 2 2 2" xfId="129"/>
    <cellStyle name="DefaultNumberStandard 2 2 3" xfId="129"/>
    <cellStyle name="DefaultNumberStandard 2 2 3 2" xfId="129"/>
    <cellStyle name="DefaultNumberStandard 2 2 4" xfId="129"/>
    <cellStyle name="DefaultNumberStandard 2 2 4 2" xfId="129"/>
    <cellStyle name="DefaultNumberStandard 2 2 5" xfId="129"/>
    <cellStyle name="DefaultNumberStandard 2 2 5 2" xfId="129"/>
    <cellStyle name="DefaultNumberStandard 2 2 6" xfId="129"/>
    <cellStyle name="DefaultNumberStandard 2 3" xfId="129"/>
    <cellStyle name="DefaultNumberStandard 2 3 2" xfId="129"/>
    <cellStyle name="DefaultNumberStandard 2 4" xfId="129"/>
    <cellStyle name="DefaultNumberStandard 2 4 2" xfId="129"/>
    <cellStyle name="DefaultNumberStandard 2 5" xfId="129"/>
    <cellStyle name="DefaultNumberStandard 2 5 2" xfId="129"/>
    <cellStyle name="DefaultNumberStandard 2 6" xfId="129"/>
    <cellStyle name="DefaultNumberStandard 2 6 2" xfId="129"/>
    <cellStyle name="DefaultNumberStandard 3" xfId="129"/>
    <cellStyle name="DefaultNumberStandard 3 2" xfId="129"/>
    <cellStyle name="DefaultNumberStandard 3 2 2" xfId="129"/>
    <cellStyle name="DefaultNumberStandard 3 3" xfId="129"/>
    <cellStyle name="DefaultNumberStandard 3 3 2" xfId="129"/>
    <cellStyle name="DefaultNumberStandard 3 4" xfId="129"/>
    <cellStyle name="DefaultNumberStandard 3 4 2" xfId="129"/>
    <cellStyle name="DefaultNumberStandard 3 5" xfId="129"/>
    <cellStyle name="DefaultNumberStandard 3 5 2" xfId="129"/>
    <cellStyle name="DefaultNumberStandard 3 6" xfId="129"/>
    <cellStyle name="DefaultNumberStandard 4" xfId="129"/>
    <cellStyle name="DefaultNumberStandard 4 2" xfId="129"/>
    <cellStyle name="DefaultNumberStandard 5" xfId="129"/>
    <cellStyle name="DefaultNumberStandard 5 2" xfId="129"/>
    <cellStyle name="DefaultNumberStandard 6" xfId="129"/>
    <cellStyle name="DropDown" xfId="130"/>
    <cellStyle name="DropDownCenter" xfId="131"/>
    <cellStyle name="DropDownCenterBB" xfId="132"/>
    <cellStyle name="DropDownCenterNum" xfId="133"/>
    <cellStyle name="DropDownNoBorder" xfId="134"/>
    <cellStyle name="DropDownRight" xfId="135"/>
    <cellStyle name="EditableFormulaNumberStandard" xfId="136"/>
    <cellStyle name="EditableFormulaNumberStandard 2" xfId="136"/>
    <cellStyle name="EditableFormulaNumberStandard 2 2" xfId="136"/>
    <cellStyle name="EditableFormulaNumberStandard 2 2 2" xfId="136"/>
    <cellStyle name="EditableFormulaNumberStandard 2 2 2 2" xfId="136"/>
    <cellStyle name="EditableFormulaNumberStandard 2 2 3" xfId="136"/>
    <cellStyle name="EditableFormulaNumberStandard 2 2 3 2" xfId="136"/>
    <cellStyle name="EditableFormulaNumberStandard 2 2 4" xfId="136"/>
    <cellStyle name="EditableFormulaNumberStandard 2 2 4 2" xfId="136"/>
    <cellStyle name="EditableFormulaNumberStandard 2 2 5" xfId="136"/>
    <cellStyle name="EditableFormulaNumberStandard 2 2 5 2" xfId="136"/>
    <cellStyle name="EditableFormulaNumberStandard 2 2 6" xfId="136"/>
    <cellStyle name="EditableFormulaNumberStandard 2 3" xfId="136"/>
    <cellStyle name="EditableFormulaNumberStandard 2 3 2" xfId="136"/>
    <cellStyle name="EditableFormulaNumberStandard 2 4" xfId="136"/>
    <cellStyle name="EditableFormulaNumberStandard 2 4 2" xfId="136"/>
    <cellStyle name="EditableFormulaNumberStandard 2 5" xfId="136"/>
    <cellStyle name="EditableFormulaNumberStandard 2 5 2" xfId="136"/>
    <cellStyle name="EditableFormulaNumberStandard 2 6" xfId="136"/>
    <cellStyle name="EditableFormulaNumberStandard 2 6 2" xfId="136"/>
    <cellStyle name="EditableFormulaNumberStandard 3" xfId="136"/>
    <cellStyle name="EditableFormulaNumberStandard 3 2" xfId="136"/>
    <cellStyle name="EditableFormulaNumberStandard 3 2 2" xfId="136"/>
    <cellStyle name="EditableFormulaNumberStandard 3 3" xfId="136"/>
    <cellStyle name="EditableFormulaNumberStandard 3 3 2" xfId="136"/>
    <cellStyle name="EditableFormulaNumberStandard 3 4" xfId="136"/>
    <cellStyle name="EditableFormulaNumberStandard 3 4 2" xfId="136"/>
    <cellStyle name="EditableFormulaNumberStandard 3 5" xfId="136"/>
    <cellStyle name="EditableFormulaNumberStandard 3 5 2" xfId="136"/>
    <cellStyle name="EditableFormulaNumberStandard 3 6" xfId="136"/>
    <cellStyle name="EditableFormulaNumberStandard 4" xfId="136"/>
    <cellStyle name="EditableFormulaNumberStandard 4 2" xfId="136"/>
    <cellStyle name="EditableFormulaNumberStandard 5" xfId="136"/>
    <cellStyle name="EditableFormulaNumberStandard 5 2" xfId="136"/>
    <cellStyle name="EditableFormulaNumberStandard 6" xfId="136"/>
    <cellStyle name="EmptyCell" xfId="137"/>
    <cellStyle name="ErrorCurrencyTB-C" xfId="138"/>
    <cellStyle name="ErrorCurrencyTB-C 2" xfId="138"/>
    <cellStyle name="ErrorCurrencyTB-C 2 10" xfId="138"/>
    <cellStyle name="ErrorCurrencyTB-C 2 11" xfId="138"/>
    <cellStyle name="ErrorCurrencyTB-C 2 12" xfId="138"/>
    <cellStyle name="ErrorCurrencyTB-C 2 13" xfId="138"/>
    <cellStyle name="ErrorCurrencyTB-C 2 14" xfId="138"/>
    <cellStyle name="ErrorCurrencyTB-C 2 2" xfId="138"/>
    <cellStyle name="ErrorCurrencyTB-C 2 2 10" xfId="138"/>
    <cellStyle name="ErrorCurrencyTB-C 2 2 11" xfId="138"/>
    <cellStyle name="ErrorCurrencyTB-C 2 2 12" xfId="138"/>
    <cellStyle name="ErrorCurrencyTB-C 2 2 13" xfId="138"/>
    <cellStyle name="ErrorCurrencyTB-C 2 2 14" xfId="138"/>
    <cellStyle name="ErrorCurrencyTB-C 2 2 2" xfId="138"/>
    <cellStyle name="ErrorCurrencyTB-C 2 2 2 10" xfId="138"/>
    <cellStyle name="ErrorCurrencyTB-C 2 2 2 11" xfId="138"/>
    <cellStyle name="ErrorCurrencyTB-C 2 2 2 12" xfId="138"/>
    <cellStyle name="ErrorCurrencyTB-C 2 2 2 2" xfId="138"/>
    <cellStyle name="ErrorCurrencyTB-C 2 2 2 2 2" xfId="138"/>
    <cellStyle name="ErrorCurrencyTB-C 2 2 2 2 2 2" xfId="138"/>
    <cellStyle name="ErrorCurrencyTB-C 2 2 2 2 2 3" xfId="138"/>
    <cellStyle name="ErrorCurrencyTB-C 2 2 2 2 2 4" xfId="138"/>
    <cellStyle name="ErrorCurrencyTB-C 2 2 2 2 2 5" xfId="138"/>
    <cellStyle name="ErrorCurrencyTB-C 2 2 2 2 3" xfId="138"/>
    <cellStyle name="ErrorCurrencyTB-C 2 2 2 2 3 2" xfId="138"/>
    <cellStyle name="ErrorCurrencyTB-C 2 2 2 2 3 3" xfId="138"/>
    <cellStyle name="ErrorCurrencyTB-C 2 2 2 2 3 4" xfId="138"/>
    <cellStyle name="ErrorCurrencyTB-C 2 2 2 2 4" xfId="138"/>
    <cellStyle name="ErrorCurrencyTB-C 2 2 2 2 5" xfId="138"/>
    <cellStyle name="ErrorCurrencyTB-C 2 2 2 2 6" xfId="138"/>
    <cellStyle name="ErrorCurrencyTB-C 2 2 2 2 7" xfId="138"/>
    <cellStyle name="ErrorCurrencyTB-C 2 2 2 2 8" xfId="138"/>
    <cellStyle name="ErrorCurrencyTB-C 2 2 2 3" xfId="138"/>
    <cellStyle name="ErrorCurrencyTB-C 2 2 2 3 2" xfId="138"/>
    <cellStyle name="ErrorCurrencyTB-C 2 2 2 3 2 2" xfId="138"/>
    <cellStyle name="ErrorCurrencyTB-C 2 2 2 3 2 3" xfId="138"/>
    <cellStyle name="ErrorCurrencyTB-C 2 2 2 3 2 4" xfId="138"/>
    <cellStyle name="ErrorCurrencyTB-C 2 2 2 3 2 5" xfId="138"/>
    <cellStyle name="ErrorCurrencyTB-C 2 2 2 3 3" xfId="138"/>
    <cellStyle name="ErrorCurrencyTB-C 2 2 2 3 3 2" xfId="138"/>
    <cellStyle name="ErrorCurrencyTB-C 2 2 2 3 3 3" xfId="138"/>
    <cellStyle name="ErrorCurrencyTB-C 2 2 2 3 3 4" xfId="138"/>
    <cellStyle name="ErrorCurrencyTB-C 2 2 2 3 4" xfId="138"/>
    <cellStyle name="ErrorCurrencyTB-C 2 2 2 3 5" xfId="138"/>
    <cellStyle name="ErrorCurrencyTB-C 2 2 2 3 6" xfId="138"/>
    <cellStyle name="ErrorCurrencyTB-C 2 2 2 3 7" xfId="138"/>
    <cellStyle name="ErrorCurrencyTB-C 2 2 2 3 8" xfId="138"/>
    <cellStyle name="ErrorCurrencyTB-C 2 2 2 4" xfId="138"/>
    <cellStyle name="ErrorCurrencyTB-C 2 2 2 4 2" xfId="138"/>
    <cellStyle name="ErrorCurrencyTB-C 2 2 2 4 2 2" xfId="138"/>
    <cellStyle name="ErrorCurrencyTB-C 2 2 2 4 2 3" xfId="138"/>
    <cellStyle name="ErrorCurrencyTB-C 2 2 2 4 2 4" xfId="138"/>
    <cellStyle name="ErrorCurrencyTB-C 2 2 2 4 2 5" xfId="138"/>
    <cellStyle name="ErrorCurrencyTB-C 2 2 2 4 3" xfId="138"/>
    <cellStyle name="ErrorCurrencyTB-C 2 2 2 4 3 2" xfId="138"/>
    <cellStyle name="ErrorCurrencyTB-C 2 2 2 4 3 3" xfId="138"/>
    <cellStyle name="ErrorCurrencyTB-C 2 2 2 4 3 4" xfId="138"/>
    <cellStyle name="ErrorCurrencyTB-C 2 2 2 4 4" xfId="138"/>
    <cellStyle name="ErrorCurrencyTB-C 2 2 2 4 5" xfId="138"/>
    <cellStyle name="ErrorCurrencyTB-C 2 2 2 4 6" xfId="138"/>
    <cellStyle name="ErrorCurrencyTB-C 2 2 2 4 7" xfId="138"/>
    <cellStyle name="ErrorCurrencyTB-C 2 2 2 4 8" xfId="138"/>
    <cellStyle name="ErrorCurrencyTB-C 2 2 2 5" xfId="138"/>
    <cellStyle name="ErrorCurrencyTB-C 2 2 2 5 2" xfId="138"/>
    <cellStyle name="ErrorCurrencyTB-C 2 2 2 5 2 2" xfId="138"/>
    <cellStyle name="ErrorCurrencyTB-C 2 2 2 5 2 3" xfId="138"/>
    <cellStyle name="ErrorCurrencyTB-C 2 2 2 5 2 4" xfId="138"/>
    <cellStyle name="ErrorCurrencyTB-C 2 2 2 5 2 5" xfId="138"/>
    <cellStyle name="ErrorCurrencyTB-C 2 2 2 5 3" xfId="138"/>
    <cellStyle name="ErrorCurrencyTB-C 2 2 2 5 3 2" xfId="138"/>
    <cellStyle name="ErrorCurrencyTB-C 2 2 2 5 3 3" xfId="138"/>
    <cellStyle name="ErrorCurrencyTB-C 2 2 2 5 3 4" xfId="138"/>
    <cellStyle name="ErrorCurrencyTB-C 2 2 2 5 4" xfId="138"/>
    <cellStyle name="ErrorCurrencyTB-C 2 2 2 5 5" xfId="138"/>
    <cellStyle name="ErrorCurrencyTB-C 2 2 2 5 6" xfId="138"/>
    <cellStyle name="ErrorCurrencyTB-C 2 2 2 5 7" xfId="138"/>
    <cellStyle name="ErrorCurrencyTB-C 2 2 2 5 8" xfId="138"/>
    <cellStyle name="ErrorCurrencyTB-C 2 2 2 6" xfId="138"/>
    <cellStyle name="ErrorCurrencyTB-C 2 2 2 6 2" xfId="138"/>
    <cellStyle name="ErrorCurrencyTB-C 2 2 2 6 3" xfId="138"/>
    <cellStyle name="ErrorCurrencyTB-C 2 2 2 6 4" xfId="138"/>
    <cellStyle name="ErrorCurrencyTB-C 2 2 2 6 5" xfId="138"/>
    <cellStyle name="ErrorCurrencyTB-C 2 2 2 7" xfId="138"/>
    <cellStyle name="ErrorCurrencyTB-C 2 2 2 7 2" xfId="138"/>
    <cellStyle name="ErrorCurrencyTB-C 2 2 2 7 3" xfId="138"/>
    <cellStyle name="ErrorCurrencyTB-C 2 2 2 7 4" xfId="138"/>
    <cellStyle name="ErrorCurrencyTB-C 2 2 2 8" xfId="138"/>
    <cellStyle name="ErrorCurrencyTB-C 2 2 2 9" xfId="138"/>
    <cellStyle name="ErrorCurrencyTB-C 2 2 3" xfId="138"/>
    <cellStyle name="ErrorCurrencyTB-C 2 2 3 10" xfId="138"/>
    <cellStyle name="ErrorCurrencyTB-C 2 2 3 11" xfId="138"/>
    <cellStyle name="ErrorCurrencyTB-C 2 2 3 12" xfId="138"/>
    <cellStyle name="ErrorCurrencyTB-C 2 2 3 2" xfId="138"/>
    <cellStyle name="ErrorCurrencyTB-C 2 2 3 2 2" xfId="138"/>
    <cellStyle name="ErrorCurrencyTB-C 2 2 3 2 2 2" xfId="138"/>
    <cellStyle name="ErrorCurrencyTB-C 2 2 3 2 2 3" xfId="138"/>
    <cellStyle name="ErrorCurrencyTB-C 2 2 3 2 2 4" xfId="138"/>
    <cellStyle name="ErrorCurrencyTB-C 2 2 3 2 2 5" xfId="138"/>
    <cellStyle name="ErrorCurrencyTB-C 2 2 3 2 3" xfId="138"/>
    <cellStyle name="ErrorCurrencyTB-C 2 2 3 2 3 2" xfId="138"/>
    <cellStyle name="ErrorCurrencyTB-C 2 2 3 2 3 3" xfId="138"/>
    <cellStyle name="ErrorCurrencyTB-C 2 2 3 2 3 4" xfId="138"/>
    <cellStyle name="ErrorCurrencyTB-C 2 2 3 2 4" xfId="138"/>
    <cellStyle name="ErrorCurrencyTB-C 2 2 3 2 5" xfId="138"/>
    <cellStyle name="ErrorCurrencyTB-C 2 2 3 2 6" xfId="138"/>
    <cellStyle name="ErrorCurrencyTB-C 2 2 3 2 7" xfId="138"/>
    <cellStyle name="ErrorCurrencyTB-C 2 2 3 2 8" xfId="138"/>
    <cellStyle name="ErrorCurrencyTB-C 2 2 3 3" xfId="138"/>
    <cellStyle name="ErrorCurrencyTB-C 2 2 3 3 2" xfId="138"/>
    <cellStyle name="ErrorCurrencyTB-C 2 2 3 3 2 2" xfId="138"/>
    <cellStyle name="ErrorCurrencyTB-C 2 2 3 3 2 3" xfId="138"/>
    <cellStyle name="ErrorCurrencyTB-C 2 2 3 3 2 4" xfId="138"/>
    <cellStyle name="ErrorCurrencyTB-C 2 2 3 3 2 5" xfId="138"/>
    <cellStyle name="ErrorCurrencyTB-C 2 2 3 3 3" xfId="138"/>
    <cellStyle name="ErrorCurrencyTB-C 2 2 3 3 3 2" xfId="138"/>
    <cellStyle name="ErrorCurrencyTB-C 2 2 3 3 3 3" xfId="138"/>
    <cellStyle name="ErrorCurrencyTB-C 2 2 3 3 3 4" xfId="138"/>
    <cellStyle name="ErrorCurrencyTB-C 2 2 3 3 4" xfId="138"/>
    <cellStyle name="ErrorCurrencyTB-C 2 2 3 3 5" xfId="138"/>
    <cellStyle name="ErrorCurrencyTB-C 2 2 3 3 6" xfId="138"/>
    <cellStyle name="ErrorCurrencyTB-C 2 2 3 3 7" xfId="138"/>
    <cellStyle name="ErrorCurrencyTB-C 2 2 3 3 8" xfId="138"/>
    <cellStyle name="ErrorCurrencyTB-C 2 2 3 4" xfId="138"/>
    <cellStyle name="ErrorCurrencyTB-C 2 2 3 4 2" xfId="138"/>
    <cellStyle name="ErrorCurrencyTB-C 2 2 3 4 2 2" xfId="138"/>
    <cellStyle name="ErrorCurrencyTB-C 2 2 3 4 2 3" xfId="138"/>
    <cellStyle name="ErrorCurrencyTB-C 2 2 3 4 2 4" xfId="138"/>
    <cellStyle name="ErrorCurrencyTB-C 2 2 3 4 2 5" xfId="138"/>
    <cellStyle name="ErrorCurrencyTB-C 2 2 3 4 3" xfId="138"/>
    <cellStyle name="ErrorCurrencyTB-C 2 2 3 4 3 2" xfId="138"/>
    <cellStyle name="ErrorCurrencyTB-C 2 2 3 4 3 3" xfId="138"/>
    <cellStyle name="ErrorCurrencyTB-C 2 2 3 4 3 4" xfId="138"/>
    <cellStyle name="ErrorCurrencyTB-C 2 2 3 4 4" xfId="138"/>
    <cellStyle name="ErrorCurrencyTB-C 2 2 3 4 5" xfId="138"/>
    <cellStyle name="ErrorCurrencyTB-C 2 2 3 4 6" xfId="138"/>
    <cellStyle name="ErrorCurrencyTB-C 2 2 3 4 7" xfId="138"/>
    <cellStyle name="ErrorCurrencyTB-C 2 2 3 4 8" xfId="138"/>
    <cellStyle name="ErrorCurrencyTB-C 2 2 3 5" xfId="138"/>
    <cellStyle name="ErrorCurrencyTB-C 2 2 3 5 2" xfId="138"/>
    <cellStyle name="ErrorCurrencyTB-C 2 2 3 5 2 2" xfId="138"/>
    <cellStyle name="ErrorCurrencyTB-C 2 2 3 5 2 3" xfId="138"/>
    <cellStyle name="ErrorCurrencyTB-C 2 2 3 5 2 4" xfId="138"/>
    <cellStyle name="ErrorCurrencyTB-C 2 2 3 5 2 5" xfId="138"/>
    <cellStyle name="ErrorCurrencyTB-C 2 2 3 5 3" xfId="138"/>
    <cellStyle name="ErrorCurrencyTB-C 2 2 3 5 3 2" xfId="138"/>
    <cellStyle name="ErrorCurrencyTB-C 2 2 3 5 3 3" xfId="138"/>
    <cellStyle name="ErrorCurrencyTB-C 2 2 3 5 3 4" xfId="138"/>
    <cellStyle name="ErrorCurrencyTB-C 2 2 3 5 4" xfId="138"/>
    <cellStyle name="ErrorCurrencyTB-C 2 2 3 5 5" xfId="138"/>
    <cellStyle name="ErrorCurrencyTB-C 2 2 3 5 6" xfId="138"/>
    <cellStyle name="ErrorCurrencyTB-C 2 2 3 5 7" xfId="138"/>
    <cellStyle name="ErrorCurrencyTB-C 2 2 3 5 8" xfId="138"/>
    <cellStyle name="ErrorCurrencyTB-C 2 2 3 6" xfId="138"/>
    <cellStyle name="ErrorCurrencyTB-C 2 2 3 6 2" xfId="138"/>
    <cellStyle name="ErrorCurrencyTB-C 2 2 3 6 3" xfId="138"/>
    <cellStyle name="ErrorCurrencyTB-C 2 2 3 6 4" xfId="138"/>
    <cellStyle name="ErrorCurrencyTB-C 2 2 3 6 5" xfId="138"/>
    <cellStyle name="ErrorCurrencyTB-C 2 2 3 7" xfId="138"/>
    <cellStyle name="ErrorCurrencyTB-C 2 2 3 7 2" xfId="138"/>
    <cellStyle name="ErrorCurrencyTB-C 2 2 3 7 3" xfId="138"/>
    <cellStyle name="ErrorCurrencyTB-C 2 2 3 7 4" xfId="138"/>
    <cellStyle name="ErrorCurrencyTB-C 2 2 3 8" xfId="138"/>
    <cellStyle name="ErrorCurrencyTB-C 2 2 3 9" xfId="138"/>
    <cellStyle name="ErrorCurrencyTB-C 2 2 4" xfId="138"/>
    <cellStyle name="ErrorCurrencyTB-C 2 2 4 2" xfId="138"/>
    <cellStyle name="ErrorCurrencyTB-C 2 2 4 2 2" xfId="138"/>
    <cellStyle name="ErrorCurrencyTB-C 2 2 4 2 3" xfId="138"/>
    <cellStyle name="ErrorCurrencyTB-C 2 2 4 2 4" xfId="138"/>
    <cellStyle name="ErrorCurrencyTB-C 2 2 4 2 5" xfId="138"/>
    <cellStyle name="ErrorCurrencyTB-C 2 2 4 3" xfId="138"/>
    <cellStyle name="ErrorCurrencyTB-C 2 2 4 3 2" xfId="138"/>
    <cellStyle name="ErrorCurrencyTB-C 2 2 4 3 3" xfId="138"/>
    <cellStyle name="ErrorCurrencyTB-C 2 2 4 3 4" xfId="138"/>
    <cellStyle name="ErrorCurrencyTB-C 2 2 4 4" xfId="138"/>
    <cellStyle name="ErrorCurrencyTB-C 2 2 4 5" xfId="138"/>
    <cellStyle name="ErrorCurrencyTB-C 2 2 4 6" xfId="138"/>
    <cellStyle name="ErrorCurrencyTB-C 2 2 4 7" xfId="138"/>
    <cellStyle name="ErrorCurrencyTB-C 2 2 4 8" xfId="138"/>
    <cellStyle name="ErrorCurrencyTB-C 2 2 5" xfId="138"/>
    <cellStyle name="ErrorCurrencyTB-C 2 2 5 2" xfId="138"/>
    <cellStyle name="ErrorCurrencyTB-C 2 2 5 2 2" xfId="138"/>
    <cellStyle name="ErrorCurrencyTB-C 2 2 5 2 3" xfId="138"/>
    <cellStyle name="ErrorCurrencyTB-C 2 2 5 2 4" xfId="138"/>
    <cellStyle name="ErrorCurrencyTB-C 2 2 5 2 5" xfId="138"/>
    <cellStyle name="ErrorCurrencyTB-C 2 2 5 3" xfId="138"/>
    <cellStyle name="ErrorCurrencyTB-C 2 2 5 3 2" xfId="138"/>
    <cellStyle name="ErrorCurrencyTB-C 2 2 5 3 3" xfId="138"/>
    <cellStyle name="ErrorCurrencyTB-C 2 2 5 3 4" xfId="138"/>
    <cellStyle name="ErrorCurrencyTB-C 2 2 5 4" xfId="138"/>
    <cellStyle name="ErrorCurrencyTB-C 2 2 5 5" xfId="138"/>
    <cellStyle name="ErrorCurrencyTB-C 2 2 5 6" xfId="138"/>
    <cellStyle name="ErrorCurrencyTB-C 2 2 5 7" xfId="138"/>
    <cellStyle name="ErrorCurrencyTB-C 2 2 5 8" xfId="138"/>
    <cellStyle name="ErrorCurrencyTB-C 2 2 6" xfId="138"/>
    <cellStyle name="ErrorCurrencyTB-C 2 2 6 2" xfId="138"/>
    <cellStyle name="ErrorCurrencyTB-C 2 2 6 2 2" xfId="138"/>
    <cellStyle name="ErrorCurrencyTB-C 2 2 6 2 3" xfId="138"/>
    <cellStyle name="ErrorCurrencyTB-C 2 2 6 2 4" xfId="138"/>
    <cellStyle name="ErrorCurrencyTB-C 2 2 6 2 5" xfId="138"/>
    <cellStyle name="ErrorCurrencyTB-C 2 2 6 3" xfId="138"/>
    <cellStyle name="ErrorCurrencyTB-C 2 2 6 3 2" xfId="138"/>
    <cellStyle name="ErrorCurrencyTB-C 2 2 6 3 3" xfId="138"/>
    <cellStyle name="ErrorCurrencyTB-C 2 2 6 3 4" xfId="138"/>
    <cellStyle name="ErrorCurrencyTB-C 2 2 6 4" xfId="138"/>
    <cellStyle name="ErrorCurrencyTB-C 2 2 6 5" xfId="138"/>
    <cellStyle name="ErrorCurrencyTB-C 2 2 6 6" xfId="138"/>
    <cellStyle name="ErrorCurrencyTB-C 2 2 6 7" xfId="138"/>
    <cellStyle name="ErrorCurrencyTB-C 2 2 6 8" xfId="138"/>
    <cellStyle name="ErrorCurrencyTB-C 2 2 7" xfId="138"/>
    <cellStyle name="ErrorCurrencyTB-C 2 2 7 2" xfId="138"/>
    <cellStyle name="ErrorCurrencyTB-C 2 2 7 2 2" xfId="138"/>
    <cellStyle name="ErrorCurrencyTB-C 2 2 7 2 3" xfId="138"/>
    <cellStyle name="ErrorCurrencyTB-C 2 2 7 2 4" xfId="138"/>
    <cellStyle name="ErrorCurrencyTB-C 2 2 7 2 5" xfId="138"/>
    <cellStyle name="ErrorCurrencyTB-C 2 2 7 3" xfId="138"/>
    <cellStyle name="ErrorCurrencyTB-C 2 2 7 3 2" xfId="138"/>
    <cellStyle name="ErrorCurrencyTB-C 2 2 7 3 3" xfId="138"/>
    <cellStyle name="ErrorCurrencyTB-C 2 2 7 3 4" xfId="138"/>
    <cellStyle name="ErrorCurrencyTB-C 2 2 7 4" xfId="138"/>
    <cellStyle name="ErrorCurrencyTB-C 2 2 7 5" xfId="138"/>
    <cellStyle name="ErrorCurrencyTB-C 2 2 7 6" xfId="138"/>
    <cellStyle name="ErrorCurrencyTB-C 2 2 7 7" xfId="138"/>
    <cellStyle name="ErrorCurrencyTB-C 2 2 7 8" xfId="138"/>
    <cellStyle name="ErrorCurrencyTB-C 2 2 8" xfId="138"/>
    <cellStyle name="ErrorCurrencyTB-C 2 2 8 2" xfId="138"/>
    <cellStyle name="ErrorCurrencyTB-C 2 2 8 3" xfId="138"/>
    <cellStyle name="ErrorCurrencyTB-C 2 2 8 4" xfId="138"/>
    <cellStyle name="ErrorCurrencyTB-C 2 2 8 5" xfId="138"/>
    <cellStyle name="ErrorCurrencyTB-C 2 2 9" xfId="138"/>
    <cellStyle name="ErrorCurrencyTB-C 2 2 9 2" xfId="138"/>
    <cellStyle name="ErrorCurrencyTB-C 2 2 9 3" xfId="138"/>
    <cellStyle name="ErrorCurrencyTB-C 2 2 9 4" xfId="138"/>
    <cellStyle name="ErrorCurrencyTB-C 2 3" xfId="138"/>
    <cellStyle name="ErrorCurrencyTB-C 2 3 10" xfId="138"/>
    <cellStyle name="ErrorCurrencyTB-C 2 3 11" xfId="138"/>
    <cellStyle name="ErrorCurrencyTB-C 2 3 12" xfId="138"/>
    <cellStyle name="ErrorCurrencyTB-C 2 3 2" xfId="138"/>
    <cellStyle name="ErrorCurrencyTB-C 2 3 2 2" xfId="138"/>
    <cellStyle name="ErrorCurrencyTB-C 2 3 2 2 2" xfId="138"/>
    <cellStyle name="ErrorCurrencyTB-C 2 3 2 2 3" xfId="138"/>
    <cellStyle name="ErrorCurrencyTB-C 2 3 2 2 4" xfId="138"/>
    <cellStyle name="ErrorCurrencyTB-C 2 3 2 2 5" xfId="138"/>
    <cellStyle name="ErrorCurrencyTB-C 2 3 2 3" xfId="138"/>
    <cellStyle name="ErrorCurrencyTB-C 2 3 2 3 2" xfId="138"/>
    <cellStyle name="ErrorCurrencyTB-C 2 3 2 3 3" xfId="138"/>
    <cellStyle name="ErrorCurrencyTB-C 2 3 2 3 4" xfId="138"/>
    <cellStyle name="ErrorCurrencyTB-C 2 3 2 4" xfId="138"/>
    <cellStyle name="ErrorCurrencyTB-C 2 3 2 5" xfId="138"/>
    <cellStyle name="ErrorCurrencyTB-C 2 3 2 6" xfId="138"/>
    <cellStyle name="ErrorCurrencyTB-C 2 3 2 7" xfId="138"/>
    <cellStyle name="ErrorCurrencyTB-C 2 3 2 8" xfId="138"/>
    <cellStyle name="ErrorCurrencyTB-C 2 3 3" xfId="138"/>
    <cellStyle name="ErrorCurrencyTB-C 2 3 3 2" xfId="138"/>
    <cellStyle name="ErrorCurrencyTB-C 2 3 3 2 2" xfId="138"/>
    <cellStyle name="ErrorCurrencyTB-C 2 3 3 2 3" xfId="138"/>
    <cellStyle name="ErrorCurrencyTB-C 2 3 3 2 4" xfId="138"/>
    <cellStyle name="ErrorCurrencyTB-C 2 3 3 2 5" xfId="138"/>
    <cellStyle name="ErrorCurrencyTB-C 2 3 3 3" xfId="138"/>
    <cellStyle name="ErrorCurrencyTB-C 2 3 3 3 2" xfId="138"/>
    <cellStyle name="ErrorCurrencyTB-C 2 3 3 3 3" xfId="138"/>
    <cellStyle name="ErrorCurrencyTB-C 2 3 3 3 4" xfId="138"/>
    <cellStyle name="ErrorCurrencyTB-C 2 3 3 4" xfId="138"/>
    <cellStyle name="ErrorCurrencyTB-C 2 3 3 5" xfId="138"/>
    <cellStyle name="ErrorCurrencyTB-C 2 3 3 6" xfId="138"/>
    <cellStyle name="ErrorCurrencyTB-C 2 3 3 7" xfId="138"/>
    <cellStyle name="ErrorCurrencyTB-C 2 3 3 8" xfId="138"/>
    <cellStyle name="ErrorCurrencyTB-C 2 3 4" xfId="138"/>
    <cellStyle name="ErrorCurrencyTB-C 2 3 4 2" xfId="138"/>
    <cellStyle name="ErrorCurrencyTB-C 2 3 4 2 2" xfId="138"/>
    <cellStyle name="ErrorCurrencyTB-C 2 3 4 2 3" xfId="138"/>
    <cellStyle name="ErrorCurrencyTB-C 2 3 4 2 4" xfId="138"/>
    <cellStyle name="ErrorCurrencyTB-C 2 3 4 2 5" xfId="138"/>
    <cellStyle name="ErrorCurrencyTB-C 2 3 4 3" xfId="138"/>
    <cellStyle name="ErrorCurrencyTB-C 2 3 4 3 2" xfId="138"/>
    <cellStyle name="ErrorCurrencyTB-C 2 3 4 3 3" xfId="138"/>
    <cellStyle name="ErrorCurrencyTB-C 2 3 4 3 4" xfId="138"/>
    <cellStyle name="ErrorCurrencyTB-C 2 3 4 4" xfId="138"/>
    <cellStyle name="ErrorCurrencyTB-C 2 3 4 5" xfId="138"/>
    <cellStyle name="ErrorCurrencyTB-C 2 3 4 6" xfId="138"/>
    <cellStyle name="ErrorCurrencyTB-C 2 3 4 7" xfId="138"/>
    <cellStyle name="ErrorCurrencyTB-C 2 3 4 8" xfId="138"/>
    <cellStyle name="ErrorCurrencyTB-C 2 3 5" xfId="138"/>
    <cellStyle name="ErrorCurrencyTB-C 2 3 5 2" xfId="138"/>
    <cellStyle name="ErrorCurrencyTB-C 2 3 5 2 2" xfId="138"/>
    <cellStyle name="ErrorCurrencyTB-C 2 3 5 2 3" xfId="138"/>
    <cellStyle name="ErrorCurrencyTB-C 2 3 5 2 4" xfId="138"/>
    <cellStyle name="ErrorCurrencyTB-C 2 3 5 2 5" xfId="138"/>
    <cellStyle name="ErrorCurrencyTB-C 2 3 5 3" xfId="138"/>
    <cellStyle name="ErrorCurrencyTB-C 2 3 5 3 2" xfId="138"/>
    <cellStyle name="ErrorCurrencyTB-C 2 3 5 3 3" xfId="138"/>
    <cellStyle name="ErrorCurrencyTB-C 2 3 5 3 4" xfId="138"/>
    <cellStyle name="ErrorCurrencyTB-C 2 3 5 4" xfId="138"/>
    <cellStyle name="ErrorCurrencyTB-C 2 3 5 5" xfId="138"/>
    <cellStyle name="ErrorCurrencyTB-C 2 3 5 6" xfId="138"/>
    <cellStyle name="ErrorCurrencyTB-C 2 3 5 7" xfId="138"/>
    <cellStyle name="ErrorCurrencyTB-C 2 3 5 8" xfId="138"/>
    <cellStyle name="ErrorCurrencyTB-C 2 3 6" xfId="138"/>
    <cellStyle name="ErrorCurrencyTB-C 2 3 6 2" xfId="138"/>
    <cellStyle name="ErrorCurrencyTB-C 2 3 6 3" xfId="138"/>
    <cellStyle name="ErrorCurrencyTB-C 2 3 6 4" xfId="138"/>
    <cellStyle name="ErrorCurrencyTB-C 2 3 6 5" xfId="138"/>
    <cellStyle name="ErrorCurrencyTB-C 2 3 7" xfId="138"/>
    <cellStyle name="ErrorCurrencyTB-C 2 3 7 2" xfId="138"/>
    <cellStyle name="ErrorCurrencyTB-C 2 3 7 3" xfId="138"/>
    <cellStyle name="ErrorCurrencyTB-C 2 3 7 4" xfId="138"/>
    <cellStyle name="ErrorCurrencyTB-C 2 3 8" xfId="138"/>
    <cellStyle name="ErrorCurrencyTB-C 2 3 9" xfId="138"/>
    <cellStyle name="ErrorCurrencyTB-C 2 4" xfId="138"/>
    <cellStyle name="ErrorCurrencyTB-C 2 4 2" xfId="138"/>
    <cellStyle name="ErrorCurrencyTB-C 2 4 2 2" xfId="138"/>
    <cellStyle name="ErrorCurrencyTB-C 2 4 2 3" xfId="138"/>
    <cellStyle name="ErrorCurrencyTB-C 2 4 2 4" xfId="138"/>
    <cellStyle name="ErrorCurrencyTB-C 2 4 2 5" xfId="138"/>
    <cellStyle name="ErrorCurrencyTB-C 2 4 3" xfId="138"/>
    <cellStyle name="ErrorCurrencyTB-C 2 4 3 2" xfId="138"/>
    <cellStyle name="ErrorCurrencyTB-C 2 4 3 3" xfId="138"/>
    <cellStyle name="ErrorCurrencyTB-C 2 4 3 4" xfId="138"/>
    <cellStyle name="ErrorCurrencyTB-C 2 4 4" xfId="138"/>
    <cellStyle name="ErrorCurrencyTB-C 2 4 5" xfId="138"/>
    <cellStyle name="ErrorCurrencyTB-C 2 4 6" xfId="138"/>
    <cellStyle name="ErrorCurrencyTB-C 2 4 7" xfId="138"/>
    <cellStyle name="ErrorCurrencyTB-C 2 4 8" xfId="138"/>
    <cellStyle name="ErrorCurrencyTB-C 2 5" xfId="138"/>
    <cellStyle name="ErrorCurrencyTB-C 2 5 2" xfId="138"/>
    <cellStyle name="ErrorCurrencyTB-C 2 5 2 2" xfId="138"/>
    <cellStyle name="ErrorCurrencyTB-C 2 5 2 3" xfId="138"/>
    <cellStyle name="ErrorCurrencyTB-C 2 5 2 4" xfId="138"/>
    <cellStyle name="ErrorCurrencyTB-C 2 5 2 5" xfId="138"/>
    <cellStyle name="ErrorCurrencyTB-C 2 5 3" xfId="138"/>
    <cellStyle name="ErrorCurrencyTB-C 2 5 3 2" xfId="138"/>
    <cellStyle name="ErrorCurrencyTB-C 2 5 3 3" xfId="138"/>
    <cellStyle name="ErrorCurrencyTB-C 2 5 3 4" xfId="138"/>
    <cellStyle name="ErrorCurrencyTB-C 2 5 4" xfId="138"/>
    <cellStyle name="ErrorCurrencyTB-C 2 5 5" xfId="138"/>
    <cellStyle name="ErrorCurrencyTB-C 2 5 6" xfId="138"/>
    <cellStyle name="ErrorCurrencyTB-C 2 5 7" xfId="138"/>
    <cellStyle name="ErrorCurrencyTB-C 2 5 8" xfId="138"/>
    <cellStyle name="ErrorCurrencyTB-C 2 6" xfId="138"/>
    <cellStyle name="ErrorCurrencyTB-C 2 6 2" xfId="138"/>
    <cellStyle name="ErrorCurrencyTB-C 2 6 2 2" xfId="138"/>
    <cellStyle name="ErrorCurrencyTB-C 2 6 2 3" xfId="138"/>
    <cellStyle name="ErrorCurrencyTB-C 2 6 2 4" xfId="138"/>
    <cellStyle name="ErrorCurrencyTB-C 2 6 2 5" xfId="138"/>
    <cellStyle name="ErrorCurrencyTB-C 2 6 3" xfId="138"/>
    <cellStyle name="ErrorCurrencyTB-C 2 6 3 2" xfId="138"/>
    <cellStyle name="ErrorCurrencyTB-C 2 6 3 3" xfId="138"/>
    <cellStyle name="ErrorCurrencyTB-C 2 6 3 4" xfId="138"/>
    <cellStyle name="ErrorCurrencyTB-C 2 6 4" xfId="138"/>
    <cellStyle name="ErrorCurrencyTB-C 2 6 5" xfId="138"/>
    <cellStyle name="ErrorCurrencyTB-C 2 6 6" xfId="138"/>
    <cellStyle name="ErrorCurrencyTB-C 2 6 7" xfId="138"/>
    <cellStyle name="ErrorCurrencyTB-C 2 6 8" xfId="138"/>
    <cellStyle name="ErrorCurrencyTB-C 2 7" xfId="138"/>
    <cellStyle name="ErrorCurrencyTB-C 2 7 2" xfId="138"/>
    <cellStyle name="ErrorCurrencyTB-C 2 7 2 2" xfId="138"/>
    <cellStyle name="ErrorCurrencyTB-C 2 7 2 3" xfId="138"/>
    <cellStyle name="ErrorCurrencyTB-C 2 7 2 4" xfId="138"/>
    <cellStyle name="ErrorCurrencyTB-C 2 7 2 5" xfId="138"/>
    <cellStyle name="ErrorCurrencyTB-C 2 7 3" xfId="138"/>
    <cellStyle name="ErrorCurrencyTB-C 2 7 3 2" xfId="138"/>
    <cellStyle name="ErrorCurrencyTB-C 2 7 3 3" xfId="138"/>
    <cellStyle name="ErrorCurrencyTB-C 2 7 3 4" xfId="138"/>
    <cellStyle name="ErrorCurrencyTB-C 2 7 4" xfId="138"/>
    <cellStyle name="ErrorCurrencyTB-C 2 7 5" xfId="138"/>
    <cellStyle name="ErrorCurrencyTB-C 2 7 6" xfId="138"/>
    <cellStyle name="ErrorCurrencyTB-C 2 7 7" xfId="138"/>
    <cellStyle name="ErrorCurrencyTB-C 2 7 8" xfId="138"/>
    <cellStyle name="ErrorCurrencyTB-C 2 8" xfId="138"/>
    <cellStyle name="ErrorCurrencyTB-C 2 8 2" xfId="138"/>
    <cellStyle name="ErrorCurrencyTB-C 2 8 3" xfId="138"/>
    <cellStyle name="ErrorCurrencyTB-C 2 8 4" xfId="138"/>
    <cellStyle name="ErrorCurrencyTB-C 2 8 5" xfId="138"/>
    <cellStyle name="ErrorCurrencyTB-C 2 9" xfId="138"/>
    <cellStyle name="ErrorCurrencyTB-C 2 9 2" xfId="138"/>
    <cellStyle name="ErrorCurrencyTB-C 2 9 3" xfId="138"/>
    <cellStyle name="ErrorCurrencyTB-C 2 9 4" xfId="138"/>
    <cellStyle name="ErrorCurrencyTB-C 3" xfId="138"/>
    <cellStyle name="ErrorCurrencyTB-C 3 10" xfId="138"/>
    <cellStyle name="ErrorCurrencyTB-C 3 11" xfId="138"/>
    <cellStyle name="ErrorCurrencyTB-C 3 12" xfId="138"/>
    <cellStyle name="ErrorCurrencyTB-C 3 13" xfId="138"/>
    <cellStyle name="ErrorCurrencyTB-C 3 14" xfId="138"/>
    <cellStyle name="ErrorCurrencyTB-C 3 2" xfId="138"/>
    <cellStyle name="ErrorCurrencyTB-C 3 2 10" xfId="138"/>
    <cellStyle name="ErrorCurrencyTB-C 3 2 11" xfId="138"/>
    <cellStyle name="ErrorCurrencyTB-C 3 2 12" xfId="138"/>
    <cellStyle name="ErrorCurrencyTB-C 3 2 2" xfId="138"/>
    <cellStyle name="ErrorCurrencyTB-C 3 2 2 2" xfId="138"/>
    <cellStyle name="ErrorCurrencyTB-C 3 2 2 2 2" xfId="138"/>
    <cellStyle name="ErrorCurrencyTB-C 3 2 2 2 3" xfId="138"/>
    <cellStyle name="ErrorCurrencyTB-C 3 2 2 2 4" xfId="138"/>
    <cellStyle name="ErrorCurrencyTB-C 3 2 2 2 5" xfId="138"/>
    <cellStyle name="ErrorCurrencyTB-C 3 2 2 3" xfId="138"/>
    <cellStyle name="ErrorCurrencyTB-C 3 2 2 3 2" xfId="138"/>
    <cellStyle name="ErrorCurrencyTB-C 3 2 2 3 3" xfId="138"/>
    <cellStyle name="ErrorCurrencyTB-C 3 2 2 3 4" xfId="138"/>
    <cellStyle name="ErrorCurrencyTB-C 3 2 2 4" xfId="138"/>
    <cellStyle name="ErrorCurrencyTB-C 3 2 2 5" xfId="138"/>
    <cellStyle name="ErrorCurrencyTB-C 3 2 2 6" xfId="138"/>
    <cellStyle name="ErrorCurrencyTB-C 3 2 2 7" xfId="138"/>
    <cellStyle name="ErrorCurrencyTB-C 3 2 2 8" xfId="138"/>
    <cellStyle name="ErrorCurrencyTB-C 3 2 3" xfId="138"/>
    <cellStyle name="ErrorCurrencyTB-C 3 2 3 2" xfId="138"/>
    <cellStyle name="ErrorCurrencyTB-C 3 2 3 2 2" xfId="138"/>
    <cellStyle name="ErrorCurrencyTB-C 3 2 3 2 3" xfId="138"/>
    <cellStyle name="ErrorCurrencyTB-C 3 2 3 2 4" xfId="138"/>
    <cellStyle name="ErrorCurrencyTB-C 3 2 3 2 5" xfId="138"/>
    <cellStyle name="ErrorCurrencyTB-C 3 2 3 3" xfId="138"/>
    <cellStyle name="ErrorCurrencyTB-C 3 2 3 3 2" xfId="138"/>
    <cellStyle name="ErrorCurrencyTB-C 3 2 3 3 3" xfId="138"/>
    <cellStyle name="ErrorCurrencyTB-C 3 2 3 3 4" xfId="138"/>
    <cellStyle name="ErrorCurrencyTB-C 3 2 3 4" xfId="138"/>
    <cellStyle name="ErrorCurrencyTB-C 3 2 3 5" xfId="138"/>
    <cellStyle name="ErrorCurrencyTB-C 3 2 3 6" xfId="138"/>
    <cellStyle name="ErrorCurrencyTB-C 3 2 3 7" xfId="138"/>
    <cellStyle name="ErrorCurrencyTB-C 3 2 3 8" xfId="138"/>
    <cellStyle name="ErrorCurrencyTB-C 3 2 4" xfId="138"/>
    <cellStyle name="ErrorCurrencyTB-C 3 2 4 2" xfId="138"/>
    <cellStyle name="ErrorCurrencyTB-C 3 2 4 2 2" xfId="138"/>
    <cellStyle name="ErrorCurrencyTB-C 3 2 4 2 3" xfId="138"/>
    <cellStyle name="ErrorCurrencyTB-C 3 2 4 2 4" xfId="138"/>
    <cellStyle name="ErrorCurrencyTB-C 3 2 4 2 5" xfId="138"/>
    <cellStyle name="ErrorCurrencyTB-C 3 2 4 3" xfId="138"/>
    <cellStyle name="ErrorCurrencyTB-C 3 2 4 3 2" xfId="138"/>
    <cellStyle name="ErrorCurrencyTB-C 3 2 4 3 3" xfId="138"/>
    <cellStyle name="ErrorCurrencyTB-C 3 2 4 3 4" xfId="138"/>
    <cellStyle name="ErrorCurrencyTB-C 3 2 4 4" xfId="138"/>
    <cellStyle name="ErrorCurrencyTB-C 3 2 4 5" xfId="138"/>
    <cellStyle name="ErrorCurrencyTB-C 3 2 4 6" xfId="138"/>
    <cellStyle name="ErrorCurrencyTB-C 3 2 4 7" xfId="138"/>
    <cellStyle name="ErrorCurrencyTB-C 3 2 4 8" xfId="138"/>
    <cellStyle name="ErrorCurrencyTB-C 3 2 5" xfId="138"/>
    <cellStyle name="ErrorCurrencyTB-C 3 2 5 2" xfId="138"/>
    <cellStyle name="ErrorCurrencyTB-C 3 2 5 2 2" xfId="138"/>
    <cellStyle name="ErrorCurrencyTB-C 3 2 5 2 3" xfId="138"/>
    <cellStyle name="ErrorCurrencyTB-C 3 2 5 2 4" xfId="138"/>
    <cellStyle name="ErrorCurrencyTB-C 3 2 5 2 5" xfId="138"/>
    <cellStyle name="ErrorCurrencyTB-C 3 2 5 3" xfId="138"/>
    <cellStyle name="ErrorCurrencyTB-C 3 2 5 3 2" xfId="138"/>
    <cellStyle name="ErrorCurrencyTB-C 3 2 5 3 3" xfId="138"/>
    <cellStyle name="ErrorCurrencyTB-C 3 2 5 3 4" xfId="138"/>
    <cellStyle name="ErrorCurrencyTB-C 3 2 5 4" xfId="138"/>
    <cellStyle name="ErrorCurrencyTB-C 3 2 5 5" xfId="138"/>
    <cellStyle name="ErrorCurrencyTB-C 3 2 5 6" xfId="138"/>
    <cellStyle name="ErrorCurrencyTB-C 3 2 5 7" xfId="138"/>
    <cellStyle name="ErrorCurrencyTB-C 3 2 5 8" xfId="138"/>
    <cellStyle name="ErrorCurrencyTB-C 3 2 6" xfId="138"/>
    <cellStyle name="ErrorCurrencyTB-C 3 2 6 2" xfId="138"/>
    <cellStyle name="ErrorCurrencyTB-C 3 2 6 3" xfId="138"/>
    <cellStyle name="ErrorCurrencyTB-C 3 2 6 4" xfId="138"/>
    <cellStyle name="ErrorCurrencyTB-C 3 2 6 5" xfId="138"/>
    <cellStyle name="ErrorCurrencyTB-C 3 2 7" xfId="138"/>
    <cellStyle name="ErrorCurrencyTB-C 3 2 7 2" xfId="138"/>
    <cellStyle name="ErrorCurrencyTB-C 3 2 7 3" xfId="138"/>
    <cellStyle name="ErrorCurrencyTB-C 3 2 7 4" xfId="138"/>
    <cellStyle name="ErrorCurrencyTB-C 3 2 8" xfId="138"/>
    <cellStyle name="ErrorCurrencyTB-C 3 2 9" xfId="138"/>
    <cellStyle name="ErrorCurrencyTB-C 3 3" xfId="138"/>
    <cellStyle name="ErrorCurrencyTB-C 3 3 10" xfId="138"/>
    <cellStyle name="ErrorCurrencyTB-C 3 3 11" xfId="138"/>
    <cellStyle name="ErrorCurrencyTB-C 3 3 12" xfId="138"/>
    <cellStyle name="ErrorCurrencyTB-C 3 3 2" xfId="138"/>
    <cellStyle name="ErrorCurrencyTB-C 3 3 2 2" xfId="138"/>
    <cellStyle name="ErrorCurrencyTB-C 3 3 2 2 2" xfId="138"/>
    <cellStyle name="ErrorCurrencyTB-C 3 3 2 2 3" xfId="138"/>
    <cellStyle name="ErrorCurrencyTB-C 3 3 2 2 4" xfId="138"/>
    <cellStyle name="ErrorCurrencyTB-C 3 3 2 2 5" xfId="138"/>
    <cellStyle name="ErrorCurrencyTB-C 3 3 2 3" xfId="138"/>
    <cellStyle name="ErrorCurrencyTB-C 3 3 2 3 2" xfId="138"/>
    <cellStyle name="ErrorCurrencyTB-C 3 3 2 3 3" xfId="138"/>
    <cellStyle name="ErrorCurrencyTB-C 3 3 2 3 4" xfId="138"/>
    <cellStyle name="ErrorCurrencyTB-C 3 3 2 4" xfId="138"/>
    <cellStyle name="ErrorCurrencyTB-C 3 3 2 5" xfId="138"/>
    <cellStyle name="ErrorCurrencyTB-C 3 3 2 6" xfId="138"/>
    <cellStyle name="ErrorCurrencyTB-C 3 3 2 7" xfId="138"/>
    <cellStyle name="ErrorCurrencyTB-C 3 3 2 8" xfId="138"/>
    <cellStyle name="ErrorCurrencyTB-C 3 3 3" xfId="138"/>
    <cellStyle name="ErrorCurrencyTB-C 3 3 3 2" xfId="138"/>
    <cellStyle name="ErrorCurrencyTB-C 3 3 3 2 2" xfId="138"/>
    <cellStyle name="ErrorCurrencyTB-C 3 3 3 2 3" xfId="138"/>
    <cellStyle name="ErrorCurrencyTB-C 3 3 3 2 4" xfId="138"/>
    <cellStyle name="ErrorCurrencyTB-C 3 3 3 2 5" xfId="138"/>
    <cellStyle name="ErrorCurrencyTB-C 3 3 3 3" xfId="138"/>
    <cellStyle name="ErrorCurrencyTB-C 3 3 3 3 2" xfId="138"/>
    <cellStyle name="ErrorCurrencyTB-C 3 3 3 3 3" xfId="138"/>
    <cellStyle name="ErrorCurrencyTB-C 3 3 3 3 4" xfId="138"/>
    <cellStyle name="ErrorCurrencyTB-C 3 3 3 4" xfId="138"/>
    <cellStyle name="ErrorCurrencyTB-C 3 3 3 5" xfId="138"/>
    <cellStyle name="ErrorCurrencyTB-C 3 3 3 6" xfId="138"/>
    <cellStyle name="ErrorCurrencyTB-C 3 3 3 7" xfId="138"/>
    <cellStyle name="ErrorCurrencyTB-C 3 3 3 8" xfId="138"/>
    <cellStyle name="ErrorCurrencyTB-C 3 3 4" xfId="138"/>
    <cellStyle name="ErrorCurrencyTB-C 3 3 4 2" xfId="138"/>
    <cellStyle name="ErrorCurrencyTB-C 3 3 4 2 2" xfId="138"/>
    <cellStyle name="ErrorCurrencyTB-C 3 3 4 2 3" xfId="138"/>
    <cellStyle name="ErrorCurrencyTB-C 3 3 4 2 4" xfId="138"/>
    <cellStyle name="ErrorCurrencyTB-C 3 3 4 2 5" xfId="138"/>
    <cellStyle name="ErrorCurrencyTB-C 3 3 4 3" xfId="138"/>
    <cellStyle name="ErrorCurrencyTB-C 3 3 4 3 2" xfId="138"/>
    <cellStyle name="ErrorCurrencyTB-C 3 3 4 3 3" xfId="138"/>
    <cellStyle name="ErrorCurrencyTB-C 3 3 4 3 4" xfId="138"/>
    <cellStyle name="ErrorCurrencyTB-C 3 3 4 4" xfId="138"/>
    <cellStyle name="ErrorCurrencyTB-C 3 3 4 5" xfId="138"/>
    <cellStyle name="ErrorCurrencyTB-C 3 3 4 6" xfId="138"/>
    <cellStyle name="ErrorCurrencyTB-C 3 3 4 7" xfId="138"/>
    <cellStyle name="ErrorCurrencyTB-C 3 3 4 8" xfId="138"/>
    <cellStyle name="ErrorCurrencyTB-C 3 3 5" xfId="138"/>
    <cellStyle name="ErrorCurrencyTB-C 3 3 5 2" xfId="138"/>
    <cellStyle name="ErrorCurrencyTB-C 3 3 5 2 2" xfId="138"/>
    <cellStyle name="ErrorCurrencyTB-C 3 3 5 2 3" xfId="138"/>
    <cellStyle name="ErrorCurrencyTB-C 3 3 5 2 4" xfId="138"/>
    <cellStyle name="ErrorCurrencyTB-C 3 3 5 2 5" xfId="138"/>
    <cellStyle name="ErrorCurrencyTB-C 3 3 5 3" xfId="138"/>
    <cellStyle name="ErrorCurrencyTB-C 3 3 5 3 2" xfId="138"/>
    <cellStyle name="ErrorCurrencyTB-C 3 3 5 3 3" xfId="138"/>
    <cellStyle name="ErrorCurrencyTB-C 3 3 5 3 4" xfId="138"/>
    <cellStyle name="ErrorCurrencyTB-C 3 3 5 4" xfId="138"/>
    <cellStyle name="ErrorCurrencyTB-C 3 3 5 5" xfId="138"/>
    <cellStyle name="ErrorCurrencyTB-C 3 3 5 6" xfId="138"/>
    <cellStyle name="ErrorCurrencyTB-C 3 3 5 7" xfId="138"/>
    <cellStyle name="ErrorCurrencyTB-C 3 3 5 8" xfId="138"/>
    <cellStyle name="ErrorCurrencyTB-C 3 3 6" xfId="138"/>
    <cellStyle name="ErrorCurrencyTB-C 3 3 6 2" xfId="138"/>
    <cellStyle name="ErrorCurrencyTB-C 3 3 6 3" xfId="138"/>
    <cellStyle name="ErrorCurrencyTB-C 3 3 6 4" xfId="138"/>
    <cellStyle name="ErrorCurrencyTB-C 3 3 6 5" xfId="138"/>
    <cellStyle name="ErrorCurrencyTB-C 3 3 7" xfId="138"/>
    <cellStyle name="ErrorCurrencyTB-C 3 3 7 2" xfId="138"/>
    <cellStyle name="ErrorCurrencyTB-C 3 3 7 3" xfId="138"/>
    <cellStyle name="ErrorCurrencyTB-C 3 3 7 4" xfId="138"/>
    <cellStyle name="ErrorCurrencyTB-C 3 3 8" xfId="138"/>
    <cellStyle name="ErrorCurrencyTB-C 3 3 9" xfId="138"/>
    <cellStyle name="ErrorCurrencyTB-C 3 4" xfId="138"/>
    <cellStyle name="ErrorCurrencyTB-C 3 4 2" xfId="138"/>
    <cellStyle name="ErrorCurrencyTB-C 3 4 2 2" xfId="138"/>
    <cellStyle name="ErrorCurrencyTB-C 3 4 2 3" xfId="138"/>
    <cellStyle name="ErrorCurrencyTB-C 3 4 2 4" xfId="138"/>
    <cellStyle name="ErrorCurrencyTB-C 3 4 2 5" xfId="138"/>
    <cellStyle name="ErrorCurrencyTB-C 3 4 3" xfId="138"/>
    <cellStyle name="ErrorCurrencyTB-C 3 4 3 2" xfId="138"/>
    <cellStyle name="ErrorCurrencyTB-C 3 4 3 3" xfId="138"/>
    <cellStyle name="ErrorCurrencyTB-C 3 4 3 4" xfId="138"/>
    <cellStyle name="ErrorCurrencyTB-C 3 4 4" xfId="138"/>
    <cellStyle name="ErrorCurrencyTB-C 3 4 5" xfId="138"/>
    <cellStyle name="ErrorCurrencyTB-C 3 4 6" xfId="138"/>
    <cellStyle name="ErrorCurrencyTB-C 3 4 7" xfId="138"/>
    <cellStyle name="ErrorCurrencyTB-C 3 4 8" xfId="138"/>
    <cellStyle name="ErrorCurrencyTB-C 3 5" xfId="138"/>
    <cellStyle name="ErrorCurrencyTB-C 3 5 2" xfId="138"/>
    <cellStyle name="ErrorCurrencyTB-C 3 5 2 2" xfId="138"/>
    <cellStyle name="ErrorCurrencyTB-C 3 5 2 3" xfId="138"/>
    <cellStyle name="ErrorCurrencyTB-C 3 5 2 4" xfId="138"/>
    <cellStyle name="ErrorCurrencyTB-C 3 5 2 5" xfId="138"/>
    <cellStyle name="ErrorCurrencyTB-C 3 5 3" xfId="138"/>
    <cellStyle name="ErrorCurrencyTB-C 3 5 3 2" xfId="138"/>
    <cellStyle name="ErrorCurrencyTB-C 3 5 3 3" xfId="138"/>
    <cellStyle name="ErrorCurrencyTB-C 3 5 3 4" xfId="138"/>
    <cellStyle name="ErrorCurrencyTB-C 3 5 4" xfId="138"/>
    <cellStyle name="ErrorCurrencyTB-C 3 5 5" xfId="138"/>
    <cellStyle name="ErrorCurrencyTB-C 3 5 6" xfId="138"/>
    <cellStyle name="ErrorCurrencyTB-C 3 5 7" xfId="138"/>
    <cellStyle name="ErrorCurrencyTB-C 3 5 8" xfId="138"/>
    <cellStyle name="ErrorCurrencyTB-C 3 6" xfId="138"/>
    <cellStyle name="ErrorCurrencyTB-C 3 6 2" xfId="138"/>
    <cellStyle name="ErrorCurrencyTB-C 3 6 2 2" xfId="138"/>
    <cellStyle name="ErrorCurrencyTB-C 3 6 2 3" xfId="138"/>
    <cellStyle name="ErrorCurrencyTB-C 3 6 2 4" xfId="138"/>
    <cellStyle name="ErrorCurrencyTB-C 3 6 2 5" xfId="138"/>
    <cellStyle name="ErrorCurrencyTB-C 3 6 3" xfId="138"/>
    <cellStyle name="ErrorCurrencyTB-C 3 6 3 2" xfId="138"/>
    <cellStyle name="ErrorCurrencyTB-C 3 6 3 3" xfId="138"/>
    <cellStyle name="ErrorCurrencyTB-C 3 6 3 4" xfId="138"/>
    <cellStyle name="ErrorCurrencyTB-C 3 6 4" xfId="138"/>
    <cellStyle name="ErrorCurrencyTB-C 3 6 5" xfId="138"/>
    <cellStyle name="ErrorCurrencyTB-C 3 6 6" xfId="138"/>
    <cellStyle name="ErrorCurrencyTB-C 3 6 7" xfId="138"/>
    <cellStyle name="ErrorCurrencyTB-C 3 6 8" xfId="138"/>
    <cellStyle name="ErrorCurrencyTB-C 3 7" xfId="138"/>
    <cellStyle name="ErrorCurrencyTB-C 3 7 2" xfId="138"/>
    <cellStyle name="ErrorCurrencyTB-C 3 7 2 2" xfId="138"/>
    <cellStyle name="ErrorCurrencyTB-C 3 7 2 3" xfId="138"/>
    <cellStyle name="ErrorCurrencyTB-C 3 7 2 4" xfId="138"/>
    <cellStyle name="ErrorCurrencyTB-C 3 7 2 5" xfId="138"/>
    <cellStyle name="ErrorCurrencyTB-C 3 7 3" xfId="138"/>
    <cellStyle name="ErrorCurrencyTB-C 3 7 3 2" xfId="138"/>
    <cellStyle name="ErrorCurrencyTB-C 3 7 3 3" xfId="138"/>
    <cellStyle name="ErrorCurrencyTB-C 3 7 3 4" xfId="138"/>
    <cellStyle name="ErrorCurrencyTB-C 3 7 4" xfId="138"/>
    <cellStyle name="ErrorCurrencyTB-C 3 7 5" xfId="138"/>
    <cellStyle name="ErrorCurrencyTB-C 3 7 6" xfId="138"/>
    <cellStyle name="ErrorCurrencyTB-C 3 7 7" xfId="138"/>
    <cellStyle name="ErrorCurrencyTB-C 3 7 8" xfId="138"/>
    <cellStyle name="ErrorCurrencyTB-C 3 8" xfId="138"/>
    <cellStyle name="ErrorCurrencyTB-C 3 8 2" xfId="138"/>
    <cellStyle name="ErrorCurrencyTB-C 3 8 3" xfId="138"/>
    <cellStyle name="ErrorCurrencyTB-C 3 8 4" xfId="138"/>
    <cellStyle name="ErrorCurrencyTB-C 3 8 5" xfId="138"/>
    <cellStyle name="ErrorCurrencyTB-C 3 9" xfId="138"/>
    <cellStyle name="ErrorCurrencyTB-C 3 9 2" xfId="138"/>
    <cellStyle name="ErrorCurrencyTB-C 3 9 3" xfId="138"/>
    <cellStyle name="ErrorCurrencyTB-C 3 9 4" xfId="138"/>
    <cellStyle name="ErrorCurrencyTB-C 4" xfId="138"/>
    <cellStyle name="ErrorCurrencyTB-C 4 2" xfId="138"/>
    <cellStyle name="ErrorCurrencyTB-C 4 2 2" xfId="138"/>
    <cellStyle name="ErrorCurrencyTB-C 4 2 2 2" xfId="138"/>
    <cellStyle name="ErrorCurrencyTB-C 4 2 2 3" xfId="138"/>
    <cellStyle name="ErrorCurrencyTB-C 4 2 2 4" xfId="138"/>
    <cellStyle name="ErrorCurrencyTB-C 4 2 2 5" xfId="138"/>
    <cellStyle name="ErrorCurrencyTB-C 4 2 3" xfId="138"/>
    <cellStyle name="ErrorCurrencyTB-C 4 2 3 2" xfId="138"/>
    <cellStyle name="ErrorCurrencyTB-C 4 2 3 3" xfId="138"/>
    <cellStyle name="ErrorCurrencyTB-C 4 2 3 4" xfId="138"/>
    <cellStyle name="ErrorCurrencyTB-C 4 2 4" xfId="138"/>
    <cellStyle name="ErrorCurrencyTB-C 4 2 5" xfId="138"/>
    <cellStyle name="ErrorCurrencyTB-C 4 2 6" xfId="138"/>
    <cellStyle name="ErrorCurrencyTB-C 4 2 7" xfId="138"/>
    <cellStyle name="ErrorCurrencyTB-C 4 2 8" xfId="138"/>
    <cellStyle name="ErrorCurrencyTB-C 4 3" xfId="138"/>
    <cellStyle name="ErrorCurrencyTB-C 4 3 2" xfId="138"/>
    <cellStyle name="ErrorCurrencyTB-C 4 3 2 2" xfId="138"/>
    <cellStyle name="ErrorCurrencyTB-C 4 3 2 3" xfId="138"/>
    <cellStyle name="ErrorCurrencyTB-C 4 3 2 4" xfId="138"/>
    <cellStyle name="ErrorCurrencyTB-C 4 3 2 5" xfId="138"/>
    <cellStyle name="ErrorCurrencyTB-C 4 3 3" xfId="138"/>
    <cellStyle name="ErrorCurrencyTB-C 4 3 3 2" xfId="138"/>
    <cellStyle name="ErrorCurrencyTB-C 4 3 3 3" xfId="138"/>
    <cellStyle name="ErrorCurrencyTB-C 4 3 3 4" xfId="138"/>
    <cellStyle name="ErrorCurrencyTB-C 4 3 4" xfId="138"/>
    <cellStyle name="ErrorCurrencyTB-C 4 3 5" xfId="138"/>
    <cellStyle name="ErrorCurrencyTB-C 4 3 6" xfId="138"/>
    <cellStyle name="ErrorCurrencyTB-C 4 3 7" xfId="138"/>
    <cellStyle name="ErrorCurrencyTB-C 4 4" xfId="138"/>
    <cellStyle name="ErrorCurrencyTB-C 4 4 2" xfId="138"/>
    <cellStyle name="ErrorCurrencyTB-C 4 4 3" xfId="138"/>
    <cellStyle name="ErrorCurrencyTB-C 4 4 4" xfId="138"/>
    <cellStyle name="ErrorCurrencyTB-C 4 4 5" xfId="138"/>
    <cellStyle name="ErrorCurrencyTB-C 4 5" xfId="138"/>
    <cellStyle name="ErrorCurrencyTB-C 4 5 2" xfId="138"/>
    <cellStyle name="ErrorCurrencyTB-C 4 5 3" xfId="138"/>
    <cellStyle name="ErrorCurrencyTB-C 4 5 4" xfId="138"/>
    <cellStyle name="ErrorCurrencyTB-C 4 6" xfId="138"/>
    <cellStyle name="ErrorCurrencyTB-C 4 7" xfId="138"/>
    <cellStyle name="ErrorCurrencyTB-C 4 8" xfId="138"/>
    <cellStyle name="ErrorCurrencyTB-C 4 9" xfId="138"/>
    <cellStyle name="ErrorCurrencyTB-C 5" xfId="138"/>
    <cellStyle name="ErrorCurrencyTB-C 5 2" xfId="138"/>
    <cellStyle name="ErrorCurrencyTB-C 5 2 2" xfId="138"/>
    <cellStyle name="ErrorCurrencyTB-C 5 2 3" xfId="138"/>
    <cellStyle name="ErrorCurrencyTB-C 5 2 4" xfId="138"/>
    <cellStyle name="ErrorCurrencyTB-C 5 2 5" xfId="138"/>
    <cellStyle name="ErrorCurrencyTB-C 5 3" xfId="138"/>
    <cellStyle name="ErrorCurrencyTB-C 5 3 2" xfId="138"/>
    <cellStyle name="ErrorCurrencyTB-C 5 3 3" xfId="138"/>
    <cellStyle name="ErrorCurrencyTB-C 5 3 4" xfId="138"/>
    <cellStyle name="ErrorCurrencyTB-C 5 4" xfId="138"/>
    <cellStyle name="ErrorCurrencyTB-C 5 5" xfId="138"/>
    <cellStyle name="ErrorCurrencyTB-C 5 6" xfId="138"/>
    <cellStyle name="ErrorCurrencyTB-C 5 7" xfId="138"/>
    <cellStyle name="ErrorCurrencyTB-C 5 8" xfId="138"/>
    <cellStyle name="ErrorCurrencyTB-C 6" xfId="138"/>
    <cellStyle name="ErrorCurrencyTB-C 6 2" xfId="138"/>
    <cellStyle name="ErrorCurrencyTB-C 6 3" xfId="138"/>
    <cellStyle name="ErrorCurrencyTB-C 6 4" xfId="138"/>
    <cellStyle name="ErrorCurrencyTB-C 6 5" xfId="138"/>
    <cellStyle name="ErrorCurrencyTB-C 7" xfId="138"/>
    <cellStyle name="ErrorCurrencyTB-C 8" xfId="138"/>
    <cellStyle name="ErrorCurrencyTB,rIGHT" xfId="139"/>
    <cellStyle name="ErrorCurrencyTB,rIGHT 2" xfId="139"/>
    <cellStyle name="ErrorCurrencyTB,rIGHT 2 10" xfId="139"/>
    <cellStyle name="ErrorCurrencyTB,rIGHT 2 11" xfId="139"/>
    <cellStyle name="ErrorCurrencyTB,rIGHT 2 12" xfId="139"/>
    <cellStyle name="ErrorCurrencyTB,rIGHT 2 13" xfId="139"/>
    <cellStyle name="ErrorCurrencyTB,rIGHT 2 14" xfId="139"/>
    <cellStyle name="ErrorCurrencyTB,rIGHT 2 2" xfId="139"/>
    <cellStyle name="ErrorCurrencyTB,rIGHT 2 2 10" xfId="139"/>
    <cellStyle name="ErrorCurrencyTB,rIGHT 2 2 11" xfId="139"/>
    <cellStyle name="ErrorCurrencyTB,rIGHT 2 2 12" xfId="139"/>
    <cellStyle name="ErrorCurrencyTB,rIGHT 2 2 13" xfId="139"/>
    <cellStyle name="ErrorCurrencyTB,rIGHT 2 2 14" xfId="139"/>
    <cellStyle name="ErrorCurrencyTB,rIGHT 2 2 2" xfId="139"/>
    <cellStyle name="ErrorCurrencyTB,rIGHT 2 2 2 10" xfId="139"/>
    <cellStyle name="ErrorCurrencyTB,rIGHT 2 2 2 11" xfId="139"/>
    <cellStyle name="ErrorCurrencyTB,rIGHT 2 2 2 12" xfId="139"/>
    <cellStyle name="ErrorCurrencyTB,rIGHT 2 2 2 2" xfId="139"/>
    <cellStyle name="ErrorCurrencyTB,rIGHT 2 2 2 2 2" xfId="139"/>
    <cellStyle name="ErrorCurrencyTB,rIGHT 2 2 2 2 2 2" xfId="139"/>
    <cellStyle name="ErrorCurrencyTB,rIGHT 2 2 2 2 2 3" xfId="139"/>
    <cellStyle name="ErrorCurrencyTB,rIGHT 2 2 2 2 2 4" xfId="139"/>
    <cellStyle name="ErrorCurrencyTB,rIGHT 2 2 2 2 2 5" xfId="139"/>
    <cellStyle name="ErrorCurrencyTB,rIGHT 2 2 2 2 3" xfId="139"/>
    <cellStyle name="ErrorCurrencyTB,rIGHT 2 2 2 2 3 2" xfId="139"/>
    <cellStyle name="ErrorCurrencyTB,rIGHT 2 2 2 2 3 3" xfId="139"/>
    <cellStyle name="ErrorCurrencyTB,rIGHT 2 2 2 2 3 4" xfId="139"/>
    <cellStyle name="ErrorCurrencyTB,rIGHT 2 2 2 2 4" xfId="139"/>
    <cellStyle name="ErrorCurrencyTB,rIGHT 2 2 2 2 5" xfId="139"/>
    <cellStyle name="ErrorCurrencyTB,rIGHT 2 2 2 2 6" xfId="139"/>
    <cellStyle name="ErrorCurrencyTB,rIGHT 2 2 2 2 7" xfId="139"/>
    <cellStyle name="ErrorCurrencyTB,rIGHT 2 2 2 2 8" xfId="139"/>
    <cellStyle name="ErrorCurrencyTB,rIGHT 2 2 2 3" xfId="139"/>
    <cellStyle name="ErrorCurrencyTB,rIGHT 2 2 2 3 2" xfId="139"/>
    <cellStyle name="ErrorCurrencyTB,rIGHT 2 2 2 3 2 2" xfId="139"/>
    <cellStyle name="ErrorCurrencyTB,rIGHT 2 2 2 3 2 3" xfId="139"/>
    <cellStyle name="ErrorCurrencyTB,rIGHT 2 2 2 3 2 4" xfId="139"/>
    <cellStyle name="ErrorCurrencyTB,rIGHT 2 2 2 3 2 5" xfId="139"/>
    <cellStyle name="ErrorCurrencyTB,rIGHT 2 2 2 3 3" xfId="139"/>
    <cellStyle name="ErrorCurrencyTB,rIGHT 2 2 2 3 3 2" xfId="139"/>
    <cellStyle name="ErrorCurrencyTB,rIGHT 2 2 2 3 3 3" xfId="139"/>
    <cellStyle name="ErrorCurrencyTB,rIGHT 2 2 2 3 3 4" xfId="139"/>
    <cellStyle name="ErrorCurrencyTB,rIGHT 2 2 2 3 4" xfId="139"/>
    <cellStyle name="ErrorCurrencyTB,rIGHT 2 2 2 3 5" xfId="139"/>
    <cellStyle name="ErrorCurrencyTB,rIGHT 2 2 2 3 6" xfId="139"/>
    <cellStyle name="ErrorCurrencyTB,rIGHT 2 2 2 3 7" xfId="139"/>
    <cellStyle name="ErrorCurrencyTB,rIGHT 2 2 2 3 8" xfId="139"/>
    <cellStyle name="ErrorCurrencyTB,rIGHT 2 2 2 4" xfId="139"/>
    <cellStyle name="ErrorCurrencyTB,rIGHT 2 2 2 4 2" xfId="139"/>
    <cellStyle name="ErrorCurrencyTB,rIGHT 2 2 2 4 2 2" xfId="139"/>
    <cellStyle name="ErrorCurrencyTB,rIGHT 2 2 2 4 2 3" xfId="139"/>
    <cellStyle name="ErrorCurrencyTB,rIGHT 2 2 2 4 2 4" xfId="139"/>
    <cellStyle name="ErrorCurrencyTB,rIGHT 2 2 2 4 2 5" xfId="139"/>
    <cellStyle name="ErrorCurrencyTB,rIGHT 2 2 2 4 3" xfId="139"/>
    <cellStyle name="ErrorCurrencyTB,rIGHT 2 2 2 4 3 2" xfId="139"/>
    <cellStyle name="ErrorCurrencyTB,rIGHT 2 2 2 4 3 3" xfId="139"/>
    <cellStyle name="ErrorCurrencyTB,rIGHT 2 2 2 4 3 4" xfId="139"/>
    <cellStyle name="ErrorCurrencyTB,rIGHT 2 2 2 4 4" xfId="139"/>
    <cellStyle name="ErrorCurrencyTB,rIGHT 2 2 2 4 5" xfId="139"/>
    <cellStyle name="ErrorCurrencyTB,rIGHT 2 2 2 4 6" xfId="139"/>
    <cellStyle name="ErrorCurrencyTB,rIGHT 2 2 2 4 7" xfId="139"/>
    <cellStyle name="ErrorCurrencyTB,rIGHT 2 2 2 4 8" xfId="139"/>
    <cellStyle name="ErrorCurrencyTB,rIGHT 2 2 2 5" xfId="139"/>
    <cellStyle name="ErrorCurrencyTB,rIGHT 2 2 2 5 2" xfId="139"/>
    <cellStyle name="ErrorCurrencyTB,rIGHT 2 2 2 5 2 2" xfId="139"/>
    <cellStyle name="ErrorCurrencyTB,rIGHT 2 2 2 5 2 3" xfId="139"/>
    <cellStyle name="ErrorCurrencyTB,rIGHT 2 2 2 5 2 4" xfId="139"/>
    <cellStyle name="ErrorCurrencyTB,rIGHT 2 2 2 5 2 5" xfId="139"/>
    <cellStyle name="ErrorCurrencyTB,rIGHT 2 2 2 5 3" xfId="139"/>
    <cellStyle name="ErrorCurrencyTB,rIGHT 2 2 2 5 3 2" xfId="139"/>
    <cellStyle name="ErrorCurrencyTB,rIGHT 2 2 2 5 3 3" xfId="139"/>
    <cellStyle name="ErrorCurrencyTB,rIGHT 2 2 2 5 3 4" xfId="139"/>
    <cellStyle name="ErrorCurrencyTB,rIGHT 2 2 2 5 4" xfId="139"/>
    <cellStyle name="ErrorCurrencyTB,rIGHT 2 2 2 5 5" xfId="139"/>
    <cellStyle name="ErrorCurrencyTB,rIGHT 2 2 2 5 6" xfId="139"/>
    <cellStyle name="ErrorCurrencyTB,rIGHT 2 2 2 5 7" xfId="139"/>
    <cellStyle name="ErrorCurrencyTB,rIGHT 2 2 2 5 8" xfId="139"/>
    <cellStyle name="ErrorCurrencyTB,rIGHT 2 2 2 6" xfId="139"/>
    <cellStyle name="ErrorCurrencyTB,rIGHT 2 2 2 6 2" xfId="139"/>
    <cellStyle name="ErrorCurrencyTB,rIGHT 2 2 2 6 3" xfId="139"/>
    <cellStyle name="ErrorCurrencyTB,rIGHT 2 2 2 6 4" xfId="139"/>
    <cellStyle name="ErrorCurrencyTB,rIGHT 2 2 2 6 5" xfId="139"/>
    <cellStyle name="ErrorCurrencyTB,rIGHT 2 2 2 7" xfId="139"/>
    <cellStyle name="ErrorCurrencyTB,rIGHT 2 2 2 7 2" xfId="139"/>
    <cellStyle name="ErrorCurrencyTB,rIGHT 2 2 2 7 3" xfId="139"/>
    <cellStyle name="ErrorCurrencyTB,rIGHT 2 2 2 7 4" xfId="139"/>
    <cellStyle name="ErrorCurrencyTB,rIGHT 2 2 2 8" xfId="139"/>
    <cellStyle name="ErrorCurrencyTB,rIGHT 2 2 2 9" xfId="139"/>
    <cellStyle name="ErrorCurrencyTB,rIGHT 2 2 3" xfId="139"/>
    <cellStyle name="ErrorCurrencyTB,rIGHT 2 2 3 10" xfId="139"/>
    <cellStyle name="ErrorCurrencyTB,rIGHT 2 2 3 11" xfId="139"/>
    <cellStyle name="ErrorCurrencyTB,rIGHT 2 2 3 12" xfId="139"/>
    <cellStyle name="ErrorCurrencyTB,rIGHT 2 2 3 2" xfId="139"/>
    <cellStyle name="ErrorCurrencyTB,rIGHT 2 2 3 2 2" xfId="139"/>
    <cellStyle name="ErrorCurrencyTB,rIGHT 2 2 3 2 2 2" xfId="139"/>
    <cellStyle name="ErrorCurrencyTB,rIGHT 2 2 3 2 2 3" xfId="139"/>
    <cellStyle name="ErrorCurrencyTB,rIGHT 2 2 3 2 2 4" xfId="139"/>
    <cellStyle name="ErrorCurrencyTB,rIGHT 2 2 3 2 2 5" xfId="139"/>
    <cellStyle name="ErrorCurrencyTB,rIGHT 2 2 3 2 3" xfId="139"/>
    <cellStyle name="ErrorCurrencyTB,rIGHT 2 2 3 2 3 2" xfId="139"/>
    <cellStyle name="ErrorCurrencyTB,rIGHT 2 2 3 2 3 3" xfId="139"/>
    <cellStyle name="ErrorCurrencyTB,rIGHT 2 2 3 2 3 4" xfId="139"/>
    <cellStyle name="ErrorCurrencyTB,rIGHT 2 2 3 2 4" xfId="139"/>
    <cellStyle name="ErrorCurrencyTB,rIGHT 2 2 3 2 5" xfId="139"/>
    <cellStyle name="ErrorCurrencyTB,rIGHT 2 2 3 2 6" xfId="139"/>
    <cellStyle name="ErrorCurrencyTB,rIGHT 2 2 3 2 7" xfId="139"/>
    <cellStyle name="ErrorCurrencyTB,rIGHT 2 2 3 2 8" xfId="139"/>
    <cellStyle name="ErrorCurrencyTB,rIGHT 2 2 3 3" xfId="139"/>
    <cellStyle name="ErrorCurrencyTB,rIGHT 2 2 3 3 2" xfId="139"/>
    <cellStyle name="ErrorCurrencyTB,rIGHT 2 2 3 3 2 2" xfId="139"/>
    <cellStyle name="ErrorCurrencyTB,rIGHT 2 2 3 3 2 3" xfId="139"/>
    <cellStyle name="ErrorCurrencyTB,rIGHT 2 2 3 3 2 4" xfId="139"/>
    <cellStyle name="ErrorCurrencyTB,rIGHT 2 2 3 3 2 5" xfId="139"/>
    <cellStyle name="ErrorCurrencyTB,rIGHT 2 2 3 3 3" xfId="139"/>
    <cellStyle name="ErrorCurrencyTB,rIGHT 2 2 3 3 3 2" xfId="139"/>
    <cellStyle name="ErrorCurrencyTB,rIGHT 2 2 3 3 3 3" xfId="139"/>
    <cellStyle name="ErrorCurrencyTB,rIGHT 2 2 3 3 3 4" xfId="139"/>
    <cellStyle name="ErrorCurrencyTB,rIGHT 2 2 3 3 4" xfId="139"/>
    <cellStyle name="ErrorCurrencyTB,rIGHT 2 2 3 3 5" xfId="139"/>
    <cellStyle name="ErrorCurrencyTB,rIGHT 2 2 3 3 6" xfId="139"/>
    <cellStyle name="ErrorCurrencyTB,rIGHT 2 2 3 3 7" xfId="139"/>
    <cellStyle name="ErrorCurrencyTB,rIGHT 2 2 3 3 8" xfId="139"/>
    <cellStyle name="ErrorCurrencyTB,rIGHT 2 2 3 4" xfId="139"/>
    <cellStyle name="ErrorCurrencyTB,rIGHT 2 2 3 4 2" xfId="139"/>
    <cellStyle name="ErrorCurrencyTB,rIGHT 2 2 3 4 2 2" xfId="139"/>
    <cellStyle name="ErrorCurrencyTB,rIGHT 2 2 3 4 2 3" xfId="139"/>
    <cellStyle name="ErrorCurrencyTB,rIGHT 2 2 3 4 2 4" xfId="139"/>
    <cellStyle name="ErrorCurrencyTB,rIGHT 2 2 3 4 2 5" xfId="139"/>
    <cellStyle name="ErrorCurrencyTB,rIGHT 2 2 3 4 3" xfId="139"/>
    <cellStyle name="ErrorCurrencyTB,rIGHT 2 2 3 4 3 2" xfId="139"/>
    <cellStyle name="ErrorCurrencyTB,rIGHT 2 2 3 4 3 3" xfId="139"/>
    <cellStyle name="ErrorCurrencyTB,rIGHT 2 2 3 4 3 4" xfId="139"/>
    <cellStyle name="ErrorCurrencyTB,rIGHT 2 2 3 4 4" xfId="139"/>
    <cellStyle name="ErrorCurrencyTB,rIGHT 2 2 3 4 5" xfId="139"/>
    <cellStyle name="ErrorCurrencyTB,rIGHT 2 2 3 4 6" xfId="139"/>
    <cellStyle name="ErrorCurrencyTB,rIGHT 2 2 3 4 7" xfId="139"/>
    <cellStyle name="ErrorCurrencyTB,rIGHT 2 2 3 4 8" xfId="139"/>
    <cellStyle name="ErrorCurrencyTB,rIGHT 2 2 3 5" xfId="139"/>
    <cellStyle name="ErrorCurrencyTB,rIGHT 2 2 3 5 2" xfId="139"/>
    <cellStyle name="ErrorCurrencyTB,rIGHT 2 2 3 5 2 2" xfId="139"/>
    <cellStyle name="ErrorCurrencyTB,rIGHT 2 2 3 5 2 3" xfId="139"/>
    <cellStyle name="ErrorCurrencyTB,rIGHT 2 2 3 5 2 4" xfId="139"/>
    <cellStyle name="ErrorCurrencyTB,rIGHT 2 2 3 5 2 5" xfId="139"/>
    <cellStyle name="ErrorCurrencyTB,rIGHT 2 2 3 5 3" xfId="139"/>
    <cellStyle name="ErrorCurrencyTB,rIGHT 2 2 3 5 3 2" xfId="139"/>
    <cellStyle name="ErrorCurrencyTB,rIGHT 2 2 3 5 3 3" xfId="139"/>
    <cellStyle name="ErrorCurrencyTB,rIGHT 2 2 3 5 3 4" xfId="139"/>
    <cellStyle name="ErrorCurrencyTB,rIGHT 2 2 3 5 4" xfId="139"/>
    <cellStyle name="ErrorCurrencyTB,rIGHT 2 2 3 5 5" xfId="139"/>
    <cellStyle name="ErrorCurrencyTB,rIGHT 2 2 3 5 6" xfId="139"/>
    <cellStyle name="ErrorCurrencyTB,rIGHT 2 2 3 5 7" xfId="139"/>
    <cellStyle name="ErrorCurrencyTB,rIGHT 2 2 3 5 8" xfId="139"/>
    <cellStyle name="ErrorCurrencyTB,rIGHT 2 2 3 6" xfId="139"/>
    <cellStyle name="ErrorCurrencyTB,rIGHT 2 2 3 6 2" xfId="139"/>
    <cellStyle name="ErrorCurrencyTB,rIGHT 2 2 3 6 3" xfId="139"/>
    <cellStyle name="ErrorCurrencyTB,rIGHT 2 2 3 6 4" xfId="139"/>
    <cellStyle name="ErrorCurrencyTB,rIGHT 2 2 3 6 5" xfId="139"/>
    <cellStyle name="ErrorCurrencyTB,rIGHT 2 2 3 7" xfId="139"/>
    <cellStyle name="ErrorCurrencyTB,rIGHT 2 2 3 7 2" xfId="139"/>
    <cellStyle name="ErrorCurrencyTB,rIGHT 2 2 3 7 3" xfId="139"/>
    <cellStyle name="ErrorCurrencyTB,rIGHT 2 2 3 7 4" xfId="139"/>
    <cellStyle name="ErrorCurrencyTB,rIGHT 2 2 3 8" xfId="139"/>
    <cellStyle name="ErrorCurrencyTB,rIGHT 2 2 3 9" xfId="139"/>
    <cellStyle name="ErrorCurrencyTB,rIGHT 2 2 4" xfId="139"/>
    <cellStyle name="ErrorCurrencyTB,rIGHT 2 2 4 2" xfId="139"/>
    <cellStyle name="ErrorCurrencyTB,rIGHT 2 2 4 2 2" xfId="139"/>
    <cellStyle name="ErrorCurrencyTB,rIGHT 2 2 4 2 3" xfId="139"/>
    <cellStyle name="ErrorCurrencyTB,rIGHT 2 2 4 2 4" xfId="139"/>
    <cellStyle name="ErrorCurrencyTB,rIGHT 2 2 4 2 5" xfId="139"/>
    <cellStyle name="ErrorCurrencyTB,rIGHT 2 2 4 3" xfId="139"/>
    <cellStyle name="ErrorCurrencyTB,rIGHT 2 2 4 3 2" xfId="139"/>
    <cellStyle name="ErrorCurrencyTB,rIGHT 2 2 4 3 3" xfId="139"/>
    <cellStyle name="ErrorCurrencyTB,rIGHT 2 2 4 3 4" xfId="139"/>
    <cellStyle name="ErrorCurrencyTB,rIGHT 2 2 4 4" xfId="139"/>
    <cellStyle name="ErrorCurrencyTB,rIGHT 2 2 4 5" xfId="139"/>
    <cellStyle name="ErrorCurrencyTB,rIGHT 2 2 4 6" xfId="139"/>
    <cellStyle name="ErrorCurrencyTB,rIGHT 2 2 4 7" xfId="139"/>
    <cellStyle name="ErrorCurrencyTB,rIGHT 2 2 4 8" xfId="139"/>
    <cellStyle name="ErrorCurrencyTB,rIGHT 2 2 5" xfId="139"/>
    <cellStyle name="ErrorCurrencyTB,rIGHT 2 2 5 2" xfId="139"/>
    <cellStyle name="ErrorCurrencyTB,rIGHT 2 2 5 2 2" xfId="139"/>
    <cellStyle name="ErrorCurrencyTB,rIGHT 2 2 5 2 3" xfId="139"/>
    <cellStyle name="ErrorCurrencyTB,rIGHT 2 2 5 2 4" xfId="139"/>
    <cellStyle name="ErrorCurrencyTB,rIGHT 2 2 5 2 5" xfId="139"/>
    <cellStyle name="ErrorCurrencyTB,rIGHT 2 2 5 3" xfId="139"/>
    <cellStyle name="ErrorCurrencyTB,rIGHT 2 2 5 3 2" xfId="139"/>
    <cellStyle name="ErrorCurrencyTB,rIGHT 2 2 5 3 3" xfId="139"/>
    <cellStyle name="ErrorCurrencyTB,rIGHT 2 2 5 3 4" xfId="139"/>
    <cellStyle name="ErrorCurrencyTB,rIGHT 2 2 5 4" xfId="139"/>
    <cellStyle name="ErrorCurrencyTB,rIGHT 2 2 5 5" xfId="139"/>
    <cellStyle name="ErrorCurrencyTB,rIGHT 2 2 5 6" xfId="139"/>
    <cellStyle name="ErrorCurrencyTB,rIGHT 2 2 5 7" xfId="139"/>
    <cellStyle name="ErrorCurrencyTB,rIGHT 2 2 5 8" xfId="139"/>
    <cellStyle name="ErrorCurrencyTB,rIGHT 2 2 6" xfId="139"/>
    <cellStyle name="ErrorCurrencyTB,rIGHT 2 2 6 2" xfId="139"/>
    <cellStyle name="ErrorCurrencyTB,rIGHT 2 2 6 2 2" xfId="139"/>
    <cellStyle name="ErrorCurrencyTB,rIGHT 2 2 6 2 3" xfId="139"/>
    <cellStyle name="ErrorCurrencyTB,rIGHT 2 2 6 2 4" xfId="139"/>
    <cellStyle name="ErrorCurrencyTB,rIGHT 2 2 6 2 5" xfId="139"/>
    <cellStyle name="ErrorCurrencyTB,rIGHT 2 2 6 3" xfId="139"/>
    <cellStyle name="ErrorCurrencyTB,rIGHT 2 2 6 3 2" xfId="139"/>
    <cellStyle name="ErrorCurrencyTB,rIGHT 2 2 6 3 3" xfId="139"/>
    <cellStyle name="ErrorCurrencyTB,rIGHT 2 2 6 3 4" xfId="139"/>
    <cellStyle name="ErrorCurrencyTB,rIGHT 2 2 6 4" xfId="139"/>
    <cellStyle name="ErrorCurrencyTB,rIGHT 2 2 6 5" xfId="139"/>
    <cellStyle name="ErrorCurrencyTB,rIGHT 2 2 6 6" xfId="139"/>
    <cellStyle name="ErrorCurrencyTB,rIGHT 2 2 6 7" xfId="139"/>
    <cellStyle name="ErrorCurrencyTB,rIGHT 2 2 6 8" xfId="139"/>
    <cellStyle name="ErrorCurrencyTB,rIGHT 2 2 7" xfId="139"/>
    <cellStyle name="ErrorCurrencyTB,rIGHT 2 2 7 2" xfId="139"/>
    <cellStyle name="ErrorCurrencyTB,rIGHT 2 2 7 2 2" xfId="139"/>
    <cellStyle name="ErrorCurrencyTB,rIGHT 2 2 7 2 3" xfId="139"/>
    <cellStyle name="ErrorCurrencyTB,rIGHT 2 2 7 2 4" xfId="139"/>
    <cellStyle name="ErrorCurrencyTB,rIGHT 2 2 7 2 5" xfId="139"/>
    <cellStyle name="ErrorCurrencyTB,rIGHT 2 2 7 3" xfId="139"/>
    <cellStyle name="ErrorCurrencyTB,rIGHT 2 2 7 3 2" xfId="139"/>
    <cellStyle name="ErrorCurrencyTB,rIGHT 2 2 7 3 3" xfId="139"/>
    <cellStyle name="ErrorCurrencyTB,rIGHT 2 2 7 3 4" xfId="139"/>
    <cellStyle name="ErrorCurrencyTB,rIGHT 2 2 7 4" xfId="139"/>
    <cellStyle name="ErrorCurrencyTB,rIGHT 2 2 7 5" xfId="139"/>
    <cellStyle name="ErrorCurrencyTB,rIGHT 2 2 7 6" xfId="139"/>
    <cellStyle name="ErrorCurrencyTB,rIGHT 2 2 7 7" xfId="139"/>
    <cellStyle name="ErrorCurrencyTB,rIGHT 2 2 7 8" xfId="139"/>
    <cellStyle name="ErrorCurrencyTB,rIGHT 2 2 8" xfId="139"/>
    <cellStyle name="ErrorCurrencyTB,rIGHT 2 2 8 2" xfId="139"/>
    <cellStyle name="ErrorCurrencyTB,rIGHT 2 2 8 3" xfId="139"/>
    <cellStyle name="ErrorCurrencyTB,rIGHT 2 2 8 4" xfId="139"/>
    <cellStyle name="ErrorCurrencyTB,rIGHT 2 2 8 5" xfId="139"/>
    <cellStyle name="ErrorCurrencyTB,rIGHT 2 2 9" xfId="139"/>
    <cellStyle name="ErrorCurrencyTB,rIGHT 2 2 9 2" xfId="139"/>
    <cellStyle name="ErrorCurrencyTB,rIGHT 2 2 9 3" xfId="139"/>
    <cellStyle name="ErrorCurrencyTB,rIGHT 2 2 9 4" xfId="139"/>
    <cellStyle name="ErrorCurrencyTB,rIGHT 2 3" xfId="139"/>
    <cellStyle name="ErrorCurrencyTB,rIGHT 2 3 10" xfId="139"/>
    <cellStyle name="ErrorCurrencyTB,rIGHT 2 3 11" xfId="139"/>
    <cellStyle name="ErrorCurrencyTB,rIGHT 2 3 12" xfId="139"/>
    <cellStyle name="ErrorCurrencyTB,rIGHT 2 3 2" xfId="139"/>
    <cellStyle name="ErrorCurrencyTB,rIGHT 2 3 2 2" xfId="139"/>
    <cellStyle name="ErrorCurrencyTB,rIGHT 2 3 2 2 2" xfId="139"/>
    <cellStyle name="ErrorCurrencyTB,rIGHT 2 3 2 2 3" xfId="139"/>
    <cellStyle name="ErrorCurrencyTB,rIGHT 2 3 2 2 4" xfId="139"/>
    <cellStyle name="ErrorCurrencyTB,rIGHT 2 3 2 2 5" xfId="139"/>
    <cellStyle name="ErrorCurrencyTB,rIGHT 2 3 2 3" xfId="139"/>
    <cellStyle name="ErrorCurrencyTB,rIGHT 2 3 2 3 2" xfId="139"/>
    <cellStyle name="ErrorCurrencyTB,rIGHT 2 3 2 3 3" xfId="139"/>
    <cellStyle name="ErrorCurrencyTB,rIGHT 2 3 2 3 4" xfId="139"/>
    <cellStyle name="ErrorCurrencyTB,rIGHT 2 3 2 4" xfId="139"/>
    <cellStyle name="ErrorCurrencyTB,rIGHT 2 3 2 5" xfId="139"/>
    <cellStyle name="ErrorCurrencyTB,rIGHT 2 3 2 6" xfId="139"/>
    <cellStyle name="ErrorCurrencyTB,rIGHT 2 3 2 7" xfId="139"/>
    <cellStyle name="ErrorCurrencyTB,rIGHT 2 3 2 8" xfId="139"/>
    <cellStyle name="ErrorCurrencyTB,rIGHT 2 3 3" xfId="139"/>
    <cellStyle name="ErrorCurrencyTB,rIGHT 2 3 3 2" xfId="139"/>
    <cellStyle name="ErrorCurrencyTB,rIGHT 2 3 3 2 2" xfId="139"/>
    <cellStyle name="ErrorCurrencyTB,rIGHT 2 3 3 2 3" xfId="139"/>
    <cellStyle name="ErrorCurrencyTB,rIGHT 2 3 3 2 4" xfId="139"/>
    <cellStyle name="ErrorCurrencyTB,rIGHT 2 3 3 2 5" xfId="139"/>
    <cellStyle name="ErrorCurrencyTB,rIGHT 2 3 3 3" xfId="139"/>
    <cellStyle name="ErrorCurrencyTB,rIGHT 2 3 3 3 2" xfId="139"/>
    <cellStyle name="ErrorCurrencyTB,rIGHT 2 3 3 3 3" xfId="139"/>
    <cellStyle name="ErrorCurrencyTB,rIGHT 2 3 3 3 4" xfId="139"/>
    <cellStyle name="ErrorCurrencyTB,rIGHT 2 3 3 4" xfId="139"/>
    <cellStyle name="ErrorCurrencyTB,rIGHT 2 3 3 5" xfId="139"/>
    <cellStyle name="ErrorCurrencyTB,rIGHT 2 3 3 6" xfId="139"/>
    <cellStyle name="ErrorCurrencyTB,rIGHT 2 3 3 7" xfId="139"/>
    <cellStyle name="ErrorCurrencyTB,rIGHT 2 3 3 8" xfId="139"/>
    <cellStyle name="ErrorCurrencyTB,rIGHT 2 3 4" xfId="139"/>
    <cellStyle name="ErrorCurrencyTB,rIGHT 2 3 4 2" xfId="139"/>
    <cellStyle name="ErrorCurrencyTB,rIGHT 2 3 4 2 2" xfId="139"/>
    <cellStyle name="ErrorCurrencyTB,rIGHT 2 3 4 2 3" xfId="139"/>
    <cellStyle name="ErrorCurrencyTB,rIGHT 2 3 4 2 4" xfId="139"/>
    <cellStyle name="ErrorCurrencyTB,rIGHT 2 3 4 2 5" xfId="139"/>
    <cellStyle name="ErrorCurrencyTB,rIGHT 2 3 4 3" xfId="139"/>
    <cellStyle name="ErrorCurrencyTB,rIGHT 2 3 4 3 2" xfId="139"/>
    <cellStyle name="ErrorCurrencyTB,rIGHT 2 3 4 3 3" xfId="139"/>
    <cellStyle name="ErrorCurrencyTB,rIGHT 2 3 4 3 4" xfId="139"/>
    <cellStyle name="ErrorCurrencyTB,rIGHT 2 3 4 4" xfId="139"/>
    <cellStyle name="ErrorCurrencyTB,rIGHT 2 3 4 5" xfId="139"/>
    <cellStyle name="ErrorCurrencyTB,rIGHT 2 3 4 6" xfId="139"/>
    <cellStyle name="ErrorCurrencyTB,rIGHT 2 3 4 7" xfId="139"/>
    <cellStyle name="ErrorCurrencyTB,rIGHT 2 3 4 8" xfId="139"/>
    <cellStyle name="ErrorCurrencyTB,rIGHT 2 3 5" xfId="139"/>
    <cellStyle name="ErrorCurrencyTB,rIGHT 2 3 5 2" xfId="139"/>
    <cellStyle name="ErrorCurrencyTB,rIGHT 2 3 5 2 2" xfId="139"/>
    <cellStyle name="ErrorCurrencyTB,rIGHT 2 3 5 2 3" xfId="139"/>
    <cellStyle name="ErrorCurrencyTB,rIGHT 2 3 5 2 4" xfId="139"/>
    <cellStyle name="ErrorCurrencyTB,rIGHT 2 3 5 2 5" xfId="139"/>
    <cellStyle name="ErrorCurrencyTB,rIGHT 2 3 5 3" xfId="139"/>
    <cellStyle name="ErrorCurrencyTB,rIGHT 2 3 5 3 2" xfId="139"/>
    <cellStyle name="ErrorCurrencyTB,rIGHT 2 3 5 3 3" xfId="139"/>
    <cellStyle name="ErrorCurrencyTB,rIGHT 2 3 5 3 4" xfId="139"/>
    <cellStyle name="ErrorCurrencyTB,rIGHT 2 3 5 4" xfId="139"/>
    <cellStyle name="ErrorCurrencyTB,rIGHT 2 3 5 5" xfId="139"/>
    <cellStyle name="ErrorCurrencyTB,rIGHT 2 3 5 6" xfId="139"/>
    <cellStyle name="ErrorCurrencyTB,rIGHT 2 3 5 7" xfId="139"/>
    <cellStyle name="ErrorCurrencyTB,rIGHT 2 3 5 8" xfId="139"/>
    <cellStyle name="ErrorCurrencyTB,rIGHT 2 3 6" xfId="139"/>
    <cellStyle name="ErrorCurrencyTB,rIGHT 2 3 6 2" xfId="139"/>
    <cellStyle name="ErrorCurrencyTB,rIGHT 2 3 6 3" xfId="139"/>
    <cellStyle name="ErrorCurrencyTB,rIGHT 2 3 6 4" xfId="139"/>
    <cellStyle name="ErrorCurrencyTB,rIGHT 2 3 6 5" xfId="139"/>
    <cellStyle name="ErrorCurrencyTB,rIGHT 2 3 7" xfId="139"/>
    <cellStyle name="ErrorCurrencyTB,rIGHT 2 3 7 2" xfId="139"/>
    <cellStyle name="ErrorCurrencyTB,rIGHT 2 3 7 3" xfId="139"/>
    <cellStyle name="ErrorCurrencyTB,rIGHT 2 3 7 4" xfId="139"/>
    <cellStyle name="ErrorCurrencyTB,rIGHT 2 3 8" xfId="139"/>
    <cellStyle name="ErrorCurrencyTB,rIGHT 2 3 9" xfId="139"/>
    <cellStyle name="ErrorCurrencyTB,rIGHT 2 4" xfId="139"/>
    <cellStyle name="ErrorCurrencyTB,rIGHT 2 4 2" xfId="139"/>
    <cellStyle name="ErrorCurrencyTB,rIGHT 2 4 2 2" xfId="139"/>
    <cellStyle name="ErrorCurrencyTB,rIGHT 2 4 2 3" xfId="139"/>
    <cellStyle name="ErrorCurrencyTB,rIGHT 2 4 2 4" xfId="139"/>
    <cellStyle name="ErrorCurrencyTB,rIGHT 2 4 2 5" xfId="139"/>
    <cellStyle name="ErrorCurrencyTB,rIGHT 2 4 3" xfId="139"/>
    <cellStyle name="ErrorCurrencyTB,rIGHT 2 4 3 2" xfId="139"/>
    <cellStyle name="ErrorCurrencyTB,rIGHT 2 4 3 3" xfId="139"/>
    <cellStyle name="ErrorCurrencyTB,rIGHT 2 4 3 4" xfId="139"/>
    <cellStyle name="ErrorCurrencyTB,rIGHT 2 4 4" xfId="139"/>
    <cellStyle name="ErrorCurrencyTB,rIGHT 2 4 5" xfId="139"/>
    <cellStyle name="ErrorCurrencyTB,rIGHT 2 4 6" xfId="139"/>
    <cellStyle name="ErrorCurrencyTB,rIGHT 2 4 7" xfId="139"/>
    <cellStyle name="ErrorCurrencyTB,rIGHT 2 4 8" xfId="139"/>
    <cellStyle name="ErrorCurrencyTB,rIGHT 2 5" xfId="139"/>
    <cellStyle name="ErrorCurrencyTB,rIGHT 2 5 2" xfId="139"/>
    <cellStyle name="ErrorCurrencyTB,rIGHT 2 5 2 2" xfId="139"/>
    <cellStyle name="ErrorCurrencyTB,rIGHT 2 5 2 3" xfId="139"/>
    <cellStyle name="ErrorCurrencyTB,rIGHT 2 5 2 4" xfId="139"/>
    <cellStyle name="ErrorCurrencyTB,rIGHT 2 5 2 5" xfId="139"/>
    <cellStyle name="ErrorCurrencyTB,rIGHT 2 5 3" xfId="139"/>
    <cellStyle name="ErrorCurrencyTB,rIGHT 2 5 3 2" xfId="139"/>
    <cellStyle name="ErrorCurrencyTB,rIGHT 2 5 3 3" xfId="139"/>
    <cellStyle name="ErrorCurrencyTB,rIGHT 2 5 3 4" xfId="139"/>
    <cellStyle name="ErrorCurrencyTB,rIGHT 2 5 4" xfId="139"/>
    <cellStyle name="ErrorCurrencyTB,rIGHT 2 5 5" xfId="139"/>
    <cellStyle name="ErrorCurrencyTB,rIGHT 2 5 6" xfId="139"/>
    <cellStyle name="ErrorCurrencyTB,rIGHT 2 5 7" xfId="139"/>
    <cellStyle name="ErrorCurrencyTB,rIGHT 2 5 8" xfId="139"/>
    <cellStyle name="ErrorCurrencyTB,rIGHT 2 6" xfId="139"/>
    <cellStyle name="ErrorCurrencyTB,rIGHT 2 6 2" xfId="139"/>
    <cellStyle name="ErrorCurrencyTB,rIGHT 2 6 2 2" xfId="139"/>
    <cellStyle name="ErrorCurrencyTB,rIGHT 2 6 2 3" xfId="139"/>
    <cellStyle name="ErrorCurrencyTB,rIGHT 2 6 2 4" xfId="139"/>
    <cellStyle name="ErrorCurrencyTB,rIGHT 2 6 2 5" xfId="139"/>
    <cellStyle name="ErrorCurrencyTB,rIGHT 2 6 3" xfId="139"/>
    <cellStyle name="ErrorCurrencyTB,rIGHT 2 6 3 2" xfId="139"/>
    <cellStyle name="ErrorCurrencyTB,rIGHT 2 6 3 3" xfId="139"/>
    <cellStyle name="ErrorCurrencyTB,rIGHT 2 6 3 4" xfId="139"/>
    <cellStyle name="ErrorCurrencyTB,rIGHT 2 6 4" xfId="139"/>
    <cellStyle name="ErrorCurrencyTB,rIGHT 2 6 5" xfId="139"/>
    <cellStyle name="ErrorCurrencyTB,rIGHT 2 6 6" xfId="139"/>
    <cellStyle name="ErrorCurrencyTB,rIGHT 2 6 7" xfId="139"/>
    <cellStyle name="ErrorCurrencyTB,rIGHT 2 6 8" xfId="139"/>
    <cellStyle name="ErrorCurrencyTB,rIGHT 2 7" xfId="139"/>
    <cellStyle name="ErrorCurrencyTB,rIGHT 2 7 2" xfId="139"/>
    <cellStyle name="ErrorCurrencyTB,rIGHT 2 7 2 2" xfId="139"/>
    <cellStyle name="ErrorCurrencyTB,rIGHT 2 7 2 3" xfId="139"/>
    <cellStyle name="ErrorCurrencyTB,rIGHT 2 7 2 4" xfId="139"/>
    <cellStyle name="ErrorCurrencyTB,rIGHT 2 7 2 5" xfId="139"/>
    <cellStyle name="ErrorCurrencyTB,rIGHT 2 7 3" xfId="139"/>
    <cellStyle name="ErrorCurrencyTB,rIGHT 2 7 3 2" xfId="139"/>
    <cellStyle name="ErrorCurrencyTB,rIGHT 2 7 3 3" xfId="139"/>
    <cellStyle name="ErrorCurrencyTB,rIGHT 2 7 3 4" xfId="139"/>
    <cellStyle name="ErrorCurrencyTB,rIGHT 2 7 4" xfId="139"/>
    <cellStyle name="ErrorCurrencyTB,rIGHT 2 7 5" xfId="139"/>
    <cellStyle name="ErrorCurrencyTB,rIGHT 2 7 6" xfId="139"/>
    <cellStyle name="ErrorCurrencyTB,rIGHT 2 7 7" xfId="139"/>
    <cellStyle name="ErrorCurrencyTB,rIGHT 2 7 8" xfId="139"/>
    <cellStyle name="ErrorCurrencyTB,rIGHT 2 8" xfId="139"/>
    <cellStyle name="ErrorCurrencyTB,rIGHT 2 8 2" xfId="139"/>
    <cellStyle name="ErrorCurrencyTB,rIGHT 2 8 3" xfId="139"/>
    <cellStyle name="ErrorCurrencyTB,rIGHT 2 8 4" xfId="139"/>
    <cellStyle name="ErrorCurrencyTB,rIGHT 2 8 5" xfId="139"/>
    <cellStyle name="ErrorCurrencyTB,rIGHT 2 9" xfId="139"/>
    <cellStyle name="ErrorCurrencyTB,rIGHT 2 9 2" xfId="139"/>
    <cellStyle name="ErrorCurrencyTB,rIGHT 2 9 3" xfId="139"/>
    <cellStyle name="ErrorCurrencyTB,rIGHT 2 9 4" xfId="139"/>
    <cellStyle name="ErrorCurrencyTB,rIGHT 3" xfId="139"/>
    <cellStyle name="ErrorCurrencyTB,rIGHT 3 10" xfId="139"/>
    <cellStyle name="ErrorCurrencyTB,rIGHT 3 11" xfId="139"/>
    <cellStyle name="ErrorCurrencyTB,rIGHT 3 12" xfId="139"/>
    <cellStyle name="ErrorCurrencyTB,rIGHT 3 13" xfId="139"/>
    <cellStyle name="ErrorCurrencyTB,rIGHT 3 14" xfId="139"/>
    <cellStyle name="ErrorCurrencyTB,rIGHT 3 2" xfId="139"/>
    <cellStyle name="ErrorCurrencyTB,rIGHT 3 2 10" xfId="139"/>
    <cellStyle name="ErrorCurrencyTB,rIGHT 3 2 11" xfId="139"/>
    <cellStyle name="ErrorCurrencyTB,rIGHT 3 2 12" xfId="139"/>
    <cellStyle name="ErrorCurrencyTB,rIGHT 3 2 2" xfId="139"/>
    <cellStyle name="ErrorCurrencyTB,rIGHT 3 2 2 2" xfId="139"/>
    <cellStyle name="ErrorCurrencyTB,rIGHT 3 2 2 2 2" xfId="139"/>
    <cellStyle name="ErrorCurrencyTB,rIGHT 3 2 2 2 3" xfId="139"/>
    <cellStyle name="ErrorCurrencyTB,rIGHT 3 2 2 2 4" xfId="139"/>
    <cellStyle name="ErrorCurrencyTB,rIGHT 3 2 2 2 5" xfId="139"/>
    <cellStyle name="ErrorCurrencyTB,rIGHT 3 2 2 3" xfId="139"/>
    <cellStyle name="ErrorCurrencyTB,rIGHT 3 2 2 3 2" xfId="139"/>
    <cellStyle name="ErrorCurrencyTB,rIGHT 3 2 2 3 3" xfId="139"/>
    <cellStyle name="ErrorCurrencyTB,rIGHT 3 2 2 3 4" xfId="139"/>
    <cellStyle name="ErrorCurrencyTB,rIGHT 3 2 2 4" xfId="139"/>
    <cellStyle name="ErrorCurrencyTB,rIGHT 3 2 2 5" xfId="139"/>
    <cellStyle name="ErrorCurrencyTB,rIGHT 3 2 2 6" xfId="139"/>
    <cellStyle name="ErrorCurrencyTB,rIGHT 3 2 2 7" xfId="139"/>
    <cellStyle name="ErrorCurrencyTB,rIGHT 3 2 2 8" xfId="139"/>
    <cellStyle name="ErrorCurrencyTB,rIGHT 3 2 3" xfId="139"/>
    <cellStyle name="ErrorCurrencyTB,rIGHT 3 2 3 2" xfId="139"/>
    <cellStyle name="ErrorCurrencyTB,rIGHT 3 2 3 2 2" xfId="139"/>
    <cellStyle name="ErrorCurrencyTB,rIGHT 3 2 3 2 3" xfId="139"/>
    <cellStyle name="ErrorCurrencyTB,rIGHT 3 2 3 2 4" xfId="139"/>
    <cellStyle name="ErrorCurrencyTB,rIGHT 3 2 3 2 5" xfId="139"/>
    <cellStyle name="ErrorCurrencyTB,rIGHT 3 2 3 3" xfId="139"/>
    <cellStyle name="ErrorCurrencyTB,rIGHT 3 2 3 3 2" xfId="139"/>
    <cellStyle name="ErrorCurrencyTB,rIGHT 3 2 3 3 3" xfId="139"/>
    <cellStyle name="ErrorCurrencyTB,rIGHT 3 2 3 3 4" xfId="139"/>
    <cellStyle name="ErrorCurrencyTB,rIGHT 3 2 3 4" xfId="139"/>
    <cellStyle name="ErrorCurrencyTB,rIGHT 3 2 3 5" xfId="139"/>
    <cellStyle name="ErrorCurrencyTB,rIGHT 3 2 3 6" xfId="139"/>
    <cellStyle name="ErrorCurrencyTB,rIGHT 3 2 3 7" xfId="139"/>
    <cellStyle name="ErrorCurrencyTB,rIGHT 3 2 3 8" xfId="139"/>
    <cellStyle name="ErrorCurrencyTB,rIGHT 3 2 4" xfId="139"/>
    <cellStyle name="ErrorCurrencyTB,rIGHT 3 2 4 2" xfId="139"/>
    <cellStyle name="ErrorCurrencyTB,rIGHT 3 2 4 2 2" xfId="139"/>
    <cellStyle name="ErrorCurrencyTB,rIGHT 3 2 4 2 3" xfId="139"/>
    <cellStyle name="ErrorCurrencyTB,rIGHT 3 2 4 2 4" xfId="139"/>
    <cellStyle name="ErrorCurrencyTB,rIGHT 3 2 4 2 5" xfId="139"/>
    <cellStyle name="ErrorCurrencyTB,rIGHT 3 2 4 3" xfId="139"/>
    <cellStyle name="ErrorCurrencyTB,rIGHT 3 2 4 3 2" xfId="139"/>
    <cellStyle name="ErrorCurrencyTB,rIGHT 3 2 4 3 3" xfId="139"/>
    <cellStyle name="ErrorCurrencyTB,rIGHT 3 2 4 3 4" xfId="139"/>
    <cellStyle name="ErrorCurrencyTB,rIGHT 3 2 4 4" xfId="139"/>
    <cellStyle name="ErrorCurrencyTB,rIGHT 3 2 4 5" xfId="139"/>
    <cellStyle name="ErrorCurrencyTB,rIGHT 3 2 4 6" xfId="139"/>
    <cellStyle name="ErrorCurrencyTB,rIGHT 3 2 4 7" xfId="139"/>
    <cellStyle name="ErrorCurrencyTB,rIGHT 3 2 4 8" xfId="139"/>
    <cellStyle name="ErrorCurrencyTB,rIGHT 3 2 5" xfId="139"/>
    <cellStyle name="ErrorCurrencyTB,rIGHT 3 2 5 2" xfId="139"/>
    <cellStyle name="ErrorCurrencyTB,rIGHT 3 2 5 2 2" xfId="139"/>
    <cellStyle name="ErrorCurrencyTB,rIGHT 3 2 5 2 3" xfId="139"/>
    <cellStyle name="ErrorCurrencyTB,rIGHT 3 2 5 2 4" xfId="139"/>
    <cellStyle name="ErrorCurrencyTB,rIGHT 3 2 5 2 5" xfId="139"/>
    <cellStyle name="ErrorCurrencyTB,rIGHT 3 2 5 3" xfId="139"/>
    <cellStyle name="ErrorCurrencyTB,rIGHT 3 2 5 3 2" xfId="139"/>
    <cellStyle name="ErrorCurrencyTB,rIGHT 3 2 5 3 3" xfId="139"/>
    <cellStyle name="ErrorCurrencyTB,rIGHT 3 2 5 3 4" xfId="139"/>
    <cellStyle name="ErrorCurrencyTB,rIGHT 3 2 5 4" xfId="139"/>
    <cellStyle name="ErrorCurrencyTB,rIGHT 3 2 5 5" xfId="139"/>
    <cellStyle name="ErrorCurrencyTB,rIGHT 3 2 5 6" xfId="139"/>
    <cellStyle name="ErrorCurrencyTB,rIGHT 3 2 5 7" xfId="139"/>
    <cellStyle name="ErrorCurrencyTB,rIGHT 3 2 5 8" xfId="139"/>
    <cellStyle name="ErrorCurrencyTB,rIGHT 3 2 6" xfId="139"/>
    <cellStyle name="ErrorCurrencyTB,rIGHT 3 2 6 2" xfId="139"/>
    <cellStyle name="ErrorCurrencyTB,rIGHT 3 2 6 3" xfId="139"/>
    <cellStyle name="ErrorCurrencyTB,rIGHT 3 2 6 4" xfId="139"/>
    <cellStyle name="ErrorCurrencyTB,rIGHT 3 2 6 5" xfId="139"/>
    <cellStyle name="ErrorCurrencyTB,rIGHT 3 2 7" xfId="139"/>
    <cellStyle name="ErrorCurrencyTB,rIGHT 3 2 7 2" xfId="139"/>
    <cellStyle name="ErrorCurrencyTB,rIGHT 3 2 7 3" xfId="139"/>
    <cellStyle name="ErrorCurrencyTB,rIGHT 3 2 7 4" xfId="139"/>
    <cellStyle name="ErrorCurrencyTB,rIGHT 3 2 8" xfId="139"/>
    <cellStyle name="ErrorCurrencyTB,rIGHT 3 2 9" xfId="139"/>
    <cellStyle name="ErrorCurrencyTB,rIGHT 3 3" xfId="139"/>
    <cellStyle name="ErrorCurrencyTB,rIGHT 3 3 10" xfId="139"/>
    <cellStyle name="ErrorCurrencyTB,rIGHT 3 3 11" xfId="139"/>
    <cellStyle name="ErrorCurrencyTB,rIGHT 3 3 12" xfId="139"/>
    <cellStyle name="ErrorCurrencyTB,rIGHT 3 3 2" xfId="139"/>
    <cellStyle name="ErrorCurrencyTB,rIGHT 3 3 2 2" xfId="139"/>
    <cellStyle name="ErrorCurrencyTB,rIGHT 3 3 2 2 2" xfId="139"/>
    <cellStyle name="ErrorCurrencyTB,rIGHT 3 3 2 2 3" xfId="139"/>
    <cellStyle name="ErrorCurrencyTB,rIGHT 3 3 2 2 4" xfId="139"/>
    <cellStyle name="ErrorCurrencyTB,rIGHT 3 3 2 2 5" xfId="139"/>
    <cellStyle name="ErrorCurrencyTB,rIGHT 3 3 2 3" xfId="139"/>
    <cellStyle name="ErrorCurrencyTB,rIGHT 3 3 2 3 2" xfId="139"/>
    <cellStyle name="ErrorCurrencyTB,rIGHT 3 3 2 3 3" xfId="139"/>
    <cellStyle name="ErrorCurrencyTB,rIGHT 3 3 2 3 4" xfId="139"/>
    <cellStyle name="ErrorCurrencyTB,rIGHT 3 3 2 4" xfId="139"/>
    <cellStyle name="ErrorCurrencyTB,rIGHT 3 3 2 5" xfId="139"/>
    <cellStyle name="ErrorCurrencyTB,rIGHT 3 3 2 6" xfId="139"/>
    <cellStyle name="ErrorCurrencyTB,rIGHT 3 3 2 7" xfId="139"/>
    <cellStyle name="ErrorCurrencyTB,rIGHT 3 3 2 8" xfId="139"/>
    <cellStyle name="ErrorCurrencyTB,rIGHT 3 3 3" xfId="139"/>
    <cellStyle name="ErrorCurrencyTB,rIGHT 3 3 3 2" xfId="139"/>
    <cellStyle name="ErrorCurrencyTB,rIGHT 3 3 3 2 2" xfId="139"/>
    <cellStyle name="ErrorCurrencyTB,rIGHT 3 3 3 2 3" xfId="139"/>
    <cellStyle name="ErrorCurrencyTB,rIGHT 3 3 3 2 4" xfId="139"/>
    <cellStyle name="ErrorCurrencyTB,rIGHT 3 3 3 2 5" xfId="139"/>
    <cellStyle name="ErrorCurrencyTB,rIGHT 3 3 3 3" xfId="139"/>
    <cellStyle name="ErrorCurrencyTB,rIGHT 3 3 3 3 2" xfId="139"/>
    <cellStyle name="ErrorCurrencyTB,rIGHT 3 3 3 3 3" xfId="139"/>
    <cellStyle name="ErrorCurrencyTB,rIGHT 3 3 3 3 4" xfId="139"/>
    <cellStyle name="ErrorCurrencyTB,rIGHT 3 3 3 4" xfId="139"/>
    <cellStyle name="ErrorCurrencyTB,rIGHT 3 3 3 5" xfId="139"/>
    <cellStyle name="ErrorCurrencyTB,rIGHT 3 3 3 6" xfId="139"/>
    <cellStyle name="ErrorCurrencyTB,rIGHT 3 3 3 7" xfId="139"/>
    <cellStyle name="ErrorCurrencyTB,rIGHT 3 3 3 8" xfId="139"/>
    <cellStyle name="ErrorCurrencyTB,rIGHT 3 3 4" xfId="139"/>
    <cellStyle name="ErrorCurrencyTB,rIGHT 3 3 4 2" xfId="139"/>
    <cellStyle name="ErrorCurrencyTB,rIGHT 3 3 4 2 2" xfId="139"/>
    <cellStyle name="ErrorCurrencyTB,rIGHT 3 3 4 2 3" xfId="139"/>
    <cellStyle name="ErrorCurrencyTB,rIGHT 3 3 4 2 4" xfId="139"/>
    <cellStyle name="ErrorCurrencyTB,rIGHT 3 3 4 2 5" xfId="139"/>
    <cellStyle name="ErrorCurrencyTB,rIGHT 3 3 4 3" xfId="139"/>
    <cellStyle name="ErrorCurrencyTB,rIGHT 3 3 4 3 2" xfId="139"/>
    <cellStyle name="ErrorCurrencyTB,rIGHT 3 3 4 3 3" xfId="139"/>
    <cellStyle name="ErrorCurrencyTB,rIGHT 3 3 4 3 4" xfId="139"/>
    <cellStyle name="ErrorCurrencyTB,rIGHT 3 3 4 4" xfId="139"/>
    <cellStyle name="ErrorCurrencyTB,rIGHT 3 3 4 5" xfId="139"/>
    <cellStyle name="ErrorCurrencyTB,rIGHT 3 3 4 6" xfId="139"/>
    <cellStyle name="ErrorCurrencyTB,rIGHT 3 3 4 7" xfId="139"/>
    <cellStyle name="ErrorCurrencyTB,rIGHT 3 3 4 8" xfId="139"/>
    <cellStyle name="ErrorCurrencyTB,rIGHT 3 3 5" xfId="139"/>
    <cellStyle name="ErrorCurrencyTB,rIGHT 3 3 5 2" xfId="139"/>
    <cellStyle name="ErrorCurrencyTB,rIGHT 3 3 5 2 2" xfId="139"/>
    <cellStyle name="ErrorCurrencyTB,rIGHT 3 3 5 2 3" xfId="139"/>
    <cellStyle name="ErrorCurrencyTB,rIGHT 3 3 5 2 4" xfId="139"/>
    <cellStyle name="ErrorCurrencyTB,rIGHT 3 3 5 2 5" xfId="139"/>
    <cellStyle name="ErrorCurrencyTB,rIGHT 3 3 5 3" xfId="139"/>
    <cellStyle name="ErrorCurrencyTB,rIGHT 3 3 5 3 2" xfId="139"/>
    <cellStyle name="ErrorCurrencyTB,rIGHT 3 3 5 3 3" xfId="139"/>
    <cellStyle name="ErrorCurrencyTB,rIGHT 3 3 5 3 4" xfId="139"/>
    <cellStyle name="ErrorCurrencyTB,rIGHT 3 3 5 4" xfId="139"/>
    <cellStyle name="ErrorCurrencyTB,rIGHT 3 3 5 5" xfId="139"/>
    <cellStyle name="ErrorCurrencyTB,rIGHT 3 3 5 6" xfId="139"/>
    <cellStyle name="ErrorCurrencyTB,rIGHT 3 3 5 7" xfId="139"/>
    <cellStyle name="ErrorCurrencyTB,rIGHT 3 3 5 8" xfId="139"/>
    <cellStyle name="ErrorCurrencyTB,rIGHT 3 3 6" xfId="139"/>
    <cellStyle name="ErrorCurrencyTB,rIGHT 3 3 6 2" xfId="139"/>
    <cellStyle name="ErrorCurrencyTB,rIGHT 3 3 6 3" xfId="139"/>
    <cellStyle name="ErrorCurrencyTB,rIGHT 3 3 6 4" xfId="139"/>
    <cellStyle name="ErrorCurrencyTB,rIGHT 3 3 6 5" xfId="139"/>
    <cellStyle name="ErrorCurrencyTB,rIGHT 3 3 7" xfId="139"/>
    <cellStyle name="ErrorCurrencyTB,rIGHT 3 3 7 2" xfId="139"/>
    <cellStyle name="ErrorCurrencyTB,rIGHT 3 3 7 3" xfId="139"/>
    <cellStyle name="ErrorCurrencyTB,rIGHT 3 3 7 4" xfId="139"/>
    <cellStyle name="ErrorCurrencyTB,rIGHT 3 3 8" xfId="139"/>
    <cellStyle name="ErrorCurrencyTB,rIGHT 3 3 9" xfId="139"/>
    <cellStyle name="ErrorCurrencyTB,rIGHT 3 4" xfId="139"/>
    <cellStyle name="ErrorCurrencyTB,rIGHT 3 4 2" xfId="139"/>
    <cellStyle name="ErrorCurrencyTB,rIGHT 3 4 2 2" xfId="139"/>
    <cellStyle name="ErrorCurrencyTB,rIGHT 3 4 2 3" xfId="139"/>
    <cellStyle name="ErrorCurrencyTB,rIGHT 3 4 2 4" xfId="139"/>
    <cellStyle name="ErrorCurrencyTB,rIGHT 3 4 2 5" xfId="139"/>
    <cellStyle name="ErrorCurrencyTB,rIGHT 3 4 3" xfId="139"/>
    <cellStyle name="ErrorCurrencyTB,rIGHT 3 4 3 2" xfId="139"/>
    <cellStyle name="ErrorCurrencyTB,rIGHT 3 4 3 3" xfId="139"/>
    <cellStyle name="ErrorCurrencyTB,rIGHT 3 4 3 4" xfId="139"/>
    <cellStyle name="ErrorCurrencyTB,rIGHT 3 4 4" xfId="139"/>
    <cellStyle name="ErrorCurrencyTB,rIGHT 3 4 5" xfId="139"/>
    <cellStyle name="ErrorCurrencyTB,rIGHT 3 4 6" xfId="139"/>
    <cellStyle name="ErrorCurrencyTB,rIGHT 3 4 7" xfId="139"/>
    <cellStyle name="ErrorCurrencyTB,rIGHT 3 4 8" xfId="139"/>
    <cellStyle name="ErrorCurrencyTB,rIGHT 3 5" xfId="139"/>
    <cellStyle name="ErrorCurrencyTB,rIGHT 3 5 2" xfId="139"/>
    <cellStyle name="ErrorCurrencyTB,rIGHT 3 5 2 2" xfId="139"/>
    <cellStyle name="ErrorCurrencyTB,rIGHT 3 5 2 3" xfId="139"/>
    <cellStyle name="ErrorCurrencyTB,rIGHT 3 5 2 4" xfId="139"/>
    <cellStyle name="ErrorCurrencyTB,rIGHT 3 5 2 5" xfId="139"/>
    <cellStyle name="ErrorCurrencyTB,rIGHT 3 5 3" xfId="139"/>
    <cellStyle name="ErrorCurrencyTB,rIGHT 3 5 3 2" xfId="139"/>
    <cellStyle name="ErrorCurrencyTB,rIGHT 3 5 3 3" xfId="139"/>
    <cellStyle name="ErrorCurrencyTB,rIGHT 3 5 3 4" xfId="139"/>
    <cellStyle name="ErrorCurrencyTB,rIGHT 3 5 4" xfId="139"/>
    <cellStyle name="ErrorCurrencyTB,rIGHT 3 5 5" xfId="139"/>
    <cellStyle name="ErrorCurrencyTB,rIGHT 3 5 6" xfId="139"/>
    <cellStyle name="ErrorCurrencyTB,rIGHT 3 5 7" xfId="139"/>
    <cellStyle name="ErrorCurrencyTB,rIGHT 3 5 8" xfId="139"/>
    <cellStyle name="ErrorCurrencyTB,rIGHT 3 6" xfId="139"/>
    <cellStyle name="ErrorCurrencyTB,rIGHT 3 6 2" xfId="139"/>
    <cellStyle name="ErrorCurrencyTB,rIGHT 3 6 2 2" xfId="139"/>
    <cellStyle name="ErrorCurrencyTB,rIGHT 3 6 2 3" xfId="139"/>
    <cellStyle name="ErrorCurrencyTB,rIGHT 3 6 2 4" xfId="139"/>
    <cellStyle name="ErrorCurrencyTB,rIGHT 3 6 2 5" xfId="139"/>
    <cellStyle name="ErrorCurrencyTB,rIGHT 3 6 3" xfId="139"/>
    <cellStyle name="ErrorCurrencyTB,rIGHT 3 6 3 2" xfId="139"/>
    <cellStyle name="ErrorCurrencyTB,rIGHT 3 6 3 3" xfId="139"/>
    <cellStyle name="ErrorCurrencyTB,rIGHT 3 6 3 4" xfId="139"/>
    <cellStyle name="ErrorCurrencyTB,rIGHT 3 6 4" xfId="139"/>
    <cellStyle name="ErrorCurrencyTB,rIGHT 3 6 5" xfId="139"/>
    <cellStyle name="ErrorCurrencyTB,rIGHT 3 6 6" xfId="139"/>
    <cellStyle name="ErrorCurrencyTB,rIGHT 3 6 7" xfId="139"/>
    <cellStyle name="ErrorCurrencyTB,rIGHT 3 6 8" xfId="139"/>
    <cellStyle name="ErrorCurrencyTB,rIGHT 3 7" xfId="139"/>
    <cellStyle name="ErrorCurrencyTB,rIGHT 3 7 2" xfId="139"/>
    <cellStyle name="ErrorCurrencyTB,rIGHT 3 7 2 2" xfId="139"/>
    <cellStyle name="ErrorCurrencyTB,rIGHT 3 7 2 3" xfId="139"/>
    <cellStyle name="ErrorCurrencyTB,rIGHT 3 7 2 4" xfId="139"/>
    <cellStyle name="ErrorCurrencyTB,rIGHT 3 7 2 5" xfId="139"/>
    <cellStyle name="ErrorCurrencyTB,rIGHT 3 7 3" xfId="139"/>
    <cellStyle name="ErrorCurrencyTB,rIGHT 3 7 3 2" xfId="139"/>
    <cellStyle name="ErrorCurrencyTB,rIGHT 3 7 3 3" xfId="139"/>
    <cellStyle name="ErrorCurrencyTB,rIGHT 3 7 3 4" xfId="139"/>
    <cellStyle name="ErrorCurrencyTB,rIGHT 3 7 4" xfId="139"/>
    <cellStyle name="ErrorCurrencyTB,rIGHT 3 7 5" xfId="139"/>
    <cellStyle name="ErrorCurrencyTB,rIGHT 3 7 6" xfId="139"/>
    <cellStyle name="ErrorCurrencyTB,rIGHT 3 7 7" xfId="139"/>
    <cellStyle name="ErrorCurrencyTB,rIGHT 3 7 8" xfId="139"/>
    <cellStyle name="ErrorCurrencyTB,rIGHT 3 8" xfId="139"/>
    <cellStyle name="ErrorCurrencyTB,rIGHT 3 8 2" xfId="139"/>
    <cellStyle name="ErrorCurrencyTB,rIGHT 3 8 3" xfId="139"/>
    <cellStyle name="ErrorCurrencyTB,rIGHT 3 8 4" xfId="139"/>
    <cellStyle name="ErrorCurrencyTB,rIGHT 3 8 5" xfId="139"/>
    <cellStyle name="ErrorCurrencyTB,rIGHT 3 9" xfId="139"/>
    <cellStyle name="ErrorCurrencyTB,rIGHT 3 9 2" xfId="139"/>
    <cellStyle name="ErrorCurrencyTB,rIGHT 3 9 3" xfId="139"/>
    <cellStyle name="ErrorCurrencyTB,rIGHT 3 9 4" xfId="139"/>
    <cellStyle name="ErrorCurrencyTB,rIGHT 4" xfId="139"/>
    <cellStyle name="ErrorCurrencyTB,rIGHT 4 2" xfId="139"/>
    <cellStyle name="ErrorCurrencyTB,rIGHT 4 2 2" xfId="139"/>
    <cellStyle name="ErrorCurrencyTB,rIGHT 4 2 2 2" xfId="139"/>
    <cellStyle name="ErrorCurrencyTB,rIGHT 4 2 2 3" xfId="139"/>
    <cellStyle name="ErrorCurrencyTB,rIGHT 4 2 2 4" xfId="139"/>
    <cellStyle name="ErrorCurrencyTB,rIGHT 4 2 2 5" xfId="139"/>
    <cellStyle name="ErrorCurrencyTB,rIGHT 4 2 3" xfId="139"/>
    <cellStyle name="ErrorCurrencyTB,rIGHT 4 2 3 2" xfId="139"/>
    <cellStyle name="ErrorCurrencyTB,rIGHT 4 2 3 3" xfId="139"/>
    <cellStyle name="ErrorCurrencyTB,rIGHT 4 2 3 4" xfId="139"/>
    <cellStyle name="ErrorCurrencyTB,rIGHT 4 2 4" xfId="139"/>
    <cellStyle name="ErrorCurrencyTB,rIGHT 4 2 5" xfId="139"/>
    <cellStyle name="ErrorCurrencyTB,rIGHT 4 2 6" xfId="139"/>
    <cellStyle name="ErrorCurrencyTB,rIGHT 4 2 7" xfId="139"/>
    <cellStyle name="ErrorCurrencyTB,rIGHT 4 2 8" xfId="139"/>
    <cellStyle name="ErrorCurrencyTB,rIGHT 4 3" xfId="139"/>
    <cellStyle name="ErrorCurrencyTB,rIGHT 4 3 2" xfId="139"/>
    <cellStyle name="ErrorCurrencyTB,rIGHT 4 3 2 2" xfId="139"/>
    <cellStyle name="ErrorCurrencyTB,rIGHT 4 3 2 3" xfId="139"/>
    <cellStyle name="ErrorCurrencyTB,rIGHT 4 3 2 4" xfId="139"/>
    <cellStyle name="ErrorCurrencyTB,rIGHT 4 3 2 5" xfId="139"/>
    <cellStyle name="ErrorCurrencyTB,rIGHT 4 3 3" xfId="139"/>
    <cellStyle name="ErrorCurrencyTB,rIGHT 4 3 3 2" xfId="139"/>
    <cellStyle name="ErrorCurrencyTB,rIGHT 4 3 3 3" xfId="139"/>
    <cellStyle name="ErrorCurrencyTB,rIGHT 4 3 3 4" xfId="139"/>
    <cellStyle name="ErrorCurrencyTB,rIGHT 4 3 4" xfId="139"/>
    <cellStyle name="ErrorCurrencyTB,rIGHT 4 3 5" xfId="139"/>
    <cellStyle name="ErrorCurrencyTB,rIGHT 4 3 6" xfId="139"/>
    <cellStyle name="ErrorCurrencyTB,rIGHT 4 3 7" xfId="139"/>
    <cellStyle name="ErrorCurrencyTB,rIGHT 4 4" xfId="139"/>
    <cellStyle name="ErrorCurrencyTB,rIGHT 4 4 2" xfId="139"/>
    <cellStyle name="ErrorCurrencyTB,rIGHT 4 4 3" xfId="139"/>
    <cellStyle name="ErrorCurrencyTB,rIGHT 4 4 4" xfId="139"/>
    <cellStyle name="ErrorCurrencyTB,rIGHT 4 4 5" xfId="139"/>
    <cellStyle name="ErrorCurrencyTB,rIGHT 4 5" xfId="139"/>
    <cellStyle name="ErrorCurrencyTB,rIGHT 4 5 2" xfId="139"/>
    <cellStyle name="ErrorCurrencyTB,rIGHT 4 5 3" xfId="139"/>
    <cellStyle name="ErrorCurrencyTB,rIGHT 4 5 4" xfId="139"/>
    <cellStyle name="ErrorCurrencyTB,rIGHT 4 6" xfId="139"/>
    <cellStyle name="ErrorCurrencyTB,rIGHT 4 7" xfId="139"/>
    <cellStyle name="ErrorCurrencyTB,rIGHT 4 8" xfId="139"/>
    <cellStyle name="ErrorCurrencyTB,rIGHT 4 9" xfId="139"/>
    <cellStyle name="ErrorCurrencyTB,rIGHT 5" xfId="139"/>
    <cellStyle name="ErrorCurrencyTB,rIGHT 5 2" xfId="139"/>
    <cellStyle name="ErrorCurrencyTB,rIGHT 5 2 2" xfId="139"/>
    <cellStyle name="ErrorCurrencyTB,rIGHT 5 2 3" xfId="139"/>
    <cellStyle name="ErrorCurrencyTB,rIGHT 5 2 4" xfId="139"/>
    <cellStyle name="ErrorCurrencyTB,rIGHT 5 2 5" xfId="139"/>
    <cellStyle name="ErrorCurrencyTB,rIGHT 5 3" xfId="139"/>
    <cellStyle name="ErrorCurrencyTB,rIGHT 5 3 2" xfId="139"/>
    <cellStyle name="ErrorCurrencyTB,rIGHT 5 3 3" xfId="139"/>
    <cellStyle name="ErrorCurrencyTB,rIGHT 5 3 4" xfId="139"/>
    <cellStyle name="ErrorCurrencyTB,rIGHT 5 4" xfId="139"/>
    <cellStyle name="ErrorCurrencyTB,rIGHT 5 5" xfId="139"/>
    <cellStyle name="ErrorCurrencyTB,rIGHT 5 6" xfId="139"/>
    <cellStyle name="ErrorCurrencyTB,rIGHT 5 7" xfId="139"/>
    <cellStyle name="ErrorCurrencyTB,rIGHT 5 8" xfId="139"/>
    <cellStyle name="ErrorCurrencyTB,rIGHT 6" xfId="139"/>
    <cellStyle name="ErrorCurrencyTB,rIGHT 6 2" xfId="139"/>
    <cellStyle name="ErrorCurrencyTB,rIGHT 6 3" xfId="139"/>
    <cellStyle name="ErrorCurrencyTB,rIGHT 6 4" xfId="139"/>
    <cellStyle name="ErrorCurrencyTB,rIGHT 6 5" xfId="139"/>
    <cellStyle name="ErrorCurrencyTB,rIGHT 7" xfId="139"/>
    <cellStyle name="ErrorCurrencyTB,rIGHT 8" xfId="139"/>
    <cellStyle name="ErrorDate TBCenterAlign" xfId="140"/>
    <cellStyle name="ErrorDate TBCenterAlign 2" xfId="140"/>
    <cellStyle name="ErrorDate TBCenterAlign 2 10" xfId="140"/>
    <cellStyle name="ErrorDate TBCenterAlign 2 11" xfId="140"/>
    <cellStyle name="ErrorDate TBCenterAlign 2 12" xfId="140"/>
    <cellStyle name="ErrorDate TBCenterAlign 2 13" xfId="140"/>
    <cellStyle name="ErrorDate TBCenterAlign 2 14" xfId="140"/>
    <cellStyle name="ErrorDate TBCenterAlign 2 2" xfId="140"/>
    <cellStyle name="ErrorDate TBCenterAlign 2 2 10" xfId="140"/>
    <cellStyle name="ErrorDate TBCenterAlign 2 2 11" xfId="140"/>
    <cellStyle name="ErrorDate TBCenterAlign 2 2 12" xfId="140"/>
    <cellStyle name="ErrorDate TBCenterAlign 2 2 13" xfId="140"/>
    <cellStyle name="ErrorDate TBCenterAlign 2 2 14" xfId="140"/>
    <cellStyle name="ErrorDate TBCenterAlign 2 2 2" xfId="140"/>
    <cellStyle name="ErrorDate TBCenterAlign 2 2 2 10" xfId="140"/>
    <cellStyle name="ErrorDate TBCenterAlign 2 2 2 11" xfId="140"/>
    <cellStyle name="ErrorDate TBCenterAlign 2 2 2 12" xfId="140"/>
    <cellStyle name="ErrorDate TBCenterAlign 2 2 2 2" xfId="140"/>
    <cellStyle name="ErrorDate TBCenterAlign 2 2 2 2 2" xfId="140"/>
    <cellStyle name="ErrorDate TBCenterAlign 2 2 2 2 2 2" xfId="140"/>
    <cellStyle name="ErrorDate TBCenterAlign 2 2 2 2 2 3" xfId="140"/>
    <cellStyle name="ErrorDate TBCenterAlign 2 2 2 2 2 4" xfId="140"/>
    <cellStyle name="ErrorDate TBCenterAlign 2 2 2 2 2 5" xfId="140"/>
    <cellStyle name="ErrorDate TBCenterAlign 2 2 2 2 3" xfId="140"/>
    <cellStyle name="ErrorDate TBCenterAlign 2 2 2 2 3 2" xfId="140"/>
    <cellStyle name="ErrorDate TBCenterAlign 2 2 2 2 3 3" xfId="140"/>
    <cellStyle name="ErrorDate TBCenterAlign 2 2 2 2 3 4" xfId="140"/>
    <cellStyle name="ErrorDate TBCenterAlign 2 2 2 2 4" xfId="140"/>
    <cellStyle name="ErrorDate TBCenterAlign 2 2 2 2 5" xfId="140"/>
    <cellStyle name="ErrorDate TBCenterAlign 2 2 2 2 6" xfId="140"/>
    <cellStyle name="ErrorDate TBCenterAlign 2 2 2 2 7" xfId="140"/>
    <cellStyle name="ErrorDate TBCenterAlign 2 2 2 2 8" xfId="140"/>
    <cellStyle name="ErrorDate TBCenterAlign 2 2 2 3" xfId="140"/>
    <cellStyle name="ErrorDate TBCenterAlign 2 2 2 3 2" xfId="140"/>
    <cellStyle name="ErrorDate TBCenterAlign 2 2 2 3 2 2" xfId="140"/>
    <cellStyle name="ErrorDate TBCenterAlign 2 2 2 3 2 3" xfId="140"/>
    <cellStyle name="ErrorDate TBCenterAlign 2 2 2 3 2 4" xfId="140"/>
    <cellStyle name="ErrorDate TBCenterAlign 2 2 2 3 2 5" xfId="140"/>
    <cellStyle name="ErrorDate TBCenterAlign 2 2 2 3 3" xfId="140"/>
    <cellStyle name="ErrorDate TBCenterAlign 2 2 2 3 3 2" xfId="140"/>
    <cellStyle name="ErrorDate TBCenterAlign 2 2 2 3 3 3" xfId="140"/>
    <cellStyle name="ErrorDate TBCenterAlign 2 2 2 3 3 4" xfId="140"/>
    <cellStyle name="ErrorDate TBCenterAlign 2 2 2 3 4" xfId="140"/>
    <cellStyle name="ErrorDate TBCenterAlign 2 2 2 3 5" xfId="140"/>
    <cellStyle name="ErrorDate TBCenterAlign 2 2 2 3 6" xfId="140"/>
    <cellStyle name="ErrorDate TBCenterAlign 2 2 2 3 7" xfId="140"/>
    <cellStyle name="ErrorDate TBCenterAlign 2 2 2 3 8" xfId="140"/>
    <cellStyle name="ErrorDate TBCenterAlign 2 2 2 4" xfId="140"/>
    <cellStyle name="ErrorDate TBCenterAlign 2 2 2 4 2" xfId="140"/>
    <cellStyle name="ErrorDate TBCenterAlign 2 2 2 4 2 2" xfId="140"/>
    <cellStyle name="ErrorDate TBCenterAlign 2 2 2 4 2 3" xfId="140"/>
    <cellStyle name="ErrorDate TBCenterAlign 2 2 2 4 2 4" xfId="140"/>
    <cellStyle name="ErrorDate TBCenterAlign 2 2 2 4 2 5" xfId="140"/>
    <cellStyle name="ErrorDate TBCenterAlign 2 2 2 4 3" xfId="140"/>
    <cellStyle name="ErrorDate TBCenterAlign 2 2 2 4 3 2" xfId="140"/>
    <cellStyle name="ErrorDate TBCenterAlign 2 2 2 4 3 3" xfId="140"/>
    <cellStyle name="ErrorDate TBCenterAlign 2 2 2 4 3 4" xfId="140"/>
    <cellStyle name="ErrorDate TBCenterAlign 2 2 2 4 4" xfId="140"/>
    <cellStyle name="ErrorDate TBCenterAlign 2 2 2 4 5" xfId="140"/>
    <cellStyle name="ErrorDate TBCenterAlign 2 2 2 4 6" xfId="140"/>
    <cellStyle name="ErrorDate TBCenterAlign 2 2 2 4 7" xfId="140"/>
    <cellStyle name="ErrorDate TBCenterAlign 2 2 2 4 8" xfId="140"/>
    <cellStyle name="ErrorDate TBCenterAlign 2 2 2 5" xfId="140"/>
    <cellStyle name="ErrorDate TBCenterAlign 2 2 2 5 2" xfId="140"/>
    <cellStyle name="ErrorDate TBCenterAlign 2 2 2 5 2 2" xfId="140"/>
    <cellStyle name="ErrorDate TBCenterAlign 2 2 2 5 2 3" xfId="140"/>
    <cellStyle name="ErrorDate TBCenterAlign 2 2 2 5 2 4" xfId="140"/>
    <cellStyle name="ErrorDate TBCenterAlign 2 2 2 5 2 5" xfId="140"/>
    <cellStyle name="ErrorDate TBCenterAlign 2 2 2 5 3" xfId="140"/>
    <cellStyle name="ErrorDate TBCenterAlign 2 2 2 5 3 2" xfId="140"/>
    <cellStyle name="ErrorDate TBCenterAlign 2 2 2 5 3 3" xfId="140"/>
    <cellStyle name="ErrorDate TBCenterAlign 2 2 2 5 3 4" xfId="140"/>
    <cellStyle name="ErrorDate TBCenterAlign 2 2 2 5 4" xfId="140"/>
    <cellStyle name="ErrorDate TBCenterAlign 2 2 2 5 5" xfId="140"/>
    <cellStyle name="ErrorDate TBCenterAlign 2 2 2 5 6" xfId="140"/>
    <cellStyle name="ErrorDate TBCenterAlign 2 2 2 5 7" xfId="140"/>
    <cellStyle name="ErrorDate TBCenterAlign 2 2 2 5 8" xfId="140"/>
    <cellStyle name="ErrorDate TBCenterAlign 2 2 2 6" xfId="140"/>
    <cellStyle name="ErrorDate TBCenterAlign 2 2 2 6 2" xfId="140"/>
    <cellStyle name="ErrorDate TBCenterAlign 2 2 2 6 3" xfId="140"/>
    <cellStyle name="ErrorDate TBCenterAlign 2 2 2 6 4" xfId="140"/>
    <cellStyle name="ErrorDate TBCenterAlign 2 2 2 6 5" xfId="140"/>
    <cellStyle name="ErrorDate TBCenterAlign 2 2 2 7" xfId="140"/>
    <cellStyle name="ErrorDate TBCenterAlign 2 2 2 7 2" xfId="140"/>
    <cellStyle name="ErrorDate TBCenterAlign 2 2 2 7 3" xfId="140"/>
    <cellStyle name="ErrorDate TBCenterAlign 2 2 2 7 4" xfId="140"/>
    <cellStyle name="ErrorDate TBCenterAlign 2 2 2 8" xfId="140"/>
    <cellStyle name="ErrorDate TBCenterAlign 2 2 2 9" xfId="140"/>
    <cellStyle name="ErrorDate TBCenterAlign 2 2 3" xfId="140"/>
    <cellStyle name="ErrorDate TBCenterAlign 2 2 3 10" xfId="140"/>
    <cellStyle name="ErrorDate TBCenterAlign 2 2 3 11" xfId="140"/>
    <cellStyle name="ErrorDate TBCenterAlign 2 2 3 12" xfId="140"/>
    <cellStyle name="ErrorDate TBCenterAlign 2 2 3 2" xfId="140"/>
    <cellStyle name="ErrorDate TBCenterAlign 2 2 3 2 2" xfId="140"/>
    <cellStyle name="ErrorDate TBCenterAlign 2 2 3 2 2 2" xfId="140"/>
    <cellStyle name="ErrorDate TBCenterAlign 2 2 3 2 2 3" xfId="140"/>
    <cellStyle name="ErrorDate TBCenterAlign 2 2 3 2 2 4" xfId="140"/>
    <cellStyle name="ErrorDate TBCenterAlign 2 2 3 2 2 5" xfId="140"/>
    <cellStyle name="ErrorDate TBCenterAlign 2 2 3 2 3" xfId="140"/>
    <cellStyle name="ErrorDate TBCenterAlign 2 2 3 2 3 2" xfId="140"/>
    <cellStyle name="ErrorDate TBCenterAlign 2 2 3 2 3 3" xfId="140"/>
    <cellStyle name="ErrorDate TBCenterAlign 2 2 3 2 3 4" xfId="140"/>
    <cellStyle name="ErrorDate TBCenterAlign 2 2 3 2 4" xfId="140"/>
    <cellStyle name="ErrorDate TBCenterAlign 2 2 3 2 5" xfId="140"/>
    <cellStyle name="ErrorDate TBCenterAlign 2 2 3 2 6" xfId="140"/>
    <cellStyle name="ErrorDate TBCenterAlign 2 2 3 2 7" xfId="140"/>
    <cellStyle name="ErrorDate TBCenterAlign 2 2 3 2 8" xfId="140"/>
    <cellStyle name="ErrorDate TBCenterAlign 2 2 3 3" xfId="140"/>
    <cellStyle name="ErrorDate TBCenterAlign 2 2 3 3 2" xfId="140"/>
    <cellStyle name="ErrorDate TBCenterAlign 2 2 3 3 2 2" xfId="140"/>
    <cellStyle name="ErrorDate TBCenterAlign 2 2 3 3 2 3" xfId="140"/>
    <cellStyle name="ErrorDate TBCenterAlign 2 2 3 3 2 4" xfId="140"/>
    <cellStyle name="ErrorDate TBCenterAlign 2 2 3 3 2 5" xfId="140"/>
    <cellStyle name="ErrorDate TBCenterAlign 2 2 3 3 3" xfId="140"/>
    <cellStyle name="ErrorDate TBCenterAlign 2 2 3 3 3 2" xfId="140"/>
    <cellStyle name="ErrorDate TBCenterAlign 2 2 3 3 3 3" xfId="140"/>
    <cellStyle name="ErrorDate TBCenterAlign 2 2 3 3 3 4" xfId="140"/>
    <cellStyle name="ErrorDate TBCenterAlign 2 2 3 3 4" xfId="140"/>
    <cellStyle name="ErrorDate TBCenterAlign 2 2 3 3 5" xfId="140"/>
    <cellStyle name="ErrorDate TBCenterAlign 2 2 3 3 6" xfId="140"/>
    <cellStyle name="ErrorDate TBCenterAlign 2 2 3 3 7" xfId="140"/>
    <cellStyle name="ErrorDate TBCenterAlign 2 2 3 3 8" xfId="140"/>
    <cellStyle name="ErrorDate TBCenterAlign 2 2 3 4" xfId="140"/>
    <cellStyle name="ErrorDate TBCenterAlign 2 2 3 4 2" xfId="140"/>
    <cellStyle name="ErrorDate TBCenterAlign 2 2 3 4 2 2" xfId="140"/>
    <cellStyle name="ErrorDate TBCenterAlign 2 2 3 4 2 3" xfId="140"/>
    <cellStyle name="ErrorDate TBCenterAlign 2 2 3 4 2 4" xfId="140"/>
    <cellStyle name="ErrorDate TBCenterAlign 2 2 3 4 2 5" xfId="140"/>
    <cellStyle name="ErrorDate TBCenterAlign 2 2 3 4 3" xfId="140"/>
    <cellStyle name="ErrorDate TBCenterAlign 2 2 3 4 3 2" xfId="140"/>
    <cellStyle name="ErrorDate TBCenterAlign 2 2 3 4 3 3" xfId="140"/>
    <cellStyle name="ErrorDate TBCenterAlign 2 2 3 4 3 4" xfId="140"/>
    <cellStyle name="ErrorDate TBCenterAlign 2 2 3 4 4" xfId="140"/>
    <cellStyle name="ErrorDate TBCenterAlign 2 2 3 4 5" xfId="140"/>
    <cellStyle name="ErrorDate TBCenterAlign 2 2 3 4 6" xfId="140"/>
    <cellStyle name="ErrorDate TBCenterAlign 2 2 3 4 7" xfId="140"/>
    <cellStyle name="ErrorDate TBCenterAlign 2 2 3 4 8" xfId="140"/>
    <cellStyle name="ErrorDate TBCenterAlign 2 2 3 5" xfId="140"/>
    <cellStyle name="ErrorDate TBCenterAlign 2 2 3 5 2" xfId="140"/>
    <cellStyle name="ErrorDate TBCenterAlign 2 2 3 5 2 2" xfId="140"/>
    <cellStyle name="ErrorDate TBCenterAlign 2 2 3 5 2 3" xfId="140"/>
    <cellStyle name="ErrorDate TBCenterAlign 2 2 3 5 2 4" xfId="140"/>
    <cellStyle name="ErrorDate TBCenterAlign 2 2 3 5 2 5" xfId="140"/>
    <cellStyle name="ErrorDate TBCenterAlign 2 2 3 5 3" xfId="140"/>
    <cellStyle name="ErrorDate TBCenterAlign 2 2 3 5 3 2" xfId="140"/>
    <cellStyle name="ErrorDate TBCenterAlign 2 2 3 5 3 3" xfId="140"/>
    <cellStyle name="ErrorDate TBCenterAlign 2 2 3 5 3 4" xfId="140"/>
    <cellStyle name="ErrorDate TBCenterAlign 2 2 3 5 4" xfId="140"/>
    <cellStyle name="ErrorDate TBCenterAlign 2 2 3 5 5" xfId="140"/>
    <cellStyle name="ErrorDate TBCenterAlign 2 2 3 5 6" xfId="140"/>
    <cellStyle name="ErrorDate TBCenterAlign 2 2 3 5 7" xfId="140"/>
    <cellStyle name="ErrorDate TBCenterAlign 2 2 3 5 8" xfId="140"/>
    <cellStyle name="ErrorDate TBCenterAlign 2 2 3 6" xfId="140"/>
    <cellStyle name="ErrorDate TBCenterAlign 2 2 3 6 2" xfId="140"/>
    <cellStyle name="ErrorDate TBCenterAlign 2 2 3 6 3" xfId="140"/>
    <cellStyle name="ErrorDate TBCenterAlign 2 2 3 6 4" xfId="140"/>
    <cellStyle name="ErrorDate TBCenterAlign 2 2 3 6 5" xfId="140"/>
    <cellStyle name="ErrorDate TBCenterAlign 2 2 3 7" xfId="140"/>
    <cellStyle name="ErrorDate TBCenterAlign 2 2 3 7 2" xfId="140"/>
    <cellStyle name="ErrorDate TBCenterAlign 2 2 3 7 3" xfId="140"/>
    <cellStyle name="ErrorDate TBCenterAlign 2 2 3 7 4" xfId="140"/>
    <cellStyle name="ErrorDate TBCenterAlign 2 2 3 8" xfId="140"/>
    <cellStyle name="ErrorDate TBCenterAlign 2 2 3 9" xfId="140"/>
    <cellStyle name="ErrorDate TBCenterAlign 2 2 4" xfId="140"/>
    <cellStyle name="ErrorDate TBCenterAlign 2 2 4 2" xfId="140"/>
    <cellStyle name="ErrorDate TBCenterAlign 2 2 4 2 2" xfId="140"/>
    <cellStyle name="ErrorDate TBCenterAlign 2 2 4 2 3" xfId="140"/>
    <cellStyle name="ErrorDate TBCenterAlign 2 2 4 2 4" xfId="140"/>
    <cellStyle name="ErrorDate TBCenterAlign 2 2 4 2 5" xfId="140"/>
    <cellStyle name="ErrorDate TBCenterAlign 2 2 4 3" xfId="140"/>
    <cellStyle name="ErrorDate TBCenterAlign 2 2 4 3 2" xfId="140"/>
    <cellStyle name="ErrorDate TBCenterAlign 2 2 4 3 3" xfId="140"/>
    <cellStyle name="ErrorDate TBCenterAlign 2 2 4 3 4" xfId="140"/>
    <cellStyle name="ErrorDate TBCenterAlign 2 2 4 4" xfId="140"/>
    <cellStyle name="ErrorDate TBCenterAlign 2 2 4 5" xfId="140"/>
    <cellStyle name="ErrorDate TBCenterAlign 2 2 4 6" xfId="140"/>
    <cellStyle name="ErrorDate TBCenterAlign 2 2 4 7" xfId="140"/>
    <cellStyle name="ErrorDate TBCenterAlign 2 2 4 8" xfId="140"/>
    <cellStyle name="ErrorDate TBCenterAlign 2 2 5" xfId="140"/>
    <cellStyle name="ErrorDate TBCenterAlign 2 2 5 2" xfId="140"/>
    <cellStyle name="ErrorDate TBCenterAlign 2 2 5 2 2" xfId="140"/>
    <cellStyle name="ErrorDate TBCenterAlign 2 2 5 2 3" xfId="140"/>
    <cellStyle name="ErrorDate TBCenterAlign 2 2 5 2 4" xfId="140"/>
    <cellStyle name="ErrorDate TBCenterAlign 2 2 5 2 5" xfId="140"/>
    <cellStyle name="ErrorDate TBCenterAlign 2 2 5 3" xfId="140"/>
    <cellStyle name="ErrorDate TBCenterAlign 2 2 5 3 2" xfId="140"/>
    <cellStyle name="ErrorDate TBCenterAlign 2 2 5 3 3" xfId="140"/>
    <cellStyle name="ErrorDate TBCenterAlign 2 2 5 3 4" xfId="140"/>
    <cellStyle name="ErrorDate TBCenterAlign 2 2 5 4" xfId="140"/>
    <cellStyle name="ErrorDate TBCenterAlign 2 2 5 5" xfId="140"/>
    <cellStyle name="ErrorDate TBCenterAlign 2 2 5 6" xfId="140"/>
    <cellStyle name="ErrorDate TBCenterAlign 2 2 5 7" xfId="140"/>
    <cellStyle name="ErrorDate TBCenterAlign 2 2 5 8" xfId="140"/>
    <cellStyle name="ErrorDate TBCenterAlign 2 2 6" xfId="140"/>
    <cellStyle name="ErrorDate TBCenterAlign 2 2 6 2" xfId="140"/>
    <cellStyle name="ErrorDate TBCenterAlign 2 2 6 2 2" xfId="140"/>
    <cellStyle name="ErrorDate TBCenterAlign 2 2 6 2 3" xfId="140"/>
    <cellStyle name="ErrorDate TBCenterAlign 2 2 6 2 4" xfId="140"/>
    <cellStyle name="ErrorDate TBCenterAlign 2 2 6 2 5" xfId="140"/>
    <cellStyle name="ErrorDate TBCenterAlign 2 2 6 3" xfId="140"/>
    <cellStyle name="ErrorDate TBCenterAlign 2 2 6 3 2" xfId="140"/>
    <cellStyle name="ErrorDate TBCenterAlign 2 2 6 3 3" xfId="140"/>
    <cellStyle name="ErrorDate TBCenterAlign 2 2 6 3 4" xfId="140"/>
    <cellStyle name="ErrorDate TBCenterAlign 2 2 6 4" xfId="140"/>
    <cellStyle name="ErrorDate TBCenterAlign 2 2 6 5" xfId="140"/>
    <cellStyle name="ErrorDate TBCenterAlign 2 2 6 6" xfId="140"/>
    <cellStyle name="ErrorDate TBCenterAlign 2 2 6 7" xfId="140"/>
    <cellStyle name="ErrorDate TBCenterAlign 2 2 6 8" xfId="140"/>
    <cellStyle name="ErrorDate TBCenterAlign 2 2 7" xfId="140"/>
    <cellStyle name="ErrorDate TBCenterAlign 2 2 7 2" xfId="140"/>
    <cellStyle name="ErrorDate TBCenterAlign 2 2 7 2 2" xfId="140"/>
    <cellStyle name="ErrorDate TBCenterAlign 2 2 7 2 3" xfId="140"/>
    <cellStyle name="ErrorDate TBCenterAlign 2 2 7 2 4" xfId="140"/>
    <cellStyle name="ErrorDate TBCenterAlign 2 2 7 2 5" xfId="140"/>
    <cellStyle name="ErrorDate TBCenterAlign 2 2 7 3" xfId="140"/>
    <cellStyle name="ErrorDate TBCenterAlign 2 2 7 3 2" xfId="140"/>
    <cellStyle name="ErrorDate TBCenterAlign 2 2 7 3 3" xfId="140"/>
    <cellStyle name="ErrorDate TBCenterAlign 2 2 7 3 4" xfId="140"/>
    <cellStyle name="ErrorDate TBCenterAlign 2 2 7 4" xfId="140"/>
    <cellStyle name="ErrorDate TBCenterAlign 2 2 7 5" xfId="140"/>
    <cellStyle name="ErrorDate TBCenterAlign 2 2 7 6" xfId="140"/>
    <cellStyle name="ErrorDate TBCenterAlign 2 2 7 7" xfId="140"/>
    <cellStyle name="ErrorDate TBCenterAlign 2 2 7 8" xfId="140"/>
    <cellStyle name="ErrorDate TBCenterAlign 2 2 8" xfId="140"/>
    <cellStyle name="ErrorDate TBCenterAlign 2 2 8 2" xfId="140"/>
    <cellStyle name="ErrorDate TBCenterAlign 2 2 8 3" xfId="140"/>
    <cellStyle name="ErrorDate TBCenterAlign 2 2 8 4" xfId="140"/>
    <cellStyle name="ErrorDate TBCenterAlign 2 2 8 5" xfId="140"/>
    <cellStyle name="ErrorDate TBCenterAlign 2 2 9" xfId="140"/>
    <cellStyle name="ErrorDate TBCenterAlign 2 2 9 2" xfId="140"/>
    <cellStyle name="ErrorDate TBCenterAlign 2 2 9 3" xfId="140"/>
    <cellStyle name="ErrorDate TBCenterAlign 2 2 9 4" xfId="140"/>
    <cellStyle name="ErrorDate TBCenterAlign 2 3" xfId="140"/>
    <cellStyle name="ErrorDate TBCenterAlign 2 3 10" xfId="140"/>
    <cellStyle name="ErrorDate TBCenterAlign 2 3 11" xfId="140"/>
    <cellStyle name="ErrorDate TBCenterAlign 2 3 12" xfId="140"/>
    <cellStyle name="ErrorDate TBCenterAlign 2 3 2" xfId="140"/>
    <cellStyle name="ErrorDate TBCenterAlign 2 3 2 2" xfId="140"/>
    <cellStyle name="ErrorDate TBCenterAlign 2 3 2 2 2" xfId="140"/>
    <cellStyle name="ErrorDate TBCenterAlign 2 3 2 2 3" xfId="140"/>
    <cellStyle name="ErrorDate TBCenterAlign 2 3 2 2 4" xfId="140"/>
    <cellStyle name="ErrorDate TBCenterAlign 2 3 2 2 5" xfId="140"/>
    <cellStyle name="ErrorDate TBCenterAlign 2 3 2 3" xfId="140"/>
    <cellStyle name="ErrorDate TBCenterAlign 2 3 2 3 2" xfId="140"/>
    <cellStyle name="ErrorDate TBCenterAlign 2 3 2 3 3" xfId="140"/>
    <cellStyle name="ErrorDate TBCenterAlign 2 3 2 3 4" xfId="140"/>
    <cellStyle name="ErrorDate TBCenterAlign 2 3 2 4" xfId="140"/>
    <cellStyle name="ErrorDate TBCenterAlign 2 3 2 5" xfId="140"/>
    <cellStyle name="ErrorDate TBCenterAlign 2 3 2 6" xfId="140"/>
    <cellStyle name="ErrorDate TBCenterAlign 2 3 2 7" xfId="140"/>
    <cellStyle name="ErrorDate TBCenterAlign 2 3 2 8" xfId="140"/>
    <cellStyle name="ErrorDate TBCenterAlign 2 3 3" xfId="140"/>
    <cellStyle name="ErrorDate TBCenterAlign 2 3 3 2" xfId="140"/>
    <cellStyle name="ErrorDate TBCenterAlign 2 3 3 2 2" xfId="140"/>
    <cellStyle name="ErrorDate TBCenterAlign 2 3 3 2 3" xfId="140"/>
    <cellStyle name="ErrorDate TBCenterAlign 2 3 3 2 4" xfId="140"/>
    <cellStyle name="ErrorDate TBCenterAlign 2 3 3 2 5" xfId="140"/>
    <cellStyle name="ErrorDate TBCenterAlign 2 3 3 3" xfId="140"/>
    <cellStyle name="ErrorDate TBCenterAlign 2 3 3 3 2" xfId="140"/>
    <cellStyle name="ErrorDate TBCenterAlign 2 3 3 3 3" xfId="140"/>
    <cellStyle name="ErrorDate TBCenterAlign 2 3 3 3 4" xfId="140"/>
    <cellStyle name="ErrorDate TBCenterAlign 2 3 3 4" xfId="140"/>
    <cellStyle name="ErrorDate TBCenterAlign 2 3 3 5" xfId="140"/>
    <cellStyle name="ErrorDate TBCenterAlign 2 3 3 6" xfId="140"/>
    <cellStyle name="ErrorDate TBCenterAlign 2 3 3 7" xfId="140"/>
    <cellStyle name="ErrorDate TBCenterAlign 2 3 3 8" xfId="140"/>
    <cellStyle name="ErrorDate TBCenterAlign 2 3 4" xfId="140"/>
    <cellStyle name="ErrorDate TBCenterAlign 2 3 4 2" xfId="140"/>
    <cellStyle name="ErrorDate TBCenterAlign 2 3 4 2 2" xfId="140"/>
    <cellStyle name="ErrorDate TBCenterAlign 2 3 4 2 3" xfId="140"/>
    <cellStyle name="ErrorDate TBCenterAlign 2 3 4 2 4" xfId="140"/>
    <cellStyle name="ErrorDate TBCenterAlign 2 3 4 2 5" xfId="140"/>
    <cellStyle name="ErrorDate TBCenterAlign 2 3 4 3" xfId="140"/>
    <cellStyle name="ErrorDate TBCenterAlign 2 3 4 3 2" xfId="140"/>
    <cellStyle name="ErrorDate TBCenterAlign 2 3 4 3 3" xfId="140"/>
    <cellStyle name="ErrorDate TBCenterAlign 2 3 4 3 4" xfId="140"/>
    <cellStyle name="ErrorDate TBCenterAlign 2 3 4 4" xfId="140"/>
    <cellStyle name="ErrorDate TBCenterAlign 2 3 4 5" xfId="140"/>
    <cellStyle name="ErrorDate TBCenterAlign 2 3 4 6" xfId="140"/>
    <cellStyle name="ErrorDate TBCenterAlign 2 3 4 7" xfId="140"/>
    <cellStyle name="ErrorDate TBCenterAlign 2 3 4 8" xfId="140"/>
    <cellStyle name="ErrorDate TBCenterAlign 2 3 5" xfId="140"/>
    <cellStyle name="ErrorDate TBCenterAlign 2 3 5 2" xfId="140"/>
    <cellStyle name="ErrorDate TBCenterAlign 2 3 5 2 2" xfId="140"/>
    <cellStyle name="ErrorDate TBCenterAlign 2 3 5 2 3" xfId="140"/>
    <cellStyle name="ErrorDate TBCenterAlign 2 3 5 2 4" xfId="140"/>
    <cellStyle name="ErrorDate TBCenterAlign 2 3 5 2 5" xfId="140"/>
    <cellStyle name="ErrorDate TBCenterAlign 2 3 5 3" xfId="140"/>
    <cellStyle name="ErrorDate TBCenterAlign 2 3 5 3 2" xfId="140"/>
    <cellStyle name="ErrorDate TBCenterAlign 2 3 5 3 3" xfId="140"/>
    <cellStyle name="ErrorDate TBCenterAlign 2 3 5 3 4" xfId="140"/>
    <cellStyle name="ErrorDate TBCenterAlign 2 3 5 4" xfId="140"/>
    <cellStyle name="ErrorDate TBCenterAlign 2 3 5 5" xfId="140"/>
    <cellStyle name="ErrorDate TBCenterAlign 2 3 5 6" xfId="140"/>
    <cellStyle name="ErrorDate TBCenterAlign 2 3 5 7" xfId="140"/>
    <cellStyle name="ErrorDate TBCenterAlign 2 3 5 8" xfId="140"/>
    <cellStyle name="ErrorDate TBCenterAlign 2 3 6" xfId="140"/>
    <cellStyle name="ErrorDate TBCenterAlign 2 3 6 2" xfId="140"/>
    <cellStyle name="ErrorDate TBCenterAlign 2 3 6 3" xfId="140"/>
    <cellStyle name="ErrorDate TBCenterAlign 2 3 6 4" xfId="140"/>
    <cellStyle name="ErrorDate TBCenterAlign 2 3 6 5" xfId="140"/>
    <cellStyle name="ErrorDate TBCenterAlign 2 3 7" xfId="140"/>
    <cellStyle name="ErrorDate TBCenterAlign 2 3 7 2" xfId="140"/>
    <cellStyle name="ErrorDate TBCenterAlign 2 3 7 3" xfId="140"/>
    <cellStyle name="ErrorDate TBCenterAlign 2 3 7 4" xfId="140"/>
    <cellStyle name="ErrorDate TBCenterAlign 2 3 8" xfId="140"/>
    <cellStyle name="ErrorDate TBCenterAlign 2 3 9" xfId="140"/>
    <cellStyle name="ErrorDate TBCenterAlign 2 4" xfId="140"/>
    <cellStyle name="ErrorDate TBCenterAlign 2 4 2" xfId="140"/>
    <cellStyle name="ErrorDate TBCenterAlign 2 4 2 2" xfId="140"/>
    <cellStyle name="ErrorDate TBCenterAlign 2 4 2 3" xfId="140"/>
    <cellStyle name="ErrorDate TBCenterAlign 2 4 2 4" xfId="140"/>
    <cellStyle name="ErrorDate TBCenterAlign 2 4 2 5" xfId="140"/>
    <cellStyle name="ErrorDate TBCenterAlign 2 4 3" xfId="140"/>
    <cellStyle name="ErrorDate TBCenterAlign 2 4 3 2" xfId="140"/>
    <cellStyle name="ErrorDate TBCenterAlign 2 4 3 3" xfId="140"/>
    <cellStyle name="ErrorDate TBCenterAlign 2 4 3 4" xfId="140"/>
    <cellStyle name="ErrorDate TBCenterAlign 2 4 4" xfId="140"/>
    <cellStyle name="ErrorDate TBCenterAlign 2 4 5" xfId="140"/>
    <cellStyle name="ErrorDate TBCenterAlign 2 4 6" xfId="140"/>
    <cellStyle name="ErrorDate TBCenterAlign 2 4 7" xfId="140"/>
    <cellStyle name="ErrorDate TBCenterAlign 2 4 8" xfId="140"/>
    <cellStyle name="ErrorDate TBCenterAlign 2 5" xfId="140"/>
    <cellStyle name="ErrorDate TBCenterAlign 2 5 2" xfId="140"/>
    <cellStyle name="ErrorDate TBCenterAlign 2 5 2 2" xfId="140"/>
    <cellStyle name="ErrorDate TBCenterAlign 2 5 2 3" xfId="140"/>
    <cellStyle name="ErrorDate TBCenterAlign 2 5 2 4" xfId="140"/>
    <cellStyle name="ErrorDate TBCenterAlign 2 5 2 5" xfId="140"/>
    <cellStyle name="ErrorDate TBCenterAlign 2 5 3" xfId="140"/>
    <cellStyle name="ErrorDate TBCenterAlign 2 5 3 2" xfId="140"/>
    <cellStyle name="ErrorDate TBCenterAlign 2 5 3 3" xfId="140"/>
    <cellStyle name="ErrorDate TBCenterAlign 2 5 3 4" xfId="140"/>
    <cellStyle name="ErrorDate TBCenterAlign 2 5 4" xfId="140"/>
    <cellStyle name="ErrorDate TBCenterAlign 2 5 5" xfId="140"/>
    <cellStyle name="ErrorDate TBCenterAlign 2 5 6" xfId="140"/>
    <cellStyle name="ErrorDate TBCenterAlign 2 5 7" xfId="140"/>
    <cellStyle name="ErrorDate TBCenterAlign 2 5 8" xfId="140"/>
    <cellStyle name="ErrorDate TBCenterAlign 2 6" xfId="140"/>
    <cellStyle name="ErrorDate TBCenterAlign 2 6 2" xfId="140"/>
    <cellStyle name="ErrorDate TBCenterAlign 2 6 2 2" xfId="140"/>
    <cellStyle name="ErrorDate TBCenterAlign 2 6 2 3" xfId="140"/>
    <cellStyle name="ErrorDate TBCenterAlign 2 6 2 4" xfId="140"/>
    <cellStyle name="ErrorDate TBCenterAlign 2 6 2 5" xfId="140"/>
    <cellStyle name="ErrorDate TBCenterAlign 2 6 3" xfId="140"/>
    <cellStyle name="ErrorDate TBCenterAlign 2 6 3 2" xfId="140"/>
    <cellStyle name="ErrorDate TBCenterAlign 2 6 3 3" xfId="140"/>
    <cellStyle name="ErrorDate TBCenterAlign 2 6 3 4" xfId="140"/>
    <cellStyle name="ErrorDate TBCenterAlign 2 6 4" xfId="140"/>
    <cellStyle name="ErrorDate TBCenterAlign 2 6 5" xfId="140"/>
    <cellStyle name="ErrorDate TBCenterAlign 2 6 6" xfId="140"/>
    <cellStyle name="ErrorDate TBCenterAlign 2 6 7" xfId="140"/>
    <cellStyle name="ErrorDate TBCenterAlign 2 6 8" xfId="140"/>
    <cellStyle name="ErrorDate TBCenterAlign 2 7" xfId="140"/>
    <cellStyle name="ErrorDate TBCenterAlign 2 7 2" xfId="140"/>
    <cellStyle name="ErrorDate TBCenterAlign 2 7 2 2" xfId="140"/>
    <cellStyle name="ErrorDate TBCenterAlign 2 7 2 3" xfId="140"/>
    <cellStyle name="ErrorDate TBCenterAlign 2 7 2 4" xfId="140"/>
    <cellStyle name="ErrorDate TBCenterAlign 2 7 2 5" xfId="140"/>
    <cellStyle name="ErrorDate TBCenterAlign 2 7 3" xfId="140"/>
    <cellStyle name="ErrorDate TBCenterAlign 2 7 3 2" xfId="140"/>
    <cellStyle name="ErrorDate TBCenterAlign 2 7 3 3" xfId="140"/>
    <cellStyle name="ErrorDate TBCenterAlign 2 7 3 4" xfId="140"/>
    <cellStyle name="ErrorDate TBCenterAlign 2 7 4" xfId="140"/>
    <cellStyle name="ErrorDate TBCenterAlign 2 7 5" xfId="140"/>
    <cellStyle name="ErrorDate TBCenterAlign 2 7 6" xfId="140"/>
    <cellStyle name="ErrorDate TBCenterAlign 2 7 7" xfId="140"/>
    <cellStyle name="ErrorDate TBCenterAlign 2 7 8" xfId="140"/>
    <cellStyle name="ErrorDate TBCenterAlign 2 8" xfId="140"/>
    <cellStyle name="ErrorDate TBCenterAlign 2 8 2" xfId="140"/>
    <cellStyle name="ErrorDate TBCenterAlign 2 8 3" xfId="140"/>
    <cellStyle name="ErrorDate TBCenterAlign 2 8 4" xfId="140"/>
    <cellStyle name="ErrorDate TBCenterAlign 2 8 5" xfId="140"/>
    <cellStyle name="ErrorDate TBCenterAlign 2 9" xfId="140"/>
    <cellStyle name="ErrorDate TBCenterAlign 2 9 2" xfId="140"/>
    <cellStyle name="ErrorDate TBCenterAlign 2 9 3" xfId="140"/>
    <cellStyle name="ErrorDate TBCenterAlign 2 9 4" xfId="140"/>
    <cellStyle name="ErrorDate TBCenterAlign 3" xfId="140"/>
    <cellStyle name="ErrorDate TBCenterAlign 3 10" xfId="140"/>
    <cellStyle name="ErrorDate TBCenterAlign 3 11" xfId="140"/>
    <cellStyle name="ErrorDate TBCenterAlign 3 12" xfId="140"/>
    <cellStyle name="ErrorDate TBCenterAlign 3 13" xfId="140"/>
    <cellStyle name="ErrorDate TBCenterAlign 3 14" xfId="140"/>
    <cellStyle name="ErrorDate TBCenterAlign 3 2" xfId="140"/>
    <cellStyle name="ErrorDate TBCenterAlign 3 2 10" xfId="140"/>
    <cellStyle name="ErrorDate TBCenterAlign 3 2 11" xfId="140"/>
    <cellStyle name="ErrorDate TBCenterAlign 3 2 12" xfId="140"/>
    <cellStyle name="ErrorDate TBCenterAlign 3 2 2" xfId="140"/>
    <cellStyle name="ErrorDate TBCenterAlign 3 2 2 2" xfId="140"/>
    <cellStyle name="ErrorDate TBCenterAlign 3 2 2 2 2" xfId="140"/>
    <cellStyle name="ErrorDate TBCenterAlign 3 2 2 2 3" xfId="140"/>
    <cellStyle name="ErrorDate TBCenterAlign 3 2 2 2 4" xfId="140"/>
    <cellStyle name="ErrorDate TBCenterAlign 3 2 2 2 5" xfId="140"/>
    <cellStyle name="ErrorDate TBCenterAlign 3 2 2 3" xfId="140"/>
    <cellStyle name="ErrorDate TBCenterAlign 3 2 2 3 2" xfId="140"/>
    <cellStyle name="ErrorDate TBCenterAlign 3 2 2 3 3" xfId="140"/>
    <cellStyle name="ErrorDate TBCenterAlign 3 2 2 3 4" xfId="140"/>
    <cellStyle name="ErrorDate TBCenterAlign 3 2 2 4" xfId="140"/>
    <cellStyle name="ErrorDate TBCenterAlign 3 2 2 5" xfId="140"/>
    <cellStyle name="ErrorDate TBCenterAlign 3 2 2 6" xfId="140"/>
    <cellStyle name="ErrorDate TBCenterAlign 3 2 2 7" xfId="140"/>
    <cellStyle name="ErrorDate TBCenterAlign 3 2 2 8" xfId="140"/>
    <cellStyle name="ErrorDate TBCenterAlign 3 2 3" xfId="140"/>
    <cellStyle name="ErrorDate TBCenterAlign 3 2 3 2" xfId="140"/>
    <cellStyle name="ErrorDate TBCenterAlign 3 2 3 2 2" xfId="140"/>
    <cellStyle name="ErrorDate TBCenterAlign 3 2 3 2 3" xfId="140"/>
    <cellStyle name="ErrorDate TBCenterAlign 3 2 3 2 4" xfId="140"/>
    <cellStyle name="ErrorDate TBCenterAlign 3 2 3 2 5" xfId="140"/>
    <cellStyle name="ErrorDate TBCenterAlign 3 2 3 3" xfId="140"/>
    <cellStyle name="ErrorDate TBCenterAlign 3 2 3 3 2" xfId="140"/>
    <cellStyle name="ErrorDate TBCenterAlign 3 2 3 3 3" xfId="140"/>
    <cellStyle name="ErrorDate TBCenterAlign 3 2 3 3 4" xfId="140"/>
    <cellStyle name="ErrorDate TBCenterAlign 3 2 3 4" xfId="140"/>
    <cellStyle name="ErrorDate TBCenterAlign 3 2 3 5" xfId="140"/>
    <cellStyle name="ErrorDate TBCenterAlign 3 2 3 6" xfId="140"/>
    <cellStyle name="ErrorDate TBCenterAlign 3 2 3 7" xfId="140"/>
    <cellStyle name="ErrorDate TBCenterAlign 3 2 3 8" xfId="140"/>
    <cellStyle name="ErrorDate TBCenterAlign 3 2 4" xfId="140"/>
    <cellStyle name="ErrorDate TBCenterAlign 3 2 4 2" xfId="140"/>
    <cellStyle name="ErrorDate TBCenterAlign 3 2 4 2 2" xfId="140"/>
    <cellStyle name="ErrorDate TBCenterAlign 3 2 4 2 3" xfId="140"/>
    <cellStyle name="ErrorDate TBCenterAlign 3 2 4 2 4" xfId="140"/>
    <cellStyle name="ErrorDate TBCenterAlign 3 2 4 2 5" xfId="140"/>
    <cellStyle name="ErrorDate TBCenterAlign 3 2 4 3" xfId="140"/>
    <cellStyle name="ErrorDate TBCenterAlign 3 2 4 3 2" xfId="140"/>
    <cellStyle name="ErrorDate TBCenterAlign 3 2 4 3 3" xfId="140"/>
    <cellStyle name="ErrorDate TBCenterAlign 3 2 4 3 4" xfId="140"/>
    <cellStyle name="ErrorDate TBCenterAlign 3 2 4 4" xfId="140"/>
    <cellStyle name="ErrorDate TBCenterAlign 3 2 4 5" xfId="140"/>
    <cellStyle name="ErrorDate TBCenterAlign 3 2 4 6" xfId="140"/>
    <cellStyle name="ErrorDate TBCenterAlign 3 2 4 7" xfId="140"/>
    <cellStyle name="ErrorDate TBCenterAlign 3 2 4 8" xfId="140"/>
    <cellStyle name="ErrorDate TBCenterAlign 3 2 5" xfId="140"/>
    <cellStyle name="ErrorDate TBCenterAlign 3 2 5 2" xfId="140"/>
    <cellStyle name="ErrorDate TBCenterAlign 3 2 5 2 2" xfId="140"/>
    <cellStyle name="ErrorDate TBCenterAlign 3 2 5 2 3" xfId="140"/>
    <cellStyle name="ErrorDate TBCenterAlign 3 2 5 2 4" xfId="140"/>
    <cellStyle name="ErrorDate TBCenterAlign 3 2 5 2 5" xfId="140"/>
    <cellStyle name="ErrorDate TBCenterAlign 3 2 5 3" xfId="140"/>
    <cellStyle name="ErrorDate TBCenterAlign 3 2 5 3 2" xfId="140"/>
    <cellStyle name="ErrorDate TBCenterAlign 3 2 5 3 3" xfId="140"/>
    <cellStyle name="ErrorDate TBCenterAlign 3 2 5 3 4" xfId="140"/>
    <cellStyle name="ErrorDate TBCenterAlign 3 2 5 4" xfId="140"/>
    <cellStyle name="ErrorDate TBCenterAlign 3 2 5 5" xfId="140"/>
    <cellStyle name="ErrorDate TBCenterAlign 3 2 5 6" xfId="140"/>
    <cellStyle name="ErrorDate TBCenterAlign 3 2 5 7" xfId="140"/>
    <cellStyle name="ErrorDate TBCenterAlign 3 2 5 8" xfId="140"/>
    <cellStyle name="ErrorDate TBCenterAlign 3 2 6" xfId="140"/>
    <cellStyle name="ErrorDate TBCenterAlign 3 2 6 2" xfId="140"/>
    <cellStyle name="ErrorDate TBCenterAlign 3 2 6 3" xfId="140"/>
    <cellStyle name="ErrorDate TBCenterAlign 3 2 6 4" xfId="140"/>
    <cellStyle name="ErrorDate TBCenterAlign 3 2 6 5" xfId="140"/>
    <cellStyle name="ErrorDate TBCenterAlign 3 2 7" xfId="140"/>
    <cellStyle name="ErrorDate TBCenterAlign 3 2 7 2" xfId="140"/>
    <cellStyle name="ErrorDate TBCenterAlign 3 2 7 3" xfId="140"/>
    <cellStyle name="ErrorDate TBCenterAlign 3 2 7 4" xfId="140"/>
    <cellStyle name="ErrorDate TBCenterAlign 3 2 8" xfId="140"/>
    <cellStyle name="ErrorDate TBCenterAlign 3 2 9" xfId="140"/>
    <cellStyle name="ErrorDate TBCenterAlign 3 3" xfId="140"/>
    <cellStyle name="ErrorDate TBCenterAlign 3 3 10" xfId="140"/>
    <cellStyle name="ErrorDate TBCenterAlign 3 3 11" xfId="140"/>
    <cellStyle name="ErrorDate TBCenterAlign 3 3 12" xfId="140"/>
    <cellStyle name="ErrorDate TBCenterAlign 3 3 2" xfId="140"/>
    <cellStyle name="ErrorDate TBCenterAlign 3 3 2 2" xfId="140"/>
    <cellStyle name="ErrorDate TBCenterAlign 3 3 2 2 2" xfId="140"/>
    <cellStyle name="ErrorDate TBCenterAlign 3 3 2 2 3" xfId="140"/>
    <cellStyle name="ErrorDate TBCenterAlign 3 3 2 2 4" xfId="140"/>
    <cellStyle name="ErrorDate TBCenterAlign 3 3 2 2 5" xfId="140"/>
    <cellStyle name="ErrorDate TBCenterAlign 3 3 2 3" xfId="140"/>
    <cellStyle name="ErrorDate TBCenterAlign 3 3 2 3 2" xfId="140"/>
    <cellStyle name="ErrorDate TBCenterAlign 3 3 2 3 3" xfId="140"/>
    <cellStyle name="ErrorDate TBCenterAlign 3 3 2 3 4" xfId="140"/>
    <cellStyle name="ErrorDate TBCenterAlign 3 3 2 4" xfId="140"/>
    <cellStyle name="ErrorDate TBCenterAlign 3 3 2 5" xfId="140"/>
    <cellStyle name="ErrorDate TBCenterAlign 3 3 2 6" xfId="140"/>
    <cellStyle name="ErrorDate TBCenterAlign 3 3 2 7" xfId="140"/>
    <cellStyle name="ErrorDate TBCenterAlign 3 3 2 8" xfId="140"/>
    <cellStyle name="ErrorDate TBCenterAlign 3 3 3" xfId="140"/>
    <cellStyle name="ErrorDate TBCenterAlign 3 3 3 2" xfId="140"/>
    <cellStyle name="ErrorDate TBCenterAlign 3 3 3 2 2" xfId="140"/>
    <cellStyle name="ErrorDate TBCenterAlign 3 3 3 2 3" xfId="140"/>
    <cellStyle name="ErrorDate TBCenterAlign 3 3 3 2 4" xfId="140"/>
    <cellStyle name="ErrorDate TBCenterAlign 3 3 3 2 5" xfId="140"/>
    <cellStyle name="ErrorDate TBCenterAlign 3 3 3 3" xfId="140"/>
    <cellStyle name="ErrorDate TBCenterAlign 3 3 3 3 2" xfId="140"/>
    <cellStyle name="ErrorDate TBCenterAlign 3 3 3 3 3" xfId="140"/>
    <cellStyle name="ErrorDate TBCenterAlign 3 3 3 3 4" xfId="140"/>
    <cellStyle name="ErrorDate TBCenterAlign 3 3 3 4" xfId="140"/>
    <cellStyle name="ErrorDate TBCenterAlign 3 3 3 5" xfId="140"/>
    <cellStyle name="ErrorDate TBCenterAlign 3 3 3 6" xfId="140"/>
    <cellStyle name="ErrorDate TBCenterAlign 3 3 3 7" xfId="140"/>
    <cellStyle name="ErrorDate TBCenterAlign 3 3 3 8" xfId="140"/>
    <cellStyle name="ErrorDate TBCenterAlign 3 3 4" xfId="140"/>
    <cellStyle name="ErrorDate TBCenterAlign 3 3 4 2" xfId="140"/>
    <cellStyle name="ErrorDate TBCenterAlign 3 3 4 2 2" xfId="140"/>
    <cellStyle name="ErrorDate TBCenterAlign 3 3 4 2 3" xfId="140"/>
    <cellStyle name="ErrorDate TBCenterAlign 3 3 4 2 4" xfId="140"/>
    <cellStyle name="ErrorDate TBCenterAlign 3 3 4 2 5" xfId="140"/>
    <cellStyle name="ErrorDate TBCenterAlign 3 3 4 3" xfId="140"/>
    <cellStyle name="ErrorDate TBCenterAlign 3 3 4 3 2" xfId="140"/>
    <cellStyle name="ErrorDate TBCenterAlign 3 3 4 3 3" xfId="140"/>
    <cellStyle name="ErrorDate TBCenterAlign 3 3 4 3 4" xfId="140"/>
    <cellStyle name="ErrorDate TBCenterAlign 3 3 4 4" xfId="140"/>
    <cellStyle name="ErrorDate TBCenterAlign 3 3 4 5" xfId="140"/>
    <cellStyle name="ErrorDate TBCenterAlign 3 3 4 6" xfId="140"/>
    <cellStyle name="ErrorDate TBCenterAlign 3 3 4 7" xfId="140"/>
    <cellStyle name="ErrorDate TBCenterAlign 3 3 4 8" xfId="140"/>
    <cellStyle name="ErrorDate TBCenterAlign 3 3 5" xfId="140"/>
    <cellStyle name="ErrorDate TBCenterAlign 3 3 5 2" xfId="140"/>
    <cellStyle name="ErrorDate TBCenterAlign 3 3 5 2 2" xfId="140"/>
    <cellStyle name="ErrorDate TBCenterAlign 3 3 5 2 3" xfId="140"/>
    <cellStyle name="ErrorDate TBCenterAlign 3 3 5 2 4" xfId="140"/>
    <cellStyle name="ErrorDate TBCenterAlign 3 3 5 2 5" xfId="140"/>
    <cellStyle name="ErrorDate TBCenterAlign 3 3 5 3" xfId="140"/>
    <cellStyle name="ErrorDate TBCenterAlign 3 3 5 3 2" xfId="140"/>
    <cellStyle name="ErrorDate TBCenterAlign 3 3 5 3 3" xfId="140"/>
    <cellStyle name="ErrorDate TBCenterAlign 3 3 5 3 4" xfId="140"/>
    <cellStyle name="ErrorDate TBCenterAlign 3 3 5 4" xfId="140"/>
    <cellStyle name="ErrorDate TBCenterAlign 3 3 5 5" xfId="140"/>
    <cellStyle name="ErrorDate TBCenterAlign 3 3 5 6" xfId="140"/>
    <cellStyle name="ErrorDate TBCenterAlign 3 3 5 7" xfId="140"/>
    <cellStyle name="ErrorDate TBCenterAlign 3 3 5 8" xfId="140"/>
    <cellStyle name="ErrorDate TBCenterAlign 3 3 6" xfId="140"/>
    <cellStyle name="ErrorDate TBCenterAlign 3 3 6 2" xfId="140"/>
    <cellStyle name="ErrorDate TBCenterAlign 3 3 6 3" xfId="140"/>
    <cellStyle name="ErrorDate TBCenterAlign 3 3 6 4" xfId="140"/>
    <cellStyle name="ErrorDate TBCenterAlign 3 3 6 5" xfId="140"/>
    <cellStyle name="ErrorDate TBCenterAlign 3 3 7" xfId="140"/>
    <cellStyle name="ErrorDate TBCenterAlign 3 3 7 2" xfId="140"/>
    <cellStyle name="ErrorDate TBCenterAlign 3 3 7 3" xfId="140"/>
    <cellStyle name="ErrorDate TBCenterAlign 3 3 7 4" xfId="140"/>
    <cellStyle name="ErrorDate TBCenterAlign 3 3 8" xfId="140"/>
    <cellStyle name="ErrorDate TBCenterAlign 3 3 9" xfId="140"/>
    <cellStyle name="ErrorDate TBCenterAlign 3 4" xfId="140"/>
    <cellStyle name="ErrorDate TBCenterAlign 3 4 2" xfId="140"/>
    <cellStyle name="ErrorDate TBCenterAlign 3 4 2 2" xfId="140"/>
    <cellStyle name="ErrorDate TBCenterAlign 3 4 2 3" xfId="140"/>
    <cellStyle name="ErrorDate TBCenterAlign 3 4 2 4" xfId="140"/>
    <cellStyle name="ErrorDate TBCenterAlign 3 4 2 5" xfId="140"/>
    <cellStyle name="ErrorDate TBCenterAlign 3 4 3" xfId="140"/>
    <cellStyle name="ErrorDate TBCenterAlign 3 4 3 2" xfId="140"/>
    <cellStyle name="ErrorDate TBCenterAlign 3 4 3 3" xfId="140"/>
    <cellStyle name="ErrorDate TBCenterAlign 3 4 3 4" xfId="140"/>
    <cellStyle name="ErrorDate TBCenterAlign 3 4 4" xfId="140"/>
    <cellStyle name="ErrorDate TBCenterAlign 3 4 5" xfId="140"/>
    <cellStyle name="ErrorDate TBCenterAlign 3 4 6" xfId="140"/>
    <cellStyle name="ErrorDate TBCenterAlign 3 4 7" xfId="140"/>
    <cellStyle name="ErrorDate TBCenterAlign 3 4 8" xfId="140"/>
    <cellStyle name="ErrorDate TBCenterAlign 3 5" xfId="140"/>
    <cellStyle name="ErrorDate TBCenterAlign 3 5 2" xfId="140"/>
    <cellStyle name="ErrorDate TBCenterAlign 3 5 2 2" xfId="140"/>
    <cellStyle name="ErrorDate TBCenterAlign 3 5 2 3" xfId="140"/>
    <cellStyle name="ErrorDate TBCenterAlign 3 5 2 4" xfId="140"/>
    <cellStyle name="ErrorDate TBCenterAlign 3 5 2 5" xfId="140"/>
    <cellStyle name="ErrorDate TBCenterAlign 3 5 3" xfId="140"/>
    <cellStyle name="ErrorDate TBCenterAlign 3 5 3 2" xfId="140"/>
    <cellStyle name="ErrorDate TBCenterAlign 3 5 3 3" xfId="140"/>
    <cellStyle name="ErrorDate TBCenterAlign 3 5 3 4" xfId="140"/>
    <cellStyle name="ErrorDate TBCenterAlign 3 5 4" xfId="140"/>
    <cellStyle name="ErrorDate TBCenterAlign 3 5 5" xfId="140"/>
    <cellStyle name="ErrorDate TBCenterAlign 3 5 6" xfId="140"/>
    <cellStyle name="ErrorDate TBCenterAlign 3 5 7" xfId="140"/>
    <cellStyle name="ErrorDate TBCenterAlign 3 5 8" xfId="140"/>
    <cellStyle name="ErrorDate TBCenterAlign 3 6" xfId="140"/>
    <cellStyle name="ErrorDate TBCenterAlign 3 6 2" xfId="140"/>
    <cellStyle name="ErrorDate TBCenterAlign 3 6 2 2" xfId="140"/>
    <cellStyle name="ErrorDate TBCenterAlign 3 6 2 3" xfId="140"/>
    <cellStyle name="ErrorDate TBCenterAlign 3 6 2 4" xfId="140"/>
    <cellStyle name="ErrorDate TBCenterAlign 3 6 2 5" xfId="140"/>
    <cellStyle name="ErrorDate TBCenterAlign 3 6 3" xfId="140"/>
    <cellStyle name="ErrorDate TBCenterAlign 3 6 3 2" xfId="140"/>
    <cellStyle name="ErrorDate TBCenterAlign 3 6 3 3" xfId="140"/>
    <cellStyle name="ErrorDate TBCenterAlign 3 6 3 4" xfId="140"/>
    <cellStyle name="ErrorDate TBCenterAlign 3 6 4" xfId="140"/>
    <cellStyle name="ErrorDate TBCenterAlign 3 6 5" xfId="140"/>
    <cellStyle name="ErrorDate TBCenterAlign 3 6 6" xfId="140"/>
    <cellStyle name="ErrorDate TBCenterAlign 3 6 7" xfId="140"/>
    <cellStyle name="ErrorDate TBCenterAlign 3 6 8" xfId="140"/>
    <cellStyle name="ErrorDate TBCenterAlign 3 7" xfId="140"/>
    <cellStyle name="ErrorDate TBCenterAlign 3 7 2" xfId="140"/>
    <cellStyle name="ErrorDate TBCenterAlign 3 7 2 2" xfId="140"/>
    <cellStyle name="ErrorDate TBCenterAlign 3 7 2 3" xfId="140"/>
    <cellStyle name="ErrorDate TBCenterAlign 3 7 2 4" xfId="140"/>
    <cellStyle name="ErrorDate TBCenterAlign 3 7 2 5" xfId="140"/>
    <cellStyle name="ErrorDate TBCenterAlign 3 7 3" xfId="140"/>
    <cellStyle name="ErrorDate TBCenterAlign 3 7 3 2" xfId="140"/>
    <cellStyle name="ErrorDate TBCenterAlign 3 7 3 3" xfId="140"/>
    <cellStyle name="ErrorDate TBCenterAlign 3 7 3 4" xfId="140"/>
    <cellStyle name="ErrorDate TBCenterAlign 3 7 4" xfId="140"/>
    <cellStyle name="ErrorDate TBCenterAlign 3 7 5" xfId="140"/>
    <cellStyle name="ErrorDate TBCenterAlign 3 7 6" xfId="140"/>
    <cellStyle name="ErrorDate TBCenterAlign 3 7 7" xfId="140"/>
    <cellStyle name="ErrorDate TBCenterAlign 3 7 8" xfId="140"/>
    <cellStyle name="ErrorDate TBCenterAlign 3 8" xfId="140"/>
    <cellStyle name="ErrorDate TBCenterAlign 3 8 2" xfId="140"/>
    <cellStyle name="ErrorDate TBCenterAlign 3 8 3" xfId="140"/>
    <cellStyle name="ErrorDate TBCenterAlign 3 8 4" xfId="140"/>
    <cellStyle name="ErrorDate TBCenterAlign 3 8 5" xfId="140"/>
    <cellStyle name="ErrorDate TBCenterAlign 3 9" xfId="140"/>
    <cellStyle name="ErrorDate TBCenterAlign 3 9 2" xfId="140"/>
    <cellStyle name="ErrorDate TBCenterAlign 3 9 3" xfId="140"/>
    <cellStyle name="ErrorDate TBCenterAlign 3 9 4" xfId="140"/>
    <cellStyle name="ErrorDate TBCenterAlign 4" xfId="140"/>
    <cellStyle name="ErrorDate TBCenterAlign 4 2" xfId="140"/>
    <cellStyle name="ErrorDate TBCenterAlign 4 2 2" xfId="140"/>
    <cellStyle name="ErrorDate TBCenterAlign 4 2 2 2" xfId="140"/>
    <cellStyle name="ErrorDate TBCenterAlign 4 2 2 3" xfId="140"/>
    <cellStyle name="ErrorDate TBCenterAlign 4 2 2 4" xfId="140"/>
    <cellStyle name="ErrorDate TBCenterAlign 4 2 2 5" xfId="140"/>
    <cellStyle name="ErrorDate TBCenterAlign 4 2 3" xfId="140"/>
    <cellStyle name="ErrorDate TBCenterAlign 4 2 3 2" xfId="140"/>
    <cellStyle name="ErrorDate TBCenterAlign 4 2 3 3" xfId="140"/>
    <cellStyle name="ErrorDate TBCenterAlign 4 2 3 4" xfId="140"/>
    <cellStyle name="ErrorDate TBCenterAlign 4 2 4" xfId="140"/>
    <cellStyle name="ErrorDate TBCenterAlign 4 2 5" xfId="140"/>
    <cellStyle name="ErrorDate TBCenterAlign 4 2 6" xfId="140"/>
    <cellStyle name="ErrorDate TBCenterAlign 4 2 7" xfId="140"/>
    <cellStyle name="ErrorDate TBCenterAlign 4 2 8" xfId="140"/>
    <cellStyle name="ErrorDate TBCenterAlign 4 3" xfId="140"/>
    <cellStyle name="ErrorDate TBCenterAlign 4 3 2" xfId="140"/>
    <cellStyle name="ErrorDate TBCenterAlign 4 3 2 2" xfId="140"/>
    <cellStyle name="ErrorDate TBCenterAlign 4 3 2 3" xfId="140"/>
    <cellStyle name="ErrorDate TBCenterAlign 4 3 2 4" xfId="140"/>
    <cellStyle name="ErrorDate TBCenterAlign 4 3 2 5" xfId="140"/>
    <cellStyle name="ErrorDate TBCenterAlign 4 3 3" xfId="140"/>
    <cellStyle name="ErrorDate TBCenterAlign 4 3 3 2" xfId="140"/>
    <cellStyle name="ErrorDate TBCenterAlign 4 3 3 3" xfId="140"/>
    <cellStyle name="ErrorDate TBCenterAlign 4 3 3 4" xfId="140"/>
    <cellStyle name="ErrorDate TBCenterAlign 4 3 4" xfId="140"/>
    <cellStyle name="ErrorDate TBCenterAlign 4 3 5" xfId="140"/>
    <cellStyle name="ErrorDate TBCenterAlign 4 3 6" xfId="140"/>
    <cellStyle name="ErrorDate TBCenterAlign 4 3 7" xfId="140"/>
    <cellStyle name="ErrorDate TBCenterAlign 4 4" xfId="140"/>
    <cellStyle name="ErrorDate TBCenterAlign 4 4 2" xfId="140"/>
    <cellStyle name="ErrorDate TBCenterAlign 4 4 3" xfId="140"/>
    <cellStyle name="ErrorDate TBCenterAlign 4 4 4" xfId="140"/>
    <cellStyle name="ErrorDate TBCenterAlign 4 4 5" xfId="140"/>
    <cellStyle name="ErrorDate TBCenterAlign 4 5" xfId="140"/>
    <cellStyle name="ErrorDate TBCenterAlign 4 5 2" xfId="140"/>
    <cellStyle name="ErrorDate TBCenterAlign 4 5 3" xfId="140"/>
    <cellStyle name="ErrorDate TBCenterAlign 4 5 4" xfId="140"/>
    <cellStyle name="ErrorDate TBCenterAlign 4 6" xfId="140"/>
    <cellStyle name="ErrorDate TBCenterAlign 4 7" xfId="140"/>
    <cellStyle name="ErrorDate TBCenterAlign 4 8" xfId="140"/>
    <cellStyle name="ErrorDate TBCenterAlign 4 9" xfId="140"/>
    <cellStyle name="ErrorDate TBCenterAlign 5" xfId="140"/>
    <cellStyle name="ErrorDate TBCenterAlign 5 2" xfId="140"/>
    <cellStyle name="ErrorDate TBCenterAlign 5 2 2" xfId="140"/>
    <cellStyle name="ErrorDate TBCenterAlign 5 2 3" xfId="140"/>
    <cellStyle name="ErrorDate TBCenterAlign 5 2 4" xfId="140"/>
    <cellStyle name="ErrorDate TBCenterAlign 5 2 5" xfId="140"/>
    <cellStyle name="ErrorDate TBCenterAlign 5 3" xfId="140"/>
    <cellStyle name="ErrorDate TBCenterAlign 5 3 2" xfId="140"/>
    <cellStyle name="ErrorDate TBCenterAlign 5 3 3" xfId="140"/>
    <cellStyle name="ErrorDate TBCenterAlign 5 3 4" xfId="140"/>
    <cellStyle name="ErrorDate TBCenterAlign 5 4" xfId="140"/>
    <cellStyle name="ErrorDate TBCenterAlign 5 5" xfId="140"/>
    <cellStyle name="ErrorDate TBCenterAlign 5 6" xfId="140"/>
    <cellStyle name="ErrorDate TBCenterAlign 5 7" xfId="140"/>
    <cellStyle name="ErrorDate TBCenterAlign 5 8" xfId="140"/>
    <cellStyle name="ErrorDate TBCenterAlign 6" xfId="140"/>
    <cellStyle name="ErrorDate TBCenterAlign 6 2" xfId="140"/>
    <cellStyle name="ErrorDate TBCenterAlign 6 3" xfId="140"/>
    <cellStyle name="ErrorDate TBCenterAlign 6 4" xfId="140"/>
    <cellStyle name="ErrorDate TBCenterAlign 6 5" xfId="140"/>
    <cellStyle name="ErrorDate TBCenterAlign 7" xfId="140"/>
    <cellStyle name="ErrorDate TBCenterAlign 8" xfId="140"/>
    <cellStyle name="ErrorDropDown" xfId="141"/>
    <cellStyle name="ErrorDropDown 2" xfId="141"/>
    <cellStyle name="ErrorDropDown 2 10" xfId="141"/>
    <cellStyle name="ErrorDropDown 2 11" xfId="141"/>
    <cellStyle name="ErrorDropDown 2 12" xfId="141"/>
    <cellStyle name="ErrorDropDown 2 13" xfId="141"/>
    <cellStyle name="ErrorDropDown 2 14" xfId="141"/>
    <cellStyle name="ErrorDropDown 2 2" xfId="141"/>
    <cellStyle name="ErrorDropDown 2 2 10" xfId="141"/>
    <cellStyle name="ErrorDropDown 2 2 11" xfId="141"/>
    <cellStyle name="ErrorDropDown 2 2 12" xfId="141"/>
    <cellStyle name="ErrorDropDown 2 2 13" xfId="141"/>
    <cellStyle name="ErrorDropDown 2 2 14" xfId="141"/>
    <cellStyle name="ErrorDropDown 2 2 2" xfId="141"/>
    <cellStyle name="ErrorDropDown 2 2 2 10" xfId="141"/>
    <cellStyle name="ErrorDropDown 2 2 2 11" xfId="141"/>
    <cellStyle name="ErrorDropDown 2 2 2 12" xfId="141"/>
    <cellStyle name="ErrorDropDown 2 2 2 2" xfId="141"/>
    <cellStyle name="ErrorDropDown 2 2 2 2 2" xfId="141"/>
    <cellStyle name="ErrorDropDown 2 2 2 2 2 2" xfId="141"/>
    <cellStyle name="ErrorDropDown 2 2 2 2 2 3" xfId="141"/>
    <cellStyle name="ErrorDropDown 2 2 2 2 2 4" xfId="141"/>
    <cellStyle name="ErrorDropDown 2 2 2 2 2 5" xfId="141"/>
    <cellStyle name="ErrorDropDown 2 2 2 2 3" xfId="141"/>
    <cellStyle name="ErrorDropDown 2 2 2 2 3 2" xfId="141"/>
    <cellStyle name="ErrorDropDown 2 2 2 2 3 3" xfId="141"/>
    <cellStyle name="ErrorDropDown 2 2 2 2 3 4" xfId="141"/>
    <cellStyle name="ErrorDropDown 2 2 2 2 4" xfId="141"/>
    <cellStyle name="ErrorDropDown 2 2 2 2 5" xfId="141"/>
    <cellStyle name="ErrorDropDown 2 2 2 2 6" xfId="141"/>
    <cellStyle name="ErrorDropDown 2 2 2 2 7" xfId="141"/>
    <cellStyle name="ErrorDropDown 2 2 2 2 8" xfId="141"/>
    <cellStyle name="ErrorDropDown 2 2 2 3" xfId="141"/>
    <cellStyle name="ErrorDropDown 2 2 2 3 2" xfId="141"/>
    <cellStyle name="ErrorDropDown 2 2 2 3 2 2" xfId="141"/>
    <cellStyle name="ErrorDropDown 2 2 2 3 2 3" xfId="141"/>
    <cellStyle name="ErrorDropDown 2 2 2 3 2 4" xfId="141"/>
    <cellStyle name="ErrorDropDown 2 2 2 3 2 5" xfId="141"/>
    <cellStyle name="ErrorDropDown 2 2 2 3 3" xfId="141"/>
    <cellStyle name="ErrorDropDown 2 2 2 3 3 2" xfId="141"/>
    <cellStyle name="ErrorDropDown 2 2 2 3 3 3" xfId="141"/>
    <cellStyle name="ErrorDropDown 2 2 2 3 3 4" xfId="141"/>
    <cellStyle name="ErrorDropDown 2 2 2 3 4" xfId="141"/>
    <cellStyle name="ErrorDropDown 2 2 2 3 5" xfId="141"/>
    <cellStyle name="ErrorDropDown 2 2 2 3 6" xfId="141"/>
    <cellStyle name="ErrorDropDown 2 2 2 3 7" xfId="141"/>
    <cellStyle name="ErrorDropDown 2 2 2 3 8" xfId="141"/>
    <cellStyle name="ErrorDropDown 2 2 2 4" xfId="141"/>
    <cellStyle name="ErrorDropDown 2 2 2 4 2" xfId="141"/>
    <cellStyle name="ErrorDropDown 2 2 2 4 2 2" xfId="141"/>
    <cellStyle name="ErrorDropDown 2 2 2 4 2 3" xfId="141"/>
    <cellStyle name="ErrorDropDown 2 2 2 4 2 4" xfId="141"/>
    <cellStyle name="ErrorDropDown 2 2 2 4 2 5" xfId="141"/>
    <cellStyle name="ErrorDropDown 2 2 2 4 3" xfId="141"/>
    <cellStyle name="ErrorDropDown 2 2 2 4 3 2" xfId="141"/>
    <cellStyle name="ErrorDropDown 2 2 2 4 3 3" xfId="141"/>
    <cellStyle name="ErrorDropDown 2 2 2 4 3 4" xfId="141"/>
    <cellStyle name="ErrorDropDown 2 2 2 4 4" xfId="141"/>
    <cellStyle name="ErrorDropDown 2 2 2 4 5" xfId="141"/>
    <cellStyle name="ErrorDropDown 2 2 2 4 6" xfId="141"/>
    <cellStyle name="ErrorDropDown 2 2 2 4 7" xfId="141"/>
    <cellStyle name="ErrorDropDown 2 2 2 4 8" xfId="141"/>
    <cellStyle name="ErrorDropDown 2 2 2 5" xfId="141"/>
    <cellStyle name="ErrorDropDown 2 2 2 5 2" xfId="141"/>
    <cellStyle name="ErrorDropDown 2 2 2 5 2 2" xfId="141"/>
    <cellStyle name="ErrorDropDown 2 2 2 5 2 3" xfId="141"/>
    <cellStyle name="ErrorDropDown 2 2 2 5 2 4" xfId="141"/>
    <cellStyle name="ErrorDropDown 2 2 2 5 2 5" xfId="141"/>
    <cellStyle name="ErrorDropDown 2 2 2 5 3" xfId="141"/>
    <cellStyle name="ErrorDropDown 2 2 2 5 3 2" xfId="141"/>
    <cellStyle name="ErrorDropDown 2 2 2 5 3 3" xfId="141"/>
    <cellStyle name="ErrorDropDown 2 2 2 5 3 4" xfId="141"/>
    <cellStyle name="ErrorDropDown 2 2 2 5 4" xfId="141"/>
    <cellStyle name="ErrorDropDown 2 2 2 5 5" xfId="141"/>
    <cellStyle name="ErrorDropDown 2 2 2 5 6" xfId="141"/>
    <cellStyle name="ErrorDropDown 2 2 2 5 7" xfId="141"/>
    <cellStyle name="ErrorDropDown 2 2 2 5 8" xfId="141"/>
    <cellStyle name="ErrorDropDown 2 2 2 6" xfId="141"/>
    <cellStyle name="ErrorDropDown 2 2 2 6 2" xfId="141"/>
    <cellStyle name="ErrorDropDown 2 2 2 6 3" xfId="141"/>
    <cellStyle name="ErrorDropDown 2 2 2 6 4" xfId="141"/>
    <cellStyle name="ErrorDropDown 2 2 2 6 5" xfId="141"/>
    <cellStyle name="ErrorDropDown 2 2 2 7" xfId="141"/>
    <cellStyle name="ErrorDropDown 2 2 2 7 2" xfId="141"/>
    <cellStyle name="ErrorDropDown 2 2 2 7 3" xfId="141"/>
    <cellStyle name="ErrorDropDown 2 2 2 7 4" xfId="141"/>
    <cellStyle name="ErrorDropDown 2 2 2 8" xfId="141"/>
    <cellStyle name="ErrorDropDown 2 2 2 9" xfId="141"/>
    <cellStyle name="ErrorDropDown 2 2 3" xfId="141"/>
    <cellStyle name="ErrorDropDown 2 2 3 10" xfId="141"/>
    <cellStyle name="ErrorDropDown 2 2 3 11" xfId="141"/>
    <cellStyle name="ErrorDropDown 2 2 3 12" xfId="141"/>
    <cellStyle name="ErrorDropDown 2 2 3 2" xfId="141"/>
    <cellStyle name="ErrorDropDown 2 2 3 2 2" xfId="141"/>
    <cellStyle name="ErrorDropDown 2 2 3 2 2 2" xfId="141"/>
    <cellStyle name="ErrorDropDown 2 2 3 2 2 3" xfId="141"/>
    <cellStyle name="ErrorDropDown 2 2 3 2 2 4" xfId="141"/>
    <cellStyle name="ErrorDropDown 2 2 3 2 2 5" xfId="141"/>
    <cellStyle name="ErrorDropDown 2 2 3 2 3" xfId="141"/>
    <cellStyle name="ErrorDropDown 2 2 3 2 3 2" xfId="141"/>
    <cellStyle name="ErrorDropDown 2 2 3 2 3 3" xfId="141"/>
    <cellStyle name="ErrorDropDown 2 2 3 2 3 4" xfId="141"/>
    <cellStyle name="ErrorDropDown 2 2 3 2 4" xfId="141"/>
    <cellStyle name="ErrorDropDown 2 2 3 2 5" xfId="141"/>
    <cellStyle name="ErrorDropDown 2 2 3 2 6" xfId="141"/>
    <cellStyle name="ErrorDropDown 2 2 3 2 7" xfId="141"/>
    <cellStyle name="ErrorDropDown 2 2 3 2 8" xfId="141"/>
    <cellStyle name="ErrorDropDown 2 2 3 3" xfId="141"/>
    <cellStyle name="ErrorDropDown 2 2 3 3 2" xfId="141"/>
    <cellStyle name="ErrorDropDown 2 2 3 3 2 2" xfId="141"/>
    <cellStyle name="ErrorDropDown 2 2 3 3 2 3" xfId="141"/>
    <cellStyle name="ErrorDropDown 2 2 3 3 2 4" xfId="141"/>
    <cellStyle name="ErrorDropDown 2 2 3 3 2 5" xfId="141"/>
    <cellStyle name="ErrorDropDown 2 2 3 3 3" xfId="141"/>
    <cellStyle name="ErrorDropDown 2 2 3 3 3 2" xfId="141"/>
    <cellStyle name="ErrorDropDown 2 2 3 3 3 3" xfId="141"/>
    <cellStyle name="ErrorDropDown 2 2 3 3 3 4" xfId="141"/>
    <cellStyle name="ErrorDropDown 2 2 3 3 4" xfId="141"/>
    <cellStyle name="ErrorDropDown 2 2 3 3 5" xfId="141"/>
    <cellStyle name="ErrorDropDown 2 2 3 3 6" xfId="141"/>
    <cellStyle name="ErrorDropDown 2 2 3 3 7" xfId="141"/>
    <cellStyle name="ErrorDropDown 2 2 3 3 8" xfId="141"/>
    <cellStyle name="ErrorDropDown 2 2 3 4" xfId="141"/>
    <cellStyle name="ErrorDropDown 2 2 3 4 2" xfId="141"/>
    <cellStyle name="ErrorDropDown 2 2 3 4 2 2" xfId="141"/>
    <cellStyle name="ErrorDropDown 2 2 3 4 2 3" xfId="141"/>
    <cellStyle name="ErrorDropDown 2 2 3 4 2 4" xfId="141"/>
    <cellStyle name="ErrorDropDown 2 2 3 4 2 5" xfId="141"/>
    <cellStyle name="ErrorDropDown 2 2 3 4 3" xfId="141"/>
    <cellStyle name="ErrorDropDown 2 2 3 4 3 2" xfId="141"/>
    <cellStyle name="ErrorDropDown 2 2 3 4 3 3" xfId="141"/>
    <cellStyle name="ErrorDropDown 2 2 3 4 3 4" xfId="141"/>
    <cellStyle name="ErrorDropDown 2 2 3 4 4" xfId="141"/>
    <cellStyle name="ErrorDropDown 2 2 3 4 5" xfId="141"/>
    <cellStyle name="ErrorDropDown 2 2 3 4 6" xfId="141"/>
    <cellStyle name="ErrorDropDown 2 2 3 4 7" xfId="141"/>
    <cellStyle name="ErrorDropDown 2 2 3 4 8" xfId="141"/>
    <cellStyle name="ErrorDropDown 2 2 3 5" xfId="141"/>
    <cellStyle name="ErrorDropDown 2 2 3 5 2" xfId="141"/>
    <cellStyle name="ErrorDropDown 2 2 3 5 2 2" xfId="141"/>
    <cellStyle name="ErrorDropDown 2 2 3 5 2 3" xfId="141"/>
    <cellStyle name="ErrorDropDown 2 2 3 5 2 4" xfId="141"/>
    <cellStyle name="ErrorDropDown 2 2 3 5 2 5" xfId="141"/>
    <cellStyle name="ErrorDropDown 2 2 3 5 3" xfId="141"/>
    <cellStyle name="ErrorDropDown 2 2 3 5 3 2" xfId="141"/>
    <cellStyle name="ErrorDropDown 2 2 3 5 3 3" xfId="141"/>
    <cellStyle name="ErrorDropDown 2 2 3 5 3 4" xfId="141"/>
    <cellStyle name="ErrorDropDown 2 2 3 5 4" xfId="141"/>
    <cellStyle name="ErrorDropDown 2 2 3 5 5" xfId="141"/>
    <cellStyle name="ErrorDropDown 2 2 3 5 6" xfId="141"/>
    <cellStyle name="ErrorDropDown 2 2 3 5 7" xfId="141"/>
    <cellStyle name="ErrorDropDown 2 2 3 5 8" xfId="141"/>
    <cellStyle name="ErrorDropDown 2 2 3 6" xfId="141"/>
    <cellStyle name="ErrorDropDown 2 2 3 6 2" xfId="141"/>
    <cellStyle name="ErrorDropDown 2 2 3 6 3" xfId="141"/>
    <cellStyle name="ErrorDropDown 2 2 3 6 4" xfId="141"/>
    <cellStyle name="ErrorDropDown 2 2 3 6 5" xfId="141"/>
    <cellStyle name="ErrorDropDown 2 2 3 7" xfId="141"/>
    <cellStyle name="ErrorDropDown 2 2 3 7 2" xfId="141"/>
    <cellStyle name="ErrorDropDown 2 2 3 7 3" xfId="141"/>
    <cellStyle name="ErrorDropDown 2 2 3 7 4" xfId="141"/>
    <cellStyle name="ErrorDropDown 2 2 3 8" xfId="141"/>
    <cellStyle name="ErrorDropDown 2 2 3 9" xfId="141"/>
    <cellStyle name="ErrorDropDown 2 2 4" xfId="141"/>
    <cellStyle name="ErrorDropDown 2 2 4 2" xfId="141"/>
    <cellStyle name="ErrorDropDown 2 2 4 2 2" xfId="141"/>
    <cellStyle name="ErrorDropDown 2 2 4 2 3" xfId="141"/>
    <cellStyle name="ErrorDropDown 2 2 4 2 4" xfId="141"/>
    <cellStyle name="ErrorDropDown 2 2 4 2 5" xfId="141"/>
    <cellStyle name="ErrorDropDown 2 2 4 3" xfId="141"/>
    <cellStyle name="ErrorDropDown 2 2 4 3 2" xfId="141"/>
    <cellStyle name="ErrorDropDown 2 2 4 3 3" xfId="141"/>
    <cellStyle name="ErrorDropDown 2 2 4 3 4" xfId="141"/>
    <cellStyle name="ErrorDropDown 2 2 4 4" xfId="141"/>
    <cellStyle name="ErrorDropDown 2 2 4 5" xfId="141"/>
    <cellStyle name="ErrorDropDown 2 2 4 6" xfId="141"/>
    <cellStyle name="ErrorDropDown 2 2 4 7" xfId="141"/>
    <cellStyle name="ErrorDropDown 2 2 4 8" xfId="141"/>
    <cellStyle name="ErrorDropDown 2 2 5" xfId="141"/>
    <cellStyle name="ErrorDropDown 2 2 5 2" xfId="141"/>
    <cellStyle name="ErrorDropDown 2 2 5 2 2" xfId="141"/>
    <cellStyle name="ErrorDropDown 2 2 5 2 3" xfId="141"/>
    <cellStyle name="ErrorDropDown 2 2 5 2 4" xfId="141"/>
    <cellStyle name="ErrorDropDown 2 2 5 2 5" xfId="141"/>
    <cellStyle name="ErrorDropDown 2 2 5 3" xfId="141"/>
    <cellStyle name="ErrorDropDown 2 2 5 3 2" xfId="141"/>
    <cellStyle name="ErrorDropDown 2 2 5 3 3" xfId="141"/>
    <cellStyle name="ErrorDropDown 2 2 5 3 4" xfId="141"/>
    <cellStyle name="ErrorDropDown 2 2 5 4" xfId="141"/>
    <cellStyle name="ErrorDropDown 2 2 5 5" xfId="141"/>
    <cellStyle name="ErrorDropDown 2 2 5 6" xfId="141"/>
    <cellStyle name="ErrorDropDown 2 2 5 7" xfId="141"/>
    <cellStyle name="ErrorDropDown 2 2 5 8" xfId="141"/>
    <cellStyle name="ErrorDropDown 2 2 6" xfId="141"/>
    <cellStyle name="ErrorDropDown 2 2 6 2" xfId="141"/>
    <cellStyle name="ErrorDropDown 2 2 6 2 2" xfId="141"/>
    <cellStyle name="ErrorDropDown 2 2 6 2 3" xfId="141"/>
    <cellStyle name="ErrorDropDown 2 2 6 2 4" xfId="141"/>
    <cellStyle name="ErrorDropDown 2 2 6 2 5" xfId="141"/>
    <cellStyle name="ErrorDropDown 2 2 6 3" xfId="141"/>
    <cellStyle name="ErrorDropDown 2 2 6 3 2" xfId="141"/>
    <cellStyle name="ErrorDropDown 2 2 6 3 3" xfId="141"/>
    <cellStyle name="ErrorDropDown 2 2 6 3 4" xfId="141"/>
    <cellStyle name="ErrorDropDown 2 2 6 4" xfId="141"/>
    <cellStyle name="ErrorDropDown 2 2 6 5" xfId="141"/>
    <cellStyle name="ErrorDropDown 2 2 6 6" xfId="141"/>
    <cellStyle name="ErrorDropDown 2 2 6 7" xfId="141"/>
    <cellStyle name="ErrorDropDown 2 2 6 8" xfId="141"/>
    <cellStyle name="ErrorDropDown 2 2 7" xfId="141"/>
    <cellStyle name="ErrorDropDown 2 2 7 2" xfId="141"/>
    <cellStyle name="ErrorDropDown 2 2 7 2 2" xfId="141"/>
    <cellStyle name="ErrorDropDown 2 2 7 2 3" xfId="141"/>
    <cellStyle name="ErrorDropDown 2 2 7 2 4" xfId="141"/>
    <cellStyle name="ErrorDropDown 2 2 7 2 5" xfId="141"/>
    <cellStyle name="ErrorDropDown 2 2 7 3" xfId="141"/>
    <cellStyle name="ErrorDropDown 2 2 7 3 2" xfId="141"/>
    <cellStyle name="ErrorDropDown 2 2 7 3 3" xfId="141"/>
    <cellStyle name="ErrorDropDown 2 2 7 3 4" xfId="141"/>
    <cellStyle name="ErrorDropDown 2 2 7 4" xfId="141"/>
    <cellStyle name="ErrorDropDown 2 2 7 5" xfId="141"/>
    <cellStyle name="ErrorDropDown 2 2 7 6" xfId="141"/>
    <cellStyle name="ErrorDropDown 2 2 7 7" xfId="141"/>
    <cellStyle name="ErrorDropDown 2 2 7 8" xfId="141"/>
    <cellStyle name="ErrorDropDown 2 2 8" xfId="141"/>
    <cellStyle name="ErrorDropDown 2 2 8 2" xfId="141"/>
    <cellStyle name="ErrorDropDown 2 2 8 3" xfId="141"/>
    <cellStyle name="ErrorDropDown 2 2 8 4" xfId="141"/>
    <cellStyle name="ErrorDropDown 2 2 8 5" xfId="141"/>
    <cellStyle name="ErrorDropDown 2 2 9" xfId="141"/>
    <cellStyle name="ErrorDropDown 2 2 9 2" xfId="141"/>
    <cellStyle name="ErrorDropDown 2 2 9 3" xfId="141"/>
    <cellStyle name="ErrorDropDown 2 2 9 4" xfId="141"/>
    <cellStyle name="ErrorDropDown 2 3" xfId="141"/>
    <cellStyle name="ErrorDropDown 2 3 10" xfId="141"/>
    <cellStyle name="ErrorDropDown 2 3 11" xfId="141"/>
    <cellStyle name="ErrorDropDown 2 3 12" xfId="141"/>
    <cellStyle name="ErrorDropDown 2 3 2" xfId="141"/>
    <cellStyle name="ErrorDropDown 2 3 2 2" xfId="141"/>
    <cellStyle name="ErrorDropDown 2 3 2 2 2" xfId="141"/>
    <cellStyle name="ErrorDropDown 2 3 2 2 3" xfId="141"/>
    <cellStyle name="ErrorDropDown 2 3 2 2 4" xfId="141"/>
    <cellStyle name="ErrorDropDown 2 3 2 2 5" xfId="141"/>
    <cellStyle name="ErrorDropDown 2 3 2 3" xfId="141"/>
    <cellStyle name="ErrorDropDown 2 3 2 3 2" xfId="141"/>
    <cellStyle name="ErrorDropDown 2 3 2 3 3" xfId="141"/>
    <cellStyle name="ErrorDropDown 2 3 2 3 4" xfId="141"/>
    <cellStyle name="ErrorDropDown 2 3 2 4" xfId="141"/>
    <cellStyle name="ErrorDropDown 2 3 2 5" xfId="141"/>
    <cellStyle name="ErrorDropDown 2 3 2 6" xfId="141"/>
    <cellStyle name="ErrorDropDown 2 3 2 7" xfId="141"/>
    <cellStyle name="ErrorDropDown 2 3 2 8" xfId="141"/>
    <cellStyle name="ErrorDropDown 2 3 3" xfId="141"/>
    <cellStyle name="ErrorDropDown 2 3 3 2" xfId="141"/>
    <cellStyle name="ErrorDropDown 2 3 3 2 2" xfId="141"/>
    <cellStyle name="ErrorDropDown 2 3 3 2 3" xfId="141"/>
    <cellStyle name="ErrorDropDown 2 3 3 2 4" xfId="141"/>
    <cellStyle name="ErrorDropDown 2 3 3 2 5" xfId="141"/>
    <cellStyle name="ErrorDropDown 2 3 3 3" xfId="141"/>
    <cellStyle name="ErrorDropDown 2 3 3 3 2" xfId="141"/>
    <cellStyle name="ErrorDropDown 2 3 3 3 3" xfId="141"/>
    <cellStyle name="ErrorDropDown 2 3 3 3 4" xfId="141"/>
    <cellStyle name="ErrorDropDown 2 3 3 4" xfId="141"/>
    <cellStyle name="ErrorDropDown 2 3 3 5" xfId="141"/>
    <cellStyle name="ErrorDropDown 2 3 3 6" xfId="141"/>
    <cellStyle name="ErrorDropDown 2 3 3 7" xfId="141"/>
    <cellStyle name="ErrorDropDown 2 3 3 8" xfId="141"/>
    <cellStyle name="ErrorDropDown 2 3 4" xfId="141"/>
    <cellStyle name="ErrorDropDown 2 3 4 2" xfId="141"/>
    <cellStyle name="ErrorDropDown 2 3 4 2 2" xfId="141"/>
    <cellStyle name="ErrorDropDown 2 3 4 2 3" xfId="141"/>
    <cellStyle name="ErrorDropDown 2 3 4 2 4" xfId="141"/>
    <cellStyle name="ErrorDropDown 2 3 4 2 5" xfId="141"/>
    <cellStyle name="ErrorDropDown 2 3 4 3" xfId="141"/>
    <cellStyle name="ErrorDropDown 2 3 4 3 2" xfId="141"/>
    <cellStyle name="ErrorDropDown 2 3 4 3 3" xfId="141"/>
    <cellStyle name="ErrorDropDown 2 3 4 3 4" xfId="141"/>
    <cellStyle name="ErrorDropDown 2 3 4 4" xfId="141"/>
    <cellStyle name="ErrorDropDown 2 3 4 5" xfId="141"/>
    <cellStyle name="ErrorDropDown 2 3 4 6" xfId="141"/>
    <cellStyle name="ErrorDropDown 2 3 4 7" xfId="141"/>
    <cellStyle name="ErrorDropDown 2 3 4 8" xfId="141"/>
    <cellStyle name="ErrorDropDown 2 3 5" xfId="141"/>
    <cellStyle name="ErrorDropDown 2 3 5 2" xfId="141"/>
    <cellStyle name="ErrorDropDown 2 3 5 2 2" xfId="141"/>
    <cellStyle name="ErrorDropDown 2 3 5 2 3" xfId="141"/>
    <cellStyle name="ErrorDropDown 2 3 5 2 4" xfId="141"/>
    <cellStyle name="ErrorDropDown 2 3 5 2 5" xfId="141"/>
    <cellStyle name="ErrorDropDown 2 3 5 3" xfId="141"/>
    <cellStyle name="ErrorDropDown 2 3 5 3 2" xfId="141"/>
    <cellStyle name="ErrorDropDown 2 3 5 3 3" xfId="141"/>
    <cellStyle name="ErrorDropDown 2 3 5 3 4" xfId="141"/>
    <cellStyle name="ErrorDropDown 2 3 5 4" xfId="141"/>
    <cellStyle name="ErrorDropDown 2 3 5 5" xfId="141"/>
    <cellStyle name="ErrorDropDown 2 3 5 6" xfId="141"/>
    <cellStyle name="ErrorDropDown 2 3 5 7" xfId="141"/>
    <cellStyle name="ErrorDropDown 2 3 5 8" xfId="141"/>
    <cellStyle name="ErrorDropDown 2 3 6" xfId="141"/>
    <cellStyle name="ErrorDropDown 2 3 6 2" xfId="141"/>
    <cellStyle name="ErrorDropDown 2 3 6 3" xfId="141"/>
    <cellStyle name="ErrorDropDown 2 3 6 4" xfId="141"/>
    <cellStyle name="ErrorDropDown 2 3 6 5" xfId="141"/>
    <cellStyle name="ErrorDropDown 2 3 7" xfId="141"/>
    <cellStyle name="ErrorDropDown 2 3 7 2" xfId="141"/>
    <cellStyle name="ErrorDropDown 2 3 7 3" xfId="141"/>
    <cellStyle name="ErrorDropDown 2 3 7 4" xfId="141"/>
    <cellStyle name="ErrorDropDown 2 3 8" xfId="141"/>
    <cellStyle name="ErrorDropDown 2 3 9" xfId="141"/>
    <cellStyle name="ErrorDropDown 2 4" xfId="141"/>
    <cellStyle name="ErrorDropDown 2 4 2" xfId="141"/>
    <cellStyle name="ErrorDropDown 2 4 2 2" xfId="141"/>
    <cellStyle name="ErrorDropDown 2 4 2 3" xfId="141"/>
    <cellStyle name="ErrorDropDown 2 4 2 4" xfId="141"/>
    <cellStyle name="ErrorDropDown 2 4 2 5" xfId="141"/>
    <cellStyle name="ErrorDropDown 2 4 3" xfId="141"/>
    <cellStyle name="ErrorDropDown 2 4 3 2" xfId="141"/>
    <cellStyle name="ErrorDropDown 2 4 3 3" xfId="141"/>
    <cellStyle name="ErrorDropDown 2 4 3 4" xfId="141"/>
    <cellStyle name="ErrorDropDown 2 4 4" xfId="141"/>
    <cellStyle name="ErrorDropDown 2 4 5" xfId="141"/>
    <cellStyle name="ErrorDropDown 2 4 6" xfId="141"/>
    <cellStyle name="ErrorDropDown 2 4 7" xfId="141"/>
    <cellStyle name="ErrorDropDown 2 4 8" xfId="141"/>
    <cellStyle name="ErrorDropDown 2 5" xfId="141"/>
    <cellStyle name="ErrorDropDown 2 5 2" xfId="141"/>
    <cellStyle name="ErrorDropDown 2 5 2 2" xfId="141"/>
    <cellStyle name="ErrorDropDown 2 5 2 3" xfId="141"/>
    <cellStyle name="ErrorDropDown 2 5 2 4" xfId="141"/>
    <cellStyle name="ErrorDropDown 2 5 2 5" xfId="141"/>
    <cellStyle name="ErrorDropDown 2 5 3" xfId="141"/>
    <cellStyle name="ErrorDropDown 2 5 3 2" xfId="141"/>
    <cellStyle name="ErrorDropDown 2 5 3 3" xfId="141"/>
    <cellStyle name="ErrorDropDown 2 5 3 4" xfId="141"/>
    <cellStyle name="ErrorDropDown 2 5 4" xfId="141"/>
    <cellStyle name="ErrorDropDown 2 5 5" xfId="141"/>
    <cellStyle name="ErrorDropDown 2 5 6" xfId="141"/>
    <cellStyle name="ErrorDropDown 2 5 7" xfId="141"/>
    <cellStyle name="ErrorDropDown 2 5 8" xfId="141"/>
    <cellStyle name="ErrorDropDown 2 6" xfId="141"/>
    <cellStyle name="ErrorDropDown 2 6 2" xfId="141"/>
    <cellStyle name="ErrorDropDown 2 6 2 2" xfId="141"/>
    <cellStyle name="ErrorDropDown 2 6 2 3" xfId="141"/>
    <cellStyle name="ErrorDropDown 2 6 2 4" xfId="141"/>
    <cellStyle name="ErrorDropDown 2 6 2 5" xfId="141"/>
    <cellStyle name="ErrorDropDown 2 6 3" xfId="141"/>
    <cellStyle name="ErrorDropDown 2 6 3 2" xfId="141"/>
    <cellStyle name="ErrorDropDown 2 6 3 3" xfId="141"/>
    <cellStyle name="ErrorDropDown 2 6 3 4" xfId="141"/>
    <cellStyle name="ErrorDropDown 2 6 4" xfId="141"/>
    <cellStyle name="ErrorDropDown 2 6 5" xfId="141"/>
    <cellStyle name="ErrorDropDown 2 6 6" xfId="141"/>
    <cellStyle name="ErrorDropDown 2 6 7" xfId="141"/>
    <cellStyle name="ErrorDropDown 2 6 8" xfId="141"/>
    <cellStyle name="ErrorDropDown 2 7" xfId="141"/>
    <cellStyle name="ErrorDropDown 2 7 2" xfId="141"/>
    <cellStyle name="ErrorDropDown 2 7 2 2" xfId="141"/>
    <cellStyle name="ErrorDropDown 2 7 2 3" xfId="141"/>
    <cellStyle name="ErrorDropDown 2 7 2 4" xfId="141"/>
    <cellStyle name="ErrorDropDown 2 7 2 5" xfId="141"/>
    <cellStyle name="ErrorDropDown 2 7 3" xfId="141"/>
    <cellStyle name="ErrorDropDown 2 7 3 2" xfId="141"/>
    <cellStyle name="ErrorDropDown 2 7 3 3" xfId="141"/>
    <cellStyle name="ErrorDropDown 2 7 3 4" xfId="141"/>
    <cellStyle name="ErrorDropDown 2 7 4" xfId="141"/>
    <cellStyle name="ErrorDropDown 2 7 5" xfId="141"/>
    <cellStyle name="ErrorDropDown 2 7 6" xfId="141"/>
    <cellStyle name="ErrorDropDown 2 7 7" xfId="141"/>
    <cellStyle name="ErrorDropDown 2 7 8" xfId="141"/>
    <cellStyle name="ErrorDropDown 2 8" xfId="141"/>
    <cellStyle name="ErrorDropDown 2 8 2" xfId="141"/>
    <cellStyle name="ErrorDropDown 2 8 3" xfId="141"/>
    <cellStyle name="ErrorDropDown 2 8 4" xfId="141"/>
    <cellStyle name="ErrorDropDown 2 8 5" xfId="141"/>
    <cellStyle name="ErrorDropDown 2 9" xfId="141"/>
    <cellStyle name="ErrorDropDown 2 9 2" xfId="141"/>
    <cellStyle name="ErrorDropDown 2 9 3" xfId="141"/>
    <cellStyle name="ErrorDropDown 2 9 4" xfId="141"/>
    <cellStyle name="ErrorDropDown 3" xfId="141"/>
    <cellStyle name="ErrorDropDown 3 10" xfId="141"/>
    <cellStyle name="ErrorDropDown 3 11" xfId="141"/>
    <cellStyle name="ErrorDropDown 3 12" xfId="141"/>
    <cellStyle name="ErrorDropDown 3 13" xfId="141"/>
    <cellStyle name="ErrorDropDown 3 14" xfId="141"/>
    <cellStyle name="ErrorDropDown 3 2" xfId="141"/>
    <cellStyle name="ErrorDropDown 3 2 10" xfId="141"/>
    <cellStyle name="ErrorDropDown 3 2 11" xfId="141"/>
    <cellStyle name="ErrorDropDown 3 2 12" xfId="141"/>
    <cellStyle name="ErrorDropDown 3 2 2" xfId="141"/>
    <cellStyle name="ErrorDropDown 3 2 2 2" xfId="141"/>
    <cellStyle name="ErrorDropDown 3 2 2 2 2" xfId="141"/>
    <cellStyle name="ErrorDropDown 3 2 2 2 3" xfId="141"/>
    <cellStyle name="ErrorDropDown 3 2 2 2 4" xfId="141"/>
    <cellStyle name="ErrorDropDown 3 2 2 2 5" xfId="141"/>
    <cellStyle name="ErrorDropDown 3 2 2 3" xfId="141"/>
    <cellStyle name="ErrorDropDown 3 2 2 3 2" xfId="141"/>
    <cellStyle name="ErrorDropDown 3 2 2 3 3" xfId="141"/>
    <cellStyle name="ErrorDropDown 3 2 2 3 4" xfId="141"/>
    <cellStyle name="ErrorDropDown 3 2 2 4" xfId="141"/>
    <cellStyle name="ErrorDropDown 3 2 2 5" xfId="141"/>
    <cellStyle name="ErrorDropDown 3 2 2 6" xfId="141"/>
    <cellStyle name="ErrorDropDown 3 2 2 7" xfId="141"/>
    <cellStyle name="ErrorDropDown 3 2 2 8" xfId="141"/>
    <cellStyle name="ErrorDropDown 3 2 3" xfId="141"/>
    <cellStyle name="ErrorDropDown 3 2 3 2" xfId="141"/>
    <cellStyle name="ErrorDropDown 3 2 3 2 2" xfId="141"/>
    <cellStyle name="ErrorDropDown 3 2 3 2 3" xfId="141"/>
    <cellStyle name="ErrorDropDown 3 2 3 2 4" xfId="141"/>
    <cellStyle name="ErrorDropDown 3 2 3 2 5" xfId="141"/>
    <cellStyle name="ErrorDropDown 3 2 3 3" xfId="141"/>
    <cellStyle name="ErrorDropDown 3 2 3 3 2" xfId="141"/>
    <cellStyle name="ErrorDropDown 3 2 3 3 3" xfId="141"/>
    <cellStyle name="ErrorDropDown 3 2 3 3 4" xfId="141"/>
    <cellStyle name="ErrorDropDown 3 2 3 4" xfId="141"/>
    <cellStyle name="ErrorDropDown 3 2 3 5" xfId="141"/>
    <cellStyle name="ErrorDropDown 3 2 3 6" xfId="141"/>
    <cellStyle name="ErrorDropDown 3 2 3 7" xfId="141"/>
    <cellStyle name="ErrorDropDown 3 2 3 8" xfId="141"/>
    <cellStyle name="ErrorDropDown 3 2 4" xfId="141"/>
    <cellStyle name="ErrorDropDown 3 2 4 2" xfId="141"/>
    <cellStyle name="ErrorDropDown 3 2 4 2 2" xfId="141"/>
    <cellStyle name="ErrorDropDown 3 2 4 2 3" xfId="141"/>
    <cellStyle name="ErrorDropDown 3 2 4 2 4" xfId="141"/>
    <cellStyle name="ErrorDropDown 3 2 4 2 5" xfId="141"/>
    <cellStyle name="ErrorDropDown 3 2 4 3" xfId="141"/>
    <cellStyle name="ErrorDropDown 3 2 4 3 2" xfId="141"/>
    <cellStyle name="ErrorDropDown 3 2 4 3 3" xfId="141"/>
    <cellStyle name="ErrorDropDown 3 2 4 3 4" xfId="141"/>
    <cellStyle name="ErrorDropDown 3 2 4 4" xfId="141"/>
    <cellStyle name="ErrorDropDown 3 2 4 5" xfId="141"/>
    <cellStyle name="ErrorDropDown 3 2 4 6" xfId="141"/>
    <cellStyle name="ErrorDropDown 3 2 4 7" xfId="141"/>
    <cellStyle name="ErrorDropDown 3 2 4 8" xfId="141"/>
    <cellStyle name="ErrorDropDown 3 2 5" xfId="141"/>
    <cellStyle name="ErrorDropDown 3 2 5 2" xfId="141"/>
    <cellStyle name="ErrorDropDown 3 2 5 2 2" xfId="141"/>
    <cellStyle name="ErrorDropDown 3 2 5 2 3" xfId="141"/>
    <cellStyle name="ErrorDropDown 3 2 5 2 4" xfId="141"/>
    <cellStyle name="ErrorDropDown 3 2 5 2 5" xfId="141"/>
    <cellStyle name="ErrorDropDown 3 2 5 3" xfId="141"/>
    <cellStyle name="ErrorDropDown 3 2 5 3 2" xfId="141"/>
    <cellStyle name="ErrorDropDown 3 2 5 3 3" xfId="141"/>
    <cellStyle name="ErrorDropDown 3 2 5 3 4" xfId="141"/>
    <cellStyle name="ErrorDropDown 3 2 5 4" xfId="141"/>
    <cellStyle name="ErrorDropDown 3 2 5 5" xfId="141"/>
    <cellStyle name="ErrorDropDown 3 2 5 6" xfId="141"/>
    <cellStyle name="ErrorDropDown 3 2 5 7" xfId="141"/>
    <cellStyle name="ErrorDropDown 3 2 5 8" xfId="141"/>
    <cellStyle name="ErrorDropDown 3 2 6" xfId="141"/>
    <cellStyle name="ErrorDropDown 3 2 6 2" xfId="141"/>
    <cellStyle name="ErrorDropDown 3 2 6 3" xfId="141"/>
    <cellStyle name="ErrorDropDown 3 2 6 4" xfId="141"/>
    <cellStyle name="ErrorDropDown 3 2 6 5" xfId="141"/>
    <cellStyle name="ErrorDropDown 3 2 7" xfId="141"/>
    <cellStyle name="ErrorDropDown 3 2 7 2" xfId="141"/>
    <cellStyle name="ErrorDropDown 3 2 7 3" xfId="141"/>
    <cellStyle name="ErrorDropDown 3 2 7 4" xfId="141"/>
    <cellStyle name="ErrorDropDown 3 2 8" xfId="141"/>
    <cellStyle name="ErrorDropDown 3 2 9" xfId="141"/>
    <cellStyle name="ErrorDropDown 3 3" xfId="141"/>
    <cellStyle name="ErrorDropDown 3 3 10" xfId="141"/>
    <cellStyle name="ErrorDropDown 3 3 11" xfId="141"/>
    <cellStyle name="ErrorDropDown 3 3 12" xfId="141"/>
    <cellStyle name="ErrorDropDown 3 3 2" xfId="141"/>
    <cellStyle name="ErrorDropDown 3 3 2 2" xfId="141"/>
    <cellStyle name="ErrorDropDown 3 3 2 2 2" xfId="141"/>
    <cellStyle name="ErrorDropDown 3 3 2 2 3" xfId="141"/>
    <cellStyle name="ErrorDropDown 3 3 2 2 4" xfId="141"/>
    <cellStyle name="ErrorDropDown 3 3 2 2 5" xfId="141"/>
    <cellStyle name="ErrorDropDown 3 3 2 3" xfId="141"/>
    <cellStyle name="ErrorDropDown 3 3 2 3 2" xfId="141"/>
    <cellStyle name="ErrorDropDown 3 3 2 3 3" xfId="141"/>
    <cellStyle name="ErrorDropDown 3 3 2 3 4" xfId="141"/>
    <cellStyle name="ErrorDropDown 3 3 2 4" xfId="141"/>
    <cellStyle name="ErrorDropDown 3 3 2 5" xfId="141"/>
    <cellStyle name="ErrorDropDown 3 3 2 6" xfId="141"/>
    <cellStyle name="ErrorDropDown 3 3 2 7" xfId="141"/>
    <cellStyle name="ErrorDropDown 3 3 2 8" xfId="141"/>
    <cellStyle name="ErrorDropDown 3 3 3" xfId="141"/>
    <cellStyle name="ErrorDropDown 3 3 3 2" xfId="141"/>
    <cellStyle name="ErrorDropDown 3 3 3 2 2" xfId="141"/>
    <cellStyle name="ErrorDropDown 3 3 3 2 3" xfId="141"/>
    <cellStyle name="ErrorDropDown 3 3 3 2 4" xfId="141"/>
    <cellStyle name="ErrorDropDown 3 3 3 2 5" xfId="141"/>
    <cellStyle name="ErrorDropDown 3 3 3 3" xfId="141"/>
    <cellStyle name="ErrorDropDown 3 3 3 3 2" xfId="141"/>
    <cellStyle name="ErrorDropDown 3 3 3 3 3" xfId="141"/>
    <cellStyle name="ErrorDropDown 3 3 3 3 4" xfId="141"/>
    <cellStyle name="ErrorDropDown 3 3 3 4" xfId="141"/>
    <cellStyle name="ErrorDropDown 3 3 3 5" xfId="141"/>
    <cellStyle name="ErrorDropDown 3 3 3 6" xfId="141"/>
    <cellStyle name="ErrorDropDown 3 3 3 7" xfId="141"/>
    <cellStyle name="ErrorDropDown 3 3 3 8" xfId="141"/>
    <cellStyle name="ErrorDropDown 3 3 4" xfId="141"/>
    <cellStyle name="ErrorDropDown 3 3 4 2" xfId="141"/>
    <cellStyle name="ErrorDropDown 3 3 4 2 2" xfId="141"/>
    <cellStyle name="ErrorDropDown 3 3 4 2 3" xfId="141"/>
    <cellStyle name="ErrorDropDown 3 3 4 2 4" xfId="141"/>
    <cellStyle name="ErrorDropDown 3 3 4 2 5" xfId="141"/>
    <cellStyle name="ErrorDropDown 3 3 4 3" xfId="141"/>
    <cellStyle name="ErrorDropDown 3 3 4 3 2" xfId="141"/>
    <cellStyle name="ErrorDropDown 3 3 4 3 3" xfId="141"/>
    <cellStyle name="ErrorDropDown 3 3 4 3 4" xfId="141"/>
    <cellStyle name="ErrorDropDown 3 3 4 4" xfId="141"/>
    <cellStyle name="ErrorDropDown 3 3 4 5" xfId="141"/>
    <cellStyle name="ErrorDropDown 3 3 4 6" xfId="141"/>
    <cellStyle name="ErrorDropDown 3 3 4 7" xfId="141"/>
    <cellStyle name="ErrorDropDown 3 3 4 8" xfId="141"/>
    <cellStyle name="ErrorDropDown 3 3 5" xfId="141"/>
    <cellStyle name="ErrorDropDown 3 3 5 2" xfId="141"/>
    <cellStyle name="ErrorDropDown 3 3 5 2 2" xfId="141"/>
    <cellStyle name="ErrorDropDown 3 3 5 2 3" xfId="141"/>
    <cellStyle name="ErrorDropDown 3 3 5 2 4" xfId="141"/>
    <cellStyle name="ErrorDropDown 3 3 5 2 5" xfId="141"/>
    <cellStyle name="ErrorDropDown 3 3 5 3" xfId="141"/>
    <cellStyle name="ErrorDropDown 3 3 5 3 2" xfId="141"/>
    <cellStyle name="ErrorDropDown 3 3 5 3 3" xfId="141"/>
    <cellStyle name="ErrorDropDown 3 3 5 3 4" xfId="141"/>
    <cellStyle name="ErrorDropDown 3 3 5 4" xfId="141"/>
    <cellStyle name="ErrorDropDown 3 3 5 5" xfId="141"/>
    <cellStyle name="ErrorDropDown 3 3 5 6" xfId="141"/>
    <cellStyle name="ErrorDropDown 3 3 5 7" xfId="141"/>
    <cellStyle name="ErrorDropDown 3 3 5 8" xfId="141"/>
    <cellStyle name="ErrorDropDown 3 3 6" xfId="141"/>
    <cellStyle name="ErrorDropDown 3 3 6 2" xfId="141"/>
    <cellStyle name="ErrorDropDown 3 3 6 3" xfId="141"/>
    <cellStyle name="ErrorDropDown 3 3 6 4" xfId="141"/>
    <cellStyle name="ErrorDropDown 3 3 6 5" xfId="141"/>
    <cellStyle name="ErrorDropDown 3 3 7" xfId="141"/>
    <cellStyle name="ErrorDropDown 3 3 7 2" xfId="141"/>
    <cellStyle name="ErrorDropDown 3 3 7 3" xfId="141"/>
    <cellStyle name="ErrorDropDown 3 3 7 4" xfId="141"/>
    <cellStyle name="ErrorDropDown 3 3 8" xfId="141"/>
    <cellStyle name="ErrorDropDown 3 3 9" xfId="141"/>
    <cellStyle name="ErrorDropDown 3 4" xfId="141"/>
    <cellStyle name="ErrorDropDown 3 4 2" xfId="141"/>
    <cellStyle name="ErrorDropDown 3 4 2 2" xfId="141"/>
    <cellStyle name="ErrorDropDown 3 4 2 3" xfId="141"/>
    <cellStyle name="ErrorDropDown 3 4 2 4" xfId="141"/>
    <cellStyle name="ErrorDropDown 3 4 2 5" xfId="141"/>
    <cellStyle name="ErrorDropDown 3 4 3" xfId="141"/>
    <cellStyle name="ErrorDropDown 3 4 3 2" xfId="141"/>
    <cellStyle name="ErrorDropDown 3 4 3 3" xfId="141"/>
    <cellStyle name="ErrorDropDown 3 4 3 4" xfId="141"/>
    <cellStyle name="ErrorDropDown 3 4 4" xfId="141"/>
    <cellStyle name="ErrorDropDown 3 4 5" xfId="141"/>
    <cellStyle name="ErrorDropDown 3 4 6" xfId="141"/>
    <cellStyle name="ErrorDropDown 3 4 7" xfId="141"/>
    <cellStyle name="ErrorDropDown 3 4 8" xfId="141"/>
    <cellStyle name="ErrorDropDown 3 5" xfId="141"/>
    <cellStyle name="ErrorDropDown 3 5 2" xfId="141"/>
    <cellStyle name="ErrorDropDown 3 5 2 2" xfId="141"/>
    <cellStyle name="ErrorDropDown 3 5 2 3" xfId="141"/>
    <cellStyle name="ErrorDropDown 3 5 2 4" xfId="141"/>
    <cellStyle name="ErrorDropDown 3 5 2 5" xfId="141"/>
    <cellStyle name="ErrorDropDown 3 5 3" xfId="141"/>
    <cellStyle name="ErrorDropDown 3 5 3 2" xfId="141"/>
    <cellStyle name="ErrorDropDown 3 5 3 3" xfId="141"/>
    <cellStyle name="ErrorDropDown 3 5 3 4" xfId="141"/>
    <cellStyle name="ErrorDropDown 3 5 4" xfId="141"/>
    <cellStyle name="ErrorDropDown 3 5 5" xfId="141"/>
    <cellStyle name="ErrorDropDown 3 5 6" xfId="141"/>
    <cellStyle name="ErrorDropDown 3 5 7" xfId="141"/>
    <cellStyle name="ErrorDropDown 3 5 8" xfId="141"/>
    <cellStyle name="ErrorDropDown 3 6" xfId="141"/>
    <cellStyle name="ErrorDropDown 3 6 2" xfId="141"/>
    <cellStyle name="ErrorDropDown 3 6 2 2" xfId="141"/>
    <cellStyle name="ErrorDropDown 3 6 2 3" xfId="141"/>
    <cellStyle name="ErrorDropDown 3 6 2 4" xfId="141"/>
    <cellStyle name="ErrorDropDown 3 6 2 5" xfId="141"/>
    <cellStyle name="ErrorDropDown 3 6 3" xfId="141"/>
    <cellStyle name="ErrorDropDown 3 6 3 2" xfId="141"/>
    <cellStyle name="ErrorDropDown 3 6 3 3" xfId="141"/>
    <cellStyle name="ErrorDropDown 3 6 3 4" xfId="141"/>
    <cellStyle name="ErrorDropDown 3 6 4" xfId="141"/>
    <cellStyle name="ErrorDropDown 3 6 5" xfId="141"/>
    <cellStyle name="ErrorDropDown 3 6 6" xfId="141"/>
    <cellStyle name="ErrorDropDown 3 6 7" xfId="141"/>
    <cellStyle name="ErrorDropDown 3 6 8" xfId="141"/>
    <cellStyle name="ErrorDropDown 3 7" xfId="141"/>
    <cellStyle name="ErrorDropDown 3 7 2" xfId="141"/>
    <cellStyle name="ErrorDropDown 3 7 2 2" xfId="141"/>
    <cellStyle name="ErrorDropDown 3 7 2 3" xfId="141"/>
    <cellStyle name="ErrorDropDown 3 7 2 4" xfId="141"/>
    <cellStyle name="ErrorDropDown 3 7 2 5" xfId="141"/>
    <cellStyle name="ErrorDropDown 3 7 3" xfId="141"/>
    <cellStyle name="ErrorDropDown 3 7 3 2" xfId="141"/>
    <cellStyle name="ErrorDropDown 3 7 3 3" xfId="141"/>
    <cellStyle name="ErrorDropDown 3 7 3 4" xfId="141"/>
    <cellStyle name="ErrorDropDown 3 7 4" xfId="141"/>
    <cellStyle name="ErrorDropDown 3 7 5" xfId="141"/>
    <cellStyle name="ErrorDropDown 3 7 6" xfId="141"/>
    <cellStyle name="ErrorDropDown 3 7 7" xfId="141"/>
    <cellStyle name="ErrorDropDown 3 7 8" xfId="141"/>
    <cellStyle name="ErrorDropDown 3 8" xfId="141"/>
    <cellStyle name="ErrorDropDown 3 8 2" xfId="141"/>
    <cellStyle name="ErrorDropDown 3 8 3" xfId="141"/>
    <cellStyle name="ErrorDropDown 3 8 4" xfId="141"/>
    <cellStyle name="ErrorDropDown 3 8 5" xfId="141"/>
    <cellStyle name="ErrorDropDown 3 9" xfId="141"/>
    <cellStyle name="ErrorDropDown 3 9 2" xfId="141"/>
    <cellStyle name="ErrorDropDown 3 9 3" xfId="141"/>
    <cellStyle name="ErrorDropDown 3 9 4" xfId="141"/>
    <cellStyle name="ErrorDropDown 4" xfId="141"/>
    <cellStyle name="ErrorDropDown 4 2" xfId="141"/>
    <cellStyle name="ErrorDropDown 4 2 2" xfId="141"/>
    <cellStyle name="ErrorDropDown 4 2 2 2" xfId="141"/>
    <cellStyle name="ErrorDropDown 4 2 2 3" xfId="141"/>
    <cellStyle name="ErrorDropDown 4 2 2 4" xfId="141"/>
    <cellStyle name="ErrorDropDown 4 2 2 5" xfId="141"/>
    <cellStyle name="ErrorDropDown 4 2 3" xfId="141"/>
    <cellStyle name="ErrorDropDown 4 2 3 2" xfId="141"/>
    <cellStyle name="ErrorDropDown 4 2 3 3" xfId="141"/>
    <cellStyle name="ErrorDropDown 4 2 3 4" xfId="141"/>
    <cellStyle name="ErrorDropDown 4 2 4" xfId="141"/>
    <cellStyle name="ErrorDropDown 4 2 5" xfId="141"/>
    <cellStyle name="ErrorDropDown 4 2 6" xfId="141"/>
    <cellStyle name="ErrorDropDown 4 2 7" xfId="141"/>
    <cellStyle name="ErrorDropDown 4 2 8" xfId="141"/>
    <cellStyle name="ErrorDropDown 4 3" xfId="141"/>
    <cellStyle name="ErrorDropDown 4 3 2" xfId="141"/>
    <cellStyle name="ErrorDropDown 4 3 2 2" xfId="141"/>
    <cellStyle name="ErrorDropDown 4 3 2 3" xfId="141"/>
    <cellStyle name="ErrorDropDown 4 3 2 4" xfId="141"/>
    <cellStyle name="ErrorDropDown 4 3 2 5" xfId="141"/>
    <cellStyle name="ErrorDropDown 4 3 3" xfId="141"/>
    <cellStyle name="ErrorDropDown 4 3 3 2" xfId="141"/>
    <cellStyle name="ErrorDropDown 4 3 3 3" xfId="141"/>
    <cellStyle name="ErrorDropDown 4 3 3 4" xfId="141"/>
    <cellStyle name="ErrorDropDown 4 3 4" xfId="141"/>
    <cellStyle name="ErrorDropDown 4 3 5" xfId="141"/>
    <cellStyle name="ErrorDropDown 4 3 6" xfId="141"/>
    <cellStyle name="ErrorDropDown 4 3 7" xfId="141"/>
    <cellStyle name="ErrorDropDown 4 4" xfId="141"/>
    <cellStyle name="ErrorDropDown 4 4 2" xfId="141"/>
    <cellStyle name="ErrorDropDown 4 4 3" xfId="141"/>
    <cellStyle name="ErrorDropDown 4 4 4" xfId="141"/>
    <cellStyle name="ErrorDropDown 4 4 5" xfId="141"/>
    <cellStyle name="ErrorDropDown 4 5" xfId="141"/>
    <cellStyle name="ErrorDropDown 4 5 2" xfId="141"/>
    <cellStyle name="ErrorDropDown 4 5 3" xfId="141"/>
    <cellStyle name="ErrorDropDown 4 5 4" xfId="141"/>
    <cellStyle name="ErrorDropDown 4 6" xfId="141"/>
    <cellStyle name="ErrorDropDown 4 7" xfId="141"/>
    <cellStyle name="ErrorDropDown 4 8" xfId="141"/>
    <cellStyle name="ErrorDropDown 4 9" xfId="141"/>
    <cellStyle name="ErrorDropDown 5" xfId="141"/>
    <cellStyle name="ErrorDropDown 5 2" xfId="141"/>
    <cellStyle name="ErrorDropDown 5 2 2" xfId="141"/>
    <cellStyle name="ErrorDropDown 5 2 3" xfId="141"/>
    <cellStyle name="ErrorDropDown 5 2 4" xfId="141"/>
    <cellStyle name="ErrorDropDown 5 2 5" xfId="141"/>
    <cellStyle name="ErrorDropDown 5 3" xfId="141"/>
    <cellStyle name="ErrorDropDown 5 3 2" xfId="141"/>
    <cellStyle name="ErrorDropDown 5 3 3" xfId="141"/>
    <cellStyle name="ErrorDropDown 5 3 4" xfId="141"/>
    <cellStyle name="ErrorDropDown 5 4" xfId="141"/>
    <cellStyle name="ErrorDropDown 5 5" xfId="141"/>
    <cellStyle name="ErrorDropDown 5 6" xfId="141"/>
    <cellStyle name="ErrorDropDown 5 7" xfId="141"/>
    <cellStyle name="ErrorDropDown 5 8" xfId="141"/>
    <cellStyle name="ErrorDropDown 6" xfId="141"/>
    <cellStyle name="ErrorDropDown 6 2" xfId="141"/>
    <cellStyle name="ErrorDropDown 6 3" xfId="141"/>
    <cellStyle name="ErrorDropDown 6 4" xfId="141"/>
    <cellStyle name="ErrorDropDown 6 5" xfId="141"/>
    <cellStyle name="ErrorDropDown 7" xfId="141"/>
    <cellStyle name="ErrorDropDown 8" xfId="141"/>
    <cellStyle name="ErrorDropDownCenter" xfId="141"/>
    <cellStyle name="ErrorDropDownCenter 2" xfId="141"/>
    <cellStyle name="ErrorDropDownCenter 2 10" xfId="141"/>
    <cellStyle name="ErrorDropDownCenter 2 11" xfId="141"/>
    <cellStyle name="ErrorDropDownCenter 2 12" xfId="141"/>
    <cellStyle name="ErrorDropDownCenter 2 13" xfId="141"/>
    <cellStyle name="ErrorDropDownCenter 2 14" xfId="141"/>
    <cellStyle name="ErrorDropDownCenter 2 2" xfId="141"/>
    <cellStyle name="ErrorDropDownCenter 2 2 10" xfId="141"/>
    <cellStyle name="ErrorDropDownCenter 2 2 11" xfId="141"/>
    <cellStyle name="ErrorDropDownCenter 2 2 12" xfId="141"/>
    <cellStyle name="ErrorDropDownCenter 2 2 13" xfId="141"/>
    <cellStyle name="ErrorDropDownCenter 2 2 14" xfId="141"/>
    <cellStyle name="ErrorDropDownCenter 2 2 2" xfId="141"/>
    <cellStyle name="ErrorDropDownCenter 2 2 2 10" xfId="141"/>
    <cellStyle name="ErrorDropDownCenter 2 2 2 11" xfId="141"/>
    <cellStyle name="ErrorDropDownCenter 2 2 2 12" xfId="141"/>
    <cellStyle name="ErrorDropDownCenter 2 2 2 2" xfId="141"/>
    <cellStyle name="ErrorDropDownCenter 2 2 2 2 2" xfId="141"/>
    <cellStyle name="ErrorDropDownCenter 2 2 2 2 2 2" xfId="141"/>
    <cellStyle name="ErrorDropDownCenter 2 2 2 2 2 3" xfId="141"/>
    <cellStyle name="ErrorDropDownCenter 2 2 2 2 2 4" xfId="141"/>
    <cellStyle name="ErrorDropDownCenter 2 2 2 2 2 5" xfId="141"/>
    <cellStyle name="ErrorDropDownCenter 2 2 2 2 3" xfId="141"/>
    <cellStyle name="ErrorDropDownCenter 2 2 2 2 3 2" xfId="141"/>
    <cellStyle name="ErrorDropDownCenter 2 2 2 2 3 3" xfId="141"/>
    <cellStyle name="ErrorDropDownCenter 2 2 2 2 3 4" xfId="141"/>
    <cellStyle name="ErrorDropDownCenter 2 2 2 2 4" xfId="141"/>
    <cellStyle name="ErrorDropDownCenter 2 2 2 2 5" xfId="141"/>
    <cellStyle name="ErrorDropDownCenter 2 2 2 2 6" xfId="141"/>
    <cellStyle name="ErrorDropDownCenter 2 2 2 2 7" xfId="141"/>
    <cellStyle name="ErrorDropDownCenter 2 2 2 2 8" xfId="141"/>
    <cellStyle name="ErrorDropDownCenter 2 2 2 3" xfId="141"/>
    <cellStyle name="ErrorDropDownCenter 2 2 2 3 2" xfId="141"/>
    <cellStyle name="ErrorDropDownCenter 2 2 2 3 2 2" xfId="141"/>
    <cellStyle name="ErrorDropDownCenter 2 2 2 3 2 3" xfId="141"/>
    <cellStyle name="ErrorDropDownCenter 2 2 2 3 2 4" xfId="141"/>
    <cellStyle name="ErrorDropDownCenter 2 2 2 3 2 5" xfId="141"/>
    <cellStyle name="ErrorDropDownCenter 2 2 2 3 3" xfId="141"/>
    <cellStyle name="ErrorDropDownCenter 2 2 2 3 3 2" xfId="141"/>
    <cellStyle name="ErrorDropDownCenter 2 2 2 3 3 3" xfId="141"/>
    <cellStyle name="ErrorDropDownCenter 2 2 2 3 3 4" xfId="141"/>
    <cellStyle name="ErrorDropDownCenter 2 2 2 3 4" xfId="141"/>
    <cellStyle name="ErrorDropDownCenter 2 2 2 3 5" xfId="141"/>
    <cellStyle name="ErrorDropDownCenter 2 2 2 3 6" xfId="141"/>
    <cellStyle name="ErrorDropDownCenter 2 2 2 3 7" xfId="141"/>
    <cellStyle name="ErrorDropDownCenter 2 2 2 3 8" xfId="141"/>
    <cellStyle name="ErrorDropDownCenter 2 2 2 4" xfId="141"/>
    <cellStyle name="ErrorDropDownCenter 2 2 2 4 2" xfId="141"/>
    <cellStyle name="ErrorDropDownCenter 2 2 2 4 2 2" xfId="141"/>
    <cellStyle name="ErrorDropDownCenter 2 2 2 4 2 3" xfId="141"/>
    <cellStyle name="ErrorDropDownCenter 2 2 2 4 2 4" xfId="141"/>
    <cellStyle name="ErrorDropDownCenter 2 2 2 4 2 5" xfId="141"/>
    <cellStyle name="ErrorDropDownCenter 2 2 2 4 3" xfId="141"/>
    <cellStyle name="ErrorDropDownCenter 2 2 2 4 3 2" xfId="141"/>
    <cellStyle name="ErrorDropDownCenter 2 2 2 4 3 3" xfId="141"/>
    <cellStyle name="ErrorDropDownCenter 2 2 2 4 3 4" xfId="141"/>
    <cellStyle name="ErrorDropDownCenter 2 2 2 4 4" xfId="141"/>
    <cellStyle name="ErrorDropDownCenter 2 2 2 4 5" xfId="141"/>
    <cellStyle name="ErrorDropDownCenter 2 2 2 4 6" xfId="141"/>
    <cellStyle name="ErrorDropDownCenter 2 2 2 4 7" xfId="141"/>
    <cellStyle name="ErrorDropDownCenter 2 2 2 4 8" xfId="141"/>
    <cellStyle name="ErrorDropDownCenter 2 2 2 5" xfId="141"/>
    <cellStyle name="ErrorDropDownCenter 2 2 2 5 2" xfId="141"/>
    <cellStyle name="ErrorDropDownCenter 2 2 2 5 2 2" xfId="141"/>
    <cellStyle name="ErrorDropDownCenter 2 2 2 5 2 3" xfId="141"/>
    <cellStyle name="ErrorDropDownCenter 2 2 2 5 2 4" xfId="141"/>
    <cellStyle name="ErrorDropDownCenter 2 2 2 5 2 5" xfId="141"/>
    <cellStyle name="ErrorDropDownCenter 2 2 2 5 3" xfId="141"/>
    <cellStyle name="ErrorDropDownCenter 2 2 2 5 3 2" xfId="141"/>
    <cellStyle name="ErrorDropDownCenter 2 2 2 5 3 3" xfId="141"/>
    <cellStyle name="ErrorDropDownCenter 2 2 2 5 3 4" xfId="141"/>
    <cellStyle name="ErrorDropDownCenter 2 2 2 5 4" xfId="141"/>
    <cellStyle name="ErrorDropDownCenter 2 2 2 5 5" xfId="141"/>
    <cellStyle name="ErrorDropDownCenter 2 2 2 5 6" xfId="141"/>
    <cellStyle name="ErrorDropDownCenter 2 2 2 5 7" xfId="141"/>
    <cellStyle name="ErrorDropDownCenter 2 2 2 5 8" xfId="141"/>
    <cellStyle name="ErrorDropDownCenter 2 2 2 6" xfId="141"/>
    <cellStyle name="ErrorDropDownCenter 2 2 2 6 2" xfId="141"/>
    <cellStyle name="ErrorDropDownCenter 2 2 2 6 3" xfId="141"/>
    <cellStyle name="ErrorDropDownCenter 2 2 2 6 4" xfId="141"/>
    <cellStyle name="ErrorDropDownCenter 2 2 2 6 5" xfId="141"/>
    <cellStyle name="ErrorDropDownCenter 2 2 2 7" xfId="141"/>
    <cellStyle name="ErrorDropDownCenter 2 2 2 7 2" xfId="141"/>
    <cellStyle name="ErrorDropDownCenter 2 2 2 7 3" xfId="141"/>
    <cellStyle name="ErrorDropDownCenter 2 2 2 7 4" xfId="141"/>
    <cellStyle name="ErrorDropDownCenter 2 2 2 8" xfId="141"/>
    <cellStyle name="ErrorDropDownCenter 2 2 2 9" xfId="141"/>
    <cellStyle name="ErrorDropDownCenter 2 2 3" xfId="141"/>
    <cellStyle name="ErrorDropDownCenter 2 2 3 10" xfId="141"/>
    <cellStyle name="ErrorDropDownCenter 2 2 3 11" xfId="141"/>
    <cellStyle name="ErrorDropDownCenter 2 2 3 12" xfId="141"/>
    <cellStyle name="ErrorDropDownCenter 2 2 3 2" xfId="141"/>
    <cellStyle name="ErrorDropDownCenter 2 2 3 2 2" xfId="141"/>
    <cellStyle name="ErrorDropDownCenter 2 2 3 2 2 2" xfId="141"/>
    <cellStyle name="ErrorDropDownCenter 2 2 3 2 2 3" xfId="141"/>
    <cellStyle name="ErrorDropDownCenter 2 2 3 2 2 4" xfId="141"/>
    <cellStyle name="ErrorDropDownCenter 2 2 3 2 2 5" xfId="141"/>
    <cellStyle name="ErrorDropDownCenter 2 2 3 2 3" xfId="141"/>
    <cellStyle name="ErrorDropDownCenter 2 2 3 2 3 2" xfId="141"/>
    <cellStyle name="ErrorDropDownCenter 2 2 3 2 3 3" xfId="141"/>
    <cellStyle name="ErrorDropDownCenter 2 2 3 2 3 4" xfId="141"/>
    <cellStyle name="ErrorDropDownCenter 2 2 3 2 4" xfId="141"/>
    <cellStyle name="ErrorDropDownCenter 2 2 3 2 5" xfId="141"/>
    <cellStyle name="ErrorDropDownCenter 2 2 3 2 6" xfId="141"/>
    <cellStyle name="ErrorDropDownCenter 2 2 3 2 7" xfId="141"/>
    <cellStyle name="ErrorDropDownCenter 2 2 3 2 8" xfId="141"/>
    <cellStyle name="ErrorDropDownCenter 2 2 3 3" xfId="141"/>
    <cellStyle name="ErrorDropDownCenter 2 2 3 3 2" xfId="141"/>
    <cellStyle name="ErrorDropDownCenter 2 2 3 3 2 2" xfId="141"/>
    <cellStyle name="ErrorDropDownCenter 2 2 3 3 2 3" xfId="141"/>
    <cellStyle name="ErrorDropDownCenter 2 2 3 3 2 4" xfId="141"/>
    <cellStyle name="ErrorDropDownCenter 2 2 3 3 2 5" xfId="141"/>
    <cellStyle name="ErrorDropDownCenter 2 2 3 3 3" xfId="141"/>
    <cellStyle name="ErrorDropDownCenter 2 2 3 3 3 2" xfId="141"/>
    <cellStyle name="ErrorDropDownCenter 2 2 3 3 3 3" xfId="141"/>
    <cellStyle name="ErrorDropDownCenter 2 2 3 3 3 4" xfId="141"/>
    <cellStyle name="ErrorDropDownCenter 2 2 3 3 4" xfId="141"/>
    <cellStyle name="ErrorDropDownCenter 2 2 3 3 5" xfId="141"/>
    <cellStyle name="ErrorDropDownCenter 2 2 3 3 6" xfId="141"/>
    <cellStyle name="ErrorDropDownCenter 2 2 3 3 7" xfId="141"/>
    <cellStyle name="ErrorDropDownCenter 2 2 3 3 8" xfId="141"/>
    <cellStyle name="ErrorDropDownCenter 2 2 3 4" xfId="141"/>
    <cellStyle name="ErrorDropDownCenter 2 2 3 4 2" xfId="141"/>
    <cellStyle name="ErrorDropDownCenter 2 2 3 4 2 2" xfId="141"/>
    <cellStyle name="ErrorDropDownCenter 2 2 3 4 2 3" xfId="141"/>
    <cellStyle name="ErrorDropDownCenter 2 2 3 4 2 4" xfId="141"/>
    <cellStyle name="ErrorDropDownCenter 2 2 3 4 2 5" xfId="141"/>
    <cellStyle name="ErrorDropDownCenter 2 2 3 4 3" xfId="141"/>
    <cellStyle name="ErrorDropDownCenter 2 2 3 4 3 2" xfId="141"/>
    <cellStyle name="ErrorDropDownCenter 2 2 3 4 3 3" xfId="141"/>
    <cellStyle name="ErrorDropDownCenter 2 2 3 4 3 4" xfId="141"/>
    <cellStyle name="ErrorDropDownCenter 2 2 3 4 4" xfId="141"/>
    <cellStyle name="ErrorDropDownCenter 2 2 3 4 5" xfId="141"/>
    <cellStyle name="ErrorDropDownCenter 2 2 3 4 6" xfId="141"/>
    <cellStyle name="ErrorDropDownCenter 2 2 3 4 7" xfId="141"/>
    <cellStyle name="ErrorDropDownCenter 2 2 3 4 8" xfId="141"/>
    <cellStyle name="ErrorDropDownCenter 2 2 3 5" xfId="141"/>
    <cellStyle name="ErrorDropDownCenter 2 2 3 5 2" xfId="141"/>
    <cellStyle name="ErrorDropDownCenter 2 2 3 5 2 2" xfId="141"/>
    <cellStyle name="ErrorDropDownCenter 2 2 3 5 2 3" xfId="141"/>
    <cellStyle name="ErrorDropDownCenter 2 2 3 5 2 4" xfId="141"/>
    <cellStyle name="ErrorDropDownCenter 2 2 3 5 2 5" xfId="141"/>
    <cellStyle name="ErrorDropDownCenter 2 2 3 5 3" xfId="141"/>
    <cellStyle name="ErrorDropDownCenter 2 2 3 5 3 2" xfId="141"/>
    <cellStyle name="ErrorDropDownCenter 2 2 3 5 3 3" xfId="141"/>
    <cellStyle name="ErrorDropDownCenter 2 2 3 5 3 4" xfId="141"/>
    <cellStyle name="ErrorDropDownCenter 2 2 3 5 4" xfId="141"/>
    <cellStyle name="ErrorDropDownCenter 2 2 3 5 5" xfId="141"/>
    <cellStyle name="ErrorDropDownCenter 2 2 3 5 6" xfId="141"/>
    <cellStyle name="ErrorDropDownCenter 2 2 3 5 7" xfId="141"/>
    <cellStyle name="ErrorDropDownCenter 2 2 3 5 8" xfId="141"/>
    <cellStyle name="ErrorDropDownCenter 2 2 3 6" xfId="141"/>
    <cellStyle name="ErrorDropDownCenter 2 2 3 6 2" xfId="141"/>
    <cellStyle name="ErrorDropDownCenter 2 2 3 6 3" xfId="141"/>
    <cellStyle name="ErrorDropDownCenter 2 2 3 6 4" xfId="141"/>
    <cellStyle name="ErrorDropDownCenter 2 2 3 6 5" xfId="141"/>
    <cellStyle name="ErrorDropDownCenter 2 2 3 7" xfId="141"/>
    <cellStyle name="ErrorDropDownCenter 2 2 3 7 2" xfId="141"/>
    <cellStyle name="ErrorDropDownCenter 2 2 3 7 3" xfId="141"/>
    <cellStyle name="ErrorDropDownCenter 2 2 3 7 4" xfId="141"/>
    <cellStyle name="ErrorDropDownCenter 2 2 3 8" xfId="141"/>
    <cellStyle name="ErrorDropDownCenter 2 2 3 9" xfId="141"/>
    <cellStyle name="ErrorDropDownCenter 2 2 4" xfId="141"/>
    <cellStyle name="ErrorDropDownCenter 2 2 4 2" xfId="141"/>
    <cellStyle name="ErrorDropDownCenter 2 2 4 2 2" xfId="141"/>
    <cellStyle name="ErrorDropDownCenter 2 2 4 2 3" xfId="141"/>
    <cellStyle name="ErrorDropDownCenter 2 2 4 2 4" xfId="141"/>
    <cellStyle name="ErrorDropDownCenter 2 2 4 2 5" xfId="141"/>
    <cellStyle name="ErrorDropDownCenter 2 2 4 3" xfId="141"/>
    <cellStyle name="ErrorDropDownCenter 2 2 4 3 2" xfId="141"/>
    <cellStyle name="ErrorDropDownCenter 2 2 4 3 3" xfId="141"/>
    <cellStyle name="ErrorDropDownCenter 2 2 4 3 4" xfId="141"/>
    <cellStyle name="ErrorDropDownCenter 2 2 4 4" xfId="141"/>
    <cellStyle name="ErrorDropDownCenter 2 2 4 5" xfId="141"/>
    <cellStyle name="ErrorDropDownCenter 2 2 4 6" xfId="141"/>
    <cellStyle name="ErrorDropDownCenter 2 2 4 7" xfId="141"/>
    <cellStyle name="ErrorDropDownCenter 2 2 4 8" xfId="141"/>
    <cellStyle name="ErrorDropDownCenter 2 2 5" xfId="141"/>
    <cellStyle name="ErrorDropDownCenter 2 2 5 2" xfId="141"/>
    <cellStyle name="ErrorDropDownCenter 2 2 5 2 2" xfId="141"/>
    <cellStyle name="ErrorDropDownCenter 2 2 5 2 3" xfId="141"/>
    <cellStyle name="ErrorDropDownCenter 2 2 5 2 4" xfId="141"/>
    <cellStyle name="ErrorDropDownCenter 2 2 5 2 5" xfId="141"/>
    <cellStyle name="ErrorDropDownCenter 2 2 5 3" xfId="141"/>
    <cellStyle name="ErrorDropDownCenter 2 2 5 3 2" xfId="141"/>
    <cellStyle name="ErrorDropDownCenter 2 2 5 3 3" xfId="141"/>
    <cellStyle name="ErrorDropDownCenter 2 2 5 3 4" xfId="141"/>
    <cellStyle name="ErrorDropDownCenter 2 2 5 4" xfId="141"/>
    <cellStyle name="ErrorDropDownCenter 2 2 5 5" xfId="141"/>
    <cellStyle name="ErrorDropDownCenter 2 2 5 6" xfId="141"/>
    <cellStyle name="ErrorDropDownCenter 2 2 5 7" xfId="141"/>
    <cellStyle name="ErrorDropDownCenter 2 2 5 8" xfId="141"/>
    <cellStyle name="ErrorDropDownCenter 2 2 6" xfId="141"/>
    <cellStyle name="ErrorDropDownCenter 2 2 6 2" xfId="141"/>
    <cellStyle name="ErrorDropDownCenter 2 2 6 2 2" xfId="141"/>
    <cellStyle name="ErrorDropDownCenter 2 2 6 2 3" xfId="141"/>
    <cellStyle name="ErrorDropDownCenter 2 2 6 2 4" xfId="141"/>
    <cellStyle name="ErrorDropDownCenter 2 2 6 2 5" xfId="141"/>
    <cellStyle name="ErrorDropDownCenter 2 2 6 3" xfId="141"/>
    <cellStyle name="ErrorDropDownCenter 2 2 6 3 2" xfId="141"/>
    <cellStyle name="ErrorDropDownCenter 2 2 6 3 3" xfId="141"/>
    <cellStyle name="ErrorDropDownCenter 2 2 6 3 4" xfId="141"/>
    <cellStyle name="ErrorDropDownCenter 2 2 6 4" xfId="141"/>
    <cellStyle name="ErrorDropDownCenter 2 2 6 5" xfId="141"/>
    <cellStyle name="ErrorDropDownCenter 2 2 6 6" xfId="141"/>
    <cellStyle name="ErrorDropDownCenter 2 2 6 7" xfId="141"/>
    <cellStyle name="ErrorDropDownCenter 2 2 6 8" xfId="141"/>
    <cellStyle name="ErrorDropDownCenter 2 2 7" xfId="141"/>
    <cellStyle name="ErrorDropDownCenter 2 2 7 2" xfId="141"/>
    <cellStyle name="ErrorDropDownCenter 2 2 7 2 2" xfId="141"/>
    <cellStyle name="ErrorDropDownCenter 2 2 7 2 3" xfId="141"/>
    <cellStyle name="ErrorDropDownCenter 2 2 7 2 4" xfId="141"/>
    <cellStyle name="ErrorDropDownCenter 2 2 7 2 5" xfId="141"/>
    <cellStyle name="ErrorDropDownCenter 2 2 7 3" xfId="141"/>
    <cellStyle name="ErrorDropDownCenter 2 2 7 3 2" xfId="141"/>
    <cellStyle name="ErrorDropDownCenter 2 2 7 3 3" xfId="141"/>
    <cellStyle name="ErrorDropDownCenter 2 2 7 3 4" xfId="141"/>
    <cellStyle name="ErrorDropDownCenter 2 2 7 4" xfId="141"/>
    <cellStyle name="ErrorDropDownCenter 2 2 7 5" xfId="141"/>
    <cellStyle name="ErrorDropDownCenter 2 2 7 6" xfId="141"/>
    <cellStyle name="ErrorDropDownCenter 2 2 7 7" xfId="141"/>
    <cellStyle name="ErrorDropDownCenter 2 2 7 8" xfId="141"/>
    <cellStyle name="ErrorDropDownCenter 2 2 8" xfId="141"/>
    <cellStyle name="ErrorDropDownCenter 2 2 8 2" xfId="141"/>
    <cellStyle name="ErrorDropDownCenter 2 2 8 3" xfId="141"/>
    <cellStyle name="ErrorDropDownCenter 2 2 8 4" xfId="141"/>
    <cellStyle name="ErrorDropDownCenter 2 2 8 5" xfId="141"/>
    <cellStyle name="ErrorDropDownCenter 2 2 9" xfId="141"/>
    <cellStyle name="ErrorDropDownCenter 2 2 9 2" xfId="141"/>
    <cellStyle name="ErrorDropDownCenter 2 2 9 3" xfId="141"/>
    <cellStyle name="ErrorDropDownCenter 2 2 9 4" xfId="141"/>
    <cellStyle name="ErrorDropDownCenter 2 3" xfId="141"/>
    <cellStyle name="ErrorDropDownCenter 2 3 10" xfId="141"/>
    <cellStyle name="ErrorDropDownCenter 2 3 11" xfId="141"/>
    <cellStyle name="ErrorDropDownCenter 2 3 12" xfId="141"/>
    <cellStyle name="ErrorDropDownCenter 2 3 2" xfId="141"/>
    <cellStyle name="ErrorDropDownCenter 2 3 2 2" xfId="141"/>
    <cellStyle name="ErrorDropDownCenter 2 3 2 2 2" xfId="141"/>
    <cellStyle name="ErrorDropDownCenter 2 3 2 2 3" xfId="141"/>
    <cellStyle name="ErrorDropDownCenter 2 3 2 2 4" xfId="141"/>
    <cellStyle name="ErrorDropDownCenter 2 3 2 2 5" xfId="141"/>
    <cellStyle name="ErrorDropDownCenter 2 3 2 3" xfId="141"/>
    <cellStyle name="ErrorDropDownCenter 2 3 2 3 2" xfId="141"/>
    <cellStyle name="ErrorDropDownCenter 2 3 2 3 3" xfId="141"/>
    <cellStyle name="ErrorDropDownCenter 2 3 2 3 4" xfId="141"/>
    <cellStyle name="ErrorDropDownCenter 2 3 2 4" xfId="141"/>
    <cellStyle name="ErrorDropDownCenter 2 3 2 5" xfId="141"/>
    <cellStyle name="ErrorDropDownCenter 2 3 2 6" xfId="141"/>
    <cellStyle name="ErrorDropDownCenter 2 3 2 7" xfId="141"/>
    <cellStyle name="ErrorDropDownCenter 2 3 2 8" xfId="141"/>
    <cellStyle name="ErrorDropDownCenter 2 3 3" xfId="141"/>
    <cellStyle name="ErrorDropDownCenter 2 3 3 2" xfId="141"/>
    <cellStyle name="ErrorDropDownCenter 2 3 3 2 2" xfId="141"/>
    <cellStyle name="ErrorDropDownCenter 2 3 3 2 3" xfId="141"/>
    <cellStyle name="ErrorDropDownCenter 2 3 3 2 4" xfId="141"/>
    <cellStyle name="ErrorDropDownCenter 2 3 3 2 5" xfId="141"/>
    <cellStyle name="ErrorDropDownCenter 2 3 3 3" xfId="141"/>
    <cellStyle name="ErrorDropDownCenter 2 3 3 3 2" xfId="141"/>
    <cellStyle name="ErrorDropDownCenter 2 3 3 3 3" xfId="141"/>
    <cellStyle name="ErrorDropDownCenter 2 3 3 3 4" xfId="141"/>
    <cellStyle name="ErrorDropDownCenter 2 3 3 4" xfId="141"/>
    <cellStyle name="ErrorDropDownCenter 2 3 3 5" xfId="141"/>
    <cellStyle name="ErrorDropDownCenter 2 3 3 6" xfId="141"/>
    <cellStyle name="ErrorDropDownCenter 2 3 3 7" xfId="141"/>
    <cellStyle name="ErrorDropDownCenter 2 3 3 8" xfId="141"/>
    <cellStyle name="ErrorDropDownCenter 2 3 4" xfId="141"/>
    <cellStyle name="ErrorDropDownCenter 2 3 4 2" xfId="141"/>
    <cellStyle name="ErrorDropDownCenter 2 3 4 2 2" xfId="141"/>
    <cellStyle name="ErrorDropDownCenter 2 3 4 2 3" xfId="141"/>
    <cellStyle name="ErrorDropDownCenter 2 3 4 2 4" xfId="141"/>
    <cellStyle name="ErrorDropDownCenter 2 3 4 2 5" xfId="141"/>
    <cellStyle name="ErrorDropDownCenter 2 3 4 3" xfId="141"/>
    <cellStyle name="ErrorDropDownCenter 2 3 4 3 2" xfId="141"/>
    <cellStyle name="ErrorDropDownCenter 2 3 4 3 3" xfId="141"/>
    <cellStyle name="ErrorDropDownCenter 2 3 4 3 4" xfId="141"/>
    <cellStyle name="ErrorDropDownCenter 2 3 4 4" xfId="141"/>
    <cellStyle name="ErrorDropDownCenter 2 3 4 5" xfId="141"/>
    <cellStyle name="ErrorDropDownCenter 2 3 4 6" xfId="141"/>
    <cellStyle name="ErrorDropDownCenter 2 3 4 7" xfId="141"/>
    <cellStyle name="ErrorDropDownCenter 2 3 4 8" xfId="141"/>
    <cellStyle name="ErrorDropDownCenter 2 3 5" xfId="141"/>
    <cellStyle name="ErrorDropDownCenter 2 3 5 2" xfId="141"/>
    <cellStyle name="ErrorDropDownCenter 2 3 5 2 2" xfId="141"/>
    <cellStyle name="ErrorDropDownCenter 2 3 5 2 3" xfId="141"/>
    <cellStyle name="ErrorDropDownCenter 2 3 5 2 4" xfId="141"/>
    <cellStyle name="ErrorDropDownCenter 2 3 5 2 5" xfId="141"/>
    <cellStyle name="ErrorDropDownCenter 2 3 5 3" xfId="141"/>
    <cellStyle name="ErrorDropDownCenter 2 3 5 3 2" xfId="141"/>
    <cellStyle name="ErrorDropDownCenter 2 3 5 3 3" xfId="141"/>
    <cellStyle name="ErrorDropDownCenter 2 3 5 3 4" xfId="141"/>
    <cellStyle name="ErrorDropDownCenter 2 3 5 4" xfId="141"/>
    <cellStyle name="ErrorDropDownCenter 2 3 5 5" xfId="141"/>
    <cellStyle name="ErrorDropDownCenter 2 3 5 6" xfId="141"/>
    <cellStyle name="ErrorDropDownCenter 2 3 5 7" xfId="141"/>
    <cellStyle name="ErrorDropDownCenter 2 3 5 8" xfId="141"/>
    <cellStyle name="ErrorDropDownCenter 2 3 6" xfId="141"/>
    <cellStyle name="ErrorDropDownCenter 2 3 6 2" xfId="141"/>
    <cellStyle name="ErrorDropDownCenter 2 3 6 3" xfId="141"/>
    <cellStyle name="ErrorDropDownCenter 2 3 6 4" xfId="141"/>
    <cellStyle name="ErrorDropDownCenter 2 3 6 5" xfId="141"/>
    <cellStyle name="ErrorDropDownCenter 2 3 7" xfId="141"/>
    <cellStyle name="ErrorDropDownCenter 2 3 7 2" xfId="141"/>
    <cellStyle name="ErrorDropDownCenter 2 3 7 3" xfId="141"/>
    <cellStyle name="ErrorDropDownCenter 2 3 7 4" xfId="141"/>
    <cellStyle name="ErrorDropDownCenter 2 3 8" xfId="141"/>
    <cellStyle name="ErrorDropDownCenter 2 3 9" xfId="141"/>
    <cellStyle name="ErrorDropDownCenter 2 4" xfId="141"/>
    <cellStyle name="ErrorDropDownCenter 2 4 2" xfId="141"/>
    <cellStyle name="ErrorDropDownCenter 2 4 2 2" xfId="141"/>
    <cellStyle name="ErrorDropDownCenter 2 4 2 3" xfId="141"/>
    <cellStyle name="ErrorDropDownCenter 2 4 2 4" xfId="141"/>
    <cellStyle name="ErrorDropDownCenter 2 4 2 5" xfId="141"/>
    <cellStyle name="ErrorDropDownCenter 2 4 3" xfId="141"/>
    <cellStyle name="ErrorDropDownCenter 2 4 3 2" xfId="141"/>
    <cellStyle name="ErrorDropDownCenter 2 4 3 3" xfId="141"/>
    <cellStyle name="ErrorDropDownCenter 2 4 3 4" xfId="141"/>
    <cellStyle name="ErrorDropDownCenter 2 4 4" xfId="141"/>
    <cellStyle name="ErrorDropDownCenter 2 4 5" xfId="141"/>
    <cellStyle name="ErrorDropDownCenter 2 4 6" xfId="141"/>
    <cellStyle name="ErrorDropDownCenter 2 4 7" xfId="141"/>
    <cellStyle name="ErrorDropDownCenter 2 4 8" xfId="141"/>
    <cellStyle name="ErrorDropDownCenter 2 5" xfId="141"/>
    <cellStyle name="ErrorDropDownCenter 2 5 2" xfId="141"/>
    <cellStyle name="ErrorDropDownCenter 2 5 2 2" xfId="141"/>
    <cellStyle name="ErrorDropDownCenter 2 5 2 3" xfId="141"/>
    <cellStyle name="ErrorDropDownCenter 2 5 2 4" xfId="141"/>
    <cellStyle name="ErrorDropDownCenter 2 5 2 5" xfId="141"/>
    <cellStyle name="ErrorDropDownCenter 2 5 3" xfId="141"/>
    <cellStyle name="ErrorDropDownCenter 2 5 3 2" xfId="141"/>
    <cellStyle name="ErrorDropDownCenter 2 5 3 3" xfId="141"/>
    <cellStyle name="ErrorDropDownCenter 2 5 3 4" xfId="141"/>
    <cellStyle name="ErrorDropDownCenter 2 5 4" xfId="141"/>
    <cellStyle name="ErrorDropDownCenter 2 5 5" xfId="141"/>
    <cellStyle name="ErrorDropDownCenter 2 5 6" xfId="141"/>
    <cellStyle name="ErrorDropDownCenter 2 5 7" xfId="141"/>
    <cellStyle name="ErrorDropDownCenter 2 5 8" xfId="141"/>
    <cellStyle name="ErrorDropDownCenter 2 6" xfId="141"/>
    <cellStyle name="ErrorDropDownCenter 2 6 2" xfId="141"/>
    <cellStyle name="ErrorDropDownCenter 2 6 2 2" xfId="141"/>
    <cellStyle name="ErrorDropDownCenter 2 6 2 3" xfId="141"/>
    <cellStyle name="ErrorDropDownCenter 2 6 2 4" xfId="141"/>
    <cellStyle name="ErrorDropDownCenter 2 6 2 5" xfId="141"/>
    <cellStyle name="ErrorDropDownCenter 2 6 3" xfId="141"/>
    <cellStyle name="ErrorDropDownCenter 2 6 3 2" xfId="141"/>
    <cellStyle name="ErrorDropDownCenter 2 6 3 3" xfId="141"/>
    <cellStyle name="ErrorDropDownCenter 2 6 3 4" xfId="141"/>
    <cellStyle name="ErrorDropDownCenter 2 6 4" xfId="141"/>
    <cellStyle name="ErrorDropDownCenter 2 6 5" xfId="141"/>
    <cellStyle name="ErrorDropDownCenter 2 6 6" xfId="141"/>
    <cellStyle name="ErrorDropDownCenter 2 6 7" xfId="141"/>
    <cellStyle name="ErrorDropDownCenter 2 6 8" xfId="141"/>
    <cellStyle name="ErrorDropDownCenter 2 7" xfId="141"/>
    <cellStyle name="ErrorDropDownCenter 2 7 2" xfId="141"/>
    <cellStyle name="ErrorDropDownCenter 2 7 2 2" xfId="141"/>
    <cellStyle name="ErrorDropDownCenter 2 7 2 3" xfId="141"/>
    <cellStyle name="ErrorDropDownCenter 2 7 2 4" xfId="141"/>
    <cellStyle name="ErrorDropDownCenter 2 7 2 5" xfId="141"/>
    <cellStyle name="ErrorDropDownCenter 2 7 3" xfId="141"/>
    <cellStyle name="ErrorDropDownCenter 2 7 3 2" xfId="141"/>
    <cellStyle name="ErrorDropDownCenter 2 7 3 3" xfId="141"/>
    <cellStyle name="ErrorDropDownCenter 2 7 3 4" xfId="141"/>
    <cellStyle name="ErrorDropDownCenter 2 7 4" xfId="141"/>
    <cellStyle name="ErrorDropDownCenter 2 7 5" xfId="141"/>
    <cellStyle name="ErrorDropDownCenter 2 7 6" xfId="141"/>
    <cellStyle name="ErrorDropDownCenter 2 7 7" xfId="141"/>
    <cellStyle name="ErrorDropDownCenter 2 7 8" xfId="141"/>
    <cellStyle name="ErrorDropDownCenter 2 8" xfId="141"/>
    <cellStyle name="ErrorDropDownCenter 2 8 2" xfId="141"/>
    <cellStyle name="ErrorDropDownCenter 2 8 3" xfId="141"/>
    <cellStyle name="ErrorDropDownCenter 2 8 4" xfId="141"/>
    <cellStyle name="ErrorDropDownCenter 2 8 5" xfId="141"/>
    <cellStyle name="ErrorDropDownCenter 2 9" xfId="141"/>
    <cellStyle name="ErrorDropDownCenter 2 9 2" xfId="141"/>
    <cellStyle name="ErrorDropDownCenter 2 9 3" xfId="141"/>
    <cellStyle name="ErrorDropDownCenter 2 9 4" xfId="141"/>
    <cellStyle name="ErrorDropDownCenter 3" xfId="141"/>
    <cellStyle name="ErrorDropDownCenter 3 10" xfId="141"/>
    <cellStyle name="ErrorDropDownCenter 3 11" xfId="141"/>
    <cellStyle name="ErrorDropDownCenter 3 12" xfId="141"/>
    <cellStyle name="ErrorDropDownCenter 3 13" xfId="141"/>
    <cellStyle name="ErrorDropDownCenter 3 14" xfId="141"/>
    <cellStyle name="ErrorDropDownCenter 3 2" xfId="141"/>
    <cellStyle name="ErrorDropDownCenter 3 2 10" xfId="141"/>
    <cellStyle name="ErrorDropDownCenter 3 2 11" xfId="141"/>
    <cellStyle name="ErrorDropDownCenter 3 2 12" xfId="141"/>
    <cellStyle name="ErrorDropDownCenter 3 2 2" xfId="141"/>
    <cellStyle name="ErrorDropDownCenter 3 2 2 2" xfId="141"/>
    <cellStyle name="ErrorDropDownCenter 3 2 2 2 2" xfId="141"/>
    <cellStyle name="ErrorDropDownCenter 3 2 2 2 3" xfId="141"/>
    <cellStyle name="ErrorDropDownCenter 3 2 2 2 4" xfId="141"/>
    <cellStyle name="ErrorDropDownCenter 3 2 2 2 5" xfId="141"/>
    <cellStyle name="ErrorDropDownCenter 3 2 2 3" xfId="141"/>
    <cellStyle name="ErrorDropDownCenter 3 2 2 3 2" xfId="141"/>
    <cellStyle name="ErrorDropDownCenter 3 2 2 3 3" xfId="141"/>
    <cellStyle name="ErrorDropDownCenter 3 2 2 3 4" xfId="141"/>
    <cellStyle name="ErrorDropDownCenter 3 2 2 4" xfId="141"/>
    <cellStyle name="ErrorDropDownCenter 3 2 2 5" xfId="141"/>
    <cellStyle name="ErrorDropDownCenter 3 2 2 6" xfId="141"/>
    <cellStyle name="ErrorDropDownCenter 3 2 2 7" xfId="141"/>
    <cellStyle name="ErrorDropDownCenter 3 2 2 8" xfId="141"/>
    <cellStyle name="ErrorDropDownCenter 3 2 3" xfId="141"/>
    <cellStyle name="ErrorDropDownCenter 3 2 3 2" xfId="141"/>
    <cellStyle name="ErrorDropDownCenter 3 2 3 2 2" xfId="141"/>
    <cellStyle name="ErrorDropDownCenter 3 2 3 2 3" xfId="141"/>
    <cellStyle name="ErrorDropDownCenter 3 2 3 2 4" xfId="141"/>
    <cellStyle name="ErrorDropDownCenter 3 2 3 2 5" xfId="141"/>
    <cellStyle name="ErrorDropDownCenter 3 2 3 3" xfId="141"/>
    <cellStyle name="ErrorDropDownCenter 3 2 3 3 2" xfId="141"/>
    <cellStyle name="ErrorDropDownCenter 3 2 3 3 3" xfId="141"/>
    <cellStyle name="ErrorDropDownCenter 3 2 3 3 4" xfId="141"/>
    <cellStyle name="ErrorDropDownCenter 3 2 3 4" xfId="141"/>
    <cellStyle name="ErrorDropDownCenter 3 2 3 5" xfId="141"/>
    <cellStyle name="ErrorDropDownCenter 3 2 3 6" xfId="141"/>
    <cellStyle name="ErrorDropDownCenter 3 2 3 7" xfId="141"/>
    <cellStyle name="ErrorDropDownCenter 3 2 3 8" xfId="141"/>
    <cellStyle name="ErrorDropDownCenter 3 2 4" xfId="141"/>
    <cellStyle name="ErrorDropDownCenter 3 2 4 2" xfId="141"/>
    <cellStyle name="ErrorDropDownCenter 3 2 4 2 2" xfId="141"/>
    <cellStyle name="ErrorDropDownCenter 3 2 4 2 3" xfId="141"/>
    <cellStyle name="ErrorDropDownCenter 3 2 4 2 4" xfId="141"/>
    <cellStyle name="ErrorDropDownCenter 3 2 4 2 5" xfId="141"/>
    <cellStyle name="ErrorDropDownCenter 3 2 4 3" xfId="141"/>
    <cellStyle name="ErrorDropDownCenter 3 2 4 3 2" xfId="141"/>
    <cellStyle name="ErrorDropDownCenter 3 2 4 3 3" xfId="141"/>
    <cellStyle name="ErrorDropDownCenter 3 2 4 3 4" xfId="141"/>
    <cellStyle name="ErrorDropDownCenter 3 2 4 4" xfId="141"/>
    <cellStyle name="ErrorDropDownCenter 3 2 4 5" xfId="141"/>
    <cellStyle name="ErrorDropDownCenter 3 2 4 6" xfId="141"/>
    <cellStyle name="ErrorDropDownCenter 3 2 4 7" xfId="141"/>
    <cellStyle name="ErrorDropDownCenter 3 2 4 8" xfId="141"/>
    <cellStyle name="ErrorDropDownCenter 3 2 5" xfId="141"/>
    <cellStyle name="ErrorDropDownCenter 3 2 5 2" xfId="141"/>
    <cellStyle name="ErrorDropDownCenter 3 2 5 2 2" xfId="141"/>
    <cellStyle name="ErrorDropDownCenter 3 2 5 2 3" xfId="141"/>
    <cellStyle name="ErrorDropDownCenter 3 2 5 2 4" xfId="141"/>
    <cellStyle name="ErrorDropDownCenter 3 2 5 2 5" xfId="141"/>
    <cellStyle name="ErrorDropDownCenter 3 2 5 3" xfId="141"/>
    <cellStyle name="ErrorDropDownCenter 3 2 5 3 2" xfId="141"/>
    <cellStyle name="ErrorDropDownCenter 3 2 5 3 3" xfId="141"/>
    <cellStyle name="ErrorDropDownCenter 3 2 5 3 4" xfId="141"/>
    <cellStyle name="ErrorDropDownCenter 3 2 5 4" xfId="141"/>
    <cellStyle name="ErrorDropDownCenter 3 2 5 5" xfId="141"/>
    <cellStyle name="ErrorDropDownCenter 3 2 5 6" xfId="141"/>
    <cellStyle name="ErrorDropDownCenter 3 2 5 7" xfId="141"/>
    <cellStyle name="ErrorDropDownCenter 3 2 5 8" xfId="141"/>
    <cellStyle name="ErrorDropDownCenter 3 2 6" xfId="141"/>
    <cellStyle name="ErrorDropDownCenter 3 2 6 2" xfId="141"/>
    <cellStyle name="ErrorDropDownCenter 3 2 6 3" xfId="141"/>
    <cellStyle name="ErrorDropDownCenter 3 2 6 4" xfId="141"/>
    <cellStyle name="ErrorDropDownCenter 3 2 6 5" xfId="141"/>
    <cellStyle name="ErrorDropDownCenter 3 2 7" xfId="141"/>
    <cellStyle name="ErrorDropDownCenter 3 2 7 2" xfId="141"/>
    <cellStyle name="ErrorDropDownCenter 3 2 7 3" xfId="141"/>
    <cellStyle name="ErrorDropDownCenter 3 2 7 4" xfId="141"/>
    <cellStyle name="ErrorDropDownCenter 3 2 8" xfId="141"/>
    <cellStyle name="ErrorDropDownCenter 3 2 9" xfId="141"/>
    <cellStyle name="ErrorDropDownCenter 3 3" xfId="141"/>
    <cellStyle name="ErrorDropDownCenter 3 3 10" xfId="141"/>
    <cellStyle name="ErrorDropDownCenter 3 3 11" xfId="141"/>
    <cellStyle name="ErrorDropDownCenter 3 3 12" xfId="141"/>
    <cellStyle name="ErrorDropDownCenter 3 3 2" xfId="141"/>
    <cellStyle name="ErrorDropDownCenter 3 3 2 2" xfId="141"/>
    <cellStyle name="ErrorDropDownCenter 3 3 2 2 2" xfId="141"/>
    <cellStyle name="ErrorDropDownCenter 3 3 2 2 3" xfId="141"/>
    <cellStyle name="ErrorDropDownCenter 3 3 2 2 4" xfId="141"/>
    <cellStyle name="ErrorDropDownCenter 3 3 2 2 5" xfId="141"/>
    <cellStyle name="ErrorDropDownCenter 3 3 2 3" xfId="141"/>
    <cellStyle name="ErrorDropDownCenter 3 3 2 3 2" xfId="141"/>
    <cellStyle name="ErrorDropDownCenter 3 3 2 3 3" xfId="141"/>
    <cellStyle name="ErrorDropDownCenter 3 3 2 3 4" xfId="141"/>
    <cellStyle name="ErrorDropDownCenter 3 3 2 4" xfId="141"/>
    <cellStyle name="ErrorDropDownCenter 3 3 2 5" xfId="141"/>
    <cellStyle name="ErrorDropDownCenter 3 3 2 6" xfId="141"/>
    <cellStyle name="ErrorDropDownCenter 3 3 2 7" xfId="141"/>
    <cellStyle name="ErrorDropDownCenter 3 3 2 8" xfId="141"/>
    <cellStyle name="ErrorDropDownCenter 3 3 3" xfId="141"/>
    <cellStyle name="ErrorDropDownCenter 3 3 3 2" xfId="141"/>
    <cellStyle name="ErrorDropDownCenter 3 3 3 2 2" xfId="141"/>
    <cellStyle name="ErrorDropDownCenter 3 3 3 2 3" xfId="141"/>
    <cellStyle name="ErrorDropDownCenter 3 3 3 2 4" xfId="141"/>
    <cellStyle name="ErrorDropDownCenter 3 3 3 2 5" xfId="141"/>
    <cellStyle name="ErrorDropDownCenter 3 3 3 3" xfId="141"/>
    <cellStyle name="ErrorDropDownCenter 3 3 3 3 2" xfId="141"/>
    <cellStyle name="ErrorDropDownCenter 3 3 3 3 3" xfId="141"/>
    <cellStyle name="ErrorDropDownCenter 3 3 3 3 4" xfId="141"/>
    <cellStyle name="ErrorDropDownCenter 3 3 3 4" xfId="141"/>
    <cellStyle name="ErrorDropDownCenter 3 3 3 5" xfId="141"/>
    <cellStyle name="ErrorDropDownCenter 3 3 3 6" xfId="141"/>
    <cellStyle name="ErrorDropDownCenter 3 3 3 7" xfId="141"/>
    <cellStyle name="ErrorDropDownCenter 3 3 3 8" xfId="141"/>
    <cellStyle name="ErrorDropDownCenter 3 3 4" xfId="141"/>
    <cellStyle name="ErrorDropDownCenter 3 3 4 2" xfId="141"/>
    <cellStyle name="ErrorDropDownCenter 3 3 4 2 2" xfId="141"/>
    <cellStyle name="ErrorDropDownCenter 3 3 4 2 3" xfId="141"/>
    <cellStyle name="ErrorDropDownCenter 3 3 4 2 4" xfId="141"/>
    <cellStyle name="ErrorDropDownCenter 3 3 4 2 5" xfId="141"/>
    <cellStyle name="ErrorDropDownCenter 3 3 4 3" xfId="141"/>
    <cellStyle name="ErrorDropDownCenter 3 3 4 3 2" xfId="141"/>
    <cellStyle name="ErrorDropDownCenter 3 3 4 3 3" xfId="141"/>
    <cellStyle name="ErrorDropDownCenter 3 3 4 3 4" xfId="141"/>
    <cellStyle name="ErrorDropDownCenter 3 3 4 4" xfId="141"/>
    <cellStyle name="ErrorDropDownCenter 3 3 4 5" xfId="141"/>
    <cellStyle name="ErrorDropDownCenter 3 3 4 6" xfId="141"/>
    <cellStyle name="ErrorDropDownCenter 3 3 4 7" xfId="141"/>
    <cellStyle name="ErrorDropDownCenter 3 3 4 8" xfId="141"/>
    <cellStyle name="ErrorDropDownCenter 3 3 5" xfId="141"/>
    <cellStyle name="ErrorDropDownCenter 3 3 5 2" xfId="141"/>
    <cellStyle name="ErrorDropDownCenter 3 3 5 2 2" xfId="141"/>
    <cellStyle name="ErrorDropDownCenter 3 3 5 2 3" xfId="141"/>
    <cellStyle name="ErrorDropDownCenter 3 3 5 2 4" xfId="141"/>
    <cellStyle name="ErrorDropDownCenter 3 3 5 2 5" xfId="141"/>
    <cellStyle name="ErrorDropDownCenter 3 3 5 3" xfId="141"/>
    <cellStyle name="ErrorDropDownCenter 3 3 5 3 2" xfId="141"/>
    <cellStyle name="ErrorDropDownCenter 3 3 5 3 3" xfId="141"/>
    <cellStyle name="ErrorDropDownCenter 3 3 5 3 4" xfId="141"/>
    <cellStyle name="ErrorDropDownCenter 3 3 5 4" xfId="141"/>
    <cellStyle name="ErrorDropDownCenter 3 3 5 5" xfId="141"/>
    <cellStyle name="ErrorDropDownCenter 3 3 5 6" xfId="141"/>
    <cellStyle name="ErrorDropDownCenter 3 3 5 7" xfId="141"/>
    <cellStyle name="ErrorDropDownCenter 3 3 5 8" xfId="141"/>
    <cellStyle name="ErrorDropDownCenter 3 3 6" xfId="141"/>
    <cellStyle name="ErrorDropDownCenter 3 3 6 2" xfId="141"/>
    <cellStyle name="ErrorDropDownCenter 3 3 6 3" xfId="141"/>
    <cellStyle name="ErrorDropDownCenter 3 3 6 4" xfId="141"/>
    <cellStyle name="ErrorDropDownCenter 3 3 6 5" xfId="141"/>
    <cellStyle name="ErrorDropDownCenter 3 3 7" xfId="141"/>
    <cellStyle name="ErrorDropDownCenter 3 3 7 2" xfId="141"/>
    <cellStyle name="ErrorDropDownCenter 3 3 7 3" xfId="141"/>
    <cellStyle name="ErrorDropDownCenter 3 3 7 4" xfId="141"/>
    <cellStyle name="ErrorDropDownCenter 3 3 8" xfId="141"/>
    <cellStyle name="ErrorDropDownCenter 3 3 9" xfId="141"/>
    <cellStyle name="ErrorDropDownCenter 3 4" xfId="141"/>
    <cellStyle name="ErrorDropDownCenter 3 4 2" xfId="141"/>
    <cellStyle name="ErrorDropDownCenter 3 4 2 2" xfId="141"/>
    <cellStyle name="ErrorDropDownCenter 3 4 2 3" xfId="141"/>
    <cellStyle name="ErrorDropDownCenter 3 4 2 4" xfId="141"/>
    <cellStyle name="ErrorDropDownCenter 3 4 2 5" xfId="141"/>
    <cellStyle name="ErrorDropDownCenter 3 4 3" xfId="141"/>
    <cellStyle name="ErrorDropDownCenter 3 4 3 2" xfId="141"/>
    <cellStyle name="ErrorDropDownCenter 3 4 3 3" xfId="141"/>
    <cellStyle name="ErrorDropDownCenter 3 4 3 4" xfId="141"/>
    <cellStyle name="ErrorDropDownCenter 3 4 4" xfId="141"/>
    <cellStyle name="ErrorDropDownCenter 3 4 5" xfId="141"/>
    <cellStyle name="ErrorDropDownCenter 3 4 6" xfId="141"/>
    <cellStyle name="ErrorDropDownCenter 3 4 7" xfId="141"/>
    <cellStyle name="ErrorDropDownCenter 3 4 8" xfId="141"/>
    <cellStyle name="ErrorDropDownCenter 3 5" xfId="141"/>
    <cellStyle name="ErrorDropDownCenter 3 5 2" xfId="141"/>
    <cellStyle name="ErrorDropDownCenter 3 5 2 2" xfId="141"/>
    <cellStyle name="ErrorDropDownCenter 3 5 2 3" xfId="141"/>
    <cellStyle name="ErrorDropDownCenter 3 5 2 4" xfId="141"/>
    <cellStyle name="ErrorDropDownCenter 3 5 2 5" xfId="141"/>
    <cellStyle name="ErrorDropDownCenter 3 5 3" xfId="141"/>
    <cellStyle name="ErrorDropDownCenter 3 5 3 2" xfId="141"/>
    <cellStyle name="ErrorDropDownCenter 3 5 3 3" xfId="141"/>
    <cellStyle name="ErrorDropDownCenter 3 5 3 4" xfId="141"/>
    <cellStyle name="ErrorDropDownCenter 3 5 4" xfId="141"/>
    <cellStyle name="ErrorDropDownCenter 3 5 5" xfId="141"/>
    <cellStyle name="ErrorDropDownCenter 3 5 6" xfId="141"/>
    <cellStyle name="ErrorDropDownCenter 3 5 7" xfId="141"/>
    <cellStyle name="ErrorDropDownCenter 3 5 8" xfId="141"/>
    <cellStyle name="ErrorDropDownCenter 3 6" xfId="141"/>
    <cellStyle name="ErrorDropDownCenter 3 6 2" xfId="141"/>
    <cellStyle name="ErrorDropDownCenter 3 6 2 2" xfId="141"/>
    <cellStyle name="ErrorDropDownCenter 3 6 2 3" xfId="141"/>
    <cellStyle name="ErrorDropDownCenter 3 6 2 4" xfId="141"/>
    <cellStyle name="ErrorDropDownCenter 3 6 2 5" xfId="141"/>
    <cellStyle name="ErrorDropDownCenter 3 6 3" xfId="141"/>
    <cellStyle name="ErrorDropDownCenter 3 6 3 2" xfId="141"/>
    <cellStyle name="ErrorDropDownCenter 3 6 3 3" xfId="141"/>
    <cellStyle name="ErrorDropDownCenter 3 6 3 4" xfId="141"/>
    <cellStyle name="ErrorDropDownCenter 3 6 4" xfId="141"/>
    <cellStyle name="ErrorDropDownCenter 3 6 5" xfId="141"/>
    <cellStyle name="ErrorDropDownCenter 3 6 6" xfId="141"/>
    <cellStyle name="ErrorDropDownCenter 3 6 7" xfId="141"/>
    <cellStyle name="ErrorDropDownCenter 3 6 8" xfId="141"/>
    <cellStyle name="ErrorDropDownCenter 3 7" xfId="141"/>
    <cellStyle name="ErrorDropDownCenter 3 7 2" xfId="141"/>
    <cellStyle name="ErrorDropDownCenter 3 7 2 2" xfId="141"/>
    <cellStyle name="ErrorDropDownCenter 3 7 2 3" xfId="141"/>
    <cellStyle name="ErrorDropDownCenter 3 7 2 4" xfId="141"/>
    <cellStyle name="ErrorDropDownCenter 3 7 2 5" xfId="141"/>
    <cellStyle name="ErrorDropDownCenter 3 7 3" xfId="141"/>
    <cellStyle name="ErrorDropDownCenter 3 7 3 2" xfId="141"/>
    <cellStyle name="ErrorDropDownCenter 3 7 3 3" xfId="141"/>
    <cellStyle name="ErrorDropDownCenter 3 7 3 4" xfId="141"/>
    <cellStyle name="ErrorDropDownCenter 3 7 4" xfId="141"/>
    <cellStyle name="ErrorDropDownCenter 3 7 5" xfId="141"/>
    <cellStyle name="ErrorDropDownCenter 3 7 6" xfId="141"/>
    <cellStyle name="ErrorDropDownCenter 3 7 7" xfId="141"/>
    <cellStyle name="ErrorDropDownCenter 3 7 8" xfId="141"/>
    <cellStyle name="ErrorDropDownCenter 3 8" xfId="141"/>
    <cellStyle name="ErrorDropDownCenter 3 8 2" xfId="141"/>
    <cellStyle name="ErrorDropDownCenter 3 8 3" xfId="141"/>
    <cellStyle name="ErrorDropDownCenter 3 8 4" xfId="141"/>
    <cellStyle name="ErrorDropDownCenter 3 8 5" xfId="141"/>
    <cellStyle name="ErrorDropDownCenter 3 9" xfId="141"/>
    <cellStyle name="ErrorDropDownCenter 3 9 2" xfId="141"/>
    <cellStyle name="ErrorDropDownCenter 3 9 3" xfId="141"/>
    <cellStyle name="ErrorDropDownCenter 3 9 4" xfId="141"/>
    <cellStyle name="ErrorDropDownCenter 4" xfId="141"/>
    <cellStyle name="ErrorDropDownCenter 4 2" xfId="141"/>
    <cellStyle name="ErrorDropDownCenter 4 2 2" xfId="141"/>
    <cellStyle name="ErrorDropDownCenter 4 2 2 2" xfId="141"/>
    <cellStyle name="ErrorDropDownCenter 4 2 2 3" xfId="141"/>
    <cellStyle name="ErrorDropDownCenter 4 2 2 4" xfId="141"/>
    <cellStyle name="ErrorDropDownCenter 4 2 2 5" xfId="141"/>
    <cellStyle name="ErrorDropDownCenter 4 2 3" xfId="141"/>
    <cellStyle name="ErrorDropDownCenter 4 2 3 2" xfId="141"/>
    <cellStyle name="ErrorDropDownCenter 4 2 3 3" xfId="141"/>
    <cellStyle name="ErrorDropDownCenter 4 2 3 4" xfId="141"/>
    <cellStyle name="ErrorDropDownCenter 4 2 4" xfId="141"/>
    <cellStyle name="ErrorDropDownCenter 4 2 5" xfId="141"/>
    <cellStyle name="ErrorDropDownCenter 4 2 6" xfId="141"/>
    <cellStyle name="ErrorDropDownCenter 4 2 7" xfId="141"/>
    <cellStyle name="ErrorDropDownCenter 4 2 8" xfId="141"/>
    <cellStyle name="ErrorDropDownCenter 4 3" xfId="141"/>
    <cellStyle name="ErrorDropDownCenter 4 3 2" xfId="141"/>
    <cellStyle name="ErrorDropDownCenter 4 3 2 2" xfId="141"/>
    <cellStyle name="ErrorDropDownCenter 4 3 2 3" xfId="141"/>
    <cellStyle name="ErrorDropDownCenter 4 3 2 4" xfId="141"/>
    <cellStyle name="ErrorDropDownCenter 4 3 2 5" xfId="141"/>
    <cellStyle name="ErrorDropDownCenter 4 3 3" xfId="141"/>
    <cellStyle name="ErrorDropDownCenter 4 3 3 2" xfId="141"/>
    <cellStyle name="ErrorDropDownCenter 4 3 3 3" xfId="141"/>
    <cellStyle name="ErrorDropDownCenter 4 3 3 4" xfId="141"/>
    <cellStyle name="ErrorDropDownCenter 4 3 4" xfId="141"/>
    <cellStyle name="ErrorDropDownCenter 4 3 5" xfId="141"/>
    <cellStyle name="ErrorDropDownCenter 4 3 6" xfId="141"/>
    <cellStyle name="ErrorDropDownCenter 4 3 7" xfId="141"/>
    <cellStyle name="ErrorDropDownCenter 4 4" xfId="141"/>
    <cellStyle name="ErrorDropDownCenter 4 4 2" xfId="141"/>
    <cellStyle name="ErrorDropDownCenter 4 4 3" xfId="141"/>
    <cellStyle name="ErrorDropDownCenter 4 4 4" xfId="141"/>
    <cellStyle name="ErrorDropDownCenter 4 4 5" xfId="141"/>
    <cellStyle name="ErrorDropDownCenter 4 5" xfId="141"/>
    <cellStyle name="ErrorDropDownCenter 4 5 2" xfId="141"/>
    <cellStyle name="ErrorDropDownCenter 4 5 3" xfId="141"/>
    <cellStyle name="ErrorDropDownCenter 4 5 4" xfId="141"/>
    <cellStyle name="ErrorDropDownCenter 4 6" xfId="141"/>
    <cellStyle name="ErrorDropDownCenter 4 7" xfId="141"/>
    <cellStyle name="ErrorDropDownCenter 4 8" xfId="141"/>
    <cellStyle name="ErrorDropDownCenter 4 9" xfId="141"/>
    <cellStyle name="ErrorDropDownCenter 5" xfId="141"/>
    <cellStyle name="ErrorDropDownCenter 5 2" xfId="141"/>
    <cellStyle name="ErrorDropDownCenter 5 2 2" xfId="141"/>
    <cellStyle name="ErrorDropDownCenter 5 2 3" xfId="141"/>
    <cellStyle name="ErrorDropDownCenter 5 2 4" xfId="141"/>
    <cellStyle name="ErrorDropDownCenter 5 2 5" xfId="141"/>
    <cellStyle name="ErrorDropDownCenter 5 3" xfId="141"/>
    <cellStyle name="ErrorDropDownCenter 5 3 2" xfId="141"/>
    <cellStyle name="ErrorDropDownCenter 5 3 3" xfId="141"/>
    <cellStyle name="ErrorDropDownCenter 5 3 4" xfId="141"/>
    <cellStyle name="ErrorDropDownCenter 5 4" xfId="141"/>
    <cellStyle name="ErrorDropDownCenter 5 5" xfId="141"/>
    <cellStyle name="ErrorDropDownCenter 5 6" xfId="141"/>
    <cellStyle name="ErrorDropDownCenter 5 7" xfId="141"/>
    <cellStyle name="ErrorDropDownCenter 5 8" xfId="141"/>
    <cellStyle name="ErrorDropDownCenter 6" xfId="141"/>
    <cellStyle name="ErrorDropDownCenter 6 2" xfId="141"/>
    <cellStyle name="ErrorDropDownCenter 6 3" xfId="141"/>
    <cellStyle name="ErrorDropDownCenter 6 4" xfId="141"/>
    <cellStyle name="ErrorDropDownCenter 6 5" xfId="141"/>
    <cellStyle name="ErrorDropDownCenter 7" xfId="141"/>
    <cellStyle name="ErrorDropDownCenter 8" xfId="141"/>
    <cellStyle name="ErrorDropDownRight" xfId="142"/>
    <cellStyle name="ErrorDropDownRight 2" xfId="142"/>
    <cellStyle name="ErrorDropDownRight 2 10" xfId="142"/>
    <cellStyle name="ErrorDropDownRight 2 11" xfId="142"/>
    <cellStyle name="ErrorDropDownRight 2 12" xfId="142"/>
    <cellStyle name="ErrorDropDownRight 2 13" xfId="142"/>
    <cellStyle name="ErrorDropDownRight 2 14" xfId="142"/>
    <cellStyle name="ErrorDropDownRight 2 2" xfId="142"/>
    <cellStyle name="ErrorDropDownRight 2 2 10" xfId="142"/>
    <cellStyle name="ErrorDropDownRight 2 2 11" xfId="142"/>
    <cellStyle name="ErrorDropDownRight 2 2 12" xfId="142"/>
    <cellStyle name="ErrorDropDownRight 2 2 13" xfId="142"/>
    <cellStyle name="ErrorDropDownRight 2 2 14" xfId="142"/>
    <cellStyle name="ErrorDropDownRight 2 2 2" xfId="142"/>
    <cellStyle name="ErrorDropDownRight 2 2 2 10" xfId="142"/>
    <cellStyle name="ErrorDropDownRight 2 2 2 11" xfId="142"/>
    <cellStyle name="ErrorDropDownRight 2 2 2 12" xfId="142"/>
    <cellStyle name="ErrorDropDownRight 2 2 2 2" xfId="142"/>
    <cellStyle name="ErrorDropDownRight 2 2 2 2 2" xfId="142"/>
    <cellStyle name="ErrorDropDownRight 2 2 2 2 2 2" xfId="142"/>
    <cellStyle name="ErrorDropDownRight 2 2 2 2 2 3" xfId="142"/>
    <cellStyle name="ErrorDropDownRight 2 2 2 2 2 4" xfId="142"/>
    <cellStyle name="ErrorDropDownRight 2 2 2 2 2 5" xfId="142"/>
    <cellStyle name="ErrorDropDownRight 2 2 2 2 3" xfId="142"/>
    <cellStyle name="ErrorDropDownRight 2 2 2 2 3 2" xfId="142"/>
    <cellStyle name="ErrorDropDownRight 2 2 2 2 3 3" xfId="142"/>
    <cellStyle name="ErrorDropDownRight 2 2 2 2 3 4" xfId="142"/>
    <cellStyle name="ErrorDropDownRight 2 2 2 2 4" xfId="142"/>
    <cellStyle name="ErrorDropDownRight 2 2 2 2 5" xfId="142"/>
    <cellStyle name="ErrorDropDownRight 2 2 2 2 6" xfId="142"/>
    <cellStyle name="ErrorDropDownRight 2 2 2 2 7" xfId="142"/>
    <cellStyle name="ErrorDropDownRight 2 2 2 2 8" xfId="142"/>
    <cellStyle name="ErrorDropDownRight 2 2 2 3" xfId="142"/>
    <cellStyle name="ErrorDropDownRight 2 2 2 3 2" xfId="142"/>
    <cellStyle name="ErrorDropDownRight 2 2 2 3 2 2" xfId="142"/>
    <cellStyle name="ErrorDropDownRight 2 2 2 3 2 3" xfId="142"/>
    <cellStyle name="ErrorDropDownRight 2 2 2 3 2 4" xfId="142"/>
    <cellStyle name="ErrorDropDownRight 2 2 2 3 2 5" xfId="142"/>
    <cellStyle name="ErrorDropDownRight 2 2 2 3 3" xfId="142"/>
    <cellStyle name="ErrorDropDownRight 2 2 2 3 3 2" xfId="142"/>
    <cellStyle name="ErrorDropDownRight 2 2 2 3 3 3" xfId="142"/>
    <cellStyle name="ErrorDropDownRight 2 2 2 3 3 4" xfId="142"/>
    <cellStyle name="ErrorDropDownRight 2 2 2 3 4" xfId="142"/>
    <cellStyle name="ErrorDropDownRight 2 2 2 3 5" xfId="142"/>
    <cellStyle name="ErrorDropDownRight 2 2 2 3 6" xfId="142"/>
    <cellStyle name="ErrorDropDownRight 2 2 2 3 7" xfId="142"/>
    <cellStyle name="ErrorDropDownRight 2 2 2 3 8" xfId="142"/>
    <cellStyle name="ErrorDropDownRight 2 2 2 4" xfId="142"/>
    <cellStyle name="ErrorDropDownRight 2 2 2 4 2" xfId="142"/>
    <cellStyle name="ErrorDropDownRight 2 2 2 4 2 2" xfId="142"/>
    <cellStyle name="ErrorDropDownRight 2 2 2 4 2 3" xfId="142"/>
    <cellStyle name="ErrorDropDownRight 2 2 2 4 2 4" xfId="142"/>
    <cellStyle name="ErrorDropDownRight 2 2 2 4 2 5" xfId="142"/>
    <cellStyle name="ErrorDropDownRight 2 2 2 4 3" xfId="142"/>
    <cellStyle name="ErrorDropDownRight 2 2 2 4 3 2" xfId="142"/>
    <cellStyle name="ErrorDropDownRight 2 2 2 4 3 3" xfId="142"/>
    <cellStyle name="ErrorDropDownRight 2 2 2 4 3 4" xfId="142"/>
    <cellStyle name="ErrorDropDownRight 2 2 2 4 4" xfId="142"/>
    <cellStyle name="ErrorDropDownRight 2 2 2 4 5" xfId="142"/>
    <cellStyle name="ErrorDropDownRight 2 2 2 4 6" xfId="142"/>
    <cellStyle name="ErrorDropDownRight 2 2 2 4 7" xfId="142"/>
    <cellStyle name="ErrorDropDownRight 2 2 2 4 8" xfId="142"/>
    <cellStyle name="ErrorDropDownRight 2 2 2 5" xfId="142"/>
    <cellStyle name="ErrorDropDownRight 2 2 2 5 2" xfId="142"/>
    <cellStyle name="ErrorDropDownRight 2 2 2 5 2 2" xfId="142"/>
    <cellStyle name="ErrorDropDownRight 2 2 2 5 2 3" xfId="142"/>
    <cellStyle name="ErrorDropDownRight 2 2 2 5 2 4" xfId="142"/>
    <cellStyle name="ErrorDropDownRight 2 2 2 5 2 5" xfId="142"/>
    <cellStyle name="ErrorDropDownRight 2 2 2 5 3" xfId="142"/>
    <cellStyle name="ErrorDropDownRight 2 2 2 5 3 2" xfId="142"/>
    <cellStyle name="ErrorDropDownRight 2 2 2 5 3 3" xfId="142"/>
    <cellStyle name="ErrorDropDownRight 2 2 2 5 3 4" xfId="142"/>
    <cellStyle name="ErrorDropDownRight 2 2 2 5 4" xfId="142"/>
    <cellStyle name="ErrorDropDownRight 2 2 2 5 5" xfId="142"/>
    <cellStyle name="ErrorDropDownRight 2 2 2 5 6" xfId="142"/>
    <cellStyle name="ErrorDropDownRight 2 2 2 5 7" xfId="142"/>
    <cellStyle name="ErrorDropDownRight 2 2 2 5 8" xfId="142"/>
    <cellStyle name="ErrorDropDownRight 2 2 2 6" xfId="142"/>
    <cellStyle name="ErrorDropDownRight 2 2 2 6 2" xfId="142"/>
    <cellStyle name="ErrorDropDownRight 2 2 2 6 3" xfId="142"/>
    <cellStyle name="ErrorDropDownRight 2 2 2 6 4" xfId="142"/>
    <cellStyle name="ErrorDropDownRight 2 2 2 6 5" xfId="142"/>
    <cellStyle name="ErrorDropDownRight 2 2 2 7" xfId="142"/>
    <cellStyle name="ErrorDropDownRight 2 2 2 7 2" xfId="142"/>
    <cellStyle name="ErrorDropDownRight 2 2 2 7 3" xfId="142"/>
    <cellStyle name="ErrorDropDownRight 2 2 2 7 4" xfId="142"/>
    <cellStyle name="ErrorDropDownRight 2 2 2 8" xfId="142"/>
    <cellStyle name="ErrorDropDownRight 2 2 2 9" xfId="142"/>
    <cellStyle name="ErrorDropDownRight 2 2 3" xfId="142"/>
    <cellStyle name="ErrorDropDownRight 2 2 3 10" xfId="142"/>
    <cellStyle name="ErrorDropDownRight 2 2 3 11" xfId="142"/>
    <cellStyle name="ErrorDropDownRight 2 2 3 12" xfId="142"/>
    <cellStyle name="ErrorDropDownRight 2 2 3 2" xfId="142"/>
    <cellStyle name="ErrorDropDownRight 2 2 3 2 2" xfId="142"/>
    <cellStyle name="ErrorDropDownRight 2 2 3 2 2 2" xfId="142"/>
    <cellStyle name="ErrorDropDownRight 2 2 3 2 2 3" xfId="142"/>
    <cellStyle name="ErrorDropDownRight 2 2 3 2 2 4" xfId="142"/>
    <cellStyle name="ErrorDropDownRight 2 2 3 2 2 5" xfId="142"/>
    <cellStyle name="ErrorDropDownRight 2 2 3 2 3" xfId="142"/>
    <cellStyle name="ErrorDropDownRight 2 2 3 2 3 2" xfId="142"/>
    <cellStyle name="ErrorDropDownRight 2 2 3 2 3 3" xfId="142"/>
    <cellStyle name="ErrorDropDownRight 2 2 3 2 3 4" xfId="142"/>
    <cellStyle name="ErrorDropDownRight 2 2 3 2 4" xfId="142"/>
    <cellStyle name="ErrorDropDownRight 2 2 3 2 5" xfId="142"/>
    <cellStyle name="ErrorDropDownRight 2 2 3 2 6" xfId="142"/>
    <cellStyle name="ErrorDropDownRight 2 2 3 2 7" xfId="142"/>
    <cellStyle name="ErrorDropDownRight 2 2 3 2 8" xfId="142"/>
    <cellStyle name="ErrorDropDownRight 2 2 3 3" xfId="142"/>
    <cellStyle name="ErrorDropDownRight 2 2 3 3 2" xfId="142"/>
    <cellStyle name="ErrorDropDownRight 2 2 3 3 2 2" xfId="142"/>
    <cellStyle name="ErrorDropDownRight 2 2 3 3 2 3" xfId="142"/>
    <cellStyle name="ErrorDropDownRight 2 2 3 3 2 4" xfId="142"/>
    <cellStyle name="ErrorDropDownRight 2 2 3 3 2 5" xfId="142"/>
    <cellStyle name="ErrorDropDownRight 2 2 3 3 3" xfId="142"/>
    <cellStyle name="ErrorDropDownRight 2 2 3 3 3 2" xfId="142"/>
    <cellStyle name="ErrorDropDownRight 2 2 3 3 3 3" xfId="142"/>
    <cellStyle name="ErrorDropDownRight 2 2 3 3 3 4" xfId="142"/>
    <cellStyle name="ErrorDropDownRight 2 2 3 3 4" xfId="142"/>
    <cellStyle name="ErrorDropDownRight 2 2 3 3 5" xfId="142"/>
    <cellStyle name="ErrorDropDownRight 2 2 3 3 6" xfId="142"/>
    <cellStyle name="ErrorDropDownRight 2 2 3 3 7" xfId="142"/>
    <cellStyle name="ErrorDropDownRight 2 2 3 3 8" xfId="142"/>
    <cellStyle name="ErrorDropDownRight 2 2 3 4" xfId="142"/>
    <cellStyle name="ErrorDropDownRight 2 2 3 4 2" xfId="142"/>
    <cellStyle name="ErrorDropDownRight 2 2 3 4 2 2" xfId="142"/>
    <cellStyle name="ErrorDropDownRight 2 2 3 4 2 3" xfId="142"/>
    <cellStyle name="ErrorDropDownRight 2 2 3 4 2 4" xfId="142"/>
    <cellStyle name="ErrorDropDownRight 2 2 3 4 2 5" xfId="142"/>
    <cellStyle name="ErrorDropDownRight 2 2 3 4 3" xfId="142"/>
    <cellStyle name="ErrorDropDownRight 2 2 3 4 3 2" xfId="142"/>
    <cellStyle name="ErrorDropDownRight 2 2 3 4 3 3" xfId="142"/>
    <cellStyle name="ErrorDropDownRight 2 2 3 4 3 4" xfId="142"/>
    <cellStyle name="ErrorDropDownRight 2 2 3 4 4" xfId="142"/>
    <cellStyle name="ErrorDropDownRight 2 2 3 4 5" xfId="142"/>
    <cellStyle name="ErrorDropDownRight 2 2 3 4 6" xfId="142"/>
    <cellStyle name="ErrorDropDownRight 2 2 3 4 7" xfId="142"/>
    <cellStyle name="ErrorDropDownRight 2 2 3 4 8" xfId="142"/>
    <cellStyle name="ErrorDropDownRight 2 2 3 5" xfId="142"/>
    <cellStyle name="ErrorDropDownRight 2 2 3 5 2" xfId="142"/>
    <cellStyle name="ErrorDropDownRight 2 2 3 5 2 2" xfId="142"/>
    <cellStyle name="ErrorDropDownRight 2 2 3 5 2 3" xfId="142"/>
    <cellStyle name="ErrorDropDownRight 2 2 3 5 2 4" xfId="142"/>
    <cellStyle name="ErrorDropDownRight 2 2 3 5 2 5" xfId="142"/>
    <cellStyle name="ErrorDropDownRight 2 2 3 5 3" xfId="142"/>
    <cellStyle name="ErrorDropDownRight 2 2 3 5 3 2" xfId="142"/>
    <cellStyle name="ErrorDropDownRight 2 2 3 5 3 3" xfId="142"/>
    <cellStyle name="ErrorDropDownRight 2 2 3 5 3 4" xfId="142"/>
    <cellStyle name="ErrorDropDownRight 2 2 3 5 4" xfId="142"/>
    <cellStyle name="ErrorDropDownRight 2 2 3 5 5" xfId="142"/>
    <cellStyle name="ErrorDropDownRight 2 2 3 5 6" xfId="142"/>
    <cellStyle name="ErrorDropDownRight 2 2 3 5 7" xfId="142"/>
    <cellStyle name="ErrorDropDownRight 2 2 3 5 8" xfId="142"/>
    <cellStyle name="ErrorDropDownRight 2 2 3 6" xfId="142"/>
    <cellStyle name="ErrorDropDownRight 2 2 3 6 2" xfId="142"/>
    <cellStyle name="ErrorDropDownRight 2 2 3 6 3" xfId="142"/>
    <cellStyle name="ErrorDropDownRight 2 2 3 6 4" xfId="142"/>
    <cellStyle name="ErrorDropDownRight 2 2 3 6 5" xfId="142"/>
    <cellStyle name="ErrorDropDownRight 2 2 3 7" xfId="142"/>
    <cellStyle name="ErrorDropDownRight 2 2 3 7 2" xfId="142"/>
    <cellStyle name="ErrorDropDownRight 2 2 3 7 3" xfId="142"/>
    <cellStyle name="ErrorDropDownRight 2 2 3 7 4" xfId="142"/>
    <cellStyle name="ErrorDropDownRight 2 2 3 8" xfId="142"/>
    <cellStyle name="ErrorDropDownRight 2 2 3 9" xfId="142"/>
    <cellStyle name="ErrorDropDownRight 2 2 4" xfId="142"/>
    <cellStyle name="ErrorDropDownRight 2 2 4 2" xfId="142"/>
    <cellStyle name="ErrorDropDownRight 2 2 4 2 2" xfId="142"/>
    <cellStyle name="ErrorDropDownRight 2 2 4 2 3" xfId="142"/>
    <cellStyle name="ErrorDropDownRight 2 2 4 2 4" xfId="142"/>
    <cellStyle name="ErrorDropDownRight 2 2 4 2 5" xfId="142"/>
    <cellStyle name="ErrorDropDownRight 2 2 4 3" xfId="142"/>
    <cellStyle name="ErrorDropDownRight 2 2 4 3 2" xfId="142"/>
    <cellStyle name="ErrorDropDownRight 2 2 4 3 3" xfId="142"/>
    <cellStyle name="ErrorDropDownRight 2 2 4 3 4" xfId="142"/>
    <cellStyle name="ErrorDropDownRight 2 2 4 4" xfId="142"/>
    <cellStyle name="ErrorDropDownRight 2 2 4 5" xfId="142"/>
    <cellStyle name="ErrorDropDownRight 2 2 4 6" xfId="142"/>
    <cellStyle name="ErrorDropDownRight 2 2 4 7" xfId="142"/>
    <cellStyle name="ErrorDropDownRight 2 2 4 8" xfId="142"/>
    <cellStyle name="ErrorDropDownRight 2 2 5" xfId="142"/>
    <cellStyle name="ErrorDropDownRight 2 2 5 2" xfId="142"/>
    <cellStyle name="ErrorDropDownRight 2 2 5 2 2" xfId="142"/>
    <cellStyle name="ErrorDropDownRight 2 2 5 2 3" xfId="142"/>
    <cellStyle name="ErrorDropDownRight 2 2 5 2 4" xfId="142"/>
    <cellStyle name="ErrorDropDownRight 2 2 5 2 5" xfId="142"/>
    <cellStyle name="ErrorDropDownRight 2 2 5 3" xfId="142"/>
    <cellStyle name="ErrorDropDownRight 2 2 5 3 2" xfId="142"/>
    <cellStyle name="ErrorDropDownRight 2 2 5 3 3" xfId="142"/>
    <cellStyle name="ErrorDropDownRight 2 2 5 3 4" xfId="142"/>
    <cellStyle name="ErrorDropDownRight 2 2 5 4" xfId="142"/>
    <cellStyle name="ErrorDropDownRight 2 2 5 5" xfId="142"/>
    <cellStyle name="ErrorDropDownRight 2 2 5 6" xfId="142"/>
    <cellStyle name="ErrorDropDownRight 2 2 5 7" xfId="142"/>
    <cellStyle name="ErrorDropDownRight 2 2 5 8" xfId="142"/>
    <cellStyle name="ErrorDropDownRight 2 2 6" xfId="142"/>
    <cellStyle name="ErrorDropDownRight 2 2 6 2" xfId="142"/>
    <cellStyle name="ErrorDropDownRight 2 2 6 2 2" xfId="142"/>
    <cellStyle name="ErrorDropDownRight 2 2 6 2 3" xfId="142"/>
    <cellStyle name="ErrorDropDownRight 2 2 6 2 4" xfId="142"/>
    <cellStyle name="ErrorDropDownRight 2 2 6 2 5" xfId="142"/>
    <cellStyle name="ErrorDropDownRight 2 2 6 3" xfId="142"/>
    <cellStyle name="ErrorDropDownRight 2 2 6 3 2" xfId="142"/>
    <cellStyle name="ErrorDropDownRight 2 2 6 3 3" xfId="142"/>
    <cellStyle name="ErrorDropDownRight 2 2 6 3 4" xfId="142"/>
    <cellStyle name="ErrorDropDownRight 2 2 6 4" xfId="142"/>
    <cellStyle name="ErrorDropDownRight 2 2 6 5" xfId="142"/>
    <cellStyle name="ErrorDropDownRight 2 2 6 6" xfId="142"/>
    <cellStyle name="ErrorDropDownRight 2 2 6 7" xfId="142"/>
    <cellStyle name="ErrorDropDownRight 2 2 6 8" xfId="142"/>
    <cellStyle name="ErrorDropDownRight 2 2 7" xfId="142"/>
    <cellStyle name="ErrorDropDownRight 2 2 7 2" xfId="142"/>
    <cellStyle name="ErrorDropDownRight 2 2 7 2 2" xfId="142"/>
    <cellStyle name="ErrorDropDownRight 2 2 7 2 3" xfId="142"/>
    <cellStyle name="ErrorDropDownRight 2 2 7 2 4" xfId="142"/>
    <cellStyle name="ErrorDropDownRight 2 2 7 2 5" xfId="142"/>
    <cellStyle name="ErrorDropDownRight 2 2 7 3" xfId="142"/>
    <cellStyle name="ErrorDropDownRight 2 2 7 3 2" xfId="142"/>
    <cellStyle name="ErrorDropDownRight 2 2 7 3 3" xfId="142"/>
    <cellStyle name="ErrorDropDownRight 2 2 7 3 4" xfId="142"/>
    <cellStyle name="ErrorDropDownRight 2 2 7 4" xfId="142"/>
    <cellStyle name="ErrorDropDownRight 2 2 7 5" xfId="142"/>
    <cellStyle name="ErrorDropDownRight 2 2 7 6" xfId="142"/>
    <cellStyle name="ErrorDropDownRight 2 2 7 7" xfId="142"/>
    <cellStyle name="ErrorDropDownRight 2 2 7 8" xfId="142"/>
    <cellStyle name="ErrorDropDownRight 2 2 8" xfId="142"/>
    <cellStyle name="ErrorDropDownRight 2 2 8 2" xfId="142"/>
    <cellStyle name="ErrorDropDownRight 2 2 8 3" xfId="142"/>
    <cellStyle name="ErrorDropDownRight 2 2 8 4" xfId="142"/>
    <cellStyle name="ErrorDropDownRight 2 2 8 5" xfId="142"/>
    <cellStyle name="ErrorDropDownRight 2 2 9" xfId="142"/>
    <cellStyle name="ErrorDropDownRight 2 2 9 2" xfId="142"/>
    <cellStyle name="ErrorDropDownRight 2 2 9 3" xfId="142"/>
    <cellStyle name="ErrorDropDownRight 2 2 9 4" xfId="142"/>
    <cellStyle name="ErrorDropDownRight 2 3" xfId="142"/>
    <cellStyle name="ErrorDropDownRight 2 3 10" xfId="142"/>
    <cellStyle name="ErrorDropDownRight 2 3 11" xfId="142"/>
    <cellStyle name="ErrorDropDownRight 2 3 12" xfId="142"/>
    <cellStyle name="ErrorDropDownRight 2 3 2" xfId="142"/>
    <cellStyle name="ErrorDropDownRight 2 3 2 2" xfId="142"/>
    <cellStyle name="ErrorDropDownRight 2 3 2 2 2" xfId="142"/>
    <cellStyle name="ErrorDropDownRight 2 3 2 2 3" xfId="142"/>
    <cellStyle name="ErrorDropDownRight 2 3 2 2 4" xfId="142"/>
    <cellStyle name="ErrorDropDownRight 2 3 2 2 5" xfId="142"/>
    <cellStyle name="ErrorDropDownRight 2 3 2 3" xfId="142"/>
    <cellStyle name="ErrorDropDownRight 2 3 2 3 2" xfId="142"/>
    <cellStyle name="ErrorDropDownRight 2 3 2 3 3" xfId="142"/>
    <cellStyle name="ErrorDropDownRight 2 3 2 3 4" xfId="142"/>
    <cellStyle name="ErrorDropDownRight 2 3 2 4" xfId="142"/>
    <cellStyle name="ErrorDropDownRight 2 3 2 5" xfId="142"/>
    <cellStyle name="ErrorDropDownRight 2 3 2 6" xfId="142"/>
    <cellStyle name="ErrorDropDownRight 2 3 2 7" xfId="142"/>
    <cellStyle name="ErrorDropDownRight 2 3 2 8" xfId="142"/>
    <cellStyle name="ErrorDropDownRight 2 3 3" xfId="142"/>
    <cellStyle name="ErrorDropDownRight 2 3 3 2" xfId="142"/>
    <cellStyle name="ErrorDropDownRight 2 3 3 2 2" xfId="142"/>
    <cellStyle name="ErrorDropDownRight 2 3 3 2 3" xfId="142"/>
    <cellStyle name="ErrorDropDownRight 2 3 3 2 4" xfId="142"/>
    <cellStyle name="ErrorDropDownRight 2 3 3 2 5" xfId="142"/>
    <cellStyle name="ErrorDropDownRight 2 3 3 3" xfId="142"/>
    <cellStyle name="ErrorDropDownRight 2 3 3 3 2" xfId="142"/>
    <cellStyle name="ErrorDropDownRight 2 3 3 3 3" xfId="142"/>
    <cellStyle name="ErrorDropDownRight 2 3 3 3 4" xfId="142"/>
    <cellStyle name="ErrorDropDownRight 2 3 3 4" xfId="142"/>
    <cellStyle name="ErrorDropDownRight 2 3 3 5" xfId="142"/>
    <cellStyle name="ErrorDropDownRight 2 3 3 6" xfId="142"/>
    <cellStyle name="ErrorDropDownRight 2 3 3 7" xfId="142"/>
    <cellStyle name="ErrorDropDownRight 2 3 3 8" xfId="142"/>
    <cellStyle name="ErrorDropDownRight 2 3 4" xfId="142"/>
    <cellStyle name="ErrorDropDownRight 2 3 4 2" xfId="142"/>
    <cellStyle name="ErrorDropDownRight 2 3 4 2 2" xfId="142"/>
    <cellStyle name="ErrorDropDownRight 2 3 4 2 3" xfId="142"/>
    <cellStyle name="ErrorDropDownRight 2 3 4 2 4" xfId="142"/>
    <cellStyle name="ErrorDropDownRight 2 3 4 2 5" xfId="142"/>
    <cellStyle name="ErrorDropDownRight 2 3 4 3" xfId="142"/>
    <cellStyle name="ErrorDropDownRight 2 3 4 3 2" xfId="142"/>
    <cellStyle name="ErrorDropDownRight 2 3 4 3 3" xfId="142"/>
    <cellStyle name="ErrorDropDownRight 2 3 4 3 4" xfId="142"/>
    <cellStyle name="ErrorDropDownRight 2 3 4 4" xfId="142"/>
    <cellStyle name="ErrorDropDownRight 2 3 4 5" xfId="142"/>
    <cellStyle name="ErrorDropDownRight 2 3 4 6" xfId="142"/>
    <cellStyle name="ErrorDropDownRight 2 3 4 7" xfId="142"/>
    <cellStyle name="ErrorDropDownRight 2 3 4 8" xfId="142"/>
    <cellStyle name="ErrorDropDownRight 2 3 5" xfId="142"/>
    <cellStyle name="ErrorDropDownRight 2 3 5 2" xfId="142"/>
    <cellStyle name="ErrorDropDownRight 2 3 5 2 2" xfId="142"/>
    <cellStyle name="ErrorDropDownRight 2 3 5 2 3" xfId="142"/>
    <cellStyle name="ErrorDropDownRight 2 3 5 2 4" xfId="142"/>
    <cellStyle name="ErrorDropDownRight 2 3 5 2 5" xfId="142"/>
    <cellStyle name="ErrorDropDownRight 2 3 5 3" xfId="142"/>
    <cellStyle name="ErrorDropDownRight 2 3 5 3 2" xfId="142"/>
    <cellStyle name="ErrorDropDownRight 2 3 5 3 3" xfId="142"/>
    <cellStyle name="ErrorDropDownRight 2 3 5 3 4" xfId="142"/>
    <cellStyle name="ErrorDropDownRight 2 3 5 4" xfId="142"/>
    <cellStyle name="ErrorDropDownRight 2 3 5 5" xfId="142"/>
    <cellStyle name="ErrorDropDownRight 2 3 5 6" xfId="142"/>
    <cellStyle name="ErrorDropDownRight 2 3 5 7" xfId="142"/>
    <cellStyle name="ErrorDropDownRight 2 3 5 8" xfId="142"/>
    <cellStyle name="ErrorDropDownRight 2 3 6" xfId="142"/>
    <cellStyle name="ErrorDropDownRight 2 3 6 2" xfId="142"/>
    <cellStyle name="ErrorDropDownRight 2 3 6 3" xfId="142"/>
    <cellStyle name="ErrorDropDownRight 2 3 6 4" xfId="142"/>
    <cellStyle name="ErrorDropDownRight 2 3 6 5" xfId="142"/>
    <cellStyle name="ErrorDropDownRight 2 3 7" xfId="142"/>
    <cellStyle name="ErrorDropDownRight 2 3 7 2" xfId="142"/>
    <cellStyle name="ErrorDropDownRight 2 3 7 3" xfId="142"/>
    <cellStyle name="ErrorDropDownRight 2 3 7 4" xfId="142"/>
    <cellStyle name="ErrorDropDownRight 2 3 8" xfId="142"/>
    <cellStyle name="ErrorDropDownRight 2 3 9" xfId="142"/>
    <cellStyle name="ErrorDropDownRight 2 4" xfId="142"/>
    <cellStyle name="ErrorDropDownRight 2 4 2" xfId="142"/>
    <cellStyle name="ErrorDropDownRight 2 4 2 2" xfId="142"/>
    <cellStyle name="ErrorDropDownRight 2 4 2 3" xfId="142"/>
    <cellStyle name="ErrorDropDownRight 2 4 2 4" xfId="142"/>
    <cellStyle name="ErrorDropDownRight 2 4 2 5" xfId="142"/>
    <cellStyle name="ErrorDropDownRight 2 4 3" xfId="142"/>
    <cellStyle name="ErrorDropDownRight 2 4 3 2" xfId="142"/>
    <cellStyle name="ErrorDropDownRight 2 4 3 3" xfId="142"/>
    <cellStyle name="ErrorDropDownRight 2 4 3 4" xfId="142"/>
    <cellStyle name="ErrorDropDownRight 2 4 4" xfId="142"/>
    <cellStyle name="ErrorDropDownRight 2 4 5" xfId="142"/>
    <cellStyle name="ErrorDropDownRight 2 4 6" xfId="142"/>
    <cellStyle name="ErrorDropDownRight 2 4 7" xfId="142"/>
    <cellStyle name="ErrorDropDownRight 2 4 8" xfId="142"/>
    <cellStyle name="ErrorDropDownRight 2 5" xfId="142"/>
    <cellStyle name="ErrorDropDownRight 2 5 2" xfId="142"/>
    <cellStyle name="ErrorDropDownRight 2 5 2 2" xfId="142"/>
    <cellStyle name="ErrorDropDownRight 2 5 2 3" xfId="142"/>
    <cellStyle name="ErrorDropDownRight 2 5 2 4" xfId="142"/>
    <cellStyle name="ErrorDropDownRight 2 5 2 5" xfId="142"/>
    <cellStyle name="ErrorDropDownRight 2 5 3" xfId="142"/>
    <cellStyle name="ErrorDropDownRight 2 5 3 2" xfId="142"/>
    <cellStyle name="ErrorDropDownRight 2 5 3 3" xfId="142"/>
    <cellStyle name="ErrorDropDownRight 2 5 3 4" xfId="142"/>
    <cellStyle name="ErrorDropDownRight 2 5 4" xfId="142"/>
    <cellStyle name="ErrorDropDownRight 2 5 5" xfId="142"/>
    <cellStyle name="ErrorDropDownRight 2 5 6" xfId="142"/>
    <cellStyle name="ErrorDropDownRight 2 5 7" xfId="142"/>
    <cellStyle name="ErrorDropDownRight 2 5 8" xfId="142"/>
    <cellStyle name="ErrorDropDownRight 2 6" xfId="142"/>
    <cellStyle name="ErrorDropDownRight 2 6 2" xfId="142"/>
    <cellStyle name="ErrorDropDownRight 2 6 2 2" xfId="142"/>
    <cellStyle name="ErrorDropDownRight 2 6 2 3" xfId="142"/>
    <cellStyle name="ErrorDropDownRight 2 6 2 4" xfId="142"/>
    <cellStyle name="ErrorDropDownRight 2 6 2 5" xfId="142"/>
    <cellStyle name="ErrorDropDownRight 2 6 3" xfId="142"/>
    <cellStyle name="ErrorDropDownRight 2 6 3 2" xfId="142"/>
    <cellStyle name="ErrorDropDownRight 2 6 3 3" xfId="142"/>
    <cellStyle name="ErrorDropDownRight 2 6 3 4" xfId="142"/>
    <cellStyle name="ErrorDropDownRight 2 6 4" xfId="142"/>
    <cellStyle name="ErrorDropDownRight 2 6 5" xfId="142"/>
    <cellStyle name="ErrorDropDownRight 2 6 6" xfId="142"/>
    <cellStyle name="ErrorDropDownRight 2 6 7" xfId="142"/>
    <cellStyle name="ErrorDropDownRight 2 6 8" xfId="142"/>
    <cellStyle name="ErrorDropDownRight 2 7" xfId="142"/>
    <cellStyle name="ErrorDropDownRight 2 7 2" xfId="142"/>
    <cellStyle name="ErrorDropDownRight 2 7 2 2" xfId="142"/>
    <cellStyle name="ErrorDropDownRight 2 7 2 3" xfId="142"/>
    <cellStyle name="ErrorDropDownRight 2 7 2 4" xfId="142"/>
    <cellStyle name="ErrorDropDownRight 2 7 2 5" xfId="142"/>
    <cellStyle name="ErrorDropDownRight 2 7 3" xfId="142"/>
    <cellStyle name="ErrorDropDownRight 2 7 3 2" xfId="142"/>
    <cellStyle name="ErrorDropDownRight 2 7 3 3" xfId="142"/>
    <cellStyle name="ErrorDropDownRight 2 7 3 4" xfId="142"/>
    <cellStyle name="ErrorDropDownRight 2 7 4" xfId="142"/>
    <cellStyle name="ErrorDropDownRight 2 7 5" xfId="142"/>
    <cellStyle name="ErrorDropDownRight 2 7 6" xfId="142"/>
    <cellStyle name="ErrorDropDownRight 2 7 7" xfId="142"/>
    <cellStyle name="ErrorDropDownRight 2 7 8" xfId="142"/>
    <cellStyle name="ErrorDropDownRight 2 8" xfId="142"/>
    <cellStyle name="ErrorDropDownRight 2 8 2" xfId="142"/>
    <cellStyle name="ErrorDropDownRight 2 8 3" xfId="142"/>
    <cellStyle name="ErrorDropDownRight 2 8 4" xfId="142"/>
    <cellStyle name="ErrorDropDownRight 2 8 5" xfId="142"/>
    <cellStyle name="ErrorDropDownRight 2 9" xfId="142"/>
    <cellStyle name="ErrorDropDownRight 2 9 2" xfId="142"/>
    <cellStyle name="ErrorDropDownRight 2 9 3" xfId="142"/>
    <cellStyle name="ErrorDropDownRight 2 9 4" xfId="142"/>
    <cellStyle name="ErrorDropDownRight 3" xfId="142"/>
    <cellStyle name="ErrorDropDownRight 3 10" xfId="142"/>
    <cellStyle name="ErrorDropDownRight 3 11" xfId="142"/>
    <cellStyle name="ErrorDropDownRight 3 12" xfId="142"/>
    <cellStyle name="ErrorDropDownRight 3 13" xfId="142"/>
    <cellStyle name="ErrorDropDownRight 3 14" xfId="142"/>
    <cellStyle name="ErrorDropDownRight 3 2" xfId="142"/>
    <cellStyle name="ErrorDropDownRight 3 2 10" xfId="142"/>
    <cellStyle name="ErrorDropDownRight 3 2 11" xfId="142"/>
    <cellStyle name="ErrorDropDownRight 3 2 12" xfId="142"/>
    <cellStyle name="ErrorDropDownRight 3 2 2" xfId="142"/>
    <cellStyle name="ErrorDropDownRight 3 2 2 2" xfId="142"/>
    <cellStyle name="ErrorDropDownRight 3 2 2 2 2" xfId="142"/>
    <cellStyle name="ErrorDropDownRight 3 2 2 2 3" xfId="142"/>
    <cellStyle name="ErrorDropDownRight 3 2 2 2 4" xfId="142"/>
    <cellStyle name="ErrorDropDownRight 3 2 2 2 5" xfId="142"/>
    <cellStyle name="ErrorDropDownRight 3 2 2 3" xfId="142"/>
    <cellStyle name="ErrorDropDownRight 3 2 2 3 2" xfId="142"/>
    <cellStyle name="ErrorDropDownRight 3 2 2 3 3" xfId="142"/>
    <cellStyle name="ErrorDropDownRight 3 2 2 3 4" xfId="142"/>
    <cellStyle name="ErrorDropDownRight 3 2 2 4" xfId="142"/>
    <cellStyle name="ErrorDropDownRight 3 2 2 5" xfId="142"/>
    <cellStyle name="ErrorDropDownRight 3 2 2 6" xfId="142"/>
    <cellStyle name="ErrorDropDownRight 3 2 2 7" xfId="142"/>
    <cellStyle name="ErrorDropDownRight 3 2 2 8" xfId="142"/>
    <cellStyle name="ErrorDropDownRight 3 2 3" xfId="142"/>
    <cellStyle name="ErrorDropDownRight 3 2 3 2" xfId="142"/>
    <cellStyle name="ErrorDropDownRight 3 2 3 2 2" xfId="142"/>
    <cellStyle name="ErrorDropDownRight 3 2 3 2 3" xfId="142"/>
    <cellStyle name="ErrorDropDownRight 3 2 3 2 4" xfId="142"/>
    <cellStyle name="ErrorDropDownRight 3 2 3 2 5" xfId="142"/>
    <cellStyle name="ErrorDropDownRight 3 2 3 3" xfId="142"/>
    <cellStyle name="ErrorDropDownRight 3 2 3 3 2" xfId="142"/>
    <cellStyle name="ErrorDropDownRight 3 2 3 3 3" xfId="142"/>
    <cellStyle name="ErrorDropDownRight 3 2 3 3 4" xfId="142"/>
    <cellStyle name="ErrorDropDownRight 3 2 3 4" xfId="142"/>
    <cellStyle name="ErrorDropDownRight 3 2 3 5" xfId="142"/>
    <cellStyle name="ErrorDropDownRight 3 2 3 6" xfId="142"/>
    <cellStyle name="ErrorDropDownRight 3 2 3 7" xfId="142"/>
    <cellStyle name="ErrorDropDownRight 3 2 3 8" xfId="142"/>
    <cellStyle name="ErrorDropDownRight 3 2 4" xfId="142"/>
    <cellStyle name="ErrorDropDownRight 3 2 4 2" xfId="142"/>
    <cellStyle name="ErrorDropDownRight 3 2 4 2 2" xfId="142"/>
    <cellStyle name="ErrorDropDownRight 3 2 4 2 3" xfId="142"/>
    <cellStyle name="ErrorDropDownRight 3 2 4 2 4" xfId="142"/>
    <cellStyle name="ErrorDropDownRight 3 2 4 2 5" xfId="142"/>
    <cellStyle name="ErrorDropDownRight 3 2 4 3" xfId="142"/>
    <cellStyle name="ErrorDropDownRight 3 2 4 3 2" xfId="142"/>
    <cellStyle name="ErrorDropDownRight 3 2 4 3 3" xfId="142"/>
    <cellStyle name="ErrorDropDownRight 3 2 4 3 4" xfId="142"/>
    <cellStyle name="ErrorDropDownRight 3 2 4 4" xfId="142"/>
    <cellStyle name="ErrorDropDownRight 3 2 4 5" xfId="142"/>
    <cellStyle name="ErrorDropDownRight 3 2 4 6" xfId="142"/>
    <cellStyle name="ErrorDropDownRight 3 2 4 7" xfId="142"/>
    <cellStyle name="ErrorDropDownRight 3 2 4 8" xfId="142"/>
    <cellStyle name="ErrorDropDownRight 3 2 5" xfId="142"/>
    <cellStyle name="ErrorDropDownRight 3 2 5 2" xfId="142"/>
    <cellStyle name="ErrorDropDownRight 3 2 5 2 2" xfId="142"/>
    <cellStyle name="ErrorDropDownRight 3 2 5 2 3" xfId="142"/>
    <cellStyle name="ErrorDropDownRight 3 2 5 2 4" xfId="142"/>
    <cellStyle name="ErrorDropDownRight 3 2 5 2 5" xfId="142"/>
    <cellStyle name="ErrorDropDownRight 3 2 5 3" xfId="142"/>
    <cellStyle name="ErrorDropDownRight 3 2 5 3 2" xfId="142"/>
    <cellStyle name="ErrorDropDownRight 3 2 5 3 3" xfId="142"/>
    <cellStyle name="ErrorDropDownRight 3 2 5 3 4" xfId="142"/>
    <cellStyle name="ErrorDropDownRight 3 2 5 4" xfId="142"/>
    <cellStyle name="ErrorDropDownRight 3 2 5 5" xfId="142"/>
    <cellStyle name="ErrorDropDownRight 3 2 5 6" xfId="142"/>
    <cellStyle name="ErrorDropDownRight 3 2 5 7" xfId="142"/>
    <cellStyle name="ErrorDropDownRight 3 2 5 8" xfId="142"/>
    <cellStyle name="ErrorDropDownRight 3 2 6" xfId="142"/>
    <cellStyle name="ErrorDropDownRight 3 2 6 2" xfId="142"/>
    <cellStyle name="ErrorDropDownRight 3 2 6 3" xfId="142"/>
    <cellStyle name="ErrorDropDownRight 3 2 6 4" xfId="142"/>
    <cellStyle name="ErrorDropDownRight 3 2 6 5" xfId="142"/>
    <cellStyle name="ErrorDropDownRight 3 2 7" xfId="142"/>
    <cellStyle name="ErrorDropDownRight 3 2 7 2" xfId="142"/>
    <cellStyle name="ErrorDropDownRight 3 2 7 3" xfId="142"/>
    <cellStyle name="ErrorDropDownRight 3 2 7 4" xfId="142"/>
    <cellStyle name="ErrorDropDownRight 3 2 8" xfId="142"/>
    <cellStyle name="ErrorDropDownRight 3 2 9" xfId="142"/>
    <cellStyle name="ErrorDropDownRight 3 3" xfId="142"/>
    <cellStyle name="ErrorDropDownRight 3 3 10" xfId="142"/>
    <cellStyle name="ErrorDropDownRight 3 3 11" xfId="142"/>
    <cellStyle name="ErrorDropDownRight 3 3 12" xfId="142"/>
    <cellStyle name="ErrorDropDownRight 3 3 2" xfId="142"/>
    <cellStyle name="ErrorDropDownRight 3 3 2 2" xfId="142"/>
    <cellStyle name="ErrorDropDownRight 3 3 2 2 2" xfId="142"/>
    <cellStyle name="ErrorDropDownRight 3 3 2 2 3" xfId="142"/>
    <cellStyle name="ErrorDropDownRight 3 3 2 2 4" xfId="142"/>
    <cellStyle name="ErrorDropDownRight 3 3 2 2 5" xfId="142"/>
    <cellStyle name="ErrorDropDownRight 3 3 2 3" xfId="142"/>
    <cellStyle name="ErrorDropDownRight 3 3 2 3 2" xfId="142"/>
    <cellStyle name="ErrorDropDownRight 3 3 2 3 3" xfId="142"/>
    <cellStyle name="ErrorDropDownRight 3 3 2 3 4" xfId="142"/>
    <cellStyle name="ErrorDropDownRight 3 3 2 4" xfId="142"/>
    <cellStyle name="ErrorDropDownRight 3 3 2 5" xfId="142"/>
    <cellStyle name="ErrorDropDownRight 3 3 2 6" xfId="142"/>
    <cellStyle name="ErrorDropDownRight 3 3 2 7" xfId="142"/>
    <cellStyle name="ErrorDropDownRight 3 3 2 8" xfId="142"/>
    <cellStyle name="ErrorDropDownRight 3 3 3" xfId="142"/>
    <cellStyle name="ErrorDropDownRight 3 3 3 2" xfId="142"/>
    <cellStyle name="ErrorDropDownRight 3 3 3 2 2" xfId="142"/>
    <cellStyle name="ErrorDropDownRight 3 3 3 2 3" xfId="142"/>
    <cellStyle name="ErrorDropDownRight 3 3 3 2 4" xfId="142"/>
    <cellStyle name="ErrorDropDownRight 3 3 3 2 5" xfId="142"/>
    <cellStyle name="ErrorDropDownRight 3 3 3 3" xfId="142"/>
    <cellStyle name="ErrorDropDownRight 3 3 3 3 2" xfId="142"/>
    <cellStyle name="ErrorDropDownRight 3 3 3 3 3" xfId="142"/>
    <cellStyle name="ErrorDropDownRight 3 3 3 3 4" xfId="142"/>
    <cellStyle name="ErrorDropDownRight 3 3 3 4" xfId="142"/>
    <cellStyle name="ErrorDropDownRight 3 3 3 5" xfId="142"/>
    <cellStyle name="ErrorDropDownRight 3 3 3 6" xfId="142"/>
    <cellStyle name="ErrorDropDownRight 3 3 3 7" xfId="142"/>
    <cellStyle name="ErrorDropDownRight 3 3 3 8" xfId="142"/>
    <cellStyle name="ErrorDropDownRight 3 3 4" xfId="142"/>
    <cellStyle name="ErrorDropDownRight 3 3 4 2" xfId="142"/>
    <cellStyle name="ErrorDropDownRight 3 3 4 2 2" xfId="142"/>
    <cellStyle name="ErrorDropDownRight 3 3 4 2 3" xfId="142"/>
    <cellStyle name="ErrorDropDownRight 3 3 4 2 4" xfId="142"/>
    <cellStyle name="ErrorDropDownRight 3 3 4 2 5" xfId="142"/>
    <cellStyle name="ErrorDropDownRight 3 3 4 3" xfId="142"/>
    <cellStyle name="ErrorDropDownRight 3 3 4 3 2" xfId="142"/>
    <cellStyle name="ErrorDropDownRight 3 3 4 3 3" xfId="142"/>
    <cellStyle name="ErrorDropDownRight 3 3 4 3 4" xfId="142"/>
    <cellStyle name="ErrorDropDownRight 3 3 4 4" xfId="142"/>
    <cellStyle name="ErrorDropDownRight 3 3 4 5" xfId="142"/>
    <cellStyle name="ErrorDropDownRight 3 3 4 6" xfId="142"/>
    <cellStyle name="ErrorDropDownRight 3 3 4 7" xfId="142"/>
    <cellStyle name="ErrorDropDownRight 3 3 4 8" xfId="142"/>
    <cellStyle name="ErrorDropDownRight 3 3 5" xfId="142"/>
    <cellStyle name="ErrorDropDownRight 3 3 5 2" xfId="142"/>
    <cellStyle name="ErrorDropDownRight 3 3 5 2 2" xfId="142"/>
    <cellStyle name="ErrorDropDownRight 3 3 5 2 3" xfId="142"/>
    <cellStyle name="ErrorDropDownRight 3 3 5 2 4" xfId="142"/>
    <cellStyle name="ErrorDropDownRight 3 3 5 2 5" xfId="142"/>
    <cellStyle name="ErrorDropDownRight 3 3 5 3" xfId="142"/>
    <cellStyle name="ErrorDropDownRight 3 3 5 3 2" xfId="142"/>
    <cellStyle name="ErrorDropDownRight 3 3 5 3 3" xfId="142"/>
    <cellStyle name="ErrorDropDownRight 3 3 5 3 4" xfId="142"/>
    <cellStyle name="ErrorDropDownRight 3 3 5 4" xfId="142"/>
    <cellStyle name="ErrorDropDownRight 3 3 5 5" xfId="142"/>
    <cellStyle name="ErrorDropDownRight 3 3 5 6" xfId="142"/>
    <cellStyle name="ErrorDropDownRight 3 3 5 7" xfId="142"/>
    <cellStyle name="ErrorDropDownRight 3 3 5 8" xfId="142"/>
    <cellStyle name="ErrorDropDownRight 3 3 6" xfId="142"/>
    <cellStyle name="ErrorDropDownRight 3 3 6 2" xfId="142"/>
    <cellStyle name="ErrorDropDownRight 3 3 6 3" xfId="142"/>
    <cellStyle name="ErrorDropDownRight 3 3 6 4" xfId="142"/>
    <cellStyle name="ErrorDropDownRight 3 3 6 5" xfId="142"/>
    <cellStyle name="ErrorDropDownRight 3 3 7" xfId="142"/>
    <cellStyle name="ErrorDropDownRight 3 3 7 2" xfId="142"/>
    <cellStyle name="ErrorDropDownRight 3 3 7 3" xfId="142"/>
    <cellStyle name="ErrorDropDownRight 3 3 7 4" xfId="142"/>
    <cellStyle name="ErrorDropDownRight 3 3 8" xfId="142"/>
    <cellStyle name="ErrorDropDownRight 3 3 9" xfId="142"/>
    <cellStyle name="ErrorDropDownRight 3 4" xfId="142"/>
    <cellStyle name="ErrorDropDownRight 3 4 2" xfId="142"/>
    <cellStyle name="ErrorDropDownRight 3 4 2 2" xfId="142"/>
    <cellStyle name="ErrorDropDownRight 3 4 2 3" xfId="142"/>
    <cellStyle name="ErrorDropDownRight 3 4 2 4" xfId="142"/>
    <cellStyle name="ErrorDropDownRight 3 4 2 5" xfId="142"/>
    <cellStyle name="ErrorDropDownRight 3 4 3" xfId="142"/>
    <cellStyle name="ErrorDropDownRight 3 4 3 2" xfId="142"/>
    <cellStyle name="ErrorDropDownRight 3 4 3 3" xfId="142"/>
    <cellStyle name="ErrorDropDownRight 3 4 3 4" xfId="142"/>
    <cellStyle name="ErrorDropDownRight 3 4 4" xfId="142"/>
    <cellStyle name="ErrorDropDownRight 3 4 5" xfId="142"/>
    <cellStyle name="ErrorDropDownRight 3 4 6" xfId="142"/>
    <cellStyle name="ErrorDropDownRight 3 4 7" xfId="142"/>
    <cellStyle name="ErrorDropDownRight 3 4 8" xfId="142"/>
    <cellStyle name="ErrorDropDownRight 3 5" xfId="142"/>
    <cellStyle name="ErrorDropDownRight 3 5 2" xfId="142"/>
    <cellStyle name="ErrorDropDownRight 3 5 2 2" xfId="142"/>
    <cellStyle name="ErrorDropDownRight 3 5 2 3" xfId="142"/>
    <cellStyle name="ErrorDropDownRight 3 5 2 4" xfId="142"/>
    <cellStyle name="ErrorDropDownRight 3 5 2 5" xfId="142"/>
    <cellStyle name="ErrorDropDownRight 3 5 3" xfId="142"/>
    <cellStyle name="ErrorDropDownRight 3 5 3 2" xfId="142"/>
    <cellStyle name="ErrorDropDownRight 3 5 3 3" xfId="142"/>
    <cellStyle name="ErrorDropDownRight 3 5 3 4" xfId="142"/>
    <cellStyle name="ErrorDropDownRight 3 5 4" xfId="142"/>
    <cellStyle name="ErrorDropDownRight 3 5 5" xfId="142"/>
    <cellStyle name="ErrorDropDownRight 3 5 6" xfId="142"/>
    <cellStyle name="ErrorDropDownRight 3 5 7" xfId="142"/>
    <cellStyle name="ErrorDropDownRight 3 5 8" xfId="142"/>
    <cellStyle name="ErrorDropDownRight 3 6" xfId="142"/>
    <cellStyle name="ErrorDropDownRight 3 6 2" xfId="142"/>
    <cellStyle name="ErrorDropDownRight 3 6 2 2" xfId="142"/>
    <cellStyle name="ErrorDropDownRight 3 6 2 3" xfId="142"/>
    <cellStyle name="ErrorDropDownRight 3 6 2 4" xfId="142"/>
    <cellStyle name="ErrorDropDownRight 3 6 2 5" xfId="142"/>
    <cellStyle name="ErrorDropDownRight 3 6 3" xfId="142"/>
    <cellStyle name="ErrorDropDownRight 3 6 3 2" xfId="142"/>
    <cellStyle name="ErrorDropDownRight 3 6 3 3" xfId="142"/>
    <cellStyle name="ErrorDropDownRight 3 6 3 4" xfId="142"/>
    <cellStyle name="ErrorDropDownRight 3 6 4" xfId="142"/>
    <cellStyle name="ErrorDropDownRight 3 6 5" xfId="142"/>
    <cellStyle name="ErrorDropDownRight 3 6 6" xfId="142"/>
    <cellStyle name="ErrorDropDownRight 3 6 7" xfId="142"/>
    <cellStyle name="ErrorDropDownRight 3 6 8" xfId="142"/>
    <cellStyle name="ErrorDropDownRight 3 7" xfId="142"/>
    <cellStyle name="ErrorDropDownRight 3 7 2" xfId="142"/>
    <cellStyle name="ErrorDropDownRight 3 7 2 2" xfId="142"/>
    <cellStyle name="ErrorDropDownRight 3 7 2 3" xfId="142"/>
    <cellStyle name="ErrorDropDownRight 3 7 2 4" xfId="142"/>
    <cellStyle name="ErrorDropDownRight 3 7 2 5" xfId="142"/>
    <cellStyle name="ErrorDropDownRight 3 7 3" xfId="142"/>
    <cellStyle name="ErrorDropDownRight 3 7 3 2" xfId="142"/>
    <cellStyle name="ErrorDropDownRight 3 7 3 3" xfId="142"/>
    <cellStyle name="ErrorDropDownRight 3 7 3 4" xfId="142"/>
    <cellStyle name="ErrorDropDownRight 3 7 4" xfId="142"/>
    <cellStyle name="ErrorDropDownRight 3 7 5" xfId="142"/>
    <cellStyle name="ErrorDropDownRight 3 7 6" xfId="142"/>
    <cellStyle name="ErrorDropDownRight 3 7 7" xfId="142"/>
    <cellStyle name="ErrorDropDownRight 3 7 8" xfId="142"/>
    <cellStyle name="ErrorDropDownRight 3 8" xfId="142"/>
    <cellStyle name="ErrorDropDownRight 3 8 2" xfId="142"/>
    <cellStyle name="ErrorDropDownRight 3 8 3" xfId="142"/>
    <cellStyle name="ErrorDropDownRight 3 8 4" xfId="142"/>
    <cellStyle name="ErrorDropDownRight 3 8 5" xfId="142"/>
    <cellStyle name="ErrorDropDownRight 3 9" xfId="142"/>
    <cellStyle name="ErrorDropDownRight 3 9 2" xfId="142"/>
    <cellStyle name="ErrorDropDownRight 3 9 3" xfId="142"/>
    <cellStyle name="ErrorDropDownRight 3 9 4" xfId="142"/>
    <cellStyle name="ErrorDropDownRight 4" xfId="142"/>
    <cellStyle name="ErrorDropDownRight 4 2" xfId="142"/>
    <cellStyle name="ErrorDropDownRight 4 2 2" xfId="142"/>
    <cellStyle name="ErrorDropDownRight 4 2 2 2" xfId="142"/>
    <cellStyle name="ErrorDropDownRight 4 2 2 3" xfId="142"/>
    <cellStyle name="ErrorDropDownRight 4 2 2 4" xfId="142"/>
    <cellStyle name="ErrorDropDownRight 4 2 2 5" xfId="142"/>
    <cellStyle name="ErrorDropDownRight 4 2 3" xfId="142"/>
    <cellStyle name="ErrorDropDownRight 4 2 3 2" xfId="142"/>
    <cellStyle name="ErrorDropDownRight 4 2 3 3" xfId="142"/>
    <cellStyle name="ErrorDropDownRight 4 2 3 4" xfId="142"/>
    <cellStyle name="ErrorDropDownRight 4 2 4" xfId="142"/>
    <cellStyle name="ErrorDropDownRight 4 2 5" xfId="142"/>
    <cellStyle name="ErrorDropDownRight 4 2 6" xfId="142"/>
    <cellStyle name="ErrorDropDownRight 4 2 7" xfId="142"/>
    <cellStyle name="ErrorDropDownRight 4 2 8" xfId="142"/>
    <cellStyle name="ErrorDropDownRight 4 3" xfId="142"/>
    <cellStyle name="ErrorDropDownRight 4 3 2" xfId="142"/>
    <cellStyle name="ErrorDropDownRight 4 3 2 2" xfId="142"/>
    <cellStyle name="ErrorDropDownRight 4 3 2 3" xfId="142"/>
    <cellStyle name="ErrorDropDownRight 4 3 2 4" xfId="142"/>
    <cellStyle name="ErrorDropDownRight 4 3 2 5" xfId="142"/>
    <cellStyle name="ErrorDropDownRight 4 3 3" xfId="142"/>
    <cellStyle name="ErrorDropDownRight 4 3 3 2" xfId="142"/>
    <cellStyle name="ErrorDropDownRight 4 3 3 3" xfId="142"/>
    <cellStyle name="ErrorDropDownRight 4 3 3 4" xfId="142"/>
    <cellStyle name="ErrorDropDownRight 4 3 4" xfId="142"/>
    <cellStyle name="ErrorDropDownRight 4 3 5" xfId="142"/>
    <cellStyle name="ErrorDropDownRight 4 3 6" xfId="142"/>
    <cellStyle name="ErrorDropDownRight 4 3 7" xfId="142"/>
    <cellStyle name="ErrorDropDownRight 4 4" xfId="142"/>
    <cellStyle name="ErrorDropDownRight 4 4 2" xfId="142"/>
    <cellStyle name="ErrorDropDownRight 4 4 3" xfId="142"/>
    <cellStyle name="ErrorDropDownRight 4 4 4" xfId="142"/>
    <cellStyle name="ErrorDropDownRight 4 4 5" xfId="142"/>
    <cellStyle name="ErrorDropDownRight 4 5" xfId="142"/>
    <cellStyle name="ErrorDropDownRight 4 5 2" xfId="142"/>
    <cellStyle name="ErrorDropDownRight 4 5 3" xfId="142"/>
    <cellStyle name="ErrorDropDownRight 4 5 4" xfId="142"/>
    <cellStyle name="ErrorDropDownRight 4 6" xfId="142"/>
    <cellStyle name="ErrorDropDownRight 4 7" xfId="142"/>
    <cellStyle name="ErrorDropDownRight 4 8" xfId="142"/>
    <cellStyle name="ErrorDropDownRight 4 9" xfId="142"/>
    <cellStyle name="ErrorDropDownRight 5" xfId="142"/>
    <cellStyle name="ErrorDropDownRight 5 2" xfId="142"/>
    <cellStyle name="ErrorDropDownRight 5 2 2" xfId="142"/>
    <cellStyle name="ErrorDropDownRight 5 2 3" xfId="142"/>
    <cellStyle name="ErrorDropDownRight 5 2 4" xfId="142"/>
    <cellStyle name="ErrorDropDownRight 5 2 5" xfId="142"/>
    <cellStyle name="ErrorDropDownRight 5 3" xfId="142"/>
    <cellStyle name="ErrorDropDownRight 5 3 2" xfId="142"/>
    <cellStyle name="ErrorDropDownRight 5 3 3" xfId="142"/>
    <cellStyle name="ErrorDropDownRight 5 3 4" xfId="142"/>
    <cellStyle name="ErrorDropDownRight 5 4" xfId="142"/>
    <cellStyle name="ErrorDropDownRight 5 5" xfId="142"/>
    <cellStyle name="ErrorDropDownRight 5 6" xfId="142"/>
    <cellStyle name="ErrorDropDownRight 5 7" xfId="142"/>
    <cellStyle name="ErrorDropDownRight 5 8" xfId="142"/>
    <cellStyle name="ErrorDropDownRight 6" xfId="142"/>
    <cellStyle name="ErrorDropDownRight 6 2" xfId="142"/>
    <cellStyle name="ErrorDropDownRight 6 3" xfId="142"/>
    <cellStyle name="ErrorDropDownRight 6 4" xfId="142"/>
    <cellStyle name="ErrorDropDownRight 6 5" xfId="142"/>
    <cellStyle name="ErrorDropDownRight 7" xfId="142"/>
    <cellStyle name="ErrorDropDownRight 8" xfId="142"/>
    <cellStyle name="ErrorNumberTB,C" xfId="143"/>
    <cellStyle name="ErrorNumberTB,C 2" xfId="143"/>
    <cellStyle name="ErrorNumberTB,C 2 10" xfId="143"/>
    <cellStyle name="ErrorNumberTB,C 2 11" xfId="143"/>
    <cellStyle name="ErrorNumberTB,C 2 12" xfId="143"/>
    <cellStyle name="ErrorNumberTB,C 2 13" xfId="143"/>
    <cellStyle name="ErrorNumberTB,C 2 14" xfId="143"/>
    <cellStyle name="ErrorNumberTB,C 2 2" xfId="143"/>
    <cellStyle name="ErrorNumberTB,C 2 2 10" xfId="143"/>
    <cellStyle name="ErrorNumberTB,C 2 2 11" xfId="143"/>
    <cellStyle name="ErrorNumberTB,C 2 2 12" xfId="143"/>
    <cellStyle name="ErrorNumberTB,C 2 2 13" xfId="143"/>
    <cellStyle name="ErrorNumberTB,C 2 2 14" xfId="143"/>
    <cellStyle name="ErrorNumberTB,C 2 2 2" xfId="143"/>
    <cellStyle name="ErrorNumberTB,C 2 2 2 10" xfId="143"/>
    <cellStyle name="ErrorNumberTB,C 2 2 2 11" xfId="143"/>
    <cellStyle name="ErrorNumberTB,C 2 2 2 12" xfId="143"/>
    <cellStyle name="ErrorNumberTB,C 2 2 2 2" xfId="143"/>
    <cellStyle name="ErrorNumberTB,C 2 2 2 2 2" xfId="143"/>
    <cellStyle name="ErrorNumberTB,C 2 2 2 2 2 2" xfId="143"/>
    <cellStyle name="ErrorNumberTB,C 2 2 2 2 2 3" xfId="143"/>
    <cellStyle name="ErrorNumberTB,C 2 2 2 2 2 4" xfId="143"/>
    <cellStyle name="ErrorNumberTB,C 2 2 2 2 2 5" xfId="143"/>
    <cellStyle name="ErrorNumberTB,C 2 2 2 2 3" xfId="143"/>
    <cellStyle name="ErrorNumberTB,C 2 2 2 2 3 2" xfId="143"/>
    <cellStyle name="ErrorNumberTB,C 2 2 2 2 3 3" xfId="143"/>
    <cellStyle name="ErrorNumberTB,C 2 2 2 2 3 4" xfId="143"/>
    <cellStyle name="ErrorNumberTB,C 2 2 2 2 4" xfId="143"/>
    <cellStyle name="ErrorNumberTB,C 2 2 2 2 5" xfId="143"/>
    <cellStyle name="ErrorNumberTB,C 2 2 2 2 6" xfId="143"/>
    <cellStyle name="ErrorNumberTB,C 2 2 2 2 7" xfId="143"/>
    <cellStyle name="ErrorNumberTB,C 2 2 2 2 8" xfId="143"/>
    <cellStyle name="ErrorNumberTB,C 2 2 2 3" xfId="143"/>
    <cellStyle name="ErrorNumberTB,C 2 2 2 3 2" xfId="143"/>
    <cellStyle name="ErrorNumberTB,C 2 2 2 3 2 2" xfId="143"/>
    <cellStyle name="ErrorNumberTB,C 2 2 2 3 2 3" xfId="143"/>
    <cellStyle name="ErrorNumberTB,C 2 2 2 3 2 4" xfId="143"/>
    <cellStyle name="ErrorNumberTB,C 2 2 2 3 2 5" xfId="143"/>
    <cellStyle name="ErrorNumberTB,C 2 2 2 3 3" xfId="143"/>
    <cellStyle name="ErrorNumberTB,C 2 2 2 3 3 2" xfId="143"/>
    <cellStyle name="ErrorNumberTB,C 2 2 2 3 3 3" xfId="143"/>
    <cellStyle name="ErrorNumberTB,C 2 2 2 3 3 4" xfId="143"/>
    <cellStyle name="ErrorNumberTB,C 2 2 2 3 4" xfId="143"/>
    <cellStyle name="ErrorNumberTB,C 2 2 2 3 5" xfId="143"/>
    <cellStyle name="ErrorNumberTB,C 2 2 2 3 6" xfId="143"/>
    <cellStyle name="ErrorNumberTB,C 2 2 2 3 7" xfId="143"/>
    <cellStyle name="ErrorNumberTB,C 2 2 2 3 8" xfId="143"/>
    <cellStyle name="ErrorNumberTB,C 2 2 2 4" xfId="143"/>
    <cellStyle name="ErrorNumberTB,C 2 2 2 4 2" xfId="143"/>
    <cellStyle name="ErrorNumberTB,C 2 2 2 4 2 2" xfId="143"/>
    <cellStyle name="ErrorNumberTB,C 2 2 2 4 2 3" xfId="143"/>
    <cellStyle name="ErrorNumberTB,C 2 2 2 4 2 4" xfId="143"/>
    <cellStyle name="ErrorNumberTB,C 2 2 2 4 2 5" xfId="143"/>
    <cellStyle name="ErrorNumberTB,C 2 2 2 4 3" xfId="143"/>
    <cellStyle name="ErrorNumberTB,C 2 2 2 4 3 2" xfId="143"/>
    <cellStyle name="ErrorNumberTB,C 2 2 2 4 3 3" xfId="143"/>
    <cellStyle name="ErrorNumberTB,C 2 2 2 4 3 4" xfId="143"/>
    <cellStyle name="ErrorNumberTB,C 2 2 2 4 4" xfId="143"/>
    <cellStyle name="ErrorNumberTB,C 2 2 2 4 5" xfId="143"/>
    <cellStyle name="ErrorNumberTB,C 2 2 2 4 6" xfId="143"/>
    <cellStyle name="ErrorNumberTB,C 2 2 2 4 7" xfId="143"/>
    <cellStyle name="ErrorNumberTB,C 2 2 2 4 8" xfId="143"/>
    <cellStyle name="ErrorNumberTB,C 2 2 2 5" xfId="143"/>
    <cellStyle name="ErrorNumberTB,C 2 2 2 5 2" xfId="143"/>
    <cellStyle name="ErrorNumberTB,C 2 2 2 5 2 2" xfId="143"/>
    <cellStyle name="ErrorNumberTB,C 2 2 2 5 2 3" xfId="143"/>
    <cellStyle name="ErrorNumberTB,C 2 2 2 5 2 4" xfId="143"/>
    <cellStyle name="ErrorNumberTB,C 2 2 2 5 2 5" xfId="143"/>
    <cellStyle name="ErrorNumberTB,C 2 2 2 5 3" xfId="143"/>
    <cellStyle name="ErrorNumberTB,C 2 2 2 5 3 2" xfId="143"/>
    <cellStyle name="ErrorNumberTB,C 2 2 2 5 3 3" xfId="143"/>
    <cellStyle name="ErrorNumberTB,C 2 2 2 5 3 4" xfId="143"/>
    <cellStyle name="ErrorNumberTB,C 2 2 2 5 4" xfId="143"/>
    <cellStyle name="ErrorNumberTB,C 2 2 2 5 5" xfId="143"/>
    <cellStyle name="ErrorNumberTB,C 2 2 2 5 6" xfId="143"/>
    <cellStyle name="ErrorNumberTB,C 2 2 2 5 7" xfId="143"/>
    <cellStyle name="ErrorNumberTB,C 2 2 2 5 8" xfId="143"/>
    <cellStyle name="ErrorNumberTB,C 2 2 2 6" xfId="143"/>
    <cellStyle name="ErrorNumberTB,C 2 2 2 6 2" xfId="143"/>
    <cellStyle name="ErrorNumberTB,C 2 2 2 6 3" xfId="143"/>
    <cellStyle name="ErrorNumberTB,C 2 2 2 6 4" xfId="143"/>
    <cellStyle name="ErrorNumberTB,C 2 2 2 6 5" xfId="143"/>
    <cellStyle name="ErrorNumberTB,C 2 2 2 7" xfId="143"/>
    <cellStyle name="ErrorNumberTB,C 2 2 2 7 2" xfId="143"/>
    <cellStyle name="ErrorNumberTB,C 2 2 2 7 3" xfId="143"/>
    <cellStyle name="ErrorNumberTB,C 2 2 2 7 4" xfId="143"/>
    <cellStyle name="ErrorNumberTB,C 2 2 2 8" xfId="143"/>
    <cellStyle name="ErrorNumberTB,C 2 2 2 9" xfId="143"/>
    <cellStyle name="ErrorNumberTB,C 2 2 3" xfId="143"/>
    <cellStyle name="ErrorNumberTB,C 2 2 3 10" xfId="143"/>
    <cellStyle name="ErrorNumberTB,C 2 2 3 11" xfId="143"/>
    <cellStyle name="ErrorNumberTB,C 2 2 3 12" xfId="143"/>
    <cellStyle name="ErrorNumberTB,C 2 2 3 2" xfId="143"/>
    <cellStyle name="ErrorNumberTB,C 2 2 3 2 2" xfId="143"/>
    <cellStyle name="ErrorNumberTB,C 2 2 3 2 2 2" xfId="143"/>
    <cellStyle name="ErrorNumberTB,C 2 2 3 2 2 3" xfId="143"/>
    <cellStyle name="ErrorNumberTB,C 2 2 3 2 2 4" xfId="143"/>
    <cellStyle name="ErrorNumberTB,C 2 2 3 2 2 5" xfId="143"/>
    <cellStyle name="ErrorNumberTB,C 2 2 3 2 3" xfId="143"/>
    <cellStyle name="ErrorNumberTB,C 2 2 3 2 3 2" xfId="143"/>
    <cellStyle name="ErrorNumberTB,C 2 2 3 2 3 3" xfId="143"/>
    <cellStyle name="ErrorNumberTB,C 2 2 3 2 3 4" xfId="143"/>
    <cellStyle name="ErrorNumberTB,C 2 2 3 2 4" xfId="143"/>
    <cellStyle name="ErrorNumberTB,C 2 2 3 2 5" xfId="143"/>
    <cellStyle name="ErrorNumberTB,C 2 2 3 2 6" xfId="143"/>
    <cellStyle name="ErrorNumberTB,C 2 2 3 2 7" xfId="143"/>
    <cellStyle name="ErrorNumberTB,C 2 2 3 2 8" xfId="143"/>
    <cellStyle name="ErrorNumberTB,C 2 2 3 3" xfId="143"/>
    <cellStyle name="ErrorNumberTB,C 2 2 3 3 2" xfId="143"/>
    <cellStyle name="ErrorNumberTB,C 2 2 3 3 2 2" xfId="143"/>
    <cellStyle name="ErrorNumberTB,C 2 2 3 3 2 3" xfId="143"/>
    <cellStyle name="ErrorNumberTB,C 2 2 3 3 2 4" xfId="143"/>
    <cellStyle name="ErrorNumberTB,C 2 2 3 3 2 5" xfId="143"/>
    <cellStyle name="ErrorNumberTB,C 2 2 3 3 3" xfId="143"/>
    <cellStyle name="ErrorNumberTB,C 2 2 3 3 3 2" xfId="143"/>
    <cellStyle name="ErrorNumberTB,C 2 2 3 3 3 3" xfId="143"/>
    <cellStyle name="ErrorNumberTB,C 2 2 3 3 3 4" xfId="143"/>
    <cellStyle name="ErrorNumberTB,C 2 2 3 3 4" xfId="143"/>
    <cellStyle name="ErrorNumberTB,C 2 2 3 3 5" xfId="143"/>
    <cellStyle name="ErrorNumberTB,C 2 2 3 3 6" xfId="143"/>
    <cellStyle name="ErrorNumberTB,C 2 2 3 3 7" xfId="143"/>
    <cellStyle name="ErrorNumberTB,C 2 2 3 3 8" xfId="143"/>
    <cellStyle name="ErrorNumberTB,C 2 2 3 4" xfId="143"/>
    <cellStyle name="ErrorNumberTB,C 2 2 3 4 2" xfId="143"/>
    <cellStyle name="ErrorNumberTB,C 2 2 3 4 2 2" xfId="143"/>
    <cellStyle name="ErrorNumberTB,C 2 2 3 4 2 3" xfId="143"/>
    <cellStyle name="ErrorNumberTB,C 2 2 3 4 2 4" xfId="143"/>
    <cellStyle name="ErrorNumberTB,C 2 2 3 4 2 5" xfId="143"/>
    <cellStyle name="ErrorNumberTB,C 2 2 3 4 3" xfId="143"/>
    <cellStyle name="ErrorNumberTB,C 2 2 3 4 3 2" xfId="143"/>
    <cellStyle name="ErrorNumberTB,C 2 2 3 4 3 3" xfId="143"/>
    <cellStyle name="ErrorNumberTB,C 2 2 3 4 3 4" xfId="143"/>
    <cellStyle name="ErrorNumberTB,C 2 2 3 4 4" xfId="143"/>
    <cellStyle name="ErrorNumberTB,C 2 2 3 4 5" xfId="143"/>
    <cellStyle name="ErrorNumberTB,C 2 2 3 4 6" xfId="143"/>
    <cellStyle name="ErrorNumberTB,C 2 2 3 4 7" xfId="143"/>
    <cellStyle name="ErrorNumberTB,C 2 2 3 4 8" xfId="143"/>
    <cellStyle name="ErrorNumberTB,C 2 2 3 5" xfId="143"/>
    <cellStyle name="ErrorNumberTB,C 2 2 3 5 2" xfId="143"/>
    <cellStyle name="ErrorNumberTB,C 2 2 3 5 2 2" xfId="143"/>
    <cellStyle name="ErrorNumberTB,C 2 2 3 5 2 3" xfId="143"/>
    <cellStyle name="ErrorNumberTB,C 2 2 3 5 2 4" xfId="143"/>
    <cellStyle name="ErrorNumberTB,C 2 2 3 5 2 5" xfId="143"/>
    <cellStyle name="ErrorNumberTB,C 2 2 3 5 3" xfId="143"/>
    <cellStyle name="ErrorNumberTB,C 2 2 3 5 3 2" xfId="143"/>
    <cellStyle name="ErrorNumberTB,C 2 2 3 5 3 3" xfId="143"/>
    <cellStyle name="ErrorNumberTB,C 2 2 3 5 3 4" xfId="143"/>
    <cellStyle name="ErrorNumberTB,C 2 2 3 5 4" xfId="143"/>
    <cellStyle name="ErrorNumberTB,C 2 2 3 5 5" xfId="143"/>
    <cellStyle name="ErrorNumberTB,C 2 2 3 5 6" xfId="143"/>
    <cellStyle name="ErrorNumberTB,C 2 2 3 5 7" xfId="143"/>
    <cellStyle name="ErrorNumberTB,C 2 2 3 5 8" xfId="143"/>
    <cellStyle name="ErrorNumberTB,C 2 2 3 6" xfId="143"/>
    <cellStyle name="ErrorNumberTB,C 2 2 3 6 2" xfId="143"/>
    <cellStyle name="ErrorNumberTB,C 2 2 3 6 3" xfId="143"/>
    <cellStyle name="ErrorNumberTB,C 2 2 3 6 4" xfId="143"/>
    <cellStyle name="ErrorNumberTB,C 2 2 3 6 5" xfId="143"/>
    <cellStyle name="ErrorNumberTB,C 2 2 3 7" xfId="143"/>
    <cellStyle name="ErrorNumberTB,C 2 2 3 7 2" xfId="143"/>
    <cellStyle name="ErrorNumberTB,C 2 2 3 7 3" xfId="143"/>
    <cellStyle name="ErrorNumberTB,C 2 2 3 7 4" xfId="143"/>
    <cellStyle name="ErrorNumberTB,C 2 2 3 8" xfId="143"/>
    <cellStyle name="ErrorNumberTB,C 2 2 3 9" xfId="143"/>
    <cellStyle name="ErrorNumberTB,C 2 2 4" xfId="143"/>
    <cellStyle name="ErrorNumberTB,C 2 2 4 2" xfId="143"/>
    <cellStyle name="ErrorNumberTB,C 2 2 4 2 2" xfId="143"/>
    <cellStyle name="ErrorNumberTB,C 2 2 4 2 3" xfId="143"/>
    <cellStyle name="ErrorNumberTB,C 2 2 4 2 4" xfId="143"/>
    <cellStyle name="ErrorNumberTB,C 2 2 4 2 5" xfId="143"/>
    <cellStyle name="ErrorNumberTB,C 2 2 4 3" xfId="143"/>
    <cellStyle name="ErrorNumberTB,C 2 2 4 3 2" xfId="143"/>
    <cellStyle name="ErrorNumberTB,C 2 2 4 3 3" xfId="143"/>
    <cellStyle name="ErrorNumberTB,C 2 2 4 3 4" xfId="143"/>
    <cellStyle name="ErrorNumberTB,C 2 2 4 4" xfId="143"/>
    <cellStyle name="ErrorNumberTB,C 2 2 4 5" xfId="143"/>
    <cellStyle name="ErrorNumberTB,C 2 2 4 6" xfId="143"/>
    <cellStyle name="ErrorNumberTB,C 2 2 4 7" xfId="143"/>
    <cellStyle name="ErrorNumberTB,C 2 2 4 8" xfId="143"/>
    <cellStyle name="ErrorNumberTB,C 2 2 5" xfId="143"/>
    <cellStyle name="ErrorNumberTB,C 2 2 5 2" xfId="143"/>
    <cellStyle name="ErrorNumberTB,C 2 2 5 2 2" xfId="143"/>
    <cellStyle name="ErrorNumberTB,C 2 2 5 2 3" xfId="143"/>
    <cellStyle name="ErrorNumberTB,C 2 2 5 2 4" xfId="143"/>
    <cellStyle name="ErrorNumberTB,C 2 2 5 2 5" xfId="143"/>
    <cellStyle name="ErrorNumberTB,C 2 2 5 3" xfId="143"/>
    <cellStyle name="ErrorNumberTB,C 2 2 5 3 2" xfId="143"/>
    <cellStyle name="ErrorNumberTB,C 2 2 5 3 3" xfId="143"/>
    <cellStyle name="ErrorNumberTB,C 2 2 5 3 4" xfId="143"/>
    <cellStyle name="ErrorNumberTB,C 2 2 5 4" xfId="143"/>
    <cellStyle name="ErrorNumberTB,C 2 2 5 5" xfId="143"/>
    <cellStyle name="ErrorNumberTB,C 2 2 5 6" xfId="143"/>
    <cellStyle name="ErrorNumberTB,C 2 2 5 7" xfId="143"/>
    <cellStyle name="ErrorNumberTB,C 2 2 5 8" xfId="143"/>
    <cellStyle name="ErrorNumberTB,C 2 2 6" xfId="143"/>
    <cellStyle name="ErrorNumberTB,C 2 2 6 2" xfId="143"/>
    <cellStyle name="ErrorNumberTB,C 2 2 6 2 2" xfId="143"/>
    <cellStyle name="ErrorNumberTB,C 2 2 6 2 3" xfId="143"/>
    <cellStyle name="ErrorNumberTB,C 2 2 6 2 4" xfId="143"/>
    <cellStyle name="ErrorNumberTB,C 2 2 6 2 5" xfId="143"/>
    <cellStyle name="ErrorNumberTB,C 2 2 6 3" xfId="143"/>
    <cellStyle name="ErrorNumberTB,C 2 2 6 3 2" xfId="143"/>
    <cellStyle name="ErrorNumberTB,C 2 2 6 3 3" xfId="143"/>
    <cellStyle name="ErrorNumberTB,C 2 2 6 3 4" xfId="143"/>
    <cellStyle name="ErrorNumberTB,C 2 2 6 4" xfId="143"/>
    <cellStyle name="ErrorNumberTB,C 2 2 6 5" xfId="143"/>
    <cellStyle name="ErrorNumberTB,C 2 2 6 6" xfId="143"/>
    <cellStyle name="ErrorNumberTB,C 2 2 6 7" xfId="143"/>
    <cellStyle name="ErrorNumberTB,C 2 2 6 8" xfId="143"/>
    <cellStyle name="ErrorNumberTB,C 2 2 7" xfId="143"/>
    <cellStyle name="ErrorNumberTB,C 2 2 7 2" xfId="143"/>
    <cellStyle name="ErrorNumberTB,C 2 2 7 2 2" xfId="143"/>
    <cellStyle name="ErrorNumberTB,C 2 2 7 2 3" xfId="143"/>
    <cellStyle name="ErrorNumberTB,C 2 2 7 2 4" xfId="143"/>
    <cellStyle name="ErrorNumberTB,C 2 2 7 2 5" xfId="143"/>
    <cellStyle name="ErrorNumberTB,C 2 2 7 3" xfId="143"/>
    <cellStyle name="ErrorNumberTB,C 2 2 7 3 2" xfId="143"/>
    <cellStyle name="ErrorNumberTB,C 2 2 7 3 3" xfId="143"/>
    <cellStyle name="ErrorNumberTB,C 2 2 7 3 4" xfId="143"/>
    <cellStyle name="ErrorNumberTB,C 2 2 7 4" xfId="143"/>
    <cellStyle name="ErrorNumberTB,C 2 2 7 5" xfId="143"/>
    <cellStyle name="ErrorNumberTB,C 2 2 7 6" xfId="143"/>
    <cellStyle name="ErrorNumberTB,C 2 2 7 7" xfId="143"/>
    <cellStyle name="ErrorNumberTB,C 2 2 7 8" xfId="143"/>
    <cellStyle name="ErrorNumberTB,C 2 2 8" xfId="143"/>
    <cellStyle name="ErrorNumberTB,C 2 2 8 2" xfId="143"/>
    <cellStyle name="ErrorNumberTB,C 2 2 8 3" xfId="143"/>
    <cellStyle name="ErrorNumberTB,C 2 2 8 4" xfId="143"/>
    <cellStyle name="ErrorNumberTB,C 2 2 8 5" xfId="143"/>
    <cellStyle name="ErrorNumberTB,C 2 2 9" xfId="143"/>
    <cellStyle name="ErrorNumberTB,C 2 2 9 2" xfId="143"/>
    <cellStyle name="ErrorNumberTB,C 2 2 9 3" xfId="143"/>
    <cellStyle name="ErrorNumberTB,C 2 2 9 4" xfId="143"/>
    <cellStyle name="ErrorNumberTB,C 2 3" xfId="143"/>
    <cellStyle name="ErrorNumberTB,C 2 3 10" xfId="143"/>
    <cellStyle name="ErrorNumberTB,C 2 3 11" xfId="143"/>
    <cellStyle name="ErrorNumberTB,C 2 3 12" xfId="143"/>
    <cellStyle name="ErrorNumberTB,C 2 3 2" xfId="143"/>
    <cellStyle name="ErrorNumberTB,C 2 3 2 2" xfId="143"/>
    <cellStyle name="ErrorNumberTB,C 2 3 2 2 2" xfId="143"/>
    <cellStyle name="ErrorNumberTB,C 2 3 2 2 3" xfId="143"/>
    <cellStyle name="ErrorNumberTB,C 2 3 2 2 4" xfId="143"/>
    <cellStyle name="ErrorNumberTB,C 2 3 2 2 5" xfId="143"/>
    <cellStyle name="ErrorNumberTB,C 2 3 2 3" xfId="143"/>
    <cellStyle name="ErrorNumberTB,C 2 3 2 3 2" xfId="143"/>
    <cellStyle name="ErrorNumberTB,C 2 3 2 3 3" xfId="143"/>
    <cellStyle name="ErrorNumberTB,C 2 3 2 3 4" xfId="143"/>
    <cellStyle name="ErrorNumberTB,C 2 3 2 4" xfId="143"/>
    <cellStyle name="ErrorNumberTB,C 2 3 2 5" xfId="143"/>
    <cellStyle name="ErrorNumberTB,C 2 3 2 6" xfId="143"/>
    <cellStyle name="ErrorNumberTB,C 2 3 2 7" xfId="143"/>
    <cellStyle name="ErrorNumberTB,C 2 3 2 8" xfId="143"/>
    <cellStyle name="ErrorNumberTB,C 2 3 3" xfId="143"/>
    <cellStyle name="ErrorNumberTB,C 2 3 3 2" xfId="143"/>
    <cellStyle name="ErrorNumberTB,C 2 3 3 2 2" xfId="143"/>
    <cellStyle name="ErrorNumberTB,C 2 3 3 2 3" xfId="143"/>
    <cellStyle name="ErrorNumberTB,C 2 3 3 2 4" xfId="143"/>
    <cellStyle name="ErrorNumberTB,C 2 3 3 2 5" xfId="143"/>
    <cellStyle name="ErrorNumberTB,C 2 3 3 3" xfId="143"/>
    <cellStyle name="ErrorNumberTB,C 2 3 3 3 2" xfId="143"/>
    <cellStyle name="ErrorNumberTB,C 2 3 3 3 3" xfId="143"/>
    <cellStyle name="ErrorNumberTB,C 2 3 3 3 4" xfId="143"/>
    <cellStyle name="ErrorNumberTB,C 2 3 3 4" xfId="143"/>
    <cellStyle name="ErrorNumberTB,C 2 3 3 5" xfId="143"/>
    <cellStyle name="ErrorNumberTB,C 2 3 3 6" xfId="143"/>
    <cellStyle name="ErrorNumberTB,C 2 3 3 7" xfId="143"/>
    <cellStyle name="ErrorNumberTB,C 2 3 3 8" xfId="143"/>
    <cellStyle name="ErrorNumberTB,C 2 3 4" xfId="143"/>
    <cellStyle name="ErrorNumberTB,C 2 3 4 2" xfId="143"/>
    <cellStyle name="ErrorNumberTB,C 2 3 4 2 2" xfId="143"/>
    <cellStyle name="ErrorNumberTB,C 2 3 4 2 3" xfId="143"/>
    <cellStyle name="ErrorNumberTB,C 2 3 4 2 4" xfId="143"/>
    <cellStyle name="ErrorNumberTB,C 2 3 4 2 5" xfId="143"/>
    <cellStyle name="ErrorNumberTB,C 2 3 4 3" xfId="143"/>
    <cellStyle name="ErrorNumberTB,C 2 3 4 3 2" xfId="143"/>
    <cellStyle name="ErrorNumberTB,C 2 3 4 3 3" xfId="143"/>
    <cellStyle name="ErrorNumberTB,C 2 3 4 3 4" xfId="143"/>
    <cellStyle name="ErrorNumberTB,C 2 3 4 4" xfId="143"/>
    <cellStyle name="ErrorNumberTB,C 2 3 4 5" xfId="143"/>
    <cellStyle name="ErrorNumberTB,C 2 3 4 6" xfId="143"/>
    <cellStyle name="ErrorNumberTB,C 2 3 4 7" xfId="143"/>
    <cellStyle name="ErrorNumberTB,C 2 3 4 8" xfId="143"/>
    <cellStyle name="ErrorNumberTB,C 2 3 5" xfId="143"/>
    <cellStyle name="ErrorNumberTB,C 2 3 5 2" xfId="143"/>
    <cellStyle name="ErrorNumberTB,C 2 3 5 2 2" xfId="143"/>
    <cellStyle name="ErrorNumberTB,C 2 3 5 2 3" xfId="143"/>
    <cellStyle name="ErrorNumberTB,C 2 3 5 2 4" xfId="143"/>
    <cellStyle name="ErrorNumberTB,C 2 3 5 2 5" xfId="143"/>
    <cellStyle name="ErrorNumberTB,C 2 3 5 3" xfId="143"/>
    <cellStyle name="ErrorNumberTB,C 2 3 5 3 2" xfId="143"/>
    <cellStyle name="ErrorNumberTB,C 2 3 5 3 3" xfId="143"/>
    <cellStyle name="ErrorNumberTB,C 2 3 5 3 4" xfId="143"/>
    <cellStyle name="ErrorNumberTB,C 2 3 5 4" xfId="143"/>
    <cellStyle name="ErrorNumberTB,C 2 3 5 5" xfId="143"/>
    <cellStyle name="ErrorNumberTB,C 2 3 5 6" xfId="143"/>
    <cellStyle name="ErrorNumberTB,C 2 3 5 7" xfId="143"/>
    <cellStyle name="ErrorNumberTB,C 2 3 5 8" xfId="143"/>
    <cellStyle name="ErrorNumberTB,C 2 3 6" xfId="143"/>
    <cellStyle name="ErrorNumberTB,C 2 3 6 2" xfId="143"/>
    <cellStyle name="ErrorNumberTB,C 2 3 6 3" xfId="143"/>
    <cellStyle name="ErrorNumberTB,C 2 3 6 4" xfId="143"/>
    <cellStyle name="ErrorNumberTB,C 2 3 6 5" xfId="143"/>
    <cellStyle name="ErrorNumberTB,C 2 3 7" xfId="143"/>
    <cellStyle name="ErrorNumberTB,C 2 3 7 2" xfId="143"/>
    <cellStyle name="ErrorNumberTB,C 2 3 7 3" xfId="143"/>
    <cellStyle name="ErrorNumberTB,C 2 3 7 4" xfId="143"/>
    <cellStyle name="ErrorNumberTB,C 2 3 8" xfId="143"/>
    <cellStyle name="ErrorNumberTB,C 2 3 9" xfId="143"/>
    <cellStyle name="ErrorNumberTB,C 2 4" xfId="143"/>
    <cellStyle name="ErrorNumberTB,C 2 4 2" xfId="143"/>
    <cellStyle name="ErrorNumberTB,C 2 4 2 2" xfId="143"/>
    <cellStyle name="ErrorNumberTB,C 2 4 2 3" xfId="143"/>
    <cellStyle name="ErrorNumberTB,C 2 4 2 4" xfId="143"/>
    <cellStyle name="ErrorNumberTB,C 2 4 2 5" xfId="143"/>
    <cellStyle name="ErrorNumberTB,C 2 4 3" xfId="143"/>
    <cellStyle name="ErrorNumberTB,C 2 4 3 2" xfId="143"/>
    <cellStyle name="ErrorNumberTB,C 2 4 3 3" xfId="143"/>
    <cellStyle name="ErrorNumberTB,C 2 4 3 4" xfId="143"/>
    <cellStyle name="ErrorNumberTB,C 2 4 4" xfId="143"/>
    <cellStyle name="ErrorNumberTB,C 2 4 5" xfId="143"/>
    <cellStyle name="ErrorNumberTB,C 2 4 6" xfId="143"/>
    <cellStyle name="ErrorNumberTB,C 2 4 7" xfId="143"/>
    <cellStyle name="ErrorNumberTB,C 2 4 8" xfId="143"/>
    <cellStyle name="ErrorNumberTB,C 2 5" xfId="143"/>
    <cellStyle name="ErrorNumberTB,C 2 5 2" xfId="143"/>
    <cellStyle name="ErrorNumberTB,C 2 5 2 2" xfId="143"/>
    <cellStyle name="ErrorNumberTB,C 2 5 2 3" xfId="143"/>
    <cellStyle name="ErrorNumberTB,C 2 5 2 4" xfId="143"/>
    <cellStyle name="ErrorNumberTB,C 2 5 2 5" xfId="143"/>
    <cellStyle name="ErrorNumberTB,C 2 5 3" xfId="143"/>
    <cellStyle name="ErrorNumberTB,C 2 5 3 2" xfId="143"/>
    <cellStyle name="ErrorNumberTB,C 2 5 3 3" xfId="143"/>
    <cellStyle name="ErrorNumberTB,C 2 5 3 4" xfId="143"/>
    <cellStyle name="ErrorNumberTB,C 2 5 4" xfId="143"/>
    <cellStyle name="ErrorNumberTB,C 2 5 5" xfId="143"/>
    <cellStyle name="ErrorNumberTB,C 2 5 6" xfId="143"/>
    <cellStyle name="ErrorNumberTB,C 2 5 7" xfId="143"/>
    <cellStyle name="ErrorNumberTB,C 2 5 8" xfId="143"/>
    <cellStyle name="ErrorNumberTB,C 2 6" xfId="143"/>
    <cellStyle name="ErrorNumberTB,C 2 6 2" xfId="143"/>
    <cellStyle name="ErrorNumberTB,C 2 6 2 2" xfId="143"/>
    <cellStyle name="ErrorNumberTB,C 2 6 2 3" xfId="143"/>
    <cellStyle name="ErrorNumberTB,C 2 6 2 4" xfId="143"/>
    <cellStyle name="ErrorNumberTB,C 2 6 2 5" xfId="143"/>
    <cellStyle name="ErrorNumberTB,C 2 6 3" xfId="143"/>
    <cellStyle name="ErrorNumberTB,C 2 6 3 2" xfId="143"/>
    <cellStyle name="ErrorNumberTB,C 2 6 3 3" xfId="143"/>
    <cellStyle name="ErrorNumberTB,C 2 6 3 4" xfId="143"/>
    <cellStyle name="ErrorNumberTB,C 2 6 4" xfId="143"/>
    <cellStyle name="ErrorNumberTB,C 2 6 5" xfId="143"/>
    <cellStyle name="ErrorNumberTB,C 2 6 6" xfId="143"/>
    <cellStyle name="ErrorNumberTB,C 2 6 7" xfId="143"/>
    <cellStyle name="ErrorNumberTB,C 2 6 8" xfId="143"/>
    <cellStyle name="ErrorNumberTB,C 2 7" xfId="143"/>
    <cellStyle name="ErrorNumberTB,C 2 7 2" xfId="143"/>
    <cellStyle name="ErrorNumberTB,C 2 7 2 2" xfId="143"/>
    <cellStyle name="ErrorNumberTB,C 2 7 2 3" xfId="143"/>
    <cellStyle name="ErrorNumberTB,C 2 7 2 4" xfId="143"/>
    <cellStyle name="ErrorNumberTB,C 2 7 2 5" xfId="143"/>
    <cellStyle name="ErrorNumberTB,C 2 7 3" xfId="143"/>
    <cellStyle name="ErrorNumberTB,C 2 7 3 2" xfId="143"/>
    <cellStyle name="ErrorNumberTB,C 2 7 3 3" xfId="143"/>
    <cellStyle name="ErrorNumberTB,C 2 7 3 4" xfId="143"/>
    <cellStyle name="ErrorNumberTB,C 2 7 4" xfId="143"/>
    <cellStyle name="ErrorNumberTB,C 2 7 5" xfId="143"/>
    <cellStyle name="ErrorNumberTB,C 2 7 6" xfId="143"/>
    <cellStyle name="ErrorNumberTB,C 2 7 7" xfId="143"/>
    <cellStyle name="ErrorNumberTB,C 2 7 8" xfId="143"/>
    <cellStyle name="ErrorNumberTB,C 2 8" xfId="143"/>
    <cellStyle name="ErrorNumberTB,C 2 8 2" xfId="143"/>
    <cellStyle name="ErrorNumberTB,C 2 8 3" xfId="143"/>
    <cellStyle name="ErrorNumberTB,C 2 8 4" xfId="143"/>
    <cellStyle name="ErrorNumberTB,C 2 8 5" xfId="143"/>
    <cellStyle name="ErrorNumberTB,C 2 9" xfId="143"/>
    <cellStyle name="ErrorNumberTB,C 2 9 2" xfId="143"/>
    <cellStyle name="ErrorNumberTB,C 2 9 3" xfId="143"/>
    <cellStyle name="ErrorNumberTB,C 2 9 4" xfId="143"/>
    <cellStyle name="ErrorNumberTB,C 3" xfId="143"/>
    <cellStyle name="ErrorNumberTB,C 3 10" xfId="143"/>
    <cellStyle name="ErrorNumberTB,C 3 11" xfId="143"/>
    <cellStyle name="ErrorNumberTB,C 3 12" xfId="143"/>
    <cellStyle name="ErrorNumberTB,C 3 13" xfId="143"/>
    <cellStyle name="ErrorNumberTB,C 3 14" xfId="143"/>
    <cellStyle name="ErrorNumberTB,C 3 2" xfId="143"/>
    <cellStyle name="ErrorNumberTB,C 3 2 10" xfId="143"/>
    <cellStyle name="ErrorNumberTB,C 3 2 11" xfId="143"/>
    <cellStyle name="ErrorNumberTB,C 3 2 12" xfId="143"/>
    <cellStyle name="ErrorNumberTB,C 3 2 2" xfId="143"/>
    <cellStyle name="ErrorNumberTB,C 3 2 2 2" xfId="143"/>
    <cellStyle name="ErrorNumberTB,C 3 2 2 2 2" xfId="143"/>
    <cellStyle name="ErrorNumberTB,C 3 2 2 2 3" xfId="143"/>
    <cellStyle name="ErrorNumberTB,C 3 2 2 2 4" xfId="143"/>
    <cellStyle name="ErrorNumberTB,C 3 2 2 2 5" xfId="143"/>
    <cellStyle name="ErrorNumberTB,C 3 2 2 3" xfId="143"/>
    <cellStyle name="ErrorNumberTB,C 3 2 2 3 2" xfId="143"/>
    <cellStyle name="ErrorNumberTB,C 3 2 2 3 3" xfId="143"/>
    <cellStyle name="ErrorNumberTB,C 3 2 2 3 4" xfId="143"/>
    <cellStyle name="ErrorNumberTB,C 3 2 2 4" xfId="143"/>
    <cellStyle name="ErrorNumberTB,C 3 2 2 5" xfId="143"/>
    <cellStyle name="ErrorNumberTB,C 3 2 2 6" xfId="143"/>
    <cellStyle name="ErrorNumberTB,C 3 2 2 7" xfId="143"/>
    <cellStyle name="ErrorNumberTB,C 3 2 2 8" xfId="143"/>
    <cellStyle name="ErrorNumberTB,C 3 2 3" xfId="143"/>
    <cellStyle name="ErrorNumberTB,C 3 2 3 2" xfId="143"/>
    <cellStyle name="ErrorNumberTB,C 3 2 3 2 2" xfId="143"/>
    <cellStyle name="ErrorNumberTB,C 3 2 3 2 3" xfId="143"/>
    <cellStyle name="ErrorNumberTB,C 3 2 3 2 4" xfId="143"/>
    <cellStyle name="ErrorNumberTB,C 3 2 3 2 5" xfId="143"/>
    <cellStyle name="ErrorNumberTB,C 3 2 3 3" xfId="143"/>
    <cellStyle name="ErrorNumberTB,C 3 2 3 3 2" xfId="143"/>
    <cellStyle name="ErrorNumberTB,C 3 2 3 3 3" xfId="143"/>
    <cellStyle name="ErrorNumberTB,C 3 2 3 3 4" xfId="143"/>
    <cellStyle name="ErrorNumberTB,C 3 2 3 4" xfId="143"/>
    <cellStyle name="ErrorNumberTB,C 3 2 3 5" xfId="143"/>
    <cellStyle name="ErrorNumberTB,C 3 2 3 6" xfId="143"/>
    <cellStyle name="ErrorNumberTB,C 3 2 3 7" xfId="143"/>
    <cellStyle name="ErrorNumberTB,C 3 2 3 8" xfId="143"/>
    <cellStyle name="ErrorNumberTB,C 3 2 4" xfId="143"/>
    <cellStyle name="ErrorNumberTB,C 3 2 4 2" xfId="143"/>
    <cellStyle name="ErrorNumberTB,C 3 2 4 2 2" xfId="143"/>
    <cellStyle name="ErrorNumberTB,C 3 2 4 2 3" xfId="143"/>
    <cellStyle name="ErrorNumberTB,C 3 2 4 2 4" xfId="143"/>
    <cellStyle name="ErrorNumberTB,C 3 2 4 2 5" xfId="143"/>
    <cellStyle name="ErrorNumberTB,C 3 2 4 3" xfId="143"/>
    <cellStyle name="ErrorNumberTB,C 3 2 4 3 2" xfId="143"/>
    <cellStyle name="ErrorNumberTB,C 3 2 4 3 3" xfId="143"/>
    <cellStyle name="ErrorNumberTB,C 3 2 4 3 4" xfId="143"/>
    <cellStyle name="ErrorNumberTB,C 3 2 4 4" xfId="143"/>
    <cellStyle name="ErrorNumberTB,C 3 2 4 5" xfId="143"/>
    <cellStyle name="ErrorNumberTB,C 3 2 4 6" xfId="143"/>
    <cellStyle name="ErrorNumberTB,C 3 2 4 7" xfId="143"/>
    <cellStyle name="ErrorNumberTB,C 3 2 4 8" xfId="143"/>
    <cellStyle name="ErrorNumberTB,C 3 2 5" xfId="143"/>
    <cellStyle name="ErrorNumberTB,C 3 2 5 2" xfId="143"/>
    <cellStyle name="ErrorNumberTB,C 3 2 5 2 2" xfId="143"/>
    <cellStyle name="ErrorNumberTB,C 3 2 5 2 3" xfId="143"/>
    <cellStyle name="ErrorNumberTB,C 3 2 5 2 4" xfId="143"/>
    <cellStyle name="ErrorNumberTB,C 3 2 5 2 5" xfId="143"/>
    <cellStyle name="ErrorNumberTB,C 3 2 5 3" xfId="143"/>
    <cellStyle name="ErrorNumberTB,C 3 2 5 3 2" xfId="143"/>
    <cellStyle name="ErrorNumberTB,C 3 2 5 3 3" xfId="143"/>
    <cellStyle name="ErrorNumberTB,C 3 2 5 3 4" xfId="143"/>
    <cellStyle name="ErrorNumberTB,C 3 2 5 4" xfId="143"/>
    <cellStyle name="ErrorNumberTB,C 3 2 5 5" xfId="143"/>
    <cellStyle name="ErrorNumberTB,C 3 2 5 6" xfId="143"/>
    <cellStyle name="ErrorNumberTB,C 3 2 5 7" xfId="143"/>
    <cellStyle name="ErrorNumberTB,C 3 2 5 8" xfId="143"/>
    <cellStyle name="ErrorNumberTB,C 3 2 6" xfId="143"/>
    <cellStyle name="ErrorNumberTB,C 3 2 6 2" xfId="143"/>
    <cellStyle name="ErrorNumberTB,C 3 2 6 3" xfId="143"/>
    <cellStyle name="ErrorNumberTB,C 3 2 6 4" xfId="143"/>
    <cellStyle name="ErrorNumberTB,C 3 2 6 5" xfId="143"/>
    <cellStyle name="ErrorNumberTB,C 3 2 7" xfId="143"/>
    <cellStyle name="ErrorNumberTB,C 3 2 7 2" xfId="143"/>
    <cellStyle name="ErrorNumberTB,C 3 2 7 3" xfId="143"/>
    <cellStyle name="ErrorNumberTB,C 3 2 7 4" xfId="143"/>
    <cellStyle name="ErrorNumberTB,C 3 2 8" xfId="143"/>
    <cellStyle name="ErrorNumberTB,C 3 2 9" xfId="143"/>
    <cellStyle name="ErrorNumberTB,C 3 3" xfId="143"/>
    <cellStyle name="ErrorNumberTB,C 3 3 10" xfId="143"/>
    <cellStyle name="ErrorNumberTB,C 3 3 11" xfId="143"/>
    <cellStyle name="ErrorNumberTB,C 3 3 12" xfId="143"/>
    <cellStyle name="ErrorNumberTB,C 3 3 2" xfId="143"/>
    <cellStyle name="ErrorNumberTB,C 3 3 2 2" xfId="143"/>
    <cellStyle name="ErrorNumberTB,C 3 3 2 2 2" xfId="143"/>
    <cellStyle name="ErrorNumberTB,C 3 3 2 2 3" xfId="143"/>
    <cellStyle name="ErrorNumberTB,C 3 3 2 2 4" xfId="143"/>
    <cellStyle name="ErrorNumberTB,C 3 3 2 2 5" xfId="143"/>
    <cellStyle name="ErrorNumberTB,C 3 3 2 3" xfId="143"/>
    <cellStyle name="ErrorNumberTB,C 3 3 2 3 2" xfId="143"/>
    <cellStyle name="ErrorNumberTB,C 3 3 2 3 3" xfId="143"/>
    <cellStyle name="ErrorNumberTB,C 3 3 2 3 4" xfId="143"/>
    <cellStyle name="ErrorNumberTB,C 3 3 2 4" xfId="143"/>
    <cellStyle name="ErrorNumberTB,C 3 3 2 5" xfId="143"/>
    <cellStyle name="ErrorNumberTB,C 3 3 2 6" xfId="143"/>
    <cellStyle name="ErrorNumberTB,C 3 3 2 7" xfId="143"/>
    <cellStyle name="ErrorNumberTB,C 3 3 2 8" xfId="143"/>
    <cellStyle name="ErrorNumberTB,C 3 3 3" xfId="143"/>
    <cellStyle name="ErrorNumberTB,C 3 3 3 2" xfId="143"/>
    <cellStyle name="ErrorNumberTB,C 3 3 3 2 2" xfId="143"/>
    <cellStyle name="ErrorNumberTB,C 3 3 3 2 3" xfId="143"/>
    <cellStyle name="ErrorNumberTB,C 3 3 3 2 4" xfId="143"/>
    <cellStyle name="ErrorNumberTB,C 3 3 3 2 5" xfId="143"/>
    <cellStyle name="ErrorNumberTB,C 3 3 3 3" xfId="143"/>
    <cellStyle name="ErrorNumberTB,C 3 3 3 3 2" xfId="143"/>
    <cellStyle name="ErrorNumberTB,C 3 3 3 3 3" xfId="143"/>
    <cellStyle name="ErrorNumberTB,C 3 3 3 3 4" xfId="143"/>
    <cellStyle name="ErrorNumberTB,C 3 3 3 4" xfId="143"/>
    <cellStyle name="ErrorNumberTB,C 3 3 3 5" xfId="143"/>
    <cellStyle name="ErrorNumberTB,C 3 3 3 6" xfId="143"/>
    <cellStyle name="ErrorNumberTB,C 3 3 3 7" xfId="143"/>
    <cellStyle name="ErrorNumberTB,C 3 3 3 8" xfId="143"/>
    <cellStyle name="ErrorNumberTB,C 3 3 4" xfId="143"/>
    <cellStyle name="ErrorNumberTB,C 3 3 4 2" xfId="143"/>
    <cellStyle name="ErrorNumberTB,C 3 3 4 2 2" xfId="143"/>
    <cellStyle name="ErrorNumberTB,C 3 3 4 2 3" xfId="143"/>
    <cellStyle name="ErrorNumberTB,C 3 3 4 2 4" xfId="143"/>
    <cellStyle name="ErrorNumberTB,C 3 3 4 2 5" xfId="143"/>
    <cellStyle name="ErrorNumberTB,C 3 3 4 3" xfId="143"/>
    <cellStyle name="ErrorNumberTB,C 3 3 4 3 2" xfId="143"/>
    <cellStyle name="ErrorNumberTB,C 3 3 4 3 3" xfId="143"/>
    <cellStyle name="ErrorNumberTB,C 3 3 4 3 4" xfId="143"/>
    <cellStyle name="ErrorNumberTB,C 3 3 4 4" xfId="143"/>
    <cellStyle name="ErrorNumberTB,C 3 3 4 5" xfId="143"/>
    <cellStyle name="ErrorNumberTB,C 3 3 4 6" xfId="143"/>
    <cellStyle name="ErrorNumberTB,C 3 3 4 7" xfId="143"/>
    <cellStyle name="ErrorNumberTB,C 3 3 4 8" xfId="143"/>
    <cellStyle name="ErrorNumberTB,C 3 3 5" xfId="143"/>
    <cellStyle name="ErrorNumberTB,C 3 3 5 2" xfId="143"/>
    <cellStyle name="ErrorNumberTB,C 3 3 5 2 2" xfId="143"/>
    <cellStyle name="ErrorNumberTB,C 3 3 5 2 3" xfId="143"/>
    <cellStyle name="ErrorNumberTB,C 3 3 5 2 4" xfId="143"/>
    <cellStyle name="ErrorNumberTB,C 3 3 5 2 5" xfId="143"/>
    <cellStyle name="ErrorNumberTB,C 3 3 5 3" xfId="143"/>
    <cellStyle name="ErrorNumberTB,C 3 3 5 3 2" xfId="143"/>
    <cellStyle name="ErrorNumberTB,C 3 3 5 3 3" xfId="143"/>
    <cellStyle name="ErrorNumberTB,C 3 3 5 3 4" xfId="143"/>
    <cellStyle name="ErrorNumberTB,C 3 3 5 4" xfId="143"/>
    <cellStyle name="ErrorNumberTB,C 3 3 5 5" xfId="143"/>
    <cellStyle name="ErrorNumberTB,C 3 3 5 6" xfId="143"/>
    <cellStyle name="ErrorNumberTB,C 3 3 5 7" xfId="143"/>
    <cellStyle name="ErrorNumberTB,C 3 3 5 8" xfId="143"/>
    <cellStyle name="ErrorNumberTB,C 3 3 6" xfId="143"/>
    <cellStyle name="ErrorNumberTB,C 3 3 6 2" xfId="143"/>
    <cellStyle name="ErrorNumberTB,C 3 3 6 3" xfId="143"/>
    <cellStyle name="ErrorNumberTB,C 3 3 6 4" xfId="143"/>
    <cellStyle name="ErrorNumberTB,C 3 3 6 5" xfId="143"/>
    <cellStyle name="ErrorNumberTB,C 3 3 7" xfId="143"/>
    <cellStyle name="ErrorNumberTB,C 3 3 7 2" xfId="143"/>
    <cellStyle name="ErrorNumberTB,C 3 3 7 3" xfId="143"/>
    <cellStyle name="ErrorNumberTB,C 3 3 7 4" xfId="143"/>
    <cellStyle name="ErrorNumberTB,C 3 3 8" xfId="143"/>
    <cellStyle name="ErrorNumberTB,C 3 3 9" xfId="143"/>
    <cellStyle name="ErrorNumberTB,C 3 4" xfId="143"/>
    <cellStyle name="ErrorNumberTB,C 3 4 2" xfId="143"/>
    <cellStyle name="ErrorNumberTB,C 3 4 2 2" xfId="143"/>
    <cellStyle name="ErrorNumberTB,C 3 4 2 3" xfId="143"/>
    <cellStyle name="ErrorNumberTB,C 3 4 2 4" xfId="143"/>
    <cellStyle name="ErrorNumberTB,C 3 4 2 5" xfId="143"/>
    <cellStyle name="ErrorNumberTB,C 3 4 3" xfId="143"/>
    <cellStyle name="ErrorNumberTB,C 3 4 3 2" xfId="143"/>
    <cellStyle name="ErrorNumberTB,C 3 4 3 3" xfId="143"/>
    <cellStyle name="ErrorNumberTB,C 3 4 3 4" xfId="143"/>
    <cellStyle name="ErrorNumberTB,C 3 4 4" xfId="143"/>
    <cellStyle name="ErrorNumberTB,C 3 4 5" xfId="143"/>
    <cellStyle name="ErrorNumberTB,C 3 4 6" xfId="143"/>
    <cellStyle name="ErrorNumberTB,C 3 4 7" xfId="143"/>
    <cellStyle name="ErrorNumberTB,C 3 4 8" xfId="143"/>
    <cellStyle name="ErrorNumberTB,C 3 5" xfId="143"/>
    <cellStyle name="ErrorNumberTB,C 3 5 2" xfId="143"/>
    <cellStyle name="ErrorNumberTB,C 3 5 2 2" xfId="143"/>
    <cellStyle name="ErrorNumberTB,C 3 5 2 3" xfId="143"/>
    <cellStyle name="ErrorNumberTB,C 3 5 2 4" xfId="143"/>
    <cellStyle name="ErrorNumberTB,C 3 5 2 5" xfId="143"/>
    <cellStyle name="ErrorNumberTB,C 3 5 3" xfId="143"/>
    <cellStyle name="ErrorNumberTB,C 3 5 3 2" xfId="143"/>
    <cellStyle name="ErrorNumberTB,C 3 5 3 3" xfId="143"/>
    <cellStyle name="ErrorNumberTB,C 3 5 3 4" xfId="143"/>
    <cellStyle name="ErrorNumberTB,C 3 5 4" xfId="143"/>
    <cellStyle name="ErrorNumberTB,C 3 5 5" xfId="143"/>
    <cellStyle name="ErrorNumberTB,C 3 5 6" xfId="143"/>
    <cellStyle name="ErrorNumberTB,C 3 5 7" xfId="143"/>
    <cellStyle name="ErrorNumberTB,C 3 5 8" xfId="143"/>
    <cellStyle name="ErrorNumberTB,C 3 6" xfId="143"/>
    <cellStyle name="ErrorNumberTB,C 3 6 2" xfId="143"/>
    <cellStyle name="ErrorNumberTB,C 3 6 2 2" xfId="143"/>
    <cellStyle name="ErrorNumberTB,C 3 6 2 3" xfId="143"/>
    <cellStyle name="ErrorNumberTB,C 3 6 2 4" xfId="143"/>
    <cellStyle name="ErrorNumberTB,C 3 6 2 5" xfId="143"/>
    <cellStyle name="ErrorNumberTB,C 3 6 3" xfId="143"/>
    <cellStyle name="ErrorNumberTB,C 3 6 3 2" xfId="143"/>
    <cellStyle name="ErrorNumberTB,C 3 6 3 3" xfId="143"/>
    <cellStyle name="ErrorNumberTB,C 3 6 3 4" xfId="143"/>
    <cellStyle name="ErrorNumberTB,C 3 6 4" xfId="143"/>
    <cellStyle name="ErrorNumberTB,C 3 6 5" xfId="143"/>
    <cellStyle name="ErrorNumberTB,C 3 6 6" xfId="143"/>
    <cellStyle name="ErrorNumberTB,C 3 6 7" xfId="143"/>
    <cellStyle name="ErrorNumberTB,C 3 6 8" xfId="143"/>
    <cellStyle name="ErrorNumberTB,C 3 7" xfId="143"/>
    <cellStyle name="ErrorNumberTB,C 3 7 2" xfId="143"/>
    <cellStyle name="ErrorNumberTB,C 3 7 2 2" xfId="143"/>
    <cellStyle name="ErrorNumberTB,C 3 7 2 3" xfId="143"/>
    <cellStyle name="ErrorNumberTB,C 3 7 2 4" xfId="143"/>
    <cellStyle name="ErrorNumberTB,C 3 7 2 5" xfId="143"/>
    <cellStyle name="ErrorNumberTB,C 3 7 3" xfId="143"/>
    <cellStyle name="ErrorNumberTB,C 3 7 3 2" xfId="143"/>
    <cellStyle name="ErrorNumberTB,C 3 7 3 3" xfId="143"/>
    <cellStyle name="ErrorNumberTB,C 3 7 3 4" xfId="143"/>
    <cellStyle name="ErrorNumberTB,C 3 7 4" xfId="143"/>
    <cellStyle name="ErrorNumberTB,C 3 7 5" xfId="143"/>
    <cellStyle name="ErrorNumberTB,C 3 7 6" xfId="143"/>
    <cellStyle name="ErrorNumberTB,C 3 7 7" xfId="143"/>
    <cellStyle name="ErrorNumberTB,C 3 7 8" xfId="143"/>
    <cellStyle name="ErrorNumberTB,C 3 8" xfId="143"/>
    <cellStyle name="ErrorNumberTB,C 3 8 2" xfId="143"/>
    <cellStyle name="ErrorNumberTB,C 3 8 3" xfId="143"/>
    <cellStyle name="ErrorNumberTB,C 3 8 4" xfId="143"/>
    <cellStyle name="ErrorNumberTB,C 3 8 5" xfId="143"/>
    <cellStyle name="ErrorNumberTB,C 3 9" xfId="143"/>
    <cellStyle name="ErrorNumberTB,C 3 9 2" xfId="143"/>
    <cellStyle name="ErrorNumberTB,C 3 9 3" xfId="143"/>
    <cellStyle name="ErrorNumberTB,C 3 9 4" xfId="143"/>
    <cellStyle name="ErrorNumberTB,C 4" xfId="143"/>
    <cellStyle name="ErrorNumberTB,C 4 2" xfId="143"/>
    <cellStyle name="ErrorNumberTB,C 4 2 2" xfId="143"/>
    <cellStyle name="ErrorNumberTB,C 4 2 2 2" xfId="143"/>
    <cellStyle name="ErrorNumberTB,C 4 2 2 3" xfId="143"/>
    <cellStyle name="ErrorNumberTB,C 4 2 2 4" xfId="143"/>
    <cellStyle name="ErrorNumberTB,C 4 2 2 5" xfId="143"/>
    <cellStyle name="ErrorNumberTB,C 4 2 3" xfId="143"/>
    <cellStyle name="ErrorNumberTB,C 4 2 3 2" xfId="143"/>
    <cellStyle name="ErrorNumberTB,C 4 2 3 3" xfId="143"/>
    <cellStyle name="ErrorNumberTB,C 4 2 3 4" xfId="143"/>
    <cellStyle name="ErrorNumberTB,C 4 2 4" xfId="143"/>
    <cellStyle name="ErrorNumberTB,C 4 2 5" xfId="143"/>
    <cellStyle name="ErrorNumberTB,C 4 2 6" xfId="143"/>
    <cellStyle name="ErrorNumberTB,C 4 2 7" xfId="143"/>
    <cellStyle name="ErrorNumberTB,C 4 2 8" xfId="143"/>
    <cellStyle name="ErrorNumberTB,C 4 3" xfId="143"/>
    <cellStyle name="ErrorNumberTB,C 4 3 2" xfId="143"/>
    <cellStyle name="ErrorNumberTB,C 4 3 2 2" xfId="143"/>
    <cellStyle name="ErrorNumberTB,C 4 3 2 3" xfId="143"/>
    <cellStyle name="ErrorNumberTB,C 4 3 2 4" xfId="143"/>
    <cellStyle name="ErrorNumberTB,C 4 3 2 5" xfId="143"/>
    <cellStyle name="ErrorNumberTB,C 4 3 3" xfId="143"/>
    <cellStyle name="ErrorNumberTB,C 4 3 3 2" xfId="143"/>
    <cellStyle name="ErrorNumberTB,C 4 3 3 3" xfId="143"/>
    <cellStyle name="ErrorNumberTB,C 4 3 3 4" xfId="143"/>
    <cellStyle name="ErrorNumberTB,C 4 3 4" xfId="143"/>
    <cellStyle name="ErrorNumberTB,C 4 3 5" xfId="143"/>
    <cellStyle name="ErrorNumberTB,C 4 3 6" xfId="143"/>
    <cellStyle name="ErrorNumberTB,C 4 3 7" xfId="143"/>
    <cellStyle name="ErrorNumberTB,C 4 4" xfId="143"/>
    <cellStyle name="ErrorNumberTB,C 4 4 2" xfId="143"/>
    <cellStyle name="ErrorNumberTB,C 4 4 3" xfId="143"/>
    <cellStyle name="ErrorNumberTB,C 4 4 4" xfId="143"/>
    <cellStyle name="ErrorNumberTB,C 4 4 5" xfId="143"/>
    <cellStyle name="ErrorNumberTB,C 4 5" xfId="143"/>
    <cellStyle name="ErrorNumberTB,C 4 5 2" xfId="143"/>
    <cellStyle name="ErrorNumberTB,C 4 5 3" xfId="143"/>
    <cellStyle name="ErrorNumberTB,C 4 5 4" xfId="143"/>
    <cellStyle name="ErrorNumberTB,C 4 6" xfId="143"/>
    <cellStyle name="ErrorNumberTB,C 4 7" xfId="143"/>
    <cellStyle name="ErrorNumberTB,C 4 8" xfId="143"/>
    <cellStyle name="ErrorNumberTB,C 4 9" xfId="143"/>
    <cellStyle name="ErrorNumberTB,C 5" xfId="143"/>
    <cellStyle name="ErrorNumberTB,C 5 2" xfId="143"/>
    <cellStyle name="ErrorNumberTB,C 5 2 2" xfId="143"/>
    <cellStyle name="ErrorNumberTB,C 5 2 3" xfId="143"/>
    <cellStyle name="ErrorNumberTB,C 5 2 4" xfId="143"/>
    <cellStyle name="ErrorNumberTB,C 5 2 5" xfId="143"/>
    <cellStyle name="ErrorNumberTB,C 5 3" xfId="143"/>
    <cellStyle name="ErrorNumberTB,C 5 3 2" xfId="143"/>
    <cellStyle name="ErrorNumberTB,C 5 3 3" xfId="143"/>
    <cellStyle name="ErrorNumberTB,C 5 3 4" xfId="143"/>
    <cellStyle name="ErrorNumberTB,C 5 4" xfId="143"/>
    <cellStyle name="ErrorNumberTB,C 5 5" xfId="143"/>
    <cellStyle name="ErrorNumberTB,C 5 6" xfId="143"/>
    <cellStyle name="ErrorNumberTB,C 5 7" xfId="143"/>
    <cellStyle name="ErrorNumberTB,C 5 8" xfId="143"/>
    <cellStyle name="ErrorNumberTB,C 6" xfId="143"/>
    <cellStyle name="ErrorNumberTB,C 6 2" xfId="143"/>
    <cellStyle name="ErrorNumberTB,C 6 3" xfId="143"/>
    <cellStyle name="ErrorNumberTB,C 6 4" xfId="143"/>
    <cellStyle name="ErrorNumberTB,C 6 5" xfId="143"/>
    <cellStyle name="ErrorNumberTB,C 7" xfId="143"/>
    <cellStyle name="ErrorNumberTB,C 8" xfId="143"/>
    <cellStyle name="ErrorText-GCenterAlign" xfId="144"/>
    <cellStyle name="ErrorText-GCenterAlign 2" xfId="144"/>
    <cellStyle name="ErrorText-GCenterAlign 2 10" xfId="144"/>
    <cellStyle name="ErrorText-GCenterAlign 2 11" xfId="144"/>
    <cellStyle name="ErrorText-GCenterAlign 2 12" xfId="144"/>
    <cellStyle name="ErrorText-GCenterAlign 2 13" xfId="144"/>
    <cellStyle name="ErrorText-GCenterAlign 2 14" xfId="144"/>
    <cellStyle name="ErrorText-GCenterAlign 2 2" xfId="144"/>
    <cellStyle name="ErrorText-GCenterAlign 2 2 10" xfId="144"/>
    <cellStyle name="ErrorText-GCenterAlign 2 2 11" xfId="144"/>
    <cellStyle name="ErrorText-GCenterAlign 2 2 12" xfId="144"/>
    <cellStyle name="ErrorText-GCenterAlign 2 2 13" xfId="144"/>
    <cellStyle name="ErrorText-GCenterAlign 2 2 14" xfId="144"/>
    <cellStyle name="ErrorText-GCenterAlign 2 2 2" xfId="144"/>
    <cellStyle name="ErrorText-GCenterAlign 2 2 2 10" xfId="144"/>
    <cellStyle name="ErrorText-GCenterAlign 2 2 2 11" xfId="144"/>
    <cellStyle name="ErrorText-GCenterAlign 2 2 2 12" xfId="144"/>
    <cellStyle name="ErrorText-GCenterAlign 2 2 2 2" xfId="144"/>
    <cellStyle name="ErrorText-GCenterAlign 2 2 2 2 2" xfId="144"/>
    <cellStyle name="ErrorText-GCenterAlign 2 2 2 2 2 2" xfId="144"/>
    <cellStyle name="ErrorText-GCenterAlign 2 2 2 2 2 3" xfId="144"/>
    <cellStyle name="ErrorText-GCenterAlign 2 2 2 2 2 4" xfId="144"/>
    <cellStyle name="ErrorText-GCenterAlign 2 2 2 2 2 5" xfId="144"/>
    <cellStyle name="ErrorText-GCenterAlign 2 2 2 2 3" xfId="144"/>
    <cellStyle name="ErrorText-GCenterAlign 2 2 2 2 3 2" xfId="144"/>
    <cellStyle name="ErrorText-GCenterAlign 2 2 2 2 3 3" xfId="144"/>
    <cellStyle name="ErrorText-GCenterAlign 2 2 2 2 3 4" xfId="144"/>
    <cellStyle name="ErrorText-GCenterAlign 2 2 2 2 4" xfId="144"/>
    <cellStyle name="ErrorText-GCenterAlign 2 2 2 2 5" xfId="144"/>
    <cellStyle name="ErrorText-GCenterAlign 2 2 2 2 6" xfId="144"/>
    <cellStyle name="ErrorText-GCenterAlign 2 2 2 2 7" xfId="144"/>
    <cellStyle name="ErrorText-GCenterAlign 2 2 2 2 8" xfId="144"/>
    <cellStyle name="ErrorText-GCenterAlign 2 2 2 3" xfId="144"/>
    <cellStyle name="ErrorText-GCenterAlign 2 2 2 3 2" xfId="144"/>
    <cellStyle name="ErrorText-GCenterAlign 2 2 2 3 2 2" xfId="144"/>
    <cellStyle name="ErrorText-GCenterAlign 2 2 2 3 2 3" xfId="144"/>
    <cellStyle name="ErrorText-GCenterAlign 2 2 2 3 2 4" xfId="144"/>
    <cellStyle name="ErrorText-GCenterAlign 2 2 2 3 2 5" xfId="144"/>
    <cellStyle name="ErrorText-GCenterAlign 2 2 2 3 3" xfId="144"/>
    <cellStyle name="ErrorText-GCenterAlign 2 2 2 3 3 2" xfId="144"/>
    <cellStyle name="ErrorText-GCenterAlign 2 2 2 3 3 3" xfId="144"/>
    <cellStyle name="ErrorText-GCenterAlign 2 2 2 3 3 4" xfId="144"/>
    <cellStyle name="ErrorText-GCenterAlign 2 2 2 3 4" xfId="144"/>
    <cellStyle name="ErrorText-GCenterAlign 2 2 2 3 5" xfId="144"/>
    <cellStyle name="ErrorText-GCenterAlign 2 2 2 3 6" xfId="144"/>
    <cellStyle name="ErrorText-GCenterAlign 2 2 2 3 7" xfId="144"/>
    <cellStyle name="ErrorText-GCenterAlign 2 2 2 3 8" xfId="144"/>
    <cellStyle name="ErrorText-GCenterAlign 2 2 2 4" xfId="144"/>
    <cellStyle name="ErrorText-GCenterAlign 2 2 2 4 2" xfId="144"/>
    <cellStyle name="ErrorText-GCenterAlign 2 2 2 4 2 2" xfId="144"/>
    <cellStyle name="ErrorText-GCenterAlign 2 2 2 4 2 3" xfId="144"/>
    <cellStyle name="ErrorText-GCenterAlign 2 2 2 4 2 4" xfId="144"/>
    <cellStyle name="ErrorText-GCenterAlign 2 2 2 4 2 5" xfId="144"/>
    <cellStyle name="ErrorText-GCenterAlign 2 2 2 4 3" xfId="144"/>
    <cellStyle name="ErrorText-GCenterAlign 2 2 2 4 3 2" xfId="144"/>
    <cellStyle name="ErrorText-GCenterAlign 2 2 2 4 3 3" xfId="144"/>
    <cellStyle name="ErrorText-GCenterAlign 2 2 2 4 3 4" xfId="144"/>
    <cellStyle name="ErrorText-GCenterAlign 2 2 2 4 4" xfId="144"/>
    <cellStyle name="ErrorText-GCenterAlign 2 2 2 4 5" xfId="144"/>
    <cellStyle name="ErrorText-GCenterAlign 2 2 2 4 6" xfId="144"/>
    <cellStyle name="ErrorText-GCenterAlign 2 2 2 4 7" xfId="144"/>
    <cellStyle name="ErrorText-GCenterAlign 2 2 2 4 8" xfId="144"/>
    <cellStyle name="ErrorText-GCenterAlign 2 2 2 5" xfId="144"/>
    <cellStyle name="ErrorText-GCenterAlign 2 2 2 5 2" xfId="144"/>
    <cellStyle name="ErrorText-GCenterAlign 2 2 2 5 2 2" xfId="144"/>
    <cellStyle name="ErrorText-GCenterAlign 2 2 2 5 2 3" xfId="144"/>
    <cellStyle name="ErrorText-GCenterAlign 2 2 2 5 2 4" xfId="144"/>
    <cellStyle name="ErrorText-GCenterAlign 2 2 2 5 2 5" xfId="144"/>
    <cellStyle name="ErrorText-GCenterAlign 2 2 2 5 3" xfId="144"/>
    <cellStyle name="ErrorText-GCenterAlign 2 2 2 5 3 2" xfId="144"/>
    <cellStyle name="ErrorText-GCenterAlign 2 2 2 5 3 3" xfId="144"/>
    <cellStyle name="ErrorText-GCenterAlign 2 2 2 5 3 4" xfId="144"/>
    <cellStyle name="ErrorText-GCenterAlign 2 2 2 5 4" xfId="144"/>
    <cellStyle name="ErrorText-GCenterAlign 2 2 2 5 5" xfId="144"/>
    <cellStyle name="ErrorText-GCenterAlign 2 2 2 5 6" xfId="144"/>
    <cellStyle name="ErrorText-GCenterAlign 2 2 2 5 7" xfId="144"/>
    <cellStyle name="ErrorText-GCenterAlign 2 2 2 5 8" xfId="144"/>
    <cellStyle name="ErrorText-GCenterAlign 2 2 2 6" xfId="144"/>
    <cellStyle name="ErrorText-GCenterAlign 2 2 2 6 2" xfId="144"/>
    <cellStyle name="ErrorText-GCenterAlign 2 2 2 6 3" xfId="144"/>
    <cellStyle name="ErrorText-GCenterAlign 2 2 2 6 4" xfId="144"/>
    <cellStyle name="ErrorText-GCenterAlign 2 2 2 6 5" xfId="144"/>
    <cellStyle name="ErrorText-GCenterAlign 2 2 2 7" xfId="144"/>
    <cellStyle name="ErrorText-GCenterAlign 2 2 2 7 2" xfId="144"/>
    <cellStyle name="ErrorText-GCenterAlign 2 2 2 7 3" xfId="144"/>
    <cellStyle name="ErrorText-GCenterAlign 2 2 2 7 4" xfId="144"/>
    <cellStyle name="ErrorText-GCenterAlign 2 2 2 8" xfId="144"/>
    <cellStyle name="ErrorText-GCenterAlign 2 2 2 9" xfId="144"/>
    <cellStyle name="ErrorText-GCenterAlign 2 2 3" xfId="144"/>
    <cellStyle name="ErrorText-GCenterAlign 2 2 3 10" xfId="144"/>
    <cellStyle name="ErrorText-GCenterAlign 2 2 3 11" xfId="144"/>
    <cellStyle name="ErrorText-GCenterAlign 2 2 3 12" xfId="144"/>
    <cellStyle name="ErrorText-GCenterAlign 2 2 3 2" xfId="144"/>
    <cellStyle name="ErrorText-GCenterAlign 2 2 3 2 2" xfId="144"/>
    <cellStyle name="ErrorText-GCenterAlign 2 2 3 2 2 2" xfId="144"/>
    <cellStyle name="ErrorText-GCenterAlign 2 2 3 2 2 3" xfId="144"/>
    <cellStyle name="ErrorText-GCenterAlign 2 2 3 2 2 4" xfId="144"/>
    <cellStyle name="ErrorText-GCenterAlign 2 2 3 2 2 5" xfId="144"/>
    <cellStyle name="ErrorText-GCenterAlign 2 2 3 2 3" xfId="144"/>
    <cellStyle name="ErrorText-GCenterAlign 2 2 3 2 3 2" xfId="144"/>
    <cellStyle name="ErrorText-GCenterAlign 2 2 3 2 3 3" xfId="144"/>
    <cellStyle name="ErrorText-GCenterAlign 2 2 3 2 3 4" xfId="144"/>
    <cellStyle name="ErrorText-GCenterAlign 2 2 3 2 4" xfId="144"/>
    <cellStyle name="ErrorText-GCenterAlign 2 2 3 2 5" xfId="144"/>
    <cellStyle name="ErrorText-GCenterAlign 2 2 3 2 6" xfId="144"/>
    <cellStyle name="ErrorText-GCenterAlign 2 2 3 2 7" xfId="144"/>
    <cellStyle name="ErrorText-GCenterAlign 2 2 3 2 8" xfId="144"/>
    <cellStyle name="ErrorText-GCenterAlign 2 2 3 3" xfId="144"/>
    <cellStyle name="ErrorText-GCenterAlign 2 2 3 3 2" xfId="144"/>
    <cellStyle name="ErrorText-GCenterAlign 2 2 3 3 2 2" xfId="144"/>
    <cellStyle name="ErrorText-GCenterAlign 2 2 3 3 2 3" xfId="144"/>
    <cellStyle name="ErrorText-GCenterAlign 2 2 3 3 2 4" xfId="144"/>
    <cellStyle name="ErrorText-GCenterAlign 2 2 3 3 2 5" xfId="144"/>
    <cellStyle name="ErrorText-GCenterAlign 2 2 3 3 3" xfId="144"/>
    <cellStyle name="ErrorText-GCenterAlign 2 2 3 3 3 2" xfId="144"/>
    <cellStyle name="ErrorText-GCenterAlign 2 2 3 3 3 3" xfId="144"/>
    <cellStyle name="ErrorText-GCenterAlign 2 2 3 3 3 4" xfId="144"/>
    <cellStyle name="ErrorText-GCenterAlign 2 2 3 3 4" xfId="144"/>
    <cellStyle name="ErrorText-GCenterAlign 2 2 3 3 5" xfId="144"/>
    <cellStyle name="ErrorText-GCenterAlign 2 2 3 3 6" xfId="144"/>
    <cellStyle name="ErrorText-GCenterAlign 2 2 3 3 7" xfId="144"/>
    <cellStyle name="ErrorText-GCenterAlign 2 2 3 3 8" xfId="144"/>
    <cellStyle name="ErrorText-GCenterAlign 2 2 3 4" xfId="144"/>
    <cellStyle name="ErrorText-GCenterAlign 2 2 3 4 2" xfId="144"/>
    <cellStyle name="ErrorText-GCenterAlign 2 2 3 4 2 2" xfId="144"/>
    <cellStyle name="ErrorText-GCenterAlign 2 2 3 4 2 3" xfId="144"/>
    <cellStyle name="ErrorText-GCenterAlign 2 2 3 4 2 4" xfId="144"/>
    <cellStyle name="ErrorText-GCenterAlign 2 2 3 4 2 5" xfId="144"/>
    <cellStyle name="ErrorText-GCenterAlign 2 2 3 4 3" xfId="144"/>
    <cellStyle name="ErrorText-GCenterAlign 2 2 3 4 3 2" xfId="144"/>
    <cellStyle name="ErrorText-GCenterAlign 2 2 3 4 3 3" xfId="144"/>
    <cellStyle name="ErrorText-GCenterAlign 2 2 3 4 3 4" xfId="144"/>
    <cellStyle name="ErrorText-GCenterAlign 2 2 3 4 4" xfId="144"/>
    <cellStyle name="ErrorText-GCenterAlign 2 2 3 4 5" xfId="144"/>
    <cellStyle name="ErrorText-GCenterAlign 2 2 3 4 6" xfId="144"/>
    <cellStyle name="ErrorText-GCenterAlign 2 2 3 4 7" xfId="144"/>
    <cellStyle name="ErrorText-GCenterAlign 2 2 3 4 8" xfId="144"/>
    <cellStyle name="ErrorText-GCenterAlign 2 2 3 5" xfId="144"/>
    <cellStyle name="ErrorText-GCenterAlign 2 2 3 5 2" xfId="144"/>
    <cellStyle name="ErrorText-GCenterAlign 2 2 3 5 2 2" xfId="144"/>
    <cellStyle name="ErrorText-GCenterAlign 2 2 3 5 2 3" xfId="144"/>
    <cellStyle name="ErrorText-GCenterAlign 2 2 3 5 2 4" xfId="144"/>
    <cellStyle name="ErrorText-GCenterAlign 2 2 3 5 2 5" xfId="144"/>
    <cellStyle name="ErrorText-GCenterAlign 2 2 3 5 3" xfId="144"/>
    <cellStyle name="ErrorText-GCenterAlign 2 2 3 5 3 2" xfId="144"/>
    <cellStyle name="ErrorText-GCenterAlign 2 2 3 5 3 3" xfId="144"/>
    <cellStyle name="ErrorText-GCenterAlign 2 2 3 5 3 4" xfId="144"/>
    <cellStyle name="ErrorText-GCenterAlign 2 2 3 5 4" xfId="144"/>
    <cellStyle name="ErrorText-GCenterAlign 2 2 3 5 5" xfId="144"/>
    <cellStyle name="ErrorText-GCenterAlign 2 2 3 5 6" xfId="144"/>
    <cellStyle name="ErrorText-GCenterAlign 2 2 3 5 7" xfId="144"/>
    <cellStyle name="ErrorText-GCenterAlign 2 2 3 5 8" xfId="144"/>
    <cellStyle name="ErrorText-GCenterAlign 2 2 3 6" xfId="144"/>
    <cellStyle name="ErrorText-GCenterAlign 2 2 3 6 2" xfId="144"/>
    <cellStyle name="ErrorText-GCenterAlign 2 2 3 6 3" xfId="144"/>
    <cellStyle name="ErrorText-GCenterAlign 2 2 3 6 4" xfId="144"/>
    <cellStyle name="ErrorText-GCenterAlign 2 2 3 6 5" xfId="144"/>
    <cellStyle name="ErrorText-GCenterAlign 2 2 3 7" xfId="144"/>
    <cellStyle name="ErrorText-GCenterAlign 2 2 3 7 2" xfId="144"/>
    <cellStyle name="ErrorText-GCenterAlign 2 2 3 7 3" xfId="144"/>
    <cellStyle name="ErrorText-GCenterAlign 2 2 3 7 4" xfId="144"/>
    <cellStyle name="ErrorText-GCenterAlign 2 2 3 8" xfId="144"/>
    <cellStyle name="ErrorText-GCenterAlign 2 2 3 9" xfId="144"/>
    <cellStyle name="ErrorText-GCenterAlign 2 2 4" xfId="144"/>
    <cellStyle name="ErrorText-GCenterAlign 2 2 4 2" xfId="144"/>
    <cellStyle name="ErrorText-GCenterAlign 2 2 4 2 2" xfId="144"/>
    <cellStyle name="ErrorText-GCenterAlign 2 2 4 2 3" xfId="144"/>
    <cellStyle name="ErrorText-GCenterAlign 2 2 4 2 4" xfId="144"/>
    <cellStyle name="ErrorText-GCenterAlign 2 2 4 2 5" xfId="144"/>
    <cellStyle name="ErrorText-GCenterAlign 2 2 4 3" xfId="144"/>
    <cellStyle name="ErrorText-GCenterAlign 2 2 4 3 2" xfId="144"/>
    <cellStyle name="ErrorText-GCenterAlign 2 2 4 3 3" xfId="144"/>
    <cellStyle name="ErrorText-GCenterAlign 2 2 4 3 4" xfId="144"/>
    <cellStyle name="ErrorText-GCenterAlign 2 2 4 4" xfId="144"/>
    <cellStyle name="ErrorText-GCenterAlign 2 2 4 5" xfId="144"/>
    <cellStyle name="ErrorText-GCenterAlign 2 2 4 6" xfId="144"/>
    <cellStyle name="ErrorText-GCenterAlign 2 2 4 7" xfId="144"/>
    <cellStyle name="ErrorText-GCenterAlign 2 2 4 8" xfId="144"/>
    <cellStyle name="ErrorText-GCenterAlign 2 2 5" xfId="144"/>
    <cellStyle name="ErrorText-GCenterAlign 2 2 5 2" xfId="144"/>
    <cellStyle name="ErrorText-GCenterAlign 2 2 5 2 2" xfId="144"/>
    <cellStyle name="ErrorText-GCenterAlign 2 2 5 2 3" xfId="144"/>
    <cellStyle name="ErrorText-GCenterAlign 2 2 5 2 4" xfId="144"/>
    <cellStyle name="ErrorText-GCenterAlign 2 2 5 2 5" xfId="144"/>
    <cellStyle name="ErrorText-GCenterAlign 2 2 5 3" xfId="144"/>
    <cellStyle name="ErrorText-GCenterAlign 2 2 5 3 2" xfId="144"/>
    <cellStyle name="ErrorText-GCenterAlign 2 2 5 3 3" xfId="144"/>
    <cellStyle name="ErrorText-GCenterAlign 2 2 5 3 4" xfId="144"/>
    <cellStyle name="ErrorText-GCenterAlign 2 2 5 4" xfId="144"/>
    <cellStyle name="ErrorText-GCenterAlign 2 2 5 5" xfId="144"/>
    <cellStyle name="ErrorText-GCenterAlign 2 2 5 6" xfId="144"/>
    <cellStyle name="ErrorText-GCenterAlign 2 2 5 7" xfId="144"/>
    <cellStyle name="ErrorText-GCenterAlign 2 2 5 8" xfId="144"/>
    <cellStyle name="ErrorText-GCenterAlign 2 2 6" xfId="144"/>
    <cellStyle name="ErrorText-GCenterAlign 2 2 6 2" xfId="144"/>
    <cellStyle name="ErrorText-GCenterAlign 2 2 6 2 2" xfId="144"/>
    <cellStyle name="ErrorText-GCenterAlign 2 2 6 2 3" xfId="144"/>
    <cellStyle name="ErrorText-GCenterAlign 2 2 6 2 4" xfId="144"/>
    <cellStyle name="ErrorText-GCenterAlign 2 2 6 2 5" xfId="144"/>
    <cellStyle name="ErrorText-GCenterAlign 2 2 6 3" xfId="144"/>
    <cellStyle name="ErrorText-GCenterAlign 2 2 6 3 2" xfId="144"/>
    <cellStyle name="ErrorText-GCenterAlign 2 2 6 3 3" xfId="144"/>
    <cellStyle name="ErrorText-GCenterAlign 2 2 6 3 4" xfId="144"/>
    <cellStyle name="ErrorText-GCenterAlign 2 2 6 4" xfId="144"/>
    <cellStyle name="ErrorText-GCenterAlign 2 2 6 5" xfId="144"/>
    <cellStyle name="ErrorText-GCenterAlign 2 2 6 6" xfId="144"/>
    <cellStyle name="ErrorText-GCenterAlign 2 2 6 7" xfId="144"/>
    <cellStyle name="ErrorText-GCenterAlign 2 2 6 8" xfId="144"/>
    <cellStyle name="ErrorText-GCenterAlign 2 2 7" xfId="144"/>
    <cellStyle name="ErrorText-GCenterAlign 2 2 7 2" xfId="144"/>
    <cellStyle name="ErrorText-GCenterAlign 2 2 7 2 2" xfId="144"/>
    <cellStyle name="ErrorText-GCenterAlign 2 2 7 2 3" xfId="144"/>
    <cellStyle name="ErrorText-GCenterAlign 2 2 7 2 4" xfId="144"/>
    <cellStyle name="ErrorText-GCenterAlign 2 2 7 2 5" xfId="144"/>
    <cellStyle name="ErrorText-GCenterAlign 2 2 7 3" xfId="144"/>
    <cellStyle name="ErrorText-GCenterAlign 2 2 7 3 2" xfId="144"/>
    <cellStyle name="ErrorText-GCenterAlign 2 2 7 3 3" xfId="144"/>
    <cellStyle name="ErrorText-GCenterAlign 2 2 7 3 4" xfId="144"/>
    <cellStyle name="ErrorText-GCenterAlign 2 2 7 4" xfId="144"/>
    <cellStyle name="ErrorText-GCenterAlign 2 2 7 5" xfId="144"/>
    <cellStyle name="ErrorText-GCenterAlign 2 2 7 6" xfId="144"/>
    <cellStyle name="ErrorText-GCenterAlign 2 2 7 7" xfId="144"/>
    <cellStyle name="ErrorText-GCenterAlign 2 2 7 8" xfId="144"/>
    <cellStyle name="ErrorText-GCenterAlign 2 2 8" xfId="144"/>
    <cellStyle name="ErrorText-GCenterAlign 2 2 8 2" xfId="144"/>
    <cellStyle name="ErrorText-GCenterAlign 2 2 8 3" xfId="144"/>
    <cellStyle name="ErrorText-GCenterAlign 2 2 8 4" xfId="144"/>
    <cellStyle name="ErrorText-GCenterAlign 2 2 8 5" xfId="144"/>
    <cellStyle name="ErrorText-GCenterAlign 2 2 9" xfId="144"/>
    <cellStyle name="ErrorText-GCenterAlign 2 2 9 2" xfId="144"/>
    <cellStyle name="ErrorText-GCenterAlign 2 2 9 3" xfId="144"/>
    <cellStyle name="ErrorText-GCenterAlign 2 2 9 4" xfId="144"/>
    <cellStyle name="ErrorText-GCenterAlign 2 3" xfId="144"/>
    <cellStyle name="ErrorText-GCenterAlign 2 3 10" xfId="144"/>
    <cellStyle name="ErrorText-GCenterAlign 2 3 11" xfId="144"/>
    <cellStyle name="ErrorText-GCenterAlign 2 3 12" xfId="144"/>
    <cellStyle name="ErrorText-GCenterAlign 2 3 2" xfId="144"/>
    <cellStyle name="ErrorText-GCenterAlign 2 3 2 2" xfId="144"/>
    <cellStyle name="ErrorText-GCenterAlign 2 3 2 2 2" xfId="144"/>
    <cellStyle name="ErrorText-GCenterAlign 2 3 2 2 3" xfId="144"/>
    <cellStyle name="ErrorText-GCenterAlign 2 3 2 2 4" xfId="144"/>
    <cellStyle name="ErrorText-GCenterAlign 2 3 2 2 5" xfId="144"/>
    <cellStyle name="ErrorText-GCenterAlign 2 3 2 3" xfId="144"/>
    <cellStyle name="ErrorText-GCenterAlign 2 3 2 3 2" xfId="144"/>
    <cellStyle name="ErrorText-GCenterAlign 2 3 2 3 3" xfId="144"/>
    <cellStyle name="ErrorText-GCenterAlign 2 3 2 3 4" xfId="144"/>
    <cellStyle name="ErrorText-GCenterAlign 2 3 2 4" xfId="144"/>
    <cellStyle name="ErrorText-GCenterAlign 2 3 2 5" xfId="144"/>
    <cellStyle name="ErrorText-GCenterAlign 2 3 2 6" xfId="144"/>
    <cellStyle name="ErrorText-GCenterAlign 2 3 2 7" xfId="144"/>
    <cellStyle name="ErrorText-GCenterAlign 2 3 2 8" xfId="144"/>
    <cellStyle name="ErrorText-GCenterAlign 2 3 3" xfId="144"/>
    <cellStyle name="ErrorText-GCenterAlign 2 3 3 2" xfId="144"/>
    <cellStyle name="ErrorText-GCenterAlign 2 3 3 2 2" xfId="144"/>
    <cellStyle name="ErrorText-GCenterAlign 2 3 3 2 3" xfId="144"/>
    <cellStyle name="ErrorText-GCenterAlign 2 3 3 2 4" xfId="144"/>
    <cellStyle name="ErrorText-GCenterAlign 2 3 3 2 5" xfId="144"/>
    <cellStyle name="ErrorText-GCenterAlign 2 3 3 3" xfId="144"/>
    <cellStyle name="ErrorText-GCenterAlign 2 3 3 3 2" xfId="144"/>
    <cellStyle name="ErrorText-GCenterAlign 2 3 3 3 3" xfId="144"/>
    <cellStyle name="ErrorText-GCenterAlign 2 3 3 3 4" xfId="144"/>
    <cellStyle name="ErrorText-GCenterAlign 2 3 3 4" xfId="144"/>
    <cellStyle name="ErrorText-GCenterAlign 2 3 3 5" xfId="144"/>
    <cellStyle name="ErrorText-GCenterAlign 2 3 3 6" xfId="144"/>
    <cellStyle name="ErrorText-GCenterAlign 2 3 3 7" xfId="144"/>
    <cellStyle name="ErrorText-GCenterAlign 2 3 3 8" xfId="144"/>
    <cellStyle name="ErrorText-GCenterAlign 2 3 4" xfId="144"/>
    <cellStyle name="ErrorText-GCenterAlign 2 3 4 2" xfId="144"/>
    <cellStyle name="ErrorText-GCenterAlign 2 3 4 2 2" xfId="144"/>
    <cellStyle name="ErrorText-GCenterAlign 2 3 4 2 3" xfId="144"/>
    <cellStyle name="ErrorText-GCenterAlign 2 3 4 2 4" xfId="144"/>
    <cellStyle name="ErrorText-GCenterAlign 2 3 4 2 5" xfId="144"/>
    <cellStyle name="ErrorText-GCenterAlign 2 3 4 3" xfId="144"/>
    <cellStyle name="ErrorText-GCenterAlign 2 3 4 3 2" xfId="144"/>
    <cellStyle name="ErrorText-GCenterAlign 2 3 4 3 3" xfId="144"/>
    <cellStyle name="ErrorText-GCenterAlign 2 3 4 3 4" xfId="144"/>
    <cellStyle name="ErrorText-GCenterAlign 2 3 4 4" xfId="144"/>
    <cellStyle name="ErrorText-GCenterAlign 2 3 4 5" xfId="144"/>
    <cellStyle name="ErrorText-GCenterAlign 2 3 4 6" xfId="144"/>
    <cellStyle name="ErrorText-GCenterAlign 2 3 4 7" xfId="144"/>
    <cellStyle name="ErrorText-GCenterAlign 2 3 4 8" xfId="144"/>
    <cellStyle name="ErrorText-GCenterAlign 2 3 5" xfId="144"/>
    <cellStyle name="ErrorText-GCenterAlign 2 3 5 2" xfId="144"/>
    <cellStyle name="ErrorText-GCenterAlign 2 3 5 2 2" xfId="144"/>
    <cellStyle name="ErrorText-GCenterAlign 2 3 5 2 3" xfId="144"/>
    <cellStyle name="ErrorText-GCenterAlign 2 3 5 2 4" xfId="144"/>
    <cellStyle name="ErrorText-GCenterAlign 2 3 5 2 5" xfId="144"/>
    <cellStyle name="ErrorText-GCenterAlign 2 3 5 3" xfId="144"/>
    <cellStyle name="ErrorText-GCenterAlign 2 3 5 3 2" xfId="144"/>
    <cellStyle name="ErrorText-GCenterAlign 2 3 5 3 3" xfId="144"/>
    <cellStyle name="ErrorText-GCenterAlign 2 3 5 3 4" xfId="144"/>
    <cellStyle name="ErrorText-GCenterAlign 2 3 5 4" xfId="144"/>
    <cellStyle name="ErrorText-GCenterAlign 2 3 5 5" xfId="144"/>
    <cellStyle name="ErrorText-GCenterAlign 2 3 5 6" xfId="144"/>
    <cellStyle name="ErrorText-GCenterAlign 2 3 5 7" xfId="144"/>
    <cellStyle name="ErrorText-GCenterAlign 2 3 5 8" xfId="144"/>
    <cellStyle name="ErrorText-GCenterAlign 2 3 6" xfId="144"/>
    <cellStyle name="ErrorText-GCenterAlign 2 3 6 2" xfId="144"/>
    <cellStyle name="ErrorText-GCenterAlign 2 3 6 3" xfId="144"/>
    <cellStyle name="ErrorText-GCenterAlign 2 3 6 4" xfId="144"/>
    <cellStyle name="ErrorText-GCenterAlign 2 3 6 5" xfId="144"/>
    <cellStyle name="ErrorText-GCenterAlign 2 3 7" xfId="144"/>
    <cellStyle name="ErrorText-GCenterAlign 2 3 7 2" xfId="144"/>
    <cellStyle name="ErrorText-GCenterAlign 2 3 7 3" xfId="144"/>
    <cellStyle name="ErrorText-GCenterAlign 2 3 7 4" xfId="144"/>
    <cellStyle name="ErrorText-GCenterAlign 2 3 8" xfId="144"/>
    <cellStyle name="ErrorText-GCenterAlign 2 3 9" xfId="144"/>
    <cellStyle name="ErrorText-GCenterAlign 2 4" xfId="144"/>
    <cellStyle name="ErrorText-GCenterAlign 2 4 2" xfId="144"/>
    <cellStyle name="ErrorText-GCenterAlign 2 4 2 2" xfId="144"/>
    <cellStyle name="ErrorText-GCenterAlign 2 4 2 3" xfId="144"/>
    <cellStyle name="ErrorText-GCenterAlign 2 4 2 4" xfId="144"/>
    <cellStyle name="ErrorText-GCenterAlign 2 4 2 5" xfId="144"/>
    <cellStyle name="ErrorText-GCenterAlign 2 4 3" xfId="144"/>
    <cellStyle name="ErrorText-GCenterAlign 2 4 3 2" xfId="144"/>
    <cellStyle name="ErrorText-GCenterAlign 2 4 3 3" xfId="144"/>
    <cellStyle name="ErrorText-GCenterAlign 2 4 3 4" xfId="144"/>
    <cellStyle name="ErrorText-GCenterAlign 2 4 4" xfId="144"/>
    <cellStyle name="ErrorText-GCenterAlign 2 4 5" xfId="144"/>
    <cellStyle name="ErrorText-GCenterAlign 2 4 6" xfId="144"/>
    <cellStyle name="ErrorText-GCenterAlign 2 4 7" xfId="144"/>
    <cellStyle name="ErrorText-GCenterAlign 2 4 8" xfId="144"/>
    <cellStyle name="ErrorText-GCenterAlign 2 5" xfId="144"/>
    <cellStyle name="ErrorText-GCenterAlign 2 5 2" xfId="144"/>
    <cellStyle name="ErrorText-GCenterAlign 2 5 2 2" xfId="144"/>
    <cellStyle name="ErrorText-GCenterAlign 2 5 2 3" xfId="144"/>
    <cellStyle name="ErrorText-GCenterAlign 2 5 2 4" xfId="144"/>
    <cellStyle name="ErrorText-GCenterAlign 2 5 2 5" xfId="144"/>
    <cellStyle name="ErrorText-GCenterAlign 2 5 3" xfId="144"/>
    <cellStyle name="ErrorText-GCenterAlign 2 5 3 2" xfId="144"/>
    <cellStyle name="ErrorText-GCenterAlign 2 5 3 3" xfId="144"/>
    <cellStyle name="ErrorText-GCenterAlign 2 5 3 4" xfId="144"/>
    <cellStyle name="ErrorText-GCenterAlign 2 5 4" xfId="144"/>
    <cellStyle name="ErrorText-GCenterAlign 2 5 5" xfId="144"/>
    <cellStyle name="ErrorText-GCenterAlign 2 5 6" xfId="144"/>
    <cellStyle name="ErrorText-GCenterAlign 2 5 7" xfId="144"/>
    <cellStyle name="ErrorText-GCenterAlign 2 5 8" xfId="144"/>
    <cellStyle name="ErrorText-GCenterAlign 2 6" xfId="144"/>
    <cellStyle name="ErrorText-GCenterAlign 2 6 2" xfId="144"/>
    <cellStyle name="ErrorText-GCenterAlign 2 6 2 2" xfId="144"/>
    <cellStyle name="ErrorText-GCenterAlign 2 6 2 3" xfId="144"/>
    <cellStyle name="ErrorText-GCenterAlign 2 6 2 4" xfId="144"/>
    <cellStyle name="ErrorText-GCenterAlign 2 6 2 5" xfId="144"/>
    <cellStyle name="ErrorText-GCenterAlign 2 6 3" xfId="144"/>
    <cellStyle name="ErrorText-GCenterAlign 2 6 3 2" xfId="144"/>
    <cellStyle name="ErrorText-GCenterAlign 2 6 3 3" xfId="144"/>
    <cellStyle name="ErrorText-GCenterAlign 2 6 3 4" xfId="144"/>
    <cellStyle name="ErrorText-GCenterAlign 2 6 4" xfId="144"/>
    <cellStyle name="ErrorText-GCenterAlign 2 6 5" xfId="144"/>
    <cellStyle name="ErrorText-GCenterAlign 2 6 6" xfId="144"/>
    <cellStyle name="ErrorText-GCenterAlign 2 6 7" xfId="144"/>
    <cellStyle name="ErrorText-GCenterAlign 2 6 8" xfId="144"/>
    <cellStyle name="ErrorText-GCenterAlign 2 7" xfId="144"/>
    <cellStyle name="ErrorText-GCenterAlign 2 7 2" xfId="144"/>
    <cellStyle name="ErrorText-GCenterAlign 2 7 2 2" xfId="144"/>
    <cellStyle name="ErrorText-GCenterAlign 2 7 2 3" xfId="144"/>
    <cellStyle name="ErrorText-GCenterAlign 2 7 2 4" xfId="144"/>
    <cellStyle name="ErrorText-GCenterAlign 2 7 2 5" xfId="144"/>
    <cellStyle name="ErrorText-GCenterAlign 2 7 3" xfId="144"/>
    <cellStyle name="ErrorText-GCenterAlign 2 7 3 2" xfId="144"/>
    <cellStyle name="ErrorText-GCenterAlign 2 7 3 3" xfId="144"/>
    <cellStyle name="ErrorText-GCenterAlign 2 7 3 4" xfId="144"/>
    <cellStyle name="ErrorText-GCenterAlign 2 7 4" xfId="144"/>
    <cellStyle name="ErrorText-GCenterAlign 2 7 5" xfId="144"/>
    <cellStyle name="ErrorText-GCenterAlign 2 7 6" xfId="144"/>
    <cellStyle name="ErrorText-GCenterAlign 2 7 7" xfId="144"/>
    <cellStyle name="ErrorText-GCenterAlign 2 7 8" xfId="144"/>
    <cellStyle name="ErrorText-GCenterAlign 2 8" xfId="144"/>
    <cellStyle name="ErrorText-GCenterAlign 2 8 2" xfId="144"/>
    <cellStyle name="ErrorText-GCenterAlign 2 8 3" xfId="144"/>
    <cellStyle name="ErrorText-GCenterAlign 2 8 4" xfId="144"/>
    <cellStyle name="ErrorText-GCenterAlign 2 8 5" xfId="144"/>
    <cellStyle name="ErrorText-GCenterAlign 2 9" xfId="144"/>
    <cellStyle name="ErrorText-GCenterAlign 2 9 2" xfId="144"/>
    <cellStyle name="ErrorText-GCenterAlign 2 9 3" xfId="144"/>
    <cellStyle name="ErrorText-GCenterAlign 2 9 4" xfId="144"/>
    <cellStyle name="ErrorText-GCenterAlign 3" xfId="144"/>
    <cellStyle name="ErrorText-GCenterAlign 3 10" xfId="144"/>
    <cellStyle name="ErrorText-GCenterAlign 3 11" xfId="144"/>
    <cellStyle name="ErrorText-GCenterAlign 3 12" xfId="144"/>
    <cellStyle name="ErrorText-GCenterAlign 3 13" xfId="144"/>
    <cellStyle name="ErrorText-GCenterAlign 3 14" xfId="144"/>
    <cellStyle name="ErrorText-GCenterAlign 3 2" xfId="144"/>
    <cellStyle name="ErrorText-GCenterAlign 3 2 10" xfId="144"/>
    <cellStyle name="ErrorText-GCenterAlign 3 2 11" xfId="144"/>
    <cellStyle name="ErrorText-GCenterAlign 3 2 12" xfId="144"/>
    <cellStyle name="ErrorText-GCenterAlign 3 2 2" xfId="144"/>
    <cellStyle name="ErrorText-GCenterAlign 3 2 2 2" xfId="144"/>
    <cellStyle name="ErrorText-GCenterAlign 3 2 2 2 2" xfId="144"/>
    <cellStyle name="ErrorText-GCenterAlign 3 2 2 2 3" xfId="144"/>
    <cellStyle name="ErrorText-GCenterAlign 3 2 2 2 4" xfId="144"/>
    <cellStyle name="ErrorText-GCenterAlign 3 2 2 2 5" xfId="144"/>
    <cellStyle name="ErrorText-GCenterAlign 3 2 2 3" xfId="144"/>
    <cellStyle name="ErrorText-GCenterAlign 3 2 2 3 2" xfId="144"/>
    <cellStyle name="ErrorText-GCenterAlign 3 2 2 3 3" xfId="144"/>
    <cellStyle name="ErrorText-GCenterAlign 3 2 2 3 4" xfId="144"/>
    <cellStyle name="ErrorText-GCenterAlign 3 2 2 4" xfId="144"/>
    <cellStyle name="ErrorText-GCenterAlign 3 2 2 5" xfId="144"/>
    <cellStyle name="ErrorText-GCenterAlign 3 2 2 6" xfId="144"/>
    <cellStyle name="ErrorText-GCenterAlign 3 2 2 7" xfId="144"/>
    <cellStyle name="ErrorText-GCenterAlign 3 2 2 8" xfId="144"/>
    <cellStyle name="ErrorText-GCenterAlign 3 2 3" xfId="144"/>
    <cellStyle name="ErrorText-GCenterAlign 3 2 3 2" xfId="144"/>
    <cellStyle name="ErrorText-GCenterAlign 3 2 3 2 2" xfId="144"/>
    <cellStyle name="ErrorText-GCenterAlign 3 2 3 2 3" xfId="144"/>
    <cellStyle name="ErrorText-GCenterAlign 3 2 3 2 4" xfId="144"/>
    <cellStyle name="ErrorText-GCenterAlign 3 2 3 2 5" xfId="144"/>
    <cellStyle name="ErrorText-GCenterAlign 3 2 3 3" xfId="144"/>
    <cellStyle name="ErrorText-GCenterAlign 3 2 3 3 2" xfId="144"/>
    <cellStyle name="ErrorText-GCenterAlign 3 2 3 3 3" xfId="144"/>
    <cellStyle name="ErrorText-GCenterAlign 3 2 3 3 4" xfId="144"/>
    <cellStyle name="ErrorText-GCenterAlign 3 2 3 4" xfId="144"/>
    <cellStyle name="ErrorText-GCenterAlign 3 2 3 5" xfId="144"/>
    <cellStyle name="ErrorText-GCenterAlign 3 2 3 6" xfId="144"/>
    <cellStyle name="ErrorText-GCenterAlign 3 2 3 7" xfId="144"/>
    <cellStyle name="ErrorText-GCenterAlign 3 2 3 8" xfId="144"/>
    <cellStyle name="ErrorText-GCenterAlign 3 2 4" xfId="144"/>
    <cellStyle name="ErrorText-GCenterAlign 3 2 4 2" xfId="144"/>
    <cellStyle name="ErrorText-GCenterAlign 3 2 4 2 2" xfId="144"/>
    <cellStyle name="ErrorText-GCenterAlign 3 2 4 2 3" xfId="144"/>
    <cellStyle name="ErrorText-GCenterAlign 3 2 4 2 4" xfId="144"/>
    <cellStyle name="ErrorText-GCenterAlign 3 2 4 2 5" xfId="144"/>
    <cellStyle name="ErrorText-GCenterAlign 3 2 4 3" xfId="144"/>
    <cellStyle name="ErrorText-GCenterAlign 3 2 4 3 2" xfId="144"/>
    <cellStyle name="ErrorText-GCenterAlign 3 2 4 3 3" xfId="144"/>
    <cellStyle name="ErrorText-GCenterAlign 3 2 4 3 4" xfId="144"/>
    <cellStyle name="ErrorText-GCenterAlign 3 2 4 4" xfId="144"/>
    <cellStyle name="ErrorText-GCenterAlign 3 2 4 5" xfId="144"/>
    <cellStyle name="ErrorText-GCenterAlign 3 2 4 6" xfId="144"/>
    <cellStyle name="ErrorText-GCenterAlign 3 2 4 7" xfId="144"/>
    <cellStyle name="ErrorText-GCenterAlign 3 2 4 8" xfId="144"/>
    <cellStyle name="ErrorText-GCenterAlign 3 2 5" xfId="144"/>
    <cellStyle name="ErrorText-GCenterAlign 3 2 5 2" xfId="144"/>
    <cellStyle name="ErrorText-GCenterAlign 3 2 5 2 2" xfId="144"/>
    <cellStyle name="ErrorText-GCenterAlign 3 2 5 2 3" xfId="144"/>
    <cellStyle name="ErrorText-GCenterAlign 3 2 5 2 4" xfId="144"/>
    <cellStyle name="ErrorText-GCenterAlign 3 2 5 2 5" xfId="144"/>
    <cellStyle name="ErrorText-GCenterAlign 3 2 5 3" xfId="144"/>
    <cellStyle name="ErrorText-GCenterAlign 3 2 5 3 2" xfId="144"/>
    <cellStyle name="ErrorText-GCenterAlign 3 2 5 3 3" xfId="144"/>
    <cellStyle name="ErrorText-GCenterAlign 3 2 5 3 4" xfId="144"/>
    <cellStyle name="ErrorText-GCenterAlign 3 2 5 4" xfId="144"/>
    <cellStyle name="ErrorText-GCenterAlign 3 2 5 5" xfId="144"/>
    <cellStyle name="ErrorText-GCenterAlign 3 2 5 6" xfId="144"/>
    <cellStyle name="ErrorText-GCenterAlign 3 2 5 7" xfId="144"/>
    <cellStyle name="ErrorText-GCenterAlign 3 2 5 8" xfId="144"/>
    <cellStyle name="ErrorText-GCenterAlign 3 2 6" xfId="144"/>
    <cellStyle name="ErrorText-GCenterAlign 3 2 6 2" xfId="144"/>
    <cellStyle name="ErrorText-GCenterAlign 3 2 6 3" xfId="144"/>
    <cellStyle name="ErrorText-GCenterAlign 3 2 6 4" xfId="144"/>
    <cellStyle name="ErrorText-GCenterAlign 3 2 6 5" xfId="144"/>
    <cellStyle name="ErrorText-GCenterAlign 3 2 7" xfId="144"/>
    <cellStyle name="ErrorText-GCenterAlign 3 2 7 2" xfId="144"/>
    <cellStyle name="ErrorText-GCenterAlign 3 2 7 3" xfId="144"/>
    <cellStyle name="ErrorText-GCenterAlign 3 2 7 4" xfId="144"/>
    <cellStyle name="ErrorText-GCenterAlign 3 2 8" xfId="144"/>
    <cellStyle name="ErrorText-GCenterAlign 3 2 9" xfId="144"/>
    <cellStyle name="ErrorText-GCenterAlign 3 3" xfId="144"/>
    <cellStyle name="ErrorText-GCenterAlign 3 3 10" xfId="144"/>
    <cellStyle name="ErrorText-GCenterAlign 3 3 11" xfId="144"/>
    <cellStyle name="ErrorText-GCenterAlign 3 3 12" xfId="144"/>
    <cellStyle name="ErrorText-GCenterAlign 3 3 2" xfId="144"/>
    <cellStyle name="ErrorText-GCenterAlign 3 3 2 2" xfId="144"/>
    <cellStyle name="ErrorText-GCenterAlign 3 3 2 2 2" xfId="144"/>
    <cellStyle name="ErrorText-GCenterAlign 3 3 2 2 3" xfId="144"/>
    <cellStyle name="ErrorText-GCenterAlign 3 3 2 2 4" xfId="144"/>
    <cellStyle name="ErrorText-GCenterAlign 3 3 2 2 5" xfId="144"/>
    <cellStyle name="ErrorText-GCenterAlign 3 3 2 3" xfId="144"/>
    <cellStyle name="ErrorText-GCenterAlign 3 3 2 3 2" xfId="144"/>
    <cellStyle name="ErrorText-GCenterAlign 3 3 2 3 3" xfId="144"/>
    <cellStyle name="ErrorText-GCenterAlign 3 3 2 3 4" xfId="144"/>
    <cellStyle name="ErrorText-GCenterAlign 3 3 2 4" xfId="144"/>
    <cellStyle name="ErrorText-GCenterAlign 3 3 2 5" xfId="144"/>
    <cellStyle name="ErrorText-GCenterAlign 3 3 2 6" xfId="144"/>
    <cellStyle name="ErrorText-GCenterAlign 3 3 2 7" xfId="144"/>
    <cellStyle name="ErrorText-GCenterAlign 3 3 2 8" xfId="144"/>
    <cellStyle name="ErrorText-GCenterAlign 3 3 3" xfId="144"/>
    <cellStyle name="ErrorText-GCenterAlign 3 3 3 2" xfId="144"/>
    <cellStyle name="ErrorText-GCenterAlign 3 3 3 2 2" xfId="144"/>
    <cellStyle name="ErrorText-GCenterAlign 3 3 3 2 3" xfId="144"/>
    <cellStyle name="ErrorText-GCenterAlign 3 3 3 2 4" xfId="144"/>
    <cellStyle name="ErrorText-GCenterAlign 3 3 3 2 5" xfId="144"/>
    <cellStyle name="ErrorText-GCenterAlign 3 3 3 3" xfId="144"/>
    <cellStyle name="ErrorText-GCenterAlign 3 3 3 3 2" xfId="144"/>
    <cellStyle name="ErrorText-GCenterAlign 3 3 3 3 3" xfId="144"/>
    <cellStyle name="ErrorText-GCenterAlign 3 3 3 3 4" xfId="144"/>
    <cellStyle name="ErrorText-GCenterAlign 3 3 3 4" xfId="144"/>
    <cellStyle name="ErrorText-GCenterAlign 3 3 3 5" xfId="144"/>
    <cellStyle name="ErrorText-GCenterAlign 3 3 3 6" xfId="144"/>
    <cellStyle name="ErrorText-GCenterAlign 3 3 3 7" xfId="144"/>
    <cellStyle name="ErrorText-GCenterAlign 3 3 3 8" xfId="144"/>
    <cellStyle name="ErrorText-GCenterAlign 3 3 4" xfId="144"/>
    <cellStyle name="ErrorText-GCenterAlign 3 3 4 2" xfId="144"/>
    <cellStyle name="ErrorText-GCenterAlign 3 3 4 2 2" xfId="144"/>
    <cellStyle name="ErrorText-GCenterAlign 3 3 4 2 3" xfId="144"/>
    <cellStyle name="ErrorText-GCenterAlign 3 3 4 2 4" xfId="144"/>
    <cellStyle name="ErrorText-GCenterAlign 3 3 4 2 5" xfId="144"/>
    <cellStyle name="ErrorText-GCenterAlign 3 3 4 3" xfId="144"/>
    <cellStyle name="ErrorText-GCenterAlign 3 3 4 3 2" xfId="144"/>
    <cellStyle name="ErrorText-GCenterAlign 3 3 4 3 3" xfId="144"/>
    <cellStyle name="ErrorText-GCenterAlign 3 3 4 3 4" xfId="144"/>
    <cellStyle name="ErrorText-GCenterAlign 3 3 4 4" xfId="144"/>
    <cellStyle name="ErrorText-GCenterAlign 3 3 4 5" xfId="144"/>
    <cellStyle name="ErrorText-GCenterAlign 3 3 4 6" xfId="144"/>
    <cellStyle name="ErrorText-GCenterAlign 3 3 4 7" xfId="144"/>
    <cellStyle name="ErrorText-GCenterAlign 3 3 4 8" xfId="144"/>
    <cellStyle name="ErrorText-GCenterAlign 3 3 5" xfId="144"/>
    <cellStyle name="ErrorText-GCenterAlign 3 3 5 2" xfId="144"/>
    <cellStyle name="ErrorText-GCenterAlign 3 3 5 2 2" xfId="144"/>
    <cellStyle name="ErrorText-GCenterAlign 3 3 5 2 3" xfId="144"/>
    <cellStyle name="ErrorText-GCenterAlign 3 3 5 2 4" xfId="144"/>
    <cellStyle name="ErrorText-GCenterAlign 3 3 5 2 5" xfId="144"/>
    <cellStyle name="ErrorText-GCenterAlign 3 3 5 3" xfId="144"/>
    <cellStyle name="ErrorText-GCenterAlign 3 3 5 3 2" xfId="144"/>
    <cellStyle name="ErrorText-GCenterAlign 3 3 5 3 3" xfId="144"/>
    <cellStyle name="ErrorText-GCenterAlign 3 3 5 3 4" xfId="144"/>
    <cellStyle name="ErrorText-GCenterAlign 3 3 5 4" xfId="144"/>
    <cellStyle name="ErrorText-GCenterAlign 3 3 5 5" xfId="144"/>
    <cellStyle name="ErrorText-GCenterAlign 3 3 5 6" xfId="144"/>
    <cellStyle name="ErrorText-GCenterAlign 3 3 5 7" xfId="144"/>
    <cellStyle name="ErrorText-GCenterAlign 3 3 5 8" xfId="144"/>
    <cellStyle name="ErrorText-GCenterAlign 3 3 6" xfId="144"/>
    <cellStyle name="ErrorText-GCenterAlign 3 3 6 2" xfId="144"/>
    <cellStyle name="ErrorText-GCenterAlign 3 3 6 3" xfId="144"/>
    <cellStyle name="ErrorText-GCenterAlign 3 3 6 4" xfId="144"/>
    <cellStyle name="ErrorText-GCenterAlign 3 3 6 5" xfId="144"/>
    <cellStyle name="ErrorText-GCenterAlign 3 3 7" xfId="144"/>
    <cellStyle name="ErrorText-GCenterAlign 3 3 7 2" xfId="144"/>
    <cellStyle name="ErrorText-GCenterAlign 3 3 7 3" xfId="144"/>
    <cellStyle name="ErrorText-GCenterAlign 3 3 7 4" xfId="144"/>
    <cellStyle name="ErrorText-GCenterAlign 3 3 8" xfId="144"/>
    <cellStyle name="ErrorText-GCenterAlign 3 3 9" xfId="144"/>
    <cellStyle name="ErrorText-GCenterAlign 3 4" xfId="144"/>
    <cellStyle name="ErrorText-GCenterAlign 3 4 2" xfId="144"/>
    <cellStyle name="ErrorText-GCenterAlign 3 4 2 2" xfId="144"/>
    <cellStyle name="ErrorText-GCenterAlign 3 4 2 3" xfId="144"/>
    <cellStyle name="ErrorText-GCenterAlign 3 4 2 4" xfId="144"/>
    <cellStyle name="ErrorText-GCenterAlign 3 4 2 5" xfId="144"/>
    <cellStyle name="ErrorText-GCenterAlign 3 4 3" xfId="144"/>
    <cellStyle name="ErrorText-GCenterAlign 3 4 3 2" xfId="144"/>
    <cellStyle name="ErrorText-GCenterAlign 3 4 3 3" xfId="144"/>
    <cellStyle name="ErrorText-GCenterAlign 3 4 3 4" xfId="144"/>
    <cellStyle name="ErrorText-GCenterAlign 3 4 4" xfId="144"/>
    <cellStyle name="ErrorText-GCenterAlign 3 4 5" xfId="144"/>
    <cellStyle name="ErrorText-GCenterAlign 3 4 6" xfId="144"/>
    <cellStyle name="ErrorText-GCenterAlign 3 4 7" xfId="144"/>
    <cellStyle name="ErrorText-GCenterAlign 3 4 8" xfId="144"/>
    <cellStyle name="ErrorText-GCenterAlign 3 5" xfId="144"/>
    <cellStyle name="ErrorText-GCenterAlign 3 5 2" xfId="144"/>
    <cellStyle name="ErrorText-GCenterAlign 3 5 2 2" xfId="144"/>
    <cellStyle name="ErrorText-GCenterAlign 3 5 2 3" xfId="144"/>
    <cellStyle name="ErrorText-GCenterAlign 3 5 2 4" xfId="144"/>
    <cellStyle name="ErrorText-GCenterAlign 3 5 2 5" xfId="144"/>
    <cellStyle name="ErrorText-GCenterAlign 3 5 3" xfId="144"/>
    <cellStyle name="ErrorText-GCenterAlign 3 5 3 2" xfId="144"/>
    <cellStyle name="ErrorText-GCenterAlign 3 5 3 3" xfId="144"/>
    <cellStyle name="ErrorText-GCenterAlign 3 5 3 4" xfId="144"/>
    <cellStyle name="ErrorText-GCenterAlign 3 5 4" xfId="144"/>
    <cellStyle name="ErrorText-GCenterAlign 3 5 5" xfId="144"/>
    <cellStyle name="ErrorText-GCenterAlign 3 5 6" xfId="144"/>
    <cellStyle name="ErrorText-GCenterAlign 3 5 7" xfId="144"/>
    <cellStyle name="ErrorText-GCenterAlign 3 5 8" xfId="144"/>
    <cellStyle name="ErrorText-GCenterAlign 3 6" xfId="144"/>
    <cellStyle name="ErrorText-GCenterAlign 3 6 2" xfId="144"/>
    <cellStyle name="ErrorText-GCenterAlign 3 6 2 2" xfId="144"/>
    <cellStyle name="ErrorText-GCenterAlign 3 6 2 3" xfId="144"/>
    <cellStyle name="ErrorText-GCenterAlign 3 6 2 4" xfId="144"/>
    <cellStyle name="ErrorText-GCenterAlign 3 6 2 5" xfId="144"/>
    <cellStyle name="ErrorText-GCenterAlign 3 6 3" xfId="144"/>
    <cellStyle name="ErrorText-GCenterAlign 3 6 3 2" xfId="144"/>
    <cellStyle name="ErrorText-GCenterAlign 3 6 3 3" xfId="144"/>
    <cellStyle name="ErrorText-GCenterAlign 3 6 3 4" xfId="144"/>
    <cellStyle name="ErrorText-GCenterAlign 3 6 4" xfId="144"/>
    <cellStyle name="ErrorText-GCenterAlign 3 6 5" xfId="144"/>
    <cellStyle name="ErrorText-GCenterAlign 3 6 6" xfId="144"/>
    <cellStyle name="ErrorText-GCenterAlign 3 6 7" xfId="144"/>
    <cellStyle name="ErrorText-GCenterAlign 3 6 8" xfId="144"/>
    <cellStyle name="ErrorText-GCenterAlign 3 7" xfId="144"/>
    <cellStyle name="ErrorText-GCenterAlign 3 7 2" xfId="144"/>
    <cellStyle name="ErrorText-GCenterAlign 3 7 2 2" xfId="144"/>
    <cellStyle name="ErrorText-GCenterAlign 3 7 2 3" xfId="144"/>
    <cellStyle name="ErrorText-GCenterAlign 3 7 2 4" xfId="144"/>
    <cellStyle name="ErrorText-GCenterAlign 3 7 2 5" xfId="144"/>
    <cellStyle name="ErrorText-GCenterAlign 3 7 3" xfId="144"/>
    <cellStyle name="ErrorText-GCenterAlign 3 7 3 2" xfId="144"/>
    <cellStyle name="ErrorText-GCenterAlign 3 7 3 3" xfId="144"/>
    <cellStyle name="ErrorText-GCenterAlign 3 7 3 4" xfId="144"/>
    <cellStyle name="ErrorText-GCenterAlign 3 7 4" xfId="144"/>
    <cellStyle name="ErrorText-GCenterAlign 3 7 5" xfId="144"/>
    <cellStyle name="ErrorText-GCenterAlign 3 7 6" xfId="144"/>
    <cellStyle name="ErrorText-GCenterAlign 3 7 7" xfId="144"/>
    <cellStyle name="ErrorText-GCenterAlign 3 7 8" xfId="144"/>
    <cellStyle name="ErrorText-GCenterAlign 3 8" xfId="144"/>
    <cellStyle name="ErrorText-GCenterAlign 3 8 2" xfId="144"/>
    <cellStyle name="ErrorText-GCenterAlign 3 8 3" xfId="144"/>
    <cellStyle name="ErrorText-GCenterAlign 3 8 4" xfId="144"/>
    <cellStyle name="ErrorText-GCenterAlign 3 8 5" xfId="144"/>
    <cellStyle name="ErrorText-GCenterAlign 3 9" xfId="144"/>
    <cellStyle name="ErrorText-GCenterAlign 3 9 2" xfId="144"/>
    <cellStyle name="ErrorText-GCenterAlign 3 9 3" xfId="144"/>
    <cellStyle name="ErrorText-GCenterAlign 3 9 4" xfId="144"/>
    <cellStyle name="ErrorText-GCenterAlign 4" xfId="144"/>
    <cellStyle name="ErrorText-GCenterAlign 4 2" xfId="144"/>
    <cellStyle name="ErrorText-GCenterAlign 4 2 2" xfId="144"/>
    <cellStyle name="ErrorText-GCenterAlign 4 2 2 2" xfId="144"/>
    <cellStyle name="ErrorText-GCenterAlign 4 2 2 3" xfId="144"/>
    <cellStyle name="ErrorText-GCenterAlign 4 2 2 4" xfId="144"/>
    <cellStyle name="ErrorText-GCenterAlign 4 2 2 5" xfId="144"/>
    <cellStyle name="ErrorText-GCenterAlign 4 2 3" xfId="144"/>
    <cellStyle name="ErrorText-GCenterAlign 4 2 3 2" xfId="144"/>
    <cellStyle name="ErrorText-GCenterAlign 4 2 3 3" xfId="144"/>
    <cellStyle name="ErrorText-GCenterAlign 4 2 3 4" xfId="144"/>
    <cellStyle name="ErrorText-GCenterAlign 4 2 4" xfId="144"/>
    <cellStyle name="ErrorText-GCenterAlign 4 2 5" xfId="144"/>
    <cellStyle name="ErrorText-GCenterAlign 4 2 6" xfId="144"/>
    <cellStyle name="ErrorText-GCenterAlign 4 2 7" xfId="144"/>
    <cellStyle name="ErrorText-GCenterAlign 4 2 8" xfId="144"/>
    <cellStyle name="ErrorText-GCenterAlign 4 3" xfId="144"/>
    <cellStyle name="ErrorText-GCenterAlign 4 3 2" xfId="144"/>
    <cellStyle name="ErrorText-GCenterAlign 4 3 2 2" xfId="144"/>
    <cellStyle name="ErrorText-GCenterAlign 4 3 2 3" xfId="144"/>
    <cellStyle name="ErrorText-GCenterAlign 4 3 2 4" xfId="144"/>
    <cellStyle name="ErrorText-GCenterAlign 4 3 2 5" xfId="144"/>
    <cellStyle name="ErrorText-GCenterAlign 4 3 3" xfId="144"/>
    <cellStyle name="ErrorText-GCenterAlign 4 3 3 2" xfId="144"/>
    <cellStyle name="ErrorText-GCenterAlign 4 3 3 3" xfId="144"/>
    <cellStyle name="ErrorText-GCenterAlign 4 3 3 4" xfId="144"/>
    <cellStyle name="ErrorText-GCenterAlign 4 3 4" xfId="144"/>
    <cellStyle name="ErrorText-GCenterAlign 4 3 5" xfId="144"/>
    <cellStyle name="ErrorText-GCenterAlign 4 3 6" xfId="144"/>
    <cellStyle name="ErrorText-GCenterAlign 4 3 7" xfId="144"/>
    <cellStyle name="ErrorText-GCenterAlign 4 4" xfId="144"/>
    <cellStyle name="ErrorText-GCenterAlign 4 4 2" xfId="144"/>
    <cellStyle name="ErrorText-GCenterAlign 4 4 3" xfId="144"/>
    <cellStyle name="ErrorText-GCenterAlign 4 4 4" xfId="144"/>
    <cellStyle name="ErrorText-GCenterAlign 4 4 5" xfId="144"/>
    <cellStyle name="ErrorText-GCenterAlign 4 5" xfId="144"/>
    <cellStyle name="ErrorText-GCenterAlign 4 5 2" xfId="144"/>
    <cellStyle name="ErrorText-GCenterAlign 4 5 3" xfId="144"/>
    <cellStyle name="ErrorText-GCenterAlign 4 5 4" xfId="144"/>
    <cellStyle name="ErrorText-GCenterAlign 4 6" xfId="144"/>
    <cellStyle name="ErrorText-GCenterAlign 4 7" xfId="144"/>
    <cellStyle name="ErrorText-GCenterAlign 4 8" xfId="144"/>
    <cellStyle name="ErrorText-GCenterAlign 4 9" xfId="144"/>
    <cellStyle name="ErrorText-GCenterAlign 5" xfId="144"/>
    <cellStyle name="ErrorText-GCenterAlign 5 2" xfId="144"/>
    <cellStyle name="ErrorText-GCenterAlign 5 2 2" xfId="144"/>
    <cellStyle name="ErrorText-GCenterAlign 5 2 3" xfId="144"/>
    <cellStyle name="ErrorText-GCenterAlign 5 2 4" xfId="144"/>
    <cellStyle name="ErrorText-GCenterAlign 5 2 5" xfId="144"/>
    <cellStyle name="ErrorText-GCenterAlign 5 3" xfId="144"/>
    <cellStyle name="ErrorText-GCenterAlign 5 3 2" xfId="144"/>
    <cellStyle name="ErrorText-GCenterAlign 5 3 3" xfId="144"/>
    <cellStyle name="ErrorText-GCenterAlign 5 3 4" xfId="144"/>
    <cellStyle name="ErrorText-GCenterAlign 5 4" xfId="144"/>
    <cellStyle name="ErrorText-GCenterAlign 5 5" xfId="144"/>
    <cellStyle name="ErrorText-GCenterAlign 5 6" xfId="144"/>
    <cellStyle name="ErrorText-GCenterAlign 5 7" xfId="144"/>
    <cellStyle name="ErrorText-GCenterAlign 5 8" xfId="144"/>
    <cellStyle name="ErrorText-GCenterAlign 6" xfId="144"/>
    <cellStyle name="ErrorText-GCenterAlign 6 2" xfId="144"/>
    <cellStyle name="ErrorText-GCenterAlign 6 3" xfId="144"/>
    <cellStyle name="ErrorText-GCenterAlign 6 4" xfId="144"/>
    <cellStyle name="ErrorText-GCenterAlign 6 5" xfId="144"/>
    <cellStyle name="ErrorText-GCenterAlign 7" xfId="144"/>
    <cellStyle name="ErrorText-GCenterAlign 8" xfId="144"/>
    <cellStyle name="EvenBodyShade" xfId="145"/>
    <cellStyle name="Explanatory Text" xfId="146" builtinId="53"/>
    <cellStyle name="Explanatory Text 2" xfId="147"/>
    <cellStyle name="Fixed" xfId="148"/>
    <cellStyle name="FreddieMac" xfId="149"/>
    <cellStyle name="Good" xfId="150" builtinId="26"/>
    <cellStyle name="Good 2" xfId="151"/>
    <cellStyle name="Grey" xfId="152"/>
    <cellStyle name="GroupHeader12" xfId="153"/>
    <cellStyle name="Head2" xfId="154"/>
    <cellStyle name="Header" xfId="155"/>
    <cellStyle name="Header 2" xfId="155"/>
    <cellStyle name="Header 2 2" xfId="155"/>
    <cellStyle name="Header 3" xfId="155"/>
    <cellStyle name="Header 3 2" xfId="155"/>
    <cellStyle name="Header 4" xfId="155"/>
    <cellStyle name="Header 4 2" xfId="155"/>
    <cellStyle name="Header 5" xfId="155"/>
    <cellStyle name="Header-Date1" xfId="156"/>
    <cellStyle name="Header-Time" xfId="157"/>
    <cellStyle name="Header1" xfId="158"/>
    <cellStyle name="Header1 2" xfId="158"/>
    <cellStyle name="Header1 2 10" xfId="158"/>
    <cellStyle name="Header1 2 10 2" xfId="158"/>
    <cellStyle name="Header1 2 10 2 2" xfId="158"/>
    <cellStyle name="Header1 2 10 2 3" xfId="158"/>
    <cellStyle name="Header1 2 10 2 4" xfId="158"/>
    <cellStyle name="Header1 2 10 2 5" xfId="158"/>
    <cellStyle name="Header1 2 10 3" xfId="158"/>
    <cellStyle name="Header1 2 10 3 2" xfId="158"/>
    <cellStyle name="Header1 2 10 3 3" xfId="158"/>
    <cellStyle name="Header1 2 10 3 4" xfId="158"/>
    <cellStyle name="Header1 2 10 4" xfId="158"/>
    <cellStyle name="Header1 2 10 5" xfId="158"/>
    <cellStyle name="Header1 2 10 6" xfId="158"/>
    <cellStyle name="Header1 2 10 7" xfId="158"/>
    <cellStyle name="Header1 2 11" xfId="158"/>
    <cellStyle name="Header1 2 11 2" xfId="158"/>
    <cellStyle name="Header1 2 11 2 2" xfId="158"/>
    <cellStyle name="Header1 2 11 2 3" xfId="158"/>
    <cellStyle name="Header1 2 11 2 4" xfId="158"/>
    <cellStyle name="Header1 2 11 3" xfId="158"/>
    <cellStyle name="Header1 2 11 4" xfId="158"/>
    <cellStyle name="Header1 2 11 5" xfId="158"/>
    <cellStyle name="Header1 2 11 6" xfId="158"/>
    <cellStyle name="Header1 2 11 7" xfId="158"/>
    <cellStyle name="Header1 2 12" xfId="158"/>
    <cellStyle name="Header1 2 12 2" xfId="158"/>
    <cellStyle name="Header1 2 12 3" xfId="158"/>
    <cellStyle name="Header1 2 12 4" xfId="158"/>
    <cellStyle name="Header1 2 13" xfId="158"/>
    <cellStyle name="Header1 2 14" xfId="158"/>
    <cellStyle name="Header1 2 15" xfId="158"/>
    <cellStyle name="Header1 2 16" xfId="158"/>
    <cellStyle name="Header1 2 2" xfId="158"/>
    <cellStyle name="Header1 2 2 10" xfId="158"/>
    <cellStyle name="Header1 2 2 10 2" xfId="158"/>
    <cellStyle name="Header1 2 2 10 2 2" xfId="158"/>
    <cellStyle name="Header1 2 2 10 2 3" xfId="158"/>
    <cellStyle name="Header1 2 2 10 2 4" xfId="158"/>
    <cellStyle name="Header1 2 2 10 3" xfId="158"/>
    <cellStyle name="Header1 2 2 10 4" xfId="158"/>
    <cellStyle name="Header1 2 2 10 5" xfId="158"/>
    <cellStyle name="Header1 2 2 10 6" xfId="158"/>
    <cellStyle name="Header1 2 2 10 7" xfId="158"/>
    <cellStyle name="Header1 2 2 11" xfId="158"/>
    <cellStyle name="Header1 2 2 11 2" xfId="158"/>
    <cellStyle name="Header1 2 2 11 3" xfId="158"/>
    <cellStyle name="Header1 2 2 11 4" xfId="158"/>
    <cellStyle name="Header1 2 2 12" xfId="158"/>
    <cellStyle name="Header1 2 2 13" xfId="158"/>
    <cellStyle name="Header1 2 2 14" xfId="158"/>
    <cellStyle name="Header1 2 2 15" xfId="158"/>
    <cellStyle name="Header1 2 2 2" xfId="158"/>
    <cellStyle name="Header1 2 2 2 10" xfId="158"/>
    <cellStyle name="Header1 2 2 2 11" xfId="158"/>
    <cellStyle name="Header1 2 2 2 2" xfId="158"/>
    <cellStyle name="Header1 2 2 2 2 2" xfId="158"/>
    <cellStyle name="Header1 2 2 2 2 2 2" xfId="158"/>
    <cellStyle name="Header1 2 2 2 2 2 2 2" xfId="158"/>
    <cellStyle name="Header1 2 2 2 2 2 2 3" xfId="158"/>
    <cellStyle name="Header1 2 2 2 2 2 2 4" xfId="158"/>
    <cellStyle name="Header1 2 2 2 2 2 2 5" xfId="158"/>
    <cellStyle name="Header1 2 2 2 2 2 3" xfId="158"/>
    <cellStyle name="Header1 2 2 2 2 2 3 2" xfId="158"/>
    <cellStyle name="Header1 2 2 2 2 2 3 3" xfId="158"/>
    <cellStyle name="Header1 2 2 2 2 2 3 4" xfId="158"/>
    <cellStyle name="Header1 2 2 2 2 2 4" xfId="158"/>
    <cellStyle name="Header1 2 2 2 2 2 5" xfId="158"/>
    <cellStyle name="Header1 2 2 2 2 2 6" xfId="158"/>
    <cellStyle name="Header1 2 2 2 2 2 7" xfId="158"/>
    <cellStyle name="Header1 2 2 2 2 2 8" xfId="158"/>
    <cellStyle name="Header1 2 2 2 2 3" xfId="158"/>
    <cellStyle name="Header1 2 2 2 2 3 2" xfId="158"/>
    <cellStyle name="Header1 2 2 2 2 3 2 2" xfId="158"/>
    <cellStyle name="Header1 2 2 2 2 3 2 3" xfId="158"/>
    <cellStyle name="Header1 2 2 2 2 3 2 4" xfId="158"/>
    <cellStyle name="Header1 2 2 2 2 3 2 5" xfId="158"/>
    <cellStyle name="Header1 2 2 2 2 3 3" xfId="158"/>
    <cellStyle name="Header1 2 2 2 2 3 3 2" xfId="158"/>
    <cellStyle name="Header1 2 2 2 2 3 3 3" xfId="158"/>
    <cellStyle name="Header1 2 2 2 2 3 3 4" xfId="158"/>
    <cellStyle name="Header1 2 2 2 2 3 4" xfId="158"/>
    <cellStyle name="Header1 2 2 2 2 3 5" xfId="158"/>
    <cellStyle name="Header1 2 2 2 2 3 6" xfId="158"/>
    <cellStyle name="Header1 2 2 2 2 3 7" xfId="158"/>
    <cellStyle name="Header1 2 2 2 2 4" xfId="158"/>
    <cellStyle name="Header1 2 2 2 2 4 2" xfId="158"/>
    <cellStyle name="Header1 2 2 2 2 4 2 2" xfId="158"/>
    <cellStyle name="Header1 2 2 2 2 4 2 3" xfId="158"/>
    <cellStyle name="Header1 2 2 2 2 4 2 4" xfId="158"/>
    <cellStyle name="Header1 2 2 2 2 4 3" xfId="158"/>
    <cellStyle name="Header1 2 2 2 2 4 4" xfId="158"/>
    <cellStyle name="Header1 2 2 2 2 4 5" xfId="158"/>
    <cellStyle name="Header1 2 2 2 2 4 6" xfId="158"/>
    <cellStyle name="Header1 2 2 2 2 4 7" xfId="158"/>
    <cellStyle name="Header1 2 2 2 2 5" xfId="158"/>
    <cellStyle name="Header1 2 2 2 2 5 2" xfId="158"/>
    <cellStyle name="Header1 2 2 2 2 5 3" xfId="158"/>
    <cellStyle name="Header1 2 2 2 2 5 4" xfId="158"/>
    <cellStyle name="Header1 2 2 2 2 6" xfId="158"/>
    <cellStyle name="Header1 2 2 2 2 7" xfId="158"/>
    <cellStyle name="Header1 2 2 2 2 8" xfId="158"/>
    <cellStyle name="Header1 2 2 2 2 9" xfId="158"/>
    <cellStyle name="Header1 2 2 2 3" xfId="158"/>
    <cellStyle name="Header1 2 2 2 3 2" xfId="158"/>
    <cellStyle name="Header1 2 2 2 3 2 2" xfId="158"/>
    <cellStyle name="Header1 2 2 2 3 2 3" xfId="158"/>
    <cellStyle name="Header1 2 2 2 3 2 4" xfId="158"/>
    <cellStyle name="Header1 2 2 2 3 3" xfId="158"/>
    <cellStyle name="Header1 2 2 2 3 4" xfId="158"/>
    <cellStyle name="Header1 2 2 2 3 5" xfId="158"/>
    <cellStyle name="Header1 2 2 2 3 6" xfId="158"/>
    <cellStyle name="Header1 2 2 2 3 7" xfId="158"/>
    <cellStyle name="Header1 2 2 2 4" xfId="158"/>
    <cellStyle name="Header1 2 2 2 4 2" xfId="158"/>
    <cellStyle name="Header1 2 2 2 4 2 2" xfId="158"/>
    <cellStyle name="Header1 2 2 2 4 2 3" xfId="158"/>
    <cellStyle name="Header1 2 2 2 4 2 4" xfId="158"/>
    <cellStyle name="Header1 2 2 2 4 2 5" xfId="158"/>
    <cellStyle name="Header1 2 2 2 4 3" xfId="158"/>
    <cellStyle name="Header1 2 2 2 4 3 2" xfId="158"/>
    <cellStyle name="Header1 2 2 2 4 3 3" xfId="158"/>
    <cellStyle name="Header1 2 2 2 4 3 4" xfId="158"/>
    <cellStyle name="Header1 2 2 2 4 4" xfId="158"/>
    <cellStyle name="Header1 2 2 2 4 5" xfId="158"/>
    <cellStyle name="Header1 2 2 2 4 6" xfId="158"/>
    <cellStyle name="Header1 2 2 2 4 7" xfId="158"/>
    <cellStyle name="Header1 2 2 2 4 8" xfId="158"/>
    <cellStyle name="Header1 2 2 2 5" xfId="158"/>
    <cellStyle name="Header1 2 2 2 5 2" xfId="158"/>
    <cellStyle name="Header1 2 2 2 5 2 2" xfId="158"/>
    <cellStyle name="Header1 2 2 2 5 2 3" xfId="158"/>
    <cellStyle name="Header1 2 2 2 5 2 4" xfId="158"/>
    <cellStyle name="Header1 2 2 2 5 2 5" xfId="158"/>
    <cellStyle name="Header1 2 2 2 5 3" xfId="158"/>
    <cellStyle name="Header1 2 2 2 5 3 2" xfId="158"/>
    <cellStyle name="Header1 2 2 2 5 3 3" xfId="158"/>
    <cellStyle name="Header1 2 2 2 5 3 4" xfId="158"/>
    <cellStyle name="Header1 2 2 2 5 4" xfId="158"/>
    <cellStyle name="Header1 2 2 2 5 5" xfId="158"/>
    <cellStyle name="Header1 2 2 2 5 6" xfId="158"/>
    <cellStyle name="Header1 2 2 2 5 7" xfId="158"/>
    <cellStyle name="Header1 2 2 2 6" xfId="158"/>
    <cellStyle name="Header1 2 2 2 6 2" xfId="158"/>
    <cellStyle name="Header1 2 2 2 6 2 2" xfId="158"/>
    <cellStyle name="Header1 2 2 2 6 2 3" xfId="158"/>
    <cellStyle name="Header1 2 2 2 6 2 4" xfId="158"/>
    <cellStyle name="Header1 2 2 2 6 3" xfId="158"/>
    <cellStyle name="Header1 2 2 2 6 4" xfId="158"/>
    <cellStyle name="Header1 2 2 2 6 5" xfId="158"/>
    <cellStyle name="Header1 2 2 2 6 6" xfId="158"/>
    <cellStyle name="Header1 2 2 2 6 7" xfId="158"/>
    <cellStyle name="Header1 2 2 2 7" xfId="158"/>
    <cellStyle name="Header1 2 2 2 7 2" xfId="158"/>
    <cellStyle name="Header1 2 2 2 7 3" xfId="158"/>
    <cellStyle name="Header1 2 2 2 7 4" xfId="158"/>
    <cellStyle name="Header1 2 2 2 8" xfId="158"/>
    <cellStyle name="Header1 2 2 2 9" xfId="158"/>
    <cellStyle name="Header1 2 2 3" xfId="158"/>
    <cellStyle name="Header1 2 2 3 10" xfId="158"/>
    <cellStyle name="Header1 2 2 3 11" xfId="158"/>
    <cellStyle name="Header1 2 2 3 2" xfId="158"/>
    <cellStyle name="Header1 2 2 3 2 2" xfId="158"/>
    <cellStyle name="Header1 2 2 3 2 2 2" xfId="158"/>
    <cellStyle name="Header1 2 2 3 2 2 2 2" xfId="158"/>
    <cellStyle name="Header1 2 2 3 2 2 2 3" xfId="158"/>
    <cellStyle name="Header1 2 2 3 2 2 2 4" xfId="158"/>
    <cellStyle name="Header1 2 2 3 2 2 2 5" xfId="158"/>
    <cellStyle name="Header1 2 2 3 2 2 3" xfId="158"/>
    <cellStyle name="Header1 2 2 3 2 2 3 2" xfId="158"/>
    <cellStyle name="Header1 2 2 3 2 2 3 3" xfId="158"/>
    <cellStyle name="Header1 2 2 3 2 2 3 4" xfId="158"/>
    <cellStyle name="Header1 2 2 3 2 2 4" xfId="158"/>
    <cellStyle name="Header1 2 2 3 2 2 5" xfId="158"/>
    <cellStyle name="Header1 2 2 3 2 2 6" xfId="158"/>
    <cellStyle name="Header1 2 2 3 2 2 7" xfId="158"/>
    <cellStyle name="Header1 2 2 3 2 2 8" xfId="158"/>
    <cellStyle name="Header1 2 2 3 2 3" xfId="158"/>
    <cellStyle name="Header1 2 2 3 2 3 2" xfId="158"/>
    <cellStyle name="Header1 2 2 3 2 3 2 2" xfId="158"/>
    <cellStyle name="Header1 2 2 3 2 3 2 3" xfId="158"/>
    <cellStyle name="Header1 2 2 3 2 3 2 4" xfId="158"/>
    <cellStyle name="Header1 2 2 3 2 3 2 5" xfId="158"/>
    <cellStyle name="Header1 2 2 3 2 3 3" xfId="158"/>
    <cellStyle name="Header1 2 2 3 2 3 3 2" xfId="158"/>
    <cellStyle name="Header1 2 2 3 2 3 3 3" xfId="158"/>
    <cellStyle name="Header1 2 2 3 2 3 3 4" xfId="158"/>
    <cellStyle name="Header1 2 2 3 2 3 4" xfId="158"/>
    <cellStyle name="Header1 2 2 3 2 3 5" xfId="158"/>
    <cellStyle name="Header1 2 2 3 2 3 6" xfId="158"/>
    <cellStyle name="Header1 2 2 3 2 3 7" xfId="158"/>
    <cellStyle name="Header1 2 2 3 2 4" xfId="158"/>
    <cellStyle name="Header1 2 2 3 2 4 2" xfId="158"/>
    <cellStyle name="Header1 2 2 3 2 4 2 2" xfId="158"/>
    <cellStyle name="Header1 2 2 3 2 4 2 3" xfId="158"/>
    <cellStyle name="Header1 2 2 3 2 4 2 4" xfId="158"/>
    <cellStyle name="Header1 2 2 3 2 4 3" xfId="158"/>
    <cellStyle name="Header1 2 2 3 2 4 4" xfId="158"/>
    <cellStyle name="Header1 2 2 3 2 4 5" xfId="158"/>
    <cellStyle name="Header1 2 2 3 2 4 6" xfId="158"/>
    <cellStyle name="Header1 2 2 3 2 4 7" xfId="158"/>
    <cellStyle name="Header1 2 2 3 2 5" xfId="158"/>
    <cellStyle name="Header1 2 2 3 2 5 2" xfId="158"/>
    <cellStyle name="Header1 2 2 3 2 5 3" xfId="158"/>
    <cellStyle name="Header1 2 2 3 2 5 4" xfId="158"/>
    <cellStyle name="Header1 2 2 3 2 6" xfId="158"/>
    <cellStyle name="Header1 2 2 3 2 7" xfId="158"/>
    <cellStyle name="Header1 2 2 3 2 8" xfId="158"/>
    <cellStyle name="Header1 2 2 3 2 9" xfId="158"/>
    <cellStyle name="Header1 2 2 3 3" xfId="158"/>
    <cellStyle name="Header1 2 2 3 3 2" xfId="158"/>
    <cellStyle name="Header1 2 2 3 3 2 2" xfId="158"/>
    <cellStyle name="Header1 2 2 3 3 2 3" xfId="158"/>
    <cellStyle name="Header1 2 2 3 3 2 4" xfId="158"/>
    <cellStyle name="Header1 2 2 3 3 3" xfId="158"/>
    <cellStyle name="Header1 2 2 3 3 4" xfId="158"/>
    <cellStyle name="Header1 2 2 3 3 5" xfId="158"/>
    <cellStyle name="Header1 2 2 3 3 6" xfId="158"/>
    <cellStyle name="Header1 2 2 3 3 7" xfId="158"/>
    <cellStyle name="Header1 2 2 3 4" xfId="158"/>
    <cellStyle name="Header1 2 2 3 4 2" xfId="158"/>
    <cellStyle name="Header1 2 2 3 4 2 2" xfId="158"/>
    <cellStyle name="Header1 2 2 3 4 2 3" xfId="158"/>
    <cellStyle name="Header1 2 2 3 4 2 4" xfId="158"/>
    <cellStyle name="Header1 2 2 3 4 2 5" xfId="158"/>
    <cellStyle name="Header1 2 2 3 4 3" xfId="158"/>
    <cellStyle name="Header1 2 2 3 4 3 2" xfId="158"/>
    <cellStyle name="Header1 2 2 3 4 3 3" xfId="158"/>
    <cellStyle name="Header1 2 2 3 4 3 4" xfId="158"/>
    <cellStyle name="Header1 2 2 3 4 4" xfId="158"/>
    <cellStyle name="Header1 2 2 3 4 5" xfId="158"/>
    <cellStyle name="Header1 2 2 3 4 6" xfId="158"/>
    <cellStyle name="Header1 2 2 3 4 7" xfId="158"/>
    <cellStyle name="Header1 2 2 3 4 8" xfId="158"/>
    <cellStyle name="Header1 2 2 3 5" xfId="158"/>
    <cellStyle name="Header1 2 2 3 5 2" xfId="158"/>
    <cellStyle name="Header1 2 2 3 5 2 2" xfId="158"/>
    <cellStyle name="Header1 2 2 3 5 2 3" xfId="158"/>
    <cellStyle name="Header1 2 2 3 5 2 4" xfId="158"/>
    <cellStyle name="Header1 2 2 3 5 2 5" xfId="158"/>
    <cellStyle name="Header1 2 2 3 5 3" xfId="158"/>
    <cellStyle name="Header1 2 2 3 5 3 2" xfId="158"/>
    <cellStyle name="Header1 2 2 3 5 3 3" xfId="158"/>
    <cellStyle name="Header1 2 2 3 5 3 4" xfId="158"/>
    <cellStyle name="Header1 2 2 3 5 4" xfId="158"/>
    <cellStyle name="Header1 2 2 3 5 5" xfId="158"/>
    <cellStyle name="Header1 2 2 3 5 6" xfId="158"/>
    <cellStyle name="Header1 2 2 3 5 7" xfId="158"/>
    <cellStyle name="Header1 2 2 3 6" xfId="158"/>
    <cellStyle name="Header1 2 2 3 6 2" xfId="158"/>
    <cellStyle name="Header1 2 2 3 6 2 2" xfId="158"/>
    <cellStyle name="Header1 2 2 3 6 2 3" xfId="158"/>
    <cellStyle name="Header1 2 2 3 6 2 4" xfId="158"/>
    <cellStyle name="Header1 2 2 3 6 3" xfId="158"/>
    <cellStyle name="Header1 2 2 3 6 4" xfId="158"/>
    <cellStyle name="Header1 2 2 3 6 5" xfId="158"/>
    <cellStyle name="Header1 2 2 3 6 6" xfId="158"/>
    <cellStyle name="Header1 2 2 3 6 7" xfId="158"/>
    <cellStyle name="Header1 2 2 3 7" xfId="158"/>
    <cellStyle name="Header1 2 2 3 7 2" xfId="158"/>
    <cellStyle name="Header1 2 2 3 7 3" xfId="158"/>
    <cellStyle name="Header1 2 2 3 7 4" xfId="158"/>
    <cellStyle name="Header1 2 2 3 8" xfId="158"/>
    <cellStyle name="Header1 2 2 3 9" xfId="158"/>
    <cellStyle name="Header1 2 2 4" xfId="158"/>
    <cellStyle name="Header1 2 2 4 10" xfId="158"/>
    <cellStyle name="Header1 2 2 4 11" xfId="158"/>
    <cellStyle name="Header1 2 2 4 2" xfId="158"/>
    <cellStyle name="Header1 2 2 4 2 2" xfId="158"/>
    <cellStyle name="Header1 2 2 4 2 2 2" xfId="158"/>
    <cellStyle name="Header1 2 2 4 2 2 2 2" xfId="158"/>
    <cellStyle name="Header1 2 2 4 2 2 2 3" xfId="158"/>
    <cellStyle name="Header1 2 2 4 2 2 2 4" xfId="158"/>
    <cellStyle name="Header1 2 2 4 2 2 2 5" xfId="158"/>
    <cellStyle name="Header1 2 2 4 2 2 3" xfId="158"/>
    <cellStyle name="Header1 2 2 4 2 2 3 2" xfId="158"/>
    <cellStyle name="Header1 2 2 4 2 2 3 3" xfId="158"/>
    <cellStyle name="Header1 2 2 4 2 2 3 4" xfId="158"/>
    <cellStyle name="Header1 2 2 4 2 2 4" xfId="158"/>
    <cellStyle name="Header1 2 2 4 2 2 5" xfId="158"/>
    <cellStyle name="Header1 2 2 4 2 2 6" xfId="158"/>
    <cellStyle name="Header1 2 2 4 2 2 7" xfId="158"/>
    <cellStyle name="Header1 2 2 4 2 2 8" xfId="158"/>
    <cellStyle name="Header1 2 2 4 2 3" xfId="158"/>
    <cellStyle name="Header1 2 2 4 2 3 2" xfId="158"/>
    <cellStyle name="Header1 2 2 4 2 3 2 2" xfId="158"/>
    <cellStyle name="Header1 2 2 4 2 3 2 3" xfId="158"/>
    <cellStyle name="Header1 2 2 4 2 3 2 4" xfId="158"/>
    <cellStyle name="Header1 2 2 4 2 3 2 5" xfId="158"/>
    <cellStyle name="Header1 2 2 4 2 3 3" xfId="158"/>
    <cellStyle name="Header1 2 2 4 2 3 3 2" xfId="158"/>
    <cellStyle name="Header1 2 2 4 2 3 3 3" xfId="158"/>
    <cellStyle name="Header1 2 2 4 2 3 3 4" xfId="158"/>
    <cellStyle name="Header1 2 2 4 2 3 4" xfId="158"/>
    <cellStyle name="Header1 2 2 4 2 3 5" xfId="158"/>
    <cellStyle name="Header1 2 2 4 2 3 6" xfId="158"/>
    <cellStyle name="Header1 2 2 4 2 3 7" xfId="158"/>
    <cellStyle name="Header1 2 2 4 2 4" xfId="158"/>
    <cellStyle name="Header1 2 2 4 2 4 2" xfId="158"/>
    <cellStyle name="Header1 2 2 4 2 4 2 2" xfId="158"/>
    <cellStyle name="Header1 2 2 4 2 4 2 3" xfId="158"/>
    <cellStyle name="Header1 2 2 4 2 4 2 4" xfId="158"/>
    <cellStyle name="Header1 2 2 4 2 4 3" xfId="158"/>
    <cellStyle name="Header1 2 2 4 2 4 4" xfId="158"/>
    <cellStyle name="Header1 2 2 4 2 4 5" xfId="158"/>
    <cellStyle name="Header1 2 2 4 2 4 6" xfId="158"/>
    <cellStyle name="Header1 2 2 4 2 4 7" xfId="158"/>
    <cellStyle name="Header1 2 2 4 2 5" xfId="158"/>
    <cellStyle name="Header1 2 2 4 2 5 2" xfId="158"/>
    <cellStyle name="Header1 2 2 4 2 5 3" xfId="158"/>
    <cellStyle name="Header1 2 2 4 2 5 4" xfId="158"/>
    <cellStyle name="Header1 2 2 4 2 6" xfId="158"/>
    <cellStyle name="Header1 2 2 4 2 7" xfId="158"/>
    <cellStyle name="Header1 2 2 4 2 8" xfId="158"/>
    <cellStyle name="Header1 2 2 4 2 9" xfId="158"/>
    <cellStyle name="Header1 2 2 4 3" xfId="158"/>
    <cellStyle name="Header1 2 2 4 3 2" xfId="158"/>
    <cellStyle name="Header1 2 2 4 3 2 2" xfId="158"/>
    <cellStyle name="Header1 2 2 4 3 2 3" xfId="158"/>
    <cellStyle name="Header1 2 2 4 3 2 4" xfId="158"/>
    <cellStyle name="Header1 2 2 4 3 3" xfId="158"/>
    <cellStyle name="Header1 2 2 4 3 4" xfId="158"/>
    <cellStyle name="Header1 2 2 4 3 5" xfId="158"/>
    <cellStyle name="Header1 2 2 4 3 6" xfId="158"/>
    <cellStyle name="Header1 2 2 4 3 7" xfId="158"/>
    <cellStyle name="Header1 2 2 4 4" xfId="158"/>
    <cellStyle name="Header1 2 2 4 4 2" xfId="158"/>
    <cellStyle name="Header1 2 2 4 4 2 2" xfId="158"/>
    <cellStyle name="Header1 2 2 4 4 2 3" xfId="158"/>
    <cellStyle name="Header1 2 2 4 4 2 4" xfId="158"/>
    <cellStyle name="Header1 2 2 4 4 2 5" xfId="158"/>
    <cellStyle name="Header1 2 2 4 4 3" xfId="158"/>
    <cellStyle name="Header1 2 2 4 4 3 2" xfId="158"/>
    <cellStyle name="Header1 2 2 4 4 3 3" xfId="158"/>
    <cellStyle name="Header1 2 2 4 4 3 4" xfId="158"/>
    <cellStyle name="Header1 2 2 4 4 4" xfId="158"/>
    <cellStyle name="Header1 2 2 4 4 5" xfId="158"/>
    <cellStyle name="Header1 2 2 4 4 6" xfId="158"/>
    <cellStyle name="Header1 2 2 4 4 7" xfId="158"/>
    <cellStyle name="Header1 2 2 4 4 8" xfId="158"/>
    <cellStyle name="Header1 2 2 4 5" xfId="158"/>
    <cellStyle name="Header1 2 2 4 5 2" xfId="158"/>
    <cellStyle name="Header1 2 2 4 5 2 2" xfId="158"/>
    <cellStyle name="Header1 2 2 4 5 2 3" xfId="158"/>
    <cellStyle name="Header1 2 2 4 5 2 4" xfId="158"/>
    <cellStyle name="Header1 2 2 4 5 2 5" xfId="158"/>
    <cellStyle name="Header1 2 2 4 5 3" xfId="158"/>
    <cellStyle name="Header1 2 2 4 5 3 2" xfId="158"/>
    <cellStyle name="Header1 2 2 4 5 3 3" xfId="158"/>
    <cellStyle name="Header1 2 2 4 5 3 4" xfId="158"/>
    <cellStyle name="Header1 2 2 4 5 4" xfId="158"/>
    <cellStyle name="Header1 2 2 4 5 5" xfId="158"/>
    <cellStyle name="Header1 2 2 4 5 6" xfId="158"/>
    <cellStyle name="Header1 2 2 4 5 7" xfId="158"/>
    <cellStyle name="Header1 2 2 4 6" xfId="158"/>
    <cellStyle name="Header1 2 2 4 6 2" xfId="158"/>
    <cellStyle name="Header1 2 2 4 6 2 2" xfId="158"/>
    <cellStyle name="Header1 2 2 4 6 2 3" xfId="158"/>
    <cellStyle name="Header1 2 2 4 6 2 4" xfId="158"/>
    <cellStyle name="Header1 2 2 4 6 3" xfId="158"/>
    <cellStyle name="Header1 2 2 4 6 4" xfId="158"/>
    <cellStyle name="Header1 2 2 4 6 5" xfId="158"/>
    <cellStyle name="Header1 2 2 4 6 6" xfId="158"/>
    <cellStyle name="Header1 2 2 4 6 7" xfId="158"/>
    <cellStyle name="Header1 2 2 4 7" xfId="158"/>
    <cellStyle name="Header1 2 2 4 7 2" xfId="158"/>
    <cellStyle name="Header1 2 2 4 7 3" xfId="158"/>
    <cellStyle name="Header1 2 2 4 7 4" xfId="158"/>
    <cellStyle name="Header1 2 2 4 8" xfId="158"/>
    <cellStyle name="Header1 2 2 4 9" xfId="158"/>
    <cellStyle name="Header1 2 2 5" xfId="158"/>
    <cellStyle name="Header1 2 2 5 2" xfId="158"/>
    <cellStyle name="Header1 2 2 5 2 2" xfId="158"/>
    <cellStyle name="Header1 2 2 5 2 2 2" xfId="158"/>
    <cellStyle name="Header1 2 2 5 2 2 3" xfId="158"/>
    <cellStyle name="Header1 2 2 5 2 2 4" xfId="158"/>
    <cellStyle name="Header1 2 2 5 2 2 5" xfId="158"/>
    <cellStyle name="Header1 2 2 5 2 3" xfId="158"/>
    <cellStyle name="Header1 2 2 5 2 3 2" xfId="158"/>
    <cellStyle name="Header1 2 2 5 2 3 3" xfId="158"/>
    <cellStyle name="Header1 2 2 5 2 3 4" xfId="158"/>
    <cellStyle name="Header1 2 2 5 2 4" xfId="158"/>
    <cellStyle name="Header1 2 2 5 2 5" xfId="158"/>
    <cellStyle name="Header1 2 2 5 2 6" xfId="158"/>
    <cellStyle name="Header1 2 2 5 2 7" xfId="158"/>
    <cellStyle name="Header1 2 2 5 2 8" xfId="158"/>
    <cellStyle name="Header1 2 2 5 3" xfId="158"/>
    <cellStyle name="Header1 2 2 5 3 2" xfId="158"/>
    <cellStyle name="Header1 2 2 5 3 2 2" xfId="158"/>
    <cellStyle name="Header1 2 2 5 3 2 3" xfId="158"/>
    <cellStyle name="Header1 2 2 5 3 2 4" xfId="158"/>
    <cellStyle name="Header1 2 2 5 3 2 5" xfId="158"/>
    <cellStyle name="Header1 2 2 5 3 3" xfId="158"/>
    <cellStyle name="Header1 2 2 5 3 3 2" xfId="158"/>
    <cellStyle name="Header1 2 2 5 3 3 3" xfId="158"/>
    <cellStyle name="Header1 2 2 5 3 3 4" xfId="158"/>
    <cellStyle name="Header1 2 2 5 3 4" xfId="158"/>
    <cellStyle name="Header1 2 2 5 3 5" xfId="158"/>
    <cellStyle name="Header1 2 2 5 3 6" xfId="158"/>
    <cellStyle name="Header1 2 2 5 3 7" xfId="158"/>
    <cellStyle name="Header1 2 2 5 4" xfId="158"/>
    <cellStyle name="Header1 2 2 5 4 2" xfId="158"/>
    <cellStyle name="Header1 2 2 5 4 2 2" xfId="158"/>
    <cellStyle name="Header1 2 2 5 4 2 3" xfId="158"/>
    <cellStyle name="Header1 2 2 5 4 2 4" xfId="158"/>
    <cellStyle name="Header1 2 2 5 4 3" xfId="158"/>
    <cellStyle name="Header1 2 2 5 4 4" xfId="158"/>
    <cellStyle name="Header1 2 2 5 4 5" xfId="158"/>
    <cellStyle name="Header1 2 2 5 4 6" xfId="158"/>
    <cellStyle name="Header1 2 2 5 4 7" xfId="158"/>
    <cellStyle name="Header1 2 2 5 5" xfId="158"/>
    <cellStyle name="Header1 2 2 5 5 2" xfId="158"/>
    <cellStyle name="Header1 2 2 5 5 3" xfId="158"/>
    <cellStyle name="Header1 2 2 5 5 4" xfId="158"/>
    <cellStyle name="Header1 2 2 5 6" xfId="158"/>
    <cellStyle name="Header1 2 2 5 7" xfId="158"/>
    <cellStyle name="Header1 2 2 5 8" xfId="158"/>
    <cellStyle name="Header1 2 2 5 9" xfId="158"/>
    <cellStyle name="Header1 2 2 6" xfId="158"/>
    <cellStyle name="Header1 2 2 6 2" xfId="158"/>
    <cellStyle name="Header1 2 2 6 2 2" xfId="158"/>
    <cellStyle name="Header1 2 2 6 2 3" xfId="158"/>
    <cellStyle name="Header1 2 2 6 2 4" xfId="158"/>
    <cellStyle name="Header1 2 2 6 3" xfId="158"/>
    <cellStyle name="Header1 2 2 6 4" xfId="158"/>
    <cellStyle name="Header1 2 2 6 5" xfId="158"/>
    <cellStyle name="Header1 2 2 6 6" xfId="158"/>
    <cellStyle name="Header1 2 2 6 7" xfId="158"/>
    <cellStyle name="Header1 2 2 7" xfId="158"/>
    <cellStyle name="Header1 2 2 7 2" xfId="158"/>
    <cellStyle name="Header1 2 2 7 2 2" xfId="158"/>
    <cellStyle name="Header1 2 2 7 2 3" xfId="158"/>
    <cellStyle name="Header1 2 2 7 2 4" xfId="158"/>
    <cellStyle name="Header1 2 2 7 3" xfId="158"/>
    <cellStyle name="Header1 2 2 7 4" xfId="158"/>
    <cellStyle name="Header1 2 2 7 5" xfId="158"/>
    <cellStyle name="Header1 2 2 7 6" xfId="158"/>
    <cellStyle name="Header1 2 2 7 7" xfId="158"/>
    <cellStyle name="Header1 2 2 8" xfId="158"/>
    <cellStyle name="Header1 2 2 8 2" xfId="158"/>
    <cellStyle name="Header1 2 2 8 2 2" xfId="158"/>
    <cellStyle name="Header1 2 2 8 2 3" xfId="158"/>
    <cellStyle name="Header1 2 2 8 2 4" xfId="158"/>
    <cellStyle name="Header1 2 2 8 2 5" xfId="158"/>
    <cellStyle name="Header1 2 2 8 3" xfId="158"/>
    <cellStyle name="Header1 2 2 8 3 2" xfId="158"/>
    <cellStyle name="Header1 2 2 8 3 3" xfId="158"/>
    <cellStyle name="Header1 2 2 8 3 4" xfId="158"/>
    <cellStyle name="Header1 2 2 8 4" xfId="158"/>
    <cellStyle name="Header1 2 2 8 5" xfId="158"/>
    <cellStyle name="Header1 2 2 8 6" xfId="158"/>
    <cellStyle name="Header1 2 2 8 7" xfId="158"/>
    <cellStyle name="Header1 2 2 8 8" xfId="158"/>
    <cellStyle name="Header1 2 2 9" xfId="158"/>
    <cellStyle name="Header1 2 2 9 2" xfId="158"/>
    <cellStyle name="Header1 2 2 9 2 2" xfId="158"/>
    <cellStyle name="Header1 2 2 9 2 3" xfId="158"/>
    <cellStyle name="Header1 2 2 9 2 4" xfId="158"/>
    <cellStyle name="Header1 2 2 9 2 5" xfId="158"/>
    <cellStyle name="Header1 2 2 9 3" xfId="158"/>
    <cellStyle name="Header1 2 2 9 3 2" xfId="158"/>
    <cellStyle name="Header1 2 2 9 3 3" xfId="158"/>
    <cellStyle name="Header1 2 2 9 3 4" xfId="158"/>
    <cellStyle name="Header1 2 2 9 4" xfId="158"/>
    <cellStyle name="Header1 2 2 9 5" xfId="158"/>
    <cellStyle name="Header1 2 2 9 6" xfId="158"/>
    <cellStyle name="Header1 2 2 9 7" xfId="158"/>
    <cellStyle name="Header1 2 3" xfId="158"/>
    <cellStyle name="Header1 2 3 10" xfId="158"/>
    <cellStyle name="Header1 2 3 11" xfId="158"/>
    <cellStyle name="Header1 2 3 2" xfId="158"/>
    <cellStyle name="Header1 2 3 2 2" xfId="158"/>
    <cellStyle name="Header1 2 3 2 2 2" xfId="158"/>
    <cellStyle name="Header1 2 3 2 2 2 2" xfId="158"/>
    <cellStyle name="Header1 2 3 2 2 2 3" xfId="158"/>
    <cellStyle name="Header1 2 3 2 2 2 4" xfId="158"/>
    <cellStyle name="Header1 2 3 2 2 2 5" xfId="158"/>
    <cellStyle name="Header1 2 3 2 2 3" xfId="158"/>
    <cellStyle name="Header1 2 3 2 2 3 2" xfId="158"/>
    <cellStyle name="Header1 2 3 2 2 3 3" xfId="158"/>
    <cellStyle name="Header1 2 3 2 2 3 4" xfId="158"/>
    <cellStyle name="Header1 2 3 2 2 4" xfId="158"/>
    <cellStyle name="Header1 2 3 2 2 5" xfId="158"/>
    <cellStyle name="Header1 2 3 2 2 6" xfId="158"/>
    <cellStyle name="Header1 2 3 2 2 7" xfId="158"/>
    <cellStyle name="Header1 2 3 2 2 8" xfId="158"/>
    <cellStyle name="Header1 2 3 2 3" xfId="158"/>
    <cellStyle name="Header1 2 3 2 3 2" xfId="158"/>
    <cellStyle name="Header1 2 3 2 3 2 2" xfId="158"/>
    <cellStyle name="Header1 2 3 2 3 2 3" xfId="158"/>
    <cellStyle name="Header1 2 3 2 3 2 4" xfId="158"/>
    <cellStyle name="Header1 2 3 2 3 2 5" xfId="158"/>
    <cellStyle name="Header1 2 3 2 3 3" xfId="158"/>
    <cellStyle name="Header1 2 3 2 3 3 2" xfId="158"/>
    <cellStyle name="Header1 2 3 2 3 3 3" xfId="158"/>
    <cellStyle name="Header1 2 3 2 3 3 4" xfId="158"/>
    <cellStyle name="Header1 2 3 2 3 4" xfId="158"/>
    <cellStyle name="Header1 2 3 2 3 5" xfId="158"/>
    <cellStyle name="Header1 2 3 2 3 6" xfId="158"/>
    <cellStyle name="Header1 2 3 2 3 7" xfId="158"/>
    <cellStyle name="Header1 2 3 2 4" xfId="158"/>
    <cellStyle name="Header1 2 3 2 4 2" xfId="158"/>
    <cellStyle name="Header1 2 3 2 4 2 2" xfId="158"/>
    <cellStyle name="Header1 2 3 2 4 2 3" xfId="158"/>
    <cellStyle name="Header1 2 3 2 4 2 4" xfId="158"/>
    <cellStyle name="Header1 2 3 2 4 3" xfId="158"/>
    <cellStyle name="Header1 2 3 2 4 4" xfId="158"/>
    <cellStyle name="Header1 2 3 2 4 5" xfId="158"/>
    <cellStyle name="Header1 2 3 2 4 6" xfId="158"/>
    <cellStyle name="Header1 2 3 2 4 7" xfId="158"/>
    <cellStyle name="Header1 2 3 2 5" xfId="158"/>
    <cellStyle name="Header1 2 3 2 5 2" xfId="158"/>
    <cellStyle name="Header1 2 3 2 5 3" xfId="158"/>
    <cellStyle name="Header1 2 3 2 5 4" xfId="158"/>
    <cellStyle name="Header1 2 3 2 6" xfId="158"/>
    <cellStyle name="Header1 2 3 2 7" xfId="158"/>
    <cellStyle name="Header1 2 3 2 8" xfId="158"/>
    <cellStyle name="Header1 2 3 2 9" xfId="158"/>
    <cellStyle name="Header1 2 3 3" xfId="158"/>
    <cellStyle name="Header1 2 3 3 2" xfId="158"/>
    <cellStyle name="Header1 2 3 3 2 2" xfId="158"/>
    <cellStyle name="Header1 2 3 3 2 3" xfId="158"/>
    <cellStyle name="Header1 2 3 3 2 4" xfId="158"/>
    <cellStyle name="Header1 2 3 3 3" xfId="158"/>
    <cellStyle name="Header1 2 3 3 4" xfId="158"/>
    <cellStyle name="Header1 2 3 3 5" xfId="158"/>
    <cellStyle name="Header1 2 3 3 6" xfId="158"/>
    <cellStyle name="Header1 2 3 3 7" xfId="158"/>
    <cellStyle name="Header1 2 3 4" xfId="158"/>
    <cellStyle name="Header1 2 3 4 2" xfId="158"/>
    <cellStyle name="Header1 2 3 4 2 2" xfId="158"/>
    <cellStyle name="Header1 2 3 4 2 3" xfId="158"/>
    <cellStyle name="Header1 2 3 4 2 4" xfId="158"/>
    <cellStyle name="Header1 2 3 4 2 5" xfId="158"/>
    <cellStyle name="Header1 2 3 4 3" xfId="158"/>
    <cellStyle name="Header1 2 3 4 3 2" xfId="158"/>
    <cellStyle name="Header1 2 3 4 3 3" xfId="158"/>
    <cellStyle name="Header1 2 3 4 3 4" xfId="158"/>
    <cellStyle name="Header1 2 3 4 4" xfId="158"/>
    <cellStyle name="Header1 2 3 4 5" xfId="158"/>
    <cellStyle name="Header1 2 3 4 6" xfId="158"/>
    <cellStyle name="Header1 2 3 4 7" xfId="158"/>
    <cellStyle name="Header1 2 3 4 8" xfId="158"/>
    <cellStyle name="Header1 2 3 5" xfId="158"/>
    <cellStyle name="Header1 2 3 5 2" xfId="158"/>
    <cellStyle name="Header1 2 3 5 2 2" xfId="158"/>
    <cellStyle name="Header1 2 3 5 2 3" xfId="158"/>
    <cellStyle name="Header1 2 3 5 2 4" xfId="158"/>
    <cellStyle name="Header1 2 3 5 2 5" xfId="158"/>
    <cellStyle name="Header1 2 3 5 3" xfId="158"/>
    <cellStyle name="Header1 2 3 5 3 2" xfId="158"/>
    <cellStyle name="Header1 2 3 5 3 3" xfId="158"/>
    <cellStyle name="Header1 2 3 5 3 4" xfId="158"/>
    <cellStyle name="Header1 2 3 5 4" xfId="158"/>
    <cellStyle name="Header1 2 3 5 5" xfId="158"/>
    <cellStyle name="Header1 2 3 5 6" xfId="158"/>
    <cellStyle name="Header1 2 3 5 7" xfId="158"/>
    <cellStyle name="Header1 2 3 6" xfId="158"/>
    <cellStyle name="Header1 2 3 6 2" xfId="158"/>
    <cellStyle name="Header1 2 3 6 2 2" xfId="158"/>
    <cellStyle name="Header1 2 3 6 2 3" xfId="158"/>
    <cellStyle name="Header1 2 3 6 2 4" xfId="158"/>
    <cellStyle name="Header1 2 3 6 3" xfId="158"/>
    <cellStyle name="Header1 2 3 6 4" xfId="158"/>
    <cellStyle name="Header1 2 3 6 5" xfId="158"/>
    <cellStyle name="Header1 2 3 6 6" xfId="158"/>
    <cellStyle name="Header1 2 3 6 7" xfId="158"/>
    <cellStyle name="Header1 2 3 7" xfId="158"/>
    <cellStyle name="Header1 2 3 7 2" xfId="158"/>
    <cellStyle name="Header1 2 3 7 3" xfId="158"/>
    <cellStyle name="Header1 2 3 7 4" xfId="158"/>
    <cellStyle name="Header1 2 3 8" xfId="158"/>
    <cellStyle name="Header1 2 3 9" xfId="158"/>
    <cellStyle name="Header1 2 4" xfId="158"/>
    <cellStyle name="Header1 2 4 10" xfId="158"/>
    <cellStyle name="Header1 2 4 11" xfId="158"/>
    <cellStyle name="Header1 2 4 2" xfId="158"/>
    <cellStyle name="Header1 2 4 2 2" xfId="158"/>
    <cellStyle name="Header1 2 4 2 2 2" xfId="158"/>
    <cellStyle name="Header1 2 4 2 2 2 2" xfId="158"/>
    <cellStyle name="Header1 2 4 2 2 2 3" xfId="158"/>
    <cellStyle name="Header1 2 4 2 2 2 4" xfId="158"/>
    <cellStyle name="Header1 2 4 2 2 2 5" xfId="158"/>
    <cellStyle name="Header1 2 4 2 2 3" xfId="158"/>
    <cellStyle name="Header1 2 4 2 2 3 2" xfId="158"/>
    <cellStyle name="Header1 2 4 2 2 3 3" xfId="158"/>
    <cellStyle name="Header1 2 4 2 2 3 4" xfId="158"/>
    <cellStyle name="Header1 2 4 2 2 4" xfId="158"/>
    <cellStyle name="Header1 2 4 2 2 5" xfId="158"/>
    <cellStyle name="Header1 2 4 2 2 6" xfId="158"/>
    <cellStyle name="Header1 2 4 2 2 7" xfId="158"/>
    <cellStyle name="Header1 2 4 2 2 8" xfId="158"/>
    <cellStyle name="Header1 2 4 2 3" xfId="158"/>
    <cellStyle name="Header1 2 4 2 3 2" xfId="158"/>
    <cellStyle name="Header1 2 4 2 3 2 2" xfId="158"/>
    <cellStyle name="Header1 2 4 2 3 2 3" xfId="158"/>
    <cellStyle name="Header1 2 4 2 3 2 4" xfId="158"/>
    <cellStyle name="Header1 2 4 2 3 2 5" xfId="158"/>
    <cellStyle name="Header1 2 4 2 3 3" xfId="158"/>
    <cellStyle name="Header1 2 4 2 3 3 2" xfId="158"/>
    <cellStyle name="Header1 2 4 2 3 3 3" xfId="158"/>
    <cellStyle name="Header1 2 4 2 3 3 4" xfId="158"/>
    <cellStyle name="Header1 2 4 2 3 4" xfId="158"/>
    <cellStyle name="Header1 2 4 2 3 5" xfId="158"/>
    <cellStyle name="Header1 2 4 2 3 6" xfId="158"/>
    <cellStyle name="Header1 2 4 2 3 7" xfId="158"/>
    <cellStyle name="Header1 2 4 2 4" xfId="158"/>
    <cellStyle name="Header1 2 4 2 4 2" xfId="158"/>
    <cellStyle name="Header1 2 4 2 4 2 2" xfId="158"/>
    <cellStyle name="Header1 2 4 2 4 2 3" xfId="158"/>
    <cellStyle name="Header1 2 4 2 4 2 4" xfId="158"/>
    <cellStyle name="Header1 2 4 2 4 3" xfId="158"/>
    <cellStyle name="Header1 2 4 2 4 4" xfId="158"/>
    <cellStyle name="Header1 2 4 2 4 5" xfId="158"/>
    <cellStyle name="Header1 2 4 2 4 6" xfId="158"/>
    <cellStyle name="Header1 2 4 2 4 7" xfId="158"/>
    <cellStyle name="Header1 2 4 2 5" xfId="158"/>
    <cellStyle name="Header1 2 4 2 5 2" xfId="158"/>
    <cellStyle name="Header1 2 4 2 5 3" xfId="158"/>
    <cellStyle name="Header1 2 4 2 5 4" xfId="158"/>
    <cellStyle name="Header1 2 4 2 6" xfId="158"/>
    <cellStyle name="Header1 2 4 2 7" xfId="158"/>
    <cellStyle name="Header1 2 4 2 8" xfId="158"/>
    <cellStyle name="Header1 2 4 2 9" xfId="158"/>
    <cellStyle name="Header1 2 4 3" xfId="158"/>
    <cellStyle name="Header1 2 4 3 2" xfId="158"/>
    <cellStyle name="Header1 2 4 3 2 2" xfId="158"/>
    <cellStyle name="Header1 2 4 3 2 3" xfId="158"/>
    <cellStyle name="Header1 2 4 3 2 4" xfId="158"/>
    <cellStyle name="Header1 2 4 3 3" xfId="158"/>
    <cellStyle name="Header1 2 4 3 4" xfId="158"/>
    <cellStyle name="Header1 2 4 3 5" xfId="158"/>
    <cellStyle name="Header1 2 4 3 6" xfId="158"/>
    <cellStyle name="Header1 2 4 3 7" xfId="158"/>
    <cellStyle name="Header1 2 4 4" xfId="158"/>
    <cellStyle name="Header1 2 4 4 2" xfId="158"/>
    <cellStyle name="Header1 2 4 4 2 2" xfId="158"/>
    <cellStyle name="Header1 2 4 4 2 3" xfId="158"/>
    <cellStyle name="Header1 2 4 4 2 4" xfId="158"/>
    <cellStyle name="Header1 2 4 4 2 5" xfId="158"/>
    <cellStyle name="Header1 2 4 4 3" xfId="158"/>
    <cellStyle name="Header1 2 4 4 3 2" xfId="158"/>
    <cellStyle name="Header1 2 4 4 3 3" xfId="158"/>
    <cellStyle name="Header1 2 4 4 3 4" xfId="158"/>
    <cellStyle name="Header1 2 4 4 4" xfId="158"/>
    <cellStyle name="Header1 2 4 4 5" xfId="158"/>
    <cellStyle name="Header1 2 4 4 6" xfId="158"/>
    <cellStyle name="Header1 2 4 4 7" xfId="158"/>
    <cellStyle name="Header1 2 4 4 8" xfId="158"/>
    <cellStyle name="Header1 2 4 5" xfId="158"/>
    <cellStyle name="Header1 2 4 5 2" xfId="158"/>
    <cellStyle name="Header1 2 4 5 2 2" xfId="158"/>
    <cellStyle name="Header1 2 4 5 2 3" xfId="158"/>
    <cellStyle name="Header1 2 4 5 2 4" xfId="158"/>
    <cellStyle name="Header1 2 4 5 2 5" xfId="158"/>
    <cellStyle name="Header1 2 4 5 3" xfId="158"/>
    <cellStyle name="Header1 2 4 5 3 2" xfId="158"/>
    <cellStyle name="Header1 2 4 5 3 3" xfId="158"/>
    <cellStyle name="Header1 2 4 5 3 4" xfId="158"/>
    <cellStyle name="Header1 2 4 5 4" xfId="158"/>
    <cellStyle name="Header1 2 4 5 5" xfId="158"/>
    <cellStyle name="Header1 2 4 5 6" xfId="158"/>
    <cellStyle name="Header1 2 4 5 7" xfId="158"/>
    <cellStyle name="Header1 2 4 6" xfId="158"/>
    <cellStyle name="Header1 2 4 6 2" xfId="158"/>
    <cellStyle name="Header1 2 4 6 2 2" xfId="158"/>
    <cellStyle name="Header1 2 4 6 2 3" xfId="158"/>
    <cellStyle name="Header1 2 4 6 2 4" xfId="158"/>
    <cellStyle name="Header1 2 4 6 3" xfId="158"/>
    <cellStyle name="Header1 2 4 6 4" xfId="158"/>
    <cellStyle name="Header1 2 4 6 5" xfId="158"/>
    <cellStyle name="Header1 2 4 6 6" xfId="158"/>
    <cellStyle name="Header1 2 4 6 7" xfId="158"/>
    <cellStyle name="Header1 2 4 7" xfId="158"/>
    <cellStyle name="Header1 2 4 7 2" xfId="158"/>
    <cellStyle name="Header1 2 4 7 3" xfId="158"/>
    <cellStyle name="Header1 2 4 7 4" xfId="158"/>
    <cellStyle name="Header1 2 4 8" xfId="158"/>
    <cellStyle name="Header1 2 4 9" xfId="158"/>
    <cellStyle name="Header1 2 5" xfId="158"/>
    <cellStyle name="Header1 2 5 10" xfId="158"/>
    <cellStyle name="Header1 2 5 11" xfId="158"/>
    <cellStyle name="Header1 2 5 2" xfId="158"/>
    <cellStyle name="Header1 2 5 2 2" xfId="158"/>
    <cellStyle name="Header1 2 5 2 2 2" xfId="158"/>
    <cellStyle name="Header1 2 5 2 2 2 2" xfId="158"/>
    <cellStyle name="Header1 2 5 2 2 2 3" xfId="158"/>
    <cellStyle name="Header1 2 5 2 2 2 4" xfId="158"/>
    <cellStyle name="Header1 2 5 2 2 2 5" xfId="158"/>
    <cellStyle name="Header1 2 5 2 2 3" xfId="158"/>
    <cellStyle name="Header1 2 5 2 2 3 2" xfId="158"/>
    <cellStyle name="Header1 2 5 2 2 3 3" xfId="158"/>
    <cellStyle name="Header1 2 5 2 2 3 4" xfId="158"/>
    <cellStyle name="Header1 2 5 2 2 4" xfId="158"/>
    <cellStyle name="Header1 2 5 2 2 5" xfId="158"/>
    <cellStyle name="Header1 2 5 2 2 6" xfId="158"/>
    <cellStyle name="Header1 2 5 2 2 7" xfId="158"/>
    <cellStyle name="Header1 2 5 2 2 8" xfId="158"/>
    <cellStyle name="Header1 2 5 2 3" xfId="158"/>
    <cellStyle name="Header1 2 5 2 3 2" xfId="158"/>
    <cellStyle name="Header1 2 5 2 3 2 2" xfId="158"/>
    <cellStyle name="Header1 2 5 2 3 2 3" xfId="158"/>
    <cellStyle name="Header1 2 5 2 3 2 4" xfId="158"/>
    <cellStyle name="Header1 2 5 2 3 2 5" xfId="158"/>
    <cellStyle name="Header1 2 5 2 3 3" xfId="158"/>
    <cellStyle name="Header1 2 5 2 3 3 2" xfId="158"/>
    <cellStyle name="Header1 2 5 2 3 3 3" xfId="158"/>
    <cellStyle name="Header1 2 5 2 3 3 4" xfId="158"/>
    <cellStyle name="Header1 2 5 2 3 4" xfId="158"/>
    <cellStyle name="Header1 2 5 2 3 5" xfId="158"/>
    <cellStyle name="Header1 2 5 2 3 6" xfId="158"/>
    <cellStyle name="Header1 2 5 2 3 7" xfId="158"/>
    <cellStyle name="Header1 2 5 2 4" xfId="158"/>
    <cellStyle name="Header1 2 5 2 4 2" xfId="158"/>
    <cellStyle name="Header1 2 5 2 4 2 2" xfId="158"/>
    <cellStyle name="Header1 2 5 2 4 2 3" xfId="158"/>
    <cellStyle name="Header1 2 5 2 4 2 4" xfId="158"/>
    <cellStyle name="Header1 2 5 2 4 3" xfId="158"/>
    <cellStyle name="Header1 2 5 2 4 4" xfId="158"/>
    <cellStyle name="Header1 2 5 2 4 5" xfId="158"/>
    <cellStyle name="Header1 2 5 2 4 6" xfId="158"/>
    <cellStyle name="Header1 2 5 2 4 7" xfId="158"/>
    <cellStyle name="Header1 2 5 2 5" xfId="158"/>
    <cellStyle name="Header1 2 5 2 5 2" xfId="158"/>
    <cellStyle name="Header1 2 5 2 5 3" xfId="158"/>
    <cellStyle name="Header1 2 5 2 5 4" xfId="158"/>
    <cellStyle name="Header1 2 5 2 6" xfId="158"/>
    <cellStyle name="Header1 2 5 2 7" xfId="158"/>
    <cellStyle name="Header1 2 5 2 8" xfId="158"/>
    <cellStyle name="Header1 2 5 2 9" xfId="158"/>
    <cellStyle name="Header1 2 5 3" xfId="158"/>
    <cellStyle name="Header1 2 5 3 2" xfId="158"/>
    <cellStyle name="Header1 2 5 3 2 2" xfId="158"/>
    <cellStyle name="Header1 2 5 3 2 3" xfId="158"/>
    <cellStyle name="Header1 2 5 3 2 4" xfId="158"/>
    <cellStyle name="Header1 2 5 3 3" xfId="158"/>
    <cellStyle name="Header1 2 5 3 4" xfId="158"/>
    <cellStyle name="Header1 2 5 3 5" xfId="158"/>
    <cellStyle name="Header1 2 5 3 6" xfId="158"/>
    <cellStyle name="Header1 2 5 3 7" xfId="158"/>
    <cellStyle name="Header1 2 5 4" xfId="158"/>
    <cellStyle name="Header1 2 5 4 2" xfId="158"/>
    <cellStyle name="Header1 2 5 4 2 2" xfId="158"/>
    <cellStyle name="Header1 2 5 4 2 3" xfId="158"/>
    <cellStyle name="Header1 2 5 4 2 4" xfId="158"/>
    <cellStyle name="Header1 2 5 4 2 5" xfId="158"/>
    <cellStyle name="Header1 2 5 4 3" xfId="158"/>
    <cellStyle name="Header1 2 5 4 3 2" xfId="158"/>
    <cellStyle name="Header1 2 5 4 3 3" xfId="158"/>
    <cellStyle name="Header1 2 5 4 3 4" xfId="158"/>
    <cellStyle name="Header1 2 5 4 4" xfId="158"/>
    <cellStyle name="Header1 2 5 4 5" xfId="158"/>
    <cellStyle name="Header1 2 5 4 6" xfId="158"/>
    <cellStyle name="Header1 2 5 4 7" xfId="158"/>
    <cellStyle name="Header1 2 5 4 8" xfId="158"/>
    <cellStyle name="Header1 2 5 5" xfId="158"/>
    <cellStyle name="Header1 2 5 5 2" xfId="158"/>
    <cellStyle name="Header1 2 5 5 2 2" xfId="158"/>
    <cellStyle name="Header1 2 5 5 2 3" xfId="158"/>
    <cellStyle name="Header1 2 5 5 2 4" xfId="158"/>
    <cellStyle name="Header1 2 5 5 2 5" xfId="158"/>
    <cellStyle name="Header1 2 5 5 3" xfId="158"/>
    <cellStyle name="Header1 2 5 5 3 2" xfId="158"/>
    <cellStyle name="Header1 2 5 5 3 3" xfId="158"/>
    <cellStyle name="Header1 2 5 5 3 4" xfId="158"/>
    <cellStyle name="Header1 2 5 5 4" xfId="158"/>
    <cellStyle name="Header1 2 5 5 5" xfId="158"/>
    <cellStyle name="Header1 2 5 5 6" xfId="158"/>
    <cellStyle name="Header1 2 5 5 7" xfId="158"/>
    <cellStyle name="Header1 2 5 6" xfId="158"/>
    <cellStyle name="Header1 2 5 6 2" xfId="158"/>
    <cellStyle name="Header1 2 5 6 2 2" xfId="158"/>
    <cellStyle name="Header1 2 5 6 2 3" xfId="158"/>
    <cellStyle name="Header1 2 5 6 2 4" xfId="158"/>
    <cellStyle name="Header1 2 5 6 3" xfId="158"/>
    <cellStyle name="Header1 2 5 6 4" xfId="158"/>
    <cellStyle name="Header1 2 5 6 5" xfId="158"/>
    <cellStyle name="Header1 2 5 6 6" xfId="158"/>
    <cellStyle name="Header1 2 5 6 7" xfId="158"/>
    <cellStyle name="Header1 2 5 7" xfId="158"/>
    <cellStyle name="Header1 2 5 7 2" xfId="158"/>
    <cellStyle name="Header1 2 5 7 3" xfId="158"/>
    <cellStyle name="Header1 2 5 7 4" xfId="158"/>
    <cellStyle name="Header1 2 5 8" xfId="158"/>
    <cellStyle name="Header1 2 5 9" xfId="158"/>
    <cellStyle name="Header1 2 6" xfId="158"/>
    <cellStyle name="Header1 2 6 2" xfId="158"/>
    <cellStyle name="Header1 2 6 2 2" xfId="158"/>
    <cellStyle name="Header1 2 6 2 2 2" xfId="158"/>
    <cellStyle name="Header1 2 6 2 2 3" xfId="158"/>
    <cellStyle name="Header1 2 6 2 2 4" xfId="158"/>
    <cellStyle name="Header1 2 6 2 2 5" xfId="158"/>
    <cellStyle name="Header1 2 6 2 3" xfId="158"/>
    <cellStyle name="Header1 2 6 2 3 2" xfId="158"/>
    <cellStyle name="Header1 2 6 2 3 3" xfId="158"/>
    <cellStyle name="Header1 2 6 2 3 4" xfId="158"/>
    <cellStyle name="Header1 2 6 2 4" xfId="158"/>
    <cellStyle name="Header1 2 6 2 5" xfId="158"/>
    <cellStyle name="Header1 2 6 2 6" xfId="158"/>
    <cellStyle name="Header1 2 6 2 7" xfId="158"/>
    <cellStyle name="Header1 2 6 2 8" xfId="158"/>
    <cellStyle name="Header1 2 6 3" xfId="158"/>
    <cellStyle name="Header1 2 6 3 2" xfId="158"/>
    <cellStyle name="Header1 2 6 3 2 2" xfId="158"/>
    <cellStyle name="Header1 2 6 3 2 3" xfId="158"/>
    <cellStyle name="Header1 2 6 3 2 4" xfId="158"/>
    <cellStyle name="Header1 2 6 3 2 5" xfId="158"/>
    <cellStyle name="Header1 2 6 3 3" xfId="158"/>
    <cellStyle name="Header1 2 6 3 3 2" xfId="158"/>
    <cellStyle name="Header1 2 6 3 3 3" xfId="158"/>
    <cellStyle name="Header1 2 6 3 3 4" xfId="158"/>
    <cellStyle name="Header1 2 6 3 4" xfId="158"/>
    <cellStyle name="Header1 2 6 3 5" xfId="158"/>
    <cellStyle name="Header1 2 6 3 6" xfId="158"/>
    <cellStyle name="Header1 2 6 3 7" xfId="158"/>
    <cellStyle name="Header1 2 6 4" xfId="158"/>
    <cellStyle name="Header1 2 6 4 2" xfId="158"/>
    <cellStyle name="Header1 2 6 4 2 2" xfId="158"/>
    <cellStyle name="Header1 2 6 4 2 3" xfId="158"/>
    <cellStyle name="Header1 2 6 4 2 4" xfId="158"/>
    <cellStyle name="Header1 2 6 4 3" xfId="158"/>
    <cellStyle name="Header1 2 6 4 4" xfId="158"/>
    <cellStyle name="Header1 2 6 4 5" xfId="158"/>
    <cellStyle name="Header1 2 6 4 6" xfId="158"/>
    <cellStyle name="Header1 2 6 4 7" xfId="158"/>
    <cellStyle name="Header1 2 6 5" xfId="158"/>
    <cellStyle name="Header1 2 6 5 2" xfId="158"/>
    <cellStyle name="Header1 2 6 5 3" xfId="158"/>
    <cellStyle name="Header1 2 6 5 4" xfId="158"/>
    <cellStyle name="Header1 2 6 6" xfId="158"/>
    <cellStyle name="Header1 2 6 7" xfId="158"/>
    <cellStyle name="Header1 2 6 8" xfId="158"/>
    <cellStyle name="Header1 2 6 9" xfId="158"/>
    <cellStyle name="Header1 2 7" xfId="158"/>
    <cellStyle name="Header1 2 7 2" xfId="158"/>
    <cellStyle name="Header1 2 7 2 2" xfId="158"/>
    <cellStyle name="Header1 2 7 2 3" xfId="158"/>
    <cellStyle name="Header1 2 7 2 4" xfId="158"/>
    <cellStyle name="Header1 2 7 3" xfId="158"/>
    <cellStyle name="Header1 2 7 4" xfId="158"/>
    <cellStyle name="Header1 2 7 5" xfId="158"/>
    <cellStyle name="Header1 2 7 6" xfId="158"/>
    <cellStyle name="Header1 2 7 7" xfId="158"/>
    <cellStyle name="Header1 2 8" xfId="158"/>
    <cellStyle name="Header1 2 8 2" xfId="158"/>
    <cellStyle name="Header1 2 8 2 2" xfId="158"/>
    <cellStyle name="Header1 2 8 2 3" xfId="158"/>
    <cellStyle name="Header1 2 8 2 4" xfId="158"/>
    <cellStyle name="Header1 2 8 3" xfId="158"/>
    <cellStyle name="Header1 2 8 4" xfId="158"/>
    <cellStyle name="Header1 2 8 5" xfId="158"/>
    <cellStyle name="Header1 2 8 6" xfId="158"/>
    <cellStyle name="Header1 2 8 7" xfId="158"/>
    <cellStyle name="Header1 2 9" xfId="158"/>
    <cellStyle name="Header1 2 9 2" xfId="158"/>
    <cellStyle name="Header1 2 9 2 2" xfId="158"/>
    <cellStyle name="Header1 2 9 2 3" xfId="158"/>
    <cellStyle name="Header1 2 9 2 4" xfId="158"/>
    <cellStyle name="Header1 2 9 2 5" xfId="158"/>
    <cellStyle name="Header1 2 9 3" xfId="158"/>
    <cellStyle name="Header1 2 9 3 2" xfId="158"/>
    <cellStyle name="Header1 2 9 3 3" xfId="158"/>
    <cellStyle name="Header1 2 9 3 4" xfId="158"/>
    <cellStyle name="Header1 2 9 4" xfId="158"/>
    <cellStyle name="Header1 2 9 5" xfId="158"/>
    <cellStyle name="Header1 2 9 6" xfId="158"/>
    <cellStyle name="Header1 2 9 7" xfId="158"/>
    <cellStyle name="Header1 2 9 8" xfId="158"/>
    <cellStyle name="Header1 3" xfId="158"/>
    <cellStyle name="Header1 3 10" xfId="158"/>
    <cellStyle name="Header1 3 10 2" xfId="158"/>
    <cellStyle name="Header1 3 10 2 2" xfId="158"/>
    <cellStyle name="Header1 3 10 2 3" xfId="158"/>
    <cellStyle name="Header1 3 10 2 4" xfId="158"/>
    <cellStyle name="Header1 3 10 2 5" xfId="158"/>
    <cellStyle name="Header1 3 10 3" xfId="158"/>
    <cellStyle name="Header1 3 10 3 2" xfId="158"/>
    <cellStyle name="Header1 3 10 3 3" xfId="158"/>
    <cellStyle name="Header1 3 10 3 4" xfId="158"/>
    <cellStyle name="Header1 3 10 4" xfId="158"/>
    <cellStyle name="Header1 3 10 5" xfId="158"/>
    <cellStyle name="Header1 3 10 6" xfId="158"/>
    <cellStyle name="Header1 3 10 7" xfId="158"/>
    <cellStyle name="Header1 3 10 8" xfId="158"/>
    <cellStyle name="Header1 3 11" xfId="158"/>
    <cellStyle name="Header1 3 11 2" xfId="158"/>
    <cellStyle name="Header1 3 11 2 2" xfId="158"/>
    <cellStyle name="Header1 3 11 2 3" xfId="158"/>
    <cellStyle name="Header1 3 11 2 4" xfId="158"/>
    <cellStyle name="Header1 3 11 2 5" xfId="158"/>
    <cellStyle name="Header1 3 11 3" xfId="158"/>
    <cellStyle name="Header1 3 11 3 2" xfId="158"/>
    <cellStyle name="Header1 3 11 3 3" xfId="158"/>
    <cellStyle name="Header1 3 11 3 4" xfId="158"/>
    <cellStyle name="Header1 3 11 4" xfId="158"/>
    <cellStyle name="Header1 3 11 5" xfId="158"/>
    <cellStyle name="Header1 3 11 6" xfId="158"/>
    <cellStyle name="Header1 3 11 7" xfId="158"/>
    <cellStyle name="Header1 3 12" xfId="158"/>
    <cellStyle name="Header1 3 12 2" xfId="158"/>
    <cellStyle name="Header1 3 12 2 2" xfId="158"/>
    <cellStyle name="Header1 3 12 2 3" xfId="158"/>
    <cellStyle name="Header1 3 12 2 4" xfId="158"/>
    <cellStyle name="Header1 3 12 3" xfId="158"/>
    <cellStyle name="Header1 3 12 4" xfId="158"/>
    <cellStyle name="Header1 3 12 5" xfId="158"/>
    <cellStyle name="Header1 3 12 6" xfId="158"/>
    <cellStyle name="Header1 3 12 7" xfId="158"/>
    <cellStyle name="Header1 3 13" xfId="158"/>
    <cellStyle name="Header1 3 13 2" xfId="158"/>
    <cellStyle name="Header1 3 13 3" xfId="158"/>
    <cellStyle name="Header1 3 13 4" xfId="158"/>
    <cellStyle name="Header1 3 14" xfId="158"/>
    <cellStyle name="Header1 3 15" xfId="158"/>
    <cellStyle name="Header1 3 16" xfId="158"/>
    <cellStyle name="Header1 3 17" xfId="158"/>
    <cellStyle name="Header1 3 2" xfId="158"/>
    <cellStyle name="Header1 3 2 10" xfId="158"/>
    <cellStyle name="Header1 3 2 10 2" xfId="158"/>
    <cellStyle name="Header1 3 2 10 2 2" xfId="158"/>
    <cellStyle name="Header1 3 2 10 2 3" xfId="158"/>
    <cellStyle name="Header1 3 2 10 2 4" xfId="158"/>
    <cellStyle name="Header1 3 2 10 3" xfId="158"/>
    <cellStyle name="Header1 3 2 10 4" xfId="158"/>
    <cellStyle name="Header1 3 2 10 5" xfId="158"/>
    <cellStyle name="Header1 3 2 10 6" xfId="158"/>
    <cellStyle name="Header1 3 2 10 7" xfId="158"/>
    <cellStyle name="Header1 3 2 11" xfId="158"/>
    <cellStyle name="Header1 3 2 11 2" xfId="158"/>
    <cellStyle name="Header1 3 2 11 3" xfId="158"/>
    <cellStyle name="Header1 3 2 11 4" xfId="158"/>
    <cellStyle name="Header1 3 2 12" xfId="158"/>
    <cellStyle name="Header1 3 2 13" xfId="158"/>
    <cellStyle name="Header1 3 2 14" xfId="158"/>
    <cellStyle name="Header1 3 2 15" xfId="158"/>
    <cellStyle name="Header1 3 2 2" xfId="158"/>
    <cellStyle name="Header1 3 2 2 10" xfId="158"/>
    <cellStyle name="Header1 3 2 2 11" xfId="158"/>
    <cellStyle name="Header1 3 2 2 2" xfId="158"/>
    <cellStyle name="Header1 3 2 2 2 2" xfId="158"/>
    <cellStyle name="Header1 3 2 2 2 2 2" xfId="158"/>
    <cellStyle name="Header1 3 2 2 2 2 2 2" xfId="158"/>
    <cellStyle name="Header1 3 2 2 2 2 2 3" xfId="158"/>
    <cellStyle name="Header1 3 2 2 2 2 2 4" xfId="158"/>
    <cellStyle name="Header1 3 2 2 2 2 2 5" xfId="158"/>
    <cellStyle name="Header1 3 2 2 2 2 3" xfId="158"/>
    <cellStyle name="Header1 3 2 2 2 2 3 2" xfId="158"/>
    <cellStyle name="Header1 3 2 2 2 2 3 3" xfId="158"/>
    <cellStyle name="Header1 3 2 2 2 2 3 4" xfId="158"/>
    <cellStyle name="Header1 3 2 2 2 2 4" xfId="158"/>
    <cellStyle name="Header1 3 2 2 2 2 5" xfId="158"/>
    <cellStyle name="Header1 3 2 2 2 2 6" xfId="158"/>
    <cellStyle name="Header1 3 2 2 2 2 7" xfId="158"/>
    <cellStyle name="Header1 3 2 2 2 2 8" xfId="158"/>
    <cellStyle name="Header1 3 2 2 2 3" xfId="158"/>
    <cellStyle name="Header1 3 2 2 2 3 2" xfId="158"/>
    <cellStyle name="Header1 3 2 2 2 3 2 2" xfId="158"/>
    <cellStyle name="Header1 3 2 2 2 3 2 3" xfId="158"/>
    <cellStyle name="Header1 3 2 2 2 3 2 4" xfId="158"/>
    <cellStyle name="Header1 3 2 2 2 3 2 5" xfId="158"/>
    <cellStyle name="Header1 3 2 2 2 3 3" xfId="158"/>
    <cellStyle name="Header1 3 2 2 2 3 3 2" xfId="158"/>
    <cellStyle name="Header1 3 2 2 2 3 3 3" xfId="158"/>
    <cellStyle name="Header1 3 2 2 2 3 3 4" xfId="158"/>
    <cellStyle name="Header1 3 2 2 2 3 4" xfId="158"/>
    <cellStyle name="Header1 3 2 2 2 3 5" xfId="158"/>
    <cellStyle name="Header1 3 2 2 2 3 6" xfId="158"/>
    <cellStyle name="Header1 3 2 2 2 3 7" xfId="158"/>
    <cellStyle name="Header1 3 2 2 2 4" xfId="158"/>
    <cellStyle name="Header1 3 2 2 2 4 2" xfId="158"/>
    <cellStyle name="Header1 3 2 2 2 4 2 2" xfId="158"/>
    <cellStyle name="Header1 3 2 2 2 4 2 3" xfId="158"/>
    <cellStyle name="Header1 3 2 2 2 4 2 4" xfId="158"/>
    <cellStyle name="Header1 3 2 2 2 4 3" xfId="158"/>
    <cellStyle name="Header1 3 2 2 2 4 4" xfId="158"/>
    <cellStyle name="Header1 3 2 2 2 4 5" xfId="158"/>
    <cellStyle name="Header1 3 2 2 2 4 6" xfId="158"/>
    <cellStyle name="Header1 3 2 2 2 4 7" xfId="158"/>
    <cellStyle name="Header1 3 2 2 2 5" xfId="158"/>
    <cellStyle name="Header1 3 2 2 2 5 2" xfId="158"/>
    <cellStyle name="Header1 3 2 2 2 5 3" xfId="158"/>
    <cellStyle name="Header1 3 2 2 2 5 4" xfId="158"/>
    <cellStyle name="Header1 3 2 2 2 6" xfId="158"/>
    <cellStyle name="Header1 3 2 2 2 7" xfId="158"/>
    <cellStyle name="Header1 3 2 2 2 8" xfId="158"/>
    <cellStyle name="Header1 3 2 2 2 9" xfId="158"/>
    <cellStyle name="Header1 3 2 2 3" xfId="158"/>
    <cellStyle name="Header1 3 2 2 3 2" xfId="158"/>
    <cellStyle name="Header1 3 2 2 3 2 2" xfId="158"/>
    <cellStyle name="Header1 3 2 2 3 2 3" xfId="158"/>
    <cellStyle name="Header1 3 2 2 3 2 4" xfId="158"/>
    <cellStyle name="Header1 3 2 2 3 3" xfId="158"/>
    <cellStyle name="Header1 3 2 2 3 4" xfId="158"/>
    <cellStyle name="Header1 3 2 2 3 5" xfId="158"/>
    <cellStyle name="Header1 3 2 2 3 6" xfId="158"/>
    <cellStyle name="Header1 3 2 2 3 7" xfId="158"/>
    <cellStyle name="Header1 3 2 2 4" xfId="158"/>
    <cellStyle name="Header1 3 2 2 4 2" xfId="158"/>
    <cellStyle name="Header1 3 2 2 4 2 2" xfId="158"/>
    <cellStyle name="Header1 3 2 2 4 2 3" xfId="158"/>
    <cellStyle name="Header1 3 2 2 4 2 4" xfId="158"/>
    <cellStyle name="Header1 3 2 2 4 2 5" xfId="158"/>
    <cellStyle name="Header1 3 2 2 4 3" xfId="158"/>
    <cellStyle name="Header1 3 2 2 4 3 2" xfId="158"/>
    <cellStyle name="Header1 3 2 2 4 3 3" xfId="158"/>
    <cellStyle name="Header1 3 2 2 4 3 4" xfId="158"/>
    <cellStyle name="Header1 3 2 2 4 4" xfId="158"/>
    <cellStyle name="Header1 3 2 2 4 5" xfId="158"/>
    <cellStyle name="Header1 3 2 2 4 6" xfId="158"/>
    <cellStyle name="Header1 3 2 2 4 7" xfId="158"/>
    <cellStyle name="Header1 3 2 2 4 8" xfId="158"/>
    <cellStyle name="Header1 3 2 2 5" xfId="158"/>
    <cellStyle name="Header1 3 2 2 5 2" xfId="158"/>
    <cellStyle name="Header1 3 2 2 5 2 2" xfId="158"/>
    <cellStyle name="Header1 3 2 2 5 2 3" xfId="158"/>
    <cellStyle name="Header1 3 2 2 5 2 4" xfId="158"/>
    <cellStyle name="Header1 3 2 2 5 2 5" xfId="158"/>
    <cellStyle name="Header1 3 2 2 5 3" xfId="158"/>
    <cellStyle name="Header1 3 2 2 5 3 2" xfId="158"/>
    <cellStyle name="Header1 3 2 2 5 3 3" xfId="158"/>
    <cellStyle name="Header1 3 2 2 5 3 4" xfId="158"/>
    <cellStyle name="Header1 3 2 2 5 4" xfId="158"/>
    <cellStyle name="Header1 3 2 2 5 5" xfId="158"/>
    <cellStyle name="Header1 3 2 2 5 6" xfId="158"/>
    <cellStyle name="Header1 3 2 2 5 7" xfId="158"/>
    <cellStyle name="Header1 3 2 2 6" xfId="158"/>
    <cellStyle name="Header1 3 2 2 6 2" xfId="158"/>
    <cellStyle name="Header1 3 2 2 6 2 2" xfId="158"/>
    <cellStyle name="Header1 3 2 2 6 2 3" xfId="158"/>
    <cellStyle name="Header1 3 2 2 6 2 4" xfId="158"/>
    <cellStyle name="Header1 3 2 2 6 3" xfId="158"/>
    <cellStyle name="Header1 3 2 2 6 4" xfId="158"/>
    <cellStyle name="Header1 3 2 2 6 5" xfId="158"/>
    <cellStyle name="Header1 3 2 2 6 6" xfId="158"/>
    <cellStyle name="Header1 3 2 2 6 7" xfId="158"/>
    <cellStyle name="Header1 3 2 2 7" xfId="158"/>
    <cellStyle name="Header1 3 2 2 7 2" xfId="158"/>
    <cellStyle name="Header1 3 2 2 7 3" xfId="158"/>
    <cellStyle name="Header1 3 2 2 7 4" xfId="158"/>
    <cellStyle name="Header1 3 2 2 8" xfId="158"/>
    <cellStyle name="Header1 3 2 2 9" xfId="158"/>
    <cellStyle name="Header1 3 2 3" xfId="158"/>
    <cellStyle name="Header1 3 2 3 10" xfId="158"/>
    <cellStyle name="Header1 3 2 3 11" xfId="158"/>
    <cellStyle name="Header1 3 2 3 2" xfId="158"/>
    <cellStyle name="Header1 3 2 3 2 2" xfId="158"/>
    <cellStyle name="Header1 3 2 3 2 2 2" xfId="158"/>
    <cellStyle name="Header1 3 2 3 2 2 2 2" xfId="158"/>
    <cellStyle name="Header1 3 2 3 2 2 2 3" xfId="158"/>
    <cellStyle name="Header1 3 2 3 2 2 2 4" xfId="158"/>
    <cellStyle name="Header1 3 2 3 2 2 2 5" xfId="158"/>
    <cellStyle name="Header1 3 2 3 2 2 3" xfId="158"/>
    <cellStyle name="Header1 3 2 3 2 2 3 2" xfId="158"/>
    <cellStyle name="Header1 3 2 3 2 2 3 3" xfId="158"/>
    <cellStyle name="Header1 3 2 3 2 2 3 4" xfId="158"/>
    <cellStyle name="Header1 3 2 3 2 2 4" xfId="158"/>
    <cellStyle name="Header1 3 2 3 2 2 5" xfId="158"/>
    <cellStyle name="Header1 3 2 3 2 2 6" xfId="158"/>
    <cellStyle name="Header1 3 2 3 2 2 7" xfId="158"/>
    <cellStyle name="Header1 3 2 3 2 2 8" xfId="158"/>
    <cellStyle name="Header1 3 2 3 2 3" xfId="158"/>
    <cellStyle name="Header1 3 2 3 2 3 2" xfId="158"/>
    <cellStyle name="Header1 3 2 3 2 3 2 2" xfId="158"/>
    <cellStyle name="Header1 3 2 3 2 3 2 3" xfId="158"/>
    <cellStyle name="Header1 3 2 3 2 3 2 4" xfId="158"/>
    <cellStyle name="Header1 3 2 3 2 3 2 5" xfId="158"/>
    <cellStyle name="Header1 3 2 3 2 3 3" xfId="158"/>
    <cellStyle name="Header1 3 2 3 2 3 3 2" xfId="158"/>
    <cellStyle name="Header1 3 2 3 2 3 3 3" xfId="158"/>
    <cellStyle name="Header1 3 2 3 2 3 3 4" xfId="158"/>
    <cellStyle name="Header1 3 2 3 2 3 4" xfId="158"/>
    <cellStyle name="Header1 3 2 3 2 3 5" xfId="158"/>
    <cellStyle name="Header1 3 2 3 2 3 6" xfId="158"/>
    <cellStyle name="Header1 3 2 3 2 3 7" xfId="158"/>
    <cellStyle name="Header1 3 2 3 2 4" xfId="158"/>
    <cellStyle name="Header1 3 2 3 2 4 2" xfId="158"/>
    <cellStyle name="Header1 3 2 3 2 4 2 2" xfId="158"/>
    <cellStyle name="Header1 3 2 3 2 4 2 3" xfId="158"/>
    <cellStyle name="Header1 3 2 3 2 4 2 4" xfId="158"/>
    <cellStyle name="Header1 3 2 3 2 4 3" xfId="158"/>
    <cellStyle name="Header1 3 2 3 2 4 4" xfId="158"/>
    <cellStyle name="Header1 3 2 3 2 4 5" xfId="158"/>
    <cellStyle name="Header1 3 2 3 2 4 6" xfId="158"/>
    <cellStyle name="Header1 3 2 3 2 4 7" xfId="158"/>
    <cellStyle name="Header1 3 2 3 2 5" xfId="158"/>
    <cellStyle name="Header1 3 2 3 2 5 2" xfId="158"/>
    <cellStyle name="Header1 3 2 3 2 5 3" xfId="158"/>
    <cellStyle name="Header1 3 2 3 2 5 4" xfId="158"/>
    <cellStyle name="Header1 3 2 3 2 6" xfId="158"/>
    <cellStyle name="Header1 3 2 3 2 7" xfId="158"/>
    <cellStyle name="Header1 3 2 3 2 8" xfId="158"/>
    <cellStyle name="Header1 3 2 3 2 9" xfId="158"/>
    <cellStyle name="Header1 3 2 3 3" xfId="158"/>
    <cellStyle name="Header1 3 2 3 3 2" xfId="158"/>
    <cellStyle name="Header1 3 2 3 3 2 2" xfId="158"/>
    <cellStyle name="Header1 3 2 3 3 2 3" xfId="158"/>
    <cellStyle name="Header1 3 2 3 3 2 4" xfId="158"/>
    <cellStyle name="Header1 3 2 3 3 3" xfId="158"/>
    <cellStyle name="Header1 3 2 3 3 4" xfId="158"/>
    <cellStyle name="Header1 3 2 3 3 5" xfId="158"/>
    <cellStyle name="Header1 3 2 3 3 6" xfId="158"/>
    <cellStyle name="Header1 3 2 3 3 7" xfId="158"/>
    <cellStyle name="Header1 3 2 3 4" xfId="158"/>
    <cellStyle name="Header1 3 2 3 4 2" xfId="158"/>
    <cellStyle name="Header1 3 2 3 4 2 2" xfId="158"/>
    <cellStyle name="Header1 3 2 3 4 2 3" xfId="158"/>
    <cellStyle name="Header1 3 2 3 4 2 4" xfId="158"/>
    <cellStyle name="Header1 3 2 3 4 2 5" xfId="158"/>
    <cellStyle name="Header1 3 2 3 4 3" xfId="158"/>
    <cellStyle name="Header1 3 2 3 4 3 2" xfId="158"/>
    <cellStyle name="Header1 3 2 3 4 3 3" xfId="158"/>
    <cellStyle name="Header1 3 2 3 4 3 4" xfId="158"/>
    <cellStyle name="Header1 3 2 3 4 4" xfId="158"/>
    <cellStyle name="Header1 3 2 3 4 5" xfId="158"/>
    <cellStyle name="Header1 3 2 3 4 6" xfId="158"/>
    <cellStyle name="Header1 3 2 3 4 7" xfId="158"/>
    <cellStyle name="Header1 3 2 3 4 8" xfId="158"/>
    <cellStyle name="Header1 3 2 3 5" xfId="158"/>
    <cellStyle name="Header1 3 2 3 5 2" xfId="158"/>
    <cellStyle name="Header1 3 2 3 5 2 2" xfId="158"/>
    <cellStyle name="Header1 3 2 3 5 2 3" xfId="158"/>
    <cellStyle name="Header1 3 2 3 5 2 4" xfId="158"/>
    <cellStyle name="Header1 3 2 3 5 2 5" xfId="158"/>
    <cellStyle name="Header1 3 2 3 5 3" xfId="158"/>
    <cellStyle name="Header1 3 2 3 5 3 2" xfId="158"/>
    <cellStyle name="Header1 3 2 3 5 3 3" xfId="158"/>
    <cellStyle name="Header1 3 2 3 5 3 4" xfId="158"/>
    <cellStyle name="Header1 3 2 3 5 4" xfId="158"/>
    <cellStyle name="Header1 3 2 3 5 5" xfId="158"/>
    <cellStyle name="Header1 3 2 3 5 6" xfId="158"/>
    <cellStyle name="Header1 3 2 3 5 7" xfId="158"/>
    <cellStyle name="Header1 3 2 3 6" xfId="158"/>
    <cellStyle name="Header1 3 2 3 6 2" xfId="158"/>
    <cellStyle name="Header1 3 2 3 6 2 2" xfId="158"/>
    <cellStyle name="Header1 3 2 3 6 2 3" xfId="158"/>
    <cellStyle name="Header1 3 2 3 6 2 4" xfId="158"/>
    <cellStyle name="Header1 3 2 3 6 3" xfId="158"/>
    <cellStyle name="Header1 3 2 3 6 4" xfId="158"/>
    <cellStyle name="Header1 3 2 3 6 5" xfId="158"/>
    <cellStyle name="Header1 3 2 3 6 6" xfId="158"/>
    <cellStyle name="Header1 3 2 3 6 7" xfId="158"/>
    <cellStyle name="Header1 3 2 3 7" xfId="158"/>
    <cellStyle name="Header1 3 2 3 7 2" xfId="158"/>
    <cellStyle name="Header1 3 2 3 7 3" xfId="158"/>
    <cellStyle name="Header1 3 2 3 7 4" xfId="158"/>
    <cellStyle name="Header1 3 2 3 8" xfId="158"/>
    <cellStyle name="Header1 3 2 3 9" xfId="158"/>
    <cellStyle name="Header1 3 2 4" xfId="158"/>
    <cellStyle name="Header1 3 2 4 10" xfId="158"/>
    <cellStyle name="Header1 3 2 4 11" xfId="158"/>
    <cellStyle name="Header1 3 2 4 2" xfId="158"/>
    <cellStyle name="Header1 3 2 4 2 2" xfId="158"/>
    <cellStyle name="Header1 3 2 4 2 2 2" xfId="158"/>
    <cellStyle name="Header1 3 2 4 2 2 2 2" xfId="158"/>
    <cellStyle name="Header1 3 2 4 2 2 2 3" xfId="158"/>
    <cellStyle name="Header1 3 2 4 2 2 2 4" xfId="158"/>
    <cellStyle name="Header1 3 2 4 2 2 2 5" xfId="158"/>
    <cellStyle name="Header1 3 2 4 2 2 3" xfId="158"/>
    <cellStyle name="Header1 3 2 4 2 2 3 2" xfId="158"/>
    <cellStyle name="Header1 3 2 4 2 2 3 3" xfId="158"/>
    <cellStyle name="Header1 3 2 4 2 2 3 4" xfId="158"/>
    <cellStyle name="Header1 3 2 4 2 2 4" xfId="158"/>
    <cellStyle name="Header1 3 2 4 2 2 5" xfId="158"/>
    <cellStyle name="Header1 3 2 4 2 2 6" xfId="158"/>
    <cellStyle name="Header1 3 2 4 2 2 7" xfId="158"/>
    <cellStyle name="Header1 3 2 4 2 2 8" xfId="158"/>
    <cellStyle name="Header1 3 2 4 2 3" xfId="158"/>
    <cellStyle name="Header1 3 2 4 2 3 2" xfId="158"/>
    <cellStyle name="Header1 3 2 4 2 3 2 2" xfId="158"/>
    <cellStyle name="Header1 3 2 4 2 3 2 3" xfId="158"/>
    <cellStyle name="Header1 3 2 4 2 3 2 4" xfId="158"/>
    <cellStyle name="Header1 3 2 4 2 3 2 5" xfId="158"/>
    <cellStyle name="Header1 3 2 4 2 3 3" xfId="158"/>
    <cellStyle name="Header1 3 2 4 2 3 3 2" xfId="158"/>
    <cellStyle name="Header1 3 2 4 2 3 3 3" xfId="158"/>
    <cellStyle name="Header1 3 2 4 2 3 3 4" xfId="158"/>
    <cellStyle name="Header1 3 2 4 2 3 4" xfId="158"/>
    <cellStyle name="Header1 3 2 4 2 3 5" xfId="158"/>
    <cellStyle name="Header1 3 2 4 2 3 6" xfId="158"/>
    <cellStyle name="Header1 3 2 4 2 3 7" xfId="158"/>
    <cellStyle name="Header1 3 2 4 2 4" xfId="158"/>
    <cellStyle name="Header1 3 2 4 2 4 2" xfId="158"/>
    <cellStyle name="Header1 3 2 4 2 4 2 2" xfId="158"/>
    <cellStyle name="Header1 3 2 4 2 4 2 3" xfId="158"/>
    <cellStyle name="Header1 3 2 4 2 4 2 4" xfId="158"/>
    <cellStyle name="Header1 3 2 4 2 4 3" xfId="158"/>
    <cellStyle name="Header1 3 2 4 2 4 4" xfId="158"/>
    <cellStyle name="Header1 3 2 4 2 4 5" xfId="158"/>
    <cellStyle name="Header1 3 2 4 2 4 6" xfId="158"/>
    <cellStyle name="Header1 3 2 4 2 4 7" xfId="158"/>
    <cellStyle name="Header1 3 2 4 2 5" xfId="158"/>
    <cellStyle name="Header1 3 2 4 2 5 2" xfId="158"/>
    <cellStyle name="Header1 3 2 4 2 5 3" xfId="158"/>
    <cellStyle name="Header1 3 2 4 2 5 4" xfId="158"/>
    <cellStyle name="Header1 3 2 4 2 6" xfId="158"/>
    <cellStyle name="Header1 3 2 4 2 7" xfId="158"/>
    <cellStyle name="Header1 3 2 4 2 8" xfId="158"/>
    <cellStyle name="Header1 3 2 4 2 9" xfId="158"/>
    <cellStyle name="Header1 3 2 4 3" xfId="158"/>
    <cellStyle name="Header1 3 2 4 3 2" xfId="158"/>
    <cellStyle name="Header1 3 2 4 3 2 2" xfId="158"/>
    <cellStyle name="Header1 3 2 4 3 2 3" xfId="158"/>
    <cellStyle name="Header1 3 2 4 3 2 4" xfId="158"/>
    <cellStyle name="Header1 3 2 4 3 3" xfId="158"/>
    <cellStyle name="Header1 3 2 4 3 4" xfId="158"/>
    <cellStyle name="Header1 3 2 4 3 5" xfId="158"/>
    <cellStyle name="Header1 3 2 4 3 6" xfId="158"/>
    <cellStyle name="Header1 3 2 4 3 7" xfId="158"/>
    <cellStyle name="Header1 3 2 4 4" xfId="158"/>
    <cellStyle name="Header1 3 2 4 4 2" xfId="158"/>
    <cellStyle name="Header1 3 2 4 4 2 2" xfId="158"/>
    <cellStyle name="Header1 3 2 4 4 2 3" xfId="158"/>
    <cellStyle name="Header1 3 2 4 4 2 4" xfId="158"/>
    <cellStyle name="Header1 3 2 4 4 2 5" xfId="158"/>
    <cellStyle name="Header1 3 2 4 4 3" xfId="158"/>
    <cellStyle name="Header1 3 2 4 4 3 2" xfId="158"/>
    <cellStyle name="Header1 3 2 4 4 3 3" xfId="158"/>
    <cellStyle name="Header1 3 2 4 4 3 4" xfId="158"/>
    <cellStyle name="Header1 3 2 4 4 4" xfId="158"/>
    <cellStyle name="Header1 3 2 4 4 5" xfId="158"/>
    <cellStyle name="Header1 3 2 4 4 6" xfId="158"/>
    <cellStyle name="Header1 3 2 4 4 7" xfId="158"/>
    <cellStyle name="Header1 3 2 4 4 8" xfId="158"/>
    <cellStyle name="Header1 3 2 4 5" xfId="158"/>
    <cellStyle name="Header1 3 2 4 5 2" xfId="158"/>
    <cellStyle name="Header1 3 2 4 5 2 2" xfId="158"/>
    <cellStyle name="Header1 3 2 4 5 2 3" xfId="158"/>
    <cellStyle name="Header1 3 2 4 5 2 4" xfId="158"/>
    <cellStyle name="Header1 3 2 4 5 2 5" xfId="158"/>
    <cellStyle name="Header1 3 2 4 5 3" xfId="158"/>
    <cellStyle name="Header1 3 2 4 5 3 2" xfId="158"/>
    <cellStyle name="Header1 3 2 4 5 3 3" xfId="158"/>
    <cellStyle name="Header1 3 2 4 5 3 4" xfId="158"/>
    <cellStyle name="Header1 3 2 4 5 4" xfId="158"/>
    <cellStyle name="Header1 3 2 4 5 5" xfId="158"/>
    <cellStyle name="Header1 3 2 4 5 6" xfId="158"/>
    <cellStyle name="Header1 3 2 4 5 7" xfId="158"/>
    <cellStyle name="Header1 3 2 4 6" xfId="158"/>
    <cellStyle name="Header1 3 2 4 6 2" xfId="158"/>
    <cellStyle name="Header1 3 2 4 6 2 2" xfId="158"/>
    <cellStyle name="Header1 3 2 4 6 2 3" xfId="158"/>
    <cellStyle name="Header1 3 2 4 6 2 4" xfId="158"/>
    <cellStyle name="Header1 3 2 4 6 3" xfId="158"/>
    <cellStyle name="Header1 3 2 4 6 4" xfId="158"/>
    <cellStyle name="Header1 3 2 4 6 5" xfId="158"/>
    <cellStyle name="Header1 3 2 4 6 6" xfId="158"/>
    <cellStyle name="Header1 3 2 4 6 7" xfId="158"/>
    <cellStyle name="Header1 3 2 4 7" xfId="158"/>
    <cellStyle name="Header1 3 2 4 7 2" xfId="158"/>
    <cellStyle name="Header1 3 2 4 7 3" xfId="158"/>
    <cellStyle name="Header1 3 2 4 7 4" xfId="158"/>
    <cellStyle name="Header1 3 2 4 8" xfId="158"/>
    <cellStyle name="Header1 3 2 4 9" xfId="158"/>
    <cellStyle name="Header1 3 2 5" xfId="158"/>
    <cellStyle name="Header1 3 2 5 2" xfId="158"/>
    <cellStyle name="Header1 3 2 5 2 2" xfId="158"/>
    <cellStyle name="Header1 3 2 5 2 2 2" xfId="158"/>
    <cellStyle name="Header1 3 2 5 2 2 3" xfId="158"/>
    <cellStyle name="Header1 3 2 5 2 2 4" xfId="158"/>
    <cellStyle name="Header1 3 2 5 2 2 5" xfId="158"/>
    <cellStyle name="Header1 3 2 5 2 3" xfId="158"/>
    <cellStyle name="Header1 3 2 5 2 3 2" xfId="158"/>
    <cellStyle name="Header1 3 2 5 2 3 3" xfId="158"/>
    <cellStyle name="Header1 3 2 5 2 3 4" xfId="158"/>
    <cellStyle name="Header1 3 2 5 2 4" xfId="158"/>
    <cellStyle name="Header1 3 2 5 2 5" xfId="158"/>
    <cellStyle name="Header1 3 2 5 2 6" xfId="158"/>
    <cellStyle name="Header1 3 2 5 2 7" xfId="158"/>
    <cellStyle name="Header1 3 2 5 2 8" xfId="158"/>
    <cellStyle name="Header1 3 2 5 3" xfId="158"/>
    <cellStyle name="Header1 3 2 5 3 2" xfId="158"/>
    <cellStyle name="Header1 3 2 5 3 2 2" xfId="158"/>
    <cellStyle name="Header1 3 2 5 3 2 3" xfId="158"/>
    <cellStyle name="Header1 3 2 5 3 2 4" xfId="158"/>
    <cellStyle name="Header1 3 2 5 3 2 5" xfId="158"/>
    <cellStyle name="Header1 3 2 5 3 3" xfId="158"/>
    <cellStyle name="Header1 3 2 5 3 3 2" xfId="158"/>
    <cellStyle name="Header1 3 2 5 3 3 3" xfId="158"/>
    <cellStyle name="Header1 3 2 5 3 3 4" xfId="158"/>
    <cellStyle name="Header1 3 2 5 3 4" xfId="158"/>
    <cellStyle name="Header1 3 2 5 3 5" xfId="158"/>
    <cellStyle name="Header1 3 2 5 3 6" xfId="158"/>
    <cellStyle name="Header1 3 2 5 3 7" xfId="158"/>
    <cellStyle name="Header1 3 2 5 4" xfId="158"/>
    <cellStyle name="Header1 3 2 5 4 2" xfId="158"/>
    <cellStyle name="Header1 3 2 5 4 2 2" xfId="158"/>
    <cellStyle name="Header1 3 2 5 4 2 3" xfId="158"/>
    <cellStyle name="Header1 3 2 5 4 2 4" xfId="158"/>
    <cellStyle name="Header1 3 2 5 4 3" xfId="158"/>
    <cellStyle name="Header1 3 2 5 4 4" xfId="158"/>
    <cellStyle name="Header1 3 2 5 4 5" xfId="158"/>
    <cellStyle name="Header1 3 2 5 4 6" xfId="158"/>
    <cellStyle name="Header1 3 2 5 4 7" xfId="158"/>
    <cellStyle name="Header1 3 2 5 5" xfId="158"/>
    <cellStyle name="Header1 3 2 5 5 2" xfId="158"/>
    <cellStyle name="Header1 3 2 5 5 3" xfId="158"/>
    <cellStyle name="Header1 3 2 5 5 4" xfId="158"/>
    <cellStyle name="Header1 3 2 5 6" xfId="158"/>
    <cellStyle name="Header1 3 2 5 7" xfId="158"/>
    <cellStyle name="Header1 3 2 5 8" xfId="158"/>
    <cellStyle name="Header1 3 2 5 9" xfId="158"/>
    <cellStyle name="Header1 3 2 6" xfId="158"/>
    <cellStyle name="Header1 3 2 6 2" xfId="158"/>
    <cellStyle name="Header1 3 2 6 2 2" xfId="158"/>
    <cellStyle name="Header1 3 2 6 2 3" xfId="158"/>
    <cellStyle name="Header1 3 2 6 2 4" xfId="158"/>
    <cellStyle name="Header1 3 2 6 3" xfId="158"/>
    <cellStyle name="Header1 3 2 6 4" xfId="158"/>
    <cellStyle name="Header1 3 2 6 5" xfId="158"/>
    <cellStyle name="Header1 3 2 6 6" xfId="158"/>
    <cellStyle name="Header1 3 2 6 7" xfId="158"/>
    <cellStyle name="Header1 3 2 7" xfId="158"/>
    <cellStyle name="Header1 3 2 7 2" xfId="158"/>
    <cellStyle name="Header1 3 2 7 2 2" xfId="158"/>
    <cellStyle name="Header1 3 2 7 2 3" xfId="158"/>
    <cellStyle name="Header1 3 2 7 2 4" xfId="158"/>
    <cellStyle name="Header1 3 2 7 3" xfId="158"/>
    <cellStyle name="Header1 3 2 7 4" xfId="158"/>
    <cellStyle name="Header1 3 2 7 5" xfId="158"/>
    <cellStyle name="Header1 3 2 7 6" xfId="158"/>
    <cellStyle name="Header1 3 2 7 7" xfId="158"/>
    <cellStyle name="Header1 3 2 8" xfId="158"/>
    <cellStyle name="Header1 3 2 8 2" xfId="158"/>
    <cellStyle name="Header1 3 2 8 2 2" xfId="158"/>
    <cellStyle name="Header1 3 2 8 2 3" xfId="158"/>
    <cellStyle name="Header1 3 2 8 2 4" xfId="158"/>
    <cellStyle name="Header1 3 2 8 2 5" xfId="158"/>
    <cellStyle name="Header1 3 2 8 3" xfId="158"/>
    <cellStyle name="Header1 3 2 8 3 2" xfId="158"/>
    <cellStyle name="Header1 3 2 8 3 3" xfId="158"/>
    <cellStyle name="Header1 3 2 8 3 4" xfId="158"/>
    <cellStyle name="Header1 3 2 8 4" xfId="158"/>
    <cellStyle name="Header1 3 2 8 5" xfId="158"/>
    <cellStyle name="Header1 3 2 8 6" xfId="158"/>
    <cellStyle name="Header1 3 2 8 7" xfId="158"/>
    <cellStyle name="Header1 3 2 8 8" xfId="158"/>
    <cellStyle name="Header1 3 2 9" xfId="158"/>
    <cellStyle name="Header1 3 2 9 2" xfId="158"/>
    <cellStyle name="Header1 3 2 9 2 2" xfId="158"/>
    <cellStyle name="Header1 3 2 9 2 3" xfId="158"/>
    <cellStyle name="Header1 3 2 9 2 4" xfId="158"/>
    <cellStyle name="Header1 3 2 9 2 5" xfId="158"/>
    <cellStyle name="Header1 3 2 9 3" xfId="158"/>
    <cellStyle name="Header1 3 2 9 3 2" xfId="158"/>
    <cellStyle name="Header1 3 2 9 3 3" xfId="158"/>
    <cellStyle name="Header1 3 2 9 3 4" xfId="158"/>
    <cellStyle name="Header1 3 2 9 4" xfId="158"/>
    <cellStyle name="Header1 3 2 9 5" xfId="158"/>
    <cellStyle name="Header1 3 2 9 6" xfId="158"/>
    <cellStyle name="Header1 3 2 9 7" xfId="158"/>
    <cellStyle name="Header1 3 3" xfId="158"/>
    <cellStyle name="Header1 3 3 10" xfId="158"/>
    <cellStyle name="Header1 3 3 10 2" xfId="158"/>
    <cellStyle name="Header1 3 3 10 2 2" xfId="158"/>
    <cellStyle name="Header1 3 3 10 2 3" xfId="158"/>
    <cellStyle name="Header1 3 3 10 2 4" xfId="158"/>
    <cellStyle name="Header1 3 3 10 3" xfId="158"/>
    <cellStyle name="Header1 3 3 10 4" xfId="158"/>
    <cellStyle name="Header1 3 3 10 5" xfId="158"/>
    <cellStyle name="Header1 3 3 10 6" xfId="158"/>
    <cellStyle name="Header1 3 3 10 7" xfId="158"/>
    <cellStyle name="Header1 3 3 11" xfId="158"/>
    <cellStyle name="Header1 3 3 11 2" xfId="158"/>
    <cellStyle name="Header1 3 3 11 3" xfId="158"/>
    <cellStyle name="Header1 3 3 11 4" xfId="158"/>
    <cellStyle name="Header1 3 3 12" xfId="158"/>
    <cellStyle name="Header1 3 3 13" xfId="158"/>
    <cellStyle name="Header1 3 3 14" xfId="158"/>
    <cellStyle name="Header1 3 3 15" xfId="158"/>
    <cellStyle name="Header1 3 3 2" xfId="158"/>
    <cellStyle name="Header1 3 3 2 10" xfId="158"/>
    <cellStyle name="Header1 3 3 2 11" xfId="158"/>
    <cellStyle name="Header1 3 3 2 2" xfId="158"/>
    <cellStyle name="Header1 3 3 2 2 2" xfId="158"/>
    <cellStyle name="Header1 3 3 2 2 2 2" xfId="158"/>
    <cellStyle name="Header1 3 3 2 2 2 2 2" xfId="158"/>
    <cellStyle name="Header1 3 3 2 2 2 2 3" xfId="158"/>
    <cellStyle name="Header1 3 3 2 2 2 2 4" xfId="158"/>
    <cellStyle name="Header1 3 3 2 2 2 2 5" xfId="158"/>
    <cellStyle name="Header1 3 3 2 2 2 3" xfId="158"/>
    <cellStyle name="Header1 3 3 2 2 2 3 2" xfId="158"/>
    <cellStyle name="Header1 3 3 2 2 2 3 3" xfId="158"/>
    <cellStyle name="Header1 3 3 2 2 2 3 4" xfId="158"/>
    <cellStyle name="Header1 3 3 2 2 2 4" xfId="158"/>
    <cellStyle name="Header1 3 3 2 2 2 5" xfId="158"/>
    <cellStyle name="Header1 3 3 2 2 2 6" xfId="158"/>
    <cellStyle name="Header1 3 3 2 2 2 7" xfId="158"/>
    <cellStyle name="Header1 3 3 2 2 2 8" xfId="158"/>
    <cellStyle name="Header1 3 3 2 2 3" xfId="158"/>
    <cellStyle name="Header1 3 3 2 2 3 2" xfId="158"/>
    <cellStyle name="Header1 3 3 2 2 3 2 2" xfId="158"/>
    <cellStyle name="Header1 3 3 2 2 3 2 3" xfId="158"/>
    <cellStyle name="Header1 3 3 2 2 3 2 4" xfId="158"/>
    <cellStyle name="Header1 3 3 2 2 3 2 5" xfId="158"/>
    <cellStyle name="Header1 3 3 2 2 3 3" xfId="158"/>
    <cellStyle name="Header1 3 3 2 2 3 3 2" xfId="158"/>
    <cellStyle name="Header1 3 3 2 2 3 3 3" xfId="158"/>
    <cellStyle name="Header1 3 3 2 2 3 3 4" xfId="158"/>
    <cellStyle name="Header1 3 3 2 2 3 4" xfId="158"/>
    <cellStyle name="Header1 3 3 2 2 3 5" xfId="158"/>
    <cellStyle name="Header1 3 3 2 2 3 6" xfId="158"/>
    <cellStyle name="Header1 3 3 2 2 3 7" xfId="158"/>
    <cellStyle name="Header1 3 3 2 2 4" xfId="158"/>
    <cellStyle name="Header1 3 3 2 2 4 2" xfId="158"/>
    <cellStyle name="Header1 3 3 2 2 4 2 2" xfId="158"/>
    <cellStyle name="Header1 3 3 2 2 4 2 3" xfId="158"/>
    <cellStyle name="Header1 3 3 2 2 4 2 4" xfId="158"/>
    <cellStyle name="Header1 3 3 2 2 4 3" xfId="158"/>
    <cellStyle name="Header1 3 3 2 2 4 4" xfId="158"/>
    <cellStyle name="Header1 3 3 2 2 4 5" xfId="158"/>
    <cellStyle name="Header1 3 3 2 2 4 6" xfId="158"/>
    <cellStyle name="Header1 3 3 2 2 4 7" xfId="158"/>
    <cellStyle name="Header1 3 3 2 2 5" xfId="158"/>
    <cellStyle name="Header1 3 3 2 2 5 2" xfId="158"/>
    <cellStyle name="Header1 3 3 2 2 5 3" xfId="158"/>
    <cellStyle name="Header1 3 3 2 2 5 4" xfId="158"/>
    <cellStyle name="Header1 3 3 2 2 6" xfId="158"/>
    <cellStyle name="Header1 3 3 2 2 7" xfId="158"/>
    <cellStyle name="Header1 3 3 2 2 8" xfId="158"/>
    <cellStyle name="Header1 3 3 2 2 9" xfId="158"/>
    <cellStyle name="Header1 3 3 2 3" xfId="158"/>
    <cellStyle name="Header1 3 3 2 3 2" xfId="158"/>
    <cellStyle name="Header1 3 3 2 3 2 2" xfId="158"/>
    <cellStyle name="Header1 3 3 2 3 2 3" xfId="158"/>
    <cellStyle name="Header1 3 3 2 3 2 4" xfId="158"/>
    <cellStyle name="Header1 3 3 2 3 3" xfId="158"/>
    <cellStyle name="Header1 3 3 2 3 4" xfId="158"/>
    <cellStyle name="Header1 3 3 2 3 5" xfId="158"/>
    <cellStyle name="Header1 3 3 2 3 6" xfId="158"/>
    <cellStyle name="Header1 3 3 2 3 7" xfId="158"/>
    <cellStyle name="Header1 3 3 2 4" xfId="158"/>
    <cellStyle name="Header1 3 3 2 4 2" xfId="158"/>
    <cellStyle name="Header1 3 3 2 4 2 2" xfId="158"/>
    <cellStyle name="Header1 3 3 2 4 2 3" xfId="158"/>
    <cellStyle name="Header1 3 3 2 4 2 4" xfId="158"/>
    <cellStyle name="Header1 3 3 2 4 2 5" xfId="158"/>
    <cellStyle name="Header1 3 3 2 4 3" xfId="158"/>
    <cellStyle name="Header1 3 3 2 4 3 2" xfId="158"/>
    <cellStyle name="Header1 3 3 2 4 3 3" xfId="158"/>
    <cellStyle name="Header1 3 3 2 4 3 4" xfId="158"/>
    <cellStyle name="Header1 3 3 2 4 4" xfId="158"/>
    <cellStyle name="Header1 3 3 2 4 5" xfId="158"/>
    <cellStyle name="Header1 3 3 2 4 6" xfId="158"/>
    <cellStyle name="Header1 3 3 2 4 7" xfId="158"/>
    <cellStyle name="Header1 3 3 2 4 8" xfId="158"/>
    <cellStyle name="Header1 3 3 2 5" xfId="158"/>
    <cellStyle name="Header1 3 3 2 5 2" xfId="158"/>
    <cellStyle name="Header1 3 3 2 5 2 2" xfId="158"/>
    <cellStyle name="Header1 3 3 2 5 2 3" xfId="158"/>
    <cellStyle name="Header1 3 3 2 5 2 4" xfId="158"/>
    <cellStyle name="Header1 3 3 2 5 2 5" xfId="158"/>
    <cellStyle name="Header1 3 3 2 5 3" xfId="158"/>
    <cellStyle name="Header1 3 3 2 5 3 2" xfId="158"/>
    <cellStyle name="Header1 3 3 2 5 3 3" xfId="158"/>
    <cellStyle name="Header1 3 3 2 5 3 4" xfId="158"/>
    <cellStyle name="Header1 3 3 2 5 4" xfId="158"/>
    <cellStyle name="Header1 3 3 2 5 5" xfId="158"/>
    <cellStyle name="Header1 3 3 2 5 6" xfId="158"/>
    <cellStyle name="Header1 3 3 2 5 7" xfId="158"/>
    <cellStyle name="Header1 3 3 2 6" xfId="158"/>
    <cellStyle name="Header1 3 3 2 6 2" xfId="158"/>
    <cellStyle name="Header1 3 3 2 6 2 2" xfId="158"/>
    <cellStyle name="Header1 3 3 2 6 2 3" xfId="158"/>
    <cellStyle name="Header1 3 3 2 6 2 4" xfId="158"/>
    <cellStyle name="Header1 3 3 2 6 3" xfId="158"/>
    <cellStyle name="Header1 3 3 2 6 4" xfId="158"/>
    <cellStyle name="Header1 3 3 2 6 5" xfId="158"/>
    <cellStyle name="Header1 3 3 2 6 6" xfId="158"/>
    <cellStyle name="Header1 3 3 2 6 7" xfId="158"/>
    <cellStyle name="Header1 3 3 2 7" xfId="158"/>
    <cellStyle name="Header1 3 3 2 7 2" xfId="158"/>
    <cellStyle name="Header1 3 3 2 7 3" xfId="158"/>
    <cellStyle name="Header1 3 3 2 7 4" xfId="158"/>
    <cellStyle name="Header1 3 3 2 8" xfId="158"/>
    <cellStyle name="Header1 3 3 2 9" xfId="158"/>
    <cellStyle name="Header1 3 3 3" xfId="158"/>
    <cellStyle name="Header1 3 3 3 10" xfId="158"/>
    <cellStyle name="Header1 3 3 3 11" xfId="158"/>
    <cellStyle name="Header1 3 3 3 2" xfId="158"/>
    <cellStyle name="Header1 3 3 3 2 2" xfId="158"/>
    <cellStyle name="Header1 3 3 3 2 2 2" xfId="158"/>
    <cellStyle name="Header1 3 3 3 2 2 2 2" xfId="158"/>
    <cellStyle name="Header1 3 3 3 2 2 2 3" xfId="158"/>
    <cellStyle name="Header1 3 3 3 2 2 2 4" xfId="158"/>
    <cellStyle name="Header1 3 3 3 2 2 2 5" xfId="158"/>
    <cellStyle name="Header1 3 3 3 2 2 3" xfId="158"/>
    <cellStyle name="Header1 3 3 3 2 2 3 2" xfId="158"/>
    <cellStyle name="Header1 3 3 3 2 2 3 3" xfId="158"/>
    <cellStyle name="Header1 3 3 3 2 2 3 4" xfId="158"/>
    <cellStyle name="Header1 3 3 3 2 2 4" xfId="158"/>
    <cellStyle name="Header1 3 3 3 2 2 5" xfId="158"/>
    <cellStyle name="Header1 3 3 3 2 2 6" xfId="158"/>
    <cellStyle name="Header1 3 3 3 2 2 7" xfId="158"/>
    <cellStyle name="Header1 3 3 3 2 2 8" xfId="158"/>
    <cellStyle name="Header1 3 3 3 2 3" xfId="158"/>
    <cellStyle name="Header1 3 3 3 2 3 2" xfId="158"/>
    <cellStyle name="Header1 3 3 3 2 3 2 2" xfId="158"/>
    <cellStyle name="Header1 3 3 3 2 3 2 3" xfId="158"/>
    <cellStyle name="Header1 3 3 3 2 3 2 4" xfId="158"/>
    <cellStyle name="Header1 3 3 3 2 3 2 5" xfId="158"/>
    <cellStyle name="Header1 3 3 3 2 3 3" xfId="158"/>
    <cellStyle name="Header1 3 3 3 2 3 3 2" xfId="158"/>
    <cellStyle name="Header1 3 3 3 2 3 3 3" xfId="158"/>
    <cellStyle name="Header1 3 3 3 2 3 3 4" xfId="158"/>
    <cellStyle name="Header1 3 3 3 2 3 4" xfId="158"/>
    <cellStyle name="Header1 3 3 3 2 3 5" xfId="158"/>
    <cellStyle name="Header1 3 3 3 2 3 6" xfId="158"/>
    <cellStyle name="Header1 3 3 3 2 3 7" xfId="158"/>
    <cellStyle name="Header1 3 3 3 2 4" xfId="158"/>
    <cellStyle name="Header1 3 3 3 2 4 2" xfId="158"/>
    <cellStyle name="Header1 3 3 3 2 4 2 2" xfId="158"/>
    <cellStyle name="Header1 3 3 3 2 4 2 3" xfId="158"/>
    <cellStyle name="Header1 3 3 3 2 4 2 4" xfId="158"/>
    <cellStyle name="Header1 3 3 3 2 4 3" xfId="158"/>
    <cellStyle name="Header1 3 3 3 2 4 4" xfId="158"/>
    <cellStyle name="Header1 3 3 3 2 4 5" xfId="158"/>
    <cellStyle name="Header1 3 3 3 2 4 6" xfId="158"/>
    <cellStyle name="Header1 3 3 3 2 4 7" xfId="158"/>
    <cellStyle name="Header1 3 3 3 2 5" xfId="158"/>
    <cellStyle name="Header1 3 3 3 2 5 2" xfId="158"/>
    <cellStyle name="Header1 3 3 3 2 5 3" xfId="158"/>
    <cellStyle name="Header1 3 3 3 2 5 4" xfId="158"/>
    <cellStyle name="Header1 3 3 3 2 6" xfId="158"/>
    <cellStyle name="Header1 3 3 3 2 7" xfId="158"/>
    <cellStyle name="Header1 3 3 3 2 8" xfId="158"/>
    <cellStyle name="Header1 3 3 3 2 9" xfId="158"/>
    <cellStyle name="Header1 3 3 3 3" xfId="158"/>
    <cellStyle name="Header1 3 3 3 3 2" xfId="158"/>
    <cellStyle name="Header1 3 3 3 3 2 2" xfId="158"/>
    <cellStyle name="Header1 3 3 3 3 2 3" xfId="158"/>
    <cellStyle name="Header1 3 3 3 3 2 4" xfId="158"/>
    <cellStyle name="Header1 3 3 3 3 3" xfId="158"/>
    <cellStyle name="Header1 3 3 3 3 4" xfId="158"/>
    <cellStyle name="Header1 3 3 3 3 5" xfId="158"/>
    <cellStyle name="Header1 3 3 3 3 6" xfId="158"/>
    <cellStyle name="Header1 3 3 3 3 7" xfId="158"/>
    <cellStyle name="Header1 3 3 3 4" xfId="158"/>
    <cellStyle name="Header1 3 3 3 4 2" xfId="158"/>
    <cellStyle name="Header1 3 3 3 4 2 2" xfId="158"/>
    <cellStyle name="Header1 3 3 3 4 2 3" xfId="158"/>
    <cellStyle name="Header1 3 3 3 4 2 4" xfId="158"/>
    <cellStyle name="Header1 3 3 3 4 2 5" xfId="158"/>
    <cellStyle name="Header1 3 3 3 4 3" xfId="158"/>
    <cellStyle name="Header1 3 3 3 4 3 2" xfId="158"/>
    <cellStyle name="Header1 3 3 3 4 3 3" xfId="158"/>
    <cellStyle name="Header1 3 3 3 4 3 4" xfId="158"/>
    <cellStyle name="Header1 3 3 3 4 4" xfId="158"/>
    <cellStyle name="Header1 3 3 3 4 5" xfId="158"/>
    <cellStyle name="Header1 3 3 3 4 6" xfId="158"/>
    <cellStyle name="Header1 3 3 3 4 7" xfId="158"/>
    <cellStyle name="Header1 3 3 3 4 8" xfId="158"/>
    <cellStyle name="Header1 3 3 3 5" xfId="158"/>
    <cellStyle name="Header1 3 3 3 5 2" xfId="158"/>
    <cellStyle name="Header1 3 3 3 5 2 2" xfId="158"/>
    <cellStyle name="Header1 3 3 3 5 2 3" xfId="158"/>
    <cellStyle name="Header1 3 3 3 5 2 4" xfId="158"/>
    <cellStyle name="Header1 3 3 3 5 2 5" xfId="158"/>
    <cellStyle name="Header1 3 3 3 5 3" xfId="158"/>
    <cellStyle name="Header1 3 3 3 5 3 2" xfId="158"/>
    <cellStyle name="Header1 3 3 3 5 3 3" xfId="158"/>
    <cellStyle name="Header1 3 3 3 5 3 4" xfId="158"/>
    <cellStyle name="Header1 3 3 3 5 4" xfId="158"/>
    <cellStyle name="Header1 3 3 3 5 5" xfId="158"/>
    <cellStyle name="Header1 3 3 3 5 6" xfId="158"/>
    <cellStyle name="Header1 3 3 3 5 7" xfId="158"/>
    <cellStyle name="Header1 3 3 3 6" xfId="158"/>
    <cellStyle name="Header1 3 3 3 6 2" xfId="158"/>
    <cellStyle name="Header1 3 3 3 6 2 2" xfId="158"/>
    <cellStyle name="Header1 3 3 3 6 2 3" xfId="158"/>
    <cellStyle name="Header1 3 3 3 6 2 4" xfId="158"/>
    <cellStyle name="Header1 3 3 3 6 3" xfId="158"/>
    <cellStyle name="Header1 3 3 3 6 4" xfId="158"/>
    <cellStyle name="Header1 3 3 3 6 5" xfId="158"/>
    <cellStyle name="Header1 3 3 3 6 6" xfId="158"/>
    <cellStyle name="Header1 3 3 3 6 7" xfId="158"/>
    <cellStyle name="Header1 3 3 3 7" xfId="158"/>
    <cellStyle name="Header1 3 3 3 7 2" xfId="158"/>
    <cellStyle name="Header1 3 3 3 7 3" xfId="158"/>
    <cellStyle name="Header1 3 3 3 7 4" xfId="158"/>
    <cellStyle name="Header1 3 3 3 8" xfId="158"/>
    <cellStyle name="Header1 3 3 3 9" xfId="158"/>
    <cellStyle name="Header1 3 3 4" xfId="158"/>
    <cellStyle name="Header1 3 3 4 10" xfId="158"/>
    <cellStyle name="Header1 3 3 4 11" xfId="158"/>
    <cellStyle name="Header1 3 3 4 2" xfId="158"/>
    <cellStyle name="Header1 3 3 4 2 2" xfId="158"/>
    <cellStyle name="Header1 3 3 4 2 2 2" xfId="158"/>
    <cellStyle name="Header1 3 3 4 2 2 2 2" xfId="158"/>
    <cellStyle name="Header1 3 3 4 2 2 2 3" xfId="158"/>
    <cellStyle name="Header1 3 3 4 2 2 2 4" xfId="158"/>
    <cellStyle name="Header1 3 3 4 2 2 2 5" xfId="158"/>
    <cellStyle name="Header1 3 3 4 2 2 3" xfId="158"/>
    <cellStyle name="Header1 3 3 4 2 2 3 2" xfId="158"/>
    <cellStyle name="Header1 3 3 4 2 2 3 3" xfId="158"/>
    <cellStyle name="Header1 3 3 4 2 2 3 4" xfId="158"/>
    <cellStyle name="Header1 3 3 4 2 2 4" xfId="158"/>
    <cellStyle name="Header1 3 3 4 2 2 5" xfId="158"/>
    <cellStyle name="Header1 3 3 4 2 2 6" xfId="158"/>
    <cellStyle name="Header1 3 3 4 2 2 7" xfId="158"/>
    <cellStyle name="Header1 3 3 4 2 2 8" xfId="158"/>
    <cellStyle name="Header1 3 3 4 2 3" xfId="158"/>
    <cellStyle name="Header1 3 3 4 2 3 2" xfId="158"/>
    <cellStyle name="Header1 3 3 4 2 3 2 2" xfId="158"/>
    <cellStyle name="Header1 3 3 4 2 3 2 3" xfId="158"/>
    <cellStyle name="Header1 3 3 4 2 3 2 4" xfId="158"/>
    <cellStyle name="Header1 3 3 4 2 3 2 5" xfId="158"/>
    <cellStyle name="Header1 3 3 4 2 3 3" xfId="158"/>
    <cellStyle name="Header1 3 3 4 2 3 3 2" xfId="158"/>
    <cellStyle name="Header1 3 3 4 2 3 3 3" xfId="158"/>
    <cellStyle name="Header1 3 3 4 2 3 3 4" xfId="158"/>
    <cellStyle name="Header1 3 3 4 2 3 4" xfId="158"/>
    <cellStyle name="Header1 3 3 4 2 3 5" xfId="158"/>
    <cellStyle name="Header1 3 3 4 2 3 6" xfId="158"/>
    <cellStyle name="Header1 3 3 4 2 3 7" xfId="158"/>
    <cellStyle name="Header1 3 3 4 2 4" xfId="158"/>
    <cellStyle name="Header1 3 3 4 2 4 2" xfId="158"/>
    <cellStyle name="Header1 3 3 4 2 4 2 2" xfId="158"/>
    <cellStyle name="Header1 3 3 4 2 4 2 3" xfId="158"/>
    <cellStyle name="Header1 3 3 4 2 4 2 4" xfId="158"/>
    <cellStyle name="Header1 3 3 4 2 4 3" xfId="158"/>
    <cellStyle name="Header1 3 3 4 2 4 4" xfId="158"/>
    <cellStyle name="Header1 3 3 4 2 4 5" xfId="158"/>
    <cellStyle name="Header1 3 3 4 2 4 6" xfId="158"/>
    <cellStyle name="Header1 3 3 4 2 4 7" xfId="158"/>
    <cellStyle name="Header1 3 3 4 2 5" xfId="158"/>
    <cellStyle name="Header1 3 3 4 2 5 2" xfId="158"/>
    <cellStyle name="Header1 3 3 4 2 5 3" xfId="158"/>
    <cellStyle name="Header1 3 3 4 2 5 4" xfId="158"/>
    <cellStyle name="Header1 3 3 4 2 6" xfId="158"/>
    <cellStyle name="Header1 3 3 4 2 7" xfId="158"/>
    <cellStyle name="Header1 3 3 4 2 8" xfId="158"/>
    <cellStyle name="Header1 3 3 4 2 9" xfId="158"/>
    <cellStyle name="Header1 3 3 4 3" xfId="158"/>
    <cellStyle name="Header1 3 3 4 3 2" xfId="158"/>
    <cellStyle name="Header1 3 3 4 3 2 2" xfId="158"/>
    <cellStyle name="Header1 3 3 4 3 2 3" xfId="158"/>
    <cellStyle name="Header1 3 3 4 3 2 4" xfId="158"/>
    <cellStyle name="Header1 3 3 4 3 3" xfId="158"/>
    <cellStyle name="Header1 3 3 4 3 4" xfId="158"/>
    <cellStyle name="Header1 3 3 4 3 5" xfId="158"/>
    <cellStyle name="Header1 3 3 4 3 6" xfId="158"/>
    <cellStyle name="Header1 3 3 4 3 7" xfId="158"/>
    <cellStyle name="Header1 3 3 4 4" xfId="158"/>
    <cellStyle name="Header1 3 3 4 4 2" xfId="158"/>
    <cellStyle name="Header1 3 3 4 4 2 2" xfId="158"/>
    <cellStyle name="Header1 3 3 4 4 2 3" xfId="158"/>
    <cellStyle name="Header1 3 3 4 4 2 4" xfId="158"/>
    <cellStyle name="Header1 3 3 4 4 2 5" xfId="158"/>
    <cellStyle name="Header1 3 3 4 4 3" xfId="158"/>
    <cellStyle name="Header1 3 3 4 4 3 2" xfId="158"/>
    <cellStyle name="Header1 3 3 4 4 3 3" xfId="158"/>
    <cellStyle name="Header1 3 3 4 4 3 4" xfId="158"/>
    <cellStyle name="Header1 3 3 4 4 4" xfId="158"/>
    <cellStyle name="Header1 3 3 4 4 5" xfId="158"/>
    <cellStyle name="Header1 3 3 4 4 6" xfId="158"/>
    <cellStyle name="Header1 3 3 4 4 7" xfId="158"/>
    <cellStyle name="Header1 3 3 4 4 8" xfId="158"/>
    <cellStyle name="Header1 3 3 4 5" xfId="158"/>
    <cellStyle name="Header1 3 3 4 5 2" xfId="158"/>
    <cellStyle name="Header1 3 3 4 5 2 2" xfId="158"/>
    <cellStyle name="Header1 3 3 4 5 2 3" xfId="158"/>
    <cellStyle name="Header1 3 3 4 5 2 4" xfId="158"/>
    <cellStyle name="Header1 3 3 4 5 2 5" xfId="158"/>
    <cellStyle name="Header1 3 3 4 5 3" xfId="158"/>
    <cellStyle name="Header1 3 3 4 5 3 2" xfId="158"/>
    <cellStyle name="Header1 3 3 4 5 3 3" xfId="158"/>
    <cellStyle name="Header1 3 3 4 5 3 4" xfId="158"/>
    <cellStyle name="Header1 3 3 4 5 4" xfId="158"/>
    <cellStyle name="Header1 3 3 4 5 5" xfId="158"/>
    <cellStyle name="Header1 3 3 4 5 6" xfId="158"/>
    <cellStyle name="Header1 3 3 4 5 7" xfId="158"/>
    <cellStyle name="Header1 3 3 4 6" xfId="158"/>
    <cellStyle name="Header1 3 3 4 6 2" xfId="158"/>
    <cellStyle name="Header1 3 3 4 6 2 2" xfId="158"/>
    <cellStyle name="Header1 3 3 4 6 2 3" xfId="158"/>
    <cellStyle name="Header1 3 3 4 6 2 4" xfId="158"/>
    <cellStyle name="Header1 3 3 4 6 3" xfId="158"/>
    <cellStyle name="Header1 3 3 4 6 4" xfId="158"/>
    <cellStyle name="Header1 3 3 4 6 5" xfId="158"/>
    <cellStyle name="Header1 3 3 4 6 6" xfId="158"/>
    <cellStyle name="Header1 3 3 4 6 7" xfId="158"/>
    <cellStyle name="Header1 3 3 4 7" xfId="158"/>
    <cellStyle name="Header1 3 3 4 7 2" xfId="158"/>
    <cellStyle name="Header1 3 3 4 7 3" xfId="158"/>
    <cellStyle name="Header1 3 3 4 7 4" xfId="158"/>
    <cellStyle name="Header1 3 3 4 8" xfId="158"/>
    <cellStyle name="Header1 3 3 4 9" xfId="158"/>
    <cellStyle name="Header1 3 3 5" xfId="158"/>
    <cellStyle name="Header1 3 3 5 2" xfId="158"/>
    <cellStyle name="Header1 3 3 5 2 2" xfId="158"/>
    <cellStyle name="Header1 3 3 5 2 2 2" xfId="158"/>
    <cellStyle name="Header1 3 3 5 2 2 3" xfId="158"/>
    <cellStyle name="Header1 3 3 5 2 2 4" xfId="158"/>
    <cellStyle name="Header1 3 3 5 2 2 5" xfId="158"/>
    <cellStyle name="Header1 3 3 5 2 3" xfId="158"/>
    <cellStyle name="Header1 3 3 5 2 3 2" xfId="158"/>
    <cellStyle name="Header1 3 3 5 2 3 3" xfId="158"/>
    <cellStyle name="Header1 3 3 5 2 3 4" xfId="158"/>
    <cellStyle name="Header1 3 3 5 2 4" xfId="158"/>
    <cellStyle name="Header1 3 3 5 2 5" xfId="158"/>
    <cellStyle name="Header1 3 3 5 2 6" xfId="158"/>
    <cellStyle name="Header1 3 3 5 2 7" xfId="158"/>
    <cellStyle name="Header1 3 3 5 2 8" xfId="158"/>
    <cellStyle name="Header1 3 3 5 3" xfId="158"/>
    <cellStyle name="Header1 3 3 5 3 2" xfId="158"/>
    <cellStyle name="Header1 3 3 5 3 2 2" xfId="158"/>
    <cellStyle name="Header1 3 3 5 3 2 3" xfId="158"/>
    <cellStyle name="Header1 3 3 5 3 2 4" xfId="158"/>
    <cellStyle name="Header1 3 3 5 3 2 5" xfId="158"/>
    <cellStyle name="Header1 3 3 5 3 3" xfId="158"/>
    <cellStyle name="Header1 3 3 5 3 3 2" xfId="158"/>
    <cellStyle name="Header1 3 3 5 3 3 3" xfId="158"/>
    <cellStyle name="Header1 3 3 5 3 3 4" xfId="158"/>
    <cellStyle name="Header1 3 3 5 3 4" xfId="158"/>
    <cellStyle name="Header1 3 3 5 3 5" xfId="158"/>
    <cellStyle name="Header1 3 3 5 3 6" xfId="158"/>
    <cellStyle name="Header1 3 3 5 3 7" xfId="158"/>
    <cellStyle name="Header1 3 3 5 4" xfId="158"/>
    <cellStyle name="Header1 3 3 5 4 2" xfId="158"/>
    <cellStyle name="Header1 3 3 5 4 2 2" xfId="158"/>
    <cellStyle name="Header1 3 3 5 4 2 3" xfId="158"/>
    <cellStyle name="Header1 3 3 5 4 2 4" xfId="158"/>
    <cellStyle name="Header1 3 3 5 4 3" xfId="158"/>
    <cellStyle name="Header1 3 3 5 4 4" xfId="158"/>
    <cellStyle name="Header1 3 3 5 4 5" xfId="158"/>
    <cellStyle name="Header1 3 3 5 4 6" xfId="158"/>
    <cellStyle name="Header1 3 3 5 4 7" xfId="158"/>
    <cellStyle name="Header1 3 3 5 5" xfId="158"/>
    <cellStyle name="Header1 3 3 5 5 2" xfId="158"/>
    <cellStyle name="Header1 3 3 5 5 3" xfId="158"/>
    <cellStyle name="Header1 3 3 5 5 4" xfId="158"/>
    <cellStyle name="Header1 3 3 5 6" xfId="158"/>
    <cellStyle name="Header1 3 3 5 7" xfId="158"/>
    <cellStyle name="Header1 3 3 5 8" xfId="158"/>
    <cellStyle name="Header1 3 3 5 9" xfId="158"/>
    <cellStyle name="Header1 3 3 6" xfId="158"/>
    <cellStyle name="Header1 3 3 6 2" xfId="158"/>
    <cellStyle name="Header1 3 3 6 2 2" xfId="158"/>
    <cellStyle name="Header1 3 3 6 2 3" xfId="158"/>
    <cellStyle name="Header1 3 3 6 2 4" xfId="158"/>
    <cellStyle name="Header1 3 3 6 3" xfId="158"/>
    <cellStyle name="Header1 3 3 6 4" xfId="158"/>
    <cellStyle name="Header1 3 3 6 5" xfId="158"/>
    <cellStyle name="Header1 3 3 6 6" xfId="158"/>
    <cellStyle name="Header1 3 3 6 7" xfId="158"/>
    <cellStyle name="Header1 3 3 7" xfId="158"/>
    <cellStyle name="Header1 3 3 7 2" xfId="158"/>
    <cellStyle name="Header1 3 3 7 2 2" xfId="158"/>
    <cellStyle name="Header1 3 3 7 2 3" xfId="158"/>
    <cellStyle name="Header1 3 3 7 2 4" xfId="158"/>
    <cellStyle name="Header1 3 3 7 3" xfId="158"/>
    <cellStyle name="Header1 3 3 7 4" xfId="158"/>
    <cellStyle name="Header1 3 3 7 5" xfId="158"/>
    <cellStyle name="Header1 3 3 7 6" xfId="158"/>
    <cellStyle name="Header1 3 3 7 7" xfId="158"/>
    <cellStyle name="Header1 3 3 8" xfId="158"/>
    <cellStyle name="Header1 3 3 8 2" xfId="158"/>
    <cellStyle name="Header1 3 3 8 2 2" xfId="158"/>
    <cellStyle name="Header1 3 3 8 2 3" xfId="158"/>
    <cellStyle name="Header1 3 3 8 2 4" xfId="158"/>
    <cellStyle name="Header1 3 3 8 2 5" xfId="158"/>
    <cellStyle name="Header1 3 3 8 3" xfId="158"/>
    <cellStyle name="Header1 3 3 8 3 2" xfId="158"/>
    <cellStyle name="Header1 3 3 8 3 3" xfId="158"/>
    <cellStyle name="Header1 3 3 8 3 4" xfId="158"/>
    <cellStyle name="Header1 3 3 8 4" xfId="158"/>
    <cellStyle name="Header1 3 3 8 5" xfId="158"/>
    <cellStyle name="Header1 3 3 8 6" xfId="158"/>
    <cellStyle name="Header1 3 3 8 7" xfId="158"/>
    <cellStyle name="Header1 3 3 8 8" xfId="158"/>
    <cellStyle name="Header1 3 3 9" xfId="158"/>
    <cellStyle name="Header1 3 3 9 2" xfId="158"/>
    <cellStyle name="Header1 3 3 9 2 2" xfId="158"/>
    <cellStyle name="Header1 3 3 9 2 3" xfId="158"/>
    <cellStyle name="Header1 3 3 9 2 4" xfId="158"/>
    <cellStyle name="Header1 3 3 9 2 5" xfId="158"/>
    <cellStyle name="Header1 3 3 9 3" xfId="158"/>
    <cellStyle name="Header1 3 3 9 3 2" xfId="158"/>
    <cellStyle name="Header1 3 3 9 3 3" xfId="158"/>
    <cellStyle name="Header1 3 3 9 3 4" xfId="158"/>
    <cellStyle name="Header1 3 3 9 4" xfId="158"/>
    <cellStyle name="Header1 3 3 9 5" xfId="158"/>
    <cellStyle name="Header1 3 3 9 6" xfId="158"/>
    <cellStyle name="Header1 3 3 9 7" xfId="158"/>
    <cellStyle name="Header1 3 4" xfId="158"/>
    <cellStyle name="Header1 3 4 10" xfId="158"/>
    <cellStyle name="Header1 3 4 11" xfId="158"/>
    <cellStyle name="Header1 3 4 2" xfId="158"/>
    <cellStyle name="Header1 3 4 2 2" xfId="158"/>
    <cellStyle name="Header1 3 4 2 2 2" xfId="158"/>
    <cellStyle name="Header1 3 4 2 2 2 2" xfId="158"/>
    <cellStyle name="Header1 3 4 2 2 2 3" xfId="158"/>
    <cellStyle name="Header1 3 4 2 2 2 4" xfId="158"/>
    <cellStyle name="Header1 3 4 2 2 2 5" xfId="158"/>
    <cellStyle name="Header1 3 4 2 2 3" xfId="158"/>
    <cellStyle name="Header1 3 4 2 2 3 2" xfId="158"/>
    <cellStyle name="Header1 3 4 2 2 3 3" xfId="158"/>
    <cellStyle name="Header1 3 4 2 2 3 4" xfId="158"/>
    <cellStyle name="Header1 3 4 2 2 4" xfId="158"/>
    <cellStyle name="Header1 3 4 2 2 5" xfId="158"/>
    <cellStyle name="Header1 3 4 2 2 6" xfId="158"/>
    <cellStyle name="Header1 3 4 2 2 7" xfId="158"/>
    <cellStyle name="Header1 3 4 2 2 8" xfId="158"/>
    <cellStyle name="Header1 3 4 2 3" xfId="158"/>
    <cellStyle name="Header1 3 4 2 3 2" xfId="158"/>
    <cellStyle name="Header1 3 4 2 3 2 2" xfId="158"/>
    <cellStyle name="Header1 3 4 2 3 2 3" xfId="158"/>
    <cellStyle name="Header1 3 4 2 3 2 4" xfId="158"/>
    <cellStyle name="Header1 3 4 2 3 2 5" xfId="158"/>
    <cellStyle name="Header1 3 4 2 3 3" xfId="158"/>
    <cellStyle name="Header1 3 4 2 3 3 2" xfId="158"/>
    <cellStyle name="Header1 3 4 2 3 3 3" xfId="158"/>
    <cellStyle name="Header1 3 4 2 3 3 4" xfId="158"/>
    <cellStyle name="Header1 3 4 2 3 4" xfId="158"/>
    <cellStyle name="Header1 3 4 2 3 5" xfId="158"/>
    <cellStyle name="Header1 3 4 2 3 6" xfId="158"/>
    <cellStyle name="Header1 3 4 2 3 7" xfId="158"/>
    <cellStyle name="Header1 3 4 2 4" xfId="158"/>
    <cellStyle name="Header1 3 4 2 4 2" xfId="158"/>
    <cellStyle name="Header1 3 4 2 4 2 2" xfId="158"/>
    <cellStyle name="Header1 3 4 2 4 2 3" xfId="158"/>
    <cellStyle name="Header1 3 4 2 4 2 4" xfId="158"/>
    <cellStyle name="Header1 3 4 2 4 3" xfId="158"/>
    <cellStyle name="Header1 3 4 2 4 4" xfId="158"/>
    <cellStyle name="Header1 3 4 2 4 5" xfId="158"/>
    <cellStyle name="Header1 3 4 2 4 6" xfId="158"/>
    <cellStyle name="Header1 3 4 2 4 7" xfId="158"/>
    <cellStyle name="Header1 3 4 2 5" xfId="158"/>
    <cellStyle name="Header1 3 4 2 5 2" xfId="158"/>
    <cellStyle name="Header1 3 4 2 5 3" xfId="158"/>
    <cellStyle name="Header1 3 4 2 5 4" xfId="158"/>
    <cellStyle name="Header1 3 4 2 6" xfId="158"/>
    <cellStyle name="Header1 3 4 2 7" xfId="158"/>
    <cellStyle name="Header1 3 4 2 8" xfId="158"/>
    <cellStyle name="Header1 3 4 2 9" xfId="158"/>
    <cellStyle name="Header1 3 4 3" xfId="158"/>
    <cellStyle name="Header1 3 4 3 2" xfId="158"/>
    <cellStyle name="Header1 3 4 3 2 2" xfId="158"/>
    <cellStyle name="Header1 3 4 3 2 3" xfId="158"/>
    <cellStyle name="Header1 3 4 3 2 4" xfId="158"/>
    <cellStyle name="Header1 3 4 3 3" xfId="158"/>
    <cellStyle name="Header1 3 4 3 4" xfId="158"/>
    <cellStyle name="Header1 3 4 3 5" xfId="158"/>
    <cellStyle name="Header1 3 4 3 6" xfId="158"/>
    <cellStyle name="Header1 3 4 3 7" xfId="158"/>
    <cellStyle name="Header1 3 4 4" xfId="158"/>
    <cellStyle name="Header1 3 4 4 2" xfId="158"/>
    <cellStyle name="Header1 3 4 4 2 2" xfId="158"/>
    <cellStyle name="Header1 3 4 4 2 3" xfId="158"/>
    <cellStyle name="Header1 3 4 4 2 4" xfId="158"/>
    <cellStyle name="Header1 3 4 4 2 5" xfId="158"/>
    <cellStyle name="Header1 3 4 4 3" xfId="158"/>
    <cellStyle name="Header1 3 4 4 3 2" xfId="158"/>
    <cellStyle name="Header1 3 4 4 3 3" xfId="158"/>
    <cellStyle name="Header1 3 4 4 3 4" xfId="158"/>
    <cellStyle name="Header1 3 4 4 4" xfId="158"/>
    <cellStyle name="Header1 3 4 4 5" xfId="158"/>
    <cellStyle name="Header1 3 4 4 6" xfId="158"/>
    <cellStyle name="Header1 3 4 4 7" xfId="158"/>
    <cellStyle name="Header1 3 4 4 8" xfId="158"/>
    <cellStyle name="Header1 3 4 5" xfId="158"/>
    <cellStyle name="Header1 3 4 5 2" xfId="158"/>
    <cellStyle name="Header1 3 4 5 2 2" xfId="158"/>
    <cellStyle name="Header1 3 4 5 2 3" xfId="158"/>
    <cellStyle name="Header1 3 4 5 2 4" xfId="158"/>
    <cellStyle name="Header1 3 4 5 2 5" xfId="158"/>
    <cellStyle name="Header1 3 4 5 3" xfId="158"/>
    <cellStyle name="Header1 3 4 5 3 2" xfId="158"/>
    <cellStyle name="Header1 3 4 5 3 3" xfId="158"/>
    <cellStyle name="Header1 3 4 5 3 4" xfId="158"/>
    <cellStyle name="Header1 3 4 5 4" xfId="158"/>
    <cellStyle name="Header1 3 4 5 5" xfId="158"/>
    <cellStyle name="Header1 3 4 5 6" xfId="158"/>
    <cellStyle name="Header1 3 4 5 7" xfId="158"/>
    <cellStyle name="Header1 3 4 6" xfId="158"/>
    <cellStyle name="Header1 3 4 6 2" xfId="158"/>
    <cellStyle name="Header1 3 4 6 2 2" xfId="158"/>
    <cellStyle name="Header1 3 4 6 2 3" xfId="158"/>
    <cellStyle name="Header1 3 4 6 2 4" xfId="158"/>
    <cellStyle name="Header1 3 4 6 3" xfId="158"/>
    <cellStyle name="Header1 3 4 6 4" xfId="158"/>
    <cellStyle name="Header1 3 4 6 5" xfId="158"/>
    <cellStyle name="Header1 3 4 6 6" xfId="158"/>
    <cellStyle name="Header1 3 4 6 7" xfId="158"/>
    <cellStyle name="Header1 3 4 7" xfId="158"/>
    <cellStyle name="Header1 3 4 7 2" xfId="158"/>
    <cellStyle name="Header1 3 4 7 3" xfId="158"/>
    <cellStyle name="Header1 3 4 7 4" xfId="158"/>
    <cellStyle name="Header1 3 4 8" xfId="158"/>
    <cellStyle name="Header1 3 4 9" xfId="158"/>
    <cellStyle name="Header1 3 5" xfId="158"/>
    <cellStyle name="Header1 3 5 10" xfId="158"/>
    <cellStyle name="Header1 3 5 11" xfId="158"/>
    <cellStyle name="Header1 3 5 2" xfId="158"/>
    <cellStyle name="Header1 3 5 2 2" xfId="158"/>
    <cellStyle name="Header1 3 5 2 2 2" xfId="158"/>
    <cellStyle name="Header1 3 5 2 2 2 2" xfId="158"/>
    <cellStyle name="Header1 3 5 2 2 2 3" xfId="158"/>
    <cellStyle name="Header1 3 5 2 2 2 4" xfId="158"/>
    <cellStyle name="Header1 3 5 2 2 2 5" xfId="158"/>
    <cellStyle name="Header1 3 5 2 2 3" xfId="158"/>
    <cellStyle name="Header1 3 5 2 2 3 2" xfId="158"/>
    <cellStyle name="Header1 3 5 2 2 3 3" xfId="158"/>
    <cellStyle name="Header1 3 5 2 2 3 4" xfId="158"/>
    <cellStyle name="Header1 3 5 2 2 4" xfId="158"/>
    <cellStyle name="Header1 3 5 2 2 5" xfId="158"/>
    <cellStyle name="Header1 3 5 2 2 6" xfId="158"/>
    <cellStyle name="Header1 3 5 2 2 7" xfId="158"/>
    <cellStyle name="Header1 3 5 2 2 8" xfId="158"/>
    <cellStyle name="Header1 3 5 2 3" xfId="158"/>
    <cellStyle name="Header1 3 5 2 3 2" xfId="158"/>
    <cellStyle name="Header1 3 5 2 3 2 2" xfId="158"/>
    <cellStyle name="Header1 3 5 2 3 2 3" xfId="158"/>
    <cellStyle name="Header1 3 5 2 3 2 4" xfId="158"/>
    <cellStyle name="Header1 3 5 2 3 2 5" xfId="158"/>
    <cellStyle name="Header1 3 5 2 3 3" xfId="158"/>
    <cellStyle name="Header1 3 5 2 3 3 2" xfId="158"/>
    <cellStyle name="Header1 3 5 2 3 3 3" xfId="158"/>
    <cellStyle name="Header1 3 5 2 3 3 4" xfId="158"/>
    <cellStyle name="Header1 3 5 2 3 4" xfId="158"/>
    <cellStyle name="Header1 3 5 2 3 5" xfId="158"/>
    <cellStyle name="Header1 3 5 2 3 6" xfId="158"/>
    <cellStyle name="Header1 3 5 2 3 7" xfId="158"/>
    <cellStyle name="Header1 3 5 2 4" xfId="158"/>
    <cellStyle name="Header1 3 5 2 4 2" xfId="158"/>
    <cellStyle name="Header1 3 5 2 4 2 2" xfId="158"/>
    <cellStyle name="Header1 3 5 2 4 2 3" xfId="158"/>
    <cellStyle name="Header1 3 5 2 4 2 4" xfId="158"/>
    <cellStyle name="Header1 3 5 2 4 3" xfId="158"/>
    <cellStyle name="Header1 3 5 2 4 4" xfId="158"/>
    <cellStyle name="Header1 3 5 2 4 5" xfId="158"/>
    <cellStyle name="Header1 3 5 2 4 6" xfId="158"/>
    <cellStyle name="Header1 3 5 2 4 7" xfId="158"/>
    <cellStyle name="Header1 3 5 2 5" xfId="158"/>
    <cellStyle name="Header1 3 5 2 5 2" xfId="158"/>
    <cellStyle name="Header1 3 5 2 5 3" xfId="158"/>
    <cellStyle name="Header1 3 5 2 5 4" xfId="158"/>
    <cellStyle name="Header1 3 5 2 6" xfId="158"/>
    <cellStyle name="Header1 3 5 2 7" xfId="158"/>
    <cellStyle name="Header1 3 5 2 8" xfId="158"/>
    <cellStyle name="Header1 3 5 2 9" xfId="158"/>
    <cellStyle name="Header1 3 5 3" xfId="158"/>
    <cellStyle name="Header1 3 5 3 2" xfId="158"/>
    <cellStyle name="Header1 3 5 3 2 2" xfId="158"/>
    <cellStyle name="Header1 3 5 3 2 3" xfId="158"/>
    <cellStyle name="Header1 3 5 3 2 4" xfId="158"/>
    <cellStyle name="Header1 3 5 3 3" xfId="158"/>
    <cellStyle name="Header1 3 5 3 4" xfId="158"/>
    <cellStyle name="Header1 3 5 3 5" xfId="158"/>
    <cellStyle name="Header1 3 5 3 6" xfId="158"/>
    <cellStyle name="Header1 3 5 3 7" xfId="158"/>
    <cellStyle name="Header1 3 5 4" xfId="158"/>
    <cellStyle name="Header1 3 5 4 2" xfId="158"/>
    <cellStyle name="Header1 3 5 4 2 2" xfId="158"/>
    <cellStyle name="Header1 3 5 4 2 3" xfId="158"/>
    <cellStyle name="Header1 3 5 4 2 4" xfId="158"/>
    <cellStyle name="Header1 3 5 4 2 5" xfId="158"/>
    <cellStyle name="Header1 3 5 4 3" xfId="158"/>
    <cellStyle name="Header1 3 5 4 3 2" xfId="158"/>
    <cellStyle name="Header1 3 5 4 3 3" xfId="158"/>
    <cellStyle name="Header1 3 5 4 3 4" xfId="158"/>
    <cellStyle name="Header1 3 5 4 4" xfId="158"/>
    <cellStyle name="Header1 3 5 4 5" xfId="158"/>
    <cellStyle name="Header1 3 5 4 6" xfId="158"/>
    <cellStyle name="Header1 3 5 4 7" xfId="158"/>
    <cellStyle name="Header1 3 5 4 8" xfId="158"/>
    <cellStyle name="Header1 3 5 5" xfId="158"/>
    <cellStyle name="Header1 3 5 5 2" xfId="158"/>
    <cellStyle name="Header1 3 5 5 2 2" xfId="158"/>
    <cellStyle name="Header1 3 5 5 2 3" xfId="158"/>
    <cellStyle name="Header1 3 5 5 2 4" xfId="158"/>
    <cellStyle name="Header1 3 5 5 2 5" xfId="158"/>
    <cellStyle name="Header1 3 5 5 3" xfId="158"/>
    <cellStyle name="Header1 3 5 5 3 2" xfId="158"/>
    <cellStyle name="Header1 3 5 5 3 3" xfId="158"/>
    <cellStyle name="Header1 3 5 5 3 4" xfId="158"/>
    <cellStyle name="Header1 3 5 5 4" xfId="158"/>
    <cellStyle name="Header1 3 5 5 5" xfId="158"/>
    <cellStyle name="Header1 3 5 5 6" xfId="158"/>
    <cellStyle name="Header1 3 5 5 7" xfId="158"/>
    <cellStyle name="Header1 3 5 6" xfId="158"/>
    <cellStyle name="Header1 3 5 6 2" xfId="158"/>
    <cellStyle name="Header1 3 5 6 2 2" xfId="158"/>
    <cellStyle name="Header1 3 5 6 2 3" xfId="158"/>
    <cellStyle name="Header1 3 5 6 2 4" xfId="158"/>
    <cellStyle name="Header1 3 5 6 3" xfId="158"/>
    <cellStyle name="Header1 3 5 6 4" xfId="158"/>
    <cellStyle name="Header1 3 5 6 5" xfId="158"/>
    <cellStyle name="Header1 3 5 6 6" xfId="158"/>
    <cellStyle name="Header1 3 5 6 7" xfId="158"/>
    <cellStyle name="Header1 3 5 7" xfId="158"/>
    <cellStyle name="Header1 3 5 7 2" xfId="158"/>
    <cellStyle name="Header1 3 5 7 3" xfId="158"/>
    <cellStyle name="Header1 3 5 7 4" xfId="158"/>
    <cellStyle name="Header1 3 5 8" xfId="158"/>
    <cellStyle name="Header1 3 5 9" xfId="158"/>
    <cellStyle name="Header1 3 6" xfId="158"/>
    <cellStyle name="Header1 3 6 10" xfId="158"/>
    <cellStyle name="Header1 3 6 11" xfId="158"/>
    <cellStyle name="Header1 3 6 2" xfId="158"/>
    <cellStyle name="Header1 3 6 2 2" xfId="158"/>
    <cellStyle name="Header1 3 6 2 2 2" xfId="158"/>
    <cellStyle name="Header1 3 6 2 2 2 2" xfId="158"/>
    <cellStyle name="Header1 3 6 2 2 2 3" xfId="158"/>
    <cellStyle name="Header1 3 6 2 2 2 4" xfId="158"/>
    <cellStyle name="Header1 3 6 2 2 2 5" xfId="158"/>
    <cellStyle name="Header1 3 6 2 2 3" xfId="158"/>
    <cellStyle name="Header1 3 6 2 2 3 2" xfId="158"/>
    <cellStyle name="Header1 3 6 2 2 3 3" xfId="158"/>
    <cellStyle name="Header1 3 6 2 2 3 4" xfId="158"/>
    <cellStyle name="Header1 3 6 2 2 4" xfId="158"/>
    <cellStyle name="Header1 3 6 2 2 5" xfId="158"/>
    <cellStyle name="Header1 3 6 2 2 6" xfId="158"/>
    <cellStyle name="Header1 3 6 2 2 7" xfId="158"/>
    <cellStyle name="Header1 3 6 2 2 8" xfId="158"/>
    <cellStyle name="Header1 3 6 2 3" xfId="158"/>
    <cellStyle name="Header1 3 6 2 3 2" xfId="158"/>
    <cellStyle name="Header1 3 6 2 3 2 2" xfId="158"/>
    <cellStyle name="Header1 3 6 2 3 2 3" xfId="158"/>
    <cellStyle name="Header1 3 6 2 3 2 4" xfId="158"/>
    <cellStyle name="Header1 3 6 2 3 2 5" xfId="158"/>
    <cellStyle name="Header1 3 6 2 3 3" xfId="158"/>
    <cellStyle name="Header1 3 6 2 3 3 2" xfId="158"/>
    <cellStyle name="Header1 3 6 2 3 3 3" xfId="158"/>
    <cellStyle name="Header1 3 6 2 3 3 4" xfId="158"/>
    <cellStyle name="Header1 3 6 2 3 4" xfId="158"/>
    <cellStyle name="Header1 3 6 2 3 5" xfId="158"/>
    <cellStyle name="Header1 3 6 2 3 6" xfId="158"/>
    <cellStyle name="Header1 3 6 2 3 7" xfId="158"/>
    <cellStyle name="Header1 3 6 2 4" xfId="158"/>
    <cellStyle name="Header1 3 6 2 4 2" xfId="158"/>
    <cellStyle name="Header1 3 6 2 4 2 2" xfId="158"/>
    <cellStyle name="Header1 3 6 2 4 2 3" xfId="158"/>
    <cellStyle name="Header1 3 6 2 4 2 4" xfId="158"/>
    <cellStyle name="Header1 3 6 2 4 3" xfId="158"/>
    <cellStyle name="Header1 3 6 2 4 4" xfId="158"/>
    <cellStyle name="Header1 3 6 2 4 5" xfId="158"/>
    <cellStyle name="Header1 3 6 2 4 6" xfId="158"/>
    <cellStyle name="Header1 3 6 2 4 7" xfId="158"/>
    <cellStyle name="Header1 3 6 2 5" xfId="158"/>
    <cellStyle name="Header1 3 6 2 5 2" xfId="158"/>
    <cellStyle name="Header1 3 6 2 5 3" xfId="158"/>
    <cellStyle name="Header1 3 6 2 5 4" xfId="158"/>
    <cellStyle name="Header1 3 6 2 6" xfId="158"/>
    <cellStyle name="Header1 3 6 2 7" xfId="158"/>
    <cellStyle name="Header1 3 6 2 8" xfId="158"/>
    <cellStyle name="Header1 3 6 2 9" xfId="158"/>
    <cellStyle name="Header1 3 6 3" xfId="158"/>
    <cellStyle name="Header1 3 6 3 2" xfId="158"/>
    <cellStyle name="Header1 3 6 3 2 2" xfId="158"/>
    <cellStyle name="Header1 3 6 3 2 3" xfId="158"/>
    <cellStyle name="Header1 3 6 3 2 4" xfId="158"/>
    <cellStyle name="Header1 3 6 3 3" xfId="158"/>
    <cellStyle name="Header1 3 6 3 4" xfId="158"/>
    <cellStyle name="Header1 3 6 3 5" xfId="158"/>
    <cellStyle name="Header1 3 6 3 6" xfId="158"/>
    <cellStyle name="Header1 3 6 3 7" xfId="158"/>
    <cellStyle name="Header1 3 6 4" xfId="158"/>
    <cellStyle name="Header1 3 6 4 2" xfId="158"/>
    <cellStyle name="Header1 3 6 4 2 2" xfId="158"/>
    <cellStyle name="Header1 3 6 4 2 3" xfId="158"/>
    <cellStyle name="Header1 3 6 4 2 4" xfId="158"/>
    <cellStyle name="Header1 3 6 4 2 5" xfId="158"/>
    <cellStyle name="Header1 3 6 4 3" xfId="158"/>
    <cellStyle name="Header1 3 6 4 3 2" xfId="158"/>
    <cellStyle name="Header1 3 6 4 3 3" xfId="158"/>
    <cellStyle name="Header1 3 6 4 3 4" xfId="158"/>
    <cellStyle name="Header1 3 6 4 4" xfId="158"/>
    <cellStyle name="Header1 3 6 4 5" xfId="158"/>
    <cellStyle name="Header1 3 6 4 6" xfId="158"/>
    <cellStyle name="Header1 3 6 4 7" xfId="158"/>
    <cellStyle name="Header1 3 6 4 8" xfId="158"/>
    <cellStyle name="Header1 3 6 5" xfId="158"/>
    <cellStyle name="Header1 3 6 5 2" xfId="158"/>
    <cellStyle name="Header1 3 6 5 2 2" xfId="158"/>
    <cellStyle name="Header1 3 6 5 2 3" xfId="158"/>
    <cellStyle name="Header1 3 6 5 2 4" xfId="158"/>
    <cellStyle name="Header1 3 6 5 2 5" xfId="158"/>
    <cellStyle name="Header1 3 6 5 3" xfId="158"/>
    <cellStyle name="Header1 3 6 5 3 2" xfId="158"/>
    <cellStyle name="Header1 3 6 5 3 3" xfId="158"/>
    <cellStyle name="Header1 3 6 5 3 4" xfId="158"/>
    <cellStyle name="Header1 3 6 5 4" xfId="158"/>
    <cellStyle name="Header1 3 6 5 5" xfId="158"/>
    <cellStyle name="Header1 3 6 5 6" xfId="158"/>
    <cellStyle name="Header1 3 6 5 7" xfId="158"/>
    <cellStyle name="Header1 3 6 6" xfId="158"/>
    <cellStyle name="Header1 3 6 6 2" xfId="158"/>
    <cellStyle name="Header1 3 6 6 2 2" xfId="158"/>
    <cellStyle name="Header1 3 6 6 2 3" xfId="158"/>
    <cellStyle name="Header1 3 6 6 2 4" xfId="158"/>
    <cellStyle name="Header1 3 6 6 3" xfId="158"/>
    <cellStyle name="Header1 3 6 6 4" xfId="158"/>
    <cellStyle name="Header1 3 6 6 5" xfId="158"/>
    <cellStyle name="Header1 3 6 6 6" xfId="158"/>
    <cellStyle name="Header1 3 6 6 7" xfId="158"/>
    <cellStyle name="Header1 3 6 7" xfId="158"/>
    <cellStyle name="Header1 3 6 7 2" xfId="158"/>
    <cellStyle name="Header1 3 6 7 3" xfId="158"/>
    <cellStyle name="Header1 3 6 7 4" xfId="158"/>
    <cellStyle name="Header1 3 6 8" xfId="158"/>
    <cellStyle name="Header1 3 6 9" xfId="158"/>
    <cellStyle name="Header1 3 7" xfId="158"/>
    <cellStyle name="Header1 3 7 2" xfId="158"/>
    <cellStyle name="Header1 3 7 2 2" xfId="158"/>
    <cellStyle name="Header1 3 7 2 2 2" xfId="158"/>
    <cellStyle name="Header1 3 7 2 2 3" xfId="158"/>
    <cellStyle name="Header1 3 7 2 2 4" xfId="158"/>
    <cellStyle name="Header1 3 7 2 2 5" xfId="158"/>
    <cellStyle name="Header1 3 7 2 3" xfId="158"/>
    <cellStyle name="Header1 3 7 2 3 2" xfId="158"/>
    <cellStyle name="Header1 3 7 2 3 3" xfId="158"/>
    <cellStyle name="Header1 3 7 2 3 4" xfId="158"/>
    <cellStyle name="Header1 3 7 2 4" xfId="158"/>
    <cellStyle name="Header1 3 7 2 5" xfId="158"/>
    <cellStyle name="Header1 3 7 2 6" xfId="158"/>
    <cellStyle name="Header1 3 7 2 7" xfId="158"/>
    <cellStyle name="Header1 3 7 2 8" xfId="158"/>
    <cellStyle name="Header1 3 7 3" xfId="158"/>
    <cellStyle name="Header1 3 7 3 2" xfId="158"/>
    <cellStyle name="Header1 3 7 3 2 2" xfId="158"/>
    <cellStyle name="Header1 3 7 3 2 3" xfId="158"/>
    <cellStyle name="Header1 3 7 3 2 4" xfId="158"/>
    <cellStyle name="Header1 3 7 3 2 5" xfId="158"/>
    <cellStyle name="Header1 3 7 3 3" xfId="158"/>
    <cellStyle name="Header1 3 7 3 3 2" xfId="158"/>
    <cellStyle name="Header1 3 7 3 3 3" xfId="158"/>
    <cellStyle name="Header1 3 7 3 3 4" xfId="158"/>
    <cellStyle name="Header1 3 7 3 4" xfId="158"/>
    <cellStyle name="Header1 3 7 3 5" xfId="158"/>
    <cellStyle name="Header1 3 7 3 6" xfId="158"/>
    <cellStyle name="Header1 3 7 3 7" xfId="158"/>
    <cellStyle name="Header1 3 7 4" xfId="158"/>
    <cellStyle name="Header1 3 7 4 2" xfId="158"/>
    <cellStyle name="Header1 3 7 4 2 2" xfId="158"/>
    <cellStyle name="Header1 3 7 4 2 3" xfId="158"/>
    <cellStyle name="Header1 3 7 4 2 4" xfId="158"/>
    <cellStyle name="Header1 3 7 4 3" xfId="158"/>
    <cellStyle name="Header1 3 7 4 4" xfId="158"/>
    <cellStyle name="Header1 3 7 4 5" xfId="158"/>
    <cellStyle name="Header1 3 7 4 6" xfId="158"/>
    <cellStyle name="Header1 3 7 4 7" xfId="158"/>
    <cellStyle name="Header1 3 7 5" xfId="158"/>
    <cellStyle name="Header1 3 7 5 2" xfId="158"/>
    <cellStyle name="Header1 3 7 5 3" xfId="158"/>
    <cellStyle name="Header1 3 7 5 4" xfId="158"/>
    <cellStyle name="Header1 3 7 6" xfId="158"/>
    <cellStyle name="Header1 3 7 7" xfId="158"/>
    <cellStyle name="Header1 3 7 8" xfId="158"/>
    <cellStyle name="Header1 3 7 9" xfId="158"/>
    <cellStyle name="Header1 3 8" xfId="158"/>
    <cellStyle name="Header1 3 8 2" xfId="158"/>
    <cellStyle name="Header1 3 8 2 2" xfId="158"/>
    <cellStyle name="Header1 3 8 2 3" xfId="158"/>
    <cellStyle name="Header1 3 8 2 4" xfId="158"/>
    <cellStyle name="Header1 3 8 3" xfId="158"/>
    <cellStyle name="Header1 3 8 4" xfId="158"/>
    <cellStyle name="Header1 3 8 5" xfId="158"/>
    <cellStyle name="Header1 3 8 6" xfId="158"/>
    <cellStyle name="Header1 3 8 7" xfId="158"/>
    <cellStyle name="Header1 3 9" xfId="158"/>
    <cellStyle name="Header1 3 9 2" xfId="158"/>
    <cellStyle name="Header1 3 9 2 2" xfId="158"/>
    <cellStyle name="Header1 3 9 2 3" xfId="158"/>
    <cellStyle name="Header1 3 9 2 4" xfId="158"/>
    <cellStyle name="Header1 3 9 3" xfId="158"/>
    <cellStyle name="Header1 3 9 4" xfId="158"/>
    <cellStyle name="Header1 3 9 5" xfId="158"/>
    <cellStyle name="Header1 3 9 6" xfId="158"/>
    <cellStyle name="Header1 3 9 7" xfId="158"/>
    <cellStyle name="Header1 4" xfId="158"/>
    <cellStyle name="Header1 4 10" xfId="158"/>
    <cellStyle name="Header1 4 10 2" xfId="158"/>
    <cellStyle name="Header1 4 10 2 2" xfId="158"/>
    <cellStyle name="Header1 4 10 2 3" xfId="158"/>
    <cellStyle name="Header1 4 10 2 4" xfId="158"/>
    <cellStyle name="Header1 4 10 3" xfId="158"/>
    <cellStyle name="Header1 4 10 4" xfId="158"/>
    <cellStyle name="Header1 4 10 5" xfId="158"/>
    <cellStyle name="Header1 4 10 6" xfId="158"/>
    <cellStyle name="Header1 4 10 7" xfId="158"/>
    <cellStyle name="Header1 4 11" xfId="158"/>
    <cellStyle name="Header1 4 11 2" xfId="158"/>
    <cellStyle name="Header1 4 11 3" xfId="158"/>
    <cellStyle name="Header1 4 11 4" xfId="158"/>
    <cellStyle name="Header1 4 12" xfId="158"/>
    <cellStyle name="Header1 4 13" xfId="158"/>
    <cellStyle name="Header1 4 14" xfId="158"/>
    <cellStyle name="Header1 4 15" xfId="158"/>
    <cellStyle name="Header1 4 2" xfId="158"/>
    <cellStyle name="Header1 4 2 10" xfId="158"/>
    <cellStyle name="Header1 4 2 11" xfId="158"/>
    <cellStyle name="Header1 4 2 2" xfId="158"/>
    <cellStyle name="Header1 4 2 2 2" xfId="158"/>
    <cellStyle name="Header1 4 2 2 2 2" xfId="158"/>
    <cellStyle name="Header1 4 2 2 2 2 2" xfId="158"/>
    <cellStyle name="Header1 4 2 2 2 2 3" xfId="158"/>
    <cellStyle name="Header1 4 2 2 2 2 4" xfId="158"/>
    <cellStyle name="Header1 4 2 2 2 2 5" xfId="158"/>
    <cellStyle name="Header1 4 2 2 2 3" xfId="158"/>
    <cellStyle name="Header1 4 2 2 2 3 2" xfId="158"/>
    <cellStyle name="Header1 4 2 2 2 3 3" xfId="158"/>
    <cellStyle name="Header1 4 2 2 2 3 4" xfId="158"/>
    <cellStyle name="Header1 4 2 2 2 4" xfId="158"/>
    <cellStyle name="Header1 4 2 2 2 5" xfId="158"/>
    <cellStyle name="Header1 4 2 2 2 6" xfId="158"/>
    <cellStyle name="Header1 4 2 2 2 7" xfId="158"/>
    <cellStyle name="Header1 4 2 2 2 8" xfId="158"/>
    <cellStyle name="Header1 4 2 2 3" xfId="158"/>
    <cellStyle name="Header1 4 2 2 3 2" xfId="158"/>
    <cellStyle name="Header1 4 2 2 3 2 2" xfId="158"/>
    <cellStyle name="Header1 4 2 2 3 2 3" xfId="158"/>
    <cellStyle name="Header1 4 2 2 3 2 4" xfId="158"/>
    <cellStyle name="Header1 4 2 2 3 2 5" xfId="158"/>
    <cellStyle name="Header1 4 2 2 3 3" xfId="158"/>
    <cellStyle name="Header1 4 2 2 3 3 2" xfId="158"/>
    <cellStyle name="Header1 4 2 2 3 3 3" xfId="158"/>
    <cellStyle name="Header1 4 2 2 3 3 4" xfId="158"/>
    <cellStyle name="Header1 4 2 2 3 4" xfId="158"/>
    <cellStyle name="Header1 4 2 2 3 5" xfId="158"/>
    <cellStyle name="Header1 4 2 2 3 6" xfId="158"/>
    <cellStyle name="Header1 4 2 2 3 7" xfId="158"/>
    <cellStyle name="Header1 4 2 2 4" xfId="158"/>
    <cellStyle name="Header1 4 2 2 4 2" xfId="158"/>
    <cellStyle name="Header1 4 2 2 4 2 2" xfId="158"/>
    <cellStyle name="Header1 4 2 2 4 2 3" xfId="158"/>
    <cellStyle name="Header1 4 2 2 4 2 4" xfId="158"/>
    <cellStyle name="Header1 4 2 2 4 3" xfId="158"/>
    <cellStyle name="Header1 4 2 2 4 4" xfId="158"/>
    <cellStyle name="Header1 4 2 2 4 5" xfId="158"/>
    <cellStyle name="Header1 4 2 2 4 6" xfId="158"/>
    <cellStyle name="Header1 4 2 2 4 7" xfId="158"/>
    <cellStyle name="Header1 4 2 2 5" xfId="158"/>
    <cellStyle name="Header1 4 2 2 5 2" xfId="158"/>
    <cellStyle name="Header1 4 2 2 5 3" xfId="158"/>
    <cellStyle name="Header1 4 2 2 5 4" xfId="158"/>
    <cellStyle name="Header1 4 2 2 6" xfId="158"/>
    <cellStyle name="Header1 4 2 2 7" xfId="158"/>
    <cellStyle name="Header1 4 2 2 8" xfId="158"/>
    <cellStyle name="Header1 4 2 2 9" xfId="158"/>
    <cellStyle name="Header1 4 2 3" xfId="158"/>
    <cellStyle name="Header1 4 2 3 2" xfId="158"/>
    <cellStyle name="Header1 4 2 3 2 2" xfId="158"/>
    <cellStyle name="Header1 4 2 3 2 3" xfId="158"/>
    <cellStyle name="Header1 4 2 3 2 4" xfId="158"/>
    <cellStyle name="Header1 4 2 3 3" xfId="158"/>
    <cellStyle name="Header1 4 2 3 4" xfId="158"/>
    <cellStyle name="Header1 4 2 3 5" xfId="158"/>
    <cellStyle name="Header1 4 2 3 6" xfId="158"/>
    <cellStyle name="Header1 4 2 3 7" xfId="158"/>
    <cellStyle name="Header1 4 2 4" xfId="158"/>
    <cellStyle name="Header1 4 2 4 2" xfId="158"/>
    <cellStyle name="Header1 4 2 4 2 2" xfId="158"/>
    <cellStyle name="Header1 4 2 4 2 3" xfId="158"/>
    <cellStyle name="Header1 4 2 4 2 4" xfId="158"/>
    <cellStyle name="Header1 4 2 4 2 5" xfId="158"/>
    <cellStyle name="Header1 4 2 4 3" xfId="158"/>
    <cellStyle name="Header1 4 2 4 3 2" xfId="158"/>
    <cellStyle name="Header1 4 2 4 3 3" xfId="158"/>
    <cellStyle name="Header1 4 2 4 3 4" xfId="158"/>
    <cellStyle name="Header1 4 2 4 4" xfId="158"/>
    <cellStyle name="Header1 4 2 4 5" xfId="158"/>
    <cellStyle name="Header1 4 2 4 6" xfId="158"/>
    <cellStyle name="Header1 4 2 4 7" xfId="158"/>
    <cellStyle name="Header1 4 2 4 8" xfId="158"/>
    <cellStyle name="Header1 4 2 5" xfId="158"/>
    <cellStyle name="Header1 4 2 5 2" xfId="158"/>
    <cellStyle name="Header1 4 2 5 2 2" xfId="158"/>
    <cellStyle name="Header1 4 2 5 2 3" xfId="158"/>
    <cellStyle name="Header1 4 2 5 2 4" xfId="158"/>
    <cellStyle name="Header1 4 2 5 2 5" xfId="158"/>
    <cellStyle name="Header1 4 2 5 3" xfId="158"/>
    <cellStyle name="Header1 4 2 5 3 2" xfId="158"/>
    <cellStyle name="Header1 4 2 5 3 3" xfId="158"/>
    <cellStyle name="Header1 4 2 5 3 4" xfId="158"/>
    <cellStyle name="Header1 4 2 5 4" xfId="158"/>
    <cellStyle name="Header1 4 2 5 5" xfId="158"/>
    <cellStyle name="Header1 4 2 5 6" xfId="158"/>
    <cellStyle name="Header1 4 2 5 7" xfId="158"/>
    <cellStyle name="Header1 4 2 6" xfId="158"/>
    <cellStyle name="Header1 4 2 6 2" xfId="158"/>
    <cellStyle name="Header1 4 2 6 2 2" xfId="158"/>
    <cellStyle name="Header1 4 2 6 2 3" xfId="158"/>
    <cellStyle name="Header1 4 2 6 2 4" xfId="158"/>
    <cellStyle name="Header1 4 2 6 3" xfId="158"/>
    <cellStyle name="Header1 4 2 6 4" xfId="158"/>
    <cellStyle name="Header1 4 2 6 5" xfId="158"/>
    <cellStyle name="Header1 4 2 6 6" xfId="158"/>
    <cellStyle name="Header1 4 2 6 7" xfId="158"/>
    <cellStyle name="Header1 4 2 7" xfId="158"/>
    <cellStyle name="Header1 4 2 7 2" xfId="158"/>
    <cellStyle name="Header1 4 2 7 3" xfId="158"/>
    <cellStyle name="Header1 4 2 7 4" xfId="158"/>
    <cellStyle name="Header1 4 2 8" xfId="158"/>
    <cellStyle name="Header1 4 2 9" xfId="158"/>
    <cellStyle name="Header1 4 3" xfId="158"/>
    <cellStyle name="Header1 4 3 10" xfId="158"/>
    <cellStyle name="Header1 4 3 11" xfId="158"/>
    <cellStyle name="Header1 4 3 2" xfId="158"/>
    <cellStyle name="Header1 4 3 2 2" xfId="158"/>
    <cellStyle name="Header1 4 3 2 2 2" xfId="158"/>
    <cellStyle name="Header1 4 3 2 2 2 2" xfId="158"/>
    <cellStyle name="Header1 4 3 2 2 2 3" xfId="158"/>
    <cellStyle name="Header1 4 3 2 2 2 4" xfId="158"/>
    <cellStyle name="Header1 4 3 2 2 2 5" xfId="158"/>
    <cellStyle name="Header1 4 3 2 2 3" xfId="158"/>
    <cellStyle name="Header1 4 3 2 2 3 2" xfId="158"/>
    <cellStyle name="Header1 4 3 2 2 3 3" xfId="158"/>
    <cellStyle name="Header1 4 3 2 2 3 4" xfId="158"/>
    <cellStyle name="Header1 4 3 2 2 4" xfId="158"/>
    <cellStyle name="Header1 4 3 2 2 5" xfId="158"/>
    <cellStyle name="Header1 4 3 2 2 6" xfId="158"/>
    <cellStyle name="Header1 4 3 2 2 7" xfId="158"/>
    <cellStyle name="Header1 4 3 2 2 8" xfId="158"/>
    <cellStyle name="Header1 4 3 2 3" xfId="158"/>
    <cellStyle name="Header1 4 3 2 3 2" xfId="158"/>
    <cellStyle name="Header1 4 3 2 3 2 2" xfId="158"/>
    <cellStyle name="Header1 4 3 2 3 2 3" xfId="158"/>
    <cellStyle name="Header1 4 3 2 3 2 4" xfId="158"/>
    <cellStyle name="Header1 4 3 2 3 2 5" xfId="158"/>
    <cellStyle name="Header1 4 3 2 3 3" xfId="158"/>
    <cellStyle name="Header1 4 3 2 3 3 2" xfId="158"/>
    <cellStyle name="Header1 4 3 2 3 3 3" xfId="158"/>
    <cellStyle name="Header1 4 3 2 3 3 4" xfId="158"/>
    <cellStyle name="Header1 4 3 2 3 4" xfId="158"/>
    <cellStyle name="Header1 4 3 2 3 5" xfId="158"/>
    <cellStyle name="Header1 4 3 2 3 6" xfId="158"/>
    <cellStyle name="Header1 4 3 2 3 7" xfId="158"/>
    <cellStyle name="Header1 4 3 2 4" xfId="158"/>
    <cellStyle name="Header1 4 3 2 4 2" xfId="158"/>
    <cellStyle name="Header1 4 3 2 4 2 2" xfId="158"/>
    <cellStyle name="Header1 4 3 2 4 2 3" xfId="158"/>
    <cellStyle name="Header1 4 3 2 4 2 4" xfId="158"/>
    <cellStyle name="Header1 4 3 2 4 3" xfId="158"/>
    <cellStyle name="Header1 4 3 2 4 4" xfId="158"/>
    <cellStyle name="Header1 4 3 2 4 5" xfId="158"/>
    <cellStyle name="Header1 4 3 2 4 6" xfId="158"/>
    <cellStyle name="Header1 4 3 2 4 7" xfId="158"/>
    <cellStyle name="Header1 4 3 2 5" xfId="158"/>
    <cellStyle name="Header1 4 3 2 5 2" xfId="158"/>
    <cellStyle name="Header1 4 3 2 5 3" xfId="158"/>
    <cellStyle name="Header1 4 3 2 5 4" xfId="158"/>
    <cellStyle name="Header1 4 3 2 6" xfId="158"/>
    <cellStyle name="Header1 4 3 2 7" xfId="158"/>
    <cellStyle name="Header1 4 3 2 8" xfId="158"/>
    <cellStyle name="Header1 4 3 2 9" xfId="158"/>
    <cellStyle name="Header1 4 3 3" xfId="158"/>
    <cellStyle name="Header1 4 3 3 2" xfId="158"/>
    <cellStyle name="Header1 4 3 3 2 2" xfId="158"/>
    <cellStyle name="Header1 4 3 3 2 3" xfId="158"/>
    <cellStyle name="Header1 4 3 3 2 4" xfId="158"/>
    <cellStyle name="Header1 4 3 3 3" xfId="158"/>
    <cellStyle name="Header1 4 3 3 4" xfId="158"/>
    <cellStyle name="Header1 4 3 3 5" xfId="158"/>
    <cellStyle name="Header1 4 3 3 6" xfId="158"/>
    <cellStyle name="Header1 4 3 3 7" xfId="158"/>
    <cellStyle name="Header1 4 3 4" xfId="158"/>
    <cellStyle name="Header1 4 3 4 2" xfId="158"/>
    <cellStyle name="Header1 4 3 4 2 2" xfId="158"/>
    <cellStyle name="Header1 4 3 4 2 3" xfId="158"/>
    <cellStyle name="Header1 4 3 4 2 4" xfId="158"/>
    <cellStyle name="Header1 4 3 4 2 5" xfId="158"/>
    <cellStyle name="Header1 4 3 4 3" xfId="158"/>
    <cellStyle name="Header1 4 3 4 3 2" xfId="158"/>
    <cellStyle name="Header1 4 3 4 3 3" xfId="158"/>
    <cellStyle name="Header1 4 3 4 3 4" xfId="158"/>
    <cellStyle name="Header1 4 3 4 4" xfId="158"/>
    <cellStyle name="Header1 4 3 4 5" xfId="158"/>
    <cellStyle name="Header1 4 3 4 6" xfId="158"/>
    <cellStyle name="Header1 4 3 4 7" xfId="158"/>
    <cellStyle name="Header1 4 3 4 8" xfId="158"/>
    <cellStyle name="Header1 4 3 5" xfId="158"/>
    <cellStyle name="Header1 4 3 5 2" xfId="158"/>
    <cellStyle name="Header1 4 3 5 2 2" xfId="158"/>
    <cellStyle name="Header1 4 3 5 2 3" xfId="158"/>
    <cellStyle name="Header1 4 3 5 2 4" xfId="158"/>
    <cellStyle name="Header1 4 3 5 2 5" xfId="158"/>
    <cellStyle name="Header1 4 3 5 3" xfId="158"/>
    <cellStyle name="Header1 4 3 5 3 2" xfId="158"/>
    <cellStyle name="Header1 4 3 5 3 3" xfId="158"/>
    <cellStyle name="Header1 4 3 5 3 4" xfId="158"/>
    <cellStyle name="Header1 4 3 5 4" xfId="158"/>
    <cellStyle name="Header1 4 3 5 5" xfId="158"/>
    <cellStyle name="Header1 4 3 5 6" xfId="158"/>
    <cellStyle name="Header1 4 3 5 7" xfId="158"/>
    <cellStyle name="Header1 4 3 6" xfId="158"/>
    <cellStyle name="Header1 4 3 6 2" xfId="158"/>
    <cellStyle name="Header1 4 3 6 2 2" xfId="158"/>
    <cellStyle name="Header1 4 3 6 2 3" xfId="158"/>
    <cellStyle name="Header1 4 3 6 2 4" xfId="158"/>
    <cellStyle name="Header1 4 3 6 3" xfId="158"/>
    <cellStyle name="Header1 4 3 6 4" xfId="158"/>
    <cellStyle name="Header1 4 3 6 5" xfId="158"/>
    <cellStyle name="Header1 4 3 6 6" xfId="158"/>
    <cellStyle name="Header1 4 3 6 7" xfId="158"/>
    <cellStyle name="Header1 4 3 7" xfId="158"/>
    <cellStyle name="Header1 4 3 7 2" xfId="158"/>
    <cellStyle name="Header1 4 3 7 3" xfId="158"/>
    <cellStyle name="Header1 4 3 7 4" xfId="158"/>
    <cellStyle name="Header1 4 3 8" xfId="158"/>
    <cellStyle name="Header1 4 3 9" xfId="158"/>
    <cellStyle name="Header1 4 4" xfId="158"/>
    <cellStyle name="Header1 4 4 10" xfId="158"/>
    <cellStyle name="Header1 4 4 11" xfId="158"/>
    <cellStyle name="Header1 4 4 2" xfId="158"/>
    <cellStyle name="Header1 4 4 2 2" xfId="158"/>
    <cellStyle name="Header1 4 4 2 2 2" xfId="158"/>
    <cellStyle name="Header1 4 4 2 2 2 2" xfId="158"/>
    <cellStyle name="Header1 4 4 2 2 2 3" xfId="158"/>
    <cellStyle name="Header1 4 4 2 2 2 4" xfId="158"/>
    <cellStyle name="Header1 4 4 2 2 2 5" xfId="158"/>
    <cellStyle name="Header1 4 4 2 2 3" xfId="158"/>
    <cellStyle name="Header1 4 4 2 2 3 2" xfId="158"/>
    <cellStyle name="Header1 4 4 2 2 3 3" xfId="158"/>
    <cellStyle name="Header1 4 4 2 2 3 4" xfId="158"/>
    <cellStyle name="Header1 4 4 2 2 4" xfId="158"/>
    <cellStyle name="Header1 4 4 2 2 5" xfId="158"/>
    <cellStyle name="Header1 4 4 2 2 6" xfId="158"/>
    <cellStyle name="Header1 4 4 2 2 7" xfId="158"/>
    <cellStyle name="Header1 4 4 2 2 8" xfId="158"/>
    <cellStyle name="Header1 4 4 2 3" xfId="158"/>
    <cellStyle name="Header1 4 4 2 3 2" xfId="158"/>
    <cellStyle name="Header1 4 4 2 3 2 2" xfId="158"/>
    <cellStyle name="Header1 4 4 2 3 2 3" xfId="158"/>
    <cellStyle name="Header1 4 4 2 3 2 4" xfId="158"/>
    <cellStyle name="Header1 4 4 2 3 2 5" xfId="158"/>
    <cellStyle name="Header1 4 4 2 3 3" xfId="158"/>
    <cellStyle name="Header1 4 4 2 3 3 2" xfId="158"/>
    <cellStyle name="Header1 4 4 2 3 3 3" xfId="158"/>
    <cellStyle name="Header1 4 4 2 3 3 4" xfId="158"/>
    <cellStyle name="Header1 4 4 2 3 4" xfId="158"/>
    <cellStyle name="Header1 4 4 2 3 5" xfId="158"/>
    <cellStyle name="Header1 4 4 2 3 6" xfId="158"/>
    <cellStyle name="Header1 4 4 2 3 7" xfId="158"/>
    <cellStyle name="Header1 4 4 2 4" xfId="158"/>
    <cellStyle name="Header1 4 4 2 4 2" xfId="158"/>
    <cellStyle name="Header1 4 4 2 4 2 2" xfId="158"/>
    <cellStyle name="Header1 4 4 2 4 2 3" xfId="158"/>
    <cellStyle name="Header1 4 4 2 4 2 4" xfId="158"/>
    <cellStyle name="Header1 4 4 2 4 3" xfId="158"/>
    <cellStyle name="Header1 4 4 2 4 4" xfId="158"/>
    <cellStyle name="Header1 4 4 2 4 5" xfId="158"/>
    <cellStyle name="Header1 4 4 2 4 6" xfId="158"/>
    <cellStyle name="Header1 4 4 2 4 7" xfId="158"/>
    <cellStyle name="Header1 4 4 2 5" xfId="158"/>
    <cellStyle name="Header1 4 4 2 5 2" xfId="158"/>
    <cellStyle name="Header1 4 4 2 5 3" xfId="158"/>
    <cellStyle name="Header1 4 4 2 5 4" xfId="158"/>
    <cellStyle name="Header1 4 4 2 6" xfId="158"/>
    <cellStyle name="Header1 4 4 2 7" xfId="158"/>
    <cellStyle name="Header1 4 4 2 8" xfId="158"/>
    <cellStyle name="Header1 4 4 2 9" xfId="158"/>
    <cellStyle name="Header1 4 4 3" xfId="158"/>
    <cellStyle name="Header1 4 4 3 2" xfId="158"/>
    <cellStyle name="Header1 4 4 3 2 2" xfId="158"/>
    <cellStyle name="Header1 4 4 3 2 3" xfId="158"/>
    <cellStyle name="Header1 4 4 3 2 4" xfId="158"/>
    <cellStyle name="Header1 4 4 3 3" xfId="158"/>
    <cellStyle name="Header1 4 4 3 4" xfId="158"/>
    <cellStyle name="Header1 4 4 3 5" xfId="158"/>
    <cellStyle name="Header1 4 4 3 6" xfId="158"/>
    <cellStyle name="Header1 4 4 3 7" xfId="158"/>
    <cellStyle name="Header1 4 4 4" xfId="158"/>
    <cellStyle name="Header1 4 4 4 2" xfId="158"/>
    <cellStyle name="Header1 4 4 4 2 2" xfId="158"/>
    <cellStyle name="Header1 4 4 4 2 3" xfId="158"/>
    <cellStyle name="Header1 4 4 4 2 4" xfId="158"/>
    <cellStyle name="Header1 4 4 4 2 5" xfId="158"/>
    <cellStyle name="Header1 4 4 4 3" xfId="158"/>
    <cellStyle name="Header1 4 4 4 3 2" xfId="158"/>
    <cellStyle name="Header1 4 4 4 3 3" xfId="158"/>
    <cellStyle name="Header1 4 4 4 3 4" xfId="158"/>
    <cellStyle name="Header1 4 4 4 4" xfId="158"/>
    <cellStyle name="Header1 4 4 4 5" xfId="158"/>
    <cellStyle name="Header1 4 4 4 6" xfId="158"/>
    <cellStyle name="Header1 4 4 4 7" xfId="158"/>
    <cellStyle name="Header1 4 4 4 8" xfId="158"/>
    <cellStyle name="Header1 4 4 5" xfId="158"/>
    <cellStyle name="Header1 4 4 5 2" xfId="158"/>
    <cellStyle name="Header1 4 4 5 2 2" xfId="158"/>
    <cellStyle name="Header1 4 4 5 2 3" xfId="158"/>
    <cellStyle name="Header1 4 4 5 2 4" xfId="158"/>
    <cellStyle name="Header1 4 4 5 2 5" xfId="158"/>
    <cellStyle name="Header1 4 4 5 3" xfId="158"/>
    <cellStyle name="Header1 4 4 5 3 2" xfId="158"/>
    <cellStyle name="Header1 4 4 5 3 3" xfId="158"/>
    <cellStyle name="Header1 4 4 5 3 4" xfId="158"/>
    <cellStyle name="Header1 4 4 5 4" xfId="158"/>
    <cellStyle name="Header1 4 4 5 5" xfId="158"/>
    <cellStyle name="Header1 4 4 5 6" xfId="158"/>
    <cellStyle name="Header1 4 4 5 7" xfId="158"/>
    <cellStyle name="Header1 4 4 6" xfId="158"/>
    <cellStyle name="Header1 4 4 6 2" xfId="158"/>
    <cellStyle name="Header1 4 4 6 2 2" xfId="158"/>
    <cellStyle name="Header1 4 4 6 2 3" xfId="158"/>
    <cellStyle name="Header1 4 4 6 2 4" xfId="158"/>
    <cellStyle name="Header1 4 4 6 3" xfId="158"/>
    <cellStyle name="Header1 4 4 6 4" xfId="158"/>
    <cellStyle name="Header1 4 4 6 5" xfId="158"/>
    <cellStyle name="Header1 4 4 6 6" xfId="158"/>
    <cellStyle name="Header1 4 4 6 7" xfId="158"/>
    <cellStyle name="Header1 4 4 7" xfId="158"/>
    <cellStyle name="Header1 4 4 7 2" xfId="158"/>
    <cellStyle name="Header1 4 4 7 3" xfId="158"/>
    <cellStyle name="Header1 4 4 7 4" xfId="158"/>
    <cellStyle name="Header1 4 4 8" xfId="158"/>
    <cellStyle name="Header1 4 4 9" xfId="158"/>
    <cellStyle name="Header1 4 5" xfId="158"/>
    <cellStyle name="Header1 4 5 2" xfId="158"/>
    <cellStyle name="Header1 4 5 2 2" xfId="158"/>
    <cellStyle name="Header1 4 5 2 2 2" xfId="158"/>
    <cellStyle name="Header1 4 5 2 2 3" xfId="158"/>
    <cellStyle name="Header1 4 5 2 2 4" xfId="158"/>
    <cellStyle name="Header1 4 5 2 2 5" xfId="158"/>
    <cellStyle name="Header1 4 5 2 3" xfId="158"/>
    <cellStyle name="Header1 4 5 2 3 2" xfId="158"/>
    <cellStyle name="Header1 4 5 2 3 3" xfId="158"/>
    <cellStyle name="Header1 4 5 2 3 4" xfId="158"/>
    <cellStyle name="Header1 4 5 2 4" xfId="158"/>
    <cellStyle name="Header1 4 5 2 5" xfId="158"/>
    <cellStyle name="Header1 4 5 2 6" xfId="158"/>
    <cellStyle name="Header1 4 5 2 7" xfId="158"/>
    <cellStyle name="Header1 4 5 2 8" xfId="158"/>
    <cellStyle name="Header1 4 5 3" xfId="158"/>
    <cellStyle name="Header1 4 5 3 2" xfId="158"/>
    <cellStyle name="Header1 4 5 3 2 2" xfId="158"/>
    <cellStyle name="Header1 4 5 3 2 3" xfId="158"/>
    <cellStyle name="Header1 4 5 3 2 4" xfId="158"/>
    <cellStyle name="Header1 4 5 3 2 5" xfId="158"/>
    <cellStyle name="Header1 4 5 3 3" xfId="158"/>
    <cellStyle name="Header1 4 5 3 3 2" xfId="158"/>
    <cellStyle name="Header1 4 5 3 3 3" xfId="158"/>
    <cellStyle name="Header1 4 5 3 3 4" xfId="158"/>
    <cellStyle name="Header1 4 5 3 4" xfId="158"/>
    <cellStyle name="Header1 4 5 3 5" xfId="158"/>
    <cellStyle name="Header1 4 5 3 6" xfId="158"/>
    <cellStyle name="Header1 4 5 3 7" xfId="158"/>
    <cellStyle name="Header1 4 5 4" xfId="158"/>
    <cellStyle name="Header1 4 5 4 2" xfId="158"/>
    <cellStyle name="Header1 4 5 4 2 2" xfId="158"/>
    <cellStyle name="Header1 4 5 4 2 3" xfId="158"/>
    <cellStyle name="Header1 4 5 4 2 4" xfId="158"/>
    <cellStyle name="Header1 4 5 4 3" xfId="158"/>
    <cellStyle name="Header1 4 5 4 4" xfId="158"/>
    <cellStyle name="Header1 4 5 4 5" xfId="158"/>
    <cellStyle name="Header1 4 5 4 6" xfId="158"/>
    <cellStyle name="Header1 4 5 4 7" xfId="158"/>
    <cellStyle name="Header1 4 5 5" xfId="158"/>
    <cellStyle name="Header1 4 5 5 2" xfId="158"/>
    <cellStyle name="Header1 4 5 5 3" xfId="158"/>
    <cellStyle name="Header1 4 5 5 4" xfId="158"/>
    <cellStyle name="Header1 4 5 6" xfId="158"/>
    <cellStyle name="Header1 4 5 7" xfId="158"/>
    <cellStyle name="Header1 4 5 8" xfId="158"/>
    <cellStyle name="Header1 4 5 9" xfId="158"/>
    <cellStyle name="Header1 4 6" xfId="158"/>
    <cellStyle name="Header1 4 6 2" xfId="158"/>
    <cellStyle name="Header1 4 6 2 2" xfId="158"/>
    <cellStyle name="Header1 4 6 2 3" xfId="158"/>
    <cellStyle name="Header1 4 6 2 4" xfId="158"/>
    <cellStyle name="Header1 4 6 3" xfId="158"/>
    <cellStyle name="Header1 4 6 4" xfId="158"/>
    <cellStyle name="Header1 4 6 5" xfId="158"/>
    <cellStyle name="Header1 4 6 6" xfId="158"/>
    <cellStyle name="Header1 4 6 7" xfId="158"/>
    <cellStyle name="Header1 4 7" xfId="158"/>
    <cellStyle name="Header1 4 7 2" xfId="158"/>
    <cellStyle name="Header1 4 7 2 2" xfId="158"/>
    <cellStyle name="Header1 4 7 2 3" xfId="158"/>
    <cellStyle name="Header1 4 7 2 4" xfId="158"/>
    <cellStyle name="Header1 4 7 3" xfId="158"/>
    <cellStyle name="Header1 4 7 4" xfId="158"/>
    <cellStyle name="Header1 4 7 5" xfId="158"/>
    <cellStyle name="Header1 4 7 6" xfId="158"/>
    <cellStyle name="Header1 4 7 7" xfId="158"/>
    <cellStyle name="Header1 4 8" xfId="158"/>
    <cellStyle name="Header1 4 8 2" xfId="158"/>
    <cellStyle name="Header1 4 8 2 2" xfId="158"/>
    <cellStyle name="Header1 4 8 2 3" xfId="158"/>
    <cellStyle name="Header1 4 8 2 4" xfId="158"/>
    <cellStyle name="Header1 4 8 2 5" xfId="158"/>
    <cellStyle name="Header1 4 8 3" xfId="158"/>
    <cellStyle name="Header1 4 8 3 2" xfId="158"/>
    <cellStyle name="Header1 4 8 3 3" xfId="158"/>
    <cellStyle name="Header1 4 8 3 4" xfId="158"/>
    <cellStyle name="Header1 4 8 4" xfId="158"/>
    <cellStyle name="Header1 4 8 5" xfId="158"/>
    <cellStyle name="Header1 4 8 6" xfId="158"/>
    <cellStyle name="Header1 4 8 7" xfId="158"/>
    <cellStyle name="Header1 4 8 8" xfId="158"/>
    <cellStyle name="Header1 4 9" xfId="158"/>
    <cellStyle name="Header1 4 9 2" xfId="158"/>
    <cellStyle name="Header1 4 9 2 2" xfId="158"/>
    <cellStyle name="Header1 4 9 2 3" xfId="158"/>
    <cellStyle name="Header1 4 9 2 4" xfId="158"/>
    <cellStyle name="Header1 4 9 2 5" xfId="158"/>
    <cellStyle name="Header1 4 9 3" xfId="158"/>
    <cellStyle name="Header1 4 9 3 2" xfId="158"/>
    <cellStyle name="Header1 4 9 3 3" xfId="158"/>
    <cellStyle name="Header1 4 9 3 4" xfId="158"/>
    <cellStyle name="Header1 4 9 4" xfId="158"/>
    <cellStyle name="Header1 4 9 5" xfId="158"/>
    <cellStyle name="Header1 4 9 6" xfId="158"/>
    <cellStyle name="Header1 4 9 7" xfId="158"/>
    <cellStyle name="Header1 5" xfId="158"/>
    <cellStyle name="Header1 5 10" xfId="158"/>
    <cellStyle name="Header1 5 11" xfId="158"/>
    <cellStyle name="Header1 5 2" xfId="158"/>
    <cellStyle name="Header1 5 2 2" xfId="158"/>
    <cellStyle name="Header1 5 2 2 2" xfId="158"/>
    <cellStyle name="Header1 5 2 2 2 2" xfId="158"/>
    <cellStyle name="Header1 5 2 2 2 3" xfId="158"/>
    <cellStyle name="Header1 5 2 2 2 4" xfId="158"/>
    <cellStyle name="Header1 5 2 2 2 5" xfId="158"/>
    <cellStyle name="Header1 5 2 2 3" xfId="158"/>
    <cellStyle name="Header1 5 2 2 3 2" xfId="158"/>
    <cellStyle name="Header1 5 2 2 3 3" xfId="158"/>
    <cellStyle name="Header1 5 2 2 3 4" xfId="158"/>
    <cellStyle name="Header1 5 2 2 4" xfId="158"/>
    <cellStyle name="Header1 5 2 2 5" xfId="158"/>
    <cellStyle name="Header1 5 2 2 6" xfId="158"/>
    <cellStyle name="Header1 5 2 2 7" xfId="158"/>
    <cellStyle name="Header1 5 2 2 8" xfId="158"/>
    <cellStyle name="Header1 5 2 3" xfId="158"/>
    <cellStyle name="Header1 5 2 3 2" xfId="158"/>
    <cellStyle name="Header1 5 2 3 2 2" xfId="158"/>
    <cellStyle name="Header1 5 2 3 2 3" xfId="158"/>
    <cellStyle name="Header1 5 2 3 2 4" xfId="158"/>
    <cellStyle name="Header1 5 2 3 2 5" xfId="158"/>
    <cellStyle name="Header1 5 2 3 3" xfId="158"/>
    <cellStyle name="Header1 5 2 3 3 2" xfId="158"/>
    <cellStyle name="Header1 5 2 3 3 3" xfId="158"/>
    <cellStyle name="Header1 5 2 3 3 4" xfId="158"/>
    <cellStyle name="Header1 5 2 3 4" xfId="158"/>
    <cellStyle name="Header1 5 2 3 5" xfId="158"/>
    <cellStyle name="Header1 5 2 3 6" xfId="158"/>
    <cellStyle name="Header1 5 2 3 7" xfId="158"/>
    <cellStyle name="Header1 5 2 4" xfId="158"/>
    <cellStyle name="Header1 5 2 4 2" xfId="158"/>
    <cellStyle name="Header1 5 2 4 2 2" xfId="158"/>
    <cellStyle name="Header1 5 2 4 2 3" xfId="158"/>
    <cellStyle name="Header1 5 2 4 2 4" xfId="158"/>
    <cellStyle name="Header1 5 2 4 3" xfId="158"/>
    <cellStyle name="Header1 5 2 4 4" xfId="158"/>
    <cellStyle name="Header1 5 2 4 5" xfId="158"/>
    <cellStyle name="Header1 5 2 4 6" xfId="158"/>
    <cellStyle name="Header1 5 2 4 7" xfId="158"/>
    <cellStyle name="Header1 5 2 5" xfId="158"/>
    <cellStyle name="Header1 5 2 5 2" xfId="158"/>
    <cellStyle name="Header1 5 2 5 3" xfId="158"/>
    <cellStyle name="Header1 5 2 5 4" xfId="158"/>
    <cellStyle name="Header1 5 2 6" xfId="158"/>
    <cellStyle name="Header1 5 2 7" xfId="158"/>
    <cellStyle name="Header1 5 2 8" xfId="158"/>
    <cellStyle name="Header1 5 2 9" xfId="158"/>
    <cellStyle name="Header1 5 3" xfId="158"/>
    <cellStyle name="Header1 5 3 2" xfId="158"/>
    <cellStyle name="Header1 5 3 2 2" xfId="158"/>
    <cellStyle name="Header1 5 3 2 3" xfId="158"/>
    <cellStyle name="Header1 5 3 2 4" xfId="158"/>
    <cellStyle name="Header1 5 3 3" xfId="158"/>
    <cellStyle name="Header1 5 3 4" xfId="158"/>
    <cellStyle name="Header1 5 3 5" xfId="158"/>
    <cellStyle name="Header1 5 3 6" xfId="158"/>
    <cellStyle name="Header1 5 3 7" xfId="158"/>
    <cellStyle name="Header1 5 4" xfId="158"/>
    <cellStyle name="Header1 5 4 2" xfId="158"/>
    <cellStyle name="Header1 5 4 2 2" xfId="158"/>
    <cellStyle name="Header1 5 4 2 3" xfId="158"/>
    <cellStyle name="Header1 5 4 2 4" xfId="158"/>
    <cellStyle name="Header1 5 4 2 5" xfId="158"/>
    <cellStyle name="Header1 5 4 3" xfId="158"/>
    <cellStyle name="Header1 5 4 3 2" xfId="158"/>
    <cellStyle name="Header1 5 4 3 3" xfId="158"/>
    <cellStyle name="Header1 5 4 3 4" xfId="158"/>
    <cellStyle name="Header1 5 4 4" xfId="158"/>
    <cellStyle name="Header1 5 4 5" xfId="158"/>
    <cellStyle name="Header1 5 4 6" xfId="158"/>
    <cellStyle name="Header1 5 4 7" xfId="158"/>
    <cellStyle name="Header1 5 4 8" xfId="158"/>
    <cellStyle name="Header1 5 5" xfId="158"/>
    <cellStyle name="Header1 5 5 2" xfId="158"/>
    <cellStyle name="Header1 5 5 2 2" xfId="158"/>
    <cellStyle name="Header1 5 5 2 3" xfId="158"/>
    <cellStyle name="Header1 5 5 2 4" xfId="158"/>
    <cellStyle name="Header1 5 5 2 5" xfId="158"/>
    <cellStyle name="Header1 5 5 3" xfId="158"/>
    <cellStyle name="Header1 5 5 3 2" xfId="158"/>
    <cellStyle name="Header1 5 5 3 3" xfId="158"/>
    <cellStyle name="Header1 5 5 3 4" xfId="158"/>
    <cellStyle name="Header1 5 5 4" xfId="158"/>
    <cellStyle name="Header1 5 5 5" xfId="158"/>
    <cellStyle name="Header1 5 5 6" xfId="158"/>
    <cellStyle name="Header1 5 5 7" xfId="158"/>
    <cellStyle name="Header1 5 6" xfId="158"/>
    <cellStyle name="Header1 5 6 2" xfId="158"/>
    <cellStyle name="Header1 5 6 2 2" xfId="158"/>
    <cellStyle name="Header1 5 6 2 3" xfId="158"/>
    <cellStyle name="Header1 5 6 2 4" xfId="158"/>
    <cellStyle name="Header1 5 6 3" xfId="158"/>
    <cellStyle name="Header1 5 6 4" xfId="158"/>
    <cellStyle name="Header1 5 6 5" xfId="158"/>
    <cellStyle name="Header1 5 6 6" xfId="158"/>
    <cellStyle name="Header1 5 6 7" xfId="158"/>
    <cellStyle name="Header1 5 7" xfId="158"/>
    <cellStyle name="Header1 5 7 2" xfId="158"/>
    <cellStyle name="Header1 5 7 3" xfId="158"/>
    <cellStyle name="Header1 5 7 4" xfId="158"/>
    <cellStyle name="Header1 5 8" xfId="158"/>
    <cellStyle name="Header1 5 9" xfId="158"/>
    <cellStyle name="Header1 6" xfId="158"/>
    <cellStyle name="Header1 7" xfId="158"/>
    <cellStyle name="Header11" xfId="159"/>
    <cellStyle name="Header11Center" xfId="160"/>
    <cellStyle name="Header11CenterB" xfId="161"/>
    <cellStyle name="Header11Left" xfId="162"/>
    <cellStyle name="Header11LeftB" xfId="163"/>
    <cellStyle name="Header11LeftWB" xfId="164"/>
    <cellStyle name="Header11Right" xfId="159"/>
    <cellStyle name="Header12CenterB" xfId="165"/>
    <cellStyle name="Header12LeftBold" xfId="166"/>
    <cellStyle name="Header1C,WoutBorder" xfId="167"/>
    <cellStyle name="Header1Center" xfId="168"/>
    <cellStyle name="Header1Center 2" xfId="168"/>
    <cellStyle name="Header1Center 2 10" xfId="168"/>
    <cellStyle name="Header1Center 2 11" xfId="168"/>
    <cellStyle name="Header1Center 2 12" xfId="168"/>
    <cellStyle name="Header1Center 2 13" xfId="168"/>
    <cellStyle name="Header1Center 2 14" xfId="168"/>
    <cellStyle name="Header1Center 2 2" xfId="168"/>
    <cellStyle name="Header1Center 2 2 10" xfId="168"/>
    <cellStyle name="Header1Center 2 2 11" xfId="168"/>
    <cellStyle name="Header1Center 2 2 12" xfId="168"/>
    <cellStyle name="Header1Center 2 2 13" xfId="168"/>
    <cellStyle name="Header1Center 2 2 14" xfId="168"/>
    <cellStyle name="Header1Center 2 2 2" xfId="168"/>
    <cellStyle name="Header1Center 2 2 2 10" xfId="168"/>
    <cellStyle name="Header1Center 2 2 2 11" xfId="168"/>
    <cellStyle name="Header1Center 2 2 2 12" xfId="168"/>
    <cellStyle name="Header1Center 2 2 2 2" xfId="168"/>
    <cellStyle name="Header1Center 2 2 2 2 2" xfId="168"/>
    <cellStyle name="Header1Center 2 2 2 2 2 2" xfId="168"/>
    <cellStyle name="Header1Center 2 2 2 2 2 3" xfId="168"/>
    <cellStyle name="Header1Center 2 2 2 2 2 4" xfId="168"/>
    <cellStyle name="Header1Center 2 2 2 2 2 5" xfId="168"/>
    <cellStyle name="Header1Center 2 2 2 2 3" xfId="168"/>
    <cellStyle name="Header1Center 2 2 2 2 3 2" xfId="168"/>
    <cellStyle name="Header1Center 2 2 2 2 3 3" xfId="168"/>
    <cellStyle name="Header1Center 2 2 2 2 3 4" xfId="168"/>
    <cellStyle name="Header1Center 2 2 2 2 4" xfId="168"/>
    <cellStyle name="Header1Center 2 2 2 2 5" xfId="168"/>
    <cellStyle name="Header1Center 2 2 2 2 6" xfId="168"/>
    <cellStyle name="Header1Center 2 2 2 2 7" xfId="168"/>
    <cellStyle name="Header1Center 2 2 2 2 8" xfId="168"/>
    <cellStyle name="Header1Center 2 2 2 3" xfId="168"/>
    <cellStyle name="Header1Center 2 2 2 3 2" xfId="168"/>
    <cellStyle name="Header1Center 2 2 2 3 2 2" xfId="168"/>
    <cellStyle name="Header1Center 2 2 2 3 2 3" xfId="168"/>
    <cellStyle name="Header1Center 2 2 2 3 2 4" xfId="168"/>
    <cellStyle name="Header1Center 2 2 2 3 2 5" xfId="168"/>
    <cellStyle name="Header1Center 2 2 2 3 3" xfId="168"/>
    <cellStyle name="Header1Center 2 2 2 3 3 2" xfId="168"/>
    <cellStyle name="Header1Center 2 2 2 3 3 3" xfId="168"/>
    <cellStyle name="Header1Center 2 2 2 3 3 4" xfId="168"/>
    <cellStyle name="Header1Center 2 2 2 3 4" xfId="168"/>
    <cellStyle name="Header1Center 2 2 2 3 5" xfId="168"/>
    <cellStyle name="Header1Center 2 2 2 3 6" xfId="168"/>
    <cellStyle name="Header1Center 2 2 2 3 7" xfId="168"/>
    <cellStyle name="Header1Center 2 2 2 3 8" xfId="168"/>
    <cellStyle name="Header1Center 2 2 2 4" xfId="168"/>
    <cellStyle name="Header1Center 2 2 2 4 2" xfId="168"/>
    <cellStyle name="Header1Center 2 2 2 4 2 2" xfId="168"/>
    <cellStyle name="Header1Center 2 2 2 4 2 3" xfId="168"/>
    <cellStyle name="Header1Center 2 2 2 4 2 4" xfId="168"/>
    <cellStyle name="Header1Center 2 2 2 4 2 5" xfId="168"/>
    <cellStyle name="Header1Center 2 2 2 4 3" xfId="168"/>
    <cellStyle name="Header1Center 2 2 2 4 3 2" xfId="168"/>
    <cellStyle name="Header1Center 2 2 2 4 3 3" xfId="168"/>
    <cellStyle name="Header1Center 2 2 2 4 3 4" xfId="168"/>
    <cellStyle name="Header1Center 2 2 2 4 4" xfId="168"/>
    <cellStyle name="Header1Center 2 2 2 4 5" xfId="168"/>
    <cellStyle name="Header1Center 2 2 2 4 6" xfId="168"/>
    <cellStyle name="Header1Center 2 2 2 4 7" xfId="168"/>
    <cellStyle name="Header1Center 2 2 2 4 8" xfId="168"/>
    <cellStyle name="Header1Center 2 2 2 5" xfId="168"/>
    <cellStyle name="Header1Center 2 2 2 5 2" xfId="168"/>
    <cellStyle name="Header1Center 2 2 2 5 2 2" xfId="168"/>
    <cellStyle name="Header1Center 2 2 2 5 2 3" xfId="168"/>
    <cellStyle name="Header1Center 2 2 2 5 2 4" xfId="168"/>
    <cellStyle name="Header1Center 2 2 2 5 2 5" xfId="168"/>
    <cellStyle name="Header1Center 2 2 2 5 3" xfId="168"/>
    <cellStyle name="Header1Center 2 2 2 5 3 2" xfId="168"/>
    <cellStyle name="Header1Center 2 2 2 5 3 3" xfId="168"/>
    <cellStyle name="Header1Center 2 2 2 5 3 4" xfId="168"/>
    <cellStyle name="Header1Center 2 2 2 5 4" xfId="168"/>
    <cellStyle name="Header1Center 2 2 2 5 5" xfId="168"/>
    <cellStyle name="Header1Center 2 2 2 5 6" xfId="168"/>
    <cellStyle name="Header1Center 2 2 2 5 7" xfId="168"/>
    <cellStyle name="Header1Center 2 2 2 5 8" xfId="168"/>
    <cellStyle name="Header1Center 2 2 2 6" xfId="168"/>
    <cellStyle name="Header1Center 2 2 2 6 2" xfId="168"/>
    <cellStyle name="Header1Center 2 2 2 6 3" xfId="168"/>
    <cellStyle name="Header1Center 2 2 2 6 4" xfId="168"/>
    <cellStyle name="Header1Center 2 2 2 6 5" xfId="168"/>
    <cellStyle name="Header1Center 2 2 2 7" xfId="168"/>
    <cellStyle name="Header1Center 2 2 2 7 2" xfId="168"/>
    <cellStyle name="Header1Center 2 2 2 7 3" xfId="168"/>
    <cellStyle name="Header1Center 2 2 2 7 4" xfId="168"/>
    <cellStyle name="Header1Center 2 2 2 8" xfId="168"/>
    <cellStyle name="Header1Center 2 2 2 9" xfId="168"/>
    <cellStyle name="Header1Center 2 2 3" xfId="168"/>
    <cellStyle name="Header1Center 2 2 3 10" xfId="168"/>
    <cellStyle name="Header1Center 2 2 3 11" xfId="168"/>
    <cellStyle name="Header1Center 2 2 3 12" xfId="168"/>
    <cellStyle name="Header1Center 2 2 3 2" xfId="168"/>
    <cellStyle name="Header1Center 2 2 3 2 2" xfId="168"/>
    <cellStyle name="Header1Center 2 2 3 2 2 2" xfId="168"/>
    <cellStyle name="Header1Center 2 2 3 2 2 3" xfId="168"/>
    <cellStyle name="Header1Center 2 2 3 2 2 4" xfId="168"/>
    <cellStyle name="Header1Center 2 2 3 2 2 5" xfId="168"/>
    <cellStyle name="Header1Center 2 2 3 2 3" xfId="168"/>
    <cellStyle name="Header1Center 2 2 3 2 3 2" xfId="168"/>
    <cellStyle name="Header1Center 2 2 3 2 3 3" xfId="168"/>
    <cellStyle name="Header1Center 2 2 3 2 3 4" xfId="168"/>
    <cellStyle name="Header1Center 2 2 3 2 4" xfId="168"/>
    <cellStyle name="Header1Center 2 2 3 2 5" xfId="168"/>
    <cellStyle name="Header1Center 2 2 3 2 6" xfId="168"/>
    <cellStyle name="Header1Center 2 2 3 2 7" xfId="168"/>
    <cellStyle name="Header1Center 2 2 3 2 8" xfId="168"/>
    <cellStyle name="Header1Center 2 2 3 3" xfId="168"/>
    <cellStyle name="Header1Center 2 2 3 3 2" xfId="168"/>
    <cellStyle name="Header1Center 2 2 3 3 2 2" xfId="168"/>
    <cellStyle name="Header1Center 2 2 3 3 2 3" xfId="168"/>
    <cellStyle name="Header1Center 2 2 3 3 2 4" xfId="168"/>
    <cellStyle name="Header1Center 2 2 3 3 2 5" xfId="168"/>
    <cellStyle name="Header1Center 2 2 3 3 3" xfId="168"/>
    <cellStyle name="Header1Center 2 2 3 3 3 2" xfId="168"/>
    <cellStyle name="Header1Center 2 2 3 3 3 3" xfId="168"/>
    <cellStyle name="Header1Center 2 2 3 3 3 4" xfId="168"/>
    <cellStyle name="Header1Center 2 2 3 3 4" xfId="168"/>
    <cellStyle name="Header1Center 2 2 3 3 5" xfId="168"/>
    <cellStyle name="Header1Center 2 2 3 3 6" xfId="168"/>
    <cellStyle name="Header1Center 2 2 3 3 7" xfId="168"/>
    <cellStyle name="Header1Center 2 2 3 3 8" xfId="168"/>
    <cellStyle name="Header1Center 2 2 3 4" xfId="168"/>
    <cellStyle name="Header1Center 2 2 3 4 2" xfId="168"/>
    <cellStyle name="Header1Center 2 2 3 4 2 2" xfId="168"/>
    <cellStyle name="Header1Center 2 2 3 4 2 3" xfId="168"/>
    <cellStyle name="Header1Center 2 2 3 4 2 4" xfId="168"/>
    <cellStyle name="Header1Center 2 2 3 4 2 5" xfId="168"/>
    <cellStyle name="Header1Center 2 2 3 4 3" xfId="168"/>
    <cellStyle name="Header1Center 2 2 3 4 3 2" xfId="168"/>
    <cellStyle name="Header1Center 2 2 3 4 3 3" xfId="168"/>
    <cellStyle name="Header1Center 2 2 3 4 3 4" xfId="168"/>
    <cellStyle name="Header1Center 2 2 3 4 4" xfId="168"/>
    <cellStyle name="Header1Center 2 2 3 4 5" xfId="168"/>
    <cellStyle name="Header1Center 2 2 3 4 6" xfId="168"/>
    <cellStyle name="Header1Center 2 2 3 4 7" xfId="168"/>
    <cellStyle name="Header1Center 2 2 3 4 8" xfId="168"/>
    <cellStyle name="Header1Center 2 2 3 5" xfId="168"/>
    <cellStyle name="Header1Center 2 2 3 5 2" xfId="168"/>
    <cellStyle name="Header1Center 2 2 3 5 2 2" xfId="168"/>
    <cellStyle name="Header1Center 2 2 3 5 2 3" xfId="168"/>
    <cellStyle name="Header1Center 2 2 3 5 2 4" xfId="168"/>
    <cellStyle name="Header1Center 2 2 3 5 2 5" xfId="168"/>
    <cellStyle name="Header1Center 2 2 3 5 3" xfId="168"/>
    <cellStyle name="Header1Center 2 2 3 5 3 2" xfId="168"/>
    <cellStyle name="Header1Center 2 2 3 5 3 3" xfId="168"/>
    <cellStyle name="Header1Center 2 2 3 5 3 4" xfId="168"/>
    <cellStyle name="Header1Center 2 2 3 5 4" xfId="168"/>
    <cellStyle name="Header1Center 2 2 3 5 5" xfId="168"/>
    <cellStyle name="Header1Center 2 2 3 5 6" xfId="168"/>
    <cellStyle name="Header1Center 2 2 3 5 7" xfId="168"/>
    <cellStyle name="Header1Center 2 2 3 5 8" xfId="168"/>
    <cellStyle name="Header1Center 2 2 3 6" xfId="168"/>
    <cellStyle name="Header1Center 2 2 3 6 2" xfId="168"/>
    <cellStyle name="Header1Center 2 2 3 6 3" xfId="168"/>
    <cellStyle name="Header1Center 2 2 3 6 4" xfId="168"/>
    <cellStyle name="Header1Center 2 2 3 6 5" xfId="168"/>
    <cellStyle name="Header1Center 2 2 3 7" xfId="168"/>
    <cellStyle name="Header1Center 2 2 3 7 2" xfId="168"/>
    <cellStyle name="Header1Center 2 2 3 7 3" xfId="168"/>
    <cellStyle name="Header1Center 2 2 3 7 4" xfId="168"/>
    <cellStyle name="Header1Center 2 2 3 8" xfId="168"/>
    <cellStyle name="Header1Center 2 2 3 9" xfId="168"/>
    <cellStyle name="Header1Center 2 2 4" xfId="168"/>
    <cellStyle name="Header1Center 2 2 4 2" xfId="168"/>
    <cellStyle name="Header1Center 2 2 4 2 2" xfId="168"/>
    <cellStyle name="Header1Center 2 2 4 2 3" xfId="168"/>
    <cellStyle name="Header1Center 2 2 4 2 4" xfId="168"/>
    <cellStyle name="Header1Center 2 2 4 2 5" xfId="168"/>
    <cellStyle name="Header1Center 2 2 4 3" xfId="168"/>
    <cellStyle name="Header1Center 2 2 4 3 2" xfId="168"/>
    <cellStyle name="Header1Center 2 2 4 3 3" xfId="168"/>
    <cellStyle name="Header1Center 2 2 4 3 4" xfId="168"/>
    <cellStyle name="Header1Center 2 2 4 4" xfId="168"/>
    <cellStyle name="Header1Center 2 2 4 5" xfId="168"/>
    <cellStyle name="Header1Center 2 2 4 6" xfId="168"/>
    <cellStyle name="Header1Center 2 2 4 7" xfId="168"/>
    <cellStyle name="Header1Center 2 2 4 8" xfId="168"/>
    <cellStyle name="Header1Center 2 2 5" xfId="168"/>
    <cellStyle name="Header1Center 2 2 5 2" xfId="168"/>
    <cellStyle name="Header1Center 2 2 5 2 2" xfId="168"/>
    <cellStyle name="Header1Center 2 2 5 2 3" xfId="168"/>
    <cellStyle name="Header1Center 2 2 5 2 4" xfId="168"/>
    <cellStyle name="Header1Center 2 2 5 2 5" xfId="168"/>
    <cellStyle name="Header1Center 2 2 5 3" xfId="168"/>
    <cellStyle name="Header1Center 2 2 5 3 2" xfId="168"/>
    <cellStyle name="Header1Center 2 2 5 3 3" xfId="168"/>
    <cellStyle name="Header1Center 2 2 5 3 4" xfId="168"/>
    <cellStyle name="Header1Center 2 2 5 4" xfId="168"/>
    <cellStyle name="Header1Center 2 2 5 5" xfId="168"/>
    <cellStyle name="Header1Center 2 2 5 6" xfId="168"/>
    <cellStyle name="Header1Center 2 2 5 7" xfId="168"/>
    <cellStyle name="Header1Center 2 2 5 8" xfId="168"/>
    <cellStyle name="Header1Center 2 2 6" xfId="168"/>
    <cellStyle name="Header1Center 2 2 6 2" xfId="168"/>
    <cellStyle name="Header1Center 2 2 6 2 2" xfId="168"/>
    <cellStyle name="Header1Center 2 2 6 2 3" xfId="168"/>
    <cellStyle name="Header1Center 2 2 6 2 4" xfId="168"/>
    <cellStyle name="Header1Center 2 2 6 2 5" xfId="168"/>
    <cellStyle name="Header1Center 2 2 6 3" xfId="168"/>
    <cellStyle name="Header1Center 2 2 6 3 2" xfId="168"/>
    <cellStyle name="Header1Center 2 2 6 3 3" xfId="168"/>
    <cellStyle name="Header1Center 2 2 6 3 4" xfId="168"/>
    <cellStyle name="Header1Center 2 2 6 4" xfId="168"/>
    <cellStyle name="Header1Center 2 2 6 5" xfId="168"/>
    <cellStyle name="Header1Center 2 2 6 6" xfId="168"/>
    <cellStyle name="Header1Center 2 2 6 7" xfId="168"/>
    <cellStyle name="Header1Center 2 2 6 8" xfId="168"/>
    <cellStyle name="Header1Center 2 2 7" xfId="168"/>
    <cellStyle name="Header1Center 2 2 7 2" xfId="168"/>
    <cellStyle name="Header1Center 2 2 7 2 2" xfId="168"/>
    <cellStyle name="Header1Center 2 2 7 2 3" xfId="168"/>
    <cellStyle name="Header1Center 2 2 7 2 4" xfId="168"/>
    <cellStyle name="Header1Center 2 2 7 2 5" xfId="168"/>
    <cellStyle name="Header1Center 2 2 7 3" xfId="168"/>
    <cellStyle name="Header1Center 2 2 7 3 2" xfId="168"/>
    <cellStyle name="Header1Center 2 2 7 3 3" xfId="168"/>
    <cellStyle name="Header1Center 2 2 7 3 4" xfId="168"/>
    <cellStyle name="Header1Center 2 2 7 4" xfId="168"/>
    <cellStyle name="Header1Center 2 2 7 5" xfId="168"/>
    <cellStyle name="Header1Center 2 2 7 6" xfId="168"/>
    <cellStyle name="Header1Center 2 2 7 7" xfId="168"/>
    <cellStyle name="Header1Center 2 2 7 8" xfId="168"/>
    <cellStyle name="Header1Center 2 2 8" xfId="168"/>
    <cellStyle name="Header1Center 2 2 8 2" xfId="168"/>
    <cellStyle name="Header1Center 2 2 8 3" xfId="168"/>
    <cellStyle name="Header1Center 2 2 8 4" xfId="168"/>
    <cellStyle name="Header1Center 2 2 8 5" xfId="168"/>
    <cellStyle name="Header1Center 2 2 9" xfId="168"/>
    <cellStyle name="Header1Center 2 2 9 2" xfId="168"/>
    <cellStyle name="Header1Center 2 2 9 3" xfId="168"/>
    <cellStyle name="Header1Center 2 2 9 4" xfId="168"/>
    <cellStyle name="Header1Center 2 3" xfId="168"/>
    <cellStyle name="Header1Center 2 3 10" xfId="168"/>
    <cellStyle name="Header1Center 2 3 11" xfId="168"/>
    <cellStyle name="Header1Center 2 3 12" xfId="168"/>
    <cellStyle name="Header1Center 2 3 2" xfId="168"/>
    <cellStyle name="Header1Center 2 3 2 2" xfId="168"/>
    <cellStyle name="Header1Center 2 3 2 2 2" xfId="168"/>
    <cellStyle name="Header1Center 2 3 2 2 3" xfId="168"/>
    <cellStyle name="Header1Center 2 3 2 2 4" xfId="168"/>
    <cellStyle name="Header1Center 2 3 2 2 5" xfId="168"/>
    <cellStyle name="Header1Center 2 3 2 3" xfId="168"/>
    <cellStyle name="Header1Center 2 3 2 3 2" xfId="168"/>
    <cellStyle name="Header1Center 2 3 2 3 3" xfId="168"/>
    <cellStyle name="Header1Center 2 3 2 3 4" xfId="168"/>
    <cellStyle name="Header1Center 2 3 2 4" xfId="168"/>
    <cellStyle name="Header1Center 2 3 2 5" xfId="168"/>
    <cellStyle name="Header1Center 2 3 2 6" xfId="168"/>
    <cellStyle name="Header1Center 2 3 2 7" xfId="168"/>
    <cellStyle name="Header1Center 2 3 2 8" xfId="168"/>
    <cellStyle name="Header1Center 2 3 3" xfId="168"/>
    <cellStyle name="Header1Center 2 3 3 2" xfId="168"/>
    <cellStyle name="Header1Center 2 3 3 2 2" xfId="168"/>
    <cellStyle name="Header1Center 2 3 3 2 3" xfId="168"/>
    <cellStyle name="Header1Center 2 3 3 2 4" xfId="168"/>
    <cellStyle name="Header1Center 2 3 3 2 5" xfId="168"/>
    <cellStyle name="Header1Center 2 3 3 3" xfId="168"/>
    <cellStyle name="Header1Center 2 3 3 3 2" xfId="168"/>
    <cellStyle name="Header1Center 2 3 3 3 3" xfId="168"/>
    <cellStyle name="Header1Center 2 3 3 3 4" xfId="168"/>
    <cellStyle name="Header1Center 2 3 3 4" xfId="168"/>
    <cellStyle name="Header1Center 2 3 3 5" xfId="168"/>
    <cellStyle name="Header1Center 2 3 3 6" xfId="168"/>
    <cellStyle name="Header1Center 2 3 3 7" xfId="168"/>
    <cellStyle name="Header1Center 2 3 3 8" xfId="168"/>
    <cellStyle name="Header1Center 2 3 4" xfId="168"/>
    <cellStyle name="Header1Center 2 3 4 2" xfId="168"/>
    <cellStyle name="Header1Center 2 3 4 2 2" xfId="168"/>
    <cellStyle name="Header1Center 2 3 4 2 3" xfId="168"/>
    <cellStyle name="Header1Center 2 3 4 2 4" xfId="168"/>
    <cellStyle name="Header1Center 2 3 4 2 5" xfId="168"/>
    <cellStyle name="Header1Center 2 3 4 3" xfId="168"/>
    <cellStyle name="Header1Center 2 3 4 3 2" xfId="168"/>
    <cellStyle name="Header1Center 2 3 4 3 3" xfId="168"/>
    <cellStyle name="Header1Center 2 3 4 3 4" xfId="168"/>
    <cellStyle name="Header1Center 2 3 4 4" xfId="168"/>
    <cellStyle name="Header1Center 2 3 4 5" xfId="168"/>
    <cellStyle name="Header1Center 2 3 4 6" xfId="168"/>
    <cellStyle name="Header1Center 2 3 4 7" xfId="168"/>
    <cellStyle name="Header1Center 2 3 4 8" xfId="168"/>
    <cellStyle name="Header1Center 2 3 5" xfId="168"/>
    <cellStyle name="Header1Center 2 3 5 2" xfId="168"/>
    <cellStyle name="Header1Center 2 3 5 2 2" xfId="168"/>
    <cellStyle name="Header1Center 2 3 5 2 3" xfId="168"/>
    <cellStyle name="Header1Center 2 3 5 2 4" xfId="168"/>
    <cellStyle name="Header1Center 2 3 5 2 5" xfId="168"/>
    <cellStyle name="Header1Center 2 3 5 3" xfId="168"/>
    <cellStyle name="Header1Center 2 3 5 3 2" xfId="168"/>
    <cellStyle name="Header1Center 2 3 5 3 3" xfId="168"/>
    <cellStyle name="Header1Center 2 3 5 3 4" xfId="168"/>
    <cellStyle name="Header1Center 2 3 5 4" xfId="168"/>
    <cellStyle name="Header1Center 2 3 5 5" xfId="168"/>
    <cellStyle name="Header1Center 2 3 5 6" xfId="168"/>
    <cellStyle name="Header1Center 2 3 5 7" xfId="168"/>
    <cellStyle name="Header1Center 2 3 5 8" xfId="168"/>
    <cellStyle name="Header1Center 2 3 6" xfId="168"/>
    <cellStyle name="Header1Center 2 3 6 2" xfId="168"/>
    <cellStyle name="Header1Center 2 3 6 3" xfId="168"/>
    <cellStyle name="Header1Center 2 3 6 4" xfId="168"/>
    <cellStyle name="Header1Center 2 3 6 5" xfId="168"/>
    <cellStyle name="Header1Center 2 3 7" xfId="168"/>
    <cellStyle name="Header1Center 2 3 7 2" xfId="168"/>
    <cellStyle name="Header1Center 2 3 7 3" xfId="168"/>
    <cellStyle name="Header1Center 2 3 7 4" xfId="168"/>
    <cellStyle name="Header1Center 2 3 8" xfId="168"/>
    <cellStyle name="Header1Center 2 3 9" xfId="168"/>
    <cellStyle name="Header1Center 2 4" xfId="168"/>
    <cellStyle name="Header1Center 2 4 2" xfId="168"/>
    <cellStyle name="Header1Center 2 4 2 2" xfId="168"/>
    <cellStyle name="Header1Center 2 4 2 3" xfId="168"/>
    <cellStyle name="Header1Center 2 4 2 4" xfId="168"/>
    <cellStyle name="Header1Center 2 4 2 5" xfId="168"/>
    <cellStyle name="Header1Center 2 4 3" xfId="168"/>
    <cellStyle name="Header1Center 2 4 3 2" xfId="168"/>
    <cellStyle name="Header1Center 2 4 3 3" xfId="168"/>
    <cellStyle name="Header1Center 2 4 3 4" xfId="168"/>
    <cellStyle name="Header1Center 2 4 4" xfId="168"/>
    <cellStyle name="Header1Center 2 4 5" xfId="168"/>
    <cellStyle name="Header1Center 2 4 6" xfId="168"/>
    <cellStyle name="Header1Center 2 4 7" xfId="168"/>
    <cellStyle name="Header1Center 2 4 8" xfId="168"/>
    <cellStyle name="Header1Center 2 5" xfId="168"/>
    <cellStyle name="Header1Center 2 5 2" xfId="168"/>
    <cellStyle name="Header1Center 2 5 2 2" xfId="168"/>
    <cellStyle name="Header1Center 2 5 2 3" xfId="168"/>
    <cellStyle name="Header1Center 2 5 2 4" xfId="168"/>
    <cellStyle name="Header1Center 2 5 2 5" xfId="168"/>
    <cellStyle name="Header1Center 2 5 3" xfId="168"/>
    <cellStyle name="Header1Center 2 5 3 2" xfId="168"/>
    <cellStyle name="Header1Center 2 5 3 3" xfId="168"/>
    <cellStyle name="Header1Center 2 5 3 4" xfId="168"/>
    <cellStyle name="Header1Center 2 5 4" xfId="168"/>
    <cellStyle name="Header1Center 2 5 5" xfId="168"/>
    <cellStyle name="Header1Center 2 5 6" xfId="168"/>
    <cellStyle name="Header1Center 2 5 7" xfId="168"/>
    <cellStyle name="Header1Center 2 5 8" xfId="168"/>
    <cellStyle name="Header1Center 2 6" xfId="168"/>
    <cellStyle name="Header1Center 2 6 2" xfId="168"/>
    <cellStyle name="Header1Center 2 6 2 2" xfId="168"/>
    <cellStyle name="Header1Center 2 6 2 3" xfId="168"/>
    <cellStyle name="Header1Center 2 6 2 4" xfId="168"/>
    <cellStyle name="Header1Center 2 6 2 5" xfId="168"/>
    <cellStyle name="Header1Center 2 6 3" xfId="168"/>
    <cellStyle name="Header1Center 2 6 3 2" xfId="168"/>
    <cellStyle name="Header1Center 2 6 3 3" xfId="168"/>
    <cellStyle name="Header1Center 2 6 3 4" xfId="168"/>
    <cellStyle name="Header1Center 2 6 4" xfId="168"/>
    <cellStyle name="Header1Center 2 6 5" xfId="168"/>
    <cellStyle name="Header1Center 2 6 6" xfId="168"/>
    <cellStyle name="Header1Center 2 6 7" xfId="168"/>
    <cellStyle name="Header1Center 2 6 8" xfId="168"/>
    <cellStyle name="Header1Center 2 7" xfId="168"/>
    <cellStyle name="Header1Center 2 7 2" xfId="168"/>
    <cellStyle name="Header1Center 2 7 2 2" xfId="168"/>
    <cellStyle name="Header1Center 2 7 2 3" xfId="168"/>
    <cellStyle name="Header1Center 2 7 2 4" xfId="168"/>
    <cellStyle name="Header1Center 2 7 2 5" xfId="168"/>
    <cellStyle name="Header1Center 2 7 3" xfId="168"/>
    <cellStyle name="Header1Center 2 7 3 2" xfId="168"/>
    <cellStyle name="Header1Center 2 7 3 3" xfId="168"/>
    <cellStyle name="Header1Center 2 7 3 4" xfId="168"/>
    <cellStyle name="Header1Center 2 7 4" xfId="168"/>
    <cellStyle name="Header1Center 2 7 5" xfId="168"/>
    <cellStyle name="Header1Center 2 7 6" xfId="168"/>
    <cellStyle name="Header1Center 2 7 7" xfId="168"/>
    <cellStyle name="Header1Center 2 7 8" xfId="168"/>
    <cellStyle name="Header1Center 2 8" xfId="168"/>
    <cellStyle name="Header1Center 2 8 2" xfId="168"/>
    <cellStyle name="Header1Center 2 8 3" xfId="168"/>
    <cellStyle name="Header1Center 2 8 4" xfId="168"/>
    <cellStyle name="Header1Center 2 8 5" xfId="168"/>
    <cellStyle name="Header1Center 2 9" xfId="168"/>
    <cellStyle name="Header1Center 2 9 2" xfId="168"/>
    <cellStyle name="Header1Center 2 9 3" xfId="168"/>
    <cellStyle name="Header1Center 2 9 4" xfId="168"/>
    <cellStyle name="Header1Center 3" xfId="168"/>
    <cellStyle name="Header1Center 3 10" xfId="168"/>
    <cellStyle name="Header1Center 3 10 2" xfId="168"/>
    <cellStyle name="Header1Center 3 10 2 2" xfId="168"/>
    <cellStyle name="Header1Center 3 10 2 3" xfId="168"/>
    <cellStyle name="Header1Center 3 10 2 4" xfId="168"/>
    <cellStyle name="Header1Center 3 10 2 5" xfId="168"/>
    <cellStyle name="Header1Center 3 10 3" xfId="168"/>
    <cellStyle name="Header1Center 3 10 3 2" xfId="168"/>
    <cellStyle name="Header1Center 3 10 3 3" xfId="168"/>
    <cellStyle name="Header1Center 3 10 3 4" xfId="168"/>
    <cellStyle name="Header1Center 3 10 4" xfId="168"/>
    <cellStyle name="Header1Center 3 10 5" xfId="168"/>
    <cellStyle name="Header1Center 3 10 6" xfId="168"/>
    <cellStyle name="Header1Center 3 10 7" xfId="168"/>
    <cellStyle name="Header1Center 3 10 8" xfId="168"/>
    <cellStyle name="Header1Center 3 11" xfId="168"/>
    <cellStyle name="Header1Center 3 11 2" xfId="168"/>
    <cellStyle name="Header1Center 3 11 2 2" xfId="168"/>
    <cellStyle name="Header1Center 3 11 2 3" xfId="168"/>
    <cellStyle name="Header1Center 3 11 2 4" xfId="168"/>
    <cellStyle name="Header1Center 3 11 2 5" xfId="168"/>
    <cellStyle name="Header1Center 3 11 3" xfId="168"/>
    <cellStyle name="Header1Center 3 11 3 2" xfId="168"/>
    <cellStyle name="Header1Center 3 11 3 3" xfId="168"/>
    <cellStyle name="Header1Center 3 11 3 4" xfId="168"/>
    <cellStyle name="Header1Center 3 11 4" xfId="168"/>
    <cellStyle name="Header1Center 3 11 5" xfId="168"/>
    <cellStyle name="Header1Center 3 11 6" xfId="168"/>
    <cellStyle name="Header1Center 3 11 7" xfId="168"/>
    <cellStyle name="Header1Center 3 12" xfId="168"/>
    <cellStyle name="Header1Center 3 12 2" xfId="168"/>
    <cellStyle name="Header1Center 3 12 2 2" xfId="168"/>
    <cellStyle name="Header1Center 3 12 2 3" xfId="168"/>
    <cellStyle name="Header1Center 3 12 2 4" xfId="168"/>
    <cellStyle name="Header1Center 3 12 2 5" xfId="168"/>
    <cellStyle name="Header1Center 3 12 3" xfId="168"/>
    <cellStyle name="Header1Center 3 12 3 2" xfId="168"/>
    <cellStyle name="Header1Center 3 12 3 3" xfId="168"/>
    <cellStyle name="Header1Center 3 12 3 4" xfId="168"/>
    <cellStyle name="Header1Center 3 12 4" xfId="168"/>
    <cellStyle name="Header1Center 3 12 5" xfId="168"/>
    <cellStyle name="Header1Center 3 12 6" xfId="168"/>
    <cellStyle name="Header1Center 3 12 7" xfId="168"/>
    <cellStyle name="Header1Center 3 12 8" xfId="168"/>
    <cellStyle name="Header1Center 3 13" xfId="168"/>
    <cellStyle name="Header1Center 3 13 2" xfId="168"/>
    <cellStyle name="Header1Center 3 13 3" xfId="168"/>
    <cellStyle name="Header1Center 3 13 4" xfId="168"/>
    <cellStyle name="Header1Center 3 13 5" xfId="168"/>
    <cellStyle name="Header1Center 3 14" xfId="168"/>
    <cellStyle name="Header1Center 3 14 2" xfId="168"/>
    <cellStyle name="Header1Center 3 14 3" xfId="168"/>
    <cellStyle name="Header1Center 3 14 4" xfId="168"/>
    <cellStyle name="Header1Center 3 15" xfId="168"/>
    <cellStyle name="Header1Center 3 16" xfId="168"/>
    <cellStyle name="Header1Center 3 17" xfId="168"/>
    <cellStyle name="Header1Center 3 18" xfId="168"/>
    <cellStyle name="Header1Center 3 2" xfId="168"/>
    <cellStyle name="Header1Center 3 2 10" xfId="168"/>
    <cellStyle name="Header1Center 3 2 11" xfId="168"/>
    <cellStyle name="Header1Center 3 2 12" xfId="168"/>
    <cellStyle name="Header1Center 3 2 2" xfId="168"/>
    <cellStyle name="Header1Center 3 2 2 2" xfId="168"/>
    <cellStyle name="Header1Center 3 2 2 2 2" xfId="168"/>
    <cellStyle name="Header1Center 3 2 2 2 3" xfId="168"/>
    <cellStyle name="Header1Center 3 2 2 2 4" xfId="168"/>
    <cellStyle name="Header1Center 3 2 2 2 5" xfId="168"/>
    <cellStyle name="Header1Center 3 2 2 3" xfId="168"/>
    <cellStyle name="Header1Center 3 2 2 3 2" xfId="168"/>
    <cellStyle name="Header1Center 3 2 2 3 3" xfId="168"/>
    <cellStyle name="Header1Center 3 2 2 3 4" xfId="168"/>
    <cellStyle name="Header1Center 3 2 2 4" xfId="168"/>
    <cellStyle name="Header1Center 3 2 2 5" xfId="168"/>
    <cellStyle name="Header1Center 3 2 2 6" xfId="168"/>
    <cellStyle name="Header1Center 3 2 2 7" xfId="168"/>
    <cellStyle name="Header1Center 3 2 2 8" xfId="168"/>
    <cellStyle name="Header1Center 3 2 3" xfId="168"/>
    <cellStyle name="Header1Center 3 2 3 2" xfId="168"/>
    <cellStyle name="Header1Center 3 2 3 2 2" xfId="168"/>
    <cellStyle name="Header1Center 3 2 3 2 3" xfId="168"/>
    <cellStyle name="Header1Center 3 2 3 2 4" xfId="168"/>
    <cellStyle name="Header1Center 3 2 3 2 5" xfId="168"/>
    <cellStyle name="Header1Center 3 2 3 3" xfId="168"/>
    <cellStyle name="Header1Center 3 2 3 3 2" xfId="168"/>
    <cellStyle name="Header1Center 3 2 3 3 3" xfId="168"/>
    <cellStyle name="Header1Center 3 2 3 3 4" xfId="168"/>
    <cellStyle name="Header1Center 3 2 3 4" xfId="168"/>
    <cellStyle name="Header1Center 3 2 3 5" xfId="168"/>
    <cellStyle name="Header1Center 3 2 3 6" xfId="168"/>
    <cellStyle name="Header1Center 3 2 3 7" xfId="168"/>
    <cellStyle name="Header1Center 3 2 3 8" xfId="168"/>
    <cellStyle name="Header1Center 3 2 4" xfId="168"/>
    <cellStyle name="Header1Center 3 2 4 2" xfId="168"/>
    <cellStyle name="Header1Center 3 2 4 2 2" xfId="168"/>
    <cellStyle name="Header1Center 3 2 4 2 3" xfId="168"/>
    <cellStyle name="Header1Center 3 2 4 2 4" xfId="168"/>
    <cellStyle name="Header1Center 3 2 4 2 5" xfId="168"/>
    <cellStyle name="Header1Center 3 2 4 3" xfId="168"/>
    <cellStyle name="Header1Center 3 2 4 3 2" xfId="168"/>
    <cellStyle name="Header1Center 3 2 4 3 3" xfId="168"/>
    <cellStyle name="Header1Center 3 2 4 3 4" xfId="168"/>
    <cellStyle name="Header1Center 3 2 4 4" xfId="168"/>
    <cellStyle name="Header1Center 3 2 4 5" xfId="168"/>
    <cellStyle name="Header1Center 3 2 4 6" xfId="168"/>
    <cellStyle name="Header1Center 3 2 4 7" xfId="168"/>
    <cellStyle name="Header1Center 3 2 4 8" xfId="168"/>
    <cellStyle name="Header1Center 3 2 5" xfId="168"/>
    <cellStyle name="Header1Center 3 2 5 2" xfId="168"/>
    <cellStyle name="Header1Center 3 2 5 2 2" xfId="168"/>
    <cellStyle name="Header1Center 3 2 5 2 3" xfId="168"/>
    <cellStyle name="Header1Center 3 2 5 2 4" xfId="168"/>
    <cellStyle name="Header1Center 3 2 5 2 5" xfId="168"/>
    <cellStyle name="Header1Center 3 2 5 3" xfId="168"/>
    <cellStyle name="Header1Center 3 2 5 3 2" xfId="168"/>
    <cellStyle name="Header1Center 3 2 5 3 3" xfId="168"/>
    <cellStyle name="Header1Center 3 2 5 3 4" xfId="168"/>
    <cellStyle name="Header1Center 3 2 5 4" xfId="168"/>
    <cellStyle name="Header1Center 3 2 5 5" xfId="168"/>
    <cellStyle name="Header1Center 3 2 5 6" xfId="168"/>
    <cellStyle name="Header1Center 3 2 5 7" xfId="168"/>
    <cellStyle name="Header1Center 3 2 5 8" xfId="168"/>
    <cellStyle name="Header1Center 3 2 6" xfId="168"/>
    <cellStyle name="Header1Center 3 2 6 2" xfId="168"/>
    <cellStyle name="Header1Center 3 2 6 3" xfId="168"/>
    <cellStyle name="Header1Center 3 2 6 4" xfId="168"/>
    <cellStyle name="Header1Center 3 2 6 5" xfId="168"/>
    <cellStyle name="Header1Center 3 2 7" xfId="168"/>
    <cellStyle name="Header1Center 3 2 7 2" xfId="168"/>
    <cellStyle name="Header1Center 3 2 7 3" xfId="168"/>
    <cellStyle name="Header1Center 3 2 7 4" xfId="168"/>
    <cellStyle name="Header1Center 3 2 8" xfId="168"/>
    <cellStyle name="Header1Center 3 2 9" xfId="168"/>
    <cellStyle name="Header1Center 3 3" xfId="168"/>
    <cellStyle name="Header1Center 3 3 10" xfId="168"/>
    <cellStyle name="Header1Center 3 3 11" xfId="168"/>
    <cellStyle name="Header1Center 3 3 12" xfId="168"/>
    <cellStyle name="Header1Center 3 3 2" xfId="168"/>
    <cellStyle name="Header1Center 3 3 2 2" xfId="168"/>
    <cellStyle name="Header1Center 3 3 2 2 2" xfId="168"/>
    <cellStyle name="Header1Center 3 3 2 2 3" xfId="168"/>
    <cellStyle name="Header1Center 3 3 2 2 4" xfId="168"/>
    <cellStyle name="Header1Center 3 3 2 2 5" xfId="168"/>
    <cellStyle name="Header1Center 3 3 2 3" xfId="168"/>
    <cellStyle name="Header1Center 3 3 2 3 2" xfId="168"/>
    <cellStyle name="Header1Center 3 3 2 3 3" xfId="168"/>
    <cellStyle name="Header1Center 3 3 2 3 4" xfId="168"/>
    <cellStyle name="Header1Center 3 3 2 4" xfId="168"/>
    <cellStyle name="Header1Center 3 3 2 5" xfId="168"/>
    <cellStyle name="Header1Center 3 3 2 6" xfId="168"/>
    <cellStyle name="Header1Center 3 3 2 7" xfId="168"/>
    <cellStyle name="Header1Center 3 3 2 8" xfId="168"/>
    <cellStyle name="Header1Center 3 3 3" xfId="168"/>
    <cellStyle name="Header1Center 3 3 3 2" xfId="168"/>
    <cellStyle name="Header1Center 3 3 3 2 2" xfId="168"/>
    <cellStyle name="Header1Center 3 3 3 2 3" xfId="168"/>
    <cellStyle name="Header1Center 3 3 3 2 4" xfId="168"/>
    <cellStyle name="Header1Center 3 3 3 2 5" xfId="168"/>
    <cellStyle name="Header1Center 3 3 3 3" xfId="168"/>
    <cellStyle name="Header1Center 3 3 3 3 2" xfId="168"/>
    <cellStyle name="Header1Center 3 3 3 3 3" xfId="168"/>
    <cellStyle name="Header1Center 3 3 3 3 4" xfId="168"/>
    <cellStyle name="Header1Center 3 3 3 4" xfId="168"/>
    <cellStyle name="Header1Center 3 3 3 5" xfId="168"/>
    <cellStyle name="Header1Center 3 3 3 6" xfId="168"/>
    <cellStyle name="Header1Center 3 3 3 7" xfId="168"/>
    <cellStyle name="Header1Center 3 3 3 8" xfId="168"/>
    <cellStyle name="Header1Center 3 3 4" xfId="168"/>
    <cellStyle name="Header1Center 3 3 4 2" xfId="168"/>
    <cellStyle name="Header1Center 3 3 4 2 2" xfId="168"/>
    <cellStyle name="Header1Center 3 3 4 2 3" xfId="168"/>
    <cellStyle name="Header1Center 3 3 4 2 4" xfId="168"/>
    <cellStyle name="Header1Center 3 3 4 2 5" xfId="168"/>
    <cellStyle name="Header1Center 3 3 4 3" xfId="168"/>
    <cellStyle name="Header1Center 3 3 4 3 2" xfId="168"/>
    <cellStyle name="Header1Center 3 3 4 3 3" xfId="168"/>
    <cellStyle name="Header1Center 3 3 4 3 4" xfId="168"/>
    <cellStyle name="Header1Center 3 3 4 4" xfId="168"/>
    <cellStyle name="Header1Center 3 3 4 5" xfId="168"/>
    <cellStyle name="Header1Center 3 3 4 6" xfId="168"/>
    <cellStyle name="Header1Center 3 3 4 7" xfId="168"/>
    <cellStyle name="Header1Center 3 3 4 8" xfId="168"/>
    <cellStyle name="Header1Center 3 3 5" xfId="168"/>
    <cellStyle name="Header1Center 3 3 5 2" xfId="168"/>
    <cellStyle name="Header1Center 3 3 5 2 2" xfId="168"/>
    <cellStyle name="Header1Center 3 3 5 2 3" xfId="168"/>
    <cellStyle name="Header1Center 3 3 5 2 4" xfId="168"/>
    <cellStyle name="Header1Center 3 3 5 2 5" xfId="168"/>
    <cellStyle name="Header1Center 3 3 5 3" xfId="168"/>
    <cellStyle name="Header1Center 3 3 5 3 2" xfId="168"/>
    <cellStyle name="Header1Center 3 3 5 3 3" xfId="168"/>
    <cellStyle name="Header1Center 3 3 5 3 4" xfId="168"/>
    <cellStyle name="Header1Center 3 3 5 4" xfId="168"/>
    <cellStyle name="Header1Center 3 3 5 5" xfId="168"/>
    <cellStyle name="Header1Center 3 3 5 6" xfId="168"/>
    <cellStyle name="Header1Center 3 3 5 7" xfId="168"/>
    <cellStyle name="Header1Center 3 3 5 8" xfId="168"/>
    <cellStyle name="Header1Center 3 3 6" xfId="168"/>
    <cellStyle name="Header1Center 3 3 6 2" xfId="168"/>
    <cellStyle name="Header1Center 3 3 6 3" xfId="168"/>
    <cellStyle name="Header1Center 3 3 6 4" xfId="168"/>
    <cellStyle name="Header1Center 3 3 6 5" xfId="168"/>
    <cellStyle name="Header1Center 3 3 7" xfId="168"/>
    <cellStyle name="Header1Center 3 3 7 2" xfId="168"/>
    <cellStyle name="Header1Center 3 3 7 3" xfId="168"/>
    <cellStyle name="Header1Center 3 3 7 4" xfId="168"/>
    <cellStyle name="Header1Center 3 3 8" xfId="168"/>
    <cellStyle name="Header1Center 3 3 9" xfId="168"/>
    <cellStyle name="Header1Center 3 4" xfId="168"/>
    <cellStyle name="Header1Center 3 4 10" xfId="168"/>
    <cellStyle name="Header1Center 3 4 11" xfId="168"/>
    <cellStyle name="Header1Center 3 4 12" xfId="168"/>
    <cellStyle name="Header1Center 3 4 2" xfId="168"/>
    <cellStyle name="Header1Center 3 4 2 2" xfId="168"/>
    <cellStyle name="Header1Center 3 4 2 2 2" xfId="168"/>
    <cellStyle name="Header1Center 3 4 2 2 3" xfId="168"/>
    <cellStyle name="Header1Center 3 4 2 2 4" xfId="168"/>
    <cellStyle name="Header1Center 3 4 2 2 5" xfId="168"/>
    <cellStyle name="Header1Center 3 4 2 3" xfId="168"/>
    <cellStyle name="Header1Center 3 4 2 3 2" xfId="168"/>
    <cellStyle name="Header1Center 3 4 2 3 3" xfId="168"/>
    <cellStyle name="Header1Center 3 4 2 3 4" xfId="168"/>
    <cellStyle name="Header1Center 3 4 2 4" xfId="168"/>
    <cellStyle name="Header1Center 3 4 2 5" xfId="168"/>
    <cellStyle name="Header1Center 3 4 2 6" xfId="168"/>
    <cellStyle name="Header1Center 3 4 2 7" xfId="168"/>
    <cellStyle name="Header1Center 3 4 2 8" xfId="168"/>
    <cellStyle name="Header1Center 3 4 3" xfId="168"/>
    <cellStyle name="Header1Center 3 4 3 2" xfId="168"/>
    <cellStyle name="Header1Center 3 4 3 2 2" xfId="168"/>
    <cellStyle name="Header1Center 3 4 3 2 3" xfId="168"/>
    <cellStyle name="Header1Center 3 4 3 2 4" xfId="168"/>
    <cellStyle name="Header1Center 3 4 3 2 5" xfId="168"/>
    <cellStyle name="Header1Center 3 4 3 3" xfId="168"/>
    <cellStyle name="Header1Center 3 4 3 3 2" xfId="168"/>
    <cellStyle name="Header1Center 3 4 3 3 3" xfId="168"/>
    <cellStyle name="Header1Center 3 4 3 3 4" xfId="168"/>
    <cellStyle name="Header1Center 3 4 3 4" xfId="168"/>
    <cellStyle name="Header1Center 3 4 3 5" xfId="168"/>
    <cellStyle name="Header1Center 3 4 3 6" xfId="168"/>
    <cellStyle name="Header1Center 3 4 3 7" xfId="168"/>
    <cellStyle name="Header1Center 3 4 3 8" xfId="168"/>
    <cellStyle name="Header1Center 3 4 4" xfId="168"/>
    <cellStyle name="Header1Center 3 4 4 2" xfId="168"/>
    <cellStyle name="Header1Center 3 4 4 2 2" xfId="168"/>
    <cellStyle name="Header1Center 3 4 4 2 3" xfId="168"/>
    <cellStyle name="Header1Center 3 4 4 2 4" xfId="168"/>
    <cellStyle name="Header1Center 3 4 4 2 5" xfId="168"/>
    <cellStyle name="Header1Center 3 4 4 3" xfId="168"/>
    <cellStyle name="Header1Center 3 4 4 3 2" xfId="168"/>
    <cellStyle name="Header1Center 3 4 4 3 3" xfId="168"/>
    <cellStyle name="Header1Center 3 4 4 3 4" xfId="168"/>
    <cellStyle name="Header1Center 3 4 4 4" xfId="168"/>
    <cellStyle name="Header1Center 3 4 4 5" xfId="168"/>
    <cellStyle name="Header1Center 3 4 4 6" xfId="168"/>
    <cellStyle name="Header1Center 3 4 4 7" xfId="168"/>
    <cellStyle name="Header1Center 3 4 4 8" xfId="168"/>
    <cellStyle name="Header1Center 3 4 5" xfId="168"/>
    <cellStyle name="Header1Center 3 4 5 2" xfId="168"/>
    <cellStyle name="Header1Center 3 4 5 2 2" xfId="168"/>
    <cellStyle name="Header1Center 3 4 5 2 3" xfId="168"/>
    <cellStyle name="Header1Center 3 4 5 2 4" xfId="168"/>
    <cellStyle name="Header1Center 3 4 5 2 5" xfId="168"/>
    <cellStyle name="Header1Center 3 4 5 3" xfId="168"/>
    <cellStyle name="Header1Center 3 4 5 3 2" xfId="168"/>
    <cellStyle name="Header1Center 3 4 5 3 3" xfId="168"/>
    <cellStyle name="Header1Center 3 4 5 3 4" xfId="168"/>
    <cellStyle name="Header1Center 3 4 5 4" xfId="168"/>
    <cellStyle name="Header1Center 3 4 5 5" xfId="168"/>
    <cellStyle name="Header1Center 3 4 5 6" xfId="168"/>
    <cellStyle name="Header1Center 3 4 5 7" xfId="168"/>
    <cellStyle name="Header1Center 3 4 5 8" xfId="168"/>
    <cellStyle name="Header1Center 3 4 6" xfId="168"/>
    <cellStyle name="Header1Center 3 4 6 2" xfId="168"/>
    <cellStyle name="Header1Center 3 4 6 3" xfId="168"/>
    <cellStyle name="Header1Center 3 4 6 4" xfId="168"/>
    <cellStyle name="Header1Center 3 4 6 5" xfId="168"/>
    <cellStyle name="Header1Center 3 4 7" xfId="168"/>
    <cellStyle name="Header1Center 3 4 7 2" xfId="168"/>
    <cellStyle name="Header1Center 3 4 7 3" xfId="168"/>
    <cellStyle name="Header1Center 3 4 7 4" xfId="168"/>
    <cellStyle name="Header1Center 3 4 8" xfId="168"/>
    <cellStyle name="Header1Center 3 4 9" xfId="168"/>
    <cellStyle name="Header1Center 3 5" xfId="168"/>
    <cellStyle name="Header1Center 3 5 10" xfId="168"/>
    <cellStyle name="Header1Center 3 5 11" xfId="168"/>
    <cellStyle name="Header1Center 3 5 12" xfId="168"/>
    <cellStyle name="Header1Center 3 5 2" xfId="168"/>
    <cellStyle name="Header1Center 3 5 2 2" xfId="168"/>
    <cellStyle name="Header1Center 3 5 2 2 2" xfId="168"/>
    <cellStyle name="Header1Center 3 5 2 2 3" xfId="168"/>
    <cellStyle name="Header1Center 3 5 2 2 4" xfId="168"/>
    <cellStyle name="Header1Center 3 5 2 2 5" xfId="168"/>
    <cellStyle name="Header1Center 3 5 2 3" xfId="168"/>
    <cellStyle name="Header1Center 3 5 2 3 2" xfId="168"/>
    <cellStyle name="Header1Center 3 5 2 3 3" xfId="168"/>
    <cellStyle name="Header1Center 3 5 2 3 4" xfId="168"/>
    <cellStyle name="Header1Center 3 5 2 4" xfId="168"/>
    <cellStyle name="Header1Center 3 5 2 5" xfId="168"/>
    <cellStyle name="Header1Center 3 5 2 6" xfId="168"/>
    <cellStyle name="Header1Center 3 5 2 7" xfId="168"/>
    <cellStyle name="Header1Center 3 5 2 8" xfId="168"/>
    <cellStyle name="Header1Center 3 5 3" xfId="168"/>
    <cellStyle name="Header1Center 3 5 3 2" xfId="168"/>
    <cellStyle name="Header1Center 3 5 3 2 2" xfId="168"/>
    <cellStyle name="Header1Center 3 5 3 2 3" xfId="168"/>
    <cellStyle name="Header1Center 3 5 3 2 4" xfId="168"/>
    <cellStyle name="Header1Center 3 5 3 2 5" xfId="168"/>
    <cellStyle name="Header1Center 3 5 3 3" xfId="168"/>
    <cellStyle name="Header1Center 3 5 3 3 2" xfId="168"/>
    <cellStyle name="Header1Center 3 5 3 3 3" xfId="168"/>
    <cellStyle name="Header1Center 3 5 3 3 4" xfId="168"/>
    <cellStyle name="Header1Center 3 5 3 4" xfId="168"/>
    <cellStyle name="Header1Center 3 5 3 5" xfId="168"/>
    <cellStyle name="Header1Center 3 5 3 6" xfId="168"/>
    <cellStyle name="Header1Center 3 5 3 7" xfId="168"/>
    <cellStyle name="Header1Center 3 5 3 8" xfId="168"/>
    <cellStyle name="Header1Center 3 5 4" xfId="168"/>
    <cellStyle name="Header1Center 3 5 4 2" xfId="168"/>
    <cellStyle name="Header1Center 3 5 4 2 2" xfId="168"/>
    <cellStyle name="Header1Center 3 5 4 2 3" xfId="168"/>
    <cellStyle name="Header1Center 3 5 4 2 4" xfId="168"/>
    <cellStyle name="Header1Center 3 5 4 2 5" xfId="168"/>
    <cellStyle name="Header1Center 3 5 4 3" xfId="168"/>
    <cellStyle name="Header1Center 3 5 4 3 2" xfId="168"/>
    <cellStyle name="Header1Center 3 5 4 3 3" xfId="168"/>
    <cellStyle name="Header1Center 3 5 4 3 4" xfId="168"/>
    <cellStyle name="Header1Center 3 5 4 4" xfId="168"/>
    <cellStyle name="Header1Center 3 5 4 5" xfId="168"/>
    <cellStyle name="Header1Center 3 5 4 6" xfId="168"/>
    <cellStyle name="Header1Center 3 5 4 7" xfId="168"/>
    <cellStyle name="Header1Center 3 5 4 8" xfId="168"/>
    <cellStyle name="Header1Center 3 5 5" xfId="168"/>
    <cellStyle name="Header1Center 3 5 5 2" xfId="168"/>
    <cellStyle name="Header1Center 3 5 5 2 2" xfId="168"/>
    <cellStyle name="Header1Center 3 5 5 2 3" xfId="168"/>
    <cellStyle name="Header1Center 3 5 5 2 4" xfId="168"/>
    <cellStyle name="Header1Center 3 5 5 2 5" xfId="168"/>
    <cellStyle name="Header1Center 3 5 5 3" xfId="168"/>
    <cellStyle name="Header1Center 3 5 5 3 2" xfId="168"/>
    <cellStyle name="Header1Center 3 5 5 3 3" xfId="168"/>
    <cellStyle name="Header1Center 3 5 5 3 4" xfId="168"/>
    <cellStyle name="Header1Center 3 5 5 4" xfId="168"/>
    <cellStyle name="Header1Center 3 5 5 5" xfId="168"/>
    <cellStyle name="Header1Center 3 5 5 6" xfId="168"/>
    <cellStyle name="Header1Center 3 5 5 7" xfId="168"/>
    <cellStyle name="Header1Center 3 5 5 8" xfId="168"/>
    <cellStyle name="Header1Center 3 5 6" xfId="168"/>
    <cellStyle name="Header1Center 3 5 6 2" xfId="168"/>
    <cellStyle name="Header1Center 3 5 6 3" xfId="168"/>
    <cellStyle name="Header1Center 3 5 6 4" xfId="168"/>
    <cellStyle name="Header1Center 3 5 6 5" xfId="168"/>
    <cellStyle name="Header1Center 3 5 7" xfId="168"/>
    <cellStyle name="Header1Center 3 5 7 2" xfId="168"/>
    <cellStyle name="Header1Center 3 5 7 3" xfId="168"/>
    <cellStyle name="Header1Center 3 5 7 4" xfId="168"/>
    <cellStyle name="Header1Center 3 5 8" xfId="168"/>
    <cellStyle name="Header1Center 3 5 9" xfId="168"/>
    <cellStyle name="Header1Center 3 6" xfId="168"/>
    <cellStyle name="Header1Center 3 6 10" xfId="168"/>
    <cellStyle name="Header1Center 3 6 11" xfId="168"/>
    <cellStyle name="Header1Center 3 6 2" xfId="168"/>
    <cellStyle name="Header1Center 3 6 2 2" xfId="168"/>
    <cellStyle name="Header1Center 3 6 2 2 2" xfId="168"/>
    <cellStyle name="Header1Center 3 6 2 2 3" xfId="168"/>
    <cellStyle name="Header1Center 3 6 2 2 4" xfId="168"/>
    <cellStyle name="Header1Center 3 6 2 2 5" xfId="168"/>
    <cellStyle name="Header1Center 3 6 2 3" xfId="168"/>
    <cellStyle name="Header1Center 3 6 2 3 2" xfId="168"/>
    <cellStyle name="Header1Center 3 6 2 3 3" xfId="168"/>
    <cellStyle name="Header1Center 3 6 2 3 4" xfId="168"/>
    <cellStyle name="Header1Center 3 6 2 4" xfId="168"/>
    <cellStyle name="Header1Center 3 6 2 5" xfId="168"/>
    <cellStyle name="Header1Center 3 6 2 6" xfId="168"/>
    <cellStyle name="Header1Center 3 6 2 7" xfId="168"/>
    <cellStyle name="Header1Center 3 6 2 8" xfId="168"/>
    <cellStyle name="Header1Center 3 6 3" xfId="168"/>
    <cellStyle name="Header1Center 3 6 3 2" xfId="168"/>
    <cellStyle name="Header1Center 3 6 3 2 2" xfId="168"/>
    <cellStyle name="Header1Center 3 6 3 2 3" xfId="168"/>
    <cellStyle name="Header1Center 3 6 3 2 4" xfId="168"/>
    <cellStyle name="Header1Center 3 6 3 2 5" xfId="168"/>
    <cellStyle name="Header1Center 3 6 3 3" xfId="168"/>
    <cellStyle name="Header1Center 3 6 3 3 2" xfId="168"/>
    <cellStyle name="Header1Center 3 6 3 3 3" xfId="168"/>
    <cellStyle name="Header1Center 3 6 3 3 4" xfId="168"/>
    <cellStyle name="Header1Center 3 6 3 4" xfId="168"/>
    <cellStyle name="Header1Center 3 6 3 5" xfId="168"/>
    <cellStyle name="Header1Center 3 6 3 6" xfId="168"/>
    <cellStyle name="Header1Center 3 6 3 7" xfId="168"/>
    <cellStyle name="Header1Center 3 6 3 8" xfId="168"/>
    <cellStyle name="Header1Center 3 6 4" xfId="168"/>
    <cellStyle name="Header1Center 3 6 4 2" xfId="168"/>
    <cellStyle name="Header1Center 3 6 4 2 2" xfId="168"/>
    <cellStyle name="Header1Center 3 6 4 2 3" xfId="168"/>
    <cellStyle name="Header1Center 3 6 4 2 4" xfId="168"/>
    <cellStyle name="Header1Center 3 6 4 2 5" xfId="168"/>
    <cellStyle name="Header1Center 3 6 4 3" xfId="168"/>
    <cellStyle name="Header1Center 3 6 4 3 2" xfId="168"/>
    <cellStyle name="Header1Center 3 6 4 3 3" xfId="168"/>
    <cellStyle name="Header1Center 3 6 4 3 4" xfId="168"/>
    <cellStyle name="Header1Center 3 6 4 4" xfId="168"/>
    <cellStyle name="Header1Center 3 6 4 5" xfId="168"/>
    <cellStyle name="Header1Center 3 6 4 6" xfId="168"/>
    <cellStyle name="Header1Center 3 6 4 7" xfId="168"/>
    <cellStyle name="Header1Center 3 6 4 8" xfId="168"/>
    <cellStyle name="Header1Center 3 6 5" xfId="168"/>
    <cellStyle name="Header1Center 3 6 5 2" xfId="168"/>
    <cellStyle name="Header1Center 3 6 5 3" xfId="168"/>
    <cellStyle name="Header1Center 3 6 5 4" xfId="168"/>
    <cellStyle name="Header1Center 3 6 5 5" xfId="168"/>
    <cellStyle name="Header1Center 3 6 6" xfId="168"/>
    <cellStyle name="Header1Center 3 6 6 2" xfId="168"/>
    <cellStyle name="Header1Center 3 6 6 3" xfId="168"/>
    <cellStyle name="Header1Center 3 6 6 4" xfId="168"/>
    <cellStyle name="Header1Center 3 6 7" xfId="168"/>
    <cellStyle name="Header1Center 3 6 8" xfId="168"/>
    <cellStyle name="Header1Center 3 6 9" xfId="168"/>
    <cellStyle name="Header1Center 3 7" xfId="168"/>
    <cellStyle name="Header1Center 3 7 10" xfId="168"/>
    <cellStyle name="Header1Center 3 7 11" xfId="168"/>
    <cellStyle name="Header1Center 3 7 2" xfId="168"/>
    <cellStyle name="Header1Center 3 7 2 2" xfId="168"/>
    <cellStyle name="Header1Center 3 7 2 2 2" xfId="168"/>
    <cellStyle name="Header1Center 3 7 2 2 3" xfId="168"/>
    <cellStyle name="Header1Center 3 7 2 2 4" xfId="168"/>
    <cellStyle name="Header1Center 3 7 2 2 5" xfId="168"/>
    <cellStyle name="Header1Center 3 7 2 3" xfId="168"/>
    <cellStyle name="Header1Center 3 7 2 3 2" xfId="168"/>
    <cellStyle name="Header1Center 3 7 2 3 3" xfId="168"/>
    <cellStyle name="Header1Center 3 7 2 3 4" xfId="168"/>
    <cellStyle name="Header1Center 3 7 2 4" xfId="168"/>
    <cellStyle name="Header1Center 3 7 2 5" xfId="168"/>
    <cellStyle name="Header1Center 3 7 2 6" xfId="168"/>
    <cellStyle name="Header1Center 3 7 2 7" xfId="168"/>
    <cellStyle name="Header1Center 3 7 2 8" xfId="168"/>
    <cellStyle name="Header1Center 3 7 3" xfId="168"/>
    <cellStyle name="Header1Center 3 7 3 2" xfId="168"/>
    <cellStyle name="Header1Center 3 7 3 2 2" xfId="168"/>
    <cellStyle name="Header1Center 3 7 3 2 3" xfId="168"/>
    <cellStyle name="Header1Center 3 7 3 2 4" xfId="168"/>
    <cellStyle name="Header1Center 3 7 3 2 5" xfId="168"/>
    <cellStyle name="Header1Center 3 7 3 3" xfId="168"/>
    <cellStyle name="Header1Center 3 7 3 3 2" xfId="168"/>
    <cellStyle name="Header1Center 3 7 3 3 3" xfId="168"/>
    <cellStyle name="Header1Center 3 7 3 3 4" xfId="168"/>
    <cellStyle name="Header1Center 3 7 3 4" xfId="168"/>
    <cellStyle name="Header1Center 3 7 3 5" xfId="168"/>
    <cellStyle name="Header1Center 3 7 3 6" xfId="168"/>
    <cellStyle name="Header1Center 3 7 3 7" xfId="168"/>
    <cellStyle name="Header1Center 3 7 3 8" xfId="168"/>
    <cellStyle name="Header1Center 3 7 4" xfId="168"/>
    <cellStyle name="Header1Center 3 7 4 2" xfId="168"/>
    <cellStyle name="Header1Center 3 7 4 2 2" xfId="168"/>
    <cellStyle name="Header1Center 3 7 4 2 3" xfId="168"/>
    <cellStyle name="Header1Center 3 7 4 2 4" xfId="168"/>
    <cellStyle name="Header1Center 3 7 4 2 5" xfId="168"/>
    <cellStyle name="Header1Center 3 7 4 3" xfId="168"/>
    <cellStyle name="Header1Center 3 7 4 3 2" xfId="168"/>
    <cellStyle name="Header1Center 3 7 4 3 3" xfId="168"/>
    <cellStyle name="Header1Center 3 7 4 3 4" xfId="168"/>
    <cellStyle name="Header1Center 3 7 4 4" xfId="168"/>
    <cellStyle name="Header1Center 3 7 4 5" xfId="168"/>
    <cellStyle name="Header1Center 3 7 4 6" xfId="168"/>
    <cellStyle name="Header1Center 3 7 4 7" xfId="168"/>
    <cellStyle name="Header1Center 3 7 4 8" xfId="168"/>
    <cellStyle name="Header1Center 3 7 5" xfId="168"/>
    <cellStyle name="Header1Center 3 7 5 2" xfId="168"/>
    <cellStyle name="Header1Center 3 7 5 3" xfId="168"/>
    <cellStyle name="Header1Center 3 7 5 4" xfId="168"/>
    <cellStyle name="Header1Center 3 7 5 5" xfId="168"/>
    <cellStyle name="Header1Center 3 7 6" xfId="168"/>
    <cellStyle name="Header1Center 3 7 6 2" xfId="168"/>
    <cellStyle name="Header1Center 3 7 6 3" xfId="168"/>
    <cellStyle name="Header1Center 3 7 6 4" xfId="168"/>
    <cellStyle name="Header1Center 3 7 7" xfId="168"/>
    <cellStyle name="Header1Center 3 7 8" xfId="168"/>
    <cellStyle name="Header1Center 3 7 9" xfId="168"/>
    <cellStyle name="Header1Center 3 8" xfId="168"/>
    <cellStyle name="Header1Center 3 8 2" xfId="168"/>
    <cellStyle name="Header1Center 3 8 2 2" xfId="168"/>
    <cellStyle name="Header1Center 3 8 2 3" xfId="168"/>
    <cellStyle name="Header1Center 3 8 2 4" xfId="168"/>
    <cellStyle name="Header1Center 3 8 2 5" xfId="168"/>
    <cellStyle name="Header1Center 3 8 3" xfId="168"/>
    <cellStyle name="Header1Center 3 8 3 2" xfId="168"/>
    <cellStyle name="Header1Center 3 8 3 3" xfId="168"/>
    <cellStyle name="Header1Center 3 8 3 4" xfId="168"/>
    <cellStyle name="Header1Center 3 8 4" xfId="168"/>
    <cellStyle name="Header1Center 3 8 5" xfId="168"/>
    <cellStyle name="Header1Center 3 8 6" xfId="168"/>
    <cellStyle name="Header1Center 3 8 7" xfId="168"/>
    <cellStyle name="Header1Center 3 8 8" xfId="168"/>
    <cellStyle name="Header1Center 3 9" xfId="168"/>
    <cellStyle name="Header1Center 3 9 2" xfId="168"/>
    <cellStyle name="Header1Center 3 9 2 2" xfId="168"/>
    <cellStyle name="Header1Center 3 9 2 3" xfId="168"/>
    <cellStyle name="Header1Center 3 9 2 4" xfId="168"/>
    <cellStyle name="Header1Center 3 9 2 5" xfId="168"/>
    <cellStyle name="Header1Center 3 9 3" xfId="168"/>
    <cellStyle name="Header1Center 3 9 3 2" xfId="168"/>
    <cellStyle name="Header1Center 3 9 3 3" xfId="168"/>
    <cellStyle name="Header1Center 3 9 3 4" xfId="168"/>
    <cellStyle name="Header1Center 3 9 4" xfId="168"/>
    <cellStyle name="Header1Center 3 9 5" xfId="168"/>
    <cellStyle name="Header1Center 3 9 6" xfId="168"/>
    <cellStyle name="Header1Center 3 9 7" xfId="168"/>
    <cellStyle name="Header1Center 3 9 8" xfId="168"/>
    <cellStyle name="Header1Center 4" xfId="168"/>
    <cellStyle name="Header1Center 4 2" xfId="168"/>
    <cellStyle name="Header1Center 4 2 2" xfId="168"/>
    <cellStyle name="Header1Center 4 2 2 2" xfId="168"/>
    <cellStyle name="Header1Center 4 2 2 3" xfId="168"/>
    <cellStyle name="Header1Center 4 2 2 4" xfId="168"/>
    <cellStyle name="Header1Center 4 2 2 5" xfId="168"/>
    <cellStyle name="Header1Center 4 2 3" xfId="168"/>
    <cellStyle name="Header1Center 4 2 3 2" xfId="168"/>
    <cellStyle name="Header1Center 4 2 3 3" xfId="168"/>
    <cellStyle name="Header1Center 4 2 3 4" xfId="168"/>
    <cellStyle name="Header1Center 4 2 4" xfId="168"/>
    <cellStyle name="Header1Center 4 2 5" xfId="168"/>
    <cellStyle name="Header1Center 4 2 6" xfId="168"/>
    <cellStyle name="Header1Center 4 2 7" xfId="168"/>
    <cellStyle name="Header1Center 4 2 8" xfId="168"/>
    <cellStyle name="Header1Center 4 3" xfId="168"/>
    <cellStyle name="Header1Center 4 3 2" xfId="168"/>
    <cellStyle name="Header1Center 4 3 2 2" xfId="168"/>
    <cellStyle name="Header1Center 4 3 2 3" xfId="168"/>
    <cellStyle name="Header1Center 4 3 2 4" xfId="168"/>
    <cellStyle name="Header1Center 4 3 2 5" xfId="168"/>
    <cellStyle name="Header1Center 4 3 3" xfId="168"/>
    <cellStyle name="Header1Center 4 3 3 2" xfId="168"/>
    <cellStyle name="Header1Center 4 3 3 3" xfId="168"/>
    <cellStyle name="Header1Center 4 3 3 4" xfId="168"/>
    <cellStyle name="Header1Center 4 3 4" xfId="168"/>
    <cellStyle name="Header1Center 4 3 5" xfId="168"/>
    <cellStyle name="Header1Center 4 3 6" xfId="168"/>
    <cellStyle name="Header1Center 4 3 7" xfId="168"/>
    <cellStyle name="Header1Center 4 4" xfId="168"/>
    <cellStyle name="Header1Center 4 4 2" xfId="168"/>
    <cellStyle name="Header1Center 4 4 3" xfId="168"/>
    <cellStyle name="Header1Center 4 4 4" xfId="168"/>
    <cellStyle name="Header1Center 4 4 5" xfId="168"/>
    <cellStyle name="Header1Center 4 5" xfId="168"/>
    <cellStyle name="Header1Center 4 5 2" xfId="168"/>
    <cellStyle name="Header1Center 4 5 3" xfId="168"/>
    <cellStyle name="Header1Center 4 5 4" xfId="168"/>
    <cellStyle name="Header1Center 4 6" xfId="168"/>
    <cellStyle name="Header1Center 4 7" xfId="168"/>
    <cellStyle name="Header1Center 4 8" xfId="168"/>
    <cellStyle name="Header1Center 4 9" xfId="168"/>
    <cellStyle name="Header1Center 5" xfId="168"/>
    <cellStyle name="Header1Center 5 2" xfId="168"/>
    <cellStyle name="Header1Center 5 2 2" xfId="168"/>
    <cellStyle name="Header1Center 5 2 3" xfId="168"/>
    <cellStyle name="Header1Center 5 2 4" xfId="168"/>
    <cellStyle name="Header1Center 5 2 5" xfId="168"/>
    <cellStyle name="Header1Center 5 3" xfId="168"/>
    <cellStyle name="Header1Center 5 3 2" xfId="168"/>
    <cellStyle name="Header1Center 5 3 3" xfId="168"/>
    <cellStyle name="Header1Center 5 3 4" xfId="168"/>
    <cellStyle name="Header1Center 5 4" xfId="168"/>
    <cellStyle name="Header1Center 5 5" xfId="168"/>
    <cellStyle name="Header1Center 5 6" xfId="168"/>
    <cellStyle name="Header1Center 5 7" xfId="168"/>
    <cellStyle name="Header1Center 5 8" xfId="168"/>
    <cellStyle name="Header1Center 6" xfId="168"/>
    <cellStyle name="Header1Center 6 2" xfId="168"/>
    <cellStyle name="Header1Center 6 3" xfId="168"/>
    <cellStyle name="Header1Center 6 4" xfId="168"/>
    <cellStyle name="Header1Center 6 5" xfId="168"/>
    <cellStyle name="Header1Center 7" xfId="168"/>
    <cellStyle name="Header1Center 8" xfId="168"/>
    <cellStyle name="Header2" xfId="169"/>
    <cellStyle name="Header2 10" xfId="169"/>
    <cellStyle name="Header2 10 2" xfId="169"/>
    <cellStyle name="Header2 11" xfId="169"/>
    <cellStyle name="Header2 11 2" xfId="169"/>
    <cellStyle name="Header2 12" xfId="169"/>
    <cellStyle name="Header2 12 2" xfId="169"/>
    <cellStyle name="Header2 13" xfId="169"/>
    <cellStyle name="Header2 14" xfId="169"/>
    <cellStyle name="Header2 15" xfId="169"/>
    <cellStyle name="Header2 16" xfId="169"/>
    <cellStyle name="Header2 17" xfId="169"/>
    <cellStyle name="Header2 18" xfId="169"/>
    <cellStyle name="Header2 2" xfId="169"/>
    <cellStyle name="Header2 2 2" xfId="169"/>
    <cellStyle name="Header2 2 2 2" xfId="169"/>
    <cellStyle name="Header2 2 2 2 2" xfId="169"/>
    <cellStyle name="Header2 2 2 3" xfId="169"/>
    <cellStyle name="Header2 2 2 3 2" xfId="169"/>
    <cellStyle name="Header2 2 2 4" xfId="169"/>
    <cellStyle name="Header2 2 2 4 2" xfId="169"/>
    <cellStyle name="Header2 2 2 5" xfId="169"/>
    <cellStyle name="Header2 2 2 5 2" xfId="169"/>
    <cellStyle name="Header2 2 2 6" xfId="169"/>
    <cellStyle name="Header2 2 2 7" xfId="169"/>
    <cellStyle name="Header2 2 3" xfId="169"/>
    <cellStyle name="Header2 2 3 2" xfId="169"/>
    <cellStyle name="Header2 2 3 3" xfId="169"/>
    <cellStyle name="Header2 2 4" xfId="169"/>
    <cellStyle name="Header2 2 4 2" xfId="169"/>
    <cellStyle name="Header2 2 5" xfId="169"/>
    <cellStyle name="Header2 2 5 2" xfId="169"/>
    <cellStyle name="Header2 2 6" xfId="169"/>
    <cellStyle name="Header2 3" xfId="169"/>
    <cellStyle name="Header2 3 2" xfId="169"/>
    <cellStyle name="Header2 3 2 2" xfId="169"/>
    <cellStyle name="Header2 3 2 3" xfId="169"/>
    <cellStyle name="Header2 3 3" xfId="169"/>
    <cellStyle name="Header2 3 3 2" xfId="169"/>
    <cellStyle name="Header2 3 3 3" xfId="169"/>
    <cellStyle name="Header2 3 4" xfId="169"/>
    <cellStyle name="Header2 3 4 2" xfId="169"/>
    <cellStyle name="Header2 3 5" xfId="169"/>
    <cellStyle name="Header2 3 5 2" xfId="169"/>
    <cellStyle name="Header2 3 6" xfId="169"/>
    <cellStyle name="Header2 4" xfId="169"/>
    <cellStyle name="Header2 4 2" xfId="169"/>
    <cellStyle name="Header2 4 3" xfId="169"/>
    <cellStyle name="Header2 5" xfId="169"/>
    <cellStyle name="Header2 5 2" xfId="169"/>
    <cellStyle name="Header2 6" xfId="169"/>
    <cellStyle name="Header2 6 2" xfId="169"/>
    <cellStyle name="Header2 7" xfId="169"/>
    <cellStyle name="Header2 8" xfId="169"/>
    <cellStyle name="Header2 9" xfId="169"/>
    <cellStyle name="Header2 9 2" xfId="169"/>
    <cellStyle name="HeaderCenter" xfId="153"/>
    <cellStyle name="HeaderCenter-WB" xfId="170"/>
    <cellStyle name="HeaderCenterWBorder" xfId="171"/>
    <cellStyle name="HeaderSmall" xfId="172"/>
    <cellStyle name="HeaderSmall 2" xfId="172"/>
    <cellStyle name="HeaderSmall 2 10" xfId="172"/>
    <cellStyle name="HeaderSmall 2 11" xfId="172"/>
    <cellStyle name="HeaderSmall 2 12" xfId="172"/>
    <cellStyle name="HeaderSmall 2 13" xfId="172"/>
    <cellStyle name="HeaderSmall 2 14" xfId="172"/>
    <cellStyle name="HeaderSmall 2 2" xfId="172"/>
    <cellStyle name="HeaderSmall 2 2 10" xfId="172"/>
    <cellStyle name="HeaderSmall 2 2 11" xfId="172"/>
    <cellStyle name="HeaderSmall 2 2 12" xfId="172"/>
    <cellStyle name="HeaderSmall 2 2 13" xfId="172"/>
    <cellStyle name="HeaderSmall 2 2 14" xfId="172"/>
    <cellStyle name="HeaderSmall 2 2 2" xfId="172"/>
    <cellStyle name="HeaderSmall 2 2 2 10" xfId="172"/>
    <cellStyle name="HeaderSmall 2 2 2 11" xfId="172"/>
    <cellStyle name="HeaderSmall 2 2 2 12" xfId="172"/>
    <cellStyle name="HeaderSmall 2 2 2 2" xfId="172"/>
    <cellStyle name="HeaderSmall 2 2 2 2 2" xfId="172"/>
    <cellStyle name="HeaderSmall 2 2 2 2 2 2" xfId="172"/>
    <cellStyle name="HeaderSmall 2 2 2 2 2 3" xfId="172"/>
    <cellStyle name="HeaderSmall 2 2 2 2 2 4" xfId="172"/>
    <cellStyle name="HeaderSmall 2 2 2 2 2 5" xfId="172"/>
    <cellStyle name="HeaderSmall 2 2 2 2 3" xfId="172"/>
    <cellStyle name="HeaderSmall 2 2 2 2 3 2" xfId="172"/>
    <cellStyle name="HeaderSmall 2 2 2 2 3 3" xfId="172"/>
    <cellStyle name="HeaderSmall 2 2 2 2 3 4" xfId="172"/>
    <cellStyle name="HeaderSmall 2 2 2 2 4" xfId="172"/>
    <cellStyle name="HeaderSmall 2 2 2 2 5" xfId="172"/>
    <cellStyle name="HeaderSmall 2 2 2 2 6" xfId="172"/>
    <cellStyle name="HeaderSmall 2 2 2 2 7" xfId="172"/>
    <cellStyle name="HeaderSmall 2 2 2 2 8" xfId="172"/>
    <cellStyle name="HeaderSmall 2 2 2 3" xfId="172"/>
    <cellStyle name="HeaderSmall 2 2 2 3 2" xfId="172"/>
    <cellStyle name="HeaderSmall 2 2 2 3 2 2" xfId="172"/>
    <cellStyle name="HeaderSmall 2 2 2 3 2 3" xfId="172"/>
    <cellStyle name="HeaderSmall 2 2 2 3 2 4" xfId="172"/>
    <cellStyle name="HeaderSmall 2 2 2 3 2 5" xfId="172"/>
    <cellStyle name="HeaderSmall 2 2 2 3 3" xfId="172"/>
    <cellStyle name="HeaderSmall 2 2 2 3 3 2" xfId="172"/>
    <cellStyle name="HeaderSmall 2 2 2 3 3 3" xfId="172"/>
    <cellStyle name="HeaderSmall 2 2 2 3 3 4" xfId="172"/>
    <cellStyle name="HeaderSmall 2 2 2 3 4" xfId="172"/>
    <cellStyle name="HeaderSmall 2 2 2 3 5" xfId="172"/>
    <cellStyle name="HeaderSmall 2 2 2 3 6" xfId="172"/>
    <cellStyle name="HeaderSmall 2 2 2 3 7" xfId="172"/>
    <cellStyle name="HeaderSmall 2 2 2 3 8" xfId="172"/>
    <cellStyle name="HeaderSmall 2 2 2 4" xfId="172"/>
    <cellStyle name="HeaderSmall 2 2 2 4 2" xfId="172"/>
    <cellStyle name="HeaderSmall 2 2 2 4 2 2" xfId="172"/>
    <cellStyle name="HeaderSmall 2 2 2 4 2 3" xfId="172"/>
    <cellStyle name="HeaderSmall 2 2 2 4 2 4" xfId="172"/>
    <cellStyle name="HeaderSmall 2 2 2 4 2 5" xfId="172"/>
    <cellStyle name="HeaderSmall 2 2 2 4 3" xfId="172"/>
    <cellStyle name="HeaderSmall 2 2 2 4 3 2" xfId="172"/>
    <cellStyle name="HeaderSmall 2 2 2 4 3 3" xfId="172"/>
    <cellStyle name="HeaderSmall 2 2 2 4 3 4" xfId="172"/>
    <cellStyle name="HeaderSmall 2 2 2 4 4" xfId="172"/>
    <cellStyle name="HeaderSmall 2 2 2 4 5" xfId="172"/>
    <cellStyle name="HeaderSmall 2 2 2 4 6" xfId="172"/>
    <cellStyle name="HeaderSmall 2 2 2 4 7" xfId="172"/>
    <cellStyle name="HeaderSmall 2 2 2 4 8" xfId="172"/>
    <cellStyle name="HeaderSmall 2 2 2 5" xfId="172"/>
    <cellStyle name="HeaderSmall 2 2 2 5 2" xfId="172"/>
    <cellStyle name="HeaderSmall 2 2 2 5 2 2" xfId="172"/>
    <cellStyle name="HeaderSmall 2 2 2 5 2 3" xfId="172"/>
    <cellStyle name="HeaderSmall 2 2 2 5 2 4" xfId="172"/>
    <cellStyle name="HeaderSmall 2 2 2 5 2 5" xfId="172"/>
    <cellStyle name="HeaderSmall 2 2 2 5 3" xfId="172"/>
    <cellStyle name="HeaderSmall 2 2 2 5 3 2" xfId="172"/>
    <cellStyle name="HeaderSmall 2 2 2 5 3 3" xfId="172"/>
    <cellStyle name="HeaderSmall 2 2 2 5 3 4" xfId="172"/>
    <cellStyle name="HeaderSmall 2 2 2 5 4" xfId="172"/>
    <cellStyle name="HeaderSmall 2 2 2 5 5" xfId="172"/>
    <cellStyle name="HeaderSmall 2 2 2 5 6" xfId="172"/>
    <cellStyle name="HeaderSmall 2 2 2 5 7" xfId="172"/>
    <cellStyle name="HeaderSmall 2 2 2 5 8" xfId="172"/>
    <cellStyle name="HeaderSmall 2 2 2 6" xfId="172"/>
    <cellStyle name="HeaderSmall 2 2 2 6 2" xfId="172"/>
    <cellStyle name="HeaderSmall 2 2 2 6 3" xfId="172"/>
    <cellStyle name="HeaderSmall 2 2 2 6 4" xfId="172"/>
    <cellStyle name="HeaderSmall 2 2 2 6 5" xfId="172"/>
    <cellStyle name="HeaderSmall 2 2 2 7" xfId="172"/>
    <cellStyle name="HeaderSmall 2 2 2 7 2" xfId="172"/>
    <cellStyle name="HeaderSmall 2 2 2 7 3" xfId="172"/>
    <cellStyle name="HeaderSmall 2 2 2 7 4" xfId="172"/>
    <cellStyle name="HeaderSmall 2 2 2 8" xfId="172"/>
    <cellStyle name="HeaderSmall 2 2 2 9" xfId="172"/>
    <cellStyle name="HeaderSmall 2 2 3" xfId="172"/>
    <cellStyle name="HeaderSmall 2 2 3 10" xfId="172"/>
    <cellStyle name="HeaderSmall 2 2 3 11" xfId="172"/>
    <cellStyle name="HeaderSmall 2 2 3 12" xfId="172"/>
    <cellStyle name="HeaderSmall 2 2 3 2" xfId="172"/>
    <cellStyle name="HeaderSmall 2 2 3 2 2" xfId="172"/>
    <cellStyle name="HeaderSmall 2 2 3 2 2 2" xfId="172"/>
    <cellStyle name="HeaderSmall 2 2 3 2 2 3" xfId="172"/>
    <cellStyle name="HeaderSmall 2 2 3 2 2 4" xfId="172"/>
    <cellStyle name="HeaderSmall 2 2 3 2 2 5" xfId="172"/>
    <cellStyle name="HeaderSmall 2 2 3 2 3" xfId="172"/>
    <cellStyle name="HeaderSmall 2 2 3 2 3 2" xfId="172"/>
    <cellStyle name="HeaderSmall 2 2 3 2 3 3" xfId="172"/>
    <cellStyle name="HeaderSmall 2 2 3 2 3 4" xfId="172"/>
    <cellStyle name="HeaderSmall 2 2 3 2 4" xfId="172"/>
    <cellStyle name="HeaderSmall 2 2 3 2 5" xfId="172"/>
    <cellStyle name="HeaderSmall 2 2 3 2 6" xfId="172"/>
    <cellStyle name="HeaderSmall 2 2 3 2 7" xfId="172"/>
    <cellStyle name="HeaderSmall 2 2 3 2 8" xfId="172"/>
    <cellStyle name="HeaderSmall 2 2 3 3" xfId="172"/>
    <cellStyle name="HeaderSmall 2 2 3 3 2" xfId="172"/>
    <cellStyle name="HeaderSmall 2 2 3 3 2 2" xfId="172"/>
    <cellStyle name="HeaderSmall 2 2 3 3 2 3" xfId="172"/>
    <cellStyle name="HeaderSmall 2 2 3 3 2 4" xfId="172"/>
    <cellStyle name="HeaderSmall 2 2 3 3 2 5" xfId="172"/>
    <cellStyle name="HeaderSmall 2 2 3 3 3" xfId="172"/>
    <cellStyle name="HeaderSmall 2 2 3 3 3 2" xfId="172"/>
    <cellStyle name="HeaderSmall 2 2 3 3 3 3" xfId="172"/>
    <cellStyle name="HeaderSmall 2 2 3 3 3 4" xfId="172"/>
    <cellStyle name="HeaderSmall 2 2 3 3 4" xfId="172"/>
    <cellStyle name="HeaderSmall 2 2 3 3 5" xfId="172"/>
    <cellStyle name="HeaderSmall 2 2 3 3 6" xfId="172"/>
    <cellStyle name="HeaderSmall 2 2 3 3 7" xfId="172"/>
    <cellStyle name="HeaderSmall 2 2 3 3 8" xfId="172"/>
    <cellStyle name="HeaderSmall 2 2 3 4" xfId="172"/>
    <cellStyle name="HeaderSmall 2 2 3 4 2" xfId="172"/>
    <cellStyle name="HeaderSmall 2 2 3 4 2 2" xfId="172"/>
    <cellStyle name="HeaderSmall 2 2 3 4 2 3" xfId="172"/>
    <cellStyle name="HeaderSmall 2 2 3 4 2 4" xfId="172"/>
    <cellStyle name="HeaderSmall 2 2 3 4 2 5" xfId="172"/>
    <cellStyle name="HeaderSmall 2 2 3 4 3" xfId="172"/>
    <cellStyle name="HeaderSmall 2 2 3 4 3 2" xfId="172"/>
    <cellStyle name="HeaderSmall 2 2 3 4 3 3" xfId="172"/>
    <cellStyle name="HeaderSmall 2 2 3 4 3 4" xfId="172"/>
    <cellStyle name="HeaderSmall 2 2 3 4 4" xfId="172"/>
    <cellStyle name="HeaderSmall 2 2 3 4 5" xfId="172"/>
    <cellStyle name="HeaderSmall 2 2 3 4 6" xfId="172"/>
    <cellStyle name="HeaderSmall 2 2 3 4 7" xfId="172"/>
    <cellStyle name="HeaderSmall 2 2 3 4 8" xfId="172"/>
    <cellStyle name="HeaderSmall 2 2 3 5" xfId="172"/>
    <cellStyle name="HeaderSmall 2 2 3 5 2" xfId="172"/>
    <cellStyle name="HeaderSmall 2 2 3 5 2 2" xfId="172"/>
    <cellStyle name="HeaderSmall 2 2 3 5 2 3" xfId="172"/>
    <cellStyle name="HeaderSmall 2 2 3 5 2 4" xfId="172"/>
    <cellStyle name="HeaderSmall 2 2 3 5 2 5" xfId="172"/>
    <cellStyle name="HeaderSmall 2 2 3 5 3" xfId="172"/>
    <cellStyle name="HeaderSmall 2 2 3 5 3 2" xfId="172"/>
    <cellStyle name="HeaderSmall 2 2 3 5 3 3" xfId="172"/>
    <cellStyle name="HeaderSmall 2 2 3 5 3 4" xfId="172"/>
    <cellStyle name="HeaderSmall 2 2 3 5 4" xfId="172"/>
    <cellStyle name="HeaderSmall 2 2 3 5 5" xfId="172"/>
    <cellStyle name="HeaderSmall 2 2 3 5 6" xfId="172"/>
    <cellStyle name="HeaderSmall 2 2 3 5 7" xfId="172"/>
    <cellStyle name="HeaderSmall 2 2 3 5 8" xfId="172"/>
    <cellStyle name="HeaderSmall 2 2 3 6" xfId="172"/>
    <cellStyle name="HeaderSmall 2 2 3 6 2" xfId="172"/>
    <cellStyle name="HeaderSmall 2 2 3 6 3" xfId="172"/>
    <cellStyle name="HeaderSmall 2 2 3 6 4" xfId="172"/>
    <cellStyle name="HeaderSmall 2 2 3 6 5" xfId="172"/>
    <cellStyle name="HeaderSmall 2 2 3 7" xfId="172"/>
    <cellStyle name="HeaderSmall 2 2 3 7 2" xfId="172"/>
    <cellStyle name="HeaderSmall 2 2 3 7 3" xfId="172"/>
    <cellStyle name="HeaderSmall 2 2 3 7 4" xfId="172"/>
    <cellStyle name="HeaderSmall 2 2 3 8" xfId="172"/>
    <cellStyle name="HeaderSmall 2 2 3 9" xfId="172"/>
    <cellStyle name="HeaderSmall 2 2 4" xfId="172"/>
    <cellStyle name="HeaderSmall 2 2 4 2" xfId="172"/>
    <cellStyle name="HeaderSmall 2 2 4 2 2" xfId="172"/>
    <cellStyle name="HeaderSmall 2 2 4 2 3" xfId="172"/>
    <cellStyle name="HeaderSmall 2 2 4 2 4" xfId="172"/>
    <cellStyle name="HeaderSmall 2 2 4 2 5" xfId="172"/>
    <cellStyle name="HeaderSmall 2 2 4 3" xfId="172"/>
    <cellStyle name="HeaderSmall 2 2 4 3 2" xfId="172"/>
    <cellStyle name="HeaderSmall 2 2 4 3 3" xfId="172"/>
    <cellStyle name="HeaderSmall 2 2 4 3 4" xfId="172"/>
    <cellStyle name="HeaderSmall 2 2 4 4" xfId="172"/>
    <cellStyle name="HeaderSmall 2 2 4 5" xfId="172"/>
    <cellStyle name="HeaderSmall 2 2 4 6" xfId="172"/>
    <cellStyle name="HeaderSmall 2 2 4 7" xfId="172"/>
    <cellStyle name="HeaderSmall 2 2 4 8" xfId="172"/>
    <cellStyle name="HeaderSmall 2 2 5" xfId="172"/>
    <cellStyle name="HeaderSmall 2 2 5 2" xfId="172"/>
    <cellStyle name="HeaderSmall 2 2 5 2 2" xfId="172"/>
    <cellStyle name="HeaderSmall 2 2 5 2 3" xfId="172"/>
    <cellStyle name="HeaderSmall 2 2 5 2 4" xfId="172"/>
    <cellStyle name="HeaderSmall 2 2 5 2 5" xfId="172"/>
    <cellStyle name="HeaderSmall 2 2 5 3" xfId="172"/>
    <cellStyle name="HeaderSmall 2 2 5 3 2" xfId="172"/>
    <cellStyle name="HeaderSmall 2 2 5 3 3" xfId="172"/>
    <cellStyle name="HeaderSmall 2 2 5 3 4" xfId="172"/>
    <cellStyle name="HeaderSmall 2 2 5 4" xfId="172"/>
    <cellStyle name="HeaderSmall 2 2 5 5" xfId="172"/>
    <cellStyle name="HeaderSmall 2 2 5 6" xfId="172"/>
    <cellStyle name="HeaderSmall 2 2 5 7" xfId="172"/>
    <cellStyle name="HeaderSmall 2 2 5 8" xfId="172"/>
    <cellStyle name="HeaderSmall 2 2 6" xfId="172"/>
    <cellStyle name="HeaderSmall 2 2 6 2" xfId="172"/>
    <cellStyle name="HeaderSmall 2 2 6 2 2" xfId="172"/>
    <cellStyle name="HeaderSmall 2 2 6 2 3" xfId="172"/>
    <cellStyle name="HeaderSmall 2 2 6 2 4" xfId="172"/>
    <cellStyle name="HeaderSmall 2 2 6 2 5" xfId="172"/>
    <cellStyle name="HeaderSmall 2 2 6 3" xfId="172"/>
    <cellStyle name="HeaderSmall 2 2 6 3 2" xfId="172"/>
    <cellStyle name="HeaderSmall 2 2 6 3 3" xfId="172"/>
    <cellStyle name="HeaderSmall 2 2 6 3 4" xfId="172"/>
    <cellStyle name="HeaderSmall 2 2 6 4" xfId="172"/>
    <cellStyle name="HeaderSmall 2 2 6 5" xfId="172"/>
    <cellStyle name="HeaderSmall 2 2 6 6" xfId="172"/>
    <cellStyle name="HeaderSmall 2 2 6 7" xfId="172"/>
    <cellStyle name="HeaderSmall 2 2 6 8" xfId="172"/>
    <cellStyle name="HeaderSmall 2 2 7" xfId="172"/>
    <cellStyle name="HeaderSmall 2 2 7 2" xfId="172"/>
    <cellStyle name="HeaderSmall 2 2 7 2 2" xfId="172"/>
    <cellStyle name="HeaderSmall 2 2 7 2 3" xfId="172"/>
    <cellStyle name="HeaderSmall 2 2 7 2 4" xfId="172"/>
    <cellStyle name="HeaderSmall 2 2 7 2 5" xfId="172"/>
    <cellStyle name="HeaderSmall 2 2 7 3" xfId="172"/>
    <cellStyle name="HeaderSmall 2 2 7 3 2" xfId="172"/>
    <cellStyle name="HeaderSmall 2 2 7 3 3" xfId="172"/>
    <cellStyle name="HeaderSmall 2 2 7 3 4" xfId="172"/>
    <cellStyle name="HeaderSmall 2 2 7 4" xfId="172"/>
    <cellStyle name="HeaderSmall 2 2 7 5" xfId="172"/>
    <cellStyle name="HeaderSmall 2 2 7 6" xfId="172"/>
    <cellStyle name="HeaderSmall 2 2 7 7" xfId="172"/>
    <cellStyle name="HeaderSmall 2 2 7 8" xfId="172"/>
    <cellStyle name="HeaderSmall 2 2 8" xfId="172"/>
    <cellStyle name="HeaderSmall 2 2 8 2" xfId="172"/>
    <cellStyle name="HeaderSmall 2 2 8 3" xfId="172"/>
    <cellStyle name="HeaderSmall 2 2 8 4" xfId="172"/>
    <cellStyle name="HeaderSmall 2 2 8 5" xfId="172"/>
    <cellStyle name="HeaderSmall 2 2 9" xfId="172"/>
    <cellStyle name="HeaderSmall 2 2 9 2" xfId="172"/>
    <cellStyle name="HeaderSmall 2 2 9 3" xfId="172"/>
    <cellStyle name="HeaderSmall 2 2 9 4" xfId="172"/>
    <cellStyle name="HeaderSmall 2 3" xfId="172"/>
    <cellStyle name="HeaderSmall 2 3 10" xfId="172"/>
    <cellStyle name="HeaderSmall 2 3 11" xfId="172"/>
    <cellStyle name="HeaderSmall 2 3 12" xfId="172"/>
    <cellStyle name="HeaderSmall 2 3 2" xfId="172"/>
    <cellStyle name="HeaderSmall 2 3 2 2" xfId="172"/>
    <cellStyle name="HeaderSmall 2 3 2 2 2" xfId="172"/>
    <cellStyle name="HeaderSmall 2 3 2 2 3" xfId="172"/>
    <cellStyle name="HeaderSmall 2 3 2 2 4" xfId="172"/>
    <cellStyle name="HeaderSmall 2 3 2 2 5" xfId="172"/>
    <cellStyle name="HeaderSmall 2 3 2 3" xfId="172"/>
    <cellStyle name="HeaderSmall 2 3 2 3 2" xfId="172"/>
    <cellStyle name="HeaderSmall 2 3 2 3 3" xfId="172"/>
    <cellStyle name="HeaderSmall 2 3 2 3 4" xfId="172"/>
    <cellStyle name="HeaderSmall 2 3 2 4" xfId="172"/>
    <cellStyle name="HeaderSmall 2 3 2 5" xfId="172"/>
    <cellStyle name="HeaderSmall 2 3 2 6" xfId="172"/>
    <cellStyle name="HeaderSmall 2 3 2 7" xfId="172"/>
    <cellStyle name="HeaderSmall 2 3 2 8" xfId="172"/>
    <cellStyle name="HeaderSmall 2 3 3" xfId="172"/>
    <cellStyle name="HeaderSmall 2 3 3 2" xfId="172"/>
    <cellStyle name="HeaderSmall 2 3 3 2 2" xfId="172"/>
    <cellStyle name="HeaderSmall 2 3 3 2 3" xfId="172"/>
    <cellStyle name="HeaderSmall 2 3 3 2 4" xfId="172"/>
    <cellStyle name="HeaderSmall 2 3 3 2 5" xfId="172"/>
    <cellStyle name="HeaderSmall 2 3 3 3" xfId="172"/>
    <cellStyle name="HeaderSmall 2 3 3 3 2" xfId="172"/>
    <cellStyle name="HeaderSmall 2 3 3 3 3" xfId="172"/>
    <cellStyle name="HeaderSmall 2 3 3 3 4" xfId="172"/>
    <cellStyle name="HeaderSmall 2 3 3 4" xfId="172"/>
    <cellStyle name="HeaderSmall 2 3 3 5" xfId="172"/>
    <cellStyle name="HeaderSmall 2 3 3 6" xfId="172"/>
    <cellStyle name="HeaderSmall 2 3 3 7" xfId="172"/>
    <cellStyle name="HeaderSmall 2 3 3 8" xfId="172"/>
    <cellStyle name="HeaderSmall 2 3 4" xfId="172"/>
    <cellStyle name="HeaderSmall 2 3 4 2" xfId="172"/>
    <cellStyle name="HeaderSmall 2 3 4 2 2" xfId="172"/>
    <cellStyle name="HeaderSmall 2 3 4 2 3" xfId="172"/>
    <cellStyle name="HeaderSmall 2 3 4 2 4" xfId="172"/>
    <cellStyle name="HeaderSmall 2 3 4 2 5" xfId="172"/>
    <cellStyle name="HeaderSmall 2 3 4 3" xfId="172"/>
    <cellStyle name="HeaderSmall 2 3 4 3 2" xfId="172"/>
    <cellStyle name="HeaderSmall 2 3 4 3 3" xfId="172"/>
    <cellStyle name="HeaderSmall 2 3 4 3 4" xfId="172"/>
    <cellStyle name="HeaderSmall 2 3 4 4" xfId="172"/>
    <cellStyle name="HeaderSmall 2 3 4 5" xfId="172"/>
    <cellStyle name="HeaderSmall 2 3 4 6" xfId="172"/>
    <cellStyle name="HeaderSmall 2 3 4 7" xfId="172"/>
    <cellStyle name="HeaderSmall 2 3 4 8" xfId="172"/>
    <cellStyle name="HeaderSmall 2 3 5" xfId="172"/>
    <cellStyle name="HeaderSmall 2 3 5 2" xfId="172"/>
    <cellStyle name="HeaderSmall 2 3 5 2 2" xfId="172"/>
    <cellStyle name="HeaderSmall 2 3 5 2 3" xfId="172"/>
    <cellStyle name="HeaderSmall 2 3 5 2 4" xfId="172"/>
    <cellStyle name="HeaderSmall 2 3 5 2 5" xfId="172"/>
    <cellStyle name="HeaderSmall 2 3 5 3" xfId="172"/>
    <cellStyle name="HeaderSmall 2 3 5 3 2" xfId="172"/>
    <cellStyle name="HeaderSmall 2 3 5 3 3" xfId="172"/>
    <cellStyle name="HeaderSmall 2 3 5 3 4" xfId="172"/>
    <cellStyle name="HeaderSmall 2 3 5 4" xfId="172"/>
    <cellStyle name="HeaderSmall 2 3 5 5" xfId="172"/>
    <cellStyle name="HeaderSmall 2 3 5 6" xfId="172"/>
    <cellStyle name="HeaderSmall 2 3 5 7" xfId="172"/>
    <cellStyle name="HeaderSmall 2 3 5 8" xfId="172"/>
    <cellStyle name="HeaderSmall 2 3 6" xfId="172"/>
    <cellStyle name="HeaderSmall 2 3 6 2" xfId="172"/>
    <cellStyle name="HeaderSmall 2 3 6 3" xfId="172"/>
    <cellStyle name="HeaderSmall 2 3 6 4" xfId="172"/>
    <cellStyle name="HeaderSmall 2 3 6 5" xfId="172"/>
    <cellStyle name="HeaderSmall 2 3 7" xfId="172"/>
    <cellStyle name="HeaderSmall 2 3 7 2" xfId="172"/>
    <cellStyle name="HeaderSmall 2 3 7 3" xfId="172"/>
    <cellStyle name="HeaderSmall 2 3 7 4" xfId="172"/>
    <cellStyle name="HeaderSmall 2 3 8" xfId="172"/>
    <cellStyle name="HeaderSmall 2 3 9" xfId="172"/>
    <cellStyle name="HeaderSmall 2 4" xfId="172"/>
    <cellStyle name="HeaderSmall 2 4 2" xfId="172"/>
    <cellStyle name="HeaderSmall 2 4 2 2" xfId="172"/>
    <cellStyle name="HeaderSmall 2 4 2 3" xfId="172"/>
    <cellStyle name="HeaderSmall 2 4 2 4" xfId="172"/>
    <cellStyle name="HeaderSmall 2 4 2 5" xfId="172"/>
    <cellStyle name="HeaderSmall 2 4 3" xfId="172"/>
    <cellStyle name="HeaderSmall 2 4 3 2" xfId="172"/>
    <cellStyle name="HeaderSmall 2 4 3 3" xfId="172"/>
    <cellStyle name="HeaderSmall 2 4 3 4" xfId="172"/>
    <cellStyle name="HeaderSmall 2 4 4" xfId="172"/>
    <cellStyle name="HeaderSmall 2 4 5" xfId="172"/>
    <cellStyle name="HeaderSmall 2 4 6" xfId="172"/>
    <cellStyle name="HeaderSmall 2 4 7" xfId="172"/>
    <cellStyle name="HeaderSmall 2 4 8" xfId="172"/>
    <cellStyle name="HeaderSmall 2 5" xfId="172"/>
    <cellStyle name="HeaderSmall 2 5 2" xfId="172"/>
    <cellStyle name="HeaderSmall 2 5 2 2" xfId="172"/>
    <cellStyle name="HeaderSmall 2 5 2 3" xfId="172"/>
    <cellStyle name="HeaderSmall 2 5 2 4" xfId="172"/>
    <cellStyle name="HeaderSmall 2 5 2 5" xfId="172"/>
    <cellStyle name="HeaderSmall 2 5 3" xfId="172"/>
    <cellStyle name="HeaderSmall 2 5 3 2" xfId="172"/>
    <cellStyle name="HeaderSmall 2 5 3 3" xfId="172"/>
    <cellStyle name="HeaderSmall 2 5 3 4" xfId="172"/>
    <cellStyle name="HeaderSmall 2 5 4" xfId="172"/>
    <cellStyle name="HeaderSmall 2 5 5" xfId="172"/>
    <cellStyle name="HeaderSmall 2 5 6" xfId="172"/>
    <cellStyle name="HeaderSmall 2 5 7" xfId="172"/>
    <cellStyle name="HeaderSmall 2 5 8" xfId="172"/>
    <cellStyle name="HeaderSmall 2 6" xfId="172"/>
    <cellStyle name="HeaderSmall 2 6 2" xfId="172"/>
    <cellStyle name="HeaderSmall 2 6 2 2" xfId="172"/>
    <cellStyle name="HeaderSmall 2 6 2 3" xfId="172"/>
    <cellStyle name="HeaderSmall 2 6 2 4" xfId="172"/>
    <cellStyle name="HeaderSmall 2 6 2 5" xfId="172"/>
    <cellStyle name="HeaderSmall 2 6 3" xfId="172"/>
    <cellStyle name="HeaderSmall 2 6 3 2" xfId="172"/>
    <cellStyle name="HeaderSmall 2 6 3 3" xfId="172"/>
    <cellStyle name="HeaderSmall 2 6 3 4" xfId="172"/>
    <cellStyle name="HeaderSmall 2 6 4" xfId="172"/>
    <cellStyle name="HeaderSmall 2 6 5" xfId="172"/>
    <cellStyle name="HeaderSmall 2 6 6" xfId="172"/>
    <cellStyle name="HeaderSmall 2 6 7" xfId="172"/>
    <cellStyle name="HeaderSmall 2 6 8" xfId="172"/>
    <cellStyle name="HeaderSmall 2 7" xfId="172"/>
    <cellStyle name="HeaderSmall 2 7 2" xfId="172"/>
    <cellStyle name="HeaderSmall 2 7 2 2" xfId="172"/>
    <cellStyle name="HeaderSmall 2 7 2 3" xfId="172"/>
    <cellStyle name="HeaderSmall 2 7 2 4" xfId="172"/>
    <cellStyle name="HeaderSmall 2 7 2 5" xfId="172"/>
    <cellStyle name="HeaderSmall 2 7 3" xfId="172"/>
    <cellStyle name="HeaderSmall 2 7 3 2" xfId="172"/>
    <cellStyle name="HeaderSmall 2 7 3 3" xfId="172"/>
    <cellStyle name="HeaderSmall 2 7 3 4" xfId="172"/>
    <cellStyle name="HeaderSmall 2 7 4" xfId="172"/>
    <cellStyle name="HeaderSmall 2 7 5" xfId="172"/>
    <cellStyle name="HeaderSmall 2 7 6" xfId="172"/>
    <cellStyle name="HeaderSmall 2 7 7" xfId="172"/>
    <cellStyle name="HeaderSmall 2 7 8" xfId="172"/>
    <cellStyle name="HeaderSmall 2 8" xfId="172"/>
    <cellStyle name="HeaderSmall 2 8 2" xfId="172"/>
    <cellStyle name="HeaderSmall 2 8 3" xfId="172"/>
    <cellStyle name="HeaderSmall 2 8 4" xfId="172"/>
    <cellStyle name="HeaderSmall 2 8 5" xfId="172"/>
    <cellStyle name="HeaderSmall 2 9" xfId="172"/>
    <cellStyle name="HeaderSmall 2 9 2" xfId="172"/>
    <cellStyle name="HeaderSmall 2 9 3" xfId="172"/>
    <cellStyle name="HeaderSmall 2 9 4" xfId="172"/>
    <cellStyle name="HeaderSmall 3" xfId="172"/>
    <cellStyle name="HeaderSmall 3 10" xfId="172"/>
    <cellStyle name="HeaderSmall 3 10 2" xfId="172"/>
    <cellStyle name="HeaderSmall 3 10 2 2" xfId="172"/>
    <cellStyle name="HeaderSmall 3 10 2 3" xfId="172"/>
    <cellStyle name="HeaderSmall 3 10 2 4" xfId="172"/>
    <cellStyle name="HeaderSmall 3 10 2 5" xfId="172"/>
    <cellStyle name="HeaderSmall 3 10 3" xfId="172"/>
    <cellStyle name="HeaderSmall 3 10 3 2" xfId="172"/>
    <cellStyle name="HeaderSmall 3 10 3 3" xfId="172"/>
    <cellStyle name="HeaderSmall 3 10 3 4" xfId="172"/>
    <cellStyle name="HeaderSmall 3 10 4" xfId="172"/>
    <cellStyle name="HeaderSmall 3 10 5" xfId="172"/>
    <cellStyle name="HeaderSmall 3 10 6" xfId="172"/>
    <cellStyle name="HeaderSmall 3 10 7" xfId="172"/>
    <cellStyle name="HeaderSmall 3 10 8" xfId="172"/>
    <cellStyle name="HeaderSmall 3 11" xfId="172"/>
    <cellStyle name="HeaderSmall 3 11 2" xfId="172"/>
    <cellStyle name="HeaderSmall 3 11 2 2" xfId="172"/>
    <cellStyle name="HeaderSmall 3 11 2 3" xfId="172"/>
    <cellStyle name="HeaderSmall 3 11 2 4" xfId="172"/>
    <cellStyle name="HeaderSmall 3 11 2 5" xfId="172"/>
    <cellStyle name="HeaderSmall 3 11 3" xfId="172"/>
    <cellStyle name="HeaderSmall 3 11 3 2" xfId="172"/>
    <cellStyle name="HeaderSmall 3 11 3 3" xfId="172"/>
    <cellStyle name="HeaderSmall 3 11 3 4" xfId="172"/>
    <cellStyle name="HeaderSmall 3 11 4" xfId="172"/>
    <cellStyle name="HeaderSmall 3 11 5" xfId="172"/>
    <cellStyle name="HeaderSmall 3 11 6" xfId="172"/>
    <cellStyle name="HeaderSmall 3 11 7" xfId="172"/>
    <cellStyle name="HeaderSmall 3 12" xfId="172"/>
    <cellStyle name="HeaderSmall 3 12 2" xfId="172"/>
    <cellStyle name="HeaderSmall 3 12 2 2" xfId="172"/>
    <cellStyle name="HeaderSmall 3 12 2 3" xfId="172"/>
    <cellStyle name="HeaderSmall 3 12 2 4" xfId="172"/>
    <cellStyle name="HeaderSmall 3 12 2 5" xfId="172"/>
    <cellStyle name="HeaderSmall 3 12 3" xfId="172"/>
    <cellStyle name="HeaderSmall 3 12 3 2" xfId="172"/>
    <cellStyle name="HeaderSmall 3 12 3 3" xfId="172"/>
    <cellStyle name="HeaderSmall 3 12 3 4" xfId="172"/>
    <cellStyle name="HeaderSmall 3 12 4" xfId="172"/>
    <cellStyle name="HeaderSmall 3 12 5" xfId="172"/>
    <cellStyle name="HeaderSmall 3 12 6" xfId="172"/>
    <cellStyle name="HeaderSmall 3 12 7" xfId="172"/>
    <cellStyle name="HeaderSmall 3 12 8" xfId="172"/>
    <cellStyle name="HeaderSmall 3 13" xfId="172"/>
    <cellStyle name="HeaderSmall 3 13 2" xfId="172"/>
    <cellStyle name="HeaderSmall 3 13 3" xfId="172"/>
    <cellStyle name="HeaderSmall 3 13 4" xfId="172"/>
    <cellStyle name="HeaderSmall 3 13 5" xfId="172"/>
    <cellStyle name="HeaderSmall 3 14" xfId="172"/>
    <cellStyle name="HeaderSmall 3 14 2" xfId="172"/>
    <cellStyle name="HeaderSmall 3 14 3" xfId="172"/>
    <cellStyle name="HeaderSmall 3 14 4" xfId="172"/>
    <cellStyle name="HeaderSmall 3 15" xfId="172"/>
    <cellStyle name="HeaderSmall 3 16" xfId="172"/>
    <cellStyle name="HeaderSmall 3 17" xfId="172"/>
    <cellStyle name="HeaderSmall 3 18" xfId="172"/>
    <cellStyle name="HeaderSmall 3 2" xfId="172"/>
    <cellStyle name="HeaderSmall 3 2 10" xfId="172"/>
    <cellStyle name="HeaderSmall 3 2 11" xfId="172"/>
    <cellStyle name="HeaderSmall 3 2 12" xfId="172"/>
    <cellStyle name="HeaderSmall 3 2 2" xfId="172"/>
    <cellStyle name="HeaderSmall 3 2 2 2" xfId="172"/>
    <cellStyle name="HeaderSmall 3 2 2 2 2" xfId="172"/>
    <cellStyle name="HeaderSmall 3 2 2 2 3" xfId="172"/>
    <cellStyle name="HeaderSmall 3 2 2 2 4" xfId="172"/>
    <cellStyle name="HeaderSmall 3 2 2 2 5" xfId="172"/>
    <cellStyle name="HeaderSmall 3 2 2 3" xfId="172"/>
    <cellStyle name="HeaderSmall 3 2 2 3 2" xfId="172"/>
    <cellStyle name="HeaderSmall 3 2 2 3 3" xfId="172"/>
    <cellStyle name="HeaderSmall 3 2 2 3 4" xfId="172"/>
    <cellStyle name="HeaderSmall 3 2 2 4" xfId="172"/>
    <cellStyle name="HeaderSmall 3 2 2 5" xfId="172"/>
    <cellStyle name="HeaderSmall 3 2 2 6" xfId="172"/>
    <cellStyle name="HeaderSmall 3 2 2 7" xfId="172"/>
    <cellStyle name="HeaderSmall 3 2 2 8" xfId="172"/>
    <cellStyle name="HeaderSmall 3 2 3" xfId="172"/>
    <cellStyle name="HeaderSmall 3 2 3 2" xfId="172"/>
    <cellStyle name="HeaderSmall 3 2 3 2 2" xfId="172"/>
    <cellStyle name="HeaderSmall 3 2 3 2 3" xfId="172"/>
    <cellStyle name="HeaderSmall 3 2 3 2 4" xfId="172"/>
    <cellStyle name="HeaderSmall 3 2 3 2 5" xfId="172"/>
    <cellStyle name="HeaderSmall 3 2 3 3" xfId="172"/>
    <cellStyle name="HeaderSmall 3 2 3 3 2" xfId="172"/>
    <cellStyle name="HeaderSmall 3 2 3 3 3" xfId="172"/>
    <cellStyle name="HeaderSmall 3 2 3 3 4" xfId="172"/>
    <cellStyle name="HeaderSmall 3 2 3 4" xfId="172"/>
    <cellStyle name="HeaderSmall 3 2 3 5" xfId="172"/>
    <cellStyle name="HeaderSmall 3 2 3 6" xfId="172"/>
    <cellStyle name="HeaderSmall 3 2 3 7" xfId="172"/>
    <cellStyle name="HeaderSmall 3 2 3 8" xfId="172"/>
    <cellStyle name="HeaderSmall 3 2 4" xfId="172"/>
    <cellStyle name="HeaderSmall 3 2 4 2" xfId="172"/>
    <cellStyle name="HeaderSmall 3 2 4 2 2" xfId="172"/>
    <cellStyle name="HeaderSmall 3 2 4 2 3" xfId="172"/>
    <cellStyle name="HeaderSmall 3 2 4 2 4" xfId="172"/>
    <cellStyle name="HeaderSmall 3 2 4 2 5" xfId="172"/>
    <cellStyle name="HeaderSmall 3 2 4 3" xfId="172"/>
    <cellStyle name="HeaderSmall 3 2 4 3 2" xfId="172"/>
    <cellStyle name="HeaderSmall 3 2 4 3 3" xfId="172"/>
    <cellStyle name="HeaderSmall 3 2 4 3 4" xfId="172"/>
    <cellStyle name="HeaderSmall 3 2 4 4" xfId="172"/>
    <cellStyle name="HeaderSmall 3 2 4 5" xfId="172"/>
    <cellStyle name="HeaderSmall 3 2 4 6" xfId="172"/>
    <cellStyle name="HeaderSmall 3 2 4 7" xfId="172"/>
    <cellStyle name="HeaderSmall 3 2 4 8" xfId="172"/>
    <cellStyle name="HeaderSmall 3 2 5" xfId="172"/>
    <cellStyle name="HeaderSmall 3 2 5 2" xfId="172"/>
    <cellStyle name="HeaderSmall 3 2 5 2 2" xfId="172"/>
    <cellStyle name="HeaderSmall 3 2 5 2 3" xfId="172"/>
    <cellStyle name="HeaderSmall 3 2 5 2 4" xfId="172"/>
    <cellStyle name="HeaderSmall 3 2 5 2 5" xfId="172"/>
    <cellStyle name="HeaderSmall 3 2 5 3" xfId="172"/>
    <cellStyle name="HeaderSmall 3 2 5 3 2" xfId="172"/>
    <cellStyle name="HeaderSmall 3 2 5 3 3" xfId="172"/>
    <cellStyle name="HeaderSmall 3 2 5 3 4" xfId="172"/>
    <cellStyle name="HeaderSmall 3 2 5 4" xfId="172"/>
    <cellStyle name="HeaderSmall 3 2 5 5" xfId="172"/>
    <cellStyle name="HeaderSmall 3 2 5 6" xfId="172"/>
    <cellStyle name="HeaderSmall 3 2 5 7" xfId="172"/>
    <cellStyle name="HeaderSmall 3 2 5 8" xfId="172"/>
    <cellStyle name="HeaderSmall 3 2 6" xfId="172"/>
    <cellStyle name="HeaderSmall 3 2 6 2" xfId="172"/>
    <cellStyle name="HeaderSmall 3 2 6 3" xfId="172"/>
    <cellStyle name="HeaderSmall 3 2 6 4" xfId="172"/>
    <cellStyle name="HeaderSmall 3 2 6 5" xfId="172"/>
    <cellStyle name="HeaderSmall 3 2 7" xfId="172"/>
    <cellStyle name="HeaderSmall 3 2 7 2" xfId="172"/>
    <cellStyle name="HeaderSmall 3 2 7 3" xfId="172"/>
    <cellStyle name="HeaderSmall 3 2 7 4" xfId="172"/>
    <cellStyle name="HeaderSmall 3 2 8" xfId="172"/>
    <cellStyle name="HeaderSmall 3 2 9" xfId="172"/>
    <cellStyle name="HeaderSmall 3 3" xfId="172"/>
    <cellStyle name="HeaderSmall 3 3 10" xfId="172"/>
    <cellStyle name="HeaderSmall 3 3 11" xfId="172"/>
    <cellStyle name="HeaderSmall 3 3 12" xfId="172"/>
    <cellStyle name="HeaderSmall 3 3 2" xfId="172"/>
    <cellStyle name="HeaderSmall 3 3 2 2" xfId="172"/>
    <cellStyle name="HeaderSmall 3 3 2 2 2" xfId="172"/>
    <cellStyle name="HeaderSmall 3 3 2 2 3" xfId="172"/>
    <cellStyle name="HeaderSmall 3 3 2 2 4" xfId="172"/>
    <cellStyle name="HeaderSmall 3 3 2 2 5" xfId="172"/>
    <cellStyle name="HeaderSmall 3 3 2 3" xfId="172"/>
    <cellStyle name="HeaderSmall 3 3 2 3 2" xfId="172"/>
    <cellStyle name="HeaderSmall 3 3 2 3 3" xfId="172"/>
    <cellStyle name="HeaderSmall 3 3 2 3 4" xfId="172"/>
    <cellStyle name="HeaderSmall 3 3 2 4" xfId="172"/>
    <cellStyle name="HeaderSmall 3 3 2 5" xfId="172"/>
    <cellStyle name="HeaderSmall 3 3 2 6" xfId="172"/>
    <cellStyle name="HeaderSmall 3 3 2 7" xfId="172"/>
    <cellStyle name="HeaderSmall 3 3 2 8" xfId="172"/>
    <cellStyle name="HeaderSmall 3 3 3" xfId="172"/>
    <cellStyle name="HeaderSmall 3 3 3 2" xfId="172"/>
    <cellStyle name="HeaderSmall 3 3 3 2 2" xfId="172"/>
    <cellStyle name="HeaderSmall 3 3 3 2 3" xfId="172"/>
    <cellStyle name="HeaderSmall 3 3 3 2 4" xfId="172"/>
    <cellStyle name="HeaderSmall 3 3 3 2 5" xfId="172"/>
    <cellStyle name="HeaderSmall 3 3 3 3" xfId="172"/>
    <cellStyle name="HeaderSmall 3 3 3 3 2" xfId="172"/>
    <cellStyle name="HeaderSmall 3 3 3 3 3" xfId="172"/>
    <cellStyle name="HeaderSmall 3 3 3 3 4" xfId="172"/>
    <cellStyle name="HeaderSmall 3 3 3 4" xfId="172"/>
    <cellStyle name="HeaderSmall 3 3 3 5" xfId="172"/>
    <cellStyle name="HeaderSmall 3 3 3 6" xfId="172"/>
    <cellStyle name="HeaderSmall 3 3 3 7" xfId="172"/>
    <cellStyle name="HeaderSmall 3 3 3 8" xfId="172"/>
    <cellStyle name="HeaderSmall 3 3 4" xfId="172"/>
    <cellStyle name="HeaderSmall 3 3 4 2" xfId="172"/>
    <cellStyle name="HeaderSmall 3 3 4 2 2" xfId="172"/>
    <cellStyle name="HeaderSmall 3 3 4 2 3" xfId="172"/>
    <cellStyle name="HeaderSmall 3 3 4 2 4" xfId="172"/>
    <cellStyle name="HeaderSmall 3 3 4 2 5" xfId="172"/>
    <cellStyle name="HeaderSmall 3 3 4 3" xfId="172"/>
    <cellStyle name="HeaderSmall 3 3 4 3 2" xfId="172"/>
    <cellStyle name="HeaderSmall 3 3 4 3 3" xfId="172"/>
    <cellStyle name="HeaderSmall 3 3 4 3 4" xfId="172"/>
    <cellStyle name="HeaderSmall 3 3 4 4" xfId="172"/>
    <cellStyle name="HeaderSmall 3 3 4 5" xfId="172"/>
    <cellStyle name="HeaderSmall 3 3 4 6" xfId="172"/>
    <cellStyle name="HeaderSmall 3 3 4 7" xfId="172"/>
    <cellStyle name="HeaderSmall 3 3 4 8" xfId="172"/>
    <cellStyle name="HeaderSmall 3 3 5" xfId="172"/>
    <cellStyle name="HeaderSmall 3 3 5 2" xfId="172"/>
    <cellStyle name="HeaderSmall 3 3 5 2 2" xfId="172"/>
    <cellStyle name="HeaderSmall 3 3 5 2 3" xfId="172"/>
    <cellStyle name="HeaderSmall 3 3 5 2 4" xfId="172"/>
    <cellStyle name="HeaderSmall 3 3 5 2 5" xfId="172"/>
    <cellStyle name="HeaderSmall 3 3 5 3" xfId="172"/>
    <cellStyle name="HeaderSmall 3 3 5 3 2" xfId="172"/>
    <cellStyle name="HeaderSmall 3 3 5 3 3" xfId="172"/>
    <cellStyle name="HeaderSmall 3 3 5 3 4" xfId="172"/>
    <cellStyle name="HeaderSmall 3 3 5 4" xfId="172"/>
    <cellStyle name="HeaderSmall 3 3 5 5" xfId="172"/>
    <cellStyle name="HeaderSmall 3 3 5 6" xfId="172"/>
    <cellStyle name="HeaderSmall 3 3 5 7" xfId="172"/>
    <cellStyle name="HeaderSmall 3 3 5 8" xfId="172"/>
    <cellStyle name="HeaderSmall 3 3 6" xfId="172"/>
    <cellStyle name="HeaderSmall 3 3 6 2" xfId="172"/>
    <cellStyle name="HeaderSmall 3 3 6 3" xfId="172"/>
    <cellStyle name="HeaderSmall 3 3 6 4" xfId="172"/>
    <cellStyle name="HeaderSmall 3 3 6 5" xfId="172"/>
    <cellStyle name="HeaderSmall 3 3 7" xfId="172"/>
    <cellStyle name="HeaderSmall 3 3 7 2" xfId="172"/>
    <cellStyle name="HeaderSmall 3 3 7 3" xfId="172"/>
    <cellStyle name="HeaderSmall 3 3 7 4" xfId="172"/>
    <cellStyle name="HeaderSmall 3 3 8" xfId="172"/>
    <cellStyle name="HeaderSmall 3 3 9" xfId="172"/>
    <cellStyle name="HeaderSmall 3 4" xfId="172"/>
    <cellStyle name="HeaderSmall 3 4 10" xfId="172"/>
    <cellStyle name="HeaderSmall 3 4 11" xfId="172"/>
    <cellStyle name="HeaderSmall 3 4 12" xfId="172"/>
    <cellStyle name="HeaderSmall 3 4 2" xfId="172"/>
    <cellStyle name="HeaderSmall 3 4 2 2" xfId="172"/>
    <cellStyle name="HeaderSmall 3 4 2 2 2" xfId="172"/>
    <cellStyle name="HeaderSmall 3 4 2 2 3" xfId="172"/>
    <cellStyle name="HeaderSmall 3 4 2 2 4" xfId="172"/>
    <cellStyle name="HeaderSmall 3 4 2 2 5" xfId="172"/>
    <cellStyle name="HeaderSmall 3 4 2 3" xfId="172"/>
    <cellStyle name="HeaderSmall 3 4 2 3 2" xfId="172"/>
    <cellStyle name="HeaderSmall 3 4 2 3 3" xfId="172"/>
    <cellStyle name="HeaderSmall 3 4 2 3 4" xfId="172"/>
    <cellStyle name="HeaderSmall 3 4 2 4" xfId="172"/>
    <cellStyle name="HeaderSmall 3 4 2 5" xfId="172"/>
    <cellStyle name="HeaderSmall 3 4 2 6" xfId="172"/>
    <cellStyle name="HeaderSmall 3 4 2 7" xfId="172"/>
    <cellStyle name="HeaderSmall 3 4 2 8" xfId="172"/>
    <cellStyle name="HeaderSmall 3 4 3" xfId="172"/>
    <cellStyle name="HeaderSmall 3 4 3 2" xfId="172"/>
    <cellStyle name="HeaderSmall 3 4 3 2 2" xfId="172"/>
    <cellStyle name="HeaderSmall 3 4 3 2 3" xfId="172"/>
    <cellStyle name="HeaderSmall 3 4 3 2 4" xfId="172"/>
    <cellStyle name="HeaderSmall 3 4 3 2 5" xfId="172"/>
    <cellStyle name="HeaderSmall 3 4 3 3" xfId="172"/>
    <cellStyle name="HeaderSmall 3 4 3 3 2" xfId="172"/>
    <cellStyle name="HeaderSmall 3 4 3 3 3" xfId="172"/>
    <cellStyle name="HeaderSmall 3 4 3 3 4" xfId="172"/>
    <cellStyle name="HeaderSmall 3 4 3 4" xfId="172"/>
    <cellStyle name="HeaderSmall 3 4 3 5" xfId="172"/>
    <cellStyle name="HeaderSmall 3 4 3 6" xfId="172"/>
    <cellStyle name="HeaderSmall 3 4 3 7" xfId="172"/>
    <cellStyle name="HeaderSmall 3 4 3 8" xfId="172"/>
    <cellStyle name="HeaderSmall 3 4 4" xfId="172"/>
    <cellStyle name="HeaderSmall 3 4 4 2" xfId="172"/>
    <cellStyle name="HeaderSmall 3 4 4 2 2" xfId="172"/>
    <cellStyle name="HeaderSmall 3 4 4 2 3" xfId="172"/>
    <cellStyle name="HeaderSmall 3 4 4 2 4" xfId="172"/>
    <cellStyle name="HeaderSmall 3 4 4 2 5" xfId="172"/>
    <cellStyle name="HeaderSmall 3 4 4 3" xfId="172"/>
    <cellStyle name="HeaderSmall 3 4 4 3 2" xfId="172"/>
    <cellStyle name="HeaderSmall 3 4 4 3 3" xfId="172"/>
    <cellStyle name="HeaderSmall 3 4 4 3 4" xfId="172"/>
    <cellStyle name="HeaderSmall 3 4 4 4" xfId="172"/>
    <cellStyle name="HeaderSmall 3 4 4 5" xfId="172"/>
    <cellStyle name="HeaderSmall 3 4 4 6" xfId="172"/>
    <cellStyle name="HeaderSmall 3 4 4 7" xfId="172"/>
    <cellStyle name="HeaderSmall 3 4 4 8" xfId="172"/>
    <cellStyle name="HeaderSmall 3 4 5" xfId="172"/>
    <cellStyle name="HeaderSmall 3 4 5 2" xfId="172"/>
    <cellStyle name="HeaderSmall 3 4 5 2 2" xfId="172"/>
    <cellStyle name="HeaderSmall 3 4 5 2 3" xfId="172"/>
    <cellStyle name="HeaderSmall 3 4 5 2 4" xfId="172"/>
    <cellStyle name="HeaderSmall 3 4 5 2 5" xfId="172"/>
    <cellStyle name="HeaderSmall 3 4 5 3" xfId="172"/>
    <cellStyle name="HeaderSmall 3 4 5 3 2" xfId="172"/>
    <cellStyle name="HeaderSmall 3 4 5 3 3" xfId="172"/>
    <cellStyle name="HeaderSmall 3 4 5 3 4" xfId="172"/>
    <cellStyle name="HeaderSmall 3 4 5 4" xfId="172"/>
    <cellStyle name="HeaderSmall 3 4 5 5" xfId="172"/>
    <cellStyle name="HeaderSmall 3 4 5 6" xfId="172"/>
    <cellStyle name="HeaderSmall 3 4 5 7" xfId="172"/>
    <cellStyle name="HeaderSmall 3 4 5 8" xfId="172"/>
    <cellStyle name="HeaderSmall 3 4 6" xfId="172"/>
    <cellStyle name="HeaderSmall 3 4 6 2" xfId="172"/>
    <cellStyle name="HeaderSmall 3 4 6 3" xfId="172"/>
    <cellStyle name="HeaderSmall 3 4 6 4" xfId="172"/>
    <cellStyle name="HeaderSmall 3 4 6 5" xfId="172"/>
    <cellStyle name="HeaderSmall 3 4 7" xfId="172"/>
    <cellStyle name="HeaderSmall 3 4 7 2" xfId="172"/>
    <cellStyle name="HeaderSmall 3 4 7 3" xfId="172"/>
    <cellStyle name="HeaderSmall 3 4 7 4" xfId="172"/>
    <cellStyle name="HeaderSmall 3 4 8" xfId="172"/>
    <cellStyle name="HeaderSmall 3 4 9" xfId="172"/>
    <cellStyle name="HeaderSmall 3 5" xfId="172"/>
    <cellStyle name="HeaderSmall 3 5 10" xfId="172"/>
    <cellStyle name="HeaderSmall 3 5 11" xfId="172"/>
    <cellStyle name="HeaderSmall 3 5 12" xfId="172"/>
    <cellStyle name="HeaderSmall 3 5 2" xfId="172"/>
    <cellStyle name="HeaderSmall 3 5 2 2" xfId="172"/>
    <cellStyle name="HeaderSmall 3 5 2 2 2" xfId="172"/>
    <cellStyle name="HeaderSmall 3 5 2 2 3" xfId="172"/>
    <cellStyle name="HeaderSmall 3 5 2 2 4" xfId="172"/>
    <cellStyle name="HeaderSmall 3 5 2 2 5" xfId="172"/>
    <cellStyle name="HeaderSmall 3 5 2 3" xfId="172"/>
    <cellStyle name="HeaderSmall 3 5 2 3 2" xfId="172"/>
    <cellStyle name="HeaderSmall 3 5 2 3 3" xfId="172"/>
    <cellStyle name="HeaderSmall 3 5 2 3 4" xfId="172"/>
    <cellStyle name="HeaderSmall 3 5 2 4" xfId="172"/>
    <cellStyle name="HeaderSmall 3 5 2 5" xfId="172"/>
    <cellStyle name="HeaderSmall 3 5 2 6" xfId="172"/>
    <cellStyle name="HeaderSmall 3 5 2 7" xfId="172"/>
    <cellStyle name="HeaderSmall 3 5 2 8" xfId="172"/>
    <cellStyle name="HeaderSmall 3 5 3" xfId="172"/>
    <cellStyle name="HeaderSmall 3 5 3 2" xfId="172"/>
    <cellStyle name="HeaderSmall 3 5 3 2 2" xfId="172"/>
    <cellStyle name="HeaderSmall 3 5 3 2 3" xfId="172"/>
    <cellStyle name="HeaderSmall 3 5 3 2 4" xfId="172"/>
    <cellStyle name="HeaderSmall 3 5 3 2 5" xfId="172"/>
    <cellStyle name="HeaderSmall 3 5 3 3" xfId="172"/>
    <cellStyle name="HeaderSmall 3 5 3 3 2" xfId="172"/>
    <cellStyle name="HeaderSmall 3 5 3 3 3" xfId="172"/>
    <cellStyle name="HeaderSmall 3 5 3 3 4" xfId="172"/>
    <cellStyle name="HeaderSmall 3 5 3 4" xfId="172"/>
    <cellStyle name="HeaderSmall 3 5 3 5" xfId="172"/>
    <cellStyle name="HeaderSmall 3 5 3 6" xfId="172"/>
    <cellStyle name="HeaderSmall 3 5 3 7" xfId="172"/>
    <cellStyle name="HeaderSmall 3 5 3 8" xfId="172"/>
    <cellStyle name="HeaderSmall 3 5 4" xfId="172"/>
    <cellStyle name="HeaderSmall 3 5 4 2" xfId="172"/>
    <cellStyle name="HeaderSmall 3 5 4 2 2" xfId="172"/>
    <cellStyle name="HeaderSmall 3 5 4 2 3" xfId="172"/>
    <cellStyle name="HeaderSmall 3 5 4 2 4" xfId="172"/>
    <cellStyle name="HeaderSmall 3 5 4 2 5" xfId="172"/>
    <cellStyle name="HeaderSmall 3 5 4 3" xfId="172"/>
    <cellStyle name="HeaderSmall 3 5 4 3 2" xfId="172"/>
    <cellStyle name="HeaderSmall 3 5 4 3 3" xfId="172"/>
    <cellStyle name="HeaderSmall 3 5 4 3 4" xfId="172"/>
    <cellStyle name="HeaderSmall 3 5 4 4" xfId="172"/>
    <cellStyle name="HeaderSmall 3 5 4 5" xfId="172"/>
    <cellStyle name="HeaderSmall 3 5 4 6" xfId="172"/>
    <cellStyle name="HeaderSmall 3 5 4 7" xfId="172"/>
    <cellStyle name="HeaderSmall 3 5 4 8" xfId="172"/>
    <cellStyle name="HeaderSmall 3 5 5" xfId="172"/>
    <cellStyle name="HeaderSmall 3 5 5 2" xfId="172"/>
    <cellStyle name="HeaderSmall 3 5 5 2 2" xfId="172"/>
    <cellStyle name="HeaderSmall 3 5 5 2 3" xfId="172"/>
    <cellStyle name="HeaderSmall 3 5 5 2 4" xfId="172"/>
    <cellStyle name="HeaderSmall 3 5 5 2 5" xfId="172"/>
    <cellStyle name="HeaderSmall 3 5 5 3" xfId="172"/>
    <cellStyle name="HeaderSmall 3 5 5 3 2" xfId="172"/>
    <cellStyle name="HeaderSmall 3 5 5 3 3" xfId="172"/>
    <cellStyle name="HeaderSmall 3 5 5 3 4" xfId="172"/>
    <cellStyle name="HeaderSmall 3 5 5 4" xfId="172"/>
    <cellStyle name="HeaderSmall 3 5 5 5" xfId="172"/>
    <cellStyle name="HeaderSmall 3 5 5 6" xfId="172"/>
    <cellStyle name="HeaderSmall 3 5 5 7" xfId="172"/>
    <cellStyle name="HeaderSmall 3 5 5 8" xfId="172"/>
    <cellStyle name="HeaderSmall 3 5 6" xfId="172"/>
    <cellStyle name="HeaderSmall 3 5 6 2" xfId="172"/>
    <cellStyle name="HeaderSmall 3 5 6 3" xfId="172"/>
    <cellStyle name="HeaderSmall 3 5 6 4" xfId="172"/>
    <cellStyle name="HeaderSmall 3 5 6 5" xfId="172"/>
    <cellStyle name="HeaderSmall 3 5 7" xfId="172"/>
    <cellStyle name="HeaderSmall 3 5 7 2" xfId="172"/>
    <cellStyle name="HeaderSmall 3 5 7 3" xfId="172"/>
    <cellStyle name="HeaderSmall 3 5 7 4" xfId="172"/>
    <cellStyle name="HeaderSmall 3 5 8" xfId="172"/>
    <cellStyle name="HeaderSmall 3 5 9" xfId="172"/>
    <cellStyle name="HeaderSmall 3 6" xfId="172"/>
    <cellStyle name="HeaderSmall 3 6 10" xfId="172"/>
    <cellStyle name="HeaderSmall 3 6 11" xfId="172"/>
    <cellStyle name="HeaderSmall 3 6 2" xfId="172"/>
    <cellStyle name="HeaderSmall 3 6 2 2" xfId="172"/>
    <cellStyle name="HeaderSmall 3 6 2 2 2" xfId="172"/>
    <cellStyle name="HeaderSmall 3 6 2 2 3" xfId="172"/>
    <cellStyle name="HeaderSmall 3 6 2 2 4" xfId="172"/>
    <cellStyle name="HeaderSmall 3 6 2 2 5" xfId="172"/>
    <cellStyle name="HeaderSmall 3 6 2 3" xfId="172"/>
    <cellStyle name="HeaderSmall 3 6 2 3 2" xfId="172"/>
    <cellStyle name="HeaderSmall 3 6 2 3 3" xfId="172"/>
    <cellStyle name="HeaderSmall 3 6 2 3 4" xfId="172"/>
    <cellStyle name="HeaderSmall 3 6 2 4" xfId="172"/>
    <cellStyle name="HeaderSmall 3 6 2 5" xfId="172"/>
    <cellStyle name="HeaderSmall 3 6 2 6" xfId="172"/>
    <cellStyle name="HeaderSmall 3 6 2 7" xfId="172"/>
    <cellStyle name="HeaderSmall 3 6 2 8" xfId="172"/>
    <cellStyle name="HeaderSmall 3 6 3" xfId="172"/>
    <cellStyle name="HeaderSmall 3 6 3 2" xfId="172"/>
    <cellStyle name="HeaderSmall 3 6 3 2 2" xfId="172"/>
    <cellStyle name="HeaderSmall 3 6 3 2 3" xfId="172"/>
    <cellStyle name="HeaderSmall 3 6 3 2 4" xfId="172"/>
    <cellStyle name="HeaderSmall 3 6 3 2 5" xfId="172"/>
    <cellStyle name="HeaderSmall 3 6 3 3" xfId="172"/>
    <cellStyle name="HeaderSmall 3 6 3 3 2" xfId="172"/>
    <cellStyle name="HeaderSmall 3 6 3 3 3" xfId="172"/>
    <cellStyle name="HeaderSmall 3 6 3 3 4" xfId="172"/>
    <cellStyle name="HeaderSmall 3 6 3 4" xfId="172"/>
    <cellStyle name="HeaderSmall 3 6 3 5" xfId="172"/>
    <cellStyle name="HeaderSmall 3 6 3 6" xfId="172"/>
    <cellStyle name="HeaderSmall 3 6 3 7" xfId="172"/>
    <cellStyle name="HeaderSmall 3 6 3 8" xfId="172"/>
    <cellStyle name="HeaderSmall 3 6 4" xfId="172"/>
    <cellStyle name="HeaderSmall 3 6 4 2" xfId="172"/>
    <cellStyle name="HeaderSmall 3 6 4 2 2" xfId="172"/>
    <cellStyle name="HeaderSmall 3 6 4 2 3" xfId="172"/>
    <cellStyle name="HeaderSmall 3 6 4 2 4" xfId="172"/>
    <cellStyle name="HeaderSmall 3 6 4 2 5" xfId="172"/>
    <cellStyle name="HeaderSmall 3 6 4 3" xfId="172"/>
    <cellStyle name="HeaderSmall 3 6 4 3 2" xfId="172"/>
    <cellStyle name="HeaderSmall 3 6 4 3 3" xfId="172"/>
    <cellStyle name="HeaderSmall 3 6 4 3 4" xfId="172"/>
    <cellStyle name="HeaderSmall 3 6 4 4" xfId="172"/>
    <cellStyle name="HeaderSmall 3 6 4 5" xfId="172"/>
    <cellStyle name="HeaderSmall 3 6 4 6" xfId="172"/>
    <cellStyle name="HeaderSmall 3 6 4 7" xfId="172"/>
    <cellStyle name="HeaderSmall 3 6 4 8" xfId="172"/>
    <cellStyle name="HeaderSmall 3 6 5" xfId="172"/>
    <cellStyle name="HeaderSmall 3 6 5 2" xfId="172"/>
    <cellStyle name="HeaderSmall 3 6 5 3" xfId="172"/>
    <cellStyle name="HeaderSmall 3 6 5 4" xfId="172"/>
    <cellStyle name="HeaderSmall 3 6 5 5" xfId="172"/>
    <cellStyle name="HeaderSmall 3 6 6" xfId="172"/>
    <cellStyle name="HeaderSmall 3 6 6 2" xfId="172"/>
    <cellStyle name="HeaderSmall 3 6 6 3" xfId="172"/>
    <cellStyle name="HeaderSmall 3 6 6 4" xfId="172"/>
    <cellStyle name="HeaderSmall 3 6 7" xfId="172"/>
    <cellStyle name="HeaderSmall 3 6 8" xfId="172"/>
    <cellStyle name="HeaderSmall 3 6 9" xfId="172"/>
    <cellStyle name="HeaderSmall 3 7" xfId="172"/>
    <cellStyle name="HeaderSmall 3 7 10" xfId="172"/>
    <cellStyle name="HeaderSmall 3 7 11" xfId="172"/>
    <cellStyle name="HeaderSmall 3 7 2" xfId="172"/>
    <cellStyle name="HeaderSmall 3 7 2 2" xfId="172"/>
    <cellStyle name="HeaderSmall 3 7 2 2 2" xfId="172"/>
    <cellStyle name="HeaderSmall 3 7 2 2 3" xfId="172"/>
    <cellStyle name="HeaderSmall 3 7 2 2 4" xfId="172"/>
    <cellStyle name="HeaderSmall 3 7 2 2 5" xfId="172"/>
    <cellStyle name="HeaderSmall 3 7 2 3" xfId="172"/>
    <cellStyle name="HeaderSmall 3 7 2 3 2" xfId="172"/>
    <cellStyle name="HeaderSmall 3 7 2 3 3" xfId="172"/>
    <cellStyle name="HeaderSmall 3 7 2 3 4" xfId="172"/>
    <cellStyle name="HeaderSmall 3 7 2 4" xfId="172"/>
    <cellStyle name="HeaderSmall 3 7 2 5" xfId="172"/>
    <cellStyle name="HeaderSmall 3 7 2 6" xfId="172"/>
    <cellStyle name="HeaderSmall 3 7 2 7" xfId="172"/>
    <cellStyle name="HeaderSmall 3 7 2 8" xfId="172"/>
    <cellStyle name="HeaderSmall 3 7 3" xfId="172"/>
    <cellStyle name="HeaderSmall 3 7 3 2" xfId="172"/>
    <cellStyle name="HeaderSmall 3 7 3 2 2" xfId="172"/>
    <cellStyle name="HeaderSmall 3 7 3 2 3" xfId="172"/>
    <cellStyle name="HeaderSmall 3 7 3 2 4" xfId="172"/>
    <cellStyle name="HeaderSmall 3 7 3 2 5" xfId="172"/>
    <cellStyle name="HeaderSmall 3 7 3 3" xfId="172"/>
    <cellStyle name="HeaderSmall 3 7 3 3 2" xfId="172"/>
    <cellStyle name="HeaderSmall 3 7 3 3 3" xfId="172"/>
    <cellStyle name="HeaderSmall 3 7 3 3 4" xfId="172"/>
    <cellStyle name="HeaderSmall 3 7 3 4" xfId="172"/>
    <cellStyle name="HeaderSmall 3 7 3 5" xfId="172"/>
    <cellStyle name="HeaderSmall 3 7 3 6" xfId="172"/>
    <cellStyle name="HeaderSmall 3 7 3 7" xfId="172"/>
    <cellStyle name="HeaderSmall 3 7 3 8" xfId="172"/>
    <cellStyle name="HeaderSmall 3 7 4" xfId="172"/>
    <cellStyle name="HeaderSmall 3 7 4 2" xfId="172"/>
    <cellStyle name="HeaderSmall 3 7 4 2 2" xfId="172"/>
    <cellStyle name="HeaderSmall 3 7 4 2 3" xfId="172"/>
    <cellStyle name="HeaderSmall 3 7 4 2 4" xfId="172"/>
    <cellStyle name="HeaderSmall 3 7 4 2 5" xfId="172"/>
    <cellStyle name="HeaderSmall 3 7 4 3" xfId="172"/>
    <cellStyle name="HeaderSmall 3 7 4 3 2" xfId="172"/>
    <cellStyle name="HeaderSmall 3 7 4 3 3" xfId="172"/>
    <cellStyle name="HeaderSmall 3 7 4 3 4" xfId="172"/>
    <cellStyle name="HeaderSmall 3 7 4 4" xfId="172"/>
    <cellStyle name="HeaderSmall 3 7 4 5" xfId="172"/>
    <cellStyle name="HeaderSmall 3 7 4 6" xfId="172"/>
    <cellStyle name="HeaderSmall 3 7 4 7" xfId="172"/>
    <cellStyle name="HeaderSmall 3 7 4 8" xfId="172"/>
    <cellStyle name="HeaderSmall 3 7 5" xfId="172"/>
    <cellStyle name="HeaderSmall 3 7 5 2" xfId="172"/>
    <cellStyle name="HeaderSmall 3 7 5 3" xfId="172"/>
    <cellStyle name="HeaderSmall 3 7 5 4" xfId="172"/>
    <cellStyle name="HeaderSmall 3 7 5 5" xfId="172"/>
    <cellStyle name="HeaderSmall 3 7 6" xfId="172"/>
    <cellStyle name="HeaderSmall 3 7 6 2" xfId="172"/>
    <cellStyle name="HeaderSmall 3 7 6 3" xfId="172"/>
    <cellStyle name="HeaderSmall 3 7 6 4" xfId="172"/>
    <cellStyle name="HeaderSmall 3 7 7" xfId="172"/>
    <cellStyle name="HeaderSmall 3 7 8" xfId="172"/>
    <cellStyle name="HeaderSmall 3 7 9" xfId="172"/>
    <cellStyle name="HeaderSmall 3 8" xfId="172"/>
    <cellStyle name="HeaderSmall 3 8 2" xfId="172"/>
    <cellStyle name="HeaderSmall 3 8 2 2" xfId="172"/>
    <cellStyle name="HeaderSmall 3 8 2 3" xfId="172"/>
    <cellStyle name="HeaderSmall 3 8 2 4" xfId="172"/>
    <cellStyle name="HeaderSmall 3 8 2 5" xfId="172"/>
    <cellStyle name="HeaderSmall 3 8 3" xfId="172"/>
    <cellStyle name="HeaderSmall 3 8 3 2" xfId="172"/>
    <cellStyle name="HeaderSmall 3 8 3 3" xfId="172"/>
    <cellStyle name="HeaderSmall 3 8 3 4" xfId="172"/>
    <cellStyle name="HeaderSmall 3 8 4" xfId="172"/>
    <cellStyle name="HeaderSmall 3 8 5" xfId="172"/>
    <cellStyle name="HeaderSmall 3 8 6" xfId="172"/>
    <cellStyle name="HeaderSmall 3 8 7" xfId="172"/>
    <cellStyle name="HeaderSmall 3 8 8" xfId="172"/>
    <cellStyle name="HeaderSmall 3 9" xfId="172"/>
    <cellStyle name="HeaderSmall 3 9 2" xfId="172"/>
    <cellStyle name="HeaderSmall 3 9 2 2" xfId="172"/>
    <cellStyle name="HeaderSmall 3 9 2 3" xfId="172"/>
    <cellStyle name="HeaderSmall 3 9 2 4" xfId="172"/>
    <cellStyle name="HeaderSmall 3 9 2 5" xfId="172"/>
    <cellStyle name="HeaderSmall 3 9 3" xfId="172"/>
    <cellStyle name="HeaderSmall 3 9 3 2" xfId="172"/>
    <cellStyle name="HeaderSmall 3 9 3 3" xfId="172"/>
    <cellStyle name="HeaderSmall 3 9 3 4" xfId="172"/>
    <cellStyle name="HeaderSmall 3 9 4" xfId="172"/>
    <cellStyle name="HeaderSmall 3 9 5" xfId="172"/>
    <cellStyle name="HeaderSmall 3 9 6" xfId="172"/>
    <cellStyle name="HeaderSmall 3 9 7" xfId="172"/>
    <cellStyle name="HeaderSmall 3 9 8" xfId="172"/>
    <cellStyle name="HeaderSmall 4" xfId="172"/>
    <cellStyle name="HeaderSmall 4 2" xfId="172"/>
    <cellStyle name="HeaderSmall 4 2 2" xfId="172"/>
    <cellStyle name="HeaderSmall 4 2 2 2" xfId="172"/>
    <cellStyle name="HeaderSmall 4 2 2 3" xfId="172"/>
    <cellStyle name="HeaderSmall 4 2 2 4" xfId="172"/>
    <cellStyle name="HeaderSmall 4 2 2 5" xfId="172"/>
    <cellStyle name="HeaderSmall 4 2 3" xfId="172"/>
    <cellStyle name="HeaderSmall 4 2 3 2" xfId="172"/>
    <cellStyle name="HeaderSmall 4 2 3 3" xfId="172"/>
    <cellStyle name="HeaderSmall 4 2 3 4" xfId="172"/>
    <cellStyle name="HeaderSmall 4 2 4" xfId="172"/>
    <cellStyle name="HeaderSmall 4 2 5" xfId="172"/>
    <cellStyle name="HeaderSmall 4 2 6" xfId="172"/>
    <cellStyle name="HeaderSmall 4 2 7" xfId="172"/>
    <cellStyle name="HeaderSmall 4 2 8" xfId="172"/>
    <cellStyle name="HeaderSmall 4 3" xfId="172"/>
    <cellStyle name="HeaderSmall 4 3 2" xfId="172"/>
    <cellStyle name="HeaderSmall 4 3 2 2" xfId="172"/>
    <cellStyle name="HeaderSmall 4 3 2 3" xfId="172"/>
    <cellStyle name="HeaderSmall 4 3 2 4" xfId="172"/>
    <cellStyle name="HeaderSmall 4 3 2 5" xfId="172"/>
    <cellStyle name="HeaderSmall 4 3 3" xfId="172"/>
    <cellStyle name="HeaderSmall 4 3 3 2" xfId="172"/>
    <cellStyle name="HeaderSmall 4 3 3 3" xfId="172"/>
    <cellStyle name="HeaderSmall 4 3 3 4" xfId="172"/>
    <cellStyle name="HeaderSmall 4 3 4" xfId="172"/>
    <cellStyle name="HeaderSmall 4 3 5" xfId="172"/>
    <cellStyle name="HeaderSmall 4 3 6" xfId="172"/>
    <cellStyle name="HeaderSmall 4 3 7" xfId="172"/>
    <cellStyle name="HeaderSmall 4 4" xfId="172"/>
    <cellStyle name="HeaderSmall 4 4 2" xfId="172"/>
    <cellStyle name="HeaderSmall 4 4 3" xfId="172"/>
    <cellStyle name="HeaderSmall 4 4 4" xfId="172"/>
    <cellStyle name="HeaderSmall 4 4 5" xfId="172"/>
    <cellStyle name="HeaderSmall 4 5" xfId="172"/>
    <cellStyle name="HeaderSmall 4 5 2" xfId="172"/>
    <cellStyle name="HeaderSmall 4 5 3" xfId="172"/>
    <cellStyle name="HeaderSmall 4 5 4" xfId="172"/>
    <cellStyle name="HeaderSmall 4 6" xfId="172"/>
    <cellStyle name="HeaderSmall 4 7" xfId="172"/>
    <cellStyle name="HeaderSmall 4 8" xfId="172"/>
    <cellStyle name="HeaderSmall 4 9" xfId="172"/>
    <cellStyle name="HeaderSmall 5" xfId="172"/>
    <cellStyle name="HeaderSmall 5 2" xfId="172"/>
    <cellStyle name="HeaderSmall 5 2 2" xfId="172"/>
    <cellStyle name="HeaderSmall 5 2 3" xfId="172"/>
    <cellStyle name="HeaderSmall 5 2 4" xfId="172"/>
    <cellStyle name="HeaderSmall 5 2 5" xfId="172"/>
    <cellStyle name="HeaderSmall 5 3" xfId="172"/>
    <cellStyle name="HeaderSmall 5 3 2" xfId="172"/>
    <cellStyle name="HeaderSmall 5 3 3" xfId="172"/>
    <cellStyle name="HeaderSmall 5 3 4" xfId="172"/>
    <cellStyle name="HeaderSmall 5 4" xfId="172"/>
    <cellStyle name="HeaderSmall 5 5" xfId="172"/>
    <cellStyle name="HeaderSmall 5 6" xfId="172"/>
    <cellStyle name="HeaderSmall 5 7" xfId="172"/>
    <cellStyle name="HeaderSmall 5 8" xfId="172"/>
    <cellStyle name="HeaderSmall 6" xfId="172"/>
    <cellStyle name="HeaderSmall 6 2" xfId="172"/>
    <cellStyle name="HeaderSmall 6 3" xfId="172"/>
    <cellStyle name="HeaderSmall 6 4" xfId="172"/>
    <cellStyle name="HeaderSmall 6 5" xfId="172"/>
    <cellStyle name="HeaderSmall 7" xfId="172"/>
    <cellStyle name="HeaderSmall 8" xfId="172"/>
    <cellStyle name="Heading 1" xfId="173" builtinId="16"/>
    <cellStyle name="Heading 1 2" xfId="174"/>
    <cellStyle name="Heading 1 2 2" xfId="174"/>
    <cellStyle name="Heading 1 2 3" xfId="174"/>
    <cellStyle name="Heading 1 2 4" xfId="174"/>
    <cellStyle name="Heading 1 2 5" xfId="174"/>
    <cellStyle name="Heading 1 2 6" xfId="174"/>
    <cellStyle name="Heading 1 3" xfId="173"/>
    <cellStyle name="Heading 2" xfId="175" builtinId="17"/>
    <cellStyle name="Heading 2 2" xfId="176"/>
    <cellStyle name="Heading 2 2 2" xfId="176"/>
    <cellStyle name="Heading 2 2 3" xfId="176"/>
    <cellStyle name="Heading 2 2 4" xfId="176"/>
    <cellStyle name="Heading 2 2 5" xfId="176"/>
    <cellStyle name="Heading 2 2 6" xfId="176"/>
    <cellStyle name="Heading 2 3" xfId="175"/>
    <cellStyle name="Heading 3" xfId="177" builtinId="18"/>
    <cellStyle name="Heading 3 2" xfId="178"/>
    <cellStyle name="Heading 4" xfId="179" builtinId="19"/>
    <cellStyle name="Heading 4 2" xfId="180"/>
    <cellStyle name="Hyperlink" xfId="181"/>
    <cellStyle name="Hyperlink 2" xfId="182"/>
    <cellStyle name="Hyperlink 2 2" xfId="182"/>
    <cellStyle name="Hyperlink 2 3" xfId="183"/>
    <cellStyle name="Hyperlink 2 4" xfId="181"/>
    <cellStyle name="Hyperlink 3" xfId="183"/>
    <cellStyle name="Hyperlink 3 2" xfId="183"/>
    <cellStyle name="Hyperlink 3 3" xfId="182"/>
    <cellStyle name="Hyperlink 3 4" xfId="184"/>
    <cellStyle name="Hyperlink 4" xfId="185"/>
    <cellStyle name="IndentItalics" xfId="186"/>
    <cellStyle name="inplacea" xfId="187"/>
    <cellStyle name="inplaceb&amp;c" xfId="187"/>
    <cellStyle name="Input" xfId="188" builtinId="20"/>
    <cellStyle name="Input [yellow]" xfId="189"/>
    <cellStyle name="Input [yellow] 10" xfId="189"/>
    <cellStyle name="Input [yellow] 11" xfId="189"/>
    <cellStyle name="Input [yellow] 12" xfId="189"/>
    <cellStyle name="Input [yellow] 2" xfId="190"/>
    <cellStyle name="Input [yellow] 2 2" xfId="190"/>
    <cellStyle name="Input [yellow] 2 2 2" xfId="190"/>
    <cellStyle name="Input [yellow] 2 2 2 2" xfId="190"/>
    <cellStyle name="Input [yellow] 2 2 2 2 2" xfId="190"/>
    <cellStyle name="Input [yellow] 2 2 2 3" xfId="190"/>
    <cellStyle name="Input [yellow] 2 2 2 3 2" xfId="190"/>
    <cellStyle name="Input [yellow] 2 2 2 4" xfId="190"/>
    <cellStyle name="Input [yellow] 2 2 2 4 2" xfId="190"/>
    <cellStyle name="Input [yellow] 2 2 2 5" xfId="190"/>
    <cellStyle name="Input [yellow] 2 2 2 5 2" xfId="190"/>
    <cellStyle name="Input [yellow] 2 2 2 6" xfId="190"/>
    <cellStyle name="Input [yellow] 2 2 3" xfId="190"/>
    <cellStyle name="Input [yellow] 2 2 3 2" xfId="190"/>
    <cellStyle name="Input [yellow] 2 2 4" xfId="190"/>
    <cellStyle name="Input [yellow] 2 2 4 2" xfId="190"/>
    <cellStyle name="Input [yellow] 2 2 5" xfId="190"/>
    <cellStyle name="Input [yellow] 2 2 5 2" xfId="190"/>
    <cellStyle name="Input [yellow] 2 2 6" xfId="190"/>
    <cellStyle name="Input [yellow] 2 2 6 2" xfId="190"/>
    <cellStyle name="Input [yellow] 2 3" xfId="190"/>
    <cellStyle name="Input [yellow] 2 3 2" xfId="190"/>
    <cellStyle name="Input [yellow] 2 3 2 2" xfId="190"/>
    <cellStyle name="Input [yellow] 2 3 3" xfId="190"/>
    <cellStyle name="Input [yellow] 2 3 3 2" xfId="190"/>
    <cellStyle name="Input [yellow] 2 3 4" xfId="190"/>
    <cellStyle name="Input [yellow] 2 3 4 2" xfId="190"/>
    <cellStyle name="Input [yellow] 2 3 5" xfId="190"/>
    <cellStyle name="Input [yellow] 2 3 5 2" xfId="190"/>
    <cellStyle name="Input [yellow] 2 3 6" xfId="190"/>
    <cellStyle name="Input [yellow] 2 4" xfId="190"/>
    <cellStyle name="Input [yellow] 2 4 2" xfId="190"/>
    <cellStyle name="Input [yellow] 2 5" xfId="190"/>
    <cellStyle name="Input [yellow] 2 5 2" xfId="190"/>
    <cellStyle name="Input [yellow] 2 6" xfId="190"/>
    <cellStyle name="Input [yellow] 3" xfId="189"/>
    <cellStyle name="Input [yellow] 3 2" xfId="189"/>
    <cellStyle name="Input [yellow] 3 2 2" xfId="189"/>
    <cellStyle name="Input [yellow] 3 2 2 2" xfId="189"/>
    <cellStyle name="Input [yellow] 3 2 3" xfId="189"/>
    <cellStyle name="Input [yellow] 3 2 3 2" xfId="189"/>
    <cellStyle name="Input [yellow] 3 2 4" xfId="189"/>
    <cellStyle name="Input [yellow] 3 2 4 2" xfId="189"/>
    <cellStyle name="Input [yellow] 3 2 5" xfId="189"/>
    <cellStyle name="Input [yellow] 3 2 5 2" xfId="189"/>
    <cellStyle name="Input [yellow] 3 2 6" xfId="189"/>
    <cellStyle name="Input [yellow] 3 3" xfId="189"/>
    <cellStyle name="Input [yellow] 3 3 2" xfId="189"/>
    <cellStyle name="Input [yellow] 3 4" xfId="189"/>
    <cellStyle name="Input [yellow] 3 4 2" xfId="189"/>
    <cellStyle name="Input [yellow] 3 5" xfId="189"/>
    <cellStyle name="Input [yellow] 3 5 2" xfId="189"/>
    <cellStyle name="Input [yellow] 3 6" xfId="189"/>
    <cellStyle name="Input [yellow] 3 6 2" xfId="189"/>
    <cellStyle name="Input [yellow] 4" xfId="189"/>
    <cellStyle name="Input [yellow] 4 2" xfId="189"/>
    <cellStyle name="Input [yellow] 4 2 2" xfId="189"/>
    <cellStyle name="Input [yellow] 4 3" xfId="189"/>
    <cellStyle name="Input [yellow] 4 3 2" xfId="189"/>
    <cellStyle name="Input [yellow] 4 4" xfId="189"/>
    <cellStyle name="Input [yellow] 4 4 2" xfId="189"/>
    <cellStyle name="Input [yellow] 4 5" xfId="189"/>
    <cellStyle name="Input [yellow] 4 5 2" xfId="189"/>
    <cellStyle name="Input [yellow] 4 6" xfId="189"/>
    <cellStyle name="Input [yellow] 5" xfId="189"/>
    <cellStyle name="Input [yellow] 5 2" xfId="189"/>
    <cellStyle name="Input [yellow] 6" xfId="189"/>
    <cellStyle name="Input [yellow] 6 2" xfId="189"/>
    <cellStyle name="Input [yellow] 7" xfId="189"/>
    <cellStyle name="Input [yellow] 8" xfId="189"/>
    <cellStyle name="Input [yellow] 9" xfId="189"/>
    <cellStyle name="Input 10" xfId="191"/>
    <cellStyle name="Input 2" xfId="191"/>
    <cellStyle name="Input 2 2" xfId="191"/>
    <cellStyle name="Input 2 2 2" xfId="191"/>
    <cellStyle name="Input 2 3" xfId="191"/>
    <cellStyle name="Input 2 3 2" xfId="191"/>
    <cellStyle name="Input 2 4" xfId="191"/>
    <cellStyle name="Input 2 4 2" xfId="191"/>
    <cellStyle name="Input 2 5" xfId="191"/>
    <cellStyle name="Input 3" xfId="191"/>
    <cellStyle name="Input 3 2" xfId="191"/>
    <cellStyle name="Input 3 2 2" xfId="191"/>
    <cellStyle name="Input 3 3" xfId="191"/>
    <cellStyle name="Input 3 3 2" xfId="191"/>
    <cellStyle name="Input 3 4" xfId="191"/>
    <cellStyle name="Input 3 4 2" xfId="191"/>
    <cellStyle name="Input 3 5" xfId="191"/>
    <cellStyle name="Input 4" xfId="191"/>
    <cellStyle name="Input 4 2" xfId="191"/>
    <cellStyle name="Input 4 2 2" xfId="191"/>
    <cellStyle name="Input 4 3" xfId="191"/>
    <cellStyle name="Input 4 3 2" xfId="191"/>
    <cellStyle name="Input 4 4" xfId="191"/>
    <cellStyle name="Input 4 4 2" xfId="191"/>
    <cellStyle name="Input 4 5" xfId="191"/>
    <cellStyle name="Input 5" xfId="191"/>
    <cellStyle name="Input 6" xfId="191"/>
    <cellStyle name="Input 7" xfId="191"/>
    <cellStyle name="Input 8" xfId="191"/>
    <cellStyle name="Input 9" xfId="191"/>
    <cellStyle name="left" xfId="192"/>
    <cellStyle name="Linked Cell" xfId="193" builtinId="24"/>
    <cellStyle name="Linked Cell 2" xfId="194"/>
    <cellStyle name="LookupListHeader" xfId="195"/>
    <cellStyle name="LookupListHeader 2" xfId="195"/>
    <cellStyle name="LookupListHeader 2 2" xfId="195"/>
    <cellStyle name="LookupListHeader 2 2 2" xfId="195"/>
    <cellStyle name="LookupListHeader 2 2 2 2" xfId="195"/>
    <cellStyle name="LookupListHeader 2 2 3" xfId="195"/>
    <cellStyle name="LookupListHeader 2 2 3 2" xfId="195"/>
    <cellStyle name="LookupListHeader 2 2 4" xfId="195"/>
    <cellStyle name="LookupListHeader 2 2 4 2" xfId="195"/>
    <cellStyle name="LookupListHeader 2 2 5" xfId="195"/>
    <cellStyle name="LookupListHeader 2 2 5 2" xfId="195"/>
    <cellStyle name="LookupListHeader 2 2 6" xfId="195"/>
    <cellStyle name="LookupListHeader 2 3" xfId="195"/>
    <cellStyle name="LookupListHeader 2 3 2" xfId="195"/>
    <cellStyle name="LookupListHeader 2 4" xfId="195"/>
    <cellStyle name="LookupListHeader 2 4 2" xfId="195"/>
    <cellStyle name="LookupListHeader 2 5" xfId="195"/>
    <cellStyle name="LookupListHeader 2 5 2" xfId="195"/>
    <cellStyle name="LookupListHeader 2 6" xfId="195"/>
    <cellStyle name="LookupListHeader 2 6 2" xfId="195"/>
    <cellStyle name="LookupListHeader 3" xfId="195"/>
    <cellStyle name="LookupListHeader 3 2" xfId="195"/>
    <cellStyle name="LookupListHeader 3 2 2" xfId="195"/>
    <cellStyle name="LookupListHeader 3 3" xfId="195"/>
    <cellStyle name="LookupListHeader 3 3 2" xfId="195"/>
    <cellStyle name="LookupListHeader 3 4" xfId="195"/>
    <cellStyle name="LookupListHeader 3 4 2" xfId="195"/>
    <cellStyle name="LookupListHeader 3 5" xfId="195"/>
    <cellStyle name="LookupListHeader 3 5 2" xfId="195"/>
    <cellStyle name="LookupListHeader 3 6" xfId="195"/>
    <cellStyle name="LookupListHeader 4" xfId="195"/>
    <cellStyle name="LookupListHeader 4 2" xfId="195"/>
    <cellStyle name="LookupListHeader 5" xfId="195"/>
    <cellStyle name="LookupListHeader 5 2" xfId="195"/>
    <cellStyle name="LookupListHeader 6" xfId="195"/>
    <cellStyle name="Milliers [0]_laroux" xfId="196"/>
    <cellStyle name="Milliers_laroux" xfId="197"/>
    <cellStyle name="Monétaire [0]_laroux" xfId="198"/>
    <cellStyle name="Monétaire_laroux" xfId="199"/>
    <cellStyle name="Neutral" xfId="200" builtinId="28"/>
    <cellStyle name="Neutral 2" xfId="201"/>
    <cellStyle name="no dec" xfId="202"/>
    <cellStyle name="Normal - Style1" xfId="203"/>
    <cellStyle name="Normal - Style1 2" xfId="204"/>
    <cellStyle name="Normal 10" xfId="205"/>
    <cellStyle name="Normal 10 2" xfId="206"/>
    <cellStyle name="Normal 10_Sheet3" xfId="206"/>
    <cellStyle name="Normal 100" xfId="206"/>
    <cellStyle name="Normal 101" xfId="206"/>
    <cellStyle name="Normal 101 2" xfId="0"/>
    <cellStyle name="Normal 102" xfId="206"/>
    <cellStyle name="Normal 103" xfId="206"/>
    <cellStyle name="Normal 104" xfId="206"/>
    <cellStyle name="Normal 105" xfId="206"/>
    <cellStyle name="Normal 106" xfId="206"/>
    <cellStyle name="Normal 107" xfId="206"/>
    <cellStyle name="Normal 108" xfId="206"/>
    <cellStyle name="Normal 109" xfId="206"/>
    <cellStyle name="Normal 11" xfId="205"/>
    <cellStyle name="Normal 11 2" xfId="206"/>
    <cellStyle name="Normal 11_Sheet3" xfId="206"/>
    <cellStyle name="Normal 110" xfId="206"/>
    <cellStyle name="Normal 111" xfId="206"/>
    <cellStyle name="Normal 112" xfId="206"/>
    <cellStyle name="Normal 113" xfId="206"/>
    <cellStyle name="Normal 114" xfId="206"/>
    <cellStyle name="Normal 115" xfId="206"/>
    <cellStyle name="Normal 116" xfId="206"/>
    <cellStyle name="Normal 117" xfId="206"/>
    <cellStyle name="Normal 118" xfId="206"/>
    <cellStyle name="Normal 119" xfId="206"/>
    <cellStyle name="Normal 12" xfId="205"/>
    <cellStyle name="Normal 12 2" xfId="206"/>
    <cellStyle name="Normal 12_Sheet3" xfId="206"/>
    <cellStyle name="Normal 120" xfId="206"/>
    <cellStyle name="Normal 121" xfId="206"/>
    <cellStyle name="Normal 122" xfId="206"/>
    <cellStyle name="Normal 123" xfId="206"/>
    <cellStyle name="Normal 124" xfId="206"/>
    <cellStyle name="Normal 125" xfId="206"/>
    <cellStyle name="Normal 126" xfId="206"/>
    <cellStyle name="Normal 127" xfId="206"/>
    <cellStyle name="Normal 128" xfId="206"/>
    <cellStyle name="Normal 129" xfId="206"/>
    <cellStyle name="Normal 13" xfId="205"/>
    <cellStyle name="Normal 13 2" xfId="206"/>
    <cellStyle name="Normal 13_Sheet3" xfId="206"/>
    <cellStyle name="Normal 130" xfId="206"/>
    <cellStyle name="Normal 131" xfId="206"/>
    <cellStyle name="Normal 132" xfId="206"/>
    <cellStyle name="Normal 133" xfId="206"/>
    <cellStyle name="Normal 134" xfId="206"/>
    <cellStyle name="Normal 135" xfId="206"/>
    <cellStyle name="Normal 136" xfId="206"/>
    <cellStyle name="Normal 137" xfId="206"/>
    <cellStyle name="Normal 138" xfId="206"/>
    <cellStyle name="Normal 139" xfId="206"/>
    <cellStyle name="Normal 14" xfId="205"/>
    <cellStyle name="Normal 14 2" xfId="206"/>
    <cellStyle name="Normal 14_Sheet3" xfId="206"/>
    <cellStyle name="Normal 140" xfId="206"/>
    <cellStyle name="Normal 141" xfId="206"/>
    <cellStyle name="Normal 142" xfId="206"/>
    <cellStyle name="Normal 143" xfId="206"/>
    <cellStyle name="Normal 144" xfId="206"/>
    <cellStyle name="Normal 145" xfId="206"/>
    <cellStyle name="Normal 146" xfId="206"/>
    <cellStyle name="Normal 147" xfId="206"/>
    <cellStyle name="Normal 148" xfId="206"/>
    <cellStyle name="Normal 149" xfId="206"/>
    <cellStyle name="Normal 15" xfId="206"/>
    <cellStyle name="Normal 150" xfId="206"/>
    <cellStyle name="Normal 151" xfId="206"/>
    <cellStyle name="Normal 152" xfId="206"/>
    <cellStyle name="Normal 153" xfId="206"/>
    <cellStyle name="Normal 154" xfId="206"/>
    <cellStyle name="Normal 155" xfId="206"/>
    <cellStyle name="Normal 156" xfId="206"/>
    <cellStyle name="Normal 157" xfId="206"/>
    <cellStyle name="Normal 158" xfId="206"/>
    <cellStyle name="Normal 159" xfId="206"/>
    <cellStyle name="Normal 16" xfId="206"/>
    <cellStyle name="Normal 160" xfId="206"/>
    <cellStyle name="Normal 161" xfId="206"/>
    <cellStyle name="Normal 162" xfId="206"/>
    <cellStyle name="Normal 163" xfId="206"/>
    <cellStyle name="Normal 164" xfId="206"/>
    <cellStyle name="Normal 165" xfId="206"/>
    <cellStyle name="Normal 166" xfId="206"/>
    <cellStyle name="Normal 167" xfId="206"/>
    <cellStyle name="Normal 168" xfId="206"/>
    <cellStyle name="Normal 169" xfId="206"/>
    <cellStyle name="Normal 17" xfId="206"/>
    <cellStyle name="Normal 170" xfId="206"/>
    <cellStyle name="Normal 171" xfId="206"/>
    <cellStyle name="Normal 172" xfId="206"/>
    <cellStyle name="Normal 173" xfId="206"/>
    <cellStyle name="Normal 174" xfId="206"/>
    <cellStyle name="Normal 175" xfId="206"/>
    <cellStyle name="Normal 176" xfId="206"/>
    <cellStyle name="Normal 177" xfId="206"/>
    <cellStyle name="Normal 178" xfId="206"/>
    <cellStyle name="Normal 179" xfId="206"/>
    <cellStyle name="Normal 18" xfId="206"/>
    <cellStyle name="Normal 180" xfId="206"/>
    <cellStyle name="Normal 181" xfId="206"/>
    <cellStyle name="Normal 182" xfId="206"/>
    <cellStyle name="Normal 183" xfId="206"/>
    <cellStyle name="Normal 184" xfId="206"/>
    <cellStyle name="Normal 185" xfId="206"/>
    <cellStyle name="Normal 186" xfId="0"/>
    <cellStyle name="Normal 186 2" xfId="0"/>
    <cellStyle name="Normal 186 2 2" xfId="0"/>
    <cellStyle name="Normal 186 2 2 2" xfId="0"/>
    <cellStyle name="Normal 186 2 2 2 2" xfId="0"/>
    <cellStyle name="Normal 186 2 2 3" xfId="0"/>
    <cellStyle name="Normal 186 2 3" xfId="0"/>
    <cellStyle name="Normal 186 2 3 2" xfId="0"/>
    <cellStyle name="Normal 186 2 3 2 2" xfId="0"/>
    <cellStyle name="Normal 186 2 3 3" xfId="0"/>
    <cellStyle name="Normal 186 2 4" xfId="0"/>
    <cellStyle name="Normal 186 2 4 2" xfId="0"/>
    <cellStyle name="Normal 186 2 5" xfId="0"/>
    <cellStyle name="Normal 186 3" xfId="0"/>
    <cellStyle name="Normal 186 3 2" xfId="0"/>
    <cellStyle name="Normal 186 3 2 2" xfId="0"/>
    <cellStyle name="Normal 186 3 3" xfId="0"/>
    <cellStyle name="Normal 186 4" xfId="0"/>
    <cellStyle name="Normal 186 4 2" xfId="0"/>
    <cellStyle name="Normal 186 4 2 2" xfId="0"/>
    <cellStyle name="Normal 186 4 3" xfId="0"/>
    <cellStyle name="Normal 186 5" xfId="0"/>
    <cellStyle name="Normal 186 5 2" xfId="0"/>
    <cellStyle name="Normal 186 6" xfId="0"/>
    <cellStyle name="Normal 187" xfId="206"/>
    <cellStyle name="Normal 188" xfId="206"/>
    <cellStyle name="Normal 189" xfId="206"/>
    <cellStyle name="Normal 19" xfId="206"/>
    <cellStyle name="Normal 190" xfId="206"/>
    <cellStyle name="Normal 191" xfId="206"/>
    <cellStyle name="Normal 192" xfId="206"/>
    <cellStyle name="Normal 193" xfId="206"/>
    <cellStyle name="Normal 194" xfId="206"/>
    <cellStyle name="Normal 195" xfId="206"/>
    <cellStyle name="Normal 196" xfId="206"/>
    <cellStyle name="Normal 197" xfId="206"/>
    <cellStyle name="Normal 198" xfId="205"/>
    <cellStyle name="Normal 198 2" xfId="205"/>
    <cellStyle name="Normal 199" xfId="207"/>
    <cellStyle name="Normal 2" xfId="206"/>
    <cellStyle name="Normal 2 2" xfId="206"/>
    <cellStyle name="Normal 2 2 2" xfId="0"/>
    <cellStyle name="Normal 2 2 3" xfId="206"/>
    <cellStyle name="Normal 2 2 4" xfId="0"/>
    <cellStyle name="Normal 2 3" xfId="206"/>
    <cellStyle name="Normal 2 3 2" xfId="0"/>
    <cellStyle name="Normal 2 3 3" xfId="0"/>
    <cellStyle name="Normal 2 3 4" xfId="0"/>
    <cellStyle name="Normal 2 3 5" xfId="0"/>
    <cellStyle name="Normal 2 3 6" xfId="208"/>
    <cellStyle name="Normal 2 4" xfId="206"/>
    <cellStyle name="Normal 2 4 2" xfId="0"/>
    <cellStyle name="Normal 2 5" xfId="206"/>
    <cellStyle name="Normal 2 5 2" xfId="209"/>
    <cellStyle name="Normal 2 6" xfId="206"/>
    <cellStyle name="Normal 2 7" xfId="210"/>
    <cellStyle name="Normal 2 8" xfId="211"/>
    <cellStyle name="Normal 2_Expense Analysis" xfId="0"/>
    <cellStyle name="Normal 20" xfId="206"/>
    <cellStyle name="Normal 200" xfId="0"/>
    <cellStyle name="Normal 200 2" xfId="0"/>
    <cellStyle name="Normal 201" xfId="0"/>
    <cellStyle name="Normal 202" xfId="0"/>
    <cellStyle name="Normal 203" xfId="206"/>
    <cellStyle name="Normal 204" xfId="0"/>
    <cellStyle name="Normal 205" xfId="0"/>
    <cellStyle name="Normal 206" xfId="0"/>
    <cellStyle name="Normal 207" xfId="0"/>
    <cellStyle name="Normal 208" xfId="206"/>
    <cellStyle name="Normal 209" xfId="206"/>
    <cellStyle name="Normal 21" xfId="206"/>
    <cellStyle name="Normal 210" xfId="206"/>
    <cellStyle name="Normal 211" xfId="212"/>
    <cellStyle name="Normal 212" xfId="206"/>
    <cellStyle name="Normal 213" xfId="206"/>
    <cellStyle name="Normal 214" xfId="206"/>
    <cellStyle name="Normal 215" xfId="206"/>
    <cellStyle name="Normal 216" xfId="206"/>
    <cellStyle name="Normal 217" xfId="206"/>
    <cellStyle name="Normal 218" xfId="206"/>
    <cellStyle name="Normal 219" xfId="212"/>
    <cellStyle name="Normal 22" xfId="206"/>
    <cellStyle name="Normal 23" xfId="206"/>
    <cellStyle name="Normal 24" xfId="206"/>
    <cellStyle name="Normal 25" xfId="206"/>
    <cellStyle name="Normal 26" xfId="206"/>
    <cellStyle name="Normal 27" xfId="206"/>
    <cellStyle name="Normal 28" xfId="206"/>
    <cellStyle name="Normal 28 2" xfId="213"/>
    <cellStyle name="Normal 28 2 2" xfId="213"/>
    <cellStyle name="Normal 28 2 3" xfId="213"/>
    <cellStyle name="Normal 28 2 4" xfId="213"/>
    <cellStyle name="Normal 28 2 5" xfId="213"/>
    <cellStyle name="Normal 28 3" xfId="213"/>
    <cellStyle name="Normal 28 3 2" xfId="213"/>
    <cellStyle name="Normal 28 4" xfId="213"/>
    <cellStyle name="Normal 28 5" xfId="213"/>
    <cellStyle name="Normal 28 6" xfId="213"/>
    <cellStyle name="Normal 28 7" xfId="213"/>
    <cellStyle name="Normal 28 8" xfId="213"/>
    <cellStyle name="Normal 28 9" xfId="213"/>
    <cellStyle name="Normal 29" xfId="206"/>
    <cellStyle name="Normal 29 2" xfId="0"/>
    <cellStyle name="Normal 29 3" xfId="0"/>
    <cellStyle name="Normal 29 4" xfId="0"/>
    <cellStyle name="Normal 29 5" xfId="0"/>
    <cellStyle name="Normal 3" xfId="212"/>
    <cellStyle name="Normal 3 2" xfId="206"/>
    <cellStyle name="Normal 3 2 2" xfId="214"/>
    <cellStyle name="Normal 3 3" xfId="0"/>
    <cellStyle name="Normal 3 3 2" xfId="0"/>
    <cellStyle name="Normal 3 3 3" xfId="0"/>
    <cellStyle name="Normal 3 3 4" xfId="0"/>
    <cellStyle name="Normal 3 3 5" xfId="206"/>
    <cellStyle name="Normal 3 4" xfId="0"/>
    <cellStyle name="Normal 3 5" xfId="0"/>
    <cellStyle name="Normal 3 6" xfId="206"/>
    <cellStyle name="Normal 3 7" xfId="206"/>
    <cellStyle name="Normal 3_Sheet3" xfId="206"/>
    <cellStyle name="Normal 30" xfId="212"/>
    <cellStyle name="Normal 30 2" xfId="0"/>
    <cellStyle name="Normal 30 3" xfId="0"/>
    <cellStyle name="Normal 30 4" xfId="0"/>
    <cellStyle name="Normal 30 5" xfId="0"/>
    <cellStyle name="Normal 31" xfId="206"/>
    <cellStyle name="Normal 32" xfId="206"/>
    <cellStyle name="Normal 33" xfId="206"/>
    <cellStyle name="Normal 34" xfId="206"/>
    <cellStyle name="Normal 35" xfId="206"/>
    <cellStyle name="Normal 36" xfId="206"/>
    <cellStyle name="Normal 37" xfId="206"/>
    <cellStyle name="Normal 38" xfId="206"/>
    <cellStyle name="Normal 39" xfId="206"/>
    <cellStyle name="Normal 4" xfId="206"/>
    <cellStyle name="Normal 4 2" xfId="212"/>
    <cellStyle name="Normal 40" xfId="206"/>
    <cellStyle name="Normal 41" xfId="206"/>
    <cellStyle name="Normal 42" xfId="206"/>
    <cellStyle name="Normal 43" xfId="206"/>
    <cellStyle name="Normal 44" xfId="206"/>
    <cellStyle name="Normal 45" xfId="206"/>
    <cellStyle name="Normal 46" xfId="206"/>
    <cellStyle name="Normal 47" xfId="206"/>
    <cellStyle name="Normal 48" xfId="206"/>
    <cellStyle name="Normal 49" xfId="206"/>
    <cellStyle name="Normal 5" xfId="206"/>
    <cellStyle name="Normal 5 11" xfId="0"/>
    <cellStyle name="Normal 5 2" xfId="0"/>
    <cellStyle name="Normal 5 2 2" xfId="215"/>
    <cellStyle name="Normal 5 3" xfId="0"/>
    <cellStyle name="Normal 50" xfId="206"/>
    <cellStyle name="Normal 51" xfId="206"/>
    <cellStyle name="Normal 52" xfId="206"/>
    <cellStyle name="Normal 53" xfId="206"/>
    <cellStyle name="Normal 54" xfId="206"/>
    <cellStyle name="Normal 55" xfId="206"/>
    <cellStyle name="Normal 56" xfId="206"/>
    <cellStyle name="Normal 57" xfId="206"/>
    <cellStyle name="Normal 58" xfId="206"/>
    <cellStyle name="Normal 59" xfId="206"/>
    <cellStyle name="Normal 6" xfId="206"/>
    <cellStyle name="Normal 6 2" xfId="206"/>
    <cellStyle name="Normal 6 3" xfId="0"/>
    <cellStyle name="Normal 6 4" xfId="205"/>
    <cellStyle name="Normal 6_Sheet3" xfId="206"/>
    <cellStyle name="Normal 60" xfId="206"/>
    <cellStyle name="Normal 61" xfId="0"/>
    <cellStyle name="Normal 61 10" xfId="0"/>
    <cellStyle name="Normal 61 10 2" xfId="0"/>
    <cellStyle name="Normal 61 10 2 2" xfId="0"/>
    <cellStyle name="Normal 61 10 2 2 2" xfId="0"/>
    <cellStyle name="Normal 61 10 2 2 2 2" xfId="0"/>
    <cellStyle name="Normal 61 10 2 2 2 2 2" xfId="0"/>
    <cellStyle name="Normal 61 10 2 2 2 2 2 2" xfId="0"/>
    <cellStyle name="Normal 61 10 2 2 2 2 2 2 2" xfId="0"/>
    <cellStyle name="Normal 61 10 2 2 2 2 2 3" xfId="0"/>
    <cellStyle name="Normal 61 10 2 2 2 2 3" xfId="0"/>
    <cellStyle name="Normal 61 10 2 2 2 2 3 2" xfId="0"/>
    <cellStyle name="Normal 61 10 2 2 2 2 3 2 2" xfId="0"/>
    <cellStyle name="Normal 61 10 2 2 2 2 3 3" xfId="0"/>
    <cellStyle name="Normal 61 10 2 2 2 2 4" xfId="0"/>
    <cellStyle name="Normal 61 10 2 2 2 2 4 2" xfId="0"/>
    <cellStyle name="Normal 61 10 2 2 2 2 5" xfId="0"/>
    <cellStyle name="Normal 61 10 2 2 2 3" xfId="0"/>
    <cellStyle name="Normal 61 10 2 2 2 3 2" xfId="0"/>
    <cellStyle name="Normal 61 10 2 2 2 3 2 2" xfId="0"/>
    <cellStyle name="Normal 61 10 2 2 2 3 3" xfId="0"/>
    <cellStyle name="Normal 61 10 2 2 2 4" xfId="0"/>
    <cellStyle name="Normal 61 10 2 2 2 4 2" xfId="0"/>
    <cellStyle name="Normal 61 10 2 2 2 4 2 2" xfId="0"/>
    <cellStyle name="Normal 61 10 2 2 2 4 3" xfId="0"/>
    <cellStyle name="Normal 61 10 2 2 2 5" xfId="0"/>
    <cellStyle name="Normal 61 10 2 2 2 5 2" xfId="0"/>
    <cellStyle name="Normal 61 10 2 2 2 6" xfId="0"/>
    <cellStyle name="Normal 61 10 2 2 3" xfId="0"/>
    <cellStyle name="Normal 61 10 2 2 3 2" xfId="0"/>
    <cellStyle name="Normal 61 10 2 2 3 2 2" xfId="0"/>
    <cellStyle name="Normal 61 10 2 2 3 2 2 2" xfId="0"/>
    <cellStyle name="Normal 61 10 2 2 3 2 3" xfId="0"/>
    <cellStyle name="Normal 61 10 2 2 3 3" xfId="0"/>
    <cellStyle name="Normal 61 10 2 2 3 3 2" xfId="0"/>
    <cellStyle name="Normal 61 10 2 2 3 3 2 2" xfId="0"/>
    <cellStyle name="Normal 61 10 2 2 3 3 3" xfId="0"/>
    <cellStyle name="Normal 61 10 2 2 3 4" xfId="0"/>
    <cellStyle name="Normal 61 10 2 2 3 4 2" xfId="0"/>
    <cellStyle name="Normal 61 10 2 2 3 5" xfId="0"/>
    <cellStyle name="Normal 61 10 2 2 4" xfId="0"/>
    <cellStyle name="Normal 61 10 2 2 4 2" xfId="0"/>
    <cellStyle name="Normal 61 10 2 2 4 2 2" xfId="0"/>
    <cellStyle name="Normal 61 10 2 2 4 3" xfId="0"/>
    <cellStyle name="Normal 61 10 2 2 5" xfId="0"/>
    <cellStyle name="Normal 61 10 2 2 5 2" xfId="0"/>
    <cellStyle name="Normal 61 10 2 2 5 2 2" xfId="0"/>
    <cellStyle name="Normal 61 10 2 2 5 3" xfId="0"/>
    <cellStyle name="Normal 61 10 2 2 6" xfId="0"/>
    <cellStyle name="Normal 61 10 2 2 6 2" xfId="0"/>
    <cellStyle name="Normal 61 10 2 2 7" xfId="0"/>
    <cellStyle name="Normal 61 10 2 3" xfId="0"/>
    <cellStyle name="Normal 61 10 2 3 2" xfId="0"/>
    <cellStyle name="Normal 61 10 2 3 2 2" xfId="0"/>
    <cellStyle name="Normal 61 10 2 3 2 2 2" xfId="0"/>
    <cellStyle name="Normal 61 10 2 3 2 2 2 2" xfId="0"/>
    <cellStyle name="Normal 61 10 2 3 2 2 3" xfId="0"/>
    <cellStyle name="Normal 61 10 2 3 2 3" xfId="0"/>
    <cellStyle name="Normal 61 10 2 3 2 3 2" xfId="0"/>
    <cellStyle name="Normal 61 10 2 3 2 3 2 2" xfId="0"/>
    <cellStyle name="Normal 61 10 2 3 2 3 3" xfId="0"/>
    <cellStyle name="Normal 61 10 2 3 2 4" xfId="0"/>
    <cellStyle name="Normal 61 10 2 3 2 4 2" xfId="0"/>
    <cellStyle name="Normal 61 10 2 3 2 5" xfId="0"/>
    <cellStyle name="Normal 61 10 2 3 3" xfId="0"/>
    <cellStyle name="Normal 61 10 2 3 3 2" xfId="0"/>
    <cellStyle name="Normal 61 10 2 3 3 2 2" xfId="0"/>
    <cellStyle name="Normal 61 10 2 3 3 3" xfId="0"/>
    <cellStyle name="Normal 61 10 2 3 4" xfId="0"/>
    <cellStyle name="Normal 61 10 2 3 4 2" xfId="0"/>
    <cellStyle name="Normal 61 10 2 3 4 2 2" xfId="0"/>
    <cellStyle name="Normal 61 10 2 3 4 3" xfId="0"/>
    <cellStyle name="Normal 61 10 2 3 5" xfId="0"/>
    <cellStyle name="Normal 61 10 2 3 5 2" xfId="0"/>
    <cellStyle name="Normal 61 10 2 3 6" xfId="0"/>
    <cellStyle name="Normal 61 10 2 4" xfId="0"/>
    <cellStyle name="Normal 61 10 2 4 2" xfId="0"/>
    <cellStyle name="Normal 61 10 2 4 2 2" xfId="0"/>
    <cellStyle name="Normal 61 10 2 4 2 2 2" xfId="0"/>
    <cellStyle name="Normal 61 10 2 4 2 3" xfId="0"/>
    <cellStyle name="Normal 61 10 2 4 3" xfId="0"/>
    <cellStyle name="Normal 61 10 2 4 3 2" xfId="0"/>
    <cellStyle name="Normal 61 10 2 4 3 2 2" xfId="0"/>
    <cellStyle name="Normal 61 10 2 4 3 3" xfId="0"/>
    <cellStyle name="Normal 61 10 2 4 4" xfId="0"/>
    <cellStyle name="Normal 61 10 2 4 4 2" xfId="0"/>
    <cellStyle name="Normal 61 10 2 4 5" xfId="0"/>
    <cellStyle name="Normal 61 10 2 5" xfId="0"/>
    <cellStyle name="Normal 61 10 2 5 2" xfId="0"/>
    <cellStyle name="Normal 61 10 2 5 2 2" xfId="0"/>
    <cellStyle name="Normal 61 10 2 5 3" xfId="0"/>
    <cellStyle name="Normal 61 10 2 6" xfId="0"/>
    <cellStyle name="Normal 61 10 2 6 2" xfId="0"/>
    <cellStyle name="Normal 61 10 2 6 2 2" xfId="0"/>
    <cellStyle name="Normal 61 10 2 6 3" xfId="0"/>
    <cellStyle name="Normal 61 10 2 7" xfId="0"/>
    <cellStyle name="Normal 61 10 2 7 2" xfId="0"/>
    <cellStyle name="Normal 61 10 2 8" xfId="0"/>
    <cellStyle name="Normal 61 10 3" xfId="0"/>
    <cellStyle name="Normal 61 10 3 2" xfId="0"/>
    <cellStyle name="Normal 61 10 3 2 2" xfId="0"/>
    <cellStyle name="Normal 61 10 3 2 2 2" xfId="0"/>
    <cellStyle name="Normal 61 10 3 2 2 2 2" xfId="0"/>
    <cellStyle name="Normal 61 10 3 2 2 2 2 2" xfId="0"/>
    <cellStyle name="Normal 61 10 3 2 2 2 3" xfId="0"/>
    <cellStyle name="Normal 61 10 3 2 2 3" xfId="0"/>
    <cellStyle name="Normal 61 10 3 2 2 3 2" xfId="0"/>
    <cellStyle name="Normal 61 10 3 2 2 3 2 2" xfId="0"/>
    <cellStyle name="Normal 61 10 3 2 2 3 3" xfId="0"/>
    <cellStyle name="Normal 61 10 3 2 2 4" xfId="0"/>
    <cellStyle name="Normal 61 10 3 2 2 4 2" xfId="0"/>
    <cellStyle name="Normal 61 10 3 2 2 5" xfId="0"/>
    <cellStyle name="Normal 61 10 3 2 3" xfId="0"/>
    <cellStyle name="Normal 61 10 3 2 3 2" xfId="0"/>
    <cellStyle name="Normal 61 10 3 2 3 2 2" xfId="0"/>
    <cellStyle name="Normal 61 10 3 2 3 3" xfId="0"/>
    <cellStyle name="Normal 61 10 3 2 4" xfId="0"/>
    <cellStyle name="Normal 61 10 3 2 4 2" xfId="0"/>
    <cellStyle name="Normal 61 10 3 2 4 2 2" xfId="0"/>
    <cellStyle name="Normal 61 10 3 2 4 3" xfId="0"/>
    <cellStyle name="Normal 61 10 3 2 5" xfId="0"/>
    <cellStyle name="Normal 61 10 3 2 5 2" xfId="0"/>
    <cellStyle name="Normal 61 10 3 2 6" xfId="0"/>
    <cellStyle name="Normal 61 10 3 3" xfId="0"/>
    <cellStyle name="Normal 61 10 3 3 2" xfId="0"/>
    <cellStyle name="Normal 61 10 3 3 2 2" xfId="0"/>
    <cellStyle name="Normal 61 10 3 3 2 2 2" xfId="0"/>
    <cellStyle name="Normal 61 10 3 3 2 3" xfId="0"/>
    <cellStyle name="Normal 61 10 3 3 3" xfId="0"/>
    <cellStyle name="Normal 61 10 3 3 3 2" xfId="0"/>
    <cellStyle name="Normal 61 10 3 3 3 2 2" xfId="0"/>
    <cellStyle name="Normal 61 10 3 3 3 3" xfId="0"/>
    <cellStyle name="Normal 61 10 3 3 4" xfId="0"/>
    <cellStyle name="Normal 61 10 3 3 4 2" xfId="0"/>
    <cellStyle name="Normal 61 10 3 3 5" xfId="0"/>
    <cellStyle name="Normal 61 10 3 4" xfId="0"/>
    <cellStyle name="Normal 61 10 3 4 2" xfId="0"/>
    <cellStyle name="Normal 61 10 3 4 2 2" xfId="0"/>
    <cellStyle name="Normal 61 10 3 4 3" xfId="0"/>
    <cellStyle name="Normal 61 10 3 5" xfId="0"/>
    <cellStyle name="Normal 61 10 3 5 2" xfId="0"/>
    <cellStyle name="Normal 61 10 3 5 2 2" xfId="0"/>
    <cellStyle name="Normal 61 10 3 5 3" xfId="0"/>
    <cellStyle name="Normal 61 10 3 6" xfId="0"/>
    <cellStyle name="Normal 61 10 3 6 2" xfId="0"/>
    <cellStyle name="Normal 61 10 3 7" xfId="0"/>
    <cellStyle name="Normal 61 10 4" xfId="0"/>
    <cellStyle name="Normal 61 10 4 2" xfId="0"/>
    <cellStyle name="Normal 61 10 4 2 2" xfId="0"/>
    <cellStyle name="Normal 61 10 4 2 2 2" xfId="0"/>
    <cellStyle name="Normal 61 10 4 2 2 2 2" xfId="0"/>
    <cellStyle name="Normal 61 10 4 2 2 3" xfId="0"/>
    <cellStyle name="Normal 61 10 4 2 3" xfId="0"/>
    <cellStyle name="Normal 61 10 4 2 3 2" xfId="0"/>
    <cellStyle name="Normal 61 10 4 2 3 2 2" xfId="0"/>
    <cellStyle name="Normal 61 10 4 2 3 3" xfId="0"/>
    <cellStyle name="Normal 61 10 4 2 4" xfId="0"/>
    <cellStyle name="Normal 61 10 4 2 4 2" xfId="0"/>
    <cellStyle name="Normal 61 10 4 2 5" xfId="0"/>
    <cellStyle name="Normal 61 10 4 3" xfId="0"/>
    <cellStyle name="Normal 61 10 4 3 2" xfId="0"/>
    <cellStyle name="Normal 61 10 4 3 2 2" xfId="0"/>
    <cellStyle name="Normal 61 10 4 3 3" xfId="0"/>
    <cellStyle name="Normal 61 10 4 4" xfId="0"/>
    <cellStyle name="Normal 61 10 4 4 2" xfId="0"/>
    <cellStyle name="Normal 61 10 4 4 2 2" xfId="0"/>
    <cellStyle name="Normal 61 10 4 4 3" xfId="0"/>
    <cellStyle name="Normal 61 10 4 5" xfId="0"/>
    <cellStyle name="Normal 61 10 4 5 2" xfId="0"/>
    <cellStyle name="Normal 61 10 4 6" xfId="0"/>
    <cellStyle name="Normal 61 10 5" xfId="0"/>
    <cellStyle name="Normal 61 10 5 2" xfId="0"/>
    <cellStyle name="Normal 61 10 5 2 2" xfId="0"/>
    <cellStyle name="Normal 61 10 5 2 2 2" xfId="0"/>
    <cellStyle name="Normal 61 10 5 2 3" xfId="0"/>
    <cellStyle name="Normal 61 10 5 3" xfId="0"/>
    <cellStyle name="Normal 61 10 5 3 2" xfId="0"/>
    <cellStyle name="Normal 61 10 5 3 2 2" xfId="0"/>
    <cellStyle name="Normal 61 10 5 3 3" xfId="0"/>
    <cellStyle name="Normal 61 10 5 4" xfId="0"/>
    <cellStyle name="Normal 61 10 5 4 2" xfId="0"/>
    <cellStyle name="Normal 61 10 5 5" xfId="0"/>
    <cellStyle name="Normal 61 10 6" xfId="0"/>
    <cellStyle name="Normal 61 10 6 2" xfId="0"/>
    <cellStyle name="Normal 61 10 6 2 2" xfId="0"/>
    <cellStyle name="Normal 61 10 6 3" xfId="0"/>
    <cellStyle name="Normal 61 10 7" xfId="0"/>
    <cellStyle name="Normal 61 10 7 2" xfId="0"/>
    <cellStyle name="Normal 61 10 7 2 2" xfId="0"/>
    <cellStyle name="Normal 61 10 7 3" xfId="0"/>
    <cellStyle name="Normal 61 10 8" xfId="0"/>
    <cellStyle name="Normal 61 10 8 2" xfId="0"/>
    <cellStyle name="Normal 61 10 9" xfId="0"/>
    <cellStyle name="Normal 61 11" xfId="0"/>
    <cellStyle name="Normal 61 11 2" xfId="0"/>
    <cellStyle name="Normal 61 11 2 2" xfId="0"/>
    <cellStyle name="Normal 61 11 2 2 2" xfId="0"/>
    <cellStyle name="Normal 61 11 2 2 2 2" xfId="0"/>
    <cellStyle name="Normal 61 11 2 2 2 2 2" xfId="0"/>
    <cellStyle name="Normal 61 11 2 2 2 2 2 2" xfId="0"/>
    <cellStyle name="Normal 61 11 2 2 2 2 3" xfId="0"/>
    <cellStyle name="Normal 61 11 2 2 2 3" xfId="0"/>
    <cellStyle name="Normal 61 11 2 2 2 3 2" xfId="0"/>
    <cellStyle name="Normal 61 11 2 2 2 3 2 2" xfId="0"/>
    <cellStyle name="Normal 61 11 2 2 2 3 3" xfId="0"/>
    <cellStyle name="Normal 61 11 2 2 2 4" xfId="0"/>
    <cellStyle name="Normal 61 11 2 2 2 4 2" xfId="0"/>
    <cellStyle name="Normal 61 11 2 2 2 5" xfId="0"/>
    <cellStyle name="Normal 61 11 2 2 3" xfId="0"/>
    <cellStyle name="Normal 61 11 2 2 3 2" xfId="0"/>
    <cellStyle name="Normal 61 11 2 2 3 2 2" xfId="0"/>
    <cellStyle name="Normal 61 11 2 2 3 3" xfId="0"/>
    <cellStyle name="Normal 61 11 2 2 4" xfId="0"/>
    <cellStyle name="Normal 61 11 2 2 4 2" xfId="0"/>
    <cellStyle name="Normal 61 11 2 2 4 2 2" xfId="0"/>
    <cellStyle name="Normal 61 11 2 2 4 3" xfId="0"/>
    <cellStyle name="Normal 61 11 2 2 5" xfId="0"/>
    <cellStyle name="Normal 61 11 2 2 5 2" xfId="0"/>
    <cellStyle name="Normal 61 11 2 2 6" xfId="0"/>
    <cellStyle name="Normal 61 11 2 3" xfId="0"/>
    <cellStyle name="Normal 61 11 2 3 2" xfId="0"/>
    <cellStyle name="Normal 61 11 2 3 2 2" xfId="0"/>
    <cellStyle name="Normal 61 11 2 3 2 2 2" xfId="0"/>
    <cellStyle name="Normal 61 11 2 3 2 3" xfId="0"/>
    <cellStyle name="Normal 61 11 2 3 3" xfId="0"/>
    <cellStyle name="Normal 61 11 2 3 3 2" xfId="0"/>
    <cellStyle name="Normal 61 11 2 3 3 2 2" xfId="0"/>
    <cellStyle name="Normal 61 11 2 3 3 3" xfId="0"/>
    <cellStyle name="Normal 61 11 2 3 4" xfId="0"/>
    <cellStyle name="Normal 61 11 2 3 4 2" xfId="0"/>
    <cellStyle name="Normal 61 11 2 3 5" xfId="0"/>
    <cellStyle name="Normal 61 11 2 4" xfId="0"/>
    <cellStyle name="Normal 61 11 2 4 2" xfId="0"/>
    <cellStyle name="Normal 61 11 2 4 2 2" xfId="0"/>
    <cellStyle name="Normal 61 11 2 4 3" xfId="0"/>
    <cellStyle name="Normal 61 11 2 5" xfId="0"/>
    <cellStyle name="Normal 61 11 2 5 2" xfId="0"/>
    <cellStyle name="Normal 61 11 2 5 2 2" xfId="0"/>
    <cellStyle name="Normal 61 11 2 5 3" xfId="0"/>
    <cellStyle name="Normal 61 11 2 6" xfId="0"/>
    <cellStyle name="Normal 61 11 2 6 2" xfId="0"/>
    <cellStyle name="Normal 61 11 2 7" xfId="0"/>
    <cellStyle name="Normal 61 11 3" xfId="0"/>
    <cellStyle name="Normal 61 11 3 2" xfId="0"/>
    <cellStyle name="Normal 61 11 3 2 2" xfId="0"/>
    <cellStyle name="Normal 61 11 3 2 2 2" xfId="0"/>
    <cellStyle name="Normal 61 11 3 2 2 2 2" xfId="0"/>
    <cellStyle name="Normal 61 11 3 2 2 3" xfId="0"/>
    <cellStyle name="Normal 61 11 3 2 3" xfId="0"/>
    <cellStyle name="Normal 61 11 3 2 3 2" xfId="0"/>
    <cellStyle name="Normal 61 11 3 2 3 2 2" xfId="0"/>
    <cellStyle name="Normal 61 11 3 2 3 3" xfId="0"/>
    <cellStyle name="Normal 61 11 3 2 4" xfId="0"/>
    <cellStyle name="Normal 61 11 3 2 4 2" xfId="0"/>
    <cellStyle name="Normal 61 11 3 2 5" xfId="0"/>
    <cellStyle name="Normal 61 11 3 3" xfId="0"/>
    <cellStyle name="Normal 61 11 3 3 2" xfId="0"/>
    <cellStyle name="Normal 61 11 3 3 2 2" xfId="0"/>
    <cellStyle name="Normal 61 11 3 3 3" xfId="0"/>
    <cellStyle name="Normal 61 11 3 4" xfId="0"/>
    <cellStyle name="Normal 61 11 3 4 2" xfId="0"/>
    <cellStyle name="Normal 61 11 3 4 2 2" xfId="0"/>
    <cellStyle name="Normal 61 11 3 4 3" xfId="0"/>
    <cellStyle name="Normal 61 11 3 5" xfId="0"/>
    <cellStyle name="Normal 61 11 3 5 2" xfId="0"/>
    <cellStyle name="Normal 61 11 3 6" xfId="0"/>
    <cellStyle name="Normal 61 11 4" xfId="0"/>
    <cellStyle name="Normal 61 11 4 2" xfId="0"/>
    <cellStyle name="Normal 61 11 4 2 2" xfId="0"/>
    <cellStyle name="Normal 61 11 4 2 2 2" xfId="0"/>
    <cellStyle name="Normal 61 11 4 2 3" xfId="0"/>
    <cellStyle name="Normal 61 11 4 3" xfId="0"/>
    <cellStyle name="Normal 61 11 4 3 2" xfId="0"/>
    <cellStyle name="Normal 61 11 4 3 2 2" xfId="0"/>
    <cellStyle name="Normal 61 11 4 3 3" xfId="0"/>
    <cellStyle name="Normal 61 11 4 4" xfId="0"/>
    <cellStyle name="Normal 61 11 4 4 2" xfId="0"/>
    <cellStyle name="Normal 61 11 4 5" xfId="0"/>
    <cellStyle name="Normal 61 11 5" xfId="0"/>
    <cellStyle name="Normal 61 11 5 2" xfId="0"/>
    <cellStyle name="Normal 61 11 5 2 2" xfId="0"/>
    <cellStyle name="Normal 61 11 5 3" xfId="0"/>
    <cellStyle name="Normal 61 11 6" xfId="0"/>
    <cellStyle name="Normal 61 11 6 2" xfId="0"/>
    <cellStyle name="Normal 61 11 6 2 2" xfId="0"/>
    <cellStyle name="Normal 61 11 6 3" xfId="0"/>
    <cellStyle name="Normal 61 11 7" xfId="0"/>
    <cellStyle name="Normal 61 11 7 2" xfId="0"/>
    <cellStyle name="Normal 61 11 8" xfId="0"/>
    <cellStyle name="Normal 61 12" xfId="0"/>
    <cellStyle name="Normal 61 12 2" xfId="0"/>
    <cellStyle name="Normal 61 12 2 2" xfId="0"/>
    <cellStyle name="Normal 61 12 2 2 2" xfId="0"/>
    <cellStyle name="Normal 61 12 2 2 2 2" xfId="0"/>
    <cellStyle name="Normal 61 12 2 2 2 2 2" xfId="0"/>
    <cellStyle name="Normal 61 12 2 2 2 3" xfId="0"/>
    <cellStyle name="Normal 61 12 2 2 3" xfId="0"/>
    <cellStyle name="Normal 61 12 2 2 3 2" xfId="0"/>
    <cellStyle name="Normal 61 12 2 2 3 2 2" xfId="0"/>
    <cellStyle name="Normal 61 12 2 2 3 3" xfId="0"/>
    <cellStyle name="Normal 61 12 2 2 4" xfId="0"/>
    <cellStyle name="Normal 61 12 2 2 4 2" xfId="0"/>
    <cellStyle name="Normal 61 12 2 2 5" xfId="0"/>
    <cellStyle name="Normal 61 12 2 3" xfId="0"/>
    <cellStyle name="Normal 61 12 2 3 2" xfId="0"/>
    <cellStyle name="Normal 61 12 2 3 2 2" xfId="0"/>
    <cellStyle name="Normal 61 12 2 3 3" xfId="0"/>
    <cellStyle name="Normal 61 12 2 4" xfId="0"/>
    <cellStyle name="Normal 61 12 2 4 2" xfId="0"/>
    <cellStyle name="Normal 61 12 2 4 2 2" xfId="0"/>
    <cellStyle name="Normal 61 12 2 4 3" xfId="0"/>
    <cellStyle name="Normal 61 12 2 5" xfId="0"/>
    <cellStyle name="Normal 61 12 2 5 2" xfId="0"/>
    <cellStyle name="Normal 61 12 2 6" xfId="0"/>
    <cellStyle name="Normal 61 12 3" xfId="0"/>
    <cellStyle name="Normal 61 12 3 2" xfId="0"/>
    <cellStyle name="Normal 61 12 3 2 2" xfId="0"/>
    <cellStyle name="Normal 61 12 3 2 2 2" xfId="0"/>
    <cellStyle name="Normal 61 12 3 2 3" xfId="0"/>
    <cellStyle name="Normal 61 12 3 3" xfId="0"/>
    <cellStyle name="Normal 61 12 3 3 2" xfId="0"/>
    <cellStyle name="Normal 61 12 3 3 2 2" xfId="0"/>
    <cellStyle name="Normal 61 12 3 3 3" xfId="0"/>
    <cellStyle name="Normal 61 12 3 4" xfId="0"/>
    <cellStyle name="Normal 61 12 3 4 2" xfId="0"/>
    <cellStyle name="Normal 61 12 3 5" xfId="0"/>
    <cellStyle name="Normal 61 12 4" xfId="0"/>
    <cellStyle name="Normal 61 12 4 2" xfId="0"/>
    <cellStyle name="Normal 61 12 4 2 2" xfId="0"/>
    <cellStyle name="Normal 61 12 4 3" xfId="0"/>
    <cellStyle name="Normal 61 12 5" xfId="0"/>
    <cellStyle name="Normal 61 12 5 2" xfId="0"/>
    <cellStyle name="Normal 61 12 5 2 2" xfId="0"/>
    <cellStyle name="Normal 61 12 5 3" xfId="0"/>
    <cellStyle name="Normal 61 12 6" xfId="0"/>
    <cellStyle name="Normal 61 12 6 2" xfId="0"/>
    <cellStyle name="Normal 61 12 7" xfId="0"/>
    <cellStyle name="Normal 61 13" xfId="0"/>
    <cellStyle name="Normal 61 13 2" xfId="0"/>
    <cellStyle name="Normal 61 13 2 2" xfId="0"/>
    <cellStyle name="Normal 61 13 2 2 2" xfId="0"/>
    <cellStyle name="Normal 61 13 2 2 2 2" xfId="0"/>
    <cellStyle name="Normal 61 13 2 2 3" xfId="0"/>
    <cellStyle name="Normal 61 13 2 3" xfId="0"/>
    <cellStyle name="Normal 61 13 2 3 2" xfId="0"/>
    <cellStyle name="Normal 61 13 2 3 2 2" xfId="0"/>
    <cellStyle name="Normal 61 13 2 3 3" xfId="0"/>
    <cellStyle name="Normal 61 13 2 4" xfId="0"/>
    <cellStyle name="Normal 61 13 2 4 2" xfId="0"/>
    <cellStyle name="Normal 61 13 2 5" xfId="0"/>
    <cellStyle name="Normal 61 13 3" xfId="0"/>
    <cellStyle name="Normal 61 13 3 2" xfId="0"/>
    <cellStyle name="Normal 61 13 3 2 2" xfId="0"/>
    <cellStyle name="Normal 61 13 3 3" xfId="0"/>
    <cellStyle name="Normal 61 13 4" xfId="0"/>
    <cellStyle name="Normal 61 13 4 2" xfId="0"/>
    <cellStyle name="Normal 61 13 4 2 2" xfId="0"/>
    <cellStyle name="Normal 61 13 4 3" xfId="0"/>
    <cellStyle name="Normal 61 13 5" xfId="0"/>
    <cellStyle name="Normal 61 13 5 2" xfId="0"/>
    <cellStyle name="Normal 61 13 6" xfId="0"/>
    <cellStyle name="Normal 61 14" xfId="0"/>
    <cellStyle name="Normal 61 14 2" xfId="0"/>
    <cellStyle name="Normal 61 14 2 2" xfId="0"/>
    <cellStyle name="Normal 61 14 2 2 2" xfId="0"/>
    <cellStyle name="Normal 61 14 2 3" xfId="0"/>
    <cellStyle name="Normal 61 14 3" xfId="0"/>
    <cellStyle name="Normal 61 14 3 2" xfId="0"/>
    <cellStyle name="Normal 61 14 3 2 2" xfId="0"/>
    <cellStyle name="Normal 61 14 3 3" xfId="0"/>
    <cellStyle name="Normal 61 14 4" xfId="0"/>
    <cellStyle name="Normal 61 14 4 2" xfId="0"/>
    <cellStyle name="Normal 61 14 5" xfId="0"/>
    <cellStyle name="Normal 61 15" xfId="0"/>
    <cellStyle name="Normal 61 15 2" xfId="0"/>
    <cellStyle name="Normal 61 15 2 2" xfId="0"/>
    <cellStyle name="Normal 61 15 3" xfId="0"/>
    <cellStyle name="Normal 61 16" xfId="0"/>
    <cellStyle name="Normal 61 16 2" xfId="0"/>
    <cellStyle name="Normal 61 16 2 2" xfId="0"/>
    <cellStyle name="Normal 61 16 3" xfId="0"/>
    <cellStyle name="Normal 61 17" xfId="0"/>
    <cellStyle name="Normal 61 17 2" xfId="0"/>
    <cellStyle name="Normal 61 18" xfId="0"/>
    <cellStyle name="Normal 61 2" xfId="0"/>
    <cellStyle name="Normal 61 2 10" xfId="0"/>
    <cellStyle name="Normal 61 2 10 2" xfId="0"/>
    <cellStyle name="Normal 61 2 10 2 2" xfId="0"/>
    <cellStyle name="Normal 61 2 10 2 2 2" xfId="0"/>
    <cellStyle name="Normal 61 2 10 2 2 2 2" xfId="0"/>
    <cellStyle name="Normal 61 2 10 2 2 2 2 2" xfId="0"/>
    <cellStyle name="Normal 61 2 10 2 2 2 2 2 2" xfId="0"/>
    <cellStyle name="Normal 61 2 10 2 2 2 2 3" xfId="0"/>
    <cellStyle name="Normal 61 2 10 2 2 2 3" xfId="0"/>
    <cellStyle name="Normal 61 2 10 2 2 2 3 2" xfId="0"/>
    <cellStyle name="Normal 61 2 10 2 2 2 3 2 2" xfId="0"/>
    <cellStyle name="Normal 61 2 10 2 2 2 3 3" xfId="0"/>
    <cellStyle name="Normal 61 2 10 2 2 2 4" xfId="0"/>
    <cellStyle name="Normal 61 2 10 2 2 2 4 2" xfId="0"/>
    <cellStyle name="Normal 61 2 10 2 2 2 5" xfId="0"/>
    <cellStyle name="Normal 61 2 10 2 2 3" xfId="0"/>
    <cellStyle name="Normal 61 2 10 2 2 3 2" xfId="0"/>
    <cellStyle name="Normal 61 2 10 2 2 3 2 2" xfId="0"/>
    <cellStyle name="Normal 61 2 10 2 2 3 3" xfId="0"/>
    <cellStyle name="Normal 61 2 10 2 2 4" xfId="0"/>
    <cellStyle name="Normal 61 2 10 2 2 4 2" xfId="0"/>
    <cellStyle name="Normal 61 2 10 2 2 4 2 2" xfId="0"/>
    <cellStyle name="Normal 61 2 10 2 2 4 3" xfId="0"/>
    <cellStyle name="Normal 61 2 10 2 2 5" xfId="0"/>
    <cellStyle name="Normal 61 2 10 2 2 5 2" xfId="0"/>
    <cellStyle name="Normal 61 2 10 2 2 6" xfId="0"/>
    <cellStyle name="Normal 61 2 10 2 3" xfId="0"/>
    <cellStyle name="Normal 61 2 10 2 3 2" xfId="0"/>
    <cellStyle name="Normal 61 2 10 2 3 2 2" xfId="0"/>
    <cellStyle name="Normal 61 2 10 2 3 2 2 2" xfId="0"/>
    <cellStyle name="Normal 61 2 10 2 3 2 3" xfId="0"/>
    <cellStyle name="Normal 61 2 10 2 3 3" xfId="0"/>
    <cellStyle name="Normal 61 2 10 2 3 3 2" xfId="0"/>
    <cellStyle name="Normal 61 2 10 2 3 3 2 2" xfId="0"/>
    <cellStyle name="Normal 61 2 10 2 3 3 3" xfId="0"/>
    <cellStyle name="Normal 61 2 10 2 3 4" xfId="0"/>
    <cellStyle name="Normal 61 2 10 2 3 4 2" xfId="0"/>
    <cellStyle name="Normal 61 2 10 2 3 5" xfId="0"/>
    <cellStyle name="Normal 61 2 10 2 4" xfId="0"/>
    <cellStyle name="Normal 61 2 10 2 4 2" xfId="0"/>
    <cellStyle name="Normal 61 2 10 2 4 2 2" xfId="0"/>
    <cellStyle name="Normal 61 2 10 2 4 3" xfId="0"/>
    <cellStyle name="Normal 61 2 10 2 5" xfId="0"/>
    <cellStyle name="Normal 61 2 10 2 5 2" xfId="0"/>
    <cellStyle name="Normal 61 2 10 2 5 2 2" xfId="0"/>
    <cellStyle name="Normal 61 2 10 2 5 3" xfId="0"/>
    <cellStyle name="Normal 61 2 10 2 6" xfId="0"/>
    <cellStyle name="Normal 61 2 10 2 6 2" xfId="0"/>
    <cellStyle name="Normal 61 2 10 2 7" xfId="0"/>
    <cellStyle name="Normal 61 2 10 3" xfId="0"/>
    <cellStyle name="Normal 61 2 10 3 2" xfId="0"/>
    <cellStyle name="Normal 61 2 10 3 2 2" xfId="0"/>
    <cellStyle name="Normal 61 2 10 3 2 2 2" xfId="0"/>
    <cellStyle name="Normal 61 2 10 3 2 2 2 2" xfId="0"/>
    <cellStyle name="Normal 61 2 10 3 2 2 3" xfId="0"/>
    <cellStyle name="Normal 61 2 10 3 2 3" xfId="0"/>
    <cellStyle name="Normal 61 2 10 3 2 3 2" xfId="0"/>
    <cellStyle name="Normal 61 2 10 3 2 3 2 2" xfId="0"/>
    <cellStyle name="Normal 61 2 10 3 2 3 3" xfId="0"/>
    <cellStyle name="Normal 61 2 10 3 2 4" xfId="0"/>
    <cellStyle name="Normal 61 2 10 3 2 4 2" xfId="0"/>
    <cellStyle name="Normal 61 2 10 3 2 5" xfId="0"/>
    <cellStyle name="Normal 61 2 10 3 3" xfId="0"/>
    <cellStyle name="Normal 61 2 10 3 3 2" xfId="0"/>
    <cellStyle name="Normal 61 2 10 3 3 2 2" xfId="0"/>
    <cellStyle name="Normal 61 2 10 3 3 3" xfId="0"/>
    <cellStyle name="Normal 61 2 10 3 4" xfId="0"/>
    <cellStyle name="Normal 61 2 10 3 4 2" xfId="0"/>
    <cellStyle name="Normal 61 2 10 3 4 2 2" xfId="0"/>
    <cellStyle name="Normal 61 2 10 3 4 3" xfId="0"/>
    <cellStyle name="Normal 61 2 10 3 5" xfId="0"/>
    <cellStyle name="Normal 61 2 10 3 5 2" xfId="0"/>
    <cellStyle name="Normal 61 2 10 3 6" xfId="0"/>
    <cellStyle name="Normal 61 2 10 4" xfId="0"/>
    <cellStyle name="Normal 61 2 10 4 2" xfId="0"/>
    <cellStyle name="Normal 61 2 10 4 2 2" xfId="0"/>
    <cellStyle name="Normal 61 2 10 4 2 2 2" xfId="0"/>
    <cellStyle name="Normal 61 2 10 4 2 3" xfId="0"/>
    <cellStyle name="Normal 61 2 10 4 3" xfId="0"/>
    <cellStyle name="Normal 61 2 10 4 3 2" xfId="0"/>
    <cellStyle name="Normal 61 2 10 4 3 2 2" xfId="0"/>
    <cellStyle name="Normal 61 2 10 4 3 3" xfId="0"/>
    <cellStyle name="Normal 61 2 10 4 4" xfId="0"/>
    <cellStyle name="Normal 61 2 10 4 4 2" xfId="0"/>
    <cellStyle name="Normal 61 2 10 4 5" xfId="0"/>
    <cellStyle name="Normal 61 2 10 5" xfId="0"/>
    <cellStyle name="Normal 61 2 10 5 2" xfId="0"/>
    <cellStyle name="Normal 61 2 10 5 2 2" xfId="0"/>
    <cellStyle name="Normal 61 2 10 5 3" xfId="0"/>
    <cellStyle name="Normal 61 2 10 6" xfId="0"/>
    <cellStyle name="Normal 61 2 10 6 2" xfId="0"/>
    <cellStyle name="Normal 61 2 10 6 2 2" xfId="0"/>
    <cellStyle name="Normal 61 2 10 6 3" xfId="0"/>
    <cellStyle name="Normal 61 2 10 7" xfId="0"/>
    <cellStyle name="Normal 61 2 10 7 2" xfId="0"/>
    <cellStyle name="Normal 61 2 10 8" xfId="0"/>
    <cellStyle name="Normal 61 2 11" xfId="0"/>
    <cellStyle name="Normal 61 2 11 2" xfId="0"/>
    <cellStyle name="Normal 61 2 11 2 2" xfId="0"/>
    <cellStyle name="Normal 61 2 11 2 2 2" xfId="0"/>
    <cellStyle name="Normal 61 2 11 2 2 2 2" xfId="0"/>
    <cellStyle name="Normal 61 2 11 2 2 2 2 2" xfId="0"/>
    <cellStyle name="Normal 61 2 11 2 2 2 3" xfId="0"/>
    <cellStyle name="Normal 61 2 11 2 2 3" xfId="0"/>
    <cellStyle name="Normal 61 2 11 2 2 3 2" xfId="0"/>
    <cellStyle name="Normal 61 2 11 2 2 3 2 2" xfId="0"/>
    <cellStyle name="Normal 61 2 11 2 2 3 3" xfId="0"/>
    <cellStyle name="Normal 61 2 11 2 2 4" xfId="0"/>
    <cellStyle name="Normal 61 2 11 2 2 4 2" xfId="0"/>
    <cellStyle name="Normal 61 2 11 2 2 5" xfId="0"/>
    <cellStyle name="Normal 61 2 11 2 3" xfId="0"/>
    <cellStyle name="Normal 61 2 11 2 3 2" xfId="0"/>
    <cellStyle name="Normal 61 2 11 2 3 2 2" xfId="0"/>
    <cellStyle name="Normal 61 2 11 2 3 3" xfId="0"/>
    <cellStyle name="Normal 61 2 11 2 4" xfId="0"/>
    <cellStyle name="Normal 61 2 11 2 4 2" xfId="0"/>
    <cellStyle name="Normal 61 2 11 2 4 2 2" xfId="0"/>
    <cellStyle name="Normal 61 2 11 2 4 3" xfId="0"/>
    <cellStyle name="Normal 61 2 11 2 5" xfId="0"/>
    <cellStyle name="Normal 61 2 11 2 5 2" xfId="0"/>
    <cellStyle name="Normal 61 2 11 2 6" xfId="0"/>
    <cellStyle name="Normal 61 2 11 3" xfId="0"/>
    <cellStyle name="Normal 61 2 11 3 2" xfId="0"/>
    <cellStyle name="Normal 61 2 11 3 2 2" xfId="0"/>
    <cellStyle name="Normal 61 2 11 3 2 2 2" xfId="0"/>
    <cellStyle name="Normal 61 2 11 3 2 3" xfId="0"/>
    <cellStyle name="Normal 61 2 11 3 3" xfId="0"/>
    <cellStyle name="Normal 61 2 11 3 3 2" xfId="0"/>
    <cellStyle name="Normal 61 2 11 3 3 2 2" xfId="0"/>
    <cellStyle name="Normal 61 2 11 3 3 3" xfId="0"/>
    <cellStyle name="Normal 61 2 11 3 4" xfId="0"/>
    <cellStyle name="Normal 61 2 11 3 4 2" xfId="0"/>
    <cellStyle name="Normal 61 2 11 3 5" xfId="0"/>
    <cellStyle name="Normal 61 2 11 4" xfId="0"/>
    <cellStyle name="Normal 61 2 11 4 2" xfId="0"/>
    <cellStyle name="Normal 61 2 11 4 2 2" xfId="0"/>
    <cellStyle name="Normal 61 2 11 4 3" xfId="0"/>
    <cellStyle name="Normal 61 2 11 5" xfId="0"/>
    <cellStyle name="Normal 61 2 11 5 2" xfId="0"/>
    <cellStyle name="Normal 61 2 11 5 2 2" xfId="0"/>
    <cellStyle name="Normal 61 2 11 5 3" xfId="0"/>
    <cellStyle name="Normal 61 2 11 6" xfId="0"/>
    <cellStyle name="Normal 61 2 11 6 2" xfId="0"/>
    <cellStyle name="Normal 61 2 11 7" xfId="0"/>
    <cellStyle name="Normal 61 2 12" xfId="0"/>
    <cellStyle name="Normal 61 2 12 2" xfId="0"/>
    <cellStyle name="Normal 61 2 12 2 2" xfId="0"/>
    <cellStyle name="Normal 61 2 12 2 2 2" xfId="0"/>
    <cellStyle name="Normal 61 2 12 2 2 2 2" xfId="0"/>
    <cellStyle name="Normal 61 2 12 2 2 3" xfId="0"/>
    <cellStyle name="Normal 61 2 12 2 3" xfId="0"/>
    <cellStyle name="Normal 61 2 12 2 3 2" xfId="0"/>
    <cellStyle name="Normal 61 2 12 2 3 2 2" xfId="0"/>
    <cellStyle name="Normal 61 2 12 2 3 3" xfId="0"/>
    <cellStyle name="Normal 61 2 12 2 4" xfId="0"/>
    <cellStyle name="Normal 61 2 12 2 4 2" xfId="0"/>
    <cellStyle name="Normal 61 2 12 2 5" xfId="0"/>
    <cellStyle name="Normal 61 2 12 3" xfId="0"/>
    <cellStyle name="Normal 61 2 12 3 2" xfId="0"/>
    <cellStyle name="Normal 61 2 12 3 2 2" xfId="0"/>
    <cellStyle name="Normal 61 2 12 3 3" xfId="0"/>
    <cellStyle name="Normal 61 2 12 4" xfId="0"/>
    <cellStyle name="Normal 61 2 12 4 2" xfId="0"/>
    <cellStyle name="Normal 61 2 12 4 2 2" xfId="0"/>
    <cellStyle name="Normal 61 2 12 4 3" xfId="0"/>
    <cellStyle name="Normal 61 2 12 5" xfId="0"/>
    <cellStyle name="Normal 61 2 12 5 2" xfId="0"/>
    <cellStyle name="Normal 61 2 12 6" xfId="0"/>
    <cellStyle name="Normal 61 2 13" xfId="0"/>
    <cellStyle name="Normal 61 2 13 2" xfId="0"/>
    <cellStyle name="Normal 61 2 13 2 2" xfId="0"/>
    <cellStyle name="Normal 61 2 13 2 2 2" xfId="0"/>
    <cellStyle name="Normal 61 2 13 2 3" xfId="0"/>
    <cellStyle name="Normal 61 2 13 3" xfId="0"/>
    <cellStyle name="Normal 61 2 13 3 2" xfId="0"/>
    <cellStyle name="Normal 61 2 13 3 2 2" xfId="0"/>
    <cellStyle name="Normal 61 2 13 3 3" xfId="0"/>
    <cellStyle name="Normal 61 2 13 4" xfId="0"/>
    <cellStyle name="Normal 61 2 13 4 2" xfId="0"/>
    <cellStyle name="Normal 61 2 13 5" xfId="0"/>
    <cellStyle name="Normal 61 2 14" xfId="0"/>
    <cellStyle name="Normal 61 2 14 2" xfId="0"/>
    <cellStyle name="Normal 61 2 14 2 2" xfId="0"/>
    <cellStyle name="Normal 61 2 14 3" xfId="0"/>
    <cellStyle name="Normal 61 2 15" xfId="0"/>
    <cellStyle name="Normal 61 2 15 2" xfId="0"/>
    <cellStyle name="Normal 61 2 15 2 2" xfId="0"/>
    <cellStyle name="Normal 61 2 15 3" xfId="0"/>
    <cellStyle name="Normal 61 2 16" xfId="0"/>
    <cellStyle name="Normal 61 2 16 2" xfId="0"/>
    <cellStyle name="Normal 61 2 17" xfId="0"/>
    <cellStyle name="Normal 61 2 2" xfId="0"/>
    <cellStyle name="Normal 61 2 2 10" xfId="0"/>
    <cellStyle name="Normal 61 2 2 10 2" xfId="0"/>
    <cellStyle name="Normal 61 2 2 10 2 2" xfId="0"/>
    <cellStyle name="Normal 61 2 2 10 3" xfId="0"/>
    <cellStyle name="Normal 61 2 2 11" xfId="0"/>
    <cellStyle name="Normal 61 2 2 11 2" xfId="0"/>
    <cellStyle name="Normal 61 2 2 11 2 2" xfId="0"/>
    <cellStyle name="Normal 61 2 2 11 3" xfId="0"/>
    <cellStyle name="Normal 61 2 2 12" xfId="0"/>
    <cellStyle name="Normal 61 2 2 12 2" xfId="0"/>
    <cellStyle name="Normal 61 2 2 13" xfId="0"/>
    <cellStyle name="Normal 61 2 2 2" xfId="0"/>
    <cellStyle name="Normal 61 2 2 2 10" xfId="0"/>
    <cellStyle name="Normal 61 2 2 2 10 2" xfId="0"/>
    <cellStyle name="Normal 61 2 2 2 10 2 2" xfId="0"/>
    <cellStyle name="Normal 61 2 2 2 10 3" xfId="0"/>
    <cellStyle name="Normal 61 2 2 2 11" xfId="0"/>
    <cellStyle name="Normal 61 2 2 2 11 2" xfId="0"/>
    <cellStyle name="Normal 61 2 2 2 12" xfId="0"/>
    <cellStyle name="Normal 61 2 2 2 2" xfId="0"/>
    <cellStyle name="Normal 61 2 2 2 2 10" xfId="0"/>
    <cellStyle name="Normal 61 2 2 2 2 2" xfId="0"/>
    <cellStyle name="Normal 61 2 2 2 2 2 2" xfId="0"/>
    <cellStyle name="Normal 61 2 2 2 2 2 2 2" xfId="0"/>
    <cellStyle name="Normal 61 2 2 2 2 2 2 2 2" xfId="0"/>
    <cellStyle name="Normal 61 2 2 2 2 2 2 2 2 2" xfId="0"/>
    <cellStyle name="Normal 61 2 2 2 2 2 2 2 2 2 2" xfId="0"/>
    <cellStyle name="Normal 61 2 2 2 2 2 2 2 2 2 2 2" xfId="0"/>
    <cellStyle name="Normal 61 2 2 2 2 2 2 2 2 2 2 2 2" xfId="0"/>
    <cellStyle name="Normal 61 2 2 2 2 2 2 2 2 2 2 3" xfId="0"/>
    <cellStyle name="Normal 61 2 2 2 2 2 2 2 2 2 3" xfId="0"/>
    <cellStyle name="Normal 61 2 2 2 2 2 2 2 2 2 3 2" xfId="0"/>
    <cellStyle name="Normal 61 2 2 2 2 2 2 2 2 2 3 2 2" xfId="0"/>
    <cellStyle name="Normal 61 2 2 2 2 2 2 2 2 2 3 3" xfId="0"/>
    <cellStyle name="Normal 61 2 2 2 2 2 2 2 2 2 4" xfId="0"/>
    <cellStyle name="Normal 61 2 2 2 2 2 2 2 2 2 4 2" xfId="0"/>
    <cellStyle name="Normal 61 2 2 2 2 2 2 2 2 2 5" xfId="0"/>
    <cellStyle name="Normal 61 2 2 2 2 2 2 2 2 3" xfId="0"/>
    <cellStyle name="Normal 61 2 2 2 2 2 2 2 2 3 2" xfId="0"/>
    <cellStyle name="Normal 61 2 2 2 2 2 2 2 2 3 2 2" xfId="0"/>
    <cellStyle name="Normal 61 2 2 2 2 2 2 2 2 3 3" xfId="0"/>
    <cellStyle name="Normal 61 2 2 2 2 2 2 2 2 4" xfId="0"/>
    <cellStyle name="Normal 61 2 2 2 2 2 2 2 2 4 2" xfId="0"/>
    <cellStyle name="Normal 61 2 2 2 2 2 2 2 2 4 2 2" xfId="0"/>
    <cellStyle name="Normal 61 2 2 2 2 2 2 2 2 4 3" xfId="0"/>
    <cellStyle name="Normal 61 2 2 2 2 2 2 2 2 5" xfId="0"/>
    <cellStyle name="Normal 61 2 2 2 2 2 2 2 2 5 2" xfId="0"/>
    <cellStyle name="Normal 61 2 2 2 2 2 2 2 2 6" xfId="0"/>
    <cellStyle name="Normal 61 2 2 2 2 2 2 2 3" xfId="0"/>
    <cellStyle name="Normal 61 2 2 2 2 2 2 2 3 2" xfId="0"/>
    <cellStyle name="Normal 61 2 2 2 2 2 2 2 3 2 2" xfId="0"/>
    <cellStyle name="Normal 61 2 2 2 2 2 2 2 3 2 2 2" xfId="0"/>
    <cellStyle name="Normal 61 2 2 2 2 2 2 2 3 2 3" xfId="0"/>
    <cellStyle name="Normal 61 2 2 2 2 2 2 2 3 3" xfId="0"/>
    <cellStyle name="Normal 61 2 2 2 2 2 2 2 3 3 2" xfId="0"/>
    <cellStyle name="Normal 61 2 2 2 2 2 2 2 3 3 2 2" xfId="0"/>
    <cellStyle name="Normal 61 2 2 2 2 2 2 2 3 3 3" xfId="0"/>
    <cellStyle name="Normal 61 2 2 2 2 2 2 2 3 4" xfId="0"/>
    <cellStyle name="Normal 61 2 2 2 2 2 2 2 3 4 2" xfId="0"/>
    <cellStyle name="Normal 61 2 2 2 2 2 2 2 3 5" xfId="0"/>
    <cellStyle name="Normal 61 2 2 2 2 2 2 2 4" xfId="0"/>
    <cellStyle name="Normal 61 2 2 2 2 2 2 2 4 2" xfId="0"/>
    <cellStyle name="Normal 61 2 2 2 2 2 2 2 4 2 2" xfId="0"/>
    <cellStyle name="Normal 61 2 2 2 2 2 2 2 4 3" xfId="0"/>
    <cellStyle name="Normal 61 2 2 2 2 2 2 2 5" xfId="0"/>
    <cellStyle name="Normal 61 2 2 2 2 2 2 2 5 2" xfId="0"/>
    <cellStyle name="Normal 61 2 2 2 2 2 2 2 5 2 2" xfId="0"/>
    <cellStyle name="Normal 61 2 2 2 2 2 2 2 5 3" xfId="0"/>
    <cellStyle name="Normal 61 2 2 2 2 2 2 2 6" xfId="0"/>
    <cellStyle name="Normal 61 2 2 2 2 2 2 2 6 2" xfId="0"/>
    <cellStyle name="Normal 61 2 2 2 2 2 2 2 7" xfId="0"/>
    <cellStyle name="Normal 61 2 2 2 2 2 2 3" xfId="0"/>
    <cellStyle name="Normal 61 2 2 2 2 2 2 3 2" xfId="0"/>
    <cellStyle name="Normal 61 2 2 2 2 2 2 3 2 2" xfId="0"/>
    <cellStyle name="Normal 61 2 2 2 2 2 2 3 2 2 2" xfId="0"/>
    <cellStyle name="Normal 61 2 2 2 2 2 2 3 2 2 2 2" xfId="0"/>
    <cellStyle name="Normal 61 2 2 2 2 2 2 3 2 2 3" xfId="0"/>
    <cellStyle name="Normal 61 2 2 2 2 2 2 3 2 3" xfId="0"/>
    <cellStyle name="Normal 61 2 2 2 2 2 2 3 2 3 2" xfId="0"/>
    <cellStyle name="Normal 61 2 2 2 2 2 2 3 2 3 2 2" xfId="0"/>
    <cellStyle name="Normal 61 2 2 2 2 2 2 3 2 3 3" xfId="0"/>
    <cellStyle name="Normal 61 2 2 2 2 2 2 3 2 4" xfId="0"/>
    <cellStyle name="Normal 61 2 2 2 2 2 2 3 2 4 2" xfId="0"/>
    <cellStyle name="Normal 61 2 2 2 2 2 2 3 2 5" xfId="0"/>
    <cellStyle name="Normal 61 2 2 2 2 2 2 3 3" xfId="0"/>
    <cellStyle name="Normal 61 2 2 2 2 2 2 3 3 2" xfId="0"/>
    <cellStyle name="Normal 61 2 2 2 2 2 2 3 3 2 2" xfId="0"/>
    <cellStyle name="Normal 61 2 2 2 2 2 2 3 3 3" xfId="0"/>
    <cellStyle name="Normal 61 2 2 2 2 2 2 3 4" xfId="0"/>
    <cellStyle name="Normal 61 2 2 2 2 2 2 3 4 2" xfId="0"/>
    <cellStyle name="Normal 61 2 2 2 2 2 2 3 4 2 2" xfId="0"/>
    <cellStyle name="Normal 61 2 2 2 2 2 2 3 4 3" xfId="0"/>
    <cellStyle name="Normal 61 2 2 2 2 2 2 3 5" xfId="0"/>
    <cellStyle name="Normal 61 2 2 2 2 2 2 3 5 2" xfId="0"/>
    <cellStyle name="Normal 61 2 2 2 2 2 2 3 6" xfId="0"/>
    <cellStyle name="Normal 61 2 2 2 2 2 2 4" xfId="0"/>
    <cellStyle name="Normal 61 2 2 2 2 2 2 4 2" xfId="0"/>
    <cellStyle name="Normal 61 2 2 2 2 2 2 4 2 2" xfId="0"/>
    <cellStyle name="Normal 61 2 2 2 2 2 2 4 2 2 2" xfId="0"/>
    <cellStyle name="Normal 61 2 2 2 2 2 2 4 2 3" xfId="0"/>
    <cellStyle name="Normal 61 2 2 2 2 2 2 4 3" xfId="0"/>
    <cellStyle name="Normal 61 2 2 2 2 2 2 4 3 2" xfId="0"/>
    <cellStyle name="Normal 61 2 2 2 2 2 2 4 3 2 2" xfId="0"/>
    <cellStyle name="Normal 61 2 2 2 2 2 2 4 3 3" xfId="0"/>
    <cellStyle name="Normal 61 2 2 2 2 2 2 4 4" xfId="0"/>
    <cellStyle name="Normal 61 2 2 2 2 2 2 4 4 2" xfId="0"/>
    <cellStyle name="Normal 61 2 2 2 2 2 2 4 5" xfId="0"/>
    <cellStyle name="Normal 61 2 2 2 2 2 2 5" xfId="0"/>
    <cellStyle name="Normal 61 2 2 2 2 2 2 5 2" xfId="0"/>
    <cellStyle name="Normal 61 2 2 2 2 2 2 5 2 2" xfId="0"/>
    <cellStyle name="Normal 61 2 2 2 2 2 2 5 3" xfId="0"/>
    <cellStyle name="Normal 61 2 2 2 2 2 2 6" xfId="0"/>
    <cellStyle name="Normal 61 2 2 2 2 2 2 6 2" xfId="0"/>
    <cellStyle name="Normal 61 2 2 2 2 2 2 6 2 2" xfId="0"/>
    <cellStyle name="Normal 61 2 2 2 2 2 2 6 3" xfId="0"/>
    <cellStyle name="Normal 61 2 2 2 2 2 2 7" xfId="0"/>
    <cellStyle name="Normal 61 2 2 2 2 2 2 7 2" xfId="0"/>
    <cellStyle name="Normal 61 2 2 2 2 2 2 8" xfId="0"/>
    <cellStyle name="Normal 61 2 2 2 2 2 3" xfId="0"/>
    <cellStyle name="Normal 61 2 2 2 2 2 3 2" xfId="0"/>
    <cellStyle name="Normal 61 2 2 2 2 2 3 2 2" xfId="0"/>
    <cellStyle name="Normal 61 2 2 2 2 2 3 2 2 2" xfId="0"/>
    <cellStyle name="Normal 61 2 2 2 2 2 3 2 2 2 2" xfId="0"/>
    <cellStyle name="Normal 61 2 2 2 2 2 3 2 2 2 2 2" xfId="0"/>
    <cellStyle name="Normal 61 2 2 2 2 2 3 2 2 2 3" xfId="0"/>
    <cellStyle name="Normal 61 2 2 2 2 2 3 2 2 3" xfId="0"/>
    <cellStyle name="Normal 61 2 2 2 2 2 3 2 2 3 2" xfId="0"/>
    <cellStyle name="Normal 61 2 2 2 2 2 3 2 2 3 2 2" xfId="0"/>
    <cellStyle name="Normal 61 2 2 2 2 2 3 2 2 3 3" xfId="0"/>
    <cellStyle name="Normal 61 2 2 2 2 2 3 2 2 4" xfId="0"/>
    <cellStyle name="Normal 61 2 2 2 2 2 3 2 2 4 2" xfId="0"/>
    <cellStyle name="Normal 61 2 2 2 2 2 3 2 2 5" xfId="0"/>
    <cellStyle name="Normal 61 2 2 2 2 2 3 2 3" xfId="0"/>
    <cellStyle name="Normal 61 2 2 2 2 2 3 2 3 2" xfId="0"/>
    <cellStyle name="Normal 61 2 2 2 2 2 3 2 3 2 2" xfId="0"/>
    <cellStyle name="Normal 61 2 2 2 2 2 3 2 3 3" xfId="0"/>
    <cellStyle name="Normal 61 2 2 2 2 2 3 2 4" xfId="0"/>
    <cellStyle name="Normal 61 2 2 2 2 2 3 2 4 2" xfId="0"/>
    <cellStyle name="Normal 61 2 2 2 2 2 3 2 4 2 2" xfId="0"/>
    <cellStyle name="Normal 61 2 2 2 2 2 3 2 4 3" xfId="0"/>
    <cellStyle name="Normal 61 2 2 2 2 2 3 2 5" xfId="0"/>
    <cellStyle name="Normal 61 2 2 2 2 2 3 2 5 2" xfId="0"/>
    <cellStyle name="Normal 61 2 2 2 2 2 3 2 6" xfId="0"/>
    <cellStyle name="Normal 61 2 2 2 2 2 3 3" xfId="0"/>
    <cellStyle name="Normal 61 2 2 2 2 2 3 3 2" xfId="0"/>
    <cellStyle name="Normal 61 2 2 2 2 2 3 3 2 2" xfId="0"/>
    <cellStyle name="Normal 61 2 2 2 2 2 3 3 2 2 2" xfId="0"/>
    <cellStyle name="Normal 61 2 2 2 2 2 3 3 2 3" xfId="0"/>
    <cellStyle name="Normal 61 2 2 2 2 2 3 3 3" xfId="0"/>
    <cellStyle name="Normal 61 2 2 2 2 2 3 3 3 2" xfId="0"/>
    <cellStyle name="Normal 61 2 2 2 2 2 3 3 3 2 2" xfId="0"/>
    <cellStyle name="Normal 61 2 2 2 2 2 3 3 3 3" xfId="0"/>
    <cellStyle name="Normal 61 2 2 2 2 2 3 3 4" xfId="0"/>
    <cellStyle name="Normal 61 2 2 2 2 2 3 3 4 2" xfId="0"/>
    <cellStyle name="Normal 61 2 2 2 2 2 3 3 5" xfId="0"/>
    <cellStyle name="Normal 61 2 2 2 2 2 3 4" xfId="0"/>
    <cellStyle name="Normal 61 2 2 2 2 2 3 4 2" xfId="0"/>
    <cellStyle name="Normal 61 2 2 2 2 2 3 4 2 2" xfId="0"/>
    <cellStyle name="Normal 61 2 2 2 2 2 3 4 3" xfId="0"/>
    <cellStyle name="Normal 61 2 2 2 2 2 3 5" xfId="0"/>
    <cellStyle name="Normal 61 2 2 2 2 2 3 5 2" xfId="0"/>
    <cellStyle name="Normal 61 2 2 2 2 2 3 5 2 2" xfId="0"/>
    <cellStyle name="Normal 61 2 2 2 2 2 3 5 3" xfId="0"/>
    <cellStyle name="Normal 61 2 2 2 2 2 3 6" xfId="0"/>
    <cellStyle name="Normal 61 2 2 2 2 2 3 6 2" xfId="0"/>
    <cellStyle name="Normal 61 2 2 2 2 2 3 7" xfId="0"/>
    <cellStyle name="Normal 61 2 2 2 2 2 4" xfId="0"/>
    <cellStyle name="Normal 61 2 2 2 2 2 4 2" xfId="0"/>
    <cellStyle name="Normal 61 2 2 2 2 2 4 2 2" xfId="0"/>
    <cellStyle name="Normal 61 2 2 2 2 2 4 2 2 2" xfId="0"/>
    <cellStyle name="Normal 61 2 2 2 2 2 4 2 2 2 2" xfId="0"/>
    <cellStyle name="Normal 61 2 2 2 2 2 4 2 2 3" xfId="0"/>
    <cellStyle name="Normal 61 2 2 2 2 2 4 2 3" xfId="0"/>
    <cellStyle name="Normal 61 2 2 2 2 2 4 2 3 2" xfId="0"/>
    <cellStyle name="Normal 61 2 2 2 2 2 4 2 3 2 2" xfId="0"/>
    <cellStyle name="Normal 61 2 2 2 2 2 4 2 3 3" xfId="0"/>
    <cellStyle name="Normal 61 2 2 2 2 2 4 2 4" xfId="0"/>
    <cellStyle name="Normal 61 2 2 2 2 2 4 2 4 2" xfId="0"/>
    <cellStyle name="Normal 61 2 2 2 2 2 4 2 5" xfId="0"/>
    <cellStyle name="Normal 61 2 2 2 2 2 4 3" xfId="0"/>
    <cellStyle name="Normal 61 2 2 2 2 2 4 3 2" xfId="0"/>
    <cellStyle name="Normal 61 2 2 2 2 2 4 3 2 2" xfId="0"/>
    <cellStyle name="Normal 61 2 2 2 2 2 4 3 3" xfId="0"/>
    <cellStyle name="Normal 61 2 2 2 2 2 4 4" xfId="0"/>
    <cellStyle name="Normal 61 2 2 2 2 2 4 4 2" xfId="0"/>
    <cellStyle name="Normal 61 2 2 2 2 2 4 4 2 2" xfId="0"/>
    <cellStyle name="Normal 61 2 2 2 2 2 4 4 3" xfId="0"/>
    <cellStyle name="Normal 61 2 2 2 2 2 4 5" xfId="0"/>
    <cellStyle name="Normal 61 2 2 2 2 2 4 5 2" xfId="0"/>
    <cellStyle name="Normal 61 2 2 2 2 2 4 6" xfId="0"/>
    <cellStyle name="Normal 61 2 2 2 2 2 5" xfId="0"/>
    <cellStyle name="Normal 61 2 2 2 2 2 5 2" xfId="0"/>
    <cellStyle name="Normal 61 2 2 2 2 2 5 2 2" xfId="0"/>
    <cellStyle name="Normal 61 2 2 2 2 2 5 2 2 2" xfId="0"/>
    <cellStyle name="Normal 61 2 2 2 2 2 5 2 3" xfId="0"/>
    <cellStyle name="Normal 61 2 2 2 2 2 5 3" xfId="0"/>
    <cellStyle name="Normal 61 2 2 2 2 2 5 3 2" xfId="0"/>
    <cellStyle name="Normal 61 2 2 2 2 2 5 3 2 2" xfId="0"/>
    <cellStyle name="Normal 61 2 2 2 2 2 5 3 3" xfId="0"/>
    <cellStyle name="Normal 61 2 2 2 2 2 5 4" xfId="0"/>
    <cellStyle name="Normal 61 2 2 2 2 2 5 4 2" xfId="0"/>
    <cellStyle name="Normal 61 2 2 2 2 2 5 5" xfId="0"/>
    <cellStyle name="Normal 61 2 2 2 2 2 6" xfId="0"/>
    <cellStyle name="Normal 61 2 2 2 2 2 6 2" xfId="0"/>
    <cellStyle name="Normal 61 2 2 2 2 2 6 2 2" xfId="0"/>
    <cellStyle name="Normal 61 2 2 2 2 2 6 3" xfId="0"/>
    <cellStyle name="Normal 61 2 2 2 2 2 7" xfId="0"/>
    <cellStyle name="Normal 61 2 2 2 2 2 7 2" xfId="0"/>
    <cellStyle name="Normal 61 2 2 2 2 2 7 2 2" xfId="0"/>
    <cellStyle name="Normal 61 2 2 2 2 2 7 3" xfId="0"/>
    <cellStyle name="Normal 61 2 2 2 2 2 8" xfId="0"/>
    <cellStyle name="Normal 61 2 2 2 2 2 8 2" xfId="0"/>
    <cellStyle name="Normal 61 2 2 2 2 2 9" xfId="0"/>
    <cellStyle name="Normal 61 2 2 2 2 3" xfId="0"/>
    <cellStyle name="Normal 61 2 2 2 2 3 2" xfId="0"/>
    <cellStyle name="Normal 61 2 2 2 2 3 2 2" xfId="0"/>
    <cellStyle name="Normal 61 2 2 2 2 3 2 2 2" xfId="0"/>
    <cellStyle name="Normal 61 2 2 2 2 3 2 2 2 2" xfId="0"/>
    <cellStyle name="Normal 61 2 2 2 2 3 2 2 2 2 2" xfId="0"/>
    <cellStyle name="Normal 61 2 2 2 2 3 2 2 2 2 2 2" xfId="0"/>
    <cellStyle name="Normal 61 2 2 2 2 3 2 2 2 2 3" xfId="0"/>
    <cellStyle name="Normal 61 2 2 2 2 3 2 2 2 3" xfId="0"/>
    <cellStyle name="Normal 61 2 2 2 2 3 2 2 2 3 2" xfId="0"/>
    <cellStyle name="Normal 61 2 2 2 2 3 2 2 2 3 2 2" xfId="0"/>
    <cellStyle name="Normal 61 2 2 2 2 3 2 2 2 3 3" xfId="0"/>
    <cellStyle name="Normal 61 2 2 2 2 3 2 2 2 4" xfId="0"/>
    <cellStyle name="Normal 61 2 2 2 2 3 2 2 2 4 2" xfId="0"/>
    <cellStyle name="Normal 61 2 2 2 2 3 2 2 2 5" xfId="0"/>
    <cellStyle name="Normal 61 2 2 2 2 3 2 2 3" xfId="0"/>
    <cellStyle name="Normal 61 2 2 2 2 3 2 2 3 2" xfId="0"/>
    <cellStyle name="Normal 61 2 2 2 2 3 2 2 3 2 2" xfId="0"/>
    <cellStyle name="Normal 61 2 2 2 2 3 2 2 3 3" xfId="0"/>
    <cellStyle name="Normal 61 2 2 2 2 3 2 2 4" xfId="0"/>
    <cellStyle name="Normal 61 2 2 2 2 3 2 2 4 2" xfId="0"/>
    <cellStyle name="Normal 61 2 2 2 2 3 2 2 4 2 2" xfId="0"/>
    <cellStyle name="Normal 61 2 2 2 2 3 2 2 4 3" xfId="0"/>
    <cellStyle name="Normal 61 2 2 2 2 3 2 2 5" xfId="0"/>
    <cellStyle name="Normal 61 2 2 2 2 3 2 2 5 2" xfId="0"/>
    <cellStyle name="Normal 61 2 2 2 2 3 2 2 6" xfId="0"/>
    <cellStyle name="Normal 61 2 2 2 2 3 2 3" xfId="0"/>
    <cellStyle name="Normal 61 2 2 2 2 3 2 3 2" xfId="0"/>
    <cellStyle name="Normal 61 2 2 2 2 3 2 3 2 2" xfId="0"/>
    <cellStyle name="Normal 61 2 2 2 2 3 2 3 2 2 2" xfId="0"/>
    <cellStyle name="Normal 61 2 2 2 2 3 2 3 2 3" xfId="0"/>
    <cellStyle name="Normal 61 2 2 2 2 3 2 3 3" xfId="0"/>
    <cellStyle name="Normal 61 2 2 2 2 3 2 3 3 2" xfId="0"/>
    <cellStyle name="Normal 61 2 2 2 2 3 2 3 3 2 2" xfId="0"/>
    <cellStyle name="Normal 61 2 2 2 2 3 2 3 3 3" xfId="0"/>
    <cellStyle name="Normal 61 2 2 2 2 3 2 3 4" xfId="0"/>
    <cellStyle name="Normal 61 2 2 2 2 3 2 3 4 2" xfId="0"/>
    <cellStyle name="Normal 61 2 2 2 2 3 2 3 5" xfId="0"/>
    <cellStyle name="Normal 61 2 2 2 2 3 2 4" xfId="0"/>
    <cellStyle name="Normal 61 2 2 2 2 3 2 4 2" xfId="0"/>
    <cellStyle name="Normal 61 2 2 2 2 3 2 4 2 2" xfId="0"/>
    <cellStyle name="Normal 61 2 2 2 2 3 2 4 3" xfId="0"/>
    <cellStyle name="Normal 61 2 2 2 2 3 2 5" xfId="0"/>
    <cellStyle name="Normal 61 2 2 2 2 3 2 5 2" xfId="0"/>
    <cellStyle name="Normal 61 2 2 2 2 3 2 5 2 2" xfId="0"/>
    <cellStyle name="Normal 61 2 2 2 2 3 2 5 3" xfId="0"/>
    <cellStyle name="Normal 61 2 2 2 2 3 2 6" xfId="0"/>
    <cellStyle name="Normal 61 2 2 2 2 3 2 6 2" xfId="0"/>
    <cellStyle name="Normal 61 2 2 2 2 3 2 7" xfId="0"/>
    <cellStyle name="Normal 61 2 2 2 2 3 3" xfId="0"/>
    <cellStyle name="Normal 61 2 2 2 2 3 3 2" xfId="0"/>
    <cellStyle name="Normal 61 2 2 2 2 3 3 2 2" xfId="0"/>
    <cellStyle name="Normal 61 2 2 2 2 3 3 2 2 2" xfId="0"/>
    <cellStyle name="Normal 61 2 2 2 2 3 3 2 2 2 2" xfId="0"/>
    <cellStyle name="Normal 61 2 2 2 2 3 3 2 2 3" xfId="0"/>
    <cellStyle name="Normal 61 2 2 2 2 3 3 2 3" xfId="0"/>
    <cellStyle name="Normal 61 2 2 2 2 3 3 2 3 2" xfId="0"/>
    <cellStyle name="Normal 61 2 2 2 2 3 3 2 3 2 2" xfId="0"/>
    <cellStyle name="Normal 61 2 2 2 2 3 3 2 3 3" xfId="0"/>
    <cellStyle name="Normal 61 2 2 2 2 3 3 2 4" xfId="0"/>
    <cellStyle name="Normal 61 2 2 2 2 3 3 2 4 2" xfId="0"/>
    <cellStyle name="Normal 61 2 2 2 2 3 3 2 5" xfId="0"/>
    <cellStyle name="Normal 61 2 2 2 2 3 3 3" xfId="0"/>
    <cellStyle name="Normal 61 2 2 2 2 3 3 3 2" xfId="0"/>
    <cellStyle name="Normal 61 2 2 2 2 3 3 3 2 2" xfId="0"/>
    <cellStyle name="Normal 61 2 2 2 2 3 3 3 3" xfId="0"/>
    <cellStyle name="Normal 61 2 2 2 2 3 3 4" xfId="0"/>
    <cellStyle name="Normal 61 2 2 2 2 3 3 4 2" xfId="0"/>
    <cellStyle name="Normal 61 2 2 2 2 3 3 4 2 2" xfId="0"/>
    <cellStyle name="Normal 61 2 2 2 2 3 3 4 3" xfId="0"/>
    <cellStyle name="Normal 61 2 2 2 2 3 3 5" xfId="0"/>
    <cellStyle name="Normal 61 2 2 2 2 3 3 5 2" xfId="0"/>
    <cellStyle name="Normal 61 2 2 2 2 3 3 6" xfId="0"/>
    <cellStyle name="Normal 61 2 2 2 2 3 4" xfId="0"/>
    <cellStyle name="Normal 61 2 2 2 2 3 4 2" xfId="0"/>
    <cellStyle name="Normal 61 2 2 2 2 3 4 2 2" xfId="0"/>
    <cellStyle name="Normal 61 2 2 2 2 3 4 2 2 2" xfId="0"/>
    <cellStyle name="Normal 61 2 2 2 2 3 4 2 3" xfId="0"/>
    <cellStyle name="Normal 61 2 2 2 2 3 4 3" xfId="0"/>
    <cellStyle name="Normal 61 2 2 2 2 3 4 3 2" xfId="0"/>
    <cellStyle name="Normal 61 2 2 2 2 3 4 3 2 2" xfId="0"/>
    <cellStyle name="Normal 61 2 2 2 2 3 4 3 3" xfId="0"/>
    <cellStyle name="Normal 61 2 2 2 2 3 4 4" xfId="0"/>
    <cellStyle name="Normal 61 2 2 2 2 3 4 4 2" xfId="0"/>
    <cellStyle name="Normal 61 2 2 2 2 3 4 5" xfId="0"/>
    <cellStyle name="Normal 61 2 2 2 2 3 5" xfId="0"/>
    <cellStyle name="Normal 61 2 2 2 2 3 5 2" xfId="0"/>
    <cellStyle name="Normal 61 2 2 2 2 3 5 2 2" xfId="0"/>
    <cellStyle name="Normal 61 2 2 2 2 3 5 3" xfId="0"/>
    <cellStyle name="Normal 61 2 2 2 2 3 6" xfId="0"/>
    <cellStyle name="Normal 61 2 2 2 2 3 6 2" xfId="0"/>
    <cellStyle name="Normal 61 2 2 2 2 3 6 2 2" xfId="0"/>
    <cellStyle name="Normal 61 2 2 2 2 3 6 3" xfId="0"/>
    <cellStyle name="Normal 61 2 2 2 2 3 7" xfId="0"/>
    <cellStyle name="Normal 61 2 2 2 2 3 7 2" xfId="0"/>
    <cellStyle name="Normal 61 2 2 2 2 3 8" xfId="0"/>
    <cellStyle name="Normal 61 2 2 2 2 4" xfId="0"/>
    <cellStyle name="Normal 61 2 2 2 2 4 2" xfId="0"/>
    <cellStyle name="Normal 61 2 2 2 2 4 2 2" xfId="0"/>
    <cellStyle name="Normal 61 2 2 2 2 4 2 2 2" xfId="0"/>
    <cellStyle name="Normal 61 2 2 2 2 4 2 2 2 2" xfId="0"/>
    <cellStyle name="Normal 61 2 2 2 2 4 2 2 2 2 2" xfId="0"/>
    <cellStyle name="Normal 61 2 2 2 2 4 2 2 2 3" xfId="0"/>
    <cellStyle name="Normal 61 2 2 2 2 4 2 2 3" xfId="0"/>
    <cellStyle name="Normal 61 2 2 2 2 4 2 2 3 2" xfId="0"/>
    <cellStyle name="Normal 61 2 2 2 2 4 2 2 3 2 2" xfId="0"/>
    <cellStyle name="Normal 61 2 2 2 2 4 2 2 3 3" xfId="0"/>
    <cellStyle name="Normal 61 2 2 2 2 4 2 2 4" xfId="0"/>
    <cellStyle name="Normal 61 2 2 2 2 4 2 2 4 2" xfId="0"/>
    <cellStyle name="Normal 61 2 2 2 2 4 2 2 5" xfId="0"/>
    <cellStyle name="Normal 61 2 2 2 2 4 2 3" xfId="0"/>
    <cellStyle name="Normal 61 2 2 2 2 4 2 3 2" xfId="0"/>
    <cellStyle name="Normal 61 2 2 2 2 4 2 3 2 2" xfId="0"/>
    <cellStyle name="Normal 61 2 2 2 2 4 2 3 3" xfId="0"/>
    <cellStyle name="Normal 61 2 2 2 2 4 2 4" xfId="0"/>
    <cellStyle name="Normal 61 2 2 2 2 4 2 4 2" xfId="0"/>
    <cellStyle name="Normal 61 2 2 2 2 4 2 4 2 2" xfId="0"/>
    <cellStyle name="Normal 61 2 2 2 2 4 2 4 3" xfId="0"/>
    <cellStyle name="Normal 61 2 2 2 2 4 2 5" xfId="0"/>
    <cellStyle name="Normal 61 2 2 2 2 4 2 5 2" xfId="0"/>
    <cellStyle name="Normal 61 2 2 2 2 4 2 6" xfId="0"/>
    <cellStyle name="Normal 61 2 2 2 2 4 3" xfId="0"/>
    <cellStyle name="Normal 61 2 2 2 2 4 3 2" xfId="0"/>
    <cellStyle name="Normal 61 2 2 2 2 4 3 2 2" xfId="0"/>
    <cellStyle name="Normal 61 2 2 2 2 4 3 2 2 2" xfId="0"/>
    <cellStyle name="Normal 61 2 2 2 2 4 3 2 3" xfId="0"/>
    <cellStyle name="Normal 61 2 2 2 2 4 3 3" xfId="0"/>
    <cellStyle name="Normal 61 2 2 2 2 4 3 3 2" xfId="0"/>
    <cellStyle name="Normal 61 2 2 2 2 4 3 3 2 2" xfId="0"/>
    <cellStyle name="Normal 61 2 2 2 2 4 3 3 3" xfId="0"/>
    <cellStyle name="Normal 61 2 2 2 2 4 3 4" xfId="0"/>
    <cellStyle name="Normal 61 2 2 2 2 4 3 4 2" xfId="0"/>
    <cellStyle name="Normal 61 2 2 2 2 4 3 5" xfId="0"/>
    <cellStyle name="Normal 61 2 2 2 2 4 4" xfId="0"/>
    <cellStyle name="Normal 61 2 2 2 2 4 4 2" xfId="0"/>
    <cellStyle name="Normal 61 2 2 2 2 4 4 2 2" xfId="0"/>
    <cellStyle name="Normal 61 2 2 2 2 4 4 3" xfId="0"/>
    <cellStyle name="Normal 61 2 2 2 2 4 5" xfId="0"/>
    <cellStyle name="Normal 61 2 2 2 2 4 5 2" xfId="0"/>
    <cellStyle name="Normal 61 2 2 2 2 4 5 2 2" xfId="0"/>
    <cellStyle name="Normal 61 2 2 2 2 4 5 3" xfId="0"/>
    <cellStyle name="Normal 61 2 2 2 2 4 6" xfId="0"/>
    <cellStyle name="Normal 61 2 2 2 2 4 6 2" xfId="0"/>
    <cellStyle name="Normal 61 2 2 2 2 4 7" xfId="0"/>
    <cellStyle name="Normal 61 2 2 2 2 5" xfId="0"/>
    <cellStyle name="Normal 61 2 2 2 2 5 2" xfId="0"/>
    <cellStyle name="Normal 61 2 2 2 2 5 2 2" xfId="0"/>
    <cellStyle name="Normal 61 2 2 2 2 5 2 2 2" xfId="0"/>
    <cellStyle name="Normal 61 2 2 2 2 5 2 2 2 2" xfId="0"/>
    <cellStyle name="Normal 61 2 2 2 2 5 2 2 3" xfId="0"/>
    <cellStyle name="Normal 61 2 2 2 2 5 2 3" xfId="0"/>
    <cellStyle name="Normal 61 2 2 2 2 5 2 3 2" xfId="0"/>
    <cellStyle name="Normal 61 2 2 2 2 5 2 3 2 2" xfId="0"/>
    <cellStyle name="Normal 61 2 2 2 2 5 2 3 3" xfId="0"/>
    <cellStyle name="Normal 61 2 2 2 2 5 2 4" xfId="0"/>
    <cellStyle name="Normal 61 2 2 2 2 5 2 4 2" xfId="0"/>
    <cellStyle name="Normal 61 2 2 2 2 5 2 5" xfId="0"/>
    <cellStyle name="Normal 61 2 2 2 2 5 3" xfId="0"/>
    <cellStyle name="Normal 61 2 2 2 2 5 3 2" xfId="0"/>
    <cellStyle name="Normal 61 2 2 2 2 5 3 2 2" xfId="0"/>
    <cellStyle name="Normal 61 2 2 2 2 5 3 3" xfId="0"/>
    <cellStyle name="Normal 61 2 2 2 2 5 4" xfId="0"/>
    <cellStyle name="Normal 61 2 2 2 2 5 4 2" xfId="0"/>
    <cellStyle name="Normal 61 2 2 2 2 5 4 2 2" xfId="0"/>
    <cellStyle name="Normal 61 2 2 2 2 5 4 3" xfId="0"/>
    <cellStyle name="Normal 61 2 2 2 2 5 5" xfId="0"/>
    <cellStyle name="Normal 61 2 2 2 2 5 5 2" xfId="0"/>
    <cellStyle name="Normal 61 2 2 2 2 5 6" xfId="0"/>
    <cellStyle name="Normal 61 2 2 2 2 6" xfId="0"/>
    <cellStyle name="Normal 61 2 2 2 2 6 2" xfId="0"/>
    <cellStyle name="Normal 61 2 2 2 2 6 2 2" xfId="0"/>
    <cellStyle name="Normal 61 2 2 2 2 6 2 2 2" xfId="0"/>
    <cellStyle name="Normal 61 2 2 2 2 6 2 3" xfId="0"/>
    <cellStyle name="Normal 61 2 2 2 2 6 3" xfId="0"/>
    <cellStyle name="Normal 61 2 2 2 2 6 3 2" xfId="0"/>
    <cellStyle name="Normal 61 2 2 2 2 6 3 2 2" xfId="0"/>
    <cellStyle name="Normal 61 2 2 2 2 6 3 3" xfId="0"/>
    <cellStyle name="Normal 61 2 2 2 2 6 4" xfId="0"/>
    <cellStyle name="Normal 61 2 2 2 2 6 4 2" xfId="0"/>
    <cellStyle name="Normal 61 2 2 2 2 6 5" xfId="0"/>
    <cellStyle name="Normal 61 2 2 2 2 7" xfId="0"/>
    <cellStyle name="Normal 61 2 2 2 2 7 2" xfId="0"/>
    <cellStyle name="Normal 61 2 2 2 2 7 2 2" xfId="0"/>
    <cellStyle name="Normal 61 2 2 2 2 7 3" xfId="0"/>
    <cellStyle name="Normal 61 2 2 2 2 8" xfId="0"/>
    <cellStyle name="Normal 61 2 2 2 2 8 2" xfId="0"/>
    <cellStyle name="Normal 61 2 2 2 2 8 2 2" xfId="0"/>
    <cellStyle name="Normal 61 2 2 2 2 8 3" xfId="0"/>
    <cellStyle name="Normal 61 2 2 2 2 9" xfId="0"/>
    <cellStyle name="Normal 61 2 2 2 2 9 2" xfId="0"/>
    <cellStyle name="Normal 61 2 2 2 3" xfId="0"/>
    <cellStyle name="Normal 61 2 2 2 3 10" xfId="0"/>
    <cellStyle name="Normal 61 2 2 2 3 2" xfId="0"/>
    <cellStyle name="Normal 61 2 2 2 3 2 2" xfId="0"/>
    <cellStyle name="Normal 61 2 2 2 3 2 2 2" xfId="0"/>
    <cellStyle name="Normal 61 2 2 2 3 2 2 2 2" xfId="0"/>
    <cellStyle name="Normal 61 2 2 2 3 2 2 2 2 2" xfId="0"/>
    <cellStyle name="Normal 61 2 2 2 3 2 2 2 2 2 2" xfId="0"/>
    <cellStyle name="Normal 61 2 2 2 3 2 2 2 2 2 2 2" xfId="0"/>
    <cellStyle name="Normal 61 2 2 2 3 2 2 2 2 2 2 2 2" xfId="0"/>
    <cellStyle name="Normal 61 2 2 2 3 2 2 2 2 2 2 3" xfId="0"/>
    <cellStyle name="Normal 61 2 2 2 3 2 2 2 2 2 3" xfId="0"/>
    <cellStyle name="Normal 61 2 2 2 3 2 2 2 2 2 3 2" xfId="0"/>
    <cellStyle name="Normal 61 2 2 2 3 2 2 2 2 2 3 2 2" xfId="0"/>
    <cellStyle name="Normal 61 2 2 2 3 2 2 2 2 2 3 3" xfId="0"/>
    <cellStyle name="Normal 61 2 2 2 3 2 2 2 2 2 4" xfId="0"/>
    <cellStyle name="Normal 61 2 2 2 3 2 2 2 2 2 4 2" xfId="0"/>
    <cellStyle name="Normal 61 2 2 2 3 2 2 2 2 2 5" xfId="0"/>
    <cellStyle name="Normal 61 2 2 2 3 2 2 2 2 3" xfId="0"/>
    <cellStyle name="Normal 61 2 2 2 3 2 2 2 2 3 2" xfId="0"/>
    <cellStyle name="Normal 61 2 2 2 3 2 2 2 2 3 2 2" xfId="0"/>
    <cellStyle name="Normal 61 2 2 2 3 2 2 2 2 3 3" xfId="0"/>
    <cellStyle name="Normal 61 2 2 2 3 2 2 2 2 4" xfId="0"/>
    <cellStyle name="Normal 61 2 2 2 3 2 2 2 2 4 2" xfId="0"/>
    <cellStyle name="Normal 61 2 2 2 3 2 2 2 2 4 2 2" xfId="0"/>
    <cellStyle name="Normal 61 2 2 2 3 2 2 2 2 4 3" xfId="0"/>
    <cellStyle name="Normal 61 2 2 2 3 2 2 2 2 5" xfId="0"/>
    <cellStyle name="Normal 61 2 2 2 3 2 2 2 2 5 2" xfId="0"/>
    <cellStyle name="Normal 61 2 2 2 3 2 2 2 2 6" xfId="0"/>
    <cellStyle name="Normal 61 2 2 2 3 2 2 2 3" xfId="0"/>
    <cellStyle name="Normal 61 2 2 2 3 2 2 2 3 2" xfId="0"/>
    <cellStyle name="Normal 61 2 2 2 3 2 2 2 3 2 2" xfId="0"/>
    <cellStyle name="Normal 61 2 2 2 3 2 2 2 3 2 2 2" xfId="0"/>
    <cellStyle name="Normal 61 2 2 2 3 2 2 2 3 2 3" xfId="0"/>
    <cellStyle name="Normal 61 2 2 2 3 2 2 2 3 3" xfId="0"/>
    <cellStyle name="Normal 61 2 2 2 3 2 2 2 3 3 2" xfId="0"/>
    <cellStyle name="Normal 61 2 2 2 3 2 2 2 3 3 2 2" xfId="0"/>
    <cellStyle name="Normal 61 2 2 2 3 2 2 2 3 3 3" xfId="0"/>
    <cellStyle name="Normal 61 2 2 2 3 2 2 2 3 4" xfId="0"/>
    <cellStyle name="Normal 61 2 2 2 3 2 2 2 3 4 2" xfId="0"/>
    <cellStyle name="Normal 61 2 2 2 3 2 2 2 3 5" xfId="0"/>
    <cellStyle name="Normal 61 2 2 2 3 2 2 2 4" xfId="0"/>
    <cellStyle name="Normal 61 2 2 2 3 2 2 2 4 2" xfId="0"/>
    <cellStyle name="Normal 61 2 2 2 3 2 2 2 4 2 2" xfId="0"/>
    <cellStyle name="Normal 61 2 2 2 3 2 2 2 4 3" xfId="0"/>
    <cellStyle name="Normal 61 2 2 2 3 2 2 2 5" xfId="0"/>
    <cellStyle name="Normal 61 2 2 2 3 2 2 2 5 2" xfId="0"/>
    <cellStyle name="Normal 61 2 2 2 3 2 2 2 5 2 2" xfId="0"/>
    <cellStyle name="Normal 61 2 2 2 3 2 2 2 5 3" xfId="0"/>
    <cellStyle name="Normal 61 2 2 2 3 2 2 2 6" xfId="0"/>
    <cellStyle name="Normal 61 2 2 2 3 2 2 2 6 2" xfId="0"/>
    <cellStyle name="Normal 61 2 2 2 3 2 2 2 7" xfId="0"/>
    <cellStyle name="Normal 61 2 2 2 3 2 2 3" xfId="0"/>
    <cellStyle name="Normal 61 2 2 2 3 2 2 3 2" xfId="0"/>
    <cellStyle name="Normal 61 2 2 2 3 2 2 3 2 2" xfId="0"/>
    <cellStyle name="Normal 61 2 2 2 3 2 2 3 2 2 2" xfId="0"/>
    <cellStyle name="Normal 61 2 2 2 3 2 2 3 2 2 2 2" xfId="0"/>
    <cellStyle name="Normal 61 2 2 2 3 2 2 3 2 2 3" xfId="0"/>
    <cellStyle name="Normal 61 2 2 2 3 2 2 3 2 3" xfId="0"/>
    <cellStyle name="Normal 61 2 2 2 3 2 2 3 2 3 2" xfId="0"/>
    <cellStyle name="Normal 61 2 2 2 3 2 2 3 2 3 2 2" xfId="0"/>
    <cellStyle name="Normal 61 2 2 2 3 2 2 3 2 3 3" xfId="0"/>
    <cellStyle name="Normal 61 2 2 2 3 2 2 3 2 4" xfId="0"/>
    <cellStyle name="Normal 61 2 2 2 3 2 2 3 2 4 2" xfId="0"/>
    <cellStyle name="Normal 61 2 2 2 3 2 2 3 2 5" xfId="0"/>
    <cellStyle name="Normal 61 2 2 2 3 2 2 3 3" xfId="0"/>
    <cellStyle name="Normal 61 2 2 2 3 2 2 3 3 2" xfId="0"/>
    <cellStyle name="Normal 61 2 2 2 3 2 2 3 3 2 2" xfId="0"/>
    <cellStyle name="Normal 61 2 2 2 3 2 2 3 3 3" xfId="0"/>
    <cellStyle name="Normal 61 2 2 2 3 2 2 3 4" xfId="0"/>
    <cellStyle name="Normal 61 2 2 2 3 2 2 3 4 2" xfId="0"/>
    <cellStyle name="Normal 61 2 2 2 3 2 2 3 4 2 2" xfId="0"/>
    <cellStyle name="Normal 61 2 2 2 3 2 2 3 4 3" xfId="0"/>
    <cellStyle name="Normal 61 2 2 2 3 2 2 3 5" xfId="0"/>
    <cellStyle name="Normal 61 2 2 2 3 2 2 3 5 2" xfId="0"/>
    <cellStyle name="Normal 61 2 2 2 3 2 2 3 6" xfId="0"/>
    <cellStyle name="Normal 61 2 2 2 3 2 2 4" xfId="0"/>
    <cellStyle name="Normal 61 2 2 2 3 2 2 4 2" xfId="0"/>
    <cellStyle name="Normal 61 2 2 2 3 2 2 4 2 2" xfId="0"/>
    <cellStyle name="Normal 61 2 2 2 3 2 2 4 2 2 2" xfId="0"/>
    <cellStyle name="Normal 61 2 2 2 3 2 2 4 2 3" xfId="0"/>
    <cellStyle name="Normal 61 2 2 2 3 2 2 4 3" xfId="0"/>
    <cellStyle name="Normal 61 2 2 2 3 2 2 4 3 2" xfId="0"/>
    <cellStyle name="Normal 61 2 2 2 3 2 2 4 3 2 2" xfId="0"/>
    <cellStyle name="Normal 61 2 2 2 3 2 2 4 3 3" xfId="0"/>
    <cellStyle name="Normal 61 2 2 2 3 2 2 4 4" xfId="0"/>
    <cellStyle name="Normal 61 2 2 2 3 2 2 4 4 2" xfId="0"/>
    <cellStyle name="Normal 61 2 2 2 3 2 2 4 5" xfId="0"/>
    <cellStyle name="Normal 61 2 2 2 3 2 2 5" xfId="0"/>
    <cellStyle name="Normal 61 2 2 2 3 2 2 5 2" xfId="0"/>
    <cellStyle name="Normal 61 2 2 2 3 2 2 5 2 2" xfId="0"/>
    <cellStyle name="Normal 61 2 2 2 3 2 2 5 3" xfId="0"/>
    <cellStyle name="Normal 61 2 2 2 3 2 2 6" xfId="0"/>
    <cellStyle name="Normal 61 2 2 2 3 2 2 6 2" xfId="0"/>
    <cellStyle name="Normal 61 2 2 2 3 2 2 6 2 2" xfId="0"/>
    <cellStyle name="Normal 61 2 2 2 3 2 2 6 3" xfId="0"/>
    <cellStyle name="Normal 61 2 2 2 3 2 2 7" xfId="0"/>
    <cellStyle name="Normal 61 2 2 2 3 2 2 7 2" xfId="0"/>
    <cellStyle name="Normal 61 2 2 2 3 2 2 8" xfId="0"/>
    <cellStyle name="Normal 61 2 2 2 3 2 3" xfId="0"/>
    <cellStyle name="Normal 61 2 2 2 3 2 3 2" xfId="0"/>
    <cellStyle name="Normal 61 2 2 2 3 2 3 2 2" xfId="0"/>
    <cellStyle name="Normal 61 2 2 2 3 2 3 2 2 2" xfId="0"/>
    <cellStyle name="Normal 61 2 2 2 3 2 3 2 2 2 2" xfId="0"/>
    <cellStyle name="Normal 61 2 2 2 3 2 3 2 2 2 2 2" xfId="0"/>
    <cellStyle name="Normal 61 2 2 2 3 2 3 2 2 2 3" xfId="0"/>
    <cellStyle name="Normal 61 2 2 2 3 2 3 2 2 3" xfId="0"/>
    <cellStyle name="Normal 61 2 2 2 3 2 3 2 2 3 2" xfId="0"/>
    <cellStyle name="Normal 61 2 2 2 3 2 3 2 2 3 2 2" xfId="0"/>
    <cellStyle name="Normal 61 2 2 2 3 2 3 2 2 3 3" xfId="0"/>
    <cellStyle name="Normal 61 2 2 2 3 2 3 2 2 4" xfId="0"/>
    <cellStyle name="Normal 61 2 2 2 3 2 3 2 2 4 2" xfId="0"/>
    <cellStyle name="Normal 61 2 2 2 3 2 3 2 2 5" xfId="0"/>
    <cellStyle name="Normal 61 2 2 2 3 2 3 2 3" xfId="0"/>
    <cellStyle name="Normal 61 2 2 2 3 2 3 2 3 2" xfId="0"/>
    <cellStyle name="Normal 61 2 2 2 3 2 3 2 3 2 2" xfId="0"/>
    <cellStyle name="Normal 61 2 2 2 3 2 3 2 3 3" xfId="0"/>
    <cellStyle name="Normal 61 2 2 2 3 2 3 2 4" xfId="0"/>
    <cellStyle name="Normal 61 2 2 2 3 2 3 2 4 2" xfId="0"/>
    <cellStyle name="Normal 61 2 2 2 3 2 3 2 4 2 2" xfId="0"/>
    <cellStyle name="Normal 61 2 2 2 3 2 3 2 4 3" xfId="0"/>
    <cellStyle name="Normal 61 2 2 2 3 2 3 2 5" xfId="0"/>
    <cellStyle name="Normal 61 2 2 2 3 2 3 2 5 2" xfId="0"/>
    <cellStyle name="Normal 61 2 2 2 3 2 3 2 6" xfId="0"/>
    <cellStyle name="Normal 61 2 2 2 3 2 3 3" xfId="0"/>
    <cellStyle name="Normal 61 2 2 2 3 2 3 3 2" xfId="0"/>
    <cellStyle name="Normal 61 2 2 2 3 2 3 3 2 2" xfId="0"/>
    <cellStyle name="Normal 61 2 2 2 3 2 3 3 2 2 2" xfId="0"/>
    <cellStyle name="Normal 61 2 2 2 3 2 3 3 2 3" xfId="0"/>
    <cellStyle name="Normal 61 2 2 2 3 2 3 3 3" xfId="0"/>
    <cellStyle name="Normal 61 2 2 2 3 2 3 3 3 2" xfId="0"/>
    <cellStyle name="Normal 61 2 2 2 3 2 3 3 3 2 2" xfId="0"/>
    <cellStyle name="Normal 61 2 2 2 3 2 3 3 3 3" xfId="0"/>
    <cellStyle name="Normal 61 2 2 2 3 2 3 3 4" xfId="0"/>
    <cellStyle name="Normal 61 2 2 2 3 2 3 3 4 2" xfId="0"/>
    <cellStyle name="Normal 61 2 2 2 3 2 3 3 5" xfId="0"/>
    <cellStyle name="Normal 61 2 2 2 3 2 3 4" xfId="0"/>
    <cellStyle name="Normal 61 2 2 2 3 2 3 4 2" xfId="0"/>
    <cellStyle name="Normal 61 2 2 2 3 2 3 4 2 2" xfId="0"/>
    <cellStyle name="Normal 61 2 2 2 3 2 3 4 3" xfId="0"/>
    <cellStyle name="Normal 61 2 2 2 3 2 3 5" xfId="0"/>
    <cellStyle name="Normal 61 2 2 2 3 2 3 5 2" xfId="0"/>
    <cellStyle name="Normal 61 2 2 2 3 2 3 5 2 2" xfId="0"/>
    <cellStyle name="Normal 61 2 2 2 3 2 3 5 3" xfId="0"/>
    <cellStyle name="Normal 61 2 2 2 3 2 3 6" xfId="0"/>
    <cellStyle name="Normal 61 2 2 2 3 2 3 6 2" xfId="0"/>
    <cellStyle name="Normal 61 2 2 2 3 2 3 7" xfId="0"/>
    <cellStyle name="Normal 61 2 2 2 3 2 4" xfId="0"/>
    <cellStyle name="Normal 61 2 2 2 3 2 4 2" xfId="0"/>
    <cellStyle name="Normal 61 2 2 2 3 2 4 2 2" xfId="0"/>
    <cellStyle name="Normal 61 2 2 2 3 2 4 2 2 2" xfId="0"/>
    <cellStyle name="Normal 61 2 2 2 3 2 4 2 2 2 2" xfId="0"/>
    <cellStyle name="Normal 61 2 2 2 3 2 4 2 2 3" xfId="0"/>
    <cellStyle name="Normal 61 2 2 2 3 2 4 2 3" xfId="0"/>
    <cellStyle name="Normal 61 2 2 2 3 2 4 2 3 2" xfId="0"/>
    <cellStyle name="Normal 61 2 2 2 3 2 4 2 3 2 2" xfId="0"/>
    <cellStyle name="Normal 61 2 2 2 3 2 4 2 3 3" xfId="0"/>
    <cellStyle name="Normal 61 2 2 2 3 2 4 2 4" xfId="0"/>
    <cellStyle name="Normal 61 2 2 2 3 2 4 2 4 2" xfId="0"/>
    <cellStyle name="Normal 61 2 2 2 3 2 4 2 5" xfId="0"/>
    <cellStyle name="Normal 61 2 2 2 3 2 4 3" xfId="0"/>
    <cellStyle name="Normal 61 2 2 2 3 2 4 3 2" xfId="0"/>
    <cellStyle name="Normal 61 2 2 2 3 2 4 3 2 2" xfId="0"/>
    <cellStyle name="Normal 61 2 2 2 3 2 4 3 3" xfId="0"/>
    <cellStyle name="Normal 61 2 2 2 3 2 4 4" xfId="0"/>
    <cellStyle name="Normal 61 2 2 2 3 2 4 4 2" xfId="0"/>
    <cellStyle name="Normal 61 2 2 2 3 2 4 4 2 2" xfId="0"/>
    <cellStyle name="Normal 61 2 2 2 3 2 4 4 3" xfId="0"/>
    <cellStyle name="Normal 61 2 2 2 3 2 4 5" xfId="0"/>
    <cellStyle name="Normal 61 2 2 2 3 2 4 5 2" xfId="0"/>
    <cellStyle name="Normal 61 2 2 2 3 2 4 6" xfId="0"/>
    <cellStyle name="Normal 61 2 2 2 3 2 5" xfId="0"/>
    <cellStyle name="Normal 61 2 2 2 3 2 5 2" xfId="0"/>
    <cellStyle name="Normal 61 2 2 2 3 2 5 2 2" xfId="0"/>
    <cellStyle name="Normal 61 2 2 2 3 2 5 2 2 2" xfId="0"/>
    <cellStyle name="Normal 61 2 2 2 3 2 5 2 3" xfId="0"/>
    <cellStyle name="Normal 61 2 2 2 3 2 5 3" xfId="0"/>
    <cellStyle name="Normal 61 2 2 2 3 2 5 3 2" xfId="0"/>
    <cellStyle name="Normal 61 2 2 2 3 2 5 3 2 2" xfId="0"/>
    <cellStyle name="Normal 61 2 2 2 3 2 5 3 3" xfId="0"/>
    <cellStyle name="Normal 61 2 2 2 3 2 5 4" xfId="0"/>
    <cellStyle name="Normal 61 2 2 2 3 2 5 4 2" xfId="0"/>
    <cellStyle name="Normal 61 2 2 2 3 2 5 5" xfId="0"/>
    <cellStyle name="Normal 61 2 2 2 3 2 6" xfId="0"/>
    <cellStyle name="Normal 61 2 2 2 3 2 6 2" xfId="0"/>
    <cellStyle name="Normal 61 2 2 2 3 2 6 2 2" xfId="0"/>
    <cellStyle name="Normal 61 2 2 2 3 2 6 3" xfId="0"/>
    <cellStyle name="Normal 61 2 2 2 3 2 7" xfId="0"/>
    <cellStyle name="Normal 61 2 2 2 3 2 7 2" xfId="0"/>
    <cellStyle name="Normal 61 2 2 2 3 2 7 2 2" xfId="0"/>
    <cellStyle name="Normal 61 2 2 2 3 2 7 3" xfId="0"/>
    <cellStyle name="Normal 61 2 2 2 3 2 8" xfId="0"/>
    <cellStyle name="Normal 61 2 2 2 3 2 8 2" xfId="0"/>
    <cellStyle name="Normal 61 2 2 2 3 2 9" xfId="0"/>
    <cellStyle name="Normal 61 2 2 2 3 3" xfId="0"/>
    <cellStyle name="Normal 61 2 2 2 3 3 2" xfId="0"/>
    <cellStyle name="Normal 61 2 2 2 3 3 2 2" xfId="0"/>
    <cellStyle name="Normal 61 2 2 2 3 3 2 2 2" xfId="0"/>
    <cellStyle name="Normal 61 2 2 2 3 3 2 2 2 2" xfId="0"/>
    <cellStyle name="Normal 61 2 2 2 3 3 2 2 2 2 2" xfId="0"/>
    <cellStyle name="Normal 61 2 2 2 3 3 2 2 2 2 2 2" xfId="0"/>
    <cellStyle name="Normal 61 2 2 2 3 3 2 2 2 2 3" xfId="0"/>
    <cellStyle name="Normal 61 2 2 2 3 3 2 2 2 3" xfId="0"/>
    <cellStyle name="Normal 61 2 2 2 3 3 2 2 2 3 2" xfId="0"/>
    <cellStyle name="Normal 61 2 2 2 3 3 2 2 2 3 2 2" xfId="0"/>
    <cellStyle name="Normal 61 2 2 2 3 3 2 2 2 3 3" xfId="0"/>
    <cellStyle name="Normal 61 2 2 2 3 3 2 2 2 4" xfId="0"/>
    <cellStyle name="Normal 61 2 2 2 3 3 2 2 2 4 2" xfId="0"/>
    <cellStyle name="Normal 61 2 2 2 3 3 2 2 2 5" xfId="0"/>
    <cellStyle name="Normal 61 2 2 2 3 3 2 2 3" xfId="0"/>
    <cellStyle name="Normal 61 2 2 2 3 3 2 2 3 2" xfId="0"/>
    <cellStyle name="Normal 61 2 2 2 3 3 2 2 3 2 2" xfId="0"/>
    <cellStyle name="Normal 61 2 2 2 3 3 2 2 3 3" xfId="0"/>
    <cellStyle name="Normal 61 2 2 2 3 3 2 2 4" xfId="0"/>
    <cellStyle name="Normal 61 2 2 2 3 3 2 2 4 2" xfId="0"/>
    <cellStyle name="Normal 61 2 2 2 3 3 2 2 4 2 2" xfId="0"/>
    <cellStyle name="Normal 61 2 2 2 3 3 2 2 4 3" xfId="0"/>
    <cellStyle name="Normal 61 2 2 2 3 3 2 2 5" xfId="0"/>
    <cellStyle name="Normal 61 2 2 2 3 3 2 2 5 2" xfId="0"/>
    <cellStyle name="Normal 61 2 2 2 3 3 2 2 6" xfId="0"/>
    <cellStyle name="Normal 61 2 2 2 3 3 2 3" xfId="0"/>
    <cellStyle name="Normal 61 2 2 2 3 3 2 3 2" xfId="0"/>
    <cellStyle name="Normal 61 2 2 2 3 3 2 3 2 2" xfId="0"/>
    <cellStyle name="Normal 61 2 2 2 3 3 2 3 2 2 2" xfId="0"/>
    <cellStyle name="Normal 61 2 2 2 3 3 2 3 2 3" xfId="0"/>
    <cellStyle name="Normal 61 2 2 2 3 3 2 3 3" xfId="0"/>
    <cellStyle name="Normal 61 2 2 2 3 3 2 3 3 2" xfId="0"/>
    <cellStyle name="Normal 61 2 2 2 3 3 2 3 3 2 2" xfId="0"/>
    <cellStyle name="Normal 61 2 2 2 3 3 2 3 3 3" xfId="0"/>
    <cellStyle name="Normal 61 2 2 2 3 3 2 3 4" xfId="0"/>
    <cellStyle name="Normal 61 2 2 2 3 3 2 3 4 2" xfId="0"/>
    <cellStyle name="Normal 61 2 2 2 3 3 2 3 5" xfId="0"/>
    <cellStyle name="Normal 61 2 2 2 3 3 2 4" xfId="0"/>
    <cellStyle name="Normal 61 2 2 2 3 3 2 4 2" xfId="0"/>
    <cellStyle name="Normal 61 2 2 2 3 3 2 4 2 2" xfId="0"/>
    <cellStyle name="Normal 61 2 2 2 3 3 2 4 3" xfId="0"/>
    <cellStyle name="Normal 61 2 2 2 3 3 2 5" xfId="0"/>
    <cellStyle name="Normal 61 2 2 2 3 3 2 5 2" xfId="0"/>
    <cellStyle name="Normal 61 2 2 2 3 3 2 5 2 2" xfId="0"/>
    <cellStyle name="Normal 61 2 2 2 3 3 2 5 3" xfId="0"/>
    <cellStyle name="Normal 61 2 2 2 3 3 2 6" xfId="0"/>
    <cellStyle name="Normal 61 2 2 2 3 3 2 6 2" xfId="0"/>
    <cellStyle name="Normal 61 2 2 2 3 3 2 7" xfId="0"/>
    <cellStyle name="Normal 61 2 2 2 3 3 3" xfId="0"/>
    <cellStyle name="Normal 61 2 2 2 3 3 3 2" xfId="0"/>
    <cellStyle name="Normal 61 2 2 2 3 3 3 2 2" xfId="0"/>
    <cellStyle name="Normal 61 2 2 2 3 3 3 2 2 2" xfId="0"/>
    <cellStyle name="Normal 61 2 2 2 3 3 3 2 2 2 2" xfId="0"/>
    <cellStyle name="Normal 61 2 2 2 3 3 3 2 2 3" xfId="0"/>
    <cellStyle name="Normal 61 2 2 2 3 3 3 2 3" xfId="0"/>
    <cellStyle name="Normal 61 2 2 2 3 3 3 2 3 2" xfId="0"/>
    <cellStyle name="Normal 61 2 2 2 3 3 3 2 3 2 2" xfId="0"/>
    <cellStyle name="Normal 61 2 2 2 3 3 3 2 3 3" xfId="0"/>
    <cellStyle name="Normal 61 2 2 2 3 3 3 2 4" xfId="0"/>
    <cellStyle name="Normal 61 2 2 2 3 3 3 2 4 2" xfId="0"/>
    <cellStyle name="Normal 61 2 2 2 3 3 3 2 5" xfId="0"/>
    <cellStyle name="Normal 61 2 2 2 3 3 3 3" xfId="0"/>
    <cellStyle name="Normal 61 2 2 2 3 3 3 3 2" xfId="0"/>
    <cellStyle name="Normal 61 2 2 2 3 3 3 3 2 2" xfId="0"/>
    <cellStyle name="Normal 61 2 2 2 3 3 3 3 3" xfId="0"/>
    <cellStyle name="Normal 61 2 2 2 3 3 3 4" xfId="0"/>
    <cellStyle name="Normal 61 2 2 2 3 3 3 4 2" xfId="0"/>
    <cellStyle name="Normal 61 2 2 2 3 3 3 4 2 2" xfId="0"/>
    <cellStyle name="Normal 61 2 2 2 3 3 3 4 3" xfId="0"/>
    <cellStyle name="Normal 61 2 2 2 3 3 3 5" xfId="0"/>
    <cellStyle name="Normal 61 2 2 2 3 3 3 5 2" xfId="0"/>
    <cellStyle name="Normal 61 2 2 2 3 3 3 6" xfId="0"/>
    <cellStyle name="Normal 61 2 2 2 3 3 4" xfId="0"/>
    <cellStyle name="Normal 61 2 2 2 3 3 4 2" xfId="0"/>
    <cellStyle name="Normal 61 2 2 2 3 3 4 2 2" xfId="0"/>
    <cellStyle name="Normal 61 2 2 2 3 3 4 2 2 2" xfId="0"/>
    <cellStyle name="Normal 61 2 2 2 3 3 4 2 3" xfId="0"/>
    <cellStyle name="Normal 61 2 2 2 3 3 4 3" xfId="0"/>
    <cellStyle name="Normal 61 2 2 2 3 3 4 3 2" xfId="0"/>
    <cellStyle name="Normal 61 2 2 2 3 3 4 3 2 2" xfId="0"/>
    <cellStyle name="Normal 61 2 2 2 3 3 4 3 3" xfId="0"/>
    <cellStyle name="Normal 61 2 2 2 3 3 4 4" xfId="0"/>
    <cellStyle name="Normal 61 2 2 2 3 3 4 4 2" xfId="0"/>
    <cellStyle name="Normal 61 2 2 2 3 3 4 5" xfId="0"/>
    <cellStyle name="Normal 61 2 2 2 3 3 5" xfId="0"/>
    <cellStyle name="Normal 61 2 2 2 3 3 5 2" xfId="0"/>
    <cellStyle name="Normal 61 2 2 2 3 3 5 2 2" xfId="0"/>
    <cellStyle name="Normal 61 2 2 2 3 3 5 3" xfId="0"/>
    <cellStyle name="Normal 61 2 2 2 3 3 6" xfId="0"/>
    <cellStyle name="Normal 61 2 2 2 3 3 6 2" xfId="0"/>
    <cellStyle name="Normal 61 2 2 2 3 3 6 2 2" xfId="0"/>
    <cellStyle name="Normal 61 2 2 2 3 3 6 3" xfId="0"/>
    <cellStyle name="Normal 61 2 2 2 3 3 7" xfId="0"/>
    <cellStyle name="Normal 61 2 2 2 3 3 7 2" xfId="0"/>
    <cellStyle name="Normal 61 2 2 2 3 3 8" xfId="0"/>
    <cellStyle name="Normal 61 2 2 2 3 4" xfId="0"/>
    <cellStyle name="Normal 61 2 2 2 3 4 2" xfId="0"/>
    <cellStyle name="Normal 61 2 2 2 3 4 2 2" xfId="0"/>
    <cellStyle name="Normal 61 2 2 2 3 4 2 2 2" xfId="0"/>
    <cellStyle name="Normal 61 2 2 2 3 4 2 2 2 2" xfId="0"/>
    <cellStyle name="Normal 61 2 2 2 3 4 2 2 2 2 2" xfId="0"/>
    <cellStyle name="Normal 61 2 2 2 3 4 2 2 2 3" xfId="0"/>
    <cellStyle name="Normal 61 2 2 2 3 4 2 2 3" xfId="0"/>
    <cellStyle name="Normal 61 2 2 2 3 4 2 2 3 2" xfId="0"/>
    <cellStyle name="Normal 61 2 2 2 3 4 2 2 3 2 2" xfId="0"/>
    <cellStyle name="Normal 61 2 2 2 3 4 2 2 3 3" xfId="0"/>
    <cellStyle name="Normal 61 2 2 2 3 4 2 2 4" xfId="0"/>
    <cellStyle name="Normal 61 2 2 2 3 4 2 2 4 2" xfId="0"/>
    <cellStyle name="Normal 61 2 2 2 3 4 2 2 5" xfId="0"/>
    <cellStyle name="Normal 61 2 2 2 3 4 2 3" xfId="0"/>
    <cellStyle name="Normal 61 2 2 2 3 4 2 3 2" xfId="0"/>
    <cellStyle name="Normal 61 2 2 2 3 4 2 3 2 2" xfId="0"/>
    <cellStyle name="Normal 61 2 2 2 3 4 2 3 3" xfId="0"/>
    <cellStyle name="Normal 61 2 2 2 3 4 2 4" xfId="0"/>
    <cellStyle name="Normal 61 2 2 2 3 4 2 4 2" xfId="0"/>
    <cellStyle name="Normal 61 2 2 2 3 4 2 4 2 2" xfId="0"/>
    <cellStyle name="Normal 61 2 2 2 3 4 2 4 3" xfId="0"/>
    <cellStyle name="Normal 61 2 2 2 3 4 2 5" xfId="0"/>
    <cellStyle name="Normal 61 2 2 2 3 4 2 5 2" xfId="0"/>
    <cellStyle name="Normal 61 2 2 2 3 4 2 6" xfId="0"/>
    <cellStyle name="Normal 61 2 2 2 3 4 3" xfId="0"/>
    <cellStyle name="Normal 61 2 2 2 3 4 3 2" xfId="0"/>
    <cellStyle name="Normal 61 2 2 2 3 4 3 2 2" xfId="0"/>
    <cellStyle name="Normal 61 2 2 2 3 4 3 2 2 2" xfId="0"/>
    <cellStyle name="Normal 61 2 2 2 3 4 3 2 3" xfId="0"/>
    <cellStyle name="Normal 61 2 2 2 3 4 3 3" xfId="0"/>
    <cellStyle name="Normal 61 2 2 2 3 4 3 3 2" xfId="0"/>
    <cellStyle name="Normal 61 2 2 2 3 4 3 3 2 2" xfId="0"/>
    <cellStyle name="Normal 61 2 2 2 3 4 3 3 3" xfId="0"/>
    <cellStyle name="Normal 61 2 2 2 3 4 3 4" xfId="0"/>
    <cellStyle name="Normal 61 2 2 2 3 4 3 4 2" xfId="0"/>
    <cellStyle name="Normal 61 2 2 2 3 4 3 5" xfId="0"/>
    <cellStyle name="Normal 61 2 2 2 3 4 4" xfId="0"/>
    <cellStyle name="Normal 61 2 2 2 3 4 4 2" xfId="0"/>
    <cellStyle name="Normal 61 2 2 2 3 4 4 2 2" xfId="0"/>
    <cellStyle name="Normal 61 2 2 2 3 4 4 3" xfId="0"/>
    <cellStyle name="Normal 61 2 2 2 3 4 5" xfId="0"/>
    <cellStyle name="Normal 61 2 2 2 3 4 5 2" xfId="0"/>
    <cellStyle name="Normal 61 2 2 2 3 4 5 2 2" xfId="0"/>
    <cellStyle name="Normal 61 2 2 2 3 4 5 3" xfId="0"/>
    <cellStyle name="Normal 61 2 2 2 3 4 6" xfId="0"/>
    <cellStyle name="Normal 61 2 2 2 3 4 6 2" xfId="0"/>
    <cellStyle name="Normal 61 2 2 2 3 4 7" xfId="0"/>
    <cellStyle name="Normal 61 2 2 2 3 5" xfId="0"/>
    <cellStyle name="Normal 61 2 2 2 3 5 2" xfId="0"/>
    <cellStyle name="Normal 61 2 2 2 3 5 2 2" xfId="0"/>
    <cellStyle name="Normal 61 2 2 2 3 5 2 2 2" xfId="0"/>
    <cellStyle name="Normal 61 2 2 2 3 5 2 2 2 2" xfId="0"/>
    <cellStyle name="Normal 61 2 2 2 3 5 2 2 3" xfId="0"/>
    <cellStyle name="Normal 61 2 2 2 3 5 2 3" xfId="0"/>
    <cellStyle name="Normal 61 2 2 2 3 5 2 3 2" xfId="0"/>
    <cellStyle name="Normal 61 2 2 2 3 5 2 3 2 2" xfId="0"/>
    <cellStyle name="Normal 61 2 2 2 3 5 2 3 3" xfId="0"/>
    <cellStyle name="Normal 61 2 2 2 3 5 2 4" xfId="0"/>
    <cellStyle name="Normal 61 2 2 2 3 5 2 4 2" xfId="0"/>
    <cellStyle name="Normal 61 2 2 2 3 5 2 5" xfId="0"/>
    <cellStyle name="Normal 61 2 2 2 3 5 3" xfId="0"/>
    <cellStyle name="Normal 61 2 2 2 3 5 3 2" xfId="0"/>
    <cellStyle name="Normal 61 2 2 2 3 5 3 2 2" xfId="0"/>
    <cellStyle name="Normal 61 2 2 2 3 5 3 3" xfId="0"/>
    <cellStyle name="Normal 61 2 2 2 3 5 4" xfId="0"/>
    <cellStyle name="Normal 61 2 2 2 3 5 4 2" xfId="0"/>
    <cellStyle name="Normal 61 2 2 2 3 5 4 2 2" xfId="0"/>
    <cellStyle name="Normal 61 2 2 2 3 5 4 3" xfId="0"/>
    <cellStyle name="Normal 61 2 2 2 3 5 5" xfId="0"/>
    <cellStyle name="Normal 61 2 2 2 3 5 5 2" xfId="0"/>
    <cellStyle name="Normal 61 2 2 2 3 5 6" xfId="0"/>
    <cellStyle name="Normal 61 2 2 2 3 6" xfId="0"/>
    <cellStyle name="Normal 61 2 2 2 3 6 2" xfId="0"/>
    <cellStyle name="Normal 61 2 2 2 3 6 2 2" xfId="0"/>
    <cellStyle name="Normal 61 2 2 2 3 6 2 2 2" xfId="0"/>
    <cellStyle name="Normal 61 2 2 2 3 6 2 3" xfId="0"/>
    <cellStyle name="Normal 61 2 2 2 3 6 3" xfId="0"/>
    <cellStyle name="Normal 61 2 2 2 3 6 3 2" xfId="0"/>
    <cellStyle name="Normal 61 2 2 2 3 6 3 2 2" xfId="0"/>
    <cellStyle name="Normal 61 2 2 2 3 6 3 3" xfId="0"/>
    <cellStyle name="Normal 61 2 2 2 3 6 4" xfId="0"/>
    <cellStyle name="Normal 61 2 2 2 3 6 4 2" xfId="0"/>
    <cellStyle name="Normal 61 2 2 2 3 6 5" xfId="0"/>
    <cellStyle name="Normal 61 2 2 2 3 7" xfId="0"/>
    <cellStyle name="Normal 61 2 2 2 3 7 2" xfId="0"/>
    <cellStyle name="Normal 61 2 2 2 3 7 2 2" xfId="0"/>
    <cellStyle name="Normal 61 2 2 2 3 7 3" xfId="0"/>
    <cellStyle name="Normal 61 2 2 2 3 8" xfId="0"/>
    <cellStyle name="Normal 61 2 2 2 3 8 2" xfId="0"/>
    <cellStyle name="Normal 61 2 2 2 3 8 2 2" xfId="0"/>
    <cellStyle name="Normal 61 2 2 2 3 8 3" xfId="0"/>
    <cellStyle name="Normal 61 2 2 2 3 9" xfId="0"/>
    <cellStyle name="Normal 61 2 2 2 3 9 2" xfId="0"/>
    <cellStyle name="Normal 61 2 2 2 4" xfId="0"/>
    <cellStyle name="Normal 61 2 2 2 4 2" xfId="0"/>
    <cellStyle name="Normal 61 2 2 2 4 2 2" xfId="0"/>
    <cellStyle name="Normal 61 2 2 2 4 2 2 2" xfId="0"/>
    <cellStyle name="Normal 61 2 2 2 4 2 2 2 2" xfId="0"/>
    <cellStyle name="Normal 61 2 2 2 4 2 2 2 2 2" xfId="0"/>
    <cellStyle name="Normal 61 2 2 2 4 2 2 2 2 2 2" xfId="0"/>
    <cellStyle name="Normal 61 2 2 2 4 2 2 2 2 2 2 2" xfId="0"/>
    <cellStyle name="Normal 61 2 2 2 4 2 2 2 2 2 3" xfId="0"/>
    <cellStyle name="Normal 61 2 2 2 4 2 2 2 2 3" xfId="0"/>
    <cellStyle name="Normal 61 2 2 2 4 2 2 2 2 3 2" xfId="0"/>
    <cellStyle name="Normal 61 2 2 2 4 2 2 2 2 3 2 2" xfId="0"/>
    <cellStyle name="Normal 61 2 2 2 4 2 2 2 2 3 3" xfId="0"/>
    <cellStyle name="Normal 61 2 2 2 4 2 2 2 2 4" xfId="0"/>
    <cellStyle name="Normal 61 2 2 2 4 2 2 2 2 4 2" xfId="0"/>
    <cellStyle name="Normal 61 2 2 2 4 2 2 2 2 5" xfId="0"/>
    <cellStyle name="Normal 61 2 2 2 4 2 2 2 3" xfId="0"/>
    <cellStyle name="Normal 61 2 2 2 4 2 2 2 3 2" xfId="0"/>
    <cellStyle name="Normal 61 2 2 2 4 2 2 2 3 2 2" xfId="0"/>
    <cellStyle name="Normal 61 2 2 2 4 2 2 2 3 3" xfId="0"/>
    <cellStyle name="Normal 61 2 2 2 4 2 2 2 4" xfId="0"/>
    <cellStyle name="Normal 61 2 2 2 4 2 2 2 4 2" xfId="0"/>
    <cellStyle name="Normal 61 2 2 2 4 2 2 2 4 2 2" xfId="0"/>
    <cellStyle name="Normal 61 2 2 2 4 2 2 2 4 3" xfId="0"/>
    <cellStyle name="Normal 61 2 2 2 4 2 2 2 5" xfId="0"/>
    <cellStyle name="Normal 61 2 2 2 4 2 2 2 5 2" xfId="0"/>
    <cellStyle name="Normal 61 2 2 2 4 2 2 2 6" xfId="0"/>
    <cellStyle name="Normal 61 2 2 2 4 2 2 3" xfId="0"/>
    <cellStyle name="Normal 61 2 2 2 4 2 2 3 2" xfId="0"/>
    <cellStyle name="Normal 61 2 2 2 4 2 2 3 2 2" xfId="0"/>
    <cellStyle name="Normal 61 2 2 2 4 2 2 3 2 2 2" xfId="0"/>
    <cellStyle name="Normal 61 2 2 2 4 2 2 3 2 3" xfId="0"/>
    <cellStyle name="Normal 61 2 2 2 4 2 2 3 3" xfId="0"/>
    <cellStyle name="Normal 61 2 2 2 4 2 2 3 3 2" xfId="0"/>
    <cellStyle name="Normal 61 2 2 2 4 2 2 3 3 2 2" xfId="0"/>
    <cellStyle name="Normal 61 2 2 2 4 2 2 3 3 3" xfId="0"/>
    <cellStyle name="Normal 61 2 2 2 4 2 2 3 4" xfId="0"/>
    <cellStyle name="Normal 61 2 2 2 4 2 2 3 4 2" xfId="0"/>
    <cellStyle name="Normal 61 2 2 2 4 2 2 3 5" xfId="0"/>
    <cellStyle name="Normal 61 2 2 2 4 2 2 4" xfId="0"/>
    <cellStyle name="Normal 61 2 2 2 4 2 2 4 2" xfId="0"/>
    <cellStyle name="Normal 61 2 2 2 4 2 2 4 2 2" xfId="0"/>
    <cellStyle name="Normal 61 2 2 2 4 2 2 4 3" xfId="0"/>
    <cellStyle name="Normal 61 2 2 2 4 2 2 5" xfId="0"/>
    <cellStyle name="Normal 61 2 2 2 4 2 2 5 2" xfId="0"/>
    <cellStyle name="Normal 61 2 2 2 4 2 2 5 2 2" xfId="0"/>
    <cellStyle name="Normal 61 2 2 2 4 2 2 5 3" xfId="0"/>
    <cellStyle name="Normal 61 2 2 2 4 2 2 6" xfId="0"/>
    <cellStyle name="Normal 61 2 2 2 4 2 2 6 2" xfId="0"/>
    <cellStyle name="Normal 61 2 2 2 4 2 2 7" xfId="0"/>
    <cellStyle name="Normal 61 2 2 2 4 2 3" xfId="0"/>
    <cellStyle name="Normal 61 2 2 2 4 2 3 2" xfId="0"/>
    <cellStyle name="Normal 61 2 2 2 4 2 3 2 2" xfId="0"/>
    <cellStyle name="Normal 61 2 2 2 4 2 3 2 2 2" xfId="0"/>
    <cellStyle name="Normal 61 2 2 2 4 2 3 2 2 2 2" xfId="0"/>
    <cellStyle name="Normal 61 2 2 2 4 2 3 2 2 3" xfId="0"/>
    <cellStyle name="Normal 61 2 2 2 4 2 3 2 3" xfId="0"/>
    <cellStyle name="Normal 61 2 2 2 4 2 3 2 3 2" xfId="0"/>
    <cellStyle name="Normal 61 2 2 2 4 2 3 2 3 2 2" xfId="0"/>
    <cellStyle name="Normal 61 2 2 2 4 2 3 2 3 3" xfId="0"/>
    <cellStyle name="Normal 61 2 2 2 4 2 3 2 4" xfId="0"/>
    <cellStyle name="Normal 61 2 2 2 4 2 3 2 4 2" xfId="0"/>
    <cellStyle name="Normal 61 2 2 2 4 2 3 2 5" xfId="0"/>
    <cellStyle name="Normal 61 2 2 2 4 2 3 3" xfId="0"/>
    <cellStyle name="Normal 61 2 2 2 4 2 3 3 2" xfId="0"/>
    <cellStyle name="Normal 61 2 2 2 4 2 3 3 2 2" xfId="0"/>
    <cellStyle name="Normal 61 2 2 2 4 2 3 3 3" xfId="0"/>
    <cellStyle name="Normal 61 2 2 2 4 2 3 4" xfId="0"/>
    <cellStyle name="Normal 61 2 2 2 4 2 3 4 2" xfId="0"/>
    <cellStyle name="Normal 61 2 2 2 4 2 3 4 2 2" xfId="0"/>
    <cellStyle name="Normal 61 2 2 2 4 2 3 4 3" xfId="0"/>
    <cellStyle name="Normal 61 2 2 2 4 2 3 5" xfId="0"/>
    <cellStyle name="Normal 61 2 2 2 4 2 3 5 2" xfId="0"/>
    <cellStyle name="Normal 61 2 2 2 4 2 3 6" xfId="0"/>
    <cellStyle name="Normal 61 2 2 2 4 2 4" xfId="0"/>
    <cellStyle name="Normal 61 2 2 2 4 2 4 2" xfId="0"/>
    <cellStyle name="Normal 61 2 2 2 4 2 4 2 2" xfId="0"/>
    <cellStyle name="Normal 61 2 2 2 4 2 4 2 2 2" xfId="0"/>
    <cellStyle name="Normal 61 2 2 2 4 2 4 2 3" xfId="0"/>
    <cellStyle name="Normal 61 2 2 2 4 2 4 3" xfId="0"/>
    <cellStyle name="Normal 61 2 2 2 4 2 4 3 2" xfId="0"/>
    <cellStyle name="Normal 61 2 2 2 4 2 4 3 2 2" xfId="0"/>
    <cellStyle name="Normal 61 2 2 2 4 2 4 3 3" xfId="0"/>
    <cellStyle name="Normal 61 2 2 2 4 2 4 4" xfId="0"/>
    <cellStyle name="Normal 61 2 2 2 4 2 4 4 2" xfId="0"/>
    <cellStyle name="Normal 61 2 2 2 4 2 4 5" xfId="0"/>
    <cellStyle name="Normal 61 2 2 2 4 2 5" xfId="0"/>
    <cellStyle name="Normal 61 2 2 2 4 2 5 2" xfId="0"/>
    <cellStyle name="Normal 61 2 2 2 4 2 5 2 2" xfId="0"/>
    <cellStyle name="Normal 61 2 2 2 4 2 5 3" xfId="0"/>
    <cellStyle name="Normal 61 2 2 2 4 2 6" xfId="0"/>
    <cellStyle name="Normal 61 2 2 2 4 2 6 2" xfId="0"/>
    <cellStyle name="Normal 61 2 2 2 4 2 6 2 2" xfId="0"/>
    <cellStyle name="Normal 61 2 2 2 4 2 6 3" xfId="0"/>
    <cellStyle name="Normal 61 2 2 2 4 2 7" xfId="0"/>
    <cellStyle name="Normal 61 2 2 2 4 2 7 2" xfId="0"/>
    <cellStyle name="Normal 61 2 2 2 4 2 8" xfId="0"/>
    <cellStyle name="Normal 61 2 2 2 4 3" xfId="0"/>
    <cellStyle name="Normal 61 2 2 2 4 3 2" xfId="0"/>
    <cellStyle name="Normal 61 2 2 2 4 3 2 2" xfId="0"/>
    <cellStyle name="Normal 61 2 2 2 4 3 2 2 2" xfId="0"/>
    <cellStyle name="Normal 61 2 2 2 4 3 2 2 2 2" xfId="0"/>
    <cellStyle name="Normal 61 2 2 2 4 3 2 2 2 2 2" xfId="0"/>
    <cellStyle name="Normal 61 2 2 2 4 3 2 2 2 3" xfId="0"/>
    <cellStyle name="Normal 61 2 2 2 4 3 2 2 3" xfId="0"/>
    <cellStyle name="Normal 61 2 2 2 4 3 2 2 3 2" xfId="0"/>
    <cellStyle name="Normal 61 2 2 2 4 3 2 2 3 2 2" xfId="0"/>
    <cellStyle name="Normal 61 2 2 2 4 3 2 2 3 3" xfId="0"/>
    <cellStyle name="Normal 61 2 2 2 4 3 2 2 4" xfId="0"/>
    <cellStyle name="Normal 61 2 2 2 4 3 2 2 4 2" xfId="0"/>
    <cellStyle name="Normal 61 2 2 2 4 3 2 2 5" xfId="0"/>
    <cellStyle name="Normal 61 2 2 2 4 3 2 3" xfId="0"/>
    <cellStyle name="Normal 61 2 2 2 4 3 2 3 2" xfId="0"/>
    <cellStyle name="Normal 61 2 2 2 4 3 2 3 2 2" xfId="0"/>
    <cellStyle name="Normal 61 2 2 2 4 3 2 3 3" xfId="0"/>
    <cellStyle name="Normal 61 2 2 2 4 3 2 4" xfId="0"/>
    <cellStyle name="Normal 61 2 2 2 4 3 2 4 2" xfId="0"/>
    <cellStyle name="Normal 61 2 2 2 4 3 2 4 2 2" xfId="0"/>
    <cellStyle name="Normal 61 2 2 2 4 3 2 4 3" xfId="0"/>
    <cellStyle name="Normal 61 2 2 2 4 3 2 5" xfId="0"/>
    <cellStyle name="Normal 61 2 2 2 4 3 2 5 2" xfId="0"/>
    <cellStyle name="Normal 61 2 2 2 4 3 2 6" xfId="0"/>
    <cellStyle name="Normal 61 2 2 2 4 3 3" xfId="0"/>
    <cellStyle name="Normal 61 2 2 2 4 3 3 2" xfId="0"/>
    <cellStyle name="Normal 61 2 2 2 4 3 3 2 2" xfId="0"/>
    <cellStyle name="Normal 61 2 2 2 4 3 3 2 2 2" xfId="0"/>
    <cellStyle name="Normal 61 2 2 2 4 3 3 2 3" xfId="0"/>
    <cellStyle name="Normal 61 2 2 2 4 3 3 3" xfId="0"/>
    <cellStyle name="Normal 61 2 2 2 4 3 3 3 2" xfId="0"/>
    <cellStyle name="Normal 61 2 2 2 4 3 3 3 2 2" xfId="0"/>
    <cellStyle name="Normal 61 2 2 2 4 3 3 3 3" xfId="0"/>
    <cellStyle name="Normal 61 2 2 2 4 3 3 4" xfId="0"/>
    <cellStyle name="Normal 61 2 2 2 4 3 3 4 2" xfId="0"/>
    <cellStyle name="Normal 61 2 2 2 4 3 3 5" xfId="0"/>
    <cellStyle name="Normal 61 2 2 2 4 3 4" xfId="0"/>
    <cellStyle name="Normal 61 2 2 2 4 3 4 2" xfId="0"/>
    <cellStyle name="Normal 61 2 2 2 4 3 4 2 2" xfId="0"/>
    <cellStyle name="Normal 61 2 2 2 4 3 4 3" xfId="0"/>
    <cellStyle name="Normal 61 2 2 2 4 3 5" xfId="0"/>
    <cellStyle name="Normal 61 2 2 2 4 3 5 2" xfId="0"/>
    <cellStyle name="Normal 61 2 2 2 4 3 5 2 2" xfId="0"/>
    <cellStyle name="Normal 61 2 2 2 4 3 5 3" xfId="0"/>
    <cellStyle name="Normal 61 2 2 2 4 3 6" xfId="0"/>
    <cellStyle name="Normal 61 2 2 2 4 3 6 2" xfId="0"/>
    <cellStyle name="Normal 61 2 2 2 4 3 7" xfId="0"/>
    <cellStyle name="Normal 61 2 2 2 4 4" xfId="0"/>
    <cellStyle name="Normal 61 2 2 2 4 4 2" xfId="0"/>
    <cellStyle name="Normal 61 2 2 2 4 4 2 2" xfId="0"/>
    <cellStyle name="Normal 61 2 2 2 4 4 2 2 2" xfId="0"/>
    <cellStyle name="Normal 61 2 2 2 4 4 2 2 2 2" xfId="0"/>
    <cellStyle name="Normal 61 2 2 2 4 4 2 2 3" xfId="0"/>
    <cellStyle name="Normal 61 2 2 2 4 4 2 3" xfId="0"/>
    <cellStyle name="Normal 61 2 2 2 4 4 2 3 2" xfId="0"/>
    <cellStyle name="Normal 61 2 2 2 4 4 2 3 2 2" xfId="0"/>
    <cellStyle name="Normal 61 2 2 2 4 4 2 3 3" xfId="0"/>
    <cellStyle name="Normal 61 2 2 2 4 4 2 4" xfId="0"/>
    <cellStyle name="Normal 61 2 2 2 4 4 2 4 2" xfId="0"/>
    <cellStyle name="Normal 61 2 2 2 4 4 2 5" xfId="0"/>
    <cellStyle name="Normal 61 2 2 2 4 4 3" xfId="0"/>
    <cellStyle name="Normal 61 2 2 2 4 4 3 2" xfId="0"/>
    <cellStyle name="Normal 61 2 2 2 4 4 3 2 2" xfId="0"/>
    <cellStyle name="Normal 61 2 2 2 4 4 3 3" xfId="0"/>
    <cellStyle name="Normal 61 2 2 2 4 4 4" xfId="0"/>
    <cellStyle name="Normal 61 2 2 2 4 4 4 2" xfId="0"/>
    <cellStyle name="Normal 61 2 2 2 4 4 4 2 2" xfId="0"/>
    <cellStyle name="Normal 61 2 2 2 4 4 4 3" xfId="0"/>
    <cellStyle name="Normal 61 2 2 2 4 4 5" xfId="0"/>
    <cellStyle name="Normal 61 2 2 2 4 4 5 2" xfId="0"/>
    <cellStyle name="Normal 61 2 2 2 4 4 6" xfId="0"/>
    <cellStyle name="Normal 61 2 2 2 4 5" xfId="0"/>
    <cellStyle name="Normal 61 2 2 2 4 5 2" xfId="0"/>
    <cellStyle name="Normal 61 2 2 2 4 5 2 2" xfId="0"/>
    <cellStyle name="Normal 61 2 2 2 4 5 2 2 2" xfId="0"/>
    <cellStyle name="Normal 61 2 2 2 4 5 2 3" xfId="0"/>
    <cellStyle name="Normal 61 2 2 2 4 5 3" xfId="0"/>
    <cellStyle name="Normal 61 2 2 2 4 5 3 2" xfId="0"/>
    <cellStyle name="Normal 61 2 2 2 4 5 3 2 2" xfId="0"/>
    <cellStyle name="Normal 61 2 2 2 4 5 3 3" xfId="0"/>
    <cellStyle name="Normal 61 2 2 2 4 5 4" xfId="0"/>
    <cellStyle name="Normal 61 2 2 2 4 5 4 2" xfId="0"/>
    <cellStyle name="Normal 61 2 2 2 4 5 5" xfId="0"/>
    <cellStyle name="Normal 61 2 2 2 4 6" xfId="0"/>
    <cellStyle name="Normal 61 2 2 2 4 6 2" xfId="0"/>
    <cellStyle name="Normal 61 2 2 2 4 6 2 2" xfId="0"/>
    <cellStyle name="Normal 61 2 2 2 4 6 3" xfId="0"/>
    <cellStyle name="Normal 61 2 2 2 4 7" xfId="0"/>
    <cellStyle name="Normal 61 2 2 2 4 7 2" xfId="0"/>
    <cellStyle name="Normal 61 2 2 2 4 7 2 2" xfId="0"/>
    <cellStyle name="Normal 61 2 2 2 4 7 3" xfId="0"/>
    <cellStyle name="Normal 61 2 2 2 4 8" xfId="0"/>
    <cellStyle name="Normal 61 2 2 2 4 8 2" xfId="0"/>
    <cellStyle name="Normal 61 2 2 2 4 9" xfId="0"/>
    <cellStyle name="Normal 61 2 2 2 5" xfId="0"/>
    <cellStyle name="Normal 61 2 2 2 5 2" xfId="0"/>
    <cellStyle name="Normal 61 2 2 2 5 2 2" xfId="0"/>
    <cellStyle name="Normal 61 2 2 2 5 2 2 2" xfId="0"/>
    <cellStyle name="Normal 61 2 2 2 5 2 2 2 2" xfId="0"/>
    <cellStyle name="Normal 61 2 2 2 5 2 2 2 2 2" xfId="0"/>
    <cellStyle name="Normal 61 2 2 2 5 2 2 2 2 2 2" xfId="0"/>
    <cellStyle name="Normal 61 2 2 2 5 2 2 2 2 3" xfId="0"/>
    <cellStyle name="Normal 61 2 2 2 5 2 2 2 3" xfId="0"/>
    <cellStyle name="Normal 61 2 2 2 5 2 2 2 3 2" xfId="0"/>
    <cellStyle name="Normal 61 2 2 2 5 2 2 2 3 2 2" xfId="0"/>
    <cellStyle name="Normal 61 2 2 2 5 2 2 2 3 3" xfId="0"/>
    <cellStyle name="Normal 61 2 2 2 5 2 2 2 4" xfId="0"/>
    <cellStyle name="Normal 61 2 2 2 5 2 2 2 4 2" xfId="0"/>
    <cellStyle name="Normal 61 2 2 2 5 2 2 2 5" xfId="0"/>
    <cellStyle name="Normal 61 2 2 2 5 2 2 3" xfId="0"/>
    <cellStyle name="Normal 61 2 2 2 5 2 2 3 2" xfId="0"/>
    <cellStyle name="Normal 61 2 2 2 5 2 2 3 2 2" xfId="0"/>
    <cellStyle name="Normal 61 2 2 2 5 2 2 3 3" xfId="0"/>
    <cellStyle name="Normal 61 2 2 2 5 2 2 4" xfId="0"/>
    <cellStyle name="Normal 61 2 2 2 5 2 2 4 2" xfId="0"/>
    <cellStyle name="Normal 61 2 2 2 5 2 2 4 2 2" xfId="0"/>
    <cellStyle name="Normal 61 2 2 2 5 2 2 4 3" xfId="0"/>
    <cellStyle name="Normal 61 2 2 2 5 2 2 5" xfId="0"/>
    <cellStyle name="Normal 61 2 2 2 5 2 2 5 2" xfId="0"/>
    <cellStyle name="Normal 61 2 2 2 5 2 2 6" xfId="0"/>
    <cellStyle name="Normal 61 2 2 2 5 2 3" xfId="0"/>
    <cellStyle name="Normal 61 2 2 2 5 2 3 2" xfId="0"/>
    <cellStyle name="Normal 61 2 2 2 5 2 3 2 2" xfId="0"/>
    <cellStyle name="Normal 61 2 2 2 5 2 3 2 2 2" xfId="0"/>
    <cellStyle name="Normal 61 2 2 2 5 2 3 2 3" xfId="0"/>
    <cellStyle name="Normal 61 2 2 2 5 2 3 3" xfId="0"/>
    <cellStyle name="Normal 61 2 2 2 5 2 3 3 2" xfId="0"/>
    <cellStyle name="Normal 61 2 2 2 5 2 3 3 2 2" xfId="0"/>
    <cellStyle name="Normal 61 2 2 2 5 2 3 3 3" xfId="0"/>
    <cellStyle name="Normal 61 2 2 2 5 2 3 4" xfId="0"/>
    <cellStyle name="Normal 61 2 2 2 5 2 3 4 2" xfId="0"/>
    <cellStyle name="Normal 61 2 2 2 5 2 3 5" xfId="0"/>
    <cellStyle name="Normal 61 2 2 2 5 2 4" xfId="0"/>
    <cellStyle name="Normal 61 2 2 2 5 2 4 2" xfId="0"/>
    <cellStyle name="Normal 61 2 2 2 5 2 4 2 2" xfId="0"/>
    <cellStyle name="Normal 61 2 2 2 5 2 4 3" xfId="0"/>
    <cellStyle name="Normal 61 2 2 2 5 2 5" xfId="0"/>
    <cellStyle name="Normal 61 2 2 2 5 2 5 2" xfId="0"/>
    <cellStyle name="Normal 61 2 2 2 5 2 5 2 2" xfId="0"/>
    <cellStyle name="Normal 61 2 2 2 5 2 5 3" xfId="0"/>
    <cellStyle name="Normal 61 2 2 2 5 2 6" xfId="0"/>
    <cellStyle name="Normal 61 2 2 2 5 2 6 2" xfId="0"/>
    <cellStyle name="Normal 61 2 2 2 5 2 7" xfId="0"/>
    <cellStyle name="Normal 61 2 2 2 5 3" xfId="0"/>
    <cellStyle name="Normal 61 2 2 2 5 3 2" xfId="0"/>
    <cellStyle name="Normal 61 2 2 2 5 3 2 2" xfId="0"/>
    <cellStyle name="Normal 61 2 2 2 5 3 2 2 2" xfId="0"/>
    <cellStyle name="Normal 61 2 2 2 5 3 2 2 2 2" xfId="0"/>
    <cellStyle name="Normal 61 2 2 2 5 3 2 2 3" xfId="0"/>
    <cellStyle name="Normal 61 2 2 2 5 3 2 3" xfId="0"/>
    <cellStyle name="Normal 61 2 2 2 5 3 2 3 2" xfId="0"/>
    <cellStyle name="Normal 61 2 2 2 5 3 2 3 2 2" xfId="0"/>
    <cellStyle name="Normal 61 2 2 2 5 3 2 3 3" xfId="0"/>
    <cellStyle name="Normal 61 2 2 2 5 3 2 4" xfId="0"/>
    <cellStyle name="Normal 61 2 2 2 5 3 2 4 2" xfId="0"/>
    <cellStyle name="Normal 61 2 2 2 5 3 2 5" xfId="0"/>
    <cellStyle name="Normal 61 2 2 2 5 3 3" xfId="0"/>
    <cellStyle name="Normal 61 2 2 2 5 3 3 2" xfId="0"/>
    <cellStyle name="Normal 61 2 2 2 5 3 3 2 2" xfId="0"/>
    <cellStyle name="Normal 61 2 2 2 5 3 3 3" xfId="0"/>
    <cellStyle name="Normal 61 2 2 2 5 3 4" xfId="0"/>
    <cellStyle name="Normal 61 2 2 2 5 3 4 2" xfId="0"/>
    <cellStyle name="Normal 61 2 2 2 5 3 4 2 2" xfId="0"/>
    <cellStyle name="Normal 61 2 2 2 5 3 4 3" xfId="0"/>
    <cellStyle name="Normal 61 2 2 2 5 3 5" xfId="0"/>
    <cellStyle name="Normal 61 2 2 2 5 3 5 2" xfId="0"/>
    <cellStyle name="Normal 61 2 2 2 5 3 6" xfId="0"/>
    <cellStyle name="Normal 61 2 2 2 5 4" xfId="0"/>
    <cellStyle name="Normal 61 2 2 2 5 4 2" xfId="0"/>
    <cellStyle name="Normal 61 2 2 2 5 4 2 2" xfId="0"/>
    <cellStyle name="Normal 61 2 2 2 5 4 2 2 2" xfId="0"/>
    <cellStyle name="Normal 61 2 2 2 5 4 2 3" xfId="0"/>
    <cellStyle name="Normal 61 2 2 2 5 4 3" xfId="0"/>
    <cellStyle name="Normal 61 2 2 2 5 4 3 2" xfId="0"/>
    <cellStyle name="Normal 61 2 2 2 5 4 3 2 2" xfId="0"/>
    <cellStyle name="Normal 61 2 2 2 5 4 3 3" xfId="0"/>
    <cellStyle name="Normal 61 2 2 2 5 4 4" xfId="0"/>
    <cellStyle name="Normal 61 2 2 2 5 4 4 2" xfId="0"/>
    <cellStyle name="Normal 61 2 2 2 5 4 5" xfId="0"/>
    <cellStyle name="Normal 61 2 2 2 5 5" xfId="0"/>
    <cellStyle name="Normal 61 2 2 2 5 5 2" xfId="0"/>
    <cellStyle name="Normal 61 2 2 2 5 5 2 2" xfId="0"/>
    <cellStyle name="Normal 61 2 2 2 5 5 3" xfId="0"/>
    <cellStyle name="Normal 61 2 2 2 5 6" xfId="0"/>
    <cellStyle name="Normal 61 2 2 2 5 6 2" xfId="0"/>
    <cellStyle name="Normal 61 2 2 2 5 6 2 2" xfId="0"/>
    <cellStyle name="Normal 61 2 2 2 5 6 3" xfId="0"/>
    <cellStyle name="Normal 61 2 2 2 5 7" xfId="0"/>
    <cellStyle name="Normal 61 2 2 2 5 7 2" xfId="0"/>
    <cellStyle name="Normal 61 2 2 2 5 8" xfId="0"/>
    <cellStyle name="Normal 61 2 2 2 6" xfId="0"/>
    <cellStyle name="Normal 61 2 2 2 6 2" xfId="0"/>
    <cellStyle name="Normal 61 2 2 2 6 2 2" xfId="0"/>
    <cellStyle name="Normal 61 2 2 2 6 2 2 2" xfId="0"/>
    <cellStyle name="Normal 61 2 2 2 6 2 2 2 2" xfId="0"/>
    <cellStyle name="Normal 61 2 2 2 6 2 2 2 2 2" xfId="0"/>
    <cellStyle name="Normal 61 2 2 2 6 2 2 2 3" xfId="0"/>
    <cellStyle name="Normal 61 2 2 2 6 2 2 3" xfId="0"/>
    <cellStyle name="Normal 61 2 2 2 6 2 2 3 2" xfId="0"/>
    <cellStyle name="Normal 61 2 2 2 6 2 2 3 2 2" xfId="0"/>
    <cellStyle name="Normal 61 2 2 2 6 2 2 3 3" xfId="0"/>
    <cellStyle name="Normal 61 2 2 2 6 2 2 4" xfId="0"/>
    <cellStyle name="Normal 61 2 2 2 6 2 2 4 2" xfId="0"/>
    <cellStyle name="Normal 61 2 2 2 6 2 2 5" xfId="0"/>
    <cellStyle name="Normal 61 2 2 2 6 2 3" xfId="0"/>
    <cellStyle name="Normal 61 2 2 2 6 2 3 2" xfId="0"/>
    <cellStyle name="Normal 61 2 2 2 6 2 3 2 2" xfId="0"/>
    <cellStyle name="Normal 61 2 2 2 6 2 3 3" xfId="0"/>
    <cellStyle name="Normal 61 2 2 2 6 2 4" xfId="0"/>
    <cellStyle name="Normal 61 2 2 2 6 2 4 2" xfId="0"/>
    <cellStyle name="Normal 61 2 2 2 6 2 4 2 2" xfId="0"/>
    <cellStyle name="Normal 61 2 2 2 6 2 4 3" xfId="0"/>
    <cellStyle name="Normal 61 2 2 2 6 2 5" xfId="0"/>
    <cellStyle name="Normal 61 2 2 2 6 2 5 2" xfId="0"/>
    <cellStyle name="Normal 61 2 2 2 6 2 6" xfId="0"/>
    <cellStyle name="Normal 61 2 2 2 6 3" xfId="0"/>
    <cellStyle name="Normal 61 2 2 2 6 3 2" xfId="0"/>
    <cellStyle name="Normal 61 2 2 2 6 3 2 2" xfId="0"/>
    <cellStyle name="Normal 61 2 2 2 6 3 2 2 2" xfId="0"/>
    <cellStyle name="Normal 61 2 2 2 6 3 2 3" xfId="0"/>
    <cellStyle name="Normal 61 2 2 2 6 3 3" xfId="0"/>
    <cellStyle name="Normal 61 2 2 2 6 3 3 2" xfId="0"/>
    <cellStyle name="Normal 61 2 2 2 6 3 3 2 2" xfId="0"/>
    <cellStyle name="Normal 61 2 2 2 6 3 3 3" xfId="0"/>
    <cellStyle name="Normal 61 2 2 2 6 3 4" xfId="0"/>
    <cellStyle name="Normal 61 2 2 2 6 3 4 2" xfId="0"/>
    <cellStyle name="Normal 61 2 2 2 6 3 5" xfId="0"/>
    <cellStyle name="Normal 61 2 2 2 6 4" xfId="0"/>
    <cellStyle name="Normal 61 2 2 2 6 4 2" xfId="0"/>
    <cellStyle name="Normal 61 2 2 2 6 4 2 2" xfId="0"/>
    <cellStyle name="Normal 61 2 2 2 6 4 3" xfId="0"/>
    <cellStyle name="Normal 61 2 2 2 6 5" xfId="0"/>
    <cellStyle name="Normal 61 2 2 2 6 5 2" xfId="0"/>
    <cellStyle name="Normal 61 2 2 2 6 5 2 2" xfId="0"/>
    <cellStyle name="Normal 61 2 2 2 6 5 3" xfId="0"/>
    <cellStyle name="Normal 61 2 2 2 6 6" xfId="0"/>
    <cellStyle name="Normal 61 2 2 2 6 6 2" xfId="0"/>
    <cellStyle name="Normal 61 2 2 2 6 7" xfId="0"/>
    <cellStyle name="Normal 61 2 2 2 7" xfId="0"/>
    <cellStyle name="Normal 61 2 2 2 7 2" xfId="0"/>
    <cellStyle name="Normal 61 2 2 2 7 2 2" xfId="0"/>
    <cellStyle name="Normal 61 2 2 2 7 2 2 2" xfId="0"/>
    <cellStyle name="Normal 61 2 2 2 7 2 2 2 2" xfId="0"/>
    <cellStyle name="Normal 61 2 2 2 7 2 2 3" xfId="0"/>
    <cellStyle name="Normal 61 2 2 2 7 2 3" xfId="0"/>
    <cellStyle name="Normal 61 2 2 2 7 2 3 2" xfId="0"/>
    <cellStyle name="Normal 61 2 2 2 7 2 3 2 2" xfId="0"/>
    <cellStyle name="Normal 61 2 2 2 7 2 3 3" xfId="0"/>
    <cellStyle name="Normal 61 2 2 2 7 2 4" xfId="0"/>
    <cellStyle name="Normal 61 2 2 2 7 2 4 2" xfId="0"/>
    <cellStyle name="Normal 61 2 2 2 7 2 5" xfId="0"/>
    <cellStyle name="Normal 61 2 2 2 7 3" xfId="0"/>
    <cellStyle name="Normal 61 2 2 2 7 3 2" xfId="0"/>
    <cellStyle name="Normal 61 2 2 2 7 3 2 2" xfId="0"/>
    <cellStyle name="Normal 61 2 2 2 7 3 3" xfId="0"/>
    <cellStyle name="Normal 61 2 2 2 7 4" xfId="0"/>
    <cellStyle name="Normal 61 2 2 2 7 4 2" xfId="0"/>
    <cellStyle name="Normal 61 2 2 2 7 4 2 2" xfId="0"/>
    <cellStyle name="Normal 61 2 2 2 7 4 3" xfId="0"/>
    <cellStyle name="Normal 61 2 2 2 7 5" xfId="0"/>
    <cellStyle name="Normal 61 2 2 2 7 5 2" xfId="0"/>
    <cellStyle name="Normal 61 2 2 2 7 6" xfId="0"/>
    <cellStyle name="Normal 61 2 2 2 8" xfId="0"/>
    <cellStyle name="Normal 61 2 2 2 8 2" xfId="0"/>
    <cellStyle name="Normal 61 2 2 2 8 2 2" xfId="0"/>
    <cellStyle name="Normal 61 2 2 2 8 2 2 2" xfId="0"/>
    <cellStyle name="Normal 61 2 2 2 8 2 3" xfId="0"/>
    <cellStyle name="Normal 61 2 2 2 8 3" xfId="0"/>
    <cellStyle name="Normal 61 2 2 2 8 3 2" xfId="0"/>
    <cellStyle name="Normal 61 2 2 2 8 3 2 2" xfId="0"/>
    <cellStyle name="Normal 61 2 2 2 8 3 3" xfId="0"/>
    <cellStyle name="Normal 61 2 2 2 8 4" xfId="0"/>
    <cellStyle name="Normal 61 2 2 2 8 4 2" xfId="0"/>
    <cellStyle name="Normal 61 2 2 2 8 5" xfId="0"/>
    <cellStyle name="Normal 61 2 2 2 9" xfId="0"/>
    <cellStyle name="Normal 61 2 2 2 9 2" xfId="0"/>
    <cellStyle name="Normal 61 2 2 2 9 2 2" xfId="0"/>
    <cellStyle name="Normal 61 2 2 2 9 3" xfId="0"/>
    <cellStyle name="Normal 61 2 2 3" xfId="0"/>
    <cellStyle name="Normal 61 2 2 3 10" xfId="0"/>
    <cellStyle name="Normal 61 2 2 3 2" xfId="0"/>
    <cellStyle name="Normal 61 2 2 3 2 2" xfId="0"/>
    <cellStyle name="Normal 61 2 2 3 2 2 2" xfId="0"/>
    <cellStyle name="Normal 61 2 2 3 2 2 2 2" xfId="0"/>
    <cellStyle name="Normal 61 2 2 3 2 2 2 2 2" xfId="0"/>
    <cellStyle name="Normal 61 2 2 3 2 2 2 2 2 2" xfId="0"/>
    <cellStyle name="Normal 61 2 2 3 2 2 2 2 2 2 2" xfId="0"/>
    <cellStyle name="Normal 61 2 2 3 2 2 2 2 2 2 2 2" xfId="0"/>
    <cellStyle name="Normal 61 2 2 3 2 2 2 2 2 2 3" xfId="0"/>
    <cellStyle name="Normal 61 2 2 3 2 2 2 2 2 3" xfId="0"/>
    <cellStyle name="Normal 61 2 2 3 2 2 2 2 2 3 2" xfId="0"/>
    <cellStyle name="Normal 61 2 2 3 2 2 2 2 2 3 2 2" xfId="0"/>
    <cellStyle name="Normal 61 2 2 3 2 2 2 2 2 3 3" xfId="0"/>
    <cellStyle name="Normal 61 2 2 3 2 2 2 2 2 4" xfId="0"/>
    <cellStyle name="Normal 61 2 2 3 2 2 2 2 2 4 2" xfId="0"/>
    <cellStyle name="Normal 61 2 2 3 2 2 2 2 2 5" xfId="0"/>
    <cellStyle name="Normal 61 2 2 3 2 2 2 2 3" xfId="0"/>
    <cellStyle name="Normal 61 2 2 3 2 2 2 2 3 2" xfId="0"/>
    <cellStyle name="Normal 61 2 2 3 2 2 2 2 3 2 2" xfId="0"/>
    <cellStyle name="Normal 61 2 2 3 2 2 2 2 3 3" xfId="0"/>
    <cellStyle name="Normal 61 2 2 3 2 2 2 2 4" xfId="0"/>
    <cellStyle name="Normal 61 2 2 3 2 2 2 2 4 2" xfId="0"/>
    <cellStyle name="Normal 61 2 2 3 2 2 2 2 4 2 2" xfId="0"/>
    <cellStyle name="Normal 61 2 2 3 2 2 2 2 4 3" xfId="0"/>
    <cellStyle name="Normal 61 2 2 3 2 2 2 2 5" xfId="0"/>
    <cellStyle name="Normal 61 2 2 3 2 2 2 2 5 2" xfId="0"/>
    <cellStyle name="Normal 61 2 2 3 2 2 2 2 6" xfId="0"/>
    <cellStyle name="Normal 61 2 2 3 2 2 2 3" xfId="0"/>
    <cellStyle name="Normal 61 2 2 3 2 2 2 3 2" xfId="0"/>
    <cellStyle name="Normal 61 2 2 3 2 2 2 3 2 2" xfId="0"/>
    <cellStyle name="Normal 61 2 2 3 2 2 2 3 2 2 2" xfId="0"/>
    <cellStyle name="Normal 61 2 2 3 2 2 2 3 2 3" xfId="0"/>
    <cellStyle name="Normal 61 2 2 3 2 2 2 3 3" xfId="0"/>
    <cellStyle name="Normal 61 2 2 3 2 2 2 3 3 2" xfId="0"/>
    <cellStyle name="Normal 61 2 2 3 2 2 2 3 3 2 2" xfId="0"/>
    <cellStyle name="Normal 61 2 2 3 2 2 2 3 3 3" xfId="0"/>
    <cellStyle name="Normal 61 2 2 3 2 2 2 3 4" xfId="0"/>
    <cellStyle name="Normal 61 2 2 3 2 2 2 3 4 2" xfId="0"/>
    <cellStyle name="Normal 61 2 2 3 2 2 2 3 5" xfId="0"/>
    <cellStyle name="Normal 61 2 2 3 2 2 2 4" xfId="0"/>
    <cellStyle name="Normal 61 2 2 3 2 2 2 4 2" xfId="0"/>
    <cellStyle name="Normal 61 2 2 3 2 2 2 4 2 2" xfId="0"/>
    <cellStyle name="Normal 61 2 2 3 2 2 2 4 3" xfId="0"/>
    <cellStyle name="Normal 61 2 2 3 2 2 2 5" xfId="0"/>
    <cellStyle name="Normal 61 2 2 3 2 2 2 5 2" xfId="0"/>
    <cellStyle name="Normal 61 2 2 3 2 2 2 5 2 2" xfId="0"/>
    <cellStyle name="Normal 61 2 2 3 2 2 2 5 3" xfId="0"/>
    <cellStyle name="Normal 61 2 2 3 2 2 2 6" xfId="0"/>
    <cellStyle name="Normal 61 2 2 3 2 2 2 6 2" xfId="0"/>
    <cellStyle name="Normal 61 2 2 3 2 2 2 7" xfId="0"/>
    <cellStyle name="Normal 61 2 2 3 2 2 3" xfId="0"/>
    <cellStyle name="Normal 61 2 2 3 2 2 3 2" xfId="0"/>
    <cellStyle name="Normal 61 2 2 3 2 2 3 2 2" xfId="0"/>
    <cellStyle name="Normal 61 2 2 3 2 2 3 2 2 2" xfId="0"/>
    <cellStyle name="Normal 61 2 2 3 2 2 3 2 2 2 2" xfId="0"/>
    <cellStyle name="Normal 61 2 2 3 2 2 3 2 2 3" xfId="0"/>
    <cellStyle name="Normal 61 2 2 3 2 2 3 2 3" xfId="0"/>
    <cellStyle name="Normal 61 2 2 3 2 2 3 2 3 2" xfId="0"/>
    <cellStyle name="Normal 61 2 2 3 2 2 3 2 3 2 2" xfId="0"/>
    <cellStyle name="Normal 61 2 2 3 2 2 3 2 3 3" xfId="0"/>
    <cellStyle name="Normal 61 2 2 3 2 2 3 2 4" xfId="0"/>
    <cellStyle name="Normal 61 2 2 3 2 2 3 2 4 2" xfId="0"/>
    <cellStyle name="Normal 61 2 2 3 2 2 3 2 5" xfId="0"/>
    <cellStyle name="Normal 61 2 2 3 2 2 3 3" xfId="0"/>
    <cellStyle name="Normal 61 2 2 3 2 2 3 3 2" xfId="0"/>
    <cellStyle name="Normal 61 2 2 3 2 2 3 3 2 2" xfId="0"/>
    <cellStyle name="Normal 61 2 2 3 2 2 3 3 3" xfId="0"/>
    <cellStyle name="Normal 61 2 2 3 2 2 3 4" xfId="0"/>
    <cellStyle name="Normal 61 2 2 3 2 2 3 4 2" xfId="0"/>
    <cellStyle name="Normal 61 2 2 3 2 2 3 4 2 2" xfId="0"/>
    <cellStyle name="Normal 61 2 2 3 2 2 3 4 3" xfId="0"/>
    <cellStyle name="Normal 61 2 2 3 2 2 3 5" xfId="0"/>
    <cellStyle name="Normal 61 2 2 3 2 2 3 5 2" xfId="0"/>
    <cellStyle name="Normal 61 2 2 3 2 2 3 6" xfId="0"/>
    <cellStyle name="Normal 61 2 2 3 2 2 4" xfId="0"/>
    <cellStyle name="Normal 61 2 2 3 2 2 4 2" xfId="0"/>
    <cellStyle name="Normal 61 2 2 3 2 2 4 2 2" xfId="0"/>
    <cellStyle name="Normal 61 2 2 3 2 2 4 2 2 2" xfId="0"/>
    <cellStyle name="Normal 61 2 2 3 2 2 4 2 3" xfId="0"/>
    <cellStyle name="Normal 61 2 2 3 2 2 4 3" xfId="0"/>
    <cellStyle name="Normal 61 2 2 3 2 2 4 3 2" xfId="0"/>
    <cellStyle name="Normal 61 2 2 3 2 2 4 3 2 2" xfId="0"/>
    <cellStyle name="Normal 61 2 2 3 2 2 4 3 3" xfId="0"/>
    <cellStyle name="Normal 61 2 2 3 2 2 4 4" xfId="0"/>
    <cellStyle name="Normal 61 2 2 3 2 2 4 4 2" xfId="0"/>
    <cellStyle name="Normal 61 2 2 3 2 2 4 5" xfId="0"/>
    <cellStyle name="Normal 61 2 2 3 2 2 5" xfId="0"/>
    <cellStyle name="Normal 61 2 2 3 2 2 5 2" xfId="0"/>
    <cellStyle name="Normal 61 2 2 3 2 2 5 2 2" xfId="0"/>
    <cellStyle name="Normal 61 2 2 3 2 2 5 3" xfId="0"/>
    <cellStyle name="Normal 61 2 2 3 2 2 6" xfId="0"/>
    <cellStyle name="Normal 61 2 2 3 2 2 6 2" xfId="0"/>
    <cellStyle name="Normal 61 2 2 3 2 2 6 2 2" xfId="0"/>
    <cellStyle name="Normal 61 2 2 3 2 2 6 3" xfId="0"/>
    <cellStyle name="Normal 61 2 2 3 2 2 7" xfId="0"/>
    <cellStyle name="Normal 61 2 2 3 2 2 7 2" xfId="0"/>
    <cellStyle name="Normal 61 2 2 3 2 2 8" xfId="0"/>
    <cellStyle name="Normal 61 2 2 3 2 3" xfId="0"/>
    <cellStyle name="Normal 61 2 2 3 2 3 2" xfId="0"/>
    <cellStyle name="Normal 61 2 2 3 2 3 2 2" xfId="0"/>
    <cellStyle name="Normal 61 2 2 3 2 3 2 2 2" xfId="0"/>
    <cellStyle name="Normal 61 2 2 3 2 3 2 2 2 2" xfId="0"/>
    <cellStyle name="Normal 61 2 2 3 2 3 2 2 2 2 2" xfId="0"/>
    <cellStyle name="Normal 61 2 2 3 2 3 2 2 2 3" xfId="0"/>
    <cellStyle name="Normal 61 2 2 3 2 3 2 2 3" xfId="0"/>
    <cellStyle name="Normal 61 2 2 3 2 3 2 2 3 2" xfId="0"/>
    <cellStyle name="Normal 61 2 2 3 2 3 2 2 3 2 2" xfId="0"/>
    <cellStyle name="Normal 61 2 2 3 2 3 2 2 3 3" xfId="0"/>
    <cellStyle name="Normal 61 2 2 3 2 3 2 2 4" xfId="0"/>
    <cellStyle name="Normal 61 2 2 3 2 3 2 2 4 2" xfId="0"/>
    <cellStyle name="Normal 61 2 2 3 2 3 2 2 5" xfId="0"/>
    <cellStyle name="Normal 61 2 2 3 2 3 2 3" xfId="0"/>
    <cellStyle name="Normal 61 2 2 3 2 3 2 3 2" xfId="0"/>
    <cellStyle name="Normal 61 2 2 3 2 3 2 3 2 2" xfId="0"/>
    <cellStyle name="Normal 61 2 2 3 2 3 2 3 3" xfId="0"/>
    <cellStyle name="Normal 61 2 2 3 2 3 2 4" xfId="0"/>
    <cellStyle name="Normal 61 2 2 3 2 3 2 4 2" xfId="0"/>
    <cellStyle name="Normal 61 2 2 3 2 3 2 4 2 2" xfId="0"/>
    <cellStyle name="Normal 61 2 2 3 2 3 2 4 3" xfId="0"/>
    <cellStyle name="Normal 61 2 2 3 2 3 2 5" xfId="0"/>
    <cellStyle name="Normal 61 2 2 3 2 3 2 5 2" xfId="0"/>
    <cellStyle name="Normal 61 2 2 3 2 3 2 6" xfId="0"/>
    <cellStyle name="Normal 61 2 2 3 2 3 3" xfId="0"/>
    <cellStyle name="Normal 61 2 2 3 2 3 3 2" xfId="0"/>
    <cellStyle name="Normal 61 2 2 3 2 3 3 2 2" xfId="0"/>
    <cellStyle name="Normal 61 2 2 3 2 3 3 2 2 2" xfId="0"/>
    <cellStyle name="Normal 61 2 2 3 2 3 3 2 3" xfId="0"/>
    <cellStyle name="Normal 61 2 2 3 2 3 3 3" xfId="0"/>
    <cellStyle name="Normal 61 2 2 3 2 3 3 3 2" xfId="0"/>
    <cellStyle name="Normal 61 2 2 3 2 3 3 3 2 2" xfId="0"/>
    <cellStyle name="Normal 61 2 2 3 2 3 3 3 3" xfId="0"/>
    <cellStyle name="Normal 61 2 2 3 2 3 3 4" xfId="0"/>
    <cellStyle name="Normal 61 2 2 3 2 3 3 4 2" xfId="0"/>
    <cellStyle name="Normal 61 2 2 3 2 3 3 5" xfId="0"/>
    <cellStyle name="Normal 61 2 2 3 2 3 4" xfId="0"/>
    <cellStyle name="Normal 61 2 2 3 2 3 4 2" xfId="0"/>
    <cellStyle name="Normal 61 2 2 3 2 3 4 2 2" xfId="0"/>
    <cellStyle name="Normal 61 2 2 3 2 3 4 3" xfId="0"/>
    <cellStyle name="Normal 61 2 2 3 2 3 5" xfId="0"/>
    <cellStyle name="Normal 61 2 2 3 2 3 5 2" xfId="0"/>
    <cellStyle name="Normal 61 2 2 3 2 3 5 2 2" xfId="0"/>
    <cellStyle name="Normal 61 2 2 3 2 3 5 3" xfId="0"/>
    <cellStyle name="Normal 61 2 2 3 2 3 6" xfId="0"/>
    <cellStyle name="Normal 61 2 2 3 2 3 6 2" xfId="0"/>
    <cellStyle name="Normal 61 2 2 3 2 3 7" xfId="0"/>
    <cellStyle name="Normal 61 2 2 3 2 4" xfId="0"/>
    <cellStyle name="Normal 61 2 2 3 2 4 2" xfId="0"/>
    <cellStyle name="Normal 61 2 2 3 2 4 2 2" xfId="0"/>
    <cellStyle name="Normal 61 2 2 3 2 4 2 2 2" xfId="0"/>
    <cellStyle name="Normal 61 2 2 3 2 4 2 2 2 2" xfId="0"/>
    <cellStyle name="Normal 61 2 2 3 2 4 2 2 3" xfId="0"/>
    <cellStyle name="Normal 61 2 2 3 2 4 2 3" xfId="0"/>
    <cellStyle name="Normal 61 2 2 3 2 4 2 3 2" xfId="0"/>
    <cellStyle name="Normal 61 2 2 3 2 4 2 3 2 2" xfId="0"/>
    <cellStyle name="Normal 61 2 2 3 2 4 2 3 3" xfId="0"/>
    <cellStyle name="Normal 61 2 2 3 2 4 2 4" xfId="0"/>
    <cellStyle name="Normal 61 2 2 3 2 4 2 4 2" xfId="0"/>
    <cellStyle name="Normal 61 2 2 3 2 4 2 5" xfId="0"/>
    <cellStyle name="Normal 61 2 2 3 2 4 3" xfId="0"/>
    <cellStyle name="Normal 61 2 2 3 2 4 3 2" xfId="0"/>
    <cellStyle name="Normal 61 2 2 3 2 4 3 2 2" xfId="0"/>
    <cellStyle name="Normal 61 2 2 3 2 4 3 3" xfId="0"/>
    <cellStyle name="Normal 61 2 2 3 2 4 4" xfId="0"/>
    <cellStyle name="Normal 61 2 2 3 2 4 4 2" xfId="0"/>
    <cellStyle name="Normal 61 2 2 3 2 4 4 2 2" xfId="0"/>
    <cellStyle name="Normal 61 2 2 3 2 4 4 3" xfId="0"/>
    <cellStyle name="Normal 61 2 2 3 2 4 5" xfId="0"/>
    <cellStyle name="Normal 61 2 2 3 2 4 5 2" xfId="0"/>
    <cellStyle name="Normal 61 2 2 3 2 4 6" xfId="0"/>
    <cellStyle name="Normal 61 2 2 3 2 5" xfId="0"/>
    <cellStyle name="Normal 61 2 2 3 2 5 2" xfId="0"/>
    <cellStyle name="Normal 61 2 2 3 2 5 2 2" xfId="0"/>
    <cellStyle name="Normal 61 2 2 3 2 5 2 2 2" xfId="0"/>
    <cellStyle name="Normal 61 2 2 3 2 5 2 3" xfId="0"/>
    <cellStyle name="Normal 61 2 2 3 2 5 3" xfId="0"/>
    <cellStyle name="Normal 61 2 2 3 2 5 3 2" xfId="0"/>
    <cellStyle name="Normal 61 2 2 3 2 5 3 2 2" xfId="0"/>
    <cellStyle name="Normal 61 2 2 3 2 5 3 3" xfId="0"/>
    <cellStyle name="Normal 61 2 2 3 2 5 4" xfId="0"/>
    <cellStyle name="Normal 61 2 2 3 2 5 4 2" xfId="0"/>
    <cellStyle name="Normal 61 2 2 3 2 5 5" xfId="0"/>
    <cellStyle name="Normal 61 2 2 3 2 6" xfId="0"/>
    <cellStyle name="Normal 61 2 2 3 2 6 2" xfId="0"/>
    <cellStyle name="Normal 61 2 2 3 2 6 2 2" xfId="0"/>
    <cellStyle name="Normal 61 2 2 3 2 6 3" xfId="0"/>
    <cellStyle name="Normal 61 2 2 3 2 7" xfId="0"/>
    <cellStyle name="Normal 61 2 2 3 2 7 2" xfId="0"/>
    <cellStyle name="Normal 61 2 2 3 2 7 2 2" xfId="0"/>
    <cellStyle name="Normal 61 2 2 3 2 7 3" xfId="0"/>
    <cellStyle name="Normal 61 2 2 3 2 8" xfId="0"/>
    <cellStyle name="Normal 61 2 2 3 2 8 2" xfId="0"/>
    <cellStyle name="Normal 61 2 2 3 2 9" xfId="0"/>
    <cellStyle name="Normal 61 2 2 3 3" xfId="0"/>
    <cellStyle name="Normal 61 2 2 3 3 2" xfId="0"/>
    <cellStyle name="Normal 61 2 2 3 3 2 2" xfId="0"/>
    <cellStyle name="Normal 61 2 2 3 3 2 2 2" xfId="0"/>
    <cellStyle name="Normal 61 2 2 3 3 2 2 2 2" xfId="0"/>
    <cellStyle name="Normal 61 2 2 3 3 2 2 2 2 2" xfId="0"/>
    <cellStyle name="Normal 61 2 2 3 3 2 2 2 2 2 2" xfId="0"/>
    <cellStyle name="Normal 61 2 2 3 3 2 2 2 2 3" xfId="0"/>
    <cellStyle name="Normal 61 2 2 3 3 2 2 2 3" xfId="0"/>
    <cellStyle name="Normal 61 2 2 3 3 2 2 2 3 2" xfId="0"/>
    <cellStyle name="Normal 61 2 2 3 3 2 2 2 3 2 2" xfId="0"/>
    <cellStyle name="Normal 61 2 2 3 3 2 2 2 3 3" xfId="0"/>
    <cellStyle name="Normal 61 2 2 3 3 2 2 2 4" xfId="0"/>
    <cellStyle name="Normal 61 2 2 3 3 2 2 2 4 2" xfId="0"/>
    <cellStyle name="Normal 61 2 2 3 3 2 2 2 5" xfId="0"/>
    <cellStyle name="Normal 61 2 2 3 3 2 2 3" xfId="0"/>
    <cellStyle name="Normal 61 2 2 3 3 2 2 3 2" xfId="0"/>
    <cellStyle name="Normal 61 2 2 3 3 2 2 3 2 2" xfId="0"/>
    <cellStyle name="Normal 61 2 2 3 3 2 2 3 3" xfId="0"/>
    <cellStyle name="Normal 61 2 2 3 3 2 2 4" xfId="0"/>
    <cellStyle name="Normal 61 2 2 3 3 2 2 4 2" xfId="0"/>
    <cellStyle name="Normal 61 2 2 3 3 2 2 4 2 2" xfId="0"/>
    <cellStyle name="Normal 61 2 2 3 3 2 2 4 3" xfId="0"/>
    <cellStyle name="Normal 61 2 2 3 3 2 2 5" xfId="0"/>
    <cellStyle name="Normal 61 2 2 3 3 2 2 5 2" xfId="0"/>
    <cellStyle name="Normal 61 2 2 3 3 2 2 6" xfId="0"/>
    <cellStyle name="Normal 61 2 2 3 3 2 3" xfId="0"/>
    <cellStyle name="Normal 61 2 2 3 3 2 3 2" xfId="0"/>
    <cellStyle name="Normal 61 2 2 3 3 2 3 2 2" xfId="0"/>
    <cellStyle name="Normal 61 2 2 3 3 2 3 2 2 2" xfId="0"/>
    <cellStyle name="Normal 61 2 2 3 3 2 3 2 3" xfId="0"/>
    <cellStyle name="Normal 61 2 2 3 3 2 3 3" xfId="0"/>
    <cellStyle name="Normal 61 2 2 3 3 2 3 3 2" xfId="0"/>
    <cellStyle name="Normal 61 2 2 3 3 2 3 3 2 2" xfId="0"/>
    <cellStyle name="Normal 61 2 2 3 3 2 3 3 3" xfId="0"/>
    <cellStyle name="Normal 61 2 2 3 3 2 3 4" xfId="0"/>
    <cellStyle name="Normal 61 2 2 3 3 2 3 4 2" xfId="0"/>
    <cellStyle name="Normal 61 2 2 3 3 2 3 5" xfId="0"/>
    <cellStyle name="Normal 61 2 2 3 3 2 4" xfId="0"/>
    <cellStyle name="Normal 61 2 2 3 3 2 4 2" xfId="0"/>
    <cellStyle name="Normal 61 2 2 3 3 2 4 2 2" xfId="0"/>
    <cellStyle name="Normal 61 2 2 3 3 2 4 3" xfId="0"/>
    <cellStyle name="Normal 61 2 2 3 3 2 5" xfId="0"/>
    <cellStyle name="Normal 61 2 2 3 3 2 5 2" xfId="0"/>
    <cellStyle name="Normal 61 2 2 3 3 2 5 2 2" xfId="0"/>
    <cellStyle name="Normal 61 2 2 3 3 2 5 3" xfId="0"/>
    <cellStyle name="Normal 61 2 2 3 3 2 6" xfId="0"/>
    <cellStyle name="Normal 61 2 2 3 3 2 6 2" xfId="0"/>
    <cellStyle name="Normal 61 2 2 3 3 2 7" xfId="0"/>
    <cellStyle name="Normal 61 2 2 3 3 3" xfId="0"/>
    <cellStyle name="Normal 61 2 2 3 3 3 2" xfId="0"/>
    <cellStyle name="Normal 61 2 2 3 3 3 2 2" xfId="0"/>
    <cellStyle name="Normal 61 2 2 3 3 3 2 2 2" xfId="0"/>
    <cellStyle name="Normal 61 2 2 3 3 3 2 2 2 2" xfId="0"/>
    <cellStyle name="Normal 61 2 2 3 3 3 2 2 3" xfId="0"/>
    <cellStyle name="Normal 61 2 2 3 3 3 2 3" xfId="0"/>
    <cellStyle name="Normal 61 2 2 3 3 3 2 3 2" xfId="0"/>
    <cellStyle name="Normal 61 2 2 3 3 3 2 3 2 2" xfId="0"/>
    <cellStyle name="Normal 61 2 2 3 3 3 2 3 3" xfId="0"/>
    <cellStyle name="Normal 61 2 2 3 3 3 2 4" xfId="0"/>
    <cellStyle name="Normal 61 2 2 3 3 3 2 4 2" xfId="0"/>
    <cellStyle name="Normal 61 2 2 3 3 3 2 5" xfId="0"/>
    <cellStyle name="Normal 61 2 2 3 3 3 3" xfId="0"/>
    <cellStyle name="Normal 61 2 2 3 3 3 3 2" xfId="0"/>
    <cellStyle name="Normal 61 2 2 3 3 3 3 2 2" xfId="0"/>
    <cellStyle name="Normal 61 2 2 3 3 3 3 3" xfId="0"/>
    <cellStyle name="Normal 61 2 2 3 3 3 4" xfId="0"/>
    <cellStyle name="Normal 61 2 2 3 3 3 4 2" xfId="0"/>
    <cellStyle name="Normal 61 2 2 3 3 3 4 2 2" xfId="0"/>
    <cellStyle name="Normal 61 2 2 3 3 3 4 3" xfId="0"/>
    <cellStyle name="Normal 61 2 2 3 3 3 5" xfId="0"/>
    <cellStyle name="Normal 61 2 2 3 3 3 5 2" xfId="0"/>
    <cellStyle name="Normal 61 2 2 3 3 3 6" xfId="0"/>
    <cellStyle name="Normal 61 2 2 3 3 4" xfId="0"/>
    <cellStyle name="Normal 61 2 2 3 3 4 2" xfId="0"/>
    <cellStyle name="Normal 61 2 2 3 3 4 2 2" xfId="0"/>
    <cellStyle name="Normal 61 2 2 3 3 4 2 2 2" xfId="0"/>
    <cellStyle name="Normal 61 2 2 3 3 4 2 3" xfId="0"/>
    <cellStyle name="Normal 61 2 2 3 3 4 3" xfId="0"/>
    <cellStyle name="Normal 61 2 2 3 3 4 3 2" xfId="0"/>
    <cellStyle name="Normal 61 2 2 3 3 4 3 2 2" xfId="0"/>
    <cellStyle name="Normal 61 2 2 3 3 4 3 3" xfId="0"/>
    <cellStyle name="Normal 61 2 2 3 3 4 4" xfId="0"/>
    <cellStyle name="Normal 61 2 2 3 3 4 4 2" xfId="0"/>
    <cellStyle name="Normal 61 2 2 3 3 4 5" xfId="0"/>
    <cellStyle name="Normal 61 2 2 3 3 5" xfId="0"/>
    <cellStyle name="Normal 61 2 2 3 3 5 2" xfId="0"/>
    <cellStyle name="Normal 61 2 2 3 3 5 2 2" xfId="0"/>
    <cellStyle name="Normal 61 2 2 3 3 5 3" xfId="0"/>
    <cellStyle name="Normal 61 2 2 3 3 6" xfId="0"/>
    <cellStyle name="Normal 61 2 2 3 3 6 2" xfId="0"/>
    <cellStyle name="Normal 61 2 2 3 3 6 2 2" xfId="0"/>
    <cellStyle name="Normal 61 2 2 3 3 6 3" xfId="0"/>
    <cellStyle name="Normal 61 2 2 3 3 7" xfId="0"/>
    <cellStyle name="Normal 61 2 2 3 3 7 2" xfId="0"/>
    <cellStyle name="Normal 61 2 2 3 3 8" xfId="0"/>
    <cellStyle name="Normal 61 2 2 3 4" xfId="0"/>
    <cellStyle name="Normal 61 2 2 3 4 2" xfId="0"/>
    <cellStyle name="Normal 61 2 2 3 4 2 2" xfId="0"/>
    <cellStyle name="Normal 61 2 2 3 4 2 2 2" xfId="0"/>
    <cellStyle name="Normal 61 2 2 3 4 2 2 2 2" xfId="0"/>
    <cellStyle name="Normal 61 2 2 3 4 2 2 2 2 2" xfId="0"/>
    <cellStyle name="Normal 61 2 2 3 4 2 2 2 3" xfId="0"/>
    <cellStyle name="Normal 61 2 2 3 4 2 2 3" xfId="0"/>
    <cellStyle name="Normal 61 2 2 3 4 2 2 3 2" xfId="0"/>
    <cellStyle name="Normal 61 2 2 3 4 2 2 3 2 2" xfId="0"/>
    <cellStyle name="Normal 61 2 2 3 4 2 2 3 3" xfId="0"/>
    <cellStyle name="Normal 61 2 2 3 4 2 2 4" xfId="0"/>
    <cellStyle name="Normal 61 2 2 3 4 2 2 4 2" xfId="0"/>
    <cellStyle name="Normal 61 2 2 3 4 2 2 5" xfId="0"/>
    <cellStyle name="Normal 61 2 2 3 4 2 3" xfId="0"/>
    <cellStyle name="Normal 61 2 2 3 4 2 3 2" xfId="0"/>
    <cellStyle name="Normal 61 2 2 3 4 2 3 2 2" xfId="0"/>
    <cellStyle name="Normal 61 2 2 3 4 2 3 3" xfId="0"/>
    <cellStyle name="Normal 61 2 2 3 4 2 4" xfId="0"/>
    <cellStyle name="Normal 61 2 2 3 4 2 4 2" xfId="0"/>
    <cellStyle name="Normal 61 2 2 3 4 2 4 2 2" xfId="0"/>
    <cellStyle name="Normal 61 2 2 3 4 2 4 3" xfId="0"/>
    <cellStyle name="Normal 61 2 2 3 4 2 5" xfId="0"/>
    <cellStyle name="Normal 61 2 2 3 4 2 5 2" xfId="0"/>
    <cellStyle name="Normal 61 2 2 3 4 2 6" xfId="0"/>
    <cellStyle name="Normal 61 2 2 3 4 3" xfId="0"/>
    <cellStyle name="Normal 61 2 2 3 4 3 2" xfId="0"/>
    <cellStyle name="Normal 61 2 2 3 4 3 2 2" xfId="0"/>
    <cellStyle name="Normal 61 2 2 3 4 3 2 2 2" xfId="0"/>
    <cellStyle name="Normal 61 2 2 3 4 3 2 3" xfId="0"/>
    <cellStyle name="Normal 61 2 2 3 4 3 3" xfId="0"/>
    <cellStyle name="Normal 61 2 2 3 4 3 3 2" xfId="0"/>
    <cellStyle name="Normal 61 2 2 3 4 3 3 2 2" xfId="0"/>
    <cellStyle name="Normal 61 2 2 3 4 3 3 3" xfId="0"/>
    <cellStyle name="Normal 61 2 2 3 4 3 4" xfId="0"/>
    <cellStyle name="Normal 61 2 2 3 4 3 4 2" xfId="0"/>
    <cellStyle name="Normal 61 2 2 3 4 3 5" xfId="0"/>
    <cellStyle name="Normal 61 2 2 3 4 4" xfId="0"/>
    <cellStyle name="Normal 61 2 2 3 4 4 2" xfId="0"/>
    <cellStyle name="Normal 61 2 2 3 4 4 2 2" xfId="0"/>
    <cellStyle name="Normal 61 2 2 3 4 4 3" xfId="0"/>
    <cellStyle name="Normal 61 2 2 3 4 5" xfId="0"/>
    <cellStyle name="Normal 61 2 2 3 4 5 2" xfId="0"/>
    <cellStyle name="Normal 61 2 2 3 4 5 2 2" xfId="0"/>
    <cellStyle name="Normal 61 2 2 3 4 5 3" xfId="0"/>
    <cellStyle name="Normal 61 2 2 3 4 6" xfId="0"/>
    <cellStyle name="Normal 61 2 2 3 4 6 2" xfId="0"/>
    <cellStyle name="Normal 61 2 2 3 4 7" xfId="0"/>
    <cellStyle name="Normal 61 2 2 3 5" xfId="0"/>
    <cellStyle name="Normal 61 2 2 3 5 2" xfId="0"/>
    <cellStyle name="Normal 61 2 2 3 5 2 2" xfId="0"/>
    <cellStyle name="Normal 61 2 2 3 5 2 2 2" xfId="0"/>
    <cellStyle name="Normal 61 2 2 3 5 2 2 2 2" xfId="0"/>
    <cellStyle name="Normal 61 2 2 3 5 2 2 3" xfId="0"/>
    <cellStyle name="Normal 61 2 2 3 5 2 3" xfId="0"/>
    <cellStyle name="Normal 61 2 2 3 5 2 3 2" xfId="0"/>
    <cellStyle name="Normal 61 2 2 3 5 2 3 2 2" xfId="0"/>
    <cellStyle name="Normal 61 2 2 3 5 2 3 3" xfId="0"/>
    <cellStyle name="Normal 61 2 2 3 5 2 4" xfId="0"/>
    <cellStyle name="Normal 61 2 2 3 5 2 4 2" xfId="0"/>
    <cellStyle name="Normal 61 2 2 3 5 2 5" xfId="0"/>
    <cellStyle name="Normal 61 2 2 3 5 3" xfId="0"/>
    <cellStyle name="Normal 61 2 2 3 5 3 2" xfId="0"/>
    <cellStyle name="Normal 61 2 2 3 5 3 2 2" xfId="0"/>
    <cellStyle name="Normal 61 2 2 3 5 3 3" xfId="0"/>
    <cellStyle name="Normal 61 2 2 3 5 4" xfId="0"/>
    <cellStyle name="Normal 61 2 2 3 5 4 2" xfId="0"/>
    <cellStyle name="Normal 61 2 2 3 5 4 2 2" xfId="0"/>
    <cellStyle name="Normal 61 2 2 3 5 4 3" xfId="0"/>
    <cellStyle name="Normal 61 2 2 3 5 5" xfId="0"/>
    <cellStyle name="Normal 61 2 2 3 5 5 2" xfId="0"/>
    <cellStyle name="Normal 61 2 2 3 5 6" xfId="0"/>
    <cellStyle name="Normal 61 2 2 3 6" xfId="0"/>
    <cellStyle name="Normal 61 2 2 3 6 2" xfId="0"/>
    <cellStyle name="Normal 61 2 2 3 6 2 2" xfId="0"/>
    <cellStyle name="Normal 61 2 2 3 6 2 2 2" xfId="0"/>
    <cellStyle name="Normal 61 2 2 3 6 2 3" xfId="0"/>
    <cellStyle name="Normal 61 2 2 3 6 3" xfId="0"/>
    <cellStyle name="Normal 61 2 2 3 6 3 2" xfId="0"/>
    <cellStyle name="Normal 61 2 2 3 6 3 2 2" xfId="0"/>
    <cellStyle name="Normal 61 2 2 3 6 3 3" xfId="0"/>
    <cellStyle name="Normal 61 2 2 3 6 4" xfId="0"/>
    <cellStyle name="Normal 61 2 2 3 6 4 2" xfId="0"/>
    <cellStyle name="Normal 61 2 2 3 6 5" xfId="0"/>
    <cellStyle name="Normal 61 2 2 3 7" xfId="0"/>
    <cellStyle name="Normal 61 2 2 3 7 2" xfId="0"/>
    <cellStyle name="Normal 61 2 2 3 7 2 2" xfId="0"/>
    <cellStyle name="Normal 61 2 2 3 7 3" xfId="0"/>
    <cellStyle name="Normal 61 2 2 3 8" xfId="0"/>
    <cellStyle name="Normal 61 2 2 3 8 2" xfId="0"/>
    <cellStyle name="Normal 61 2 2 3 8 2 2" xfId="0"/>
    <cellStyle name="Normal 61 2 2 3 8 3" xfId="0"/>
    <cellStyle name="Normal 61 2 2 3 9" xfId="0"/>
    <cellStyle name="Normal 61 2 2 3 9 2" xfId="0"/>
    <cellStyle name="Normal 61 2 2 4" xfId="0"/>
    <cellStyle name="Normal 61 2 2 4 10" xfId="0"/>
    <cellStyle name="Normal 61 2 2 4 2" xfId="0"/>
    <cellStyle name="Normal 61 2 2 4 2 2" xfId="0"/>
    <cellStyle name="Normal 61 2 2 4 2 2 2" xfId="0"/>
    <cellStyle name="Normal 61 2 2 4 2 2 2 2" xfId="0"/>
    <cellStyle name="Normal 61 2 2 4 2 2 2 2 2" xfId="0"/>
    <cellStyle name="Normal 61 2 2 4 2 2 2 2 2 2" xfId="0"/>
    <cellStyle name="Normal 61 2 2 4 2 2 2 2 2 2 2" xfId="0"/>
    <cellStyle name="Normal 61 2 2 4 2 2 2 2 2 2 2 2" xfId="0"/>
    <cellStyle name="Normal 61 2 2 4 2 2 2 2 2 2 3" xfId="0"/>
    <cellStyle name="Normal 61 2 2 4 2 2 2 2 2 3" xfId="0"/>
    <cellStyle name="Normal 61 2 2 4 2 2 2 2 2 3 2" xfId="0"/>
    <cellStyle name="Normal 61 2 2 4 2 2 2 2 2 3 2 2" xfId="0"/>
    <cellStyle name="Normal 61 2 2 4 2 2 2 2 2 3 3" xfId="0"/>
    <cellStyle name="Normal 61 2 2 4 2 2 2 2 2 4" xfId="0"/>
    <cellStyle name="Normal 61 2 2 4 2 2 2 2 2 4 2" xfId="0"/>
    <cellStyle name="Normal 61 2 2 4 2 2 2 2 2 5" xfId="0"/>
    <cellStyle name="Normal 61 2 2 4 2 2 2 2 3" xfId="0"/>
    <cellStyle name="Normal 61 2 2 4 2 2 2 2 3 2" xfId="0"/>
    <cellStyle name="Normal 61 2 2 4 2 2 2 2 3 2 2" xfId="0"/>
    <cellStyle name="Normal 61 2 2 4 2 2 2 2 3 3" xfId="0"/>
    <cellStyle name="Normal 61 2 2 4 2 2 2 2 4" xfId="0"/>
    <cellStyle name="Normal 61 2 2 4 2 2 2 2 4 2" xfId="0"/>
    <cellStyle name="Normal 61 2 2 4 2 2 2 2 4 2 2" xfId="0"/>
    <cellStyle name="Normal 61 2 2 4 2 2 2 2 4 3" xfId="0"/>
    <cellStyle name="Normal 61 2 2 4 2 2 2 2 5" xfId="0"/>
    <cellStyle name="Normal 61 2 2 4 2 2 2 2 5 2" xfId="0"/>
    <cellStyle name="Normal 61 2 2 4 2 2 2 2 6" xfId="0"/>
    <cellStyle name="Normal 61 2 2 4 2 2 2 3" xfId="0"/>
    <cellStyle name="Normal 61 2 2 4 2 2 2 3 2" xfId="0"/>
    <cellStyle name="Normal 61 2 2 4 2 2 2 3 2 2" xfId="0"/>
    <cellStyle name="Normal 61 2 2 4 2 2 2 3 2 2 2" xfId="0"/>
    <cellStyle name="Normal 61 2 2 4 2 2 2 3 2 3" xfId="0"/>
    <cellStyle name="Normal 61 2 2 4 2 2 2 3 3" xfId="0"/>
    <cellStyle name="Normal 61 2 2 4 2 2 2 3 3 2" xfId="0"/>
    <cellStyle name="Normal 61 2 2 4 2 2 2 3 3 2 2" xfId="0"/>
    <cellStyle name="Normal 61 2 2 4 2 2 2 3 3 3" xfId="0"/>
    <cellStyle name="Normal 61 2 2 4 2 2 2 3 4" xfId="0"/>
    <cellStyle name="Normal 61 2 2 4 2 2 2 3 4 2" xfId="0"/>
    <cellStyle name="Normal 61 2 2 4 2 2 2 3 5" xfId="0"/>
    <cellStyle name="Normal 61 2 2 4 2 2 2 4" xfId="0"/>
    <cellStyle name="Normal 61 2 2 4 2 2 2 4 2" xfId="0"/>
    <cellStyle name="Normal 61 2 2 4 2 2 2 4 2 2" xfId="0"/>
    <cellStyle name="Normal 61 2 2 4 2 2 2 4 3" xfId="0"/>
    <cellStyle name="Normal 61 2 2 4 2 2 2 5" xfId="0"/>
    <cellStyle name="Normal 61 2 2 4 2 2 2 5 2" xfId="0"/>
    <cellStyle name="Normal 61 2 2 4 2 2 2 5 2 2" xfId="0"/>
    <cellStyle name="Normal 61 2 2 4 2 2 2 5 3" xfId="0"/>
    <cellStyle name="Normal 61 2 2 4 2 2 2 6" xfId="0"/>
    <cellStyle name="Normal 61 2 2 4 2 2 2 6 2" xfId="0"/>
    <cellStyle name="Normal 61 2 2 4 2 2 2 7" xfId="0"/>
    <cellStyle name="Normal 61 2 2 4 2 2 3" xfId="0"/>
    <cellStyle name="Normal 61 2 2 4 2 2 3 2" xfId="0"/>
    <cellStyle name="Normal 61 2 2 4 2 2 3 2 2" xfId="0"/>
    <cellStyle name="Normal 61 2 2 4 2 2 3 2 2 2" xfId="0"/>
    <cellStyle name="Normal 61 2 2 4 2 2 3 2 2 2 2" xfId="0"/>
    <cellStyle name="Normal 61 2 2 4 2 2 3 2 2 3" xfId="0"/>
    <cellStyle name="Normal 61 2 2 4 2 2 3 2 3" xfId="0"/>
    <cellStyle name="Normal 61 2 2 4 2 2 3 2 3 2" xfId="0"/>
    <cellStyle name="Normal 61 2 2 4 2 2 3 2 3 2 2" xfId="0"/>
    <cellStyle name="Normal 61 2 2 4 2 2 3 2 3 3" xfId="0"/>
    <cellStyle name="Normal 61 2 2 4 2 2 3 2 4" xfId="0"/>
    <cellStyle name="Normal 61 2 2 4 2 2 3 2 4 2" xfId="0"/>
    <cellStyle name="Normal 61 2 2 4 2 2 3 2 5" xfId="0"/>
    <cellStyle name="Normal 61 2 2 4 2 2 3 3" xfId="0"/>
    <cellStyle name="Normal 61 2 2 4 2 2 3 3 2" xfId="0"/>
    <cellStyle name="Normal 61 2 2 4 2 2 3 3 2 2" xfId="0"/>
    <cellStyle name="Normal 61 2 2 4 2 2 3 3 3" xfId="0"/>
    <cellStyle name="Normal 61 2 2 4 2 2 3 4" xfId="0"/>
    <cellStyle name="Normal 61 2 2 4 2 2 3 4 2" xfId="0"/>
    <cellStyle name="Normal 61 2 2 4 2 2 3 4 2 2" xfId="0"/>
    <cellStyle name="Normal 61 2 2 4 2 2 3 4 3" xfId="0"/>
    <cellStyle name="Normal 61 2 2 4 2 2 3 5" xfId="0"/>
    <cellStyle name="Normal 61 2 2 4 2 2 3 5 2" xfId="0"/>
    <cellStyle name="Normal 61 2 2 4 2 2 3 6" xfId="0"/>
    <cellStyle name="Normal 61 2 2 4 2 2 4" xfId="0"/>
    <cellStyle name="Normal 61 2 2 4 2 2 4 2" xfId="0"/>
    <cellStyle name="Normal 61 2 2 4 2 2 4 2 2" xfId="0"/>
    <cellStyle name="Normal 61 2 2 4 2 2 4 2 2 2" xfId="0"/>
    <cellStyle name="Normal 61 2 2 4 2 2 4 2 3" xfId="0"/>
    <cellStyle name="Normal 61 2 2 4 2 2 4 3" xfId="0"/>
    <cellStyle name="Normal 61 2 2 4 2 2 4 3 2" xfId="0"/>
    <cellStyle name="Normal 61 2 2 4 2 2 4 3 2 2" xfId="0"/>
    <cellStyle name="Normal 61 2 2 4 2 2 4 3 3" xfId="0"/>
    <cellStyle name="Normal 61 2 2 4 2 2 4 4" xfId="0"/>
    <cellStyle name="Normal 61 2 2 4 2 2 4 4 2" xfId="0"/>
    <cellStyle name="Normal 61 2 2 4 2 2 4 5" xfId="0"/>
    <cellStyle name="Normal 61 2 2 4 2 2 5" xfId="0"/>
    <cellStyle name="Normal 61 2 2 4 2 2 5 2" xfId="0"/>
    <cellStyle name="Normal 61 2 2 4 2 2 5 2 2" xfId="0"/>
    <cellStyle name="Normal 61 2 2 4 2 2 5 3" xfId="0"/>
    <cellStyle name="Normal 61 2 2 4 2 2 6" xfId="0"/>
    <cellStyle name="Normal 61 2 2 4 2 2 6 2" xfId="0"/>
    <cellStyle name="Normal 61 2 2 4 2 2 6 2 2" xfId="0"/>
    <cellStyle name="Normal 61 2 2 4 2 2 6 3" xfId="0"/>
    <cellStyle name="Normal 61 2 2 4 2 2 7" xfId="0"/>
    <cellStyle name="Normal 61 2 2 4 2 2 7 2" xfId="0"/>
    <cellStyle name="Normal 61 2 2 4 2 2 8" xfId="0"/>
    <cellStyle name="Normal 61 2 2 4 2 3" xfId="0"/>
    <cellStyle name="Normal 61 2 2 4 2 3 2" xfId="0"/>
    <cellStyle name="Normal 61 2 2 4 2 3 2 2" xfId="0"/>
    <cellStyle name="Normal 61 2 2 4 2 3 2 2 2" xfId="0"/>
    <cellStyle name="Normal 61 2 2 4 2 3 2 2 2 2" xfId="0"/>
    <cellStyle name="Normal 61 2 2 4 2 3 2 2 2 2 2" xfId="0"/>
    <cellStyle name="Normal 61 2 2 4 2 3 2 2 2 3" xfId="0"/>
    <cellStyle name="Normal 61 2 2 4 2 3 2 2 3" xfId="0"/>
    <cellStyle name="Normal 61 2 2 4 2 3 2 2 3 2" xfId="0"/>
    <cellStyle name="Normal 61 2 2 4 2 3 2 2 3 2 2" xfId="0"/>
    <cellStyle name="Normal 61 2 2 4 2 3 2 2 3 3" xfId="0"/>
    <cellStyle name="Normal 61 2 2 4 2 3 2 2 4" xfId="0"/>
    <cellStyle name="Normal 61 2 2 4 2 3 2 2 4 2" xfId="0"/>
    <cellStyle name="Normal 61 2 2 4 2 3 2 2 5" xfId="0"/>
    <cellStyle name="Normal 61 2 2 4 2 3 2 3" xfId="0"/>
    <cellStyle name="Normal 61 2 2 4 2 3 2 3 2" xfId="0"/>
    <cellStyle name="Normal 61 2 2 4 2 3 2 3 2 2" xfId="0"/>
    <cellStyle name="Normal 61 2 2 4 2 3 2 3 3" xfId="0"/>
    <cellStyle name="Normal 61 2 2 4 2 3 2 4" xfId="0"/>
    <cellStyle name="Normal 61 2 2 4 2 3 2 4 2" xfId="0"/>
    <cellStyle name="Normal 61 2 2 4 2 3 2 4 2 2" xfId="0"/>
    <cellStyle name="Normal 61 2 2 4 2 3 2 4 3" xfId="0"/>
    <cellStyle name="Normal 61 2 2 4 2 3 2 5" xfId="0"/>
    <cellStyle name="Normal 61 2 2 4 2 3 2 5 2" xfId="0"/>
    <cellStyle name="Normal 61 2 2 4 2 3 2 6" xfId="0"/>
    <cellStyle name="Normal 61 2 2 4 2 3 3" xfId="0"/>
    <cellStyle name="Normal 61 2 2 4 2 3 3 2" xfId="0"/>
    <cellStyle name="Normal 61 2 2 4 2 3 3 2 2" xfId="0"/>
    <cellStyle name="Normal 61 2 2 4 2 3 3 2 2 2" xfId="0"/>
    <cellStyle name="Normal 61 2 2 4 2 3 3 2 3" xfId="0"/>
    <cellStyle name="Normal 61 2 2 4 2 3 3 3" xfId="0"/>
    <cellStyle name="Normal 61 2 2 4 2 3 3 3 2" xfId="0"/>
    <cellStyle name="Normal 61 2 2 4 2 3 3 3 2 2" xfId="0"/>
    <cellStyle name="Normal 61 2 2 4 2 3 3 3 3" xfId="0"/>
    <cellStyle name="Normal 61 2 2 4 2 3 3 4" xfId="0"/>
    <cellStyle name="Normal 61 2 2 4 2 3 3 4 2" xfId="0"/>
    <cellStyle name="Normal 61 2 2 4 2 3 3 5" xfId="0"/>
    <cellStyle name="Normal 61 2 2 4 2 3 4" xfId="0"/>
    <cellStyle name="Normal 61 2 2 4 2 3 4 2" xfId="0"/>
    <cellStyle name="Normal 61 2 2 4 2 3 4 2 2" xfId="0"/>
    <cellStyle name="Normal 61 2 2 4 2 3 4 3" xfId="0"/>
    <cellStyle name="Normal 61 2 2 4 2 3 5" xfId="0"/>
    <cellStyle name="Normal 61 2 2 4 2 3 5 2" xfId="0"/>
    <cellStyle name="Normal 61 2 2 4 2 3 5 2 2" xfId="0"/>
    <cellStyle name="Normal 61 2 2 4 2 3 5 3" xfId="0"/>
    <cellStyle name="Normal 61 2 2 4 2 3 6" xfId="0"/>
    <cellStyle name="Normal 61 2 2 4 2 3 6 2" xfId="0"/>
    <cellStyle name="Normal 61 2 2 4 2 3 7" xfId="0"/>
    <cellStyle name="Normal 61 2 2 4 2 4" xfId="0"/>
    <cellStyle name="Normal 61 2 2 4 2 4 2" xfId="0"/>
    <cellStyle name="Normal 61 2 2 4 2 4 2 2" xfId="0"/>
    <cellStyle name="Normal 61 2 2 4 2 4 2 2 2" xfId="0"/>
    <cellStyle name="Normal 61 2 2 4 2 4 2 2 2 2" xfId="0"/>
    <cellStyle name="Normal 61 2 2 4 2 4 2 2 3" xfId="0"/>
    <cellStyle name="Normal 61 2 2 4 2 4 2 3" xfId="0"/>
    <cellStyle name="Normal 61 2 2 4 2 4 2 3 2" xfId="0"/>
    <cellStyle name="Normal 61 2 2 4 2 4 2 3 2 2" xfId="0"/>
    <cellStyle name="Normal 61 2 2 4 2 4 2 3 3" xfId="0"/>
    <cellStyle name="Normal 61 2 2 4 2 4 2 4" xfId="0"/>
    <cellStyle name="Normal 61 2 2 4 2 4 2 4 2" xfId="0"/>
    <cellStyle name="Normal 61 2 2 4 2 4 2 5" xfId="0"/>
    <cellStyle name="Normal 61 2 2 4 2 4 3" xfId="0"/>
    <cellStyle name="Normal 61 2 2 4 2 4 3 2" xfId="0"/>
    <cellStyle name="Normal 61 2 2 4 2 4 3 2 2" xfId="0"/>
    <cellStyle name="Normal 61 2 2 4 2 4 3 3" xfId="0"/>
    <cellStyle name="Normal 61 2 2 4 2 4 4" xfId="0"/>
    <cellStyle name="Normal 61 2 2 4 2 4 4 2" xfId="0"/>
    <cellStyle name="Normal 61 2 2 4 2 4 4 2 2" xfId="0"/>
    <cellStyle name="Normal 61 2 2 4 2 4 4 3" xfId="0"/>
    <cellStyle name="Normal 61 2 2 4 2 4 5" xfId="0"/>
    <cellStyle name="Normal 61 2 2 4 2 4 5 2" xfId="0"/>
    <cellStyle name="Normal 61 2 2 4 2 4 6" xfId="0"/>
    <cellStyle name="Normal 61 2 2 4 2 5" xfId="0"/>
    <cellStyle name="Normal 61 2 2 4 2 5 2" xfId="0"/>
    <cellStyle name="Normal 61 2 2 4 2 5 2 2" xfId="0"/>
    <cellStyle name="Normal 61 2 2 4 2 5 2 2 2" xfId="0"/>
    <cellStyle name="Normal 61 2 2 4 2 5 2 3" xfId="0"/>
    <cellStyle name="Normal 61 2 2 4 2 5 3" xfId="0"/>
    <cellStyle name="Normal 61 2 2 4 2 5 3 2" xfId="0"/>
    <cellStyle name="Normal 61 2 2 4 2 5 3 2 2" xfId="0"/>
    <cellStyle name="Normal 61 2 2 4 2 5 3 3" xfId="0"/>
    <cellStyle name="Normal 61 2 2 4 2 5 4" xfId="0"/>
    <cellStyle name="Normal 61 2 2 4 2 5 4 2" xfId="0"/>
    <cellStyle name="Normal 61 2 2 4 2 5 5" xfId="0"/>
    <cellStyle name="Normal 61 2 2 4 2 6" xfId="0"/>
    <cellStyle name="Normal 61 2 2 4 2 6 2" xfId="0"/>
    <cellStyle name="Normal 61 2 2 4 2 6 2 2" xfId="0"/>
    <cellStyle name="Normal 61 2 2 4 2 6 3" xfId="0"/>
    <cellStyle name="Normal 61 2 2 4 2 7" xfId="0"/>
    <cellStyle name="Normal 61 2 2 4 2 7 2" xfId="0"/>
    <cellStyle name="Normal 61 2 2 4 2 7 2 2" xfId="0"/>
    <cellStyle name="Normal 61 2 2 4 2 7 3" xfId="0"/>
    <cellStyle name="Normal 61 2 2 4 2 8" xfId="0"/>
    <cellStyle name="Normal 61 2 2 4 2 8 2" xfId="0"/>
    <cellStyle name="Normal 61 2 2 4 2 9" xfId="0"/>
    <cellStyle name="Normal 61 2 2 4 3" xfId="0"/>
    <cellStyle name="Normal 61 2 2 4 3 2" xfId="0"/>
    <cellStyle name="Normal 61 2 2 4 3 2 2" xfId="0"/>
    <cellStyle name="Normal 61 2 2 4 3 2 2 2" xfId="0"/>
    <cellStyle name="Normal 61 2 2 4 3 2 2 2 2" xfId="0"/>
    <cellStyle name="Normal 61 2 2 4 3 2 2 2 2 2" xfId="0"/>
    <cellStyle name="Normal 61 2 2 4 3 2 2 2 2 2 2" xfId="0"/>
    <cellStyle name="Normal 61 2 2 4 3 2 2 2 2 3" xfId="0"/>
    <cellStyle name="Normal 61 2 2 4 3 2 2 2 3" xfId="0"/>
    <cellStyle name="Normal 61 2 2 4 3 2 2 2 3 2" xfId="0"/>
    <cellStyle name="Normal 61 2 2 4 3 2 2 2 3 2 2" xfId="0"/>
    <cellStyle name="Normal 61 2 2 4 3 2 2 2 3 3" xfId="0"/>
    <cellStyle name="Normal 61 2 2 4 3 2 2 2 4" xfId="0"/>
    <cellStyle name="Normal 61 2 2 4 3 2 2 2 4 2" xfId="0"/>
    <cellStyle name="Normal 61 2 2 4 3 2 2 2 5" xfId="0"/>
    <cellStyle name="Normal 61 2 2 4 3 2 2 3" xfId="0"/>
    <cellStyle name="Normal 61 2 2 4 3 2 2 3 2" xfId="0"/>
    <cellStyle name="Normal 61 2 2 4 3 2 2 3 2 2" xfId="0"/>
    <cellStyle name="Normal 61 2 2 4 3 2 2 3 3" xfId="0"/>
    <cellStyle name="Normal 61 2 2 4 3 2 2 4" xfId="0"/>
    <cellStyle name="Normal 61 2 2 4 3 2 2 4 2" xfId="0"/>
    <cellStyle name="Normal 61 2 2 4 3 2 2 4 2 2" xfId="0"/>
    <cellStyle name="Normal 61 2 2 4 3 2 2 4 3" xfId="0"/>
    <cellStyle name="Normal 61 2 2 4 3 2 2 5" xfId="0"/>
    <cellStyle name="Normal 61 2 2 4 3 2 2 5 2" xfId="0"/>
    <cellStyle name="Normal 61 2 2 4 3 2 2 6" xfId="0"/>
    <cellStyle name="Normal 61 2 2 4 3 2 3" xfId="0"/>
    <cellStyle name="Normal 61 2 2 4 3 2 3 2" xfId="0"/>
    <cellStyle name="Normal 61 2 2 4 3 2 3 2 2" xfId="0"/>
    <cellStyle name="Normal 61 2 2 4 3 2 3 2 2 2" xfId="0"/>
    <cellStyle name="Normal 61 2 2 4 3 2 3 2 3" xfId="0"/>
    <cellStyle name="Normal 61 2 2 4 3 2 3 3" xfId="0"/>
    <cellStyle name="Normal 61 2 2 4 3 2 3 3 2" xfId="0"/>
    <cellStyle name="Normal 61 2 2 4 3 2 3 3 2 2" xfId="0"/>
    <cellStyle name="Normal 61 2 2 4 3 2 3 3 3" xfId="0"/>
    <cellStyle name="Normal 61 2 2 4 3 2 3 4" xfId="0"/>
    <cellStyle name="Normal 61 2 2 4 3 2 3 4 2" xfId="0"/>
    <cellStyle name="Normal 61 2 2 4 3 2 3 5" xfId="0"/>
    <cellStyle name="Normal 61 2 2 4 3 2 4" xfId="0"/>
    <cellStyle name="Normal 61 2 2 4 3 2 4 2" xfId="0"/>
    <cellStyle name="Normal 61 2 2 4 3 2 4 2 2" xfId="0"/>
    <cellStyle name="Normal 61 2 2 4 3 2 4 3" xfId="0"/>
    <cellStyle name="Normal 61 2 2 4 3 2 5" xfId="0"/>
    <cellStyle name="Normal 61 2 2 4 3 2 5 2" xfId="0"/>
    <cellStyle name="Normal 61 2 2 4 3 2 5 2 2" xfId="0"/>
    <cellStyle name="Normal 61 2 2 4 3 2 5 3" xfId="0"/>
    <cellStyle name="Normal 61 2 2 4 3 2 6" xfId="0"/>
    <cellStyle name="Normal 61 2 2 4 3 2 6 2" xfId="0"/>
    <cellStyle name="Normal 61 2 2 4 3 2 7" xfId="0"/>
    <cellStyle name="Normal 61 2 2 4 3 3" xfId="0"/>
    <cellStyle name="Normal 61 2 2 4 3 3 2" xfId="0"/>
    <cellStyle name="Normal 61 2 2 4 3 3 2 2" xfId="0"/>
    <cellStyle name="Normal 61 2 2 4 3 3 2 2 2" xfId="0"/>
    <cellStyle name="Normal 61 2 2 4 3 3 2 2 2 2" xfId="0"/>
    <cellStyle name="Normal 61 2 2 4 3 3 2 2 3" xfId="0"/>
    <cellStyle name="Normal 61 2 2 4 3 3 2 3" xfId="0"/>
    <cellStyle name="Normal 61 2 2 4 3 3 2 3 2" xfId="0"/>
    <cellStyle name="Normal 61 2 2 4 3 3 2 3 2 2" xfId="0"/>
    <cellStyle name="Normal 61 2 2 4 3 3 2 3 3" xfId="0"/>
    <cellStyle name="Normal 61 2 2 4 3 3 2 4" xfId="0"/>
    <cellStyle name="Normal 61 2 2 4 3 3 2 4 2" xfId="0"/>
    <cellStyle name="Normal 61 2 2 4 3 3 2 5" xfId="0"/>
    <cellStyle name="Normal 61 2 2 4 3 3 3" xfId="0"/>
    <cellStyle name="Normal 61 2 2 4 3 3 3 2" xfId="0"/>
    <cellStyle name="Normal 61 2 2 4 3 3 3 2 2" xfId="0"/>
    <cellStyle name="Normal 61 2 2 4 3 3 3 3" xfId="0"/>
    <cellStyle name="Normal 61 2 2 4 3 3 4" xfId="0"/>
    <cellStyle name="Normal 61 2 2 4 3 3 4 2" xfId="0"/>
    <cellStyle name="Normal 61 2 2 4 3 3 4 2 2" xfId="0"/>
    <cellStyle name="Normal 61 2 2 4 3 3 4 3" xfId="0"/>
    <cellStyle name="Normal 61 2 2 4 3 3 5" xfId="0"/>
    <cellStyle name="Normal 61 2 2 4 3 3 5 2" xfId="0"/>
    <cellStyle name="Normal 61 2 2 4 3 3 6" xfId="0"/>
    <cellStyle name="Normal 61 2 2 4 3 4" xfId="0"/>
    <cellStyle name="Normal 61 2 2 4 3 4 2" xfId="0"/>
    <cellStyle name="Normal 61 2 2 4 3 4 2 2" xfId="0"/>
    <cellStyle name="Normal 61 2 2 4 3 4 2 2 2" xfId="0"/>
    <cellStyle name="Normal 61 2 2 4 3 4 2 3" xfId="0"/>
    <cellStyle name="Normal 61 2 2 4 3 4 3" xfId="0"/>
    <cellStyle name="Normal 61 2 2 4 3 4 3 2" xfId="0"/>
    <cellStyle name="Normal 61 2 2 4 3 4 3 2 2" xfId="0"/>
    <cellStyle name="Normal 61 2 2 4 3 4 3 3" xfId="0"/>
    <cellStyle name="Normal 61 2 2 4 3 4 4" xfId="0"/>
    <cellStyle name="Normal 61 2 2 4 3 4 4 2" xfId="0"/>
    <cellStyle name="Normal 61 2 2 4 3 4 5" xfId="0"/>
    <cellStyle name="Normal 61 2 2 4 3 5" xfId="0"/>
    <cellStyle name="Normal 61 2 2 4 3 5 2" xfId="0"/>
    <cellStyle name="Normal 61 2 2 4 3 5 2 2" xfId="0"/>
    <cellStyle name="Normal 61 2 2 4 3 5 3" xfId="0"/>
    <cellStyle name="Normal 61 2 2 4 3 6" xfId="0"/>
    <cellStyle name="Normal 61 2 2 4 3 6 2" xfId="0"/>
    <cellStyle name="Normal 61 2 2 4 3 6 2 2" xfId="0"/>
    <cellStyle name="Normal 61 2 2 4 3 6 3" xfId="0"/>
    <cellStyle name="Normal 61 2 2 4 3 7" xfId="0"/>
    <cellStyle name="Normal 61 2 2 4 3 7 2" xfId="0"/>
    <cellStyle name="Normal 61 2 2 4 3 8" xfId="0"/>
    <cellStyle name="Normal 61 2 2 4 4" xfId="0"/>
    <cellStyle name="Normal 61 2 2 4 4 2" xfId="0"/>
    <cellStyle name="Normal 61 2 2 4 4 2 2" xfId="0"/>
    <cellStyle name="Normal 61 2 2 4 4 2 2 2" xfId="0"/>
    <cellStyle name="Normal 61 2 2 4 4 2 2 2 2" xfId="0"/>
    <cellStyle name="Normal 61 2 2 4 4 2 2 2 2 2" xfId="0"/>
    <cellStyle name="Normal 61 2 2 4 4 2 2 2 3" xfId="0"/>
    <cellStyle name="Normal 61 2 2 4 4 2 2 3" xfId="0"/>
    <cellStyle name="Normal 61 2 2 4 4 2 2 3 2" xfId="0"/>
    <cellStyle name="Normal 61 2 2 4 4 2 2 3 2 2" xfId="0"/>
    <cellStyle name="Normal 61 2 2 4 4 2 2 3 3" xfId="0"/>
    <cellStyle name="Normal 61 2 2 4 4 2 2 4" xfId="0"/>
    <cellStyle name="Normal 61 2 2 4 4 2 2 4 2" xfId="0"/>
    <cellStyle name="Normal 61 2 2 4 4 2 2 5" xfId="0"/>
    <cellStyle name="Normal 61 2 2 4 4 2 3" xfId="0"/>
    <cellStyle name="Normal 61 2 2 4 4 2 3 2" xfId="0"/>
    <cellStyle name="Normal 61 2 2 4 4 2 3 2 2" xfId="0"/>
    <cellStyle name="Normal 61 2 2 4 4 2 3 3" xfId="0"/>
    <cellStyle name="Normal 61 2 2 4 4 2 4" xfId="0"/>
    <cellStyle name="Normal 61 2 2 4 4 2 4 2" xfId="0"/>
    <cellStyle name="Normal 61 2 2 4 4 2 4 2 2" xfId="0"/>
    <cellStyle name="Normal 61 2 2 4 4 2 4 3" xfId="0"/>
    <cellStyle name="Normal 61 2 2 4 4 2 5" xfId="0"/>
    <cellStyle name="Normal 61 2 2 4 4 2 5 2" xfId="0"/>
    <cellStyle name="Normal 61 2 2 4 4 2 6" xfId="0"/>
    <cellStyle name="Normal 61 2 2 4 4 3" xfId="0"/>
    <cellStyle name="Normal 61 2 2 4 4 3 2" xfId="0"/>
    <cellStyle name="Normal 61 2 2 4 4 3 2 2" xfId="0"/>
    <cellStyle name="Normal 61 2 2 4 4 3 2 2 2" xfId="0"/>
    <cellStyle name="Normal 61 2 2 4 4 3 2 3" xfId="0"/>
    <cellStyle name="Normal 61 2 2 4 4 3 3" xfId="0"/>
    <cellStyle name="Normal 61 2 2 4 4 3 3 2" xfId="0"/>
    <cellStyle name="Normal 61 2 2 4 4 3 3 2 2" xfId="0"/>
    <cellStyle name="Normal 61 2 2 4 4 3 3 3" xfId="0"/>
    <cellStyle name="Normal 61 2 2 4 4 3 4" xfId="0"/>
    <cellStyle name="Normal 61 2 2 4 4 3 4 2" xfId="0"/>
    <cellStyle name="Normal 61 2 2 4 4 3 5" xfId="0"/>
    <cellStyle name="Normal 61 2 2 4 4 4" xfId="0"/>
    <cellStyle name="Normal 61 2 2 4 4 4 2" xfId="0"/>
    <cellStyle name="Normal 61 2 2 4 4 4 2 2" xfId="0"/>
    <cellStyle name="Normal 61 2 2 4 4 4 3" xfId="0"/>
    <cellStyle name="Normal 61 2 2 4 4 5" xfId="0"/>
    <cellStyle name="Normal 61 2 2 4 4 5 2" xfId="0"/>
    <cellStyle name="Normal 61 2 2 4 4 5 2 2" xfId="0"/>
    <cellStyle name="Normal 61 2 2 4 4 5 3" xfId="0"/>
    <cellStyle name="Normal 61 2 2 4 4 6" xfId="0"/>
    <cellStyle name="Normal 61 2 2 4 4 6 2" xfId="0"/>
    <cellStyle name="Normal 61 2 2 4 4 7" xfId="0"/>
    <cellStyle name="Normal 61 2 2 4 5" xfId="0"/>
    <cellStyle name="Normal 61 2 2 4 5 2" xfId="0"/>
    <cellStyle name="Normal 61 2 2 4 5 2 2" xfId="0"/>
    <cellStyle name="Normal 61 2 2 4 5 2 2 2" xfId="0"/>
    <cellStyle name="Normal 61 2 2 4 5 2 2 2 2" xfId="0"/>
    <cellStyle name="Normal 61 2 2 4 5 2 2 3" xfId="0"/>
    <cellStyle name="Normal 61 2 2 4 5 2 3" xfId="0"/>
    <cellStyle name="Normal 61 2 2 4 5 2 3 2" xfId="0"/>
    <cellStyle name="Normal 61 2 2 4 5 2 3 2 2" xfId="0"/>
    <cellStyle name="Normal 61 2 2 4 5 2 3 3" xfId="0"/>
    <cellStyle name="Normal 61 2 2 4 5 2 4" xfId="0"/>
    <cellStyle name="Normal 61 2 2 4 5 2 4 2" xfId="0"/>
    <cellStyle name="Normal 61 2 2 4 5 2 5" xfId="0"/>
    <cellStyle name="Normal 61 2 2 4 5 3" xfId="0"/>
    <cellStyle name="Normal 61 2 2 4 5 3 2" xfId="0"/>
    <cellStyle name="Normal 61 2 2 4 5 3 2 2" xfId="0"/>
    <cellStyle name="Normal 61 2 2 4 5 3 3" xfId="0"/>
    <cellStyle name="Normal 61 2 2 4 5 4" xfId="0"/>
    <cellStyle name="Normal 61 2 2 4 5 4 2" xfId="0"/>
    <cellStyle name="Normal 61 2 2 4 5 4 2 2" xfId="0"/>
    <cellStyle name="Normal 61 2 2 4 5 4 3" xfId="0"/>
    <cellStyle name="Normal 61 2 2 4 5 5" xfId="0"/>
    <cellStyle name="Normal 61 2 2 4 5 5 2" xfId="0"/>
    <cellStyle name="Normal 61 2 2 4 5 6" xfId="0"/>
    <cellStyle name="Normal 61 2 2 4 6" xfId="0"/>
    <cellStyle name="Normal 61 2 2 4 6 2" xfId="0"/>
    <cellStyle name="Normal 61 2 2 4 6 2 2" xfId="0"/>
    <cellStyle name="Normal 61 2 2 4 6 2 2 2" xfId="0"/>
    <cellStyle name="Normal 61 2 2 4 6 2 3" xfId="0"/>
    <cellStyle name="Normal 61 2 2 4 6 3" xfId="0"/>
    <cellStyle name="Normal 61 2 2 4 6 3 2" xfId="0"/>
    <cellStyle name="Normal 61 2 2 4 6 3 2 2" xfId="0"/>
    <cellStyle name="Normal 61 2 2 4 6 3 3" xfId="0"/>
    <cellStyle name="Normal 61 2 2 4 6 4" xfId="0"/>
    <cellStyle name="Normal 61 2 2 4 6 4 2" xfId="0"/>
    <cellStyle name="Normal 61 2 2 4 6 5" xfId="0"/>
    <cellStyle name="Normal 61 2 2 4 7" xfId="0"/>
    <cellStyle name="Normal 61 2 2 4 7 2" xfId="0"/>
    <cellStyle name="Normal 61 2 2 4 7 2 2" xfId="0"/>
    <cellStyle name="Normal 61 2 2 4 7 3" xfId="0"/>
    <cellStyle name="Normal 61 2 2 4 8" xfId="0"/>
    <cellStyle name="Normal 61 2 2 4 8 2" xfId="0"/>
    <cellStyle name="Normal 61 2 2 4 8 2 2" xfId="0"/>
    <cellStyle name="Normal 61 2 2 4 8 3" xfId="0"/>
    <cellStyle name="Normal 61 2 2 4 9" xfId="0"/>
    <cellStyle name="Normal 61 2 2 4 9 2" xfId="0"/>
    <cellStyle name="Normal 61 2 2 5" xfId="0"/>
    <cellStyle name="Normal 61 2 2 5 2" xfId="0"/>
    <cellStyle name="Normal 61 2 2 5 2 2" xfId="0"/>
    <cellStyle name="Normal 61 2 2 5 2 2 2" xfId="0"/>
    <cellStyle name="Normal 61 2 2 5 2 2 2 2" xfId="0"/>
    <cellStyle name="Normal 61 2 2 5 2 2 2 2 2" xfId="0"/>
    <cellStyle name="Normal 61 2 2 5 2 2 2 2 2 2" xfId="0"/>
    <cellStyle name="Normal 61 2 2 5 2 2 2 2 2 2 2" xfId="0"/>
    <cellStyle name="Normal 61 2 2 5 2 2 2 2 2 3" xfId="0"/>
    <cellStyle name="Normal 61 2 2 5 2 2 2 2 3" xfId="0"/>
    <cellStyle name="Normal 61 2 2 5 2 2 2 2 3 2" xfId="0"/>
    <cellStyle name="Normal 61 2 2 5 2 2 2 2 3 2 2" xfId="0"/>
    <cellStyle name="Normal 61 2 2 5 2 2 2 2 3 3" xfId="0"/>
    <cellStyle name="Normal 61 2 2 5 2 2 2 2 4" xfId="0"/>
    <cellStyle name="Normal 61 2 2 5 2 2 2 2 4 2" xfId="0"/>
    <cellStyle name="Normal 61 2 2 5 2 2 2 2 5" xfId="0"/>
    <cellStyle name="Normal 61 2 2 5 2 2 2 3" xfId="0"/>
    <cellStyle name="Normal 61 2 2 5 2 2 2 3 2" xfId="0"/>
    <cellStyle name="Normal 61 2 2 5 2 2 2 3 2 2" xfId="0"/>
    <cellStyle name="Normal 61 2 2 5 2 2 2 3 3" xfId="0"/>
    <cellStyle name="Normal 61 2 2 5 2 2 2 4" xfId="0"/>
    <cellStyle name="Normal 61 2 2 5 2 2 2 4 2" xfId="0"/>
    <cellStyle name="Normal 61 2 2 5 2 2 2 4 2 2" xfId="0"/>
    <cellStyle name="Normal 61 2 2 5 2 2 2 4 3" xfId="0"/>
    <cellStyle name="Normal 61 2 2 5 2 2 2 5" xfId="0"/>
    <cellStyle name="Normal 61 2 2 5 2 2 2 5 2" xfId="0"/>
    <cellStyle name="Normal 61 2 2 5 2 2 2 6" xfId="0"/>
    <cellStyle name="Normal 61 2 2 5 2 2 3" xfId="0"/>
    <cellStyle name="Normal 61 2 2 5 2 2 3 2" xfId="0"/>
    <cellStyle name="Normal 61 2 2 5 2 2 3 2 2" xfId="0"/>
    <cellStyle name="Normal 61 2 2 5 2 2 3 2 2 2" xfId="0"/>
    <cellStyle name="Normal 61 2 2 5 2 2 3 2 3" xfId="0"/>
    <cellStyle name="Normal 61 2 2 5 2 2 3 3" xfId="0"/>
    <cellStyle name="Normal 61 2 2 5 2 2 3 3 2" xfId="0"/>
    <cellStyle name="Normal 61 2 2 5 2 2 3 3 2 2" xfId="0"/>
    <cellStyle name="Normal 61 2 2 5 2 2 3 3 3" xfId="0"/>
    <cellStyle name="Normal 61 2 2 5 2 2 3 4" xfId="0"/>
    <cellStyle name="Normal 61 2 2 5 2 2 3 4 2" xfId="0"/>
    <cellStyle name="Normal 61 2 2 5 2 2 3 5" xfId="0"/>
    <cellStyle name="Normal 61 2 2 5 2 2 4" xfId="0"/>
    <cellStyle name="Normal 61 2 2 5 2 2 4 2" xfId="0"/>
    <cellStyle name="Normal 61 2 2 5 2 2 4 2 2" xfId="0"/>
    <cellStyle name="Normal 61 2 2 5 2 2 4 3" xfId="0"/>
    <cellStyle name="Normal 61 2 2 5 2 2 5" xfId="0"/>
    <cellStyle name="Normal 61 2 2 5 2 2 5 2" xfId="0"/>
    <cellStyle name="Normal 61 2 2 5 2 2 5 2 2" xfId="0"/>
    <cellStyle name="Normal 61 2 2 5 2 2 5 3" xfId="0"/>
    <cellStyle name="Normal 61 2 2 5 2 2 6" xfId="0"/>
    <cellStyle name="Normal 61 2 2 5 2 2 6 2" xfId="0"/>
    <cellStyle name="Normal 61 2 2 5 2 2 7" xfId="0"/>
    <cellStyle name="Normal 61 2 2 5 2 3" xfId="0"/>
    <cellStyle name="Normal 61 2 2 5 2 3 2" xfId="0"/>
    <cellStyle name="Normal 61 2 2 5 2 3 2 2" xfId="0"/>
    <cellStyle name="Normal 61 2 2 5 2 3 2 2 2" xfId="0"/>
    <cellStyle name="Normal 61 2 2 5 2 3 2 2 2 2" xfId="0"/>
    <cellStyle name="Normal 61 2 2 5 2 3 2 2 3" xfId="0"/>
    <cellStyle name="Normal 61 2 2 5 2 3 2 3" xfId="0"/>
    <cellStyle name="Normal 61 2 2 5 2 3 2 3 2" xfId="0"/>
    <cellStyle name="Normal 61 2 2 5 2 3 2 3 2 2" xfId="0"/>
    <cellStyle name="Normal 61 2 2 5 2 3 2 3 3" xfId="0"/>
    <cellStyle name="Normal 61 2 2 5 2 3 2 4" xfId="0"/>
    <cellStyle name="Normal 61 2 2 5 2 3 2 4 2" xfId="0"/>
    <cellStyle name="Normal 61 2 2 5 2 3 2 5" xfId="0"/>
    <cellStyle name="Normal 61 2 2 5 2 3 3" xfId="0"/>
    <cellStyle name="Normal 61 2 2 5 2 3 3 2" xfId="0"/>
    <cellStyle name="Normal 61 2 2 5 2 3 3 2 2" xfId="0"/>
    <cellStyle name="Normal 61 2 2 5 2 3 3 3" xfId="0"/>
    <cellStyle name="Normal 61 2 2 5 2 3 4" xfId="0"/>
    <cellStyle name="Normal 61 2 2 5 2 3 4 2" xfId="0"/>
    <cellStyle name="Normal 61 2 2 5 2 3 4 2 2" xfId="0"/>
    <cellStyle name="Normal 61 2 2 5 2 3 4 3" xfId="0"/>
    <cellStyle name="Normal 61 2 2 5 2 3 5" xfId="0"/>
    <cellStyle name="Normal 61 2 2 5 2 3 5 2" xfId="0"/>
    <cellStyle name="Normal 61 2 2 5 2 3 6" xfId="0"/>
    <cellStyle name="Normal 61 2 2 5 2 4" xfId="0"/>
    <cellStyle name="Normal 61 2 2 5 2 4 2" xfId="0"/>
    <cellStyle name="Normal 61 2 2 5 2 4 2 2" xfId="0"/>
    <cellStyle name="Normal 61 2 2 5 2 4 2 2 2" xfId="0"/>
    <cellStyle name="Normal 61 2 2 5 2 4 2 3" xfId="0"/>
    <cellStyle name="Normal 61 2 2 5 2 4 3" xfId="0"/>
    <cellStyle name="Normal 61 2 2 5 2 4 3 2" xfId="0"/>
    <cellStyle name="Normal 61 2 2 5 2 4 3 2 2" xfId="0"/>
    <cellStyle name="Normal 61 2 2 5 2 4 3 3" xfId="0"/>
    <cellStyle name="Normal 61 2 2 5 2 4 4" xfId="0"/>
    <cellStyle name="Normal 61 2 2 5 2 4 4 2" xfId="0"/>
    <cellStyle name="Normal 61 2 2 5 2 4 5" xfId="0"/>
    <cellStyle name="Normal 61 2 2 5 2 5" xfId="0"/>
    <cellStyle name="Normal 61 2 2 5 2 5 2" xfId="0"/>
    <cellStyle name="Normal 61 2 2 5 2 5 2 2" xfId="0"/>
    <cellStyle name="Normal 61 2 2 5 2 5 3" xfId="0"/>
    <cellStyle name="Normal 61 2 2 5 2 6" xfId="0"/>
    <cellStyle name="Normal 61 2 2 5 2 6 2" xfId="0"/>
    <cellStyle name="Normal 61 2 2 5 2 6 2 2" xfId="0"/>
    <cellStyle name="Normal 61 2 2 5 2 6 3" xfId="0"/>
    <cellStyle name="Normal 61 2 2 5 2 7" xfId="0"/>
    <cellStyle name="Normal 61 2 2 5 2 7 2" xfId="0"/>
    <cellStyle name="Normal 61 2 2 5 2 8" xfId="0"/>
    <cellStyle name="Normal 61 2 2 5 3" xfId="0"/>
    <cellStyle name="Normal 61 2 2 5 3 2" xfId="0"/>
    <cellStyle name="Normal 61 2 2 5 3 2 2" xfId="0"/>
    <cellStyle name="Normal 61 2 2 5 3 2 2 2" xfId="0"/>
    <cellStyle name="Normal 61 2 2 5 3 2 2 2 2" xfId="0"/>
    <cellStyle name="Normal 61 2 2 5 3 2 2 2 2 2" xfId="0"/>
    <cellStyle name="Normal 61 2 2 5 3 2 2 2 3" xfId="0"/>
    <cellStyle name="Normal 61 2 2 5 3 2 2 3" xfId="0"/>
    <cellStyle name="Normal 61 2 2 5 3 2 2 3 2" xfId="0"/>
    <cellStyle name="Normal 61 2 2 5 3 2 2 3 2 2" xfId="0"/>
    <cellStyle name="Normal 61 2 2 5 3 2 2 3 3" xfId="0"/>
    <cellStyle name="Normal 61 2 2 5 3 2 2 4" xfId="0"/>
    <cellStyle name="Normal 61 2 2 5 3 2 2 4 2" xfId="0"/>
    <cellStyle name="Normal 61 2 2 5 3 2 2 5" xfId="0"/>
    <cellStyle name="Normal 61 2 2 5 3 2 3" xfId="0"/>
    <cellStyle name="Normal 61 2 2 5 3 2 3 2" xfId="0"/>
    <cellStyle name="Normal 61 2 2 5 3 2 3 2 2" xfId="0"/>
    <cellStyle name="Normal 61 2 2 5 3 2 3 3" xfId="0"/>
    <cellStyle name="Normal 61 2 2 5 3 2 4" xfId="0"/>
    <cellStyle name="Normal 61 2 2 5 3 2 4 2" xfId="0"/>
    <cellStyle name="Normal 61 2 2 5 3 2 4 2 2" xfId="0"/>
    <cellStyle name="Normal 61 2 2 5 3 2 4 3" xfId="0"/>
    <cellStyle name="Normal 61 2 2 5 3 2 5" xfId="0"/>
    <cellStyle name="Normal 61 2 2 5 3 2 5 2" xfId="0"/>
    <cellStyle name="Normal 61 2 2 5 3 2 6" xfId="0"/>
    <cellStyle name="Normal 61 2 2 5 3 3" xfId="0"/>
    <cellStyle name="Normal 61 2 2 5 3 3 2" xfId="0"/>
    <cellStyle name="Normal 61 2 2 5 3 3 2 2" xfId="0"/>
    <cellStyle name="Normal 61 2 2 5 3 3 2 2 2" xfId="0"/>
    <cellStyle name="Normal 61 2 2 5 3 3 2 3" xfId="0"/>
    <cellStyle name="Normal 61 2 2 5 3 3 3" xfId="0"/>
    <cellStyle name="Normal 61 2 2 5 3 3 3 2" xfId="0"/>
    <cellStyle name="Normal 61 2 2 5 3 3 3 2 2" xfId="0"/>
    <cellStyle name="Normal 61 2 2 5 3 3 3 3" xfId="0"/>
    <cellStyle name="Normal 61 2 2 5 3 3 4" xfId="0"/>
    <cellStyle name="Normal 61 2 2 5 3 3 4 2" xfId="0"/>
    <cellStyle name="Normal 61 2 2 5 3 3 5" xfId="0"/>
    <cellStyle name="Normal 61 2 2 5 3 4" xfId="0"/>
    <cellStyle name="Normal 61 2 2 5 3 4 2" xfId="0"/>
    <cellStyle name="Normal 61 2 2 5 3 4 2 2" xfId="0"/>
    <cellStyle name="Normal 61 2 2 5 3 4 3" xfId="0"/>
    <cellStyle name="Normal 61 2 2 5 3 5" xfId="0"/>
    <cellStyle name="Normal 61 2 2 5 3 5 2" xfId="0"/>
    <cellStyle name="Normal 61 2 2 5 3 5 2 2" xfId="0"/>
    <cellStyle name="Normal 61 2 2 5 3 5 3" xfId="0"/>
    <cellStyle name="Normal 61 2 2 5 3 6" xfId="0"/>
    <cellStyle name="Normal 61 2 2 5 3 6 2" xfId="0"/>
    <cellStyle name="Normal 61 2 2 5 3 7" xfId="0"/>
    <cellStyle name="Normal 61 2 2 5 4" xfId="0"/>
    <cellStyle name="Normal 61 2 2 5 4 2" xfId="0"/>
    <cellStyle name="Normal 61 2 2 5 4 2 2" xfId="0"/>
    <cellStyle name="Normal 61 2 2 5 4 2 2 2" xfId="0"/>
    <cellStyle name="Normal 61 2 2 5 4 2 2 2 2" xfId="0"/>
    <cellStyle name="Normal 61 2 2 5 4 2 2 3" xfId="0"/>
    <cellStyle name="Normal 61 2 2 5 4 2 3" xfId="0"/>
    <cellStyle name="Normal 61 2 2 5 4 2 3 2" xfId="0"/>
    <cellStyle name="Normal 61 2 2 5 4 2 3 2 2" xfId="0"/>
    <cellStyle name="Normal 61 2 2 5 4 2 3 3" xfId="0"/>
    <cellStyle name="Normal 61 2 2 5 4 2 4" xfId="0"/>
    <cellStyle name="Normal 61 2 2 5 4 2 4 2" xfId="0"/>
    <cellStyle name="Normal 61 2 2 5 4 2 5" xfId="0"/>
    <cellStyle name="Normal 61 2 2 5 4 3" xfId="0"/>
    <cellStyle name="Normal 61 2 2 5 4 3 2" xfId="0"/>
    <cellStyle name="Normal 61 2 2 5 4 3 2 2" xfId="0"/>
    <cellStyle name="Normal 61 2 2 5 4 3 3" xfId="0"/>
    <cellStyle name="Normal 61 2 2 5 4 4" xfId="0"/>
    <cellStyle name="Normal 61 2 2 5 4 4 2" xfId="0"/>
    <cellStyle name="Normal 61 2 2 5 4 4 2 2" xfId="0"/>
    <cellStyle name="Normal 61 2 2 5 4 4 3" xfId="0"/>
    <cellStyle name="Normal 61 2 2 5 4 5" xfId="0"/>
    <cellStyle name="Normal 61 2 2 5 4 5 2" xfId="0"/>
    <cellStyle name="Normal 61 2 2 5 4 6" xfId="0"/>
    <cellStyle name="Normal 61 2 2 5 5" xfId="0"/>
    <cellStyle name="Normal 61 2 2 5 5 2" xfId="0"/>
    <cellStyle name="Normal 61 2 2 5 5 2 2" xfId="0"/>
    <cellStyle name="Normal 61 2 2 5 5 2 2 2" xfId="0"/>
    <cellStyle name="Normal 61 2 2 5 5 2 3" xfId="0"/>
    <cellStyle name="Normal 61 2 2 5 5 3" xfId="0"/>
    <cellStyle name="Normal 61 2 2 5 5 3 2" xfId="0"/>
    <cellStyle name="Normal 61 2 2 5 5 3 2 2" xfId="0"/>
    <cellStyle name="Normal 61 2 2 5 5 3 3" xfId="0"/>
    <cellStyle name="Normal 61 2 2 5 5 4" xfId="0"/>
    <cellStyle name="Normal 61 2 2 5 5 4 2" xfId="0"/>
    <cellStyle name="Normal 61 2 2 5 5 5" xfId="0"/>
    <cellStyle name="Normal 61 2 2 5 6" xfId="0"/>
    <cellStyle name="Normal 61 2 2 5 6 2" xfId="0"/>
    <cellStyle name="Normal 61 2 2 5 6 2 2" xfId="0"/>
    <cellStyle name="Normal 61 2 2 5 6 3" xfId="0"/>
    <cellStyle name="Normal 61 2 2 5 7" xfId="0"/>
    <cellStyle name="Normal 61 2 2 5 7 2" xfId="0"/>
    <cellStyle name="Normal 61 2 2 5 7 2 2" xfId="0"/>
    <cellStyle name="Normal 61 2 2 5 7 3" xfId="0"/>
    <cellStyle name="Normal 61 2 2 5 8" xfId="0"/>
    <cellStyle name="Normal 61 2 2 5 8 2" xfId="0"/>
    <cellStyle name="Normal 61 2 2 5 9" xfId="0"/>
    <cellStyle name="Normal 61 2 2 6" xfId="0"/>
    <cellStyle name="Normal 61 2 2 6 2" xfId="0"/>
    <cellStyle name="Normal 61 2 2 6 2 2" xfId="0"/>
    <cellStyle name="Normal 61 2 2 6 2 2 2" xfId="0"/>
    <cellStyle name="Normal 61 2 2 6 2 2 2 2" xfId="0"/>
    <cellStyle name="Normal 61 2 2 6 2 2 2 2 2" xfId="0"/>
    <cellStyle name="Normal 61 2 2 6 2 2 2 2 2 2" xfId="0"/>
    <cellStyle name="Normal 61 2 2 6 2 2 2 2 3" xfId="0"/>
    <cellStyle name="Normal 61 2 2 6 2 2 2 3" xfId="0"/>
    <cellStyle name="Normal 61 2 2 6 2 2 2 3 2" xfId="0"/>
    <cellStyle name="Normal 61 2 2 6 2 2 2 3 2 2" xfId="0"/>
    <cellStyle name="Normal 61 2 2 6 2 2 2 3 3" xfId="0"/>
    <cellStyle name="Normal 61 2 2 6 2 2 2 4" xfId="0"/>
    <cellStyle name="Normal 61 2 2 6 2 2 2 4 2" xfId="0"/>
    <cellStyle name="Normal 61 2 2 6 2 2 2 5" xfId="0"/>
    <cellStyle name="Normal 61 2 2 6 2 2 3" xfId="0"/>
    <cellStyle name="Normal 61 2 2 6 2 2 3 2" xfId="0"/>
    <cellStyle name="Normal 61 2 2 6 2 2 3 2 2" xfId="0"/>
    <cellStyle name="Normal 61 2 2 6 2 2 3 3" xfId="0"/>
    <cellStyle name="Normal 61 2 2 6 2 2 4" xfId="0"/>
    <cellStyle name="Normal 61 2 2 6 2 2 4 2" xfId="0"/>
    <cellStyle name="Normal 61 2 2 6 2 2 4 2 2" xfId="0"/>
    <cellStyle name="Normal 61 2 2 6 2 2 4 3" xfId="0"/>
    <cellStyle name="Normal 61 2 2 6 2 2 5" xfId="0"/>
    <cellStyle name="Normal 61 2 2 6 2 2 5 2" xfId="0"/>
    <cellStyle name="Normal 61 2 2 6 2 2 6" xfId="0"/>
    <cellStyle name="Normal 61 2 2 6 2 3" xfId="0"/>
    <cellStyle name="Normal 61 2 2 6 2 3 2" xfId="0"/>
    <cellStyle name="Normal 61 2 2 6 2 3 2 2" xfId="0"/>
    <cellStyle name="Normal 61 2 2 6 2 3 2 2 2" xfId="0"/>
    <cellStyle name="Normal 61 2 2 6 2 3 2 3" xfId="0"/>
    <cellStyle name="Normal 61 2 2 6 2 3 3" xfId="0"/>
    <cellStyle name="Normal 61 2 2 6 2 3 3 2" xfId="0"/>
    <cellStyle name="Normal 61 2 2 6 2 3 3 2 2" xfId="0"/>
    <cellStyle name="Normal 61 2 2 6 2 3 3 3" xfId="0"/>
    <cellStyle name="Normal 61 2 2 6 2 3 4" xfId="0"/>
    <cellStyle name="Normal 61 2 2 6 2 3 4 2" xfId="0"/>
    <cellStyle name="Normal 61 2 2 6 2 3 5" xfId="0"/>
    <cellStyle name="Normal 61 2 2 6 2 4" xfId="0"/>
    <cellStyle name="Normal 61 2 2 6 2 4 2" xfId="0"/>
    <cellStyle name="Normal 61 2 2 6 2 4 2 2" xfId="0"/>
    <cellStyle name="Normal 61 2 2 6 2 4 3" xfId="0"/>
    <cellStyle name="Normal 61 2 2 6 2 5" xfId="0"/>
    <cellStyle name="Normal 61 2 2 6 2 5 2" xfId="0"/>
    <cellStyle name="Normal 61 2 2 6 2 5 2 2" xfId="0"/>
    <cellStyle name="Normal 61 2 2 6 2 5 3" xfId="0"/>
    <cellStyle name="Normal 61 2 2 6 2 6" xfId="0"/>
    <cellStyle name="Normal 61 2 2 6 2 6 2" xfId="0"/>
    <cellStyle name="Normal 61 2 2 6 2 7" xfId="0"/>
    <cellStyle name="Normal 61 2 2 6 3" xfId="0"/>
    <cellStyle name="Normal 61 2 2 6 3 2" xfId="0"/>
    <cellStyle name="Normal 61 2 2 6 3 2 2" xfId="0"/>
    <cellStyle name="Normal 61 2 2 6 3 2 2 2" xfId="0"/>
    <cellStyle name="Normal 61 2 2 6 3 2 2 2 2" xfId="0"/>
    <cellStyle name="Normal 61 2 2 6 3 2 2 3" xfId="0"/>
    <cellStyle name="Normal 61 2 2 6 3 2 3" xfId="0"/>
    <cellStyle name="Normal 61 2 2 6 3 2 3 2" xfId="0"/>
    <cellStyle name="Normal 61 2 2 6 3 2 3 2 2" xfId="0"/>
    <cellStyle name="Normal 61 2 2 6 3 2 3 3" xfId="0"/>
    <cellStyle name="Normal 61 2 2 6 3 2 4" xfId="0"/>
    <cellStyle name="Normal 61 2 2 6 3 2 4 2" xfId="0"/>
    <cellStyle name="Normal 61 2 2 6 3 2 5" xfId="0"/>
    <cellStyle name="Normal 61 2 2 6 3 3" xfId="0"/>
    <cellStyle name="Normal 61 2 2 6 3 3 2" xfId="0"/>
    <cellStyle name="Normal 61 2 2 6 3 3 2 2" xfId="0"/>
    <cellStyle name="Normal 61 2 2 6 3 3 3" xfId="0"/>
    <cellStyle name="Normal 61 2 2 6 3 4" xfId="0"/>
    <cellStyle name="Normal 61 2 2 6 3 4 2" xfId="0"/>
    <cellStyle name="Normal 61 2 2 6 3 4 2 2" xfId="0"/>
    <cellStyle name="Normal 61 2 2 6 3 4 3" xfId="0"/>
    <cellStyle name="Normal 61 2 2 6 3 5" xfId="0"/>
    <cellStyle name="Normal 61 2 2 6 3 5 2" xfId="0"/>
    <cellStyle name="Normal 61 2 2 6 3 6" xfId="0"/>
    <cellStyle name="Normal 61 2 2 6 4" xfId="0"/>
    <cellStyle name="Normal 61 2 2 6 4 2" xfId="0"/>
    <cellStyle name="Normal 61 2 2 6 4 2 2" xfId="0"/>
    <cellStyle name="Normal 61 2 2 6 4 2 2 2" xfId="0"/>
    <cellStyle name="Normal 61 2 2 6 4 2 3" xfId="0"/>
    <cellStyle name="Normal 61 2 2 6 4 3" xfId="0"/>
    <cellStyle name="Normal 61 2 2 6 4 3 2" xfId="0"/>
    <cellStyle name="Normal 61 2 2 6 4 3 2 2" xfId="0"/>
    <cellStyle name="Normal 61 2 2 6 4 3 3" xfId="0"/>
    <cellStyle name="Normal 61 2 2 6 4 4" xfId="0"/>
    <cellStyle name="Normal 61 2 2 6 4 4 2" xfId="0"/>
    <cellStyle name="Normal 61 2 2 6 4 5" xfId="0"/>
    <cellStyle name="Normal 61 2 2 6 5" xfId="0"/>
    <cellStyle name="Normal 61 2 2 6 5 2" xfId="0"/>
    <cellStyle name="Normal 61 2 2 6 5 2 2" xfId="0"/>
    <cellStyle name="Normal 61 2 2 6 5 3" xfId="0"/>
    <cellStyle name="Normal 61 2 2 6 6" xfId="0"/>
    <cellStyle name="Normal 61 2 2 6 6 2" xfId="0"/>
    <cellStyle name="Normal 61 2 2 6 6 2 2" xfId="0"/>
    <cellStyle name="Normal 61 2 2 6 6 3" xfId="0"/>
    <cellStyle name="Normal 61 2 2 6 7" xfId="0"/>
    <cellStyle name="Normal 61 2 2 6 7 2" xfId="0"/>
    <cellStyle name="Normal 61 2 2 6 8" xfId="0"/>
    <cellStyle name="Normal 61 2 2 7" xfId="0"/>
    <cellStyle name="Normal 61 2 2 7 2" xfId="0"/>
    <cellStyle name="Normal 61 2 2 7 2 2" xfId="0"/>
    <cellStyle name="Normal 61 2 2 7 2 2 2" xfId="0"/>
    <cellStyle name="Normal 61 2 2 7 2 2 2 2" xfId="0"/>
    <cellStyle name="Normal 61 2 2 7 2 2 2 2 2" xfId="0"/>
    <cellStyle name="Normal 61 2 2 7 2 2 2 3" xfId="0"/>
    <cellStyle name="Normal 61 2 2 7 2 2 3" xfId="0"/>
    <cellStyle name="Normal 61 2 2 7 2 2 3 2" xfId="0"/>
    <cellStyle name="Normal 61 2 2 7 2 2 3 2 2" xfId="0"/>
    <cellStyle name="Normal 61 2 2 7 2 2 3 3" xfId="0"/>
    <cellStyle name="Normal 61 2 2 7 2 2 4" xfId="0"/>
    <cellStyle name="Normal 61 2 2 7 2 2 4 2" xfId="0"/>
    <cellStyle name="Normal 61 2 2 7 2 2 5" xfId="0"/>
    <cellStyle name="Normal 61 2 2 7 2 3" xfId="0"/>
    <cellStyle name="Normal 61 2 2 7 2 3 2" xfId="0"/>
    <cellStyle name="Normal 61 2 2 7 2 3 2 2" xfId="0"/>
    <cellStyle name="Normal 61 2 2 7 2 3 3" xfId="0"/>
    <cellStyle name="Normal 61 2 2 7 2 4" xfId="0"/>
    <cellStyle name="Normal 61 2 2 7 2 4 2" xfId="0"/>
    <cellStyle name="Normal 61 2 2 7 2 4 2 2" xfId="0"/>
    <cellStyle name="Normal 61 2 2 7 2 4 3" xfId="0"/>
    <cellStyle name="Normal 61 2 2 7 2 5" xfId="0"/>
    <cellStyle name="Normal 61 2 2 7 2 5 2" xfId="0"/>
    <cellStyle name="Normal 61 2 2 7 2 6" xfId="0"/>
    <cellStyle name="Normal 61 2 2 7 3" xfId="0"/>
    <cellStyle name="Normal 61 2 2 7 3 2" xfId="0"/>
    <cellStyle name="Normal 61 2 2 7 3 2 2" xfId="0"/>
    <cellStyle name="Normal 61 2 2 7 3 2 2 2" xfId="0"/>
    <cellStyle name="Normal 61 2 2 7 3 2 3" xfId="0"/>
    <cellStyle name="Normal 61 2 2 7 3 3" xfId="0"/>
    <cellStyle name="Normal 61 2 2 7 3 3 2" xfId="0"/>
    <cellStyle name="Normal 61 2 2 7 3 3 2 2" xfId="0"/>
    <cellStyle name="Normal 61 2 2 7 3 3 3" xfId="0"/>
    <cellStyle name="Normal 61 2 2 7 3 4" xfId="0"/>
    <cellStyle name="Normal 61 2 2 7 3 4 2" xfId="0"/>
    <cellStyle name="Normal 61 2 2 7 3 5" xfId="0"/>
    <cellStyle name="Normal 61 2 2 7 4" xfId="0"/>
    <cellStyle name="Normal 61 2 2 7 4 2" xfId="0"/>
    <cellStyle name="Normal 61 2 2 7 4 2 2" xfId="0"/>
    <cellStyle name="Normal 61 2 2 7 4 3" xfId="0"/>
    <cellStyle name="Normal 61 2 2 7 5" xfId="0"/>
    <cellStyle name="Normal 61 2 2 7 5 2" xfId="0"/>
    <cellStyle name="Normal 61 2 2 7 5 2 2" xfId="0"/>
    <cellStyle name="Normal 61 2 2 7 5 3" xfId="0"/>
    <cellStyle name="Normal 61 2 2 7 6" xfId="0"/>
    <cellStyle name="Normal 61 2 2 7 6 2" xfId="0"/>
    <cellStyle name="Normal 61 2 2 7 7" xfId="0"/>
    <cellStyle name="Normal 61 2 2 8" xfId="0"/>
    <cellStyle name="Normal 61 2 2 8 2" xfId="0"/>
    <cellStyle name="Normal 61 2 2 8 2 2" xfId="0"/>
    <cellStyle name="Normal 61 2 2 8 2 2 2" xfId="0"/>
    <cellStyle name="Normal 61 2 2 8 2 2 2 2" xfId="0"/>
    <cellStyle name="Normal 61 2 2 8 2 2 3" xfId="0"/>
    <cellStyle name="Normal 61 2 2 8 2 3" xfId="0"/>
    <cellStyle name="Normal 61 2 2 8 2 3 2" xfId="0"/>
    <cellStyle name="Normal 61 2 2 8 2 3 2 2" xfId="0"/>
    <cellStyle name="Normal 61 2 2 8 2 3 3" xfId="0"/>
    <cellStyle name="Normal 61 2 2 8 2 4" xfId="0"/>
    <cellStyle name="Normal 61 2 2 8 2 4 2" xfId="0"/>
    <cellStyle name="Normal 61 2 2 8 2 5" xfId="0"/>
    <cellStyle name="Normal 61 2 2 8 3" xfId="0"/>
    <cellStyle name="Normal 61 2 2 8 3 2" xfId="0"/>
    <cellStyle name="Normal 61 2 2 8 3 2 2" xfId="0"/>
    <cellStyle name="Normal 61 2 2 8 3 3" xfId="0"/>
    <cellStyle name="Normal 61 2 2 8 4" xfId="0"/>
    <cellStyle name="Normal 61 2 2 8 4 2" xfId="0"/>
    <cellStyle name="Normal 61 2 2 8 4 2 2" xfId="0"/>
    <cellStyle name="Normal 61 2 2 8 4 3" xfId="0"/>
    <cellStyle name="Normal 61 2 2 8 5" xfId="0"/>
    <cellStyle name="Normal 61 2 2 8 5 2" xfId="0"/>
    <cellStyle name="Normal 61 2 2 8 6" xfId="0"/>
    <cellStyle name="Normal 61 2 2 9" xfId="0"/>
    <cellStyle name="Normal 61 2 2 9 2" xfId="0"/>
    <cellStyle name="Normal 61 2 2 9 2 2" xfId="0"/>
    <cellStyle name="Normal 61 2 2 9 2 2 2" xfId="0"/>
    <cellStyle name="Normal 61 2 2 9 2 3" xfId="0"/>
    <cellStyle name="Normal 61 2 2 9 3" xfId="0"/>
    <cellStyle name="Normal 61 2 2 9 3 2" xfId="0"/>
    <cellStyle name="Normal 61 2 2 9 3 2 2" xfId="0"/>
    <cellStyle name="Normal 61 2 2 9 3 3" xfId="0"/>
    <cellStyle name="Normal 61 2 2 9 4" xfId="0"/>
    <cellStyle name="Normal 61 2 2 9 4 2" xfId="0"/>
    <cellStyle name="Normal 61 2 2 9 5" xfId="0"/>
    <cellStyle name="Normal 61 2 3" xfId="0"/>
    <cellStyle name="Normal 61 2 3 10" xfId="0"/>
    <cellStyle name="Normal 61 2 3 10 2" xfId="0"/>
    <cellStyle name="Normal 61 2 3 10 2 2" xfId="0"/>
    <cellStyle name="Normal 61 2 3 10 3" xfId="0"/>
    <cellStyle name="Normal 61 2 3 11" xfId="0"/>
    <cellStyle name="Normal 61 2 3 11 2" xfId="0"/>
    <cellStyle name="Normal 61 2 3 11 2 2" xfId="0"/>
    <cellStyle name="Normal 61 2 3 11 3" xfId="0"/>
    <cellStyle name="Normal 61 2 3 12" xfId="0"/>
    <cellStyle name="Normal 61 2 3 12 2" xfId="0"/>
    <cellStyle name="Normal 61 2 3 13" xfId="0"/>
    <cellStyle name="Normal 61 2 3 2" xfId="0"/>
    <cellStyle name="Normal 61 2 3 2 10" xfId="0"/>
    <cellStyle name="Normal 61 2 3 2 10 2" xfId="0"/>
    <cellStyle name="Normal 61 2 3 2 10 2 2" xfId="0"/>
    <cellStyle name="Normal 61 2 3 2 10 3" xfId="0"/>
    <cellStyle name="Normal 61 2 3 2 11" xfId="0"/>
    <cellStyle name="Normal 61 2 3 2 11 2" xfId="0"/>
    <cellStyle name="Normal 61 2 3 2 12" xfId="0"/>
    <cellStyle name="Normal 61 2 3 2 2" xfId="0"/>
    <cellStyle name="Normal 61 2 3 2 2 10" xfId="0"/>
    <cellStyle name="Normal 61 2 3 2 2 2" xfId="0"/>
    <cellStyle name="Normal 61 2 3 2 2 2 2" xfId="0"/>
    <cellStyle name="Normal 61 2 3 2 2 2 2 2" xfId="0"/>
    <cellStyle name="Normal 61 2 3 2 2 2 2 2 2" xfId="0"/>
    <cellStyle name="Normal 61 2 3 2 2 2 2 2 2 2" xfId="0"/>
    <cellStyle name="Normal 61 2 3 2 2 2 2 2 2 2 2" xfId="0"/>
    <cellStyle name="Normal 61 2 3 2 2 2 2 2 2 2 2 2" xfId="0"/>
    <cellStyle name="Normal 61 2 3 2 2 2 2 2 2 2 2 2 2" xfId="0"/>
    <cellStyle name="Normal 61 2 3 2 2 2 2 2 2 2 2 3" xfId="0"/>
    <cellStyle name="Normal 61 2 3 2 2 2 2 2 2 2 3" xfId="0"/>
    <cellStyle name="Normal 61 2 3 2 2 2 2 2 2 2 3 2" xfId="0"/>
    <cellStyle name="Normal 61 2 3 2 2 2 2 2 2 2 3 2 2" xfId="0"/>
    <cellStyle name="Normal 61 2 3 2 2 2 2 2 2 2 3 3" xfId="0"/>
    <cellStyle name="Normal 61 2 3 2 2 2 2 2 2 2 4" xfId="0"/>
    <cellStyle name="Normal 61 2 3 2 2 2 2 2 2 2 4 2" xfId="0"/>
    <cellStyle name="Normal 61 2 3 2 2 2 2 2 2 2 5" xfId="0"/>
    <cellStyle name="Normal 61 2 3 2 2 2 2 2 2 3" xfId="0"/>
    <cellStyle name="Normal 61 2 3 2 2 2 2 2 2 3 2" xfId="0"/>
    <cellStyle name="Normal 61 2 3 2 2 2 2 2 2 3 2 2" xfId="0"/>
    <cellStyle name="Normal 61 2 3 2 2 2 2 2 2 3 3" xfId="0"/>
    <cellStyle name="Normal 61 2 3 2 2 2 2 2 2 4" xfId="0"/>
    <cellStyle name="Normal 61 2 3 2 2 2 2 2 2 4 2" xfId="0"/>
    <cellStyle name="Normal 61 2 3 2 2 2 2 2 2 4 2 2" xfId="0"/>
    <cellStyle name="Normal 61 2 3 2 2 2 2 2 2 4 3" xfId="0"/>
    <cellStyle name="Normal 61 2 3 2 2 2 2 2 2 5" xfId="0"/>
    <cellStyle name="Normal 61 2 3 2 2 2 2 2 2 5 2" xfId="0"/>
    <cellStyle name="Normal 61 2 3 2 2 2 2 2 2 6" xfId="0"/>
    <cellStyle name="Normal 61 2 3 2 2 2 2 2 3" xfId="0"/>
    <cellStyle name="Normal 61 2 3 2 2 2 2 2 3 2" xfId="0"/>
    <cellStyle name="Normal 61 2 3 2 2 2 2 2 3 2 2" xfId="0"/>
    <cellStyle name="Normal 61 2 3 2 2 2 2 2 3 2 2 2" xfId="0"/>
    <cellStyle name="Normal 61 2 3 2 2 2 2 2 3 2 3" xfId="0"/>
    <cellStyle name="Normal 61 2 3 2 2 2 2 2 3 3" xfId="0"/>
    <cellStyle name="Normal 61 2 3 2 2 2 2 2 3 3 2" xfId="0"/>
    <cellStyle name="Normal 61 2 3 2 2 2 2 2 3 3 2 2" xfId="0"/>
    <cellStyle name="Normal 61 2 3 2 2 2 2 2 3 3 3" xfId="0"/>
    <cellStyle name="Normal 61 2 3 2 2 2 2 2 3 4" xfId="0"/>
    <cellStyle name="Normal 61 2 3 2 2 2 2 2 3 4 2" xfId="0"/>
    <cellStyle name="Normal 61 2 3 2 2 2 2 2 3 5" xfId="0"/>
    <cellStyle name="Normal 61 2 3 2 2 2 2 2 4" xfId="0"/>
    <cellStyle name="Normal 61 2 3 2 2 2 2 2 4 2" xfId="0"/>
    <cellStyle name="Normal 61 2 3 2 2 2 2 2 4 2 2" xfId="0"/>
    <cellStyle name="Normal 61 2 3 2 2 2 2 2 4 3" xfId="0"/>
    <cellStyle name="Normal 61 2 3 2 2 2 2 2 5" xfId="0"/>
    <cellStyle name="Normal 61 2 3 2 2 2 2 2 5 2" xfId="0"/>
    <cellStyle name="Normal 61 2 3 2 2 2 2 2 5 2 2" xfId="0"/>
    <cellStyle name="Normal 61 2 3 2 2 2 2 2 5 3" xfId="0"/>
    <cellStyle name="Normal 61 2 3 2 2 2 2 2 6" xfId="0"/>
    <cellStyle name="Normal 61 2 3 2 2 2 2 2 6 2" xfId="0"/>
    <cellStyle name="Normal 61 2 3 2 2 2 2 2 7" xfId="0"/>
    <cellStyle name="Normal 61 2 3 2 2 2 2 3" xfId="0"/>
    <cellStyle name="Normal 61 2 3 2 2 2 2 3 2" xfId="0"/>
    <cellStyle name="Normal 61 2 3 2 2 2 2 3 2 2" xfId="0"/>
    <cellStyle name="Normal 61 2 3 2 2 2 2 3 2 2 2" xfId="0"/>
    <cellStyle name="Normal 61 2 3 2 2 2 2 3 2 2 2 2" xfId="0"/>
    <cellStyle name="Normal 61 2 3 2 2 2 2 3 2 2 3" xfId="0"/>
    <cellStyle name="Normal 61 2 3 2 2 2 2 3 2 3" xfId="0"/>
    <cellStyle name="Normal 61 2 3 2 2 2 2 3 2 3 2" xfId="0"/>
    <cellStyle name="Normal 61 2 3 2 2 2 2 3 2 3 2 2" xfId="0"/>
    <cellStyle name="Normal 61 2 3 2 2 2 2 3 2 3 3" xfId="0"/>
    <cellStyle name="Normal 61 2 3 2 2 2 2 3 2 4" xfId="0"/>
    <cellStyle name="Normal 61 2 3 2 2 2 2 3 2 4 2" xfId="0"/>
    <cellStyle name="Normal 61 2 3 2 2 2 2 3 2 5" xfId="0"/>
    <cellStyle name="Normal 61 2 3 2 2 2 2 3 3" xfId="0"/>
    <cellStyle name="Normal 61 2 3 2 2 2 2 3 3 2" xfId="0"/>
    <cellStyle name="Normal 61 2 3 2 2 2 2 3 3 2 2" xfId="0"/>
    <cellStyle name="Normal 61 2 3 2 2 2 2 3 3 3" xfId="0"/>
    <cellStyle name="Normal 61 2 3 2 2 2 2 3 4" xfId="0"/>
    <cellStyle name="Normal 61 2 3 2 2 2 2 3 4 2" xfId="0"/>
    <cellStyle name="Normal 61 2 3 2 2 2 2 3 4 2 2" xfId="0"/>
    <cellStyle name="Normal 61 2 3 2 2 2 2 3 4 3" xfId="0"/>
    <cellStyle name="Normal 61 2 3 2 2 2 2 3 5" xfId="0"/>
    <cellStyle name="Normal 61 2 3 2 2 2 2 3 5 2" xfId="0"/>
    <cellStyle name="Normal 61 2 3 2 2 2 2 3 6" xfId="0"/>
    <cellStyle name="Normal 61 2 3 2 2 2 2 4" xfId="0"/>
    <cellStyle name="Normal 61 2 3 2 2 2 2 4 2" xfId="0"/>
    <cellStyle name="Normal 61 2 3 2 2 2 2 4 2 2" xfId="0"/>
    <cellStyle name="Normal 61 2 3 2 2 2 2 4 2 2 2" xfId="0"/>
    <cellStyle name="Normal 61 2 3 2 2 2 2 4 2 3" xfId="0"/>
    <cellStyle name="Normal 61 2 3 2 2 2 2 4 3" xfId="0"/>
    <cellStyle name="Normal 61 2 3 2 2 2 2 4 3 2" xfId="0"/>
    <cellStyle name="Normal 61 2 3 2 2 2 2 4 3 2 2" xfId="0"/>
    <cellStyle name="Normal 61 2 3 2 2 2 2 4 3 3" xfId="0"/>
    <cellStyle name="Normal 61 2 3 2 2 2 2 4 4" xfId="0"/>
    <cellStyle name="Normal 61 2 3 2 2 2 2 4 4 2" xfId="0"/>
    <cellStyle name="Normal 61 2 3 2 2 2 2 4 5" xfId="0"/>
    <cellStyle name="Normal 61 2 3 2 2 2 2 5" xfId="0"/>
    <cellStyle name="Normal 61 2 3 2 2 2 2 5 2" xfId="0"/>
    <cellStyle name="Normal 61 2 3 2 2 2 2 5 2 2" xfId="0"/>
    <cellStyle name="Normal 61 2 3 2 2 2 2 5 3" xfId="0"/>
    <cellStyle name="Normal 61 2 3 2 2 2 2 6" xfId="0"/>
    <cellStyle name="Normal 61 2 3 2 2 2 2 6 2" xfId="0"/>
    <cellStyle name="Normal 61 2 3 2 2 2 2 6 2 2" xfId="0"/>
    <cellStyle name="Normal 61 2 3 2 2 2 2 6 3" xfId="0"/>
    <cellStyle name="Normal 61 2 3 2 2 2 2 7" xfId="0"/>
    <cellStyle name="Normal 61 2 3 2 2 2 2 7 2" xfId="0"/>
    <cellStyle name="Normal 61 2 3 2 2 2 2 8" xfId="0"/>
    <cellStyle name="Normal 61 2 3 2 2 2 3" xfId="0"/>
    <cellStyle name="Normal 61 2 3 2 2 2 3 2" xfId="0"/>
    <cellStyle name="Normal 61 2 3 2 2 2 3 2 2" xfId="0"/>
    <cellStyle name="Normal 61 2 3 2 2 2 3 2 2 2" xfId="0"/>
    <cellStyle name="Normal 61 2 3 2 2 2 3 2 2 2 2" xfId="0"/>
    <cellStyle name="Normal 61 2 3 2 2 2 3 2 2 2 2 2" xfId="0"/>
    <cellStyle name="Normal 61 2 3 2 2 2 3 2 2 2 3" xfId="0"/>
    <cellStyle name="Normal 61 2 3 2 2 2 3 2 2 3" xfId="0"/>
    <cellStyle name="Normal 61 2 3 2 2 2 3 2 2 3 2" xfId="0"/>
    <cellStyle name="Normal 61 2 3 2 2 2 3 2 2 3 2 2" xfId="0"/>
    <cellStyle name="Normal 61 2 3 2 2 2 3 2 2 3 3" xfId="0"/>
    <cellStyle name="Normal 61 2 3 2 2 2 3 2 2 4" xfId="0"/>
    <cellStyle name="Normal 61 2 3 2 2 2 3 2 2 4 2" xfId="0"/>
    <cellStyle name="Normal 61 2 3 2 2 2 3 2 2 5" xfId="0"/>
    <cellStyle name="Normal 61 2 3 2 2 2 3 2 3" xfId="0"/>
    <cellStyle name="Normal 61 2 3 2 2 2 3 2 3 2" xfId="0"/>
    <cellStyle name="Normal 61 2 3 2 2 2 3 2 3 2 2" xfId="0"/>
    <cellStyle name="Normal 61 2 3 2 2 2 3 2 3 3" xfId="0"/>
    <cellStyle name="Normal 61 2 3 2 2 2 3 2 4" xfId="0"/>
    <cellStyle name="Normal 61 2 3 2 2 2 3 2 4 2" xfId="0"/>
    <cellStyle name="Normal 61 2 3 2 2 2 3 2 4 2 2" xfId="0"/>
    <cellStyle name="Normal 61 2 3 2 2 2 3 2 4 3" xfId="0"/>
    <cellStyle name="Normal 61 2 3 2 2 2 3 2 5" xfId="0"/>
    <cellStyle name="Normal 61 2 3 2 2 2 3 2 5 2" xfId="0"/>
    <cellStyle name="Normal 61 2 3 2 2 2 3 2 6" xfId="0"/>
    <cellStyle name="Normal 61 2 3 2 2 2 3 3" xfId="0"/>
    <cellStyle name="Normal 61 2 3 2 2 2 3 3 2" xfId="0"/>
    <cellStyle name="Normal 61 2 3 2 2 2 3 3 2 2" xfId="0"/>
    <cellStyle name="Normal 61 2 3 2 2 2 3 3 2 2 2" xfId="0"/>
    <cellStyle name="Normal 61 2 3 2 2 2 3 3 2 3" xfId="0"/>
    <cellStyle name="Normal 61 2 3 2 2 2 3 3 3" xfId="0"/>
    <cellStyle name="Normal 61 2 3 2 2 2 3 3 3 2" xfId="0"/>
    <cellStyle name="Normal 61 2 3 2 2 2 3 3 3 2 2" xfId="0"/>
    <cellStyle name="Normal 61 2 3 2 2 2 3 3 3 3" xfId="0"/>
    <cellStyle name="Normal 61 2 3 2 2 2 3 3 4" xfId="0"/>
    <cellStyle name="Normal 61 2 3 2 2 2 3 3 4 2" xfId="0"/>
    <cellStyle name="Normal 61 2 3 2 2 2 3 3 5" xfId="0"/>
    <cellStyle name="Normal 61 2 3 2 2 2 3 4" xfId="0"/>
    <cellStyle name="Normal 61 2 3 2 2 2 3 4 2" xfId="0"/>
    <cellStyle name="Normal 61 2 3 2 2 2 3 4 2 2" xfId="0"/>
    <cellStyle name="Normal 61 2 3 2 2 2 3 4 3" xfId="0"/>
    <cellStyle name="Normal 61 2 3 2 2 2 3 5" xfId="0"/>
    <cellStyle name="Normal 61 2 3 2 2 2 3 5 2" xfId="0"/>
    <cellStyle name="Normal 61 2 3 2 2 2 3 5 2 2" xfId="0"/>
    <cellStyle name="Normal 61 2 3 2 2 2 3 5 3" xfId="0"/>
    <cellStyle name="Normal 61 2 3 2 2 2 3 6" xfId="0"/>
    <cellStyle name="Normal 61 2 3 2 2 2 3 6 2" xfId="0"/>
    <cellStyle name="Normal 61 2 3 2 2 2 3 7" xfId="0"/>
    <cellStyle name="Normal 61 2 3 2 2 2 4" xfId="0"/>
    <cellStyle name="Normal 61 2 3 2 2 2 4 2" xfId="0"/>
    <cellStyle name="Normal 61 2 3 2 2 2 4 2 2" xfId="0"/>
    <cellStyle name="Normal 61 2 3 2 2 2 4 2 2 2" xfId="0"/>
    <cellStyle name="Normal 61 2 3 2 2 2 4 2 2 2 2" xfId="0"/>
    <cellStyle name="Normal 61 2 3 2 2 2 4 2 2 3" xfId="0"/>
    <cellStyle name="Normal 61 2 3 2 2 2 4 2 3" xfId="0"/>
    <cellStyle name="Normal 61 2 3 2 2 2 4 2 3 2" xfId="0"/>
    <cellStyle name="Normal 61 2 3 2 2 2 4 2 3 2 2" xfId="0"/>
    <cellStyle name="Normal 61 2 3 2 2 2 4 2 3 3" xfId="0"/>
    <cellStyle name="Normal 61 2 3 2 2 2 4 2 4" xfId="0"/>
    <cellStyle name="Normal 61 2 3 2 2 2 4 2 4 2" xfId="0"/>
    <cellStyle name="Normal 61 2 3 2 2 2 4 2 5" xfId="0"/>
    <cellStyle name="Normal 61 2 3 2 2 2 4 3" xfId="0"/>
    <cellStyle name="Normal 61 2 3 2 2 2 4 3 2" xfId="0"/>
    <cellStyle name="Normal 61 2 3 2 2 2 4 3 2 2" xfId="0"/>
    <cellStyle name="Normal 61 2 3 2 2 2 4 3 3" xfId="0"/>
    <cellStyle name="Normal 61 2 3 2 2 2 4 4" xfId="0"/>
    <cellStyle name="Normal 61 2 3 2 2 2 4 4 2" xfId="0"/>
    <cellStyle name="Normal 61 2 3 2 2 2 4 4 2 2" xfId="0"/>
    <cellStyle name="Normal 61 2 3 2 2 2 4 4 3" xfId="0"/>
    <cellStyle name="Normal 61 2 3 2 2 2 4 5" xfId="0"/>
    <cellStyle name="Normal 61 2 3 2 2 2 4 5 2" xfId="0"/>
    <cellStyle name="Normal 61 2 3 2 2 2 4 6" xfId="0"/>
    <cellStyle name="Normal 61 2 3 2 2 2 5" xfId="0"/>
    <cellStyle name="Normal 61 2 3 2 2 2 5 2" xfId="0"/>
    <cellStyle name="Normal 61 2 3 2 2 2 5 2 2" xfId="0"/>
    <cellStyle name="Normal 61 2 3 2 2 2 5 2 2 2" xfId="0"/>
    <cellStyle name="Normal 61 2 3 2 2 2 5 2 3" xfId="0"/>
    <cellStyle name="Normal 61 2 3 2 2 2 5 3" xfId="0"/>
    <cellStyle name="Normal 61 2 3 2 2 2 5 3 2" xfId="0"/>
    <cellStyle name="Normal 61 2 3 2 2 2 5 3 2 2" xfId="0"/>
    <cellStyle name="Normal 61 2 3 2 2 2 5 3 3" xfId="0"/>
    <cellStyle name="Normal 61 2 3 2 2 2 5 4" xfId="0"/>
    <cellStyle name="Normal 61 2 3 2 2 2 5 4 2" xfId="0"/>
    <cellStyle name="Normal 61 2 3 2 2 2 5 5" xfId="0"/>
    <cellStyle name="Normal 61 2 3 2 2 2 6" xfId="0"/>
    <cellStyle name="Normal 61 2 3 2 2 2 6 2" xfId="0"/>
    <cellStyle name="Normal 61 2 3 2 2 2 6 2 2" xfId="0"/>
    <cellStyle name="Normal 61 2 3 2 2 2 6 3" xfId="0"/>
    <cellStyle name="Normal 61 2 3 2 2 2 7" xfId="0"/>
    <cellStyle name="Normal 61 2 3 2 2 2 7 2" xfId="0"/>
    <cellStyle name="Normal 61 2 3 2 2 2 7 2 2" xfId="0"/>
    <cellStyle name="Normal 61 2 3 2 2 2 7 3" xfId="0"/>
    <cellStyle name="Normal 61 2 3 2 2 2 8" xfId="0"/>
    <cellStyle name="Normal 61 2 3 2 2 2 8 2" xfId="0"/>
    <cellStyle name="Normal 61 2 3 2 2 2 9" xfId="0"/>
    <cellStyle name="Normal 61 2 3 2 2 3" xfId="0"/>
    <cellStyle name="Normal 61 2 3 2 2 3 2" xfId="0"/>
    <cellStyle name="Normal 61 2 3 2 2 3 2 2" xfId="0"/>
    <cellStyle name="Normal 61 2 3 2 2 3 2 2 2" xfId="0"/>
    <cellStyle name="Normal 61 2 3 2 2 3 2 2 2 2" xfId="0"/>
    <cellStyle name="Normal 61 2 3 2 2 3 2 2 2 2 2" xfId="0"/>
    <cellStyle name="Normal 61 2 3 2 2 3 2 2 2 2 2 2" xfId="0"/>
    <cellStyle name="Normal 61 2 3 2 2 3 2 2 2 2 3" xfId="0"/>
    <cellStyle name="Normal 61 2 3 2 2 3 2 2 2 3" xfId="0"/>
    <cellStyle name="Normal 61 2 3 2 2 3 2 2 2 3 2" xfId="0"/>
    <cellStyle name="Normal 61 2 3 2 2 3 2 2 2 3 2 2" xfId="0"/>
    <cellStyle name="Normal 61 2 3 2 2 3 2 2 2 3 3" xfId="0"/>
    <cellStyle name="Normal 61 2 3 2 2 3 2 2 2 4" xfId="0"/>
    <cellStyle name="Normal 61 2 3 2 2 3 2 2 2 4 2" xfId="0"/>
    <cellStyle name="Normal 61 2 3 2 2 3 2 2 2 5" xfId="0"/>
    <cellStyle name="Normal 61 2 3 2 2 3 2 2 3" xfId="0"/>
    <cellStyle name="Normal 61 2 3 2 2 3 2 2 3 2" xfId="0"/>
    <cellStyle name="Normal 61 2 3 2 2 3 2 2 3 2 2" xfId="0"/>
    <cellStyle name="Normal 61 2 3 2 2 3 2 2 3 3" xfId="0"/>
    <cellStyle name="Normal 61 2 3 2 2 3 2 2 4" xfId="0"/>
    <cellStyle name="Normal 61 2 3 2 2 3 2 2 4 2" xfId="0"/>
    <cellStyle name="Normal 61 2 3 2 2 3 2 2 4 2 2" xfId="0"/>
    <cellStyle name="Normal 61 2 3 2 2 3 2 2 4 3" xfId="0"/>
    <cellStyle name="Normal 61 2 3 2 2 3 2 2 5" xfId="0"/>
    <cellStyle name="Normal 61 2 3 2 2 3 2 2 5 2" xfId="0"/>
    <cellStyle name="Normal 61 2 3 2 2 3 2 2 6" xfId="0"/>
    <cellStyle name="Normal 61 2 3 2 2 3 2 3" xfId="0"/>
    <cellStyle name="Normal 61 2 3 2 2 3 2 3 2" xfId="0"/>
    <cellStyle name="Normal 61 2 3 2 2 3 2 3 2 2" xfId="0"/>
    <cellStyle name="Normal 61 2 3 2 2 3 2 3 2 2 2" xfId="0"/>
    <cellStyle name="Normal 61 2 3 2 2 3 2 3 2 3" xfId="0"/>
    <cellStyle name="Normal 61 2 3 2 2 3 2 3 3" xfId="0"/>
    <cellStyle name="Normal 61 2 3 2 2 3 2 3 3 2" xfId="0"/>
    <cellStyle name="Normal 61 2 3 2 2 3 2 3 3 2 2" xfId="0"/>
    <cellStyle name="Normal 61 2 3 2 2 3 2 3 3 3" xfId="0"/>
    <cellStyle name="Normal 61 2 3 2 2 3 2 3 4" xfId="0"/>
    <cellStyle name="Normal 61 2 3 2 2 3 2 3 4 2" xfId="0"/>
    <cellStyle name="Normal 61 2 3 2 2 3 2 3 5" xfId="0"/>
    <cellStyle name="Normal 61 2 3 2 2 3 2 4" xfId="0"/>
    <cellStyle name="Normal 61 2 3 2 2 3 2 4 2" xfId="0"/>
    <cellStyle name="Normal 61 2 3 2 2 3 2 4 2 2" xfId="0"/>
    <cellStyle name="Normal 61 2 3 2 2 3 2 4 3" xfId="0"/>
    <cellStyle name="Normal 61 2 3 2 2 3 2 5" xfId="0"/>
    <cellStyle name="Normal 61 2 3 2 2 3 2 5 2" xfId="0"/>
    <cellStyle name="Normal 61 2 3 2 2 3 2 5 2 2" xfId="0"/>
    <cellStyle name="Normal 61 2 3 2 2 3 2 5 3" xfId="0"/>
    <cellStyle name="Normal 61 2 3 2 2 3 2 6" xfId="0"/>
    <cellStyle name="Normal 61 2 3 2 2 3 2 6 2" xfId="0"/>
    <cellStyle name="Normal 61 2 3 2 2 3 2 7" xfId="0"/>
    <cellStyle name="Normal 61 2 3 2 2 3 3" xfId="0"/>
    <cellStyle name="Normal 61 2 3 2 2 3 3 2" xfId="0"/>
    <cellStyle name="Normal 61 2 3 2 2 3 3 2 2" xfId="0"/>
    <cellStyle name="Normal 61 2 3 2 2 3 3 2 2 2" xfId="0"/>
    <cellStyle name="Normal 61 2 3 2 2 3 3 2 2 2 2" xfId="0"/>
    <cellStyle name="Normal 61 2 3 2 2 3 3 2 2 3" xfId="0"/>
    <cellStyle name="Normal 61 2 3 2 2 3 3 2 3" xfId="0"/>
    <cellStyle name="Normal 61 2 3 2 2 3 3 2 3 2" xfId="0"/>
    <cellStyle name="Normal 61 2 3 2 2 3 3 2 3 2 2" xfId="0"/>
    <cellStyle name="Normal 61 2 3 2 2 3 3 2 3 3" xfId="0"/>
    <cellStyle name="Normal 61 2 3 2 2 3 3 2 4" xfId="0"/>
    <cellStyle name="Normal 61 2 3 2 2 3 3 2 4 2" xfId="0"/>
    <cellStyle name="Normal 61 2 3 2 2 3 3 2 5" xfId="0"/>
    <cellStyle name="Normal 61 2 3 2 2 3 3 3" xfId="0"/>
    <cellStyle name="Normal 61 2 3 2 2 3 3 3 2" xfId="0"/>
    <cellStyle name="Normal 61 2 3 2 2 3 3 3 2 2" xfId="0"/>
    <cellStyle name="Normal 61 2 3 2 2 3 3 3 3" xfId="0"/>
    <cellStyle name="Normal 61 2 3 2 2 3 3 4" xfId="0"/>
    <cellStyle name="Normal 61 2 3 2 2 3 3 4 2" xfId="0"/>
    <cellStyle name="Normal 61 2 3 2 2 3 3 4 2 2" xfId="0"/>
    <cellStyle name="Normal 61 2 3 2 2 3 3 4 3" xfId="0"/>
    <cellStyle name="Normal 61 2 3 2 2 3 3 5" xfId="0"/>
    <cellStyle name="Normal 61 2 3 2 2 3 3 5 2" xfId="0"/>
    <cellStyle name="Normal 61 2 3 2 2 3 3 6" xfId="0"/>
    <cellStyle name="Normal 61 2 3 2 2 3 4" xfId="0"/>
    <cellStyle name="Normal 61 2 3 2 2 3 4 2" xfId="0"/>
    <cellStyle name="Normal 61 2 3 2 2 3 4 2 2" xfId="0"/>
    <cellStyle name="Normal 61 2 3 2 2 3 4 2 2 2" xfId="0"/>
    <cellStyle name="Normal 61 2 3 2 2 3 4 2 3" xfId="0"/>
    <cellStyle name="Normal 61 2 3 2 2 3 4 3" xfId="0"/>
    <cellStyle name="Normal 61 2 3 2 2 3 4 3 2" xfId="0"/>
    <cellStyle name="Normal 61 2 3 2 2 3 4 3 2 2" xfId="0"/>
    <cellStyle name="Normal 61 2 3 2 2 3 4 3 3" xfId="0"/>
    <cellStyle name="Normal 61 2 3 2 2 3 4 4" xfId="0"/>
    <cellStyle name="Normal 61 2 3 2 2 3 4 4 2" xfId="0"/>
    <cellStyle name="Normal 61 2 3 2 2 3 4 5" xfId="0"/>
    <cellStyle name="Normal 61 2 3 2 2 3 5" xfId="0"/>
    <cellStyle name="Normal 61 2 3 2 2 3 5 2" xfId="0"/>
    <cellStyle name="Normal 61 2 3 2 2 3 5 2 2" xfId="0"/>
    <cellStyle name="Normal 61 2 3 2 2 3 5 3" xfId="0"/>
    <cellStyle name="Normal 61 2 3 2 2 3 6" xfId="0"/>
    <cellStyle name="Normal 61 2 3 2 2 3 6 2" xfId="0"/>
    <cellStyle name="Normal 61 2 3 2 2 3 6 2 2" xfId="0"/>
    <cellStyle name="Normal 61 2 3 2 2 3 6 3" xfId="0"/>
    <cellStyle name="Normal 61 2 3 2 2 3 7" xfId="0"/>
    <cellStyle name="Normal 61 2 3 2 2 3 7 2" xfId="0"/>
    <cellStyle name="Normal 61 2 3 2 2 3 8" xfId="0"/>
    <cellStyle name="Normal 61 2 3 2 2 4" xfId="0"/>
    <cellStyle name="Normal 61 2 3 2 2 4 2" xfId="0"/>
    <cellStyle name="Normal 61 2 3 2 2 4 2 2" xfId="0"/>
    <cellStyle name="Normal 61 2 3 2 2 4 2 2 2" xfId="0"/>
    <cellStyle name="Normal 61 2 3 2 2 4 2 2 2 2" xfId="0"/>
    <cellStyle name="Normal 61 2 3 2 2 4 2 2 2 2 2" xfId="0"/>
    <cellStyle name="Normal 61 2 3 2 2 4 2 2 2 3" xfId="0"/>
    <cellStyle name="Normal 61 2 3 2 2 4 2 2 3" xfId="0"/>
    <cellStyle name="Normal 61 2 3 2 2 4 2 2 3 2" xfId="0"/>
    <cellStyle name="Normal 61 2 3 2 2 4 2 2 3 2 2" xfId="0"/>
    <cellStyle name="Normal 61 2 3 2 2 4 2 2 3 3" xfId="0"/>
    <cellStyle name="Normal 61 2 3 2 2 4 2 2 4" xfId="0"/>
    <cellStyle name="Normal 61 2 3 2 2 4 2 2 4 2" xfId="0"/>
    <cellStyle name="Normal 61 2 3 2 2 4 2 2 5" xfId="0"/>
    <cellStyle name="Normal 61 2 3 2 2 4 2 3" xfId="0"/>
    <cellStyle name="Normal 61 2 3 2 2 4 2 3 2" xfId="0"/>
    <cellStyle name="Normal 61 2 3 2 2 4 2 3 2 2" xfId="0"/>
    <cellStyle name="Normal 61 2 3 2 2 4 2 3 3" xfId="0"/>
    <cellStyle name="Normal 61 2 3 2 2 4 2 4" xfId="0"/>
    <cellStyle name="Normal 61 2 3 2 2 4 2 4 2" xfId="0"/>
    <cellStyle name="Normal 61 2 3 2 2 4 2 4 2 2" xfId="0"/>
    <cellStyle name="Normal 61 2 3 2 2 4 2 4 3" xfId="0"/>
    <cellStyle name="Normal 61 2 3 2 2 4 2 5" xfId="0"/>
    <cellStyle name="Normal 61 2 3 2 2 4 2 5 2" xfId="0"/>
    <cellStyle name="Normal 61 2 3 2 2 4 2 6" xfId="0"/>
    <cellStyle name="Normal 61 2 3 2 2 4 3" xfId="0"/>
    <cellStyle name="Normal 61 2 3 2 2 4 3 2" xfId="0"/>
    <cellStyle name="Normal 61 2 3 2 2 4 3 2 2" xfId="0"/>
    <cellStyle name="Normal 61 2 3 2 2 4 3 2 2 2" xfId="0"/>
    <cellStyle name="Normal 61 2 3 2 2 4 3 2 3" xfId="0"/>
    <cellStyle name="Normal 61 2 3 2 2 4 3 3" xfId="0"/>
    <cellStyle name="Normal 61 2 3 2 2 4 3 3 2" xfId="0"/>
    <cellStyle name="Normal 61 2 3 2 2 4 3 3 2 2" xfId="0"/>
    <cellStyle name="Normal 61 2 3 2 2 4 3 3 3" xfId="0"/>
    <cellStyle name="Normal 61 2 3 2 2 4 3 4" xfId="0"/>
    <cellStyle name="Normal 61 2 3 2 2 4 3 4 2" xfId="0"/>
    <cellStyle name="Normal 61 2 3 2 2 4 3 5" xfId="0"/>
    <cellStyle name="Normal 61 2 3 2 2 4 4" xfId="0"/>
    <cellStyle name="Normal 61 2 3 2 2 4 4 2" xfId="0"/>
    <cellStyle name="Normal 61 2 3 2 2 4 4 2 2" xfId="0"/>
    <cellStyle name="Normal 61 2 3 2 2 4 4 3" xfId="0"/>
    <cellStyle name="Normal 61 2 3 2 2 4 5" xfId="0"/>
    <cellStyle name="Normal 61 2 3 2 2 4 5 2" xfId="0"/>
    <cellStyle name="Normal 61 2 3 2 2 4 5 2 2" xfId="0"/>
    <cellStyle name="Normal 61 2 3 2 2 4 5 3" xfId="0"/>
    <cellStyle name="Normal 61 2 3 2 2 4 6" xfId="0"/>
    <cellStyle name="Normal 61 2 3 2 2 4 6 2" xfId="0"/>
    <cellStyle name="Normal 61 2 3 2 2 4 7" xfId="0"/>
    <cellStyle name="Normal 61 2 3 2 2 5" xfId="0"/>
    <cellStyle name="Normal 61 2 3 2 2 5 2" xfId="0"/>
    <cellStyle name="Normal 61 2 3 2 2 5 2 2" xfId="0"/>
    <cellStyle name="Normal 61 2 3 2 2 5 2 2 2" xfId="0"/>
    <cellStyle name="Normal 61 2 3 2 2 5 2 2 2 2" xfId="0"/>
    <cellStyle name="Normal 61 2 3 2 2 5 2 2 3" xfId="0"/>
    <cellStyle name="Normal 61 2 3 2 2 5 2 3" xfId="0"/>
    <cellStyle name="Normal 61 2 3 2 2 5 2 3 2" xfId="0"/>
    <cellStyle name="Normal 61 2 3 2 2 5 2 3 2 2" xfId="0"/>
    <cellStyle name="Normal 61 2 3 2 2 5 2 3 3" xfId="0"/>
    <cellStyle name="Normal 61 2 3 2 2 5 2 4" xfId="0"/>
    <cellStyle name="Normal 61 2 3 2 2 5 2 4 2" xfId="0"/>
    <cellStyle name="Normal 61 2 3 2 2 5 2 5" xfId="0"/>
    <cellStyle name="Normal 61 2 3 2 2 5 3" xfId="0"/>
    <cellStyle name="Normal 61 2 3 2 2 5 3 2" xfId="0"/>
    <cellStyle name="Normal 61 2 3 2 2 5 3 2 2" xfId="0"/>
    <cellStyle name="Normal 61 2 3 2 2 5 3 3" xfId="0"/>
    <cellStyle name="Normal 61 2 3 2 2 5 4" xfId="0"/>
    <cellStyle name="Normal 61 2 3 2 2 5 4 2" xfId="0"/>
    <cellStyle name="Normal 61 2 3 2 2 5 4 2 2" xfId="0"/>
    <cellStyle name="Normal 61 2 3 2 2 5 4 3" xfId="0"/>
    <cellStyle name="Normal 61 2 3 2 2 5 5" xfId="0"/>
    <cellStyle name="Normal 61 2 3 2 2 5 5 2" xfId="0"/>
    <cellStyle name="Normal 61 2 3 2 2 5 6" xfId="0"/>
    <cellStyle name="Normal 61 2 3 2 2 6" xfId="0"/>
    <cellStyle name="Normal 61 2 3 2 2 6 2" xfId="0"/>
    <cellStyle name="Normal 61 2 3 2 2 6 2 2" xfId="0"/>
    <cellStyle name="Normal 61 2 3 2 2 6 2 2 2" xfId="0"/>
    <cellStyle name="Normal 61 2 3 2 2 6 2 3" xfId="0"/>
    <cellStyle name="Normal 61 2 3 2 2 6 3" xfId="0"/>
    <cellStyle name="Normal 61 2 3 2 2 6 3 2" xfId="0"/>
    <cellStyle name="Normal 61 2 3 2 2 6 3 2 2" xfId="0"/>
    <cellStyle name="Normal 61 2 3 2 2 6 3 3" xfId="0"/>
    <cellStyle name="Normal 61 2 3 2 2 6 4" xfId="0"/>
    <cellStyle name="Normal 61 2 3 2 2 6 4 2" xfId="0"/>
    <cellStyle name="Normal 61 2 3 2 2 6 5" xfId="0"/>
    <cellStyle name="Normal 61 2 3 2 2 7" xfId="0"/>
    <cellStyle name="Normal 61 2 3 2 2 7 2" xfId="0"/>
    <cellStyle name="Normal 61 2 3 2 2 7 2 2" xfId="0"/>
    <cellStyle name="Normal 61 2 3 2 2 7 3" xfId="0"/>
    <cellStyle name="Normal 61 2 3 2 2 8" xfId="0"/>
    <cellStyle name="Normal 61 2 3 2 2 8 2" xfId="0"/>
    <cellStyle name="Normal 61 2 3 2 2 8 2 2" xfId="0"/>
    <cellStyle name="Normal 61 2 3 2 2 8 3" xfId="0"/>
    <cellStyle name="Normal 61 2 3 2 2 9" xfId="0"/>
    <cellStyle name="Normal 61 2 3 2 2 9 2" xfId="0"/>
    <cellStyle name="Normal 61 2 3 2 3" xfId="0"/>
    <cellStyle name="Normal 61 2 3 2 3 10" xfId="0"/>
    <cellStyle name="Normal 61 2 3 2 3 2" xfId="0"/>
    <cellStyle name="Normal 61 2 3 2 3 2 2" xfId="0"/>
    <cellStyle name="Normal 61 2 3 2 3 2 2 2" xfId="0"/>
    <cellStyle name="Normal 61 2 3 2 3 2 2 2 2" xfId="0"/>
    <cellStyle name="Normal 61 2 3 2 3 2 2 2 2 2" xfId="0"/>
    <cellStyle name="Normal 61 2 3 2 3 2 2 2 2 2 2" xfId="0"/>
    <cellStyle name="Normal 61 2 3 2 3 2 2 2 2 2 2 2" xfId="0"/>
    <cellStyle name="Normal 61 2 3 2 3 2 2 2 2 2 2 2 2" xfId="0"/>
    <cellStyle name="Normal 61 2 3 2 3 2 2 2 2 2 2 3" xfId="0"/>
    <cellStyle name="Normal 61 2 3 2 3 2 2 2 2 2 3" xfId="0"/>
    <cellStyle name="Normal 61 2 3 2 3 2 2 2 2 2 3 2" xfId="0"/>
    <cellStyle name="Normal 61 2 3 2 3 2 2 2 2 2 3 2 2" xfId="0"/>
    <cellStyle name="Normal 61 2 3 2 3 2 2 2 2 2 3 3" xfId="0"/>
    <cellStyle name="Normal 61 2 3 2 3 2 2 2 2 2 4" xfId="0"/>
    <cellStyle name="Normal 61 2 3 2 3 2 2 2 2 2 4 2" xfId="0"/>
    <cellStyle name="Normal 61 2 3 2 3 2 2 2 2 2 5" xfId="0"/>
    <cellStyle name="Normal 61 2 3 2 3 2 2 2 2 3" xfId="0"/>
    <cellStyle name="Normal 61 2 3 2 3 2 2 2 2 3 2" xfId="0"/>
    <cellStyle name="Normal 61 2 3 2 3 2 2 2 2 3 2 2" xfId="0"/>
    <cellStyle name="Normal 61 2 3 2 3 2 2 2 2 3 3" xfId="0"/>
    <cellStyle name="Normal 61 2 3 2 3 2 2 2 2 4" xfId="0"/>
    <cellStyle name="Normal 61 2 3 2 3 2 2 2 2 4 2" xfId="0"/>
    <cellStyle name="Normal 61 2 3 2 3 2 2 2 2 4 2 2" xfId="0"/>
    <cellStyle name="Normal 61 2 3 2 3 2 2 2 2 4 3" xfId="0"/>
    <cellStyle name="Normal 61 2 3 2 3 2 2 2 2 5" xfId="0"/>
    <cellStyle name="Normal 61 2 3 2 3 2 2 2 2 5 2" xfId="0"/>
    <cellStyle name="Normal 61 2 3 2 3 2 2 2 2 6" xfId="0"/>
    <cellStyle name="Normal 61 2 3 2 3 2 2 2 3" xfId="0"/>
    <cellStyle name="Normal 61 2 3 2 3 2 2 2 3 2" xfId="0"/>
    <cellStyle name="Normal 61 2 3 2 3 2 2 2 3 2 2" xfId="0"/>
    <cellStyle name="Normal 61 2 3 2 3 2 2 2 3 2 2 2" xfId="0"/>
    <cellStyle name="Normal 61 2 3 2 3 2 2 2 3 2 3" xfId="0"/>
    <cellStyle name="Normal 61 2 3 2 3 2 2 2 3 3" xfId="0"/>
    <cellStyle name="Normal 61 2 3 2 3 2 2 2 3 3 2" xfId="0"/>
    <cellStyle name="Normal 61 2 3 2 3 2 2 2 3 3 2 2" xfId="0"/>
    <cellStyle name="Normal 61 2 3 2 3 2 2 2 3 3 3" xfId="0"/>
    <cellStyle name="Normal 61 2 3 2 3 2 2 2 3 4" xfId="0"/>
    <cellStyle name="Normal 61 2 3 2 3 2 2 2 3 4 2" xfId="0"/>
    <cellStyle name="Normal 61 2 3 2 3 2 2 2 3 5" xfId="0"/>
    <cellStyle name="Normal 61 2 3 2 3 2 2 2 4" xfId="0"/>
    <cellStyle name="Normal 61 2 3 2 3 2 2 2 4 2" xfId="0"/>
    <cellStyle name="Normal 61 2 3 2 3 2 2 2 4 2 2" xfId="0"/>
    <cellStyle name="Normal 61 2 3 2 3 2 2 2 4 3" xfId="0"/>
    <cellStyle name="Normal 61 2 3 2 3 2 2 2 5" xfId="0"/>
    <cellStyle name="Normal 61 2 3 2 3 2 2 2 5 2" xfId="0"/>
    <cellStyle name="Normal 61 2 3 2 3 2 2 2 5 2 2" xfId="0"/>
    <cellStyle name="Normal 61 2 3 2 3 2 2 2 5 3" xfId="0"/>
    <cellStyle name="Normal 61 2 3 2 3 2 2 2 6" xfId="0"/>
    <cellStyle name="Normal 61 2 3 2 3 2 2 2 6 2" xfId="0"/>
    <cellStyle name="Normal 61 2 3 2 3 2 2 2 7" xfId="0"/>
    <cellStyle name="Normal 61 2 3 2 3 2 2 3" xfId="0"/>
    <cellStyle name="Normal 61 2 3 2 3 2 2 3 2" xfId="0"/>
    <cellStyle name="Normal 61 2 3 2 3 2 2 3 2 2" xfId="0"/>
    <cellStyle name="Normal 61 2 3 2 3 2 2 3 2 2 2" xfId="0"/>
    <cellStyle name="Normal 61 2 3 2 3 2 2 3 2 2 2 2" xfId="0"/>
    <cellStyle name="Normal 61 2 3 2 3 2 2 3 2 2 3" xfId="0"/>
    <cellStyle name="Normal 61 2 3 2 3 2 2 3 2 3" xfId="0"/>
    <cellStyle name="Normal 61 2 3 2 3 2 2 3 2 3 2" xfId="0"/>
    <cellStyle name="Normal 61 2 3 2 3 2 2 3 2 3 2 2" xfId="0"/>
    <cellStyle name="Normal 61 2 3 2 3 2 2 3 2 3 3" xfId="0"/>
    <cellStyle name="Normal 61 2 3 2 3 2 2 3 2 4" xfId="0"/>
    <cellStyle name="Normal 61 2 3 2 3 2 2 3 2 4 2" xfId="0"/>
    <cellStyle name="Normal 61 2 3 2 3 2 2 3 2 5" xfId="0"/>
    <cellStyle name="Normal 61 2 3 2 3 2 2 3 3" xfId="0"/>
    <cellStyle name="Normal 61 2 3 2 3 2 2 3 3 2" xfId="0"/>
    <cellStyle name="Normal 61 2 3 2 3 2 2 3 3 2 2" xfId="0"/>
    <cellStyle name="Normal 61 2 3 2 3 2 2 3 3 3" xfId="0"/>
    <cellStyle name="Normal 61 2 3 2 3 2 2 3 4" xfId="0"/>
    <cellStyle name="Normal 61 2 3 2 3 2 2 3 4 2" xfId="0"/>
    <cellStyle name="Normal 61 2 3 2 3 2 2 3 4 2 2" xfId="0"/>
    <cellStyle name="Normal 61 2 3 2 3 2 2 3 4 3" xfId="0"/>
    <cellStyle name="Normal 61 2 3 2 3 2 2 3 5" xfId="0"/>
    <cellStyle name="Normal 61 2 3 2 3 2 2 3 5 2" xfId="0"/>
    <cellStyle name="Normal 61 2 3 2 3 2 2 3 6" xfId="0"/>
    <cellStyle name="Normal 61 2 3 2 3 2 2 4" xfId="0"/>
    <cellStyle name="Normal 61 2 3 2 3 2 2 4 2" xfId="0"/>
    <cellStyle name="Normal 61 2 3 2 3 2 2 4 2 2" xfId="0"/>
    <cellStyle name="Normal 61 2 3 2 3 2 2 4 2 2 2" xfId="0"/>
    <cellStyle name="Normal 61 2 3 2 3 2 2 4 2 3" xfId="0"/>
    <cellStyle name="Normal 61 2 3 2 3 2 2 4 3" xfId="0"/>
    <cellStyle name="Normal 61 2 3 2 3 2 2 4 3 2" xfId="0"/>
    <cellStyle name="Normal 61 2 3 2 3 2 2 4 3 2 2" xfId="0"/>
    <cellStyle name="Normal 61 2 3 2 3 2 2 4 3 3" xfId="0"/>
    <cellStyle name="Normal 61 2 3 2 3 2 2 4 4" xfId="0"/>
    <cellStyle name="Normal 61 2 3 2 3 2 2 4 4 2" xfId="0"/>
    <cellStyle name="Normal 61 2 3 2 3 2 2 4 5" xfId="0"/>
    <cellStyle name="Normal 61 2 3 2 3 2 2 5" xfId="0"/>
    <cellStyle name="Normal 61 2 3 2 3 2 2 5 2" xfId="0"/>
    <cellStyle name="Normal 61 2 3 2 3 2 2 5 2 2" xfId="0"/>
    <cellStyle name="Normal 61 2 3 2 3 2 2 5 3" xfId="0"/>
    <cellStyle name="Normal 61 2 3 2 3 2 2 6" xfId="0"/>
    <cellStyle name="Normal 61 2 3 2 3 2 2 6 2" xfId="0"/>
    <cellStyle name="Normal 61 2 3 2 3 2 2 6 2 2" xfId="0"/>
    <cellStyle name="Normal 61 2 3 2 3 2 2 6 3" xfId="0"/>
    <cellStyle name="Normal 61 2 3 2 3 2 2 7" xfId="0"/>
    <cellStyle name="Normal 61 2 3 2 3 2 2 7 2" xfId="0"/>
    <cellStyle name="Normal 61 2 3 2 3 2 2 8" xfId="0"/>
    <cellStyle name="Normal 61 2 3 2 3 2 3" xfId="0"/>
    <cellStyle name="Normal 61 2 3 2 3 2 3 2" xfId="0"/>
    <cellStyle name="Normal 61 2 3 2 3 2 3 2 2" xfId="0"/>
    <cellStyle name="Normal 61 2 3 2 3 2 3 2 2 2" xfId="0"/>
    <cellStyle name="Normal 61 2 3 2 3 2 3 2 2 2 2" xfId="0"/>
    <cellStyle name="Normal 61 2 3 2 3 2 3 2 2 2 2 2" xfId="0"/>
    <cellStyle name="Normal 61 2 3 2 3 2 3 2 2 2 3" xfId="0"/>
    <cellStyle name="Normal 61 2 3 2 3 2 3 2 2 3" xfId="0"/>
    <cellStyle name="Normal 61 2 3 2 3 2 3 2 2 3 2" xfId="0"/>
    <cellStyle name="Normal 61 2 3 2 3 2 3 2 2 3 2 2" xfId="0"/>
    <cellStyle name="Normal 61 2 3 2 3 2 3 2 2 3 3" xfId="0"/>
    <cellStyle name="Normal 61 2 3 2 3 2 3 2 2 4" xfId="0"/>
    <cellStyle name="Normal 61 2 3 2 3 2 3 2 2 4 2" xfId="0"/>
    <cellStyle name="Normal 61 2 3 2 3 2 3 2 2 5" xfId="0"/>
    <cellStyle name="Normal 61 2 3 2 3 2 3 2 3" xfId="0"/>
    <cellStyle name="Normal 61 2 3 2 3 2 3 2 3 2" xfId="0"/>
    <cellStyle name="Normal 61 2 3 2 3 2 3 2 3 2 2" xfId="0"/>
    <cellStyle name="Normal 61 2 3 2 3 2 3 2 3 3" xfId="0"/>
    <cellStyle name="Normal 61 2 3 2 3 2 3 2 4" xfId="0"/>
    <cellStyle name="Normal 61 2 3 2 3 2 3 2 4 2" xfId="0"/>
    <cellStyle name="Normal 61 2 3 2 3 2 3 2 4 2 2" xfId="0"/>
    <cellStyle name="Normal 61 2 3 2 3 2 3 2 4 3" xfId="0"/>
    <cellStyle name="Normal 61 2 3 2 3 2 3 2 5" xfId="0"/>
    <cellStyle name="Normal 61 2 3 2 3 2 3 2 5 2" xfId="0"/>
    <cellStyle name="Normal 61 2 3 2 3 2 3 2 6" xfId="0"/>
    <cellStyle name="Normal 61 2 3 2 3 2 3 3" xfId="0"/>
    <cellStyle name="Normal 61 2 3 2 3 2 3 3 2" xfId="0"/>
    <cellStyle name="Normal 61 2 3 2 3 2 3 3 2 2" xfId="0"/>
    <cellStyle name="Normal 61 2 3 2 3 2 3 3 2 2 2" xfId="0"/>
    <cellStyle name="Normal 61 2 3 2 3 2 3 3 2 3" xfId="0"/>
    <cellStyle name="Normal 61 2 3 2 3 2 3 3 3" xfId="0"/>
    <cellStyle name="Normal 61 2 3 2 3 2 3 3 3 2" xfId="0"/>
    <cellStyle name="Normal 61 2 3 2 3 2 3 3 3 2 2" xfId="0"/>
    <cellStyle name="Normal 61 2 3 2 3 2 3 3 3 3" xfId="0"/>
    <cellStyle name="Normal 61 2 3 2 3 2 3 3 4" xfId="0"/>
    <cellStyle name="Normal 61 2 3 2 3 2 3 3 4 2" xfId="0"/>
    <cellStyle name="Normal 61 2 3 2 3 2 3 3 5" xfId="0"/>
    <cellStyle name="Normal 61 2 3 2 3 2 3 4" xfId="0"/>
    <cellStyle name="Normal 61 2 3 2 3 2 3 4 2" xfId="0"/>
    <cellStyle name="Normal 61 2 3 2 3 2 3 4 2 2" xfId="0"/>
    <cellStyle name="Normal 61 2 3 2 3 2 3 4 3" xfId="0"/>
    <cellStyle name="Normal 61 2 3 2 3 2 3 5" xfId="0"/>
    <cellStyle name="Normal 61 2 3 2 3 2 3 5 2" xfId="0"/>
    <cellStyle name="Normal 61 2 3 2 3 2 3 5 2 2" xfId="0"/>
    <cellStyle name="Normal 61 2 3 2 3 2 3 5 3" xfId="0"/>
    <cellStyle name="Normal 61 2 3 2 3 2 3 6" xfId="0"/>
    <cellStyle name="Normal 61 2 3 2 3 2 3 6 2" xfId="0"/>
    <cellStyle name="Normal 61 2 3 2 3 2 3 7" xfId="0"/>
    <cellStyle name="Normal 61 2 3 2 3 2 4" xfId="0"/>
    <cellStyle name="Normal 61 2 3 2 3 2 4 2" xfId="0"/>
    <cellStyle name="Normal 61 2 3 2 3 2 4 2 2" xfId="0"/>
    <cellStyle name="Normal 61 2 3 2 3 2 4 2 2 2" xfId="0"/>
    <cellStyle name="Normal 61 2 3 2 3 2 4 2 2 2 2" xfId="0"/>
    <cellStyle name="Normal 61 2 3 2 3 2 4 2 2 3" xfId="0"/>
    <cellStyle name="Normal 61 2 3 2 3 2 4 2 3" xfId="0"/>
    <cellStyle name="Normal 61 2 3 2 3 2 4 2 3 2" xfId="0"/>
    <cellStyle name="Normal 61 2 3 2 3 2 4 2 3 2 2" xfId="0"/>
    <cellStyle name="Normal 61 2 3 2 3 2 4 2 3 3" xfId="0"/>
    <cellStyle name="Normal 61 2 3 2 3 2 4 2 4" xfId="0"/>
    <cellStyle name="Normal 61 2 3 2 3 2 4 2 4 2" xfId="0"/>
    <cellStyle name="Normal 61 2 3 2 3 2 4 2 5" xfId="0"/>
    <cellStyle name="Normal 61 2 3 2 3 2 4 3" xfId="0"/>
    <cellStyle name="Normal 61 2 3 2 3 2 4 3 2" xfId="0"/>
    <cellStyle name="Normal 61 2 3 2 3 2 4 3 2 2" xfId="0"/>
    <cellStyle name="Normal 61 2 3 2 3 2 4 3 3" xfId="0"/>
    <cellStyle name="Normal 61 2 3 2 3 2 4 4" xfId="0"/>
    <cellStyle name="Normal 61 2 3 2 3 2 4 4 2" xfId="0"/>
    <cellStyle name="Normal 61 2 3 2 3 2 4 4 2 2" xfId="0"/>
    <cellStyle name="Normal 61 2 3 2 3 2 4 4 3" xfId="0"/>
    <cellStyle name="Normal 61 2 3 2 3 2 4 5" xfId="0"/>
    <cellStyle name="Normal 61 2 3 2 3 2 4 5 2" xfId="0"/>
    <cellStyle name="Normal 61 2 3 2 3 2 4 6" xfId="0"/>
    <cellStyle name="Normal 61 2 3 2 3 2 5" xfId="0"/>
    <cellStyle name="Normal 61 2 3 2 3 2 5 2" xfId="0"/>
    <cellStyle name="Normal 61 2 3 2 3 2 5 2 2" xfId="0"/>
    <cellStyle name="Normal 61 2 3 2 3 2 5 2 2 2" xfId="0"/>
    <cellStyle name="Normal 61 2 3 2 3 2 5 2 3" xfId="0"/>
    <cellStyle name="Normal 61 2 3 2 3 2 5 3" xfId="0"/>
    <cellStyle name="Normal 61 2 3 2 3 2 5 3 2" xfId="0"/>
    <cellStyle name="Normal 61 2 3 2 3 2 5 3 2 2" xfId="0"/>
    <cellStyle name="Normal 61 2 3 2 3 2 5 3 3" xfId="0"/>
    <cellStyle name="Normal 61 2 3 2 3 2 5 4" xfId="0"/>
    <cellStyle name="Normal 61 2 3 2 3 2 5 4 2" xfId="0"/>
    <cellStyle name="Normal 61 2 3 2 3 2 5 5" xfId="0"/>
    <cellStyle name="Normal 61 2 3 2 3 2 6" xfId="0"/>
    <cellStyle name="Normal 61 2 3 2 3 2 6 2" xfId="0"/>
    <cellStyle name="Normal 61 2 3 2 3 2 6 2 2" xfId="0"/>
    <cellStyle name="Normal 61 2 3 2 3 2 6 3" xfId="0"/>
    <cellStyle name="Normal 61 2 3 2 3 2 7" xfId="0"/>
    <cellStyle name="Normal 61 2 3 2 3 2 7 2" xfId="0"/>
    <cellStyle name="Normal 61 2 3 2 3 2 7 2 2" xfId="0"/>
    <cellStyle name="Normal 61 2 3 2 3 2 7 3" xfId="0"/>
    <cellStyle name="Normal 61 2 3 2 3 2 8" xfId="0"/>
    <cellStyle name="Normal 61 2 3 2 3 2 8 2" xfId="0"/>
    <cellStyle name="Normal 61 2 3 2 3 2 9" xfId="0"/>
    <cellStyle name="Normal 61 2 3 2 3 3" xfId="0"/>
    <cellStyle name="Normal 61 2 3 2 3 3 2" xfId="0"/>
    <cellStyle name="Normal 61 2 3 2 3 3 2 2" xfId="0"/>
    <cellStyle name="Normal 61 2 3 2 3 3 2 2 2" xfId="0"/>
    <cellStyle name="Normal 61 2 3 2 3 3 2 2 2 2" xfId="0"/>
    <cellStyle name="Normal 61 2 3 2 3 3 2 2 2 2 2" xfId="0"/>
    <cellStyle name="Normal 61 2 3 2 3 3 2 2 2 2 2 2" xfId="0"/>
    <cellStyle name="Normal 61 2 3 2 3 3 2 2 2 2 3" xfId="0"/>
    <cellStyle name="Normal 61 2 3 2 3 3 2 2 2 3" xfId="0"/>
    <cellStyle name="Normal 61 2 3 2 3 3 2 2 2 3 2" xfId="0"/>
    <cellStyle name="Normal 61 2 3 2 3 3 2 2 2 3 2 2" xfId="0"/>
    <cellStyle name="Normal 61 2 3 2 3 3 2 2 2 3 3" xfId="0"/>
    <cellStyle name="Normal 61 2 3 2 3 3 2 2 2 4" xfId="0"/>
    <cellStyle name="Normal 61 2 3 2 3 3 2 2 2 4 2" xfId="0"/>
    <cellStyle name="Normal 61 2 3 2 3 3 2 2 2 5" xfId="0"/>
    <cellStyle name="Normal 61 2 3 2 3 3 2 2 3" xfId="0"/>
    <cellStyle name="Normal 61 2 3 2 3 3 2 2 3 2" xfId="0"/>
    <cellStyle name="Normal 61 2 3 2 3 3 2 2 3 2 2" xfId="0"/>
    <cellStyle name="Normal 61 2 3 2 3 3 2 2 3 3" xfId="0"/>
    <cellStyle name="Normal 61 2 3 2 3 3 2 2 4" xfId="0"/>
    <cellStyle name="Normal 61 2 3 2 3 3 2 2 4 2" xfId="0"/>
    <cellStyle name="Normal 61 2 3 2 3 3 2 2 4 2 2" xfId="0"/>
    <cellStyle name="Normal 61 2 3 2 3 3 2 2 4 3" xfId="0"/>
    <cellStyle name="Normal 61 2 3 2 3 3 2 2 5" xfId="0"/>
    <cellStyle name="Normal 61 2 3 2 3 3 2 2 5 2" xfId="0"/>
    <cellStyle name="Normal 61 2 3 2 3 3 2 2 6" xfId="0"/>
    <cellStyle name="Normal 61 2 3 2 3 3 2 3" xfId="0"/>
    <cellStyle name="Normal 61 2 3 2 3 3 2 3 2" xfId="0"/>
    <cellStyle name="Normal 61 2 3 2 3 3 2 3 2 2" xfId="0"/>
    <cellStyle name="Normal 61 2 3 2 3 3 2 3 2 2 2" xfId="0"/>
    <cellStyle name="Normal 61 2 3 2 3 3 2 3 2 3" xfId="0"/>
    <cellStyle name="Normal 61 2 3 2 3 3 2 3 3" xfId="0"/>
    <cellStyle name="Normal 61 2 3 2 3 3 2 3 3 2" xfId="0"/>
    <cellStyle name="Normal 61 2 3 2 3 3 2 3 3 2 2" xfId="0"/>
    <cellStyle name="Normal 61 2 3 2 3 3 2 3 3 3" xfId="0"/>
    <cellStyle name="Normal 61 2 3 2 3 3 2 3 4" xfId="0"/>
    <cellStyle name="Normal 61 2 3 2 3 3 2 3 4 2" xfId="0"/>
    <cellStyle name="Normal 61 2 3 2 3 3 2 3 5" xfId="0"/>
    <cellStyle name="Normal 61 2 3 2 3 3 2 4" xfId="0"/>
    <cellStyle name="Normal 61 2 3 2 3 3 2 4 2" xfId="0"/>
    <cellStyle name="Normal 61 2 3 2 3 3 2 4 2 2" xfId="0"/>
    <cellStyle name="Normal 61 2 3 2 3 3 2 4 3" xfId="0"/>
    <cellStyle name="Normal 61 2 3 2 3 3 2 5" xfId="0"/>
    <cellStyle name="Normal 61 2 3 2 3 3 2 5 2" xfId="0"/>
    <cellStyle name="Normal 61 2 3 2 3 3 2 5 2 2" xfId="0"/>
    <cellStyle name="Normal 61 2 3 2 3 3 2 5 3" xfId="0"/>
    <cellStyle name="Normal 61 2 3 2 3 3 2 6" xfId="0"/>
    <cellStyle name="Normal 61 2 3 2 3 3 2 6 2" xfId="0"/>
    <cellStyle name="Normal 61 2 3 2 3 3 2 7" xfId="0"/>
    <cellStyle name="Normal 61 2 3 2 3 3 3" xfId="0"/>
    <cellStyle name="Normal 61 2 3 2 3 3 3 2" xfId="0"/>
    <cellStyle name="Normal 61 2 3 2 3 3 3 2 2" xfId="0"/>
    <cellStyle name="Normal 61 2 3 2 3 3 3 2 2 2" xfId="0"/>
    <cellStyle name="Normal 61 2 3 2 3 3 3 2 2 2 2" xfId="0"/>
    <cellStyle name="Normal 61 2 3 2 3 3 3 2 2 3" xfId="0"/>
    <cellStyle name="Normal 61 2 3 2 3 3 3 2 3" xfId="0"/>
    <cellStyle name="Normal 61 2 3 2 3 3 3 2 3 2" xfId="0"/>
    <cellStyle name="Normal 61 2 3 2 3 3 3 2 3 2 2" xfId="0"/>
    <cellStyle name="Normal 61 2 3 2 3 3 3 2 3 3" xfId="0"/>
    <cellStyle name="Normal 61 2 3 2 3 3 3 2 4" xfId="0"/>
    <cellStyle name="Normal 61 2 3 2 3 3 3 2 4 2" xfId="0"/>
    <cellStyle name="Normal 61 2 3 2 3 3 3 2 5" xfId="0"/>
    <cellStyle name="Normal 61 2 3 2 3 3 3 3" xfId="0"/>
    <cellStyle name="Normal 61 2 3 2 3 3 3 3 2" xfId="0"/>
    <cellStyle name="Normal 61 2 3 2 3 3 3 3 2 2" xfId="0"/>
    <cellStyle name="Normal 61 2 3 2 3 3 3 3 3" xfId="0"/>
    <cellStyle name="Normal 61 2 3 2 3 3 3 4" xfId="0"/>
    <cellStyle name="Normal 61 2 3 2 3 3 3 4 2" xfId="0"/>
    <cellStyle name="Normal 61 2 3 2 3 3 3 4 2 2" xfId="0"/>
    <cellStyle name="Normal 61 2 3 2 3 3 3 4 3" xfId="0"/>
    <cellStyle name="Normal 61 2 3 2 3 3 3 5" xfId="0"/>
    <cellStyle name="Normal 61 2 3 2 3 3 3 5 2" xfId="0"/>
    <cellStyle name="Normal 61 2 3 2 3 3 3 6" xfId="0"/>
    <cellStyle name="Normal 61 2 3 2 3 3 4" xfId="0"/>
    <cellStyle name="Normal 61 2 3 2 3 3 4 2" xfId="0"/>
    <cellStyle name="Normal 61 2 3 2 3 3 4 2 2" xfId="0"/>
    <cellStyle name="Normal 61 2 3 2 3 3 4 2 2 2" xfId="0"/>
    <cellStyle name="Normal 61 2 3 2 3 3 4 2 3" xfId="0"/>
    <cellStyle name="Normal 61 2 3 2 3 3 4 3" xfId="0"/>
    <cellStyle name="Normal 61 2 3 2 3 3 4 3 2" xfId="0"/>
    <cellStyle name="Normal 61 2 3 2 3 3 4 3 2 2" xfId="0"/>
    <cellStyle name="Normal 61 2 3 2 3 3 4 3 3" xfId="0"/>
    <cellStyle name="Normal 61 2 3 2 3 3 4 4" xfId="0"/>
    <cellStyle name="Normal 61 2 3 2 3 3 4 4 2" xfId="0"/>
    <cellStyle name="Normal 61 2 3 2 3 3 4 5" xfId="0"/>
    <cellStyle name="Normal 61 2 3 2 3 3 5" xfId="0"/>
    <cellStyle name="Normal 61 2 3 2 3 3 5 2" xfId="0"/>
    <cellStyle name="Normal 61 2 3 2 3 3 5 2 2" xfId="0"/>
    <cellStyle name="Normal 61 2 3 2 3 3 5 3" xfId="0"/>
    <cellStyle name="Normal 61 2 3 2 3 3 6" xfId="0"/>
    <cellStyle name="Normal 61 2 3 2 3 3 6 2" xfId="0"/>
    <cellStyle name="Normal 61 2 3 2 3 3 6 2 2" xfId="0"/>
    <cellStyle name="Normal 61 2 3 2 3 3 6 3" xfId="0"/>
    <cellStyle name="Normal 61 2 3 2 3 3 7" xfId="0"/>
    <cellStyle name="Normal 61 2 3 2 3 3 7 2" xfId="0"/>
    <cellStyle name="Normal 61 2 3 2 3 3 8" xfId="0"/>
    <cellStyle name="Normal 61 2 3 2 3 4" xfId="0"/>
    <cellStyle name="Normal 61 2 3 2 3 4 2" xfId="0"/>
    <cellStyle name="Normal 61 2 3 2 3 4 2 2" xfId="0"/>
    <cellStyle name="Normal 61 2 3 2 3 4 2 2 2" xfId="0"/>
    <cellStyle name="Normal 61 2 3 2 3 4 2 2 2 2" xfId="0"/>
    <cellStyle name="Normal 61 2 3 2 3 4 2 2 2 2 2" xfId="0"/>
    <cellStyle name="Normal 61 2 3 2 3 4 2 2 2 3" xfId="0"/>
    <cellStyle name="Normal 61 2 3 2 3 4 2 2 3" xfId="0"/>
    <cellStyle name="Normal 61 2 3 2 3 4 2 2 3 2" xfId="0"/>
    <cellStyle name="Normal 61 2 3 2 3 4 2 2 3 2 2" xfId="0"/>
    <cellStyle name="Normal 61 2 3 2 3 4 2 2 3 3" xfId="0"/>
    <cellStyle name="Normal 61 2 3 2 3 4 2 2 4" xfId="0"/>
    <cellStyle name="Normal 61 2 3 2 3 4 2 2 4 2" xfId="0"/>
    <cellStyle name="Normal 61 2 3 2 3 4 2 2 5" xfId="0"/>
    <cellStyle name="Normal 61 2 3 2 3 4 2 3" xfId="0"/>
    <cellStyle name="Normal 61 2 3 2 3 4 2 3 2" xfId="0"/>
    <cellStyle name="Normal 61 2 3 2 3 4 2 3 2 2" xfId="0"/>
    <cellStyle name="Normal 61 2 3 2 3 4 2 3 3" xfId="0"/>
    <cellStyle name="Normal 61 2 3 2 3 4 2 4" xfId="0"/>
    <cellStyle name="Normal 61 2 3 2 3 4 2 4 2" xfId="0"/>
    <cellStyle name="Normal 61 2 3 2 3 4 2 4 2 2" xfId="0"/>
    <cellStyle name="Normal 61 2 3 2 3 4 2 4 3" xfId="0"/>
    <cellStyle name="Normal 61 2 3 2 3 4 2 5" xfId="0"/>
    <cellStyle name="Normal 61 2 3 2 3 4 2 5 2" xfId="0"/>
    <cellStyle name="Normal 61 2 3 2 3 4 2 6" xfId="0"/>
    <cellStyle name="Normal 61 2 3 2 3 4 3" xfId="0"/>
    <cellStyle name="Normal 61 2 3 2 3 4 3 2" xfId="0"/>
    <cellStyle name="Normal 61 2 3 2 3 4 3 2 2" xfId="0"/>
    <cellStyle name="Normal 61 2 3 2 3 4 3 2 2 2" xfId="0"/>
    <cellStyle name="Normal 61 2 3 2 3 4 3 2 3" xfId="0"/>
    <cellStyle name="Normal 61 2 3 2 3 4 3 3" xfId="0"/>
    <cellStyle name="Normal 61 2 3 2 3 4 3 3 2" xfId="0"/>
    <cellStyle name="Normal 61 2 3 2 3 4 3 3 2 2" xfId="0"/>
    <cellStyle name="Normal 61 2 3 2 3 4 3 3 3" xfId="0"/>
    <cellStyle name="Normal 61 2 3 2 3 4 3 4" xfId="0"/>
    <cellStyle name="Normal 61 2 3 2 3 4 3 4 2" xfId="0"/>
    <cellStyle name="Normal 61 2 3 2 3 4 3 5" xfId="0"/>
    <cellStyle name="Normal 61 2 3 2 3 4 4" xfId="0"/>
    <cellStyle name="Normal 61 2 3 2 3 4 4 2" xfId="0"/>
    <cellStyle name="Normal 61 2 3 2 3 4 4 2 2" xfId="0"/>
    <cellStyle name="Normal 61 2 3 2 3 4 4 3" xfId="0"/>
    <cellStyle name="Normal 61 2 3 2 3 4 5" xfId="0"/>
    <cellStyle name="Normal 61 2 3 2 3 4 5 2" xfId="0"/>
    <cellStyle name="Normal 61 2 3 2 3 4 5 2 2" xfId="0"/>
    <cellStyle name="Normal 61 2 3 2 3 4 5 3" xfId="0"/>
    <cellStyle name="Normal 61 2 3 2 3 4 6" xfId="0"/>
    <cellStyle name="Normal 61 2 3 2 3 4 6 2" xfId="0"/>
    <cellStyle name="Normal 61 2 3 2 3 4 7" xfId="0"/>
    <cellStyle name="Normal 61 2 3 2 3 5" xfId="0"/>
    <cellStyle name="Normal 61 2 3 2 3 5 2" xfId="0"/>
    <cellStyle name="Normal 61 2 3 2 3 5 2 2" xfId="0"/>
    <cellStyle name="Normal 61 2 3 2 3 5 2 2 2" xfId="0"/>
    <cellStyle name="Normal 61 2 3 2 3 5 2 2 2 2" xfId="0"/>
    <cellStyle name="Normal 61 2 3 2 3 5 2 2 3" xfId="0"/>
    <cellStyle name="Normal 61 2 3 2 3 5 2 3" xfId="0"/>
    <cellStyle name="Normal 61 2 3 2 3 5 2 3 2" xfId="0"/>
    <cellStyle name="Normal 61 2 3 2 3 5 2 3 2 2" xfId="0"/>
    <cellStyle name="Normal 61 2 3 2 3 5 2 3 3" xfId="0"/>
    <cellStyle name="Normal 61 2 3 2 3 5 2 4" xfId="0"/>
    <cellStyle name="Normal 61 2 3 2 3 5 2 4 2" xfId="0"/>
    <cellStyle name="Normal 61 2 3 2 3 5 2 5" xfId="0"/>
    <cellStyle name="Normal 61 2 3 2 3 5 3" xfId="0"/>
    <cellStyle name="Normal 61 2 3 2 3 5 3 2" xfId="0"/>
    <cellStyle name="Normal 61 2 3 2 3 5 3 2 2" xfId="0"/>
    <cellStyle name="Normal 61 2 3 2 3 5 3 3" xfId="0"/>
    <cellStyle name="Normal 61 2 3 2 3 5 4" xfId="0"/>
    <cellStyle name="Normal 61 2 3 2 3 5 4 2" xfId="0"/>
    <cellStyle name="Normal 61 2 3 2 3 5 4 2 2" xfId="0"/>
    <cellStyle name="Normal 61 2 3 2 3 5 4 3" xfId="0"/>
    <cellStyle name="Normal 61 2 3 2 3 5 5" xfId="0"/>
    <cellStyle name="Normal 61 2 3 2 3 5 5 2" xfId="0"/>
    <cellStyle name="Normal 61 2 3 2 3 5 6" xfId="0"/>
    <cellStyle name="Normal 61 2 3 2 3 6" xfId="0"/>
    <cellStyle name="Normal 61 2 3 2 3 6 2" xfId="0"/>
    <cellStyle name="Normal 61 2 3 2 3 6 2 2" xfId="0"/>
    <cellStyle name="Normal 61 2 3 2 3 6 2 2 2" xfId="0"/>
    <cellStyle name="Normal 61 2 3 2 3 6 2 3" xfId="0"/>
    <cellStyle name="Normal 61 2 3 2 3 6 3" xfId="0"/>
    <cellStyle name="Normal 61 2 3 2 3 6 3 2" xfId="0"/>
    <cellStyle name="Normal 61 2 3 2 3 6 3 2 2" xfId="0"/>
    <cellStyle name="Normal 61 2 3 2 3 6 3 3" xfId="0"/>
    <cellStyle name="Normal 61 2 3 2 3 6 4" xfId="0"/>
    <cellStyle name="Normal 61 2 3 2 3 6 4 2" xfId="0"/>
    <cellStyle name="Normal 61 2 3 2 3 6 5" xfId="0"/>
    <cellStyle name="Normal 61 2 3 2 3 7" xfId="0"/>
    <cellStyle name="Normal 61 2 3 2 3 7 2" xfId="0"/>
    <cellStyle name="Normal 61 2 3 2 3 7 2 2" xfId="0"/>
    <cellStyle name="Normal 61 2 3 2 3 7 3" xfId="0"/>
    <cellStyle name="Normal 61 2 3 2 3 8" xfId="0"/>
    <cellStyle name="Normal 61 2 3 2 3 8 2" xfId="0"/>
    <cellStyle name="Normal 61 2 3 2 3 8 2 2" xfId="0"/>
    <cellStyle name="Normal 61 2 3 2 3 8 3" xfId="0"/>
    <cellStyle name="Normal 61 2 3 2 3 9" xfId="0"/>
    <cellStyle name="Normal 61 2 3 2 3 9 2" xfId="0"/>
    <cellStyle name="Normal 61 2 3 2 4" xfId="0"/>
    <cellStyle name="Normal 61 2 3 2 4 2" xfId="0"/>
    <cellStyle name="Normal 61 2 3 2 4 2 2" xfId="0"/>
    <cellStyle name="Normal 61 2 3 2 4 2 2 2" xfId="0"/>
    <cellStyle name="Normal 61 2 3 2 4 2 2 2 2" xfId="0"/>
    <cellStyle name="Normal 61 2 3 2 4 2 2 2 2 2" xfId="0"/>
    <cellStyle name="Normal 61 2 3 2 4 2 2 2 2 2 2" xfId="0"/>
    <cellStyle name="Normal 61 2 3 2 4 2 2 2 2 2 2 2" xfId="0"/>
    <cellStyle name="Normal 61 2 3 2 4 2 2 2 2 2 3" xfId="0"/>
    <cellStyle name="Normal 61 2 3 2 4 2 2 2 2 3" xfId="0"/>
    <cellStyle name="Normal 61 2 3 2 4 2 2 2 2 3 2" xfId="0"/>
    <cellStyle name="Normal 61 2 3 2 4 2 2 2 2 3 2 2" xfId="0"/>
    <cellStyle name="Normal 61 2 3 2 4 2 2 2 2 3 3" xfId="0"/>
    <cellStyle name="Normal 61 2 3 2 4 2 2 2 2 4" xfId="0"/>
    <cellStyle name="Normal 61 2 3 2 4 2 2 2 2 4 2" xfId="0"/>
    <cellStyle name="Normal 61 2 3 2 4 2 2 2 2 5" xfId="0"/>
    <cellStyle name="Normal 61 2 3 2 4 2 2 2 3" xfId="0"/>
    <cellStyle name="Normal 61 2 3 2 4 2 2 2 3 2" xfId="0"/>
    <cellStyle name="Normal 61 2 3 2 4 2 2 2 3 2 2" xfId="0"/>
    <cellStyle name="Normal 61 2 3 2 4 2 2 2 3 3" xfId="0"/>
    <cellStyle name="Normal 61 2 3 2 4 2 2 2 4" xfId="0"/>
    <cellStyle name="Normal 61 2 3 2 4 2 2 2 4 2" xfId="0"/>
    <cellStyle name="Normal 61 2 3 2 4 2 2 2 4 2 2" xfId="0"/>
    <cellStyle name="Normal 61 2 3 2 4 2 2 2 4 3" xfId="0"/>
    <cellStyle name="Normal 61 2 3 2 4 2 2 2 5" xfId="0"/>
    <cellStyle name="Normal 61 2 3 2 4 2 2 2 5 2" xfId="0"/>
    <cellStyle name="Normal 61 2 3 2 4 2 2 2 6" xfId="0"/>
    <cellStyle name="Normal 61 2 3 2 4 2 2 3" xfId="0"/>
    <cellStyle name="Normal 61 2 3 2 4 2 2 3 2" xfId="0"/>
    <cellStyle name="Normal 61 2 3 2 4 2 2 3 2 2" xfId="0"/>
    <cellStyle name="Normal 61 2 3 2 4 2 2 3 2 2 2" xfId="0"/>
    <cellStyle name="Normal 61 2 3 2 4 2 2 3 2 3" xfId="0"/>
    <cellStyle name="Normal 61 2 3 2 4 2 2 3 3" xfId="0"/>
    <cellStyle name="Normal 61 2 3 2 4 2 2 3 3 2" xfId="0"/>
    <cellStyle name="Normal 61 2 3 2 4 2 2 3 3 2 2" xfId="0"/>
    <cellStyle name="Normal 61 2 3 2 4 2 2 3 3 3" xfId="0"/>
    <cellStyle name="Normal 61 2 3 2 4 2 2 3 4" xfId="0"/>
    <cellStyle name="Normal 61 2 3 2 4 2 2 3 4 2" xfId="0"/>
    <cellStyle name="Normal 61 2 3 2 4 2 2 3 5" xfId="0"/>
    <cellStyle name="Normal 61 2 3 2 4 2 2 4" xfId="0"/>
    <cellStyle name="Normal 61 2 3 2 4 2 2 4 2" xfId="0"/>
    <cellStyle name="Normal 61 2 3 2 4 2 2 4 2 2" xfId="0"/>
    <cellStyle name="Normal 61 2 3 2 4 2 2 4 3" xfId="0"/>
    <cellStyle name="Normal 61 2 3 2 4 2 2 5" xfId="0"/>
    <cellStyle name="Normal 61 2 3 2 4 2 2 5 2" xfId="0"/>
    <cellStyle name="Normal 61 2 3 2 4 2 2 5 2 2" xfId="0"/>
    <cellStyle name="Normal 61 2 3 2 4 2 2 5 3" xfId="0"/>
    <cellStyle name="Normal 61 2 3 2 4 2 2 6" xfId="0"/>
    <cellStyle name="Normal 61 2 3 2 4 2 2 6 2" xfId="0"/>
    <cellStyle name="Normal 61 2 3 2 4 2 2 7" xfId="0"/>
    <cellStyle name="Normal 61 2 3 2 4 2 3" xfId="0"/>
    <cellStyle name="Normal 61 2 3 2 4 2 3 2" xfId="0"/>
    <cellStyle name="Normal 61 2 3 2 4 2 3 2 2" xfId="0"/>
    <cellStyle name="Normal 61 2 3 2 4 2 3 2 2 2" xfId="0"/>
    <cellStyle name="Normal 61 2 3 2 4 2 3 2 2 2 2" xfId="0"/>
    <cellStyle name="Normal 61 2 3 2 4 2 3 2 2 3" xfId="0"/>
    <cellStyle name="Normal 61 2 3 2 4 2 3 2 3" xfId="0"/>
    <cellStyle name="Normal 61 2 3 2 4 2 3 2 3 2" xfId="0"/>
    <cellStyle name="Normal 61 2 3 2 4 2 3 2 3 2 2" xfId="0"/>
    <cellStyle name="Normal 61 2 3 2 4 2 3 2 3 3" xfId="0"/>
    <cellStyle name="Normal 61 2 3 2 4 2 3 2 4" xfId="0"/>
    <cellStyle name="Normal 61 2 3 2 4 2 3 2 4 2" xfId="0"/>
    <cellStyle name="Normal 61 2 3 2 4 2 3 2 5" xfId="0"/>
    <cellStyle name="Normal 61 2 3 2 4 2 3 3" xfId="0"/>
    <cellStyle name="Normal 61 2 3 2 4 2 3 3 2" xfId="0"/>
    <cellStyle name="Normal 61 2 3 2 4 2 3 3 2 2" xfId="0"/>
    <cellStyle name="Normal 61 2 3 2 4 2 3 3 3" xfId="0"/>
    <cellStyle name="Normal 61 2 3 2 4 2 3 4" xfId="0"/>
    <cellStyle name="Normal 61 2 3 2 4 2 3 4 2" xfId="0"/>
    <cellStyle name="Normal 61 2 3 2 4 2 3 4 2 2" xfId="0"/>
    <cellStyle name="Normal 61 2 3 2 4 2 3 4 3" xfId="0"/>
    <cellStyle name="Normal 61 2 3 2 4 2 3 5" xfId="0"/>
    <cellStyle name="Normal 61 2 3 2 4 2 3 5 2" xfId="0"/>
    <cellStyle name="Normal 61 2 3 2 4 2 3 6" xfId="0"/>
    <cellStyle name="Normal 61 2 3 2 4 2 4" xfId="0"/>
    <cellStyle name="Normal 61 2 3 2 4 2 4 2" xfId="0"/>
    <cellStyle name="Normal 61 2 3 2 4 2 4 2 2" xfId="0"/>
    <cellStyle name="Normal 61 2 3 2 4 2 4 2 2 2" xfId="0"/>
    <cellStyle name="Normal 61 2 3 2 4 2 4 2 3" xfId="0"/>
    <cellStyle name="Normal 61 2 3 2 4 2 4 3" xfId="0"/>
    <cellStyle name="Normal 61 2 3 2 4 2 4 3 2" xfId="0"/>
    <cellStyle name="Normal 61 2 3 2 4 2 4 3 2 2" xfId="0"/>
    <cellStyle name="Normal 61 2 3 2 4 2 4 3 3" xfId="0"/>
    <cellStyle name="Normal 61 2 3 2 4 2 4 4" xfId="0"/>
    <cellStyle name="Normal 61 2 3 2 4 2 4 4 2" xfId="0"/>
    <cellStyle name="Normal 61 2 3 2 4 2 4 5" xfId="0"/>
    <cellStyle name="Normal 61 2 3 2 4 2 5" xfId="0"/>
    <cellStyle name="Normal 61 2 3 2 4 2 5 2" xfId="0"/>
    <cellStyle name="Normal 61 2 3 2 4 2 5 2 2" xfId="0"/>
    <cellStyle name="Normal 61 2 3 2 4 2 5 3" xfId="0"/>
    <cellStyle name="Normal 61 2 3 2 4 2 6" xfId="0"/>
    <cellStyle name="Normal 61 2 3 2 4 2 6 2" xfId="0"/>
    <cellStyle name="Normal 61 2 3 2 4 2 6 2 2" xfId="0"/>
    <cellStyle name="Normal 61 2 3 2 4 2 6 3" xfId="0"/>
    <cellStyle name="Normal 61 2 3 2 4 2 7" xfId="0"/>
    <cellStyle name="Normal 61 2 3 2 4 2 7 2" xfId="0"/>
    <cellStyle name="Normal 61 2 3 2 4 2 8" xfId="0"/>
    <cellStyle name="Normal 61 2 3 2 4 3" xfId="0"/>
    <cellStyle name="Normal 61 2 3 2 4 3 2" xfId="0"/>
    <cellStyle name="Normal 61 2 3 2 4 3 2 2" xfId="0"/>
    <cellStyle name="Normal 61 2 3 2 4 3 2 2 2" xfId="0"/>
    <cellStyle name="Normal 61 2 3 2 4 3 2 2 2 2" xfId="0"/>
    <cellStyle name="Normal 61 2 3 2 4 3 2 2 2 2 2" xfId="0"/>
    <cellStyle name="Normal 61 2 3 2 4 3 2 2 2 3" xfId="0"/>
    <cellStyle name="Normal 61 2 3 2 4 3 2 2 3" xfId="0"/>
    <cellStyle name="Normal 61 2 3 2 4 3 2 2 3 2" xfId="0"/>
    <cellStyle name="Normal 61 2 3 2 4 3 2 2 3 2 2" xfId="0"/>
    <cellStyle name="Normal 61 2 3 2 4 3 2 2 3 3" xfId="0"/>
    <cellStyle name="Normal 61 2 3 2 4 3 2 2 4" xfId="0"/>
    <cellStyle name="Normal 61 2 3 2 4 3 2 2 4 2" xfId="0"/>
    <cellStyle name="Normal 61 2 3 2 4 3 2 2 5" xfId="0"/>
    <cellStyle name="Normal 61 2 3 2 4 3 2 3" xfId="0"/>
    <cellStyle name="Normal 61 2 3 2 4 3 2 3 2" xfId="0"/>
    <cellStyle name="Normal 61 2 3 2 4 3 2 3 2 2" xfId="0"/>
    <cellStyle name="Normal 61 2 3 2 4 3 2 3 3" xfId="0"/>
    <cellStyle name="Normal 61 2 3 2 4 3 2 4" xfId="0"/>
    <cellStyle name="Normal 61 2 3 2 4 3 2 4 2" xfId="0"/>
    <cellStyle name="Normal 61 2 3 2 4 3 2 4 2 2" xfId="0"/>
    <cellStyle name="Normal 61 2 3 2 4 3 2 4 3" xfId="0"/>
    <cellStyle name="Normal 61 2 3 2 4 3 2 5" xfId="0"/>
    <cellStyle name="Normal 61 2 3 2 4 3 2 5 2" xfId="0"/>
    <cellStyle name="Normal 61 2 3 2 4 3 2 6" xfId="0"/>
    <cellStyle name="Normal 61 2 3 2 4 3 3" xfId="0"/>
    <cellStyle name="Normal 61 2 3 2 4 3 3 2" xfId="0"/>
    <cellStyle name="Normal 61 2 3 2 4 3 3 2 2" xfId="0"/>
    <cellStyle name="Normal 61 2 3 2 4 3 3 2 2 2" xfId="0"/>
    <cellStyle name="Normal 61 2 3 2 4 3 3 2 3" xfId="0"/>
    <cellStyle name="Normal 61 2 3 2 4 3 3 3" xfId="0"/>
    <cellStyle name="Normal 61 2 3 2 4 3 3 3 2" xfId="0"/>
    <cellStyle name="Normal 61 2 3 2 4 3 3 3 2 2" xfId="0"/>
    <cellStyle name="Normal 61 2 3 2 4 3 3 3 3" xfId="0"/>
    <cellStyle name="Normal 61 2 3 2 4 3 3 4" xfId="0"/>
    <cellStyle name="Normal 61 2 3 2 4 3 3 4 2" xfId="0"/>
    <cellStyle name="Normal 61 2 3 2 4 3 3 5" xfId="0"/>
    <cellStyle name="Normal 61 2 3 2 4 3 4" xfId="0"/>
    <cellStyle name="Normal 61 2 3 2 4 3 4 2" xfId="0"/>
    <cellStyle name="Normal 61 2 3 2 4 3 4 2 2" xfId="0"/>
    <cellStyle name="Normal 61 2 3 2 4 3 4 3" xfId="0"/>
    <cellStyle name="Normal 61 2 3 2 4 3 5" xfId="0"/>
    <cellStyle name="Normal 61 2 3 2 4 3 5 2" xfId="0"/>
    <cellStyle name="Normal 61 2 3 2 4 3 5 2 2" xfId="0"/>
    <cellStyle name="Normal 61 2 3 2 4 3 5 3" xfId="0"/>
    <cellStyle name="Normal 61 2 3 2 4 3 6" xfId="0"/>
    <cellStyle name="Normal 61 2 3 2 4 3 6 2" xfId="0"/>
    <cellStyle name="Normal 61 2 3 2 4 3 7" xfId="0"/>
    <cellStyle name="Normal 61 2 3 2 4 4" xfId="0"/>
    <cellStyle name="Normal 61 2 3 2 4 4 2" xfId="0"/>
    <cellStyle name="Normal 61 2 3 2 4 4 2 2" xfId="0"/>
    <cellStyle name="Normal 61 2 3 2 4 4 2 2 2" xfId="0"/>
    <cellStyle name="Normal 61 2 3 2 4 4 2 2 2 2" xfId="0"/>
    <cellStyle name="Normal 61 2 3 2 4 4 2 2 3" xfId="0"/>
    <cellStyle name="Normal 61 2 3 2 4 4 2 3" xfId="0"/>
    <cellStyle name="Normal 61 2 3 2 4 4 2 3 2" xfId="0"/>
    <cellStyle name="Normal 61 2 3 2 4 4 2 3 2 2" xfId="0"/>
    <cellStyle name="Normal 61 2 3 2 4 4 2 3 3" xfId="0"/>
    <cellStyle name="Normal 61 2 3 2 4 4 2 4" xfId="0"/>
    <cellStyle name="Normal 61 2 3 2 4 4 2 4 2" xfId="0"/>
    <cellStyle name="Normal 61 2 3 2 4 4 2 5" xfId="0"/>
    <cellStyle name="Normal 61 2 3 2 4 4 3" xfId="0"/>
    <cellStyle name="Normal 61 2 3 2 4 4 3 2" xfId="0"/>
    <cellStyle name="Normal 61 2 3 2 4 4 3 2 2" xfId="0"/>
    <cellStyle name="Normal 61 2 3 2 4 4 3 3" xfId="0"/>
    <cellStyle name="Normal 61 2 3 2 4 4 4" xfId="0"/>
    <cellStyle name="Normal 61 2 3 2 4 4 4 2" xfId="0"/>
    <cellStyle name="Normal 61 2 3 2 4 4 4 2 2" xfId="0"/>
    <cellStyle name="Normal 61 2 3 2 4 4 4 3" xfId="0"/>
    <cellStyle name="Normal 61 2 3 2 4 4 5" xfId="0"/>
    <cellStyle name="Normal 61 2 3 2 4 4 5 2" xfId="0"/>
    <cellStyle name="Normal 61 2 3 2 4 4 6" xfId="0"/>
    <cellStyle name="Normal 61 2 3 2 4 5" xfId="0"/>
    <cellStyle name="Normal 61 2 3 2 4 5 2" xfId="0"/>
    <cellStyle name="Normal 61 2 3 2 4 5 2 2" xfId="0"/>
    <cellStyle name="Normal 61 2 3 2 4 5 2 2 2" xfId="0"/>
    <cellStyle name="Normal 61 2 3 2 4 5 2 3" xfId="0"/>
    <cellStyle name="Normal 61 2 3 2 4 5 3" xfId="0"/>
    <cellStyle name="Normal 61 2 3 2 4 5 3 2" xfId="0"/>
    <cellStyle name="Normal 61 2 3 2 4 5 3 2 2" xfId="0"/>
    <cellStyle name="Normal 61 2 3 2 4 5 3 3" xfId="0"/>
    <cellStyle name="Normal 61 2 3 2 4 5 4" xfId="0"/>
    <cellStyle name="Normal 61 2 3 2 4 5 4 2" xfId="0"/>
    <cellStyle name="Normal 61 2 3 2 4 5 5" xfId="0"/>
    <cellStyle name="Normal 61 2 3 2 4 6" xfId="0"/>
    <cellStyle name="Normal 61 2 3 2 4 6 2" xfId="0"/>
    <cellStyle name="Normal 61 2 3 2 4 6 2 2" xfId="0"/>
    <cellStyle name="Normal 61 2 3 2 4 6 3" xfId="0"/>
    <cellStyle name="Normal 61 2 3 2 4 7" xfId="0"/>
    <cellStyle name="Normal 61 2 3 2 4 7 2" xfId="0"/>
    <cellStyle name="Normal 61 2 3 2 4 7 2 2" xfId="0"/>
    <cellStyle name="Normal 61 2 3 2 4 7 3" xfId="0"/>
    <cellStyle name="Normal 61 2 3 2 4 8" xfId="0"/>
    <cellStyle name="Normal 61 2 3 2 4 8 2" xfId="0"/>
    <cellStyle name="Normal 61 2 3 2 4 9" xfId="0"/>
    <cellStyle name="Normal 61 2 3 2 5" xfId="0"/>
    <cellStyle name="Normal 61 2 3 2 5 2" xfId="0"/>
    <cellStyle name="Normal 61 2 3 2 5 2 2" xfId="0"/>
    <cellStyle name="Normal 61 2 3 2 5 2 2 2" xfId="0"/>
    <cellStyle name="Normal 61 2 3 2 5 2 2 2 2" xfId="0"/>
    <cellStyle name="Normal 61 2 3 2 5 2 2 2 2 2" xfId="0"/>
    <cellStyle name="Normal 61 2 3 2 5 2 2 2 2 2 2" xfId="0"/>
    <cellStyle name="Normal 61 2 3 2 5 2 2 2 2 3" xfId="0"/>
    <cellStyle name="Normal 61 2 3 2 5 2 2 2 3" xfId="0"/>
    <cellStyle name="Normal 61 2 3 2 5 2 2 2 3 2" xfId="0"/>
    <cellStyle name="Normal 61 2 3 2 5 2 2 2 3 2 2" xfId="0"/>
    <cellStyle name="Normal 61 2 3 2 5 2 2 2 3 3" xfId="0"/>
    <cellStyle name="Normal 61 2 3 2 5 2 2 2 4" xfId="0"/>
    <cellStyle name="Normal 61 2 3 2 5 2 2 2 4 2" xfId="0"/>
    <cellStyle name="Normal 61 2 3 2 5 2 2 2 5" xfId="0"/>
    <cellStyle name="Normal 61 2 3 2 5 2 2 3" xfId="0"/>
    <cellStyle name="Normal 61 2 3 2 5 2 2 3 2" xfId="0"/>
    <cellStyle name="Normal 61 2 3 2 5 2 2 3 2 2" xfId="0"/>
    <cellStyle name="Normal 61 2 3 2 5 2 2 3 3" xfId="0"/>
    <cellStyle name="Normal 61 2 3 2 5 2 2 4" xfId="0"/>
    <cellStyle name="Normal 61 2 3 2 5 2 2 4 2" xfId="0"/>
    <cellStyle name="Normal 61 2 3 2 5 2 2 4 2 2" xfId="0"/>
    <cellStyle name="Normal 61 2 3 2 5 2 2 4 3" xfId="0"/>
    <cellStyle name="Normal 61 2 3 2 5 2 2 5" xfId="0"/>
    <cellStyle name="Normal 61 2 3 2 5 2 2 5 2" xfId="0"/>
    <cellStyle name="Normal 61 2 3 2 5 2 2 6" xfId="0"/>
    <cellStyle name="Normal 61 2 3 2 5 2 3" xfId="0"/>
    <cellStyle name="Normal 61 2 3 2 5 2 3 2" xfId="0"/>
    <cellStyle name="Normal 61 2 3 2 5 2 3 2 2" xfId="0"/>
    <cellStyle name="Normal 61 2 3 2 5 2 3 2 2 2" xfId="0"/>
    <cellStyle name="Normal 61 2 3 2 5 2 3 2 3" xfId="0"/>
    <cellStyle name="Normal 61 2 3 2 5 2 3 3" xfId="0"/>
    <cellStyle name="Normal 61 2 3 2 5 2 3 3 2" xfId="0"/>
    <cellStyle name="Normal 61 2 3 2 5 2 3 3 2 2" xfId="0"/>
    <cellStyle name="Normal 61 2 3 2 5 2 3 3 3" xfId="0"/>
    <cellStyle name="Normal 61 2 3 2 5 2 3 4" xfId="0"/>
    <cellStyle name="Normal 61 2 3 2 5 2 3 4 2" xfId="0"/>
    <cellStyle name="Normal 61 2 3 2 5 2 3 5" xfId="0"/>
    <cellStyle name="Normal 61 2 3 2 5 2 4" xfId="0"/>
    <cellStyle name="Normal 61 2 3 2 5 2 4 2" xfId="0"/>
    <cellStyle name="Normal 61 2 3 2 5 2 4 2 2" xfId="0"/>
    <cellStyle name="Normal 61 2 3 2 5 2 4 3" xfId="0"/>
    <cellStyle name="Normal 61 2 3 2 5 2 5" xfId="0"/>
    <cellStyle name="Normal 61 2 3 2 5 2 5 2" xfId="0"/>
    <cellStyle name="Normal 61 2 3 2 5 2 5 2 2" xfId="0"/>
    <cellStyle name="Normal 61 2 3 2 5 2 5 3" xfId="0"/>
    <cellStyle name="Normal 61 2 3 2 5 2 6" xfId="0"/>
    <cellStyle name="Normal 61 2 3 2 5 2 6 2" xfId="0"/>
    <cellStyle name="Normal 61 2 3 2 5 2 7" xfId="0"/>
    <cellStyle name="Normal 61 2 3 2 5 3" xfId="0"/>
    <cellStyle name="Normal 61 2 3 2 5 3 2" xfId="0"/>
    <cellStyle name="Normal 61 2 3 2 5 3 2 2" xfId="0"/>
    <cellStyle name="Normal 61 2 3 2 5 3 2 2 2" xfId="0"/>
    <cellStyle name="Normal 61 2 3 2 5 3 2 2 2 2" xfId="0"/>
    <cellStyle name="Normal 61 2 3 2 5 3 2 2 3" xfId="0"/>
    <cellStyle name="Normal 61 2 3 2 5 3 2 3" xfId="0"/>
    <cellStyle name="Normal 61 2 3 2 5 3 2 3 2" xfId="0"/>
    <cellStyle name="Normal 61 2 3 2 5 3 2 3 2 2" xfId="0"/>
    <cellStyle name="Normal 61 2 3 2 5 3 2 3 3" xfId="0"/>
    <cellStyle name="Normal 61 2 3 2 5 3 2 4" xfId="0"/>
    <cellStyle name="Normal 61 2 3 2 5 3 2 4 2" xfId="0"/>
    <cellStyle name="Normal 61 2 3 2 5 3 2 5" xfId="0"/>
    <cellStyle name="Normal 61 2 3 2 5 3 3" xfId="0"/>
    <cellStyle name="Normal 61 2 3 2 5 3 3 2" xfId="0"/>
    <cellStyle name="Normal 61 2 3 2 5 3 3 2 2" xfId="0"/>
    <cellStyle name="Normal 61 2 3 2 5 3 3 3" xfId="0"/>
    <cellStyle name="Normal 61 2 3 2 5 3 4" xfId="0"/>
    <cellStyle name="Normal 61 2 3 2 5 3 4 2" xfId="0"/>
    <cellStyle name="Normal 61 2 3 2 5 3 4 2 2" xfId="0"/>
    <cellStyle name="Normal 61 2 3 2 5 3 4 3" xfId="0"/>
    <cellStyle name="Normal 61 2 3 2 5 3 5" xfId="0"/>
    <cellStyle name="Normal 61 2 3 2 5 3 5 2" xfId="0"/>
    <cellStyle name="Normal 61 2 3 2 5 3 6" xfId="0"/>
    <cellStyle name="Normal 61 2 3 2 5 4" xfId="0"/>
    <cellStyle name="Normal 61 2 3 2 5 4 2" xfId="0"/>
    <cellStyle name="Normal 61 2 3 2 5 4 2 2" xfId="0"/>
    <cellStyle name="Normal 61 2 3 2 5 4 2 2 2" xfId="0"/>
    <cellStyle name="Normal 61 2 3 2 5 4 2 3" xfId="0"/>
    <cellStyle name="Normal 61 2 3 2 5 4 3" xfId="0"/>
    <cellStyle name="Normal 61 2 3 2 5 4 3 2" xfId="0"/>
    <cellStyle name="Normal 61 2 3 2 5 4 3 2 2" xfId="0"/>
    <cellStyle name="Normal 61 2 3 2 5 4 3 3" xfId="0"/>
    <cellStyle name="Normal 61 2 3 2 5 4 4" xfId="0"/>
    <cellStyle name="Normal 61 2 3 2 5 4 4 2" xfId="0"/>
    <cellStyle name="Normal 61 2 3 2 5 4 5" xfId="0"/>
    <cellStyle name="Normal 61 2 3 2 5 5" xfId="0"/>
    <cellStyle name="Normal 61 2 3 2 5 5 2" xfId="0"/>
    <cellStyle name="Normal 61 2 3 2 5 5 2 2" xfId="0"/>
    <cellStyle name="Normal 61 2 3 2 5 5 3" xfId="0"/>
    <cellStyle name="Normal 61 2 3 2 5 6" xfId="0"/>
    <cellStyle name="Normal 61 2 3 2 5 6 2" xfId="0"/>
    <cellStyle name="Normal 61 2 3 2 5 6 2 2" xfId="0"/>
    <cellStyle name="Normal 61 2 3 2 5 6 3" xfId="0"/>
    <cellStyle name="Normal 61 2 3 2 5 7" xfId="0"/>
    <cellStyle name="Normal 61 2 3 2 5 7 2" xfId="0"/>
    <cellStyle name="Normal 61 2 3 2 5 8" xfId="0"/>
    <cellStyle name="Normal 61 2 3 2 6" xfId="0"/>
    <cellStyle name="Normal 61 2 3 2 6 2" xfId="0"/>
    <cellStyle name="Normal 61 2 3 2 6 2 2" xfId="0"/>
    <cellStyle name="Normal 61 2 3 2 6 2 2 2" xfId="0"/>
    <cellStyle name="Normal 61 2 3 2 6 2 2 2 2" xfId="0"/>
    <cellStyle name="Normal 61 2 3 2 6 2 2 2 2 2" xfId="0"/>
    <cellStyle name="Normal 61 2 3 2 6 2 2 2 3" xfId="0"/>
    <cellStyle name="Normal 61 2 3 2 6 2 2 3" xfId="0"/>
    <cellStyle name="Normal 61 2 3 2 6 2 2 3 2" xfId="0"/>
    <cellStyle name="Normal 61 2 3 2 6 2 2 3 2 2" xfId="0"/>
    <cellStyle name="Normal 61 2 3 2 6 2 2 3 3" xfId="0"/>
    <cellStyle name="Normal 61 2 3 2 6 2 2 4" xfId="0"/>
    <cellStyle name="Normal 61 2 3 2 6 2 2 4 2" xfId="0"/>
    <cellStyle name="Normal 61 2 3 2 6 2 2 5" xfId="0"/>
    <cellStyle name="Normal 61 2 3 2 6 2 3" xfId="0"/>
    <cellStyle name="Normal 61 2 3 2 6 2 3 2" xfId="0"/>
    <cellStyle name="Normal 61 2 3 2 6 2 3 2 2" xfId="0"/>
    <cellStyle name="Normal 61 2 3 2 6 2 3 3" xfId="0"/>
    <cellStyle name="Normal 61 2 3 2 6 2 4" xfId="0"/>
    <cellStyle name="Normal 61 2 3 2 6 2 4 2" xfId="0"/>
    <cellStyle name="Normal 61 2 3 2 6 2 4 2 2" xfId="0"/>
    <cellStyle name="Normal 61 2 3 2 6 2 4 3" xfId="0"/>
    <cellStyle name="Normal 61 2 3 2 6 2 5" xfId="0"/>
    <cellStyle name="Normal 61 2 3 2 6 2 5 2" xfId="0"/>
    <cellStyle name="Normal 61 2 3 2 6 2 6" xfId="0"/>
    <cellStyle name="Normal 61 2 3 2 6 3" xfId="0"/>
    <cellStyle name="Normal 61 2 3 2 6 3 2" xfId="0"/>
    <cellStyle name="Normal 61 2 3 2 6 3 2 2" xfId="0"/>
    <cellStyle name="Normal 61 2 3 2 6 3 2 2 2" xfId="0"/>
    <cellStyle name="Normal 61 2 3 2 6 3 2 3" xfId="0"/>
    <cellStyle name="Normal 61 2 3 2 6 3 3" xfId="0"/>
    <cellStyle name="Normal 61 2 3 2 6 3 3 2" xfId="0"/>
    <cellStyle name="Normal 61 2 3 2 6 3 3 2 2" xfId="0"/>
    <cellStyle name="Normal 61 2 3 2 6 3 3 3" xfId="0"/>
    <cellStyle name="Normal 61 2 3 2 6 3 4" xfId="0"/>
    <cellStyle name="Normal 61 2 3 2 6 3 4 2" xfId="0"/>
    <cellStyle name="Normal 61 2 3 2 6 3 5" xfId="0"/>
    <cellStyle name="Normal 61 2 3 2 6 4" xfId="0"/>
    <cellStyle name="Normal 61 2 3 2 6 4 2" xfId="0"/>
    <cellStyle name="Normal 61 2 3 2 6 4 2 2" xfId="0"/>
    <cellStyle name="Normal 61 2 3 2 6 4 3" xfId="0"/>
    <cellStyle name="Normal 61 2 3 2 6 5" xfId="0"/>
    <cellStyle name="Normal 61 2 3 2 6 5 2" xfId="0"/>
    <cellStyle name="Normal 61 2 3 2 6 5 2 2" xfId="0"/>
    <cellStyle name="Normal 61 2 3 2 6 5 3" xfId="0"/>
    <cellStyle name="Normal 61 2 3 2 6 6" xfId="0"/>
    <cellStyle name="Normal 61 2 3 2 6 6 2" xfId="0"/>
    <cellStyle name="Normal 61 2 3 2 6 7" xfId="0"/>
    <cellStyle name="Normal 61 2 3 2 7" xfId="0"/>
    <cellStyle name="Normal 61 2 3 2 7 2" xfId="0"/>
    <cellStyle name="Normal 61 2 3 2 7 2 2" xfId="0"/>
    <cellStyle name="Normal 61 2 3 2 7 2 2 2" xfId="0"/>
    <cellStyle name="Normal 61 2 3 2 7 2 2 2 2" xfId="0"/>
    <cellStyle name="Normal 61 2 3 2 7 2 2 3" xfId="0"/>
    <cellStyle name="Normal 61 2 3 2 7 2 3" xfId="0"/>
    <cellStyle name="Normal 61 2 3 2 7 2 3 2" xfId="0"/>
    <cellStyle name="Normal 61 2 3 2 7 2 3 2 2" xfId="0"/>
    <cellStyle name="Normal 61 2 3 2 7 2 3 3" xfId="0"/>
    <cellStyle name="Normal 61 2 3 2 7 2 4" xfId="0"/>
    <cellStyle name="Normal 61 2 3 2 7 2 4 2" xfId="0"/>
    <cellStyle name="Normal 61 2 3 2 7 2 5" xfId="0"/>
    <cellStyle name="Normal 61 2 3 2 7 3" xfId="0"/>
    <cellStyle name="Normal 61 2 3 2 7 3 2" xfId="0"/>
    <cellStyle name="Normal 61 2 3 2 7 3 2 2" xfId="0"/>
    <cellStyle name="Normal 61 2 3 2 7 3 3" xfId="0"/>
    <cellStyle name="Normal 61 2 3 2 7 4" xfId="0"/>
    <cellStyle name="Normal 61 2 3 2 7 4 2" xfId="0"/>
    <cellStyle name="Normal 61 2 3 2 7 4 2 2" xfId="0"/>
    <cellStyle name="Normal 61 2 3 2 7 4 3" xfId="0"/>
    <cellStyle name="Normal 61 2 3 2 7 5" xfId="0"/>
    <cellStyle name="Normal 61 2 3 2 7 5 2" xfId="0"/>
    <cellStyle name="Normal 61 2 3 2 7 6" xfId="0"/>
    <cellStyle name="Normal 61 2 3 2 8" xfId="0"/>
    <cellStyle name="Normal 61 2 3 2 8 2" xfId="0"/>
    <cellStyle name="Normal 61 2 3 2 8 2 2" xfId="0"/>
    <cellStyle name="Normal 61 2 3 2 8 2 2 2" xfId="0"/>
    <cellStyle name="Normal 61 2 3 2 8 2 3" xfId="0"/>
    <cellStyle name="Normal 61 2 3 2 8 3" xfId="0"/>
    <cellStyle name="Normal 61 2 3 2 8 3 2" xfId="0"/>
    <cellStyle name="Normal 61 2 3 2 8 3 2 2" xfId="0"/>
    <cellStyle name="Normal 61 2 3 2 8 3 3" xfId="0"/>
    <cellStyle name="Normal 61 2 3 2 8 4" xfId="0"/>
    <cellStyle name="Normal 61 2 3 2 8 4 2" xfId="0"/>
    <cellStyle name="Normal 61 2 3 2 8 5" xfId="0"/>
    <cellStyle name="Normal 61 2 3 2 9" xfId="0"/>
    <cellStyle name="Normal 61 2 3 2 9 2" xfId="0"/>
    <cellStyle name="Normal 61 2 3 2 9 2 2" xfId="0"/>
    <cellStyle name="Normal 61 2 3 2 9 3" xfId="0"/>
    <cellStyle name="Normal 61 2 3 3" xfId="0"/>
    <cellStyle name="Normal 61 2 3 3 10" xfId="0"/>
    <cellStyle name="Normal 61 2 3 3 2" xfId="0"/>
    <cellStyle name="Normal 61 2 3 3 2 2" xfId="0"/>
    <cellStyle name="Normal 61 2 3 3 2 2 2" xfId="0"/>
    <cellStyle name="Normal 61 2 3 3 2 2 2 2" xfId="0"/>
    <cellStyle name="Normal 61 2 3 3 2 2 2 2 2" xfId="0"/>
    <cellStyle name="Normal 61 2 3 3 2 2 2 2 2 2" xfId="0"/>
    <cellStyle name="Normal 61 2 3 3 2 2 2 2 2 2 2" xfId="0"/>
    <cellStyle name="Normal 61 2 3 3 2 2 2 2 2 2 2 2" xfId="0"/>
    <cellStyle name="Normal 61 2 3 3 2 2 2 2 2 2 3" xfId="0"/>
    <cellStyle name="Normal 61 2 3 3 2 2 2 2 2 3" xfId="0"/>
    <cellStyle name="Normal 61 2 3 3 2 2 2 2 2 3 2" xfId="0"/>
    <cellStyle name="Normal 61 2 3 3 2 2 2 2 2 3 2 2" xfId="0"/>
    <cellStyle name="Normal 61 2 3 3 2 2 2 2 2 3 3" xfId="0"/>
    <cellStyle name="Normal 61 2 3 3 2 2 2 2 2 4" xfId="0"/>
    <cellStyle name="Normal 61 2 3 3 2 2 2 2 2 4 2" xfId="0"/>
    <cellStyle name="Normal 61 2 3 3 2 2 2 2 2 5" xfId="0"/>
    <cellStyle name="Normal 61 2 3 3 2 2 2 2 3" xfId="0"/>
    <cellStyle name="Normal 61 2 3 3 2 2 2 2 3 2" xfId="0"/>
    <cellStyle name="Normal 61 2 3 3 2 2 2 2 3 2 2" xfId="0"/>
    <cellStyle name="Normal 61 2 3 3 2 2 2 2 3 3" xfId="0"/>
    <cellStyle name="Normal 61 2 3 3 2 2 2 2 4" xfId="0"/>
    <cellStyle name="Normal 61 2 3 3 2 2 2 2 4 2" xfId="0"/>
    <cellStyle name="Normal 61 2 3 3 2 2 2 2 4 2 2" xfId="0"/>
    <cellStyle name="Normal 61 2 3 3 2 2 2 2 4 3" xfId="0"/>
    <cellStyle name="Normal 61 2 3 3 2 2 2 2 5" xfId="0"/>
    <cellStyle name="Normal 61 2 3 3 2 2 2 2 5 2" xfId="0"/>
    <cellStyle name="Normal 61 2 3 3 2 2 2 2 6" xfId="0"/>
    <cellStyle name="Normal 61 2 3 3 2 2 2 3" xfId="0"/>
    <cellStyle name="Normal 61 2 3 3 2 2 2 3 2" xfId="0"/>
    <cellStyle name="Normal 61 2 3 3 2 2 2 3 2 2" xfId="0"/>
    <cellStyle name="Normal 61 2 3 3 2 2 2 3 2 2 2" xfId="0"/>
    <cellStyle name="Normal 61 2 3 3 2 2 2 3 2 3" xfId="0"/>
    <cellStyle name="Normal 61 2 3 3 2 2 2 3 3" xfId="0"/>
    <cellStyle name="Normal 61 2 3 3 2 2 2 3 3 2" xfId="0"/>
    <cellStyle name="Normal 61 2 3 3 2 2 2 3 3 2 2" xfId="0"/>
    <cellStyle name="Normal 61 2 3 3 2 2 2 3 3 3" xfId="0"/>
    <cellStyle name="Normal 61 2 3 3 2 2 2 3 4" xfId="0"/>
    <cellStyle name="Normal 61 2 3 3 2 2 2 3 4 2" xfId="0"/>
    <cellStyle name="Normal 61 2 3 3 2 2 2 3 5" xfId="0"/>
    <cellStyle name="Normal 61 2 3 3 2 2 2 4" xfId="0"/>
    <cellStyle name="Normal 61 2 3 3 2 2 2 4 2" xfId="0"/>
    <cellStyle name="Normal 61 2 3 3 2 2 2 4 2 2" xfId="0"/>
    <cellStyle name="Normal 61 2 3 3 2 2 2 4 3" xfId="0"/>
    <cellStyle name="Normal 61 2 3 3 2 2 2 5" xfId="0"/>
    <cellStyle name="Normal 61 2 3 3 2 2 2 5 2" xfId="0"/>
    <cellStyle name="Normal 61 2 3 3 2 2 2 5 2 2" xfId="0"/>
    <cellStyle name="Normal 61 2 3 3 2 2 2 5 3" xfId="0"/>
    <cellStyle name="Normal 61 2 3 3 2 2 2 6" xfId="0"/>
    <cellStyle name="Normal 61 2 3 3 2 2 2 6 2" xfId="0"/>
    <cellStyle name="Normal 61 2 3 3 2 2 2 7" xfId="0"/>
    <cellStyle name="Normal 61 2 3 3 2 2 3" xfId="0"/>
    <cellStyle name="Normal 61 2 3 3 2 2 3 2" xfId="0"/>
    <cellStyle name="Normal 61 2 3 3 2 2 3 2 2" xfId="0"/>
    <cellStyle name="Normal 61 2 3 3 2 2 3 2 2 2" xfId="0"/>
    <cellStyle name="Normal 61 2 3 3 2 2 3 2 2 2 2" xfId="0"/>
    <cellStyle name="Normal 61 2 3 3 2 2 3 2 2 3" xfId="0"/>
    <cellStyle name="Normal 61 2 3 3 2 2 3 2 3" xfId="0"/>
    <cellStyle name="Normal 61 2 3 3 2 2 3 2 3 2" xfId="0"/>
    <cellStyle name="Normal 61 2 3 3 2 2 3 2 3 2 2" xfId="0"/>
    <cellStyle name="Normal 61 2 3 3 2 2 3 2 3 3" xfId="0"/>
    <cellStyle name="Normal 61 2 3 3 2 2 3 2 4" xfId="0"/>
    <cellStyle name="Normal 61 2 3 3 2 2 3 2 4 2" xfId="0"/>
    <cellStyle name="Normal 61 2 3 3 2 2 3 2 5" xfId="0"/>
    <cellStyle name="Normal 61 2 3 3 2 2 3 3" xfId="0"/>
    <cellStyle name="Normal 61 2 3 3 2 2 3 3 2" xfId="0"/>
    <cellStyle name="Normal 61 2 3 3 2 2 3 3 2 2" xfId="0"/>
    <cellStyle name="Normal 61 2 3 3 2 2 3 3 3" xfId="0"/>
    <cellStyle name="Normal 61 2 3 3 2 2 3 4" xfId="0"/>
    <cellStyle name="Normal 61 2 3 3 2 2 3 4 2" xfId="0"/>
    <cellStyle name="Normal 61 2 3 3 2 2 3 4 2 2" xfId="0"/>
    <cellStyle name="Normal 61 2 3 3 2 2 3 4 3" xfId="0"/>
    <cellStyle name="Normal 61 2 3 3 2 2 3 5" xfId="0"/>
    <cellStyle name="Normal 61 2 3 3 2 2 3 5 2" xfId="0"/>
    <cellStyle name="Normal 61 2 3 3 2 2 3 6" xfId="0"/>
    <cellStyle name="Normal 61 2 3 3 2 2 4" xfId="0"/>
    <cellStyle name="Normal 61 2 3 3 2 2 4 2" xfId="0"/>
    <cellStyle name="Normal 61 2 3 3 2 2 4 2 2" xfId="0"/>
    <cellStyle name="Normal 61 2 3 3 2 2 4 2 2 2" xfId="0"/>
    <cellStyle name="Normal 61 2 3 3 2 2 4 2 3" xfId="0"/>
    <cellStyle name="Normal 61 2 3 3 2 2 4 3" xfId="0"/>
    <cellStyle name="Normal 61 2 3 3 2 2 4 3 2" xfId="0"/>
    <cellStyle name="Normal 61 2 3 3 2 2 4 3 2 2" xfId="0"/>
    <cellStyle name="Normal 61 2 3 3 2 2 4 3 3" xfId="0"/>
    <cellStyle name="Normal 61 2 3 3 2 2 4 4" xfId="0"/>
    <cellStyle name="Normal 61 2 3 3 2 2 4 4 2" xfId="0"/>
    <cellStyle name="Normal 61 2 3 3 2 2 4 5" xfId="0"/>
    <cellStyle name="Normal 61 2 3 3 2 2 5" xfId="0"/>
    <cellStyle name="Normal 61 2 3 3 2 2 5 2" xfId="0"/>
    <cellStyle name="Normal 61 2 3 3 2 2 5 2 2" xfId="0"/>
    <cellStyle name="Normal 61 2 3 3 2 2 5 3" xfId="0"/>
    <cellStyle name="Normal 61 2 3 3 2 2 6" xfId="0"/>
    <cellStyle name="Normal 61 2 3 3 2 2 6 2" xfId="0"/>
    <cellStyle name="Normal 61 2 3 3 2 2 6 2 2" xfId="0"/>
    <cellStyle name="Normal 61 2 3 3 2 2 6 3" xfId="0"/>
    <cellStyle name="Normal 61 2 3 3 2 2 7" xfId="0"/>
    <cellStyle name="Normal 61 2 3 3 2 2 7 2" xfId="0"/>
    <cellStyle name="Normal 61 2 3 3 2 2 8" xfId="0"/>
    <cellStyle name="Normal 61 2 3 3 2 3" xfId="0"/>
    <cellStyle name="Normal 61 2 3 3 2 3 2" xfId="0"/>
    <cellStyle name="Normal 61 2 3 3 2 3 2 2" xfId="0"/>
    <cellStyle name="Normal 61 2 3 3 2 3 2 2 2" xfId="0"/>
    <cellStyle name="Normal 61 2 3 3 2 3 2 2 2 2" xfId="0"/>
    <cellStyle name="Normal 61 2 3 3 2 3 2 2 2 2 2" xfId="0"/>
    <cellStyle name="Normal 61 2 3 3 2 3 2 2 2 3" xfId="0"/>
    <cellStyle name="Normal 61 2 3 3 2 3 2 2 3" xfId="0"/>
    <cellStyle name="Normal 61 2 3 3 2 3 2 2 3 2" xfId="0"/>
    <cellStyle name="Normal 61 2 3 3 2 3 2 2 3 2 2" xfId="0"/>
    <cellStyle name="Normal 61 2 3 3 2 3 2 2 3 3" xfId="0"/>
    <cellStyle name="Normal 61 2 3 3 2 3 2 2 4" xfId="0"/>
    <cellStyle name="Normal 61 2 3 3 2 3 2 2 4 2" xfId="0"/>
    <cellStyle name="Normal 61 2 3 3 2 3 2 2 5" xfId="0"/>
    <cellStyle name="Normal 61 2 3 3 2 3 2 3" xfId="0"/>
    <cellStyle name="Normal 61 2 3 3 2 3 2 3 2" xfId="0"/>
    <cellStyle name="Normal 61 2 3 3 2 3 2 3 2 2" xfId="0"/>
    <cellStyle name="Normal 61 2 3 3 2 3 2 3 3" xfId="0"/>
    <cellStyle name="Normal 61 2 3 3 2 3 2 4" xfId="0"/>
    <cellStyle name="Normal 61 2 3 3 2 3 2 4 2" xfId="0"/>
    <cellStyle name="Normal 61 2 3 3 2 3 2 4 2 2" xfId="0"/>
    <cellStyle name="Normal 61 2 3 3 2 3 2 4 3" xfId="0"/>
    <cellStyle name="Normal 61 2 3 3 2 3 2 5" xfId="0"/>
    <cellStyle name="Normal 61 2 3 3 2 3 2 5 2" xfId="0"/>
    <cellStyle name="Normal 61 2 3 3 2 3 2 6" xfId="0"/>
    <cellStyle name="Normal 61 2 3 3 2 3 3" xfId="0"/>
    <cellStyle name="Normal 61 2 3 3 2 3 3 2" xfId="0"/>
    <cellStyle name="Normal 61 2 3 3 2 3 3 2 2" xfId="0"/>
    <cellStyle name="Normal 61 2 3 3 2 3 3 2 2 2" xfId="0"/>
    <cellStyle name="Normal 61 2 3 3 2 3 3 2 3" xfId="0"/>
    <cellStyle name="Normal 61 2 3 3 2 3 3 3" xfId="0"/>
    <cellStyle name="Normal 61 2 3 3 2 3 3 3 2" xfId="0"/>
    <cellStyle name="Normal 61 2 3 3 2 3 3 3 2 2" xfId="0"/>
    <cellStyle name="Normal 61 2 3 3 2 3 3 3 3" xfId="0"/>
    <cellStyle name="Normal 61 2 3 3 2 3 3 4" xfId="0"/>
    <cellStyle name="Normal 61 2 3 3 2 3 3 4 2" xfId="0"/>
    <cellStyle name="Normal 61 2 3 3 2 3 3 5" xfId="0"/>
    <cellStyle name="Normal 61 2 3 3 2 3 4" xfId="0"/>
    <cellStyle name="Normal 61 2 3 3 2 3 4 2" xfId="0"/>
    <cellStyle name="Normal 61 2 3 3 2 3 4 2 2" xfId="0"/>
    <cellStyle name="Normal 61 2 3 3 2 3 4 3" xfId="0"/>
    <cellStyle name="Normal 61 2 3 3 2 3 5" xfId="0"/>
    <cellStyle name="Normal 61 2 3 3 2 3 5 2" xfId="0"/>
    <cellStyle name="Normal 61 2 3 3 2 3 5 2 2" xfId="0"/>
    <cellStyle name="Normal 61 2 3 3 2 3 5 3" xfId="0"/>
    <cellStyle name="Normal 61 2 3 3 2 3 6" xfId="0"/>
    <cellStyle name="Normal 61 2 3 3 2 3 6 2" xfId="0"/>
    <cellStyle name="Normal 61 2 3 3 2 3 7" xfId="0"/>
    <cellStyle name="Normal 61 2 3 3 2 4" xfId="0"/>
    <cellStyle name="Normal 61 2 3 3 2 4 2" xfId="0"/>
    <cellStyle name="Normal 61 2 3 3 2 4 2 2" xfId="0"/>
    <cellStyle name="Normal 61 2 3 3 2 4 2 2 2" xfId="0"/>
    <cellStyle name="Normal 61 2 3 3 2 4 2 2 2 2" xfId="0"/>
    <cellStyle name="Normal 61 2 3 3 2 4 2 2 3" xfId="0"/>
    <cellStyle name="Normal 61 2 3 3 2 4 2 3" xfId="0"/>
    <cellStyle name="Normal 61 2 3 3 2 4 2 3 2" xfId="0"/>
    <cellStyle name="Normal 61 2 3 3 2 4 2 3 2 2" xfId="0"/>
    <cellStyle name="Normal 61 2 3 3 2 4 2 3 3" xfId="0"/>
    <cellStyle name="Normal 61 2 3 3 2 4 2 4" xfId="0"/>
    <cellStyle name="Normal 61 2 3 3 2 4 2 4 2" xfId="0"/>
    <cellStyle name="Normal 61 2 3 3 2 4 2 5" xfId="0"/>
    <cellStyle name="Normal 61 2 3 3 2 4 3" xfId="0"/>
    <cellStyle name="Normal 61 2 3 3 2 4 3 2" xfId="0"/>
    <cellStyle name="Normal 61 2 3 3 2 4 3 2 2" xfId="0"/>
    <cellStyle name="Normal 61 2 3 3 2 4 3 3" xfId="0"/>
    <cellStyle name="Normal 61 2 3 3 2 4 4" xfId="0"/>
    <cellStyle name="Normal 61 2 3 3 2 4 4 2" xfId="0"/>
    <cellStyle name="Normal 61 2 3 3 2 4 4 2 2" xfId="0"/>
    <cellStyle name="Normal 61 2 3 3 2 4 4 3" xfId="0"/>
    <cellStyle name="Normal 61 2 3 3 2 4 5" xfId="0"/>
    <cellStyle name="Normal 61 2 3 3 2 4 5 2" xfId="0"/>
    <cellStyle name="Normal 61 2 3 3 2 4 6" xfId="0"/>
    <cellStyle name="Normal 61 2 3 3 2 5" xfId="0"/>
    <cellStyle name="Normal 61 2 3 3 2 5 2" xfId="0"/>
    <cellStyle name="Normal 61 2 3 3 2 5 2 2" xfId="0"/>
    <cellStyle name="Normal 61 2 3 3 2 5 2 2 2" xfId="0"/>
    <cellStyle name="Normal 61 2 3 3 2 5 2 3" xfId="0"/>
    <cellStyle name="Normal 61 2 3 3 2 5 3" xfId="0"/>
    <cellStyle name="Normal 61 2 3 3 2 5 3 2" xfId="0"/>
    <cellStyle name="Normal 61 2 3 3 2 5 3 2 2" xfId="0"/>
    <cellStyle name="Normal 61 2 3 3 2 5 3 3" xfId="0"/>
    <cellStyle name="Normal 61 2 3 3 2 5 4" xfId="0"/>
    <cellStyle name="Normal 61 2 3 3 2 5 4 2" xfId="0"/>
    <cellStyle name="Normal 61 2 3 3 2 5 5" xfId="0"/>
    <cellStyle name="Normal 61 2 3 3 2 6" xfId="0"/>
    <cellStyle name="Normal 61 2 3 3 2 6 2" xfId="0"/>
    <cellStyle name="Normal 61 2 3 3 2 6 2 2" xfId="0"/>
    <cellStyle name="Normal 61 2 3 3 2 6 3" xfId="0"/>
    <cellStyle name="Normal 61 2 3 3 2 7" xfId="0"/>
    <cellStyle name="Normal 61 2 3 3 2 7 2" xfId="0"/>
    <cellStyle name="Normal 61 2 3 3 2 7 2 2" xfId="0"/>
    <cellStyle name="Normal 61 2 3 3 2 7 3" xfId="0"/>
    <cellStyle name="Normal 61 2 3 3 2 8" xfId="0"/>
    <cellStyle name="Normal 61 2 3 3 2 8 2" xfId="0"/>
    <cellStyle name="Normal 61 2 3 3 2 9" xfId="0"/>
    <cellStyle name="Normal 61 2 3 3 3" xfId="0"/>
    <cellStyle name="Normal 61 2 3 3 3 2" xfId="0"/>
    <cellStyle name="Normal 61 2 3 3 3 2 2" xfId="0"/>
    <cellStyle name="Normal 61 2 3 3 3 2 2 2" xfId="0"/>
    <cellStyle name="Normal 61 2 3 3 3 2 2 2 2" xfId="0"/>
    <cellStyle name="Normal 61 2 3 3 3 2 2 2 2 2" xfId="0"/>
    <cellStyle name="Normal 61 2 3 3 3 2 2 2 2 2 2" xfId="0"/>
    <cellStyle name="Normal 61 2 3 3 3 2 2 2 2 3" xfId="0"/>
    <cellStyle name="Normal 61 2 3 3 3 2 2 2 3" xfId="0"/>
    <cellStyle name="Normal 61 2 3 3 3 2 2 2 3 2" xfId="0"/>
    <cellStyle name="Normal 61 2 3 3 3 2 2 2 3 2 2" xfId="0"/>
    <cellStyle name="Normal 61 2 3 3 3 2 2 2 3 3" xfId="0"/>
    <cellStyle name="Normal 61 2 3 3 3 2 2 2 4" xfId="0"/>
    <cellStyle name="Normal 61 2 3 3 3 2 2 2 4 2" xfId="0"/>
    <cellStyle name="Normal 61 2 3 3 3 2 2 2 5" xfId="0"/>
    <cellStyle name="Normal 61 2 3 3 3 2 2 3" xfId="0"/>
    <cellStyle name="Normal 61 2 3 3 3 2 2 3 2" xfId="0"/>
    <cellStyle name="Normal 61 2 3 3 3 2 2 3 2 2" xfId="0"/>
    <cellStyle name="Normal 61 2 3 3 3 2 2 3 3" xfId="0"/>
    <cellStyle name="Normal 61 2 3 3 3 2 2 4" xfId="0"/>
    <cellStyle name="Normal 61 2 3 3 3 2 2 4 2" xfId="0"/>
    <cellStyle name="Normal 61 2 3 3 3 2 2 4 2 2" xfId="0"/>
    <cellStyle name="Normal 61 2 3 3 3 2 2 4 3" xfId="0"/>
    <cellStyle name="Normal 61 2 3 3 3 2 2 5" xfId="0"/>
    <cellStyle name="Normal 61 2 3 3 3 2 2 5 2" xfId="0"/>
    <cellStyle name="Normal 61 2 3 3 3 2 2 6" xfId="0"/>
    <cellStyle name="Normal 61 2 3 3 3 2 3" xfId="0"/>
    <cellStyle name="Normal 61 2 3 3 3 2 3 2" xfId="0"/>
    <cellStyle name="Normal 61 2 3 3 3 2 3 2 2" xfId="0"/>
    <cellStyle name="Normal 61 2 3 3 3 2 3 2 2 2" xfId="0"/>
    <cellStyle name="Normal 61 2 3 3 3 2 3 2 3" xfId="0"/>
    <cellStyle name="Normal 61 2 3 3 3 2 3 3" xfId="0"/>
    <cellStyle name="Normal 61 2 3 3 3 2 3 3 2" xfId="0"/>
    <cellStyle name="Normal 61 2 3 3 3 2 3 3 2 2" xfId="0"/>
    <cellStyle name="Normal 61 2 3 3 3 2 3 3 3" xfId="0"/>
    <cellStyle name="Normal 61 2 3 3 3 2 3 4" xfId="0"/>
    <cellStyle name="Normal 61 2 3 3 3 2 3 4 2" xfId="0"/>
    <cellStyle name="Normal 61 2 3 3 3 2 3 5" xfId="0"/>
    <cellStyle name="Normal 61 2 3 3 3 2 4" xfId="0"/>
    <cellStyle name="Normal 61 2 3 3 3 2 4 2" xfId="0"/>
    <cellStyle name="Normal 61 2 3 3 3 2 4 2 2" xfId="0"/>
    <cellStyle name="Normal 61 2 3 3 3 2 4 3" xfId="0"/>
    <cellStyle name="Normal 61 2 3 3 3 2 5" xfId="0"/>
    <cellStyle name="Normal 61 2 3 3 3 2 5 2" xfId="0"/>
    <cellStyle name="Normal 61 2 3 3 3 2 5 2 2" xfId="0"/>
    <cellStyle name="Normal 61 2 3 3 3 2 5 3" xfId="0"/>
    <cellStyle name="Normal 61 2 3 3 3 2 6" xfId="0"/>
    <cellStyle name="Normal 61 2 3 3 3 2 6 2" xfId="0"/>
    <cellStyle name="Normal 61 2 3 3 3 2 7" xfId="0"/>
    <cellStyle name="Normal 61 2 3 3 3 3" xfId="0"/>
    <cellStyle name="Normal 61 2 3 3 3 3 2" xfId="0"/>
    <cellStyle name="Normal 61 2 3 3 3 3 2 2" xfId="0"/>
    <cellStyle name="Normal 61 2 3 3 3 3 2 2 2" xfId="0"/>
    <cellStyle name="Normal 61 2 3 3 3 3 2 2 2 2" xfId="0"/>
    <cellStyle name="Normal 61 2 3 3 3 3 2 2 3" xfId="0"/>
    <cellStyle name="Normal 61 2 3 3 3 3 2 3" xfId="0"/>
    <cellStyle name="Normal 61 2 3 3 3 3 2 3 2" xfId="0"/>
    <cellStyle name="Normal 61 2 3 3 3 3 2 3 2 2" xfId="0"/>
    <cellStyle name="Normal 61 2 3 3 3 3 2 3 3" xfId="0"/>
    <cellStyle name="Normal 61 2 3 3 3 3 2 4" xfId="0"/>
    <cellStyle name="Normal 61 2 3 3 3 3 2 4 2" xfId="0"/>
    <cellStyle name="Normal 61 2 3 3 3 3 2 5" xfId="0"/>
    <cellStyle name="Normal 61 2 3 3 3 3 3" xfId="0"/>
    <cellStyle name="Normal 61 2 3 3 3 3 3 2" xfId="0"/>
    <cellStyle name="Normal 61 2 3 3 3 3 3 2 2" xfId="0"/>
    <cellStyle name="Normal 61 2 3 3 3 3 3 3" xfId="0"/>
    <cellStyle name="Normal 61 2 3 3 3 3 4" xfId="0"/>
    <cellStyle name="Normal 61 2 3 3 3 3 4 2" xfId="0"/>
    <cellStyle name="Normal 61 2 3 3 3 3 4 2 2" xfId="0"/>
    <cellStyle name="Normal 61 2 3 3 3 3 4 3" xfId="0"/>
    <cellStyle name="Normal 61 2 3 3 3 3 5" xfId="0"/>
    <cellStyle name="Normal 61 2 3 3 3 3 5 2" xfId="0"/>
    <cellStyle name="Normal 61 2 3 3 3 3 6" xfId="0"/>
    <cellStyle name="Normal 61 2 3 3 3 4" xfId="0"/>
    <cellStyle name="Normal 61 2 3 3 3 4 2" xfId="0"/>
    <cellStyle name="Normal 61 2 3 3 3 4 2 2" xfId="0"/>
    <cellStyle name="Normal 61 2 3 3 3 4 2 2 2" xfId="0"/>
    <cellStyle name="Normal 61 2 3 3 3 4 2 3" xfId="0"/>
    <cellStyle name="Normal 61 2 3 3 3 4 3" xfId="0"/>
    <cellStyle name="Normal 61 2 3 3 3 4 3 2" xfId="0"/>
    <cellStyle name="Normal 61 2 3 3 3 4 3 2 2" xfId="0"/>
    <cellStyle name="Normal 61 2 3 3 3 4 3 3" xfId="0"/>
    <cellStyle name="Normal 61 2 3 3 3 4 4" xfId="0"/>
    <cellStyle name="Normal 61 2 3 3 3 4 4 2" xfId="0"/>
    <cellStyle name="Normal 61 2 3 3 3 4 5" xfId="0"/>
    <cellStyle name="Normal 61 2 3 3 3 5" xfId="0"/>
    <cellStyle name="Normal 61 2 3 3 3 5 2" xfId="0"/>
    <cellStyle name="Normal 61 2 3 3 3 5 2 2" xfId="0"/>
    <cellStyle name="Normal 61 2 3 3 3 5 3" xfId="0"/>
    <cellStyle name="Normal 61 2 3 3 3 6" xfId="0"/>
    <cellStyle name="Normal 61 2 3 3 3 6 2" xfId="0"/>
    <cellStyle name="Normal 61 2 3 3 3 6 2 2" xfId="0"/>
    <cellStyle name="Normal 61 2 3 3 3 6 3" xfId="0"/>
    <cellStyle name="Normal 61 2 3 3 3 7" xfId="0"/>
    <cellStyle name="Normal 61 2 3 3 3 7 2" xfId="0"/>
    <cellStyle name="Normal 61 2 3 3 3 8" xfId="0"/>
    <cellStyle name="Normal 61 2 3 3 4" xfId="0"/>
    <cellStyle name="Normal 61 2 3 3 4 2" xfId="0"/>
    <cellStyle name="Normal 61 2 3 3 4 2 2" xfId="0"/>
    <cellStyle name="Normal 61 2 3 3 4 2 2 2" xfId="0"/>
    <cellStyle name="Normal 61 2 3 3 4 2 2 2 2" xfId="0"/>
    <cellStyle name="Normal 61 2 3 3 4 2 2 2 2 2" xfId="0"/>
    <cellStyle name="Normal 61 2 3 3 4 2 2 2 3" xfId="0"/>
    <cellStyle name="Normal 61 2 3 3 4 2 2 3" xfId="0"/>
    <cellStyle name="Normal 61 2 3 3 4 2 2 3 2" xfId="0"/>
    <cellStyle name="Normal 61 2 3 3 4 2 2 3 2 2" xfId="0"/>
    <cellStyle name="Normal 61 2 3 3 4 2 2 3 3" xfId="0"/>
    <cellStyle name="Normal 61 2 3 3 4 2 2 4" xfId="0"/>
    <cellStyle name="Normal 61 2 3 3 4 2 2 4 2" xfId="0"/>
    <cellStyle name="Normal 61 2 3 3 4 2 2 5" xfId="0"/>
    <cellStyle name="Normal 61 2 3 3 4 2 3" xfId="0"/>
    <cellStyle name="Normal 61 2 3 3 4 2 3 2" xfId="0"/>
    <cellStyle name="Normal 61 2 3 3 4 2 3 2 2" xfId="0"/>
    <cellStyle name="Normal 61 2 3 3 4 2 3 3" xfId="0"/>
    <cellStyle name="Normal 61 2 3 3 4 2 4" xfId="0"/>
    <cellStyle name="Normal 61 2 3 3 4 2 4 2" xfId="0"/>
    <cellStyle name="Normal 61 2 3 3 4 2 4 2 2" xfId="0"/>
    <cellStyle name="Normal 61 2 3 3 4 2 4 3" xfId="0"/>
    <cellStyle name="Normal 61 2 3 3 4 2 5" xfId="0"/>
    <cellStyle name="Normal 61 2 3 3 4 2 5 2" xfId="0"/>
    <cellStyle name="Normal 61 2 3 3 4 2 6" xfId="0"/>
    <cellStyle name="Normal 61 2 3 3 4 3" xfId="0"/>
    <cellStyle name="Normal 61 2 3 3 4 3 2" xfId="0"/>
    <cellStyle name="Normal 61 2 3 3 4 3 2 2" xfId="0"/>
    <cellStyle name="Normal 61 2 3 3 4 3 2 2 2" xfId="0"/>
    <cellStyle name="Normal 61 2 3 3 4 3 2 3" xfId="0"/>
    <cellStyle name="Normal 61 2 3 3 4 3 3" xfId="0"/>
    <cellStyle name="Normal 61 2 3 3 4 3 3 2" xfId="0"/>
    <cellStyle name="Normal 61 2 3 3 4 3 3 2 2" xfId="0"/>
    <cellStyle name="Normal 61 2 3 3 4 3 3 3" xfId="0"/>
    <cellStyle name="Normal 61 2 3 3 4 3 4" xfId="0"/>
    <cellStyle name="Normal 61 2 3 3 4 3 4 2" xfId="0"/>
    <cellStyle name="Normal 61 2 3 3 4 3 5" xfId="0"/>
    <cellStyle name="Normal 61 2 3 3 4 4" xfId="0"/>
    <cellStyle name="Normal 61 2 3 3 4 4 2" xfId="0"/>
    <cellStyle name="Normal 61 2 3 3 4 4 2 2" xfId="0"/>
    <cellStyle name="Normal 61 2 3 3 4 4 3" xfId="0"/>
    <cellStyle name="Normal 61 2 3 3 4 5" xfId="0"/>
    <cellStyle name="Normal 61 2 3 3 4 5 2" xfId="0"/>
    <cellStyle name="Normal 61 2 3 3 4 5 2 2" xfId="0"/>
    <cellStyle name="Normal 61 2 3 3 4 5 3" xfId="0"/>
    <cellStyle name="Normal 61 2 3 3 4 6" xfId="0"/>
    <cellStyle name="Normal 61 2 3 3 4 6 2" xfId="0"/>
    <cellStyle name="Normal 61 2 3 3 4 7" xfId="0"/>
    <cellStyle name="Normal 61 2 3 3 5" xfId="0"/>
    <cellStyle name="Normal 61 2 3 3 5 2" xfId="0"/>
    <cellStyle name="Normal 61 2 3 3 5 2 2" xfId="0"/>
    <cellStyle name="Normal 61 2 3 3 5 2 2 2" xfId="0"/>
    <cellStyle name="Normal 61 2 3 3 5 2 2 2 2" xfId="0"/>
    <cellStyle name="Normal 61 2 3 3 5 2 2 3" xfId="0"/>
    <cellStyle name="Normal 61 2 3 3 5 2 3" xfId="0"/>
    <cellStyle name="Normal 61 2 3 3 5 2 3 2" xfId="0"/>
    <cellStyle name="Normal 61 2 3 3 5 2 3 2 2" xfId="0"/>
    <cellStyle name="Normal 61 2 3 3 5 2 3 3" xfId="0"/>
    <cellStyle name="Normal 61 2 3 3 5 2 4" xfId="0"/>
    <cellStyle name="Normal 61 2 3 3 5 2 4 2" xfId="0"/>
    <cellStyle name="Normal 61 2 3 3 5 2 5" xfId="0"/>
    <cellStyle name="Normal 61 2 3 3 5 3" xfId="0"/>
    <cellStyle name="Normal 61 2 3 3 5 3 2" xfId="0"/>
    <cellStyle name="Normal 61 2 3 3 5 3 2 2" xfId="0"/>
    <cellStyle name="Normal 61 2 3 3 5 3 3" xfId="0"/>
    <cellStyle name="Normal 61 2 3 3 5 4" xfId="0"/>
    <cellStyle name="Normal 61 2 3 3 5 4 2" xfId="0"/>
    <cellStyle name="Normal 61 2 3 3 5 4 2 2" xfId="0"/>
    <cellStyle name="Normal 61 2 3 3 5 4 3" xfId="0"/>
    <cellStyle name="Normal 61 2 3 3 5 5" xfId="0"/>
    <cellStyle name="Normal 61 2 3 3 5 5 2" xfId="0"/>
    <cellStyle name="Normal 61 2 3 3 5 6" xfId="0"/>
    <cellStyle name="Normal 61 2 3 3 6" xfId="0"/>
    <cellStyle name="Normal 61 2 3 3 6 2" xfId="0"/>
    <cellStyle name="Normal 61 2 3 3 6 2 2" xfId="0"/>
    <cellStyle name="Normal 61 2 3 3 6 2 2 2" xfId="0"/>
    <cellStyle name="Normal 61 2 3 3 6 2 3" xfId="0"/>
    <cellStyle name="Normal 61 2 3 3 6 3" xfId="0"/>
    <cellStyle name="Normal 61 2 3 3 6 3 2" xfId="0"/>
    <cellStyle name="Normal 61 2 3 3 6 3 2 2" xfId="0"/>
    <cellStyle name="Normal 61 2 3 3 6 3 3" xfId="0"/>
    <cellStyle name="Normal 61 2 3 3 6 4" xfId="0"/>
    <cellStyle name="Normal 61 2 3 3 6 4 2" xfId="0"/>
    <cellStyle name="Normal 61 2 3 3 6 5" xfId="0"/>
    <cellStyle name="Normal 61 2 3 3 7" xfId="0"/>
    <cellStyle name="Normal 61 2 3 3 7 2" xfId="0"/>
    <cellStyle name="Normal 61 2 3 3 7 2 2" xfId="0"/>
    <cellStyle name="Normal 61 2 3 3 7 3" xfId="0"/>
    <cellStyle name="Normal 61 2 3 3 8" xfId="0"/>
    <cellStyle name="Normal 61 2 3 3 8 2" xfId="0"/>
    <cellStyle name="Normal 61 2 3 3 8 2 2" xfId="0"/>
    <cellStyle name="Normal 61 2 3 3 8 3" xfId="0"/>
    <cellStyle name="Normal 61 2 3 3 9" xfId="0"/>
    <cellStyle name="Normal 61 2 3 3 9 2" xfId="0"/>
    <cellStyle name="Normal 61 2 3 4" xfId="0"/>
    <cellStyle name="Normal 61 2 3 4 10" xfId="0"/>
    <cellStyle name="Normal 61 2 3 4 2" xfId="0"/>
    <cellStyle name="Normal 61 2 3 4 2 2" xfId="0"/>
    <cellStyle name="Normal 61 2 3 4 2 2 2" xfId="0"/>
    <cellStyle name="Normal 61 2 3 4 2 2 2 2" xfId="0"/>
    <cellStyle name="Normal 61 2 3 4 2 2 2 2 2" xfId="0"/>
    <cellStyle name="Normal 61 2 3 4 2 2 2 2 2 2" xfId="0"/>
    <cellStyle name="Normal 61 2 3 4 2 2 2 2 2 2 2" xfId="0"/>
    <cellStyle name="Normal 61 2 3 4 2 2 2 2 2 2 2 2" xfId="0"/>
    <cellStyle name="Normal 61 2 3 4 2 2 2 2 2 2 3" xfId="0"/>
    <cellStyle name="Normal 61 2 3 4 2 2 2 2 2 3" xfId="0"/>
    <cellStyle name="Normal 61 2 3 4 2 2 2 2 2 3 2" xfId="0"/>
    <cellStyle name="Normal 61 2 3 4 2 2 2 2 2 3 2 2" xfId="0"/>
    <cellStyle name="Normal 61 2 3 4 2 2 2 2 2 3 3" xfId="0"/>
    <cellStyle name="Normal 61 2 3 4 2 2 2 2 2 4" xfId="0"/>
    <cellStyle name="Normal 61 2 3 4 2 2 2 2 2 4 2" xfId="0"/>
    <cellStyle name="Normal 61 2 3 4 2 2 2 2 2 5" xfId="0"/>
    <cellStyle name="Normal 61 2 3 4 2 2 2 2 3" xfId="0"/>
    <cellStyle name="Normal 61 2 3 4 2 2 2 2 3 2" xfId="0"/>
    <cellStyle name="Normal 61 2 3 4 2 2 2 2 3 2 2" xfId="0"/>
    <cellStyle name="Normal 61 2 3 4 2 2 2 2 3 3" xfId="0"/>
    <cellStyle name="Normal 61 2 3 4 2 2 2 2 4" xfId="0"/>
    <cellStyle name="Normal 61 2 3 4 2 2 2 2 4 2" xfId="0"/>
    <cellStyle name="Normal 61 2 3 4 2 2 2 2 4 2 2" xfId="0"/>
    <cellStyle name="Normal 61 2 3 4 2 2 2 2 4 3" xfId="0"/>
    <cellStyle name="Normal 61 2 3 4 2 2 2 2 5" xfId="0"/>
    <cellStyle name="Normal 61 2 3 4 2 2 2 2 5 2" xfId="0"/>
    <cellStyle name="Normal 61 2 3 4 2 2 2 2 6" xfId="0"/>
    <cellStyle name="Normal 61 2 3 4 2 2 2 3" xfId="0"/>
    <cellStyle name="Normal 61 2 3 4 2 2 2 3 2" xfId="0"/>
    <cellStyle name="Normal 61 2 3 4 2 2 2 3 2 2" xfId="0"/>
    <cellStyle name="Normal 61 2 3 4 2 2 2 3 2 2 2" xfId="0"/>
    <cellStyle name="Normal 61 2 3 4 2 2 2 3 2 3" xfId="0"/>
    <cellStyle name="Normal 61 2 3 4 2 2 2 3 3" xfId="0"/>
    <cellStyle name="Normal 61 2 3 4 2 2 2 3 3 2" xfId="0"/>
    <cellStyle name="Normal 61 2 3 4 2 2 2 3 3 2 2" xfId="0"/>
    <cellStyle name="Normal 61 2 3 4 2 2 2 3 3 3" xfId="0"/>
    <cellStyle name="Normal 61 2 3 4 2 2 2 3 4" xfId="0"/>
    <cellStyle name="Normal 61 2 3 4 2 2 2 3 4 2" xfId="0"/>
    <cellStyle name="Normal 61 2 3 4 2 2 2 3 5" xfId="0"/>
    <cellStyle name="Normal 61 2 3 4 2 2 2 4" xfId="0"/>
    <cellStyle name="Normal 61 2 3 4 2 2 2 4 2" xfId="0"/>
    <cellStyle name="Normal 61 2 3 4 2 2 2 4 2 2" xfId="0"/>
    <cellStyle name="Normal 61 2 3 4 2 2 2 4 3" xfId="0"/>
    <cellStyle name="Normal 61 2 3 4 2 2 2 5" xfId="0"/>
    <cellStyle name="Normal 61 2 3 4 2 2 2 5 2" xfId="0"/>
    <cellStyle name="Normal 61 2 3 4 2 2 2 5 2 2" xfId="0"/>
    <cellStyle name="Normal 61 2 3 4 2 2 2 5 3" xfId="0"/>
    <cellStyle name="Normal 61 2 3 4 2 2 2 6" xfId="0"/>
    <cellStyle name="Normal 61 2 3 4 2 2 2 6 2" xfId="0"/>
    <cellStyle name="Normal 61 2 3 4 2 2 2 7" xfId="0"/>
    <cellStyle name="Normal 61 2 3 4 2 2 3" xfId="0"/>
    <cellStyle name="Normal 61 2 3 4 2 2 3 2" xfId="0"/>
    <cellStyle name="Normal 61 2 3 4 2 2 3 2 2" xfId="0"/>
    <cellStyle name="Normal 61 2 3 4 2 2 3 2 2 2" xfId="0"/>
    <cellStyle name="Normal 61 2 3 4 2 2 3 2 2 2 2" xfId="0"/>
    <cellStyle name="Normal 61 2 3 4 2 2 3 2 2 3" xfId="0"/>
    <cellStyle name="Normal 61 2 3 4 2 2 3 2 3" xfId="0"/>
    <cellStyle name="Normal 61 2 3 4 2 2 3 2 3 2" xfId="0"/>
    <cellStyle name="Normal 61 2 3 4 2 2 3 2 3 2 2" xfId="0"/>
    <cellStyle name="Normal 61 2 3 4 2 2 3 2 3 3" xfId="0"/>
    <cellStyle name="Normal 61 2 3 4 2 2 3 2 4" xfId="0"/>
    <cellStyle name="Normal 61 2 3 4 2 2 3 2 4 2" xfId="0"/>
    <cellStyle name="Normal 61 2 3 4 2 2 3 2 5" xfId="0"/>
    <cellStyle name="Normal 61 2 3 4 2 2 3 3" xfId="0"/>
    <cellStyle name="Normal 61 2 3 4 2 2 3 3 2" xfId="0"/>
    <cellStyle name="Normal 61 2 3 4 2 2 3 3 2 2" xfId="0"/>
    <cellStyle name="Normal 61 2 3 4 2 2 3 3 3" xfId="0"/>
    <cellStyle name="Normal 61 2 3 4 2 2 3 4" xfId="0"/>
    <cellStyle name="Normal 61 2 3 4 2 2 3 4 2" xfId="0"/>
    <cellStyle name="Normal 61 2 3 4 2 2 3 4 2 2" xfId="0"/>
    <cellStyle name="Normal 61 2 3 4 2 2 3 4 3" xfId="0"/>
    <cellStyle name="Normal 61 2 3 4 2 2 3 5" xfId="0"/>
    <cellStyle name="Normal 61 2 3 4 2 2 3 5 2" xfId="0"/>
    <cellStyle name="Normal 61 2 3 4 2 2 3 6" xfId="0"/>
    <cellStyle name="Normal 61 2 3 4 2 2 4" xfId="0"/>
    <cellStyle name="Normal 61 2 3 4 2 2 4 2" xfId="0"/>
    <cellStyle name="Normal 61 2 3 4 2 2 4 2 2" xfId="0"/>
    <cellStyle name="Normal 61 2 3 4 2 2 4 2 2 2" xfId="0"/>
    <cellStyle name="Normal 61 2 3 4 2 2 4 2 3" xfId="0"/>
    <cellStyle name="Normal 61 2 3 4 2 2 4 3" xfId="0"/>
    <cellStyle name="Normal 61 2 3 4 2 2 4 3 2" xfId="0"/>
    <cellStyle name="Normal 61 2 3 4 2 2 4 3 2 2" xfId="0"/>
    <cellStyle name="Normal 61 2 3 4 2 2 4 3 3" xfId="0"/>
    <cellStyle name="Normal 61 2 3 4 2 2 4 4" xfId="0"/>
    <cellStyle name="Normal 61 2 3 4 2 2 4 4 2" xfId="0"/>
    <cellStyle name="Normal 61 2 3 4 2 2 4 5" xfId="0"/>
    <cellStyle name="Normal 61 2 3 4 2 2 5" xfId="0"/>
    <cellStyle name="Normal 61 2 3 4 2 2 5 2" xfId="0"/>
    <cellStyle name="Normal 61 2 3 4 2 2 5 2 2" xfId="0"/>
    <cellStyle name="Normal 61 2 3 4 2 2 5 3" xfId="0"/>
    <cellStyle name="Normal 61 2 3 4 2 2 6" xfId="0"/>
    <cellStyle name="Normal 61 2 3 4 2 2 6 2" xfId="0"/>
    <cellStyle name="Normal 61 2 3 4 2 2 6 2 2" xfId="0"/>
    <cellStyle name="Normal 61 2 3 4 2 2 6 3" xfId="0"/>
    <cellStyle name="Normal 61 2 3 4 2 2 7" xfId="0"/>
    <cellStyle name="Normal 61 2 3 4 2 2 7 2" xfId="0"/>
    <cellStyle name="Normal 61 2 3 4 2 2 8" xfId="0"/>
    <cellStyle name="Normal 61 2 3 4 2 3" xfId="0"/>
    <cellStyle name="Normal 61 2 3 4 2 3 2" xfId="0"/>
    <cellStyle name="Normal 61 2 3 4 2 3 2 2" xfId="0"/>
    <cellStyle name="Normal 61 2 3 4 2 3 2 2 2" xfId="0"/>
    <cellStyle name="Normal 61 2 3 4 2 3 2 2 2 2" xfId="0"/>
    <cellStyle name="Normal 61 2 3 4 2 3 2 2 2 2 2" xfId="0"/>
    <cellStyle name="Normal 61 2 3 4 2 3 2 2 2 3" xfId="0"/>
    <cellStyle name="Normal 61 2 3 4 2 3 2 2 3" xfId="0"/>
    <cellStyle name="Normal 61 2 3 4 2 3 2 2 3 2" xfId="0"/>
    <cellStyle name="Normal 61 2 3 4 2 3 2 2 3 2 2" xfId="0"/>
    <cellStyle name="Normal 61 2 3 4 2 3 2 2 3 3" xfId="0"/>
    <cellStyle name="Normal 61 2 3 4 2 3 2 2 4" xfId="0"/>
    <cellStyle name="Normal 61 2 3 4 2 3 2 2 4 2" xfId="0"/>
    <cellStyle name="Normal 61 2 3 4 2 3 2 2 5" xfId="0"/>
    <cellStyle name="Normal 61 2 3 4 2 3 2 3" xfId="0"/>
    <cellStyle name="Normal 61 2 3 4 2 3 2 3 2" xfId="0"/>
    <cellStyle name="Normal 61 2 3 4 2 3 2 3 2 2" xfId="0"/>
    <cellStyle name="Normal 61 2 3 4 2 3 2 3 3" xfId="0"/>
    <cellStyle name="Normal 61 2 3 4 2 3 2 4" xfId="0"/>
    <cellStyle name="Normal 61 2 3 4 2 3 2 4 2" xfId="0"/>
    <cellStyle name="Normal 61 2 3 4 2 3 2 4 2 2" xfId="0"/>
    <cellStyle name="Normal 61 2 3 4 2 3 2 4 3" xfId="0"/>
    <cellStyle name="Normal 61 2 3 4 2 3 2 5" xfId="0"/>
    <cellStyle name="Normal 61 2 3 4 2 3 2 5 2" xfId="0"/>
    <cellStyle name="Normal 61 2 3 4 2 3 2 6" xfId="0"/>
    <cellStyle name="Normal 61 2 3 4 2 3 3" xfId="0"/>
    <cellStyle name="Normal 61 2 3 4 2 3 3 2" xfId="0"/>
    <cellStyle name="Normal 61 2 3 4 2 3 3 2 2" xfId="0"/>
    <cellStyle name="Normal 61 2 3 4 2 3 3 2 2 2" xfId="0"/>
    <cellStyle name="Normal 61 2 3 4 2 3 3 2 3" xfId="0"/>
    <cellStyle name="Normal 61 2 3 4 2 3 3 3" xfId="0"/>
    <cellStyle name="Normal 61 2 3 4 2 3 3 3 2" xfId="0"/>
    <cellStyle name="Normal 61 2 3 4 2 3 3 3 2 2" xfId="0"/>
    <cellStyle name="Normal 61 2 3 4 2 3 3 3 3" xfId="0"/>
    <cellStyle name="Normal 61 2 3 4 2 3 3 4" xfId="0"/>
    <cellStyle name="Normal 61 2 3 4 2 3 3 4 2" xfId="0"/>
    <cellStyle name="Normal 61 2 3 4 2 3 3 5" xfId="0"/>
    <cellStyle name="Normal 61 2 3 4 2 3 4" xfId="0"/>
    <cellStyle name="Normal 61 2 3 4 2 3 4 2" xfId="0"/>
    <cellStyle name="Normal 61 2 3 4 2 3 4 2 2" xfId="0"/>
    <cellStyle name="Normal 61 2 3 4 2 3 4 3" xfId="0"/>
    <cellStyle name="Normal 61 2 3 4 2 3 5" xfId="0"/>
    <cellStyle name="Normal 61 2 3 4 2 3 5 2" xfId="0"/>
    <cellStyle name="Normal 61 2 3 4 2 3 5 2 2" xfId="0"/>
    <cellStyle name="Normal 61 2 3 4 2 3 5 3" xfId="0"/>
    <cellStyle name="Normal 61 2 3 4 2 3 6" xfId="0"/>
    <cellStyle name="Normal 61 2 3 4 2 3 6 2" xfId="0"/>
    <cellStyle name="Normal 61 2 3 4 2 3 7" xfId="0"/>
    <cellStyle name="Normal 61 2 3 4 2 4" xfId="0"/>
    <cellStyle name="Normal 61 2 3 4 2 4 2" xfId="0"/>
    <cellStyle name="Normal 61 2 3 4 2 4 2 2" xfId="0"/>
    <cellStyle name="Normal 61 2 3 4 2 4 2 2 2" xfId="0"/>
    <cellStyle name="Normal 61 2 3 4 2 4 2 2 2 2" xfId="0"/>
    <cellStyle name="Normal 61 2 3 4 2 4 2 2 3" xfId="0"/>
    <cellStyle name="Normal 61 2 3 4 2 4 2 3" xfId="0"/>
    <cellStyle name="Normal 61 2 3 4 2 4 2 3 2" xfId="0"/>
    <cellStyle name="Normal 61 2 3 4 2 4 2 3 2 2" xfId="0"/>
    <cellStyle name="Normal 61 2 3 4 2 4 2 3 3" xfId="0"/>
    <cellStyle name="Normal 61 2 3 4 2 4 2 4" xfId="0"/>
    <cellStyle name="Normal 61 2 3 4 2 4 2 4 2" xfId="0"/>
    <cellStyle name="Normal 61 2 3 4 2 4 2 5" xfId="0"/>
    <cellStyle name="Normal 61 2 3 4 2 4 3" xfId="0"/>
    <cellStyle name="Normal 61 2 3 4 2 4 3 2" xfId="0"/>
    <cellStyle name="Normal 61 2 3 4 2 4 3 2 2" xfId="0"/>
    <cellStyle name="Normal 61 2 3 4 2 4 3 3" xfId="0"/>
    <cellStyle name="Normal 61 2 3 4 2 4 4" xfId="0"/>
    <cellStyle name="Normal 61 2 3 4 2 4 4 2" xfId="0"/>
    <cellStyle name="Normal 61 2 3 4 2 4 4 2 2" xfId="0"/>
    <cellStyle name="Normal 61 2 3 4 2 4 4 3" xfId="0"/>
    <cellStyle name="Normal 61 2 3 4 2 4 5" xfId="0"/>
    <cellStyle name="Normal 61 2 3 4 2 4 5 2" xfId="0"/>
    <cellStyle name="Normal 61 2 3 4 2 4 6" xfId="0"/>
    <cellStyle name="Normal 61 2 3 4 2 5" xfId="0"/>
    <cellStyle name="Normal 61 2 3 4 2 5 2" xfId="0"/>
    <cellStyle name="Normal 61 2 3 4 2 5 2 2" xfId="0"/>
    <cellStyle name="Normal 61 2 3 4 2 5 2 2 2" xfId="0"/>
    <cellStyle name="Normal 61 2 3 4 2 5 2 3" xfId="0"/>
    <cellStyle name="Normal 61 2 3 4 2 5 3" xfId="0"/>
    <cellStyle name="Normal 61 2 3 4 2 5 3 2" xfId="0"/>
    <cellStyle name="Normal 61 2 3 4 2 5 3 2 2" xfId="0"/>
    <cellStyle name="Normal 61 2 3 4 2 5 3 3" xfId="0"/>
    <cellStyle name="Normal 61 2 3 4 2 5 4" xfId="0"/>
    <cellStyle name="Normal 61 2 3 4 2 5 4 2" xfId="0"/>
    <cellStyle name="Normal 61 2 3 4 2 5 5" xfId="0"/>
    <cellStyle name="Normal 61 2 3 4 2 6" xfId="0"/>
    <cellStyle name="Normal 61 2 3 4 2 6 2" xfId="0"/>
    <cellStyle name="Normal 61 2 3 4 2 6 2 2" xfId="0"/>
    <cellStyle name="Normal 61 2 3 4 2 6 3" xfId="0"/>
    <cellStyle name="Normal 61 2 3 4 2 7" xfId="0"/>
    <cellStyle name="Normal 61 2 3 4 2 7 2" xfId="0"/>
    <cellStyle name="Normal 61 2 3 4 2 7 2 2" xfId="0"/>
    <cellStyle name="Normal 61 2 3 4 2 7 3" xfId="0"/>
    <cellStyle name="Normal 61 2 3 4 2 8" xfId="0"/>
    <cellStyle name="Normal 61 2 3 4 2 8 2" xfId="0"/>
    <cellStyle name="Normal 61 2 3 4 2 9" xfId="0"/>
    <cellStyle name="Normal 61 2 3 4 3" xfId="0"/>
    <cellStyle name="Normal 61 2 3 4 3 2" xfId="0"/>
    <cellStyle name="Normal 61 2 3 4 3 2 2" xfId="0"/>
    <cellStyle name="Normal 61 2 3 4 3 2 2 2" xfId="0"/>
    <cellStyle name="Normal 61 2 3 4 3 2 2 2 2" xfId="0"/>
    <cellStyle name="Normal 61 2 3 4 3 2 2 2 2 2" xfId="0"/>
    <cellStyle name="Normal 61 2 3 4 3 2 2 2 2 2 2" xfId="0"/>
    <cellStyle name="Normal 61 2 3 4 3 2 2 2 2 3" xfId="0"/>
    <cellStyle name="Normal 61 2 3 4 3 2 2 2 3" xfId="0"/>
    <cellStyle name="Normal 61 2 3 4 3 2 2 2 3 2" xfId="0"/>
    <cellStyle name="Normal 61 2 3 4 3 2 2 2 3 2 2" xfId="0"/>
    <cellStyle name="Normal 61 2 3 4 3 2 2 2 3 3" xfId="0"/>
    <cellStyle name="Normal 61 2 3 4 3 2 2 2 4" xfId="0"/>
    <cellStyle name="Normal 61 2 3 4 3 2 2 2 4 2" xfId="0"/>
    <cellStyle name="Normal 61 2 3 4 3 2 2 2 5" xfId="0"/>
    <cellStyle name="Normal 61 2 3 4 3 2 2 3" xfId="0"/>
    <cellStyle name="Normal 61 2 3 4 3 2 2 3 2" xfId="0"/>
    <cellStyle name="Normal 61 2 3 4 3 2 2 3 2 2" xfId="0"/>
    <cellStyle name="Normal 61 2 3 4 3 2 2 3 3" xfId="0"/>
    <cellStyle name="Normal 61 2 3 4 3 2 2 4" xfId="0"/>
    <cellStyle name="Normal 61 2 3 4 3 2 2 4 2" xfId="0"/>
    <cellStyle name="Normal 61 2 3 4 3 2 2 4 2 2" xfId="0"/>
    <cellStyle name="Normal 61 2 3 4 3 2 2 4 3" xfId="0"/>
    <cellStyle name="Normal 61 2 3 4 3 2 2 5" xfId="0"/>
    <cellStyle name="Normal 61 2 3 4 3 2 2 5 2" xfId="0"/>
    <cellStyle name="Normal 61 2 3 4 3 2 2 6" xfId="0"/>
    <cellStyle name="Normal 61 2 3 4 3 2 3" xfId="0"/>
    <cellStyle name="Normal 61 2 3 4 3 2 3 2" xfId="0"/>
    <cellStyle name="Normal 61 2 3 4 3 2 3 2 2" xfId="0"/>
    <cellStyle name="Normal 61 2 3 4 3 2 3 2 2 2" xfId="0"/>
    <cellStyle name="Normal 61 2 3 4 3 2 3 2 3" xfId="0"/>
    <cellStyle name="Normal 61 2 3 4 3 2 3 3" xfId="0"/>
    <cellStyle name="Normal 61 2 3 4 3 2 3 3 2" xfId="0"/>
    <cellStyle name="Normal 61 2 3 4 3 2 3 3 2 2" xfId="0"/>
    <cellStyle name="Normal 61 2 3 4 3 2 3 3 3" xfId="0"/>
    <cellStyle name="Normal 61 2 3 4 3 2 3 4" xfId="0"/>
    <cellStyle name="Normal 61 2 3 4 3 2 3 4 2" xfId="0"/>
    <cellStyle name="Normal 61 2 3 4 3 2 3 5" xfId="0"/>
    <cellStyle name="Normal 61 2 3 4 3 2 4" xfId="0"/>
    <cellStyle name="Normal 61 2 3 4 3 2 4 2" xfId="0"/>
    <cellStyle name="Normal 61 2 3 4 3 2 4 2 2" xfId="0"/>
    <cellStyle name="Normal 61 2 3 4 3 2 4 3" xfId="0"/>
    <cellStyle name="Normal 61 2 3 4 3 2 5" xfId="0"/>
    <cellStyle name="Normal 61 2 3 4 3 2 5 2" xfId="0"/>
    <cellStyle name="Normal 61 2 3 4 3 2 5 2 2" xfId="0"/>
    <cellStyle name="Normal 61 2 3 4 3 2 5 3" xfId="0"/>
    <cellStyle name="Normal 61 2 3 4 3 2 6" xfId="0"/>
    <cellStyle name="Normal 61 2 3 4 3 2 6 2" xfId="0"/>
    <cellStyle name="Normal 61 2 3 4 3 2 7" xfId="0"/>
    <cellStyle name="Normal 61 2 3 4 3 3" xfId="0"/>
    <cellStyle name="Normal 61 2 3 4 3 3 2" xfId="0"/>
    <cellStyle name="Normal 61 2 3 4 3 3 2 2" xfId="0"/>
    <cellStyle name="Normal 61 2 3 4 3 3 2 2 2" xfId="0"/>
    <cellStyle name="Normal 61 2 3 4 3 3 2 2 2 2" xfId="0"/>
    <cellStyle name="Normal 61 2 3 4 3 3 2 2 3" xfId="0"/>
    <cellStyle name="Normal 61 2 3 4 3 3 2 3" xfId="0"/>
    <cellStyle name="Normal 61 2 3 4 3 3 2 3 2" xfId="0"/>
    <cellStyle name="Normal 61 2 3 4 3 3 2 3 2 2" xfId="0"/>
    <cellStyle name="Normal 61 2 3 4 3 3 2 3 3" xfId="0"/>
    <cellStyle name="Normal 61 2 3 4 3 3 2 4" xfId="0"/>
    <cellStyle name="Normal 61 2 3 4 3 3 2 4 2" xfId="0"/>
    <cellStyle name="Normal 61 2 3 4 3 3 2 5" xfId="0"/>
    <cellStyle name="Normal 61 2 3 4 3 3 3" xfId="0"/>
    <cellStyle name="Normal 61 2 3 4 3 3 3 2" xfId="0"/>
    <cellStyle name="Normal 61 2 3 4 3 3 3 2 2" xfId="0"/>
    <cellStyle name="Normal 61 2 3 4 3 3 3 3" xfId="0"/>
    <cellStyle name="Normal 61 2 3 4 3 3 4" xfId="0"/>
    <cellStyle name="Normal 61 2 3 4 3 3 4 2" xfId="0"/>
    <cellStyle name="Normal 61 2 3 4 3 3 4 2 2" xfId="0"/>
    <cellStyle name="Normal 61 2 3 4 3 3 4 3" xfId="0"/>
    <cellStyle name="Normal 61 2 3 4 3 3 5" xfId="0"/>
    <cellStyle name="Normal 61 2 3 4 3 3 5 2" xfId="0"/>
    <cellStyle name="Normal 61 2 3 4 3 3 6" xfId="0"/>
    <cellStyle name="Normal 61 2 3 4 3 4" xfId="0"/>
    <cellStyle name="Normal 61 2 3 4 3 4 2" xfId="0"/>
    <cellStyle name="Normal 61 2 3 4 3 4 2 2" xfId="0"/>
    <cellStyle name="Normal 61 2 3 4 3 4 2 2 2" xfId="0"/>
    <cellStyle name="Normal 61 2 3 4 3 4 2 3" xfId="0"/>
    <cellStyle name="Normal 61 2 3 4 3 4 3" xfId="0"/>
    <cellStyle name="Normal 61 2 3 4 3 4 3 2" xfId="0"/>
    <cellStyle name="Normal 61 2 3 4 3 4 3 2 2" xfId="0"/>
    <cellStyle name="Normal 61 2 3 4 3 4 3 3" xfId="0"/>
    <cellStyle name="Normal 61 2 3 4 3 4 4" xfId="0"/>
    <cellStyle name="Normal 61 2 3 4 3 4 4 2" xfId="0"/>
    <cellStyle name="Normal 61 2 3 4 3 4 5" xfId="0"/>
    <cellStyle name="Normal 61 2 3 4 3 5" xfId="0"/>
    <cellStyle name="Normal 61 2 3 4 3 5 2" xfId="0"/>
    <cellStyle name="Normal 61 2 3 4 3 5 2 2" xfId="0"/>
    <cellStyle name="Normal 61 2 3 4 3 5 3" xfId="0"/>
    <cellStyle name="Normal 61 2 3 4 3 6" xfId="0"/>
    <cellStyle name="Normal 61 2 3 4 3 6 2" xfId="0"/>
    <cellStyle name="Normal 61 2 3 4 3 6 2 2" xfId="0"/>
    <cellStyle name="Normal 61 2 3 4 3 6 3" xfId="0"/>
    <cellStyle name="Normal 61 2 3 4 3 7" xfId="0"/>
    <cellStyle name="Normal 61 2 3 4 3 7 2" xfId="0"/>
    <cellStyle name="Normal 61 2 3 4 3 8" xfId="0"/>
    <cellStyle name="Normal 61 2 3 4 4" xfId="0"/>
    <cellStyle name="Normal 61 2 3 4 4 2" xfId="0"/>
    <cellStyle name="Normal 61 2 3 4 4 2 2" xfId="0"/>
    <cellStyle name="Normal 61 2 3 4 4 2 2 2" xfId="0"/>
    <cellStyle name="Normal 61 2 3 4 4 2 2 2 2" xfId="0"/>
    <cellStyle name="Normal 61 2 3 4 4 2 2 2 2 2" xfId="0"/>
    <cellStyle name="Normal 61 2 3 4 4 2 2 2 3" xfId="0"/>
    <cellStyle name="Normal 61 2 3 4 4 2 2 3" xfId="0"/>
    <cellStyle name="Normal 61 2 3 4 4 2 2 3 2" xfId="0"/>
    <cellStyle name="Normal 61 2 3 4 4 2 2 3 2 2" xfId="0"/>
    <cellStyle name="Normal 61 2 3 4 4 2 2 3 3" xfId="0"/>
    <cellStyle name="Normal 61 2 3 4 4 2 2 4" xfId="0"/>
    <cellStyle name="Normal 61 2 3 4 4 2 2 4 2" xfId="0"/>
    <cellStyle name="Normal 61 2 3 4 4 2 2 5" xfId="0"/>
    <cellStyle name="Normal 61 2 3 4 4 2 3" xfId="0"/>
    <cellStyle name="Normal 61 2 3 4 4 2 3 2" xfId="0"/>
    <cellStyle name="Normal 61 2 3 4 4 2 3 2 2" xfId="0"/>
    <cellStyle name="Normal 61 2 3 4 4 2 3 3" xfId="0"/>
    <cellStyle name="Normal 61 2 3 4 4 2 4" xfId="0"/>
    <cellStyle name="Normal 61 2 3 4 4 2 4 2" xfId="0"/>
    <cellStyle name="Normal 61 2 3 4 4 2 4 2 2" xfId="0"/>
    <cellStyle name="Normal 61 2 3 4 4 2 4 3" xfId="0"/>
    <cellStyle name="Normal 61 2 3 4 4 2 5" xfId="0"/>
    <cellStyle name="Normal 61 2 3 4 4 2 5 2" xfId="0"/>
    <cellStyle name="Normal 61 2 3 4 4 2 6" xfId="0"/>
    <cellStyle name="Normal 61 2 3 4 4 3" xfId="0"/>
    <cellStyle name="Normal 61 2 3 4 4 3 2" xfId="0"/>
    <cellStyle name="Normal 61 2 3 4 4 3 2 2" xfId="0"/>
    <cellStyle name="Normal 61 2 3 4 4 3 2 2 2" xfId="0"/>
    <cellStyle name="Normal 61 2 3 4 4 3 2 3" xfId="0"/>
    <cellStyle name="Normal 61 2 3 4 4 3 3" xfId="0"/>
    <cellStyle name="Normal 61 2 3 4 4 3 3 2" xfId="0"/>
    <cellStyle name="Normal 61 2 3 4 4 3 3 2 2" xfId="0"/>
    <cellStyle name="Normal 61 2 3 4 4 3 3 3" xfId="0"/>
    <cellStyle name="Normal 61 2 3 4 4 3 4" xfId="0"/>
    <cellStyle name="Normal 61 2 3 4 4 3 4 2" xfId="0"/>
    <cellStyle name="Normal 61 2 3 4 4 3 5" xfId="0"/>
    <cellStyle name="Normal 61 2 3 4 4 4" xfId="0"/>
    <cellStyle name="Normal 61 2 3 4 4 4 2" xfId="0"/>
    <cellStyle name="Normal 61 2 3 4 4 4 2 2" xfId="0"/>
    <cellStyle name="Normal 61 2 3 4 4 4 3" xfId="0"/>
    <cellStyle name="Normal 61 2 3 4 4 5" xfId="0"/>
    <cellStyle name="Normal 61 2 3 4 4 5 2" xfId="0"/>
    <cellStyle name="Normal 61 2 3 4 4 5 2 2" xfId="0"/>
    <cellStyle name="Normal 61 2 3 4 4 5 3" xfId="0"/>
    <cellStyle name="Normal 61 2 3 4 4 6" xfId="0"/>
    <cellStyle name="Normal 61 2 3 4 4 6 2" xfId="0"/>
    <cellStyle name="Normal 61 2 3 4 4 7" xfId="0"/>
    <cellStyle name="Normal 61 2 3 4 5" xfId="0"/>
    <cellStyle name="Normal 61 2 3 4 5 2" xfId="0"/>
    <cellStyle name="Normal 61 2 3 4 5 2 2" xfId="0"/>
    <cellStyle name="Normal 61 2 3 4 5 2 2 2" xfId="0"/>
    <cellStyle name="Normal 61 2 3 4 5 2 2 2 2" xfId="0"/>
    <cellStyle name="Normal 61 2 3 4 5 2 2 3" xfId="0"/>
    <cellStyle name="Normal 61 2 3 4 5 2 3" xfId="0"/>
    <cellStyle name="Normal 61 2 3 4 5 2 3 2" xfId="0"/>
    <cellStyle name="Normal 61 2 3 4 5 2 3 2 2" xfId="0"/>
    <cellStyle name="Normal 61 2 3 4 5 2 3 3" xfId="0"/>
    <cellStyle name="Normal 61 2 3 4 5 2 4" xfId="0"/>
    <cellStyle name="Normal 61 2 3 4 5 2 4 2" xfId="0"/>
    <cellStyle name="Normal 61 2 3 4 5 2 5" xfId="0"/>
    <cellStyle name="Normal 61 2 3 4 5 3" xfId="0"/>
    <cellStyle name="Normal 61 2 3 4 5 3 2" xfId="0"/>
    <cellStyle name="Normal 61 2 3 4 5 3 2 2" xfId="0"/>
    <cellStyle name="Normal 61 2 3 4 5 3 3" xfId="0"/>
    <cellStyle name="Normal 61 2 3 4 5 4" xfId="0"/>
    <cellStyle name="Normal 61 2 3 4 5 4 2" xfId="0"/>
    <cellStyle name="Normal 61 2 3 4 5 4 2 2" xfId="0"/>
    <cellStyle name="Normal 61 2 3 4 5 4 3" xfId="0"/>
    <cellStyle name="Normal 61 2 3 4 5 5" xfId="0"/>
    <cellStyle name="Normal 61 2 3 4 5 5 2" xfId="0"/>
    <cellStyle name="Normal 61 2 3 4 5 6" xfId="0"/>
    <cellStyle name="Normal 61 2 3 4 6" xfId="0"/>
    <cellStyle name="Normal 61 2 3 4 6 2" xfId="0"/>
    <cellStyle name="Normal 61 2 3 4 6 2 2" xfId="0"/>
    <cellStyle name="Normal 61 2 3 4 6 2 2 2" xfId="0"/>
    <cellStyle name="Normal 61 2 3 4 6 2 3" xfId="0"/>
    <cellStyle name="Normal 61 2 3 4 6 3" xfId="0"/>
    <cellStyle name="Normal 61 2 3 4 6 3 2" xfId="0"/>
    <cellStyle name="Normal 61 2 3 4 6 3 2 2" xfId="0"/>
    <cellStyle name="Normal 61 2 3 4 6 3 3" xfId="0"/>
    <cellStyle name="Normal 61 2 3 4 6 4" xfId="0"/>
    <cellStyle name="Normal 61 2 3 4 6 4 2" xfId="0"/>
    <cellStyle name="Normal 61 2 3 4 6 5" xfId="0"/>
    <cellStyle name="Normal 61 2 3 4 7" xfId="0"/>
    <cellStyle name="Normal 61 2 3 4 7 2" xfId="0"/>
    <cellStyle name="Normal 61 2 3 4 7 2 2" xfId="0"/>
    <cellStyle name="Normal 61 2 3 4 7 3" xfId="0"/>
    <cellStyle name="Normal 61 2 3 4 8" xfId="0"/>
    <cellStyle name="Normal 61 2 3 4 8 2" xfId="0"/>
    <cellStyle name="Normal 61 2 3 4 8 2 2" xfId="0"/>
    <cellStyle name="Normal 61 2 3 4 8 3" xfId="0"/>
    <cellStyle name="Normal 61 2 3 4 9" xfId="0"/>
    <cellStyle name="Normal 61 2 3 4 9 2" xfId="0"/>
    <cellStyle name="Normal 61 2 3 5" xfId="0"/>
    <cellStyle name="Normal 61 2 3 5 2" xfId="0"/>
    <cellStyle name="Normal 61 2 3 5 2 2" xfId="0"/>
    <cellStyle name="Normal 61 2 3 5 2 2 2" xfId="0"/>
    <cellStyle name="Normal 61 2 3 5 2 2 2 2" xfId="0"/>
    <cellStyle name="Normal 61 2 3 5 2 2 2 2 2" xfId="0"/>
    <cellStyle name="Normal 61 2 3 5 2 2 2 2 2 2" xfId="0"/>
    <cellStyle name="Normal 61 2 3 5 2 2 2 2 2 2 2" xfId="0"/>
    <cellStyle name="Normal 61 2 3 5 2 2 2 2 2 3" xfId="0"/>
    <cellStyle name="Normal 61 2 3 5 2 2 2 2 3" xfId="0"/>
    <cellStyle name="Normal 61 2 3 5 2 2 2 2 3 2" xfId="0"/>
    <cellStyle name="Normal 61 2 3 5 2 2 2 2 3 2 2" xfId="0"/>
    <cellStyle name="Normal 61 2 3 5 2 2 2 2 3 3" xfId="0"/>
    <cellStyle name="Normal 61 2 3 5 2 2 2 2 4" xfId="0"/>
    <cellStyle name="Normal 61 2 3 5 2 2 2 2 4 2" xfId="0"/>
    <cellStyle name="Normal 61 2 3 5 2 2 2 2 5" xfId="0"/>
    <cellStyle name="Normal 61 2 3 5 2 2 2 3" xfId="0"/>
    <cellStyle name="Normal 61 2 3 5 2 2 2 3 2" xfId="0"/>
    <cellStyle name="Normal 61 2 3 5 2 2 2 3 2 2" xfId="0"/>
    <cellStyle name="Normal 61 2 3 5 2 2 2 3 3" xfId="0"/>
    <cellStyle name="Normal 61 2 3 5 2 2 2 4" xfId="0"/>
    <cellStyle name="Normal 61 2 3 5 2 2 2 4 2" xfId="0"/>
    <cellStyle name="Normal 61 2 3 5 2 2 2 4 2 2" xfId="0"/>
    <cellStyle name="Normal 61 2 3 5 2 2 2 4 3" xfId="0"/>
    <cellStyle name="Normal 61 2 3 5 2 2 2 5" xfId="0"/>
    <cellStyle name="Normal 61 2 3 5 2 2 2 5 2" xfId="0"/>
    <cellStyle name="Normal 61 2 3 5 2 2 2 6" xfId="0"/>
    <cellStyle name="Normal 61 2 3 5 2 2 3" xfId="0"/>
    <cellStyle name="Normal 61 2 3 5 2 2 3 2" xfId="0"/>
    <cellStyle name="Normal 61 2 3 5 2 2 3 2 2" xfId="0"/>
    <cellStyle name="Normal 61 2 3 5 2 2 3 2 2 2" xfId="0"/>
    <cellStyle name="Normal 61 2 3 5 2 2 3 2 3" xfId="0"/>
    <cellStyle name="Normal 61 2 3 5 2 2 3 3" xfId="0"/>
    <cellStyle name="Normal 61 2 3 5 2 2 3 3 2" xfId="0"/>
    <cellStyle name="Normal 61 2 3 5 2 2 3 3 2 2" xfId="0"/>
    <cellStyle name="Normal 61 2 3 5 2 2 3 3 3" xfId="0"/>
    <cellStyle name="Normal 61 2 3 5 2 2 3 4" xfId="0"/>
    <cellStyle name="Normal 61 2 3 5 2 2 3 4 2" xfId="0"/>
    <cellStyle name="Normal 61 2 3 5 2 2 3 5" xfId="0"/>
    <cellStyle name="Normal 61 2 3 5 2 2 4" xfId="0"/>
    <cellStyle name="Normal 61 2 3 5 2 2 4 2" xfId="0"/>
    <cellStyle name="Normal 61 2 3 5 2 2 4 2 2" xfId="0"/>
    <cellStyle name="Normal 61 2 3 5 2 2 4 3" xfId="0"/>
    <cellStyle name="Normal 61 2 3 5 2 2 5" xfId="0"/>
    <cellStyle name="Normal 61 2 3 5 2 2 5 2" xfId="0"/>
    <cellStyle name="Normal 61 2 3 5 2 2 5 2 2" xfId="0"/>
    <cellStyle name="Normal 61 2 3 5 2 2 5 3" xfId="0"/>
    <cellStyle name="Normal 61 2 3 5 2 2 6" xfId="0"/>
    <cellStyle name="Normal 61 2 3 5 2 2 6 2" xfId="0"/>
    <cellStyle name="Normal 61 2 3 5 2 2 7" xfId="0"/>
    <cellStyle name="Normal 61 2 3 5 2 3" xfId="0"/>
    <cellStyle name="Normal 61 2 3 5 2 3 2" xfId="0"/>
    <cellStyle name="Normal 61 2 3 5 2 3 2 2" xfId="0"/>
    <cellStyle name="Normal 61 2 3 5 2 3 2 2 2" xfId="0"/>
    <cellStyle name="Normal 61 2 3 5 2 3 2 2 2 2" xfId="0"/>
    <cellStyle name="Normal 61 2 3 5 2 3 2 2 3" xfId="0"/>
    <cellStyle name="Normal 61 2 3 5 2 3 2 3" xfId="0"/>
    <cellStyle name="Normal 61 2 3 5 2 3 2 3 2" xfId="0"/>
    <cellStyle name="Normal 61 2 3 5 2 3 2 3 2 2" xfId="0"/>
    <cellStyle name="Normal 61 2 3 5 2 3 2 3 3" xfId="0"/>
    <cellStyle name="Normal 61 2 3 5 2 3 2 4" xfId="0"/>
    <cellStyle name="Normal 61 2 3 5 2 3 2 4 2" xfId="0"/>
    <cellStyle name="Normal 61 2 3 5 2 3 2 5" xfId="0"/>
    <cellStyle name="Normal 61 2 3 5 2 3 3" xfId="0"/>
    <cellStyle name="Normal 61 2 3 5 2 3 3 2" xfId="0"/>
    <cellStyle name="Normal 61 2 3 5 2 3 3 2 2" xfId="0"/>
    <cellStyle name="Normal 61 2 3 5 2 3 3 3" xfId="0"/>
    <cellStyle name="Normal 61 2 3 5 2 3 4" xfId="0"/>
    <cellStyle name="Normal 61 2 3 5 2 3 4 2" xfId="0"/>
    <cellStyle name="Normal 61 2 3 5 2 3 4 2 2" xfId="0"/>
    <cellStyle name="Normal 61 2 3 5 2 3 4 3" xfId="0"/>
    <cellStyle name="Normal 61 2 3 5 2 3 5" xfId="0"/>
    <cellStyle name="Normal 61 2 3 5 2 3 5 2" xfId="0"/>
    <cellStyle name="Normal 61 2 3 5 2 3 6" xfId="0"/>
    <cellStyle name="Normal 61 2 3 5 2 4" xfId="0"/>
    <cellStyle name="Normal 61 2 3 5 2 4 2" xfId="0"/>
    <cellStyle name="Normal 61 2 3 5 2 4 2 2" xfId="0"/>
    <cellStyle name="Normal 61 2 3 5 2 4 2 2 2" xfId="0"/>
    <cellStyle name="Normal 61 2 3 5 2 4 2 3" xfId="0"/>
    <cellStyle name="Normal 61 2 3 5 2 4 3" xfId="0"/>
    <cellStyle name="Normal 61 2 3 5 2 4 3 2" xfId="0"/>
    <cellStyle name="Normal 61 2 3 5 2 4 3 2 2" xfId="0"/>
    <cellStyle name="Normal 61 2 3 5 2 4 3 3" xfId="0"/>
    <cellStyle name="Normal 61 2 3 5 2 4 4" xfId="0"/>
    <cellStyle name="Normal 61 2 3 5 2 4 4 2" xfId="0"/>
    <cellStyle name="Normal 61 2 3 5 2 4 5" xfId="0"/>
    <cellStyle name="Normal 61 2 3 5 2 5" xfId="0"/>
    <cellStyle name="Normal 61 2 3 5 2 5 2" xfId="0"/>
    <cellStyle name="Normal 61 2 3 5 2 5 2 2" xfId="0"/>
    <cellStyle name="Normal 61 2 3 5 2 5 3" xfId="0"/>
    <cellStyle name="Normal 61 2 3 5 2 6" xfId="0"/>
    <cellStyle name="Normal 61 2 3 5 2 6 2" xfId="0"/>
    <cellStyle name="Normal 61 2 3 5 2 6 2 2" xfId="0"/>
    <cellStyle name="Normal 61 2 3 5 2 6 3" xfId="0"/>
    <cellStyle name="Normal 61 2 3 5 2 7" xfId="0"/>
    <cellStyle name="Normal 61 2 3 5 2 7 2" xfId="0"/>
    <cellStyle name="Normal 61 2 3 5 2 8" xfId="0"/>
    <cellStyle name="Normal 61 2 3 5 3" xfId="0"/>
    <cellStyle name="Normal 61 2 3 5 3 2" xfId="0"/>
    <cellStyle name="Normal 61 2 3 5 3 2 2" xfId="0"/>
    <cellStyle name="Normal 61 2 3 5 3 2 2 2" xfId="0"/>
    <cellStyle name="Normal 61 2 3 5 3 2 2 2 2" xfId="0"/>
    <cellStyle name="Normal 61 2 3 5 3 2 2 2 2 2" xfId="0"/>
    <cellStyle name="Normal 61 2 3 5 3 2 2 2 3" xfId="0"/>
    <cellStyle name="Normal 61 2 3 5 3 2 2 3" xfId="0"/>
    <cellStyle name="Normal 61 2 3 5 3 2 2 3 2" xfId="0"/>
    <cellStyle name="Normal 61 2 3 5 3 2 2 3 2 2" xfId="0"/>
    <cellStyle name="Normal 61 2 3 5 3 2 2 3 3" xfId="0"/>
    <cellStyle name="Normal 61 2 3 5 3 2 2 4" xfId="0"/>
    <cellStyle name="Normal 61 2 3 5 3 2 2 4 2" xfId="0"/>
    <cellStyle name="Normal 61 2 3 5 3 2 2 5" xfId="0"/>
    <cellStyle name="Normal 61 2 3 5 3 2 3" xfId="0"/>
    <cellStyle name="Normal 61 2 3 5 3 2 3 2" xfId="0"/>
    <cellStyle name="Normal 61 2 3 5 3 2 3 2 2" xfId="0"/>
    <cellStyle name="Normal 61 2 3 5 3 2 3 3" xfId="0"/>
    <cellStyle name="Normal 61 2 3 5 3 2 4" xfId="0"/>
    <cellStyle name="Normal 61 2 3 5 3 2 4 2" xfId="0"/>
    <cellStyle name="Normal 61 2 3 5 3 2 4 2 2" xfId="0"/>
    <cellStyle name="Normal 61 2 3 5 3 2 4 3" xfId="0"/>
    <cellStyle name="Normal 61 2 3 5 3 2 5" xfId="0"/>
    <cellStyle name="Normal 61 2 3 5 3 2 5 2" xfId="0"/>
    <cellStyle name="Normal 61 2 3 5 3 2 6" xfId="0"/>
    <cellStyle name="Normal 61 2 3 5 3 3" xfId="0"/>
    <cellStyle name="Normal 61 2 3 5 3 3 2" xfId="0"/>
    <cellStyle name="Normal 61 2 3 5 3 3 2 2" xfId="0"/>
    <cellStyle name="Normal 61 2 3 5 3 3 2 2 2" xfId="0"/>
    <cellStyle name="Normal 61 2 3 5 3 3 2 3" xfId="0"/>
    <cellStyle name="Normal 61 2 3 5 3 3 3" xfId="0"/>
    <cellStyle name="Normal 61 2 3 5 3 3 3 2" xfId="0"/>
    <cellStyle name="Normal 61 2 3 5 3 3 3 2 2" xfId="0"/>
    <cellStyle name="Normal 61 2 3 5 3 3 3 3" xfId="0"/>
    <cellStyle name="Normal 61 2 3 5 3 3 4" xfId="0"/>
    <cellStyle name="Normal 61 2 3 5 3 3 4 2" xfId="0"/>
    <cellStyle name="Normal 61 2 3 5 3 3 5" xfId="0"/>
    <cellStyle name="Normal 61 2 3 5 3 4" xfId="0"/>
    <cellStyle name="Normal 61 2 3 5 3 4 2" xfId="0"/>
    <cellStyle name="Normal 61 2 3 5 3 4 2 2" xfId="0"/>
    <cellStyle name="Normal 61 2 3 5 3 4 3" xfId="0"/>
    <cellStyle name="Normal 61 2 3 5 3 5" xfId="0"/>
    <cellStyle name="Normal 61 2 3 5 3 5 2" xfId="0"/>
    <cellStyle name="Normal 61 2 3 5 3 5 2 2" xfId="0"/>
    <cellStyle name="Normal 61 2 3 5 3 5 3" xfId="0"/>
    <cellStyle name="Normal 61 2 3 5 3 6" xfId="0"/>
    <cellStyle name="Normal 61 2 3 5 3 6 2" xfId="0"/>
    <cellStyle name="Normal 61 2 3 5 3 7" xfId="0"/>
    <cellStyle name="Normal 61 2 3 5 4" xfId="0"/>
    <cellStyle name="Normal 61 2 3 5 4 2" xfId="0"/>
    <cellStyle name="Normal 61 2 3 5 4 2 2" xfId="0"/>
    <cellStyle name="Normal 61 2 3 5 4 2 2 2" xfId="0"/>
    <cellStyle name="Normal 61 2 3 5 4 2 2 2 2" xfId="0"/>
    <cellStyle name="Normal 61 2 3 5 4 2 2 3" xfId="0"/>
    <cellStyle name="Normal 61 2 3 5 4 2 3" xfId="0"/>
    <cellStyle name="Normal 61 2 3 5 4 2 3 2" xfId="0"/>
    <cellStyle name="Normal 61 2 3 5 4 2 3 2 2" xfId="0"/>
    <cellStyle name="Normal 61 2 3 5 4 2 3 3" xfId="0"/>
    <cellStyle name="Normal 61 2 3 5 4 2 4" xfId="0"/>
    <cellStyle name="Normal 61 2 3 5 4 2 4 2" xfId="0"/>
    <cellStyle name="Normal 61 2 3 5 4 2 5" xfId="0"/>
    <cellStyle name="Normal 61 2 3 5 4 3" xfId="0"/>
    <cellStyle name="Normal 61 2 3 5 4 3 2" xfId="0"/>
    <cellStyle name="Normal 61 2 3 5 4 3 2 2" xfId="0"/>
    <cellStyle name="Normal 61 2 3 5 4 3 3" xfId="0"/>
    <cellStyle name="Normal 61 2 3 5 4 4" xfId="0"/>
    <cellStyle name="Normal 61 2 3 5 4 4 2" xfId="0"/>
    <cellStyle name="Normal 61 2 3 5 4 4 2 2" xfId="0"/>
    <cellStyle name="Normal 61 2 3 5 4 4 3" xfId="0"/>
    <cellStyle name="Normal 61 2 3 5 4 5" xfId="0"/>
    <cellStyle name="Normal 61 2 3 5 4 5 2" xfId="0"/>
    <cellStyle name="Normal 61 2 3 5 4 6" xfId="0"/>
    <cellStyle name="Normal 61 2 3 5 5" xfId="0"/>
    <cellStyle name="Normal 61 2 3 5 5 2" xfId="0"/>
    <cellStyle name="Normal 61 2 3 5 5 2 2" xfId="0"/>
    <cellStyle name="Normal 61 2 3 5 5 2 2 2" xfId="0"/>
    <cellStyle name="Normal 61 2 3 5 5 2 3" xfId="0"/>
    <cellStyle name="Normal 61 2 3 5 5 3" xfId="0"/>
    <cellStyle name="Normal 61 2 3 5 5 3 2" xfId="0"/>
    <cellStyle name="Normal 61 2 3 5 5 3 2 2" xfId="0"/>
    <cellStyle name="Normal 61 2 3 5 5 3 3" xfId="0"/>
    <cellStyle name="Normal 61 2 3 5 5 4" xfId="0"/>
    <cellStyle name="Normal 61 2 3 5 5 4 2" xfId="0"/>
    <cellStyle name="Normal 61 2 3 5 5 5" xfId="0"/>
    <cellStyle name="Normal 61 2 3 5 6" xfId="0"/>
    <cellStyle name="Normal 61 2 3 5 6 2" xfId="0"/>
    <cellStyle name="Normal 61 2 3 5 6 2 2" xfId="0"/>
    <cellStyle name="Normal 61 2 3 5 6 3" xfId="0"/>
    <cellStyle name="Normal 61 2 3 5 7" xfId="0"/>
    <cellStyle name="Normal 61 2 3 5 7 2" xfId="0"/>
    <cellStyle name="Normal 61 2 3 5 7 2 2" xfId="0"/>
    <cellStyle name="Normal 61 2 3 5 7 3" xfId="0"/>
    <cellStyle name="Normal 61 2 3 5 8" xfId="0"/>
    <cellStyle name="Normal 61 2 3 5 8 2" xfId="0"/>
    <cellStyle name="Normal 61 2 3 5 9" xfId="0"/>
    <cellStyle name="Normal 61 2 3 6" xfId="0"/>
    <cellStyle name="Normal 61 2 3 6 2" xfId="0"/>
    <cellStyle name="Normal 61 2 3 6 2 2" xfId="0"/>
    <cellStyle name="Normal 61 2 3 6 2 2 2" xfId="0"/>
    <cellStyle name="Normal 61 2 3 6 2 2 2 2" xfId="0"/>
    <cellStyle name="Normal 61 2 3 6 2 2 2 2 2" xfId="0"/>
    <cellStyle name="Normal 61 2 3 6 2 2 2 2 2 2" xfId="0"/>
    <cellStyle name="Normal 61 2 3 6 2 2 2 2 3" xfId="0"/>
    <cellStyle name="Normal 61 2 3 6 2 2 2 3" xfId="0"/>
    <cellStyle name="Normal 61 2 3 6 2 2 2 3 2" xfId="0"/>
    <cellStyle name="Normal 61 2 3 6 2 2 2 3 2 2" xfId="0"/>
    <cellStyle name="Normal 61 2 3 6 2 2 2 3 3" xfId="0"/>
    <cellStyle name="Normal 61 2 3 6 2 2 2 4" xfId="0"/>
    <cellStyle name="Normal 61 2 3 6 2 2 2 4 2" xfId="0"/>
    <cellStyle name="Normal 61 2 3 6 2 2 2 5" xfId="0"/>
    <cellStyle name="Normal 61 2 3 6 2 2 3" xfId="0"/>
    <cellStyle name="Normal 61 2 3 6 2 2 3 2" xfId="0"/>
    <cellStyle name="Normal 61 2 3 6 2 2 3 2 2" xfId="0"/>
    <cellStyle name="Normal 61 2 3 6 2 2 3 3" xfId="0"/>
    <cellStyle name="Normal 61 2 3 6 2 2 4" xfId="0"/>
    <cellStyle name="Normal 61 2 3 6 2 2 4 2" xfId="0"/>
    <cellStyle name="Normal 61 2 3 6 2 2 4 2 2" xfId="0"/>
    <cellStyle name="Normal 61 2 3 6 2 2 4 3" xfId="0"/>
    <cellStyle name="Normal 61 2 3 6 2 2 5" xfId="0"/>
    <cellStyle name="Normal 61 2 3 6 2 2 5 2" xfId="0"/>
    <cellStyle name="Normal 61 2 3 6 2 2 6" xfId="0"/>
    <cellStyle name="Normal 61 2 3 6 2 3" xfId="0"/>
    <cellStyle name="Normal 61 2 3 6 2 3 2" xfId="0"/>
    <cellStyle name="Normal 61 2 3 6 2 3 2 2" xfId="0"/>
    <cellStyle name="Normal 61 2 3 6 2 3 2 2 2" xfId="0"/>
    <cellStyle name="Normal 61 2 3 6 2 3 2 3" xfId="0"/>
    <cellStyle name="Normal 61 2 3 6 2 3 3" xfId="0"/>
    <cellStyle name="Normal 61 2 3 6 2 3 3 2" xfId="0"/>
    <cellStyle name="Normal 61 2 3 6 2 3 3 2 2" xfId="0"/>
    <cellStyle name="Normal 61 2 3 6 2 3 3 3" xfId="0"/>
    <cellStyle name="Normal 61 2 3 6 2 3 4" xfId="0"/>
    <cellStyle name="Normal 61 2 3 6 2 3 4 2" xfId="0"/>
    <cellStyle name="Normal 61 2 3 6 2 3 5" xfId="0"/>
    <cellStyle name="Normal 61 2 3 6 2 4" xfId="0"/>
    <cellStyle name="Normal 61 2 3 6 2 4 2" xfId="0"/>
    <cellStyle name="Normal 61 2 3 6 2 4 2 2" xfId="0"/>
    <cellStyle name="Normal 61 2 3 6 2 4 3" xfId="0"/>
    <cellStyle name="Normal 61 2 3 6 2 5" xfId="0"/>
    <cellStyle name="Normal 61 2 3 6 2 5 2" xfId="0"/>
    <cellStyle name="Normal 61 2 3 6 2 5 2 2" xfId="0"/>
    <cellStyle name="Normal 61 2 3 6 2 5 3" xfId="0"/>
    <cellStyle name="Normal 61 2 3 6 2 6" xfId="0"/>
    <cellStyle name="Normal 61 2 3 6 2 6 2" xfId="0"/>
    <cellStyle name="Normal 61 2 3 6 2 7" xfId="0"/>
    <cellStyle name="Normal 61 2 3 6 3" xfId="0"/>
    <cellStyle name="Normal 61 2 3 6 3 2" xfId="0"/>
    <cellStyle name="Normal 61 2 3 6 3 2 2" xfId="0"/>
    <cellStyle name="Normal 61 2 3 6 3 2 2 2" xfId="0"/>
    <cellStyle name="Normal 61 2 3 6 3 2 2 2 2" xfId="0"/>
    <cellStyle name="Normal 61 2 3 6 3 2 2 3" xfId="0"/>
    <cellStyle name="Normal 61 2 3 6 3 2 3" xfId="0"/>
    <cellStyle name="Normal 61 2 3 6 3 2 3 2" xfId="0"/>
    <cellStyle name="Normal 61 2 3 6 3 2 3 2 2" xfId="0"/>
    <cellStyle name="Normal 61 2 3 6 3 2 3 3" xfId="0"/>
    <cellStyle name="Normal 61 2 3 6 3 2 4" xfId="0"/>
    <cellStyle name="Normal 61 2 3 6 3 2 4 2" xfId="0"/>
    <cellStyle name="Normal 61 2 3 6 3 2 5" xfId="0"/>
    <cellStyle name="Normal 61 2 3 6 3 3" xfId="0"/>
    <cellStyle name="Normal 61 2 3 6 3 3 2" xfId="0"/>
    <cellStyle name="Normal 61 2 3 6 3 3 2 2" xfId="0"/>
    <cellStyle name="Normal 61 2 3 6 3 3 3" xfId="0"/>
    <cellStyle name="Normal 61 2 3 6 3 4" xfId="0"/>
    <cellStyle name="Normal 61 2 3 6 3 4 2" xfId="0"/>
    <cellStyle name="Normal 61 2 3 6 3 4 2 2" xfId="0"/>
    <cellStyle name="Normal 61 2 3 6 3 4 3" xfId="0"/>
    <cellStyle name="Normal 61 2 3 6 3 5" xfId="0"/>
    <cellStyle name="Normal 61 2 3 6 3 5 2" xfId="0"/>
    <cellStyle name="Normal 61 2 3 6 3 6" xfId="0"/>
    <cellStyle name="Normal 61 2 3 6 4" xfId="0"/>
    <cellStyle name="Normal 61 2 3 6 4 2" xfId="0"/>
    <cellStyle name="Normal 61 2 3 6 4 2 2" xfId="0"/>
    <cellStyle name="Normal 61 2 3 6 4 2 2 2" xfId="0"/>
    <cellStyle name="Normal 61 2 3 6 4 2 3" xfId="0"/>
    <cellStyle name="Normal 61 2 3 6 4 3" xfId="0"/>
    <cellStyle name="Normal 61 2 3 6 4 3 2" xfId="0"/>
    <cellStyle name="Normal 61 2 3 6 4 3 2 2" xfId="0"/>
    <cellStyle name="Normal 61 2 3 6 4 3 3" xfId="0"/>
    <cellStyle name="Normal 61 2 3 6 4 4" xfId="0"/>
    <cellStyle name="Normal 61 2 3 6 4 4 2" xfId="0"/>
    <cellStyle name="Normal 61 2 3 6 4 5" xfId="0"/>
    <cellStyle name="Normal 61 2 3 6 5" xfId="0"/>
    <cellStyle name="Normal 61 2 3 6 5 2" xfId="0"/>
    <cellStyle name="Normal 61 2 3 6 5 2 2" xfId="0"/>
    <cellStyle name="Normal 61 2 3 6 5 3" xfId="0"/>
    <cellStyle name="Normal 61 2 3 6 6" xfId="0"/>
    <cellStyle name="Normal 61 2 3 6 6 2" xfId="0"/>
    <cellStyle name="Normal 61 2 3 6 6 2 2" xfId="0"/>
    <cellStyle name="Normal 61 2 3 6 6 3" xfId="0"/>
    <cellStyle name="Normal 61 2 3 6 7" xfId="0"/>
    <cellStyle name="Normal 61 2 3 6 7 2" xfId="0"/>
    <cellStyle name="Normal 61 2 3 6 8" xfId="0"/>
    <cellStyle name="Normal 61 2 3 7" xfId="0"/>
    <cellStyle name="Normal 61 2 3 7 2" xfId="0"/>
    <cellStyle name="Normal 61 2 3 7 2 2" xfId="0"/>
    <cellStyle name="Normal 61 2 3 7 2 2 2" xfId="0"/>
    <cellStyle name="Normal 61 2 3 7 2 2 2 2" xfId="0"/>
    <cellStyle name="Normal 61 2 3 7 2 2 2 2 2" xfId="0"/>
    <cellStyle name="Normal 61 2 3 7 2 2 2 3" xfId="0"/>
    <cellStyle name="Normal 61 2 3 7 2 2 3" xfId="0"/>
    <cellStyle name="Normal 61 2 3 7 2 2 3 2" xfId="0"/>
    <cellStyle name="Normal 61 2 3 7 2 2 3 2 2" xfId="0"/>
    <cellStyle name="Normal 61 2 3 7 2 2 3 3" xfId="0"/>
    <cellStyle name="Normal 61 2 3 7 2 2 4" xfId="0"/>
    <cellStyle name="Normal 61 2 3 7 2 2 4 2" xfId="0"/>
    <cellStyle name="Normal 61 2 3 7 2 2 5" xfId="0"/>
    <cellStyle name="Normal 61 2 3 7 2 3" xfId="0"/>
    <cellStyle name="Normal 61 2 3 7 2 3 2" xfId="0"/>
    <cellStyle name="Normal 61 2 3 7 2 3 2 2" xfId="0"/>
    <cellStyle name="Normal 61 2 3 7 2 3 3" xfId="0"/>
    <cellStyle name="Normal 61 2 3 7 2 4" xfId="0"/>
    <cellStyle name="Normal 61 2 3 7 2 4 2" xfId="0"/>
    <cellStyle name="Normal 61 2 3 7 2 4 2 2" xfId="0"/>
    <cellStyle name="Normal 61 2 3 7 2 4 3" xfId="0"/>
    <cellStyle name="Normal 61 2 3 7 2 5" xfId="0"/>
    <cellStyle name="Normal 61 2 3 7 2 5 2" xfId="0"/>
    <cellStyle name="Normal 61 2 3 7 2 6" xfId="0"/>
    <cellStyle name="Normal 61 2 3 7 3" xfId="0"/>
    <cellStyle name="Normal 61 2 3 7 3 2" xfId="0"/>
    <cellStyle name="Normal 61 2 3 7 3 2 2" xfId="0"/>
    <cellStyle name="Normal 61 2 3 7 3 2 2 2" xfId="0"/>
    <cellStyle name="Normal 61 2 3 7 3 2 3" xfId="0"/>
    <cellStyle name="Normal 61 2 3 7 3 3" xfId="0"/>
    <cellStyle name="Normal 61 2 3 7 3 3 2" xfId="0"/>
    <cellStyle name="Normal 61 2 3 7 3 3 2 2" xfId="0"/>
    <cellStyle name="Normal 61 2 3 7 3 3 3" xfId="0"/>
    <cellStyle name="Normal 61 2 3 7 3 4" xfId="0"/>
    <cellStyle name="Normal 61 2 3 7 3 4 2" xfId="0"/>
    <cellStyle name="Normal 61 2 3 7 3 5" xfId="0"/>
    <cellStyle name="Normal 61 2 3 7 4" xfId="0"/>
    <cellStyle name="Normal 61 2 3 7 4 2" xfId="0"/>
    <cellStyle name="Normal 61 2 3 7 4 2 2" xfId="0"/>
    <cellStyle name="Normal 61 2 3 7 4 3" xfId="0"/>
    <cellStyle name="Normal 61 2 3 7 5" xfId="0"/>
    <cellStyle name="Normal 61 2 3 7 5 2" xfId="0"/>
    <cellStyle name="Normal 61 2 3 7 5 2 2" xfId="0"/>
    <cellStyle name="Normal 61 2 3 7 5 3" xfId="0"/>
    <cellStyle name="Normal 61 2 3 7 6" xfId="0"/>
    <cellStyle name="Normal 61 2 3 7 6 2" xfId="0"/>
    <cellStyle name="Normal 61 2 3 7 7" xfId="0"/>
    <cellStyle name="Normal 61 2 3 8" xfId="0"/>
    <cellStyle name="Normal 61 2 3 8 2" xfId="0"/>
    <cellStyle name="Normal 61 2 3 8 2 2" xfId="0"/>
    <cellStyle name="Normal 61 2 3 8 2 2 2" xfId="0"/>
    <cellStyle name="Normal 61 2 3 8 2 2 2 2" xfId="0"/>
    <cellStyle name="Normal 61 2 3 8 2 2 3" xfId="0"/>
    <cellStyle name="Normal 61 2 3 8 2 3" xfId="0"/>
    <cellStyle name="Normal 61 2 3 8 2 3 2" xfId="0"/>
    <cellStyle name="Normal 61 2 3 8 2 3 2 2" xfId="0"/>
    <cellStyle name="Normal 61 2 3 8 2 3 3" xfId="0"/>
    <cellStyle name="Normal 61 2 3 8 2 4" xfId="0"/>
    <cellStyle name="Normal 61 2 3 8 2 4 2" xfId="0"/>
    <cellStyle name="Normal 61 2 3 8 2 5" xfId="0"/>
    <cellStyle name="Normal 61 2 3 8 3" xfId="0"/>
    <cellStyle name="Normal 61 2 3 8 3 2" xfId="0"/>
    <cellStyle name="Normal 61 2 3 8 3 2 2" xfId="0"/>
    <cellStyle name="Normal 61 2 3 8 3 3" xfId="0"/>
    <cellStyle name="Normal 61 2 3 8 4" xfId="0"/>
    <cellStyle name="Normal 61 2 3 8 4 2" xfId="0"/>
    <cellStyle name="Normal 61 2 3 8 4 2 2" xfId="0"/>
    <cellStyle name="Normal 61 2 3 8 4 3" xfId="0"/>
    <cellStyle name="Normal 61 2 3 8 5" xfId="0"/>
    <cellStyle name="Normal 61 2 3 8 5 2" xfId="0"/>
    <cellStyle name="Normal 61 2 3 8 6" xfId="0"/>
    <cellStyle name="Normal 61 2 3 9" xfId="0"/>
    <cellStyle name="Normal 61 2 3 9 2" xfId="0"/>
    <cellStyle name="Normal 61 2 3 9 2 2" xfId="0"/>
    <cellStyle name="Normal 61 2 3 9 2 2 2" xfId="0"/>
    <cellStyle name="Normal 61 2 3 9 2 3" xfId="0"/>
    <cellStyle name="Normal 61 2 3 9 3" xfId="0"/>
    <cellStyle name="Normal 61 2 3 9 3 2" xfId="0"/>
    <cellStyle name="Normal 61 2 3 9 3 2 2" xfId="0"/>
    <cellStyle name="Normal 61 2 3 9 3 3" xfId="0"/>
    <cellStyle name="Normal 61 2 3 9 4" xfId="0"/>
    <cellStyle name="Normal 61 2 3 9 4 2" xfId="0"/>
    <cellStyle name="Normal 61 2 3 9 5" xfId="0"/>
    <cellStyle name="Normal 61 2 4" xfId="0"/>
    <cellStyle name="Normal 61 2 4 10" xfId="0"/>
    <cellStyle name="Normal 61 2 4 10 2" xfId="0"/>
    <cellStyle name="Normal 61 2 4 10 2 2" xfId="0"/>
    <cellStyle name="Normal 61 2 4 10 3" xfId="0"/>
    <cellStyle name="Normal 61 2 4 11" xfId="0"/>
    <cellStyle name="Normal 61 2 4 11 2" xfId="0"/>
    <cellStyle name="Normal 61 2 4 11 2 2" xfId="0"/>
    <cellStyle name="Normal 61 2 4 11 3" xfId="0"/>
    <cellStyle name="Normal 61 2 4 12" xfId="0"/>
    <cellStyle name="Normal 61 2 4 12 2" xfId="0"/>
    <cellStyle name="Normal 61 2 4 13" xfId="0"/>
    <cellStyle name="Normal 61 2 4 2" xfId="0"/>
    <cellStyle name="Normal 61 2 4 2 10" xfId="0"/>
    <cellStyle name="Normal 61 2 4 2 10 2" xfId="0"/>
    <cellStyle name="Normal 61 2 4 2 10 2 2" xfId="0"/>
    <cellStyle name="Normal 61 2 4 2 10 3" xfId="0"/>
    <cellStyle name="Normal 61 2 4 2 11" xfId="0"/>
    <cellStyle name="Normal 61 2 4 2 11 2" xfId="0"/>
    <cellStyle name="Normal 61 2 4 2 12" xfId="0"/>
    <cellStyle name="Normal 61 2 4 2 2" xfId="0"/>
    <cellStyle name="Normal 61 2 4 2 2 10" xfId="0"/>
    <cellStyle name="Normal 61 2 4 2 2 2" xfId="0"/>
    <cellStyle name="Normal 61 2 4 2 2 2 2" xfId="0"/>
    <cellStyle name="Normal 61 2 4 2 2 2 2 2" xfId="0"/>
    <cellStyle name="Normal 61 2 4 2 2 2 2 2 2" xfId="0"/>
    <cellStyle name="Normal 61 2 4 2 2 2 2 2 2 2" xfId="0"/>
    <cellStyle name="Normal 61 2 4 2 2 2 2 2 2 2 2" xfId="0"/>
    <cellStyle name="Normal 61 2 4 2 2 2 2 2 2 2 2 2" xfId="0"/>
    <cellStyle name="Normal 61 2 4 2 2 2 2 2 2 2 2 2 2" xfId="0"/>
    <cellStyle name="Normal 61 2 4 2 2 2 2 2 2 2 2 3" xfId="0"/>
    <cellStyle name="Normal 61 2 4 2 2 2 2 2 2 2 3" xfId="0"/>
    <cellStyle name="Normal 61 2 4 2 2 2 2 2 2 2 3 2" xfId="0"/>
    <cellStyle name="Normal 61 2 4 2 2 2 2 2 2 2 3 2 2" xfId="0"/>
    <cellStyle name="Normal 61 2 4 2 2 2 2 2 2 2 3 3" xfId="0"/>
    <cellStyle name="Normal 61 2 4 2 2 2 2 2 2 2 4" xfId="0"/>
    <cellStyle name="Normal 61 2 4 2 2 2 2 2 2 2 4 2" xfId="0"/>
    <cellStyle name="Normal 61 2 4 2 2 2 2 2 2 2 5" xfId="0"/>
    <cellStyle name="Normal 61 2 4 2 2 2 2 2 2 3" xfId="0"/>
    <cellStyle name="Normal 61 2 4 2 2 2 2 2 2 3 2" xfId="0"/>
    <cellStyle name="Normal 61 2 4 2 2 2 2 2 2 3 2 2" xfId="0"/>
    <cellStyle name="Normal 61 2 4 2 2 2 2 2 2 3 3" xfId="0"/>
    <cellStyle name="Normal 61 2 4 2 2 2 2 2 2 4" xfId="0"/>
    <cellStyle name="Normal 61 2 4 2 2 2 2 2 2 4 2" xfId="0"/>
    <cellStyle name="Normal 61 2 4 2 2 2 2 2 2 4 2 2" xfId="0"/>
    <cellStyle name="Normal 61 2 4 2 2 2 2 2 2 4 3" xfId="0"/>
    <cellStyle name="Normal 61 2 4 2 2 2 2 2 2 5" xfId="0"/>
    <cellStyle name="Normal 61 2 4 2 2 2 2 2 2 5 2" xfId="0"/>
    <cellStyle name="Normal 61 2 4 2 2 2 2 2 2 6" xfId="0"/>
    <cellStyle name="Normal 61 2 4 2 2 2 2 2 3" xfId="0"/>
    <cellStyle name="Normal 61 2 4 2 2 2 2 2 3 2" xfId="0"/>
    <cellStyle name="Normal 61 2 4 2 2 2 2 2 3 2 2" xfId="0"/>
    <cellStyle name="Normal 61 2 4 2 2 2 2 2 3 2 2 2" xfId="0"/>
    <cellStyle name="Normal 61 2 4 2 2 2 2 2 3 2 3" xfId="0"/>
    <cellStyle name="Normal 61 2 4 2 2 2 2 2 3 3" xfId="0"/>
    <cellStyle name="Normal 61 2 4 2 2 2 2 2 3 3 2" xfId="0"/>
    <cellStyle name="Normal 61 2 4 2 2 2 2 2 3 3 2 2" xfId="0"/>
    <cellStyle name="Normal 61 2 4 2 2 2 2 2 3 3 3" xfId="0"/>
    <cellStyle name="Normal 61 2 4 2 2 2 2 2 3 4" xfId="0"/>
    <cellStyle name="Normal 61 2 4 2 2 2 2 2 3 4 2" xfId="0"/>
    <cellStyle name="Normal 61 2 4 2 2 2 2 2 3 5" xfId="0"/>
    <cellStyle name="Normal 61 2 4 2 2 2 2 2 4" xfId="0"/>
    <cellStyle name="Normal 61 2 4 2 2 2 2 2 4 2" xfId="0"/>
    <cellStyle name="Normal 61 2 4 2 2 2 2 2 4 2 2" xfId="0"/>
    <cellStyle name="Normal 61 2 4 2 2 2 2 2 4 3" xfId="0"/>
    <cellStyle name="Normal 61 2 4 2 2 2 2 2 5" xfId="0"/>
    <cellStyle name="Normal 61 2 4 2 2 2 2 2 5 2" xfId="0"/>
    <cellStyle name="Normal 61 2 4 2 2 2 2 2 5 2 2" xfId="0"/>
    <cellStyle name="Normal 61 2 4 2 2 2 2 2 5 3" xfId="0"/>
    <cellStyle name="Normal 61 2 4 2 2 2 2 2 6" xfId="0"/>
    <cellStyle name="Normal 61 2 4 2 2 2 2 2 6 2" xfId="0"/>
    <cellStyle name="Normal 61 2 4 2 2 2 2 2 7" xfId="0"/>
    <cellStyle name="Normal 61 2 4 2 2 2 2 3" xfId="0"/>
    <cellStyle name="Normal 61 2 4 2 2 2 2 3 2" xfId="0"/>
    <cellStyle name="Normal 61 2 4 2 2 2 2 3 2 2" xfId="0"/>
    <cellStyle name="Normal 61 2 4 2 2 2 2 3 2 2 2" xfId="0"/>
    <cellStyle name="Normal 61 2 4 2 2 2 2 3 2 2 2 2" xfId="0"/>
    <cellStyle name="Normal 61 2 4 2 2 2 2 3 2 2 3" xfId="0"/>
    <cellStyle name="Normal 61 2 4 2 2 2 2 3 2 3" xfId="0"/>
    <cellStyle name="Normal 61 2 4 2 2 2 2 3 2 3 2" xfId="0"/>
    <cellStyle name="Normal 61 2 4 2 2 2 2 3 2 3 2 2" xfId="0"/>
    <cellStyle name="Normal 61 2 4 2 2 2 2 3 2 3 3" xfId="0"/>
    <cellStyle name="Normal 61 2 4 2 2 2 2 3 2 4" xfId="0"/>
    <cellStyle name="Normal 61 2 4 2 2 2 2 3 2 4 2" xfId="0"/>
    <cellStyle name="Normal 61 2 4 2 2 2 2 3 2 5" xfId="0"/>
    <cellStyle name="Normal 61 2 4 2 2 2 2 3 3" xfId="0"/>
    <cellStyle name="Normal 61 2 4 2 2 2 2 3 3 2" xfId="0"/>
    <cellStyle name="Normal 61 2 4 2 2 2 2 3 3 2 2" xfId="0"/>
    <cellStyle name="Normal 61 2 4 2 2 2 2 3 3 3" xfId="0"/>
    <cellStyle name="Normal 61 2 4 2 2 2 2 3 4" xfId="0"/>
    <cellStyle name="Normal 61 2 4 2 2 2 2 3 4 2" xfId="0"/>
    <cellStyle name="Normal 61 2 4 2 2 2 2 3 4 2 2" xfId="0"/>
    <cellStyle name="Normal 61 2 4 2 2 2 2 3 4 3" xfId="0"/>
    <cellStyle name="Normal 61 2 4 2 2 2 2 3 5" xfId="0"/>
    <cellStyle name="Normal 61 2 4 2 2 2 2 3 5 2" xfId="0"/>
    <cellStyle name="Normal 61 2 4 2 2 2 2 3 6" xfId="0"/>
    <cellStyle name="Normal 61 2 4 2 2 2 2 4" xfId="0"/>
    <cellStyle name="Normal 61 2 4 2 2 2 2 4 2" xfId="0"/>
    <cellStyle name="Normal 61 2 4 2 2 2 2 4 2 2" xfId="0"/>
    <cellStyle name="Normal 61 2 4 2 2 2 2 4 2 2 2" xfId="0"/>
    <cellStyle name="Normal 61 2 4 2 2 2 2 4 2 3" xfId="0"/>
    <cellStyle name="Normal 61 2 4 2 2 2 2 4 3" xfId="0"/>
    <cellStyle name="Normal 61 2 4 2 2 2 2 4 3 2" xfId="0"/>
    <cellStyle name="Normal 61 2 4 2 2 2 2 4 3 2 2" xfId="0"/>
    <cellStyle name="Normal 61 2 4 2 2 2 2 4 3 3" xfId="0"/>
    <cellStyle name="Normal 61 2 4 2 2 2 2 4 4" xfId="0"/>
    <cellStyle name="Normal 61 2 4 2 2 2 2 4 4 2" xfId="0"/>
    <cellStyle name="Normal 61 2 4 2 2 2 2 4 5" xfId="0"/>
    <cellStyle name="Normal 61 2 4 2 2 2 2 5" xfId="0"/>
    <cellStyle name="Normal 61 2 4 2 2 2 2 5 2" xfId="0"/>
    <cellStyle name="Normal 61 2 4 2 2 2 2 5 2 2" xfId="0"/>
    <cellStyle name="Normal 61 2 4 2 2 2 2 5 3" xfId="0"/>
    <cellStyle name="Normal 61 2 4 2 2 2 2 6" xfId="0"/>
    <cellStyle name="Normal 61 2 4 2 2 2 2 6 2" xfId="0"/>
    <cellStyle name="Normal 61 2 4 2 2 2 2 6 2 2" xfId="0"/>
    <cellStyle name="Normal 61 2 4 2 2 2 2 6 3" xfId="0"/>
    <cellStyle name="Normal 61 2 4 2 2 2 2 7" xfId="0"/>
    <cellStyle name="Normal 61 2 4 2 2 2 2 7 2" xfId="0"/>
    <cellStyle name="Normal 61 2 4 2 2 2 2 8" xfId="0"/>
    <cellStyle name="Normal 61 2 4 2 2 2 3" xfId="0"/>
    <cellStyle name="Normal 61 2 4 2 2 2 3 2" xfId="0"/>
    <cellStyle name="Normal 61 2 4 2 2 2 3 2 2" xfId="0"/>
    <cellStyle name="Normal 61 2 4 2 2 2 3 2 2 2" xfId="0"/>
    <cellStyle name="Normal 61 2 4 2 2 2 3 2 2 2 2" xfId="0"/>
    <cellStyle name="Normal 61 2 4 2 2 2 3 2 2 2 2 2" xfId="0"/>
    <cellStyle name="Normal 61 2 4 2 2 2 3 2 2 2 3" xfId="0"/>
    <cellStyle name="Normal 61 2 4 2 2 2 3 2 2 3" xfId="0"/>
    <cellStyle name="Normal 61 2 4 2 2 2 3 2 2 3 2" xfId="0"/>
    <cellStyle name="Normal 61 2 4 2 2 2 3 2 2 3 2 2" xfId="0"/>
    <cellStyle name="Normal 61 2 4 2 2 2 3 2 2 3 3" xfId="0"/>
    <cellStyle name="Normal 61 2 4 2 2 2 3 2 2 4" xfId="0"/>
    <cellStyle name="Normal 61 2 4 2 2 2 3 2 2 4 2" xfId="0"/>
    <cellStyle name="Normal 61 2 4 2 2 2 3 2 2 5" xfId="0"/>
    <cellStyle name="Normal 61 2 4 2 2 2 3 2 3" xfId="0"/>
    <cellStyle name="Normal 61 2 4 2 2 2 3 2 3 2" xfId="0"/>
    <cellStyle name="Normal 61 2 4 2 2 2 3 2 3 2 2" xfId="0"/>
    <cellStyle name="Normal 61 2 4 2 2 2 3 2 3 3" xfId="0"/>
    <cellStyle name="Normal 61 2 4 2 2 2 3 2 4" xfId="0"/>
    <cellStyle name="Normal 61 2 4 2 2 2 3 2 4 2" xfId="0"/>
    <cellStyle name="Normal 61 2 4 2 2 2 3 2 4 2 2" xfId="0"/>
    <cellStyle name="Normal 61 2 4 2 2 2 3 2 4 3" xfId="0"/>
    <cellStyle name="Normal 61 2 4 2 2 2 3 2 5" xfId="0"/>
    <cellStyle name="Normal 61 2 4 2 2 2 3 2 5 2" xfId="0"/>
    <cellStyle name="Normal 61 2 4 2 2 2 3 2 6" xfId="0"/>
    <cellStyle name="Normal 61 2 4 2 2 2 3 3" xfId="0"/>
    <cellStyle name="Normal 61 2 4 2 2 2 3 3 2" xfId="0"/>
    <cellStyle name="Normal 61 2 4 2 2 2 3 3 2 2" xfId="0"/>
    <cellStyle name="Normal 61 2 4 2 2 2 3 3 2 2 2" xfId="0"/>
    <cellStyle name="Normal 61 2 4 2 2 2 3 3 2 3" xfId="0"/>
    <cellStyle name="Normal 61 2 4 2 2 2 3 3 3" xfId="0"/>
    <cellStyle name="Normal 61 2 4 2 2 2 3 3 3 2" xfId="0"/>
    <cellStyle name="Normal 61 2 4 2 2 2 3 3 3 2 2" xfId="0"/>
    <cellStyle name="Normal 61 2 4 2 2 2 3 3 3 3" xfId="0"/>
    <cellStyle name="Normal 61 2 4 2 2 2 3 3 4" xfId="0"/>
    <cellStyle name="Normal 61 2 4 2 2 2 3 3 4 2" xfId="0"/>
    <cellStyle name="Normal 61 2 4 2 2 2 3 3 5" xfId="0"/>
    <cellStyle name="Normal 61 2 4 2 2 2 3 4" xfId="0"/>
    <cellStyle name="Normal 61 2 4 2 2 2 3 4 2" xfId="0"/>
    <cellStyle name="Normal 61 2 4 2 2 2 3 4 2 2" xfId="0"/>
    <cellStyle name="Normal 61 2 4 2 2 2 3 4 3" xfId="0"/>
    <cellStyle name="Normal 61 2 4 2 2 2 3 5" xfId="0"/>
    <cellStyle name="Normal 61 2 4 2 2 2 3 5 2" xfId="0"/>
    <cellStyle name="Normal 61 2 4 2 2 2 3 5 2 2" xfId="0"/>
    <cellStyle name="Normal 61 2 4 2 2 2 3 5 3" xfId="0"/>
    <cellStyle name="Normal 61 2 4 2 2 2 3 6" xfId="0"/>
    <cellStyle name="Normal 61 2 4 2 2 2 3 6 2" xfId="0"/>
    <cellStyle name="Normal 61 2 4 2 2 2 3 7" xfId="0"/>
    <cellStyle name="Normal 61 2 4 2 2 2 4" xfId="0"/>
    <cellStyle name="Normal 61 2 4 2 2 2 4 2" xfId="0"/>
    <cellStyle name="Normal 61 2 4 2 2 2 4 2 2" xfId="0"/>
    <cellStyle name="Normal 61 2 4 2 2 2 4 2 2 2" xfId="0"/>
    <cellStyle name="Normal 61 2 4 2 2 2 4 2 2 2 2" xfId="0"/>
    <cellStyle name="Normal 61 2 4 2 2 2 4 2 2 3" xfId="0"/>
    <cellStyle name="Normal 61 2 4 2 2 2 4 2 3" xfId="0"/>
    <cellStyle name="Normal 61 2 4 2 2 2 4 2 3 2" xfId="0"/>
    <cellStyle name="Normal 61 2 4 2 2 2 4 2 3 2 2" xfId="0"/>
    <cellStyle name="Normal 61 2 4 2 2 2 4 2 3 3" xfId="0"/>
    <cellStyle name="Normal 61 2 4 2 2 2 4 2 4" xfId="0"/>
    <cellStyle name="Normal 61 2 4 2 2 2 4 2 4 2" xfId="0"/>
    <cellStyle name="Normal 61 2 4 2 2 2 4 2 5" xfId="0"/>
    <cellStyle name="Normal 61 2 4 2 2 2 4 3" xfId="0"/>
    <cellStyle name="Normal 61 2 4 2 2 2 4 3 2" xfId="0"/>
    <cellStyle name="Normal 61 2 4 2 2 2 4 3 2 2" xfId="0"/>
    <cellStyle name="Normal 61 2 4 2 2 2 4 3 3" xfId="0"/>
    <cellStyle name="Normal 61 2 4 2 2 2 4 4" xfId="0"/>
    <cellStyle name="Normal 61 2 4 2 2 2 4 4 2" xfId="0"/>
    <cellStyle name="Normal 61 2 4 2 2 2 4 4 2 2" xfId="0"/>
    <cellStyle name="Normal 61 2 4 2 2 2 4 4 3" xfId="0"/>
    <cellStyle name="Normal 61 2 4 2 2 2 4 5" xfId="0"/>
    <cellStyle name="Normal 61 2 4 2 2 2 4 5 2" xfId="0"/>
    <cellStyle name="Normal 61 2 4 2 2 2 4 6" xfId="0"/>
    <cellStyle name="Normal 61 2 4 2 2 2 5" xfId="0"/>
    <cellStyle name="Normal 61 2 4 2 2 2 5 2" xfId="0"/>
    <cellStyle name="Normal 61 2 4 2 2 2 5 2 2" xfId="0"/>
    <cellStyle name="Normal 61 2 4 2 2 2 5 2 2 2" xfId="0"/>
    <cellStyle name="Normal 61 2 4 2 2 2 5 2 3" xfId="0"/>
    <cellStyle name="Normal 61 2 4 2 2 2 5 3" xfId="0"/>
    <cellStyle name="Normal 61 2 4 2 2 2 5 3 2" xfId="0"/>
    <cellStyle name="Normal 61 2 4 2 2 2 5 3 2 2" xfId="0"/>
    <cellStyle name="Normal 61 2 4 2 2 2 5 3 3" xfId="0"/>
    <cellStyle name="Normal 61 2 4 2 2 2 5 4" xfId="0"/>
    <cellStyle name="Normal 61 2 4 2 2 2 5 4 2" xfId="0"/>
    <cellStyle name="Normal 61 2 4 2 2 2 5 5" xfId="0"/>
    <cellStyle name="Normal 61 2 4 2 2 2 6" xfId="0"/>
    <cellStyle name="Normal 61 2 4 2 2 2 6 2" xfId="0"/>
    <cellStyle name="Normal 61 2 4 2 2 2 6 2 2" xfId="0"/>
    <cellStyle name="Normal 61 2 4 2 2 2 6 3" xfId="0"/>
    <cellStyle name="Normal 61 2 4 2 2 2 7" xfId="0"/>
    <cellStyle name="Normal 61 2 4 2 2 2 7 2" xfId="0"/>
    <cellStyle name="Normal 61 2 4 2 2 2 7 2 2" xfId="0"/>
    <cellStyle name="Normal 61 2 4 2 2 2 7 3" xfId="0"/>
    <cellStyle name="Normal 61 2 4 2 2 2 8" xfId="0"/>
    <cellStyle name="Normal 61 2 4 2 2 2 8 2" xfId="0"/>
    <cellStyle name="Normal 61 2 4 2 2 2 9" xfId="0"/>
    <cellStyle name="Normal 61 2 4 2 2 3" xfId="0"/>
    <cellStyle name="Normal 61 2 4 2 2 3 2" xfId="0"/>
    <cellStyle name="Normal 61 2 4 2 2 3 2 2" xfId="0"/>
    <cellStyle name="Normal 61 2 4 2 2 3 2 2 2" xfId="0"/>
    <cellStyle name="Normal 61 2 4 2 2 3 2 2 2 2" xfId="0"/>
    <cellStyle name="Normal 61 2 4 2 2 3 2 2 2 2 2" xfId="0"/>
    <cellStyle name="Normal 61 2 4 2 2 3 2 2 2 2 2 2" xfId="0"/>
    <cellStyle name="Normal 61 2 4 2 2 3 2 2 2 2 3" xfId="0"/>
    <cellStyle name="Normal 61 2 4 2 2 3 2 2 2 3" xfId="0"/>
    <cellStyle name="Normal 61 2 4 2 2 3 2 2 2 3 2" xfId="0"/>
    <cellStyle name="Normal 61 2 4 2 2 3 2 2 2 3 2 2" xfId="0"/>
    <cellStyle name="Normal 61 2 4 2 2 3 2 2 2 3 3" xfId="0"/>
    <cellStyle name="Normal 61 2 4 2 2 3 2 2 2 4" xfId="0"/>
    <cellStyle name="Normal 61 2 4 2 2 3 2 2 2 4 2" xfId="0"/>
    <cellStyle name="Normal 61 2 4 2 2 3 2 2 2 5" xfId="0"/>
    <cellStyle name="Normal 61 2 4 2 2 3 2 2 3" xfId="0"/>
    <cellStyle name="Normal 61 2 4 2 2 3 2 2 3 2" xfId="0"/>
    <cellStyle name="Normal 61 2 4 2 2 3 2 2 3 2 2" xfId="0"/>
    <cellStyle name="Normal 61 2 4 2 2 3 2 2 3 3" xfId="0"/>
    <cellStyle name="Normal 61 2 4 2 2 3 2 2 4" xfId="0"/>
    <cellStyle name="Normal 61 2 4 2 2 3 2 2 4 2" xfId="0"/>
    <cellStyle name="Normal 61 2 4 2 2 3 2 2 4 2 2" xfId="0"/>
    <cellStyle name="Normal 61 2 4 2 2 3 2 2 4 3" xfId="0"/>
    <cellStyle name="Normal 61 2 4 2 2 3 2 2 5" xfId="0"/>
    <cellStyle name="Normal 61 2 4 2 2 3 2 2 5 2" xfId="0"/>
    <cellStyle name="Normal 61 2 4 2 2 3 2 2 6" xfId="0"/>
    <cellStyle name="Normal 61 2 4 2 2 3 2 3" xfId="0"/>
    <cellStyle name="Normal 61 2 4 2 2 3 2 3 2" xfId="0"/>
    <cellStyle name="Normal 61 2 4 2 2 3 2 3 2 2" xfId="0"/>
    <cellStyle name="Normal 61 2 4 2 2 3 2 3 2 2 2" xfId="0"/>
    <cellStyle name="Normal 61 2 4 2 2 3 2 3 2 3" xfId="0"/>
    <cellStyle name="Normal 61 2 4 2 2 3 2 3 3" xfId="0"/>
    <cellStyle name="Normal 61 2 4 2 2 3 2 3 3 2" xfId="0"/>
    <cellStyle name="Normal 61 2 4 2 2 3 2 3 3 2 2" xfId="0"/>
    <cellStyle name="Normal 61 2 4 2 2 3 2 3 3 3" xfId="0"/>
    <cellStyle name="Normal 61 2 4 2 2 3 2 3 4" xfId="0"/>
    <cellStyle name="Normal 61 2 4 2 2 3 2 3 4 2" xfId="0"/>
    <cellStyle name="Normal 61 2 4 2 2 3 2 3 5" xfId="0"/>
    <cellStyle name="Normal 61 2 4 2 2 3 2 4" xfId="0"/>
    <cellStyle name="Normal 61 2 4 2 2 3 2 4 2" xfId="0"/>
    <cellStyle name="Normal 61 2 4 2 2 3 2 4 2 2" xfId="0"/>
    <cellStyle name="Normal 61 2 4 2 2 3 2 4 3" xfId="0"/>
    <cellStyle name="Normal 61 2 4 2 2 3 2 5" xfId="0"/>
    <cellStyle name="Normal 61 2 4 2 2 3 2 5 2" xfId="0"/>
    <cellStyle name="Normal 61 2 4 2 2 3 2 5 2 2" xfId="0"/>
    <cellStyle name="Normal 61 2 4 2 2 3 2 5 3" xfId="0"/>
    <cellStyle name="Normal 61 2 4 2 2 3 2 6" xfId="0"/>
    <cellStyle name="Normal 61 2 4 2 2 3 2 6 2" xfId="0"/>
    <cellStyle name="Normal 61 2 4 2 2 3 2 7" xfId="0"/>
    <cellStyle name="Normal 61 2 4 2 2 3 3" xfId="0"/>
    <cellStyle name="Normal 61 2 4 2 2 3 3 2" xfId="0"/>
    <cellStyle name="Normal 61 2 4 2 2 3 3 2 2" xfId="0"/>
    <cellStyle name="Normal 61 2 4 2 2 3 3 2 2 2" xfId="0"/>
    <cellStyle name="Normal 61 2 4 2 2 3 3 2 2 2 2" xfId="0"/>
    <cellStyle name="Normal 61 2 4 2 2 3 3 2 2 3" xfId="0"/>
    <cellStyle name="Normal 61 2 4 2 2 3 3 2 3" xfId="0"/>
    <cellStyle name="Normal 61 2 4 2 2 3 3 2 3 2" xfId="0"/>
    <cellStyle name="Normal 61 2 4 2 2 3 3 2 3 2 2" xfId="0"/>
    <cellStyle name="Normal 61 2 4 2 2 3 3 2 3 3" xfId="0"/>
    <cellStyle name="Normal 61 2 4 2 2 3 3 2 4" xfId="0"/>
    <cellStyle name="Normal 61 2 4 2 2 3 3 2 4 2" xfId="0"/>
    <cellStyle name="Normal 61 2 4 2 2 3 3 2 5" xfId="0"/>
    <cellStyle name="Normal 61 2 4 2 2 3 3 3" xfId="0"/>
    <cellStyle name="Normal 61 2 4 2 2 3 3 3 2" xfId="0"/>
    <cellStyle name="Normal 61 2 4 2 2 3 3 3 2 2" xfId="0"/>
    <cellStyle name="Normal 61 2 4 2 2 3 3 3 3" xfId="0"/>
    <cellStyle name="Normal 61 2 4 2 2 3 3 4" xfId="0"/>
    <cellStyle name="Normal 61 2 4 2 2 3 3 4 2" xfId="0"/>
    <cellStyle name="Normal 61 2 4 2 2 3 3 4 2 2" xfId="0"/>
    <cellStyle name="Normal 61 2 4 2 2 3 3 4 3" xfId="0"/>
    <cellStyle name="Normal 61 2 4 2 2 3 3 5" xfId="0"/>
    <cellStyle name="Normal 61 2 4 2 2 3 3 5 2" xfId="0"/>
    <cellStyle name="Normal 61 2 4 2 2 3 3 6" xfId="0"/>
    <cellStyle name="Normal 61 2 4 2 2 3 4" xfId="0"/>
    <cellStyle name="Normal 61 2 4 2 2 3 4 2" xfId="0"/>
    <cellStyle name="Normal 61 2 4 2 2 3 4 2 2" xfId="0"/>
    <cellStyle name="Normal 61 2 4 2 2 3 4 2 2 2" xfId="0"/>
    <cellStyle name="Normal 61 2 4 2 2 3 4 2 3" xfId="0"/>
    <cellStyle name="Normal 61 2 4 2 2 3 4 3" xfId="0"/>
    <cellStyle name="Normal 61 2 4 2 2 3 4 3 2" xfId="0"/>
    <cellStyle name="Normal 61 2 4 2 2 3 4 3 2 2" xfId="0"/>
    <cellStyle name="Normal 61 2 4 2 2 3 4 3 3" xfId="0"/>
    <cellStyle name="Normal 61 2 4 2 2 3 4 4" xfId="0"/>
    <cellStyle name="Normal 61 2 4 2 2 3 4 4 2" xfId="0"/>
    <cellStyle name="Normal 61 2 4 2 2 3 4 5" xfId="0"/>
    <cellStyle name="Normal 61 2 4 2 2 3 5" xfId="0"/>
    <cellStyle name="Normal 61 2 4 2 2 3 5 2" xfId="0"/>
    <cellStyle name="Normal 61 2 4 2 2 3 5 2 2" xfId="0"/>
    <cellStyle name="Normal 61 2 4 2 2 3 5 3" xfId="0"/>
    <cellStyle name="Normal 61 2 4 2 2 3 6" xfId="0"/>
    <cellStyle name="Normal 61 2 4 2 2 3 6 2" xfId="0"/>
    <cellStyle name="Normal 61 2 4 2 2 3 6 2 2" xfId="0"/>
    <cellStyle name="Normal 61 2 4 2 2 3 6 3" xfId="0"/>
    <cellStyle name="Normal 61 2 4 2 2 3 7" xfId="0"/>
    <cellStyle name="Normal 61 2 4 2 2 3 7 2" xfId="0"/>
    <cellStyle name="Normal 61 2 4 2 2 3 8" xfId="0"/>
    <cellStyle name="Normal 61 2 4 2 2 4" xfId="0"/>
    <cellStyle name="Normal 61 2 4 2 2 4 2" xfId="0"/>
    <cellStyle name="Normal 61 2 4 2 2 4 2 2" xfId="0"/>
    <cellStyle name="Normal 61 2 4 2 2 4 2 2 2" xfId="0"/>
    <cellStyle name="Normal 61 2 4 2 2 4 2 2 2 2" xfId="0"/>
    <cellStyle name="Normal 61 2 4 2 2 4 2 2 2 2 2" xfId="0"/>
    <cellStyle name="Normal 61 2 4 2 2 4 2 2 2 3" xfId="0"/>
    <cellStyle name="Normal 61 2 4 2 2 4 2 2 3" xfId="0"/>
    <cellStyle name="Normal 61 2 4 2 2 4 2 2 3 2" xfId="0"/>
    <cellStyle name="Normal 61 2 4 2 2 4 2 2 3 2 2" xfId="0"/>
    <cellStyle name="Normal 61 2 4 2 2 4 2 2 3 3" xfId="0"/>
    <cellStyle name="Normal 61 2 4 2 2 4 2 2 4" xfId="0"/>
    <cellStyle name="Normal 61 2 4 2 2 4 2 2 4 2" xfId="0"/>
    <cellStyle name="Normal 61 2 4 2 2 4 2 2 5" xfId="0"/>
    <cellStyle name="Normal 61 2 4 2 2 4 2 3" xfId="0"/>
    <cellStyle name="Normal 61 2 4 2 2 4 2 3 2" xfId="0"/>
    <cellStyle name="Normal 61 2 4 2 2 4 2 3 2 2" xfId="0"/>
    <cellStyle name="Normal 61 2 4 2 2 4 2 3 3" xfId="0"/>
    <cellStyle name="Normal 61 2 4 2 2 4 2 4" xfId="0"/>
    <cellStyle name="Normal 61 2 4 2 2 4 2 4 2" xfId="0"/>
    <cellStyle name="Normal 61 2 4 2 2 4 2 4 2 2" xfId="0"/>
    <cellStyle name="Normal 61 2 4 2 2 4 2 4 3" xfId="0"/>
    <cellStyle name="Normal 61 2 4 2 2 4 2 5" xfId="0"/>
    <cellStyle name="Normal 61 2 4 2 2 4 2 5 2" xfId="0"/>
    <cellStyle name="Normal 61 2 4 2 2 4 2 6" xfId="0"/>
    <cellStyle name="Normal 61 2 4 2 2 4 3" xfId="0"/>
    <cellStyle name="Normal 61 2 4 2 2 4 3 2" xfId="0"/>
    <cellStyle name="Normal 61 2 4 2 2 4 3 2 2" xfId="0"/>
    <cellStyle name="Normal 61 2 4 2 2 4 3 2 2 2" xfId="0"/>
    <cellStyle name="Normal 61 2 4 2 2 4 3 2 3" xfId="0"/>
    <cellStyle name="Normal 61 2 4 2 2 4 3 3" xfId="0"/>
    <cellStyle name="Normal 61 2 4 2 2 4 3 3 2" xfId="0"/>
    <cellStyle name="Normal 61 2 4 2 2 4 3 3 2 2" xfId="0"/>
    <cellStyle name="Normal 61 2 4 2 2 4 3 3 3" xfId="0"/>
    <cellStyle name="Normal 61 2 4 2 2 4 3 4" xfId="0"/>
    <cellStyle name="Normal 61 2 4 2 2 4 3 4 2" xfId="0"/>
    <cellStyle name="Normal 61 2 4 2 2 4 3 5" xfId="0"/>
    <cellStyle name="Normal 61 2 4 2 2 4 4" xfId="0"/>
    <cellStyle name="Normal 61 2 4 2 2 4 4 2" xfId="0"/>
    <cellStyle name="Normal 61 2 4 2 2 4 4 2 2" xfId="0"/>
    <cellStyle name="Normal 61 2 4 2 2 4 4 3" xfId="0"/>
    <cellStyle name="Normal 61 2 4 2 2 4 5" xfId="0"/>
    <cellStyle name="Normal 61 2 4 2 2 4 5 2" xfId="0"/>
    <cellStyle name="Normal 61 2 4 2 2 4 5 2 2" xfId="0"/>
    <cellStyle name="Normal 61 2 4 2 2 4 5 3" xfId="0"/>
    <cellStyle name="Normal 61 2 4 2 2 4 6" xfId="0"/>
    <cellStyle name="Normal 61 2 4 2 2 4 6 2" xfId="0"/>
    <cellStyle name="Normal 61 2 4 2 2 4 7" xfId="0"/>
    <cellStyle name="Normal 61 2 4 2 2 5" xfId="0"/>
    <cellStyle name="Normal 61 2 4 2 2 5 2" xfId="0"/>
    <cellStyle name="Normal 61 2 4 2 2 5 2 2" xfId="0"/>
    <cellStyle name="Normal 61 2 4 2 2 5 2 2 2" xfId="0"/>
    <cellStyle name="Normal 61 2 4 2 2 5 2 2 2 2" xfId="0"/>
    <cellStyle name="Normal 61 2 4 2 2 5 2 2 3" xfId="0"/>
    <cellStyle name="Normal 61 2 4 2 2 5 2 3" xfId="0"/>
    <cellStyle name="Normal 61 2 4 2 2 5 2 3 2" xfId="0"/>
    <cellStyle name="Normal 61 2 4 2 2 5 2 3 2 2" xfId="0"/>
    <cellStyle name="Normal 61 2 4 2 2 5 2 3 3" xfId="0"/>
    <cellStyle name="Normal 61 2 4 2 2 5 2 4" xfId="0"/>
    <cellStyle name="Normal 61 2 4 2 2 5 2 4 2" xfId="0"/>
    <cellStyle name="Normal 61 2 4 2 2 5 2 5" xfId="0"/>
    <cellStyle name="Normal 61 2 4 2 2 5 3" xfId="0"/>
    <cellStyle name="Normal 61 2 4 2 2 5 3 2" xfId="0"/>
    <cellStyle name="Normal 61 2 4 2 2 5 3 2 2" xfId="0"/>
    <cellStyle name="Normal 61 2 4 2 2 5 3 3" xfId="0"/>
    <cellStyle name="Normal 61 2 4 2 2 5 4" xfId="0"/>
    <cellStyle name="Normal 61 2 4 2 2 5 4 2" xfId="0"/>
    <cellStyle name="Normal 61 2 4 2 2 5 4 2 2" xfId="0"/>
    <cellStyle name="Normal 61 2 4 2 2 5 4 3" xfId="0"/>
    <cellStyle name="Normal 61 2 4 2 2 5 5" xfId="0"/>
    <cellStyle name="Normal 61 2 4 2 2 5 5 2" xfId="0"/>
    <cellStyle name="Normal 61 2 4 2 2 5 6" xfId="0"/>
    <cellStyle name="Normal 61 2 4 2 2 6" xfId="0"/>
    <cellStyle name="Normal 61 2 4 2 2 6 2" xfId="0"/>
    <cellStyle name="Normal 61 2 4 2 2 6 2 2" xfId="0"/>
    <cellStyle name="Normal 61 2 4 2 2 6 2 2 2" xfId="0"/>
    <cellStyle name="Normal 61 2 4 2 2 6 2 3" xfId="0"/>
    <cellStyle name="Normal 61 2 4 2 2 6 3" xfId="0"/>
    <cellStyle name="Normal 61 2 4 2 2 6 3 2" xfId="0"/>
    <cellStyle name="Normal 61 2 4 2 2 6 3 2 2" xfId="0"/>
    <cellStyle name="Normal 61 2 4 2 2 6 3 3" xfId="0"/>
    <cellStyle name="Normal 61 2 4 2 2 6 4" xfId="0"/>
    <cellStyle name="Normal 61 2 4 2 2 6 4 2" xfId="0"/>
    <cellStyle name="Normal 61 2 4 2 2 6 5" xfId="0"/>
    <cellStyle name="Normal 61 2 4 2 2 7" xfId="0"/>
    <cellStyle name="Normal 61 2 4 2 2 7 2" xfId="0"/>
    <cellStyle name="Normal 61 2 4 2 2 7 2 2" xfId="0"/>
    <cellStyle name="Normal 61 2 4 2 2 7 3" xfId="0"/>
    <cellStyle name="Normal 61 2 4 2 2 8" xfId="0"/>
    <cellStyle name="Normal 61 2 4 2 2 8 2" xfId="0"/>
    <cellStyle name="Normal 61 2 4 2 2 8 2 2" xfId="0"/>
    <cellStyle name="Normal 61 2 4 2 2 8 3" xfId="0"/>
    <cellStyle name="Normal 61 2 4 2 2 9" xfId="0"/>
    <cellStyle name="Normal 61 2 4 2 2 9 2" xfId="0"/>
    <cellStyle name="Normal 61 2 4 2 3" xfId="0"/>
    <cellStyle name="Normal 61 2 4 2 3 10" xfId="0"/>
    <cellStyle name="Normal 61 2 4 2 3 2" xfId="0"/>
    <cellStyle name="Normal 61 2 4 2 3 2 2" xfId="0"/>
    <cellStyle name="Normal 61 2 4 2 3 2 2 2" xfId="0"/>
    <cellStyle name="Normal 61 2 4 2 3 2 2 2 2" xfId="0"/>
    <cellStyle name="Normal 61 2 4 2 3 2 2 2 2 2" xfId="0"/>
    <cellStyle name="Normal 61 2 4 2 3 2 2 2 2 2 2" xfId="0"/>
    <cellStyle name="Normal 61 2 4 2 3 2 2 2 2 2 2 2" xfId="0"/>
    <cellStyle name="Normal 61 2 4 2 3 2 2 2 2 2 2 2 2" xfId="0"/>
    <cellStyle name="Normal 61 2 4 2 3 2 2 2 2 2 2 3" xfId="0"/>
    <cellStyle name="Normal 61 2 4 2 3 2 2 2 2 2 3" xfId="0"/>
    <cellStyle name="Normal 61 2 4 2 3 2 2 2 2 2 3 2" xfId="0"/>
    <cellStyle name="Normal 61 2 4 2 3 2 2 2 2 2 3 2 2" xfId="0"/>
    <cellStyle name="Normal 61 2 4 2 3 2 2 2 2 2 3 3" xfId="0"/>
    <cellStyle name="Normal 61 2 4 2 3 2 2 2 2 2 4" xfId="0"/>
    <cellStyle name="Normal 61 2 4 2 3 2 2 2 2 2 4 2" xfId="0"/>
    <cellStyle name="Normal 61 2 4 2 3 2 2 2 2 2 5" xfId="0"/>
    <cellStyle name="Normal 61 2 4 2 3 2 2 2 2 3" xfId="0"/>
    <cellStyle name="Normal 61 2 4 2 3 2 2 2 2 3 2" xfId="0"/>
    <cellStyle name="Normal 61 2 4 2 3 2 2 2 2 3 2 2" xfId="0"/>
    <cellStyle name="Normal 61 2 4 2 3 2 2 2 2 3 3" xfId="0"/>
    <cellStyle name="Normal 61 2 4 2 3 2 2 2 2 4" xfId="0"/>
    <cellStyle name="Normal 61 2 4 2 3 2 2 2 2 4 2" xfId="0"/>
    <cellStyle name="Normal 61 2 4 2 3 2 2 2 2 4 2 2" xfId="0"/>
    <cellStyle name="Normal 61 2 4 2 3 2 2 2 2 4 3" xfId="0"/>
    <cellStyle name="Normal 61 2 4 2 3 2 2 2 2 5" xfId="0"/>
    <cellStyle name="Normal 61 2 4 2 3 2 2 2 2 5 2" xfId="0"/>
    <cellStyle name="Normal 61 2 4 2 3 2 2 2 2 6" xfId="0"/>
    <cellStyle name="Normal 61 2 4 2 3 2 2 2 3" xfId="0"/>
    <cellStyle name="Normal 61 2 4 2 3 2 2 2 3 2" xfId="0"/>
    <cellStyle name="Normal 61 2 4 2 3 2 2 2 3 2 2" xfId="0"/>
    <cellStyle name="Normal 61 2 4 2 3 2 2 2 3 2 2 2" xfId="0"/>
    <cellStyle name="Normal 61 2 4 2 3 2 2 2 3 2 3" xfId="0"/>
    <cellStyle name="Normal 61 2 4 2 3 2 2 2 3 3" xfId="0"/>
    <cellStyle name="Normal 61 2 4 2 3 2 2 2 3 3 2" xfId="0"/>
    <cellStyle name="Normal 61 2 4 2 3 2 2 2 3 3 2 2" xfId="0"/>
    <cellStyle name="Normal 61 2 4 2 3 2 2 2 3 3 3" xfId="0"/>
    <cellStyle name="Normal 61 2 4 2 3 2 2 2 3 4" xfId="0"/>
    <cellStyle name="Normal 61 2 4 2 3 2 2 2 3 4 2" xfId="0"/>
    <cellStyle name="Normal 61 2 4 2 3 2 2 2 3 5" xfId="0"/>
    <cellStyle name="Normal 61 2 4 2 3 2 2 2 4" xfId="0"/>
    <cellStyle name="Normal 61 2 4 2 3 2 2 2 4 2" xfId="0"/>
    <cellStyle name="Normal 61 2 4 2 3 2 2 2 4 2 2" xfId="0"/>
    <cellStyle name="Normal 61 2 4 2 3 2 2 2 4 3" xfId="0"/>
    <cellStyle name="Normal 61 2 4 2 3 2 2 2 5" xfId="0"/>
    <cellStyle name="Normal 61 2 4 2 3 2 2 2 5 2" xfId="0"/>
    <cellStyle name="Normal 61 2 4 2 3 2 2 2 5 2 2" xfId="0"/>
    <cellStyle name="Normal 61 2 4 2 3 2 2 2 5 3" xfId="0"/>
    <cellStyle name="Normal 61 2 4 2 3 2 2 2 6" xfId="0"/>
    <cellStyle name="Normal 61 2 4 2 3 2 2 2 6 2" xfId="0"/>
    <cellStyle name="Normal 61 2 4 2 3 2 2 2 7" xfId="0"/>
    <cellStyle name="Normal 61 2 4 2 3 2 2 3" xfId="0"/>
    <cellStyle name="Normal 61 2 4 2 3 2 2 3 2" xfId="0"/>
    <cellStyle name="Normal 61 2 4 2 3 2 2 3 2 2" xfId="0"/>
    <cellStyle name="Normal 61 2 4 2 3 2 2 3 2 2 2" xfId="0"/>
    <cellStyle name="Normal 61 2 4 2 3 2 2 3 2 2 2 2" xfId="0"/>
    <cellStyle name="Normal 61 2 4 2 3 2 2 3 2 2 3" xfId="0"/>
    <cellStyle name="Normal 61 2 4 2 3 2 2 3 2 3" xfId="0"/>
    <cellStyle name="Normal 61 2 4 2 3 2 2 3 2 3 2" xfId="0"/>
    <cellStyle name="Normal 61 2 4 2 3 2 2 3 2 3 2 2" xfId="0"/>
    <cellStyle name="Normal 61 2 4 2 3 2 2 3 2 3 3" xfId="0"/>
    <cellStyle name="Normal 61 2 4 2 3 2 2 3 2 4" xfId="0"/>
    <cellStyle name="Normal 61 2 4 2 3 2 2 3 2 4 2" xfId="0"/>
    <cellStyle name="Normal 61 2 4 2 3 2 2 3 2 5" xfId="0"/>
    <cellStyle name="Normal 61 2 4 2 3 2 2 3 3" xfId="0"/>
    <cellStyle name="Normal 61 2 4 2 3 2 2 3 3 2" xfId="0"/>
    <cellStyle name="Normal 61 2 4 2 3 2 2 3 3 2 2" xfId="0"/>
    <cellStyle name="Normal 61 2 4 2 3 2 2 3 3 3" xfId="0"/>
    <cellStyle name="Normal 61 2 4 2 3 2 2 3 4" xfId="0"/>
    <cellStyle name="Normal 61 2 4 2 3 2 2 3 4 2" xfId="0"/>
    <cellStyle name="Normal 61 2 4 2 3 2 2 3 4 2 2" xfId="0"/>
    <cellStyle name="Normal 61 2 4 2 3 2 2 3 4 3" xfId="0"/>
    <cellStyle name="Normal 61 2 4 2 3 2 2 3 5" xfId="0"/>
    <cellStyle name="Normal 61 2 4 2 3 2 2 3 5 2" xfId="0"/>
    <cellStyle name="Normal 61 2 4 2 3 2 2 3 6" xfId="0"/>
    <cellStyle name="Normal 61 2 4 2 3 2 2 4" xfId="0"/>
    <cellStyle name="Normal 61 2 4 2 3 2 2 4 2" xfId="0"/>
    <cellStyle name="Normal 61 2 4 2 3 2 2 4 2 2" xfId="0"/>
    <cellStyle name="Normal 61 2 4 2 3 2 2 4 2 2 2" xfId="0"/>
    <cellStyle name="Normal 61 2 4 2 3 2 2 4 2 3" xfId="0"/>
    <cellStyle name="Normal 61 2 4 2 3 2 2 4 3" xfId="0"/>
    <cellStyle name="Normal 61 2 4 2 3 2 2 4 3 2" xfId="0"/>
    <cellStyle name="Normal 61 2 4 2 3 2 2 4 3 2 2" xfId="0"/>
    <cellStyle name="Normal 61 2 4 2 3 2 2 4 3 3" xfId="0"/>
    <cellStyle name="Normal 61 2 4 2 3 2 2 4 4" xfId="0"/>
    <cellStyle name="Normal 61 2 4 2 3 2 2 4 4 2" xfId="0"/>
    <cellStyle name="Normal 61 2 4 2 3 2 2 4 5" xfId="0"/>
    <cellStyle name="Normal 61 2 4 2 3 2 2 5" xfId="0"/>
    <cellStyle name="Normal 61 2 4 2 3 2 2 5 2" xfId="0"/>
    <cellStyle name="Normal 61 2 4 2 3 2 2 5 2 2" xfId="0"/>
    <cellStyle name="Normal 61 2 4 2 3 2 2 5 3" xfId="0"/>
    <cellStyle name="Normal 61 2 4 2 3 2 2 6" xfId="0"/>
    <cellStyle name="Normal 61 2 4 2 3 2 2 6 2" xfId="0"/>
    <cellStyle name="Normal 61 2 4 2 3 2 2 6 2 2" xfId="0"/>
    <cellStyle name="Normal 61 2 4 2 3 2 2 6 3" xfId="0"/>
    <cellStyle name="Normal 61 2 4 2 3 2 2 7" xfId="0"/>
    <cellStyle name="Normal 61 2 4 2 3 2 2 7 2" xfId="0"/>
    <cellStyle name="Normal 61 2 4 2 3 2 2 8" xfId="0"/>
    <cellStyle name="Normal 61 2 4 2 3 2 3" xfId="0"/>
    <cellStyle name="Normal 61 2 4 2 3 2 3 2" xfId="0"/>
    <cellStyle name="Normal 61 2 4 2 3 2 3 2 2" xfId="0"/>
    <cellStyle name="Normal 61 2 4 2 3 2 3 2 2 2" xfId="0"/>
    <cellStyle name="Normal 61 2 4 2 3 2 3 2 2 2 2" xfId="0"/>
    <cellStyle name="Normal 61 2 4 2 3 2 3 2 2 2 2 2" xfId="0"/>
    <cellStyle name="Normal 61 2 4 2 3 2 3 2 2 2 3" xfId="0"/>
    <cellStyle name="Normal 61 2 4 2 3 2 3 2 2 3" xfId="0"/>
    <cellStyle name="Normal 61 2 4 2 3 2 3 2 2 3 2" xfId="0"/>
    <cellStyle name="Normal 61 2 4 2 3 2 3 2 2 3 2 2" xfId="0"/>
    <cellStyle name="Normal 61 2 4 2 3 2 3 2 2 3 3" xfId="0"/>
    <cellStyle name="Normal 61 2 4 2 3 2 3 2 2 4" xfId="0"/>
    <cellStyle name="Normal 61 2 4 2 3 2 3 2 2 4 2" xfId="0"/>
    <cellStyle name="Normal 61 2 4 2 3 2 3 2 2 5" xfId="0"/>
    <cellStyle name="Normal 61 2 4 2 3 2 3 2 3" xfId="0"/>
    <cellStyle name="Normal 61 2 4 2 3 2 3 2 3 2" xfId="0"/>
    <cellStyle name="Normal 61 2 4 2 3 2 3 2 3 2 2" xfId="0"/>
    <cellStyle name="Normal 61 2 4 2 3 2 3 2 3 3" xfId="0"/>
    <cellStyle name="Normal 61 2 4 2 3 2 3 2 4" xfId="0"/>
    <cellStyle name="Normal 61 2 4 2 3 2 3 2 4 2" xfId="0"/>
    <cellStyle name="Normal 61 2 4 2 3 2 3 2 4 2 2" xfId="0"/>
    <cellStyle name="Normal 61 2 4 2 3 2 3 2 4 3" xfId="0"/>
    <cellStyle name="Normal 61 2 4 2 3 2 3 2 5" xfId="0"/>
    <cellStyle name="Normal 61 2 4 2 3 2 3 2 5 2" xfId="0"/>
    <cellStyle name="Normal 61 2 4 2 3 2 3 2 6" xfId="0"/>
    <cellStyle name="Normal 61 2 4 2 3 2 3 3" xfId="0"/>
    <cellStyle name="Normal 61 2 4 2 3 2 3 3 2" xfId="0"/>
    <cellStyle name="Normal 61 2 4 2 3 2 3 3 2 2" xfId="0"/>
    <cellStyle name="Normal 61 2 4 2 3 2 3 3 2 2 2" xfId="0"/>
    <cellStyle name="Normal 61 2 4 2 3 2 3 3 2 3" xfId="0"/>
    <cellStyle name="Normal 61 2 4 2 3 2 3 3 3" xfId="0"/>
    <cellStyle name="Normal 61 2 4 2 3 2 3 3 3 2" xfId="0"/>
    <cellStyle name="Normal 61 2 4 2 3 2 3 3 3 2 2" xfId="0"/>
    <cellStyle name="Normal 61 2 4 2 3 2 3 3 3 3" xfId="0"/>
    <cellStyle name="Normal 61 2 4 2 3 2 3 3 4" xfId="0"/>
    <cellStyle name="Normal 61 2 4 2 3 2 3 3 4 2" xfId="0"/>
    <cellStyle name="Normal 61 2 4 2 3 2 3 3 5" xfId="0"/>
    <cellStyle name="Normal 61 2 4 2 3 2 3 4" xfId="0"/>
    <cellStyle name="Normal 61 2 4 2 3 2 3 4 2" xfId="0"/>
    <cellStyle name="Normal 61 2 4 2 3 2 3 4 2 2" xfId="0"/>
    <cellStyle name="Normal 61 2 4 2 3 2 3 4 3" xfId="0"/>
    <cellStyle name="Normal 61 2 4 2 3 2 3 5" xfId="0"/>
    <cellStyle name="Normal 61 2 4 2 3 2 3 5 2" xfId="0"/>
    <cellStyle name="Normal 61 2 4 2 3 2 3 5 2 2" xfId="0"/>
    <cellStyle name="Normal 61 2 4 2 3 2 3 5 3" xfId="0"/>
    <cellStyle name="Normal 61 2 4 2 3 2 3 6" xfId="0"/>
    <cellStyle name="Normal 61 2 4 2 3 2 3 6 2" xfId="0"/>
    <cellStyle name="Normal 61 2 4 2 3 2 3 7" xfId="0"/>
    <cellStyle name="Normal 61 2 4 2 3 2 4" xfId="0"/>
    <cellStyle name="Normal 61 2 4 2 3 2 4 2" xfId="0"/>
    <cellStyle name="Normal 61 2 4 2 3 2 4 2 2" xfId="0"/>
    <cellStyle name="Normal 61 2 4 2 3 2 4 2 2 2" xfId="0"/>
    <cellStyle name="Normal 61 2 4 2 3 2 4 2 2 2 2" xfId="0"/>
    <cellStyle name="Normal 61 2 4 2 3 2 4 2 2 3" xfId="0"/>
    <cellStyle name="Normal 61 2 4 2 3 2 4 2 3" xfId="0"/>
    <cellStyle name="Normal 61 2 4 2 3 2 4 2 3 2" xfId="0"/>
    <cellStyle name="Normal 61 2 4 2 3 2 4 2 3 2 2" xfId="0"/>
    <cellStyle name="Normal 61 2 4 2 3 2 4 2 3 3" xfId="0"/>
    <cellStyle name="Normal 61 2 4 2 3 2 4 2 4" xfId="0"/>
    <cellStyle name="Normal 61 2 4 2 3 2 4 2 4 2" xfId="0"/>
    <cellStyle name="Normal 61 2 4 2 3 2 4 2 5" xfId="0"/>
    <cellStyle name="Normal 61 2 4 2 3 2 4 3" xfId="0"/>
    <cellStyle name="Normal 61 2 4 2 3 2 4 3 2" xfId="0"/>
    <cellStyle name="Normal 61 2 4 2 3 2 4 3 2 2" xfId="0"/>
    <cellStyle name="Normal 61 2 4 2 3 2 4 3 3" xfId="0"/>
    <cellStyle name="Normal 61 2 4 2 3 2 4 4" xfId="0"/>
    <cellStyle name="Normal 61 2 4 2 3 2 4 4 2" xfId="0"/>
    <cellStyle name="Normal 61 2 4 2 3 2 4 4 2 2" xfId="0"/>
    <cellStyle name="Normal 61 2 4 2 3 2 4 4 3" xfId="0"/>
    <cellStyle name="Normal 61 2 4 2 3 2 4 5" xfId="0"/>
    <cellStyle name="Normal 61 2 4 2 3 2 4 5 2" xfId="0"/>
    <cellStyle name="Normal 61 2 4 2 3 2 4 6" xfId="0"/>
    <cellStyle name="Normal 61 2 4 2 3 2 5" xfId="0"/>
    <cellStyle name="Normal 61 2 4 2 3 2 5 2" xfId="0"/>
    <cellStyle name="Normal 61 2 4 2 3 2 5 2 2" xfId="0"/>
    <cellStyle name="Normal 61 2 4 2 3 2 5 2 2 2" xfId="0"/>
    <cellStyle name="Normal 61 2 4 2 3 2 5 2 3" xfId="0"/>
    <cellStyle name="Normal 61 2 4 2 3 2 5 3" xfId="0"/>
    <cellStyle name="Normal 61 2 4 2 3 2 5 3 2" xfId="0"/>
    <cellStyle name="Normal 61 2 4 2 3 2 5 3 2 2" xfId="0"/>
    <cellStyle name="Normal 61 2 4 2 3 2 5 3 3" xfId="0"/>
    <cellStyle name="Normal 61 2 4 2 3 2 5 4" xfId="0"/>
    <cellStyle name="Normal 61 2 4 2 3 2 5 4 2" xfId="0"/>
    <cellStyle name="Normal 61 2 4 2 3 2 5 5" xfId="0"/>
    <cellStyle name="Normal 61 2 4 2 3 2 6" xfId="0"/>
    <cellStyle name="Normal 61 2 4 2 3 2 6 2" xfId="0"/>
    <cellStyle name="Normal 61 2 4 2 3 2 6 2 2" xfId="0"/>
    <cellStyle name="Normal 61 2 4 2 3 2 6 3" xfId="0"/>
    <cellStyle name="Normal 61 2 4 2 3 2 7" xfId="0"/>
    <cellStyle name="Normal 61 2 4 2 3 2 7 2" xfId="0"/>
    <cellStyle name="Normal 61 2 4 2 3 2 7 2 2" xfId="0"/>
    <cellStyle name="Normal 61 2 4 2 3 2 7 3" xfId="0"/>
    <cellStyle name="Normal 61 2 4 2 3 2 8" xfId="0"/>
    <cellStyle name="Normal 61 2 4 2 3 2 8 2" xfId="0"/>
    <cellStyle name="Normal 61 2 4 2 3 2 9" xfId="0"/>
    <cellStyle name="Normal 61 2 4 2 3 3" xfId="0"/>
    <cellStyle name="Normal 61 2 4 2 3 3 2" xfId="0"/>
    <cellStyle name="Normal 61 2 4 2 3 3 2 2" xfId="0"/>
    <cellStyle name="Normal 61 2 4 2 3 3 2 2 2" xfId="0"/>
    <cellStyle name="Normal 61 2 4 2 3 3 2 2 2 2" xfId="0"/>
    <cellStyle name="Normal 61 2 4 2 3 3 2 2 2 2 2" xfId="0"/>
    <cellStyle name="Normal 61 2 4 2 3 3 2 2 2 2 2 2" xfId="0"/>
    <cellStyle name="Normal 61 2 4 2 3 3 2 2 2 2 3" xfId="0"/>
    <cellStyle name="Normal 61 2 4 2 3 3 2 2 2 3" xfId="0"/>
    <cellStyle name="Normal 61 2 4 2 3 3 2 2 2 3 2" xfId="0"/>
    <cellStyle name="Normal 61 2 4 2 3 3 2 2 2 3 2 2" xfId="0"/>
    <cellStyle name="Normal 61 2 4 2 3 3 2 2 2 3 3" xfId="0"/>
    <cellStyle name="Normal 61 2 4 2 3 3 2 2 2 4" xfId="0"/>
    <cellStyle name="Normal 61 2 4 2 3 3 2 2 2 4 2" xfId="0"/>
    <cellStyle name="Normal 61 2 4 2 3 3 2 2 2 5" xfId="0"/>
    <cellStyle name="Normal 61 2 4 2 3 3 2 2 3" xfId="0"/>
    <cellStyle name="Normal 61 2 4 2 3 3 2 2 3 2" xfId="0"/>
    <cellStyle name="Normal 61 2 4 2 3 3 2 2 3 2 2" xfId="0"/>
    <cellStyle name="Normal 61 2 4 2 3 3 2 2 3 3" xfId="0"/>
    <cellStyle name="Normal 61 2 4 2 3 3 2 2 4" xfId="0"/>
    <cellStyle name="Normal 61 2 4 2 3 3 2 2 4 2" xfId="0"/>
    <cellStyle name="Normal 61 2 4 2 3 3 2 2 4 2 2" xfId="0"/>
    <cellStyle name="Normal 61 2 4 2 3 3 2 2 4 3" xfId="0"/>
    <cellStyle name="Normal 61 2 4 2 3 3 2 2 5" xfId="0"/>
    <cellStyle name="Normal 61 2 4 2 3 3 2 2 5 2" xfId="0"/>
    <cellStyle name="Normal 61 2 4 2 3 3 2 2 6" xfId="0"/>
    <cellStyle name="Normal 61 2 4 2 3 3 2 3" xfId="0"/>
    <cellStyle name="Normal 61 2 4 2 3 3 2 3 2" xfId="0"/>
    <cellStyle name="Normal 61 2 4 2 3 3 2 3 2 2" xfId="0"/>
    <cellStyle name="Normal 61 2 4 2 3 3 2 3 2 2 2" xfId="0"/>
    <cellStyle name="Normal 61 2 4 2 3 3 2 3 2 3" xfId="0"/>
    <cellStyle name="Normal 61 2 4 2 3 3 2 3 3" xfId="0"/>
    <cellStyle name="Normal 61 2 4 2 3 3 2 3 3 2" xfId="0"/>
    <cellStyle name="Normal 61 2 4 2 3 3 2 3 3 2 2" xfId="0"/>
    <cellStyle name="Normal 61 2 4 2 3 3 2 3 3 3" xfId="0"/>
    <cellStyle name="Normal 61 2 4 2 3 3 2 3 4" xfId="0"/>
    <cellStyle name="Normal 61 2 4 2 3 3 2 3 4 2" xfId="0"/>
    <cellStyle name="Normal 61 2 4 2 3 3 2 3 5" xfId="0"/>
    <cellStyle name="Normal 61 2 4 2 3 3 2 4" xfId="0"/>
    <cellStyle name="Normal 61 2 4 2 3 3 2 4 2" xfId="0"/>
    <cellStyle name="Normal 61 2 4 2 3 3 2 4 2 2" xfId="0"/>
    <cellStyle name="Normal 61 2 4 2 3 3 2 4 3" xfId="0"/>
    <cellStyle name="Normal 61 2 4 2 3 3 2 5" xfId="0"/>
    <cellStyle name="Normal 61 2 4 2 3 3 2 5 2" xfId="0"/>
    <cellStyle name="Normal 61 2 4 2 3 3 2 5 2 2" xfId="0"/>
    <cellStyle name="Normal 61 2 4 2 3 3 2 5 3" xfId="0"/>
    <cellStyle name="Normal 61 2 4 2 3 3 2 6" xfId="0"/>
    <cellStyle name="Normal 61 2 4 2 3 3 2 6 2" xfId="0"/>
    <cellStyle name="Normal 61 2 4 2 3 3 2 7" xfId="0"/>
    <cellStyle name="Normal 61 2 4 2 3 3 3" xfId="0"/>
    <cellStyle name="Normal 61 2 4 2 3 3 3 2" xfId="0"/>
    <cellStyle name="Normal 61 2 4 2 3 3 3 2 2" xfId="0"/>
    <cellStyle name="Normal 61 2 4 2 3 3 3 2 2 2" xfId="0"/>
    <cellStyle name="Normal 61 2 4 2 3 3 3 2 2 2 2" xfId="0"/>
    <cellStyle name="Normal 61 2 4 2 3 3 3 2 2 3" xfId="0"/>
    <cellStyle name="Normal 61 2 4 2 3 3 3 2 3" xfId="0"/>
    <cellStyle name="Normal 61 2 4 2 3 3 3 2 3 2" xfId="0"/>
    <cellStyle name="Normal 61 2 4 2 3 3 3 2 3 2 2" xfId="0"/>
    <cellStyle name="Normal 61 2 4 2 3 3 3 2 3 3" xfId="0"/>
    <cellStyle name="Normal 61 2 4 2 3 3 3 2 4" xfId="0"/>
    <cellStyle name="Normal 61 2 4 2 3 3 3 2 4 2" xfId="0"/>
    <cellStyle name="Normal 61 2 4 2 3 3 3 2 5" xfId="0"/>
    <cellStyle name="Normal 61 2 4 2 3 3 3 3" xfId="0"/>
    <cellStyle name="Normal 61 2 4 2 3 3 3 3 2" xfId="0"/>
    <cellStyle name="Normal 61 2 4 2 3 3 3 3 2 2" xfId="0"/>
    <cellStyle name="Normal 61 2 4 2 3 3 3 3 3" xfId="0"/>
    <cellStyle name="Normal 61 2 4 2 3 3 3 4" xfId="0"/>
    <cellStyle name="Normal 61 2 4 2 3 3 3 4 2" xfId="0"/>
    <cellStyle name="Normal 61 2 4 2 3 3 3 4 2 2" xfId="0"/>
    <cellStyle name="Normal 61 2 4 2 3 3 3 4 3" xfId="0"/>
    <cellStyle name="Normal 61 2 4 2 3 3 3 5" xfId="0"/>
    <cellStyle name="Normal 61 2 4 2 3 3 3 5 2" xfId="0"/>
    <cellStyle name="Normal 61 2 4 2 3 3 3 6" xfId="0"/>
    <cellStyle name="Normal 61 2 4 2 3 3 4" xfId="0"/>
    <cellStyle name="Normal 61 2 4 2 3 3 4 2" xfId="0"/>
    <cellStyle name="Normal 61 2 4 2 3 3 4 2 2" xfId="0"/>
    <cellStyle name="Normal 61 2 4 2 3 3 4 2 2 2" xfId="0"/>
    <cellStyle name="Normal 61 2 4 2 3 3 4 2 3" xfId="0"/>
    <cellStyle name="Normal 61 2 4 2 3 3 4 3" xfId="0"/>
    <cellStyle name="Normal 61 2 4 2 3 3 4 3 2" xfId="0"/>
    <cellStyle name="Normal 61 2 4 2 3 3 4 3 2 2" xfId="0"/>
    <cellStyle name="Normal 61 2 4 2 3 3 4 3 3" xfId="0"/>
    <cellStyle name="Normal 61 2 4 2 3 3 4 4" xfId="0"/>
    <cellStyle name="Normal 61 2 4 2 3 3 4 4 2" xfId="0"/>
    <cellStyle name="Normal 61 2 4 2 3 3 4 5" xfId="0"/>
    <cellStyle name="Normal 61 2 4 2 3 3 5" xfId="0"/>
    <cellStyle name="Normal 61 2 4 2 3 3 5 2" xfId="0"/>
    <cellStyle name="Normal 61 2 4 2 3 3 5 2 2" xfId="0"/>
    <cellStyle name="Normal 61 2 4 2 3 3 5 3" xfId="0"/>
    <cellStyle name="Normal 61 2 4 2 3 3 6" xfId="0"/>
    <cellStyle name="Normal 61 2 4 2 3 3 6 2" xfId="0"/>
    <cellStyle name="Normal 61 2 4 2 3 3 6 2 2" xfId="0"/>
    <cellStyle name="Normal 61 2 4 2 3 3 6 3" xfId="0"/>
    <cellStyle name="Normal 61 2 4 2 3 3 7" xfId="0"/>
    <cellStyle name="Normal 61 2 4 2 3 3 7 2" xfId="0"/>
    <cellStyle name="Normal 61 2 4 2 3 3 8" xfId="0"/>
    <cellStyle name="Normal 61 2 4 2 3 4" xfId="0"/>
    <cellStyle name="Normal 61 2 4 2 3 4 2" xfId="0"/>
    <cellStyle name="Normal 61 2 4 2 3 4 2 2" xfId="0"/>
    <cellStyle name="Normal 61 2 4 2 3 4 2 2 2" xfId="0"/>
    <cellStyle name="Normal 61 2 4 2 3 4 2 2 2 2" xfId="0"/>
    <cellStyle name="Normal 61 2 4 2 3 4 2 2 2 2 2" xfId="0"/>
    <cellStyle name="Normal 61 2 4 2 3 4 2 2 2 3" xfId="0"/>
    <cellStyle name="Normal 61 2 4 2 3 4 2 2 3" xfId="0"/>
    <cellStyle name="Normal 61 2 4 2 3 4 2 2 3 2" xfId="0"/>
    <cellStyle name="Normal 61 2 4 2 3 4 2 2 3 2 2" xfId="0"/>
    <cellStyle name="Normal 61 2 4 2 3 4 2 2 3 3" xfId="0"/>
    <cellStyle name="Normal 61 2 4 2 3 4 2 2 4" xfId="0"/>
    <cellStyle name="Normal 61 2 4 2 3 4 2 2 4 2" xfId="0"/>
    <cellStyle name="Normal 61 2 4 2 3 4 2 2 5" xfId="0"/>
    <cellStyle name="Normal 61 2 4 2 3 4 2 3" xfId="0"/>
    <cellStyle name="Normal 61 2 4 2 3 4 2 3 2" xfId="0"/>
    <cellStyle name="Normal 61 2 4 2 3 4 2 3 2 2" xfId="0"/>
    <cellStyle name="Normal 61 2 4 2 3 4 2 3 3" xfId="0"/>
    <cellStyle name="Normal 61 2 4 2 3 4 2 4" xfId="0"/>
    <cellStyle name="Normal 61 2 4 2 3 4 2 4 2" xfId="0"/>
    <cellStyle name="Normal 61 2 4 2 3 4 2 4 2 2" xfId="0"/>
    <cellStyle name="Normal 61 2 4 2 3 4 2 4 3" xfId="0"/>
    <cellStyle name="Normal 61 2 4 2 3 4 2 5" xfId="0"/>
    <cellStyle name="Normal 61 2 4 2 3 4 2 5 2" xfId="0"/>
    <cellStyle name="Normal 61 2 4 2 3 4 2 6" xfId="0"/>
    <cellStyle name="Normal 61 2 4 2 3 4 3" xfId="0"/>
    <cellStyle name="Normal 61 2 4 2 3 4 3 2" xfId="0"/>
    <cellStyle name="Normal 61 2 4 2 3 4 3 2 2" xfId="0"/>
    <cellStyle name="Normal 61 2 4 2 3 4 3 2 2 2" xfId="0"/>
    <cellStyle name="Normal 61 2 4 2 3 4 3 2 3" xfId="0"/>
    <cellStyle name="Normal 61 2 4 2 3 4 3 3" xfId="0"/>
    <cellStyle name="Normal 61 2 4 2 3 4 3 3 2" xfId="0"/>
    <cellStyle name="Normal 61 2 4 2 3 4 3 3 2 2" xfId="0"/>
    <cellStyle name="Normal 61 2 4 2 3 4 3 3 3" xfId="0"/>
    <cellStyle name="Normal 61 2 4 2 3 4 3 4" xfId="0"/>
    <cellStyle name="Normal 61 2 4 2 3 4 3 4 2" xfId="0"/>
    <cellStyle name="Normal 61 2 4 2 3 4 3 5" xfId="0"/>
    <cellStyle name="Normal 61 2 4 2 3 4 4" xfId="0"/>
    <cellStyle name="Normal 61 2 4 2 3 4 4 2" xfId="0"/>
    <cellStyle name="Normal 61 2 4 2 3 4 4 2 2" xfId="0"/>
    <cellStyle name="Normal 61 2 4 2 3 4 4 3" xfId="0"/>
    <cellStyle name="Normal 61 2 4 2 3 4 5" xfId="0"/>
    <cellStyle name="Normal 61 2 4 2 3 4 5 2" xfId="0"/>
    <cellStyle name="Normal 61 2 4 2 3 4 5 2 2" xfId="0"/>
    <cellStyle name="Normal 61 2 4 2 3 4 5 3" xfId="0"/>
    <cellStyle name="Normal 61 2 4 2 3 4 6" xfId="0"/>
    <cellStyle name="Normal 61 2 4 2 3 4 6 2" xfId="0"/>
    <cellStyle name="Normal 61 2 4 2 3 4 7" xfId="0"/>
    <cellStyle name="Normal 61 2 4 2 3 5" xfId="0"/>
    <cellStyle name="Normal 61 2 4 2 3 5 2" xfId="0"/>
    <cellStyle name="Normal 61 2 4 2 3 5 2 2" xfId="0"/>
    <cellStyle name="Normal 61 2 4 2 3 5 2 2 2" xfId="0"/>
    <cellStyle name="Normal 61 2 4 2 3 5 2 2 2 2" xfId="0"/>
    <cellStyle name="Normal 61 2 4 2 3 5 2 2 3" xfId="0"/>
    <cellStyle name="Normal 61 2 4 2 3 5 2 3" xfId="0"/>
    <cellStyle name="Normal 61 2 4 2 3 5 2 3 2" xfId="0"/>
    <cellStyle name="Normal 61 2 4 2 3 5 2 3 2 2" xfId="0"/>
    <cellStyle name="Normal 61 2 4 2 3 5 2 3 3" xfId="0"/>
    <cellStyle name="Normal 61 2 4 2 3 5 2 4" xfId="0"/>
    <cellStyle name="Normal 61 2 4 2 3 5 2 4 2" xfId="0"/>
    <cellStyle name="Normal 61 2 4 2 3 5 2 5" xfId="0"/>
    <cellStyle name="Normal 61 2 4 2 3 5 3" xfId="0"/>
    <cellStyle name="Normal 61 2 4 2 3 5 3 2" xfId="0"/>
    <cellStyle name="Normal 61 2 4 2 3 5 3 2 2" xfId="0"/>
    <cellStyle name="Normal 61 2 4 2 3 5 3 3" xfId="0"/>
    <cellStyle name="Normal 61 2 4 2 3 5 4" xfId="0"/>
    <cellStyle name="Normal 61 2 4 2 3 5 4 2" xfId="0"/>
    <cellStyle name="Normal 61 2 4 2 3 5 4 2 2" xfId="0"/>
    <cellStyle name="Normal 61 2 4 2 3 5 4 3" xfId="0"/>
    <cellStyle name="Normal 61 2 4 2 3 5 5" xfId="0"/>
    <cellStyle name="Normal 61 2 4 2 3 5 5 2" xfId="0"/>
    <cellStyle name="Normal 61 2 4 2 3 5 6" xfId="0"/>
    <cellStyle name="Normal 61 2 4 2 3 6" xfId="0"/>
    <cellStyle name="Normal 61 2 4 2 3 6 2" xfId="0"/>
    <cellStyle name="Normal 61 2 4 2 3 6 2 2" xfId="0"/>
    <cellStyle name="Normal 61 2 4 2 3 6 2 2 2" xfId="0"/>
    <cellStyle name="Normal 61 2 4 2 3 6 2 3" xfId="0"/>
    <cellStyle name="Normal 61 2 4 2 3 6 3" xfId="0"/>
    <cellStyle name="Normal 61 2 4 2 3 6 3 2" xfId="0"/>
    <cellStyle name="Normal 61 2 4 2 3 6 3 2 2" xfId="0"/>
    <cellStyle name="Normal 61 2 4 2 3 6 3 3" xfId="0"/>
    <cellStyle name="Normal 61 2 4 2 3 6 4" xfId="0"/>
    <cellStyle name="Normal 61 2 4 2 3 6 4 2" xfId="0"/>
    <cellStyle name="Normal 61 2 4 2 3 6 5" xfId="0"/>
    <cellStyle name="Normal 61 2 4 2 3 7" xfId="0"/>
    <cellStyle name="Normal 61 2 4 2 3 7 2" xfId="0"/>
    <cellStyle name="Normal 61 2 4 2 3 7 2 2" xfId="0"/>
    <cellStyle name="Normal 61 2 4 2 3 7 3" xfId="0"/>
    <cellStyle name="Normal 61 2 4 2 3 8" xfId="0"/>
    <cellStyle name="Normal 61 2 4 2 3 8 2" xfId="0"/>
    <cellStyle name="Normal 61 2 4 2 3 8 2 2" xfId="0"/>
    <cellStyle name="Normal 61 2 4 2 3 8 3" xfId="0"/>
    <cellStyle name="Normal 61 2 4 2 3 9" xfId="0"/>
    <cellStyle name="Normal 61 2 4 2 3 9 2" xfId="0"/>
    <cellStyle name="Normal 61 2 4 2 4" xfId="0"/>
    <cellStyle name="Normal 61 2 4 2 4 2" xfId="0"/>
    <cellStyle name="Normal 61 2 4 2 4 2 2" xfId="0"/>
    <cellStyle name="Normal 61 2 4 2 4 2 2 2" xfId="0"/>
    <cellStyle name="Normal 61 2 4 2 4 2 2 2 2" xfId="0"/>
    <cellStyle name="Normal 61 2 4 2 4 2 2 2 2 2" xfId="0"/>
    <cellStyle name="Normal 61 2 4 2 4 2 2 2 2 2 2" xfId="0"/>
    <cellStyle name="Normal 61 2 4 2 4 2 2 2 2 2 2 2" xfId="0"/>
    <cellStyle name="Normal 61 2 4 2 4 2 2 2 2 2 3" xfId="0"/>
    <cellStyle name="Normal 61 2 4 2 4 2 2 2 2 3" xfId="0"/>
    <cellStyle name="Normal 61 2 4 2 4 2 2 2 2 3 2" xfId="0"/>
    <cellStyle name="Normal 61 2 4 2 4 2 2 2 2 3 2 2" xfId="0"/>
    <cellStyle name="Normal 61 2 4 2 4 2 2 2 2 3 3" xfId="0"/>
    <cellStyle name="Normal 61 2 4 2 4 2 2 2 2 4" xfId="0"/>
    <cellStyle name="Normal 61 2 4 2 4 2 2 2 2 4 2" xfId="0"/>
    <cellStyle name="Normal 61 2 4 2 4 2 2 2 2 5" xfId="0"/>
    <cellStyle name="Normal 61 2 4 2 4 2 2 2 3" xfId="0"/>
    <cellStyle name="Normal 61 2 4 2 4 2 2 2 3 2" xfId="0"/>
    <cellStyle name="Normal 61 2 4 2 4 2 2 2 3 2 2" xfId="0"/>
    <cellStyle name="Normal 61 2 4 2 4 2 2 2 3 3" xfId="0"/>
    <cellStyle name="Normal 61 2 4 2 4 2 2 2 4" xfId="0"/>
    <cellStyle name="Normal 61 2 4 2 4 2 2 2 4 2" xfId="0"/>
    <cellStyle name="Normal 61 2 4 2 4 2 2 2 4 2 2" xfId="0"/>
    <cellStyle name="Normal 61 2 4 2 4 2 2 2 4 3" xfId="0"/>
    <cellStyle name="Normal 61 2 4 2 4 2 2 2 5" xfId="0"/>
    <cellStyle name="Normal 61 2 4 2 4 2 2 2 5 2" xfId="0"/>
    <cellStyle name="Normal 61 2 4 2 4 2 2 2 6" xfId="0"/>
    <cellStyle name="Normal 61 2 4 2 4 2 2 3" xfId="0"/>
    <cellStyle name="Normal 61 2 4 2 4 2 2 3 2" xfId="0"/>
    <cellStyle name="Normal 61 2 4 2 4 2 2 3 2 2" xfId="0"/>
    <cellStyle name="Normal 61 2 4 2 4 2 2 3 2 2 2" xfId="0"/>
    <cellStyle name="Normal 61 2 4 2 4 2 2 3 2 3" xfId="0"/>
    <cellStyle name="Normal 61 2 4 2 4 2 2 3 3" xfId="0"/>
    <cellStyle name="Normal 61 2 4 2 4 2 2 3 3 2" xfId="0"/>
    <cellStyle name="Normal 61 2 4 2 4 2 2 3 3 2 2" xfId="0"/>
    <cellStyle name="Normal 61 2 4 2 4 2 2 3 3 3" xfId="0"/>
    <cellStyle name="Normal 61 2 4 2 4 2 2 3 4" xfId="0"/>
    <cellStyle name="Normal 61 2 4 2 4 2 2 3 4 2" xfId="0"/>
    <cellStyle name="Normal 61 2 4 2 4 2 2 3 5" xfId="0"/>
    <cellStyle name="Normal 61 2 4 2 4 2 2 4" xfId="0"/>
    <cellStyle name="Normal 61 2 4 2 4 2 2 4 2" xfId="0"/>
    <cellStyle name="Normal 61 2 4 2 4 2 2 4 2 2" xfId="0"/>
    <cellStyle name="Normal 61 2 4 2 4 2 2 4 3" xfId="0"/>
    <cellStyle name="Normal 61 2 4 2 4 2 2 5" xfId="0"/>
    <cellStyle name="Normal 61 2 4 2 4 2 2 5 2" xfId="0"/>
    <cellStyle name="Normal 61 2 4 2 4 2 2 5 2 2" xfId="0"/>
    <cellStyle name="Normal 61 2 4 2 4 2 2 5 3" xfId="0"/>
    <cellStyle name="Normal 61 2 4 2 4 2 2 6" xfId="0"/>
    <cellStyle name="Normal 61 2 4 2 4 2 2 6 2" xfId="0"/>
    <cellStyle name="Normal 61 2 4 2 4 2 2 7" xfId="0"/>
    <cellStyle name="Normal 61 2 4 2 4 2 3" xfId="0"/>
    <cellStyle name="Normal 61 2 4 2 4 2 3 2" xfId="0"/>
    <cellStyle name="Normal 61 2 4 2 4 2 3 2 2" xfId="0"/>
    <cellStyle name="Normal 61 2 4 2 4 2 3 2 2 2" xfId="0"/>
    <cellStyle name="Normal 61 2 4 2 4 2 3 2 2 2 2" xfId="0"/>
    <cellStyle name="Normal 61 2 4 2 4 2 3 2 2 3" xfId="0"/>
    <cellStyle name="Normal 61 2 4 2 4 2 3 2 3" xfId="0"/>
    <cellStyle name="Normal 61 2 4 2 4 2 3 2 3 2" xfId="0"/>
    <cellStyle name="Normal 61 2 4 2 4 2 3 2 3 2 2" xfId="0"/>
    <cellStyle name="Normal 61 2 4 2 4 2 3 2 3 3" xfId="0"/>
    <cellStyle name="Normal 61 2 4 2 4 2 3 2 4" xfId="0"/>
    <cellStyle name="Normal 61 2 4 2 4 2 3 2 4 2" xfId="0"/>
    <cellStyle name="Normal 61 2 4 2 4 2 3 2 5" xfId="0"/>
    <cellStyle name="Normal 61 2 4 2 4 2 3 3" xfId="0"/>
    <cellStyle name="Normal 61 2 4 2 4 2 3 3 2" xfId="0"/>
    <cellStyle name="Normal 61 2 4 2 4 2 3 3 2 2" xfId="0"/>
    <cellStyle name="Normal 61 2 4 2 4 2 3 3 3" xfId="0"/>
    <cellStyle name="Normal 61 2 4 2 4 2 3 4" xfId="0"/>
    <cellStyle name="Normal 61 2 4 2 4 2 3 4 2" xfId="0"/>
    <cellStyle name="Normal 61 2 4 2 4 2 3 4 2 2" xfId="0"/>
    <cellStyle name="Normal 61 2 4 2 4 2 3 4 3" xfId="0"/>
    <cellStyle name="Normal 61 2 4 2 4 2 3 5" xfId="0"/>
    <cellStyle name="Normal 61 2 4 2 4 2 3 5 2" xfId="0"/>
    <cellStyle name="Normal 61 2 4 2 4 2 3 6" xfId="0"/>
    <cellStyle name="Normal 61 2 4 2 4 2 4" xfId="0"/>
    <cellStyle name="Normal 61 2 4 2 4 2 4 2" xfId="0"/>
    <cellStyle name="Normal 61 2 4 2 4 2 4 2 2" xfId="0"/>
    <cellStyle name="Normal 61 2 4 2 4 2 4 2 2 2" xfId="0"/>
    <cellStyle name="Normal 61 2 4 2 4 2 4 2 3" xfId="0"/>
    <cellStyle name="Normal 61 2 4 2 4 2 4 3" xfId="0"/>
    <cellStyle name="Normal 61 2 4 2 4 2 4 3 2" xfId="0"/>
    <cellStyle name="Normal 61 2 4 2 4 2 4 3 2 2" xfId="0"/>
    <cellStyle name="Normal 61 2 4 2 4 2 4 3 3" xfId="0"/>
    <cellStyle name="Normal 61 2 4 2 4 2 4 4" xfId="0"/>
    <cellStyle name="Normal 61 2 4 2 4 2 4 4 2" xfId="0"/>
    <cellStyle name="Normal 61 2 4 2 4 2 4 5" xfId="0"/>
    <cellStyle name="Normal 61 2 4 2 4 2 5" xfId="0"/>
    <cellStyle name="Normal 61 2 4 2 4 2 5 2" xfId="0"/>
    <cellStyle name="Normal 61 2 4 2 4 2 5 2 2" xfId="0"/>
    <cellStyle name="Normal 61 2 4 2 4 2 5 3" xfId="0"/>
    <cellStyle name="Normal 61 2 4 2 4 2 6" xfId="0"/>
    <cellStyle name="Normal 61 2 4 2 4 2 6 2" xfId="0"/>
    <cellStyle name="Normal 61 2 4 2 4 2 6 2 2" xfId="0"/>
    <cellStyle name="Normal 61 2 4 2 4 2 6 3" xfId="0"/>
    <cellStyle name="Normal 61 2 4 2 4 2 7" xfId="0"/>
    <cellStyle name="Normal 61 2 4 2 4 2 7 2" xfId="0"/>
    <cellStyle name="Normal 61 2 4 2 4 2 8" xfId="0"/>
    <cellStyle name="Normal 61 2 4 2 4 3" xfId="0"/>
    <cellStyle name="Normal 61 2 4 2 4 3 2" xfId="0"/>
    <cellStyle name="Normal 61 2 4 2 4 3 2 2" xfId="0"/>
    <cellStyle name="Normal 61 2 4 2 4 3 2 2 2" xfId="0"/>
    <cellStyle name="Normal 61 2 4 2 4 3 2 2 2 2" xfId="0"/>
    <cellStyle name="Normal 61 2 4 2 4 3 2 2 2 2 2" xfId="0"/>
    <cellStyle name="Normal 61 2 4 2 4 3 2 2 2 3" xfId="0"/>
    <cellStyle name="Normal 61 2 4 2 4 3 2 2 3" xfId="0"/>
    <cellStyle name="Normal 61 2 4 2 4 3 2 2 3 2" xfId="0"/>
    <cellStyle name="Normal 61 2 4 2 4 3 2 2 3 2 2" xfId="0"/>
    <cellStyle name="Normal 61 2 4 2 4 3 2 2 3 3" xfId="0"/>
    <cellStyle name="Normal 61 2 4 2 4 3 2 2 4" xfId="0"/>
    <cellStyle name="Normal 61 2 4 2 4 3 2 2 4 2" xfId="0"/>
    <cellStyle name="Normal 61 2 4 2 4 3 2 2 5" xfId="0"/>
    <cellStyle name="Normal 61 2 4 2 4 3 2 3" xfId="0"/>
    <cellStyle name="Normal 61 2 4 2 4 3 2 3 2" xfId="0"/>
    <cellStyle name="Normal 61 2 4 2 4 3 2 3 2 2" xfId="0"/>
    <cellStyle name="Normal 61 2 4 2 4 3 2 3 3" xfId="0"/>
    <cellStyle name="Normal 61 2 4 2 4 3 2 4" xfId="0"/>
    <cellStyle name="Normal 61 2 4 2 4 3 2 4 2" xfId="0"/>
    <cellStyle name="Normal 61 2 4 2 4 3 2 4 2 2" xfId="0"/>
    <cellStyle name="Normal 61 2 4 2 4 3 2 4 3" xfId="0"/>
    <cellStyle name="Normal 61 2 4 2 4 3 2 5" xfId="0"/>
    <cellStyle name="Normal 61 2 4 2 4 3 2 5 2" xfId="0"/>
    <cellStyle name="Normal 61 2 4 2 4 3 2 6" xfId="0"/>
    <cellStyle name="Normal 61 2 4 2 4 3 3" xfId="0"/>
    <cellStyle name="Normal 61 2 4 2 4 3 3 2" xfId="0"/>
    <cellStyle name="Normal 61 2 4 2 4 3 3 2 2" xfId="0"/>
    <cellStyle name="Normal 61 2 4 2 4 3 3 2 2 2" xfId="0"/>
    <cellStyle name="Normal 61 2 4 2 4 3 3 2 3" xfId="0"/>
    <cellStyle name="Normal 61 2 4 2 4 3 3 3" xfId="0"/>
    <cellStyle name="Normal 61 2 4 2 4 3 3 3 2" xfId="0"/>
    <cellStyle name="Normal 61 2 4 2 4 3 3 3 2 2" xfId="0"/>
    <cellStyle name="Normal 61 2 4 2 4 3 3 3 3" xfId="0"/>
    <cellStyle name="Normal 61 2 4 2 4 3 3 4" xfId="0"/>
    <cellStyle name="Normal 61 2 4 2 4 3 3 4 2" xfId="0"/>
    <cellStyle name="Normal 61 2 4 2 4 3 3 5" xfId="0"/>
    <cellStyle name="Normal 61 2 4 2 4 3 4" xfId="0"/>
    <cellStyle name="Normal 61 2 4 2 4 3 4 2" xfId="0"/>
    <cellStyle name="Normal 61 2 4 2 4 3 4 2 2" xfId="0"/>
    <cellStyle name="Normal 61 2 4 2 4 3 4 3" xfId="0"/>
    <cellStyle name="Normal 61 2 4 2 4 3 5" xfId="0"/>
    <cellStyle name="Normal 61 2 4 2 4 3 5 2" xfId="0"/>
    <cellStyle name="Normal 61 2 4 2 4 3 5 2 2" xfId="0"/>
    <cellStyle name="Normal 61 2 4 2 4 3 5 3" xfId="0"/>
    <cellStyle name="Normal 61 2 4 2 4 3 6" xfId="0"/>
    <cellStyle name="Normal 61 2 4 2 4 3 6 2" xfId="0"/>
    <cellStyle name="Normal 61 2 4 2 4 3 7" xfId="0"/>
    <cellStyle name="Normal 61 2 4 2 4 4" xfId="0"/>
    <cellStyle name="Normal 61 2 4 2 4 4 2" xfId="0"/>
    <cellStyle name="Normal 61 2 4 2 4 4 2 2" xfId="0"/>
    <cellStyle name="Normal 61 2 4 2 4 4 2 2 2" xfId="0"/>
    <cellStyle name="Normal 61 2 4 2 4 4 2 2 2 2" xfId="0"/>
    <cellStyle name="Normal 61 2 4 2 4 4 2 2 3" xfId="0"/>
    <cellStyle name="Normal 61 2 4 2 4 4 2 3" xfId="0"/>
    <cellStyle name="Normal 61 2 4 2 4 4 2 3 2" xfId="0"/>
    <cellStyle name="Normal 61 2 4 2 4 4 2 3 2 2" xfId="0"/>
    <cellStyle name="Normal 61 2 4 2 4 4 2 3 3" xfId="0"/>
    <cellStyle name="Normal 61 2 4 2 4 4 2 4" xfId="0"/>
    <cellStyle name="Normal 61 2 4 2 4 4 2 4 2" xfId="0"/>
    <cellStyle name="Normal 61 2 4 2 4 4 2 5" xfId="0"/>
    <cellStyle name="Normal 61 2 4 2 4 4 3" xfId="0"/>
    <cellStyle name="Normal 61 2 4 2 4 4 3 2" xfId="0"/>
    <cellStyle name="Normal 61 2 4 2 4 4 3 2 2" xfId="0"/>
    <cellStyle name="Normal 61 2 4 2 4 4 3 3" xfId="0"/>
    <cellStyle name="Normal 61 2 4 2 4 4 4" xfId="0"/>
    <cellStyle name="Normal 61 2 4 2 4 4 4 2" xfId="0"/>
    <cellStyle name="Normal 61 2 4 2 4 4 4 2 2" xfId="0"/>
    <cellStyle name="Normal 61 2 4 2 4 4 4 3" xfId="0"/>
    <cellStyle name="Normal 61 2 4 2 4 4 5" xfId="0"/>
    <cellStyle name="Normal 61 2 4 2 4 4 5 2" xfId="0"/>
    <cellStyle name="Normal 61 2 4 2 4 4 6" xfId="0"/>
    <cellStyle name="Normal 61 2 4 2 4 5" xfId="0"/>
    <cellStyle name="Normal 61 2 4 2 4 5 2" xfId="0"/>
    <cellStyle name="Normal 61 2 4 2 4 5 2 2" xfId="0"/>
    <cellStyle name="Normal 61 2 4 2 4 5 2 2 2" xfId="0"/>
    <cellStyle name="Normal 61 2 4 2 4 5 2 3" xfId="0"/>
    <cellStyle name="Normal 61 2 4 2 4 5 3" xfId="0"/>
    <cellStyle name="Normal 61 2 4 2 4 5 3 2" xfId="0"/>
    <cellStyle name="Normal 61 2 4 2 4 5 3 2 2" xfId="0"/>
    <cellStyle name="Normal 61 2 4 2 4 5 3 3" xfId="0"/>
    <cellStyle name="Normal 61 2 4 2 4 5 4" xfId="0"/>
    <cellStyle name="Normal 61 2 4 2 4 5 4 2" xfId="0"/>
    <cellStyle name="Normal 61 2 4 2 4 5 5" xfId="0"/>
    <cellStyle name="Normal 61 2 4 2 4 6" xfId="0"/>
    <cellStyle name="Normal 61 2 4 2 4 6 2" xfId="0"/>
    <cellStyle name="Normal 61 2 4 2 4 6 2 2" xfId="0"/>
    <cellStyle name="Normal 61 2 4 2 4 6 3" xfId="0"/>
    <cellStyle name="Normal 61 2 4 2 4 7" xfId="0"/>
    <cellStyle name="Normal 61 2 4 2 4 7 2" xfId="0"/>
    <cellStyle name="Normal 61 2 4 2 4 7 2 2" xfId="0"/>
    <cellStyle name="Normal 61 2 4 2 4 7 3" xfId="0"/>
    <cellStyle name="Normal 61 2 4 2 4 8" xfId="0"/>
    <cellStyle name="Normal 61 2 4 2 4 8 2" xfId="0"/>
    <cellStyle name="Normal 61 2 4 2 4 9" xfId="0"/>
    <cellStyle name="Normal 61 2 4 2 5" xfId="0"/>
    <cellStyle name="Normal 61 2 4 2 5 2" xfId="0"/>
    <cellStyle name="Normal 61 2 4 2 5 2 2" xfId="0"/>
    <cellStyle name="Normal 61 2 4 2 5 2 2 2" xfId="0"/>
    <cellStyle name="Normal 61 2 4 2 5 2 2 2 2" xfId="0"/>
    <cellStyle name="Normal 61 2 4 2 5 2 2 2 2 2" xfId="0"/>
    <cellStyle name="Normal 61 2 4 2 5 2 2 2 2 2 2" xfId="0"/>
    <cellStyle name="Normal 61 2 4 2 5 2 2 2 2 3" xfId="0"/>
    <cellStyle name="Normal 61 2 4 2 5 2 2 2 3" xfId="0"/>
    <cellStyle name="Normal 61 2 4 2 5 2 2 2 3 2" xfId="0"/>
    <cellStyle name="Normal 61 2 4 2 5 2 2 2 3 2 2" xfId="0"/>
    <cellStyle name="Normal 61 2 4 2 5 2 2 2 3 3" xfId="0"/>
    <cellStyle name="Normal 61 2 4 2 5 2 2 2 4" xfId="0"/>
    <cellStyle name="Normal 61 2 4 2 5 2 2 2 4 2" xfId="0"/>
    <cellStyle name="Normal 61 2 4 2 5 2 2 2 5" xfId="0"/>
    <cellStyle name="Normal 61 2 4 2 5 2 2 3" xfId="0"/>
    <cellStyle name="Normal 61 2 4 2 5 2 2 3 2" xfId="0"/>
    <cellStyle name="Normal 61 2 4 2 5 2 2 3 2 2" xfId="0"/>
    <cellStyle name="Normal 61 2 4 2 5 2 2 3 3" xfId="0"/>
    <cellStyle name="Normal 61 2 4 2 5 2 2 4" xfId="0"/>
    <cellStyle name="Normal 61 2 4 2 5 2 2 4 2" xfId="0"/>
    <cellStyle name="Normal 61 2 4 2 5 2 2 4 2 2" xfId="0"/>
    <cellStyle name="Normal 61 2 4 2 5 2 2 4 3" xfId="0"/>
    <cellStyle name="Normal 61 2 4 2 5 2 2 5" xfId="0"/>
    <cellStyle name="Normal 61 2 4 2 5 2 2 5 2" xfId="0"/>
    <cellStyle name="Normal 61 2 4 2 5 2 2 6" xfId="0"/>
    <cellStyle name="Normal 61 2 4 2 5 2 3" xfId="0"/>
    <cellStyle name="Normal 61 2 4 2 5 2 3 2" xfId="0"/>
    <cellStyle name="Normal 61 2 4 2 5 2 3 2 2" xfId="0"/>
    <cellStyle name="Normal 61 2 4 2 5 2 3 2 2 2" xfId="0"/>
    <cellStyle name="Normal 61 2 4 2 5 2 3 2 3" xfId="0"/>
    <cellStyle name="Normal 61 2 4 2 5 2 3 3" xfId="0"/>
    <cellStyle name="Normal 61 2 4 2 5 2 3 3 2" xfId="0"/>
    <cellStyle name="Normal 61 2 4 2 5 2 3 3 2 2" xfId="0"/>
    <cellStyle name="Normal 61 2 4 2 5 2 3 3 3" xfId="0"/>
    <cellStyle name="Normal 61 2 4 2 5 2 3 4" xfId="0"/>
    <cellStyle name="Normal 61 2 4 2 5 2 3 4 2" xfId="0"/>
    <cellStyle name="Normal 61 2 4 2 5 2 3 5" xfId="0"/>
    <cellStyle name="Normal 61 2 4 2 5 2 4" xfId="0"/>
    <cellStyle name="Normal 61 2 4 2 5 2 4 2" xfId="0"/>
    <cellStyle name="Normal 61 2 4 2 5 2 4 2 2" xfId="0"/>
    <cellStyle name="Normal 61 2 4 2 5 2 4 3" xfId="0"/>
    <cellStyle name="Normal 61 2 4 2 5 2 5" xfId="0"/>
    <cellStyle name="Normal 61 2 4 2 5 2 5 2" xfId="0"/>
    <cellStyle name="Normal 61 2 4 2 5 2 5 2 2" xfId="0"/>
    <cellStyle name="Normal 61 2 4 2 5 2 5 3" xfId="0"/>
    <cellStyle name="Normal 61 2 4 2 5 2 6" xfId="0"/>
    <cellStyle name="Normal 61 2 4 2 5 2 6 2" xfId="0"/>
    <cellStyle name="Normal 61 2 4 2 5 2 7" xfId="0"/>
    <cellStyle name="Normal 61 2 4 2 5 3" xfId="0"/>
    <cellStyle name="Normal 61 2 4 2 5 3 2" xfId="0"/>
    <cellStyle name="Normal 61 2 4 2 5 3 2 2" xfId="0"/>
    <cellStyle name="Normal 61 2 4 2 5 3 2 2 2" xfId="0"/>
    <cellStyle name="Normal 61 2 4 2 5 3 2 2 2 2" xfId="0"/>
    <cellStyle name="Normal 61 2 4 2 5 3 2 2 3" xfId="0"/>
    <cellStyle name="Normal 61 2 4 2 5 3 2 3" xfId="0"/>
    <cellStyle name="Normal 61 2 4 2 5 3 2 3 2" xfId="0"/>
    <cellStyle name="Normal 61 2 4 2 5 3 2 3 2 2" xfId="0"/>
    <cellStyle name="Normal 61 2 4 2 5 3 2 3 3" xfId="0"/>
    <cellStyle name="Normal 61 2 4 2 5 3 2 4" xfId="0"/>
    <cellStyle name="Normal 61 2 4 2 5 3 2 4 2" xfId="0"/>
    <cellStyle name="Normal 61 2 4 2 5 3 2 5" xfId="0"/>
    <cellStyle name="Normal 61 2 4 2 5 3 3" xfId="0"/>
    <cellStyle name="Normal 61 2 4 2 5 3 3 2" xfId="0"/>
    <cellStyle name="Normal 61 2 4 2 5 3 3 2 2" xfId="0"/>
    <cellStyle name="Normal 61 2 4 2 5 3 3 3" xfId="0"/>
    <cellStyle name="Normal 61 2 4 2 5 3 4" xfId="0"/>
    <cellStyle name="Normal 61 2 4 2 5 3 4 2" xfId="0"/>
    <cellStyle name="Normal 61 2 4 2 5 3 4 2 2" xfId="0"/>
    <cellStyle name="Normal 61 2 4 2 5 3 4 3" xfId="0"/>
    <cellStyle name="Normal 61 2 4 2 5 3 5" xfId="0"/>
    <cellStyle name="Normal 61 2 4 2 5 3 5 2" xfId="0"/>
    <cellStyle name="Normal 61 2 4 2 5 3 6" xfId="0"/>
    <cellStyle name="Normal 61 2 4 2 5 4" xfId="0"/>
    <cellStyle name="Normal 61 2 4 2 5 4 2" xfId="0"/>
    <cellStyle name="Normal 61 2 4 2 5 4 2 2" xfId="0"/>
    <cellStyle name="Normal 61 2 4 2 5 4 2 2 2" xfId="0"/>
    <cellStyle name="Normal 61 2 4 2 5 4 2 3" xfId="0"/>
    <cellStyle name="Normal 61 2 4 2 5 4 3" xfId="0"/>
    <cellStyle name="Normal 61 2 4 2 5 4 3 2" xfId="0"/>
    <cellStyle name="Normal 61 2 4 2 5 4 3 2 2" xfId="0"/>
    <cellStyle name="Normal 61 2 4 2 5 4 3 3" xfId="0"/>
    <cellStyle name="Normal 61 2 4 2 5 4 4" xfId="0"/>
    <cellStyle name="Normal 61 2 4 2 5 4 4 2" xfId="0"/>
    <cellStyle name="Normal 61 2 4 2 5 4 5" xfId="0"/>
    <cellStyle name="Normal 61 2 4 2 5 5" xfId="0"/>
    <cellStyle name="Normal 61 2 4 2 5 5 2" xfId="0"/>
    <cellStyle name="Normal 61 2 4 2 5 5 2 2" xfId="0"/>
    <cellStyle name="Normal 61 2 4 2 5 5 3" xfId="0"/>
    <cellStyle name="Normal 61 2 4 2 5 6" xfId="0"/>
    <cellStyle name="Normal 61 2 4 2 5 6 2" xfId="0"/>
    <cellStyle name="Normal 61 2 4 2 5 6 2 2" xfId="0"/>
    <cellStyle name="Normal 61 2 4 2 5 6 3" xfId="0"/>
    <cellStyle name="Normal 61 2 4 2 5 7" xfId="0"/>
    <cellStyle name="Normal 61 2 4 2 5 7 2" xfId="0"/>
    <cellStyle name="Normal 61 2 4 2 5 8" xfId="0"/>
    <cellStyle name="Normal 61 2 4 2 6" xfId="0"/>
    <cellStyle name="Normal 61 2 4 2 6 2" xfId="0"/>
    <cellStyle name="Normal 61 2 4 2 6 2 2" xfId="0"/>
    <cellStyle name="Normal 61 2 4 2 6 2 2 2" xfId="0"/>
    <cellStyle name="Normal 61 2 4 2 6 2 2 2 2" xfId="0"/>
    <cellStyle name="Normal 61 2 4 2 6 2 2 2 2 2" xfId="0"/>
    <cellStyle name="Normal 61 2 4 2 6 2 2 2 3" xfId="0"/>
    <cellStyle name="Normal 61 2 4 2 6 2 2 3" xfId="0"/>
    <cellStyle name="Normal 61 2 4 2 6 2 2 3 2" xfId="0"/>
    <cellStyle name="Normal 61 2 4 2 6 2 2 3 2 2" xfId="0"/>
    <cellStyle name="Normal 61 2 4 2 6 2 2 3 3" xfId="0"/>
    <cellStyle name="Normal 61 2 4 2 6 2 2 4" xfId="0"/>
    <cellStyle name="Normal 61 2 4 2 6 2 2 4 2" xfId="0"/>
    <cellStyle name="Normal 61 2 4 2 6 2 2 5" xfId="0"/>
    <cellStyle name="Normal 61 2 4 2 6 2 3" xfId="0"/>
    <cellStyle name="Normal 61 2 4 2 6 2 3 2" xfId="0"/>
    <cellStyle name="Normal 61 2 4 2 6 2 3 2 2" xfId="0"/>
    <cellStyle name="Normal 61 2 4 2 6 2 3 3" xfId="0"/>
    <cellStyle name="Normal 61 2 4 2 6 2 4" xfId="0"/>
    <cellStyle name="Normal 61 2 4 2 6 2 4 2" xfId="0"/>
    <cellStyle name="Normal 61 2 4 2 6 2 4 2 2" xfId="0"/>
    <cellStyle name="Normal 61 2 4 2 6 2 4 3" xfId="0"/>
    <cellStyle name="Normal 61 2 4 2 6 2 5" xfId="0"/>
    <cellStyle name="Normal 61 2 4 2 6 2 5 2" xfId="0"/>
    <cellStyle name="Normal 61 2 4 2 6 2 6" xfId="0"/>
    <cellStyle name="Normal 61 2 4 2 6 3" xfId="0"/>
    <cellStyle name="Normal 61 2 4 2 6 3 2" xfId="0"/>
    <cellStyle name="Normal 61 2 4 2 6 3 2 2" xfId="0"/>
    <cellStyle name="Normal 61 2 4 2 6 3 2 2 2" xfId="0"/>
    <cellStyle name="Normal 61 2 4 2 6 3 2 3" xfId="0"/>
    <cellStyle name="Normal 61 2 4 2 6 3 3" xfId="0"/>
    <cellStyle name="Normal 61 2 4 2 6 3 3 2" xfId="0"/>
    <cellStyle name="Normal 61 2 4 2 6 3 3 2 2" xfId="0"/>
    <cellStyle name="Normal 61 2 4 2 6 3 3 3" xfId="0"/>
    <cellStyle name="Normal 61 2 4 2 6 3 4" xfId="0"/>
    <cellStyle name="Normal 61 2 4 2 6 3 4 2" xfId="0"/>
    <cellStyle name="Normal 61 2 4 2 6 3 5" xfId="0"/>
    <cellStyle name="Normal 61 2 4 2 6 4" xfId="0"/>
    <cellStyle name="Normal 61 2 4 2 6 4 2" xfId="0"/>
    <cellStyle name="Normal 61 2 4 2 6 4 2 2" xfId="0"/>
    <cellStyle name="Normal 61 2 4 2 6 4 3" xfId="0"/>
    <cellStyle name="Normal 61 2 4 2 6 5" xfId="0"/>
    <cellStyle name="Normal 61 2 4 2 6 5 2" xfId="0"/>
    <cellStyle name="Normal 61 2 4 2 6 5 2 2" xfId="0"/>
    <cellStyle name="Normal 61 2 4 2 6 5 3" xfId="0"/>
    <cellStyle name="Normal 61 2 4 2 6 6" xfId="0"/>
    <cellStyle name="Normal 61 2 4 2 6 6 2" xfId="0"/>
    <cellStyle name="Normal 61 2 4 2 6 7" xfId="0"/>
    <cellStyle name="Normal 61 2 4 2 7" xfId="0"/>
    <cellStyle name="Normal 61 2 4 2 7 2" xfId="0"/>
    <cellStyle name="Normal 61 2 4 2 7 2 2" xfId="0"/>
    <cellStyle name="Normal 61 2 4 2 7 2 2 2" xfId="0"/>
    <cellStyle name="Normal 61 2 4 2 7 2 2 2 2" xfId="0"/>
    <cellStyle name="Normal 61 2 4 2 7 2 2 3" xfId="0"/>
    <cellStyle name="Normal 61 2 4 2 7 2 3" xfId="0"/>
    <cellStyle name="Normal 61 2 4 2 7 2 3 2" xfId="0"/>
    <cellStyle name="Normal 61 2 4 2 7 2 3 2 2" xfId="0"/>
    <cellStyle name="Normal 61 2 4 2 7 2 3 3" xfId="0"/>
    <cellStyle name="Normal 61 2 4 2 7 2 4" xfId="0"/>
    <cellStyle name="Normal 61 2 4 2 7 2 4 2" xfId="0"/>
    <cellStyle name="Normal 61 2 4 2 7 2 5" xfId="0"/>
    <cellStyle name="Normal 61 2 4 2 7 3" xfId="0"/>
    <cellStyle name="Normal 61 2 4 2 7 3 2" xfId="0"/>
    <cellStyle name="Normal 61 2 4 2 7 3 2 2" xfId="0"/>
    <cellStyle name="Normal 61 2 4 2 7 3 3" xfId="0"/>
    <cellStyle name="Normal 61 2 4 2 7 4" xfId="0"/>
    <cellStyle name="Normal 61 2 4 2 7 4 2" xfId="0"/>
    <cellStyle name="Normal 61 2 4 2 7 4 2 2" xfId="0"/>
    <cellStyle name="Normal 61 2 4 2 7 4 3" xfId="0"/>
    <cellStyle name="Normal 61 2 4 2 7 5" xfId="0"/>
    <cellStyle name="Normal 61 2 4 2 7 5 2" xfId="0"/>
    <cellStyle name="Normal 61 2 4 2 7 6" xfId="0"/>
    <cellStyle name="Normal 61 2 4 2 8" xfId="0"/>
    <cellStyle name="Normal 61 2 4 2 8 2" xfId="0"/>
    <cellStyle name="Normal 61 2 4 2 8 2 2" xfId="0"/>
    <cellStyle name="Normal 61 2 4 2 8 2 2 2" xfId="0"/>
    <cellStyle name="Normal 61 2 4 2 8 2 3" xfId="0"/>
    <cellStyle name="Normal 61 2 4 2 8 3" xfId="0"/>
    <cellStyle name="Normal 61 2 4 2 8 3 2" xfId="0"/>
    <cellStyle name="Normal 61 2 4 2 8 3 2 2" xfId="0"/>
    <cellStyle name="Normal 61 2 4 2 8 3 3" xfId="0"/>
    <cellStyle name="Normal 61 2 4 2 8 4" xfId="0"/>
    <cellStyle name="Normal 61 2 4 2 8 4 2" xfId="0"/>
    <cellStyle name="Normal 61 2 4 2 8 5" xfId="0"/>
    <cellStyle name="Normal 61 2 4 2 9" xfId="0"/>
    <cellStyle name="Normal 61 2 4 2 9 2" xfId="0"/>
    <cellStyle name="Normal 61 2 4 2 9 2 2" xfId="0"/>
    <cellStyle name="Normal 61 2 4 2 9 3" xfId="0"/>
    <cellStyle name="Normal 61 2 4 3" xfId="0"/>
    <cellStyle name="Normal 61 2 4 3 10" xfId="0"/>
    <cellStyle name="Normal 61 2 4 3 2" xfId="0"/>
    <cellStyle name="Normal 61 2 4 3 2 2" xfId="0"/>
    <cellStyle name="Normal 61 2 4 3 2 2 2" xfId="0"/>
    <cellStyle name="Normal 61 2 4 3 2 2 2 2" xfId="0"/>
    <cellStyle name="Normal 61 2 4 3 2 2 2 2 2" xfId="0"/>
    <cellStyle name="Normal 61 2 4 3 2 2 2 2 2 2" xfId="0"/>
    <cellStyle name="Normal 61 2 4 3 2 2 2 2 2 2 2" xfId="0"/>
    <cellStyle name="Normal 61 2 4 3 2 2 2 2 2 2 2 2" xfId="0"/>
    <cellStyle name="Normal 61 2 4 3 2 2 2 2 2 2 3" xfId="0"/>
    <cellStyle name="Normal 61 2 4 3 2 2 2 2 2 3" xfId="0"/>
    <cellStyle name="Normal 61 2 4 3 2 2 2 2 2 3 2" xfId="0"/>
    <cellStyle name="Normal 61 2 4 3 2 2 2 2 2 3 2 2" xfId="0"/>
    <cellStyle name="Normal 61 2 4 3 2 2 2 2 2 3 3" xfId="0"/>
    <cellStyle name="Normal 61 2 4 3 2 2 2 2 2 4" xfId="0"/>
    <cellStyle name="Normal 61 2 4 3 2 2 2 2 2 4 2" xfId="0"/>
    <cellStyle name="Normal 61 2 4 3 2 2 2 2 2 5" xfId="0"/>
    <cellStyle name="Normal 61 2 4 3 2 2 2 2 3" xfId="0"/>
    <cellStyle name="Normal 61 2 4 3 2 2 2 2 3 2" xfId="0"/>
    <cellStyle name="Normal 61 2 4 3 2 2 2 2 3 2 2" xfId="0"/>
    <cellStyle name="Normal 61 2 4 3 2 2 2 2 3 3" xfId="0"/>
    <cellStyle name="Normal 61 2 4 3 2 2 2 2 4" xfId="0"/>
    <cellStyle name="Normal 61 2 4 3 2 2 2 2 4 2" xfId="0"/>
    <cellStyle name="Normal 61 2 4 3 2 2 2 2 4 2 2" xfId="0"/>
    <cellStyle name="Normal 61 2 4 3 2 2 2 2 4 3" xfId="0"/>
    <cellStyle name="Normal 61 2 4 3 2 2 2 2 5" xfId="0"/>
    <cellStyle name="Normal 61 2 4 3 2 2 2 2 5 2" xfId="0"/>
    <cellStyle name="Normal 61 2 4 3 2 2 2 2 6" xfId="0"/>
    <cellStyle name="Normal 61 2 4 3 2 2 2 3" xfId="0"/>
    <cellStyle name="Normal 61 2 4 3 2 2 2 3 2" xfId="0"/>
    <cellStyle name="Normal 61 2 4 3 2 2 2 3 2 2" xfId="0"/>
    <cellStyle name="Normal 61 2 4 3 2 2 2 3 2 2 2" xfId="0"/>
    <cellStyle name="Normal 61 2 4 3 2 2 2 3 2 3" xfId="0"/>
    <cellStyle name="Normal 61 2 4 3 2 2 2 3 3" xfId="0"/>
    <cellStyle name="Normal 61 2 4 3 2 2 2 3 3 2" xfId="0"/>
    <cellStyle name="Normal 61 2 4 3 2 2 2 3 3 2 2" xfId="0"/>
    <cellStyle name="Normal 61 2 4 3 2 2 2 3 3 3" xfId="0"/>
    <cellStyle name="Normal 61 2 4 3 2 2 2 3 4" xfId="0"/>
    <cellStyle name="Normal 61 2 4 3 2 2 2 3 4 2" xfId="0"/>
    <cellStyle name="Normal 61 2 4 3 2 2 2 3 5" xfId="0"/>
    <cellStyle name="Normal 61 2 4 3 2 2 2 4" xfId="0"/>
    <cellStyle name="Normal 61 2 4 3 2 2 2 4 2" xfId="0"/>
    <cellStyle name="Normal 61 2 4 3 2 2 2 4 2 2" xfId="0"/>
    <cellStyle name="Normal 61 2 4 3 2 2 2 4 3" xfId="0"/>
    <cellStyle name="Normal 61 2 4 3 2 2 2 5" xfId="0"/>
    <cellStyle name="Normal 61 2 4 3 2 2 2 5 2" xfId="0"/>
    <cellStyle name="Normal 61 2 4 3 2 2 2 5 2 2" xfId="0"/>
    <cellStyle name="Normal 61 2 4 3 2 2 2 5 3" xfId="0"/>
    <cellStyle name="Normal 61 2 4 3 2 2 2 6" xfId="0"/>
    <cellStyle name="Normal 61 2 4 3 2 2 2 6 2" xfId="0"/>
    <cellStyle name="Normal 61 2 4 3 2 2 2 7" xfId="0"/>
    <cellStyle name="Normal 61 2 4 3 2 2 3" xfId="0"/>
    <cellStyle name="Normal 61 2 4 3 2 2 3 2" xfId="0"/>
    <cellStyle name="Normal 61 2 4 3 2 2 3 2 2" xfId="0"/>
    <cellStyle name="Normal 61 2 4 3 2 2 3 2 2 2" xfId="0"/>
    <cellStyle name="Normal 61 2 4 3 2 2 3 2 2 2 2" xfId="0"/>
    <cellStyle name="Normal 61 2 4 3 2 2 3 2 2 3" xfId="0"/>
    <cellStyle name="Normal 61 2 4 3 2 2 3 2 3" xfId="0"/>
    <cellStyle name="Normal 61 2 4 3 2 2 3 2 3 2" xfId="0"/>
    <cellStyle name="Normal 61 2 4 3 2 2 3 2 3 2 2" xfId="0"/>
    <cellStyle name="Normal 61 2 4 3 2 2 3 2 3 3" xfId="0"/>
    <cellStyle name="Normal 61 2 4 3 2 2 3 2 4" xfId="0"/>
    <cellStyle name="Normal 61 2 4 3 2 2 3 2 4 2" xfId="0"/>
    <cellStyle name="Normal 61 2 4 3 2 2 3 2 5" xfId="0"/>
    <cellStyle name="Normal 61 2 4 3 2 2 3 3" xfId="0"/>
    <cellStyle name="Normal 61 2 4 3 2 2 3 3 2" xfId="0"/>
    <cellStyle name="Normal 61 2 4 3 2 2 3 3 2 2" xfId="0"/>
    <cellStyle name="Normal 61 2 4 3 2 2 3 3 3" xfId="0"/>
    <cellStyle name="Normal 61 2 4 3 2 2 3 4" xfId="0"/>
    <cellStyle name="Normal 61 2 4 3 2 2 3 4 2" xfId="0"/>
    <cellStyle name="Normal 61 2 4 3 2 2 3 4 2 2" xfId="0"/>
    <cellStyle name="Normal 61 2 4 3 2 2 3 4 3" xfId="0"/>
    <cellStyle name="Normal 61 2 4 3 2 2 3 5" xfId="0"/>
    <cellStyle name="Normal 61 2 4 3 2 2 3 5 2" xfId="0"/>
    <cellStyle name="Normal 61 2 4 3 2 2 3 6" xfId="0"/>
    <cellStyle name="Normal 61 2 4 3 2 2 4" xfId="0"/>
    <cellStyle name="Normal 61 2 4 3 2 2 4 2" xfId="0"/>
    <cellStyle name="Normal 61 2 4 3 2 2 4 2 2" xfId="0"/>
    <cellStyle name="Normal 61 2 4 3 2 2 4 2 2 2" xfId="0"/>
    <cellStyle name="Normal 61 2 4 3 2 2 4 2 3" xfId="0"/>
    <cellStyle name="Normal 61 2 4 3 2 2 4 3" xfId="0"/>
    <cellStyle name="Normal 61 2 4 3 2 2 4 3 2" xfId="0"/>
    <cellStyle name="Normal 61 2 4 3 2 2 4 3 2 2" xfId="0"/>
    <cellStyle name="Normal 61 2 4 3 2 2 4 3 3" xfId="0"/>
    <cellStyle name="Normal 61 2 4 3 2 2 4 4" xfId="0"/>
    <cellStyle name="Normal 61 2 4 3 2 2 4 4 2" xfId="0"/>
    <cellStyle name="Normal 61 2 4 3 2 2 4 5" xfId="0"/>
    <cellStyle name="Normal 61 2 4 3 2 2 5" xfId="0"/>
    <cellStyle name="Normal 61 2 4 3 2 2 5 2" xfId="0"/>
    <cellStyle name="Normal 61 2 4 3 2 2 5 2 2" xfId="0"/>
    <cellStyle name="Normal 61 2 4 3 2 2 5 3" xfId="0"/>
    <cellStyle name="Normal 61 2 4 3 2 2 6" xfId="0"/>
    <cellStyle name="Normal 61 2 4 3 2 2 6 2" xfId="0"/>
    <cellStyle name="Normal 61 2 4 3 2 2 6 2 2" xfId="0"/>
    <cellStyle name="Normal 61 2 4 3 2 2 6 3" xfId="0"/>
    <cellStyle name="Normal 61 2 4 3 2 2 7" xfId="0"/>
    <cellStyle name="Normal 61 2 4 3 2 2 7 2" xfId="0"/>
    <cellStyle name="Normal 61 2 4 3 2 2 8" xfId="0"/>
    <cellStyle name="Normal 61 2 4 3 2 3" xfId="0"/>
    <cellStyle name="Normal 61 2 4 3 2 3 2" xfId="0"/>
    <cellStyle name="Normal 61 2 4 3 2 3 2 2" xfId="0"/>
    <cellStyle name="Normal 61 2 4 3 2 3 2 2 2" xfId="0"/>
    <cellStyle name="Normal 61 2 4 3 2 3 2 2 2 2" xfId="0"/>
    <cellStyle name="Normal 61 2 4 3 2 3 2 2 2 2 2" xfId="0"/>
    <cellStyle name="Normal 61 2 4 3 2 3 2 2 2 3" xfId="0"/>
    <cellStyle name="Normal 61 2 4 3 2 3 2 2 3" xfId="0"/>
    <cellStyle name="Normal 61 2 4 3 2 3 2 2 3 2" xfId="0"/>
    <cellStyle name="Normal 61 2 4 3 2 3 2 2 3 2 2" xfId="0"/>
    <cellStyle name="Normal 61 2 4 3 2 3 2 2 3 3" xfId="0"/>
    <cellStyle name="Normal 61 2 4 3 2 3 2 2 4" xfId="0"/>
    <cellStyle name="Normal 61 2 4 3 2 3 2 2 4 2" xfId="0"/>
    <cellStyle name="Normal 61 2 4 3 2 3 2 2 5" xfId="0"/>
    <cellStyle name="Normal 61 2 4 3 2 3 2 3" xfId="0"/>
    <cellStyle name="Normal 61 2 4 3 2 3 2 3 2" xfId="0"/>
    <cellStyle name="Normal 61 2 4 3 2 3 2 3 2 2" xfId="0"/>
    <cellStyle name="Normal 61 2 4 3 2 3 2 3 3" xfId="0"/>
    <cellStyle name="Normal 61 2 4 3 2 3 2 4" xfId="0"/>
    <cellStyle name="Normal 61 2 4 3 2 3 2 4 2" xfId="0"/>
    <cellStyle name="Normal 61 2 4 3 2 3 2 4 2 2" xfId="0"/>
    <cellStyle name="Normal 61 2 4 3 2 3 2 4 3" xfId="0"/>
    <cellStyle name="Normal 61 2 4 3 2 3 2 5" xfId="0"/>
    <cellStyle name="Normal 61 2 4 3 2 3 2 5 2" xfId="0"/>
    <cellStyle name="Normal 61 2 4 3 2 3 2 6" xfId="0"/>
    <cellStyle name="Normal 61 2 4 3 2 3 3" xfId="0"/>
    <cellStyle name="Normal 61 2 4 3 2 3 3 2" xfId="0"/>
    <cellStyle name="Normal 61 2 4 3 2 3 3 2 2" xfId="0"/>
    <cellStyle name="Normal 61 2 4 3 2 3 3 2 2 2" xfId="0"/>
    <cellStyle name="Normal 61 2 4 3 2 3 3 2 3" xfId="0"/>
    <cellStyle name="Normal 61 2 4 3 2 3 3 3" xfId="0"/>
    <cellStyle name="Normal 61 2 4 3 2 3 3 3 2" xfId="0"/>
    <cellStyle name="Normal 61 2 4 3 2 3 3 3 2 2" xfId="0"/>
    <cellStyle name="Normal 61 2 4 3 2 3 3 3 3" xfId="0"/>
    <cellStyle name="Normal 61 2 4 3 2 3 3 4" xfId="0"/>
    <cellStyle name="Normal 61 2 4 3 2 3 3 4 2" xfId="0"/>
    <cellStyle name="Normal 61 2 4 3 2 3 3 5" xfId="0"/>
    <cellStyle name="Normal 61 2 4 3 2 3 4" xfId="0"/>
    <cellStyle name="Normal 61 2 4 3 2 3 4 2" xfId="0"/>
    <cellStyle name="Normal 61 2 4 3 2 3 4 2 2" xfId="0"/>
    <cellStyle name="Normal 61 2 4 3 2 3 4 3" xfId="0"/>
    <cellStyle name="Normal 61 2 4 3 2 3 5" xfId="0"/>
    <cellStyle name="Normal 61 2 4 3 2 3 5 2" xfId="0"/>
    <cellStyle name="Normal 61 2 4 3 2 3 5 2 2" xfId="0"/>
    <cellStyle name="Normal 61 2 4 3 2 3 5 3" xfId="0"/>
    <cellStyle name="Normal 61 2 4 3 2 3 6" xfId="0"/>
    <cellStyle name="Normal 61 2 4 3 2 3 6 2" xfId="0"/>
    <cellStyle name="Normal 61 2 4 3 2 3 7" xfId="0"/>
    <cellStyle name="Normal 61 2 4 3 2 4" xfId="0"/>
    <cellStyle name="Normal 61 2 4 3 2 4 2" xfId="0"/>
    <cellStyle name="Normal 61 2 4 3 2 4 2 2" xfId="0"/>
    <cellStyle name="Normal 61 2 4 3 2 4 2 2 2" xfId="0"/>
    <cellStyle name="Normal 61 2 4 3 2 4 2 2 2 2" xfId="0"/>
    <cellStyle name="Normal 61 2 4 3 2 4 2 2 3" xfId="0"/>
    <cellStyle name="Normal 61 2 4 3 2 4 2 3" xfId="0"/>
    <cellStyle name="Normal 61 2 4 3 2 4 2 3 2" xfId="0"/>
    <cellStyle name="Normal 61 2 4 3 2 4 2 3 2 2" xfId="0"/>
    <cellStyle name="Normal 61 2 4 3 2 4 2 3 3" xfId="0"/>
    <cellStyle name="Normal 61 2 4 3 2 4 2 4" xfId="0"/>
    <cellStyle name="Normal 61 2 4 3 2 4 2 4 2" xfId="0"/>
    <cellStyle name="Normal 61 2 4 3 2 4 2 5" xfId="0"/>
    <cellStyle name="Normal 61 2 4 3 2 4 3" xfId="0"/>
    <cellStyle name="Normal 61 2 4 3 2 4 3 2" xfId="0"/>
    <cellStyle name="Normal 61 2 4 3 2 4 3 2 2" xfId="0"/>
    <cellStyle name="Normal 61 2 4 3 2 4 3 3" xfId="0"/>
    <cellStyle name="Normal 61 2 4 3 2 4 4" xfId="0"/>
    <cellStyle name="Normal 61 2 4 3 2 4 4 2" xfId="0"/>
    <cellStyle name="Normal 61 2 4 3 2 4 4 2 2" xfId="0"/>
    <cellStyle name="Normal 61 2 4 3 2 4 4 3" xfId="0"/>
    <cellStyle name="Normal 61 2 4 3 2 4 5" xfId="0"/>
    <cellStyle name="Normal 61 2 4 3 2 4 5 2" xfId="0"/>
    <cellStyle name="Normal 61 2 4 3 2 4 6" xfId="0"/>
    <cellStyle name="Normal 61 2 4 3 2 5" xfId="0"/>
    <cellStyle name="Normal 61 2 4 3 2 5 2" xfId="0"/>
    <cellStyle name="Normal 61 2 4 3 2 5 2 2" xfId="0"/>
    <cellStyle name="Normal 61 2 4 3 2 5 2 2 2" xfId="0"/>
    <cellStyle name="Normal 61 2 4 3 2 5 2 3" xfId="0"/>
    <cellStyle name="Normal 61 2 4 3 2 5 3" xfId="0"/>
    <cellStyle name="Normal 61 2 4 3 2 5 3 2" xfId="0"/>
    <cellStyle name="Normal 61 2 4 3 2 5 3 2 2" xfId="0"/>
    <cellStyle name="Normal 61 2 4 3 2 5 3 3" xfId="0"/>
    <cellStyle name="Normal 61 2 4 3 2 5 4" xfId="0"/>
    <cellStyle name="Normal 61 2 4 3 2 5 4 2" xfId="0"/>
    <cellStyle name="Normal 61 2 4 3 2 5 5" xfId="0"/>
    <cellStyle name="Normal 61 2 4 3 2 6" xfId="0"/>
    <cellStyle name="Normal 61 2 4 3 2 6 2" xfId="0"/>
    <cellStyle name="Normal 61 2 4 3 2 6 2 2" xfId="0"/>
    <cellStyle name="Normal 61 2 4 3 2 6 3" xfId="0"/>
    <cellStyle name="Normal 61 2 4 3 2 7" xfId="0"/>
    <cellStyle name="Normal 61 2 4 3 2 7 2" xfId="0"/>
    <cellStyle name="Normal 61 2 4 3 2 7 2 2" xfId="0"/>
    <cellStyle name="Normal 61 2 4 3 2 7 3" xfId="0"/>
    <cellStyle name="Normal 61 2 4 3 2 8" xfId="0"/>
    <cellStyle name="Normal 61 2 4 3 2 8 2" xfId="0"/>
    <cellStyle name="Normal 61 2 4 3 2 9" xfId="0"/>
    <cellStyle name="Normal 61 2 4 3 3" xfId="0"/>
    <cellStyle name="Normal 61 2 4 3 3 2" xfId="0"/>
    <cellStyle name="Normal 61 2 4 3 3 2 2" xfId="0"/>
    <cellStyle name="Normal 61 2 4 3 3 2 2 2" xfId="0"/>
    <cellStyle name="Normal 61 2 4 3 3 2 2 2 2" xfId="0"/>
    <cellStyle name="Normal 61 2 4 3 3 2 2 2 2 2" xfId="0"/>
    <cellStyle name="Normal 61 2 4 3 3 2 2 2 2 2 2" xfId="0"/>
    <cellStyle name="Normal 61 2 4 3 3 2 2 2 2 3" xfId="0"/>
    <cellStyle name="Normal 61 2 4 3 3 2 2 2 3" xfId="0"/>
    <cellStyle name="Normal 61 2 4 3 3 2 2 2 3 2" xfId="0"/>
    <cellStyle name="Normal 61 2 4 3 3 2 2 2 3 2 2" xfId="0"/>
    <cellStyle name="Normal 61 2 4 3 3 2 2 2 3 3" xfId="0"/>
    <cellStyle name="Normal 61 2 4 3 3 2 2 2 4" xfId="0"/>
    <cellStyle name="Normal 61 2 4 3 3 2 2 2 4 2" xfId="0"/>
    <cellStyle name="Normal 61 2 4 3 3 2 2 2 5" xfId="0"/>
    <cellStyle name="Normal 61 2 4 3 3 2 2 3" xfId="0"/>
    <cellStyle name="Normal 61 2 4 3 3 2 2 3 2" xfId="0"/>
    <cellStyle name="Normal 61 2 4 3 3 2 2 3 2 2" xfId="0"/>
    <cellStyle name="Normal 61 2 4 3 3 2 2 3 3" xfId="0"/>
    <cellStyle name="Normal 61 2 4 3 3 2 2 4" xfId="0"/>
    <cellStyle name="Normal 61 2 4 3 3 2 2 4 2" xfId="0"/>
    <cellStyle name="Normal 61 2 4 3 3 2 2 4 2 2" xfId="0"/>
    <cellStyle name="Normal 61 2 4 3 3 2 2 4 3" xfId="0"/>
    <cellStyle name="Normal 61 2 4 3 3 2 2 5" xfId="0"/>
    <cellStyle name="Normal 61 2 4 3 3 2 2 5 2" xfId="0"/>
    <cellStyle name="Normal 61 2 4 3 3 2 2 6" xfId="0"/>
    <cellStyle name="Normal 61 2 4 3 3 2 3" xfId="0"/>
    <cellStyle name="Normal 61 2 4 3 3 2 3 2" xfId="0"/>
    <cellStyle name="Normal 61 2 4 3 3 2 3 2 2" xfId="0"/>
    <cellStyle name="Normal 61 2 4 3 3 2 3 2 2 2" xfId="0"/>
    <cellStyle name="Normal 61 2 4 3 3 2 3 2 3" xfId="0"/>
    <cellStyle name="Normal 61 2 4 3 3 2 3 3" xfId="0"/>
    <cellStyle name="Normal 61 2 4 3 3 2 3 3 2" xfId="0"/>
    <cellStyle name="Normal 61 2 4 3 3 2 3 3 2 2" xfId="0"/>
    <cellStyle name="Normal 61 2 4 3 3 2 3 3 3" xfId="0"/>
    <cellStyle name="Normal 61 2 4 3 3 2 3 4" xfId="0"/>
    <cellStyle name="Normal 61 2 4 3 3 2 3 4 2" xfId="0"/>
    <cellStyle name="Normal 61 2 4 3 3 2 3 5" xfId="0"/>
    <cellStyle name="Normal 61 2 4 3 3 2 4" xfId="0"/>
    <cellStyle name="Normal 61 2 4 3 3 2 4 2" xfId="0"/>
    <cellStyle name="Normal 61 2 4 3 3 2 4 2 2" xfId="0"/>
    <cellStyle name="Normal 61 2 4 3 3 2 4 3" xfId="0"/>
    <cellStyle name="Normal 61 2 4 3 3 2 5" xfId="0"/>
    <cellStyle name="Normal 61 2 4 3 3 2 5 2" xfId="0"/>
    <cellStyle name="Normal 61 2 4 3 3 2 5 2 2" xfId="0"/>
    <cellStyle name="Normal 61 2 4 3 3 2 5 3" xfId="0"/>
    <cellStyle name="Normal 61 2 4 3 3 2 6" xfId="0"/>
    <cellStyle name="Normal 61 2 4 3 3 2 6 2" xfId="0"/>
    <cellStyle name="Normal 61 2 4 3 3 2 7" xfId="0"/>
    <cellStyle name="Normal 61 2 4 3 3 3" xfId="0"/>
    <cellStyle name="Normal 61 2 4 3 3 3 2" xfId="0"/>
    <cellStyle name="Normal 61 2 4 3 3 3 2 2" xfId="0"/>
    <cellStyle name="Normal 61 2 4 3 3 3 2 2 2" xfId="0"/>
    <cellStyle name="Normal 61 2 4 3 3 3 2 2 2 2" xfId="0"/>
    <cellStyle name="Normal 61 2 4 3 3 3 2 2 3" xfId="0"/>
    <cellStyle name="Normal 61 2 4 3 3 3 2 3" xfId="0"/>
    <cellStyle name="Normal 61 2 4 3 3 3 2 3 2" xfId="0"/>
    <cellStyle name="Normal 61 2 4 3 3 3 2 3 2 2" xfId="0"/>
    <cellStyle name="Normal 61 2 4 3 3 3 2 3 3" xfId="0"/>
    <cellStyle name="Normal 61 2 4 3 3 3 2 4" xfId="0"/>
    <cellStyle name="Normal 61 2 4 3 3 3 2 4 2" xfId="0"/>
    <cellStyle name="Normal 61 2 4 3 3 3 2 5" xfId="0"/>
    <cellStyle name="Normal 61 2 4 3 3 3 3" xfId="0"/>
    <cellStyle name="Normal 61 2 4 3 3 3 3 2" xfId="0"/>
    <cellStyle name="Normal 61 2 4 3 3 3 3 2 2" xfId="0"/>
    <cellStyle name="Normal 61 2 4 3 3 3 3 3" xfId="0"/>
    <cellStyle name="Normal 61 2 4 3 3 3 4" xfId="0"/>
    <cellStyle name="Normal 61 2 4 3 3 3 4 2" xfId="0"/>
    <cellStyle name="Normal 61 2 4 3 3 3 4 2 2" xfId="0"/>
    <cellStyle name="Normal 61 2 4 3 3 3 4 3" xfId="0"/>
    <cellStyle name="Normal 61 2 4 3 3 3 5" xfId="0"/>
    <cellStyle name="Normal 61 2 4 3 3 3 5 2" xfId="0"/>
    <cellStyle name="Normal 61 2 4 3 3 3 6" xfId="0"/>
    <cellStyle name="Normal 61 2 4 3 3 4" xfId="0"/>
    <cellStyle name="Normal 61 2 4 3 3 4 2" xfId="0"/>
    <cellStyle name="Normal 61 2 4 3 3 4 2 2" xfId="0"/>
    <cellStyle name="Normal 61 2 4 3 3 4 2 2 2" xfId="0"/>
    <cellStyle name="Normal 61 2 4 3 3 4 2 3" xfId="0"/>
    <cellStyle name="Normal 61 2 4 3 3 4 3" xfId="0"/>
    <cellStyle name="Normal 61 2 4 3 3 4 3 2" xfId="0"/>
    <cellStyle name="Normal 61 2 4 3 3 4 3 2 2" xfId="0"/>
    <cellStyle name="Normal 61 2 4 3 3 4 3 3" xfId="0"/>
    <cellStyle name="Normal 61 2 4 3 3 4 4" xfId="0"/>
    <cellStyle name="Normal 61 2 4 3 3 4 4 2" xfId="0"/>
    <cellStyle name="Normal 61 2 4 3 3 4 5" xfId="0"/>
    <cellStyle name="Normal 61 2 4 3 3 5" xfId="0"/>
    <cellStyle name="Normal 61 2 4 3 3 5 2" xfId="0"/>
    <cellStyle name="Normal 61 2 4 3 3 5 2 2" xfId="0"/>
    <cellStyle name="Normal 61 2 4 3 3 5 3" xfId="0"/>
    <cellStyle name="Normal 61 2 4 3 3 6" xfId="0"/>
    <cellStyle name="Normal 61 2 4 3 3 6 2" xfId="0"/>
    <cellStyle name="Normal 61 2 4 3 3 6 2 2" xfId="0"/>
    <cellStyle name="Normal 61 2 4 3 3 6 3" xfId="0"/>
    <cellStyle name="Normal 61 2 4 3 3 7" xfId="0"/>
    <cellStyle name="Normal 61 2 4 3 3 7 2" xfId="0"/>
    <cellStyle name="Normal 61 2 4 3 3 8" xfId="0"/>
    <cellStyle name="Normal 61 2 4 3 4" xfId="0"/>
    <cellStyle name="Normal 61 2 4 3 4 2" xfId="0"/>
    <cellStyle name="Normal 61 2 4 3 4 2 2" xfId="0"/>
    <cellStyle name="Normal 61 2 4 3 4 2 2 2" xfId="0"/>
    <cellStyle name="Normal 61 2 4 3 4 2 2 2 2" xfId="0"/>
    <cellStyle name="Normal 61 2 4 3 4 2 2 2 2 2" xfId="0"/>
    <cellStyle name="Normal 61 2 4 3 4 2 2 2 3" xfId="0"/>
    <cellStyle name="Normal 61 2 4 3 4 2 2 3" xfId="0"/>
    <cellStyle name="Normal 61 2 4 3 4 2 2 3 2" xfId="0"/>
    <cellStyle name="Normal 61 2 4 3 4 2 2 3 2 2" xfId="0"/>
    <cellStyle name="Normal 61 2 4 3 4 2 2 3 3" xfId="0"/>
    <cellStyle name="Normal 61 2 4 3 4 2 2 4" xfId="0"/>
    <cellStyle name="Normal 61 2 4 3 4 2 2 4 2" xfId="0"/>
    <cellStyle name="Normal 61 2 4 3 4 2 2 5" xfId="0"/>
    <cellStyle name="Normal 61 2 4 3 4 2 3" xfId="0"/>
    <cellStyle name="Normal 61 2 4 3 4 2 3 2" xfId="0"/>
    <cellStyle name="Normal 61 2 4 3 4 2 3 2 2" xfId="0"/>
    <cellStyle name="Normal 61 2 4 3 4 2 3 3" xfId="0"/>
    <cellStyle name="Normal 61 2 4 3 4 2 4" xfId="0"/>
    <cellStyle name="Normal 61 2 4 3 4 2 4 2" xfId="0"/>
    <cellStyle name="Normal 61 2 4 3 4 2 4 2 2" xfId="0"/>
    <cellStyle name="Normal 61 2 4 3 4 2 4 3" xfId="0"/>
    <cellStyle name="Normal 61 2 4 3 4 2 5" xfId="0"/>
    <cellStyle name="Normal 61 2 4 3 4 2 5 2" xfId="0"/>
    <cellStyle name="Normal 61 2 4 3 4 2 6" xfId="0"/>
    <cellStyle name="Normal 61 2 4 3 4 3" xfId="0"/>
    <cellStyle name="Normal 61 2 4 3 4 3 2" xfId="0"/>
    <cellStyle name="Normal 61 2 4 3 4 3 2 2" xfId="0"/>
    <cellStyle name="Normal 61 2 4 3 4 3 2 2 2" xfId="0"/>
    <cellStyle name="Normal 61 2 4 3 4 3 2 3" xfId="0"/>
    <cellStyle name="Normal 61 2 4 3 4 3 3" xfId="0"/>
    <cellStyle name="Normal 61 2 4 3 4 3 3 2" xfId="0"/>
    <cellStyle name="Normal 61 2 4 3 4 3 3 2 2" xfId="0"/>
    <cellStyle name="Normal 61 2 4 3 4 3 3 3" xfId="0"/>
    <cellStyle name="Normal 61 2 4 3 4 3 4" xfId="0"/>
    <cellStyle name="Normal 61 2 4 3 4 3 4 2" xfId="0"/>
    <cellStyle name="Normal 61 2 4 3 4 3 5" xfId="0"/>
    <cellStyle name="Normal 61 2 4 3 4 4" xfId="0"/>
    <cellStyle name="Normal 61 2 4 3 4 4 2" xfId="0"/>
    <cellStyle name="Normal 61 2 4 3 4 4 2 2" xfId="0"/>
    <cellStyle name="Normal 61 2 4 3 4 4 3" xfId="0"/>
    <cellStyle name="Normal 61 2 4 3 4 5" xfId="0"/>
    <cellStyle name="Normal 61 2 4 3 4 5 2" xfId="0"/>
    <cellStyle name="Normal 61 2 4 3 4 5 2 2" xfId="0"/>
    <cellStyle name="Normal 61 2 4 3 4 5 3" xfId="0"/>
    <cellStyle name="Normal 61 2 4 3 4 6" xfId="0"/>
    <cellStyle name="Normal 61 2 4 3 4 6 2" xfId="0"/>
    <cellStyle name="Normal 61 2 4 3 4 7" xfId="0"/>
    <cellStyle name="Normal 61 2 4 3 5" xfId="0"/>
    <cellStyle name="Normal 61 2 4 3 5 2" xfId="0"/>
    <cellStyle name="Normal 61 2 4 3 5 2 2" xfId="0"/>
    <cellStyle name="Normal 61 2 4 3 5 2 2 2" xfId="0"/>
    <cellStyle name="Normal 61 2 4 3 5 2 2 2 2" xfId="0"/>
    <cellStyle name="Normal 61 2 4 3 5 2 2 3" xfId="0"/>
    <cellStyle name="Normal 61 2 4 3 5 2 3" xfId="0"/>
    <cellStyle name="Normal 61 2 4 3 5 2 3 2" xfId="0"/>
    <cellStyle name="Normal 61 2 4 3 5 2 3 2 2" xfId="0"/>
    <cellStyle name="Normal 61 2 4 3 5 2 3 3" xfId="0"/>
    <cellStyle name="Normal 61 2 4 3 5 2 4" xfId="0"/>
    <cellStyle name="Normal 61 2 4 3 5 2 4 2" xfId="0"/>
    <cellStyle name="Normal 61 2 4 3 5 2 5" xfId="0"/>
    <cellStyle name="Normal 61 2 4 3 5 3" xfId="0"/>
    <cellStyle name="Normal 61 2 4 3 5 3 2" xfId="0"/>
    <cellStyle name="Normal 61 2 4 3 5 3 2 2" xfId="0"/>
    <cellStyle name="Normal 61 2 4 3 5 3 3" xfId="0"/>
    <cellStyle name="Normal 61 2 4 3 5 4" xfId="0"/>
    <cellStyle name="Normal 61 2 4 3 5 4 2" xfId="0"/>
    <cellStyle name="Normal 61 2 4 3 5 4 2 2" xfId="0"/>
    <cellStyle name="Normal 61 2 4 3 5 4 3" xfId="0"/>
    <cellStyle name="Normal 61 2 4 3 5 5" xfId="0"/>
    <cellStyle name="Normal 61 2 4 3 5 5 2" xfId="0"/>
    <cellStyle name="Normal 61 2 4 3 5 6" xfId="0"/>
    <cellStyle name="Normal 61 2 4 3 6" xfId="0"/>
    <cellStyle name="Normal 61 2 4 3 6 2" xfId="0"/>
    <cellStyle name="Normal 61 2 4 3 6 2 2" xfId="0"/>
    <cellStyle name="Normal 61 2 4 3 6 2 2 2" xfId="0"/>
    <cellStyle name="Normal 61 2 4 3 6 2 3" xfId="0"/>
    <cellStyle name="Normal 61 2 4 3 6 3" xfId="0"/>
    <cellStyle name="Normal 61 2 4 3 6 3 2" xfId="0"/>
    <cellStyle name="Normal 61 2 4 3 6 3 2 2" xfId="0"/>
    <cellStyle name="Normal 61 2 4 3 6 3 3" xfId="0"/>
    <cellStyle name="Normal 61 2 4 3 6 4" xfId="0"/>
    <cellStyle name="Normal 61 2 4 3 6 4 2" xfId="0"/>
    <cellStyle name="Normal 61 2 4 3 6 5" xfId="0"/>
    <cellStyle name="Normal 61 2 4 3 7" xfId="0"/>
    <cellStyle name="Normal 61 2 4 3 7 2" xfId="0"/>
    <cellStyle name="Normal 61 2 4 3 7 2 2" xfId="0"/>
    <cellStyle name="Normal 61 2 4 3 7 3" xfId="0"/>
    <cellStyle name="Normal 61 2 4 3 8" xfId="0"/>
    <cellStyle name="Normal 61 2 4 3 8 2" xfId="0"/>
    <cellStyle name="Normal 61 2 4 3 8 2 2" xfId="0"/>
    <cellStyle name="Normal 61 2 4 3 8 3" xfId="0"/>
    <cellStyle name="Normal 61 2 4 3 9" xfId="0"/>
    <cellStyle name="Normal 61 2 4 3 9 2" xfId="0"/>
    <cellStyle name="Normal 61 2 4 4" xfId="0"/>
    <cellStyle name="Normal 61 2 4 4 10" xfId="0"/>
    <cellStyle name="Normal 61 2 4 4 2" xfId="0"/>
    <cellStyle name="Normal 61 2 4 4 2 2" xfId="0"/>
    <cellStyle name="Normal 61 2 4 4 2 2 2" xfId="0"/>
    <cellStyle name="Normal 61 2 4 4 2 2 2 2" xfId="0"/>
    <cellStyle name="Normal 61 2 4 4 2 2 2 2 2" xfId="0"/>
    <cellStyle name="Normal 61 2 4 4 2 2 2 2 2 2" xfId="0"/>
    <cellStyle name="Normal 61 2 4 4 2 2 2 2 2 2 2" xfId="0"/>
    <cellStyle name="Normal 61 2 4 4 2 2 2 2 2 2 2 2" xfId="0"/>
    <cellStyle name="Normal 61 2 4 4 2 2 2 2 2 2 3" xfId="0"/>
    <cellStyle name="Normal 61 2 4 4 2 2 2 2 2 3" xfId="0"/>
    <cellStyle name="Normal 61 2 4 4 2 2 2 2 2 3 2" xfId="0"/>
    <cellStyle name="Normal 61 2 4 4 2 2 2 2 2 3 2 2" xfId="0"/>
    <cellStyle name="Normal 61 2 4 4 2 2 2 2 2 3 3" xfId="0"/>
    <cellStyle name="Normal 61 2 4 4 2 2 2 2 2 4" xfId="0"/>
    <cellStyle name="Normal 61 2 4 4 2 2 2 2 2 4 2" xfId="0"/>
    <cellStyle name="Normal 61 2 4 4 2 2 2 2 2 5" xfId="0"/>
    <cellStyle name="Normal 61 2 4 4 2 2 2 2 3" xfId="0"/>
    <cellStyle name="Normal 61 2 4 4 2 2 2 2 3 2" xfId="0"/>
    <cellStyle name="Normal 61 2 4 4 2 2 2 2 3 2 2" xfId="0"/>
    <cellStyle name="Normal 61 2 4 4 2 2 2 2 3 3" xfId="0"/>
    <cellStyle name="Normal 61 2 4 4 2 2 2 2 4" xfId="0"/>
    <cellStyle name="Normal 61 2 4 4 2 2 2 2 4 2" xfId="0"/>
    <cellStyle name="Normal 61 2 4 4 2 2 2 2 4 2 2" xfId="0"/>
    <cellStyle name="Normal 61 2 4 4 2 2 2 2 4 3" xfId="0"/>
    <cellStyle name="Normal 61 2 4 4 2 2 2 2 5" xfId="0"/>
    <cellStyle name="Normal 61 2 4 4 2 2 2 2 5 2" xfId="0"/>
    <cellStyle name="Normal 61 2 4 4 2 2 2 2 6" xfId="0"/>
    <cellStyle name="Normal 61 2 4 4 2 2 2 3" xfId="0"/>
    <cellStyle name="Normal 61 2 4 4 2 2 2 3 2" xfId="0"/>
    <cellStyle name="Normal 61 2 4 4 2 2 2 3 2 2" xfId="0"/>
    <cellStyle name="Normal 61 2 4 4 2 2 2 3 2 2 2" xfId="0"/>
    <cellStyle name="Normal 61 2 4 4 2 2 2 3 2 3" xfId="0"/>
    <cellStyle name="Normal 61 2 4 4 2 2 2 3 3" xfId="0"/>
    <cellStyle name="Normal 61 2 4 4 2 2 2 3 3 2" xfId="0"/>
    <cellStyle name="Normal 61 2 4 4 2 2 2 3 3 2 2" xfId="0"/>
    <cellStyle name="Normal 61 2 4 4 2 2 2 3 3 3" xfId="0"/>
    <cellStyle name="Normal 61 2 4 4 2 2 2 3 4" xfId="0"/>
    <cellStyle name="Normal 61 2 4 4 2 2 2 3 4 2" xfId="0"/>
    <cellStyle name="Normal 61 2 4 4 2 2 2 3 5" xfId="0"/>
    <cellStyle name="Normal 61 2 4 4 2 2 2 4" xfId="0"/>
    <cellStyle name="Normal 61 2 4 4 2 2 2 4 2" xfId="0"/>
    <cellStyle name="Normal 61 2 4 4 2 2 2 4 2 2" xfId="0"/>
    <cellStyle name="Normal 61 2 4 4 2 2 2 4 3" xfId="0"/>
    <cellStyle name="Normal 61 2 4 4 2 2 2 5" xfId="0"/>
    <cellStyle name="Normal 61 2 4 4 2 2 2 5 2" xfId="0"/>
    <cellStyle name="Normal 61 2 4 4 2 2 2 5 2 2" xfId="0"/>
    <cellStyle name="Normal 61 2 4 4 2 2 2 5 3" xfId="0"/>
    <cellStyle name="Normal 61 2 4 4 2 2 2 6" xfId="0"/>
    <cellStyle name="Normal 61 2 4 4 2 2 2 6 2" xfId="0"/>
    <cellStyle name="Normal 61 2 4 4 2 2 2 7" xfId="0"/>
    <cellStyle name="Normal 61 2 4 4 2 2 3" xfId="0"/>
    <cellStyle name="Normal 61 2 4 4 2 2 3 2" xfId="0"/>
    <cellStyle name="Normal 61 2 4 4 2 2 3 2 2" xfId="0"/>
    <cellStyle name="Normal 61 2 4 4 2 2 3 2 2 2" xfId="0"/>
    <cellStyle name="Normal 61 2 4 4 2 2 3 2 2 2 2" xfId="0"/>
    <cellStyle name="Normal 61 2 4 4 2 2 3 2 2 3" xfId="0"/>
    <cellStyle name="Normal 61 2 4 4 2 2 3 2 3" xfId="0"/>
    <cellStyle name="Normal 61 2 4 4 2 2 3 2 3 2" xfId="0"/>
    <cellStyle name="Normal 61 2 4 4 2 2 3 2 3 2 2" xfId="0"/>
    <cellStyle name="Normal 61 2 4 4 2 2 3 2 3 3" xfId="0"/>
    <cellStyle name="Normal 61 2 4 4 2 2 3 2 4" xfId="0"/>
    <cellStyle name="Normal 61 2 4 4 2 2 3 2 4 2" xfId="0"/>
    <cellStyle name="Normal 61 2 4 4 2 2 3 2 5" xfId="0"/>
    <cellStyle name="Normal 61 2 4 4 2 2 3 3" xfId="0"/>
    <cellStyle name="Normal 61 2 4 4 2 2 3 3 2" xfId="0"/>
    <cellStyle name="Normal 61 2 4 4 2 2 3 3 2 2" xfId="0"/>
    <cellStyle name="Normal 61 2 4 4 2 2 3 3 3" xfId="0"/>
    <cellStyle name="Normal 61 2 4 4 2 2 3 4" xfId="0"/>
    <cellStyle name="Normal 61 2 4 4 2 2 3 4 2" xfId="0"/>
    <cellStyle name="Normal 61 2 4 4 2 2 3 4 2 2" xfId="0"/>
    <cellStyle name="Normal 61 2 4 4 2 2 3 4 3" xfId="0"/>
    <cellStyle name="Normal 61 2 4 4 2 2 3 5" xfId="0"/>
    <cellStyle name="Normal 61 2 4 4 2 2 3 5 2" xfId="0"/>
    <cellStyle name="Normal 61 2 4 4 2 2 3 6" xfId="0"/>
    <cellStyle name="Normal 61 2 4 4 2 2 4" xfId="0"/>
    <cellStyle name="Normal 61 2 4 4 2 2 4 2" xfId="0"/>
    <cellStyle name="Normal 61 2 4 4 2 2 4 2 2" xfId="0"/>
    <cellStyle name="Normal 61 2 4 4 2 2 4 2 2 2" xfId="0"/>
    <cellStyle name="Normal 61 2 4 4 2 2 4 2 3" xfId="0"/>
    <cellStyle name="Normal 61 2 4 4 2 2 4 3" xfId="0"/>
    <cellStyle name="Normal 61 2 4 4 2 2 4 3 2" xfId="0"/>
    <cellStyle name="Normal 61 2 4 4 2 2 4 3 2 2" xfId="0"/>
    <cellStyle name="Normal 61 2 4 4 2 2 4 3 3" xfId="0"/>
    <cellStyle name="Normal 61 2 4 4 2 2 4 4" xfId="0"/>
    <cellStyle name="Normal 61 2 4 4 2 2 4 4 2" xfId="0"/>
    <cellStyle name="Normal 61 2 4 4 2 2 4 5" xfId="0"/>
    <cellStyle name="Normal 61 2 4 4 2 2 5" xfId="0"/>
    <cellStyle name="Normal 61 2 4 4 2 2 5 2" xfId="0"/>
    <cellStyle name="Normal 61 2 4 4 2 2 5 2 2" xfId="0"/>
    <cellStyle name="Normal 61 2 4 4 2 2 5 3" xfId="0"/>
    <cellStyle name="Normal 61 2 4 4 2 2 6" xfId="0"/>
    <cellStyle name="Normal 61 2 4 4 2 2 6 2" xfId="0"/>
    <cellStyle name="Normal 61 2 4 4 2 2 6 2 2" xfId="0"/>
    <cellStyle name="Normal 61 2 4 4 2 2 6 3" xfId="0"/>
    <cellStyle name="Normal 61 2 4 4 2 2 7" xfId="0"/>
    <cellStyle name="Normal 61 2 4 4 2 2 7 2" xfId="0"/>
    <cellStyle name="Normal 61 2 4 4 2 2 8" xfId="0"/>
    <cellStyle name="Normal 61 2 4 4 2 3" xfId="0"/>
    <cellStyle name="Normal 61 2 4 4 2 3 2" xfId="0"/>
    <cellStyle name="Normal 61 2 4 4 2 3 2 2" xfId="0"/>
    <cellStyle name="Normal 61 2 4 4 2 3 2 2 2" xfId="0"/>
    <cellStyle name="Normal 61 2 4 4 2 3 2 2 2 2" xfId="0"/>
    <cellStyle name="Normal 61 2 4 4 2 3 2 2 2 2 2" xfId="0"/>
    <cellStyle name="Normal 61 2 4 4 2 3 2 2 2 3" xfId="0"/>
    <cellStyle name="Normal 61 2 4 4 2 3 2 2 3" xfId="0"/>
    <cellStyle name="Normal 61 2 4 4 2 3 2 2 3 2" xfId="0"/>
    <cellStyle name="Normal 61 2 4 4 2 3 2 2 3 2 2" xfId="0"/>
    <cellStyle name="Normal 61 2 4 4 2 3 2 2 3 3" xfId="0"/>
    <cellStyle name="Normal 61 2 4 4 2 3 2 2 4" xfId="0"/>
    <cellStyle name="Normal 61 2 4 4 2 3 2 2 4 2" xfId="0"/>
    <cellStyle name="Normal 61 2 4 4 2 3 2 2 5" xfId="0"/>
    <cellStyle name="Normal 61 2 4 4 2 3 2 3" xfId="0"/>
    <cellStyle name="Normal 61 2 4 4 2 3 2 3 2" xfId="0"/>
    <cellStyle name="Normal 61 2 4 4 2 3 2 3 2 2" xfId="0"/>
    <cellStyle name="Normal 61 2 4 4 2 3 2 3 3" xfId="0"/>
    <cellStyle name="Normal 61 2 4 4 2 3 2 4" xfId="0"/>
    <cellStyle name="Normal 61 2 4 4 2 3 2 4 2" xfId="0"/>
    <cellStyle name="Normal 61 2 4 4 2 3 2 4 2 2" xfId="0"/>
    <cellStyle name="Normal 61 2 4 4 2 3 2 4 3" xfId="0"/>
    <cellStyle name="Normal 61 2 4 4 2 3 2 5" xfId="0"/>
    <cellStyle name="Normal 61 2 4 4 2 3 2 5 2" xfId="0"/>
    <cellStyle name="Normal 61 2 4 4 2 3 2 6" xfId="0"/>
    <cellStyle name="Normal 61 2 4 4 2 3 3" xfId="0"/>
    <cellStyle name="Normal 61 2 4 4 2 3 3 2" xfId="0"/>
    <cellStyle name="Normal 61 2 4 4 2 3 3 2 2" xfId="0"/>
    <cellStyle name="Normal 61 2 4 4 2 3 3 2 2 2" xfId="0"/>
    <cellStyle name="Normal 61 2 4 4 2 3 3 2 3" xfId="0"/>
    <cellStyle name="Normal 61 2 4 4 2 3 3 3" xfId="0"/>
    <cellStyle name="Normal 61 2 4 4 2 3 3 3 2" xfId="0"/>
    <cellStyle name="Normal 61 2 4 4 2 3 3 3 2 2" xfId="0"/>
    <cellStyle name="Normal 61 2 4 4 2 3 3 3 3" xfId="0"/>
    <cellStyle name="Normal 61 2 4 4 2 3 3 4" xfId="0"/>
    <cellStyle name="Normal 61 2 4 4 2 3 3 4 2" xfId="0"/>
    <cellStyle name="Normal 61 2 4 4 2 3 3 5" xfId="0"/>
    <cellStyle name="Normal 61 2 4 4 2 3 4" xfId="0"/>
    <cellStyle name="Normal 61 2 4 4 2 3 4 2" xfId="0"/>
    <cellStyle name="Normal 61 2 4 4 2 3 4 2 2" xfId="0"/>
    <cellStyle name="Normal 61 2 4 4 2 3 4 3" xfId="0"/>
    <cellStyle name="Normal 61 2 4 4 2 3 5" xfId="0"/>
    <cellStyle name="Normal 61 2 4 4 2 3 5 2" xfId="0"/>
    <cellStyle name="Normal 61 2 4 4 2 3 5 2 2" xfId="0"/>
    <cellStyle name="Normal 61 2 4 4 2 3 5 3" xfId="0"/>
    <cellStyle name="Normal 61 2 4 4 2 3 6" xfId="0"/>
    <cellStyle name="Normal 61 2 4 4 2 3 6 2" xfId="0"/>
    <cellStyle name="Normal 61 2 4 4 2 3 7" xfId="0"/>
    <cellStyle name="Normal 61 2 4 4 2 4" xfId="0"/>
    <cellStyle name="Normal 61 2 4 4 2 4 2" xfId="0"/>
    <cellStyle name="Normal 61 2 4 4 2 4 2 2" xfId="0"/>
    <cellStyle name="Normal 61 2 4 4 2 4 2 2 2" xfId="0"/>
    <cellStyle name="Normal 61 2 4 4 2 4 2 2 2 2" xfId="0"/>
    <cellStyle name="Normal 61 2 4 4 2 4 2 2 3" xfId="0"/>
    <cellStyle name="Normal 61 2 4 4 2 4 2 3" xfId="0"/>
    <cellStyle name="Normal 61 2 4 4 2 4 2 3 2" xfId="0"/>
    <cellStyle name="Normal 61 2 4 4 2 4 2 3 2 2" xfId="0"/>
    <cellStyle name="Normal 61 2 4 4 2 4 2 3 3" xfId="0"/>
    <cellStyle name="Normal 61 2 4 4 2 4 2 4" xfId="0"/>
    <cellStyle name="Normal 61 2 4 4 2 4 2 4 2" xfId="0"/>
    <cellStyle name="Normal 61 2 4 4 2 4 2 5" xfId="0"/>
    <cellStyle name="Normal 61 2 4 4 2 4 3" xfId="0"/>
    <cellStyle name="Normal 61 2 4 4 2 4 3 2" xfId="0"/>
    <cellStyle name="Normal 61 2 4 4 2 4 3 2 2" xfId="0"/>
    <cellStyle name="Normal 61 2 4 4 2 4 3 3" xfId="0"/>
    <cellStyle name="Normal 61 2 4 4 2 4 4" xfId="0"/>
    <cellStyle name="Normal 61 2 4 4 2 4 4 2" xfId="0"/>
    <cellStyle name="Normal 61 2 4 4 2 4 4 2 2" xfId="0"/>
    <cellStyle name="Normal 61 2 4 4 2 4 4 3" xfId="0"/>
    <cellStyle name="Normal 61 2 4 4 2 4 5" xfId="0"/>
    <cellStyle name="Normal 61 2 4 4 2 4 5 2" xfId="0"/>
    <cellStyle name="Normal 61 2 4 4 2 4 6" xfId="0"/>
    <cellStyle name="Normal 61 2 4 4 2 5" xfId="0"/>
    <cellStyle name="Normal 61 2 4 4 2 5 2" xfId="0"/>
    <cellStyle name="Normal 61 2 4 4 2 5 2 2" xfId="0"/>
    <cellStyle name="Normal 61 2 4 4 2 5 2 2 2" xfId="0"/>
    <cellStyle name="Normal 61 2 4 4 2 5 2 3" xfId="0"/>
    <cellStyle name="Normal 61 2 4 4 2 5 3" xfId="0"/>
    <cellStyle name="Normal 61 2 4 4 2 5 3 2" xfId="0"/>
    <cellStyle name="Normal 61 2 4 4 2 5 3 2 2" xfId="0"/>
    <cellStyle name="Normal 61 2 4 4 2 5 3 3" xfId="0"/>
    <cellStyle name="Normal 61 2 4 4 2 5 4" xfId="0"/>
    <cellStyle name="Normal 61 2 4 4 2 5 4 2" xfId="0"/>
    <cellStyle name="Normal 61 2 4 4 2 5 5" xfId="0"/>
    <cellStyle name="Normal 61 2 4 4 2 6" xfId="0"/>
    <cellStyle name="Normal 61 2 4 4 2 6 2" xfId="0"/>
    <cellStyle name="Normal 61 2 4 4 2 6 2 2" xfId="0"/>
    <cellStyle name="Normal 61 2 4 4 2 6 3" xfId="0"/>
    <cellStyle name="Normal 61 2 4 4 2 7" xfId="0"/>
    <cellStyle name="Normal 61 2 4 4 2 7 2" xfId="0"/>
    <cellStyle name="Normal 61 2 4 4 2 7 2 2" xfId="0"/>
    <cellStyle name="Normal 61 2 4 4 2 7 3" xfId="0"/>
    <cellStyle name="Normal 61 2 4 4 2 8" xfId="0"/>
    <cellStyle name="Normal 61 2 4 4 2 8 2" xfId="0"/>
    <cellStyle name="Normal 61 2 4 4 2 9" xfId="0"/>
    <cellStyle name="Normal 61 2 4 4 3" xfId="0"/>
    <cellStyle name="Normal 61 2 4 4 3 2" xfId="0"/>
    <cellStyle name="Normal 61 2 4 4 3 2 2" xfId="0"/>
    <cellStyle name="Normal 61 2 4 4 3 2 2 2" xfId="0"/>
    <cellStyle name="Normal 61 2 4 4 3 2 2 2 2" xfId="0"/>
    <cellStyle name="Normal 61 2 4 4 3 2 2 2 2 2" xfId="0"/>
    <cellStyle name="Normal 61 2 4 4 3 2 2 2 2 2 2" xfId="0"/>
    <cellStyle name="Normal 61 2 4 4 3 2 2 2 2 3" xfId="0"/>
    <cellStyle name="Normal 61 2 4 4 3 2 2 2 3" xfId="0"/>
    <cellStyle name="Normal 61 2 4 4 3 2 2 2 3 2" xfId="0"/>
    <cellStyle name="Normal 61 2 4 4 3 2 2 2 3 2 2" xfId="0"/>
    <cellStyle name="Normal 61 2 4 4 3 2 2 2 3 3" xfId="0"/>
    <cellStyle name="Normal 61 2 4 4 3 2 2 2 4" xfId="0"/>
    <cellStyle name="Normal 61 2 4 4 3 2 2 2 4 2" xfId="0"/>
    <cellStyle name="Normal 61 2 4 4 3 2 2 2 5" xfId="0"/>
    <cellStyle name="Normal 61 2 4 4 3 2 2 3" xfId="0"/>
    <cellStyle name="Normal 61 2 4 4 3 2 2 3 2" xfId="0"/>
    <cellStyle name="Normal 61 2 4 4 3 2 2 3 2 2" xfId="0"/>
    <cellStyle name="Normal 61 2 4 4 3 2 2 3 3" xfId="0"/>
    <cellStyle name="Normal 61 2 4 4 3 2 2 4" xfId="0"/>
    <cellStyle name="Normal 61 2 4 4 3 2 2 4 2" xfId="0"/>
    <cellStyle name="Normal 61 2 4 4 3 2 2 4 2 2" xfId="0"/>
    <cellStyle name="Normal 61 2 4 4 3 2 2 4 3" xfId="0"/>
    <cellStyle name="Normal 61 2 4 4 3 2 2 5" xfId="0"/>
    <cellStyle name="Normal 61 2 4 4 3 2 2 5 2" xfId="0"/>
    <cellStyle name="Normal 61 2 4 4 3 2 2 6" xfId="0"/>
    <cellStyle name="Normal 61 2 4 4 3 2 3" xfId="0"/>
    <cellStyle name="Normal 61 2 4 4 3 2 3 2" xfId="0"/>
    <cellStyle name="Normal 61 2 4 4 3 2 3 2 2" xfId="0"/>
    <cellStyle name="Normal 61 2 4 4 3 2 3 2 2 2" xfId="0"/>
    <cellStyle name="Normal 61 2 4 4 3 2 3 2 3" xfId="0"/>
    <cellStyle name="Normal 61 2 4 4 3 2 3 3" xfId="0"/>
    <cellStyle name="Normal 61 2 4 4 3 2 3 3 2" xfId="0"/>
    <cellStyle name="Normal 61 2 4 4 3 2 3 3 2 2" xfId="0"/>
    <cellStyle name="Normal 61 2 4 4 3 2 3 3 3" xfId="0"/>
    <cellStyle name="Normal 61 2 4 4 3 2 3 4" xfId="0"/>
    <cellStyle name="Normal 61 2 4 4 3 2 3 4 2" xfId="0"/>
    <cellStyle name="Normal 61 2 4 4 3 2 3 5" xfId="0"/>
    <cellStyle name="Normal 61 2 4 4 3 2 4" xfId="0"/>
    <cellStyle name="Normal 61 2 4 4 3 2 4 2" xfId="0"/>
    <cellStyle name="Normal 61 2 4 4 3 2 4 2 2" xfId="0"/>
    <cellStyle name="Normal 61 2 4 4 3 2 4 3" xfId="0"/>
    <cellStyle name="Normal 61 2 4 4 3 2 5" xfId="0"/>
    <cellStyle name="Normal 61 2 4 4 3 2 5 2" xfId="0"/>
    <cellStyle name="Normal 61 2 4 4 3 2 5 2 2" xfId="0"/>
    <cellStyle name="Normal 61 2 4 4 3 2 5 3" xfId="0"/>
    <cellStyle name="Normal 61 2 4 4 3 2 6" xfId="0"/>
    <cellStyle name="Normal 61 2 4 4 3 2 6 2" xfId="0"/>
    <cellStyle name="Normal 61 2 4 4 3 2 7" xfId="0"/>
    <cellStyle name="Normal 61 2 4 4 3 3" xfId="0"/>
    <cellStyle name="Normal 61 2 4 4 3 3 2" xfId="0"/>
    <cellStyle name="Normal 61 2 4 4 3 3 2 2" xfId="0"/>
    <cellStyle name="Normal 61 2 4 4 3 3 2 2 2" xfId="0"/>
    <cellStyle name="Normal 61 2 4 4 3 3 2 2 2 2" xfId="0"/>
    <cellStyle name="Normal 61 2 4 4 3 3 2 2 3" xfId="0"/>
    <cellStyle name="Normal 61 2 4 4 3 3 2 3" xfId="0"/>
    <cellStyle name="Normal 61 2 4 4 3 3 2 3 2" xfId="0"/>
    <cellStyle name="Normal 61 2 4 4 3 3 2 3 2 2" xfId="0"/>
    <cellStyle name="Normal 61 2 4 4 3 3 2 3 3" xfId="0"/>
    <cellStyle name="Normal 61 2 4 4 3 3 2 4" xfId="0"/>
    <cellStyle name="Normal 61 2 4 4 3 3 2 4 2" xfId="0"/>
    <cellStyle name="Normal 61 2 4 4 3 3 2 5" xfId="0"/>
    <cellStyle name="Normal 61 2 4 4 3 3 3" xfId="0"/>
    <cellStyle name="Normal 61 2 4 4 3 3 3 2" xfId="0"/>
    <cellStyle name="Normal 61 2 4 4 3 3 3 2 2" xfId="0"/>
    <cellStyle name="Normal 61 2 4 4 3 3 3 3" xfId="0"/>
    <cellStyle name="Normal 61 2 4 4 3 3 4" xfId="0"/>
    <cellStyle name="Normal 61 2 4 4 3 3 4 2" xfId="0"/>
    <cellStyle name="Normal 61 2 4 4 3 3 4 2 2" xfId="0"/>
    <cellStyle name="Normal 61 2 4 4 3 3 4 3" xfId="0"/>
    <cellStyle name="Normal 61 2 4 4 3 3 5" xfId="0"/>
    <cellStyle name="Normal 61 2 4 4 3 3 5 2" xfId="0"/>
    <cellStyle name="Normal 61 2 4 4 3 3 6" xfId="0"/>
    <cellStyle name="Normal 61 2 4 4 3 4" xfId="0"/>
    <cellStyle name="Normal 61 2 4 4 3 4 2" xfId="0"/>
    <cellStyle name="Normal 61 2 4 4 3 4 2 2" xfId="0"/>
    <cellStyle name="Normal 61 2 4 4 3 4 2 2 2" xfId="0"/>
    <cellStyle name="Normal 61 2 4 4 3 4 2 3" xfId="0"/>
    <cellStyle name="Normal 61 2 4 4 3 4 3" xfId="0"/>
    <cellStyle name="Normal 61 2 4 4 3 4 3 2" xfId="0"/>
    <cellStyle name="Normal 61 2 4 4 3 4 3 2 2" xfId="0"/>
    <cellStyle name="Normal 61 2 4 4 3 4 3 3" xfId="0"/>
    <cellStyle name="Normal 61 2 4 4 3 4 4" xfId="0"/>
    <cellStyle name="Normal 61 2 4 4 3 4 4 2" xfId="0"/>
    <cellStyle name="Normal 61 2 4 4 3 4 5" xfId="0"/>
    <cellStyle name="Normal 61 2 4 4 3 5" xfId="0"/>
    <cellStyle name="Normal 61 2 4 4 3 5 2" xfId="0"/>
    <cellStyle name="Normal 61 2 4 4 3 5 2 2" xfId="0"/>
    <cellStyle name="Normal 61 2 4 4 3 5 3" xfId="0"/>
    <cellStyle name="Normal 61 2 4 4 3 6" xfId="0"/>
    <cellStyle name="Normal 61 2 4 4 3 6 2" xfId="0"/>
    <cellStyle name="Normal 61 2 4 4 3 6 2 2" xfId="0"/>
    <cellStyle name="Normal 61 2 4 4 3 6 3" xfId="0"/>
    <cellStyle name="Normal 61 2 4 4 3 7" xfId="0"/>
    <cellStyle name="Normal 61 2 4 4 3 7 2" xfId="0"/>
    <cellStyle name="Normal 61 2 4 4 3 8" xfId="0"/>
    <cellStyle name="Normal 61 2 4 4 4" xfId="0"/>
    <cellStyle name="Normal 61 2 4 4 4 2" xfId="0"/>
    <cellStyle name="Normal 61 2 4 4 4 2 2" xfId="0"/>
    <cellStyle name="Normal 61 2 4 4 4 2 2 2" xfId="0"/>
    <cellStyle name="Normal 61 2 4 4 4 2 2 2 2" xfId="0"/>
    <cellStyle name="Normal 61 2 4 4 4 2 2 2 2 2" xfId="0"/>
    <cellStyle name="Normal 61 2 4 4 4 2 2 2 3" xfId="0"/>
    <cellStyle name="Normal 61 2 4 4 4 2 2 3" xfId="0"/>
    <cellStyle name="Normal 61 2 4 4 4 2 2 3 2" xfId="0"/>
    <cellStyle name="Normal 61 2 4 4 4 2 2 3 2 2" xfId="0"/>
    <cellStyle name="Normal 61 2 4 4 4 2 2 3 3" xfId="0"/>
    <cellStyle name="Normal 61 2 4 4 4 2 2 4" xfId="0"/>
    <cellStyle name="Normal 61 2 4 4 4 2 2 4 2" xfId="0"/>
    <cellStyle name="Normal 61 2 4 4 4 2 2 5" xfId="0"/>
    <cellStyle name="Normal 61 2 4 4 4 2 3" xfId="0"/>
    <cellStyle name="Normal 61 2 4 4 4 2 3 2" xfId="0"/>
    <cellStyle name="Normal 61 2 4 4 4 2 3 2 2" xfId="0"/>
    <cellStyle name="Normal 61 2 4 4 4 2 3 3" xfId="0"/>
    <cellStyle name="Normal 61 2 4 4 4 2 4" xfId="0"/>
    <cellStyle name="Normal 61 2 4 4 4 2 4 2" xfId="0"/>
    <cellStyle name="Normal 61 2 4 4 4 2 4 2 2" xfId="0"/>
    <cellStyle name="Normal 61 2 4 4 4 2 4 3" xfId="0"/>
    <cellStyle name="Normal 61 2 4 4 4 2 5" xfId="0"/>
    <cellStyle name="Normal 61 2 4 4 4 2 5 2" xfId="0"/>
    <cellStyle name="Normal 61 2 4 4 4 2 6" xfId="0"/>
    <cellStyle name="Normal 61 2 4 4 4 3" xfId="0"/>
    <cellStyle name="Normal 61 2 4 4 4 3 2" xfId="0"/>
    <cellStyle name="Normal 61 2 4 4 4 3 2 2" xfId="0"/>
    <cellStyle name="Normal 61 2 4 4 4 3 2 2 2" xfId="0"/>
    <cellStyle name="Normal 61 2 4 4 4 3 2 3" xfId="0"/>
    <cellStyle name="Normal 61 2 4 4 4 3 3" xfId="0"/>
    <cellStyle name="Normal 61 2 4 4 4 3 3 2" xfId="0"/>
    <cellStyle name="Normal 61 2 4 4 4 3 3 2 2" xfId="0"/>
    <cellStyle name="Normal 61 2 4 4 4 3 3 3" xfId="0"/>
    <cellStyle name="Normal 61 2 4 4 4 3 4" xfId="0"/>
    <cellStyle name="Normal 61 2 4 4 4 3 4 2" xfId="0"/>
    <cellStyle name="Normal 61 2 4 4 4 3 5" xfId="0"/>
    <cellStyle name="Normal 61 2 4 4 4 4" xfId="0"/>
    <cellStyle name="Normal 61 2 4 4 4 4 2" xfId="0"/>
    <cellStyle name="Normal 61 2 4 4 4 4 2 2" xfId="0"/>
    <cellStyle name="Normal 61 2 4 4 4 4 3" xfId="0"/>
    <cellStyle name="Normal 61 2 4 4 4 5" xfId="0"/>
    <cellStyle name="Normal 61 2 4 4 4 5 2" xfId="0"/>
    <cellStyle name="Normal 61 2 4 4 4 5 2 2" xfId="0"/>
    <cellStyle name="Normal 61 2 4 4 4 5 3" xfId="0"/>
    <cellStyle name="Normal 61 2 4 4 4 6" xfId="0"/>
    <cellStyle name="Normal 61 2 4 4 4 6 2" xfId="0"/>
    <cellStyle name="Normal 61 2 4 4 4 7" xfId="0"/>
    <cellStyle name="Normal 61 2 4 4 5" xfId="0"/>
    <cellStyle name="Normal 61 2 4 4 5 2" xfId="0"/>
    <cellStyle name="Normal 61 2 4 4 5 2 2" xfId="0"/>
    <cellStyle name="Normal 61 2 4 4 5 2 2 2" xfId="0"/>
    <cellStyle name="Normal 61 2 4 4 5 2 2 2 2" xfId="0"/>
    <cellStyle name="Normal 61 2 4 4 5 2 2 3" xfId="0"/>
    <cellStyle name="Normal 61 2 4 4 5 2 3" xfId="0"/>
    <cellStyle name="Normal 61 2 4 4 5 2 3 2" xfId="0"/>
    <cellStyle name="Normal 61 2 4 4 5 2 3 2 2" xfId="0"/>
    <cellStyle name="Normal 61 2 4 4 5 2 3 3" xfId="0"/>
    <cellStyle name="Normal 61 2 4 4 5 2 4" xfId="0"/>
    <cellStyle name="Normal 61 2 4 4 5 2 4 2" xfId="0"/>
    <cellStyle name="Normal 61 2 4 4 5 2 5" xfId="0"/>
    <cellStyle name="Normal 61 2 4 4 5 3" xfId="0"/>
    <cellStyle name="Normal 61 2 4 4 5 3 2" xfId="0"/>
    <cellStyle name="Normal 61 2 4 4 5 3 2 2" xfId="0"/>
    <cellStyle name="Normal 61 2 4 4 5 3 3" xfId="0"/>
    <cellStyle name="Normal 61 2 4 4 5 4" xfId="0"/>
    <cellStyle name="Normal 61 2 4 4 5 4 2" xfId="0"/>
    <cellStyle name="Normal 61 2 4 4 5 4 2 2" xfId="0"/>
    <cellStyle name="Normal 61 2 4 4 5 4 3" xfId="0"/>
    <cellStyle name="Normal 61 2 4 4 5 5" xfId="0"/>
    <cellStyle name="Normal 61 2 4 4 5 5 2" xfId="0"/>
    <cellStyle name="Normal 61 2 4 4 5 6" xfId="0"/>
    <cellStyle name="Normal 61 2 4 4 6" xfId="0"/>
    <cellStyle name="Normal 61 2 4 4 6 2" xfId="0"/>
    <cellStyle name="Normal 61 2 4 4 6 2 2" xfId="0"/>
    <cellStyle name="Normal 61 2 4 4 6 2 2 2" xfId="0"/>
    <cellStyle name="Normal 61 2 4 4 6 2 3" xfId="0"/>
    <cellStyle name="Normal 61 2 4 4 6 3" xfId="0"/>
    <cellStyle name="Normal 61 2 4 4 6 3 2" xfId="0"/>
    <cellStyle name="Normal 61 2 4 4 6 3 2 2" xfId="0"/>
    <cellStyle name="Normal 61 2 4 4 6 3 3" xfId="0"/>
    <cellStyle name="Normal 61 2 4 4 6 4" xfId="0"/>
    <cellStyle name="Normal 61 2 4 4 6 4 2" xfId="0"/>
    <cellStyle name="Normal 61 2 4 4 6 5" xfId="0"/>
    <cellStyle name="Normal 61 2 4 4 7" xfId="0"/>
    <cellStyle name="Normal 61 2 4 4 7 2" xfId="0"/>
    <cellStyle name="Normal 61 2 4 4 7 2 2" xfId="0"/>
    <cellStyle name="Normal 61 2 4 4 7 3" xfId="0"/>
    <cellStyle name="Normal 61 2 4 4 8" xfId="0"/>
    <cellStyle name="Normal 61 2 4 4 8 2" xfId="0"/>
    <cellStyle name="Normal 61 2 4 4 8 2 2" xfId="0"/>
    <cellStyle name="Normal 61 2 4 4 8 3" xfId="0"/>
    <cellStyle name="Normal 61 2 4 4 9" xfId="0"/>
    <cellStyle name="Normal 61 2 4 4 9 2" xfId="0"/>
    <cellStyle name="Normal 61 2 4 5" xfId="0"/>
    <cellStyle name="Normal 61 2 4 5 2" xfId="0"/>
    <cellStyle name="Normal 61 2 4 5 2 2" xfId="0"/>
    <cellStyle name="Normal 61 2 4 5 2 2 2" xfId="0"/>
    <cellStyle name="Normal 61 2 4 5 2 2 2 2" xfId="0"/>
    <cellStyle name="Normal 61 2 4 5 2 2 2 2 2" xfId="0"/>
    <cellStyle name="Normal 61 2 4 5 2 2 2 2 2 2" xfId="0"/>
    <cellStyle name="Normal 61 2 4 5 2 2 2 2 2 2 2" xfId="0"/>
    <cellStyle name="Normal 61 2 4 5 2 2 2 2 2 3" xfId="0"/>
    <cellStyle name="Normal 61 2 4 5 2 2 2 2 3" xfId="0"/>
    <cellStyle name="Normal 61 2 4 5 2 2 2 2 3 2" xfId="0"/>
    <cellStyle name="Normal 61 2 4 5 2 2 2 2 3 2 2" xfId="0"/>
    <cellStyle name="Normal 61 2 4 5 2 2 2 2 3 3" xfId="0"/>
    <cellStyle name="Normal 61 2 4 5 2 2 2 2 4" xfId="0"/>
    <cellStyle name="Normal 61 2 4 5 2 2 2 2 4 2" xfId="0"/>
    <cellStyle name="Normal 61 2 4 5 2 2 2 2 5" xfId="0"/>
    <cellStyle name="Normal 61 2 4 5 2 2 2 3" xfId="0"/>
    <cellStyle name="Normal 61 2 4 5 2 2 2 3 2" xfId="0"/>
    <cellStyle name="Normal 61 2 4 5 2 2 2 3 2 2" xfId="0"/>
    <cellStyle name="Normal 61 2 4 5 2 2 2 3 3" xfId="0"/>
    <cellStyle name="Normal 61 2 4 5 2 2 2 4" xfId="0"/>
    <cellStyle name="Normal 61 2 4 5 2 2 2 4 2" xfId="0"/>
    <cellStyle name="Normal 61 2 4 5 2 2 2 4 2 2" xfId="0"/>
    <cellStyle name="Normal 61 2 4 5 2 2 2 4 3" xfId="0"/>
    <cellStyle name="Normal 61 2 4 5 2 2 2 5" xfId="0"/>
    <cellStyle name="Normal 61 2 4 5 2 2 2 5 2" xfId="0"/>
    <cellStyle name="Normal 61 2 4 5 2 2 2 6" xfId="0"/>
    <cellStyle name="Normal 61 2 4 5 2 2 3" xfId="0"/>
    <cellStyle name="Normal 61 2 4 5 2 2 3 2" xfId="0"/>
    <cellStyle name="Normal 61 2 4 5 2 2 3 2 2" xfId="0"/>
    <cellStyle name="Normal 61 2 4 5 2 2 3 2 2 2" xfId="0"/>
    <cellStyle name="Normal 61 2 4 5 2 2 3 2 3" xfId="0"/>
    <cellStyle name="Normal 61 2 4 5 2 2 3 3" xfId="0"/>
    <cellStyle name="Normal 61 2 4 5 2 2 3 3 2" xfId="0"/>
    <cellStyle name="Normal 61 2 4 5 2 2 3 3 2 2" xfId="0"/>
    <cellStyle name="Normal 61 2 4 5 2 2 3 3 3" xfId="0"/>
    <cellStyle name="Normal 61 2 4 5 2 2 3 4" xfId="0"/>
    <cellStyle name="Normal 61 2 4 5 2 2 3 4 2" xfId="0"/>
    <cellStyle name="Normal 61 2 4 5 2 2 3 5" xfId="0"/>
    <cellStyle name="Normal 61 2 4 5 2 2 4" xfId="0"/>
    <cellStyle name="Normal 61 2 4 5 2 2 4 2" xfId="0"/>
    <cellStyle name="Normal 61 2 4 5 2 2 4 2 2" xfId="0"/>
    <cellStyle name="Normal 61 2 4 5 2 2 4 3" xfId="0"/>
    <cellStyle name="Normal 61 2 4 5 2 2 5" xfId="0"/>
    <cellStyle name="Normal 61 2 4 5 2 2 5 2" xfId="0"/>
    <cellStyle name="Normal 61 2 4 5 2 2 5 2 2" xfId="0"/>
    <cellStyle name="Normal 61 2 4 5 2 2 5 3" xfId="0"/>
    <cellStyle name="Normal 61 2 4 5 2 2 6" xfId="0"/>
    <cellStyle name="Normal 61 2 4 5 2 2 6 2" xfId="0"/>
    <cellStyle name="Normal 61 2 4 5 2 2 7" xfId="0"/>
    <cellStyle name="Normal 61 2 4 5 2 3" xfId="0"/>
    <cellStyle name="Normal 61 2 4 5 2 3 2" xfId="0"/>
    <cellStyle name="Normal 61 2 4 5 2 3 2 2" xfId="0"/>
    <cellStyle name="Normal 61 2 4 5 2 3 2 2 2" xfId="0"/>
    <cellStyle name="Normal 61 2 4 5 2 3 2 2 2 2" xfId="0"/>
    <cellStyle name="Normal 61 2 4 5 2 3 2 2 3" xfId="0"/>
    <cellStyle name="Normal 61 2 4 5 2 3 2 3" xfId="0"/>
    <cellStyle name="Normal 61 2 4 5 2 3 2 3 2" xfId="0"/>
    <cellStyle name="Normal 61 2 4 5 2 3 2 3 2 2" xfId="0"/>
    <cellStyle name="Normal 61 2 4 5 2 3 2 3 3" xfId="0"/>
    <cellStyle name="Normal 61 2 4 5 2 3 2 4" xfId="0"/>
    <cellStyle name="Normal 61 2 4 5 2 3 2 4 2" xfId="0"/>
    <cellStyle name="Normal 61 2 4 5 2 3 2 5" xfId="0"/>
    <cellStyle name="Normal 61 2 4 5 2 3 3" xfId="0"/>
    <cellStyle name="Normal 61 2 4 5 2 3 3 2" xfId="0"/>
    <cellStyle name="Normal 61 2 4 5 2 3 3 2 2" xfId="0"/>
    <cellStyle name="Normal 61 2 4 5 2 3 3 3" xfId="0"/>
    <cellStyle name="Normal 61 2 4 5 2 3 4" xfId="0"/>
    <cellStyle name="Normal 61 2 4 5 2 3 4 2" xfId="0"/>
    <cellStyle name="Normal 61 2 4 5 2 3 4 2 2" xfId="0"/>
    <cellStyle name="Normal 61 2 4 5 2 3 4 3" xfId="0"/>
    <cellStyle name="Normal 61 2 4 5 2 3 5" xfId="0"/>
    <cellStyle name="Normal 61 2 4 5 2 3 5 2" xfId="0"/>
    <cellStyle name="Normal 61 2 4 5 2 3 6" xfId="0"/>
    <cellStyle name="Normal 61 2 4 5 2 4" xfId="0"/>
    <cellStyle name="Normal 61 2 4 5 2 4 2" xfId="0"/>
    <cellStyle name="Normal 61 2 4 5 2 4 2 2" xfId="0"/>
    <cellStyle name="Normal 61 2 4 5 2 4 2 2 2" xfId="0"/>
    <cellStyle name="Normal 61 2 4 5 2 4 2 3" xfId="0"/>
    <cellStyle name="Normal 61 2 4 5 2 4 3" xfId="0"/>
    <cellStyle name="Normal 61 2 4 5 2 4 3 2" xfId="0"/>
    <cellStyle name="Normal 61 2 4 5 2 4 3 2 2" xfId="0"/>
    <cellStyle name="Normal 61 2 4 5 2 4 3 3" xfId="0"/>
    <cellStyle name="Normal 61 2 4 5 2 4 4" xfId="0"/>
    <cellStyle name="Normal 61 2 4 5 2 4 4 2" xfId="0"/>
    <cellStyle name="Normal 61 2 4 5 2 4 5" xfId="0"/>
    <cellStyle name="Normal 61 2 4 5 2 5" xfId="0"/>
    <cellStyle name="Normal 61 2 4 5 2 5 2" xfId="0"/>
    <cellStyle name="Normal 61 2 4 5 2 5 2 2" xfId="0"/>
    <cellStyle name="Normal 61 2 4 5 2 5 3" xfId="0"/>
    <cellStyle name="Normal 61 2 4 5 2 6" xfId="0"/>
    <cellStyle name="Normal 61 2 4 5 2 6 2" xfId="0"/>
    <cellStyle name="Normal 61 2 4 5 2 6 2 2" xfId="0"/>
    <cellStyle name="Normal 61 2 4 5 2 6 3" xfId="0"/>
    <cellStyle name="Normal 61 2 4 5 2 7" xfId="0"/>
    <cellStyle name="Normal 61 2 4 5 2 7 2" xfId="0"/>
    <cellStyle name="Normal 61 2 4 5 2 8" xfId="0"/>
    <cellStyle name="Normal 61 2 4 5 3" xfId="0"/>
    <cellStyle name="Normal 61 2 4 5 3 2" xfId="0"/>
    <cellStyle name="Normal 61 2 4 5 3 2 2" xfId="0"/>
    <cellStyle name="Normal 61 2 4 5 3 2 2 2" xfId="0"/>
    <cellStyle name="Normal 61 2 4 5 3 2 2 2 2" xfId="0"/>
    <cellStyle name="Normal 61 2 4 5 3 2 2 2 2 2" xfId="0"/>
    <cellStyle name="Normal 61 2 4 5 3 2 2 2 3" xfId="0"/>
    <cellStyle name="Normal 61 2 4 5 3 2 2 3" xfId="0"/>
    <cellStyle name="Normal 61 2 4 5 3 2 2 3 2" xfId="0"/>
    <cellStyle name="Normal 61 2 4 5 3 2 2 3 2 2" xfId="0"/>
    <cellStyle name="Normal 61 2 4 5 3 2 2 3 3" xfId="0"/>
    <cellStyle name="Normal 61 2 4 5 3 2 2 4" xfId="0"/>
    <cellStyle name="Normal 61 2 4 5 3 2 2 4 2" xfId="0"/>
    <cellStyle name="Normal 61 2 4 5 3 2 2 5" xfId="0"/>
    <cellStyle name="Normal 61 2 4 5 3 2 3" xfId="0"/>
    <cellStyle name="Normal 61 2 4 5 3 2 3 2" xfId="0"/>
    <cellStyle name="Normal 61 2 4 5 3 2 3 2 2" xfId="0"/>
    <cellStyle name="Normal 61 2 4 5 3 2 3 3" xfId="0"/>
    <cellStyle name="Normal 61 2 4 5 3 2 4" xfId="0"/>
    <cellStyle name="Normal 61 2 4 5 3 2 4 2" xfId="0"/>
    <cellStyle name="Normal 61 2 4 5 3 2 4 2 2" xfId="0"/>
    <cellStyle name="Normal 61 2 4 5 3 2 4 3" xfId="0"/>
    <cellStyle name="Normal 61 2 4 5 3 2 5" xfId="0"/>
    <cellStyle name="Normal 61 2 4 5 3 2 5 2" xfId="0"/>
    <cellStyle name="Normal 61 2 4 5 3 2 6" xfId="0"/>
    <cellStyle name="Normal 61 2 4 5 3 3" xfId="0"/>
    <cellStyle name="Normal 61 2 4 5 3 3 2" xfId="0"/>
    <cellStyle name="Normal 61 2 4 5 3 3 2 2" xfId="0"/>
    <cellStyle name="Normal 61 2 4 5 3 3 2 2 2" xfId="0"/>
    <cellStyle name="Normal 61 2 4 5 3 3 2 3" xfId="0"/>
    <cellStyle name="Normal 61 2 4 5 3 3 3" xfId="0"/>
    <cellStyle name="Normal 61 2 4 5 3 3 3 2" xfId="0"/>
    <cellStyle name="Normal 61 2 4 5 3 3 3 2 2" xfId="0"/>
    <cellStyle name="Normal 61 2 4 5 3 3 3 3" xfId="0"/>
    <cellStyle name="Normal 61 2 4 5 3 3 4" xfId="0"/>
    <cellStyle name="Normal 61 2 4 5 3 3 4 2" xfId="0"/>
    <cellStyle name="Normal 61 2 4 5 3 3 5" xfId="0"/>
    <cellStyle name="Normal 61 2 4 5 3 4" xfId="0"/>
    <cellStyle name="Normal 61 2 4 5 3 4 2" xfId="0"/>
    <cellStyle name="Normal 61 2 4 5 3 4 2 2" xfId="0"/>
    <cellStyle name="Normal 61 2 4 5 3 4 3" xfId="0"/>
    <cellStyle name="Normal 61 2 4 5 3 5" xfId="0"/>
    <cellStyle name="Normal 61 2 4 5 3 5 2" xfId="0"/>
    <cellStyle name="Normal 61 2 4 5 3 5 2 2" xfId="0"/>
    <cellStyle name="Normal 61 2 4 5 3 5 3" xfId="0"/>
    <cellStyle name="Normal 61 2 4 5 3 6" xfId="0"/>
    <cellStyle name="Normal 61 2 4 5 3 6 2" xfId="0"/>
    <cellStyle name="Normal 61 2 4 5 3 7" xfId="0"/>
    <cellStyle name="Normal 61 2 4 5 4" xfId="0"/>
    <cellStyle name="Normal 61 2 4 5 4 2" xfId="0"/>
    <cellStyle name="Normal 61 2 4 5 4 2 2" xfId="0"/>
    <cellStyle name="Normal 61 2 4 5 4 2 2 2" xfId="0"/>
    <cellStyle name="Normal 61 2 4 5 4 2 2 2 2" xfId="0"/>
    <cellStyle name="Normal 61 2 4 5 4 2 2 3" xfId="0"/>
    <cellStyle name="Normal 61 2 4 5 4 2 3" xfId="0"/>
    <cellStyle name="Normal 61 2 4 5 4 2 3 2" xfId="0"/>
    <cellStyle name="Normal 61 2 4 5 4 2 3 2 2" xfId="0"/>
    <cellStyle name="Normal 61 2 4 5 4 2 3 3" xfId="0"/>
    <cellStyle name="Normal 61 2 4 5 4 2 4" xfId="0"/>
    <cellStyle name="Normal 61 2 4 5 4 2 4 2" xfId="0"/>
    <cellStyle name="Normal 61 2 4 5 4 2 5" xfId="0"/>
    <cellStyle name="Normal 61 2 4 5 4 3" xfId="0"/>
    <cellStyle name="Normal 61 2 4 5 4 3 2" xfId="0"/>
    <cellStyle name="Normal 61 2 4 5 4 3 2 2" xfId="0"/>
    <cellStyle name="Normal 61 2 4 5 4 3 3" xfId="0"/>
    <cellStyle name="Normal 61 2 4 5 4 4" xfId="0"/>
    <cellStyle name="Normal 61 2 4 5 4 4 2" xfId="0"/>
    <cellStyle name="Normal 61 2 4 5 4 4 2 2" xfId="0"/>
    <cellStyle name="Normal 61 2 4 5 4 4 3" xfId="0"/>
    <cellStyle name="Normal 61 2 4 5 4 5" xfId="0"/>
    <cellStyle name="Normal 61 2 4 5 4 5 2" xfId="0"/>
    <cellStyle name="Normal 61 2 4 5 4 6" xfId="0"/>
    <cellStyle name="Normal 61 2 4 5 5" xfId="0"/>
    <cellStyle name="Normal 61 2 4 5 5 2" xfId="0"/>
    <cellStyle name="Normal 61 2 4 5 5 2 2" xfId="0"/>
    <cellStyle name="Normal 61 2 4 5 5 2 2 2" xfId="0"/>
    <cellStyle name="Normal 61 2 4 5 5 2 3" xfId="0"/>
    <cellStyle name="Normal 61 2 4 5 5 3" xfId="0"/>
    <cellStyle name="Normal 61 2 4 5 5 3 2" xfId="0"/>
    <cellStyle name="Normal 61 2 4 5 5 3 2 2" xfId="0"/>
    <cellStyle name="Normal 61 2 4 5 5 3 3" xfId="0"/>
    <cellStyle name="Normal 61 2 4 5 5 4" xfId="0"/>
    <cellStyle name="Normal 61 2 4 5 5 4 2" xfId="0"/>
    <cellStyle name="Normal 61 2 4 5 5 5" xfId="0"/>
    <cellStyle name="Normal 61 2 4 5 6" xfId="0"/>
    <cellStyle name="Normal 61 2 4 5 6 2" xfId="0"/>
    <cellStyle name="Normal 61 2 4 5 6 2 2" xfId="0"/>
    <cellStyle name="Normal 61 2 4 5 6 3" xfId="0"/>
    <cellStyle name="Normal 61 2 4 5 7" xfId="0"/>
    <cellStyle name="Normal 61 2 4 5 7 2" xfId="0"/>
    <cellStyle name="Normal 61 2 4 5 7 2 2" xfId="0"/>
    <cellStyle name="Normal 61 2 4 5 7 3" xfId="0"/>
    <cellStyle name="Normal 61 2 4 5 8" xfId="0"/>
    <cellStyle name="Normal 61 2 4 5 8 2" xfId="0"/>
    <cellStyle name="Normal 61 2 4 5 9" xfId="0"/>
    <cellStyle name="Normal 61 2 4 6" xfId="0"/>
    <cellStyle name="Normal 61 2 4 6 2" xfId="0"/>
    <cellStyle name="Normal 61 2 4 6 2 2" xfId="0"/>
    <cellStyle name="Normal 61 2 4 6 2 2 2" xfId="0"/>
    <cellStyle name="Normal 61 2 4 6 2 2 2 2" xfId="0"/>
    <cellStyle name="Normal 61 2 4 6 2 2 2 2 2" xfId="0"/>
    <cellStyle name="Normal 61 2 4 6 2 2 2 2 2 2" xfId="0"/>
    <cellStyle name="Normal 61 2 4 6 2 2 2 2 3" xfId="0"/>
    <cellStyle name="Normal 61 2 4 6 2 2 2 3" xfId="0"/>
    <cellStyle name="Normal 61 2 4 6 2 2 2 3 2" xfId="0"/>
    <cellStyle name="Normal 61 2 4 6 2 2 2 3 2 2" xfId="0"/>
    <cellStyle name="Normal 61 2 4 6 2 2 2 3 3" xfId="0"/>
    <cellStyle name="Normal 61 2 4 6 2 2 2 4" xfId="0"/>
    <cellStyle name="Normal 61 2 4 6 2 2 2 4 2" xfId="0"/>
    <cellStyle name="Normal 61 2 4 6 2 2 2 5" xfId="0"/>
    <cellStyle name="Normal 61 2 4 6 2 2 3" xfId="0"/>
    <cellStyle name="Normal 61 2 4 6 2 2 3 2" xfId="0"/>
    <cellStyle name="Normal 61 2 4 6 2 2 3 2 2" xfId="0"/>
    <cellStyle name="Normal 61 2 4 6 2 2 3 3" xfId="0"/>
    <cellStyle name="Normal 61 2 4 6 2 2 4" xfId="0"/>
    <cellStyle name="Normal 61 2 4 6 2 2 4 2" xfId="0"/>
    <cellStyle name="Normal 61 2 4 6 2 2 4 2 2" xfId="0"/>
    <cellStyle name="Normal 61 2 4 6 2 2 4 3" xfId="0"/>
    <cellStyle name="Normal 61 2 4 6 2 2 5" xfId="0"/>
    <cellStyle name="Normal 61 2 4 6 2 2 5 2" xfId="0"/>
    <cellStyle name="Normal 61 2 4 6 2 2 6" xfId="0"/>
    <cellStyle name="Normal 61 2 4 6 2 3" xfId="0"/>
    <cellStyle name="Normal 61 2 4 6 2 3 2" xfId="0"/>
    <cellStyle name="Normal 61 2 4 6 2 3 2 2" xfId="0"/>
    <cellStyle name="Normal 61 2 4 6 2 3 2 2 2" xfId="0"/>
    <cellStyle name="Normal 61 2 4 6 2 3 2 3" xfId="0"/>
    <cellStyle name="Normal 61 2 4 6 2 3 3" xfId="0"/>
    <cellStyle name="Normal 61 2 4 6 2 3 3 2" xfId="0"/>
    <cellStyle name="Normal 61 2 4 6 2 3 3 2 2" xfId="0"/>
    <cellStyle name="Normal 61 2 4 6 2 3 3 3" xfId="0"/>
    <cellStyle name="Normal 61 2 4 6 2 3 4" xfId="0"/>
    <cellStyle name="Normal 61 2 4 6 2 3 4 2" xfId="0"/>
    <cellStyle name="Normal 61 2 4 6 2 3 5" xfId="0"/>
    <cellStyle name="Normal 61 2 4 6 2 4" xfId="0"/>
    <cellStyle name="Normal 61 2 4 6 2 4 2" xfId="0"/>
    <cellStyle name="Normal 61 2 4 6 2 4 2 2" xfId="0"/>
    <cellStyle name="Normal 61 2 4 6 2 4 3" xfId="0"/>
    <cellStyle name="Normal 61 2 4 6 2 5" xfId="0"/>
    <cellStyle name="Normal 61 2 4 6 2 5 2" xfId="0"/>
    <cellStyle name="Normal 61 2 4 6 2 5 2 2" xfId="0"/>
    <cellStyle name="Normal 61 2 4 6 2 5 3" xfId="0"/>
    <cellStyle name="Normal 61 2 4 6 2 6" xfId="0"/>
    <cellStyle name="Normal 61 2 4 6 2 6 2" xfId="0"/>
    <cellStyle name="Normal 61 2 4 6 2 7" xfId="0"/>
    <cellStyle name="Normal 61 2 4 6 3" xfId="0"/>
    <cellStyle name="Normal 61 2 4 6 3 2" xfId="0"/>
    <cellStyle name="Normal 61 2 4 6 3 2 2" xfId="0"/>
    <cellStyle name="Normal 61 2 4 6 3 2 2 2" xfId="0"/>
    <cellStyle name="Normal 61 2 4 6 3 2 2 2 2" xfId="0"/>
    <cellStyle name="Normal 61 2 4 6 3 2 2 3" xfId="0"/>
    <cellStyle name="Normal 61 2 4 6 3 2 3" xfId="0"/>
    <cellStyle name="Normal 61 2 4 6 3 2 3 2" xfId="0"/>
    <cellStyle name="Normal 61 2 4 6 3 2 3 2 2" xfId="0"/>
    <cellStyle name="Normal 61 2 4 6 3 2 3 3" xfId="0"/>
    <cellStyle name="Normal 61 2 4 6 3 2 4" xfId="0"/>
    <cellStyle name="Normal 61 2 4 6 3 2 4 2" xfId="0"/>
    <cellStyle name="Normal 61 2 4 6 3 2 5" xfId="0"/>
    <cellStyle name="Normal 61 2 4 6 3 3" xfId="0"/>
    <cellStyle name="Normal 61 2 4 6 3 3 2" xfId="0"/>
    <cellStyle name="Normal 61 2 4 6 3 3 2 2" xfId="0"/>
    <cellStyle name="Normal 61 2 4 6 3 3 3" xfId="0"/>
    <cellStyle name="Normal 61 2 4 6 3 4" xfId="0"/>
    <cellStyle name="Normal 61 2 4 6 3 4 2" xfId="0"/>
    <cellStyle name="Normal 61 2 4 6 3 4 2 2" xfId="0"/>
    <cellStyle name="Normal 61 2 4 6 3 4 3" xfId="0"/>
    <cellStyle name="Normal 61 2 4 6 3 5" xfId="0"/>
    <cellStyle name="Normal 61 2 4 6 3 5 2" xfId="0"/>
    <cellStyle name="Normal 61 2 4 6 3 6" xfId="0"/>
    <cellStyle name="Normal 61 2 4 6 4" xfId="0"/>
    <cellStyle name="Normal 61 2 4 6 4 2" xfId="0"/>
    <cellStyle name="Normal 61 2 4 6 4 2 2" xfId="0"/>
    <cellStyle name="Normal 61 2 4 6 4 2 2 2" xfId="0"/>
    <cellStyle name="Normal 61 2 4 6 4 2 3" xfId="0"/>
    <cellStyle name="Normal 61 2 4 6 4 3" xfId="0"/>
    <cellStyle name="Normal 61 2 4 6 4 3 2" xfId="0"/>
    <cellStyle name="Normal 61 2 4 6 4 3 2 2" xfId="0"/>
    <cellStyle name="Normal 61 2 4 6 4 3 3" xfId="0"/>
    <cellStyle name="Normal 61 2 4 6 4 4" xfId="0"/>
    <cellStyle name="Normal 61 2 4 6 4 4 2" xfId="0"/>
    <cellStyle name="Normal 61 2 4 6 4 5" xfId="0"/>
    <cellStyle name="Normal 61 2 4 6 5" xfId="0"/>
    <cellStyle name="Normal 61 2 4 6 5 2" xfId="0"/>
    <cellStyle name="Normal 61 2 4 6 5 2 2" xfId="0"/>
    <cellStyle name="Normal 61 2 4 6 5 3" xfId="0"/>
    <cellStyle name="Normal 61 2 4 6 6" xfId="0"/>
    <cellStyle name="Normal 61 2 4 6 6 2" xfId="0"/>
    <cellStyle name="Normal 61 2 4 6 6 2 2" xfId="0"/>
    <cellStyle name="Normal 61 2 4 6 6 3" xfId="0"/>
    <cellStyle name="Normal 61 2 4 6 7" xfId="0"/>
    <cellStyle name="Normal 61 2 4 6 7 2" xfId="0"/>
    <cellStyle name="Normal 61 2 4 6 8" xfId="0"/>
    <cellStyle name="Normal 61 2 4 7" xfId="0"/>
    <cellStyle name="Normal 61 2 4 7 2" xfId="0"/>
    <cellStyle name="Normal 61 2 4 7 2 2" xfId="0"/>
    <cellStyle name="Normal 61 2 4 7 2 2 2" xfId="0"/>
    <cellStyle name="Normal 61 2 4 7 2 2 2 2" xfId="0"/>
    <cellStyle name="Normal 61 2 4 7 2 2 2 2 2" xfId="0"/>
    <cellStyle name="Normal 61 2 4 7 2 2 2 3" xfId="0"/>
    <cellStyle name="Normal 61 2 4 7 2 2 3" xfId="0"/>
    <cellStyle name="Normal 61 2 4 7 2 2 3 2" xfId="0"/>
    <cellStyle name="Normal 61 2 4 7 2 2 3 2 2" xfId="0"/>
    <cellStyle name="Normal 61 2 4 7 2 2 3 3" xfId="0"/>
    <cellStyle name="Normal 61 2 4 7 2 2 4" xfId="0"/>
    <cellStyle name="Normal 61 2 4 7 2 2 4 2" xfId="0"/>
    <cellStyle name="Normal 61 2 4 7 2 2 5" xfId="0"/>
    <cellStyle name="Normal 61 2 4 7 2 3" xfId="0"/>
    <cellStyle name="Normal 61 2 4 7 2 3 2" xfId="0"/>
    <cellStyle name="Normal 61 2 4 7 2 3 2 2" xfId="0"/>
    <cellStyle name="Normal 61 2 4 7 2 3 3" xfId="0"/>
    <cellStyle name="Normal 61 2 4 7 2 4" xfId="0"/>
    <cellStyle name="Normal 61 2 4 7 2 4 2" xfId="0"/>
    <cellStyle name="Normal 61 2 4 7 2 4 2 2" xfId="0"/>
    <cellStyle name="Normal 61 2 4 7 2 4 3" xfId="0"/>
    <cellStyle name="Normal 61 2 4 7 2 5" xfId="0"/>
    <cellStyle name="Normal 61 2 4 7 2 5 2" xfId="0"/>
    <cellStyle name="Normal 61 2 4 7 2 6" xfId="0"/>
    <cellStyle name="Normal 61 2 4 7 3" xfId="0"/>
    <cellStyle name="Normal 61 2 4 7 3 2" xfId="0"/>
    <cellStyle name="Normal 61 2 4 7 3 2 2" xfId="0"/>
    <cellStyle name="Normal 61 2 4 7 3 2 2 2" xfId="0"/>
    <cellStyle name="Normal 61 2 4 7 3 2 3" xfId="0"/>
    <cellStyle name="Normal 61 2 4 7 3 3" xfId="0"/>
    <cellStyle name="Normal 61 2 4 7 3 3 2" xfId="0"/>
    <cellStyle name="Normal 61 2 4 7 3 3 2 2" xfId="0"/>
    <cellStyle name="Normal 61 2 4 7 3 3 3" xfId="0"/>
    <cellStyle name="Normal 61 2 4 7 3 4" xfId="0"/>
    <cellStyle name="Normal 61 2 4 7 3 4 2" xfId="0"/>
    <cellStyle name="Normal 61 2 4 7 3 5" xfId="0"/>
    <cellStyle name="Normal 61 2 4 7 4" xfId="0"/>
    <cellStyle name="Normal 61 2 4 7 4 2" xfId="0"/>
    <cellStyle name="Normal 61 2 4 7 4 2 2" xfId="0"/>
    <cellStyle name="Normal 61 2 4 7 4 3" xfId="0"/>
    <cellStyle name="Normal 61 2 4 7 5" xfId="0"/>
    <cellStyle name="Normal 61 2 4 7 5 2" xfId="0"/>
    <cellStyle name="Normal 61 2 4 7 5 2 2" xfId="0"/>
    <cellStyle name="Normal 61 2 4 7 5 3" xfId="0"/>
    <cellStyle name="Normal 61 2 4 7 6" xfId="0"/>
    <cellStyle name="Normal 61 2 4 7 6 2" xfId="0"/>
    <cellStyle name="Normal 61 2 4 7 7" xfId="0"/>
    <cellStyle name="Normal 61 2 4 8" xfId="0"/>
    <cellStyle name="Normal 61 2 4 8 2" xfId="0"/>
    <cellStyle name="Normal 61 2 4 8 2 2" xfId="0"/>
    <cellStyle name="Normal 61 2 4 8 2 2 2" xfId="0"/>
    <cellStyle name="Normal 61 2 4 8 2 2 2 2" xfId="0"/>
    <cellStyle name="Normal 61 2 4 8 2 2 3" xfId="0"/>
    <cellStyle name="Normal 61 2 4 8 2 3" xfId="0"/>
    <cellStyle name="Normal 61 2 4 8 2 3 2" xfId="0"/>
    <cellStyle name="Normal 61 2 4 8 2 3 2 2" xfId="0"/>
    <cellStyle name="Normal 61 2 4 8 2 3 3" xfId="0"/>
    <cellStyle name="Normal 61 2 4 8 2 4" xfId="0"/>
    <cellStyle name="Normal 61 2 4 8 2 4 2" xfId="0"/>
    <cellStyle name="Normal 61 2 4 8 2 5" xfId="0"/>
    <cellStyle name="Normal 61 2 4 8 3" xfId="0"/>
    <cellStyle name="Normal 61 2 4 8 3 2" xfId="0"/>
    <cellStyle name="Normal 61 2 4 8 3 2 2" xfId="0"/>
    <cellStyle name="Normal 61 2 4 8 3 3" xfId="0"/>
    <cellStyle name="Normal 61 2 4 8 4" xfId="0"/>
    <cellStyle name="Normal 61 2 4 8 4 2" xfId="0"/>
    <cellStyle name="Normal 61 2 4 8 4 2 2" xfId="0"/>
    <cellStyle name="Normal 61 2 4 8 4 3" xfId="0"/>
    <cellStyle name="Normal 61 2 4 8 5" xfId="0"/>
    <cellStyle name="Normal 61 2 4 8 5 2" xfId="0"/>
    <cellStyle name="Normal 61 2 4 8 6" xfId="0"/>
    <cellStyle name="Normal 61 2 4 9" xfId="0"/>
    <cellStyle name="Normal 61 2 4 9 2" xfId="0"/>
    <cellStyle name="Normal 61 2 4 9 2 2" xfId="0"/>
    <cellStyle name="Normal 61 2 4 9 2 2 2" xfId="0"/>
    <cellStyle name="Normal 61 2 4 9 2 3" xfId="0"/>
    <cellStyle name="Normal 61 2 4 9 3" xfId="0"/>
    <cellStyle name="Normal 61 2 4 9 3 2" xfId="0"/>
    <cellStyle name="Normal 61 2 4 9 3 2 2" xfId="0"/>
    <cellStyle name="Normal 61 2 4 9 3 3" xfId="0"/>
    <cellStyle name="Normal 61 2 4 9 4" xfId="0"/>
    <cellStyle name="Normal 61 2 4 9 4 2" xfId="0"/>
    <cellStyle name="Normal 61 2 4 9 5" xfId="0"/>
    <cellStyle name="Normal 61 2 5" xfId="0"/>
    <cellStyle name="Normal 61 2 5 10" xfId="0"/>
    <cellStyle name="Normal 61 2 5 10 2" xfId="0"/>
    <cellStyle name="Normal 61 2 5 10 2 2" xfId="0"/>
    <cellStyle name="Normal 61 2 5 10 3" xfId="0"/>
    <cellStyle name="Normal 61 2 5 11" xfId="0"/>
    <cellStyle name="Normal 61 2 5 11 2" xfId="0"/>
    <cellStyle name="Normal 61 2 5 11 2 2" xfId="0"/>
    <cellStyle name="Normal 61 2 5 11 3" xfId="0"/>
    <cellStyle name="Normal 61 2 5 12" xfId="0"/>
    <cellStyle name="Normal 61 2 5 12 2" xfId="0"/>
    <cellStyle name="Normal 61 2 5 13" xfId="0"/>
    <cellStyle name="Normal 61 2 5 2" xfId="0"/>
    <cellStyle name="Normal 61 2 5 2 10" xfId="0"/>
    <cellStyle name="Normal 61 2 5 2 10 2" xfId="0"/>
    <cellStyle name="Normal 61 2 5 2 10 2 2" xfId="0"/>
    <cellStyle name="Normal 61 2 5 2 10 3" xfId="0"/>
    <cellStyle name="Normal 61 2 5 2 11" xfId="0"/>
    <cellStyle name="Normal 61 2 5 2 11 2" xfId="0"/>
    <cellStyle name="Normal 61 2 5 2 12" xfId="0"/>
    <cellStyle name="Normal 61 2 5 2 2" xfId="0"/>
    <cellStyle name="Normal 61 2 5 2 2 10" xfId="0"/>
    <cellStyle name="Normal 61 2 5 2 2 2" xfId="0"/>
    <cellStyle name="Normal 61 2 5 2 2 2 2" xfId="0"/>
    <cellStyle name="Normal 61 2 5 2 2 2 2 2" xfId="0"/>
    <cellStyle name="Normal 61 2 5 2 2 2 2 2 2" xfId="0"/>
    <cellStyle name="Normal 61 2 5 2 2 2 2 2 2 2" xfId="0"/>
    <cellStyle name="Normal 61 2 5 2 2 2 2 2 2 2 2" xfId="0"/>
    <cellStyle name="Normal 61 2 5 2 2 2 2 2 2 2 2 2" xfId="0"/>
    <cellStyle name="Normal 61 2 5 2 2 2 2 2 2 2 2 2 2" xfId="0"/>
    <cellStyle name="Normal 61 2 5 2 2 2 2 2 2 2 2 3" xfId="0"/>
    <cellStyle name="Normal 61 2 5 2 2 2 2 2 2 2 3" xfId="0"/>
    <cellStyle name="Normal 61 2 5 2 2 2 2 2 2 2 3 2" xfId="0"/>
    <cellStyle name="Normal 61 2 5 2 2 2 2 2 2 2 3 2 2" xfId="0"/>
    <cellStyle name="Normal 61 2 5 2 2 2 2 2 2 2 3 3" xfId="0"/>
    <cellStyle name="Normal 61 2 5 2 2 2 2 2 2 2 4" xfId="0"/>
    <cellStyle name="Normal 61 2 5 2 2 2 2 2 2 2 4 2" xfId="0"/>
    <cellStyle name="Normal 61 2 5 2 2 2 2 2 2 2 5" xfId="0"/>
    <cellStyle name="Normal 61 2 5 2 2 2 2 2 2 3" xfId="0"/>
    <cellStyle name="Normal 61 2 5 2 2 2 2 2 2 3 2" xfId="0"/>
    <cellStyle name="Normal 61 2 5 2 2 2 2 2 2 3 2 2" xfId="0"/>
    <cellStyle name="Normal 61 2 5 2 2 2 2 2 2 3 3" xfId="0"/>
    <cellStyle name="Normal 61 2 5 2 2 2 2 2 2 4" xfId="0"/>
    <cellStyle name="Normal 61 2 5 2 2 2 2 2 2 4 2" xfId="0"/>
    <cellStyle name="Normal 61 2 5 2 2 2 2 2 2 4 2 2" xfId="0"/>
    <cellStyle name="Normal 61 2 5 2 2 2 2 2 2 4 3" xfId="0"/>
    <cellStyle name="Normal 61 2 5 2 2 2 2 2 2 5" xfId="0"/>
    <cellStyle name="Normal 61 2 5 2 2 2 2 2 2 5 2" xfId="0"/>
    <cellStyle name="Normal 61 2 5 2 2 2 2 2 2 6" xfId="0"/>
    <cellStyle name="Normal 61 2 5 2 2 2 2 2 3" xfId="0"/>
    <cellStyle name="Normal 61 2 5 2 2 2 2 2 3 2" xfId="0"/>
    <cellStyle name="Normal 61 2 5 2 2 2 2 2 3 2 2" xfId="0"/>
    <cellStyle name="Normal 61 2 5 2 2 2 2 2 3 2 2 2" xfId="0"/>
    <cellStyle name="Normal 61 2 5 2 2 2 2 2 3 2 3" xfId="0"/>
    <cellStyle name="Normal 61 2 5 2 2 2 2 2 3 3" xfId="0"/>
    <cellStyle name="Normal 61 2 5 2 2 2 2 2 3 3 2" xfId="0"/>
    <cellStyle name="Normal 61 2 5 2 2 2 2 2 3 3 2 2" xfId="0"/>
    <cellStyle name="Normal 61 2 5 2 2 2 2 2 3 3 3" xfId="0"/>
    <cellStyle name="Normal 61 2 5 2 2 2 2 2 3 4" xfId="0"/>
    <cellStyle name="Normal 61 2 5 2 2 2 2 2 3 4 2" xfId="0"/>
    <cellStyle name="Normal 61 2 5 2 2 2 2 2 3 5" xfId="0"/>
    <cellStyle name="Normal 61 2 5 2 2 2 2 2 4" xfId="0"/>
    <cellStyle name="Normal 61 2 5 2 2 2 2 2 4 2" xfId="0"/>
    <cellStyle name="Normal 61 2 5 2 2 2 2 2 4 2 2" xfId="0"/>
    <cellStyle name="Normal 61 2 5 2 2 2 2 2 4 3" xfId="0"/>
    <cellStyle name="Normal 61 2 5 2 2 2 2 2 5" xfId="0"/>
    <cellStyle name="Normal 61 2 5 2 2 2 2 2 5 2" xfId="0"/>
    <cellStyle name="Normal 61 2 5 2 2 2 2 2 5 2 2" xfId="0"/>
    <cellStyle name="Normal 61 2 5 2 2 2 2 2 5 3" xfId="0"/>
    <cellStyle name="Normal 61 2 5 2 2 2 2 2 6" xfId="0"/>
    <cellStyle name="Normal 61 2 5 2 2 2 2 2 6 2" xfId="0"/>
    <cellStyle name="Normal 61 2 5 2 2 2 2 2 7" xfId="0"/>
    <cellStyle name="Normal 61 2 5 2 2 2 2 3" xfId="0"/>
    <cellStyle name="Normal 61 2 5 2 2 2 2 3 2" xfId="0"/>
    <cellStyle name="Normal 61 2 5 2 2 2 2 3 2 2" xfId="0"/>
    <cellStyle name="Normal 61 2 5 2 2 2 2 3 2 2 2" xfId="0"/>
    <cellStyle name="Normal 61 2 5 2 2 2 2 3 2 2 2 2" xfId="0"/>
    <cellStyle name="Normal 61 2 5 2 2 2 2 3 2 2 3" xfId="0"/>
    <cellStyle name="Normal 61 2 5 2 2 2 2 3 2 3" xfId="0"/>
    <cellStyle name="Normal 61 2 5 2 2 2 2 3 2 3 2" xfId="0"/>
    <cellStyle name="Normal 61 2 5 2 2 2 2 3 2 3 2 2" xfId="0"/>
    <cellStyle name="Normal 61 2 5 2 2 2 2 3 2 3 3" xfId="0"/>
    <cellStyle name="Normal 61 2 5 2 2 2 2 3 2 4" xfId="0"/>
    <cellStyle name="Normal 61 2 5 2 2 2 2 3 2 4 2" xfId="0"/>
    <cellStyle name="Normal 61 2 5 2 2 2 2 3 2 5" xfId="0"/>
    <cellStyle name="Normal 61 2 5 2 2 2 2 3 3" xfId="0"/>
    <cellStyle name="Normal 61 2 5 2 2 2 2 3 3 2" xfId="0"/>
    <cellStyle name="Normal 61 2 5 2 2 2 2 3 3 2 2" xfId="0"/>
    <cellStyle name="Normal 61 2 5 2 2 2 2 3 3 3" xfId="0"/>
    <cellStyle name="Normal 61 2 5 2 2 2 2 3 4" xfId="0"/>
    <cellStyle name="Normal 61 2 5 2 2 2 2 3 4 2" xfId="0"/>
    <cellStyle name="Normal 61 2 5 2 2 2 2 3 4 2 2" xfId="0"/>
    <cellStyle name="Normal 61 2 5 2 2 2 2 3 4 3" xfId="0"/>
    <cellStyle name="Normal 61 2 5 2 2 2 2 3 5" xfId="0"/>
    <cellStyle name="Normal 61 2 5 2 2 2 2 3 5 2" xfId="0"/>
    <cellStyle name="Normal 61 2 5 2 2 2 2 3 6" xfId="0"/>
    <cellStyle name="Normal 61 2 5 2 2 2 2 4" xfId="0"/>
    <cellStyle name="Normal 61 2 5 2 2 2 2 4 2" xfId="0"/>
    <cellStyle name="Normal 61 2 5 2 2 2 2 4 2 2" xfId="0"/>
    <cellStyle name="Normal 61 2 5 2 2 2 2 4 2 2 2" xfId="0"/>
    <cellStyle name="Normal 61 2 5 2 2 2 2 4 2 3" xfId="0"/>
    <cellStyle name="Normal 61 2 5 2 2 2 2 4 3" xfId="0"/>
    <cellStyle name="Normal 61 2 5 2 2 2 2 4 3 2" xfId="0"/>
    <cellStyle name="Normal 61 2 5 2 2 2 2 4 3 2 2" xfId="0"/>
    <cellStyle name="Normal 61 2 5 2 2 2 2 4 3 3" xfId="0"/>
    <cellStyle name="Normal 61 2 5 2 2 2 2 4 4" xfId="0"/>
    <cellStyle name="Normal 61 2 5 2 2 2 2 4 4 2" xfId="0"/>
    <cellStyle name="Normal 61 2 5 2 2 2 2 4 5" xfId="0"/>
    <cellStyle name="Normal 61 2 5 2 2 2 2 5" xfId="0"/>
    <cellStyle name="Normal 61 2 5 2 2 2 2 5 2" xfId="0"/>
    <cellStyle name="Normal 61 2 5 2 2 2 2 5 2 2" xfId="0"/>
    <cellStyle name="Normal 61 2 5 2 2 2 2 5 3" xfId="0"/>
    <cellStyle name="Normal 61 2 5 2 2 2 2 6" xfId="0"/>
    <cellStyle name="Normal 61 2 5 2 2 2 2 6 2" xfId="0"/>
    <cellStyle name="Normal 61 2 5 2 2 2 2 6 2 2" xfId="0"/>
    <cellStyle name="Normal 61 2 5 2 2 2 2 6 3" xfId="0"/>
    <cellStyle name="Normal 61 2 5 2 2 2 2 7" xfId="0"/>
    <cellStyle name="Normal 61 2 5 2 2 2 2 7 2" xfId="0"/>
    <cellStyle name="Normal 61 2 5 2 2 2 2 8" xfId="0"/>
    <cellStyle name="Normal 61 2 5 2 2 2 3" xfId="0"/>
    <cellStyle name="Normal 61 2 5 2 2 2 3 2" xfId="0"/>
    <cellStyle name="Normal 61 2 5 2 2 2 3 2 2" xfId="0"/>
    <cellStyle name="Normal 61 2 5 2 2 2 3 2 2 2" xfId="0"/>
    <cellStyle name="Normal 61 2 5 2 2 2 3 2 2 2 2" xfId="0"/>
    <cellStyle name="Normal 61 2 5 2 2 2 3 2 2 2 2 2" xfId="0"/>
    <cellStyle name="Normal 61 2 5 2 2 2 3 2 2 2 3" xfId="0"/>
    <cellStyle name="Normal 61 2 5 2 2 2 3 2 2 3" xfId="0"/>
    <cellStyle name="Normal 61 2 5 2 2 2 3 2 2 3 2" xfId="0"/>
    <cellStyle name="Normal 61 2 5 2 2 2 3 2 2 3 2 2" xfId="0"/>
    <cellStyle name="Normal 61 2 5 2 2 2 3 2 2 3 3" xfId="0"/>
    <cellStyle name="Normal 61 2 5 2 2 2 3 2 2 4" xfId="0"/>
    <cellStyle name="Normal 61 2 5 2 2 2 3 2 2 4 2" xfId="0"/>
    <cellStyle name="Normal 61 2 5 2 2 2 3 2 2 5" xfId="0"/>
    <cellStyle name="Normal 61 2 5 2 2 2 3 2 3" xfId="0"/>
    <cellStyle name="Normal 61 2 5 2 2 2 3 2 3 2" xfId="0"/>
    <cellStyle name="Normal 61 2 5 2 2 2 3 2 3 2 2" xfId="0"/>
    <cellStyle name="Normal 61 2 5 2 2 2 3 2 3 3" xfId="0"/>
    <cellStyle name="Normal 61 2 5 2 2 2 3 2 4" xfId="0"/>
    <cellStyle name="Normal 61 2 5 2 2 2 3 2 4 2" xfId="0"/>
    <cellStyle name="Normal 61 2 5 2 2 2 3 2 4 2 2" xfId="0"/>
    <cellStyle name="Normal 61 2 5 2 2 2 3 2 4 3" xfId="0"/>
    <cellStyle name="Normal 61 2 5 2 2 2 3 2 5" xfId="0"/>
    <cellStyle name="Normal 61 2 5 2 2 2 3 2 5 2" xfId="0"/>
    <cellStyle name="Normal 61 2 5 2 2 2 3 2 6" xfId="0"/>
    <cellStyle name="Normal 61 2 5 2 2 2 3 3" xfId="0"/>
    <cellStyle name="Normal 61 2 5 2 2 2 3 3 2" xfId="0"/>
    <cellStyle name="Normal 61 2 5 2 2 2 3 3 2 2" xfId="0"/>
    <cellStyle name="Normal 61 2 5 2 2 2 3 3 2 2 2" xfId="0"/>
    <cellStyle name="Normal 61 2 5 2 2 2 3 3 2 3" xfId="0"/>
    <cellStyle name="Normal 61 2 5 2 2 2 3 3 3" xfId="0"/>
    <cellStyle name="Normal 61 2 5 2 2 2 3 3 3 2" xfId="0"/>
    <cellStyle name="Normal 61 2 5 2 2 2 3 3 3 2 2" xfId="0"/>
    <cellStyle name="Normal 61 2 5 2 2 2 3 3 3 3" xfId="0"/>
    <cellStyle name="Normal 61 2 5 2 2 2 3 3 4" xfId="0"/>
    <cellStyle name="Normal 61 2 5 2 2 2 3 3 4 2" xfId="0"/>
    <cellStyle name="Normal 61 2 5 2 2 2 3 3 5" xfId="0"/>
    <cellStyle name="Normal 61 2 5 2 2 2 3 4" xfId="0"/>
    <cellStyle name="Normal 61 2 5 2 2 2 3 4 2" xfId="0"/>
    <cellStyle name="Normal 61 2 5 2 2 2 3 4 2 2" xfId="0"/>
    <cellStyle name="Normal 61 2 5 2 2 2 3 4 3" xfId="0"/>
    <cellStyle name="Normal 61 2 5 2 2 2 3 5" xfId="0"/>
    <cellStyle name="Normal 61 2 5 2 2 2 3 5 2" xfId="0"/>
    <cellStyle name="Normal 61 2 5 2 2 2 3 5 2 2" xfId="0"/>
    <cellStyle name="Normal 61 2 5 2 2 2 3 5 3" xfId="0"/>
    <cellStyle name="Normal 61 2 5 2 2 2 3 6" xfId="0"/>
    <cellStyle name="Normal 61 2 5 2 2 2 3 6 2" xfId="0"/>
    <cellStyle name="Normal 61 2 5 2 2 2 3 7" xfId="0"/>
    <cellStyle name="Normal 61 2 5 2 2 2 4" xfId="0"/>
    <cellStyle name="Normal 61 2 5 2 2 2 4 2" xfId="0"/>
    <cellStyle name="Normal 61 2 5 2 2 2 4 2 2" xfId="0"/>
    <cellStyle name="Normal 61 2 5 2 2 2 4 2 2 2" xfId="0"/>
    <cellStyle name="Normal 61 2 5 2 2 2 4 2 2 2 2" xfId="0"/>
    <cellStyle name="Normal 61 2 5 2 2 2 4 2 2 3" xfId="0"/>
    <cellStyle name="Normal 61 2 5 2 2 2 4 2 3" xfId="0"/>
    <cellStyle name="Normal 61 2 5 2 2 2 4 2 3 2" xfId="0"/>
    <cellStyle name="Normal 61 2 5 2 2 2 4 2 3 2 2" xfId="0"/>
    <cellStyle name="Normal 61 2 5 2 2 2 4 2 3 3" xfId="0"/>
    <cellStyle name="Normal 61 2 5 2 2 2 4 2 4" xfId="0"/>
    <cellStyle name="Normal 61 2 5 2 2 2 4 2 4 2" xfId="0"/>
    <cellStyle name="Normal 61 2 5 2 2 2 4 2 5" xfId="0"/>
    <cellStyle name="Normal 61 2 5 2 2 2 4 3" xfId="0"/>
    <cellStyle name="Normal 61 2 5 2 2 2 4 3 2" xfId="0"/>
    <cellStyle name="Normal 61 2 5 2 2 2 4 3 2 2" xfId="0"/>
    <cellStyle name="Normal 61 2 5 2 2 2 4 3 3" xfId="0"/>
    <cellStyle name="Normal 61 2 5 2 2 2 4 4" xfId="0"/>
    <cellStyle name="Normal 61 2 5 2 2 2 4 4 2" xfId="0"/>
    <cellStyle name="Normal 61 2 5 2 2 2 4 4 2 2" xfId="0"/>
    <cellStyle name="Normal 61 2 5 2 2 2 4 4 3" xfId="0"/>
    <cellStyle name="Normal 61 2 5 2 2 2 4 5" xfId="0"/>
    <cellStyle name="Normal 61 2 5 2 2 2 4 5 2" xfId="0"/>
    <cellStyle name="Normal 61 2 5 2 2 2 4 6" xfId="0"/>
    <cellStyle name="Normal 61 2 5 2 2 2 5" xfId="0"/>
    <cellStyle name="Normal 61 2 5 2 2 2 5 2" xfId="0"/>
    <cellStyle name="Normal 61 2 5 2 2 2 5 2 2" xfId="0"/>
    <cellStyle name="Normal 61 2 5 2 2 2 5 2 2 2" xfId="0"/>
    <cellStyle name="Normal 61 2 5 2 2 2 5 2 3" xfId="0"/>
    <cellStyle name="Normal 61 2 5 2 2 2 5 3" xfId="0"/>
    <cellStyle name="Normal 61 2 5 2 2 2 5 3 2" xfId="0"/>
    <cellStyle name="Normal 61 2 5 2 2 2 5 3 2 2" xfId="0"/>
    <cellStyle name="Normal 61 2 5 2 2 2 5 3 3" xfId="0"/>
    <cellStyle name="Normal 61 2 5 2 2 2 5 4" xfId="0"/>
    <cellStyle name="Normal 61 2 5 2 2 2 5 4 2" xfId="0"/>
    <cellStyle name="Normal 61 2 5 2 2 2 5 5" xfId="0"/>
    <cellStyle name="Normal 61 2 5 2 2 2 6" xfId="0"/>
    <cellStyle name="Normal 61 2 5 2 2 2 6 2" xfId="0"/>
    <cellStyle name="Normal 61 2 5 2 2 2 6 2 2" xfId="0"/>
    <cellStyle name="Normal 61 2 5 2 2 2 6 3" xfId="0"/>
    <cellStyle name="Normal 61 2 5 2 2 2 7" xfId="0"/>
    <cellStyle name="Normal 61 2 5 2 2 2 7 2" xfId="0"/>
    <cellStyle name="Normal 61 2 5 2 2 2 7 2 2" xfId="0"/>
    <cellStyle name="Normal 61 2 5 2 2 2 7 3" xfId="0"/>
    <cellStyle name="Normal 61 2 5 2 2 2 8" xfId="0"/>
    <cellStyle name="Normal 61 2 5 2 2 2 8 2" xfId="0"/>
    <cellStyle name="Normal 61 2 5 2 2 2 9" xfId="0"/>
    <cellStyle name="Normal 61 2 5 2 2 3" xfId="0"/>
    <cellStyle name="Normal 61 2 5 2 2 3 2" xfId="0"/>
    <cellStyle name="Normal 61 2 5 2 2 3 2 2" xfId="0"/>
    <cellStyle name="Normal 61 2 5 2 2 3 2 2 2" xfId="0"/>
    <cellStyle name="Normal 61 2 5 2 2 3 2 2 2 2" xfId="0"/>
    <cellStyle name="Normal 61 2 5 2 2 3 2 2 2 2 2" xfId="0"/>
    <cellStyle name="Normal 61 2 5 2 2 3 2 2 2 2 2 2" xfId="0"/>
    <cellStyle name="Normal 61 2 5 2 2 3 2 2 2 2 3" xfId="0"/>
    <cellStyle name="Normal 61 2 5 2 2 3 2 2 2 3" xfId="0"/>
    <cellStyle name="Normal 61 2 5 2 2 3 2 2 2 3 2" xfId="0"/>
    <cellStyle name="Normal 61 2 5 2 2 3 2 2 2 3 2 2" xfId="0"/>
    <cellStyle name="Normal 61 2 5 2 2 3 2 2 2 3 3" xfId="0"/>
    <cellStyle name="Normal 61 2 5 2 2 3 2 2 2 4" xfId="0"/>
    <cellStyle name="Normal 61 2 5 2 2 3 2 2 2 4 2" xfId="0"/>
    <cellStyle name="Normal 61 2 5 2 2 3 2 2 2 5" xfId="0"/>
    <cellStyle name="Normal 61 2 5 2 2 3 2 2 3" xfId="0"/>
    <cellStyle name="Normal 61 2 5 2 2 3 2 2 3 2" xfId="0"/>
    <cellStyle name="Normal 61 2 5 2 2 3 2 2 3 2 2" xfId="0"/>
    <cellStyle name="Normal 61 2 5 2 2 3 2 2 3 3" xfId="0"/>
    <cellStyle name="Normal 61 2 5 2 2 3 2 2 4" xfId="0"/>
    <cellStyle name="Normal 61 2 5 2 2 3 2 2 4 2" xfId="0"/>
    <cellStyle name="Normal 61 2 5 2 2 3 2 2 4 2 2" xfId="0"/>
    <cellStyle name="Normal 61 2 5 2 2 3 2 2 4 3" xfId="0"/>
    <cellStyle name="Normal 61 2 5 2 2 3 2 2 5" xfId="0"/>
    <cellStyle name="Normal 61 2 5 2 2 3 2 2 5 2" xfId="0"/>
    <cellStyle name="Normal 61 2 5 2 2 3 2 2 6" xfId="0"/>
    <cellStyle name="Normal 61 2 5 2 2 3 2 3" xfId="0"/>
    <cellStyle name="Normal 61 2 5 2 2 3 2 3 2" xfId="0"/>
    <cellStyle name="Normal 61 2 5 2 2 3 2 3 2 2" xfId="0"/>
    <cellStyle name="Normal 61 2 5 2 2 3 2 3 2 2 2" xfId="0"/>
    <cellStyle name="Normal 61 2 5 2 2 3 2 3 2 3" xfId="0"/>
    <cellStyle name="Normal 61 2 5 2 2 3 2 3 3" xfId="0"/>
    <cellStyle name="Normal 61 2 5 2 2 3 2 3 3 2" xfId="0"/>
    <cellStyle name="Normal 61 2 5 2 2 3 2 3 3 2 2" xfId="0"/>
    <cellStyle name="Normal 61 2 5 2 2 3 2 3 3 3" xfId="0"/>
    <cellStyle name="Normal 61 2 5 2 2 3 2 3 4" xfId="0"/>
    <cellStyle name="Normal 61 2 5 2 2 3 2 3 4 2" xfId="0"/>
    <cellStyle name="Normal 61 2 5 2 2 3 2 3 5" xfId="0"/>
    <cellStyle name="Normal 61 2 5 2 2 3 2 4" xfId="0"/>
    <cellStyle name="Normal 61 2 5 2 2 3 2 4 2" xfId="0"/>
    <cellStyle name="Normal 61 2 5 2 2 3 2 4 2 2" xfId="0"/>
    <cellStyle name="Normal 61 2 5 2 2 3 2 4 3" xfId="0"/>
    <cellStyle name="Normal 61 2 5 2 2 3 2 5" xfId="0"/>
    <cellStyle name="Normal 61 2 5 2 2 3 2 5 2" xfId="0"/>
    <cellStyle name="Normal 61 2 5 2 2 3 2 5 2 2" xfId="0"/>
    <cellStyle name="Normal 61 2 5 2 2 3 2 5 3" xfId="0"/>
    <cellStyle name="Normal 61 2 5 2 2 3 2 6" xfId="0"/>
    <cellStyle name="Normal 61 2 5 2 2 3 2 6 2" xfId="0"/>
    <cellStyle name="Normal 61 2 5 2 2 3 2 7" xfId="0"/>
    <cellStyle name="Normal 61 2 5 2 2 3 3" xfId="0"/>
    <cellStyle name="Normal 61 2 5 2 2 3 3 2" xfId="0"/>
    <cellStyle name="Normal 61 2 5 2 2 3 3 2 2" xfId="0"/>
    <cellStyle name="Normal 61 2 5 2 2 3 3 2 2 2" xfId="0"/>
    <cellStyle name="Normal 61 2 5 2 2 3 3 2 2 2 2" xfId="0"/>
    <cellStyle name="Normal 61 2 5 2 2 3 3 2 2 3" xfId="0"/>
    <cellStyle name="Normal 61 2 5 2 2 3 3 2 3" xfId="0"/>
    <cellStyle name="Normal 61 2 5 2 2 3 3 2 3 2" xfId="0"/>
    <cellStyle name="Normal 61 2 5 2 2 3 3 2 3 2 2" xfId="0"/>
    <cellStyle name="Normal 61 2 5 2 2 3 3 2 3 3" xfId="0"/>
    <cellStyle name="Normal 61 2 5 2 2 3 3 2 4" xfId="0"/>
    <cellStyle name="Normal 61 2 5 2 2 3 3 2 4 2" xfId="0"/>
    <cellStyle name="Normal 61 2 5 2 2 3 3 2 5" xfId="0"/>
    <cellStyle name="Normal 61 2 5 2 2 3 3 3" xfId="0"/>
    <cellStyle name="Normal 61 2 5 2 2 3 3 3 2" xfId="0"/>
    <cellStyle name="Normal 61 2 5 2 2 3 3 3 2 2" xfId="0"/>
    <cellStyle name="Normal 61 2 5 2 2 3 3 3 3" xfId="0"/>
    <cellStyle name="Normal 61 2 5 2 2 3 3 4" xfId="0"/>
    <cellStyle name="Normal 61 2 5 2 2 3 3 4 2" xfId="0"/>
    <cellStyle name="Normal 61 2 5 2 2 3 3 4 2 2" xfId="0"/>
    <cellStyle name="Normal 61 2 5 2 2 3 3 4 3" xfId="0"/>
    <cellStyle name="Normal 61 2 5 2 2 3 3 5" xfId="0"/>
    <cellStyle name="Normal 61 2 5 2 2 3 3 5 2" xfId="0"/>
    <cellStyle name="Normal 61 2 5 2 2 3 3 6" xfId="0"/>
    <cellStyle name="Normal 61 2 5 2 2 3 4" xfId="0"/>
    <cellStyle name="Normal 61 2 5 2 2 3 4 2" xfId="0"/>
    <cellStyle name="Normal 61 2 5 2 2 3 4 2 2" xfId="0"/>
    <cellStyle name="Normal 61 2 5 2 2 3 4 2 2 2" xfId="0"/>
    <cellStyle name="Normal 61 2 5 2 2 3 4 2 3" xfId="0"/>
    <cellStyle name="Normal 61 2 5 2 2 3 4 3" xfId="0"/>
    <cellStyle name="Normal 61 2 5 2 2 3 4 3 2" xfId="0"/>
    <cellStyle name="Normal 61 2 5 2 2 3 4 3 2 2" xfId="0"/>
    <cellStyle name="Normal 61 2 5 2 2 3 4 3 3" xfId="0"/>
    <cellStyle name="Normal 61 2 5 2 2 3 4 4" xfId="0"/>
    <cellStyle name="Normal 61 2 5 2 2 3 4 4 2" xfId="0"/>
    <cellStyle name="Normal 61 2 5 2 2 3 4 5" xfId="0"/>
    <cellStyle name="Normal 61 2 5 2 2 3 5" xfId="0"/>
    <cellStyle name="Normal 61 2 5 2 2 3 5 2" xfId="0"/>
    <cellStyle name="Normal 61 2 5 2 2 3 5 2 2" xfId="0"/>
    <cellStyle name="Normal 61 2 5 2 2 3 5 3" xfId="0"/>
    <cellStyle name="Normal 61 2 5 2 2 3 6" xfId="0"/>
    <cellStyle name="Normal 61 2 5 2 2 3 6 2" xfId="0"/>
    <cellStyle name="Normal 61 2 5 2 2 3 6 2 2" xfId="0"/>
    <cellStyle name="Normal 61 2 5 2 2 3 6 3" xfId="0"/>
    <cellStyle name="Normal 61 2 5 2 2 3 7" xfId="0"/>
    <cellStyle name="Normal 61 2 5 2 2 3 7 2" xfId="0"/>
    <cellStyle name="Normal 61 2 5 2 2 3 8" xfId="0"/>
    <cellStyle name="Normal 61 2 5 2 2 4" xfId="0"/>
    <cellStyle name="Normal 61 2 5 2 2 4 2" xfId="0"/>
    <cellStyle name="Normal 61 2 5 2 2 4 2 2" xfId="0"/>
    <cellStyle name="Normal 61 2 5 2 2 4 2 2 2" xfId="0"/>
    <cellStyle name="Normal 61 2 5 2 2 4 2 2 2 2" xfId="0"/>
    <cellStyle name="Normal 61 2 5 2 2 4 2 2 2 2 2" xfId="0"/>
    <cellStyle name="Normal 61 2 5 2 2 4 2 2 2 3" xfId="0"/>
    <cellStyle name="Normal 61 2 5 2 2 4 2 2 3" xfId="0"/>
    <cellStyle name="Normal 61 2 5 2 2 4 2 2 3 2" xfId="0"/>
    <cellStyle name="Normal 61 2 5 2 2 4 2 2 3 2 2" xfId="0"/>
    <cellStyle name="Normal 61 2 5 2 2 4 2 2 3 3" xfId="0"/>
    <cellStyle name="Normal 61 2 5 2 2 4 2 2 4" xfId="0"/>
    <cellStyle name="Normal 61 2 5 2 2 4 2 2 4 2" xfId="0"/>
    <cellStyle name="Normal 61 2 5 2 2 4 2 2 5" xfId="0"/>
    <cellStyle name="Normal 61 2 5 2 2 4 2 3" xfId="0"/>
    <cellStyle name="Normal 61 2 5 2 2 4 2 3 2" xfId="0"/>
    <cellStyle name="Normal 61 2 5 2 2 4 2 3 2 2" xfId="0"/>
    <cellStyle name="Normal 61 2 5 2 2 4 2 3 3" xfId="0"/>
    <cellStyle name="Normal 61 2 5 2 2 4 2 4" xfId="0"/>
    <cellStyle name="Normal 61 2 5 2 2 4 2 4 2" xfId="0"/>
    <cellStyle name="Normal 61 2 5 2 2 4 2 4 2 2" xfId="0"/>
    <cellStyle name="Normal 61 2 5 2 2 4 2 4 3" xfId="0"/>
    <cellStyle name="Normal 61 2 5 2 2 4 2 5" xfId="0"/>
    <cellStyle name="Normal 61 2 5 2 2 4 2 5 2" xfId="0"/>
    <cellStyle name="Normal 61 2 5 2 2 4 2 6" xfId="0"/>
    <cellStyle name="Normal 61 2 5 2 2 4 3" xfId="0"/>
    <cellStyle name="Normal 61 2 5 2 2 4 3 2" xfId="0"/>
    <cellStyle name="Normal 61 2 5 2 2 4 3 2 2" xfId="0"/>
    <cellStyle name="Normal 61 2 5 2 2 4 3 2 2 2" xfId="0"/>
    <cellStyle name="Normal 61 2 5 2 2 4 3 2 3" xfId="0"/>
    <cellStyle name="Normal 61 2 5 2 2 4 3 3" xfId="0"/>
    <cellStyle name="Normal 61 2 5 2 2 4 3 3 2" xfId="0"/>
    <cellStyle name="Normal 61 2 5 2 2 4 3 3 2 2" xfId="0"/>
    <cellStyle name="Normal 61 2 5 2 2 4 3 3 3" xfId="0"/>
    <cellStyle name="Normal 61 2 5 2 2 4 3 4" xfId="0"/>
    <cellStyle name="Normal 61 2 5 2 2 4 3 4 2" xfId="0"/>
    <cellStyle name="Normal 61 2 5 2 2 4 3 5" xfId="0"/>
    <cellStyle name="Normal 61 2 5 2 2 4 4" xfId="0"/>
    <cellStyle name="Normal 61 2 5 2 2 4 4 2" xfId="0"/>
    <cellStyle name="Normal 61 2 5 2 2 4 4 2 2" xfId="0"/>
    <cellStyle name="Normal 61 2 5 2 2 4 4 3" xfId="0"/>
    <cellStyle name="Normal 61 2 5 2 2 4 5" xfId="0"/>
    <cellStyle name="Normal 61 2 5 2 2 4 5 2" xfId="0"/>
    <cellStyle name="Normal 61 2 5 2 2 4 5 2 2" xfId="0"/>
    <cellStyle name="Normal 61 2 5 2 2 4 5 3" xfId="0"/>
    <cellStyle name="Normal 61 2 5 2 2 4 6" xfId="0"/>
    <cellStyle name="Normal 61 2 5 2 2 4 6 2" xfId="0"/>
    <cellStyle name="Normal 61 2 5 2 2 4 7" xfId="0"/>
    <cellStyle name="Normal 61 2 5 2 2 5" xfId="0"/>
    <cellStyle name="Normal 61 2 5 2 2 5 2" xfId="0"/>
    <cellStyle name="Normal 61 2 5 2 2 5 2 2" xfId="0"/>
    <cellStyle name="Normal 61 2 5 2 2 5 2 2 2" xfId="0"/>
    <cellStyle name="Normal 61 2 5 2 2 5 2 2 2 2" xfId="0"/>
    <cellStyle name="Normal 61 2 5 2 2 5 2 2 3" xfId="0"/>
    <cellStyle name="Normal 61 2 5 2 2 5 2 3" xfId="0"/>
    <cellStyle name="Normal 61 2 5 2 2 5 2 3 2" xfId="0"/>
    <cellStyle name="Normal 61 2 5 2 2 5 2 3 2 2" xfId="0"/>
    <cellStyle name="Normal 61 2 5 2 2 5 2 3 3" xfId="0"/>
    <cellStyle name="Normal 61 2 5 2 2 5 2 4" xfId="0"/>
    <cellStyle name="Normal 61 2 5 2 2 5 2 4 2" xfId="0"/>
    <cellStyle name="Normal 61 2 5 2 2 5 2 5" xfId="0"/>
    <cellStyle name="Normal 61 2 5 2 2 5 3" xfId="0"/>
    <cellStyle name="Normal 61 2 5 2 2 5 3 2" xfId="0"/>
    <cellStyle name="Normal 61 2 5 2 2 5 3 2 2" xfId="0"/>
    <cellStyle name="Normal 61 2 5 2 2 5 3 3" xfId="0"/>
    <cellStyle name="Normal 61 2 5 2 2 5 4" xfId="0"/>
    <cellStyle name="Normal 61 2 5 2 2 5 4 2" xfId="0"/>
    <cellStyle name="Normal 61 2 5 2 2 5 4 2 2" xfId="0"/>
    <cellStyle name="Normal 61 2 5 2 2 5 4 3" xfId="0"/>
    <cellStyle name="Normal 61 2 5 2 2 5 5" xfId="0"/>
    <cellStyle name="Normal 61 2 5 2 2 5 5 2" xfId="0"/>
    <cellStyle name="Normal 61 2 5 2 2 5 6" xfId="0"/>
    <cellStyle name="Normal 61 2 5 2 2 6" xfId="0"/>
    <cellStyle name="Normal 61 2 5 2 2 6 2" xfId="0"/>
    <cellStyle name="Normal 61 2 5 2 2 6 2 2" xfId="0"/>
    <cellStyle name="Normal 61 2 5 2 2 6 2 2 2" xfId="0"/>
    <cellStyle name="Normal 61 2 5 2 2 6 2 3" xfId="0"/>
    <cellStyle name="Normal 61 2 5 2 2 6 3" xfId="0"/>
    <cellStyle name="Normal 61 2 5 2 2 6 3 2" xfId="0"/>
    <cellStyle name="Normal 61 2 5 2 2 6 3 2 2" xfId="0"/>
    <cellStyle name="Normal 61 2 5 2 2 6 3 3" xfId="0"/>
    <cellStyle name="Normal 61 2 5 2 2 6 4" xfId="0"/>
    <cellStyle name="Normal 61 2 5 2 2 6 4 2" xfId="0"/>
    <cellStyle name="Normal 61 2 5 2 2 6 5" xfId="0"/>
    <cellStyle name="Normal 61 2 5 2 2 7" xfId="0"/>
    <cellStyle name="Normal 61 2 5 2 2 7 2" xfId="0"/>
    <cellStyle name="Normal 61 2 5 2 2 7 2 2" xfId="0"/>
    <cellStyle name="Normal 61 2 5 2 2 7 3" xfId="0"/>
    <cellStyle name="Normal 61 2 5 2 2 8" xfId="0"/>
    <cellStyle name="Normal 61 2 5 2 2 8 2" xfId="0"/>
    <cellStyle name="Normal 61 2 5 2 2 8 2 2" xfId="0"/>
    <cellStyle name="Normal 61 2 5 2 2 8 3" xfId="0"/>
    <cellStyle name="Normal 61 2 5 2 2 9" xfId="0"/>
    <cellStyle name="Normal 61 2 5 2 2 9 2" xfId="0"/>
    <cellStyle name="Normal 61 2 5 2 3" xfId="0"/>
    <cellStyle name="Normal 61 2 5 2 3 10" xfId="0"/>
    <cellStyle name="Normal 61 2 5 2 3 2" xfId="0"/>
    <cellStyle name="Normal 61 2 5 2 3 2 2" xfId="0"/>
    <cellStyle name="Normal 61 2 5 2 3 2 2 2" xfId="0"/>
    <cellStyle name="Normal 61 2 5 2 3 2 2 2 2" xfId="0"/>
    <cellStyle name="Normal 61 2 5 2 3 2 2 2 2 2" xfId="0"/>
    <cellStyle name="Normal 61 2 5 2 3 2 2 2 2 2 2" xfId="0"/>
    <cellStyle name="Normal 61 2 5 2 3 2 2 2 2 2 2 2" xfId="0"/>
    <cellStyle name="Normal 61 2 5 2 3 2 2 2 2 2 2 2 2" xfId="0"/>
    <cellStyle name="Normal 61 2 5 2 3 2 2 2 2 2 2 3" xfId="0"/>
    <cellStyle name="Normal 61 2 5 2 3 2 2 2 2 2 3" xfId="0"/>
    <cellStyle name="Normal 61 2 5 2 3 2 2 2 2 2 3 2" xfId="0"/>
    <cellStyle name="Normal 61 2 5 2 3 2 2 2 2 2 3 2 2" xfId="0"/>
    <cellStyle name="Normal 61 2 5 2 3 2 2 2 2 2 3 3" xfId="0"/>
    <cellStyle name="Normal 61 2 5 2 3 2 2 2 2 2 4" xfId="0"/>
    <cellStyle name="Normal 61 2 5 2 3 2 2 2 2 2 4 2" xfId="0"/>
    <cellStyle name="Normal 61 2 5 2 3 2 2 2 2 2 5" xfId="0"/>
    <cellStyle name="Normal 61 2 5 2 3 2 2 2 2 3" xfId="0"/>
    <cellStyle name="Normal 61 2 5 2 3 2 2 2 2 3 2" xfId="0"/>
    <cellStyle name="Normal 61 2 5 2 3 2 2 2 2 3 2 2" xfId="0"/>
    <cellStyle name="Normal 61 2 5 2 3 2 2 2 2 3 3" xfId="0"/>
    <cellStyle name="Normal 61 2 5 2 3 2 2 2 2 4" xfId="0"/>
    <cellStyle name="Normal 61 2 5 2 3 2 2 2 2 4 2" xfId="0"/>
    <cellStyle name="Normal 61 2 5 2 3 2 2 2 2 4 2 2" xfId="0"/>
    <cellStyle name="Normal 61 2 5 2 3 2 2 2 2 4 3" xfId="0"/>
    <cellStyle name="Normal 61 2 5 2 3 2 2 2 2 5" xfId="0"/>
    <cellStyle name="Normal 61 2 5 2 3 2 2 2 2 5 2" xfId="0"/>
    <cellStyle name="Normal 61 2 5 2 3 2 2 2 2 6" xfId="0"/>
    <cellStyle name="Normal 61 2 5 2 3 2 2 2 3" xfId="0"/>
    <cellStyle name="Normal 61 2 5 2 3 2 2 2 3 2" xfId="0"/>
    <cellStyle name="Normal 61 2 5 2 3 2 2 2 3 2 2" xfId="0"/>
    <cellStyle name="Normal 61 2 5 2 3 2 2 2 3 2 2 2" xfId="0"/>
    <cellStyle name="Normal 61 2 5 2 3 2 2 2 3 2 3" xfId="0"/>
    <cellStyle name="Normal 61 2 5 2 3 2 2 2 3 3" xfId="0"/>
    <cellStyle name="Normal 61 2 5 2 3 2 2 2 3 3 2" xfId="0"/>
    <cellStyle name="Normal 61 2 5 2 3 2 2 2 3 3 2 2" xfId="0"/>
    <cellStyle name="Normal 61 2 5 2 3 2 2 2 3 3 3" xfId="0"/>
    <cellStyle name="Normal 61 2 5 2 3 2 2 2 3 4" xfId="0"/>
    <cellStyle name="Normal 61 2 5 2 3 2 2 2 3 4 2" xfId="0"/>
    <cellStyle name="Normal 61 2 5 2 3 2 2 2 3 5" xfId="0"/>
    <cellStyle name="Normal 61 2 5 2 3 2 2 2 4" xfId="0"/>
    <cellStyle name="Normal 61 2 5 2 3 2 2 2 4 2" xfId="0"/>
    <cellStyle name="Normal 61 2 5 2 3 2 2 2 4 2 2" xfId="0"/>
    <cellStyle name="Normal 61 2 5 2 3 2 2 2 4 3" xfId="0"/>
    <cellStyle name="Normal 61 2 5 2 3 2 2 2 5" xfId="0"/>
    <cellStyle name="Normal 61 2 5 2 3 2 2 2 5 2" xfId="0"/>
    <cellStyle name="Normal 61 2 5 2 3 2 2 2 5 2 2" xfId="0"/>
    <cellStyle name="Normal 61 2 5 2 3 2 2 2 5 3" xfId="0"/>
    <cellStyle name="Normal 61 2 5 2 3 2 2 2 6" xfId="0"/>
    <cellStyle name="Normal 61 2 5 2 3 2 2 2 6 2" xfId="0"/>
    <cellStyle name="Normal 61 2 5 2 3 2 2 2 7" xfId="0"/>
    <cellStyle name="Normal 61 2 5 2 3 2 2 3" xfId="0"/>
    <cellStyle name="Normal 61 2 5 2 3 2 2 3 2" xfId="0"/>
    <cellStyle name="Normal 61 2 5 2 3 2 2 3 2 2" xfId="0"/>
    <cellStyle name="Normal 61 2 5 2 3 2 2 3 2 2 2" xfId="0"/>
    <cellStyle name="Normal 61 2 5 2 3 2 2 3 2 2 2 2" xfId="0"/>
    <cellStyle name="Normal 61 2 5 2 3 2 2 3 2 2 3" xfId="0"/>
    <cellStyle name="Normal 61 2 5 2 3 2 2 3 2 3" xfId="0"/>
    <cellStyle name="Normal 61 2 5 2 3 2 2 3 2 3 2" xfId="0"/>
    <cellStyle name="Normal 61 2 5 2 3 2 2 3 2 3 2 2" xfId="0"/>
    <cellStyle name="Normal 61 2 5 2 3 2 2 3 2 3 3" xfId="0"/>
    <cellStyle name="Normal 61 2 5 2 3 2 2 3 2 4" xfId="0"/>
    <cellStyle name="Normal 61 2 5 2 3 2 2 3 2 4 2" xfId="0"/>
    <cellStyle name="Normal 61 2 5 2 3 2 2 3 2 5" xfId="0"/>
    <cellStyle name="Normal 61 2 5 2 3 2 2 3 3" xfId="0"/>
    <cellStyle name="Normal 61 2 5 2 3 2 2 3 3 2" xfId="0"/>
    <cellStyle name="Normal 61 2 5 2 3 2 2 3 3 2 2" xfId="0"/>
    <cellStyle name="Normal 61 2 5 2 3 2 2 3 3 3" xfId="0"/>
    <cellStyle name="Normal 61 2 5 2 3 2 2 3 4" xfId="0"/>
    <cellStyle name="Normal 61 2 5 2 3 2 2 3 4 2" xfId="0"/>
    <cellStyle name="Normal 61 2 5 2 3 2 2 3 4 2 2" xfId="0"/>
    <cellStyle name="Normal 61 2 5 2 3 2 2 3 4 3" xfId="0"/>
    <cellStyle name="Normal 61 2 5 2 3 2 2 3 5" xfId="0"/>
    <cellStyle name="Normal 61 2 5 2 3 2 2 3 5 2" xfId="0"/>
    <cellStyle name="Normal 61 2 5 2 3 2 2 3 6" xfId="0"/>
    <cellStyle name="Normal 61 2 5 2 3 2 2 4" xfId="0"/>
    <cellStyle name="Normal 61 2 5 2 3 2 2 4 2" xfId="0"/>
    <cellStyle name="Normal 61 2 5 2 3 2 2 4 2 2" xfId="0"/>
    <cellStyle name="Normal 61 2 5 2 3 2 2 4 2 2 2" xfId="0"/>
    <cellStyle name="Normal 61 2 5 2 3 2 2 4 2 3" xfId="0"/>
    <cellStyle name="Normal 61 2 5 2 3 2 2 4 3" xfId="0"/>
    <cellStyle name="Normal 61 2 5 2 3 2 2 4 3 2" xfId="0"/>
    <cellStyle name="Normal 61 2 5 2 3 2 2 4 3 2 2" xfId="0"/>
    <cellStyle name="Normal 61 2 5 2 3 2 2 4 3 3" xfId="0"/>
    <cellStyle name="Normal 61 2 5 2 3 2 2 4 4" xfId="0"/>
    <cellStyle name="Normal 61 2 5 2 3 2 2 4 4 2" xfId="0"/>
    <cellStyle name="Normal 61 2 5 2 3 2 2 4 5" xfId="0"/>
    <cellStyle name="Normal 61 2 5 2 3 2 2 5" xfId="0"/>
    <cellStyle name="Normal 61 2 5 2 3 2 2 5 2" xfId="0"/>
    <cellStyle name="Normal 61 2 5 2 3 2 2 5 2 2" xfId="0"/>
    <cellStyle name="Normal 61 2 5 2 3 2 2 5 3" xfId="0"/>
    <cellStyle name="Normal 61 2 5 2 3 2 2 6" xfId="0"/>
    <cellStyle name="Normal 61 2 5 2 3 2 2 6 2" xfId="0"/>
    <cellStyle name="Normal 61 2 5 2 3 2 2 6 2 2" xfId="0"/>
    <cellStyle name="Normal 61 2 5 2 3 2 2 6 3" xfId="0"/>
    <cellStyle name="Normal 61 2 5 2 3 2 2 7" xfId="0"/>
    <cellStyle name="Normal 61 2 5 2 3 2 2 7 2" xfId="0"/>
    <cellStyle name="Normal 61 2 5 2 3 2 2 8" xfId="0"/>
    <cellStyle name="Normal 61 2 5 2 3 2 3" xfId="0"/>
    <cellStyle name="Normal 61 2 5 2 3 2 3 2" xfId="0"/>
    <cellStyle name="Normal 61 2 5 2 3 2 3 2 2" xfId="0"/>
    <cellStyle name="Normal 61 2 5 2 3 2 3 2 2 2" xfId="0"/>
    <cellStyle name="Normal 61 2 5 2 3 2 3 2 2 2 2" xfId="0"/>
    <cellStyle name="Normal 61 2 5 2 3 2 3 2 2 2 2 2" xfId="0"/>
    <cellStyle name="Normal 61 2 5 2 3 2 3 2 2 2 3" xfId="0"/>
    <cellStyle name="Normal 61 2 5 2 3 2 3 2 2 3" xfId="0"/>
    <cellStyle name="Normal 61 2 5 2 3 2 3 2 2 3 2" xfId="0"/>
    <cellStyle name="Normal 61 2 5 2 3 2 3 2 2 3 2 2" xfId="0"/>
    <cellStyle name="Normal 61 2 5 2 3 2 3 2 2 3 3" xfId="0"/>
    <cellStyle name="Normal 61 2 5 2 3 2 3 2 2 4" xfId="0"/>
    <cellStyle name="Normal 61 2 5 2 3 2 3 2 2 4 2" xfId="0"/>
    <cellStyle name="Normal 61 2 5 2 3 2 3 2 2 5" xfId="0"/>
    <cellStyle name="Normal 61 2 5 2 3 2 3 2 3" xfId="0"/>
    <cellStyle name="Normal 61 2 5 2 3 2 3 2 3 2" xfId="0"/>
    <cellStyle name="Normal 61 2 5 2 3 2 3 2 3 2 2" xfId="0"/>
    <cellStyle name="Normal 61 2 5 2 3 2 3 2 3 3" xfId="0"/>
    <cellStyle name="Normal 61 2 5 2 3 2 3 2 4" xfId="0"/>
    <cellStyle name="Normal 61 2 5 2 3 2 3 2 4 2" xfId="0"/>
    <cellStyle name="Normal 61 2 5 2 3 2 3 2 4 2 2" xfId="0"/>
    <cellStyle name="Normal 61 2 5 2 3 2 3 2 4 3" xfId="0"/>
    <cellStyle name="Normal 61 2 5 2 3 2 3 2 5" xfId="0"/>
    <cellStyle name="Normal 61 2 5 2 3 2 3 2 5 2" xfId="0"/>
    <cellStyle name="Normal 61 2 5 2 3 2 3 2 6" xfId="0"/>
    <cellStyle name="Normal 61 2 5 2 3 2 3 3" xfId="0"/>
    <cellStyle name="Normal 61 2 5 2 3 2 3 3 2" xfId="0"/>
    <cellStyle name="Normal 61 2 5 2 3 2 3 3 2 2" xfId="0"/>
    <cellStyle name="Normal 61 2 5 2 3 2 3 3 2 2 2" xfId="0"/>
    <cellStyle name="Normal 61 2 5 2 3 2 3 3 2 3" xfId="0"/>
    <cellStyle name="Normal 61 2 5 2 3 2 3 3 3" xfId="0"/>
    <cellStyle name="Normal 61 2 5 2 3 2 3 3 3 2" xfId="0"/>
    <cellStyle name="Normal 61 2 5 2 3 2 3 3 3 2 2" xfId="0"/>
    <cellStyle name="Normal 61 2 5 2 3 2 3 3 3 3" xfId="0"/>
    <cellStyle name="Normal 61 2 5 2 3 2 3 3 4" xfId="0"/>
    <cellStyle name="Normal 61 2 5 2 3 2 3 3 4 2" xfId="0"/>
    <cellStyle name="Normal 61 2 5 2 3 2 3 3 5" xfId="0"/>
    <cellStyle name="Normal 61 2 5 2 3 2 3 4" xfId="0"/>
    <cellStyle name="Normal 61 2 5 2 3 2 3 4 2" xfId="0"/>
    <cellStyle name="Normal 61 2 5 2 3 2 3 4 2 2" xfId="0"/>
    <cellStyle name="Normal 61 2 5 2 3 2 3 4 3" xfId="0"/>
    <cellStyle name="Normal 61 2 5 2 3 2 3 5" xfId="0"/>
    <cellStyle name="Normal 61 2 5 2 3 2 3 5 2" xfId="0"/>
    <cellStyle name="Normal 61 2 5 2 3 2 3 5 2 2" xfId="0"/>
    <cellStyle name="Normal 61 2 5 2 3 2 3 5 3" xfId="0"/>
    <cellStyle name="Normal 61 2 5 2 3 2 3 6" xfId="0"/>
    <cellStyle name="Normal 61 2 5 2 3 2 3 6 2" xfId="0"/>
    <cellStyle name="Normal 61 2 5 2 3 2 3 7" xfId="0"/>
    <cellStyle name="Normal 61 2 5 2 3 2 4" xfId="0"/>
    <cellStyle name="Normal 61 2 5 2 3 2 4 2" xfId="0"/>
    <cellStyle name="Normal 61 2 5 2 3 2 4 2 2" xfId="0"/>
    <cellStyle name="Normal 61 2 5 2 3 2 4 2 2 2" xfId="0"/>
    <cellStyle name="Normal 61 2 5 2 3 2 4 2 2 2 2" xfId="0"/>
    <cellStyle name="Normal 61 2 5 2 3 2 4 2 2 3" xfId="0"/>
    <cellStyle name="Normal 61 2 5 2 3 2 4 2 3" xfId="0"/>
    <cellStyle name="Normal 61 2 5 2 3 2 4 2 3 2" xfId="0"/>
    <cellStyle name="Normal 61 2 5 2 3 2 4 2 3 2 2" xfId="0"/>
    <cellStyle name="Normal 61 2 5 2 3 2 4 2 3 3" xfId="0"/>
    <cellStyle name="Normal 61 2 5 2 3 2 4 2 4" xfId="0"/>
    <cellStyle name="Normal 61 2 5 2 3 2 4 2 4 2" xfId="0"/>
    <cellStyle name="Normal 61 2 5 2 3 2 4 2 5" xfId="0"/>
    <cellStyle name="Normal 61 2 5 2 3 2 4 3" xfId="0"/>
    <cellStyle name="Normal 61 2 5 2 3 2 4 3 2" xfId="0"/>
    <cellStyle name="Normal 61 2 5 2 3 2 4 3 2 2" xfId="0"/>
    <cellStyle name="Normal 61 2 5 2 3 2 4 3 3" xfId="0"/>
    <cellStyle name="Normal 61 2 5 2 3 2 4 4" xfId="0"/>
    <cellStyle name="Normal 61 2 5 2 3 2 4 4 2" xfId="0"/>
    <cellStyle name="Normal 61 2 5 2 3 2 4 4 2 2" xfId="0"/>
    <cellStyle name="Normal 61 2 5 2 3 2 4 4 3" xfId="0"/>
    <cellStyle name="Normal 61 2 5 2 3 2 4 5" xfId="0"/>
    <cellStyle name="Normal 61 2 5 2 3 2 4 5 2" xfId="0"/>
    <cellStyle name="Normal 61 2 5 2 3 2 4 6" xfId="0"/>
    <cellStyle name="Normal 61 2 5 2 3 2 5" xfId="0"/>
    <cellStyle name="Normal 61 2 5 2 3 2 5 2" xfId="0"/>
    <cellStyle name="Normal 61 2 5 2 3 2 5 2 2" xfId="0"/>
    <cellStyle name="Normal 61 2 5 2 3 2 5 2 2 2" xfId="0"/>
    <cellStyle name="Normal 61 2 5 2 3 2 5 2 3" xfId="0"/>
    <cellStyle name="Normal 61 2 5 2 3 2 5 3" xfId="0"/>
    <cellStyle name="Normal 61 2 5 2 3 2 5 3 2" xfId="0"/>
    <cellStyle name="Normal 61 2 5 2 3 2 5 3 2 2" xfId="0"/>
    <cellStyle name="Normal 61 2 5 2 3 2 5 3 3" xfId="0"/>
    <cellStyle name="Normal 61 2 5 2 3 2 5 4" xfId="0"/>
    <cellStyle name="Normal 61 2 5 2 3 2 5 4 2" xfId="0"/>
    <cellStyle name="Normal 61 2 5 2 3 2 5 5" xfId="0"/>
    <cellStyle name="Normal 61 2 5 2 3 2 6" xfId="0"/>
    <cellStyle name="Normal 61 2 5 2 3 2 6 2" xfId="0"/>
    <cellStyle name="Normal 61 2 5 2 3 2 6 2 2" xfId="0"/>
    <cellStyle name="Normal 61 2 5 2 3 2 6 3" xfId="0"/>
    <cellStyle name="Normal 61 2 5 2 3 2 7" xfId="0"/>
    <cellStyle name="Normal 61 2 5 2 3 2 7 2" xfId="0"/>
    <cellStyle name="Normal 61 2 5 2 3 2 7 2 2" xfId="0"/>
    <cellStyle name="Normal 61 2 5 2 3 2 7 3" xfId="0"/>
    <cellStyle name="Normal 61 2 5 2 3 2 8" xfId="0"/>
    <cellStyle name="Normal 61 2 5 2 3 2 8 2" xfId="0"/>
    <cellStyle name="Normal 61 2 5 2 3 2 9" xfId="0"/>
    <cellStyle name="Normal 61 2 5 2 3 3" xfId="0"/>
    <cellStyle name="Normal 61 2 5 2 3 3 2" xfId="0"/>
    <cellStyle name="Normal 61 2 5 2 3 3 2 2" xfId="0"/>
    <cellStyle name="Normal 61 2 5 2 3 3 2 2 2" xfId="0"/>
    <cellStyle name="Normal 61 2 5 2 3 3 2 2 2 2" xfId="0"/>
    <cellStyle name="Normal 61 2 5 2 3 3 2 2 2 2 2" xfId="0"/>
    <cellStyle name="Normal 61 2 5 2 3 3 2 2 2 2 2 2" xfId="0"/>
    <cellStyle name="Normal 61 2 5 2 3 3 2 2 2 2 3" xfId="0"/>
    <cellStyle name="Normal 61 2 5 2 3 3 2 2 2 3" xfId="0"/>
    <cellStyle name="Normal 61 2 5 2 3 3 2 2 2 3 2" xfId="0"/>
    <cellStyle name="Normal 61 2 5 2 3 3 2 2 2 3 2 2" xfId="0"/>
    <cellStyle name="Normal 61 2 5 2 3 3 2 2 2 3 3" xfId="0"/>
    <cellStyle name="Normal 61 2 5 2 3 3 2 2 2 4" xfId="0"/>
    <cellStyle name="Normal 61 2 5 2 3 3 2 2 2 4 2" xfId="0"/>
    <cellStyle name="Normal 61 2 5 2 3 3 2 2 2 5" xfId="0"/>
    <cellStyle name="Normal 61 2 5 2 3 3 2 2 3" xfId="0"/>
    <cellStyle name="Normal 61 2 5 2 3 3 2 2 3 2" xfId="0"/>
    <cellStyle name="Normal 61 2 5 2 3 3 2 2 3 2 2" xfId="0"/>
    <cellStyle name="Normal 61 2 5 2 3 3 2 2 3 3" xfId="0"/>
    <cellStyle name="Normal 61 2 5 2 3 3 2 2 4" xfId="0"/>
    <cellStyle name="Normal 61 2 5 2 3 3 2 2 4 2" xfId="0"/>
    <cellStyle name="Normal 61 2 5 2 3 3 2 2 4 2 2" xfId="0"/>
    <cellStyle name="Normal 61 2 5 2 3 3 2 2 4 3" xfId="0"/>
    <cellStyle name="Normal 61 2 5 2 3 3 2 2 5" xfId="0"/>
    <cellStyle name="Normal 61 2 5 2 3 3 2 2 5 2" xfId="0"/>
    <cellStyle name="Normal 61 2 5 2 3 3 2 2 6" xfId="0"/>
    <cellStyle name="Normal 61 2 5 2 3 3 2 3" xfId="0"/>
    <cellStyle name="Normal 61 2 5 2 3 3 2 3 2" xfId="0"/>
    <cellStyle name="Normal 61 2 5 2 3 3 2 3 2 2" xfId="0"/>
    <cellStyle name="Normal 61 2 5 2 3 3 2 3 2 2 2" xfId="0"/>
    <cellStyle name="Normal 61 2 5 2 3 3 2 3 2 3" xfId="0"/>
    <cellStyle name="Normal 61 2 5 2 3 3 2 3 3" xfId="0"/>
    <cellStyle name="Normal 61 2 5 2 3 3 2 3 3 2" xfId="0"/>
    <cellStyle name="Normal 61 2 5 2 3 3 2 3 3 2 2" xfId="0"/>
    <cellStyle name="Normal 61 2 5 2 3 3 2 3 3 3" xfId="0"/>
    <cellStyle name="Normal 61 2 5 2 3 3 2 3 4" xfId="0"/>
    <cellStyle name="Normal 61 2 5 2 3 3 2 3 4 2" xfId="0"/>
    <cellStyle name="Normal 61 2 5 2 3 3 2 3 5" xfId="0"/>
    <cellStyle name="Normal 61 2 5 2 3 3 2 4" xfId="0"/>
    <cellStyle name="Normal 61 2 5 2 3 3 2 4 2" xfId="0"/>
    <cellStyle name="Normal 61 2 5 2 3 3 2 4 2 2" xfId="0"/>
    <cellStyle name="Normal 61 2 5 2 3 3 2 4 3" xfId="0"/>
    <cellStyle name="Normal 61 2 5 2 3 3 2 5" xfId="0"/>
    <cellStyle name="Normal 61 2 5 2 3 3 2 5 2" xfId="0"/>
    <cellStyle name="Normal 61 2 5 2 3 3 2 5 2 2" xfId="0"/>
    <cellStyle name="Normal 61 2 5 2 3 3 2 5 3" xfId="0"/>
    <cellStyle name="Normal 61 2 5 2 3 3 2 6" xfId="0"/>
    <cellStyle name="Normal 61 2 5 2 3 3 2 6 2" xfId="0"/>
    <cellStyle name="Normal 61 2 5 2 3 3 2 7" xfId="0"/>
    <cellStyle name="Normal 61 2 5 2 3 3 3" xfId="0"/>
    <cellStyle name="Normal 61 2 5 2 3 3 3 2" xfId="0"/>
    <cellStyle name="Normal 61 2 5 2 3 3 3 2 2" xfId="0"/>
    <cellStyle name="Normal 61 2 5 2 3 3 3 2 2 2" xfId="0"/>
    <cellStyle name="Normal 61 2 5 2 3 3 3 2 2 2 2" xfId="0"/>
    <cellStyle name="Normal 61 2 5 2 3 3 3 2 2 3" xfId="0"/>
    <cellStyle name="Normal 61 2 5 2 3 3 3 2 3" xfId="0"/>
    <cellStyle name="Normal 61 2 5 2 3 3 3 2 3 2" xfId="0"/>
    <cellStyle name="Normal 61 2 5 2 3 3 3 2 3 2 2" xfId="0"/>
    <cellStyle name="Normal 61 2 5 2 3 3 3 2 3 3" xfId="0"/>
    <cellStyle name="Normal 61 2 5 2 3 3 3 2 4" xfId="0"/>
    <cellStyle name="Normal 61 2 5 2 3 3 3 2 4 2" xfId="0"/>
    <cellStyle name="Normal 61 2 5 2 3 3 3 2 5" xfId="0"/>
    <cellStyle name="Normal 61 2 5 2 3 3 3 3" xfId="0"/>
    <cellStyle name="Normal 61 2 5 2 3 3 3 3 2" xfId="0"/>
    <cellStyle name="Normal 61 2 5 2 3 3 3 3 2 2" xfId="0"/>
    <cellStyle name="Normal 61 2 5 2 3 3 3 3 3" xfId="0"/>
    <cellStyle name="Normal 61 2 5 2 3 3 3 4" xfId="0"/>
    <cellStyle name="Normal 61 2 5 2 3 3 3 4 2" xfId="0"/>
    <cellStyle name="Normal 61 2 5 2 3 3 3 4 2 2" xfId="0"/>
    <cellStyle name="Normal 61 2 5 2 3 3 3 4 3" xfId="0"/>
    <cellStyle name="Normal 61 2 5 2 3 3 3 5" xfId="0"/>
    <cellStyle name="Normal 61 2 5 2 3 3 3 5 2" xfId="0"/>
    <cellStyle name="Normal 61 2 5 2 3 3 3 6" xfId="0"/>
    <cellStyle name="Normal 61 2 5 2 3 3 4" xfId="0"/>
    <cellStyle name="Normal 61 2 5 2 3 3 4 2" xfId="0"/>
    <cellStyle name="Normal 61 2 5 2 3 3 4 2 2" xfId="0"/>
    <cellStyle name="Normal 61 2 5 2 3 3 4 2 2 2" xfId="0"/>
    <cellStyle name="Normal 61 2 5 2 3 3 4 2 3" xfId="0"/>
    <cellStyle name="Normal 61 2 5 2 3 3 4 3" xfId="0"/>
    <cellStyle name="Normal 61 2 5 2 3 3 4 3 2" xfId="0"/>
    <cellStyle name="Normal 61 2 5 2 3 3 4 3 2 2" xfId="0"/>
    <cellStyle name="Normal 61 2 5 2 3 3 4 3 3" xfId="0"/>
    <cellStyle name="Normal 61 2 5 2 3 3 4 4" xfId="0"/>
    <cellStyle name="Normal 61 2 5 2 3 3 4 4 2" xfId="0"/>
    <cellStyle name="Normal 61 2 5 2 3 3 4 5" xfId="0"/>
    <cellStyle name="Normal 61 2 5 2 3 3 5" xfId="0"/>
    <cellStyle name="Normal 61 2 5 2 3 3 5 2" xfId="0"/>
    <cellStyle name="Normal 61 2 5 2 3 3 5 2 2" xfId="0"/>
    <cellStyle name="Normal 61 2 5 2 3 3 5 3" xfId="0"/>
    <cellStyle name="Normal 61 2 5 2 3 3 6" xfId="0"/>
    <cellStyle name="Normal 61 2 5 2 3 3 6 2" xfId="0"/>
    <cellStyle name="Normal 61 2 5 2 3 3 6 2 2" xfId="0"/>
    <cellStyle name="Normal 61 2 5 2 3 3 6 3" xfId="0"/>
    <cellStyle name="Normal 61 2 5 2 3 3 7" xfId="0"/>
    <cellStyle name="Normal 61 2 5 2 3 3 7 2" xfId="0"/>
    <cellStyle name="Normal 61 2 5 2 3 3 8" xfId="0"/>
    <cellStyle name="Normal 61 2 5 2 3 4" xfId="0"/>
    <cellStyle name="Normal 61 2 5 2 3 4 2" xfId="0"/>
    <cellStyle name="Normal 61 2 5 2 3 4 2 2" xfId="0"/>
    <cellStyle name="Normal 61 2 5 2 3 4 2 2 2" xfId="0"/>
    <cellStyle name="Normal 61 2 5 2 3 4 2 2 2 2" xfId="0"/>
    <cellStyle name="Normal 61 2 5 2 3 4 2 2 2 2 2" xfId="0"/>
    <cellStyle name="Normal 61 2 5 2 3 4 2 2 2 3" xfId="0"/>
    <cellStyle name="Normal 61 2 5 2 3 4 2 2 3" xfId="0"/>
    <cellStyle name="Normal 61 2 5 2 3 4 2 2 3 2" xfId="0"/>
    <cellStyle name="Normal 61 2 5 2 3 4 2 2 3 2 2" xfId="0"/>
    <cellStyle name="Normal 61 2 5 2 3 4 2 2 3 3" xfId="0"/>
    <cellStyle name="Normal 61 2 5 2 3 4 2 2 4" xfId="0"/>
    <cellStyle name="Normal 61 2 5 2 3 4 2 2 4 2" xfId="0"/>
    <cellStyle name="Normal 61 2 5 2 3 4 2 2 5" xfId="0"/>
    <cellStyle name="Normal 61 2 5 2 3 4 2 3" xfId="0"/>
    <cellStyle name="Normal 61 2 5 2 3 4 2 3 2" xfId="0"/>
    <cellStyle name="Normal 61 2 5 2 3 4 2 3 2 2" xfId="0"/>
    <cellStyle name="Normal 61 2 5 2 3 4 2 3 3" xfId="0"/>
    <cellStyle name="Normal 61 2 5 2 3 4 2 4" xfId="0"/>
    <cellStyle name="Normal 61 2 5 2 3 4 2 4 2" xfId="0"/>
    <cellStyle name="Normal 61 2 5 2 3 4 2 4 2 2" xfId="0"/>
    <cellStyle name="Normal 61 2 5 2 3 4 2 4 3" xfId="0"/>
    <cellStyle name="Normal 61 2 5 2 3 4 2 5" xfId="0"/>
    <cellStyle name="Normal 61 2 5 2 3 4 2 5 2" xfId="0"/>
    <cellStyle name="Normal 61 2 5 2 3 4 2 6" xfId="0"/>
    <cellStyle name="Normal 61 2 5 2 3 4 3" xfId="0"/>
    <cellStyle name="Normal 61 2 5 2 3 4 3 2" xfId="0"/>
    <cellStyle name="Normal 61 2 5 2 3 4 3 2 2" xfId="0"/>
    <cellStyle name="Normal 61 2 5 2 3 4 3 2 2 2" xfId="0"/>
    <cellStyle name="Normal 61 2 5 2 3 4 3 2 3" xfId="0"/>
    <cellStyle name="Normal 61 2 5 2 3 4 3 3" xfId="0"/>
    <cellStyle name="Normal 61 2 5 2 3 4 3 3 2" xfId="0"/>
    <cellStyle name="Normal 61 2 5 2 3 4 3 3 2 2" xfId="0"/>
    <cellStyle name="Normal 61 2 5 2 3 4 3 3 3" xfId="0"/>
    <cellStyle name="Normal 61 2 5 2 3 4 3 4" xfId="0"/>
    <cellStyle name="Normal 61 2 5 2 3 4 3 4 2" xfId="0"/>
    <cellStyle name="Normal 61 2 5 2 3 4 3 5" xfId="0"/>
    <cellStyle name="Normal 61 2 5 2 3 4 4" xfId="0"/>
    <cellStyle name="Normal 61 2 5 2 3 4 4 2" xfId="0"/>
    <cellStyle name="Normal 61 2 5 2 3 4 4 2 2" xfId="0"/>
    <cellStyle name="Normal 61 2 5 2 3 4 4 3" xfId="0"/>
    <cellStyle name="Normal 61 2 5 2 3 4 5" xfId="0"/>
    <cellStyle name="Normal 61 2 5 2 3 4 5 2" xfId="0"/>
    <cellStyle name="Normal 61 2 5 2 3 4 5 2 2" xfId="0"/>
    <cellStyle name="Normal 61 2 5 2 3 4 5 3" xfId="0"/>
    <cellStyle name="Normal 61 2 5 2 3 4 6" xfId="0"/>
    <cellStyle name="Normal 61 2 5 2 3 4 6 2" xfId="0"/>
    <cellStyle name="Normal 61 2 5 2 3 4 7" xfId="0"/>
    <cellStyle name="Normal 61 2 5 2 3 5" xfId="0"/>
    <cellStyle name="Normal 61 2 5 2 3 5 2" xfId="0"/>
    <cellStyle name="Normal 61 2 5 2 3 5 2 2" xfId="0"/>
    <cellStyle name="Normal 61 2 5 2 3 5 2 2 2" xfId="0"/>
    <cellStyle name="Normal 61 2 5 2 3 5 2 2 2 2" xfId="0"/>
    <cellStyle name="Normal 61 2 5 2 3 5 2 2 3" xfId="0"/>
    <cellStyle name="Normal 61 2 5 2 3 5 2 3" xfId="0"/>
    <cellStyle name="Normal 61 2 5 2 3 5 2 3 2" xfId="0"/>
    <cellStyle name="Normal 61 2 5 2 3 5 2 3 2 2" xfId="0"/>
    <cellStyle name="Normal 61 2 5 2 3 5 2 3 3" xfId="0"/>
    <cellStyle name="Normal 61 2 5 2 3 5 2 4" xfId="0"/>
    <cellStyle name="Normal 61 2 5 2 3 5 2 4 2" xfId="0"/>
    <cellStyle name="Normal 61 2 5 2 3 5 2 5" xfId="0"/>
    <cellStyle name="Normal 61 2 5 2 3 5 3" xfId="0"/>
    <cellStyle name="Normal 61 2 5 2 3 5 3 2" xfId="0"/>
    <cellStyle name="Normal 61 2 5 2 3 5 3 2 2" xfId="0"/>
    <cellStyle name="Normal 61 2 5 2 3 5 3 3" xfId="0"/>
    <cellStyle name="Normal 61 2 5 2 3 5 4" xfId="0"/>
    <cellStyle name="Normal 61 2 5 2 3 5 4 2" xfId="0"/>
    <cellStyle name="Normal 61 2 5 2 3 5 4 2 2" xfId="0"/>
    <cellStyle name="Normal 61 2 5 2 3 5 4 3" xfId="0"/>
    <cellStyle name="Normal 61 2 5 2 3 5 5" xfId="0"/>
    <cellStyle name="Normal 61 2 5 2 3 5 5 2" xfId="0"/>
    <cellStyle name="Normal 61 2 5 2 3 5 6" xfId="0"/>
    <cellStyle name="Normal 61 2 5 2 3 6" xfId="0"/>
    <cellStyle name="Normal 61 2 5 2 3 6 2" xfId="0"/>
    <cellStyle name="Normal 61 2 5 2 3 6 2 2" xfId="0"/>
    <cellStyle name="Normal 61 2 5 2 3 6 2 2 2" xfId="0"/>
    <cellStyle name="Normal 61 2 5 2 3 6 2 3" xfId="0"/>
    <cellStyle name="Normal 61 2 5 2 3 6 3" xfId="0"/>
    <cellStyle name="Normal 61 2 5 2 3 6 3 2" xfId="0"/>
    <cellStyle name="Normal 61 2 5 2 3 6 3 2 2" xfId="0"/>
    <cellStyle name="Normal 61 2 5 2 3 6 3 3" xfId="0"/>
    <cellStyle name="Normal 61 2 5 2 3 6 4" xfId="0"/>
    <cellStyle name="Normal 61 2 5 2 3 6 4 2" xfId="0"/>
    <cellStyle name="Normal 61 2 5 2 3 6 5" xfId="0"/>
    <cellStyle name="Normal 61 2 5 2 3 7" xfId="0"/>
    <cellStyle name="Normal 61 2 5 2 3 7 2" xfId="0"/>
    <cellStyle name="Normal 61 2 5 2 3 7 2 2" xfId="0"/>
    <cellStyle name="Normal 61 2 5 2 3 7 3" xfId="0"/>
    <cellStyle name="Normal 61 2 5 2 3 8" xfId="0"/>
    <cellStyle name="Normal 61 2 5 2 3 8 2" xfId="0"/>
    <cellStyle name="Normal 61 2 5 2 3 8 2 2" xfId="0"/>
    <cellStyle name="Normal 61 2 5 2 3 8 3" xfId="0"/>
    <cellStyle name="Normal 61 2 5 2 3 9" xfId="0"/>
    <cellStyle name="Normal 61 2 5 2 3 9 2" xfId="0"/>
    <cellStyle name="Normal 61 2 5 2 4" xfId="0"/>
    <cellStyle name="Normal 61 2 5 2 4 2" xfId="0"/>
    <cellStyle name="Normal 61 2 5 2 4 2 2" xfId="0"/>
    <cellStyle name="Normal 61 2 5 2 4 2 2 2" xfId="0"/>
    <cellStyle name="Normal 61 2 5 2 4 2 2 2 2" xfId="0"/>
    <cellStyle name="Normal 61 2 5 2 4 2 2 2 2 2" xfId="0"/>
    <cellStyle name="Normal 61 2 5 2 4 2 2 2 2 2 2" xfId="0"/>
    <cellStyle name="Normal 61 2 5 2 4 2 2 2 2 2 2 2" xfId="0"/>
    <cellStyle name="Normal 61 2 5 2 4 2 2 2 2 2 3" xfId="0"/>
    <cellStyle name="Normal 61 2 5 2 4 2 2 2 2 3" xfId="0"/>
    <cellStyle name="Normal 61 2 5 2 4 2 2 2 2 3 2" xfId="0"/>
    <cellStyle name="Normal 61 2 5 2 4 2 2 2 2 3 2 2" xfId="0"/>
    <cellStyle name="Normal 61 2 5 2 4 2 2 2 2 3 3" xfId="0"/>
    <cellStyle name="Normal 61 2 5 2 4 2 2 2 2 4" xfId="0"/>
    <cellStyle name="Normal 61 2 5 2 4 2 2 2 2 4 2" xfId="0"/>
    <cellStyle name="Normal 61 2 5 2 4 2 2 2 2 5" xfId="0"/>
    <cellStyle name="Normal 61 2 5 2 4 2 2 2 3" xfId="0"/>
    <cellStyle name="Normal 61 2 5 2 4 2 2 2 3 2" xfId="0"/>
    <cellStyle name="Normal 61 2 5 2 4 2 2 2 3 2 2" xfId="0"/>
    <cellStyle name="Normal 61 2 5 2 4 2 2 2 3 3" xfId="0"/>
    <cellStyle name="Normal 61 2 5 2 4 2 2 2 4" xfId="0"/>
    <cellStyle name="Normal 61 2 5 2 4 2 2 2 4 2" xfId="0"/>
    <cellStyle name="Normal 61 2 5 2 4 2 2 2 4 2 2" xfId="0"/>
    <cellStyle name="Normal 61 2 5 2 4 2 2 2 4 3" xfId="0"/>
    <cellStyle name="Normal 61 2 5 2 4 2 2 2 5" xfId="0"/>
    <cellStyle name="Normal 61 2 5 2 4 2 2 2 5 2" xfId="0"/>
    <cellStyle name="Normal 61 2 5 2 4 2 2 2 6" xfId="0"/>
    <cellStyle name="Normal 61 2 5 2 4 2 2 3" xfId="0"/>
    <cellStyle name="Normal 61 2 5 2 4 2 2 3 2" xfId="0"/>
    <cellStyle name="Normal 61 2 5 2 4 2 2 3 2 2" xfId="0"/>
    <cellStyle name="Normal 61 2 5 2 4 2 2 3 2 2 2" xfId="0"/>
    <cellStyle name="Normal 61 2 5 2 4 2 2 3 2 3" xfId="0"/>
    <cellStyle name="Normal 61 2 5 2 4 2 2 3 3" xfId="0"/>
    <cellStyle name="Normal 61 2 5 2 4 2 2 3 3 2" xfId="0"/>
    <cellStyle name="Normal 61 2 5 2 4 2 2 3 3 2 2" xfId="0"/>
    <cellStyle name="Normal 61 2 5 2 4 2 2 3 3 3" xfId="0"/>
    <cellStyle name="Normal 61 2 5 2 4 2 2 3 4" xfId="0"/>
    <cellStyle name="Normal 61 2 5 2 4 2 2 3 4 2" xfId="0"/>
    <cellStyle name="Normal 61 2 5 2 4 2 2 3 5" xfId="0"/>
    <cellStyle name="Normal 61 2 5 2 4 2 2 4" xfId="0"/>
    <cellStyle name="Normal 61 2 5 2 4 2 2 4 2" xfId="0"/>
    <cellStyle name="Normal 61 2 5 2 4 2 2 4 2 2" xfId="0"/>
    <cellStyle name="Normal 61 2 5 2 4 2 2 4 3" xfId="0"/>
    <cellStyle name="Normal 61 2 5 2 4 2 2 5" xfId="0"/>
    <cellStyle name="Normal 61 2 5 2 4 2 2 5 2" xfId="0"/>
    <cellStyle name="Normal 61 2 5 2 4 2 2 5 2 2" xfId="0"/>
    <cellStyle name="Normal 61 2 5 2 4 2 2 5 3" xfId="0"/>
    <cellStyle name="Normal 61 2 5 2 4 2 2 6" xfId="0"/>
    <cellStyle name="Normal 61 2 5 2 4 2 2 6 2" xfId="0"/>
    <cellStyle name="Normal 61 2 5 2 4 2 2 7" xfId="0"/>
    <cellStyle name="Normal 61 2 5 2 4 2 3" xfId="0"/>
    <cellStyle name="Normal 61 2 5 2 4 2 3 2" xfId="0"/>
    <cellStyle name="Normal 61 2 5 2 4 2 3 2 2" xfId="0"/>
    <cellStyle name="Normal 61 2 5 2 4 2 3 2 2 2" xfId="0"/>
    <cellStyle name="Normal 61 2 5 2 4 2 3 2 2 2 2" xfId="0"/>
    <cellStyle name="Normal 61 2 5 2 4 2 3 2 2 3" xfId="0"/>
    <cellStyle name="Normal 61 2 5 2 4 2 3 2 3" xfId="0"/>
    <cellStyle name="Normal 61 2 5 2 4 2 3 2 3 2" xfId="0"/>
    <cellStyle name="Normal 61 2 5 2 4 2 3 2 3 2 2" xfId="0"/>
    <cellStyle name="Normal 61 2 5 2 4 2 3 2 3 3" xfId="0"/>
    <cellStyle name="Normal 61 2 5 2 4 2 3 2 4" xfId="0"/>
    <cellStyle name="Normal 61 2 5 2 4 2 3 2 4 2" xfId="0"/>
    <cellStyle name="Normal 61 2 5 2 4 2 3 2 5" xfId="0"/>
    <cellStyle name="Normal 61 2 5 2 4 2 3 3" xfId="0"/>
    <cellStyle name="Normal 61 2 5 2 4 2 3 3 2" xfId="0"/>
    <cellStyle name="Normal 61 2 5 2 4 2 3 3 2 2" xfId="0"/>
    <cellStyle name="Normal 61 2 5 2 4 2 3 3 3" xfId="0"/>
    <cellStyle name="Normal 61 2 5 2 4 2 3 4" xfId="0"/>
    <cellStyle name="Normal 61 2 5 2 4 2 3 4 2" xfId="0"/>
    <cellStyle name="Normal 61 2 5 2 4 2 3 4 2 2" xfId="0"/>
    <cellStyle name="Normal 61 2 5 2 4 2 3 4 3" xfId="0"/>
    <cellStyle name="Normal 61 2 5 2 4 2 3 5" xfId="0"/>
    <cellStyle name="Normal 61 2 5 2 4 2 3 5 2" xfId="0"/>
    <cellStyle name="Normal 61 2 5 2 4 2 3 6" xfId="0"/>
    <cellStyle name="Normal 61 2 5 2 4 2 4" xfId="0"/>
    <cellStyle name="Normal 61 2 5 2 4 2 4 2" xfId="0"/>
    <cellStyle name="Normal 61 2 5 2 4 2 4 2 2" xfId="0"/>
    <cellStyle name="Normal 61 2 5 2 4 2 4 2 2 2" xfId="0"/>
    <cellStyle name="Normal 61 2 5 2 4 2 4 2 3" xfId="0"/>
    <cellStyle name="Normal 61 2 5 2 4 2 4 3" xfId="0"/>
    <cellStyle name="Normal 61 2 5 2 4 2 4 3 2" xfId="0"/>
    <cellStyle name="Normal 61 2 5 2 4 2 4 3 2 2" xfId="0"/>
    <cellStyle name="Normal 61 2 5 2 4 2 4 3 3" xfId="0"/>
    <cellStyle name="Normal 61 2 5 2 4 2 4 4" xfId="0"/>
    <cellStyle name="Normal 61 2 5 2 4 2 4 4 2" xfId="0"/>
    <cellStyle name="Normal 61 2 5 2 4 2 4 5" xfId="0"/>
    <cellStyle name="Normal 61 2 5 2 4 2 5" xfId="0"/>
    <cellStyle name="Normal 61 2 5 2 4 2 5 2" xfId="0"/>
    <cellStyle name="Normal 61 2 5 2 4 2 5 2 2" xfId="0"/>
    <cellStyle name="Normal 61 2 5 2 4 2 5 3" xfId="0"/>
    <cellStyle name="Normal 61 2 5 2 4 2 6" xfId="0"/>
    <cellStyle name="Normal 61 2 5 2 4 2 6 2" xfId="0"/>
    <cellStyle name="Normal 61 2 5 2 4 2 6 2 2" xfId="0"/>
    <cellStyle name="Normal 61 2 5 2 4 2 6 3" xfId="0"/>
    <cellStyle name="Normal 61 2 5 2 4 2 7" xfId="0"/>
    <cellStyle name="Normal 61 2 5 2 4 2 7 2" xfId="0"/>
    <cellStyle name="Normal 61 2 5 2 4 2 8" xfId="0"/>
    <cellStyle name="Normal 61 2 5 2 4 3" xfId="0"/>
    <cellStyle name="Normal 61 2 5 2 4 3 2" xfId="0"/>
    <cellStyle name="Normal 61 2 5 2 4 3 2 2" xfId="0"/>
    <cellStyle name="Normal 61 2 5 2 4 3 2 2 2" xfId="0"/>
    <cellStyle name="Normal 61 2 5 2 4 3 2 2 2 2" xfId="0"/>
    <cellStyle name="Normal 61 2 5 2 4 3 2 2 2 2 2" xfId="0"/>
    <cellStyle name="Normal 61 2 5 2 4 3 2 2 2 3" xfId="0"/>
    <cellStyle name="Normal 61 2 5 2 4 3 2 2 3" xfId="0"/>
    <cellStyle name="Normal 61 2 5 2 4 3 2 2 3 2" xfId="0"/>
    <cellStyle name="Normal 61 2 5 2 4 3 2 2 3 2 2" xfId="0"/>
    <cellStyle name="Normal 61 2 5 2 4 3 2 2 3 3" xfId="0"/>
    <cellStyle name="Normal 61 2 5 2 4 3 2 2 4" xfId="0"/>
    <cellStyle name="Normal 61 2 5 2 4 3 2 2 4 2" xfId="0"/>
    <cellStyle name="Normal 61 2 5 2 4 3 2 2 5" xfId="0"/>
    <cellStyle name="Normal 61 2 5 2 4 3 2 3" xfId="0"/>
    <cellStyle name="Normal 61 2 5 2 4 3 2 3 2" xfId="0"/>
    <cellStyle name="Normal 61 2 5 2 4 3 2 3 2 2" xfId="0"/>
    <cellStyle name="Normal 61 2 5 2 4 3 2 3 3" xfId="0"/>
    <cellStyle name="Normal 61 2 5 2 4 3 2 4" xfId="0"/>
    <cellStyle name="Normal 61 2 5 2 4 3 2 4 2" xfId="0"/>
    <cellStyle name="Normal 61 2 5 2 4 3 2 4 2 2" xfId="0"/>
    <cellStyle name="Normal 61 2 5 2 4 3 2 4 3" xfId="0"/>
    <cellStyle name="Normal 61 2 5 2 4 3 2 5" xfId="0"/>
    <cellStyle name="Normal 61 2 5 2 4 3 2 5 2" xfId="0"/>
    <cellStyle name="Normal 61 2 5 2 4 3 2 6" xfId="0"/>
    <cellStyle name="Normal 61 2 5 2 4 3 3" xfId="0"/>
    <cellStyle name="Normal 61 2 5 2 4 3 3 2" xfId="0"/>
    <cellStyle name="Normal 61 2 5 2 4 3 3 2 2" xfId="0"/>
    <cellStyle name="Normal 61 2 5 2 4 3 3 2 2 2" xfId="0"/>
    <cellStyle name="Normal 61 2 5 2 4 3 3 2 3" xfId="0"/>
    <cellStyle name="Normal 61 2 5 2 4 3 3 3" xfId="0"/>
    <cellStyle name="Normal 61 2 5 2 4 3 3 3 2" xfId="0"/>
    <cellStyle name="Normal 61 2 5 2 4 3 3 3 2 2" xfId="0"/>
    <cellStyle name="Normal 61 2 5 2 4 3 3 3 3" xfId="0"/>
    <cellStyle name="Normal 61 2 5 2 4 3 3 4" xfId="0"/>
    <cellStyle name="Normal 61 2 5 2 4 3 3 4 2" xfId="0"/>
    <cellStyle name="Normal 61 2 5 2 4 3 3 5" xfId="0"/>
    <cellStyle name="Normal 61 2 5 2 4 3 4" xfId="0"/>
    <cellStyle name="Normal 61 2 5 2 4 3 4 2" xfId="0"/>
    <cellStyle name="Normal 61 2 5 2 4 3 4 2 2" xfId="0"/>
    <cellStyle name="Normal 61 2 5 2 4 3 4 3" xfId="0"/>
    <cellStyle name="Normal 61 2 5 2 4 3 5" xfId="0"/>
    <cellStyle name="Normal 61 2 5 2 4 3 5 2" xfId="0"/>
    <cellStyle name="Normal 61 2 5 2 4 3 5 2 2" xfId="0"/>
    <cellStyle name="Normal 61 2 5 2 4 3 5 3" xfId="0"/>
    <cellStyle name="Normal 61 2 5 2 4 3 6" xfId="0"/>
    <cellStyle name="Normal 61 2 5 2 4 3 6 2" xfId="0"/>
    <cellStyle name="Normal 61 2 5 2 4 3 7" xfId="0"/>
    <cellStyle name="Normal 61 2 5 2 4 4" xfId="0"/>
    <cellStyle name="Normal 61 2 5 2 4 4 2" xfId="0"/>
    <cellStyle name="Normal 61 2 5 2 4 4 2 2" xfId="0"/>
    <cellStyle name="Normal 61 2 5 2 4 4 2 2 2" xfId="0"/>
    <cellStyle name="Normal 61 2 5 2 4 4 2 2 2 2" xfId="0"/>
    <cellStyle name="Normal 61 2 5 2 4 4 2 2 3" xfId="0"/>
    <cellStyle name="Normal 61 2 5 2 4 4 2 3" xfId="0"/>
    <cellStyle name="Normal 61 2 5 2 4 4 2 3 2" xfId="0"/>
    <cellStyle name="Normal 61 2 5 2 4 4 2 3 2 2" xfId="0"/>
    <cellStyle name="Normal 61 2 5 2 4 4 2 3 3" xfId="0"/>
    <cellStyle name="Normal 61 2 5 2 4 4 2 4" xfId="0"/>
    <cellStyle name="Normal 61 2 5 2 4 4 2 4 2" xfId="0"/>
    <cellStyle name="Normal 61 2 5 2 4 4 2 5" xfId="0"/>
    <cellStyle name="Normal 61 2 5 2 4 4 3" xfId="0"/>
    <cellStyle name="Normal 61 2 5 2 4 4 3 2" xfId="0"/>
    <cellStyle name="Normal 61 2 5 2 4 4 3 2 2" xfId="0"/>
    <cellStyle name="Normal 61 2 5 2 4 4 3 3" xfId="0"/>
    <cellStyle name="Normal 61 2 5 2 4 4 4" xfId="0"/>
    <cellStyle name="Normal 61 2 5 2 4 4 4 2" xfId="0"/>
    <cellStyle name="Normal 61 2 5 2 4 4 4 2 2" xfId="0"/>
    <cellStyle name="Normal 61 2 5 2 4 4 4 3" xfId="0"/>
    <cellStyle name="Normal 61 2 5 2 4 4 5" xfId="0"/>
    <cellStyle name="Normal 61 2 5 2 4 4 5 2" xfId="0"/>
    <cellStyle name="Normal 61 2 5 2 4 4 6" xfId="0"/>
    <cellStyle name="Normal 61 2 5 2 4 5" xfId="0"/>
    <cellStyle name="Normal 61 2 5 2 4 5 2" xfId="0"/>
    <cellStyle name="Normal 61 2 5 2 4 5 2 2" xfId="0"/>
    <cellStyle name="Normal 61 2 5 2 4 5 2 2 2" xfId="0"/>
    <cellStyle name="Normal 61 2 5 2 4 5 2 3" xfId="0"/>
    <cellStyle name="Normal 61 2 5 2 4 5 3" xfId="0"/>
    <cellStyle name="Normal 61 2 5 2 4 5 3 2" xfId="0"/>
    <cellStyle name="Normal 61 2 5 2 4 5 3 2 2" xfId="0"/>
    <cellStyle name="Normal 61 2 5 2 4 5 3 3" xfId="0"/>
    <cellStyle name="Normal 61 2 5 2 4 5 4" xfId="0"/>
    <cellStyle name="Normal 61 2 5 2 4 5 4 2" xfId="0"/>
    <cellStyle name="Normal 61 2 5 2 4 5 5" xfId="0"/>
    <cellStyle name="Normal 61 2 5 2 4 6" xfId="0"/>
    <cellStyle name="Normal 61 2 5 2 4 6 2" xfId="0"/>
    <cellStyle name="Normal 61 2 5 2 4 6 2 2" xfId="0"/>
    <cellStyle name="Normal 61 2 5 2 4 6 3" xfId="0"/>
    <cellStyle name="Normal 61 2 5 2 4 7" xfId="0"/>
    <cellStyle name="Normal 61 2 5 2 4 7 2" xfId="0"/>
    <cellStyle name="Normal 61 2 5 2 4 7 2 2" xfId="0"/>
    <cellStyle name="Normal 61 2 5 2 4 7 3" xfId="0"/>
    <cellStyle name="Normal 61 2 5 2 4 8" xfId="0"/>
    <cellStyle name="Normal 61 2 5 2 4 8 2" xfId="0"/>
    <cellStyle name="Normal 61 2 5 2 4 9" xfId="0"/>
    <cellStyle name="Normal 61 2 5 2 5" xfId="0"/>
    <cellStyle name="Normal 61 2 5 2 5 2" xfId="0"/>
    <cellStyle name="Normal 61 2 5 2 5 2 2" xfId="0"/>
    <cellStyle name="Normal 61 2 5 2 5 2 2 2" xfId="0"/>
    <cellStyle name="Normal 61 2 5 2 5 2 2 2 2" xfId="0"/>
    <cellStyle name="Normal 61 2 5 2 5 2 2 2 2 2" xfId="0"/>
    <cellStyle name="Normal 61 2 5 2 5 2 2 2 2 2 2" xfId="0"/>
    <cellStyle name="Normal 61 2 5 2 5 2 2 2 2 3" xfId="0"/>
    <cellStyle name="Normal 61 2 5 2 5 2 2 2 3" xfId="0"/>
    <cellStyle name="Normal 61 2 5 2 5 2 2 2 3 2" xfId="0"/>
    <cellStyle name="Normal 61 2 5 2 5 2 2 2 3 2 2" xfId="0"/>
    <cellStyle name="Normal 61 2 5 2 5 2 2 2 3 3" xfId="0"/>
    <cellStyle name="Normal 61 2 5 2 5 2 2 2 4" xfId="0"/>
    <cellStyle name="Normal 61 2 5 2 5 2 2 2 4 2" xfId="0"/>
    <cellStyle name="Normal 61 2 5 2 5 2 2 2 5" xfId="0"/>
    <cellStyle name="Normal 61 2 5 2 5 2 2 3" xfId="0"/>
    <cellStyle name="Normal 61 2 5 2 5 2 2 3 2" xfId="0"/>
    <cellStyle name="Normal 61 2 5 2 5 2 2 3 2 2" xfId="0"/>
    <cellStyle name="Normal 61 2 5 2 5 2 2 3 3" xfId="0"/>
    <cellStyle name="Normal 61 2 5 2 5 2 2 4" xfId="0"/>
    <cellStyle name="Normal 61 2 5 2 5 2 2 4 2" xfId="0"/>
    <cellStyle name="Normal 61 2 5 2 5 2 2 4 2 2" xfId="0"/>
    <cellStyle name="Normal 61 2 5 2 5 2 2 4 3" xfId="0"/>
    <cellStyle name="Normal 61 2 5 2 5 2 2 5" xfId="0"/>
    <cellStyle name="Normal 61 2 5 2 5 2 2 5 2" xfId="0"/>
    <cellStyle name="Normal 61 2 5 2 5 2 2 6" xfId="0"/>
    <cellStyle name="Normal 61 2 5 2 5 2 3" xfId="0"/>
    <cellStyle name="Normal 61 2 5 2 5 2 3 2" xfId="0"/>
    <cellStyle name="Normal 61 2 5 2 5 2 3 2 2" xfId="0"/>
    <cellStyle name="Normal 61 2 5 2 5 2 3 2 2 2" xfId="0"/>
    <cellStyle name="Normal 61 2 5 2 5 2 3 2 3" xfId="0"/>
    <cellStyle name="Normal 61 2 5 2 5 2 3 3" xfId="0"/>
    <cellStyle name="Normal 61 2 5 2 5 2 3 3 2" xfId="0"/>
    <cellStyle name="Normal 61 2 5 2 5 2 3 3 2 2" xfId="0"/>
    <cellStyle name="Normal 61 2 5 2 5 2 3 3 3" xfId="0"/>
    <cellStyle name="Normal 61 2 5 2 5 2 3 4" xfId="0"/>
    <cellStyle name="Normal 61 2 5 2 5 2 3 4 2" xfId="0"/>
    <cellStyle name="Normal 61 2 5 2 5 2 3 5" xfId="0"/>
    <cellStyle name="Normal 61 2 5 2 5 2 4" xfId="0"/>
    <cellStyle name="Normal 61 2 5 2 5 2 4 2" xfId="0"/>
    <cellStyle name="Normal 61 2 5 2 5 2 4 2 2" xfId="0"/>
    <cellStyle name="Normal 61 2 5 2 5 2 4 3" xfId="0"/>
    <cellStyle name="Normal 61 2 5 2 5 2 5" xfId="0"/>
    <cellStyle name="Normal 61 2 5 2 5 2 5 2" xfId="0"/>
    <cellStyle name="Normal 61 2 5 2 5 2 5 2 2" xfId="0"/>
    <cellStyle name="Normal 61 2 5 2 5 2 5 3" xfId="0"/>
    <cellStyle name="Normal 61 2 5 2 5 2 6" xfId="0"/>
    <cellStyle name="Normal 61 2 5 2 5 2 6 2" xfId="0"/>
    <cellStyle name="Normal 61 2 5 2 5 2 7" xfId="0"/>
    <cellStyle name="Normal 61 2 5 2 5 3" xfId="0"/>
    <cellStyle name="Normal 61 2 5 2 5 3 2" xfId="0"/>
    <cellStyle name="Normal 61 2 5 2 5 3 2 2" xfId="0"/>
    <cellStyle name="Normal 61 2 5 2 5 3 2 2 2" xfId="0"/>
    <cellStyle name="Normal 61 2 5 2 5 3 2 2 2 2" xfId="0"/>
    <cellStyle name="Normal 61 2 5 2 5 3 2 2 3" xfId="0"/>
    <cellStyle name="Normal 61 2 5 2 5 3 2 3" xfId="0"/>
    <cellStyle name="Normal 61 2 5 2 5 3 2 3 2" xfId="0"/>
    <cellStyle name="Normal 61 2 5 2 5 3 2 3 2 2" xfId="0"/>
    <cellStyle name="Normal 61 2 5 2 5 3 2 3 3" xfId="0"/>
    <cellStyle name="Normal 61 2 5 2 5 3 2 4" xfId="0"/>
    <cellStyle name="Normal 61 2 5 2 5 3 2 4 2" xfId="0"/>
    <cellStyle name="Normal 61 2 5 2 5 3 2 5" xfId="0"/>
    <cellStyle name="Normal 61 2 5 2 5 3 3" xfId="0"/>
    <cellStyle name="Normal 61 2 5 2 5 3 3 2" xfId="0"/>
    <cellStyle name="Normal 61 2 5 2 5 3 3 2 2" xfId="0"/>
    <cellStyle name="Normal 61 2 5 2 5 3 3 3" xfId="0"/>
    <cellStyle name="Normal 61 2 5 2 5 3 4" xfId="0"/>
    <cellStyle name="Normal 61 2 5 2 5 3 4 2" xfId="0"/>
    <cellStyle name="Normal 61 2 5 2 5 3 4 2 2" xfId="0"/>
    <cellStyle name="Normal 61 2 5 2 5 3 4 3" xfId="0"/>
    <cellStyle name="Normal 61 2 5 2 5 3 5" xfId="0"/>
    <cellStyle name="Normal 61 2 5 2 5 3 5 2" xfId="0"/>
    <cellStyle name="Normal 61 2 5 2 5 3 6" xfId="0"/>
    <cellStyle name="Normal 61 2 5 2 5 4" xfId="0"/>
    <cellStyle name="Normal 61 2 5 2 5 4 2" xfId="0"/>
    <cellStyle name="Normal 61 2 5 2 5 4 2 2" xfId="0"/>
    <cellStyle name="Normal 61 2 5 2 5 4 2 2 2" xfId="0"/>
    <cellStyle name="Normal 61 2 5 2 5 4 2 3" xfId="0"/>
    <cellStyle name="Normal 61 2 5 2 5 4 3" xfId="0"/>
    <cellStyle name="Normal 61 2 5 2 5 4 3 2" xfId="0"/>
    <cellStyle name="Normal 61 2 5 2 5 4 3 2 2" xfId="0"/>
    <cellStyle name="Normal 61 2 5 2 5 4 3 3" xfId="0"/>
    <cellStyle name="Normal 61 2 5 2 5 4 4" xfId="0"/>
    <cellStyle name="Normal 61 2 5 2 5 4 4 2" xfId="0"/>
    <cellStyle name="Normal 61 2 5 2 5 4 5" xfId="0"/>
    <cellStyle name="Normal 61 2 5 2 5 5" xfId="0"/>
    <cellStyle name="Normal 61 2 5 2 5 5 2" xfId="0"/>
    <cellStyle name="Normal 61 2 5 2 5 5 2 2" xfId="0"/>
    <cellStyle name="Normal 61 2 5 2 5 5 3" xfId="0"/>
    <cellStyle name="Normal 61 2 5 2 5 6" xfId="0"/>
    <cellStyle name="Normal 61 2 5 2 5 6 2" xfId="0"/>
    <cellStyle name="Normal 61 2 5 2 5 6 2 2" xfId="0"/>
    <cellStyle name="Normal 61 2 5 2 5 6 3" xfId="0"/>
    <cellStyle name="Normal 61 2 5 2 5 7" xfId="0"/>
    <cellStyle name="Normal 61 2 5 2 5 7 2" xfId="0"/>
    <cellStyle name="Normal 61 2 5 2 5 8" xfId="0"/>
    <cellStyle name="Normal 61 2 5 2 6" xfId="0"/>
    <cellStyle name="Normal 61 2 5 2 6 2" xfId="0"/>
    <cellStyle name="Normal 61 2 5 2 6 2 2" xfId="0"/>
    <cellStyle name="Normal 61 2 5 2 6 2 2 2" xfId="0"/>
    <cellStyle name="Normal 61 2 5 2 6 2 2 2 2" xfId="0"/>
    <cellStyle name="Normal 61 2 5 2 6 2 2 2 2 2" xfId="0"/>
    <cellStyle name="Normal 61 2 5 2 6 2 2 2 3" xfId="0"/>
    <cellStyle name="Normal 61 2 5 2 6 2 2 3" xfId="0"/>
    <cellStyle name="Normal 61 2 5 2 6 2 2 3 2" xfId="0"/>
    <cellStyle name="Normal 61 2 5 2 6 2 2 3 2 2" xfId="0"/>
    <cellStyle name="Normal 61 2 5 2 6 2 2 3 3" xfId="0"/>
    <cellStyle name="Normal 61 2 5 2 6 2 2 4" xfId="0"/>
    <cellStyle name="Normal 61 2 5 2 6 2 2 4 2" xfId="0"/>
    <cellStyle name="Normal 61 2 5 2 6 2 2 5" xfId="0"/>
    <cellStyle name="Normal 61 2 5 2 6 2 3" xfId="0"/>
    <cellStyle name="Normal 61 2 5 2 6 2 3 2" xfId="0"/>
    <cellStyle name="Normal 61 2 5 2 6 2 3 2 2" xfId="0"/>
    <cellStyle name="Normal 61 2 5 2 6 2 3 3" xfId="0"/>
    <cellStyle name="Normal 61 2 5 2 6 2 4" xfId="0"/>
    <cellStyle name="Normal 61 2 5 2 6 2 4 2" xfId="0"/>
    <cellStyle name="Normal 61 2 5 2 6 2 4 2 2" xfId="0"/>
    <cellStyle name="Normal 61 2 5 2 6 2 4 3" xfId="0"/>
    <cellStyle name="Normal 61 2 5 2 6 2 5" xfId="0"/>
    <cellStyle name="Normal 61 2 5 2 6 2 5 2" xfId="0"/>
    <cellStyle name="Normal 61 2 5 2 6 2 6" xfId="0"/>
    <cellStyle name="Normal 61 2 5 2 6 3" xfId="0"/>
    <cellStyle name="Normal 61 2 5 2 6 3 2" xfId="0"/>
    <cellStyle name="Normal 61 2 5 2 6 3 2 2" xfId="0"/>
    <cellStyle name="Normal 61 2 5 2 6 3 2 2 2" xfId="0"/>
    <cellStyle name="Normal 61 2 5 2 6 3 2 3" xfId="0"/>
    <cellStyle name="Normal 61 2 5 2 6 3 3" xfId="0"/>
    <cellStyle name="Normal 61 2 5 2 6 3 3 2" xfId="0"/>
    <cellStyle name="Normal 61 2 5 2 6 3 3 2 2" xfId="0"/>
    <cellStyle name="Normal 61 2 5 2 6 3 3 3" xfId="0"/>
    <cellStyle name="Normal 61 2 5 2 6 3 4" xfId="0"/>
    <cellStyle name="Normal 61 2 5 2 6 3 4 2" xfId="0"/>
    <cellStyle name="Normal 61 2 5 2 6 3 5" xfId="0"/>
    <cellStyle name="Normal 61 2 5 2 6 4" xfId="0"/>
    <cellStyle name="Normal 61 2 5 2 6 4 2" xfId="0"/>
    <cellStyle name="Normal 61 2 5 2 6 4 2 2" xfId="0"/>
    <cellStyle name="Normal 61 2 5 2 6 4 3" xfId="0"/>
    <cellStyle name="Normal 61 2 5 2 6 5" xfId="0"/>
    <cellStyle name="Normal 61 2 5 2 6 5 2" xfId="0"/>
    <cellStyle name="Normal 61 2 5 2 6 5 2 2" xfId="0"/>
    <cellStyle name="Normal 61 2 5 2 6 5 3" xfId="0"/>
    <cellStyle name="Normal 61 2 5 2 6 6" xfId="0"/>
    <cellStyle name="Normal 61 2 5 2 6 6 2" xfId="0"/>
    <cellStyle name="Normal 61 2 5 2 6 7" xfId="0"/>
    <cellStyle name="Normal 61 2 5 2 7" xfId="0"/>
    <cellStyle name="Normal 61 2 5 2 7 2" xfId="0"/>
    <cellStyle name="Normal 61 2 5 2 7 2 2" xfId="0"/>
    <cellStyle name="Normal 61 2 5 2 7 2 2 2" xfId="0"/>
    <cellStyle name="Normal 61 2 5 2 7 2 2 2 2" xfId="0"/>
    <cellStyle name="Normal 61 2 5 2 7 2 2 3" xfId="0"/>
    <cellStyle name="Normal 61 2 5 2 7 2 3" xfId="0"/>
    <cellStyle name="Normal 61 2 5 2 7 2 3 2" xfId="0"/>
    <cellStyle name="Normal 61 2 5 2 7 2 3 2 2" xfId="0"/>
    <cellStyle name="Normal 61 2 5 2 7 2 3 3" xfId="0"/>
    <cellStyle name="Normal 61 2 5 2 7 2 4" xfId="0"/>
    <cellStyle name="Normal 61 2 5 2 7 2 4 2" xfId="0"/>
    <cellStyle name="Normal 61 2 5 2 7 2 5" xfId="0"/>
    <cellStyle name="Normal 61 2 5 2 7 3" xfId="0"/>
    <cellStyle name="Normal 61 2 5 2 7 3 2" xfId="0"/>
    <cellStyle name="Normal 61 2 5 2 7 3 2 2" xfId="0"/>
    <cellStyle name="Normal 61 2 5 2 7 3 3" xfId="0"/>
    <cellStyle name="Normal 61 2 5 2 7 4" xfId="0"/>
    <cellStyle name="Normal 61 2 5 2 7 4 2" xfId="0"/>
    <cellStyle name="Normal 61 2 5 2 7 4 2 2" xfId="0"/>
    <cellStyle name="Normal 61 2 5 2 7 4 3" xfId="0"/>
    <cellStyle name="Normal 61 2 5 2 7 5" xfId="0"/>
    <cellStyle name="Normal 61 2 5 2 7 5 2" xfId="0"/>
    <cellStyle name="Normal 61 2 5 2 7 6" xfId="0"/>
    <cellStyle name="Normal 61 2 5 2 8" xfId="0"/>
    <cellStyle name="Normal 61 2 5 2 8 2" xfId="0"/>
    <cellStyle name="Normal 61 2 5 2 8 2 2" xfId="0"/>
    <cellStyle name="Normal 61 2 5 2 8 2 2 2" xfId="0"/>
    <cellStyle name="Normal 61 2 5 2 8 2 3" xfId="0"/>
    <cellStyle name="Normal 61 2 5 2 8 3" xfId="0"/>
    <cellStyle name="Normal 61 2 5 2 8 3 2" xfId="0"/>
    <cellStyle name="Normal 61 2 5 2 8 3 2 2" xfId="0"/>
    <cellStyle name="Normal 61 2 5 2 8 3 3" xfId="0"/>
    <cellStyle name="Normal 61 2 5 2 8 4" xfId="0"/>
    <cellStyle name="Normal 61 2 5 2 8 4 2" xfId="0"/>
    <cellStyle name="Normal 61 2 5 2 8 5" xfId="0"/>
    <cellStyle name="Normal 61 2 5 2 9" xfId="0"/>
    <cellStyle name="Normal 61 2 5 2 9 2" xfId="0"/>
    <cellStyle name="Normal 61 2 5 2 9 2 2" xfId="0"/>
    <cellStyle name="Normal 61 2 5 2 9 3" xfId="0"/>
    <cellStyle name="Normal 61 2 5 3" xfId="0"/>
    <cellStyle name="Normal 61 2 5 3 10" xfId="0"/>
    <cellStyle name="Normal 61 2 5 3 2" xfId="0"/>
    <cellStyle name="Normal 61 2 5 3 2 2" xfId="0"/>
    <cellStyle name="Normal 61 2 5 3 2 2 2" xfId="0"/>
    <cellStyle name="Normal 61 2 5 3 2 2 2 2" xfId="0"/>
    <cellStyle name="Normal 61 2 5 3 2 2 2 2 2" xfId="0"/>
    <cellStyle name="Normal 61 2 5 3 2 2 2 2 2 2" xfId="0"/>
    <cellStyle name="Normal 61 2 5 3 2 2 2 2 2 2 2" xfId="0"/>
    <cellStyle name="Normal 61 2 5 3 2 2 2 2 2 2 2 2" xfId="0"/>
    <cellStyle name="Normal 61 2 5 3 2 2 2 2 2 2 3" xfId="0"/>
    <cellStyle name="Normal 61 2 5 3 2 2 2 2 2 3" xfId="0"/>
    <cellStyle name="Normal 61 2 5 3 2 2 2 2 2 3 2" xfId="0"/>
    <cellStyle name="Normal 61 2 5 3 2 2 2 2 2 3 2 2" xfId="0"/>
    <cellStyle name="Normal 61 2 5 3 2 2 2 2 2 3 3" xfId="0"/>
    <cellStyle name="Normal 61 2 5 3 2 2 2 2 2 4" xfId="0"/>
    <cellStyle name="Normal 61 2 5 3 2 2 2 2 2 4 2" xfId="0"/>
    <cellStyle name="Normal 61 2 5 3 2 2 2 2 2 5" xfId="0"/>
    <cellStyle name="Normal 61 2 5 3 2 2 2 2 3" xfId="0"/>
    <cellStyle name="Normal 61 2 5 3 2 2 2 2 3 2" xfId="0"/>
    <cellStyle name="Normal 61 2 5 3 2 2 2 2 3 2 2" xfId="0"/>
    <cellStyle name="Normal 61 2 5 3 2 2 2 2 3 3" xfId="0"/>
    <cellStyle name="Normal 61 2 5 3 2 2 2 2 4" xfId="0"/>
    <cellStyle name="Normal 61 2 5 3 2 2 2 2 4 2" xfId="0"/>
    <cellStyle name="Normal 61 2 5 3 2 2 2 2 4 2 2" xfId="0"/>
    <cellStyle name="Normal 61 2 5 3 2 2 2 2 4 3" xfId="0"/>
    <cellStyle name="Normal 61 2 5 3 2 2 2 2 5" xfId="0"/>
    <cellStyle name="Normal 61 2 5 3 2 2 2 2 5 2" xfId="0"/>
    <cellStyle name="Normal 61 2 5 3 2 2 2 2 6" xfId="0"/>
    <cellStyle name="Normal 61 2 5 3 2 2 2 3" xfId="0"/>
    <cellStyle name="Normal 61 2 5 3 2 2 2 3 2" xfId="0"/>
    <cellStyle name="Normal 61 2 5 3 2 2 2 3 2 2" xfId="0"/>
    <cellStyle name="Normal 61 2 5 3 2 2 2 3 2 2 2" xfId="0"/>
    <cellStyle name="Normal 61 2 5 3 2 2 2 3 2 3" xfId="0"/>
    <cellStyle name="Normal 61 2 5 3 2 2 2 3 3" xfId="0"/>
    <cellStyle name="Normal 61 2 5 3 2 2 2 3 3 2" xfId="0"/>
    <cellStyle name="Normal 61 2 5 3 2 2 2 3 3 2 2" xfId="0"/>
    <cellStyle name="Normal 61 2 5 3 2 2 2 3 3 3" xfId="0"/>
    <cellStyle name="Normal 61 2 5 3 2 2 2 3 4" xfId="0"/>
    <cellStyle name="Normal 61 2 5 3 2 2 2 3 4 2" xfId="0"/>
    <cellStyle name="Normal 61 2 5 3 2 2 2 3 5" xfId="0"/>
    <cellStyle name="Normal 61 2 5 3 2 2 2 4" xfId="0"/>
    <cellStyle name="Normal 61 2 5 3 2 2 2 4 2" xfId="0"/>
    <cellStyle name="Normal 61 2 5 3 2 2 2 4 2 2" xfId="0"/>
    <cellStyle name="Normal 61 2 5 3 2 2 2 4 3" xfId="0"/>
    <cellStyle name="Normal 61 2 5 3 2 2 2 5" xfId="0"/>
    <cellStyle name="Normal 61 2 5 3 2 2 2 5 2" xfId="0"/>
    <cellStyle name="Normal 61 2 5 3 2 2 2 5 2 2" xfId="0"/>
    <cellStyle name="Normal 61 2 5 3 2 2 2 5 3" xfId="0"/>
    <cellStyle name="Normal 61 2 5 3 2 2 2 6" xfId="0"/>
    <cellStyle name="Normal 61 2 5 3 2 2 2 6 2" xfId="0"/>
    <cellStyle name="Normal 61 2 5 3 2 2 2 7" xfId="0"/>
    <cellStyle name="Normal 61 2 5 3 2 2 3" xfId="0"/>
    <cellStyle name="Normal 61 2 5 3 2 2 3 2" xfId="0"/>
    <cellStyle name="Normal 61 2 5 3 2 2 3 2 2" xfId="0"/>
    <cellStyle name="Normal 61 2 5 3 2 2 3 2 2 2" xfId="0"/>
    <cellStyle name="Normal 61 2 5 3 2 2 3 2 2 2 2" xfId="0"/>
    <cellStyle name="Normal 61 2 5 3 2 2 3 2 2 3" xfId="0"/>
    <cellStyle name="Normal 61 2 5 3 2 2 3 2 3" xfId="0"/>
    <cellStyle name="Normal 61 2 5 3 2 2 3 2 3 2" xfId="0"/>
    <cellStyle name="Normal 61 2 5 3 2 2 3 2 3 2 2" xfId="0"/>
    <cellStyle name="Normal 61 2 5 3 2 2 3 2 3 3" xfId="0"/>
    <cellStyle name="Normal 61 2 5 3 2 2 3 2 4" xfId="0"/>
    <cellStyle name="Normal 61 2 5 3 2 2 3 2 4 2" xfId="0"/>
    <cellStyle name="Normal 61 2 5 3 2 2 3 2 5" xfId="0"/>
    <cellStyle name="Normal 61 2 5 3 2 2 3 3" xfId="0"/>
    <cellStyle name="Normal 61 2 5 3 2 2 3 3 2" xfId="0"/>
    <cellStyle name="Normal 61 2 5 3 2 2 3 3 2 2" xfId="0"/>
    <cellStyle name="Normal 61 2 5 3 2 2 3 3 3" xfId="0"/>
    <cellStyle name="Normal 61 2 5 3 2 2 3 4" xfId="0"/>
    <cellStyle name="Normal 61 2 5 3 2 2 3 4 2" xfId="0"/>
    <cellStyle name="Normal 61 2 5 3 2 2 3 4 2 2" xfId="0"/>
    <cellStyle name="Normal 61 2 5 3 2 2 3 4 3" xfId="0"/>
    <cellStyle name="Normal 61 2 5 3 2 2 3 5" xfId="0"/>
    <cellStyle name="Normal 61 2 5 3 2 2 3 5 2" xfId="0"/>
    <cellStyle name="Normal 61 2 5 3 2 2 3 6" xfId="0"/>
    <cellStyle name="Normal 61 2 5 3 2 2 4" xfId="0"/>
    <cellStyle name="Normal 61 2 5 3 2 2 4 2" xfId="0"/>
    <cellStyle name="Normal 61 2 5 3 2 2 4 2 2" xfId="0"/>
    <cellStyle name="Normal 61 2 5 3 2 2 4 2 2 2" xfId="0"/>
    <cellStyle name="Normal 61 2 5 3 2 2 4 2 3" xfId="0"/>
    <cellStyle name="Normal 61 2 5 3 2 2 4 3" xfId="0"/>
    <cellStyle name="Normal 61 2 5 3 2 2 4 3 2" xfId="0"/>
    <cellStyle name="Normal 61 2 5 3 2 2 4 3 2 2" xfId="0"/>
    <cellStyle name="Normal 61 2 5 3 2 2 4 3 3" xfId="0"/>
    <cellStyle name="Normal 61 2 5 3 2 2 4 4" xfId="0"/>
    <cellStyle name="Normal 61 2 5 3 2 2 4 4 2" xfId="0"/>
    <cellStyle name="Normal 61 2 5 3 2 2 4 5" xfId="0"/>
    <cellStyle name="Normal 61 2 5 3 2 2 5" xfId="0"/>
    <cellStyle name="Normal 61 2 5 3 2 2 5 2" xfId="0"/>
    <cellStyle name="Normal 61 2 5 3 2 2 5 2 2" xfId="0"/>
    <cellStyle name="Normal 61 2 5 3 2 2 5 3" xfId="0"/>
    <cellStyle name="Normal 61 2 5 3 2 2 6" xfId="0"/>
    <cellStyle name="Normal 61 2 5 3 2 2 6 2" xfId="0"/>
    <cellStyle name="Normal 61 2 5 3 2 2 6 2 2" xfId="0"/>
    <cellStyle name="Normal 61 2 5 3 2 2 6 3" xfId="0"/>
    <cellStyle name="Normal 61 2 5 3 2 2 7" xfId="0"/>
    <cellStyle name="Normal 61 2 5 3 2 2 7 2" xfId="0"/>
    <cellStyle name="Normal 61 2 5 3 2 2 8" xfId="0"/>
    <cellStyle name="Normal 61 2 5 3 2 3" xfId="0"/>
    <cellStyle name="Normal 61 2 5 3 2 3 2" xfId="0"/>
    <cellStyle name="Normal 61 2 5 3 2 3 2 2" xfId="0"/>
    <cellStyle name="Normal 61 2 5 3 2 3 2 2 2" xfId="0"/>
    <cellStyle name="Normal 61 2 5 3 2 3 2 2 2 2" xfId="0"/>
    <cellStyle name="Normal 61 2 5 3 2 3 2 2 2 2 2" xfId="0"/>
    <cellStyle name="Normal 61 2 5 3 2 3 2 2 2 3" xfId="0"/>
    <cellStyle name="Normal 61 2 5 3 2 3 2 2 3" xfId="0"/>
    <cellStyle name="Normal 61 2 5 3 2 3 2 2 3 2" xfId="0"/>
    <cellStyle name="Normal 61 2 5 3 2 3 2 2 3 2 2" xfId="0"/>
    <cellStyle name="Normal 61 2 5 3 2 3 2 2 3 3" xfId="0"/>
    <cellStyle name="Normal 61 2 5 3 2 3 2 2 4" xfId="0"/>
    <cellStyle name="Normal 61 2 5 3 2 3 2 2 4 2" xfId="0"/>
    <cellStyle name="Normal 61 2 5 3 2 3 2 2 5" xfId="0"/>
    <cellStyle name="Normal 61 2 5 3 2 3 2 3" xfId="0"/>
    <cellStyle name="Normal 61 2 5 3 2 3 2 3 2" xfId="0"/>
    <cellStyle name="Normal 61 2 5 3 2 3 2 3 2 2" xfId="0"/>
    <cellStyle name="Normal 61 2 5 3 2 3 2 3 3" xfId="0"/>
    <cellStyle name="Normal 61 2 5 3 2 3 2 4" xfId="0"/>
    <cellStyle name="Normal 61 2 5 3 2 3 2 4 2" xfId="0"/>
    <cellStyle name="Normal 61 2 5 3 2 3 2 4 2 2" xfId="0"/>
    <cellStyle name="Normal 61 2 5 3 2 3 2 4 3" xfId="0"/>
    <cellStyle name="Normal 61 2 5 3 2 3 2 5" xfId="0"/>
    <cellStyle name="Normal 61 2 5 3 2 3 2 5 2" xfId="0"/>
    <cellStyle name="Normal 61 2 5 3 2 3 2 6" xfId="0"/>
    <cellStyle name="Normal 61 2 5 3 2 3 3" xfId="0"/>
    <cellStyle name="Normal 61 2 5 3 2 3 3 2" xfId="0"/>
    <cellStyle name="Normal 61 2 5 3 2 3 3 2 2" xfId="0"/>
    <cellStyle name="Normal 61 2 5 3 2 3 3 2 2 2" xfId="0"/>
    <cellStyle name="Normal 61 2 5 3 2 3 3 2 3" xfId="0"/>
    <cellStyle name="Normal 61 2 5 3 2 3 3 3" xfId="0"/>
    <cellStyle name="Normal 61 2 5 3 2 3 3 3 2" xfId="0"/>
    <cellStyle name="Normal 61 2 5 3 2 3 3 3 2 2" xfId="0"/>
    <cellStyle name="Normal 61 2 5 3 2 3 3 3 3" xfId="0"/>
    <cellStyle name="Normal 61 2 5 3 2 3 3 4" xfId="0"/>
    <cellStyle name="Normal 61 2 5 3 2 3 3 4 2" xfId="0"/>
    <cellStyle name="Normal 61 2 5 3 2 3 3 5" xfId="0"/>
    <cellStyle name="Normal 61 2 5 3 2 3 4" xfId="0"/>
    <cellStyle name="Normal 61 2 5 3 2 3 4 2" xfId="0"/>
    <cellStyle name="Normal 61 2 5 3 2 3 4 2 2" xfId="0"/>
    <cellStyle name="Normal 61 2 5 3 2 3 4 3" xfId="0"/>
    <cellStyle name="Normal 61 2 5 3 2 3 5" xfId="0"/>
    <cellStyle name="Normal 61 2 5 3 2 3 5 2" xfId="0"/>
    <cellStyle name="Normal 61 2 5 3 2 3 5 2 2" xfId="0"/>
    <cellStyle name="Normal 61 2 5 3 2 3 5 3" xfId="0"/>
    <cellStyle name="Normal 61 2 5 3 2 3 6" xfId="0"/>
    <cellStyle name="Normal 61 2 5 3 2 3 6 2" xfId="0"/>
    <cellStyle name="Normal 61 2 5 3 2 3 7" xfId="0"/>
    <cellStyle name="Normal 61 2 5 3 2 4" xfId="0"/>
    <cellStyle name="Normal 61 2 5 3 2 4 2" xfId="0"/>
    <cellStyle name="Normal 61 2 5 3 2 4 2 2" xfId="0"/>
    <cellStyle name="Normal 61 2 5 3 2 4 2 2 2" xfId="0"/>
    <cellStyle name="Normal 61 2 5 3 2 4 2 2 2 2" xfId="0"/>
    <cellStyle name="Normal 61 2 5 3 2 4 2 2 3" xfId="0"/>
    <cellStyle name="Normal 61 2 5 3 2 4 2 3" xfId="0"/>
    <cellStyle name="Normal 61 2 5 3 2 4 2 3 2" xfId="0"/>
    <cellStyle name="Normal 61 2 5 3 2 4 2 3 2 2" xfId="0"/>
    <cellStyle name="Normal 61 2 5 3 2 4 2 3 3" xfId="0"/>
    <cellStyle name="Normal 61 2 5 3 2 4 2 4" xfId="0"/>
    <cellStyle name="Normal 61 2 5 3 2 4 2 4 2" xfId="0"/>
    <cellStyle name="Normal 61 2 5 3 2 4 2 5" xfId="0"/>
    <cellStyle name="Normal 61 2 5 3 2 4 3" xfId="0"/>
    <cellStyle name="Normal 61 2 5 3 2 4 3 2" xfId="0"/>
    <cellStyle name="Normal 61 2 5 3 2 4 3 2 2" xfId="0"/>
    <cellStyle name="Normal 61 2 5 3 2 4 3 3" xfId="0"/>
    <cellStyle name="Normal 61 2 5 3 2 4 4" xfId="0"/>
    <cellStyle name="Normal 61 2 5 3 2 4 4 2" xfId="0"/>
    <cellStyle name="Normal 61 2 5 3 2 4 4 2 2" xfId="0"/>
    <cellStyle name="Normal 61 2 5 3 2 4 4 3" xfId="0"/>
    <cellStyle name="Normal 61 2 5 3 2 4 5" xfId="0"/>
    <cellStyle name="Normal 61 2 5 3 2 4 5 2" xfId="0"/>
    <cellStyle name="Normal 61 2 5 3 2 4 6" xfId="0"/>
    <cellStyle name="Normal 61 2 5 3 2 5" xfId="0"/>
    <cellStyle name="Normal 61 2 5 3 2 5 2" xfId="0"/>
    <cellStyle name="Normal 61 2 5 3 2 5 2 2" xfId="0"/>
    <cellStyle name="Normal 61 2 5 3 2 5 2 2 2" xfId="0"/>
    <cellStyle name="Normal 61 2 5 3 2 5 2 3" xfId="0"/>
    <cellStyle name="Normal 61 2 5 3 2 5 3" xfId="0"/>
    <cellStyle name="Normal 61 2 5 3 2 5 3 2" xfId="0"/>
    <cellStyle name="Normal 61 2 5 3 2 5 3 2 2" xfId="0"/>
    <cellStyle name="Normal 61 2 5 3 2 5 3 3" xfId="0"/>
    <cellStyle name="Normal 61 2 5 3 2 5 4" xfId="0"/>
    <cellStyle name="Normal 61 2 5 3 2 5 4 2" xfId="0"/>
    <cellStyle name="Normal 61 2 5 3 2 5 5" xfId="0"/>
    <cellStyle name="Normal 61 2 5 3 2 6" xfId="0"/>
    <cellStyle name="Normal 61 2 5 3 2 6 2" xfId="0"/>
    <cellStyle name="Normal 61 2 5 3 2 6 2 2" xfId="0"/>
    <cellStyle name="Normal 61 2 5 3 2 6 3" xfId="0"/>
    <cellStyle name="Normal 61 2 5 3 2 7" xfId="0"/>
    <cellStyle name="Normal 61 2 5 3 2 7 2" xfId="0"/>
    <cellStyle name="Normal 61 2 5 3 2 7 2 2" xfId="0"/>
    <cellStyle name="Normal 61 2 5 3 2 7 3" xfId="0"/>
    <cellStyle name="Normal 61 2 5 3 2 8" xfId="0"/>
    <cellStyle name="Normal 61 2 5 3 2 8 2" xfId="0"/>
    <cellStyle name="Normal 61 2 5 3 2 9" xfId="0"/>
    <cellStyle name="Normal 61 2 5 3 3" xfId="0"/>
    <cellStyle name="Normal 61 2 5 3 3 2" xfId="0"/>
    <cellStyle name="Normal 61 2 5 3 3 2 2" xfId="0"/>
    <cellStyle name="Normal 61 2 5 3 3 2 2 2" xfId="0"/>
    <cellStyle name="Normal 61 2 5 3 3 2 2 2 2" xfId="0"/>
    <cellStyle name="Normal 61 2 5 3 3 2 2 2 2 2" xfId="0"/>
    <cellStyle name="Normal 61 2 5 3 3 2 2 2 2 2 2" xfId="0"/>
    <cellStyle name="Normal 61 2 5 3 3 2 2 2 2 3" xfId="0"/>
    <cellStyle name="Normal 61 2 5 3 3 2 2 2 3" xfId="0"/>
    <cellStyle name="Normal 61 2 5 3 3 2 2 2 3 2" xfId="0"/>
    <cellStyle name="Normal 61 2 5 3 3 2 2 2 3 2 2" xfId="0"/>
    <cellStyle name="Normal 61 2 5 3 3 2 2 2 3 3" xfId="0"/>
    <cellStyle name="Normal 61 2 5 3 3 2 2 2 4" xfId="0"/>
    <cellStyle name="Normal 61 2 5 3 3 2 2 2 4 2" xfId="0"/>
    <cellStyle name="Normal 61 2 5 3 3 2 2 2 5" xfId="0"/>
    <cellStyle name="Normal 61 2 5 3 3 2 2 3" xfId="0"/>
    <cellStyle name="Normal 61 2 5 3 3 2 2 3 2" xfId="0"/>
    <cellStyle name="Normal 61 2 5 3 3 2 2 3 2 2" xfId="0"/>
    <cellStyle name="Normal 61 2 5 3 3 2 2 3 3" xfId="0"/>
    <cellStyle name="Normal 61 2 5 3 3 2 2 4" xfId="0"/>
    <cellStyle name="Normal 61 2 5 3 3 2 2 4 2" xfId="0"/>
    <cellStyle name="Normal 61 2 5 3 3 2 2 4 2 2" xfId="0"/>
    <cellStyle name="Normal 61 2 5 3 3 2 2 4 3" xfId="0"/>
    <cellStyle name="Normal 61 2 5 3 3 2 2 5" xfId="0"/>
    <cellStyle name="Normal 61 2 5 3 3 2 2 5 2" xfId="0"/>
    <cellStyle name="Normal 61 2 5 3 3 2 2 6" xfId="0"/>
    <cellStyle name="Normal 61 2 5 3 3 2 3" xfId="0"/>
    <cellStyle name="Normal 61 2 5 3 3 2 3 2" xfId="0"/>
    <cellStyle name="Normal 61 2 5 3 3 2 3 2 2" xfId="0"/>
    <cellStyle name="Normal 61 2 5 3 3 2 3 2 2 2" xfId="0"/>
    <cellStyle name="Normal 61 2 5 3 3 2 3 2 3" xfId="0"/>
    <cellStyle name="Normal 61 2 5 3 3 2 3 3" xfId="0"/>
    <cellStyle name="Normal 61 2 5 3 3 2 3 3 2" xfId="0"/>
    <cellStyle name="Normal 61 2 5 3 3 2 3 3 2 2" xfId="0"/>
    <cellStyle name="Normal 61 2 5 3 3 2 3 3 3" xfId="0"/>
    <cellStyle name="Normal 61 2 5 3 3 2 3 4" xfId="0"/>
    <cellStyle name="Normal 61 2 5 3 3 2 3 4 2" xfId="0"/>
    <cellStyle name="Normal 61 2 5 3 3 2 3 5" xfId="0"/>
    <cellStyle name="Normal 61 2 5 3 3 2 4" xfId="0"/>
    <cellStyle name="Normal 61 2 5 3 3 2 4 2" xfId="0"/>
    <cellStyle name="Normal 61 2 5 3 3 2 4 2 2" xfId="0"/>
    <cellStyle name="Normal 61 2 5 3 3 2 4 3" xfId="0"/>
    <cellStyle name="Normal 61 2 5 3 3 2 5" xfId="0"/>
    <cellStyle name="Normal 61 2 5 3 3 2 5 2" xfId="0"/>
    <cellStyle name="Normal 61 2 5 3 3 2 5 2 2" xfId="0"/>
    <cellStyle name="Normal 61 2 5 3 3 2 5 3" xfId="0"/>
    <cellStyle name="Normal 61 2 5 3 3 2 6" xfId="0"/>
    <cellStyle name="Normal 61 2 5 3 3 2 6 2" xfId="0"/>
    <cellStyle name="Normal 61 2 5 3 3 2 7" xfId="0"/>
    <cellStyle name="Normal 61 2 5 3 3 3" xfId="0"/>
    <cellStyle name="Normal 61 2 5 3 3 3 2" xfId="0"/>
    <cellStyle name="Normal 61 2 5 3 3 3 2 2" xfId="0"/>
    <cellStyle name="Normal 61 2 5 3 3 3 2 2 2" xfId="0"/>
    <cellStyle name="Normal 61 2 5 3 3 3 2 2 2 2" xfId="0"/>
    <cellStyle name="Normal 61 2 5 3 3 3 2 2 3" xfId="0"/>
    <cellStyle name="Normal 61 2 5 3 3 3 2 3" xfId="0"/>
    <cellStyle name="Normal 61 2 5 3 3 3 2 3 2" xfId="0"/>
    <cellStyle name="Normal 61 2 5 3 3 3 2 3 2 2" xfId="0"/>
    <cellStyle name="Normal 61 2 5 3 3 3 2 3 3" xfId="0"/>
    <cellStyle name="Normal 61 2 5 3 3 3 2 4" xfId="0"/>
    <cellStyle name="Normal 61 2 5 3 3 3 2 4 2" xfId="0"/>
    <cellStyle name="Normal 61 2 5 3 3 3 2 5" xfId="0"/>
    <cellStyle name="Normal 61 2 5 3 3 3 3" xfId="0"/>
    <cellStyle name="Normal 61 2 5 3 3 3 3 2" xfId="0"/>
    <cellStyle name="Normal 61 2 5 3 3 3 3 2 2" xfId="0"/>
    <cellStyle name="Normal 61 2 5 3 3 3 3 3" xfId="0"/>
    <cellStyle name="Normal 61 2 5 3 3 3 4" xfId="0"/>
    <cellStyle name="Normal 61 2 5 3 3 3 4 2" xfId="0"/>
    <cellStyle name="Normal 61 2 5 3 3 3 4 2 2" xfId="0"/>
    <cellStyle name="Normal 61 2 5 3 3 3 4 3" xfId="0"/>
    <cellStyle name="Normal 61 2 5 3 3 3 5" xfId="0"/>
    <cellStyle name="Normal 61 2 5 3 3 3 5 2" xfId="0"/>
    <cellStyle name="Normal 61 2 5 3 3 3 6" xfId="0"/>
    <cellStyle name="Normal 61 2 5 3 3 4" xfId="0"/>
    <cellStyle name="Normal 61 2 5 3 3 4 2" xfId="0"/>
    <cellStyle name="Normal 61 2 5 3 3 4 2 2" xfId="0"/>
    <cellStyle name="Normal 61 2 5 3 3 4 2 2 2" xfId="0"/>
    <cellStyle name="Normal 61 2 5 3 3 4 2 3" xfId="0"/>
    <cellStyle name="Normal 61 2 5 3 3 4 3" xfId="0"/>
    <cellStyle name="Normal 61 2 5 3 3 4 3 2" xfId="0"/>
    <cellStyle name="Normal 61 2 5 3 3 4 3 2 2" xfId="0"/>
    <cellStyle name="Normal 61 2 5 3 3 4 3 3" xfId="0"/>
    <cellStyle name="Normal 61 2 5 3 3 4 4" xfId="0"/>
    <cellStyle name="Normal 61 2 5 3 3 4 4 2" xfId="0"/>
    <cellStyle name="Normal 61 2 5 3 3 4 5" xfId="0"/>
    <cellStyle name="Normal 61 2 5 3 3 5" xfId="0"/>
    <cellStyle name="Normal 61 2 5 3 3 5 2" xfId="0"/>
    <cellStyle name="Normal 61 2 5 3 3 5 2 2" xfId="0"/>
    <cellStyle name="Normal 61 2 5 3 3 5 3" xfId="0"/>
    <cellStyle name="Normal 61 2 5 3 3 6" xfId="0"/>
    <cellStyle name="Normal 61 2 5 3 3 6 2" xfId="0"/>
    <cellStyle name="Normal 61 2 5 3 3 6 2 2" xfId="0"/>
    <cellStyle name="Normal 61 2 5 3 3 6 3" xfId="0"/>
    <cellStyle name="Normal 61 2 5 3 3 7" xfId="0"/>
    <cellStyle name="Normal 61 2 5 3 3 7 2" xfId="0"/>
    <cellStyle name="Normal 61 2 5 3 3 8" xfId="0"/>
    <cellStyle name="Normal 61 2 5 3 4" xfId="0"/>
    <cellStyle name="Normal 61 2 5 3 4 2" xfId="0"/>
    <cellStyle name="Normal 61 2 5 3 4 2 2" xfId="0"/>
    <cellStyle name="Normal 61 2 5 3 4 2 2 2" xfId="0"/>
    <cellStyle name="Normal 61 2 5 3 4 2 2 2 2" xfId="0"/>
    <cellStyle name="Normal 61 2 5 3 4 2 2 2 2 2" xfId="0"/>
    <cellStyle name="Normal 61 2 5 3 4 2 2 2 3" xfId="0"/>
    <cellStyle name="Normal 61 2 5 3 4 2 2 3" xfId="0"/>
    <cellStyle name="Normal 61 2 5 3 4 2 2 3 2" xfId="0"/>
    <cellStyle name="Normal 61 2 5 3 4 2 2 3 2 2" xfId="0"/>
    <cellStyle name="Normal 61 2 5 3 4 2 2 3 3" xfId="0"/>
    <cellStyle name="Normal 61 2 5 3 4 2 2 4" xfId="0"/>
    <cellStyle name="Normal 61 2 5 3 4 2 2 4 2" xfId="0"/>
    <cellStyle name="Normal 61 2 5 3 4 2 2 5" xfId="0"/>
    <cellStyle name="Normal 61 2 5 3 4 2 3" xfId="0"/>
    <cellStyle name="Normal 61 2 5 3 4 2 3 2" xfId="0"/>
    <cellStyle name="Normal 61 2 5 3 4 2 3 2 2" xfId="0"/>
    <cellStyle name="Normal 61 2 5 3 4 2 3 3" xfId="0"/>
    <cellStyle name="Normal 61 2 5 3 4 2 4" xfId="0"/>
    <cellStyle name="Normal 61 2 5 3 4 2 4 2" xfId="0"/>
    <cellStyle name="Normal 61 2 5 3 4 2 4 2 2" xfId="0"/>
    <cellStyle name="Normal 61 2 5 3 4 2 4 3" xfId="0"/>
    <cellStyle name="Normal 61 2 5 3 4 2 5" xfId="0"/>
    <cellStyle name="Normal 61 2 5 3 4 2 5 2" xfId="0"/>
    <cellStyle name="Normal 61 2 5 3 4 2 6" xfId="0"/>
    <cellStyle name="Normal 61 2 5 3 4 3" xfId="0"/>
    <cellStyle name="Normal 61 2 5 3 4 3 2" xfId="0"/>
    <cellStyle name="Normal 61 2 5 3 4 3 2 2" xfId="0"/>
    <cellStyle name="Normal 61 2 5 3 4 3 2 2 2" xfId="0"/>
    <cellStyle name="Normal 61 2 5 3 4 3 2 3" xfId="0"/>
    <cellStyle name="Normal 61 2 5 3 4 3 3" xfId="0"/>
    <cellStyle name="Normal 61 2 5 3 4 3 3 2" xfId="0"/>
    <cellStyle name="Normal 61 2 5 3 4 3 3 2 2" xfId="0"/>
    <cellStyle name="Normal 61 2 5 3 4 3 3 3" xfId="0"/>
    <cellStyle name="Normal 61 2 5 3 4 3 4" xfId="0"/>
    <cellStyle name="Normal 61 2 5 3 4 3 4 2" xfId="0"/>
    <cellStyle name="Normal 61 2 5 3 4 3 5" xfId="0"/>
    <cellStyle name="Normal 61 2 5 3 4 4" xfId="0"/>
    <cellStyle name="Normal 61 2 5 3 4 4 2" xfId="0"/>
    <cellStyle name="Normal 61 2 5 3 4 4 2 2" xfId="0"/>
    <cellStyle name="Normal 61 2 5 3 4 4 3" xfId="0"/>
    <cellStyle name="Normal 61 2 5 3 4 5" xfId="0"/>
    <cellStyle name="Normal 61 2 5 3 4 5 2" xfId="0"/>
    <cellStyle name="Normal 61 2 5 3 4 5 2 2" xfId="0"/>
    <cellStyle name="Normal 61 2 5 3 4 5 3" xfId="0"/>
    <cellStyle name="Normal 61 2 5 3 4 6" xfId="0"/>
    <cellStyle name="Normal 61 2 5 3 4 6 2" xfId="0"/>
    <cellStyle name="Normal 61 2 5 3 4 7" xfId="0"/>
    <cellStyle name="Normal 61 2 5 3 5" xfId="0"/>
    <cellStyle name="Normal 61 2 5 3 5 2" xfId="0"/>
    <cellStyle name="Normal 61 2 5 3 5 2 2" xfId="0"/>
    <cellStyle name="Normal 61 2 5 3 5 2 2 2" xfId="0"/>
    <cellStyle name="Normal 61 2 5 3 5 2 2 2 2" xfId="0"/>
    <cellStyle name="Normal 61 2 5 3 5 2 2 3" xfId="0"/>
    <cellStyle name="Normal 61 2 5 3 5 2 3" xfId="0"/>
    <cellStyle name="Normal 61 2 5 3 5 2 3 2" xfId="0"/>
    <cellStyle name="Normal 61 2 5 3 5 2 3 2 2" xfId="0"/>
    <cellStyle name="Normal 61 2 5 3 5 2 3 3" xfId="0"/>
    <cellStyle name="Normal 61 2 5 3 5 2 4" xfId="0"/>
    <cellStyle name="Normal 61 2 5 3 5 2 4 2" xfId="0"/>
    <cellStyle name="Normal 61 2 5 3 5 2 5" xfId="0"/>
    <cellStyle name="Normal 61 2 5 3 5 3" xfId="0"/>
    <cellStyle name="Normal 61 2 5 3 5 3 2" xfId="0"/>
    <cellStyle name="Normal 61 2 5 3 5 3 2 2" xfId="0"/>
    <cellStyle name="Normal 61 2 5 3 5 3 3" xfId="0"/>
    <cellStyle name="Normal 61 2 5 3 5 4" xfId="0"/>
    <cellStyle name="Normal 61 2 5 3 5 4 2" xfId="0"/>
    <cellStyle name="Normal 61 2 5 3 5 4 2 2" xfId="0"/>
    <cellStyle name="Normal 61 2 5 3 5 4 3" xfId="0"/>
    <cellStyle name="Normal 61 2 5 3 5 5" xfId="0"/>
    <cellStyle name="Normal 61 2 5 3 5 5 2" xfId="0"/>
    <cellStyle name="Normal 61 2 5 3 5 6" xfId="0"/>
    <cellStyle name="Normal 61 2 5 3 6" xfId="0"/>
    <cellStyle name="Normal 61 2 5 3 6 2" xfId="0"/>
    <cellStyle name="Normal 61 2 5 3 6 2 2" xfId="0"/>
    <cellStyle name="Normal 61 2 5 3 6 2 2 2" xfId="0"/>
    <cellStyle name="Normal 61 2 5 3 6 2 3" xfId="0"/>
    <cellStyle name="Normal 61 2 5 3 6 3" xfId="0"/>
    <cellStyle name="Normal 61 2 5 3 6 3 2" xfId="0"/>
    <cellStyle name="Normal 61 2 5 3 6 3 2 2" xfId="0"/>
    <cellStyle name="Normal 61 2 5 3 6 3 3" xfId="0"/>
    <cellStyle name="Normal 61 2 5 3 6 4" xfId="0"/>
    <cellStyle name="Normal 61 2 5 3 6 4 2" xfId="0"/>
    <cellStyle name="Normal 61 2 5 3 6 5" xfId="0"/>
    <cellStyle name="Normal 61 2 5 3 7" xfId="0"/>
    <cellStyle name="Normal 61 2 5 3 7 2" xfId="0"/>
    <cellStyle name="Normal 61 2 5 3 7 2 2" xfId="0"/>
    <cellStyle name="Normal 61 2 5 3 7 3" xfId="0"/>
    <cellStyle name="Normal 61 2 5 3 8" xfId="0"/>
    <cellStyle name="Normal 61 2 5 3 8 2" xfId="0"/>
    <cellStyle name="Normal 61 2 5 3 8 2 2" xfId="0"/>
    <cellStyle name="Normal 61 2 5 3 8 3" xfId="0"/>
    <cellStyle name="Normal 61 2 5 3 9" xfId="0"/>
    <cellStyle name="Normal 61 2 5 3 9 2" xfId="0"/>
    <cellStyle name="Normal 61 2 5 4" xfId="0"/>
    <cellStyle name="Normal 61 2 5 4 10" xfId="0"/>
    <cellStyle name="Normal 61 2 5 4 2" xfId="0"/>
    <cellStyle name="Normal 61 2 5 4 2 2" xfId="0"/>
    <cellStyle name="Normal 61 2 5 4 2 2 2" xfId="0"/>
    <cellStyle name="Normal 61 2 5 4 2 2 2 2" xfId="0"/>
    <cellStyle name="Normal 61 2 5 4 2 2 2 2 2" xfId="0"/>
    <cellStyle name="Normal 61 2 5 4 2 2 2 2 2 2" xfId="0"/>
    <cellStyle name="Normal 61 2 5 4 2 2 2 2 2 2 2" xfId="0"/>
    <cellStyle name="Normal 61 2 5 4 2 2 2 2 2 2 2 2" xfId="0"/>
    <cellStyle name="Normal 61 2 5 4 2 2 2 2 2 2 3" xfId="0"/>
    <cellStyle name="Normal 61 2 5 4 2 2 2 2 2 3" xfId="0"/>
    <cellStyle name="Normal 61 2 5 4 2 2 2 2 2 3 2" xfId="0"/>
    <cellStyle name="Normal 61 2 5 4 2 2 2 2 2 3 2 2" xfId="0"/>
    <cellStyle name="Normal 61 2 5 4 2 2 2 2 2 3 3" xfId="0"/>
    <cellStyle name="Normal 61 2 5 4 2 2 2 2 2 4" xfId="0"/>
    <cellStyle name="Normal 61 2 5 4 2 2 2 2 2 4 2" xfId="0"/>
    <cellStyle name="Normal 61 2 5 4 2 2 2 2 2 5" xfId="0"/>
    <cellStyle name="Normal 61 2 5 4 2 2 2 2 3" xfId="0"/>
    <cellStyle name="Normal 61 2 5 4 2 2 2 2 3 2" xfId="0"/>
    <cellStyle name="Normal 61 2 5 4 2 2 2 2 3 2 2" xfId="0"/>
    <cellStyle name="Normal 61 2 5 4 2 2 2 2 3 3" xfId="0"/>
    <cellStyle name="Normal 61 2 5 4 2 2 2 2 4" xfId="0"/>
    <cellStyle name="Normal 61 2 5 4 2 2 2 2 4 2" xfId="0"/>
    <cellStyle name="Normal 61 2 5 4 2 2 2 2 4 2 2" xfId="0"/>
    <cellStyle name="Normal 61 2 5 4 2 2 2 2 4 3" xfId="0"/>
    <cellStyle name="Normal 61 2 5 4 2 2 2 2 5" xfId="0"/>
    <cellStyle name="Normal 61 2 5 4 2 2 2 2 5 2" xfId="0"/>
    <cellStyle name="Normal 61 2 5 4 2 2 2 2 6" xfId="0"/>
    <cellStyle name="Normal 61 2 5 4 2 2 2 3" xfId="0"/>
    <cellStyle name="Normal 61 2 5 4 2 2 2 3 2" xfId="0"/>
    <cellStyle name="Normal 61 2 5 4 2 2 2 3 2 2" xfId="0"/>
    <cellStyle name="Normal 61 2 5 4 2 2 2 3 2 2 2" xfId="0"/>
    <cellStyle name="Normal 61 2 5 4 2 2 2 3 2 3" xfId="0"/>
    <cellStyle name="Normal 61 2 5 4 2 2 2 3 3" xfId="0"/>
    <cellStyle name="Normal 61 2 5 4 2 2 2 3 3 2" xfId="0"/>
    <cellStyle name="Normal 61 2 5 4 2 2 2 3 3 2 2" xfId="0"/>
    <cellStyle name="Normal 61 2 5 4 2 2 2 3 3 3" xfId="0"/>
    <cellStyle name="Normal 61 2 5 4 2 2 2 3 4" xfId="0"/>
    <cellStyle name="Normal 61 2 5 4 2 2 2 3 4 2" xfId="0"/>
    <cellStyle name="Normal 61 2 5 4 2 2 2 3 5" xfId="0"/>
    <cellStyle name="Normal 61 2 5 4 2 2 2 4" xfId="0"/>
    <cellStyle name="Normal 61 2 5 4 2 2 2 4 2" xfId="0"/>
    <cellStyle name="Normal 61 2 5 4 2 2 2 4 2 2" xfId="0"/>
    <cellStyle name="Normal 61 2 5 4 2 2 2 4 3" xfId="0"/>
    <cellStyle name="Normal 61 2 5 4 2 2 2 5" xfId="0"/>
    <cellStyle name="Normal 61 2 5 4 2 2 2 5 2" xfId="0"/>
    <cellStyle name="Normal 61 2 5 4 2 2 2 5 2 2" xfId="0"/>
    <cellStyle name="Normal 61 2 5 4 2 2 2 5 3" xfId="0"/>
    <cellStyle name="Normal 61 2 5 4 2 2 2 6" xfId="0"/>
    <cellStyle name="Normal 61 2 5 4 2 2 2 6 2" xfId="0"/>
    <cellStyle name="Normal 61 2 5 4 2 2 2 7" xfId="0"/>
    <cellStyle name="Normal 61 2 5 4 2 2 3" xfId="0"/>
    <cellStyle name="Normal 61 2 5 4 2 2 3 2" xfId="0"/>
    <cellStyle name="Normal 61 2 5 4 2 2 3 2 2" xfId="0"/>
    <cellStyle name="Normal 61 2 5 4 2 2 3 2 2 2" xfId="0"/>
    <cellStyle name="Normal 61 2 5 4 2 2 3 2 2 2 2" xfId="0"/>
    <cellStyle name="Normal 61 2 5 4 2 2 3 2 2 3" xfId="0"/>
    <cellStyle name="Normal 61 2 5 4 2 2 3 2 3" xfId="0"/>
    <cellStyle name="Normal 61 2 5 4 2 2 3 2 3 2" xfId="0"/>
    <cellStyle name="Normal 61 2 5 4 2 2 3 2 3 2 2" xfId="0"/>
    <cellStyle name="Normal 61 2 5 4 2 2 3 2 3 3" xfId="0"/>
    <cellStyle name="Normal 61 2 5 4 2 2 3 2 4" xfId="0"/>
    <cellStyle name="Normal 61 2 5 4 2 2 3 2 4 2" xfId="0"/>
    <cellStyle name="Normal 61 2 5 4 2 2 3 2 5" xfId="0"/>
    <cellStyle name="Normal 61 2 5 4 2 2 3 3" xfId="0"/>
    <cellStyle name="Normal 61 2 5 4 2 2 3 3 2" xfId="0"/>
    <cellStyle name="Normal 61 2 5 4 2 2 3 3 2 2" xfId="0"/>
    <cellStyle name="Normal 61 2 5 4 2 2 3 3 3" xfId="0"/>
    <cellStyle name="Normal 61 2 5 4 2 2 3 4" xfId="0"/>
    <cellStyle name="Normal 61 2 5 4 2 2 3 4 2" xfId="0"/>
    <cellStyle name="Normal 61 2 5 4 2 2 3 4 2 2" xfId="0"/>
    <cellStyle name="Normal 61 2 5 4 2 2 3 4 3" xfId="0"/>
    <cellStyle name="Normal 61 2 5 4 2 2 3 5" xfId="0"/>
    <cellStyle name="Normal 61 2 5 4 2 2 3 5 2" xfId="0"/>
    <cellStyle name="Normal 61 2 5 4 2 2 3 6" xfId="0"/>
    <cellStyle name="Normal 61 2 5 4 2 2 4" xfId="0"/>
    <cellStyle name="Normal 61 2 5 4 2 2 4 2" xfId="0"/>
    <cellStyle name="Normal 61 2 5 4 2 2 4 2 2" xfId="0"/>
    <cellStyle name="Normal 61 2 5 4 2 2 4 2 2 2" xfId="0"/>
    <cellStyle name="Normal 61 2 5 4 2 2 4 2 3" xfId="0"/>
    <cellStyle name="Normal 61 2 5 4 2 2 4 3" xfId="0"/>
    <cellStyle name="Normal 61 2 5 4 2 2 4 3 2" xfId="0"/>
    <cellStyle name="Normal 61 2 5 4 2 2 4 3 2 2" xfId="0"/>
    <cellStyle name="Normal 61 2 5 4 2 2 4 3 3" xfId="0"/>
    <cellStyle name="Normal 61 2 5 4 2 2 4 4" xfId="0"/>
    <cellStyle name="Normal 61 2 5 4 2 2 4 4 2" xfId="0"/>
    <cellStyle name="Normal 61 2 5 4 2 2 4 5" xfId="0"/>
    <cellStyle name="Normal 61 2 5 4 2 2 5" xfId="0"/>
    <cellStyle name="Normal 61 2 5 4 2 2 5 2" xfId="0"/>
    <cellStyle name="Normal 61 2 5 4 2 2 5 2 2" xfId="0"/>
    <cellStyle name="Normal 61 2 5 4 2 2 5 3" xfId="0"/>
    <cellStyle name="Normal 61 2 5 4 2 2 6" xfId="0"/>
    <cellStyle name="Normal 61 2 5 4 2 2 6 2" xfId="0"/>
    <cellStyle name="Normal 61 2 5 4 2 2 6 2 2" xfId="0"/>
    <cellStyle name="Normal 61 2 5 4 2 2 6 3" xfId="0"/>
    <cellStyle name="Normal 61 2 5 4 2 2 7" xfId="0"/>
    <cellStyle name="Normal 61 2 5 4 2 2 7 2" xfId="0"/>
    <cellStyle name="Normal 61 2 5 4 2 2 8" xfId="0"/>
    <cellStyle name="Normal 61 2 5 4 2 3" xfId="0"/>
    <cellStyle name="Normal 61 2 5 4 2 3 2" xfId="0"/>
    <cellStyle name="Normal 61 2 5 4 2 3 2 2" xfId="0"/>
    <cellStyle name="Normal 61 2 5 4 2 3 2 2 2" xfId="0"/>
    <cellStyle name="Normal 61 2 5 4 2 3 2 2 2 2" xfId="0"/>
    <cellStyle name="Normal 61 2 5 4 2 3 2 2 2 2 2" xfId="0"/>
    <cellStyle name="Normal 61 2 5 4 2 3 2 2 2 3" xfId="0"/>
    <cellStyle name="Normal 61 2 5 4 2 3 2 2 3" xfId="0"/>
    <cellStyle name="Normal 61 2 5 4 2 3 2 2 3 2" xfId="0"/>
    <cellStyle name="Normal 61 2 5 4 2 3 2 2 3 2 2" xfId="0"/>
    <cellStyle name="Normal 61 2 5 4 2 3 2 2 3 3" xfId="0"/>
    <cellStyle name="Normal 61 2 5 4 2 3 2 2 4" xfId="0"/>
    <cellStyle name="Normal 61 2 5 4 2 3 2 2 4 2" xfId="0"/>
    <cellStyle name="Normal 61 2 5 4 2 3 2 2 5" xfId="0"/>
    <cellStyle name="Normal 61 2 5 4 2 3 2 3" xfId="0"/>
    <cellStyle name="Normal 61 2 5 4 2 3 2 3 2" xfId="0"/>
    <cellStyle name="Normal 61 2 5 4 2 3 2 3 2 2" xfId="0"/>
    <cellStyle name="Normal 61 2 5 4 2 3 2 3 3" xfId="0"/>
    <cellStyle name="Normal 61 2 5 4 2 3 2 4" xfId="0"/>
    <cellStyle name="Normal 61 2 5 4 2 3 2 4 2" xfId="0"/>
    <cellStyle name="Normal 61 2 5 4 2 3 2 4 2 2" xfId="0"/>
    <cellStyle name="Normal 61 2 5 4 2 3 2 4 3" xfId="0"/>
    <cellStyle name="Normal 61 2 5 4 2 3 2 5" xfId="0"/>
    <cellStyle name="Normal 61 2 5 4 2 3 2 5 2" xfId="0"/>
    <cellStyle name="Normal 61 2 5 4 2 3 2 6" xfId="0"/>
    <cellStyle name="Normal 61 2 5 4 2 3 3" xfId="0"/>
    <cellStyle name="Normal 61 2 5 4 2 3 3 2" xfId="0"/>
    <cellStyle name="Normal 61 2 5 4 2 3 3 2 2" xfId="0"/>
    <cellStyle name="Normal 61 2 5 4 2 3 3 2 2 2" xfId="0"/>
    <cellStyle name="Normal 61 2 5 4 2 3 3 2 3" xfId="0"/>
    <cellStyle name="Normal 61 2 5 4 2 3 3 3" xfId="0"/>
    <cellStyle name="Normal 61 2 5 4 2 3 3 3 2" xfId="0"/>
    <cellStyle name="Normal 61 2 5 4 2 3 3 3 2 2" xfId="0"/>
    <cellStyle name="Normal 61 2 5 4 2 3 3 3 3" xfId="0"/>
    <cellStyle name="Normal 61 2 5 4 2 3 3 4" xfId="0"/>
    <cellStyle name="Normal 61 2 5 4 2 3 3 4 2" xfId="0"/>
    <cellStyle name="Normal 61 2 5 4 2 3 3 5" xfId="0"/>
    <cellStyle name="Normal 61 2 5 4 2 3 4" xfId="0"/>
    <cellStyle name="Normal 61 2 5 4 2 3 4 2" xfId="0"/>
    <cellStyle name="Normal 61 2 5 4 2 3 4 2 2" xfId="0"/>
    <cellStyle name="Normal 61 2 5 4 2 3 4 3" xfId="0"/>
    <cellStyle name="Normal 61 2 5 4 2 3 5" xfId="0"/>
    <cellStyle name="Normal 61 2 5 4 2 3 5 2" xfId="0"/>
    <cellStyle name="Normal 61 2 5 4 2 3 5 2 2" xfId="0"/>
    <cellStyle name="Normal 61 2 5 4 2 3 5 3" xfId="0"/>
    <cellStyle name="Normal 61 2 5 4 2 3 6" xfId="0"/>
    <cellStyle name="Normal 61 2 5 4 2 3 6 2" xfId="0"/>
    <cellStyle name="Normal 61 2 5 4 2 3 7" xfId="0"/>
    <cellStyle name="Normal 61 2 5 4 2 4" xfId="0"/>
    <cellStyle name="Normal 61 2 5 4 2 4 2" xfId="0"/>
    <cellStyle name="Normal 61 2 5 4 2 4 2 2" xfId="0"/>
    <cellStyle name="Normal 61 2 5 4 2 4 2 2 2" xfId="0"/>
    <cellStyle name="Normal 61 2 5 4 2 4 2 2 2 2" xfId="0"/>
    <cellStyle name="Normal 61 2 5 4 2 4 2 2 3" xfId="0"/>
    <cellStyle name="Normal 61 2 5 4 2 4 2 3" xfId="0"/>
    <cellStyle name="Normal 61 2 5 4 2 4 2 3 2" xfId="0"/>
    <cellStyle name="Normal 61 2 5 4 2 4 2 3 2 2" xfId="0"/>
    <cellStyle name="Normal 61 2 5 4 2 4 2 3 3" xfId="0"/>
    <cellStyle name="Normal 61 2 5 4 2 4 2 4" xfId="0"/>
    <cellStyle name="Normal 61 2 5 4 2 4 2 4 2" xfId="0"/>
    <cellStyle name="Normal 61 2 5 4 2 4 2 5" xfId="0"/>
    <cellStyle name="Normal 61 2 5 4 2 4 3" xfId="0"/>
    <cellStyle name="Normal 61 2 5 4 2 4 3 2" xfId="0"/>
    <cellStyle name="Normal 61 2 5 4 2 4 3 2 2" xfId="0"/>
    <cellStyle name="Normal 61 2 5 4 2 4 3 3" xfId="0"/>
    <cellStyle name="Normal 61 2 5 4 2 4 4" xfId="0"/>
    <cellStyle name="Normal 61 2 5 4 2 4 4 2" xfId="0"/>
    <cellStyle name="Normal 61 2 5 4 2 4 4 2 2" xfId="0"/>
    <cellStyle name="Normal 61 2 5 4 2 4 4 3" xfId="0"/>
    <cellStyle name="Normal 61 2 5 4 2 4 5" xfId="0"/>
    <cellStyle name="Normal 61 2 5 4 2 4 5 2" xfId="0"/>
    <cellStyle name="Normal 61 2 5 4 2 4 6" xfId="0"/>
    <cellStyle name="Normal 61 2 5 4 2 5" xfId="0"/>
    <cellStyle name="Normal 61 2 5 4 2 5 2" xfId="0"/>
    <cellStyle name="Normal 61 2 5 4 2 5 2 2" xfId="0"/>
    <cellStyle name="Normal 61 2 5 4 2 5 2 2 2" xfId="0"/>
    <cellStyle name="Normal 61 2 5 4 2 5 2 3" xfId="0"/>
    <cellStyle name="Normal 61 2 5 4 2 5 3" xfId="0"/>
    <cellStyle name="Normal 61 2 5 4 2 5 3 2" xfId="0"/>
    <cellStyle name="Normal 61 2 5 4 2 5 3 2 2" xfId="0"/>
    <cellStyle name="Normal 61 2 5 4 2 5 3 3" xfId="0"/>
    <cellStyle name="Normal 61 2 5 4 2 5 4" xfId="0"/>
    <cellStyle name="Normal 61 2 5 4 2 5 4 2" xfId="0"/>
    <cellStyle name="Normal 61 2 5 4 2 5 5" xfId="0"/>
    <cellStyle name="Normal 61 2 5 4 2 6" xfId="0"/>
    <cellStyle name="Normal 61 2 5 4 2 6 2" xfId="0"/>
    <cellStyle name="Normal 61 2 5 4 2 6 2 2" xfId="0"/>
    <cellStyle name="Normal 61 2 5 4 2 6 3" xfId="0"/>
    <cellStyle name="Normal 61 2 5 4 2 7" xfId="0"/>
    <cellStyle name="Normal 61 2 5 4 2 7 2" xfId="0"/>
    <cellStyle name="Normal 61 2 5 4 2 7 2 2" xfId="0"/>
    <cellStyle name="Normal 61 2 5 4 2 7 3" xfId="0"/>
    <cellStyle name="Normal 61 2 5 4 2 8" xfId="0"/>
    <cellStyle name="Normal 61 2 5 4 2 8 2" xfId="0"/>
    <cellStyle name="Normal 61 2 5 4 2 9" xfId="0"/>
    <cellStyle name="Normal 61 2 5 4 3" xfId="0"/>
    <cellStyle name="Normal 61 2 5 4 3 2" xfId="0"/>
    <cellStyle name="Normal 61 2 5 4 3 2 2" xfId="0"/>
    <cellStyle name="Normal 61 2 5 4 3 2 2 2" xfId="0"/>
    <cellStyle name="Normal 61 2 5 4 3 2 2 2 2" xfId="0"/>
    <cellStyle name="Normal 61 2 5 4 3 2 2 2 2 2" xfId="0"/>
    <cellStyle name="Normal 61 2 5 4 3 2 2 2 2 2 2" xfId="0"/>
    <cellStyle name="Normal 61 2 5 4 3 2 2 2 2 3" xfId="0"/>
    <cellStyle name="Normal 61 2 5 4 3 2 2 2 3" xfId="0"/>
    <cellStyle name="Normal 61 2 5 4 3 2 2 2 3 2" xfId="0"/>
    <cellStyle name="Normal 61 2 5 4 3 2 2 2 3 2 2" xfId="0"/>
    <cellStyle name="Normal 61 2 5 4 3 2 2 2 3 3" xfId="0"/>
    <cellStyle name="Normal 61 2 5 4 3 2 2 2 4" xfId="0"/>
    <cellStyle name="Normal 61 2 5 4 3 2 2 2 4 2" xfId="0"/>
    <cellStyle name="Normal 61 2 5 4 3 2 2 2 5" xfId="0"/>
    <cellStyle name="Normal 61 2 5 4 3 2 2 3" xfId="0"/>
    <cellStyle name="Normal 61 2 5 4 3 2 2 3 2" xfId="0"/>
    <cellStyle name="Normal 61 2 5 4 3 2 2 3 2 2" xfId="0"/>
    <cellStyle name="Normal 61 2 5 4 3 2 2 3 3" xfId="0"/>
    <cellStyle name="Normal 61 2 5 4 3 2 2 4" xfId="0"/>
    <cellStyle name="Normal 61 2 5 4 3 2 2 4 2" xfId="0"/>
    <cellStyle name="Normal 61 2 5 4 3 2 2 4 2 2" xfId="0"/>
    <cellStyle name="Normal 61 2 5 4 3 2 2 4 3" xfId="0"/>
    <cellStyle name="Normal 61 2 5 4 3 2 2 5" xfId="0"/>
    <cellStyle name="Normal 61 2 5 4 3 2 2 5 2" xfId="0"/>
    <cellStyle name="Normal 61 2 5 4 3 2 2 6" xfId="0"/>
    <cellStyle name="Normal 61 2 5 4 3 2 3" xfId="0"/>
    <cellStyle name="Normal 61 2 5 4 3 2 3 2" xfId="0"/>
    <cellStyle name="Normal 61 2 5 4 3 2 3 2 2" xfId="0"/>
    <cellStyle name="Normal 61 2 5 4 3 2 3 2 2 2" xfId="0"/>
    <cellStyle name="Normal 61 2 5 4 3 2 3 2 3" xfId="0"/>
    <cellStyle name="Normal 61 2 5 4 3 2 3 3" xfId="0"/>
    <cellStyle name="Normal 61 2 5 4 3 2 3 3 2" xfId="0"/>
    <cellStyle name="Normal 61 2 5 4 3 2 3 3 2 2" xfId="0"/>
    <cellStyle name="Normal 61 2 5 4 3 2 3 3 3" xfId="0"/>
    <cellStyle name="Normal 61 2 5 4 3 2 3 4" xfId="0"/>
    <cellStyle name="Normal 61 2 5 4 3 2 3 4 2" xfId="0"/>
    <cellStyle name="Normal 61 2 5 4 3 2 3 5" xfId="0"/>
    <cellStyle name="Normal 61 2 5 4 3 2 4" xfId="0"/>
    <cellStyle name="Normal 61 2 5 4 3 2 4 2" xfId="0"/>
    <cellStyle name="Normal 61 2 5 4 3 2 4 2 2" xfId="0"/>
    <cellStyle name="Normal 61 2 5 4 3 2 4 3" xfId="0"/>
    <cellStyle name="Normal 61 2 5 4 3 2 5" xfId="0"/>
    <cellStyle name="Normal 61 2 5 4 3 2 5 2" xfId="0"/>
    <cellStyle name="Normal 61 2 5 4 3 2 5 2 2" xfId="0"/>
    <cellStyle name="Normal 61 2 5 4 3 2 5 3" xfId="0"/>
    <cellStyle name="Normal 61 2 5 4 3 2 6" xfId="0"/>
    <cellStyle name="Normal 61 2 5 4 3 2 6 2" xfId="0"/>
    <cellStyle name="Normal 61 2 5 4 3 2 7" xfId="0"/>
    <cellStyle name="Normal 61 2 5 4 3 3" xfId="0"/>
    <cellStyle name="Normal 61 2 5 4 3 3 2" xfId="0"/>
    <cellStyle name="Normal 61 2 5 4 3 3 2 2" xfId="0"/>
    <cellStyle name="Normal 61 2 5 4 3 3 2 2 2" xfId="0"/>
    <cellStyle name="Normal 61 2 5 4 3 3 2 2 2 2" xfId="0"/>
    <cellStyle name="Normal 61 2 5 4 3 3 2 2 3" xfId="0"/>
    <cellStyle name="Normal 61 2 5 4 3 3 2 3" xfId="0"/>
    <cellStyle name="Normal 61 2 5 4 3 3 2 3 2" xfId="0"/>
    <cellStyle name="Normal 61 2 5 4 3 3 2 3 2 2" xfId="0"/>
    <cellStyle name="Normal 61 2 5 4 3 3 2 3 3" xfId="0"/>
    <cellStyle name="Normal 61 2 5 4 3 3 2 4" xfId="0"/>
    <cellStyle name="Normal 61 2 5 4 3 3 2 4 2" xfId="0"/>
    <cellStyle name="Normal 61 2 5 4 3 3 2 5" xfId="0"/>
    <cellStyle name="Normal 61 2 5 4 3 3 3" xfId="0"/>
    <cellStyle name="Normal 61 2 5 4 3 3 3 2" xfId="0"/>
    <cellStyle name="Normal 61 2 5 4 3 3 3 2 2" xfId="0"/>
    <cellStyle name="Normal 61 2 5 4 3 3 3 3" xfId="0"/>
    <cellStyle name="Normal 61 2 5 4 3 3 4" xfId="0"/>
    <cellStyle name="Normal 61 2 5 4 3 3 4 2" xfId="0"/>
    <cellStyle name="Normal 61 2 5 4 3 3 4 2 2" xfId="0"/>
    <cellStyle name="Normal 61 2 5 4 3 3 4 3" xfId="0"/>
    <cellStyle name="Normal 61 2 5 4 3 3 5" xfId="0"/>
    <cellStyle name="Normal 61 2 5 4 3 3 5 2" xfId="0"/>
    <cellStyle name="Normal 61 2 5 4 3 3 6" xfId="0"/>
    <cellStyle name="Normal 61 2 5 4 3 4" xfId="0"/>
    <cellStyle name="Normal 61 2 5 4 3 4 2" xfId="0"/>
    <cellStyle name="Normal 61 2 5 4 3 4 2 2" xfId="0"/>
    <cellStyle name="Normal 61 2 5 4 3 4 2 2 2" xfId="0"/>
    <cellStyle name="Normal 61 2 5 4 3 4 2 3" xfId="0"/>
    <cellStyle name="Normal 61 2 5 4 3 4 3" xfId="0"/>
    <cellStyle name="Normal 61 2 5 4 3 4 3 2" xfId="0"/>
    <cellStyle name="Normal 61 2 5 4 3 4 3 2 2" xfId="0"/>
    <cellStyle name="Normal 61 2 5 4 3 4 3 3" xfId="0"/>
    <cellStyle name="Normal 61 2 5 4 3 4 4" xfId="0"/>
    <cellStyle name="Normal 61 2 5 4 3 4 4 2" xfId="0"/>
    <cellStyle name="Normal 61 2 5 4 3 4 5" xfId="0"/>
    <cellStyle name="Normal 61 2 5 4 3 5" xfId="0"/>
    <cellStyle name="Normal 61 2 5 4 3 5 2" xfId="0"/>
    <cellStyle name="Normal 61 2 5 4 3 5 2 2" xfId="0"/>
    <cellStyle name="Normal 61 2 5 4 3 5 3" xfId="0"/>
    <cellStyle name="Normal 61 2 5 4 3 6" xfId="0"/>
    <cellStyle name="Normal 61 2 5 4 3 6 2" xfId="0"/>
    <cellStyle name="Normal 61 2 5 4 3 6 2 2" xfId="0"/>
    <cellStyle name="Normal 61 2 5 4 3 6 3" xfId="0"/>
    <cellStyle name="Normal 61 2 5 4 3 7" xfId="0"/>
    <cellStyle name="Normal 61 2 5 4 3 7 2" xfId="0"/>
    <cellStyle name="Normal 61 2 5 4 3 8" xfId="0"/>
    <cellStyle name="Normal 61 2 5 4 4" xfId="0"/>
    <cellStyle name="Normal 61 2 5 4 4 2" xfId="0"/>
    <cellStyle name="Normal 61 2 5 4 4 2 2" xfId="0"/>
    <cellStyle name="Normal 61 2 5 4 4 2 2 2" xfId="0"/>
    <cellStyle name="Normal 61 2 5 4 4 2 2 2 2" xfId="0"/>
    <cellStyle name="Normal 61 2 5 4 4 2 2 2 2 2" xfId="0"/>
    <cellStyle name="Normal 61 2 5 4 4 2 2 2 3" xfId="0"/>
    <cellStyle name="Normal 61 2 5 4 4 2 2 3" xfId="0"/>
    <cellStyle name="Normal 61 2 5 4 4 2 2 3 2" xfId="0"/>
    <cellStyle name="Normal 61 2 5 4 4 2 2 3 2 2" xfId="0"/>
    <cellStyle name="Normal 61 2 5 4 4 2 2 3 3" xfId="0"/>
    <cellStyle name="Normal 61 2 5 4 4 2 2 4" xfId="0"/>
    <cellStyle name="Normal 61 2 5 4 4 2 2 4 2" xfId="0"/>
    <cellStyle name="Normal 61 2 5 4 4 2 2 5" xfId="0"/>
    <cellStyle name="Normal 61 2 5 4 4 2 3" xfId="0"/>
    <cellStyle name="Normal 61 2 5 4 4 2 3 2" xfId="0"/>
    <cellStyle name="Normal 61 2 5 4 4 2 3 2 2" xfId="0"/>
    <cellStyle name="Normal 61 2 5 4 4 2 3 3" xfId="0"/>
    <cellStyle name="Normal 61 2 5 4 4 2 4" xfId="0"/>
    <cellStyle name="Normal 61 2 5 4 4 2 4 2" xfId="0"/>
    <cellStyle name="Normal 61 2 5 4 4 2 4 2 2" xfId="0"/>
    <cellStyle name="Normal 61 2 5 4 4 2 4 3" xfId="0"/>
    <cellStyle name="Normal 61 2 5 4 4 2 5" xfId="0"/>
    <cellStyle name="Normal 61 2 5 4 4 2 5 2" xfId="0"/>
    <cellStyle name="Normal 61 2 5 4 4 2 6" xfId="0"/>
    <cellStyle name="Normal 61 2 5 4 4 3" xfId="0"/>
    <cellStyle name="Normal 61 2 5 4 4 3 2" xfId="0"/>
    <cellStyle name="Normal 61 2 5 4 4 3 2 2" xfId="0"/>
    <cellStyle name="Normal 61 2 5 4 4 3 2 2 2" xfId="0"/>
    <cellStyle name="Normal 61 2 5 4 4 3 2 3" xfId="0"/>
    <cellStyle name="Normal 61 2 5 4 4 3 3" xfId="0"/>
    <cellStyle name="Normal 61 2 5 4 4 3 3 2" xfId="0"/>
    <cellStyle name="Normal 61 2 5 4 4 3 3 2 2" xfId="0"/>
    <cellStyle name="Normal 61 2 5 4 4 3 3 3" xfId="0"/>
    <cellStyle name="Normal 61 2 5 4 4 3 4" xfId="0"/>
    <cellStyle name="Normal 61 2 5 4 4 3 4 2" xfId="0"/>
    <cellStyle name="Normal 61 2 5 4 4 3 5" xfId="0"/>
    <cellStyle name="Normal 61 2 5 4 4 4" xfId="0"/>
    <cellStyle name="Normal 61 2 5 4 4 4 2" xfId="0"/>
    <cellStyle name="Normal 61 2 5 4 4 4 2 2" xfId="0"/>
    <cellStyle name="Normal 61 2 5 4 4 4 3" xfId="0"/>
    <cellStyle name="Normal 61 2 5 4 4 5" xfId="0"/>
    <cellStyle name="Normal 61 2 5 4 4 5 2" xfId="0"/>
    <cellStyle name="Normal 61 2 5 4 4 5 2 2" xfId="0"/>
    <cellStyle name="Normal 61 2 5 4 4 5 3" xfId="0"/>
    <cellStyle name="Normal 61 2 5 4 4 6" xfId="0"/>
    <cellStyle name="Normal 61 2 5 4 4 6 2" xfId="0"/>
    <cellStyle name="Normal 61 2 5 4 4 7" xfId="0"/>
    <cellStyle name="Normal 61 2 5 4 5" xfId="0"/>
    <cellStyle name="Normal 61 2 5 4 5 2" xfId="0"/>
    <cellStyle name="Normal 61 2 5 4 5 2 2" xfId="0"/>
    <cellStyle name="Normal 61 2 5 4 5 2 2 2" xfId="0"/>
    <cellStyle name="Normal 61 2 5 4 5 2 2 2 2" xfId="0"/>
    <cellStyle name="Normal 61 2 5 4 5 2 2 3" xfId="0"/>
    <cellStyle name="Normal 61 2 5 4 5 2 3" xfId="0"/>
    <cellStyle name="Normal 61 2 5 4 5 2 3 2" xfId="0"/>
    <cellStyle name="Normal 61 2 5 4 5 2 3 2 2" xfId="0"/>
    <cellStyle name="Normal 61 2 5 4 5 2 3 3" xfId="0"/>
    <cellStyle name="Normal 61 2 5 4 5 2 4" xfId="0"/>
    <cellStyle name="Normal 61 2 5 4 5 2 4 2" xfId="0"/>
    <cellStyle name="Normal 61 2 5 4 5 2 5" xfId="0"/>
    <cellStyle name="Normal 61 2 5 4 5 3" xfId="0"/>
    <cellStyle name="Normal 61 2 5 4 5 3 2" xfId="0"/>
    <cellStyle name="Normal 61 2 5 4 5 3 2 2" xfId="0"/>
    <cellStyle name="Normal 61 2 5 4 5 3 3" xfId="0"/>
    <cellStyle name="Normal 61 2 5 4 5 4" xfId="0"/>
    <cellStyle name="Normal 61 2 5 4 5 4 2" xfId="0"/>
    <cellStyle name="Normal 61 2 5 4 5 4 2 2" xfId="0"/>
    <cellStyle name="Normal 61 2 5 4 5 4 3" xfId="0"/>
    <cellStyle name="Normal 61 2 5 4 5 5" xfId="0"/>
    <cellStyle name="Normal 61 2 5 4 5 5 2" xfId="0"/>
    <cellStyle name="Normal 61 2 5 4 5 6" xfId="0"/>
    <cellStyle name="Normal 61 2 5 4 6" xfId="0"/>
    <cellStyle name="Normal 61 2 5 4 6 2" xfId="0"/>
    <cellStyle name="Normal 61 2 5 4 6 2 2" xfId="0"/>
    <cellStyle name="Normal 61 2 5 4 6 2 2 2" xfId="0"/>
    <cellStyle name="Normal 61 2 5 4 6 2 3" xfId="0"/>
    <cellStyle name="Normal 61 2 5 4 6 3" xfId="0"/>
    <cellStyle name="Normal 61 2 5 4 6 3 2" xfId="0"/>
    <cellStyle name="Normal 61 2 5 4 6 3 2 2" xfId="0"/>
    <cellStyle name="Normal 61 2 5 4 6 3 3" xfId="0"/>
    <cellStyle name="Normal 61 2 5 4 6 4" xfId="0"/>
    <cellStyle name="Normal 61 2 5 4 6 4 2" xfId="0"/>
    <cellStyle name="Normal 61 2 5 4 6 5" xfId="0"/>
    <cellStyle name="Normal 61 2 5 4 7" xfId="0"/>
    <cellStyle name="Normal 61 2 5 4 7 2" xfId="0"/>
    <cellStyle name="Normal 61 2 5 4 7 2 2" xfId="0"/>
    <cellStyle name="Normal 61 2 5 4 7 3" xfId="0"/>
    <cellStyle name="Normal 61 2 5 4 8" xfId="0"/>
    <cellStyle name="Normal 61 2 5 4 8 2" xfId="0"/>
    <cellStyle name="Normal 61 2 5 4 8 2 2" xfId="0"/>
    <cellStyle name="Normal 61 2 5 4 8 3" xfId="0"/>
    <cellStyle name="Normal 61 2 5 4 9" xfId="0"/>
    <cellStyle name="Normal 61 2 5 4 9 2" xfId="0"/>
    <cellStyle name="Normal 61 2 5 5" xfId="0"/>
    <cellStyle name="Normal 61 2 5 5 2" xfId="0"/>
    <cellStyle name="Normal 61 2 5 5 2 2" xfId="0"/>
    <cellStyle name="Normal 61 2 5 5 2 2 2" xfId="0"/>
    <cellStyle name="Normal 61 2 5 5 2 2 2 2" xfId="0"/>
    <cellStyle name="Normal 61 2 5 5 2 2 2 2 2" xfId="0"/>
    <cellStyle name="Normal 61 2 5 5 2 2 2 2 2 2" xfId="0"/>
    <cellStyle name="Normal 61 2 5 5 2 2 2 2 2 2 2" xfId="0"/>
    <cellStyle name="Normal 61 2 5 5 2 2 2 2 2 3" xfId="0"/>
    <cellStyle name="Normal 61 2 5 5 2 2 2 2 3" xfId="0"/>
    <cellStyle name="Normal 61 2 5 5 2 2 2 2 3 2" xfId="0"/>
    <cellStyle name="Normal 61 2 5 5 2 2 2 2 3 2 2" xfId="0"/>
    <cellStyle name="Normal 61 2 5 5 2 2 2 2 3 3" xfId="0"/>
    <cellStyle name="Normal 61 2 5 5 2 2 2 2 4" xfId="0"/>
    <cellStyle name="Normal 61 2 5 5 2 2 2 2 4 2" xfId="0"/>
    <cellStyle name="Normal 61 2 5 5 2 2 2 2 5" xfId="0"/>
    <cellStyle name="Normal 61 2 5 5 2 2 2 3" xfId="0"/>
    <cellStyle name="Normal 61 2 5 5 2 2 2 3 2" xfId="0"/>
    <cellStyle name="Normal 61 2 5 5 2 2 2 3 2 2" xfId="0"/>
    <cellStyle name="Normal 61 2 5 5 2 2 2 3 3" xfId="0"/>
    <cellStyle name="Normal 61 2 5 5 2 2 2 4" xfId="0"/>
    <cellStyle name="Normal 61 2 5 5 2 2 2 4 2" xfId="0"/>
    <cellStyle name="Normal 61 2 5 5 2 2 2 4 2 2" xfId="0"/>
    <cellStyle name="Normal 61 2 5 5 2 2 2 4 3" xfId="0"/>
    <cellStyle name="Normal 61 2 5 5 2 2 2 5" xfId="0"/>
    <cellStyle name="Normal 61 2 5 5 2 2 2 5 2" xfId="0"/>
    <cellStyle name="Normal 61 2 5 5 2 2 2 6" xfId="0"/>
    <cellStyle name="Normal 61 2 5 5 2 2 3" xfId="0"/>
    <cellStyle name="Normal 61 2 5 5 2 2 3 2" xfId="0"/>
    <cellStyle name="Normal 61 2 5 5 2 2 3 2 2" xfId="0"/>
    <cellStyle name="Normal 61 2 5 5 2 2 3 2 2 2" xfId="0"/>
    <cellStyle name="Normal 61 2 5 5 2 2 3 2 3" xfId="0"/>
    <cellStyle name="Normal 61 2 5 5 2 2 3 3" xfId="0"/>
    <cellStyle name="Normal 61 2 5 5 2 2 3 3 2" xfId="0"/>
    <cellStyle name="Normal 61 2 5 5 2 2 3 3 2 2" xfId="0"/>
    <cellStyle name="Normal 61 2 5 5 2 2 3 3 3" xfId="0"/>
    <cellStyle name="Normal 61 2 5 5 2 2 3 4" xfId="0"/>
    <cellStyle name="Normal 61 2 5 5 2 2 3 4 2" xfId="0"/>
    <cellStyle name="Normal 61 2 5 5 2 2 3 5" xfId="0"/>
    <cellStyle name="Normal 61 2 5 5 2 2 4" xfId="0"/>
    <cellStyle name="Normal 61 2 5 5 2 2 4 2" xfId="0"/>
    <cellStyle name="Normal 61 2 5 5 2 2 4 2 2" xfId="0"/>
    <cellStyle name="Normal 61 2 5 5 2 2 4 3" xfId="0"/>
    <cellStyle name="Normal 61 2 5 5 2 2 5" xfId="0"/>
    <cellStyle name="Normal 61 2 5 5 2 2 5 2" xfId="0"/>
    <cellStyle name="Normal 61 2 5 5 2 2 5 2 2" xfId="0"/>
    <cellStyle name="Normal 61 2 5 5 2 2 5 3" xfId="0"/>
    <cellStyle name="Normal 61 2 5 5 2 2 6" xfId="0"/>
    <cellStyle name="Normal 61 2 5 5 2 2 6 2" xfId="0"/>
    <cellStyle name="Normal 61 2 5 5 2 2 7" xfId="0"/>
    <cellStyle name="Normal 61 2 5 5 2 3" xfId="0"/>
    <cellStyle name="Normal 61 2 5 5 2 3 2" xfId="0"/>
    <cellStyle name="Normal 61 2 5 5 2 3 2 2" xfId="0"/>
    <cellStyle name="Normal 61 2 5 5 2 3 2 2 2" xfId="0"/>
    <cellStyle name="Normal 61 2 5 5 2 3 2 2 2 2" xfId="0"/>
    <cellStyle name="Normal 61 2 5 5 2 3 2 2 3" xfId="0"/>
    <cellStyle name="Normal 61 2 5 5 2 3 2 3" xfId="0"/>
    <cellStyle name="Normal 61 2 5 5 2 3 2 3 2" xfId="0"/>
    <cellStyle name="Normal 61 2 5 5 2 3 2 3 2 2" xfId="0"/>
    <cellStyle name="Normal 61 2 5 5 2 3 2 3 3" xfId="0"/>
    <cellStyle name="Normal 61 2 5 5 2 3 2 4" xfId="0"/>
    <cellStyle name="Normal 61 2 5 5 2 3 2 4 2" xfId="0"/>
    <cellStyle name="Normal 61 2 5 5 2 3 2 5" xfId="0"/>
    <cellStyle name="Normal 61 2 5 5 2 3 3" xfId="0"/>
    <cellStyle name="Normal 61 2 5 5 2 3 3 2" xfId="0"/>
    <cellStyle name="Normal 61 2 5 5 2 3 3 2 2" xfId="0"/>
    <cellStyle name="Normal 61 2 5 5 2 3 3 3" xfId="0"/>
    <cellStyle name="Normal 61 2 5 5 2 3 4" xfId="0"/>
    <cellStyle name="Normal 61 2 5 5 2 3 4 2" xfId="0"/>
    <cellStyle name="Normal 61 2 5 5 2 3 4 2 2" xfId="0"/>
    <cellStyle name="Normal 61 2 5 5 2 3 4 3" xfId="0"/>
    <cellStyle name="Normal 61 2 5 5 2 3 5" xfId="0"/>
    <cellStyle name="Normal 61 2 5 5 2 3 5 2" xfId="0"/>
    <cellStyle name="Normal 61 2 5 5 2 3 6" xfId="0"/>
    <cellStyle name="Normal 61 2 5 5 2 4" xfId="0"/>
    <cellStyle name="Normal 61 2 5 5 2 4 2" xfId="0"/>
    <cellStyle name="Normal 61 2 5 5 2 4 2 2" xfId="0"/>
    <cellStyle name="Normal 61 2 5 5 2 4 2 2 2" xfId="0"/>
    <cellStyle name="Normal 61 2 5 5 2 4 2 3" xfId="0"/>
    <cellStyle name="Normal 61 2 5 5 2 4 3" xfId="0"/>
    <cellStyle name="Normal 61 2 5 5 2 4 3 2" xfId="0"/>
    <cellStyle name="Normal 61 2 5 5 2 4 3 2 2" xfId="0"/>
    <cellStyle name="Normal 61 2 5 5 2 4 3 3" xfId="0"/>
    <cellStyle name="Normal 61 2 5 5 2 4 4" xfId="0"/>
    <cellStyle name="Normal 61 2 5 5 2 4 4 2" xfId="0"/>
    <cellStyle name="Normal 61 2 5 5 2 4 5" xfId="0"/>
    <cellStyle name="Normal 61 2 5 5 2 5" xfId="0"/>
    <cellStyle name="Normal 61 2 5 5 2 5 2" xfId="0"/>
    <cellStyle name="Normal 61 2 5 5 2 5 2 2" xfId="0"/>
    <cellStyle name="Normal 61 2 5 5 2 5 3" xfId="0"/>
    <cellStyle name="Normal 61 2 5 5 2 6" xfId="0"/>
    <cellStyle name="Normal 61 2 5 5 2 6 2" xfId="0"/>
    <cellStyle name="Normal 61 2 5 5 2 6 2 2" xfId="0"/>
    <cellStyle name="Normal 61 2 5 5 2 6 3" xfId="0"/>
    <cellStyle name="Normal 61 2 5 5 2 7" xfId="0"/>
    <cellStyle name="Normal 61 2 5 5 2 7 2" xfId="0"/>
    <cellStyle name="Normal 61 2 5 5 2 8" xfId="0"/>
    <cellStyle name="Normal 61 2 5 5 3" xfId="0"/>
    <cellStyle name="Normal 61 2 5 5 3 2" xfId="0"/>
    <cellStyle name="Normal 61 2 5 5 3 2 2" xfId="0"/>
    <cellStyle name="Normal 61 2 5 5 3 2 2 2" xfId="0"/>
    <cellStyle name="Normal 61 2 5 5 3 2 2 2 2" xfId="0"/>
    <cellStyle name="Normal 61 2 5 5 3 2 2 2 2 2" xfId="0"/>
    <cellStyle name="Normal 61 2 5 5 3 2 2 2 3" xfId="0"/>
    <cellStyle name="Normal 61 2 5 5 3 2 2 3" xfId="0"/>
    <cellStyle name="Normal 61 2 5 5 3 2 2 3 2" xfId="0"/>
    <cellStyle name="Normal 61 2 5 5 3 2 2 3 2 2" xfId="0"/>
    <cellStyle name="Normal 61 2 5 5 3 2 2 3 3" xfId="0"/>
    <cellStyle name="Normal 61 2 5 5 3 2 2 4" xfId="0"/>
    <cellStyle name="Normal 61 2 5 5 3 2 2 4 2" xfId="0"/>
    <cellStyle name="Normal 61 2 5 5 3 2 2 5" xfId="0"/>
    <cellStyle name="Normal 61 2 5 5 3 2 3" xfId="0"/>
    <cellStyle name="Normal 61 2 5 5 3 2 3 2" xfId="0"/>
    <cellStyle name="Normal 61 2 5 5 3 2 3 2 2" xfId="0"/>
    <cellStyle name="Normal 61 2 5 5 3 2 3 3" xfId="0"/>
    <cellStyle name="Normal 61 2 5 5 3 2 4" xfId="0"/>
    <cellStyle name="Normal 61 2 5 5 3 2 4 2" xfId="0"/>
    <cellStyle name="Normal 61 2 5 5 3 2 4 2 2" xfId="0"/>
    <cellStyle name="Normal 61 2 5 5 3 2 4 3" xfId="0"/>
    <cellStyle name="Normal 61 2 5 5 3 2 5" xfId="0"/>
    <cellStyle name="Normal 61 2 5 5 3 2 5 2" xfId="0"/>
    <cellStyle name="Normal 61 2 5 5 3 2 6" xfId="0"/>
    <cellStyle name="Normal 61 2 5 5 3 3" xfId="0"/>
    <cellStyle name="Normal 61 2 5 5 3 3 2" xfId="0"/>
    <cellStyle name="Normal 61 2 5 5 3 3 2 2" xfId="0"/>
    <cellStyle name="Normal 61 2 5 5 3 3 2 2 2" xfId="0"/>
    <cellStyle name="Normal 61 2 5 5 3 3 2 3" xfId="0"/>
    <cellStyle name="Normal 61 2 5 5 3 3 3" xfId="0"/>
    <cellStyle name="Normal 61 2 5 5 3 3 3 2" xfId="0"/>
    <cellStyle name="Normal 61 2 5 5 3 3 3 2 2" xfId="0"/>
    <cellStyle name="Normal 61 2 5 5 3 3 3 3" xfId="0"/>
    <cellStyle name="Normal 61 2 5 5 3 3 4" xfId="0"/>
    <cellStyle name="Normal 61 2 5 5 3 3 4 2" xfId="0"/>
    <cellStyle name="Normal 61 2 5 5 3 3 5" xfId="0"/>
    <cellStyle name="Normal 61 2 5 5 3 4" xfId="0"/>
    <cellStyle name="Normal 61 2 5 5 3 4 2" xfId="0"/>
    <cellStyle name="Normal 61 2 5 5 3 4 2 2" xfId="0"/>
    <cellStyle name="Normal 61 2 5 5 3 4 3" xfId="0"/>
    <cellStyle name="Normal 61 2 5 5 3 5" xfId="0"/>
    <cellStyle name="Normal 61 2 5 5 3 5 2" xfId="0"/>
    <cellStyle name="Normal 61 2 5 5 3 5 2 2" xfId="0"/>
    <cellStyle name="Normal 61 2 5 5 3 5 3" xfId="0"/>
    <cellStyle name="Normal 61 2 5 5 3 6" xfId="0"/>
    <cellStyle name="Normal 61 2 5 5 3 6 2" xfId="0"/>
    <cellStyle name="Normal 61 2 5 5 3 7" xfId="0"/>
    <cellStyle name="Normal 61 2 5 5 4" xfId="0"/>
    <cellStyle name="Normal 61 2 5 5 4 2" xfId="0"/>
    <cellStyle name="Normal 61 2 5 5 4 2 2" xfId="0"/>
    <cellStyle name="Normal 61 2 5 5 4 2 2 2" xfId="0"/>
    <cellStyle name="Normal 61 2 5 5 4 2 2 2 2" xfId="0"/>
    <cellStyle name="Normal 61 2 5 5 4 2 2 3" xfId="0"/>
    <cellStyle name="Normal 61 2 5 5 4 2 3" xfId="0"/>
    <cellStyle name="Normal 61 2 5 5 4 2 3 2" xfId="0"/>
    <cellStyle name="Normal 61 2 5 5 4 2 3 2 2" xfId="0"/>
    <cellStyle name="Normal 61 2 5 5 4 2 3 3" xfId="0"/>
    <cellStyle name="Normal 61 2 5 5 4 2 4" xfId="0"/>
    <cellStyle name="Normal 61 2 5 5 4 2 4 2" xfId="0"/>
    <cellStyle name="Normal 61 2 5 5 4 2 5" xfId="0"/>
    <cellStyle name="Normal 61 2 5 5 4 3" xfId="0"/>
    <cellStyle name="Normal 61 2 5 5 4 3 2" xfId="0"/>
    <cellStyle name="Normal 61 2 5 5 4 3 2 2" xfId="0"/>
    <cellStyle name="Normal 61 2 5 5 4 3 3" xfId="0"/>
    <cellStyle name="Normal 61 2 5 5 4 4" xfId="0"/>
    <cellStyle name="Normal 61 2 5 5 4 4 2" xfId="0"/>
    <cellStyle name="Normal 61 2 5 5 4 4 2 2" xfId="0"/>
    <cellStyle name="Normal 61 2 5 5 4 4 3" xfId="0"/>
    <cellStyle name="Normal 61 2 5 5 4 5" xfId="0"/>
    <cellStyle name="Normal 61 2 5 5 4 5 2" xfId="0"/>
    <cellStyle name="Normal 61 2 5 5 4 6" xfId="0"/>
    <cellStyle name="Normal 61 2 5 5 5" xfId="0"/>
    <cellStyle name="Normal 61 2 5 5 5 2" xfId="0"/>
    <cellStyle name="Normal 61 2 5 5 5 2 2" xfId="0"/>
    <cellStyle name="Normal 61 2 5 5 5 2 2 2" xfId="0"/>
    <cellStyle name="Normal 61 2 5 5 5 2 3" xfId="0"/>
    <cellStyle name="Normal 61 2 5 5 5 3" xfId="0"/>
    <cellStyle name="Normal 61 2 5 5 5 3 2" xfId="0"/>
    <cellStyle name="Normal 61 2 5 5 5 3 2 2" xfId="0"/>
    <cellStyle name="Normal 61 2 5 5 5 3 3" xfId="0"/>
    <cellStyle name="Normal 61 2 5 5 5 4" xfId="0"/>
    <cellStyle name="Normal 61 2 5 5 5 4 2" xfId="0"/>
    <cellStyle name="Normal 61 2 5 5 5 5" xfId="0"/>
    <cellStyle name="Normal 61 2 5 5 6" xfId="0"/>
    <cellStyle name="Normal 61 2 5 5 6 2" xfId="0"/>
    <cellStyle name="Normal 61 2 5 5 6 2 2" xfId="0"/>
    <cellStyle name="Normal 61 2 5 5 6 3" xfId="0"/>
    <cellStyle name="Normal 61 2 5 5 7" xfId="0"/>
    <cellStyle name="Normal 61 2 5 5 7 2" xfId="0"/>
    <cellStyle name="Normal 61 2 5 5 7 2 2" xfId="0"/>
    <cellStyle name="Normal 61 2 5 5 7 3" xfId="0"/>
    <cellStyle name="Normal 61 2 5 5 8" xfId="0"/>
    <cellStyle name="Normal 61 2 5 5 8 2" xfId="0"/>
    <cellStyle name="Normal 61 2 5 5 9" xfId="0"/>
    <cellStyle name="Normal 61 2 5 6" xfId="0"/>
    <cellStyle name="Normal 61 2 5 6 2" xfId="0"/>
    <cellStyle name="Normal 61 2 5 6 2 2" xfId="0"/>
    <cellStyle name="Normal 61 2 5 6 2 2 2" xfId="0"/>
    <cellStyle name="Normal 61 2 5 6 2 2 2 2" xfId="0"/>
    <cellStyle name="Normal 61 2 5 6 2 2 2 2 2" xfId="0"/>
    <cellStyle name="Normal 61 2 5 6 2 2 2 2 2 2" xfId="0"/>
    <cellStyle name="Normal 61 2 5 6 2 2 2 2 3" xfId="0"/>
    <cellStyle name="Normal 61 2 5 6 2 2 2 3" xfId="0"/>
    <cellStyle name="Normal 61 2 5 6 2 2 2 3 2" xfId="0"/>
    <cellStyle name="Normal 61 2 5 6 2 2 2 3 2 2" xfId="0"/>
    <cellStyle name="Normal 61 2 5 6 2 2 2 3 3" xfId="0"/>
    <cellStyle name="Normal 61 2 5 6 2 2 2 4" xfId="0"/>
    <cellStyle name="Normal 61 2 5 6 2 2 2 4 2" xfId="0"/>
    <cellStyle name="Normal 61 2 5 6 2 2 2 5" xfId="0"/>
    <cellStyle name="Normal 61 2 5 6 2 2 3" xfId="0"/>
    <cellStyle name="Normal 61 2 5 6 2 2 3 2" xfId="0"/>
    <cellStyle name="Normal 61 2 5 6 2 2 3 2 2" xfId="0"/>
    <cellStyle name="Normal 61 2 5 6 2 2 3 3" xfId="0"/>
    <cellStyle name="Normal 61 2 5 6 2 2 4" xfId="0"/>
    <cellStyle name="Normal 61 2 5 6 2 2 4 2" xfId="0"/>
    <cellStyle name="Normal 61 2 5 6 2 2 4 2 2" xfId="0"/>
    <cellStyle name="Normal 61 2 5 6 2 2 4 3" xfId="0"/>
    <cellStyle name="Normal 61 2 5 6 2 2 5" xfId="0"/>
    <cellStyle name="Normal 61 2 5 6 2 2 5 2" xfId="0"/>
    <cellStyle name="Normal 61 2 5 6 2 2 6" xfId="0"/>
    <cellStyle name="Normal 61 2 5 6 2 3" xfId="0"/>
    <cellStyle name="Normal 61 2 5 6 2 3 2" xfId="0"/>
    <cellStyle name="Normal 61 2 5 6 2 3 2 2" xfId="0"/>
    <cellStyle name="Normal 61 2 5 6 2 3 2 2 2" xfId="0"/>
    <cellStyle name="Normal 61 2 5 6 2 3 2 3" xfId="0"/>
    <cellStyle name="Normal 61 2 5 6 2 3 3" xfId="0"/>
    <cellStyle name="Normal 61 2 5 6 2 3 3 2" xfId="0"/>
    <cellStyle name="Normal 61 2 5 6 2 3 3 2 2" xfId="0"/>
    <cellStyle name="Normal 61 2 5 6 2 3 3 3" xfId="0"/>
    <cellStyle name="Normal 61 2 5 6 2 3 4" xfId="0"/>
    <cellStyle name="Normal 61 2 5 6 2 3 4 2" xfId="0"/>
    <cellStyle name="Normal 61 2 5 6 2 3 5" xfId="0"/>
    <cellStyle name="Normal 61 2 5 6 2 4" xfId="0"/>
    <cellStyle name="Normal 61 2 5 6 2 4 2" xfId="0"/>
    <cellStyle name="Normal 61 2 5 6 2 4 2 2" xfId="0"/>
    <cellStyle name="Normal 61 2 5 6 2 4 3" xfId="0"/>
    <cellStyle name="Normal 61 2 5 6 2 5" xfId="0"/>
    <cellStyle name="Normal 61 2 5 6 2 5 2" xfId="0"/>
    <cellStyle name="Normal 61 2 5 6 2 5 2 2" xfId="0"/>
    <cellStyle name="Normal 61 2 5 6 2 5 3" xfId="0"/>
    <cellStyle name="Normal 61 2 5 6 2 6" xfId="0"/>
    <cellStyle name="Normal 61 2 5 6 2 6 2" xfId="0"/>
    <cellStyle name="Normal 61 2 5 6 2 7" xfId="0"/>
    <cellStyle name="Normal 61 2 5 6 3" xfId="0"/>
    <cellStyle name="Normal 61 2 5 6 3 2" xfId="0"/>
    <cellStyle name="Normal 61 2 5 6 3 2 2" xfId="0"/>
    <cellStyle name="Normal 61 2 5 6 3 2 2 2" xfId="0"/>
    <cellStyle name="Normal 61 2 5 6 3 2 2 2 2" xfId="0"/>
    <cellStyle name="Normal 61 2 5 6 3 2 2 3" xfId="0"/>
    <cellStyle name="Normal 61 2 5 6 3 2 3" xfId="0"/>
    <cellStyle name="Normal 61 2 5 6 3 2 3 2" xfId="0"/>
    <cellStyle name="Normal 61 2 5 6 3 2 3 2 2" xfId="0"/>
    <cellStyle name="Normal 61 2 5 6 3 2 3 3" xfId="0"/>
    <cellStyle name="Normal 61 2 5 6 3 2 4" xfId="0"/>
    <cellStyle name="Normal 61 2 5 6 3 2 4 2" xfId="0"/>
    <cellStyle name="Normal 61 2 5 6 3 2 5" xfId="0"/>
    <cellStyle name="Normal 61 2 5 6 3 3" xfId="0"/>
    <cellStyle name="Normal 61 2 5 6 3 3 2" xfId="0"/>
    <cellStyle name="Normal 61 2 5 6 3 3 2 2" xfId="0"/>
    <cellStyle name="Normal 61 2 5 6 3 3 3" xfId="0"/>
    <cellStyle name="Normal 61 2 5 6 3 4" xfId="0"/>
    <cellStyle name="Normal 61 2 5 6 3 4 2" xfId="0"/>
    <cellStyle name="Normal 61 2 5 6 3 4 2 2" xfId="0"/>
    <cellStyle name="Normal 61 2 5 6 3 4 3" xfId="0"/>
    <cellStyle name="Normal 61 2 5 6 3 5" xfId="0"/>
    <cellStyle name="Normal 61 2 5 6 3 5 2" xfId="0"/>
    <cellStyle name="Normal 61 2 5 6 3 6" xfId="0"/>
    <cellStyle name="Normal 61 2 5 6 4" xfId="0"/>
    <cellStyle name="Normal 61 2 5 6 4 2" xfId="0"/>
    <cellStyle name="Normal 61 2 5 6 4 2 2" xfId="0"/>
    <cellStyle name="Normal 61 2 5 6 4 2 2 2" xfId="0"/>
    <cellStyle name="Normal 61 2 5 6 4 2 3" xfId="0"/>
    <cellStyle name="Normal 61 2 5 6 4 3" xfId="0"/>
    <cellStyle name="Normal 61 2 5 6 4 3 2" xfId="0"/>
    <cellStyle name="Normal 61 2 5 6 4 3 2 2" xfId="0"/>
    <cellStyle name="Normal 61 2 5 6 4 3 3" xfId="0"/>
    <cellStyle name="Normal 61 2 5 6 4 4" xfId="0"/>
    <cellStyle name="Normal 61 2 5 6 4 4 2" xfId="0"/>
    <cellStyle name="Normal 61 2 5 6 4 5" xfId="0"/>
    <cellStyle name="Normal 61 2 5 6 5" xfId="0"/>
    <cellStyle name="Normal 61 2 5 6 5 2" xfId="0"/>
    <cellStyle name="Normal 61 2 5 6 5 2 2" xfId="0"/>
    <cellStyle name="Normal 61 2 5 6 5 3" xfId="0"/>
    <cellStyle name="Normal 61 2 5 6 6" xfId="0"/>
    <cellStyle name="Normal 61 2 5 6 6 2" xfId="0"/>
    <cellStyle name="Normal 61 2 5 6 6 2 2" xfId="0"/>
    <cellStyle name="Normal 61 2 5 6 6 3" xfId="0"/>
    <cellStyle name="Normal 61 2 5 6 7" xfId="0"/>
    <cellStyle name="Normal 61 2 5 6 7 2" xfId="0"/>
    <cellStyle name="Normal 61 2 5 6 8" xfId="0"/>
    <cellStyle name="Normal 61 2 5 7" xfId="0"/>
    <cellStyle name="Normal 61 2 5 7 2" xfId="0"/>
    <cellStyle name="Normal 61 2 5 7 2 2" xfId="0"/>
    <cellStyle name="Normal 61 2 5 7 2 2 2" xfId="0"/>
    <cellStyle name="Normal 61 2 5 7 2 2 2 2" xfId="0"/>
    <cellStyle name="Normal 61 2 5 7 2 2 2 2 2" xfId="0"/>
    <cellStyle name="Normal 61 2 5 7 2 2 2 3" xfId="0"/>
    <cellStyle name="Normal 61 2 5 7 2 2 3" xfId="0"/>
    <cellStyle name="Normal 61 2 5 7 2 2 3 2" xfId="0"/>
    <cellStyle name="Normal 61 2 5 7 2 2 3 2 2" xfId="0"/>
    <cellStyle name="Normal 61 2 5 7 2 2 3 3" xfId="0"/>
    <cellStyle name="Normal 61 2 5 7 2 2 4" xfId="0"/>
    <cellStyle name="Normal 61 2 5 7 2 2 4 2" xfId="0"/>
    <cellStyle name="Normal 61 2 5 7 2 2 5" xfId="0"/>
    <cellStyle name="Normal 61 2 5 7 2 3" xfId="0"/>
    <cellStyle name="Normal 61 2 5 7 2 3 2" xfId="0"/>
    <cellStyle name="Normal 61 2 5 7 2 3 2 2" xfId="0"/>
    <cellStyle name="Normal 61 2 5 7 2 3 3" xfId="0"/>
    <cellStyle name="Normal 61 2 5 7 2 4" xfId="0"/>
    <cellStyle name="Normal 61 2 5 7 2 4 2" xfId="0"/>
    <cellStyle name="Normal 61 2 5 7 2 4 2 2" xfId="0"/>
    <cellStyle name="Normal 61 2 5 7 2 4 3" xfId="0"/>
    <cellStyle name="Normal 61 2 5 7 2 5" xfId="0"/>
    <cellStyle name="Normal 61 2 5 7 2 5 2" xfId="0"/>
    <cellStyle name="Normal 61 2 5 7 2 6" xfId="0"/>
    <cellStyle name="Normal 61 2 5 7 3" xfId="0"/>
    <cellStyle name="Normal 61 2 5 7 3 2" xfId="0"/>
    <cellStyle name="Normal 61 2 5 7 3 2 2" xfId="0"/>
    <cellStyle name="Normal 61 2 5 7 3 2 2 2" xfId="0"/>
    <cellStyle name="Normal 61 2 5 7 3 2 3" xfId="0"/>
    <cellStyle name="Normal 61 2 5 7 3 3" xfId="0"/>
    <cellStyle name="Normal 61 2 5 7 3 3 2" xfId="0"/>
    <cellStyle name="Normal 61 2 5 7 3 3 2 2" xfId="0"/>
    <cellStyle name="Normal 61 2 5 7 3 3 3" xfId="0"/>
    <cellStyle name="Normal 61 2 5 7 3 4" xfId="0"/>
    <cellStyle name="Normal 61 2 5 7 3 4 2" xfId="0"/>
    <cellStyle name="Normal 61 2 5 7 3 5" xfId="0"/>
    <cellStyle name="Normal 61 2 5 7 4" xfId="0"/>
    <cellStyle name="Normal 61 2 5 7 4 2" xfId="0"/>
    <cellStyle name="Normal 61 2 5 7 4 2 2" xfId="0"/>
    <cellStyle name="Normal 61 2 5 7 4 3" xfId="0"/>
    <cellStyle name="Normal 61 2 5 7 5" xfId="0"/>
    <cellStyle name="Normal 61 2 5 7 5 2" xfId="0"/>
    <cellStyle name="Normal 61 2 5 7 5 2 2" xfId="0"/>
    <cellStyle name="Normal 61 2 5 7 5 3" xfId="0"/>
    <cellStyle name="Normal 61 2 5 7 6" xfId="0"/>
    <cellStyle name="Normal 61 2 5 7 6 2" xfId="0"/>
    <cellStyle name="Normal 61 2 5 7 7" xfId="0"/>
    <cellStyle name="Normal 61 2 5 8" xfId="0"/>
    <cellStyle name="Normal 61 2 5 8 2" xfId="0"/>
    <cellStyle name="Normal 61 2 5 8 2 2" xfId="0"/>
    <cellStyle name="Normal 61 2 5 8 2 2 2" xfId="0"/>
    <cellStyle name="Normal 61 2 5 8 2 2 2 2" xfId="0"/>
    <cellStyle name="Normal 61 2 5 8 2 2 3" xfId="0"/>
    <cellStyle name="Normal 61 2 5 8 2 3" xfId="0"/>
    <cellStyle name="Normal 61 2 5 8 2 3 2" xfId="0"/>
    <cellStyle name="Normal 61 2 5 8 2 3 2 2" xfId="0"/>
    <cellStyle name="Normal 61 2 5 8 2 3 3" xfId="0"/>
    <cellStyle name="Normal 61 2 5 8 2 4" xfId="0"/>
    <cellStyle name="Normal 61 2 5 8 2 4 2" xfId="0"/>
    <cellStyle name="Normal 61 2 5 8 2 5" xfId="0"/>
    <cellStyle name="Normal 61 2 5 8 3" xfId="0"/>
    <cellStyle name="Normal 61 2 5 8 3 2" xfId="0"/>
    <cellStyle name="Normal 61 2 5 8 3 2 2" xfId="0"/>
    <cellStyle name="Normal 61 2 5 8 3 3" xfId="0"/>
    <cellStyle name="Normal 61 2 5 8 4" xfId="0"/>
    <cellStyle name="Normal 61 2 5 8 4 2" xfId="0"/>
    <cellStyle name="Normal 61 2 5 8 4 2 2" xfId="0"/>
    <cellStyle name="Normal 61 2 5 8 4 3" xfId="0"/>
    <cellStyle name="Normal 61 2 5 8 5" xfId="0"/>
    <cellStyle name="Normal 61 2 5 8 5 2" xfId="0"/>
    <cellStyle name="Normal 61 2 5 8 6" xfId="0"/>
    <cellStyle name="Normal 61 2 5 9" xfId="0"/>
    <cellStyle name="Normal 61 2 5 9 2" xfId="0"/>
    <cellStyle name="Normal 61 2 5 9 2 2" xfId="0"/>
    <cellStyle name="Normal 61 2 5 9 2 2 2" xfId="0"/>
    <cellStyle name="Normal 61 2 5 9 2 3" xfId="0"/>
    <cellStyle name="Normal 61 2 5 9 3" xfId="0"/>
    <cellStyle name="Normal 61 2 5 9 3 2" xfId="0"/>
    <cellStyle name="Normal 61 2 5 9 3 2 2" xfId="0"/>
    <cellStyle name="Normal 61 2 5 9 3 3" xfId="0"/>
    <cellStyle name="Normal 61 2 5 9 4" xfId="0"/>
    <cellStyle name="Normal 61 2 5 9 4 2" xfId="0"/>
    <cellStyle name="Normal 61 2 5 9 5" xfId="0"/>
    <cellStyle name="Normal 61 2 6" xfId="0"/>
    <cellStyle name="Normal 61 2 6 10" xfId="0"/>
    <cellStyle name="Normal 61 2 6 10 2" xfId="0"/>
    <cellStyle name="Normal 61 2 6 10 2 2" xfId="0"/>
    <cellStyle name="Normal 61 2 6 10 3" xfId="0"/>
    <cellStyle name="Normal 61 2 6 11" xfId="0"/>
    <cellStyle name="Normal 61 2 6 11 2" xfId="0"/>
    <cellStyle name="Normal 61 2 6 12" xfId="0"/>
    <cellStyle name="Normal 61 2 6 2" xfId="0"/>
    <cellStyle name="Normal 61 2 6 2 10" xfId="0"/>
    <cellStyle name="Normal 61 2 6 2 2" xfId="0"/>
    <cellStyle name="Normal 61 2 6 2 2 2" xfId="0"/>
    <cellStyle name="Normal 61 2 6 2 2 2 2" xfId="0"/>
    <cellStyle name="Normal 61 2 6 2 2 2 2 2" xfId="0"/>
    <cellStyle name="Normal 61 2 6 2 2 2 2 2 2" xfId="0"/>
    <cellStyle name="Normal 61 2 6 2 2 2 2 2 2 2" xfId="0"/>
    <cellStyle name="Normal 61 2 6 2 2 2 2 2 2 2 2" xfId="0"/>
    <cellStyle name="Normal 61 2 6 2 2 2 2 2 2 2 2 2" xfId="0"/>
    <cellStyle name="Normal 61 2 6 2 2 2 2 2 2 2 3" xfId="0"/>
    <cellStyle name="Normal 61 2 6 2 2 2 2 2 2 3" xfId="0"/>
    <cellStyle name="Normal 61 2 6 2 2 2 2 2 2 3 2" xfId="0"/>
    <cellStyle name="Normal 61 2 6 2 2 2 2 2 2 3 2 2" xfId="0"/>
    <cellStyle name="Normal 61 2 6 2 2 2 2 2 2 3 3" xfId="0"/>
    <cellStyle name="Normal 61 2 6 2 2 2 2 2 2 4" xfId="0"/>
    <cellStyle name="Normal 61 2 6 2 2 2 2 2 2 4 2" xfId="0"/>
    <cellStyle name="Normal 61 2 6 2 2 2 2 2 2 5" xfId="0"/>
    <cellStyle name="Normal 61 2 6 2 2 2 2 2 3" xfId="0"/>
    <cellStyle name="Normal 61 2 6 2 2 2 2 2 3 2" xfId="0"/>
    <cellStyle name="Normal 61 2 6 2 2 2 2 2 3 2 2" xfId="0"/>
    <cellStyle name="Normal 61 2 6 2 2 2 2 2 3 3" xfId="0"/>
    <cellStyle name="Normal 61 2 6 2 2 2 2 2 4" xfId="0"/>
    <cellStyle name="Normal 61 2 6 2 2 2 2 2 4 2" xfId="0"/>
    <cellStyle name="Normal 61 2 6 2 2 2 2 2 4 2 2" xfId="0"/>
    <cellStyle name="Normal 61 2 6 2 2 2 2 2 4 3" xfId="0"/>
    <cellStyle name="Normal 61 2 6 2 2 2 2 2 5" xfId="0"/>
    <cellStyle name="Normal 61 2 6 2 2 2 2 2 5 2" xfId="0"/>
    <cellStyle name="Normal 61 2 6 2 2 2 2 2 6" xfId="0"/>
    <cellStyle name="Normal 61 2 6 2 2 2 2 3" xfId="0"/>
    <cellStyle name="Normal 61 2 6 2 2 2 2 3 2" xfId="0"/>
    <cellStyle name="Normal 61 2 6 2 2 2 2 3 2 2" xfId="0"/>
    <cellStyle name="Normal 61 2 6 2 2 2 2 3 2 2 2" xfId="0"/>
    <cellStyle name="Normal 61 2 6 2 2 2 2 3 2 3" xfId="0"/>
    <cellStyle name="Normal 61 2 6 2 2 2 2 3 3" xfId="0"/>
    <cellStyle name="Normal 61 2 6 2 2 2 2 3 3 2" xfId="0"/>
    <cellStyle name="Normal 61 2 6 2 2 2 2 3 3 2 2" xfId="0"/>
    <cellStyle name="Normal 61 2 6 2 2 2 2 3 3 3" xfId="0"/>
    <cellStyle name="Normal 61 2 6 2 2 2 2 3 4" xfId="0"/>
    <cellStyle name="Normal 61 2 6 2 2 2 2 3 4 2" xfId="0"/>
    <cellStyle name="Normal 61 2 6 2 2 2 2 3 5" xfId="0"/>
    <cellStyle name="Normal 61 2 6 2 2 2 2 4" xfId="0"/>
    <cellStyle name="Normal 61 2 6 2 2 2 2 4 2" xfId="0"/>
    <cellStyle name="Normal 61 2 6 2 2 2 2 4 2 2" xfId="0"/>
    <cellStyle name="Normal 61 2 6 2 2 2 2 4 3" xfId="0"/>
    <cellStyle name="Normal 61 2 6 2 2 2 2 5" xfId="0"/>
    <cellStyle name="Normal 61 2 6 2 2 2 2 5 2" xfId="0"/>
    <cellStyle name="Normal 61 2 6 2 2 2 2 5 2 2" xfId="0"/>
    <cellStyle name="Normal 61 2 6 2 2 2 2 5 3" xfId="0"/>
    <cellStyle name="Normal 61 2 6 2 2 2 2 6" xfId="0"/>
    <cellStyle name="Normal 61 2 6 2 2 2 2 6 2" xfId="0"/>
    <cellStyle name="Normal 61 2 6 2 2 2 2 7" xfId="0"/>
    <cellStyle name="Normal 61 2 6 2 2 2 3" xfId="0"/>
    <cellStyle name="Normal 61 2 6 2 2 2 3 2" xfId="0"/>
    <cellStyle name="Normal 61 2 6 2 2 2 3 2 2" xfId="0"/>
    <cellStyle name="Normal 61 2 6 2 2 2 3 2 2 2" xfId="0"/>
    <cellStyle name="Normal 61 2 6 2 2 2 3 2 2 2 2" xfId="0"/>
    <cellStyle name="Normal 61 2 6 2 2 2 3 2 2 3" xfId="0"/>
    <cellStyle name="Normal 61 2 6 2 2 2 3 2 3" xfId="0"/>
    <cellStyle name="Normal 61 2 6 2 2 2 3 2 3 2" xfId="0"/>
    <cellStyle name="Normal 61 2 6 2 2 2 3 2 3 2 2" xfId="0"/>
    <cellStyle name="Normal 61 2 6 2 2 2 3 2 3 3" xfId="0"/>
    <cellStyle name="Normal 61 2 6 2 2 2 3 2 4" xfId="0"/>
    <cellStyle name="Normal 61 2 6 2 2 2 3 2 4 2" xfId="0"/>
    <cellStyle name="Normal 61 2 6 2 2 2 3 2 5" xfId="0"/>
    <cellStyle name="Normal 61 2 6 2 2 2 3 3" xfId="0"/>
    <cellStyle name="Normal 61 2 6 2 2 2 3 3 2" xfId="0"/>
    <cellStyle name="Normal 61 2 6 2 2 2 3 3 2 2" xfId="0"/>
    <cellStyle name="Normal 61 2 6 2 2 2 3 3 3" xfId="0"/>
    <cellStyle name="Normal 61 2 6 2 2 2 3 4" xfId="0"/>
    <cellStyle name="Normal 61 2 6 2 2 2 3 4 2" xfId="0"/>
    <cellStyle name="Normal 61 2 6 2 2 2 3 4 2 2" xfId="0"/>
    <cellStyle name="Normal 61 2 6 2 2 2 3 4 3" xfId="0"/>
    <cellStyle name="Normal 61 2 6 2 2 2 3 5" xfId="0"/>
    <cellStyle name="Normal 61 2 6 2 2 2 3 5 2" xfId="0"/>
    <cellStyle name="Normal 61 2 6 2 2 2 3 6" xfId="0"/>
    <cellStyle name="Normal 61 2 6 2 2 2 4" xfId="0"/>
    <cellStyle name="Normal 61 2 6 2 2 2 4 2" xfId="0"/>
    <cellStyle name="Normal 61 2 6 2 2 2 4 2 2" xfId="0"/>
    <cellStyle name="Normal 61 2 6 2 2 2 4 2 2 2" xfId="0"/>
    <cellStyle name="Normal 61 2 6 2 2 2 4 2 3" xfId="0"/>
    <cellStyle name="Normal 61 2 6 2 2 2 4 3" xfId="0"/>
    <cellStyle name="Normal 61 2 6 2 2 2 4 3 2" xfId="0"/>
    <cellStyle name="Normal 61 2 6 2 2 2 4 3 2 2" xfId="0"/>
    <cellStyle name="Normal 61 2 6 2 2 2 4 3 3" xfId="0"/>
    <cellStyle name="Normal 61 2 6 2 2 2 4 4" xfId="0"/>
    <cellStyle name="Normal 61 2 6 2 2 2 4 4 2" xfId="0"/>
    <cellStyle name="Normal 61 2 6 2 2 2 4 5" xfId="0"/>
    <cellStyle name="Normal 61 2 6 2 2 2 5" xfId="0"/>
    <cellStyle name="Normal 61 2 6 2 2 2 5 2" xfId="0"/>
    <cellStyle name="Normal 61 2 6 2 2 2 5 2 2" xfId="0"/>
    <cellStyle name="Normal 61 2 6 2 2 2 5 3" xfId="0"/>
    <cellStyle name="Normal 61 2 6 2 2 2 6" xfId="0"/>
    <cellStyle name="Normal 61 2 6 2 2 2 6 2" xfId="0"/>
    <cellStyle name="Normal 61 2 6 2 2 2 6 2 2" xfId="0"/>
    <cellStyle name="Normal 61 2 6 2 2 2 6 3" xfId="0"/>
    <cellStyle name="Normal 61 2 6 2 2 2 7" xfId="0"/>
    <cellStyle name="Normal 61 2 6 2 2 2 7 2" xfId="0"/>
    <cellStyle name="Normal 61 2 6 2 2 2 8" xfId="0"/>
    <cellStyle name="Normal 61 2 6 2 2 3" xfId="0"/>
    <cellStyle name="Normal 61 2 6 2 2 3 2" xfId="0"/>
    <cellStyle name="Normal 61 2 6 2 2 3 2 2" xfId="0"/>
    <cellStyle name="Normal 61 2 6 2 2 3 2 2 2" xfId="0"/>
    <cellStyle name="Normal 61 2 6 2 2 3 2 2 2 2" xfId="0"/>
    <cellStyle name="Normal 61 2 6 2 2 3 2 2 2 2 2" xfId="0"/>
    <cellStyle name="Normal 61 2 6 2 2 3 2 2 2 3" xfId="0"/>
    <cellStyle name="Normal 61 2 6 2 2 3 2 2 3" xfId="0"/>
    <cellStyle name="Normal 61 2 6 2 2 3 2 2 3 2" xfId="0"/>
    <cellStyle name="Normal 61 2 6 2 2 3 2 2 3 2 2" xfId="0"/>
    <cellStyle name="Normal 61 2 6 2 2 3 2 2 3 3" xfId="0"/>
    <cellStyle name="Normal 61 2 6 2 2 3 2 2 4" xfId="0"/>
    <cellStyle name="Normal 61 2 6 2 2 3 2 2 4 2" xfId="0"/>
    <cellStyle name="Normal 61 2 6 2 2 3 2 2 5" xfId="0"/>
    <cellStyle name="Normal 61 2 6 2 2 3 2 3" xfId="0"/>
    <cellStyle name="Normal 61 2 6 2 2 3 2 3 2" xfId="0"/>
    <cellStyle name="Normal 61 2 6 2 2 3 2 3 2 2" xfId="0"/>
    <cellStyle name="Normal 61 2 6 2 2 3 2 3 3" xfId="0"/>
    <cellStyle name="Normal 61 2 6 2 2 3 2 4" xfId="0"/>
    <cellStyle name="Normal 61 2 6 2 2 3 2 4 2" xfId="0"/>
    <cellStyle name="Normal 61 2 6 2 2 3 2 4 2 2" xfId="0"/>
    <cellStyle name="Normal 61 2 6 2 2 3 2 4 3" xfId="0"/>
    <cellStyle name="Normal 61 2 6 2 2 3 2 5" xfId="0"/>
    <cellStyle name="Normal 61 2 6 2 2 3 2 5 2" xfId="0"/>
    <cellStyle name="Normal 61 2 6 2 2 3 2 6" xfId="0"/>
    <cellStyle name="Normal 61 2 6 2 2 3 3" xfId="0"/>
    <cellStyle name="Normal 61 2 6 2 2 3 3 2" xfId="0"/>
    <cellStyle name="Normal 61 2 6 2 2 3 3 2 2" xfId="0"/>
    <cellStyle name="Normal 61 2 6 2 2 3 3 2 2 2" xfId="0"/>
    <cellStyle name="Normal 61 2 6 2 2 3 3 2 3" xfId="0"/>
    <cellStyle name="Normal 61 2 6 2 2 3 3 3" xfId="0"/>
    <cellStyle name="Normal 61 2 6 2 2 3 3 3 2" xfId="0"/>
    <cellStyle name="Normal 61 2 6 2 2 3 3 3 2 2" xfId="0"/>
    <cellStyle name="Normal 61 2 6 2 2 3 3 3 3" xfId="0"/>
    <cellStyle name="Normal 61 2 6 2 2 3 3 4" xfId="0"/>
    <cellStyle name="Normal 61 2 6 2 2 3 3 4 2" xfId="0"/>
    <cellStyle name="Normal 61 2 6 2 2 3 3 5" xfId="0"/>
    <cellStyle name="Normal 61 2 6 2 2 3 4" xfId="0"/>
    <cellStyle name="Normal 61 2 6 2 2 3 4 2" xfId="0"/>
    <cellStyle name="Normal 61 2 6 2 2 3 4 2 2" xfId="0"/>
    <cellStyle name="Normal 61 2 6 2 2 3 4 3" xfId="0"/>
    <cellStyle name="Normal 61 2 6 2 2 3 5" xfId="0"/>
    <cellStyle name="Normal 61 2 6 2 2 3 5 2" xfId="0"/>
    <cellStyle name="Normal 61 2 6 2 2 3 5 2 2" xfId="0"/>
    <cellStyle name="Normal 61 2 6 2 2 3 5 3" xfId="0"/>
    <cellStyle name="Normal 61 2 6 2 2 3 6" xfId="0"/>
    <cellStyle name="Normal 61 2 6 2 2 3 6 2" xfId="0"/>
    <cellStyle name="Normal 61 2 6 2 2 3 7" xfId="0"/>
    <cellStyle name="Normal 61 2 6 2 2 4" xfId="0"/>
    <cellStyle name="Normal 61 2 6 2 2 4 2" xfId="0"/>
    <cellStyle name="Normal 61 2 6 2 2 4 2 2" xfId="0"/>
    <cellStyle name="Normal 61 2 6 2 2 4 2 2 2" xfId="0"/>
    <cellStyle name="Normal 61 2 6 2 2 4 2 2 2 2" xfId="0"/>
    <cellStyle name="Normal 61 2 6 2 2 4 2 2 3" xfId="0"/>
    <cellStyle name="Normal 61 2 6 2 2 4 2 3" xfId="0"/>
    <cellStyle name="Normal 61 2 6 2 2 4 2 3 2" xfId="0"/>
    <cellStyle name="Normal 61 2 6 2 2 4 2 3 2 2" xfId="0"/>
    <cellStyle name="Normal 61 2 6 2 2 4 2 3 3" xfId="0"/>
    <cellStyle name="Normal 61 2 6 2 2 4 2 4" xfId="0"/>
    <cellStyle name="Normal 61 2 6 2 2 4 2 4 2" xfId="0"/>
    <cellStyle name="Normal 61 2 6 2 2 4 2 5" xfId="0"/>
    <cellStyle name="Normal 61 2 6 2 2 4 3" xfId="0"/>
    <cellStyle name="Normal 61 2 6 2 2 4 3 2" xfId="0"/>
    <cellStyle name="Normal 61 2 6 2 2 4 3 2 2" xfId="0"/>
    <cellStyle name="Normal 61 2 6 2 2 4 3 3" xfId="0"/>
    <cellStyle name="Normal 61 2 6 2 2 4 4" xfId="0"/>
    <cellStyle name="Normal 61 2 6 2 2 4 4 2" xfId="0"/>
    <cellStyle name="Normal 61 2 6 2 2 4 4 2 2" xfId="0"/>
    <cellStyle name="Normal 61 2 6 2 2 4 4 3" xfId="0"/>
    <cellStyle name="Normal 61 2 6 2 2 4 5" xfId="0"/>
    <cellStyle name="Normal 61 2 6 2 2 4 5 2" xfId="0"/>
    <cellStyle name="Normal 61 2 6 2 2 4 6" xfId="0"/>
    <cellStyle name="Normal 61 2 6 2 2 5" xfId="0"/>
    <cellStyle name="Normal 61 2 6 2 2 5 2" xfId="0"/>
    <cellStyle name="Normal 61 2 6 2 2 5 2 2" xfId="0"/>
    <cellStyle name="Normal 61 2 6 2 2 5 2 2 2" xfId="0"/>
    <cellStyle name="Normal 61 2 6 2 2 5 2 3" xfId="0"/>
    <cellStyle name="Normal 61 2 6 2 2 5 3" xfId="0"/>
    <cellStyle name="Normal 61 2 6 2 2 5 3 2" xfId="0"/>
    <cellStyle name="Normal 61 2 6 2 2 5 3 2 2" xfId="0"/>
    <cellStyle name="Normal 61 2 6 2 2 5 3 3" xfId="0"/>
    <cellStyle name="Normal 61 2 6 2 2 5 4" xfId="0"/>
    <cellStyle name="Normal 61 2 6 2 2 5 4 2" xfId="0"/>
    <cellStyle name="Normal 61 2 6 2 2 5 5" xfId="0"/>
    <cellStyle name="Normal 61 2 6 2 2 6" xfId="0"/>
    <cellStyle name="Normal 61 2 6 2 2 6 2" xfId="0"/>
    <cellStyle name="Normal 61 2 6 2 2 6 2 2" xfId="0"/>
    <cellStyle name="Normal 61 2 6 2 2 6 3" xfId="0"/>
    <cellStyle name="Normal 61 2 6 2 2 7" xfId="0"/>
    <cellStyle name="Normal 61 2 6 2 2 7 2" xfId="0"/>
    <cellStyle name="Normal 61 2 6 2 2 7 2 2" xfId="0"/>
    <cellStyle name="Normal 61 2 6 2 2 7 3" xfId="0"/>
    <cellStyle name="Normal 61 2 6 2 2 8" xfId="0"/>
    <cellStyle name="Normal 61 2 6 2 2 8 2" xfId="0"/>
    <cellStyle name="Normal 61 2 6 2 2 9" xfId="0"/>
    <cellStyle name="Normal 61 2 6 2 3" xfId="0"/>
    <cellStyle name="Normal 61 2 6 2 3 2" xfId="0"/>
    <cellStyle name="Normal 61 2 6 2 3 2 2" xfId="0"/>
    <cellStyle name="Normal 61 2 6 2 3 2 2 2" xfId="0"/>
    <cellStyle name="Normal 61 2 6 2 3 2 2 2 2" xfId="0"/>
    <cellStyle name="Normal 61 2 6 2 3 2 2 2 2 2" xfId="0"/>
    <cellStyle name="Normal 61 2 6 2 3 2 2 2 2 2 2" xfId="0"/>
    <cellStyle name="Normal 61 2 6 2 3 2 2 2 2 3" xfId="0"/>
    <cellStyle name="Normal 61 2 6 2 3 2 2 2 3" xfId="0"/>
    <cellStyle name="Normal 61 2 6 2 3 2 2 2 3 2" xfId="0"/>
    <cellStyle name="Normal 61 2 6 2 3 2 2 2 3 2 2" xfId="0"/>
    <cellStyle name="Normal 61 2 6 2 3 2 2 2 3 3" xfId="0"/>
    <cellStyle name="Normal 61 2 6 2 3 2 2 2 4" xfId="0"/>
    <cellStyle name="Normal 61 2 6 2 3 2 2 2 4 2" xfId="0"/>
    <cellStyle name="Normal 61 2 6 2 3 2 2 2 5" xfId="0"/>
    <cellStyle name="Normal 61 2 6 2 3 2 2 3" xfId="0"/>
    <cellStyle name="Normal 61 2 6 2 3 2 2 3 2" xfId="0"/>
    <cellStyle name="Normal 61 2 6 2 3 2 2 3 2 2" xfId="0"/>
    <cellStyle name="Normal 61 2 6 2 3 2 2 3 3" xfId="0"/>
    <cellStyle name="Normal 61 2 6 2 3 2 2 4" xfId="0"/>
    <cellStyle name="Normal 61 2 6 2 3 2 2 4 2" xfId="0"/>
    <cellStyle name="Normal 61 2 6 2 3 2 2 4 2 2" xfId="0"/>
    <cellStyle name="Normal 61 2 6 2 3 2 2 4 3" xfId="0"/>
    <cellStyle name="Normal 61 2 6 2 3 2 2 5" xfId="0"/>
    <cellStyle name="Normal 61 2 6 2 3 2 2 5 2" xfId="0"/>
    <cellStyle name="Normal 61 2 6 2 3 2 2 6" xfId="0"/>
    <cellStyle name="Normal 61 2 6 2 3 2 3" xfId="0"/>
    <cellStyle name="Normal 61 2 6 2 3 2 3 2" xfId="0"/>
    <cellStyle name="Normal 61 2 6 2 3 2 3 2 2" xfId="0"/>
    <cellStyle name="Normal 61 2 6 2 3 2 3 2 2 2" xfId="0"/>
    <cellStyle name="Normal 61 2 6 2 3 2 3 2 3" xfId="0"/>
    <cellStyle name="Normal 61 2 6 2 3 2 3 3" xfId="0"/>
    <cellStyle name="Normal 61 2 6 2 3 2 3 3 2" xfId="0"/>
    <cellStyle name="Normal 61 2 6 2 3 2 3 3 2 2" xfId="0"/>
    <cellStyle name="Normal 61 2 6 2 3 2 3 3 3" xfId="0"/>
    <cellStyle name="Normal 61 2 6 2 3 2 3 4" xfId="0"/>
    <cellStyle name="Normal 61 2 6 2 3 2 3 4 2" xfId="0"/>
    <cellStyle name="Normal 61 2 6 2 3 2 3 5" xfId="0"/>
    <cellStyle name="Normal 61 2 6 2 3 2 4" xfId="0"/>
    <cellStyle name="Normal 61 2 6 2 3 2 4 2" xfId="0"/>
    <cellStyle name="Normal 61 2 6 2 3 2 4 2 2" xfId="0"/>
    <cellStyle name="Normal 61 2 6 2 3 2 4 3" xfId="0"/>
    <cellStyle name="Normal 61 2 6 2 3 2 5" xfId="0"/>
    <cellStyle name="Normal 61 2 6 2 3 2 5 2" xfId="0"/>
    <cellStyle name="Normal 61 2 6 2 3 2 5 2 2" xfId="0"/>
    <cellStyle name="Normal 61 2 6 2 3 2 5 3" xfId="0"/>
    <cellStyle name="Normal 61 2 6 2 3 2 6" xfId="0"/>
    <cellStyle name="Normal 61 2 6 2 3 2 6 2" xfId="0"/>
    <cellStyle name="Normal 61 2 6 2 3 2 7" xfId="0"/>
    <cellStyle name="Normal 61 2 6 2 3 3" xfId="0"/>
    <cellStyle name="Normal 61 2 6 2 3 3 2" xfId="0"/>
    <cellStyle name="Normal 61 2 6 2 3 3 2 2" xfId="0"/>
    <cellStyle name="Normal 61 2 6 2 3 3 2 2 2" xfId="0"/>
    <cellStyle name="Normal 61 2 6 2 3 3 2 2 2 2" xfId="0"/>
    <cellStyle name="Normal 61 2 6 2 3 3 2 2 3" xfId="0"/>
    <cellStyle name="Normal 61 2 6 2 3 3 2 3" xfId="0"/>
    <cellStyle name="Normal 61 2 6 2 3 3 2 3 2" xfId="0"/>
    <cellStyle name="Normal 61 2 6 2 3 3 2 3 2 2" xfId="0"/>
    <cellStyle name="Normal 61 2 6 2 3 3 2 3 3" xfId="0"/>
    <cellStyle name="Normal 61 2 6 2 3 3 2 4" xfId="0"/>
    <cellStyle name="Normal 61 2 6 2 3 3 2 4 2" xfId="0"/>
    <cellStyle name="Normal 61 2 6 2 3 3 2 5" xfId="0"/>
    <cellStyle name="Normal 61 2 6 2 3 3 3" xfId="0"/>
    <cellStyle name="Normal 61 2 6 2 3 3 3 2" xfId="0"/>
    <cellStyle name="Normal 61 2 6 2 3 3 3 2 2" xfId="0"/>
    <cellStyle name="Normal 61 2 6 2 3 3 3 3" xfId="0"/>
    <cellStyle name="Normal 61 2 6 2 3 3 4" xfId="0"/>
    <cellStyle name="Normal 61 2 6 2 3 3 4 2" xfId="0"/>
    <cellStyle name="Normal 61 2 6 2 3 3 4 2 2" xfId="0"/>
    <cellStyle name="Normal 61 2 6 2 3 3 4 3" xfId="0"/>
    <cellStyle name="Normal 61 2 6 2 3 3 5" xfId="0"/>
    <cellStyle name="Normal 61 2 6 2 3 3 5 2" xfId="0"/>
    <cellStyle name="Normal 61 2 6 2 3 3 6" xfId="0"/>
    <cellStyle name="Normal 61 2 6 2 3 4" xfId="0"/>
    <cellStyle name="Normal 61 2 6 2 3 4 2" xfId="0"/>
    <cellStyle name="Normal 61 2 6 2 3 4 2 2" xfId="0"/>
    <cellStyle name="Normal 61 2 6 2 3 4 2 2 2" xfId="0"/>
    <cellStyle name="Normal 61 2 6 2 3 4 2 3" xfId="0"/>
    <cellStyle name="Normal 61 2 6 2 3 4 3" xfId="0"/>
    <cellStyle name="Normal 61 2 6 2 3 4 3 2" xfId="0"/>
    <cellStyle name="Normal 61 2 6 2 3 4 3 2 2" xfId="0"/>
    <cellStyle name="Normal 61 2 6 2 3 4 3 3" xfId="0"/>
    <cellStyle name="Normal 61 2 6 2 3 4 4" xfId="0"/>
    <cellStyle name="Normal 61 2 6 2 3 4 4 2" xfId="0"/>
    <cellStyle name="Normal 61 2 6 2 3 4 5" xfId="0"/>
    <cellStyle name="Normal 61 2 6 2 3 5" xfId="0"/>
    <cellStyle name="Normal 61 2 6 2 3 5 2" xfId="0"/>
    <cellStyle name="Normal 61 2 6 2 3 5 2 2" xfId="0"/>
    <cellStyle name="Normal 61 2 6 2 3 5 3" xfId="0"/>
    <cellStyle name="Normal 61 2 6 2 3 6" xfId="0"/>
    <cellStyle name="Normal 61 2 6 2 3 6 2" xfId="0"/>
    <cellStyle name="Normal 61 2 6 2 3 6 2 2" xfId="0"/>
    <cellStyle name="Normal 61 2 6 2 3 6 3" xfId="0"/>
    <cellStyle name="Normal 61 2 6 2 3 7" xfId="0"/>
    <cellStyle name="Normal 61 2 6 2 3 7 2" xfId="0"/>
    <cellStyle name="Normal 61 2 6 2 3 8" xfId="0"/>
    <cellStyle name="Normal 61 2 6 2 4" xfId="0"/>
    <cellStyle name="Normal 61 2 6 2 4 2" xfId="0"/>
    <cellStyle name="Normal 61 2 6 2 4 2 2" xfId="0"/>
    <cellStyle name="Normal 61 2 6 2 4 2 2 2" xfId="0"/>
    <cellStyle name="Normal 61 2 6 2 4 2 2 2 2" xfId="0"/>
    <cellStyle name="Normal 61 2 6 2 4 2 2 2 2 2" xfId="0"/>
    <cellStyle name="Normal 61 2 6 2 4 2 2 2 3" xfId="0"/>
    <cellStyle name="Normal 61 2 6 2 4 2 2 3" xfId="0"/>
    <cellStyle name="Normal 61 2 6 2 4 2 2 3 2" xfId="0"/>
    <cellStyle name="Normal 61 2 6 2 4 2 2 3 2 2" xfId="0"/>
    <cellStyle name="Normal 61 2 6 2 4 2 2 3 3" xfId="0"/>
    <cellStyle name="Normal 61 2 6 2 4 2 2 4" xfId="0"/>
    <cellStyle name="Normal 61 2 6 2 4 2 2 4 2" xfId="0"/>
    <cellStyle name="Normal 61 2 6 2 4 2 2 5" xfId="0"/>
    <cellStyle name="Normal 61 2 6 2 4 2 3" xfId="0"/>
    <cellStyle name="Normal 61 2 6 2 4 2 3 2" xfId="0"/>
    <cellStyle name="Normal 61 2 6 2 4 2 3 2 2" xfId="0"/>
    <cellStyle name="Normal 61 2 6 2 4 2 3 3" xfId="0"/>
    <cellStyle name="Normal 61 2 6 2 4 2 4" xfId="0"/>
    <cellStyle name="Normal 61 2 6 2 4 2 4 2" xfId="0"/>
    <cellStyle name="Normal 61 2 6 2 4 2 4 2 2" xfId="0"/>
    <cellStyle name="Normal 61 2 6 2 4 2 4 3" xfId="0"/>
    <cellStyle name="Normal 61 2 6 2 4 2 5" xfId="0"/>
    <cellStyle name="Normal 61 2 6 2 4 2 5 2" xfId="0"/>
    <cellStyle name="Normal 61 2 6 2 4 2 6" xfId="0"/>
    <cellStyle name="Normal 61 2 6 2 4 3" xfId="0"/>
    <cellStyle name="Normal 61 2 6 2 4 3 2" xfId="0"/>
    <cellStyle name="Normal 61 2 6 2 4 3 2 2" xfId="0"/>
    <cellStyle name="Normal 61 2 6 2 4 3 2 2 2" xfId="0"/>
    <cellStyle name="Normal 61 2 6 2 4 3 2 3" xfId="0"/>
    <cellStyle name="Normal 61 2 6 2 4 3 3" xfId="0"/>
    <cellStyle name="Normal 61 2 6 2 4 3 3 2" xfId="0"/>
    <cellStyle name="Normal 61 2 6 2 4 3 3 2 2" xfId="0"/>
    <cellStyle name="Normal 61 2 6 2 4 3 3 3" xfId="0"/>
    <cellStyle name="Normal 61 2 6 2 4 3 4" xfId="0"/>
    <cellStyle name="Normal 61 2 6 2 4 3 4 2" xfId="0"/>
    <cellStyle name="Normal 61 2 6 2 4 3 5" xfId="0"/>
    <cellStyle name="Normal 61 2 6 2 4 4" xfId="0"/>
    <cellStyle name="Normal 61 2 6 2 4 4 2" xfId="0"/>
    <cellStyle name="Normal 61 2 6 2 4 4 2 2" xfId="0"/>
    <cellStyle name="Normal 61 2 6 2 4 4 3" xfId="0"/>
    <cellStyle name="Normal 61 2 6 2 4 5" xfId="0"/>
    <cellStyle name="Normal 61 2 6 2 4 5 2" xfId="0"/>
    <cellStyle name="Normal 61 2 6 2 4 5 2 2" xfId="0"/>
    <cellStyle name="Normal 61 2 6 2 4 5 3" xfId="0"/>
    <cellStyle name="Normal 61 2 6 2 4 6" xfId="0"/>
    <cellStyle name="Normal 61 2 6 2 4 6 2" xfId="0"/>
    <cellStyle name="Normal 61 2 6 2 4 7" xfId="0"/>
    <cellStyle name="Normal 61 2 6 2 5" xfId="0"/>
    <cellStyle name="Normal 61 2 6 2 5 2" xfId="0"/>
    <cellStyle name="Normal 61 2 6 2 5 2 2" xfId="0"/>
    <cellStyle name="Normal 61 2 6 2 5 2 2 2" xfId="0"/>
    <cellStyle name="Normal 61 2 6 2 5 2 2 2 2" xfId="0"/>
    <cellStyle name="Normal 61 2 6 2 5 2 2 3" xfId="0"/>
    <cellStyle name="Normal 61 2 6 2 5 2 3" xfId="0"/>
    <cellStyle name="Normal 61 2 6 2 5 2 3 2" xfId="0"/>
    <cellStyle name="Normal 61 2 6 2 5 2 3 2 2" xfId="0"/>
    <cellStyle name="Normal 61 2 6 2 5 2 3 3" xfId="0"/>
    <cellStyle name="Normal 61 2 6 2 5 2 4" xfId="0"/>
    <cellStyle name="Normal 61 2 6 2 5 2 4 2" xfId="0"/>
    <cellStyle name="Normal 61 2 6 2 5 2 5" xfId="0"/>
    <cellStyle name="Normal 61 2 6 2 5 3" xfId="0"/>
    <cellStyle name="Normal 61 2 6 2 5 3 2" xfId="0"/>
    <cellStyle name="Normal 61 2 6 2 5 3 2 2" xfId="0"/>
    <cellStyle name="Normal 61 2 6 2 5 3 3" xfId="0"/>
    <cellStyle name="Normal 61 2 6 2 5 4" xfId="0"/>
    <cellStyle name="Normal 61 2 6 2 5 4 2" xfId="0"/>
    <cellStyle name="Normal 61 2 6 2 5 4 2 2" xfId="0"/>
    <cellStyle name="Normal 61 2 6 2 5 4 3" xfId="0"/>
    <cellStyle name="Normal 61 2 6 2 5 5" xfId="0"/>
    <cellStyle name="Normal 61 2 6 2 5 5 2" xfId="0"/>
    <cellStyle name="Normal 61 2 6 2 5 6" xfId="0"/>
    <cellStyle name="Normal 61 2 6 2 6" xfId="0"/>
    <cellStyle name="Normal 61 2 6 2 6 2" xfId="0"/>
    <cellStyle name="Normal 61 2 6 2 6 2 2" xfId="0"/>
    <cellStyle name="Normal 61 2 6 2 6 2 2 2" xfId="0"/>
    <cellStyle name="Normal 61 2 6 2 6 2 3" xfId="0"/>
    <cellStyle name="Normal 61 2 6 2 6 3" xfId="0"/>
    <cellStyle name="Normal 61 2 6 2 6 3 2" xfId="0"/>
    <cellStyle name="Normal 61 2 6 2 6 3 2 2" xfId="0"/>
    <cellStyle name="Normal 61 2 6 2 6 3 3" xfId="0"/>
    <cellStyle name="Normal 61 2 6 2 6 4" xfId="0"/>
    <cellStyle name="Normal 61 2 6 2 6 4 2" xfId="0"/>
    <cellStyle name="Normal 61 2 6 2 6 5" xfId="0"/>
    <cellStyle name="Normal 61 2 6 2 7" xfId="0"/>
    <cellStyle name="Normal 61 2 6 2 7 2" xfId="0"/>
    <cellStyle name="Normal 61 2 6 2 7 2 2" xfId="0"/>
    <cellStyle name="Normal 61 2 6 2 7 3" xfId="0"/>
    <cellStyle name="Normal 61 2 6 2 8" xfId="0"/>
    <cellStyle name="Normal 61 2 6 2 8 2" xfId="0"/>
    <cellStyle name="Normal 61 2 6 2 8 2 2" xfId="0"/>
    <cellStyle name="Normal 61 2 6 2 8 3" xfId="0"/>
    <cellStyle name="Normal 61 2 6 2 9" xfId="0"/>
    <cellStyle name="Normal 61 2 6 2 9 2" xfId="0"/>
    <cellStyle name="Normal 61 2 6 3" xfId="0"/>
    <cellStyle name="Normal 61 2 6 3 10" xfId="0"/>
    <cellStyle name="Normal 61 2 6 3 2" xfId="0"/>
    <cellStyle name="Normal 61 2 6 3 2 2" xfId="0"/>
    <cellStyle name="Normal 61 2 6 3 2 2 2" xfId="0"/>
    <cellStyle name="Normal 61 2 6 3 2 2 2 2" xfId="0"/>
    <cellStyle name="Normal 61 2 6 3 2 2 2 2 2" xfId="0"/>
    <cellStyle name="Normal 61 2 6 3 2 2 2 2 2 2" xfId="0"/>
    <cellStyle name="Normal 61 2 6 3 2 2 2 2 2 2 2" xfId="0"/>
    <cellStyle name="Normal 61 2 6 3 2 2 2 2 2 2 2 2" xfId="0"/>
    <cellStyle name="Normal 61 2 6 3 2 2 2 2 2 2 3" xfId="0"/>
    <cellStyle name="Normal 61 2 6 3 2 2 2 2 2 3" xfId="0"/>
    <cellStyle name="Normal 61 2 6 3 2 2 2 2 2 3 2" xfId="0"/>
    <cellStyle name="Normal 61 2 6 3 2 2 2 2 2 3 2 2" xfId="0"/>
    <cellStyle name="Normal 61 2 6 3 2 2 2 2 2 3 3" xfId="0"/>
    <cellStyle name="Normal 61 2 6 3 2 2 2 2 2 4" xfId="0"/>
    <cellStyle name="Normal 61 2 6 3 2 2 2 2 2 4 2" xfId="0"/>
    <cellStyle name="Normal 61 2 6 3 2 2 2 2 2 5" xfId="0"/>
    <cellStyle name="Normal 61 2 6 3 2 2 2 2 3" xfId="0"/>
    <cellStyle name="Normal 61 2 6 3 2 2 2 2 3 2" xfId="0"/>
    <cellStyle name="Normal 61 2 6 3 2 2 2 2 3 2 2" xfId="0"/>
    <cellStyle name="Normal 61 2 6 3 2 2 2 2 3 3" xfId="0"/>
    <cellStyle name="Normal 61 2 6 3 2 2 2 2 4" xfId="0"/>
    <cellStyle name="Normal 61 2 6 3 2 2 2 2 4 2" xfId="0"/>
    <cellStyle name="Normal 61 2 6 3 2 2 2 2 4 2 2" xfId="0"/>
    <cellStyle name="Normal 61 2 6 3 2 2 2 2 4 3" xfId="0"/>
    <cellStyle name="Normal 61 2 6 3 2 2 2 2 5" xfId="0"/>
    <cellStyle name="Normal 61 2 6 3 2 2 2 2 5 2" xfId="0"/>
    <cellStyle name="Normal 61 2 6 3 2 2 2 2 6" xfId="0"/>
    <cellStyle name="Normal 61 2 6 3 2 2 2 3" xfId="0"/>
    <cellStyle name="Normal 61 2 6 3 2 2 2 3 2" xfId="0"/>
    <cellStyle name="Normal 61 2 6 3 2 2 2 3 2 2" xfId="0"/>
    <cellStyle name="Normal 61 2 6 3 2 2 2 3 2 2 2" xfId="0"/>
    <cellStyle name="Normal 61 2 6 3 2 2 2 3 2 3" xfId="0"/>
    <cellStyle name="Normal 61 2 6 3 2 2 2 3 3" xfId="0"/>
    <cellStyle name="Normal 61 2 6 3 2 2 2 3 3 2" xfId="0"/>
    <cellStyle name="Normal 61 2 6 3 2 2 2 3 3 2 2" xfId="0"/>
    <cellStyle name="Normal 61 2 6 3 2 2 2 3 3 3" xfId="0"/>
    <cellStyle name="Normal 61 2 6 3 2 2 2 3 4" xfId="0"/>
    <cellStyle name="Normal 61 2 6 3 2 2 2 3 4 2" xfId="0"/>
    <cellStyle name="Normal 61 2 6 3 2 2 2 3 5" xfId="0"/>
    <cellStyle name="Normal 61 2 6 3 2 2 2 4" xfId="0"/>
    <cellStyle name="Normal 61 2 6 3 2 2 2 4 2" xfId="0"/>
    <cellStyle name="Normal 61 2 6 3 2 2 2 4 2 2" xfId="0"/>
    <cellStyle name="Normal 61 2 6 3 2 2 2 4 3" xfId="0"/>
    <cellStyle name="Normal 61 2 6 3 2 2 2 5" xfId="0"/>
    <cellStyle name="Normal 61 2 6 3 2 2 2 5 2" xfId="0"/>
    <cellStyle name="Normal 61 2 6 3 2 2 2 5 2 2" xfId="0"/>
    <cellStyle name="Normal 61 2 6 3 2 2 2 5 3" xfId="0"/>
    <cellStyle name="Normal 61 2 6 3 2 2 2 6" xfId="0"/>
    <cellStyle name="Normal 61 2 6 3 2 2 2 6 2" xfId="0"/>
    <cellStyle name="Normal 61 2 6 3 2 2 2 7" xfId="0"/>
    <cellStyle name="Normal 61 2 6 3 2 2 3" xfId="0"/>
    <cellStyle name="Normal 61 2 6 3 2 2 3 2" xfId="0"/>
    <cellStyle name="Normal 61 2 6 3 2 2 3 2 2" xfId="0"/>
    <cellStyle name="Normal 61 2 6 3 2 2 3 2 2 2" xfId="0"/>
    <cellStyle name="Normal 61 2 6 3 2 2 3 2 2 2 2" xfId="0"/>
    <cellStyle name="Normal 61 2 6 3 2 2 3 2 2 3" xfId="0"/>
    <cellStyle name="Normal 61 2 6 3 2 2 3 2 3" xfId="0"/>
    <cellStyle name="Normal 61 2 6 3 2 2 3 2 3 2" xfId="0"/>
    <cellStyle name="Normal 61 2 6 3 2 2 3 2 3 2 2" xfId="0"/>
    <cellStyle name="Normal 61 2 6 3 2 2 3 2 3 3" xfId="0"/>
    <cellStyle name="Normal 61 2 6 3 2 2 3 2 4" xfId="0"/>
    <cellStyle name="Normal 61 2 6 3 2 2 3 2 4 2" xfId="0"/>
    <cellStyle name="Normal 61 2 6 3 2 2 3 2 5" xfId="0"/>
    <cellStyle name="Normal 61 2 6 3 2 2 3 3" xfId="0"/>
    <cellStyle name="Normal 61 2 6 3 2 2 3 3 2" xfId="0"/>
    <cellStyle name="Normal 61 2 6 3 2 2 3 3 2 2" xfId="0"/>
    <cellStyle name="Normal 61 2 6 3 2 2 3 3 3" xfId="0"/>
    <cellStyle name="Normal 61 2 6 3 2 2 3 4" xfId="0"/>
    <cellStyle name="Normal 61 2 6 3 2 2 3 4 2" xfId="0"/>
    <cellStyle name="Normal 61 2 6 3 2 2 3 4 2 2" xfId="0"/>
    <cellStyle name="Normal 61 2 6 3 2 2 3 4 3" xfId="0"/>
    <cellStyle name="Normal 61 2 6 3 2 2 3 5" xfId="0"/>
    <cellStyle name="Normal 61 2 6 3 2 2 3 5 2" xfId="0"/>
    <cellStyle name="Normal 61 2 6 3 2 2 3 6" xfId="0"/>
    <cellStyle name="Normal 61 2 6 3 2 2 4" xfId="0"/>
    <cellStyle name="Normal 61 2 6 3 2 2 4 2" xfId="0"/>
    <cellStyle name="Normal 61 2 6 3 2 2 4 2 2" xfId="0"/>
    <cellStyle name="Normal 61 2 6 3 2 2 4 2 2 2" xfId="0"/>
    <cellStyle name="Normal 61 2 6 3 2 2 4 2 3" xfId="0"/>
    <cellStyle name="Normal 61 2 6 3 2 2 4 3" xfId="0"/>
    <cellStyle name="Normal 61 2 6 3 2 2 4 3 2" xfId="0"/>
    <cellStyle name="Normal 61 2 6 3 2 2 4 3 2 2" xfId="0"/>
    <cellStyle name="Normal 61 2 6 3 2 2 4 3 3" xfId="0"/>
    <cellStyle name="Normal 61 2 6 3 2 2 4 4" xfId="0"/>
    <cellStyle name="Normal 61 2 6 3 2 2 4 4 2" xfId="0"/>
    <cellStyle name="Normal 61 2 6 3 2 2 4 5" xfId="0"/>
    <cellStyle name="Normal 61 2 6 3 2 2 5" xfId="0"/>
    <cellStyle name="Normal 61 2 6 3 2 2 5 2" xfId="0"/>
    <cellStyle name="Normal 61 2 6 3 2 2 5 2 2" xfId="0"/>
    <cellStyle name="Normal 61 2 6 3 2 2 5 3" xfId="0"/>
    <cellStyle name="Normal 61 2 6 3 2 2 6" xfId="0"/>
    <cellStyle name="Normal 61 2 6 3 2 2 6 2" xfId="0"/>
    <cellStyle name="Normal 61 2 6 3 2 2 6 2 2" xfId="0"/>
    <cellStyle name="Normal 61 2 6 3 2 2 6 3" xfId="0"/>
    <cellStyle name="Normal 61 2 6 3 2 2 7" xfId="0"/>
    <cellStyle name="Normal 61 2 6 3 2 2 7 2" xfId="0"/>
    <cellStyle name="Normal 61 2 6 3 2 2 8" xfId="0"/>
    <cellStyle name="Normal 61 2 6 3 2 3" xfId="0"/>
    <cellStyle name="Normal 61 2 6 3 2 3 2" xfId="0"/>
    <cellStyle name="Normal 61 2 6 3 2 3 2 2" xfId="0"/>
    <cellStyle name="Normal 61 2 6 3 2 3 2 2 2" xfId="0"/>
    <cellStyle name="Normal 61 2 6 3 2 3 2 2 2 2" xfId="0"/>
    <cellStyle name="Normal 61 2 6 3 2 3 2 2 2 2 2" xfId="0"/>
    <cellStyle name="Normal 61 2 6 3 2 3 2 2 2 3" xfId="0"/>
    <cellStyle name="Normal 61 2 6 3 2 3 2 2 3" xfId="0"/>
    <cellStyle name="Normal 61 2 6 3 2 3 2 2 3 2" xfId="0"/>
    <cellStyle name="Normal 61 2 6 3 2 3 2 2 3 2 2" xfId="0"/>
    <cellStyle name="Normal 61 2 6 3 2 3 2 2 3 3" xfId="0"/>
    <cellStyle name="Normal 61 2 6 3 2 3 2 2 4" xfId="0"/>
    <cellStyle name="Normal 61 2 6 3 2 3 2 2 4 2" xfId="0"/>
    <cellStyle name="Normal 61 2 6 3 2 3 2 2 5" xfId="0"/>
    <cellStyle name="Normal 61 2 6 3 2 3 2 3" xfId="0"/>
    <cellStyle name="Normal 61 2 6 3 2 3 2 3 2" xfId="0"/>
    <cellStyle name="Normal 61 2 6 3 2 3 2 3 2 2" xfId="0"/>
    <cellStyle name="Normal 61 2 6 3 2 3 2 3 3" xfId="0"/>
    <cellStyle name="Normal 61 2 6 3 2 3 2 4" xfId="0"/>
    <cellStyle name="Normal 61 2 6 3 2 3 2 4 2" xfId="0"/>
    <cellStyle name="Normal 61 2 6 3 2 3 2 4 2 2" xfId="0"/>
    <cellStyle name="Normal 61 2 6 3 2 3 2 4 3" xfId="0"/>
    <cellStyle name="Normal 61 2 6 3 2 3 2 5" xfId="0"/>
    <cellStyle name="Normal 61 2 6 3 2 3 2 5 2" xfId="0"/>
    <cellStyle name="Normal 61 2 6 3 2 3 2 6" xfId="0"/>
    <cellStyle name="Normal 61 2 6 3 2 3 3" xfId="0"/>
    <cellStyle name="Normal 61 2 6 3 2 3 3 2" xfId="0"/>
    <cellStyle name="Normal 61 2 6 3 2 3 3 2 2" xfId="0"/>
    <cellStyle name="Normal 61 2 6 3 2 3 3 2 2 2" xfId="0"/>
    <cellStyle name="Normal 61 2 6 3 2 3 3 2 3" xfId="0"/>
    <cellStyle name="Normal 61 2 6 3 2 3 3 3" xfId="0"/>
    <cellStyle name="Normal 61 2 6 3 2 3 3 3 2" xfId="0"/>
    <cellStyle name="Normal 61 2 6 3 2 3 3 3 2 2" xfId="0"/>
    <cellStyle name="Normal 61 2 6 3 2 3 3 3 3" xfId="0"/>
    <cellStyle name="Normal 61 2 6 3 2 3 3 4" xfId="0"/>
    <cellStyle name="Normal 61 2 6 3 2 3 3 4 2" xfId="0"/>
    <cellStyle name="Normal 61 2 6 3 2 3 3 5" xfId="0"/>
    <cellStyle name="Normal 61 2 6 3 2 3 4" xfId="0"/>
    <cellStyle name="Normal 61 2 6 3 2 3 4 2" xfId="0"/>
    <cellStyle name="Normal 61 2 6 3 2 3 4 2 2" xfId="0"/>
    <cellStyle name="Normal 61 2 6 3 2 3 4 3" xfId="0"/>
    <cellStyle name="Normal 61 2 6 3 2 3 5" xfId="0"/>
    <cellStyle name="Normal 61 2 6 3 2 3 5 2" xfId="0"/>
    <cellStyle name="Normal 61 2 6 3 2 3 5 2 2" xfId="0"/>
    <cellStyle name="Normal 61 2 6 3 2 3 5 3" xfId="0"/>
    <cellStyle name="Normal 61 2 6 3 2 3 6" xfId="0"/>
    <cellStyle name="Normal 61 2 6 3 2 3 6 2" xfId="0"/>
    <cellStyle name="Normal 61 2 6 3 2 3 7" xfId="0"/>
    <cellStyle name="Normal 61 2 6 3 2 4" xfId="0"/>
    <cellStyle name="Normal 61 2 6 3 2 4 2" xfId="0"/>
    <cellStyle name="Normal 61 2 6 3 2 4 2 2" xfId="0"/>
    <cellStyle name="Normal 61 2 6 3 2 4 2 2 2" xfId="0"/>
    <cellStyle name="Normal 61 2 6 3 2 4 2 2 2 2" xfId="0"/>
    <cellStyle name="Normal 61 2 6 3 2 4 2 2 3" xfId="0"/>
    <cellStyle name="Normal 61 2 6 3 2 4 2 3" xfId="0"/>
    <cellStyle name="Normal 61 2 6 3 2 4 2 3 2" xfId="0"/>
    <cellStyle name="Normal 61 2 6 3 2 4 2 3 2 2" xfId="0"/>
    <cellStyle name="Normal 61 2 6 3 2 4 2 3 3" xfId="0"/>
    <cellStyle name="Normal 61 2 6 3 2 4 2 4" xfId="0"/>
    <cellStyle name="Normal 61 2 6 3 2 4 2 4 2" xfId="0"/>
    <cellStyle name="Normal 61 2 6 3 2 4 2 5" xfId="0"/>
    <cellStyle name="Normal 61 2 6 3 2 4 3" xfId="0"/>
    <cellStyle name="Normal 61 2 6 3 2 4 3 2" xfId="0"/>
    <cellStyle name="Normal 61 2 6 3 2 4 3 2 2" xfId="0"/>
    <cellStyle name="Normal 61 2 6 3 2 4 3 3" xfId="0"/>
    <cellStyle name="Normal 61 2 6 3 2 4 4" xfId="0"/>
    <cellStyle name="Normal 61 2 6 3 2 4 4 2" xfId="0"/>
    <cellStyle name="Normal 61 2 6 3 2 4 4 2 2" xfId="0"/>
    <cellStyle name="Normal 61 2 6 3 2 4 4 3" xfId="0"/>
    <cellStyle name="Normal 61 2 6 3 2 4 5" xfId="0"/>
    <cellStyle name="Normal 61 2 6 3 2 4 5 2" xfId="0"/>
    <cellStyle name="Normal 61 2 6 3 2 4 6" xfId="0"/>
    <cellStyle name="Normal 61 2 6 3 2 5" xfId="0"/>
    <cellStyle name="Normal 61 2 6 3 2 5 2" xfId="0"/>
    <cellStyle name="Normal 61 2 6 3 2 5 2 2" xfId="0"/>
    <cellStyle name="Normal 61 2 6 3 2 5 2 2 2" xfId="0"/>
    <cellStyle name="Normal 61 2 6 3 2 5 2 3" xfId="0"/>
    <cellStyle name="Normal 61 2 6 3 2 5 3" xfId="0"/>
    <cellStyle name="Normal 61 2 6 3 2 5 3 2" xfId="0"/>
    <cellStyle name="Normal 61 2 6 3 2 5 3 2 2" xfId="0"/>
    <cellStyle name="Normal 61 2 6 3 2 5 3 3" xfId="0"/>
    <cellStyle name="Normal 61 2 6 3 2 5 4" xfId="0"/>
    <cellStyle name="Normal 61 2 6 3 2 5 4 2" xfId="0"/>
    <cellStyle name="Normal 61 2 6 3 2 5 5" xfId="0"/>
    <cellStyle name="Normal 61 2 6 3 2 6" xfId="0"/>
    <cellStyle name="Normal 61 2 6 3 2 6 2" xfId="0"/>
    <cellStyle name="Normal 61 2 6 3 2 6 2 2" xfId="0"/>
    <cellStyle name="Normal 61 2 6 3 2 6 3" xfId="0"/>
    <cellStyle name="Normal 61 2 6 3 2 7" xfId="0"/>
    <cellStyle name="Normal 61 2 6 3 2 7 2" xfId="0"/>
    <cellStyle name="Normal 61 2 6 3 2 7 2 2" xfId="0"/>
    <cellStyle name="Normal 61 2 6 3 2 7 3" xfId="0"/>
    <cellStyle name="Normal 61 2 6 3 2 8" xfId="0"/>
    <cellStyle name="Normal 61 2 6 3 2 8 2" xfId="0"/>
    <cellStyle name="Normal 61 2 6 3 2 9" xfId="0"/>
    <cellStyle name="Normal 61 2 6 3 3" xfId="0"/>
    <cellStyle name="Normal 61 2 6 3 3 2" xfId="0"/>
    <cellStyle name="Normal 61 2 6 3 3 2 2" xfId="0"/>
    <cellStyle name="Normal 61 2 6 3 3 2 2 2" xfId="0"/>
    <cellStyle name="Normal 61 2 6 3 3 2 2 2 2" xfId="0"/>
    <cellStyle name="Normal 61 2 6 3 3 2 2 2 2 2" xfId="0"/>
    <cellStyle name="Normal 61 2 6 3 3 2 2 2 2 2 2" xfId="0"/>
    <cellStyle name="Normal 61 2 6 3 3 2 2 2 2 3" xfId="0"/>
    <cellStyle name="Normal 61 2 6 3 3 2 2 2 3" xfId="0"/>
    <cellStyle name="Normal 61 2 6 3 3 2 2 2 3 2" xfId="0"/>
    <cellStyle name="Normal 61 2 6 3 3 2 2 2 3 2 2" xfId="0"/>
    <cellStyle name="Normal 61 2 6 3 3 2 2 2 3 3" xfId="0"/>
    <cellStyle name="Normal 61 2 6 3 3 2 2 2 4" xfId="0"/>
    <cellStyle name="Normal 61 2 6 3 3 2 2 2 4 2" xfId="0"/>
    <cellStyle name="Normal 61 2 6 3 3 2 2 2 5" xfId="0"/>
    <cellStyle name="Normal 61 2 6 3 3 2 2 3" xfId="0"/>
    <cellStyle name="Normal 61 2 6 3 3 2 2 3 2" xfId="0"/>
    <cellStyle name="Normal 61 2 6 3 3 2 2 3 2 2" xfId="0"/>
    <cellStyle name="Normal 61 2 6 3 3 2 2 3 3" xfId="0"/>
    <cellStyle name="Normal 61 2 6 3 3 2 2 4" xfId="0"/>
    <cellStyle name="Normal 61 2 6 3 3 2 2 4 2" xfId="0"/>
    <cellStyle name="Normal 61 2 6 3 3 2 2 4 2 2" xfId="0"/>
    <cellStyle name="Normal 61 2 6 3 3 2 2 4 3" xfId="0"/>
    <cellStyle name="Normal 61 2 6 3 3 2 2 5" xfId="0"/>
    <cellStyle name="Normal 61 2 6 3 3 2 2 5 2" xfId="0"/>
    <cellStyle name="Normal 61 2 6 3 3 2 2 6" xfId="0"/>
    <cellStyle name="Normal 61 2 6 3 3 2 3" xfId="0"/>
    <cellStyle name="Normal 61 2 6 3 3 2 3 2" xfId="0"/>
    <cellStyle name="Normal 61 2 6 3 3 2 3 2 2" xfId="0"/>
    <cellStyle name="Normal 61 2 6 3 3 2 3 2 2 2" xfId="0"/>
    <cellStyle name="Normal 61 2 6 3 3 2 3 2 3" xfId="0"/>
    <cellStyle name="Normal 61 2 6 3 3 2 3 3" xfId="0"/>
    <cellStyle name="Normal 61 2 6 3 3 2 3 3 2" xfId="0"/>
    <cellStyle name="Normal 61 2 6 3 3 2 3 3 2 2" xfId="0"/>
    <cellStyle name="Normal 61 2 6 3 3 2 3 3 3" xfId="0"/>
    <cellStyle name="Normal 61 2 6 3 3 2 3 4" xfId="0"/>
    <cellStyle name="Normal 61 2 6 3 3 2 3 4 2" xfId="0"/>
    <cellStyle name="Normal 61 2 6 3 3 2 3 5" xfId="0"/>
    <cellStyle name="Normal 61 2 6 3 3 2 4" xfId="0"/>
    <cellStyle name="Normal 61 2 6 3 3 2 4 2" xfId="0"/>
    <cellStyle name="Normal 61 2 6 3 3 2 4 2 2" xfId="0"/>
    <cellStyle name="Normal 61 2 6 3 3 2 4 3" xfId="0"/>
    <cellStyle name="Normal 61 2 6 3 3 2 5" xfId="0"/>
    <cellStyle name="Normal 61 2 6 3 3 2 5 2" xfId="0"/>
    <cellStyle name="Normal 61 2 6 3 3 2 5 2 2" xfId="0"/>
    <cellStyle name="Normal 61 2 6 3 3 2 5 3" xfId="0"/>
    <cellStyle name="Normal 61 2 6 3 3 2 6" xfId="0"/>
    <cellStyle name="Normal 61 2 6 3 3 2 6 2" xfId="0"/>
    <cellStyle name="Normal 61 2 6 3 3 2 7" xfId="0"/>
    <cellStyle name="Normal 61 2 6 3 3 3" xfId="0"/>
    <cellStyle name="Normal 61 2 6 3 3 3 2" xfId="0"/>
    <cellStyle name="Normal 61 2 6 3 3 3 2 2" xfId="0"/>
    <cellStyle name="Normal 61 2 6 3 3 3 2 2 2" xfId="0"/>
    <cellStyle name="Normal 61 2 6 3 3 3 2 2 2 2" xfId="0"/>
    <cellStyle name="Normal 61 2 6 3 3 3 2 2 3" xfId="0"/>
    <cellStyle name="Normal 61 2 6 3 3 3 2 3" xfId="0"/>
    <cellStyle name="Normal 61 2 6 3 3 3 2 3 2" xfId="0"/>
    <cellStyle name="Normal 61 2 6 3 3 3 2 3 2 2" xfId="0"/>
    <cellStyle name="Normal 61 2 6 3 3 3 2 3 3" xfId="0"/>
    <cellStyle name="Normal 61 2 6 3 3 3 2 4" xfId="0"/>
    <cellStyle name="Normal 61 2 6 3 3 3 2 4 2" xfId="0"/>
    <cellStyle name="Normal 61 2 6 3 3 3 2 5" xfId="0"/>
    <cellStyle name="Normal 61 2 6 3 3 3 3" xfId="0"/>
    <cellStyle name="Normal 61 2 6 3 3 3 3 2" xfId="0"/>
    <cellStyle name="Normal 61 2 6 3 3 3 3 2 2" xfId="0"/>
    <cellStyle name="Normal 61 2 6 3 3 3 3 3" xfId="0"/>
    <cellStyle name="Normal 61 2 6 3 3 3 4" xfId="0"/>
    <cellStyle name="Normal 61 2 6 3 3 3 4 2" xfId="0"/>
    <cellStyle name="Normal 61 2 6 3 3 3 4 2 2" xfId="0"/>
    <cellStyle name="Normal 61 2 6 3 3 3 4 3" xfId="0"/>
    <cellStyle name="Normal 61 2 6 3 3 3 5" xfId="0"/>
    <cellStyle name="Normal 61 2 6 3 3 3 5 2" xfId="0"/>
    <cellStyle name="Normal 61 2 6 3 3 3 6" xfId="0"/>
    <cellStyle name="Normal 61 2 6 3 3 4" xfId="0"/>
    <cellStyle name="Normal 61 2 6 3 3 4 2" xfId="0"/>
    <cellStyle name="Normal 61 2 6 3 3 4 2 2" xfId="0"/>
    <cellStyle name="Normal 61 2 6 3 3 4 2 2 2" xfId="0"/>
    <cellStyle name="Normal 61 2 6 3 3 4 2 3" xfId="0"/>
    <cellStyle name="Normal 61 2 6 3 3 4 3" xfId="0"/>
    <cellStyle name="Normal 61 2 6 3 3 4 3 2" xfId="0"/>
    <cellStyle name="Normal 61 2 6 3 3 4 3 2 2" xfId="0"/>
    <cellStyle name="Normal 61 2 6 3 3 4 3 3" xfId="0"/>
    <cellStyle name="Normal 61 2 6 3 3 4 4" xfId="0"/>
    <cellStyle name="Normal 61 2 6 3 3 4 4 2" xfId="0"/>
    <cellStyle name="Normal 61 2 6 3 3 4 5" xfId="0"/>
    <cellStyle name="Normal 61 2 6 3 3 5" xfId="0"/>
    <cellStyle name="Normal 61 2 6 3 3 5 2" xfId="0"/>
    <cellStyle name="Normal 61 2 6 3 3 5 2 2" xfId="0"/>
    <cellStyle name="Normal 61 2 6 3 3 5 3" xfId="0"/>
    <cellStyle name="Normal 61 2 6 3 3 6" xfId="0"/>
    <cellStyle name="Normal 61 2 6 3 3 6 2" xfId="0"/>
    <cellStyle name="Normal 61 2 6 3 3 6 2 2" xfId="0"/>
    <cellStyle name="Normal 61 2 6 3 3 6 3" xfId="0"/>
    <cellStyle name="Normal 61 2 6 3 3 7" xfId="0"/>
    <cellStyle name="Normal 61 2 6 3 3 7 2" xfId="0"/>
    <cellStyle name="Normal 61 2 6 3 3 8" xfId="0"/>
    <cellStyle name="Normal 61 2 6 3 4" xfId="0"/>
    <cellStyle name="Normal 61 2 6 3 4 2" xfId="0"/>
    <cellStyle name="Normal 61 2 6 3 4 2 2" xfId="0"/>
    <cellStyle name="Normal 61 2 6 3 4 2 2 2" xfId="0"/>
    <cellStyle name="Normal 61 2 6 3 4 2 2 2 2" xfId="0"/>
    <cellStyle name="Normal 61 2 6 3 4 2 2 2 2 2" xfId="0"/>
    <cellStyle name="Normal 61 2 6 3 4 2 2 2 3" xfId="0"/>
    <cellStyle name="Normal 61 2 6 3 4 2 2 3" xfId="0"/>
    <cellStyle name="Normal 61 2 6 3 4 2 2 3 2" xfId="0"/>
    <cellStyle name="Normal 61 2 6 3 4 2 2 3 2 2" xfId="0"/>
    <cellStyle name="Normal 61 2 6 3 4 2 2 3 3" xfId="0"/>
    <cellStyle name="Normal 61 2 6 3 4 2 2 4" xfId="0"/>
    <cellStyle name="Normal 61 2 6 3 4 2 2 4 2" xfId="0"/>
    <cellStyle name="Normal 61 2 6 3 4 2 2 5" xfId="0"/>
    <cellStyle name="Normal 61 2 6 3 4 2 3" xfId="0"/>
    <cellStyle name="Normal 61 2 6 3 4 2 3 2" xfId="0"/>
    <cellStyle name="Normal 61 2 6 3 4 2 3 2 2" xfId="0"/>
    <cellStyle name="Normal 61 2 6 3 4 2 3 3" xfId="0"/>
    <cellStyle name="Normal 61 2 6 3 4 2 4" xfId="0"/>
    <cellStyle name="Normal 61 2 6 3 4 2 4 2" xfId="0"/>
    <cellStyle name="Normal 61 2 6 3 4 2 4 2 2" xfId="0"/>
    <cellStyle name="Normal 61 2 6 3 4 2 4 3" xfId="0"/>
    <cellStyle name="Normal 61 2 6 3 4 2 5" xfId="0"/>
    <cellStyle name="Normal 61 2 6 3 4 2 5 2" xfId="0"/>
    <cellStyle name="Normal 61 2 6 3 4 2 6" xfId="0"/>
    <cellStyle name="Normal 61 2 6 3 4 3" xfId="0"/>
    <cellStyle name="Normal 61 2 6 3 4 3 2" xfId="0"/>
    <cellStyle name="Normal 61 2 6 3 4 3 2 2" xfId="0"/>
    <cellStyle name="Normal 61 2 6 3 4 3 2 2 2" xfId="0"/>
    <cellStyle name="Normal 61 2 6 3 4 3 2 3" xfId="0"/>
    <cellStyle name="Normal 61 2 6 3 4 3 3" xfId="0"/>
    <cellStyle name="Normal 61 2 6 3 4 3 3 2" xfId="0"/>
    <cellStyle name="Normal 61 2 6 3 4 3 3 2 2" xfId="0"/>
    <cellStyle name="Normal 61 2 6 3 4 3 3 3" xfId="0"/>
    <cellStyle name="Normal 61 2 6 3 4 3 4" xfId="0"/>
    <cellStyle name="Normal 61 2 6 3 4 3 4 2" xfId="0"/>
    <cellStyle name="Normal 61 2 6 3 4 3 5" xfId="0"/>
    <cellStyle name="Normal 61 2 6 3 4 4" xfId="0"/>
    <cellStyle name="Normal 61 2 6 3 4 4 2" xfId="0"/>
    <cellStyle name="Normal 61 2 6 3 4 4 2 2" xfId="0"/>
    <cellStyle name="Normal 61 2 6 3 4 4 3" xfId="0"/>
    <cellStyle name="Normal 61 2 6 3 4 5" xfId="0"/>
    <cellStyle name="Normal 61 2 6 3 4 5 2" xfId="0"/>
    <cellStyle name="Normal 61 2 6 3 4 5 2 2" xfId="0"/>
    <cellStyle name="Normal 61 2 6 3 4 5 3" xfId="0"/>
    <cellStyle name="Normal 61 2 6 3 4 6" xfId="0"/>
    <cellStyle name="Normal 61 2 6 3 4 6 2" xfId="0"/>
    <cellStyle name="Normal 61 2 6 3 4 7" xfId="0"/>
    <cellStyle name="Normal 61 2 6 3 5" xfId="0"/>
    <cellStyle name="Normal 61 2 6 3 5 2" xfId="0"/>
    <cellStyle name="Normal 61 2 6 3 5 2 2" xfId="0"/>
    <cellStyle name="Normal 61 2 6 3 5 2 2 2" xfId="0"/>
    <cellStyle name="Normal 61 2 6 3 5 2 2 2 2" xfId="0"/>
    <cellStyle name="Normal 61 2 6 3 5 2 2 3" xfId="0"/>
    <cellStyle name="Normal 61 2 6 3 5 2 3" xfId="0"/>
    <cellStyle name="Normal 61 2 6 3 5 2 3 2" xfId="0"/>
    <cellStyle name="Normal 61 2 6 3 5 2 3 2 2" xfId="0"/>
    <cellStyle name="Normal 61 2 6 3 5 2 3 3" xfId="0"/>
    <cellStyle name="Normal 61 2 6 3 5 2 4" xfId="0"/>
    <cellStyle name="Normal 61 2 6 3 5 2 4 2" xfId="0"/>
    <cellStyle name="Normal 61 2 6 3 5 2 5" xfId="0"/>
    <cellStyle name="Normal 61 2 6 3 5 3" xfId="0"/>
    <cellStyle name="Normal 61 2 6 3 5 3 2" xfId="0"/>
    <cellStyle name="Normal 61 2 6 3 5 3 2 2" xfId="0"/>
    <cellStyle name="Normal 61 2 6 3 5 3 3" xfId="0"/>
    <cellStyle name="Normal 61 2 6 3 5 4" xfId="0"/>
    <cellStyle name="Normal 61 2 6 3 5 4 2" xfId="0"/>
    <cellStyle name="Normal 61 2 6 3 5 4 2 2" xfId="0"/>
    <cellStyle name="Normal 61 2 6 3 5 4 3" xfId="0"/>
    <cellStyle name="Normal 61 2 6 3 5 5" xfId="0"/>
    <cellStyle name="Normal 61 2 6 3 5 5 2" xfId="0"/>
    <cellStyle name="Normal 61 2 6 3 5 6" xfId="0"/>
    <cellStyle name="Normal 61 2 6 3 6" xfId="0"/>
    <cellStyle name="Normal 61 2 6 3 6 2" xfId="0"/>
    <cellStyle name="Normal 61 2 6 3 6 2 2" xfId="0"/>
    <cellStyle name="Normal 61 2 6 3 6 2 2 2" xfId="0"/>
    <cellStyle name="Normal 61 2 6 3 6 2 3" xfId="0"/>
    <cellStyle name="Normal 61 2 6 3 6 3" xfId="0"/>
    <cellStyle name="Normal 61 2 6 3 6 3 2" xfId="0"/>
    <cellStyle name="Normal 61 2 6 3 6 3 2 2" xfId="0"/>
    <cellStyle name="Normal 61 2 6 3 6 3 3" xfId="0"/>
    <cellStyle name="Normal 61 2 6 3 6 4" xfId="0"/>
    <cellStyle name="Normal 61 2 6 3 6 4 2" xfId="0"/>
    <cellStyle name="Normal 61 2 6 3 6 5" xfId="0"/>
    <cellStyle name="Normal 61 2 6 3 7" xfId="0"/>
    <cellStyle name="Normal 61 2 6 3 7 2" xfId="0"/>
    <cellStyle name="Normal 61 2 6 3 7 2 2" xfId="0"/>
    <cellStyle name="Normal 61 2 6 3 7 3" xfId="0"/>
    <cellStyle name="Normal 61 2 6 3 8" xfId="0"/>
    <cellStyle name="Normal 61 2 6 3 8 2" xfId="0"/>
    <cellStyle name="Normal 61 2 6 3 8 2 2" xfId="0"/>
    <cellStyle name="Normal 61 2 6 3 8 3" xfId="0"/>
    <cellStyle name="Normal 61 2 6 3 9" xfId="0"/>
    <cellStyle name="Normal 61 2 6 3 9 2" xfId="0"/>
    <cellStyle name="Normal 61 2 6 4" xfId="0"/>
    <cellStyle name="Normal 61 2 6 4 2" xfId="0"/>
    <cellStyle name="Normal 61 2 6 4 2 2" xfId="0"/>
    <cellStyle name="Normal 61 2 6 4 2 2 2" xfId="0"/>
    <cellStyle name="Normal 61 2 6 4 2 2 2 2" xfId="0"/>
    <cellStyle name="Normal 61 2 6 4 2 2 2 2 2" xfId="0"/>
    <cellStyle name="Normal 61 2 6 4 2 2 2 2 2 2" xfId="0"/>
    <cellStyle name="Normal 61 2 6 4 2 2 2 2 2 2 2" xfId="0"/>
    <cellStyle name="Normal 61 2 6 4 2 2 2 2 2 3" xfId="0"/>
    <cellStyle name="Normal 61 2 6 4 2 2 2 2 3" xfId="0"/>
    <cellStyle name="Normal 61 2 6 4 2 2 2 2 3 2" xfId="0"/>
    <cellStyle name="Normal 61 2 6 4 2 2 2 2 3 2 2" xfId="0"/>
    <cellStyle name="Normal 61 2 6 4 2 2 2 2 3 3" xfId="0"/>
    <cellStyle name="Normal 61 2 6 4 2 2 2 2 4" xfId="0"/>
    <cellStyle name="Normal 61 2 6 4 2 2 2 2 4 2" xfId="0"/>
    <cellStyle name="Normal 61 2 6 4 2 2 2 2 5" xfId="0"/>
    <cellStyle name="Normal 61 2 6 4 2 2 2 3" xfId="0"/>
    <cellStyle name="Normal 61 2 6 4 2 2 2 3 2" xfId="0"/>
    <cellStyle name="Normal 61 2 6 4 2 2 2 3 2 2" xfId="0"/>
    <cellStyle name="Normal 61 2 6 4 2 2 2 3 3" xfId="0"/>
    <cellStyle name="Normal 61 2 6 4 2 2 2 4" xfId="0"/>
    <cellStyle name="Normal 61 2 6 4 2 2 2 4 2" xfId="0"/>
    <cellStyle name="Normal 61 2 6 4 2 2 2 4 2 2" xfId="0"/>
    <cellStyle name="Normal 61 2 6 4 2 2 2 4 3" xfId="0"/>
    <cellStyle name="Normal 61 2 6 4 2 2 2 5" xfId="0"/>
    <cellStyle name="Normal 61 2 6 4 2 2 2 5 2" xfId="0"/>
    <cellStyle name="Normal 61 2 6 4 2 2 2 6" xfId="0"/>
    <cellStyle name="Normal 61 2 6 4 2 2 3" xfId="0"/>
    <cellStyle name="Normal 61 2 6 4 2 2 3 2" xfId="0"/>
    <cellStyle name="Normal 61 2 6 4 2 2 3 2 2" xfId="0"/>
    <cellStyle name="Normal 61 2 6 4 2 2 3 2 2 2" xfId="0"/>
    <cellStyle name="Normal 61 2 6 4 2 2 3 2 3" xfId="0"/>
    <cellStyle name="Normal 61 2 6 4 2 2 3 3" xfId="0"/>
    <cellStyle name="Normal 61 2 6 4 2 2 3 3 2" xfId="0"/>
    <cellStyle name="Normal 61 2 6 4 2 2 3 3 2 2" xfId="0"/>
    <cellStyle name="Normal 61 2 6 4 2 2 3 3 3" xfId="0"/>
    <cellStyle name="Normal 61 2 6 4 2 2 3 4" xfId="0"/>
    <cellStyle name="Normal 61 2 6 4 2 2 3 4 2" xfId="0"/>
    <cellStyle name="Normal 61 2 6 4 2 2 3 5" xfId="0"/>
    <cellStyle name="Normal 61 2 6 4 2 2 4" xfId="0"/>
    <cellStyle name="Normal 61 2 6 4 2 2 4 2" xfId="0"/>
    <cellStyle name="Normal 61 2 6 4 2 2 4 2 2" xfId="0"/>
    <cellStyle name="Normal 61 2 6 4 2 2 4 3" xfId="0"/>
    <cellStyle name="Normal 61 2 6 4 2 2 5" xfId="0"/>
    <cellStyle name="Normal 61 2 6 4 2 2 5 2" xfId="0"/>
    <cellStyle name="Normal 61 2 6 4 2 2 5 2 2" xfId="0"/>
    <cellStyle name="Normal 61 2 6 4 2 2 5 3" xfId="0"/>
    <cellStyle name="Normal 61 2 6 4 2 2 6" xfId="0"/>
    <cellStyle name="Normal 61 2 6 4 2 2 6 2" xfId="0"/>
    <cellStyle name="Normal 61 2 6 4 2 2 7" xfId="0"/>
    <cellStyle name="Normal 61 2 6 4 2 3" xfId="0"/>
    <cellStyle name="Normal 61 2 6 4 2 3 2" xfId="0"/>
    <cellStyle name="Normal 61 2 6 4 2 3 2 2" xfId="0"/>
    <cellStyle name="Normal 61 2 6 4 2 3 2 2 2" xfId="0"/>
    <cellStyle name="Normal 61 2 6 4 2 3 2 2 2 2" xfId="0"/>
    <cellStyle name="Normal 61 2 6 4 2 3 2 2 3" xfId="0"/>
    <cellStyle name="Normal 61 2 6 4 2 3 2 3" xfId="0"/>
    <cellStyle name="Normal 61 2 6 4 2 3 2 3 2" xfId="0"/>
    <cellStyle name="Normal 61 2 6 4 2 3 2 3 2 2" xfId="0"/>
    <cellStyle name="Normal 61 2 6 4 2 3 2 3 3" xfId="0"/>
    <cellStyle name="Normal 61 2 6 4 2 3 2 4" xfId="0"/>
    <cellStyle name="Normal 61 2 6 4 2 3 2 4 2" xfId="0"/>
    <cellStyle name="Normal 61 2 6 4 2 3 2 5" xfId="0"/>
    <cellStyle name="Normal 61 2 6 4 2 3 3" xfId="0"/>
    <cellStyle name="Normal 61 2 6 4 2 3 3 2" xfId="0"/>
    <cellStyle name="Normal 61 2 6 4 2 3 3 2 2" xfId="0"/>
    <cellStyle name="Normal 61 2 6 4 2 3 3 3" xfId="0"/>
    <cellStyle name="Normal 61 2 6 4 2 3 4" xfId="0"/>
    <cellStyle name="Normal 61 2 6 4 2 3 4 2" xfId="0"/>
    <cellStyle name="Normal 61 2 6 4 2 3 4 2 2" xfId="0"/>
    <cellStyle name="Normal 61 2 6 4 2 3 4 3" xfId="0"/>
    <cellStyle name="Normal 61 2 6 4 2 3 5" xfId="0"/>
    <cellStyle name="Normal 61 2 6 4 2 3 5 2" xfId="0"/>
    <cellStyle name="Normal 61 2 6 4 2 3 6" xfId="0"/>
    <cellStyle name="Normal 61 2 6 4 2 4" xfId="0"/>
    <cellStyle name="Normal 61 2 6 4 2 4 2" xfId="0"/>
    <cellStyle name="Normal 61 2 6 4 2 4 2 2" xfId="0"/>
    <cellStyle name="Normal 61 2 6 4 2 4 2 2 2" xfId="0"/>
    <cellStyle name="Normal 61 2 6 4 2 4 2 3" xfId="0"/>
    <cellStyle name="Normal 61 2 6 4 2 4 3" xfId="0"/>
    <cellStyle name="Normal 61 2 6 4 2 4 3 2" xfId="0"/>
    <cellStyle name="Normal 61 2 6 4 2 4 3 2 2" xfId="0"/>
    <cellStyle name="Normal 61 2 6 4 2 4 3 3" xfId="0"/>
    <cellStyle name="Normal 61 2 6 4 2 4 4" xfId="0"/>
    <cellStyle name="Normal 61 2 6 4 2 4 4 2" xfId="0"/>
    <cellStyle name="Normal 61 2 6 4 2 4 5" xfId="0"/>
    <cellStyle name="Normal 61 2 6 4 2 5" xfId="0"/>
    <cellStyle name="Normal 61 2 6 4 2 5 2" xfId="0"/>
    <cellStyle name="Normal 61 2 6 4 2 5 2 2" xfId="0"/>
    <cellStyle name="Normal 61 2 6 4 2 5 3" xfId="0"/>
    <cellStyle name="Normal 61 2 6 4 2 6" xfId="0"/>
    <cellStyle name="Normal 61 2 6 4 2 6 2" xfId="0"/>
    <cellStyle name="Normal 61 2 6 4 2 6 2 2" xfId="0"/>
    <cellStyle name="Normal 61 2 6 4 2 6 3" xfId="0"/>
    <cellStyle name="Normal 61 2 6 4 2 7" xfId="0"/>
    <cellStyle name="Normal 61 2 6 4 2 7 2" xfId="0"/>
    <cellStyle name="Normal 61 2 6 4 2 8" xfId="0"/>
    <cellStyle name="Normal 61 2 6 4 3" xfId="0"/>
    <cellStyle name="Normal 61 2 6 4 3 2" xfId="0"/>
    <cellStyle name="Normal 61 2 6 4 3 2 2" xfId="0"/>
    <cellStyle name="Normal 61 2 6 4 3 2 2 2" xfId="0"/>
    <cellStyle name="Normal 61 2 6 4 3 2 2 2 2" xfId="0"/>
    <cellStyle name="Normal 61 2 6 4 3 2 2 2 2 2" xfId="0"/>
    <cellStyle name="Normal 61 2 6 4 3 2 2 2 3" xfId="0"/>
    <cellStyle name="Normal 61 2 6 4 3 2 2 3" xfId="0"/>
    <cellStyle name="Normal 61 2 6 4 3 2 2 3 2" xfId="0"/>
    <cellStyle name="Normal 61 2 6 4 3 2 2 3 2 2" xfId="0"/>
    <cellStyle name="Normal 61 2 6 4 3 2 2 3 3" xfId="0"/>
    <cellStyle name="Normal 61 2 6 4 3 2 2 4" xfId="0"/>
    <cellStyle name="Normal 61 2 6 4 3 2 2 4 2" xfId="0"/>
    <cellStyle name="Normal 61 2 6 4 3 2 2 5" xfId="0"/>
    <cellStyle name="Normal 61 2 6 4 3 2 3" xfId="0"/>
    <cellStyle name="Normal 61 2 6 4 3 2 3 2" xfId="0"/>
    <cellStyle name="Normal 61 2 6 4 3 2 3 2 2" xfId="0"/>
    <cellStyle name="Normal 61 2 6 4 3 2 3 3" xfId="0"/>
    <cellStyle name="Normal 61 2 6 4 3 2 4" xfId="0"/>
    <cellStyle name="Normal 61 2 6 4 3 2 4 2" xfId="0"/>
    <cellStyle name="Normal 61 2 6 4 3 2 4 2 2" xfId="0"/>
    <cellStyle name="Normal 61 2 6 4 3 2 4 3" xfId="0"/>
    <cellStyle name="Normal 61 2 6 4 3 2 5" xfId="0"/>
    <cellStyle name="Normal 61 2 6 4 3 2 5 2" xfId="0"/>
    <cellStyle name="Normal 61 2 6 4 3 2 6" xfId="0"/>
    <cellStyle name="Normal 61 2 6 4 3 3" xfId="0"/>
    <cellStyle name="Normal 61 2 6 4 3 3 2" xfId="0"/>
    <cellStyle name="Normal 61 2 6 4 3 3 2 2" xfId="0"/>
    <cellStyle name="Normal 61 2 6 4 3 3 2 2 2" xfId="0"/>
    <cellStyle name="Normal 61 2 6 4 3 3 2 3" xfId="0"/>
    <cellStyle name="Normal 61 2 6 4 3 3 3" xfId="0"/>
    <cellStyle name="Normal 61 2 6 4 3 3 3 2" xfId="0"/>
    <cellStyle name="Normal 61 2 6 4 3 3 3 2 2" xfId="0"/>
    <cellStyle name="Normal 61 2 6 4 3 3 3 3" xfId="0"/>
    <cellStyle name="Normal 61 2 6 4 3 3 4" xfId="0"/>
    <cellStyle name="Normal 61 2 6 4 3 3 4 2" xfId="0"/>
    <cellStyle name="Normal 61 2 6 4 3 3 5" xfId="0"/>
    <cellStyle name="Normal 61 2 6 4 3 4" xfId="0"/>
    <cellStyle name="Normal 61 2 6 4 3 4 2" xfId="0"/>
    <cellStyle name="Normal 61 2 6 4 3 4 2 2" xfId="0"/>
    <cellStyle name="Normal 61 2 6 4 3 4 3" xfId="0"/>
    <cellStyle name="Normal 61 2 6 4 3 5" xfId="0"/>
    <cellStyle name="Normal 61 2 6 4 3 5 2" xfId="0"/>
    <cellStyle name="Normal 61 2 6 4 3 5 2 2" xfId="0"/>
    <cellStyle name="Normal 61 2 6 4 3 5 3" xfId="0"/>
    <cellStyle name="Normal 61 2 6 4 3 6" xfId="0"/>
    <cellStyle name="Normal 61 2 6 4 3 6 2" xfId="0"/>
    <cellStyle name="Normal 61 2 6 4 3 7" xfId="0"/>
    <cellStyle name="Normal 61 2 6 4 4" xfId="0"/>
    <cellStyle name="Normal 61 2 6 4 4 2" xfId="0"/>
    <cellStyle name="Normal 61 2 6 4 4 2 2" xfId="0"/>
    <cellStyle name="Normal 61 2 6 4 4 2 2 2" xfId="0"/>
    <cellStyle name="Normal 61 2 6 4 4 2 2 2 2" xfId="0"/>
    <cellStyle name="Normal 61 2 6 4 4 2 2 3" xfId="0"/>
    <cellStyle name="Normal 61 2 6 4 4 2 3" xfId="0"/>
    <cellStyle name="Normal 61 2 6 4 4 2 3 2" xfId="0"/>
    <cellStyle name="Normal 61 2 6 4 4 2 3 2 2" xfId="0"/>
    <cellStyle name="Normal 61 2 6 4 4 2 3 3" xfId="0"/>
    <cellStyle name="Normal 61 2 6 4 4 2 4" xfId="0"/>
    <cellStyle name="Normal 61 2 6 4 4 2 4 2" xfId="0"/>
    <cellStyle name="Normal 61 2 6 4 4 2 5" xfId="0"/>
    <cellStyle name="Normal 61 2 6 4 4 3" xfId="0"/>
    <cellStyle name="Normal 61 2 6 4 4 3 2" xfId="0"/>
    <cellStyle name="Normal 61 2 6 4 4 3 2 2" xfId="0"/>
    <cellStyle name="Normal 61 2 6 4 4 3 3" xfId="0"/>
    <cellStyle name="Normal 61 2 6 4 4 4" xfId="0"/>
    <cellStyle name="Normal 61 2 6 4 4 4 2" xfId="0"/>
    <cellStyle name="Normal 61 2 6 4 4 4 2 2" xfId="0"/>
    <cellStyle name="Normal 61 2 6 4 4 4 3" xfId="0"/>
    <cellStyle name="Normal 61 2 6 4 4 5" xfId="0"/>
    <cellStyle name="Normal 61 2 6 4 4 5 2" xfId="0"/>
    <cellStyle name="Normal 61 2 6 4 4 6" xfId="0"/>
    <cellStyle name="Normal 61 2 6 4 5" xfId="0"/>
    <cellStyle name="Normal 61 2 6 4 5 2" xfId="0"/>
    <cellStyle name="Normal 61 2 6 4 5 2 2" xfId="0"/>
    <cellStyle name="Normal 61 2 6 4 5 2 2 2" xfId="0"/>
    <cellStyle name="Normal 61 2 6 4 5 2 3" xfId="0"/>
    <cellStyle name="Normal 61 2 6 4 5 3" xfId="0"/>
    <cellStyle name="Normal 61 2 6 4 5 3 2" xfId="0"/>
    <cellStyle name="Normal 61 2 6 4 5 3 2 2" xfId="0"/>
    <cellStyle name="Normal 61 2 6 4 5 3 3" xfId="0"/>
    <cellStyle name="Normal 61 2 6 4 5 4" xfId="0"/>
    <cellStyle name="Normal 61 2 6 4 5 4 2" xfId="0"/>
    <cellStyle name="Normal 61 2 6 4 5 5" xfId="0"/>
    <cellStyle name="Normal 61 2 6 4 6" xfId="0"/>
    <cellStyle name="Normal 61 2 6 4 6 2" xfId="0"/>
    <cellStyle name="Normal 61 2 6 4 6 2 2" xfId="0"/>
    <cellStyle name="Normal 61 2 6 4 6 3" xfId="0"/>
    <cellStyle name="Normal 61 2 6 4 7" xfId="0"/>
    <cellStyle name="Normal 61 2 6 4 7 2" xfId="0"/>
    <cellStyle name="Normal 61 2 6 4 7 2 2" xfId="0"/>
    <cellStyle name="Normal 61 2 6 4 7 3" xfId="0"/>
    <cellStyle name="Normal 61 2 6 4 8" xfId="0"/>
    <cellStyle name="Normal 61 2 6 4 8 2" xfId="0"/>
    <cellStyle name="Normal 61 2 6 4 9" xfId="0"/>
    <cellStyle name="Normal 61 2 6 5" xfId="0"/>
    <cellStyle name="Normal 61 2 6 5 2" xfId="0"/>
    <cellStyle name="Normal 61 2 6 5 2 2" xfId="0"/>
    <cellStyle name="Normal 61 2 6 5 2 2 2" xfId="0"/>
    <cellStyle name="Normal 61 2 6 5 2 2 2 2" xfId="0"/>
    <cellStyle name="Normal 61 2 6 5 2 2 2 2 2" xfId="0"/>
    <cellStyle name="Normal 61 2 6 5 2 2 2 2 2 2" xfId="0"/>
    <cellStyle name="Normal 61 2 6 5 2 2 2 2 3" xfId="0"/>
    <cellStyle name="Normal 61 2 6 5 2 2 2 3" xfId="0"/>
    <cellStyle name="Normal 61 2 6 5 2 2 2 3 2" xfId="0"/>
    <cellStyle name="Normal 61 2 6 5 2 2 2 3 2 2" xfId="0"/>
    <cellStyle name="Normal 61 2 6 5 2 2 2 3 3" xfId="0"/>
    <cellStyle name="Normal 61 2 6 5 2 2 2 4" xfId="0"/>
    <cellStyle name="Normal 61 2 6 5 2 2 2 4 2" xfId="0"/>
    <cellStyle name="Normal 61 2 6 5 2 2 2 5" xfId="0"/>
    <cellStyle name="Normal 61 2 6 5 2 2 3" xfId="0"/>
    <cellStyle name="Normal 61 2 6 5 2 2 3 2" xfId="0"/>
    <cellStyle name="Normal 61 2 6 5 2 2 3 2 2" xfId="0"/>
    <cellStyle name="Normal 61 2 6 5 2 2 3 3" xfId="0"/>
    <cellStyle name="Normal 61 2 6 5 2 2 4" xfId="0"/>
    <cellStyle name="Normal 61 2 6 5 2 2 4 2" xfId="0"/>
    <cellStyle name="Normal 61 2 6 5 2 2 4 2 2" xfId="0"/>
    <cellStyle name="Normal 61 2 6 5 2 2 4 3" xfId="0"/>
    <cellStyle name="Normal 61 2 6 5 2 2 5" xfId="0"/>
    <cellStyle name="Normal 61 2 6 5 2 2 5 2" xfId="0"/>
    <cellStyle name="Normal 61 2 6 5 2 2 6" xfId="0"/>
    <cellStyle name="Normal 61 2 6 5 2 3" xfId="0"/>
    <cellStyle name="Normal 61 2 6 5 2 3 2" xfId="0"/>
    <cellStyle name="Normal 61 2 6 5 2 3 2 2" xfId="0"/>
    <cellStyle name="Normal 61 2 6 5 2 3 2 2 2" xfId="0"/>
    <cellStyle name="Normal 61 2 6 5 2 3 2 3" xfId="0"/>
    <cellStyle name="Normal 61 2 6 5 2 3 3" xfId="0"/>
    <cellStyle name="Normal 61 2 6 5 2 3 3 2" xfId="0"/>
    <cellStyle name="Normal 61 2 6 5 2 3 3 2 2" xfId="0"/>
    <cellStyle name="Normal 61 2 6 5 2 3 3 3" xfId="0"/>
    <cellStyle name="Normal 61 2 6 5 2 3 4" xfId="0"/>
    <cellStyle name="Normal 61 2 6 5 2 3 4 2" xfId="0"/>
    <cellStyle name="Normal 61 2 6 5 2 3 5" xfId="0"/>
    <cellStyle name="Normal 61 2 6 5 2 4" xfId="0"/>
    <cellStyle name="Normal 61 2 6 5 2 4 2" xfId="0"/>
    <cellStyle name="Normal 61 2 6 5 2 4 2 2" xfId="0"/>
    <cellStyle name="Normal 61 2 6 5 2 4 3" xfId="0"/>
    <cellStyle name="Normal 61 2 6 5 2 5" xfId="0"/>
    <cellStyle name="Normal 61 2 6 5 2 5 2" xfId="0"/>
    <cellStyle name="Normal 61 2 6 5 2 5 2 2" xfId="0"/>
    <cellStyle name="Normal 61 2 6 5 2 5 3" xfId="0"/>
    <cellStyle name="Normal 61 2 6 5 2 6" xfId="0"/>
    <cellStyle name="Normal 61 2 6 5 2 6 2" xfId="0"/>
    <cellStyle name="Normal 61 2 6 5 2 7" xfId="0"/>
    <cellStyle name="Normal 61 2 6 5 3" xfId="0"/>
    <cellStyle name="Normal 61 2 6 5 3 2" xfId="0"/>
    <cellStyle name="Normal 61 2 6 5 3 2 2" xfId="0"/>
    <cellStyle name="Normal 61 2 6 5 3 2 2 2" xfId="0"/>
    <cellStyle name="Normal 61 2 6 5 3 2 2 2 2" xfId="0"/>
    <cellStyle name="Normal 61 2 6 5 3 2 2 3" xfId="0"/>
    <cellStyle name="Normal 61 2 6 5 3 2 3" xfId="0"/>
    <cellStyle name="Normal 61 2 6 5 3 2 3 2" xfId="0"/>
    <cellStyle name="Normal 61 2 6 5 3 2 3 2 2" xfId="0"/>
    <cellStyle name="Normal 61 2 6 5 3 2 3 3" xfId="0"/>
    <cellStyle name="Normal 61 2 6 5 3 2 4" xfId="0"/>
    <cellStyle name="Normal 61 2 6 5 3 2 4 2" xfId="0"/>
    <cellStyle name="Normal 61 2 6 5 3 2 5" xfId="0"/>
    <cellStyle name="Normal 61 2 6 5 3 3" xfId="0"/>
    <cellStyle name="Normal 61 2 6 5 3 3 2" xfId="0"/>
    <cellStyle name="Normal 61 2 6 5 3 3 2 2" xfId="0"/>
    <cellStyle name="Normal 61 2 6 5 3 3 3" xfId="0"/>
    <cellStyle name="Normal 61 2 6 5 3 4" xfId="0"/>
    <cellStyle name="Normal 61 2 6 5 3 4 2" xfId="0"/>
    <cellStyle name="Normal 61 2 6 5 3 4 2 2" xfId="0"/>
    <cellStyle name="Normal 61 2 6 5 3 4 3" xfId="0"/>
    <cellStyle name="Normal 61 2 6 5 3 5" xfId="0"/>
    <cellStyle name="Normal 61 2 6 5 3 5 2" xfId="0"/>
    <cellStyle name="Normal 61 2 6 5 3 6" xfId="0"/>
    <cellStyle name="Normal 61 2 6 5 4" xfId="0"/>
    <cellStyle name="Normal 61 2 6 5 4 2" xfId="0"/>
    <cellStyle name="Normal 61 2 6 5 4 2 2" xfId="0"/>
    <cellStyle name="Normal 61 2 6 5 4 2 2 2" xfId="0"/>
    <cellStyle name="Normal 61 2 6 5 4 2 3" xfId="0"/>
    <cellStyle name="Normal 61 2 6 5 4 3" xfId="0"/>
    <cellStyle name="Normal 61 2 6 5 4 3 2" xfId="0"/>
    <cellStyle name="Normal 61 2 6 5 4 3 2 2" xfId="0"/>
    <cellStyle name="Normal 61 2 6 5 4 3 3" xfId="0"/>
    <cellStyle name="Normal 61 2 6 5 4 4" xfId="0"/>
    <cellStyle name="Normal 61 2 6 5 4 4 2" xfId="0"/>
    <cellStyle name="Normal 61 2 6 5 4 5" xfId="0"/>
    <cellStyle name="Normal 61 2 6 5 5" xfId="0"/>
    <cellStyle name="Normal 61 2 6 5 5 2" xfId="0"/>
    <cellStyle name="Normal 61 2 6 5 5 2 2" xfId="0"/>
    <cellStyle name="Normal 61 2 6 5 5 3" xfId="0"/>
    <cellStyle name="Normal 61 2 6 5 6" xfId="0"/>
    <cellStyle name="Normal 61 2 6 5 6 2" xfId="0"/>
    <cellStyle name="Normal 61 2 6 5 6 2 2" xfId="0"/>
    <cellStyle name="Normal 61 2 6 5 6 3" xfId="0"/>
    <cellStyle name="Normal 61 2 6 5 7" xfId="0"/>
    <cellStyle name="Normal 61 2 6 5 7 2" xfId="0"/>
    <cellStyle name="Normal 61 2 6 5 8" xfId="0"/>
    <cellStyle name="Normal 61 2 6 6" xfId="0"/>
    <cellStyle name="Normal 61 2 6 6 2" xfId="0"/>
    <cellStyle name="Normal 61 2 6 6 2 2" xfId="0"/>
    <cellStyle name="Normal 61 2 6 6 2 2 2" xfId="0"/>
    <cellStyle name="Normal 61 2 6 6 2 2 2 2" xfId="0"/>
    <cellStyle name="Normal 61 2 6 6 2 2 2 2 2" xfId="0"/>
    <cellStyle name="Normal 61 2 6 6 2 2 2 3" xfId="0"/>
    <cellStyle name="Normal 61 2 6 6 2 2 3" xfId="0"/>
    <cellStyle name="Normal 61 2 6 6 2 2 3 2" xfId="0"/>
    <cellStyle name="Normal 61 2 6 6 2 2 3 2 2" xfId="0"/>
    <cellStyle name="Normal 61 2 6 6 2 2 3 3" xfId="0"/>
    <cellStyle name="Normal 61 2 6 6 2 2 4" xfId="0"/>
    <cellStyle name="Normal 61 2 6 6 2 2 4 2" xfId="0"/>
    <cellStyle name="Normal 61 2 6 6 2 2 5" xfId="0"/>
    <cellStyle name="Normal 61 2 6 6 2 3" xfId="0"/>
    <cellStyle name="Normal 61 2 6 6 2 3 2" xfId="0"/>
    <cellStyle name="Normal 61 2 6 6 2 3 2 2" xfId="0"/>
    <cellStyle name="Normal 61 2 6 6 2 3 3" xfId="0"/>
    <cellStyle name="Normal 61 2 6 6 2 4" xfId="0"/>
    <cellStyle name="Normal 61 2 6 6 2 4 2" xfId="0"/>
    <cellStyle name="Normal 61 2 6 6 2 4 2 2" xfId="0"/>
    <cellStyle name="Normal 61 2 6 6 2 4 3" xfId="0"/>
    <cellStyle name="Normal 61 2 6 6 2 5" xfId="0"/>
    <cellStyle name="Normal 61 2 6 6 2 5 2" xfId="0"/>
    <cellStyle name="Normal 61 2 6 6 2 6" xfId="0"/>
    <cellStyle name="Normal 61 2 6 6 3" xfId="0"/>
    <cellStyle name="Normal 61 2 6 6 3 2" xfId="0"/>
    <cellStyle name="Normal 61 2 6 6 3 2 2" xfId="0"/>
    <cellStyle name="Normal 61 2 6 6 3 2 2 2" xfId="0"/>
    <cellStyle name="Normal 61 2 6 6 3 2 3" xfId="0"/>
    <cellStyle name="Normal 61 2 6 6 3 3" xfId="0"/>
    <cellStyle name="Normal 61 2 6 6 3 3 2" xfId="0"/>
    <cellStyle name="Normal 61 2 6 6 3 3 2 2" xfId="0"/>
    <cellStyle name="Normal 61 2 6 6 3 3 3" xfId="0"/>
    <cellStyle name="Normal 61 2 6 6 3 4" xfId="0"/>
    <cellStyle name="Normal 61 2 6 6 3 4 2" xfId="0"/>
    <cellStyle name="Normal 61 2 6 6 3 5" xfId="0"/>
    <cellStyle name="Normal 61 2 6 6 4" xfId="0"/>
    <cellStyle name="Normal 61 2 6 6 4 2" xfId="0"/>
    <cellStyle name="Normal 61 2 6 6 4 2 2" xfId="0"/>
    <cellStyle name="Normal 61 2 6 6 4 3" xfId="0"/>
    <cellStyle name="Normal 61 2 6 6 5" xfId="0"/>
    <cellStyle name="Normal 61 2 6 6 5 2" xfId="0"/>
    <cellStyle name="Normal 61 2 6 6 5 2 2" xfId="0"/>
    <cellStyle name="Normal 61 2 6 6 5 3" xfId="0"/>
    <cellStyle name="Normal 61 2 6 6 6" xfId="0"/>
    <cellStyle name="Normal 61 2 6 6 6 2" xfId="0"/>
    <cellStyle name="Normal 61 2 6 6 7" xfId="0"/>
    <cellStyle name="Normal 61 2 6 7" xfId="0"/>
    <cellStyle name="Normal 61 2 6 7 2" xfId="0"/>
    <cellStyle name="Normal 61 2 6 7 2 2" xfId="0"/>
    <cellStyle name="Normal 61 2 6 7 2 2 2" xfId="0"/>
    <cellStyle name="Normal 61 2 6 7 2 2 2 2" xfId="0"/>
    <cellStyle name="Normal 61 2 6 7 2 2 3" xfId="0"/>
    <cellStyle name="Normal 61 2 6 7 2 3" xfId="0"/>
    <cellStyle name="Normal 61 2 6 7 2 3 2" xfId="0"/>
    <cellStyle name="Normal 61 2 6 7 2 3 2 2" xfId="0"/>
    <cellStyle name="Normal 61 2 6 7 2 3 3" xfId="0"/>
    <cellStyle name="Normal 61 2 6 7 2 4" xfId="0"/>
    <cellStyle name="Normal 61 2 6 7 2 4 2" xfId="0"/>
    <cellStyle name="Normal 61 2 6 7 2 5" xfId="0"/>
    <cellStyle name="Normal 61 2 6 7 3" xfId="0"/>
    <cellStyle name="Normal 61 2 6 7 3 2" xfId="0"/>
    <cellStyle name="Normal 61 2 6 7 3 2 2" xfId="0"/>
    <cellStyle name="Normal 61 2 6 7 3 3" xfId="0"/>
    <cellStyle name="Normal 61 2 6 7 4" xfId="0"/>
    <cellStyle name="Normal 61 2 6 7 4 2" xfId="0"/>
    <cellStyle name="Normal 61 2 6 7 4 2 2" xfId="0"/>
    <cellStyle name="Normal 61 2 6 7 4 3" xfId="0"/>
    <cellStyle name="Normal 61 2 6 7 5" xfId="0"/>
    <cellStyle name="Normal 61 2 6 7 5 2" xfId="0"/>
    <cellStyle name="Normal 61 2 6 7 6" xfId="0"/>
    <cellStyle name="Normal 61 2 6 8" xfId="0"/>
    <cellStyle name="Normal 61 2 6 8 2" xfId="0"/>
    <cellStyle name="Normal 61 2 6 8 2 2" xfId="0"/>
    <cellStyle name="Normal 61 2 6 8 2 2 2" xfId="0"/>
    <cellStyle name="Normal 61 2 6 8 2 3" xfId="0"/>
    <cellStyle name="Normal 61 2 6 8 3" xfId="0"/>
    <cellStyle name="Normal 61 2 6 8 3 2" xfId="0"/>
    <cellStyle name="Normal 61 2 6 8 3 2 2" xfId="0"/>
    <cellStyle name="Normal 61 2 6 8 3 3" xfId="0"/>
    <cellStyle name="Normal 61 2 6 8 4" xfId="0"/>
    <cellStyle name="Normal 61 2 6 8 4 2" xfId="0"/>
    <cellStyle name="Normal 61 2 6 8 5" xfId="0"/>
    <cellStyle name="Normal 61 2 6 9" xfId="0"/>
    <cellStyle name="Normal 61 2 6 9 2" xfId="0"/>
    <cellStyle name="Normal 61 2 6 9 2 2" xfId="0"/>
    <cellStyle name="Normal 61 2 6 9 3" xfId="0"/>
    <cellStyle name="Normal 61 2 7" xfId="0"/>
    <cellStyle name="Normal 61 2 7 10" xfId="0"/>
    <cellStyle name="Normal 61 2 7 2" xfId="0"/>
    <cellStyle name="Normal 61 2 7 2 2" xfId="0"/>
    <cellStyle name="Normal 61 2 7 2 2 2" xfId="0"/>
    <cellStyle name="Normal 61 2 7 2 2 2 2" xfId="0"/>
    <cellStyle name="Normal 61 2 7 2 2 2 2 2" xfId="0"/>
    <cellStyle name="Normal 61 2 7 2 2 2 2 2 2" xfId="0"/>
    <cellStyle name="Normal 61 2 7 2 2 2 2 2 2 2" xfId="0"/>
    <cellStyle name="Normal 61 2 7 2 2 2 2 2 2 2 2" xfId="0"/>
    <cellStyle name="Normal 61 2 7 2 2 2 2 2 2 3" xfId="0"/>
    <cellStyle name="Normal 61 2 7 2 2 2 2 2 3" xfId="0"/>
    <cellStyle name="Normal 61 2 7 2 2 2 2 2 3 2" xfId="0"/>
    <cellStyle name="Normal 61 2 7 2 2 2 2 2 3 2 2" xfId="0"/>
    <cellStyle name="Normal 61 2 7 2 2 2 2 2 3 3" xfId="0"/>
    <cellStyle name="Normal 61 2 7 2 2 2 2 2 4" xfId="0"/>
    <cellStyle name="Normal 61 2 7 2 2 2 2 2 4 2" xfId="0"/>
    <cellStyle name="Normal 61 2 7 2 2 2 2 2 5" xfId="0"/>
    <cellStyle name="Normal 61 2 7 2 2 2 2 3" xfId="0"/>
    <cellStyle name="Normal 61 2 7 2 2 2 2 3 2" xfId="0"/>
    <cellStyle name="Normal 61 2 7 2 2 2 2 3 2 2" xfId="0"/>
    <cellStyle name="Normal 61 2 7 2 2 2 2 3 3" xfId="0"/>
    <cellStyle name="Normal 61 2 7 2 2 2 2 4" xfId="0"/>
    <cellStyle name="Normal 61 2 7 2 2 2 2 4 2" xfId="0"/>
    <cellStyle name="Normal 61 2 7 2 2 2 2 4 2 2" xfId="0"/>
    <cellStyle name="Normal 61 2 7 2 2 2 2 4 3" xfId="0"/>
    <cellStyle name="Normal 61 2 7 2 2 2 2 5" xfId="0"/>
    <cellStyle name="Normal 61 2 7 2 2 2 2 5 2" xfId="0"/>
    <cellStyle name="Normal 61 2 7 2 2 2 2 6" xfId="0"/>
    <cellStyle name="Normal 61 2 7 2 2 2 3" xfId="0"/>
    <cellStyle name="Normal 61 2 7 2 2 2 3 2" xfId="0"/>
    <cellStyle name="Normal 61 2 7 2 2 2 3 2 2" xfId="0"/>
    <cellStyle name="Normal 61 2 7 2 2 2 3 2 2 2" xfId="0"/>
    <cellStyle name="Normal 61 2 7 2 2 2 3 2 3" xfId="0"/>
    <cellStyle name="Normal 61 2 7 2 2 2 3 3" xfId="0"/>
    <cellStyle name="Normal 61 2 7 2 2 2 3 3 2" xfId="0"/>
    <cellStyle name="Normal 61 2 7 2 2 2 3 3 2 2" xfId="0"/>
    <cellStyle name="Normal 61 2 7 2 2 2 3 3 3" xfId="0"/>
    <cellStyle name="Normal 61 2 7 2 2 2 3 4" xfId="0"/>
    <cellStyle name="Normal 61 2 7 2 2 2 3 4 2" xfId="0"/>
    <cellStyle name="Normal 61 2 7 2 2 2 3 5" xfId="0"/>
    <cellStyle name="Normal 61 2 7 2 2 2 4" xfId="0"/>
    <cellStyle name="Normal 61 2 7 2 2 2 4 2" xfId="0"/>
    <cellStyle name="Normal 61 2 7 2 2 2 4 2 2" xfId="0"/>
    <cellStyle name="Normal 61 2 7 2 2 2 4 3" xfId="0"/>
    <cellStyle name="Normal 61 2 7 2 2 2 5" xfId="0"/>
    <cellStyle name="Normal 61 2 7 2 2 2 5 2" xfId="0"/>
    <cellStyle name="Normal 61 2 7 2 2 2 5 2 2" xfId="0"/>
    <cellStyle name="Normal 61 2 7 2 2 2 5 3" xfId="0"/>
    <cellStyle name="Normal 61 2 7 2 2 2 6" xfId="0"/>
    <cellStyle name="Normal 61 2 7 2 2 2 6 2" xfId="0"/>
    <cellStyle name="Normal 61 2 7 2 2 2 7" xfId="0"/>
    <cellStyle name="Normal 61 2 7 2 2 3" xfId="0"/>
    <cellStyle name="Normal 61 2 7 2 2 3 2" xfId="0"/>
    <cellStyle name="Normal 61 2 7 2 2 3 2 2" xfId="0"/>
    <cellStyle name="Normal 61 2 7 2 2 3 2 2 2" xfId="0"/>
    <cellStyle name="Normal 61 2 7 2 2 3 2 2 2 2" xfId="0"/>
    <cellStyle name="Normal 61 2 7 2 2 3 2 2 3" xfId="0"/>
    <cellStyle name="Normal 61 2 7 2 2 3 2 3" xfId="0"/>
    <cellStyle name="Normal 61 2 7 2 2 3 2 3 2" xfId="0"/>
    <cellStyle name="Normal 61 2 7 2 2 3 2 3 2 2" xfId="0"/>
    <cellStyle name="Normal 61 2 7 2 2 3 2 3 3" xfId="0"/>
    <cellStyle name="Normal 61 2 7 2 2 3 2 4" xfId="0"/>
    <cellStyle name="Normal 61 2 7 2 2 3 2 4 2" xfId="0"/>
    <cellStyle name="Normal 61 2 7 2 2 3 2 5" xfId="0"/>
    <cellStyle name="Normal 61 2 7 2 2 3 3" xfId="0"/>
    <cellStyle name="Normal 61 2 7 2 2 3 3 2" xfId="0"/>
    <cellStyle name="Normal 61 2 7 2 2 3 3 2 2" xfId="0"/>
    <cellStyle name="Normal 61 2 7 2 2 3 3 3" xfId="0"/>
    <cellStyle name="Normal 61 2 7 2 2 3 4" xfId="0"/>
    <cellStyle name="Normal 61 2 7 2 2 3 4 2" xfId="0"/>
    <cellStyle name="Normal 61 2 7 2 2 3 4 2 2" xfId="0"/>
    <cellStyle name="Normal 61 2 7 2 2 3 4 3" xfId="0"/>
    <cellStyle name="Normal 61 2 7 2 2 3 5" xfId="0"/>
    <cellStyle name="Normal 61 2 7 2 2 3 5 2" xfId="0"/>
    <cellStyle name="Normal 61 2 7 2 2 3 6" xfId="0"/>
    <cellStyle name="Normal 61 2 7 2 2 4" xfId="0"/>
    <cellStyle name="Normal 61 2 7 2 2 4 2" xfId="0"/>
    <cellStyle name="Normal 61 2 7 2 2 4 2 2" xfId="0"/>
    <cellStyle name="Normal 61 2 7 2 2 4 2 2 2" xfId="0"/>
    <cellStyle name="Normal 61 2 7 2 2 4 2 3" xfId="0"/>
    <cellStyle name="Normal 61 2 7 2 2 4 3" xfId="0"/>
    <cellStyle name="Normal 61 2 7 2 2 4 3 2" xfId="0"/>
    <cellStyle name="Normal 61 2 7 2 2 4 3 2 2" xfId="0"/>
    <cellStyle name="Normal 61 2 7 2 2 4 3 3" xfId="0"/>
    <cellStyle name="Normal 61 2 7 2 2 4 4" xfId="0"/>
    <cellStyle name="Normal 61 2 7 2 2 4 4 2" xfId="0"/>
    <cellStyle name="Normal 61 2 7 2 2 4 5" xfId="0"/>
    <cellStyle name="Normal 61 2 7 2 2 5" xfId="0"/>
    <cellStyle name="Normal 61 2 7 2 2 5 2" xfId="0"/>
    <cellStyle name="Normal 61 2 7 2 2 5 2 2" xfId="0"/>
    <cellStyle name="Normal 61 2 7 2 2 5 3" xfId="0"/>
    <cellStyle name="Normal 61 2 7 2 2 6" xfId="0"/>
    <cellStyle name="Normal 61 2 7 2 2 6 2" xfId="0"/>
    <cellStyle name="Normal 61 2 7 2 2 6 2 2" xfId="0"/>
    <cellStyle name="Normal 61 2 7 2 2 6 3" xfId="0"/>
    <cellStyle name="Normal 61 2 7 2 2 7" xfId="0"/>
    <cellStyle name="Normal 61 2 7 2 2 7 2" xfId="0"/>
    <cellStyle name="Normal 61 2 7 2 2 8" xfId="0"/>
    <cellStyle name="Normal 61 2 7 2 3" xfId="0"/>
    <cellStyle name="Normal 61 2 7 2 3 2" xfId="0"/>
    <cellStyle name="Normal 61 2 7 2 3 2 2" xfId="0"/>
    <cellStyle name="Normal 61 2 7 2 3 2 2 2" xfId="0"/>
    <cellStyle name="Normal 61 2 7 2 3 2 2 2 2" xfId="0"/>
    <cellStyle name="Normal 61 2 7 2 3 2 2 2 2 2" xfId="0"/>
    <cellStyle name="Normal 61 2 7 2 3 2 2 2 3" xfId="0"/>
    <cellStyle name="Normal 61 2 7 2 3 2 2 3" xfId="0"/>
    <cellStyle name="Normal 61 2 7 2 3 2 2 3 2" xfId="0"/>
    <cellStyle name="Normal 61 2 7 2 3 2 2 3 2 2" xfId="0"/>
    <cellStyle name="Normal 61 2 7 2 3 2 2 3 3" xfId="0"/>
    <cellStyle name="Normal 61 2 7 2 3 2 2 4" xfId="0"/>
    <cellStyle name="Normal 61 2 7 2 3 2 2 4 2" xfId="0"/>
    <cellStyle name="Normal 61 2 7 2 3 2 2 5" xfId="0"/>
    <cellStyle name="Normal 61 2 7 2 3 2 3" xfId="0"/>
    <cellStyle name="Normal 61 2 7 2 3 2 3 2" xfId="0"/>
    <cellStyle name="Normal 61 2 7 2 3 2 3 2 2" xfId="0"/>
    <cellStyle name="Normal 61 2 7 2 3 2 3 3" xfId="0"/>
    <cellStyle name="Normal 61 2 7 2 3 2 4" xfId="0"/>
    <cellStyle name="Normal 61 2 7 2 3 2 4 2" xfId="0"/>
    <cellStyle name="Normal 61 2 7 2 3 2 4 2 2" xfId="0"/>
    <cellStyle name="Normal 61 2 7 2 3 2 4 3" xfId="0"/>
    <cellStyle name="Normal 61 2 7 2 3 2 5" xfId="0"/>
    <cellStyle name="Normal 61 2 7 2 3 2 5 2" xfId="0"/>
    <cellStyle name="Normal 61 2 7 2 3 2 6" xfId="0"/>
    <cellStyle name="Normal 61 2 7 2 3 3" xfId="0"/>
    <cellStyle name="Normal 61 2 7 2 3 3 2" xfId="0"/>
    <cellStyle name="Normal 61 2 7 2 3 3 2 2" xfId="0"/>
    <cellStyle name="Normal 61 2 7 2 3 3 2 2 2" xfId="0"/>
    <cellStyle name="Normal 61 2 7 2 3 3 2 3" xfId="0"/>
    <cellStyle name="Normal 61 2 7 2 3 3 3" xfId="0"/>
    <cellStyle name="Normal 61 2 7 2 3 3 3 2" xfId="0"/>
    <cellStyle name="Normal 61 2 7 2 3 3 3 2 2" xfId="0"/>
    <cellStyle name="Normal 61 2 7 2 3 3 3 3" xfId="0"/>
    <cellStyle name="Normal 61 2 7 2 3 3 4" xfId="0"/>
    <cellStyle name="Normal 61 2 7 2 3 3 4 2" xfId="0"/>
    <cellStyle name="Normal 61 2 7 2 3 3 5" xfId="0"/>
    <cellStyle name="Normal 61 2 7 2 3 4" xfId="0"/>
    <cellStyle name="Normal 61 2 7 2 3 4 2" xfId="0"/>
    <cellStyle name="Normal 61 2 7 2 3 4 2 2" xfId="0"/>
    <cellStyle name="Normal 61 2 7 2 3 4 3" xfId="0"/>
    <cellStyle name="Normal 61 2 7 2 3 5" xfId="0"/>
    <cellStyle name="Normal 61 2 7 2 3 5 2" xfId="0"/>
    <cellStyle name="Normal 61 2 7 2 3 5 2 2" xfId="0"/>
    <cellStyle name="Normal 61 2 7 2 3 5 3" xfId="0"/>
    <cellStyle name="Normal 61 2 7 2 3 6" xfId="0"/>
    <cellStyle name="Normal 61 2 7 2 3 6 2" xfId="0"/>
    <cellStyle name="Normal 61 2 7 2 3 7" xfId="0"/>
    <cellStyle name="Normal 61 2 7 2 4" xfId="0"/>
    <cellStyle name="Normal 61 2 7 2 4 2" xfId="0"/>
    <cellStyle name="Normal 61 2 7 2 4 2 2" xfId="0"/>
    <cellStyle name="Normal 61 2 7 2 4 2 2 2" xfId="0"/>
    <cellStyle name="Normal 61 2 7 2 4 2 2 2 2" xfId="0"/>
    <cellStyle name="Normal 61 2 7 2 4 2 2 3" xfId="0"/>
    <cellStyle name="Normal 61 2 7 2 4 2 3" xfId="0"/>
    <cellStyle name="Normal 61 2 7 2 4 2 3 2" xfId="0"/>
    <cellStyle name="Normal 61 2 7 2 4 2 3 2 2" xfId="0"/>
    <cellStyle name="Normal 61 2 7 2 4 2 3 3" xfId="0"/>
    <cellStyle name="Normal 61 2 7 2 4 2 4" xfId="0"/>
    <cellStyle name="Normal 61 2 7 2 4 2 4 2" xfId="0"/>
    <cellStyle name="Normal 61 2 7 2 4 2 5" xfId="0"/>
    <cellStyle name="Normal 61 2 7 2 4 3" xfId="0"/>
    <cellStyle name="Normal 61 2 7 2 4 3 2" xfId="0"/>
    <cellStyle name="Normal 61 2 7 2 4 3 2 2" xfId="0"/>
    <cellStyle name="Normal 61 2 7 2 4 3 3" xfId="0"/>
    <cellStyle name="Normal 61 2 7 2 4 4" xfId="0"/>
    <cellStyle name="Normal 61 2 7 2 4 4 2" xfId="0"/>
    <cellStyle name="Normal 61 2 7 2 4 4 2 2" xfId="0"/>
    <cellStyle name="Normal 61 2 7 2 4 4 3" xfId="0"/>
    <cellStyle name="Normal 61 2 7 2 4 5" xfId="0"/>
    <cellStyle name="Normal 61 2 7 2 4 5 2" xfId="0"/>
    <cellStyle name="Normal 61 2 7 2 4 6" xfId="0"/>
    <cellStyle name="Normal 61 2 7 2 5" xfId="0"/>
    <cellStyle name="Normal 61 2 7 2 5 2" xfId="0"/>
    <cellStyle name="Normal 61 2 7 2 5 2 2" xfId="0"/>
    <cellStyle name="Normal 61 2 7 2 5 2 2 2" xfId="0"/>
    <cellStyle name="Normal 61 2 7 2 5 2 3" xfId="0"/>
    <cellStyle name="Normal 61 2 7 2 5 3" xfId="0"/>
    <cellStyle name="Normal 61 2 7 2 5 3 2" xfId="0"/>
    <cellStyle name="Normal 61 2 7 2 5 3 2 2" xfId="0"/>
    <cellStyle name="Normal 61 2 7 2 5 3 3" xfId="0"/>
    <cellStyle name="Normal 61 2 7 2 5 4" xfId="0"/>
    <cellStyle name="Normal 61 2 7 2 5 4 2" xfId="0"/>
    <cellStyle name="Normal 61 2 7 2 5 5" xfId="0"/>
    <cellStyle name="Normal 61 2 7 2 6" xfId="0"/>
    <cellStyle name="Normal 61 2 7 2 6 2" xfId="0"/>
    <cellStyle name="Normal 61 2 7 2 6 2 2" xfId="0"/>
    <cellStyle name="Normal 61 2 7 2 6 3" xfId="0"/>
    <cellStyle name="Normal 61 2 7 2 7" xfId="0"/>
    <cellStyle name="Normal 61 2 7 2 7 2" xfId="0"/>
    <cellStyle name="Normal 61 2 7 2 7 2 2" xfId="0"/>
    <cellStyle name="Normal 61 2 7 2 7 3" xfId="0"/>
    <cellStyle name="Normal 61 2 7 2 8" xfId="0"/>
    <cellStyle name="Normal 61 2 7 2 8 2" xfId="0"/>
    <cellStyle name="Normal 61 2 7 2 9" xfId="0"/>
    <cellStyle name="Normal 61 2 7 3" xfId="0"/>
    <cellStyle name="Normal 61 2 7 3 2" xfId="0"/>
    <cellStyle name="Normal 61 2 7 3 2 2" xfId="0"/>
    <cellStyle name="Normal 61 2 7 3 2 2 2" xfId="0"/>
    <cellStyle name="Normal 61 2 7 3 2 2 2 2" xfId="0"/>
    <cellStyle name="Normal 61 2 7 3 2 2 2 2 2" xfId="0"/>
    <cellStyle name="Normal 61 2 7 3 2 2 2 2 2 2" xfId="0"/>
    <cellStyle name="Normal 61 2 7 3 2 2 2 2 3" xfId="0"/>
    <cellStyle name="Normal 61 2 7 3 2 2 2 3" xfId="0"/>
    <cellStyle name="Normal 61 2 7 3 2 2 2 3 2" xfId="0"/>
    <cellStyle name="Normal 61 2 7 3 2 2 2 3 2 2" xfId="0"/>
    <cellStyle name="Normal 61 2 7 3 2 2 2 3 3" xfId="0"/>
    <cellStyle name="Normal 61 2 7 3 2 2 2 4" xfId="0"/>
    <cellStyle name="Normal 61 2 7 3 2 2 2 4 2" xfId="0"/>
    <cellStyle name="Normal 61 2 7 3 2 2 2 5" xfId="0"/>
    <cellStyle name="Normal 61 2 7 3 2 2 3" xfId="0"/>
    <cellStyle name="Normal 61 2 7 3 2 2 3 2" xfId="0"/>
    <cellStyle name="Normal 61 2 7 3 2 2 3 2 2" xfId="0"/>
    <cellStyle name="Normal 61 2 7 3 2 2 3 3" xfId="0"/>
    <cellStyle name="Normal 61 2 7 3 2 2 4" xfId="0"/>
    <cellStyle name="Normal 61 2 7 3 2 2 4 2" xfId="0"/>
    <cellStyle name="Normal 61 2 7 3 2 2 4 2 2" xfId="0"/>
    <cellStyle name="Normal 61 2 7 3 2 2 4 3" xfId="0"/>
    <cellStyle name="Normal 61 2 7 3 2 2 5" xfId="0"/>
    <cellStyle name="Normal 61 2 7 3 2 2 5 2" xfId="0"/>
    <cellStyle name="Normal 61 2 7 3 2 2 6" xfId="0"/>
    <cellStyle name="Normal 61 2 7 3 2 3" xfId="0"/>
    <cellStyle name="Normal 61 2 7 3 2 3 2" xfId="0"/>
    <cellStyle name="Normal 61 2 7 3 2 3 2 2" xfId="0"/>
    <cellStyle name="Normal 61 2 7 3 2 3 2 2 2" xfId="0"/>
    <cellStyle name="Normal 61 2 7 3 2 3 2 3" xfId="0"/>
    <cellStyle name="Normal 61 2 7 3 2 3 3" xfId="0"/>
    <cellStyle name="Normal 61 2 7 3 2 3 3 2" xfId="0"/>
    <cellStyle name="Normal 61 2 7 3 2 3 3 2 2" xfId="0"/>
    <cellStyle name="Normal 61 2 7 3 2 3 3 3" xfId="0"/>
    <cellStyle name="Normal 61 2 7 3 2 3 4" xfId="0"/>
    <cellStyle name="Normal 61 2 7 3 2 3 4 2" xfId="0"/>
    <cellStyle name="Normal 61 2 7 3 2 3 5" xfId="0"/>
    <cellStyle name="Normal 61 2 7 3 2 4" xfId="0"/>
    <cellStyle name="Normal 61 2 7 3 2 4 2" xfId="0"/>
    <cellStyle name="Normal 61 2 7 3 2 4 2 2" xfId="0"/>
    <cellStyle name="Normal 61 2 7 3 2 4 3" xfId="0"/>
    <cellStyle name="Normal 61 2 7 3 2 5" xfId="0"/>
    <cellStyle name="Normal 61 2 7 3 2 5 2" xfId="0"/>
    <cellStyle name="Normal 61 2 7 3 2 5 2 2" xfId="0"/>
    <cellStyle name="Normal 61 2 7 3 2 5 3" xfId="0"/>
    <cellStyle name="Normal 61 2 7 3 2 6" xfId="0"/>
    <cellStyle name="Normal 61 2 7 3 2 6 2" xfId="0"/>
    <cellStyle name="Normal 61 2 7 3 2 7" xfId="0"/>
    <cellStyle name="Normal 61 2 7 3 3" xfId="0"/>
    <cellStyle name="Normal 61 2 7 3 3 2" xfId="0"/>
    <cellStyle name="Normal 61 2 7 3 3 2 2" xfId="0"/>
    <cellStyle name="Normal 61 2 7 3 3 2 2 2" xfId="0"/>
    <cellStyle name="Normal 61 2 7 3 3 2 2 2 2" xfId="0"/>
    <cellStyle name="Normal 61 2 7 3 3 2 2 3" xfId="0"/>
    <cellStyle name="Normal 61 2 7 3 3 2 3" xfId="0"/>
    <cellStyle name="Normal 61 2 7 3 3 2 3 2" xfId="0"/>
    <cellStyle name="Normal 61 2 7 3 3 2 3 2 2" xfId="0"/>
    <cellStyle name="Normal 61 2 7 3 3 2 3 3" xfId="0"/>
    <cellStyle name="Normal 61 2 7 3 3 2 4" xfId="0"/>
    <cellStyle name="Normal 61 2 7 3 3 2 4 2" xfId="0"/>
    <cellStyle name="Normal 61 2 7 3 3 2 5" xfId="0"/>
    <cellStyle name="Normal 61 2 7 3 3 3" xfId="0"/>
    <cellStyle name="Normal 61 2 7 3 3 3 2" xfId="0"/>
    <cellStyle name="Normal 61 2 7 3 3 3 2 2" xfId="0"/>
    <cellStyle name="Normal 61 2 7 3 3 3 3" xfId="0"/>
    <cellStyle name="Normal 61 2 7 3 3 4" xfId="0"/>
    <cellStyle name="Normal 61 2 7 3 3 4 2" xfId="0"/>
    <cellStyle name="Normal 61 2 7 3 3 4 2 2" xfId="0"/>
    <cellStyle name="Normal 61 2 7 3 3 4 3" xfId="0"/>
    <cellStyle name="Normal 61 2 7 3 3 5" xfId="0"/>
    <cellStyle name="Normal 61 2 7 3 3 5 2" xfId="0"/>
    <cellStyle name="Normal 61 2 7 3 3 6" xfId="0"/>
    <cellStyle name="Normal 61 2 7 3 4" xfId="0"/>
    <cellStyle name="Normal 61 2 7 3 4 2" xfId="0"/>
    <cellStyle name="Normal 61 2 7 3 4 2 2" xfId="0"/>
    <cellStyle name="Normal 61 2 7 3 4 2 2 2" xfId="0"/>
    <cellStyle name="Normal 61 2 7 3 4 2 3" xfId="0"/>
    <cellStyle name="Normal 61 2 7 3 4 3" xfId="0"/>
    <cellStyle name="Normal 61 2 7 3 4 3 2" xfId="0"/>
    <cellStyle name="Normal 61 2 7 3 4 3 2 2" xfId="0"/>
    <cellStyle name="Normal 61 2 7 3 4 3 3" xfId="0"/>
    <cellStyle name="Normal 61 2 7 3 4 4" xfId="0"/>
    <cellStyle name="Normal 61 2 7 3 4 4 2" xfId="0"/>
    <cellStyle name="Normal 61 2 7 3 4 5" xfId="0"/>
    <cellStyle name="Normal 61 2 7 3 5" xfId="0"/>
    <cellStyle name="Normal 61 2 7 3 5 2" xfId="0"/>
    <cellStyle name="Normal 61 2 7 3 5 2 2" xfId="0"/>
    <cellStyle name="Normal 61 2 7 3 5 3" xfId="0"/>
    <cellStyle name="Normal 61 2 7 3 6" xfId="0"/>
    <cellStyle name="Normal 61 2 7 3 6 2" xfId="0"/>
    <cellStyle name="Normal 61 2 7 3 6 2 2" xfId="0"/>
    <cellStyle name="Normal 61 2 7 3 6 3" xfId="0"/>
    <cellStyle name="Normal 61 2 7 3 7" xfId="0"/>
    <cellStyle name="Normal 61 2 7 3 7 2" xfId="0"/>
    <cellStyle name="Normal 61 2 7 3 8" xfId="0"/>
    <cellStyle name="Normal 61 2 7 4" xfId="0"/>
    <cellStyle name="Normal 61 2 7 4 2" xfId="0"/>
    <cellStyle name="Normal 61 2 7 4 2 2" xfId="0"/>
    <cellStyle name="Normal 61 2 7 4 2 2 2" xfId="0"/>
    <cellStyle name="Normal 61 2 7 4 2 2 2 2" xfId="0"/>
    <cellStyle name="Normal 61 2 7 4 2 2 2 2 2" xfId="0"/>
    <cellStyle name="Normal 61 2 7 4 2 2 2 3" xfId="0"/>
    <cellStyle name="Normal 61 2 7 4 2 2 3" xfId="0"/>
    <cellStyle name="Normal 61 2 7 4 2 2 3 2" xfId="0"/>
    <cellStyle name="Normal 61 2 7 4 2 2 3 2 2" xfId="0"/>
    <cellStyle name="Normal 61 2 7 4 2 2 3 3" xfId="0"/>
    <cellStyle name="Normal 61 2 7 4 2 2 4" xfId="0"/>
    <cellStyle name="Normal 61 2 7 4 2 2 4 2" xfId="0"/>
    <cellStyle name="Normal 61 2 7 4 2 2 5" xfId="0"/>
    <cellStyle name="Normal 61 2 7 4 2 3" xfId="0"/>
    <cellStyle name="Normal 61 2 7 4 2 3 2" xfId="0"/>
    <cellStyle name="Normal 61 2 7 4 2 3 2 2" xfId="0"/>
    <cellStyle name="Normal 61 2 7 4 2 3 3" xfId="0"/>
    <cellStyle name="Normal 61 2 7 4 2 4" xfId="0"/>
    <cellStyle name="Normal 61 2 7 4 2 4 2" xfId="0"/>
    <cellStyle name="Normal 61 2 7 4 2 4 2 2" xfId="0"/>
    <cellStyle name="Normal 61 2 7 4 2 4 3" xfId="0"/>
    <cellStyle name="Normal 61 2 7 4 2 5" xfId="0"/>
    <cellStyle name="Normal 61 2 7 4 2 5 2" xfId="0"/>
    <cellStyle name="Normal 61 2 7 4 2 6" xfId="0"/>
    <cellStyle name="Normal 61 2 7 4 3" xfId="0"/>
    <cellStyle name="Normal 61 2 7 4 3 2" xfId="0"/>
    <cellStyle name="Normal 61 2 7 4 3 2 2" xfId="0"/>
    <cellStyle name="Normal 61 2 7 4 3 2 2 2" xfId="0"/>
    <cellStyle name="Normal 61 2 7 4 3 2 3" xfId="0"/>
    <cellStyle name="Normal 61 2 7 4 3 3" xfId="0"/>
    <cellStyle name="Normal 61 2 7 4 3 3 2" xfId="0"/>
    <cellStyle name="Normal 61 2 7 4 3 3 2 2" xfId="0"/>
    <cellStyle name="Normal 61 2 7 4 3 3 3" xfId="0"/>
    <cellStyle name="Normal 61 2 7 4 3 4" xfId="0"/>
    <cellStyle name="Normal 61 2 7 4 3 4 2" xfId="0"/>
    <cellStyle name="Normal 61 2 7 4 3 5" xfId="0"/>
    <cellStyle name="Normal 61 2 7 4 4" xfId="0"/>
    <cellStyle name="Normal 61 2 7 4 4 2" xfId="0"/>
    <cellStyle name="Normal 61 2 7 4 4 2 2" xfId="0"/>
    <cellStyle name="Normal 61 2 7 4 4 3" xfId="0"/>
    <cellStyle name="Normal 61 2 7 4 5" xfId="0"/>
    <cellStyle name="Normal 61 2 7 4 5 2" xfId="0"/>
    <cellStyle name="Normal 61 2 7 4 5 2 2" xfId="0"/>
    <cellStyle name="Normal 61 2 7 4 5 3" xfId="0"/>
    <cellStyle name="Normal 61 2 7 4 6" xfId="0"/>
    <cellStyle name="Normal 61 2 7 4 6 2" xfId="0"/>
    <cellStyle name="Normal 61 2 7 4 7" xfId="0"/>
    <cellStyle name="Normal 61 2 7 5" xfId="0"/>
    <cellStyle name="Normal 61 2 7 5 2" xfId="0"/>
    <cellStyle name="Normal 61 2 7 5 2 2" xfId="0"/>
    <cellStyle name="Normal 61 2 7 5 2 2 2" xfId="0"/>
    <cellStyle name="Normal 61 2 7 5 2 2 2 2" xfId="0"/>
    <cellStyle name="Normal 61 2 7 5 2 2 3" xfId="0"/>
    <cellStyle name="Normal 61 2 7 5 2 3" xfId="0"/>
    <cellStyle name="Normal 61 2 7 5 2 3 2" xfId="0"/>
    <cellStyle name="Normal 61 2 7 5 2 3 2 2" xfId="0"/>
    <cellStyle name="Normal 61 2 7 5 2 3 3" xfId="0"/>
    <cellStyle name="Normal 61 2 7 5 2 4" xfId="0"/>
    <cellStyle name="Normal 61 2 7 5 2 4 2" xfId="0"/>
    <cellStyle name="Normal 61 2 7 5 2 5" xfId="0"/>
    <cellStyle name="Normal 61 2 7 5 3" xfId="0"/>
    <cellStyle name="Normal 61 2 7 5 3 2" xfId="0"/>
    <cellStyle name="Normal 61 2 7 5 3 2 2" xfId="0"/>
    <cellStyle name="Normal 61 2 7 5 3 3" xfId="0"/>
    <cellStyle name="Normal 61 2 7 5 4" xfId="0"/>
    <cellStyle name="Normal 61 2 7 5 4 2" xfId="0"/>
    <cellStyle name="Normal 61 2 7 5 4 2 2" xfId="0"/>
    <cellStyle name="Normal 61 2 7 5 4 3" xfId="0"/>
    <cellStyle name="Normal 61 2 7 5 5" xfId="0"/>
    <cellStyle name="Normal 61 2 7 5 5 2" xfId="0"/>
    <cellStyle name="Normal 61 2 7 5 6" xfId="0"/>
    <cellStyle name="Normal 61 2 7 6" xfId="0"/>
    <cellStyle name="Normal 61 2 7 6 2" xfId="0"/>
    <cellStyle name="Normal 61 2 7 6 2 2" xfId="0"/>
    <cellStyle name="Normal 61 2 7 6 2 2 2" xfId="0"/>
    <cellStyle name="Normal 61 2 7 6 2 3" xfId="0"/>
    <cellStyle name="Normal 61 2 7 6 3" xfId="0"/>
    <cellStyle name="Normal 61 2 7 6 3 2" xfId="0"/>
    <cellStyle name="Normal 61 2 7 6 3 2 2" xfId="0"/>
    <cellStyle name="Normal 61 2 7 6 3 3" xfId="0"/>
    <cellStyle name="Normal 61 2 7 6 4" xfId="0"/>
    <cellStyle name="Normal 61 2 7 6 4 2" xfId="0"/>
    <cellStyle name="Normal 61 2 7 6 5" xfId="0"/>
    <cellStyle name="Normal 61 2 7 7" xfId="0"/>
    <cellStyle name="Normal 61 2 7 7 2" xfId="0"/>
    <cellStyle name="Normal 61 2 7 7 2 2" xfId="0"/>
    <cellStyle name="Normal 61 2 7 7 3" xfId="0"/>
    <cellStyle name="Normal 61 2 7 8" xfId="0"/>
    <cellStyle name="Normal 61 2 7 8 2" xfId="0"/>
    <cellStyle name="Normal 61 2 7 8 2 2" xfId="0"/>
    <cellStyle name="Normal 61 2 7 8 3" xfId="0"/>
    <cellStyle name="Normal 61 2 7 9" xfId="0"/>
    <cellStyle name="Normal 61 2 7 9 2" xfId="0"/>
    <cellStyle name="Normal 61 2 8" xfId="0"/>
    <cellStyle name="Normal 61 2 8 10" xfId="0"/>
    <cellStyle name="Normal 61 2 8 2" xfId="0"/>
    <cellStyle name="Normal 61 2 8 2 2" xfId="0"/>
    <cellStyle name="Normal 61 2 8 2 2 2" xfId="0"/>
    <cellStyle name="Normal 61 2 8 2 2 2 2" xfId="0"/>
    <cellStyle name="Normal 61 2 8 2 2 2 2 2" xfId="0"/>
    <cellStyle name="Normal 61 2 8 2 2 2 2 2 2" xfId="0"/>
    <cellStyle name="Normal 61 2 8 2 2 2 2 2 2 2" xfId="0"/>
    <cellStyle name="Normal 61 2 8 2 2 2 2 2 2 2 2" xfId="0"/>
    <cellStyle name="Normal 61 2 8 2 2 2 2 2 2 3" xfId="0"/>
    <cellStyle name="Normal 61 2 8 2 2 2 2 2 3" xfId="0"/>
    <cellStyle name="Normal 61 2 8 2 2 2 2 2 3 2" xfId="0"/>
    <cellStyle name="Normal 61 2 8 2 2 2 2 2 3 2 2" xfId="0"/>
    <cellStyle name="Normal 61 2 8 2 2 2 2 2 3 3" xfId="0"/>
    <cellStyle name="Normal 61 2 8 2 2 2 2 2 4" xfId="0"/>
    <cellStyle name="Normal 61 2 8 2 2 2 2 2 4 2" xfId="0"/>
    <cellStyle name="Normal 61 2 8 2 2 2 2 2 5" xfId="0"/>
    <cellStyle name="Normal 61 2 8 2 2 2 2 3" xfId="0"/>
    <cellStyle name="Normal 61 2 8 2 2 2 2 3 2" xfId="0"/>
    <cellStyle name="Normal 61 2 8 2 2 2 2 3 2 2" xfId="0"/>
    <cellStyle name="Normal 61 2 8 2 2 2 2 3 3" xfId="0"/>
    <cellStyle name="Normal 61 2 8 2 2 2 2 4" xfId="0"/>
    <cellStyle name="Normal 61 2 8 2 2 2 2 4 2" xfId="0"/>
    <cellStyle name="Normal 61 2 8 2 2 2 2 4 2 2" xfId="0"/>
    <cellStyle name="Normal 61 2 8 2 2 2 2 4 3" xfId="0"/>
    <cellStyle name="Normal 61 2 8 2 2 2 2 5" xfId="0"/>
    <cellStyle name="Normal 61 2 8 2 2 2 2 5 2" xfId="0"/>
    <cellStyle name="Normal 61 2 8 2 2 2 2 6" xfId="0"/>
    <cellStyle name="Normal 61 2 8 2 2 2 3" xfId="0"/>
    <cellStyle name="Normal 61 2 8 2 2 2 3 2" xfId="0"/>
    <cellStyle name="Normal 61 2 8 2 2 2 3 2 2" xfId="0"/>
    <cellStyle name="Normal 61 2 8 2 2 2 3 2 2 2" xfId="0"/>
    <cellStyle name="Normal 61 2 8 2 2 2 3 2 3" xfId="0"/>
    <cellStyle name="Normal 61 2 8 2 2 2 3 3" xfId="0"/>
    <cellStyle name="Normal 61 2 8 2 2 2 3 3 2" xfId="0"/>
    <cellStyle name="Normal 61 2 8 2 2 2 3 3 2 2" xfId="0"/>
    <cellStyle name="Normal 61 2 8 2 2 2 3 3 3" xfId="0"/>
    <cellStyle name="Normal 61 2 8 2 2 2 3 4" xfId="0"/>
    <cellStyle name="Normal 61 2 8 2 2 2 3 4 2" xfId="0"/>
    <cellStyle name="Normal 61 2 8 2 2 2 3 5" xfId="0"/>
    <cellStyle name="Normal 61 2 8 2 2 2 4" xfId="0"/>
    <cellStyle name="Normal 61 2 8 2 2 2 4 2" xfId="0"/>
    <cellStyle name="Normal 61 2 8 2 2 2 4 2 2" xfId="0"/>
    <cellStyle name="Normal 61 2 8 2 2 2 4 3" xfId="0"/>
    <cellStyle name="Normal 61 2 8 2 2 2 5" xfId="0"/>
    <cellStyle name="Normal 61 2 8 2 2 2 5 2" xfId="0"/>
    <cellStyle name="Normal 61 2 8 2 2 2 5 2 2" xfId="0"/>
    <cellStyle name="Normal 61 2 8 2 2 2 5 3" xfId="0"/>
    <cellStyle name="Normal 61 2 8 2 2 2 6" xfId="0"/>
    <cellStyle name="Normal 61 2 8 2 2 2 6 2" xfId="0"/>
    <cellStyle name="Normal 61 2 8 2 2 2 7" xfId="0"/>
    <cellStyle name="Normal 61 2 8 2 2 3" xfId="0"/>
    <cellStyle name="Normal 61 2 8 2 2 3 2" xfId="0"/>
    <cellStyle name="Normal 61 2 8 2 2 3 2 2" xfId="0"/>
    <cellStyle name="Normal 61 2 8 2 2 3 2 2 2" xfId="0"/>
    <cellStyle name="Normal 61 2 8 2 2 3 2 2 2 2" xfId="0"/>
    <cellStyle name="Normal 61 2 8 2 2 3 2 2 3" xfId="0"/>
    <cellStyle name="Normal 61 2 8 2 2 3 2 3" xfId="0"/>
    <cellStyle name="Normal 61 2 8 2 2 3 2 3 2" xfId="0"/>
    <cellStyle name="Normal 61 2 8 2 2 3 2 3 2 2" xfId="0"/>
    <cellStyle name="Normal 61 2 8 2 2 3 2 3 3" xfId="0"/>
    <cellStyle name="Normal 61 2 8 2 2 3 2 4" xfId="0"/>
    <cellStyle name="Normal 61 2 8 2 2 3 2 4 2" xfId="0"/>
    <cellStyle name="Normal 61 2 8 2 2 3 2 5" xfId="0"/>
    <cellStyle name="Normal 61 2 8 2 2 3 3" xfId="0"/>
    <cellStyle name="Normal 61 2 8 2 2 3 3 2" xfId="0"/>
    <cellStyle name="Normal 61 2 8 2 2 3 3 2 2" xfId="0"/>
    <cellStyle name="Normal 61 2 8 2 2 3 3 3" xfId="0"/>
    <cellStyle name="Normal 61 2 8 2 2 3 4" xfId="0"/>
    <cellStyle name="Normal 61 2 8 2 2 3 4 2" xfId="0"/>
    <cellStyle name="Normal 61 2 8 2 2 3 4 2 2" xfId="0"/>
    <cellStyle name="Normal 61 2 8 2 2 3 4 3" xfId="0"/>
    <cellStyle name="Normal 61 2 8 2 2 3 5" xfId="0"/>
    <cellStyle name="Normal 61 2 8 2 2 3 5 2" xfId="0"/>
    <cellStyle name="Normal 61 2 8 2 2 3 6" xfId="0"/>
    <cellStyle name="Normal 61 2 8 2 2 4" xfId="0"/>
    <cellStyle name="Normal 61 2 8 2 2 4 2" xfId="0"/>
    <cellStyle name="Normal 61 2 8 2 2 4 2 2" xfId="0"/>
    <cellStyle name="Normal 61 2 8 2 2 4 2 2 2" xfId="0"/>
    <cellStyle name="Normal 61 2 8 2 2 4 2 3" xfId="0"/>
    <cellStyle name="Normal 61 2 8 2 2 4 3" xfId="0"/>
    <cellStyle name="Normal 61 2 8 2 2 4 3 2" xfId="0"/>
    <cellStyle name="Normal 61 2 8 2 2 4 3 2 2" xfId="0"/>
    <cellStyle name="Normal 61 2 8 2 2 4 3 3" xfId="0"/>
    <cellStyle name="Normal 61 2 8 2 2 4 4" xfId="0"/>
    <cellStyle name="Normal 61 2 8 2 2 4 4 2" xfId="0"/>
    <cellStyle name="Normal 61 2 8 2 2 4 5" xfId="0"/>
    <cellStyle name="Normal 61 2 8 2 2 5" xfId="0"/>
    <cellStyle name="Normal 61 2 8 2 2 5 2" xfId="0"/>
    <cellStyle name="Normal 61 2 8 2 2 5 2 2" xfId="0"/>
    <cellStyle name="Normal 61 2 8 2 2 5 3" xfId="0"/>
    <cellStyle name="Normal 61 2 8 2 2 6" xfId="0"/>
    <cellStyle name="Normal 61 2 8 2 2 6 2" xfId="0"/>
    <cellStyle name="Normal 61 2 8 2 2 6 2 2" xfId="0"/>
    <cellStyle name="Normal 61 2 8 2 2 6 3" xfId="0"/>
    <cellStyle name="Normal 61 2 8 2 2 7" xfId="0"/>
    <cellStyle name="Normal 61 2 8 2 2 7 2" xfId="0"/>
    <cellStyle name="Normal 61 2 8 2 2 8" xfId="0"/>
    <cellStyle name="Normal 61 2 8 2 3" xfId="0"/>
    <cellStyle name="Normal 61 2 8 2 3 2" xfId="0"/>
    <cellStyle name="Normal 61 2 8 2 3 2 2" xfId="0"/>
    <cellStyle name="Normal 61 2 8 2 3 2 2 2" xfId="0"/>
    <cellStyle name="Normal 61 2 8 2 3 2 2 2 2" xfId="0"/>
    <cellStyle name="Normal 61 2 8 2 3 2 2 2 2 2" xfId="0"/>
    <cellStyle name="Normal 61 2 8 2 3 2 2 2 3" xfId="0"/>
    <cellStyle name="Normal 61 2 8 2 3 2 2 3" xfId="0"/>
    <cellStyle name="Normal 61 2 8 2 3 2 2 3 2" xfId="0"/>
    <cellStyle name="Normal 61 2 8 2 3 2 2 3 2 2" xfId="0"/>
    <cellStyle name="Normal 61 2 8 2 3 2 2 3 3" xfId="0"/>
    <cellStyle name="Normal 61 2 8 2 3 2 2 4" xfId="0"/>
    <cellStyle name="Normal 61 2 8 2 3 2 2 4 2" xfId="0"/>
    <cellStyle name="Normal 61 2 8 2 3 2 2 5" xfId="0"/>
    <cellStyle name="Normal 61 2 8 2 3 2 3" xfId="0"/>
    <cellStyle name="Normal 61 2 8 2 3 2 3 2" xfId="0"/>
    <cellStyle name="Normal 61 2 8 2 3 2 3 2 2" xfId="0"/>
    <cellStyle name="Normal 61 2 8 2 3 2 3 3" xfId="0"/>
    <cellStyle name="Normal 61 2 8 2 3 2 4" xfId="0"/>
    <cellStyle name="Normal 61 2 8 2 3 2 4 2" xfId="0"/>
    <cellStyle name="Normal 61 2 8 2 3 2 4 2 2" xfId="0"/>
    <cellStyle name="Normal 61 2 8 2 3 2 4 3" xfId="0"/>
    <cellStyle name="Normal 61 2 8 2 3 2 5" xfId="0"/>
    <cellStyle name="Normal 61 2 8 2 3 2 5 2" xfId="0"/>
    <cellStyle name="Normal 61 2 8 2 3 2 6" xfId="0"/>
    <cellStyle name="Normal 61 2 8 2 3 3" xfId="0"/>
    <cellStyle name="Normal 61 2 8 2 3 3 2" xfId="0"/>
    <cellStyle name="Normal 61 2 8 2 3 3 2 2" xfId="0"/>
    <cellStyle name="Normal 61 2 8 2 3 3 2 2 2" xfId="0"/>
    <cellStyle name="Normal 61 2 8 2 3 3 2 3" xfId="0"/>
    <cellStyle name="Normal 61 2 8 2 3 3 3" xfId="0"/>
    <cellStyle name="Normal 61 2 8 2 3 3 3 2" xfId="0"/>
    <cellStyle name="Normal 61 2 8 2 3 3 3 2 2" xfId="0"/>
    <cellStyle name="Normal 61 2 8 2 3 3 3 3" xfId="0"/>
    <cellStyle name="Normal 61 2 8 2 3 3 4" xfId="0"/>
    <cellStyle name="Normal 61 2 8 2 3 3 4 2" xfId="0"/>
    <cellStyle name="Normal 61 2 8 2 3 3 5" xfId="0"/>
    <cellStyle name="Normal 61 2 8 2 3 4" xfId="0"/>
    <cellStyle name="Normal 61 2 8 2 3 4 2" xfId="0"/>
    <cellStyle name="Normal 61 2 8 2 3 4 2 2" xfId="0"/>
    <cellStyle name="Normal 61 2 8 2 3 4 3" xfId="0"/>
    <cellStyle name="Normal 61 2 8 2 3 5" xfId="0"/>
    <cellStyle name="Normal 61 2 8 2 3 5 2" xfId="0"/>
    <cellStyle name="Normal 61 2 8 2 3 5 2 2" xfId="0"/>
    <cellStyle name="Normal 61 2 8 2 3 5 3" xfId="0"/>
    <cellStyle name="Normal 61 2 8 2 3 6" xfId="0"/>
    <cellStyle name="Normal 61 2 8 2 3 6 2" xfId="0"/>
    <cellStyle name="Normal 61 2 8 2 3 7" xfId="0"/>
    <cellStyle name="Normal 61 2 8 2 4" xfId="0"/>
    <cellStyle name="Normal 61 2 8 2 4 2" xfId="0"/>
    <cellStyle name="Normal 61 2 8 2 4 2 2" xfId="0"/>
    <cellStyle name="Normal 61 2 8 2 4 2 2 2" xfId="0"/>
    <cellStyle name="Normal 61 2 8 2 4 2 2 2 2" xfId="0"/>
    <cellStyle name="Normal 61 2 8 2 4 2 2 3" xfId="0"/>
    <cellStyle name="Normal 61 2 8 2 4 2 3" xfId="0"/>
    <cellStyle name="Normal 61 2 8 2 4 2 3 2" xfId="0"/>
    <cellStyle name="Normal 61 2 8 2 4 2 3 2 2" xfId="0"/>
    <cellStyle name="Normal 61 2 8 2 4 2 3 3" xfId="0"/>
    <cellStyle name="Normal 61 2 8 2 4 2 4" xfId="0"/>
    <cellStyle name="Normal 61 2 8 2 4 2 4 2" xfId="0"/>
    <cellStyle name="Normal 61 2 8 2 4 2 5" xfId="0"/>
    <cellStyle name="Normal 61 2 8 2 4 3" xfId="0"/>
    <cellStyle name="Normal 61 2 8 2 4 3 2" xfId="0"/>
    <cellStyle name="Normal 61 2 8 2 4 3 2 2" xfId="0"/>
    <cellStyle name="Normal 61 2 8 2 4 3 3" xfId="0"/>
    <cellStyle name="Normal 61 2 8 2 4 4" xfId="0"/>
    <cellStyle name="Normal 61 2 8 2 4 4 2" xfId="0"/>
    <cellStyle name="Normal 61 2 8 2 4 4 2 2" xfId="0"/>
    <cellStyle name="Normal 61 2 8 2 4 4 3" xfId="0"/>
    <cellStyle name="Normal 61 2 8 2 4 5" xfId="0"/>
    <cellStyle name="Normal 61 2 8 2 4 5 2" xfId="0"/>
    <cellStyle name="Normal 61 2 8 2 4 6" xfId="0"/>
    <cellStyle name="Normal 61 2 8 2 5" xfId="0"/>
    <cellStyle name="Normal 61 2 8 2 5 2" xfId="0"/>
    <cellStyle name="Normal 61 2 8 2 5 2 2" xfId="0"/>
    <cellStyle name="Normal 61 2 8 2 5 2 2 2" xfId="0"/>
    <cellStyle name="Normal 61 2 8 2 5 2 3" xfId="0"/>
    <cellStyle name="Normal 61 2 8 2 5 3" xfId="0"/>
    <cellStyle name="Normal 61 2 8 2 5 3 2" xfId="0"/>
    <cellStyle name="Normal 61 2 8 2 5 3 2 2" xfId="0"/>
    <cellStyle name="Normal 61 2 8 2 5 3 3" xfId="0"/>
    <cellStyle name="Normal 61 2 8 2 5 4" xfId="0"/>
    <cellStyle name="Normal 61 2 8 2 5 4 2" xfId="0"/>
    <cellStyle name="Normal 61 2 8 2 5 5" xfId="0"/>
    <cellStyle name="Normal 61 2 8 2 6" xfId="0"/>
    <cellStyle name="Normal 61 2 8 2 6 2" xfId="0"/>
    <cellStyle name="Normal 61 2 8 2 6 2 2" xfId="0"/>
    <cellStyle name="Normal 61 2 8 2 6 3" xfId="0"/>
    <cellStyle name="Normal 61 2 8 2 7" xfId="0"/>
    <cellStyle name="Normal 61 2 8 2 7 2" xfId="0"/>
    <cellStyle name="Normal 61 2 8 2 7 2 2" xfId="0"/>
    <cellStyle name="Normal 61 2 8 2 7 3" xfId="0"/>
    <cellStyle name="Normal 61 2 8 2 8" xfId="0"/>
    <cellStyle name="Normal 61 2 8 2 8 2" xfId="0"/>
    <cellStyle name="Normal 61 2 8 2 9" xfId="0"/>
    <cellStyle name="Normal 61 2 8 3" xfId="0"/>
    <cellStyle name="Normal 61 2 8 3 2" xfId="0"/>
    <cellStyle name="Normal 61 2 8 3 2 2" xfId="0"/>
    <cellStyle name="Normal 61 2 8 3 2 2 2" xfId="0"/>
    <cellStyle name="Normal 61 2 8 3 2 2 2 2" xfId="0"/>
    <cellStyle name="Normal 61 2 8 3 2 2 2 2 2" xfId="0"/>
    <cellStyle name="Normal 61 2 8 3 2 2 2 2 2 2" xfId="0"/>
    <cellStyle name="Normal 61 2 8 3 2 2 2 2 3" xfId="0"/>
    <cellStyle name="Normal 61 2 8 3 2 2 2 3" xfId="0"/>
    <cellStyle name="Normal 61 2 8 3 2 2 2 3 2" xfId="0"/>
    <cellStyle name="Normal 61 2 8 3 2 2 2 3 2 2" xfId="0"/>
    <cellStyle name="Normal 61 2 8 3 2 2 2 3 3" xfId="0"/>
    <cellStyle name="Normal 61 2 8 3 2 2 2 4" xfId="0"/>
    <cellStyle name="Normal 61 2 8 3 2 2 2 4 2" xfId="0"/>
    <cellStyle name="Normal 61 2 8 3 2 2 2 5" xfId="0"/>
    <cellStyle name="Normal 61 2 8 3 2 2 3" xfId="0"/>
    <cellStyle name="Normal 61 2 8 3 2 2 3 2" xfId="0"/>
    <cellStyle name="Normal 61 2 8 3 2 2 3 2 2" xfId="0"/>
    <cellStyle name="Normal 61 2 8 3 2 2 3 3" xfId="0"/>
    <cellStyle name="Normal 61 2 8 3 2 2 4" xfId="0"/>
    <cellStyle name="Normal 61 2 8 3 2 2 4 2" xfId="0"/>
    <cellStyle name="Normal 61 2 8 3 2 2 4 2 2" xfId="0"/>
    <cellStyle name="Normal 61 2 8 3 2 2 4 3" xfId="0"/>
    <cellStyle name="Normal 61 2 8 3 2 2 5" xfId="0"/>
    <cellStyle name="Normal 61 2 8 3 2 2 5 2" xfId="0"/>
    <cellStyle name="Normal 61 2 8 3 2 2 6" xfId="0"/>
    <cellStyle name="Normal 61 2 8 3 2 3" xfId="0"/>
    <cellStyle name="Normal 61 2 8 3 2 3 2" xfId="0"/>
    <cellStyle name="Normal 61 2 8 3 2 3 2 2" xfId="0"/>
    <cellStyle name="Normal 61 2 8 3 2 3 2 2 2" xfId="0"/>
    <cellStyle name="Normal 61 2 8 3 2 3 2 3" xfId="0"/>
    <cellStyle name="Normal 61 2 8 3 2 3 3" xfId="0"/>
    <cellStyle name="Normal 61 2 8 3 2 3 3 2" xfId="0"/>
    <cellStyle name="Normal 61 2 8 3 2 3 3 2 2" xfId="0"/>
    <cellStyle name="Normal 61 2 8 3 2 3 3 3" xfId="0"/>
    <cellStyle name="Normal 61 2 8 3 2 3 4" xfId="0"/>
    <cellStyle name="Normal 61 2 8 3 2 3 4 2" xfId="0"/>
    <cellStyle name="Normal 61 2 8 3 2 3 5" xfId="0"/>
    <cellStyle name="Normal 61 2 8 3 2 4" xfId="0"/>
    <cellStyle name="Normal 61 2 8 3 2 4 2" xfId="0"/>
    <cellStyle name="Normal 61 2 8 3 2 4 2 2" xfId="0"/>
    <cellStyle name="Normal 61 2 8 3 2 4 3" xfId="0"/>
    <cellStyle name="Normal 61 2 8 3 2 5" xfId="0"/>
    <cellStyle name="Normal 61 2 8 3 2 5 2" xfId="0"/>
    <cellStyle name="Normal 61 2 8 3 2 5 2 2" xfId="0"/>
    <cellStyle name="Normal 61 2 8 3 2 5 3" xfId="0"/>
    <cellStyle name="Normal 61 2 8 3 2 6" xfId="0"/>
    <cellStyle name="Normal 61 2 8 3 2 6 2" xfId="0"/>
    <cellStyle name="Normal 61 2 8 3 2 7" xfId="0"/>
    <cellStyle name="Normal 61 2 8 3 3" xfId="0"/>
    <cellStyle name="Normal 61 2 8 3 3 2" xfId="0"/>
    <cellStyle name="Normal 61 2 8 3 3 2 2" xfId="0"/>
    <cellStyle name="Normal 61 2 8 3 3 2 2 2" xfId="0"/>
    <cellStyle name="Normal 61 2 8 3 3 2 2 2 2" xfId="0"/>
    <cellStyle name="Normal 61 2 8 3 3 2 2 3" xfId="0"/>
    <cellStyle name="Normal 61 2 8 3 3 2 3" xfId="0"/>
    <cellStyle name="Normal 61 2 8 3 3 2 3 2" xfId="0"/>
    <cellStyle name="Normal 61 2 8 3 3 2 3 2 2" xfId="0"/>
    <cellStyle name="Normal 61 2 8 3 3 2 3 3" xfId="0"/>
    <cellStyle name="Normal 61 2 8 3 3 2 4" xfId="0"/>
    <cellStyle name="Normal 61 2 8 3 3 2 4 2" xfId="0"/>
    <cellStyle name="Normal 61 2 8 3 3 2 5" xfId="0"/>
    <cellStyle name="Normal 61 2 8 3 3 3" xfId="0"/>
    <cellStyle name="Normal 61 2 8 3 3 3 2" xfId="0"/>
    <cellStyle name="Normal 61 2 8 3 3 3 2 2" xfId="0"/>
    <cellStyle name="Normal 61 2 8 3 3 3 3" xfId="0"/>
    <cellStyle name="Normal 61 2 8 3 3 4" xfId="0"/>
    <cellStyle name="Normal 61 2 8 3 3 4 2" xfId="0"/>
    <cellStyle name="Normal 61 2 8 3 3 4 2 2" xfId="0"/>
    <cellStyle name="Normal 61 2 8 3 3 4 3" xfId="0"/>
    <cellStyle name="Normal 61 2 8 3 3 5" xfId="0"/>
    <cellStyle name="Normal 61 2 8 3 3 5 2" xfId="0"/>
    <cellStyle name="Normal 61 2 8 3 3 6" xfId="0"/>
    <cellStyle name="Normal 61 2 8 3 4" xfId="0"/>
    <cellStyle name="Normal 61 2 8 3 4 2" xfId="0"/>
    <cellStyle name="Normal 61 2 8 3 4 2 2" xfId="0"/>
    <cellStyle name="Normal 61 2 8 3 4 2 2 2" xfId="0"/>
    <cellStyle name="Normal 61 2 8 3 4 2 3" xfId="0"/>
    <cellStyle name="Normal 61 2 8 3 4 3" xfId="0"/>
    <cellStyle name="Normal 61 2 8 3 4 3 2" xfId="0"/>
    <cellStyle name="Normal 61 2 8 3 4 3 2 2" xfId="0"/>
    <cellStyle name="Normal 61 2 8 3 4 3 3" xfId="0"/>
    <cellStyle name="Normal 61 2 8 3 4 4" xfId="0"/>
    <cellStyle name="Normal 61 2 8 3 4 4 2" xfId="0"/>
    <cellStyle name="Normal 61 2 8 3 4 5" xfId="0"/>
    <cellStyle name="Normal 61 2 8 3 5" xfId="0"/>
    <cellStyle name="Normal 61 2 8 3 5 2" xfId="0"/>
    <cellStyle name="Normal 61 2 8 3 5 2 2" xfId="0"/>
    <cellStyle name="Normal 61 2 8 3 5 3" xfId="0"/>
    <cellStyle name="Normal 61 2 8 3 6" xfId="0"/>
    <cellStyle name="Normal 61 2 8 3 6 2" xfId="0"/>
    <cellStyle name="Normal 61 2 8 3 6 2 2" xfId="0"/>
    <cellStyle name="Normal 61 2 8 3 6 3" xfId="0"/>
    <cellStyle name="Normal 61 2 8 3 7" xfId="0"/>
    <cellStyle name="Normal 61 2 8 3 7 2" xfId="0"/>
    <cellStyle name="Normal 61 2 8 3 8" xfId="0"/>
    <cellStyle name="Normal 61 2 8 4" xfId="0"/>
    <cellStyle name="Normal 61 2 8 4 2" xfId="0"/>
    <cellStyle name="Normal 61 2 8 4 2 2" xfId="0"/>
    <cellStyle name="Normal 61 2 8 4 2 2 2" xfId="0"/>
    <cellStyle name="Normal 61 2 8 4 2 2 2 2" xfId="0"/>
    <cellStyle name="Normal 61 2 8 4 2 2 2 2 2" xfId="0"/>
    <cellStyle name="Normal 61 2 8 4 2 2 2 3" xfId="0"/>
    <cellStyle name="Normal 61 2 8 4 2 2 3" xfId="0"/>
    <cellStyle name="Normal 61 2 8 4 2 2 3 2" xfId="0"/>
    <cellStyle name="Normal 61 2 8 4 2 2 3 2 2" xfId="0"/>
    <cellStyle name="Normal 61 2 8 4 2 2 3 3" xfId="0"/>
    <cellStyle name="Normal 61 2 8 4 2 2 4" xfId="0"/>
    <cellStyle name="Normal 61 2 8 4 2 2 4 2" xfId="0"/>
    <cellStyle name="Normal 61 2 8 4 2 2 5" xfId="0"/>
    <cellStyle name="Normal 61 2 8 4 2 3" xfId="0"/>
    <cellStyle name="Normal 61 2 8 4 2 3 2" xfId="0"/>
    <cellStyle name="Normal 61 2 8 4 2 3 2 2" xfId="0"/>
    <cellStyle name="Normal 61 2 8 4 2 3 3" xfId="0"/>
    <cellStyle name="Normal 61 2 8 4 2 4" xfId="0"/>
    <cellStyle name="Normal 61 2 8 4 2 4 2" xfId="0"/>
    <cellStyle name="Normal 61 2 8 4 2 4 2 2" xfId="0"/>
    <cellStyle name="Normal 61 2 8 4 2 4 3" xfId="0"/>
    <cellStyle name="Normal 61 2 8 4 2 5" xfId="0"/>
    <cellStyle name="Normal 61 2 8 4 2 5 2" xfId="0"/>
    <cellStyle name="Normal 61 2 8 4 2 6" xfId="0"/>
    <cellStyle name="Normal 61 2 8 4 3" xfId="0"/>
    <cellStyle name="Normal 61 2 8 4 3 2" xfId="0"/>
    <cellStyle name="Normal 61 2 8 4 3 2 2" xfId="0"/>
    <cellStyle name="Normal 61 2 8 4 3 2 2 2" xfId="0"/>
    <cellStyle name="Normal 61 2 8 4 3 2 3" xfId="0"/>
    <cellStyle name="Normal 61 2 8 4 3 3" xfId="0"/>
    <cellStyle name="Normal 61 2 8 4 3 3 2" xfId="0"/>
    <cellStyle name="Normal 61 2 8 4 3 3 2 2" xfId="0"/>
    <cellStyle name="Normal 61 2 8 4 3 3 3" xfId="0"/>
    <cellStyle name="Normal 61 2 8 4 3 4" xfId="0"/>
    <cellStyle name="Normal 61 2 8 4 3 4 2" xfId="0"/>
    <cellStyle name="Normal 61 2 8 4 3 5" xfId="0"/>
    <cellStyle name="Normal 61 2 8 4 4" xfId="0"/>
    <cellStyle name="Normal 61 2 8 4 4 2" xfId="0"/>
    <cellStyle name="Normal 61 2 8 4 4 2 2" xfId="0"/>
    <cellStyle name="Normal 61 2 8 4 4 3" xfId="0"/>
    <cellStyle name="Normal 61 2 8 4 5" xfId="0"/>
    <cellStyle name="Normal 61 2 8 4 5 2" xfId="0"/>
    <cellStyle name="Normal 61 2 8 4 5 2 2" xfId="0"/>
    <cellStyle name="Normal 61 2 8 4 5 3" xfId="0"/>
    <cellStyle name="Normal 61 2 8 4 6" xfId="0"/>
    <cellStyle name="Normal 61 2 8 4 6 2" xfId="0"/>
    <cellStyle name="Normal 61 2 8 4 7" xfId="0"/>
    <cellStyle name="Normal 61 2 8 5" xfId="0"/>
    <cellStyle name="Normal 61 2 8 5 2" xfId="0"/>
    <cellStyle name="Normal 61 2 8 5 2 2" xfId="0"/>
    <cellStyle name="Normal 61 2 8 5 2 2 2" xfId="0"/>
    <cellStyle name="Normal 61 2 8 5 2 2 2 2" xfId="0"/>
    <cellStyle name="Normal 61 2 8 5 2 2 3" xfId="0"/>
    <cellStyle name="Normal 61 2 8 5 2 3" xfId="0"/>
    <cellStyle name="Normal 61 2 8 5 2 3 2" xfId="0"/>
    <cellStyle name="Normal 61 2 8 5 2 3 2 2" xfId="0"/>
    <cellStyle name="Normal 61 2 8 5 2 3 3" xfId="0"/>
    <cellStyle name="Normal 61 2 8 5 2 4" xfId="0"/>
    <cellStyle name="Normal 61 2 8 5 2 4 2" xfId="0"/>
    <cellStyle name="Normal 61 2 8 5 2 5" xfId="0"/>
    <cellStyle name="Normal 61 2 8 5 3" xfId="0"/>
    <cellStyle name="Normal 61 2 8 5 3 2" xfId="0"/>
    <cellStyle name="Normal 61 2 8 5 3 2 2" xfId="0"/>
    <cellStyle name="Normal 61 2 8 5 3 3" xfId="0"/>
    <cellStyle name="Normal 61 2 8 5 4" xfId="0"/>
    <cellStyle name="Normal 61 2 8 5 4 2" xfId="0"/>
    <cellStyle name="Normal 61 2 8 5 4 2 2" xfId="0"/>
    <cellStyle name="Normal 61 2 8 5 4 3" xfId="0"/>
    <cellStyle name="Normal 61 2 8 5 5" xfId="0"/>
    <cellStyle name="Normal 61 2 8 5 5 2" xfId="0"/>
    <cellStyle name="Normal 61 2 8 5 6" xfId="0"/>
    <cellStyle name="Normal 61 2 8 6" xfId="0"/>
    <cellStyle name="Normal 61 2 8 6 2" xfId="0"/>
    <cellStyle name="Normal 61 2 8 6 2 2" xfId="0"/>
    <cellStyle name="Normal 61 2 8 6 2 2 2" xfId="0"/>
    <cellStyle name="Normal 61 2 8 6 2 3" xfId="0"/>
    <cellStyle name="Normal 61 2 8 6 3" xfId="0"/>
    <cellStyle name="Normal 61 2 8 6 3 2" xfId="0"/>
    <cellStyle name="Normal 61 2 8 6 3 2 2" xfId="0"/>
    <cellStyle name="Normal 61 2 8 6 3 3" xfId="0"/>
    <cellStyle name="Normal 61 2 8 6 4" xfId="0"/>
    <cellStyle name="Normal 61 2 8 6 4 2" xfId="0"/>
    <cellStyle name="Normal 61 2 8 6 5" xfId="0"/>
    <cellStyle name="Normal 61 2 8 7" xfId="0"/>
    <cellStyle name="Normal 61 2 8 7 2" xfId="0"/>
    <cellStyle name="Normal 61 2 8 7 2 2" xfId="0"/>
    <cellStyle name="Normal 61 2 8 7 3" xfId="0"/>
    <cellStyle name="Normal 61 2 8 8" xfId="0"/>
    <cellStyle name="Normal 61 2 8 8 2" xfId="0"/>
    <cellStyle name="Normal 61 2 8 8 2 2" xfId="0"/>
    <cellStyle name="Normal 61 2 8 8 3" xfId="0"/>
    <cellStyle name="Normal 61 2 8 9" xfId="0"/>
    <cellStyle name="Normal 61 2 8 9 2" xfId="0"/>
    <cellStyle name="Normal 61 2 9" xfId="0"/>
    <cellStyle name="Normal 61 2 9 2" xfId="0"/>
    <cellStyle name="Normal 61 2 9 2 2" xfId="0"/>
    <cellStyle name="Normal 61 2 9 2 2 2" xfId="0"/>
    <cellStyle name="Normal 61 2 9 2 2 2 2" xfId="0"/>
    <cellStyle name="Normal 61 2 9 2 2 2 2 2" xfId="0"/>
    <cellStyle name="Normal 61 2 9 2 2 2 2 2 2" xfId="0"/>
    <cellStyle name="Normal 61 2 9 2 2 2 2 2 2 2" xfId="0"/>
    <cellStyle name="Normal 61 2 9 2 2 2 2 2 3" xfId="0"/>
    <cellStyle name="Normal 61 2 9 2 2 2 2 3" xfId="0"/>
    <cellStyle name="Normal 61 2 9 2 2 2 2 3 2" xfId="0"/>
    <cellStyle name="Normal 61 2 9 2 2 2 2 3 2 2" xfId="0"/>
    <cellStyle name="Normal 61 2 9 2 2 2 2 3 3" xfId="0"/>
    <cellStyle name="Normal 61 2 9 2 2 2 2 4" xfId="0"/>
    <cellStyle name="Normal 61 2 9 2 2 2 2 4 2" xfId="0"/>
    <cellStyle name="Normal 61 2 9 2 2 2 2 5" xfId="0"/>
    <cellStyle name="Normal 61 2 9 2 2 2 3" xfId="0"/>
    <cellStyle name="Normal 61 2 9 2 2 2 3 2" xfId="0"/>
    <cellStyle name="Normal 61 2 9 2 2 2 3 2 2" xfId="0"/>
    <cellStyle name="Normal 61 2 9 2 2 2 3 3" xfId="0"/>
    <cellStyle name="Normal 61 2 9 2 2 2 4" xfId="0"/>
    <cellStyle name="Normal 61 2 9 2 2 2 4 2" xfId="0"/>
    <cellStyle name="Normal 61 2 9 2 2 2 4 2 2" xfId="0"/>
    <cellStyle name="Normal 61 2 9 2 2 2 4 3" xfId="0"/>
    <cellStyle name="Normal 61 2 9 2 2 2 5" xfId="0"/>
    <cellStyle name="Normal 61 2 9 2 2 2 5 2" xfId="0"/>
    <cellStyle name="Normal 61 2 9 2 2 2 6" xfId="0"/>
    <cellStyle name="Normal 61 2 9 2 2 3" xfId="0"/>
    <cellStyle name="Normal 61 2 9 2 2 3 2" xfId="0"/>
    <cellStyle name="Normal 61 2 9 2 2 3 2 2" xfId="0"/>
    <cellStyle name="Normal 61 2 9 2 2 3 2 2 2" xfId="0"/>
    <cellStyle name="Normal 61 2 9 2 2 3 2 3" xfId="0"/>
    <cellStyle name="Normal 61 2 9 2 2 3 3" xfId="0"/>
    <cellStyle name="Normal 61 2 9 2 2 3 3 2" xfId="0"/>
    <cellStyle name="Normal 61 2 9 2 2 3 3 2 2" xfId="0"/>
    <cellStyle name="Normal 61 2 9 2 2 3 3 3" xfId="0"/>
    <cellStyle name="Normal 61 2 9 2 2 3 4" xfId="0"/>
    <cellStyle name="Normal 61 2 9 2 2 3 4 2" xfId="0"/>
    <cellStyle name="Normal 61 2 9 2 2 3 5" xfId="0"/>
    <cellStyle name="Normal 61 2 9 2 2 4" xfId="0"/>
    <cellStyle name="Normal 61 2 9 2 2 4 2" xfId="0"/>
    <cellStyle name="Normal 61 2 9 2 2 4 2 2" xfId="0"/>
    <cellStyle name="Normal 61 2 9 2 2 4 3" xfId="0"/>
    <cellStyle name="Normal 61 2 9 2 2 5" xfId="0"/>
    <cellStyle name="Normal 61 2 9 2 2 5 2" xfId="0"/>
    <cellStyle name="Normal 61 2 9 2 2 5 2 2" xfId="0"/>
    <cellStyle name="Normal 61 2 9 2 2 5 3" xfId="0"/>
    <cellStyle name="Normal 61 2 9 2 2 6" xfId="0"/>
    <cellStyle name="Normal 61 2 9 2 2 6 2" xfId="0"/>
    <cellStyle name="Normal 61 2 9 2 2 7" xfId="0"/>
    <cellStyle name="Normal 61 2 9 2 3" xfId="0"/>
    <cellStyle name="Normal 61 2 9 2 3 2" xfId="0"/>
    <cellStyle name="Normal 61 2 9 2 3 2 2" xfId="0"/>
    <cellStyle name="Normal 61 2 9 2 3 2 2 2" xfId="0"/>
    <cellStyle name="Normal 61 2 9 2 3 2 2 2 2" xfId="0"/>
    <cellStyle name="Normal 61 2 9 2 3 2 2 3" xfId="0"/>
    <cellStyle name="Normal 61 2 9 2 3 2 3" xfId="0"/>
    <cellStyle name="Normal 61 2 9 2 3 2 3 2" xfId="0"/>
    <cellStyle name="Normal 61 2 9 2 3 2 3 2 2" xfId="0"/>
    <cellStyle name="Normal 61 2 9 2 3 2 3 3" xfId="0"/>
    <cellStyle name="Normal 61 2 9 2 3 2 4" xfId="0"/>
    <cellStyle name="Normal 61 2 9 2 3 2 4 2" xfId="0"/>
    <cellStyle name="Normal 61 2 9 2 3 2 5" xfId="0"/>
    <cellStyle name="Normal 61 2 9 2 3 3" xfId="0"/>
    <cellStyle name="Normal 61 2 9 2 3 3 2" xfId="0"/>
    <cellStyle name="Normal 61 2 9 2 3 3 2 2" xfId="0"/>
    <cellStyle name="Normal 61 2 9 2 3 3 3" xfId="0"/>
    <cellStyle name="Normal 61 2 9 2 3 4" xfId="0"/>
    <cellStyle name="Normal 61 2 9 2 3 4 2" xfId="0"/>
    <cellStyle name="Normal 61 2 9 2 3 4 2 2" xfId="0"/>
    <cellStyle name="Normal 61 2 9 2 3 4 3" xfId="0"/>
    <cellStyle name="Normal 61 2 9 2 3 5" xfId="0"/>
    <cellStyle name="Normal 61 2 9 2 3 5 2" xfId="0"/>
    <cellStyle name="Normal 61 2 9 2 3 6" xfId="0"/>
    <cellStyle name="Normal 61 2 9 2 4" xfId="0"/>
    <cellStyle name="Normal 61 2 9 2 4 2" xfId="0"/>
    <cellStyle name="Normal 61 2 9 2 4 2 2" xfId="0"/>
    <cellStyle name="Normal 61 2 9 2 4 2 2 2" xfId="0"/>
    <cellStyle name="Normal 61 2 9 2 4 2 3" xfId="0"/>
    <cellStyle name="Normal 61 2 9 2 4 3" xfId="0"/>
    <cellStyle name="Normal 61 2 9 2 4 3 2" xfId="0"/>
    <cellStyle name="Normal 61 2 9 2 4 3 2 2" xfId="0"/>
    <cellStyle name="Normal 61 2 9 2 4 3 3" xfId="0"/>
    <cellStyle name="Normal 61 2 9 2 4 4" xfId="0"/>
    <cellStyle name="Normal 61 2 9 2 4 4 2" xfId="0"/>
    <cellStyle name="Normal 61 2 9 2 4 5" xfId="0"/>
    <cellStyle name="Normal 61 2 9 2 5" xfId="0"/>
    <cellStyle name="Normal 61 2 9 2 5 2" xfId="0"/>
    <cellStyle name="Normal 61 2 9 2 5 2 2" xfId="0"/>
    <cellStyle name="Normal 61 2 9 2 5 3" xfId="0"/>
    <cellStyle name="Normal 61 2 9 2 6" xfId="0"/>
    <cellStyle name="Normal 61 2 9 2 6 2" xfId="0"/>
    <cellStyle name="Normal 61 2 9 2 6 2 2" xfId="0"/>
    <cellStyle name="Normal 61 2 9 2 6 3" xfId="0"/>
    <cellStyle name="Normal 61 2 9 2 7" xfId="0"/>
    <cellStyle name="Normal 61 2 9 2 7 2" xfId="0"/>
    <cellStyle name="Normal 61 2 9 2 8" xfId="0"/>
    <cellStyle name="Normal 61 2 9 3" xfId="0"/>
    <cellStyle name="Normal 61 2 9 3 2" xfId="0"/>
    <cellStyle name="Normal 61 2 9 3 2 2" xfId="0"/>
    <cellStyle name="Normal 61 2 9 3 2 2 2" xfId="0"/>
    <cellStyle name="Normal 61 2 9 3 2 2 2 2" xfId="0"/>
    <cellStyle name="Normal 61 2 9 3 2 2 2 2 2" xfId="0"/>
    <cellStyle name="Normal 61 2 9 3 2 2 2 3" xfId="0"/>
    <cellStyle name="Normal 61 2 9 3 2 2 3" xfId="0"/>
    <cellStyle name="Normal 61 2 9 3 2 2 3 2" xfId="0"/>
    <cellStyle name="Normal 61 2 9 3 2 2 3 2 2" xfId="0"/>
    <cellStyle name="Normal 61 2 9 3 2 2 3 3" xfId="0"/>
    <cellStyle name="Normal 61 2 9 3 2 2 4" xfId="0"/>
    <cellStyle name="Normal 61 2 9 3 2 2 4 2" xfId="0"/>
    <cellStyle name="Normal 61 2 9 3 2 2 5" xfId="0"/>
    <cellStyle name="Normal 61 2 9 3 2 3" xfId="0"/>
    <cellStyle name="Normal 61 2 9 3 2 3 2" xfId="0"/>
    <cellStyle name="Normal 61 2 9 3 2 3 2 2" xfId="0"/>
    <cellStyle name="Normal 61 2 9 3 2 3 3" xfId="0"/>
    <cellStyle name="Normal 61 2 9 3 2 4" xfId="0"/>
    <cellStyle name="Normal 61 2 9 3 2 4 2" xfId="0"/>
    <cellStyle name="Normal 61 2 9 3 2 4 2 2" xfId="0"/>
    <cellStyle name="Normal 61 2 9 3 2 4 3" xfId="0"/>
    <cellStyle name="Normal 61 2 9 3 2 5" xfId="0"/>
    <cellStyle name="Normal 61 2 9 3 2 5 2" xfId="0"/>
    <cellStyle name="Normal 61 2 9 3 2 6" xfId="0"/>
    <cellStyle name="Normal 61 2 9 3 3" xfId="0"/>
    <cellStyle name="Normal 61 2 9 3 3 2" xfId="0"/>
    <cellStyle name="Normal 61 2 9 3 3 2 2" xfId="0"/>
    <cellStyle name="Normal 61 2 9 3 3 2 2 2" xfId="0"/>
    <cellStyle name="Normal 61 2 9 3 3 2 3" xfId="0"/>
    <cellStyle name="Normal 61 2 9 3 3 3" xfId="0"/>
    <cellStyle name="Normal 61 2 9 3 3 3 2" xfId="0"/>
    <cellStyle name="Normal 61 2 9 3 3 3 2 2" xfId="0"/>
    <cellStyle name="Normal 61 2 9 3 3 3 3" xfId="0"/>
    <cellStyle name="Normal 61 2 9 3 3 4" xfId="0"/>
    <cellStyle name="Normal 61 2 9 3 3 4 2" xfId="0"/>
    <cellStyle name="Normal 61 2 9 3 3 5" xfId="0"/>
    <cellStyle name="Normal 61 2 9 3 4" xfId="0"/>
    <cellStyle name="Normal 61 2 9 3 4 2" xfId="0"/>
    <cellStyle name="Normal 61 2 9 3 4 2 2" xfId="0"/>
    <cellStyle name="Normal 61 2 9 3 4 3" xfId="0"/>
    <cellStyle name="Normal 61 2 9 3 5" xfId="0"/>
    <cellStyle name="Normal 61 2 9 3 5 2" xfId="0"/>
    <cellStyle name="Normal 61 2 9 3 5 2 2" xfId="0"/>
    <cellStyle name="Normal 61 2 9 3 5 3" xfId="0"/>
    <cellStyle name="Normal 61 2 9 3 6" xfId="0"/>
    <cellStyle name="Normal 61 2 9 3 6 2" xfId="0"/>
    <cellStyle name="Normal 61 2 9 3 7" xfId="0"/>
    <cellStyle name="Normal 61 2 9 4" xfId="0"/>
    <cellStyle name="Normal 61 2 9 4 2" xfId="0"/>
    <cellStyle name="Normal 61 2 9 4 2 2" xfId="0"/>
    <cellStyle name="Normal 61 2 9 4 2 2 2" xfId="0"/>
    <cellStyle name="Normal 61 2 9 4 2 2 2 2" xfId="0"/>
    <cellStyle name="Normal 61 2 9 4 2 2 3" xfId="0"/>
    <cellStyle name="Normal 61 2 9 4 2 3" xfId="0"/>
    <cellStyle name="Normal 61 2 9 4 2 3 2" xfId="0"/>
    <cellStyle name="Normal 61 2 9 4 2 3 2 2" xfId="0"/>
    <cellStyle name="Normal 61 2 9 4 2 3 3" xfId="0"/>
    <cellStyle name="Normal 61 2 9 4 2 4" xfId="0"/>
    <cellStyle name="Normal 61 2 9 4 2 4 2" xfId="0"/>
    <cellStyle name="Normal 61 2 9 4 2 5" xfId="0"/>
    <cellStyle name="Normal 61 2 9 4 3" xfId="0"/>
    <cellStyle name="Normal 61 2 9 4 3 2" xfId="0"/>
    <cellStyle name="Normal 61 2 9 4 3 2 2" xfId="0"/>
    <cellStyle name="Normal 61 2 9 4 3 3" xfId="0"/>
    <cellStyle name="Normal 61 2 9 4 4" xfId="0"/>
    <cellStyle name="Normal 61 2 9 4 4 2" xfId="0"/>
    <cellStyle name="Normal 61 2 9 4 4 2 2" xfId="0"/>
    <cellStyle name="Normal 61 2 9 4 4 3" xfId="0"/>
    <cellStyle name="Normal 61 2 9 4 5" xfId="0"/>
    <cellStyle name="Normal 61 2 9 4 5 2" xfId="0"/>
    <cellStyle name="Normal 61 2 9 4 6" xfId="0"/>
    <cellStyle name="Normal 61 2 9 5" xfId="0"/>
    <cellStyle name="Normal 61 2 9 5 2" xfId="0"/>
    <cellStyle name="Normal 61 2 9 5 2 2" xfId="0"/>
    <cellStyle name="Normal 61 2 9 5 2 2 2" xfId="0"/>
    <cellStyle name="Normal 61 2 9 5 2 3" xfId="0"/>
    <cellStyle name="Normal 61 2 9 5 3" xfId="0"/>
    <cellStyle name="Normal 61 2 9 5 3 2" xfId="0"/>
    <cellStyle name="Normal 61 2 9 5 3 2 2" xfId="0"/>
    <cellStyle name="Normal 61 2 9 5 3 3" xfId="0"/>
    <cellStyle name="Normal 61 2 9 5 4" xfId="0"/>
    <cellStyle name="Normal 61 2 9 5 4 2" xfId="0"/>
    <cellStyle name="Normal 61 2 9 5 5" xfId="0"/>
    <cellStyle name="Normal 61 2 9 6" xfId="0"/>
    <cellStyle name="Normal 61 2 9 6 2" xfId="0"/>
    <cellStyle name="Normal 61 2 9 6 2 2" xfId="0"/>
    <cellStyle name="Normal 61 2 9 6 3" xfId="0"/>
    <cellStyle name="Normal 61 2 9 7" xfId="0"/>
    <cellStyle name="Normal 61 2 9 7 2" xfId="0"/>
    <cellStyle name="Normal 61 2 9 7 2 2" xfId="0"/>
    <cellStyle name="Normal 61 2 9 7 3" xfId="0"/>
    <cellStyle name="Normal 61 2 9 8" xfId="0"/>
    <cellStyle name="Normal 61 2 9 8 2" xfId="0"/>
    <cellStyle name="Normal 61 2 9 9" xfId="0"/>
    <cellStyle name="Normal 61 3" xfId="0"/>
    <cellStyle name="Normal 61 3 10" xfId="0"/>
    <cellStyle name="Normal 61 3 10 2" xfId="0"/>
    <cellStyle name="Normal 61 3 10 2 2" xfId="0"/>
    <cellStyle name="Normal 61 3 10 3" xfId="0"/>
    <cellStyle name="Normal 61 3 11" xfId="0"/>
    <cellStyle name="Normal 61 3 11 2" xfId="0"/>
    <cellStyle name="Normal 61 3 11 2 2" xfId="0"/>
    <cellStyle name="Normal 61 3 11 3" xfId="0"/>
    <cellStyle name="Normal 61 3 12" xfId="0"/>
    <cellStyle name="Normal 61 3 12 2" xfId="0"/>
    <cellStyle name="Normal 61 3 13" xfId="0"/>
    <cellStyle name="Normal 61 3 2" xfId="0"/>
    <cellStyle name="Normal 61 3 2 10" xfId="0"/>
    <cellStyle name="Normal 61 3 2 10 2" xfId="0"/>
    <cellStyle name="Normal 61 3 2 10 2 2" xfId="0"/>
    <cellStyle name="Normal 61 3 2 10 3" xfId="0"/>
    <cellStyle name="Normal 61 3 2 11" xfId="0"/>
    <cellStyle name="Normal 61 3 2 11 2" xfId="0"/>
    <cellStyle name="Normal 61 3 2 12" xfId="0"/>
    <cellStyle name="Normal 61 3 2 2" xfId="0"/>
    <cellStyle name="Normal 61 3 2 2 10" xfId="0"/>
    <cellStyle name="Normal 61 3 2 2 2" xfId="0"/>
    <cellStyle name="Normal 61 3 2 2 2 2" xfId="0"/>
    <cellStyle name="Normal 61 3 2 2 2 2 2" xfId="0"/>
    <cellStyle name="Normal 61 3 2 2 2 2 2 2" xfId="0"/>
    <cellStyle name="Normal 61 3 2 2 2 2 2 2 2" xfId="0"/>
    <cellStyle name="Normal 61 3 2 2 2 2 2 2 2 2" xfId="0"/>
    <cellStyle name="Normal 61 3 2 2 2 2 2 2 2 2 2" xfId="0"/>
    <cellStyle name="Normal 61 3 2 2 2 2 2 2 2 2 2 2" xfId="0"/>
    <cellStyle name="Normal 61 3 2 2 2 2 2 2 2 2 3" xfId="0"/>
    <cellStyle name="Normal 61 3 2 2 2 2 2 2 2 3" xfId="0"/>
    <cellStyle name="Normal 61 3 2 2 2 2 2 2 2 3 2" xfId="0"/>
    <cellStyle name="Normal 61 3 2 2 2 2 2 2 2 3 2 2" xfId="0"/>
    <cellStyle name="Normal 61 3 2 2 2 2 2 2 2 3 3" xfId="0"/>
    <cellStyle name="Normal 61 3 2 2 2 2 2 2 2 4" xfId="0"/>
    <cellStyle name="Normal 61 3 2 2 2 2 2 2 2 4 2" xfId="0"/>
    <cellStyle name="Normal 61 3 2 2 2 2 2 2 2 5" xfId="0"/>
    <cellStyle name="Normal 61 3 2 2 2 2 2 2 3" xfId="0"/>
    <cellStyle name="Normal 61 3 2 2 2 2 2 2 3 2" xfId="0"/>
    <cellStyle name="Normal 61 3 2 2 2 2 2 2 3 2 2" xfId="0"/>
    <cellStyle name="Normal 61 3 2 2 2 2 2 2 3 3" xfId="0"/>
    <cellStyle name="Normal 61 3 2 2 2 2 2 2 4" xfId="0"/>
    <cellStyle name="Normal 61 3 2 2 2 2 2 2 4 2" xfId="0"/>
    <cellStyle name="Normal 61 3 2 2 2 2 2 2 4 2 2" xfId="0"/>
    <cellStyle name="Normal 61 3 2 2 2 2 2 2 4 3" xfId="0"/>
    <cellStyle name="Normal 61 3 2 2 2 2 2 2 5" xfId="0"/>
    <cellStyle name="Normal 61 3 2 2 2 2 2 2 5 2" xfId="0"/>
    <cellStyle name="Normal 61 3 2 2 2 2 2 2 6" xfId="0"/>
    <cellStyle name="Normal 61 3 2 2 2 2 2 3" xfId="0"/>
    <cellStyle name="Normal 61 3 2 2 2 2 2 3 2" xfId="0"/>
    <cellStyle name="Normal 61 3 2 2 2 2 2 3 2 2" xfId="0"/>
    <cellStyle name="Normal 61 3 2 2 2 2 2 3 2 2 2" xfId="0"/>
    <cellStyle name="Normal 61 3 2 2 2 2 2 3 2 3" xfId="0"/>
    <cellStyle name="Normal 61 3 2 2 2 2 2 3 3" xfId="0"/>
    <cellStyle name="Normal 61 3 2 2 2 2 2 3 3 2" xfId="0"/>
    <cellStyle name="Normal 61 3 2 2 2 2 2 3 3 2 2" xfId="0"/>
    <cellStyle name="Normal 61 3 2 2 2 2 2 3 3 3" xfId="0"/>
    <cellStyle name="Normal 61 3 2 2 2 2 2 3 4" xfId="0"/>
    <cellStyle name="Normal 61 3 2 2 2 2 2 3 4 2" xfId="0"/>
    <cellStyle name="Normal 61 3 2 2 2 2 2 3 5" xfId="0"/>
    <cellStyle name="Normal 61 3 2 2 2 2 2 4" xfId="0"/>
    <cellStyle name="Normal 61 3 2 2 2 2 2 4 2" xfId="0"/>
    <cellStyle name="Normal 61 3 2 2 2 2 2 4 2 2" xfId="0"/>
    <cellStyle name="Normal 61 3 2 2 2 2 2 4 3" xfId="0"/>
    <cellStyle name="Normal 61 3 2 2 2 2 2 5" xfId="0"/>
    <cellStyle name="Normal 61 3 2 2 2 2 2 5 2" xfId="0"/>
    <cellStyle name="Normal 61 3 2 2 2 2 2 5 2 2" xfId="0"/>
    <cellStyle name="Normal 61 3 2 2 2 2 2 5 3" xfId="0"/>
    <cellStyle name="Normal 61 3 2 2 2 2 2 6" xfId="0"/>
    <cellStyle name="Normal 61 3 2 2 2 2 2 6 2" xfId="0"/>
    <cellStyle name="Normal 61 3 2 2 2 2 2 7" xfId="0"/>
    <cellStyle name="Normal 61 3 2 2 2 2 3" xfId="0"/>
    <cellStyle name="Normal 61 3 2 2 2 2 3 2" xfId="0"/>
    <cellStyle name="Normal 61 3 2 2 2 2 3 2 2" xfId="0"/>
    <cellStyle name="Normal 61 3 2 2 2 2 3 2 2 2" xfId="0"/>
    <cellStyle name="Normal 61 3 2 2 2 2 3 2 2 2 2" xfId="0"/>
    <cellStyle name="Normal 61 3 2 2 2 2 3 2 2 3" xfId="0"/>
    <cellStyle name="Normal 61 3 2 2 2 2 3 2 3" xfId="0"/>
    <cellStyle name="Normal 61 3 2 2 2 2 3 2 3 2" xfId="0"/>
    <cellStyle name="Normal 61 3 2 2 2 2 3 2 3 2 2" xfId="0"/>
    <cellStyle name="Normal 61 3 2 2 2 2 3 2 3 3" xfId="0"/>
    <cellStyle name="Normal 61 3 2 2 2 2 3 2 4" xfId="0"/>
    <cellStyle name="Normal 61 3 2 2 2 2 3 2 4 2" xfId="0"/>
    <cellStyle name="Normal 61 3 2 2 2 2 3 2 5" xfId="0"/>
    <cellStyle name="Normal 61 3 2 2 2 2 3 3" xfId="0"/>
    <cellStyle name="Normal 61 3 2 2 2 2 3 3 2" xfId="0"/>
    <cellStyle name="Normal 61 3 2 2 2 2 3 3 2 2" xfId="0"/>
    <cellStyle name="Normal 61 3 2 2 2 2 3 3 3" xfId="0"/>
    <cellStyle name="Normal 61 3 2 2 2 2 3 4" xfId="0"/>
    <cellStyle name="Normal 61 3 2 2 2 2 3 4 2" xfId="0"/>
    <cellStyle name="Normal 61 3 2 2 2 2 3 4 2 2" xfId="0"/>
    <cellStyle name="Normal 61 3 2 2 2 2 3 4 3" xfId="0"/>
    <cellStyle name="Normal 61 3 2 2 2 2 3 5" xfId="0"/>
    <cellStyle name="Normal 61 3 2 2 2 2 3 5 2" xfId="0"/>
    <cellStyle name="Normal 61 3 2 2 2 2 3 6" xfId="0"/>
    <cellStyle name="Normal 61 3 2 2 2 2 4" xfId="0"/>
    <cellStyle name="Normal 61 3 2 2 2 2 4 2" xfId="0"/>
    <cellStyle name="Normal 61 3 2 2 2 2 4 2 2" xfId="0"/>
    <cellStyle name="Normal 61 3 2 2 2 2 4 2 2 2" xfId="0"/>
    <cellStyle name="Normal 61 3 2 2 2 2 4 2 3" xfId="0"/>
    <cellStyle name="Normal 61 3 2 2 2 2 4 3" xfId="0"/>
    <cellStyle name="Normal 61 3 2 2 2 2 4 3 2" xfId="0"/>
    <cellStyle name="Normal 61 3 2 2 2 2 4 3 2 2" xfId="0"/>
    <cellStyle name="Normal 61 3 2 2 2 2 4 3 3" xfId="0"/>
    <cellStyle name="Normal 61 3 2 2 2 2 4 4" xfId="0"/>
    <cellStyle name="Normal 61 3 2 2 2 2 4 4 2" xfId="0"/>
    <cellStyle name="Normal 61 3 2 2 2 2 4 5" xfId="0"/>
    <cellStyle name="Normal 61 3 2 2 2 2 5" xfId="0"/>
    <cellStyle name="Normal 61 3 2 2 2 2 5 2" xfId="0"/>
    <cellStyle name="Normal 61 3 2 2 2 2 5 2 2" xfId="0"/>
    <cellStyle name="Normal 61 3 2 2 2 2 5 3" xfId="0"/>
    <cellStyle name="Normal 61 3 2 2 2 2 6" xfId="0"/>
    <cellStyle name="Normal 61 3 2 2 2 2 6 2" xfId="0"/>
    <cellStyle name="Normal 61 3 2 2 2 2 6 2 2" xfId="0"/>
    <cellStyle name="Normal 61 3 2 2 2 2 6 3" xfId="0"/>
    <cellStyle name="Normal 61 3 2 2 2 2 7" xfId="0"/>
    <cellStyle name="Normal 61 3 2 2 2 2 7 2" xfId="0"/>
    <cellStyle name="Normal 61 3 2 2 2 2 8" xfId="0"/>
    <cellStyle name="Normal 61 3 2 2 2 3" xfId="0"/>
    <cellStyle name="Normal 61 3 2 2 2 3 2" xfId="0"/>
    <cellStyle name="Normal 61 3 2 2 2 3 2 2" xfId="0"/>
    <cellStyle name="Normal 61 3 2 2 2 3 2 2 2" xfId="0"/>
    <cellStyle name="Normal 61 3 2 2 2 3 2 2 2 2" xfId="0"/>
    <cellStyle name="Normal 61 3 2 2 2 3 2 2 2 2 2" xfId="0"/>
    <cellStyle name="Normal 61 3 2 2 2 3 2 2 2 3" xfId="0"/>
    <cellStyle name="Normal 61 3 2 2 2 3 2 2 3" xfId="0"/>
    <cellStyle name="Normal 61 3 2 2 2 3 2 2 3 2" xfId="0"/>
    <cellStyle name="Normal 61 3 2 2 2 3 2 2 3 2 2" xfId="0"/>
    <cellStyle name="Normal 61 3 2 2 2 3 2 2 3 3" xfId="0"/>
    <cellStyle name="Normal 61 3 2 2 2 3 2 2 4" xfId="0"/>
    <cellStyle name="Normal 61 3 2 2 2 3 2 2 4 2" xfId="0"/>
    <cellStyle name="Normal 61 3 2 2 2 3 2 2 5" xfId="0"/>
    <cellStyle name="Normal 61 3 2 2 2 3 2 3" xfId="0"/>
    <cellStyle name="Normal 61 3 2 2 2 3 2 3 2" xfId="0"/>
    <cellStyle name="Normal 61 3 2 2 2 3 2 3 2 2" xfId="0"/>
    <cellStyle name="Normal 61 3 2 2 2 3 2 3 3" xfId="0"/>
    <cellStyle name="Normal 61 3 2 2 2 3 2 4" xfId="0"/>
    <cellStyle name="Normal 61 3 2 2 2 3 2 4 2" xfId="0"/>
    <cellStyle name="Normal 61 3 2 2 2 3 2 4 2 2" xfId="0"/>
    <cellStyle name="Normal 61 3 2 2 2 3 2 4 3" xfId="0"/>
    <cellStyle name="Normal 61 3 2 2 2 3 2 5" xfId="0"/>
    <cellStyle name="Normal 61 3 2 2 2 3 2 5 2" xfId="0"/>
    <cellStyle name="Normal 61 3 2 2 2 3 2 6" xfId="0"/>
    <cellStyle name="Normal 61 3 2 2 2 3 3" xfId="0"/>
    <cellStyle name="Normal 61 3 2 2 2 3 3 2" xfId="0"/>
    <cellStyle name="Normal 61 3 2 2 2 3 3 2 2" xfId="0"/>
    <cellStyle name="Normal 61 3 2 2 2 3 3 2 2 2" xfId="0"/>
    <cellStyle name="Normal 61 3 2 2 2 3 3 2 3" xfId="0"/>
    <cellStyle name="Normal 61 3 2 2 2 3 3 3" xfId="0"/>
    <cellStyle name="Normal 61 3 2 2 2 3 3 3 2" xfId="0"/>
    <cellStyle name="Normal 61 3 2 2 2 3 3 3 2 2" xfId="0"/>
    <cellStyle name="Normal 61 3 2 2 2 3 3 3 3" xfId="0"/>
    <cellStyle name="Normal 61 3 2 2 2 3 3 4" xfId="0"/>
    <cellStyle name="Normal 61 3 2 2 2 3 3 4 2" xfId="0"/>
    <cellStyle name="Normal 61 3 2 2 2 3 3 5" xfId="0"/>
    <cellStyle name="Normal 61 3 2 2 2 3 4" xfId="0"/>
    <cellStyle name="Normal 61 3 2 2 2 3 4 2" xfId="0"/>
    <cellStyle name="Normal 61 3 2 2 2 3 4 2 2" xfId="0"/>
    <cellStyle name="Normal 61 3 2 2 2 3 4 3" xfId="0"/>
    <cellStyle name="Normal 61 3 2 2 2 3 5" xfId="0"/>
    <cellStyle name="Normal 61 3 2 2 2 3 5 2" xfId="0"/>
    <cellStyle name="Normal 61 3 2 2 2 3 5 2 2" xfId="0"/>
    <cellStyle name="Normal 61 3 2 2 2 3 5 3" xfId="0"/>
    <cellStyle name="Normal 61 3 2 2 2 3 6" xfId="0"/>
    <cellStyle name="Normal 61 3 2 2 2 3 6 2" xfId="0"/>
    <cellStyle name="Normal 61 3 2 2 2 3 7" xfId="0"/>
    <cellStyle name="Normal 61 3 2 2 2 4" xfId="0"/>
    <cellStyle name="Normal 61 3 2 2 2 4 2" xfId="0"/>
    <cellStyle name="Normal 61 3 2 2 2 4 2 2" xfId="0"/>
    <cellStyle name="Normal 61 3 2 2 2 4 2 2 2" xfId="0"/>
    <cellStyle name="Normal 61 3 2 2 2 4 2 2 2 2" xfId="0"/>
    <cellStyle name="Normal 61 3 2 2 2 4 2 2 3" xfId="0"/>
    <cellStyle name="Normal 61 3 2 2 2 4 2 3" xfId="0"/>
    <cellStyle name="Normal 61 3 2 2 2 4 2 3 2" xfId="0"/>
    <cellStyle name="Normal 61 3 2 2 2 4 2 3 2 2" xfId="0"/>
    <cellStyle name="Normal 61 3 2 2 2 4 2 3 3" xfId="0"/>
    <cellStyle name="Normal 61 3 2 2 2 4 2 4" xfId="0"/>
    <cellStyle name="Normal 61 3 2 2 2 4 2 4 2" xfId="0"/>
    <cellStyle name="Normal 61 3 2 2 2 4 2 5" xfId="0"/>
    <cellStyle name="Normal 61 3 2 2 2 4 3" xfId="0"/>
    <cellStyle name="Normal 61 3 2 2 2 4 3 2" xfId="0"/>
    <cellStyle name="Normal 61 3 2 2 2 4 3 2 2" xfId="0"/>
    <cellStyle name="Normal 61 3 2 2 2 4 3 3" xfId="0"/>
    <cellStyle name="Normal 61 3 2 2 2 4 4" xfId="0"/>
    <cellStyle name="Normal 61 3 2 2 2 4 4 2" xfId="0"/>
    <cellStyle name="Normal 61 3 2 2 2 4 4 2 2" xfId="0"/>
    <cellStyle name="Normal 61 3 2 2 2 4 4 3" xfId="0"/>
    <cellStyle name="Normal 61 3 2 2 2 4 5" xfId="0"/>
    <cellStyle name="Normal 61 3 2 2 2 4 5 2" xfId="0"/>
    <cellStyle name="Normal 61 3 2 2 2 4 6" xfId="0"/>
    <cellStyle name="Normal 61 3 2 2 2 5" xfId="0"/>
    <cellStyle name="Normal 61 3 2 2 2 5 2" xfId="0"/>
    <cellStyle name="Normal 61 3 2 2 2 5 2 2" xfId="0"/>
    <cellStyle name="Normal 61 3 2 2 2 5 2 2 2" xfId="0"/>
    <cellStyle name="Normal 61 3 2 2 2 5 2 3" xfId="0"/>
    <cellStyle name="Normal 61 3 2 2 2 5 3" xfId="0"/>
    <cellStyle name="Normal 61 3 2 2 2 5 3 2" xfId="0"/>
    <cellStyle name="Normal 61 3 2 2 2 5 3 2 2" xfId="0"/>
    <cellStyle name="Normal 61 3 2 2 2 5 3 3" xfId="0"/>
    <cellStyle name="Normal 61 3 2 2 2 5 4" xfId="0"/>
    <cellStyle name="Normal 61 3 2 2 2 5 4 2" xfId="0"/>
    <cellStyle name="Normal 61 3 2 2 2 5 5" xfId="0"/>
    <cellStyle name="Normal 61 3 2 2 2 6" xfId="0"/>
    <cellStyle name="Normal 61 3 2 2 2 6 2" xfId="0"/>
    <cellStyle name="Normal 61 3 2 2 2 6 2 2" xfId="0"/>
    <cellStyle name="Normal 61 3 2 2 2 6 3" xfId="0"/>
    <cellStyle name="Normal 61 3 2 2 2 7" xfId="0"/>
    <cellStyle name="Normal 61 3 2 2 2 7 2" xfId="0"/>
    <cellStyle name="Normal 61 3 2 2 2 7 2 2" xfId="0"/>
    <cellStyle name="Normal 61 3 2 2 2 7 3" xfId="0"/>
    <cellStyle name="Normal 61 3 2 2 2 8" xfId="0"/>
    <cellStyle name="Normal 61 3 2 2 2 8 2" xfId="0"/>
    <cellStyle name="Normal 61 3 2 2 2 9" xfId="0"/>
    <cellStyle name="Normal 61 3 2 2 3" xfId="0"/>
    <cellStyle name="Normal 61 3 2 2 3 2" xfId="0"/>
    <cellStyle name="Normal 61 3 2 2 3 2 2" xfId="0"/>
    <cellStyle name="Normal 61 3 2 2 3 2 2 2" xfId="0"/>
    <cellStyle name="Normal 61 3 2 2 3 2 2 2 2" xfId="0"/>
    <cellStyle name="Normal 61 3 2 2 3 2 2 2 2 2" xfId="0"/>
    <cellStyle name="Normal 61 3 2 2 3 2 2 2 2 2 2" xfId="0"/>
    <cellStyle name="Normal 61 3 2 2 3 2 2 2 2 3" xfId="0"/>
    <cellStyle name="Normal 61 3 2 2 3 2 2 2 3" xfId="0"/>
    <cellStyle name="Normal 61 3 2 2 3 2 2 2 3 2" xfId="0"/>
    <cellStyle name="Normal 61 3 2 2 3 2 2 2 3 2 2" xfId="0"/>
    <cellStyle name="Normal 61 3 2 2 3 2 2 2 3 3" xfId="0"/>
    <cellStyle name="Normal 61 3 2 2 3 2 2 2 4" xfId="0"/>
    <cellStyle name="Normal 61 3 2 2 3 2 2 2 4 2" xfId="0"/>
    <cellStyle name="Normal 61 3 2 2 3 2 2 2 5" xfId="0"/>
    <cellStyle name="Normal 61 3 2 2 3 2 2 3" xfId="0"/>
    <cellStyle name="Normal 61 3 2 2 3 2 2 3 2" xfId="0"/>
    <cellStyle name="Normal 61 3 2 2 3 2 2 3 2 2" xfId="0"/>
    <cellStyle name="Normal 61 3 2 2 3 2 2 3 3" xfId="0"/>
    <cellStyle name="Normal 61 3 2 2 3 2 2 4" xfId="0"/>
    <cellStyle name="Normal 61 3 2 2 3 2 2 4 2" xfId="0"/>
    <cellStyle name="Normal 61 3 2 2 3 2 2 4 2 2" xfId="0"/>
    <cellStyle name="Normal 61 3 2 2 3 2 2 4 3" xfId="0"/>
    <cellStyle name="Normal 61 3 2 2 3 2 2 5" xfId="0"/>
    <cellStyle name="Normal 61 3 2 2 3 2 2 5 2" xfId="0"/>
    <cellStyle name="Normal 61 3 2 2 3 2 2 6" xfId="0"/>
    <cellStyle name="Normal 61 3 2 2 3 2 3" xfId="0"/>
    <cellStyle name="Normal 61 3 2 2 3 2 3 2" xfId="0"/>
    <cellStyle name="Normal 61 3 2 2 3 2 3 2 2" xfId="0"/>
    <cellStyle name="Normal 61 3 2 2 3 2 3 2 2 2" xfId="0"/>
    <cellStyle name="Normal 61 3 2 2 3 2 3 2 3" xfId="0"/>
    <cellStyle name="Normal 61 3 2 2 3 2 3 3" xfId="0"/>
    <cellStyle name="Normal 61 3 2 2 3 2 3 3 2" xfId="0"/>
    <cellStyle name="Normal 61 3 2 2 3 2 3 3 2 2" xfId="0"/>
    <cellStyle name="Normal 61 3 2 2 3 2 3 3 3" xfId="0"/>
    <cellStyle name="Normal 61 3 2 2 3 2 3 4" xfId="0"/>
    <cellStyle name="Normal 61 3 2 2 3 2 3 4 2" xfId="0"/>
    <cellStyle name="Normal 61 3 2 2 3 2 3 5" xfId="0"/>
    <cellStyle name="Normal 61 3 2 2 3 2 4" xfId="0"/>
    <cellStyle name="Normal 61 3 2 2 3 2 4 2" xfId="0"/>
    <cellStyle name="Normal 61 3 2 2 3 2 4 2 2" xfId="0"/>
    <cellStyle name="Normal 61 3 2 2 3 2 4 3" xfId="0"/>
    <cellStyle name="Normal 61 3 2 2 3 2 5" xfId="0"/>
    <cellStyle name="Normal 61 3 2 2 3 2 5 2" xfId="0"/>
    <cellStyle name="Normal 61 3 2 2 3 2 5 2 2" xfId="0"/>
    <cellStyle name="Normal 61 3 2 2 3 2 5 3" xfId="0"/>
    <cellStyle name="Normal 61 3 2 2 3 2 6" xfId="0"/>
    <cellStyle name="Normal 61 3 2 2 3 2 6 2" xfId="0"/>
    <cellStyle name="Normal 61 3 2 2 3 2 7" xfId="0"/>
    <cellStyle name="Normal 61 3 2 2 3 3" xfId="0"/>
    <cellStyle name="Normal 61 3 2 2 3 3 2" xfId="0"/>
    <cellStyle name="Normal 61 3 2 2 3 3 2 2" xfId="0"/>
    <cellStyle name="Normal 61 3 2 2 3 3 2 2 2" xfId="0"/>
    <cellStyle name="Normal 61 3 2 2 3 3 2 2 2 2" xfId="0"/>
    <cellStyle name="Normal 61 3 2 2 3 3 2 2 3" xfId="0"/>
    <cellStyle name="Normal 61 3 2 2 3 3 2 3" xfId="0"/>
    <cellStyle name="Normal 61 3 2 2 3 3 2 3 2" xfId="0"/>
    <cellStyle name="Normal 61 3 2 2 3 3 2 3 2 2" xfId="0"/>
    <cellStyle name="Normal 61 3 2 2 3 3 2 3 3" xfId="0"/>
    <cellStyle name="Normal 61 3 2 2 3 3 2 4" xfId="0"/>
    <cellStyle name="Normal 61 3 2 2 3 3 2 4 2" xfId="0"/>
    <cellStyle name="Normal 61 3 2 2 3 3 2 5" xfId="0"/>
    <cellStyle name="Normal 61 3 2 2 3 3 3" xfId="0"/>
    <cellStyle name="Normal 61 3 2 2 3 3 3 2" xfId="0"/>
    <cellStyle name="Normal 61 3 2 2 3 3 3 2 2" xfId="0"/>
    <cellStyle name="Normal 61 3 2 2 3 3 3 3" xfId="0"/>
    <cellStyle name="Normal 61 3 2 2 3 3 4" xfId="0"/>
    <cellStyle name="Normal 61 3 2 2 3 3 4 2" xfId="0"/>
    <cellStyle name="Normal 61 3 2 2 3 3 4 2 2" xfId="0"/>
    <cellStyle name="Normal 61 3 2 2 3 3 4 3" xfId="0"/>
    <cellStyle name="Normal 61 3 2 2 3 3 5" xfId="0"/>
    <cellStyle name="Normal 61 3 2 2 3 3 5 2" xfId="0"/>
    <cellStyle name="Normal 61 3 2 2 3 3 6" xfId="0"/>
    <cellStyle name="Normal 61 3 2 2 3 4" xfId="0"/>
    <cellStyle name="Normal 61 3 2 2 3 4 2" xfId="0"/>
    <cellStyle name="Normal 61 3 2 2 3 4 2 2" xfId="0"/>
    <cellStyle name="Normal 61 3 2 2 3 4 2 2 2" xfId="0"/>
    <cellStyle name="Normal 61 3 2 2 3 4 2 3" xfId="0"/>
    <cellStyle name="Normal 61 3 2 2 3 4 3" xfId="0"/>
    <cellStyle name="Normal 61 3 2 2 3 4 3 2" xfId="0"/>
    <cellStyle name="Normal 61 3 2 2 3 4 3 2 2" xfId="0"/>
    <cellStyle name="Normal 61 3 2 2 3 4 3 3" xfId="0"/>
    <cellStyle name="Normal 61 3 2 2 3 4 4" xfId="0"/>
    <cellStyle name="Normal 61 3 2 2 3 4 4 2" xfId="0"/>
    <cellStyle name="Normal 61 3 2 2 3 4 5" xfId="0"/>
    <cellStyle name="Normal 61 3 2 2 3 5" xfId="0"/>
    <cellStyle name="Normal 61 3 2 2 3 5 2" xfId="0"/>
    <cellStyle name="Normal 61 3 2 2 3 5 2 2" xfId="0"/>
    <cellStyle name="Normal 61 3 2 2 3 5 3" xfId="0"/>
    <cellStyle name="Normal 61 3 2 2 3 6" xfId="0"/>
    <cellStyle name="Normal 61 3 2 2 3 6 2" xfId="0"/>
    <cellStyle name="Normal 61 3 2 2 3 6 2 2" xfId="0"/>
    <cellStyle name="Normal 61 3 2 2 3 6 3" xfId="0"/>
    <cellStyle name="Normal 61 3 2 2 3 7" xfId="0"/>
    <cellStyle name="Normal 61 3 2 2 3 7 2" xfId="0"/>
    <cellStyle name="Normal 61 3 2 2 3 8" xfId="0"/>
    <cellStyle name="Normal 61 3 2 2 4" xfId="0"/>
    <cellStyle name="Normal 61 3 2 2 4 2" xfId="0"/>
    <cellStyle name="Normal 61 3 2 2 4 2 2" xfId="0"/>
    <cellStyle name="Normal 61 3 2 2 4 2 2 2" xfId="0"/>
    <cellStyle name="Normal 61 3 2 2 4 2 2 2 2" xfId="0"/>
    <cellStyle name="Normal 61 3 2 2 4 2 2 2 2 2" xfId="0"/>
    <cellStyle name="Normal 61 3 2 2 4 2 2 2 3" xfId="0"/>
    <cellStyle name="Normal 61 3 2 2 4 2 2 3" xfId="0"/>
    <cellStyle name="Normal 61 3 2 2 4 2 2 3 2" xfId="0"/>
    <cellStyle name="Normal 61 3 2 2 4 2 2 3 2 2" xfId="0"/>
    <cellStyle name="Normal 61 3 2 2 4 2 2 3 3" xfId="0"/>
    <cellStyle name="Normal 61 3 2 2 4 2 2 4" xfId="0"/>
    <cellStyle name="Normal 61 3 2 2 4 2 2 4 2" xfId="0"/>
    <cellStyle name="Normal 61 3 2 2 4 2 2 5" xfId="0"/>
    <cellStyle name="Normal 61 3 2 2 4 2 3" xfId="0"/>
    <cellStyle name="Normal 61 3 2 2 4 2 3 2" xfId="0"/>
    <cellStyle name="Normal 61 3 2 2 4 2 3 2 2" xfId="0"/>
    <cellStyle name="Normal 61 3 2 2 4 2 3 3" xfId="0"/>
    <cellStyle name="Normal 61 3 2 2 4 2 4" xfId="0"/>
    <cellStyle name="Normal 61 3 2 2 4 2 4 2" xfId="0"/>
    <cellStyle name="Normal 61 3 2 2 4 2 4 2 2" xfId="0"/>
    <cellStyle name="Normal 61 3 2 2 4 2 4 3" xfId="0"/>
    <cellStyle name="Normal 61 3 2 2 4 2 5" xfId="0"/>
    <cellStyle name="Normal 61 3 2 2 4 2 5 2" xfId="0"/>
    <cellStyle name="Normal 61 3 2 2 4 2 6" xfId="0"/>
    <cellStyle name="Normal 61 3 2 2 4 3" xfId="0"/>
    <cellStyle name="Normal 61 3 2 2 4 3 2" xfId="0"/>
    <cellStyle name="Normal 61 3 2 2 4 3 2 2" xfId="0"/>
    <cellStyle name="Normal 61 3 2 2 4 3 2 2 2" xfId="0"/>
    <cellStyle name="Normal 61 3 2 2 4 3 2 3" xfId="0"/>
    <cellStyle name="Normal 61 3 2 2 4 3 3" xfId="0"/>
    <cellStyle name="Normal 61 3 2 2 4 3 3 2" xfId="0"/>
    <cellStyle name="Normal 61 3 2 2 4 3 3 2 2" xfId="0"/>
    <cellStyle name="Normal 61 3 2 2 4 3 3 3" xfId="0"/>
    <cellStyle name="Normal 61 3 2 2 4 3 4" xfId="0"/>
    <cellStyle name="Normal 61 3 2 2 4 3 4 2" xfId="0"/>
    <cellStyle name="Normal 61 3 2 2 4 3 5" xfId="0"/>
    <cellStyle name="Normal 61 3 2 2 4 4" xfId="0"/>
    <cellStyle name="Normal 61 3 2 2 4 4 2" xfId="0"/>
    <cellStyle name="Normal 61 3 2 2 4 4 2 2" xfId="0"/>
    <cellStyle name="Normal 61 3 2 2 4 4 3" xfId="0"/>
    <cellStyle name="Normal 61 3 2 2 4 5" xfId="0"/>
    <cellStyle name="Normal 61 3 2 2 4 5 2" xfId="0"/>
    <cellStyle name="Normal 61 3 2 2 4 5 2 2" xfId="0"/>
    <cellStyle name="Normal 61 3 2 2 4 5 3" xfId="0"/>
    <cellStyle name="Normal 61 3 2 2 4 6" xfId="0"/>
    <cellStyle name="Normal 61 3 2 2 4 6 2" xfId="0"/>
    <cellStyle name="Normal 61 3 2 2 4 7" xfId="0"/>
    <cellStyle name="Normal 61 3 2 2 5" xfId="0"/>
    <cellStyle name="Normal 61 3 2 2 5 2" xfId="0"/>
    <cellStyle name="Normal 61 3 2 2 5 2 2" xfId="0"/>
    <cellStyle name="Normal 61 3 2 2 5 2 2 2" xfId="0"/>
    <cellStyle name="Normal 61 3 2 2 5 2 2 2 2" xfId="0"/>
    <cellStyle name="Normal 61 3 2 2 5 2 2 3" xfId="0"/>
    <cellStyle name="Normal 61 3 2 2 5 2 3" xfId="0"/>
    <cellStyle name="Normal 61 3 2 2 5 2 3 2" xfId="0"/>
    <cellStyle name="Normal 61 3 2 2 5 2 3 2 2" xfId="0"/>
    <cellStyle name="Normal 61 3 2 2 5 2 3 3" xfId="0"/>
    <cellStyle name="Normal 61 3 2 2 5 2 4" xfId="0"/>
    <cellStyle name="Normal 61 3 2 2 5 2 4 2" xfId="0"/>
    <cellStyle name="Normal 61 3 2 2 5 2 5" xfId="0"/>
    <cellStyle name="Normal 61 3 2 2 5 3" xfId="0"/>
    <cellStyle name="Normal 61 3 2 2 5 3 2" xfId="0"/>
    <cellStyle name="Normal 61 3 2 2 5 3 2 2" xfId="0"/>
    <cellStyle name="Normal 61 3 2 2 5 3 3" xfId="0"/>
    <cellStyle name="Normal 61 3 2 2 5 4" xfId="0"/>
    <cellStyle name="Normal 61 3 2 2 5 4 2" xfId="0"/>
    <cellStyle name="Normal 61 3 2 2 5 4 2 2" xfId="0"/>
    <cellStyle name="Normal 61 3 2 2 5 4 3" xfId="0"/>
    <cellStyle name="Normal 61 3 2 2 5 5" xfId="0"/>
    <cellStyle name="Normal 61 3 2 2 5 5 2" xfId="0"/>
    <cellStyle name="Normal 61 3 2 2 5 6" xfId="0"/>
    <cellStyle name="Normal 61 3 2 2 6" xfId="0"/>
    <cellStyle name="Normal 61 3 2 2 6 2" xfId="0"/>
    <cellStyle name="Normal 61 3 2 2 6 2 2" xfId="0"/>
    <cellStyle name="Normal 61 3 2 2 6 2 2 2" xfId="0"/>
    <cellStyle name="Normal 61 3 2 2 6 2 3" xfId="0"/>
    <cellStyle name="Normal 61 3 2 2 6 3" xfId="0"/>
    <cellStyle name="Normal 61 3 2 2 6 3 2" xfId="0"/>
    <cellStyle name="Normal 61 3 2 2 6 3 2 2" xfId="0"/>
    <cellStyle name="Normal 61 3 2 2 6 3 3" xfId="0"/>
    <cellStyle name="Normal 61 3 2 2 6 4" xfId="0"/>
    <cellStyle name="Normal 61 3 2 2 6 4 2" xfId="0"/>
    <cellStyle name="Normal 61 3 2 2 6 5" xfId="0"/>
    <cellStyle name="Normal 61 3 2 2 7" xfId="0"/>
    <cellStyle name="Normal 61 3 2 2 7 2" xfId="0"/>
    <cellStyle name="Normal 61 3 2 2 7 2 2" xfId="0"/>
    <cellStyle name="Normal 61 3 2 2 7 3" xfId="0"/>
    <cellStyle name="Normal 61 3 2 2 8" xfId="0"/>
    <cellStyle name="Normal 61 3 2 2 8 2" xfId="0"/>
    <cellStyle name="Normal 61 3 2 2 8 2 2" xfId="0"/>
    <cellStyle name="Normal 61 3 2 2 8 3" xfId="0"/>
    <cellStyle name="Normal 61 3 2 2 9" xfId="0"/>
    <cellStyle name="Normal 61 3 2 2 9 2" xfId="0"/>
    <cellStyle name="Normal 61 3 2 3" xfId="0"/>
    <cellStyle name="Normal 61 3 2 3 10" xfId="0"/>
    <cellStyle name="Normal 61 3 2 3 2" xfId="0"/>
    <cellStyle name="Normal 61 3 2 3 2 2" xfId="0"/>
    <cellStyle name="Normal 61 3 2 3 2 2 2" xfId="0"/>
    <cellStyle name="Normal 61 3 2 3 2 2 2 2" xfId="0"/>
    <cellStyle name="Normal 61 3 2 3 2 2 2 2 2" xfId="0"/>
    <cellStyle name="Normal 61 3 2 3 2 2 2 2 2 2" xfId="0"/>
    <cellStyle name="Normal 61 3 2 3 2 2 2 2 2 2 2" xfId="0"/>
    <cellStyle name="Normal 61 3 2 3 2 2 2 2 2 2 2 2" xfId="0"/>
    <cellStyle name="Normal 61 3 2 3 2 2 2 2 2 2 3" xfId="0"/>
    <cellStyle name="Normal 61 3 2 3 2 2 2 2 2 3" xfId="0"/>
    <cellStyle name="Normal 61 3 2 3 2 2 2 2 2 3 2" xfId="0"/>
    <cellStyle name="Normal 61 3 2 3 2 2 2 2 2 3 2 2" xfId="0"/>
    <cellStyle name="Normal 61 3 2 3 2 2 2 2 2 3 3" xfId="0"/>
    <cellStyle name="Normal 61 3 2 3 2 2 2 2 2 4" xfId="0"/>
    <cellStyle name="Normal 61 3 2 3 2 2 2 2 2 4 2" xfId="0"/>
    <cellStyle name="Normal 61 3 2 3 2 2 2 2 2 5" xfId="0"/>
    <cellStyle name="Normal 61 3 2 3 2 2 2 2 3" xfId="0"/>
    <cellStyle name="Normal 61 3 2 3 2 2 2 2 3 2" xfId="0"/>
    <cellStyle name="Normal 61 3 2 3 2 2 2 2 3 2 2" xfId="0"/>
    <cellStyle name="Normal 61 3 2 3 2 2 2 2 3 3" xfId="0"/>
    <cellStyle name="Normal 61 3 2 3 2 2 2 2 4" xfId="0"/>
    <cellStyle name="Normal 61 3 2 3 2 2 2 2 4 2" xfId="0"/>
    <cellStyle name="Normal 61 3 2 3 2 2 2 2 4 2 2" xfId="0"/>
    <cellStyle name="Normal 61 3 2 3 2 2 2 2 4 3" xfId="0"/>
    <cellStyle name="Normal 61 3 2 3 2 2 2 2 5" xfId="0"/>
    <cellStyle name="Normal 61 3 2 3 2 2 2 2 5 2" xfId="0"/>
    <cellStyle name="Normal 61 3 2 3 2 2 2 2 6" xfId="0"/>
    <cellStyle name="Normal 61 3 2 3 2 2 2 3" xfId="0"/>
    <cellStyle name="Normal 61 3 2 3 2 2 2 3 2" xfId="0"/>
    <cellStyle name="Normal 61 3 2 3 2 2 2 3 2 2" xfId="0"/>
    <cellStyle name="Normal 61 3 2 3 2 2 2 3 2 2 2" xfId="0"/>
    <cellStyle name="Normal 61 3 2 3 2 2 2 3 2 3" xfId="0"/>
    <cellStyle name="Normal 61 3 2 3 2 2 2 3 3" xfId="0"/>
    <cellStyle name="Normal 61 3 2 3 2 2 2 3 3 2" xfId="0"/>
    <cellStyle name="Normal 61 3 2 3 2 2 2 3 3 2 2" xfId="0"/>
    <cellStyle name="Normal 61 3 2 3 2 2 2 3 3 3" xfId="0"/>
    <cellStyle name="Normal 61 3 2 3 2 2 2 3 4" xfId="0"/>
    <cellStyle name="Normal 61 3 2 3 2 2 2 3 4 2" xfId="0"/>
    <cellStyle name="Normal 61 3 2 3 2 2 2 3 5" xfId="0"/>
    <cellStyle name="Normal 61 3 2 3 2 2 2 4" xfId="0"/>
    <cellStyle name="Normal 61 3 2 3 2 2 2 4 2" xfId="0"/>
    <cellStyle name="Normal 61 3 2 3 2 2 2 4 2 2" xfId="0"/>
    <cellStyle name="Normal 61 3 2 3 2 2 2 4 3" xfId="0"/>
    <cellStyle name="Normal 61 3 2 3 2 2 2 5" xfId="0"/>
    <cellStyle name="Normal 61 3 2 3 2 2 2 5 2" xfId="0"/>
    <cellStyle name="Normal 61 3 2 3 2 2 2 5 2 2" xfId="0"/>
    <cellStyle name="Normal 61 3 2 3 2 2 2 5 3" xfId="0"/>
    <cellStyle name="Normal 61 3 2 3 2 2 2 6" xfId="0"/>
    <cellStyle name="Normal 61 3 2 3 2 2 2 6 2" xfId="0"/>
    <cellStyle name="Normal 61 3 2 3 2 2 2 7" xfId="0"/>
    <cellStyle name="Normal 61 3 2 3 2 2 3" xfId="0"/>
    <cellStyle name="Normal 61 3 2 3 2 2 3 2" xfId="0"/>
    <cellStyle name="Normal 61 3 2 3 2 2 3 2 2" xfId="0"/>
    <cellStyle name="Normal 61 3 2 3 2 2 3 2 2 2" xfId="0"/>
    <cellStyle name="Normal 61 3 2 3 2 2 3 2 2 2 2" xfId="0"/>
    <cellStyle name="Normal 61 3 2 3 2 2 3 2 2 3" xfId="0"/>
    <cellStyle name="Normal 61 3 2 3 2 2 3 2 3" xfId="0"/>
    <cellStyle name="Normal 61 3 2 3 2 2 3 2 3 2" xfId="0"/>
    <cellStyle name="Normal 61 3 2 3 2 2 3 2 3 2 2" xfId="0"/>
    <cellStyle name="Normal 61 3 2 3 2 2 3 2 3 3" xfId="0"/>
    <cellStyle name="Normal 61 3 2 3 2 2 3 2 4" xfId="0"/>
    <cellStyle name="Normal 61 3 2 3 2 2 3 2 4 2" xfId="0"/>
    <cellStyle name="Normal 61 3 2 3 2 2 3 2 5" xfId="0"/>
    <cellStyle name="Normal 61 3 2 3 2 2 3 3" xfId="0"/>
    <cellStyle name="Normal 61 3 2 3 2 2 3 3 2" xfId="0"/>
    <cellStyle name="Normal 61 3 2 3 2 2 3 3 2 2" xfId="0"/>
    <cellStyle name="Normal 61 3 2 3 2 2 3 3 3" xfId="0"/>
    <cellStyle name="Normal 61 3 2 3 2 2 3 4" xfId="0"/>
    <cellStyle name="Normal 61 3 2 3 2 2 3 4 2" xfId="0"/>
    <cellStyle name="Normal 61 3 2 3 2 2 3 4 2 2" xfId="0"/>
    <cellStyle name="Normal 61 3 2 3 2 2 3 4 3" xfId="0"/>
    <cellStyle name="Normal 61 3 2 3 2 2 3 5" xfId="0"/>
    <cellStyle name="Normal 61 3 2 3 2 2 3 5 2" xfId="0"/>
    <cellStyle name="Normal 61 3 2 3 2 2 3 6" xfId="0"/>
    <cellStyle name="Normal 61 3 2 3 2 2 4" xfId="0"/>
    <cellStyle name="Normal 61 3 2 3 2 2 4 2" xfId="0"/>
    <cellStyle name="Normal 61 3 2 3 2 2 4 2 2" xfId="0"/>
    <cellStyle name="Normal 61 3 2 3 2 2 4 2 2 2" xfId="0"/>
    <cellStyle name="Normal 61 3 2 3 2 2 4 2 3" xfId="0"/>
    <cellStyle name="Normal 61 3 2 3 2 2 4 3" xfId="0"/>
    <cellStyle name="Normal 61 3 2 3 2 2 4 3 2" xfId="0"/>
    <cellStyle name="Normal 61 3 2 3 2 2 4 3 2 2" xfId="0"/>
    <cellStyle name="Normal 61 3 2 3 2 2 4 3 3" xfId="0"/>
    <cellStyle name="Normal 61 3 2 3 2 2 4 4" xfId="0"/>
    <cellStyle name="Normal 61 3 2 3 2 2 4 4 2" xfId="0"/>
    <cellStyle name="Normal 61 3 2 3 2 2 4 5" xfId="0"/>
    <cellStyle name="Normal 61 3 2 3 2 2 5" xfId="0"/>
    <cellStyle name="Normal 61 3 2 3 2 2 5 2" xfId="0"/>
    <cellStyle name="Normal 61 3 2 3 2 2 5 2 2" xfId="0"/>
    <cellStyle name="Normal 61 3 2 3 2 2 5 3" xfId="0"/>
    <cellStyle name="Normal 61 3 2 3 2 2 6" xfId="0"/>
    <cellStyle name="Normal 61 3 2 3 2 2 6 2" xfId="0"/>
    <cellStyle name="Normal 61 3 2 3 2 2 6 2 2" xfId="0"/>
    <cellStyle name="Normal 61 3 2 3 2 2 6 3" xfId="0"/>
    <cellStyle name="Normal 61 3 2 3 2 2 7" xfId="0"/>
    <cellStyle name="Normal 61 3 2 3 2 2 7 2" xfId="0"/>
    <cellStyle name="Normal 61 3 2 3 2 2 8" xfId="0"/>
    <cellStyle name="Normal 61 3 2 3 2 3" xfId="0"/>
    <cellStyle name="Normal 61 3 2 3 2 3 2" xfId="0"/>
    <cellStyle name="Normal 61 3 2 3 2 3 2 2" xfId="0"/>
    <cellStyle name="Normal 61 3 2 3 2 3 2 2 2" xfId="0"/>
    <cellStyle name="Normal 61 3 2 3 2 3 2 2 2 2" xfId="0"/>
    <cellStyle name="Normal 61 3 2 3 2 3 2 2 2 2 2" xfId="0"/>
    <cellStyle name="Normal 61 3 2 3 2 3 2 2 2 3" xfId="0"/>
    <cellStyle name="Normal 61 3 2 3 2 3 2 2 3" xfId="0"/>
    <cellStyle name="Normal 61 3 2 3 2 3 2 2 3 2" xfId="0"/>
    <cellStyle name="Normal 61 3 2 3 2 3 2 2 3 2 2" xfId="0"/>
    <cellStyle name="Normal 61 3 2 3 2 3 2 2 3 3" xfId="0"/>
    <cellStyle name="Normal 61 3 2 3 2 3 2 2 4" xfId="0"/>
    <cellStyle name="Normal 61 3 2 3 2 3 2 2 4 2" xfId="0"/>
    <cellStyle name="Normal 61 3 2 3 2 3 2 2 5" xfId="0"/>
    <cellStyle name="Normal 61 3 2 3 2 3 2 3" xfId="0"/>
    <cellStyle name="Normal 61 3 2 3 2 3 2 3 2" xfId="0"/>
    <cellStyle name="Normal 61 3 2 3 2 3 2 3 2 2" xfId="0"/>
    <cellStyle name="Normal 61 3 2 3 2 3 2 3 3" xfId="0"/>
    <cellStyle name="Normal 61 3 2 3 2 3 2 4" xfId="0"/>
    <cellStyle name="Normal 61 3 2 3 2 3 2 4 2" xfId="0"/>
    <cellStyle name="Normal 61 3 2 3 2 3 2 4 2 2" xfId="0"/>
    <cellStyle name="Normal 61 3 2 3 2 3 2 4 3" xfId="0"/>
    <cellStyle name="Normal 61 3 2 3 2 3 2 5" xfId="0"/>
    <cellStyle name="Normal 61 3 2 3 2 3 2 5 2" xfId="0"/>
    <cellStyle name="Normal 61 3 2 3 2 3 2 6" xfId="0"/>
    <cellStyle name="Normal 61 3 2 3 2 3 3" xfId="0"/>
    <cellStyle name="Normal 61 3 2 3 2 3 3 2" xfId="0"/>
    <cellStyle name="Normal 61 3 2 3 2 3 3 2 2" xfId="0"/>
    <cellStyle name="Normal 61 3 2 3 2 3 3 2 2 2" xfId="0"/>
    <cellStyle name="Normal 61 3 2 3 2 3 3 2 3" xfId="0"/>
    <cellStyle name="Normal 61 3 2 3 2 3 3 3" xfId="0"/>
    <cellStyle name="Normal 61 3 2 3 2 3 3 3 2" xfId="0"/>
    <cellStyle name="Normal 61 3 2 3 2 3 3 3 2 2" xfId="0"/>
    <cellStyle name="Normal 61 3 2 3 2 3 3 3 3" xfId="0"/>
    <cellStyle name="Normal 61 3 2 3 2 3 3 4" xfId="0"/>
    <cellStyle name="Normal 61 3 2 3 2 3 3 4 2" xfId="0"/>
    <cellStyle name="Normal 61 3 2 3 2 3 3 5" xfId="0"/>
    <cellStyle name="Normal 61 3 2 3 2 3 4" xfId="0"/>
    <cellStyle name="Normal 61 3 2 3 2 3 4 2" xfId="0"/>
    <cellStyle name="Normal 61 3 2 3 2 3 4 2 2" xfId="0"/>
    <cellStyle name="Normal 61 3 2 3 2 3 4 3" xfId="0"/>
    <cellStyle name="Normal 61 3 2 3 2 3 5" xfId="0"/>
    <cellStyle name="Normal 61 3 2 3 2 3 5 2" xfId="0"/>
    <cellStyle name="Normal 61 3 2 3 2 3 5 2 2" xfId="0"/>
    <cellStyle name="Normal 61 3 2 3 2 3 5 3" xfId="0"/>
    <cellStyle name="Normal 61 3 2 3 2 3 6" xfId="0"/>
    <cellStyle name="Normal 61 3 2 3 2 3 6 2" xfId="0"/>
    <cellStyle name="Normal 61 3 2 3 2 3 7" xfId="0"/>
    <cellStyle name="Normal 61 3 2 3 2 4" xfId="0"/>
    <cellStyle name="Normal 61 3 2 3 2 4 2" xfId="0"/>
    <cellStyle name="Normal 61 3 2 3 2 4 2 2" xfId="0"/>
    <cellStyle name="Normal 61 3 2 3 2 4 2 2 2" xfId="0"/>
    <cellStyle name="Normal 61 3 2 3 2 4 2 2 2 2" xfId="0"/>
    <cellStyle name="Normal 61 3 2 3 2 4 2 2 3" xfId="0"/>
    <cellStyle name="Normal 61 3 2 3 2 4 2 3" xfId="0"/>
    <cellStyle name="Normal 61 3 2 3 2 4 2 3 2" xfId="0"/>
    <cellStyle name="Normal 61 3 2 3 2 4 2 3 2 2" xfId="0"/>
    <cellStyle name="Normal 61 3 2 3 2 4 2 3 3" xfId="0"/>
    <cellStyle name="Normal 61 3 2 3 2 4 2 4" xfId="0"/>
    <cellStyle name="Normal 61 3 2 3 2 4 2 4 2" xfId="0"/>
    <cellStyle name="Normal 61 3 2 3 2 4 2 5" xfId="0"/>
    <cellStyle name="Normal 61 3 2 3 2 4 3" xfId="0"/>
    <cellStyle name="Normal 61 3 2 3 2 4 3 2" xfId="0"/>
    <cellStyle name="Normal 61 3 2 3 2 4 3 2 2" xfId="0"/>
    <cellStyle name="Normal 61 3 2 3 2 4 3 3" xfId="0"/>
    <cellStyle name="Normal 61 3 2 3 2 4 4" xfId="0"/>
    <cellStyle name="Normal 61 3 2 3 2 4 4 2" xfId="0"/>
    <cellStyle name="Normal 61 3 2 3 2 4 4 2 2" xfId="0"/>
    <cellStyle name="Normal 61 3 2 3 2 4 4 3" xfId="0"/>
    <cellStyle name="Normal 61 3 2 3 2 4 5" xfId="0"/>
    <cellStyle name="Normal 61 3 2 3 2 4 5 2" xfId="0"/>
    <cellStyle name="Normal 61 3 2 3 2 4 6" xfId="0"/>
    <cellStyle name="Normal 61 3 2 3 2 5" xfId="0"/>
    <cellStyle name="Normal 61 3 2 3 2 5 2" xfId="0"/>
    <cellStyle name="Normal 61 3 2 3 2 5 2 2" xfId="0"/>
    <cellStyle name="Normal 61 3 2 3 2 5 2 2 2" xfId="0"/>
    <cellStyle name="Normal 61 3 2 3 2 5 2 3" xfId="0"/>
    <cellStyle name="Normal 61 3 2 3 2 5 3" xfId="0"/>
    <cellStyle name="Normal 61 3 2 3 2 5 3 2" xfId="0"/>
    <cellStyle name="Normal 61 3 2 3 2 5 3 2 2" xfId="0"/>
    <cellStyle name="Normal 61 3 2 3 2 5 3 3" xfId="0"/>
    <cellStyle name="Normal 61 3 2 3 2 5 4" xfId="0"/>
    <cellStyle name="Normal 61 3 2 3 2 5 4 2" xfId="0"/>
    <cellStyle name="Normal 61 3 2 3 2 5 5" xfId="0"/>
    <cellStyle name="Normal 61 3 2 3 2 6" xfId="0"/>
    <cellStyle name="Normal 61 3 2 3 2 6 2" xfId="0"/>
    <cellStyle name="Normal 61 3 2 3 2 6 2 2" xfId="0"/>
    <cellStyle name="Normal 61 3 2 3 2 6 3" xfId="0"/>
    <cellStyle name="Normal 61 3 2 3 2 7" xfId="0"/>
    <cellStyle name="Normal 61 3 2 3 2 7 2" xfId="0"/>
    <cellStyle name="Normal 61 3 2 3 2 7 2 2" xfId="0"/>
    <cellStyle name="Normal 61 3 2 3 2 7 3" xfId="0"/>
    <cellStyle name="Normal 61 3 2 3 2 8" xfId="0"/>
    <cellStyle name="Normal 61 3 2 3 2 8 2" xfId="0"/>
    <cellStyle name="Normal 61 3 2 3 2 9" xfId="0"/>
    <cellStyle name="Normal 61 3 2 3 3" xfId="0"/>
    <cellStyle name="Normal 61 3 2 3 3 2" xfId="0"/>
    <cellStyle name="Normal 61 3 2 3 3 2 2" xfId="0"/>
    <cellStyle name="Normal 61 3 2 3 3 2 2 2" xfId="0"/>
    <cellStyle name="Normal 61 3 2 3 3 2 2 2 2" xfId="0"/>
    <cellStyle name="Normal 61 3 2 3 3 2 2 2 2 2" xfId="0"/>
    <cellStyle name="Normal 61 3 2 3 3 2 2 2 2 2 2" xfId="0"/>
    <cellStyle name="Normal 61 3 2 3 3 2 2 2 2 3" xfId="0"/>
    <cellStyle name="Normal 61 3 2 3 3 2 2 2 3" xfId="0"/>
    <cellStyle name="Normal 61 3 2 3 3 2 2 2 3 2" xfId="0"/>
    <cellStyle name="Normal 61 3 2 3 3 2 2 2 3 2 2" xfId="0"/>
    <cellStyle name="Normal 61 3 2 3 3 2 2 2 3 3" xfId="0"/>
    <cellStyle name="Normal 61 3 2 3 3 2 2 2 4" xfId="0"/>
    <cellStyle name="Normal 61 3 2 3 3 2 2 2 4 2" xfId="0"/>
    <cellStyle name="Normal 61 3 2 3 3 2 2 2 5" xfId="0"/>
    <cellStyle name="Normal 61 3 2 3 3 2 2 3" xfId="0"/>
    <cellStyle name="Normal 61 3 2 3 3 2 2 3 2" xfId="0"/>
    <cellStyle name="Normal 61 3 2 3 3 2 2 3 2 2" xfId="0"/>
    <cellStyle name="Normal 61 3 2 3 3 2 2 3 3" xfId="0"/>
    <cellStyle name="Normal 61 3 2 3 3 2 2 4" xfId="0"/>
    <cellStyle name="Normal 61 3 2 3 3 2 2 4 2" xfId="0"/>
    <cellStyle name="Normal 61 3 2 3 3 2 2 4 2 2" xfId="0"/>
    <cellStyle name="Normal 61 3 2 3 3 2 2 4 3" xfId="0"/>
    <cellStyle name="Normal 61 3 2 3 3 2 2 5" xfId="0"/>
    <cellStyle name="Normal 61 3 2 3 3 2 2 5 2" xfId="0"/>
    <cellStyle name="Normal 61 3 2 3 3 2 2 6" xfId="0"/>
    <cellStyle name="Normal 61 3 2 3 3 2 3" xfId="0"/>
    <cellStyle name="Normal 61 3 2 3 3 2 3 2" xfId="0"/>
    <cellStyle name="Normal 61 3 2 3 3 2 3 2 2" xfId="0"/>
    <cellStyle name="Normal 61 3 2 3 3 2 3 2 2 2" xfId="0"/>
    <cellStyle name="Normal 61 3 2 3 3 2 3 2 3" xfId="0"/>
    <cellStyle name="Normal 61 3 2 3 3 2 3 3" xfId="0"/>
    <cellStyle name="Normal 61 3 2 3 3 2 3 3 2" xfId="0"/>
    <cellStyle name="Normal 61 3 2 3 3 2 3 3 2 2" xfId="0"/>
    <cellStyle name="Normal 61 3 2 3 3 2 3 3 3" xfId="0"/>
    <cellStyle name="Normal 61 3 2 3 3 2 3 4" xfId="0"/>
    <cellStyle name="Normal 61 3 2 3 3 2 3 4 2" xfId="0"/>
    <cellStyle name="Normal 61 3 2 3 3 2 3 5" xfId="0"/>
    <cellStyle name="Normal 61 3 2 3 3 2 4" xfId="0"/>
    <cellStyle name="Normal 61 3 2 3 3 2 4 2" xfId="0"/>
    <cellStyle name="Normal 61 3 2 3 3 2 4 2 2" xfId="0"/>
    <cellStyle name="Normal 61 3 2 3 3 2 4 3" xfId="0"/>
    <cellStyle name="Normal 61 3 2 3 3 2 5" xfId="0"/>
    <cellStyle name="Normal 61 3 2 3 3 2 5 2" xfId="0"/>
    <cellStyle name="Normal 61 3 2 3 3 2 5 2 2" xfId="0"/>
    <cellStyle name="Normal 61 3 2 3 3 2 5 3" xfId="0"/>
    <cellStyle name="Normal 61 3 2 3 3 2 6" xfId="0"/>
    <cellStyle name="Normal 61 3 2 3 3 2 6 2" xfId="0"/>
    <cellStyle name="Normal 61 3 2 3 3 2 7" xfId="0"/>
    <cellStyle name="Normal 61 3 2 3 3 3" xfId="0"/>
    <cellStyle name="Normal 61 3 2 3 3 3 2" xfId="0"/>
    <cellStyle name="Normal 61 3 2 3 3 3 2 2" xfId="0"/>
    <cellStyle name="Normal 61 3 2 3 3 3 2 2 2" xfId="0"/>
    <cellStyle name="Normal 61 3 2 3 3 3 2 2 2 2" xfId="0"/>
    <cellStyle name="Normal 61 3 2 3 3 3 2 2 3" xfId="0"/>
    <cellStyle name="Normal 61 3 2 3 3 3 2 3" xfId="0"/>
    <cellStyle name="Normal 61 3 2 3 3 3 2 3 2" xfId="0"/>
    <cellStyle name="Normal 61 3 2 3 3 3 2 3 2 2" xfId="0"/>
    <cellStyle name="Normal 61 3 2 3 3 3 2 3 3" xfId="0"/>
    <cellStyle name="Normal 61 3 2 3 3 3 2 4" xfId="0"/>
    <cellStyle name="Normal 61 3 2 3 3 3 2 4 2" xfId="0"/>
    <cellStyle name="Normal 61 3 2 3 3 3 2 5" xfId="0"/>
    <cellStyle name="Normal 61 3 2 3 3 3 3" xfId="0"/>
    <cellStyle name="Normal 61 3 2 3 3 3 3 2" xfId="0"/>
    <cellStyle name="Normal 61 3 2 3 3 3 3 2 2" xfId="0"/>
    <cellStyle name="Normal 61 3 2 3 3 3 3 3" xfId="0"/>
    <cellStyle name="Normal 61 3 2 3 3 3 4" xfId="0"/>
    <cellStyle name="Normal 61 3 2 3 3 3 4 2" xfId="0"/>
    <cellStyle name="Normal 61 3 2 3 3 3 4 2 2" xfId="0"/>
    <cellStyle name="Normal 61 3 2 3 3 3 4 3" xfId="0"/>
    <cellStyle name="Normal 61 3 2 3 3 3 5" xfId="0"/>
    <cellStyle name="Normal 61 3 2 3 3 3 5 2" xfId="0"/>
    <cellStyle name="Normal 61 3 2 3 3 3 6" xfId="0"/>
    <cellStyle name="Normal 61 3 2 3 3 4" xfId="0"/>
    <cellStyle name="Normal 61 3 2 3 3 4 2" xfId="0"/>
    <cellStyle name="Normal 61 3 2 3 3 4 2 2" xfId="0"/>
    <cellStyle name="Normal 61 3 2 3 3 4 2 2 2" xfId="0"/>
    <cellStyle name="Normal 61 3 2 3 3 4 2 3" xfId="0"/>
    <cellStyle name="Normal 61 3 2 3 3 4 3" xfId="0"/>
    <cellStyle name="Normal 61 3 2 3 3 4 3 2" xfId="0"/>
    <cellStyle name="Normal 61 3 2 3 3 4 3 2 2" xfId="0"/>
    <cellStyle name="Normal 61 3 2 3 3 4 3 3" xfId="0"/>
    <cellStyle name="Normal 61 3 2 3 3 4 4" xfId="0"/>
    <cellStyle name="Normal 61 3 2 3 3 4 4 2" xfId="0"/>
    <cellStyle name="Normal 61 3 2 3 3 4 5" xfId="0"/>
    <cellStyle name="Normal 61 3 2 3 3 5" xfId="0"/>
    <cellStyle name="Normal 61 3 2 3 3 5 2" xfId="0"/>
    <cellStyle name="Normal 61 3 2 3 3 5 2 2" xfId="0"/>
    <cellStyle name="Normal 61 3 2 3 3 5 3" xfId="0"/>
    <cellStyle name="Normal 61 3 2 3 3 6" xfId="0"/>
    <cellStyle name="Normal 61 3 2 3 3 6 2" xfId="0"/>
    <cellStyle name="Normal 61 3 2 3 3 6 2 2" xfId="0"/>
    <cellStyle name="Normal 61 3 2 3 3 6 3" xfId="0"/>
    <cellStyle name="Normal 61 3 2 3 3 7" xfId="0"/>
    <cellStyle name="Normal 61 3 2 3 3 7 2" xfId="0"/>
    <cellStyle name="Normal 61 3 2 3 3 8" xfId="0"/>
    <cellStyle name="Normal 61 3 2 3 4" xfId="0"/>
    <cellStyle name="Normal 61 3 2 3 4 2" xfId="0"/>
    <cellStyle name="Normal 61 3 2 3 4 2 2" xfId="0"/>
    <cellStyle name="Normal 61 3 2 3 4 2 2 2" xfId="0"/>
    <cellStyle name="Normal 61 3 2 3 4 2 2 2 2" xfId="0"/>
    <cellStyle name="Normal 61 3 2 3 4 2 2 2 2 2" xfId="0"/>
    <cellStyle name="Normal 61 3 2 3 4 2 2 2 3" xfId="0"/>
    <cellStyle name="Normal 61 3 2 3 4 2 2 3" xfId="0"/>
    <cellStyle name="Normal 61 3 2 3 4 2 2 3 2" xfId="0"/>
    <cellStyle name="Normal 61 3 2 3 4 2 2 3 2 2" xfId="0"/>
    <cellStyle name="Normal 61 3 2 3 4 2 2 3 3" xfId="0"/>
    <cellStyle name="Normal 61 3 2 3 4 2 2 4" xfId="0"/>
    <cellStyle name="Normal 61 3 2 3 4 2 2 4 2" xfId="0"/>
    <cellStyle name="Normal 61 3 2 3 4 2 2 5" xfId="0"/>
    <cellStyle name="Normal 61 3 2 3 4 2 3" xfId="0"/>
    <cellStyle name="Normal 61 3 2 3 4 2 3 2" xfId="0"/>
    <cellStyle name="Normal 61 3 2 3 4 2 3 2 2" xfId="0"/>
    <cellStyle name="Normal 61 3 2 3 4 2 3 3" xfId="0"/>
    <cellStyle name="Normal 61 3 2 3 4 2 4" xfId="0"/>
    <cellStyle name="Normal 61 3 2 3 4 2 4 2" xfId="0"/>
    <cellStyle name="Normal 61 3 2 3 4 2 4 2 2" xfId="0"/>
    <cellStyle name="Normal 61 3 2 3 4 2 4 3" xfId="0"/>
    <cellStyle name="Normal 61 3 2 3 4 2 5" xfId="0"/>
    <cellStyle name="Normal 61 3 2 3 4 2 5 2" xfId="0"/>
    <cellStyle name="Normal 61 3 2 3 4 2 6" xfId="0"/>
    <cellStyle name="Normal 61 3 2 3 4 3" xfId="0"/>
    <cellStyle name="Normal 61 3 2 3 4 3 2" xfId="0"/>
    <cellStyle name="Normal 61 3 2 3 4 3 2 2" xfId="0"/>
    <cellStyle name="Normal 61 3 2 3 4 3 2 2 2" xfId="0"/>
    <cellStyle name="Normal 61 3 2 3 4 3 2 3" xfId="0"/>
    <cellStyle name="Normal 61 3 2 3 4 3 3" xfId="0"/>
    <cellStyle name="Normal 61 3 2 3 4 3 3 2" xfId="0"/>
    <cellStyle name="Normal 61 3 2 3 4 3 3 2 2" xfId="0"/>
    <cellStyle name="Normal 61 3 2 3 4 3 3 3" xfId="0"/>
    <cellStyle name="Normal 61 3 2 3 4 3 4" xfId="0"/>
    <cellStyle name="Normal 61 3 2 3 4 3 4 2" xfId="0"/>
    <cellStyle name="Normal 61 3 2 3 4 3 5" xfId="0"/>
    <cellStyle name="Normal 61 3 2 3 4 4" xfId="0"/>
    <cellStyle name="Normal 61 3 2 3 4 4 2" xfId="0"/>
    <cellStyle name="Normal 61 3 2 3 4 4 2 2" xfId="0"/>
    <cellStyle name="Normal 61 3 2 3 4 4 3" xfId="0"/>
    <cellStyle name="Normal 61 3 2 3 4 5" xfId="0"/>
    <cellStyle name="Normal 61 3 2 3 4 5 2" xfId="0"/>
    <cellStyle name="Normal 61 3 2 3 4 5 2 2" xfId="0"/>
    <cellStyle name="Normal 61 3 2 3 4 5 3" xfId="0"/>
    <cellStyle name="Normal 61 3 2 3 4 6" xfId="0"/>
    <cellStyle name="Normal 61 3 2 3 4 6 2" xfId="0"/>
    <cellStyle name="Normal 61 3 2 3 4 7" xfId="0"/>
    <cellStyle name="Normal 61 3 2 3 5" xfId="0"/>
    <cellStyle name="Normal 61 3 2 3 5 2" xfId="0"/>
    <cellStyle name="Normal 61 3 2 3 5 2 2" xfId="0"/>
    <cellStyle name="Normal 61 3 2 3 5 2 2 2" xfId="0"/>
    <cellStyle name="Normal 61 3 2 3 5 2 2 2 2" xfId="0"/>
    <cellStyle name="Normal 61 3 2 3 5 2 2 3" xfId="0"/>
    <cellStyle name="Normal 61 3 2 3 5 2 3" xfId="0"/>
    <cellStyle name="Normal 61 3 2 3 5 2 3 2" xfId="0"/>
    <cellStyle name="Normal 61 3 2 3 5 2 3 2 2" xfId="0"/>
    <cellStyle name="Normal 61 3 2 3 5 2 3 3" xfId="0"/>
    <cellStyle name="Normal 61 3 2 3 5 2 4" xfId="0"/>
    <cellStyle name="Normal 61 3 2 3 5 2 4 2" xfId="0"/>
    <cellStyle name="Normal 61 3 2 3 5 2 5" xfId="0"/>
    <cellStyle name="Normal 61 3 2 3 5 3" xfId="0"/>
    <cellStyle name="Normal 61 3 2 3 5 3 2" xfId="0"/>
    <cellStyle name="Normal 61 3 2 3 5 3 2 2" xfId="0"/>
    <cellStyle name="Normal 61 3 2 3 5 3 3" xfId="0"/>
    <cellStyle name="Normal 61 3 2 3 5 4" xfId="0"/>
    <cellStyle name="Normal 61 3 2 3 5 4 2" xfId="0"/>
    <cellStyle name="Normal 61 3 2 3 5 4 2 2" xfId="0"/>
    <cellStyle name="Normal 61 3 2 3 5 4 3" xfId="0"/>
    <cellStyle name="Normal 61 3 2 3 5 5" xfId="0"/>
    <cellStyle name="Normal 61 3 2 3 5 5 2" xfId="0"/>
    <cellStyle name="Normal 61 3 2 3 5 6" xfId="0"/>
    <cellStyle name="Normal 61 3 2 3 6" xfId="0"/>
    <cellStyle name="Normal 61 3 2 3 6 2" xfId="0"/>
    <cellStyle name="Normal 61 3 2 3 6 2 2" xfId="0"/>
    <cellStyle name="Normal 61 3 2 3 6 2 2 2" xfId="0"/>
    <cellStyle name="Normal 61 3 2 3 6 2 3" xfId="0"/>
    <cellStyle name="Normal 61 3 2 3 6 3" xfId="0"/>
    <cellStyle name="Normal 61 3 2 3 6 3 2" xfId="0"/>
    <cellStyle name="Normal 61 3 2 3 6 3 2 2" xfId="0"/>
    <cellStyle name="Normal 61 3 2 3 6 3 3" xfId="0"/>
    <cellStyle name="Normal 61 3 2 3 6 4" xfId="0"/>
    <cellStyle name="Normal 61 3 2 3 6 4 2" xfId="0"/>
    <cellStyle name="Normal 61 3 2 3 6 5" xfId="0"/>
    <cellStyle name="Normal 61 3 2 3 7" xfId="0"/>
    <cellStyle name="Normal 61 3 2 3 7 2" xfId="0"/>
    <cellStyle name="Normal 61 3 2 3 7 2 2" xfId="0"/>
    <cellStyle name="Normal 61 3 2 3 7 3" xfId="0"/>
    <cellStyle name="Normal 61 3 2 3 8" xfId="0"/>
    <cellStyle name="Normal 61 3 2 3 8 2" xfId="0"/>
    <cellStyle name="Normal 61 3 2 3 8 2 2" xfId="0"/>
    <cellStyle name="Normal 61 3 2 3 8 3" xfId="0"/>
    <cellStyle name="Normal 61 3 2 3 9" xfId="0"/>
    <cellStyle name="Normal 61 3 2 3 9 2" xfId="0"/>
    <cellStyle name="Normal 61 3 2 4" xfId="0"/>
    <cellStyle name="Normal 61 3 2 4 2" xfId="0"/>
    <cellStyle name="Normal 61 3 2 4 2 2" xfId="0"/>
    <cellStyle name="Normal 61 3 2 4 2 2 2" xfId="0"/>
    <cellStyle name="Normal 61 3 2 4 2 2 2 2" xfId="0"/>
    <cellStyle name="Normal 61 3 2 4 2 2 2 2 2" xfId="0"/>
    <cellStyle name="Normal 61 3 2 4 2 2 2 2 2 2" xfId="0"/>
    <cellStyle name="Normal 61 3 2 4 2 2 2 2 2 2 2" xfId="0"/>
    <cellStyle name="Normal 61 3 2 4 2 2 2 2 2 3" xfId="0"/>
    <cellStyle name="Normal 61 3 2 4 2 2 2 2 3" xfId="0"/>
    <cellStyle name="Normal 61 3 2 4 2 2 2 2 3 2" xfId="0"/>
    <cellStyle name="Normal 61 3 2 4 2 2 2 2 3 2 2" xfId="0"/>
    <cellStyle name="Normal 61 3 2 4 2 2 2 2 3 3" xfId="0"/>
    <cellStyle name="Normal 61 3 2 4 2 2 2 2 4" xfId="0"/>
    <cellStyle name="Normal 61 3 2 4 2 2 2 2 4 2" xfId="0"/>
    <cellStyle name="Normal 61 3 2 4 2 2 2 2 5" xfId="0"/>
    <cellStyle name="Normal 61 3 2 4 2 2 2 3" xfId="0"/>
    <cellStyle name="Normal 61 3 2 4 2 2 2 3 2" xfId="0"/>
    <cellStyle name="Normal 61 3 2 4 2 2 2 3 2 2" xfId="0"/>
    <cellStyle name="Normal 61 3 2 4 2 2 2 3 3" xfId="0"/>
    <cellStyle name="Normal 61 3 2 4 2 2 2 4" xfId="0"/>
    <cellStyle name="Normal 61 3 2 4 2 2 2 4 2" xfId="0"/>
    <cellStyle name="Normal 61 3 2 4 2 2 2 4 2 2" xfId="0"/>
    <cellStyle name="Normal 61 3 2 4 2 2 2 4 3" xfId="0"/>
    <cellStyle name="Normal 61 3 2 4 2 2 2 5" xfId="0"/>
    <cellStyle name="Normal 61 3 2 4 2 2 2 5 2" xfId="0"/>
    <cellStyle name="Normal 61 3 2 4 2 2 2 6" xfId="0"/>
    <cellStyle name="Normal 61 3 2 4 2 2 3" xfId="0"/>
    <cellStyle name="Normal 61 3 2 4 2 2 3 2" xfId="0"/>
    <cellStyle name="Normal 61 3 2 4 2 2 3 2 2" xfId="0"/>
    <cellStyle name="Normal 61 3 2 4 2 2 3 2 2 2" xfId="0"/>
    <cellStyle name="Normal 61 3 2 4 2 2 3 2 3" xfId="0"/>
    <cellStyle name="Normal 61 3 2 4 2 2 3 3" xfId="0"/>
    <cellStyle name="Normal 61 3 2 4 2 2 3 3 2" xfId="0"/>
    <cellStyle name="Normal 61 3 2 4 2 2 3 3 2 2" xfId="0"/>
    <cellStyle name="Normal 61 3 2 4 2 2 3 3 3" xfId="0"/>
    <cellStyle name="Normal 61 3 2 4 2 2 3 4" xfId="0"/>
    <cellStyle name="Normal 61 3 2 4 2 2 3 4 2" xfId="0"/>
    <cellStyle name="Normal 61 3 2 4 2 2 3 5" xfId="0"/>
    <cellStyle name="Normal 61 3 2 4 2 2 4" xfId="0"/>
    <cellStyle name="Normal 61 3 2 4 2 2 4 2" xfId="0"/>
    <cellStyle name="Normal 61 3 2 4 2 2 4 2 2" xfId="0"/>
    <cellStyle name="Normal 61 3 2 4 2 2 4 3" xfId="0"/>
    <cellStyle name="Normal 61 3 2 4 2 2 5" xfId="0"/>
    <cellStyle name="Normal 61 3 2 4 2 2 5 2" xfId="0"/>
    <cellStyle name="Normal 61 3 2 4 2 2 5 2 2" xfId="0"/>
    <cellStyle name="Normal 61 3 2 4 2 2 5 3" xfId="0"/>
    <cellStyle name="Normal 61 3 2 4 2 2 6" xfId="0"/>
    <cellStyle name="Normal 61 3 2 4 2 2 6 2" xfId="0"/>
    <cellStyle name="Normal 61 3 2 4 2 2 7" xfId="0"/>
    <cellStyle name="Normal 61 3 2 4 2 3" xfId="0"/>
    <cellStyle name="Normal 61 3 2 4 2 3 2" xfId="0"/>
    <cellStyle name="Normal 61 3 2 4 2 3 2 2" xfId="0"/>
    <cellStyle name="Normal 61 3 2 4 2 3 2 2 2" xfId="0"/>
    <cellStyle name="Normal 61 3 2 4 2 3 2 2 2 2" xfId="0"/>
    <cellStyle name="Normal 61 3 2 4 2 3 2 2 3" xfId="0"/>
    <cellStyle name="Normal 61 3 2 4 2 3 2 3" xfId="0"/>
    <cellStyle name="Normal 61 3 2 4 2 3 2 3 2" xfId="0"/>
    <cellStyle name="Normal 61 3 2 4 2 3 2 3 2 2" xfId="0"/>
    <cellStyle name="Normal 61 3 2 4 2 3 2 3 3" xfId="0"/>
    <cellStyle name="Normal 61 3 2 4 2 3 2 4" xfId="0"/>
    <cellStyle name="Normal 61 3 2 4 2 3 2 4 2" xfId="0"/>
    <cellStyle name="Normal 61 3 2 4 2 3 2 5" xfId="0"/>
    <cellStyle name="Normal 61 3 2 4 2 3 3" xfId="0"/>
    <cellStyle name="Normal 61 3 2 4 2 3 3 2" xfId="0"/>
    <cellStyle name="Normal 61 3 2 4 2 3 3 2 2" xfId="0"/>
    <cellStyle name="Normal 61 3 2 4 2 3 3 3" xfId="0"/>
    <cellStyle name="Normal 61 3 2 4 2 3 4" xfId="0"/>
    <cellStyle name="Normal 61 3 2 4 2 3 4 2" xfId="0"/>
    <cellStyle name="Normal 61 3 2 4 2 3 4 2 2" xfId="0"/>
    <cellStyle name="Normal 61 3 2 4 2 3 4 3" xfId="0"/>
    <cellStyle name="Normal 61 3 2 4 2 3 5" xfId="0"/>
    <cellStyle name="Normal 61 3 2 4 2 3 5 2" xfId="0"/>
    <cellStyle name="Normal 61 3 2 4 2 3 6" xfId="0"/>
    <cellStyle name="Normal 61 3 2 4 2 4" xfId="0"/>
    <cellStyle name="Normal 61 3 2 4 2 4 2" xfId="0"/>
    <cellStyle name="Normal 61 3 2 4 2 4 2 2" xfId="0"/>
    <cellStyle name="Normal 61 3 2 4 2 4 2 2 2" xfId="0"/>
    <cellStyle name="Normal 61 3 2 4 2 4 2 3" xfId="0"/>
    <cellStyle name="Normal 61 3 2 4 2 4 3" xfId="0"/>
    <cellStyle name="Normal 61 3 2 4 2 4 3 2" xfId="0"/>
    <cellStyle name="Normal 61 3 2 4 2 4 3 2 2" xfId="0"/>
    <cellStyle name="Normal 61 3 2 4 2 4 3 3" xfId="0"/>
    <cellStyle name="Normal 61 3 2 4 2 4 4" xfId="0"/>
    <cellStyle name="Normal 61 3 2 4 2 4 4 2" xfId="0"/>
    <cellStyle name="Normal 61 3 2 4 2 4 5" xfId="0"/>
    <cellStyle name="Normal 61 3 2 4 2 5" xfId="0"/>
    <cellStyle name="Normal 61 3 2 4 2 5 2" xfId="0"/>
    <cellStyle name="Normal 61 3 2 4 2 5 2 2" xfId="0"/>
    <cellStyle name="Normal 61 3 2 4 2 5 3" xfId="0"/>
    <cellStyle name="Normal 61 3 2 4 2 6" xfId="0"/>
    <cellStyle name="Normal 61 3 2 4 2 6 2" xfId="0"/>
    <cellStyle name="Normal 61 3 2 4 2 6 2 2" xfId="0"/>
    <cellStyle name="Normal 61 3 2 4 2 6 3" xfId="0"/>
    <cellStyle name="Normal 61 3 2 4 2 7" xfId="0"/>
    <cellStyle name="Normal 61 3 2 4 2 7 2" xfId="0"/>
    <cellStyle name="Normal 61 3 2 4 2 8" xfId="0"/>
    <cellStyle name="Normal 61 3 2 4 3" xfId="0"/>
    <cellStyle name="Normal 61 3 2 4 3 2" xfId="0"/>
    <cellStyle name="Normal 61 3 2 4 3 2 2" xfId="0"/>
    <cellStyle name="Normal 61 3 2 4 3 2 2 2" xfId="0"/>
    <cellStyle name="Normal 61 3 2 4 3 2 2 2 2" xfId="0"/>
    <cellStyle name="Normal 61 3 2 4 3 2 2 2 2 2" xfId="0"/>
    <cellStyle name="Normal 61 3 2 4 3 2 2 2 3" xfId="0"/>
    <cellStyle name="Normal 61 3 2 4 3 2 2 3" xfId="0"/>
    <cellStyle name="Normal 61 3 2 4 3 2 2 3 2" xfId="0"/>
    <cellStyle name="Normal 61 3 2 4 3 2 2 3 2 2" xfId="0"/>
    <cellStyle name="Normal 61 3 2 4 3 2 2 3 3" xfId="0"/>
    <cellStyle name="Normal 61 3 2 4 3 2 2 4" xfId="0"/>
    <cellStyle name="Normal 61 3 2 4 3 2 2 4 2" xfId="0"/>
    <cellStyle name="Normal 61 3 2 4 3 2 2 5" xfId="0"/>
    <cellStyle name="Normal 61 3 2 4 3 2 3" xfId="0"/>
    <cellStyle name="Normal 61 3 2 4 3 2 3 2" xfId="0"/>
    <cellStyle name="Normal 61 3 2 4 3 2 3 2 2" xfId="0"/>
    <cellStyle name="Normal 61 3 2 4 3 2 3 3" xfId="0"/>
    <cellStyle name="Normal 61 3 2 4 3 2 4" xfId="0"/>
    <cellStyle name="Normal 61 3 2 4 3 2 4 2" xfId="0"/>
    <cellStyle name="Normal 61 3 2 4 3 2 4 2 2" xfId="0"/>
    <cellStyle name="Normal 61 3 2 4 3 2 4 3" xfId="0"/>
    <cellStyle name="Normal 61 3 2 4 3 2 5" xfId="0"/>
    <cellStyle name="Normal 61 3 2 4 3 2 5 2" xfId="0"/>
    <cellStyle name="Normal 61 3 2 4 3 2 6" xfId="0"/>
    <cellStyle name="Normal 61 3 2 4 3 3" xfId="0"/>
    <cellStyle name="Normal 61 3 2 4 3 3 2" xfId="0"/>
    <cellStyle name="Normal 61 3 2 4 3 3 2 2" xfId="0"/>
    <cellStyle name="Normal 61 3 2 4 3 3 2 2 2" xfId="0"/>
    <cellStyle name="Normal 61 3 2 4 3 3 2 3" xfId="0"/>
    <cellStyle name="Normal 61 3 2 4 3 3 3" xfId="0"/>
    <cellStyle name="Normal 61 3 2 4 3 3 3 2" xfId="0"/>
    <cellStyle name="Normal 61 3 2 4 3 3 3 2 2" xfId="0"/>
    <cellStyle name="Normal 61 3 2 4 3 3 3 3" xfId="0"/>
    <cellStyle name="Normal 61 3 2 4 3 3 4" xfId="0"/>
    <cellStyle name="Normal 61 3 2 4 3 3 4 2" xfId="0"/>
    <cellStyle name="Normal 61 3 2 4 3 3 5" xfId="0"/>
    <cellStyle name="Normal 61 3 2 4 3 4" xfId="0"/>
    <cellStyle name="Normal 61 3 2 4 3 4 2" xfId="0"/>
    <cellStyle name="Normal 61 3 2 4 3 4 2 2" xfId="0"/>
    <cellStyle name="Normal 61 3 2 4 3 4 3" xfId="0"/>
    <cellStyle name="Normal 61 3 2 4 3 5" xfId="0"/>
    <cellStyle name="Normal 61 3 2 4 3 5 2" xfId="0"/>
    <cellStyle name="Normal 61 3 2 4 3 5 2 2" xfId="0"/>
    <cellStyle name="Normal 61 3 2 4 3 5 3" xfId="0"/>
    <cellStyle name="Normal 61 3 2 4 3 6" xfId="0"/>
    <cellStyle name="Normal 61 3 2 4 3 6 2" xfId="0"/>
    <cellStyle name="Normal 61 3 2 4 3 7" xfId="0"/>
    <cellStyle name="Normal 61 3 2 4 4" xfId="0"/>
    <cellStyle name="Normal 61 3 2 4 4 2" xfId="0"/>
    <cellStyle name="Normal 61 3 2 4 4 2 2" xfId="0"/>
    <cellStyle name="Normal 61 3 2 4 4 2 2 2" xfId="0"/>
    <cellStyle name="Normal 61 3 2 4 4 2 2 2 2" xfId="0"/>
    <cellStyle name="Normal 61 3 2 4 4 2 2 3" xfId="0"/>
    <cellStyle name="Normal 61 3 2 4 4 2 3" xfId="0"/>
    <cellStyle name="Normal 61 3 2 4 4 2 3 2" xfId="0"/>
    <cellStyle name="Normal 61 3 2 4 4 2 3 2 2" xfId="0"/>
    <cellStyle name="Normal 61 3 2 4 4 2 3 3" xfId="0"/>
    <cellStyle name="Normal 61 3 2 4 4 2 4" xfId="0"/>
    <cellStyle name="Normal 61 3 2 4 4 2 4 2" xfId="0"/>
    <cellStyle name="Normal 61 3 2 4 4 2 5" xfId="0"/>
    <cellStyle name="Normal 61 3 2 4 4 3" xfId="0"/>
    <cellStyle name="Normal 61 3 2 4 4 3 2" xfId="0"/>
    <cellStyle name="Normal 61 3 2 4 4 3 2 2" xfId="0"/>
    <cellStyle name="Normal 61 3 2 4 4 3 3" xfId="0"/>
    <cellStyle name="Normal 61 3 2 4 4 4" xfId="0"/>
    <cellStyle name="Normal 61 3 2 4 4 4 2" xfId="0"/>
    <cellStyle name="Normal 61 3 2 4 4 4 2 2" xfId="0"/>
    <cellStyle name="Normal 61 3 2 4 4 4 3" xfId="0"/>
    <cellStyle name="Normal 61 3 2 4 4 5" xfId="0"/>
    <cellStyle name="Normal 61 3 2 4 4 5 2" xfId="0"/>
    <cellStyle name="Normal 61 3 2 4 4 6" xfId="0"/>
    <cellStyle name="Normal 61 3 2 4 5" xfId="0"/>
    <cellStyle name="Normal 61 3 2 4 5 2" xfId="0"/>
    <cellStyle name="Normal 61 3 2 4 5 2 2" xfId="0"/>
    <cellStyle name="Normal 61 3 2 4 5 2 2 2" xfId="0"/>
    <cellStyle name="Normal 61 3 2 4 5 2 3" xfId="0"/>
    <cellStyle name="Normal 61 3 2 4 5 3" xfId="0"/>
    <cellStyle name="Normal 61 3 2 4 5 3 2" xfId="0"/>
    <cellStyle name="Normal 61 3 2 4 5 3 2 2" xfId="0"/>
    <cellStyle name="Normal 61 3 2 4 5 3 3" xfId="0"/>
    <cellStyle name="Normal 61 3 2 4 5 4" xfId="0"/>
    <cellStyle name="Normal 61 3 2 4 5 4 2" xfId="0"/>
    <cellStyle name="Normal 61 3 2 4 5 5" xfId="0"/>
    <cellStyle name="Normal 61 3 2 4 6" xfId="0"/>
    <cellStyle name="Normal 61 3 2 4 6 2" xfId="0"/>
    <cellStyle name="Normal 61 3 2 4 6 2 2" xfId="0"/>
    <cellStyle name="Normal 61 3 2 4 6 3" xfId="0"/>
    <cellStyle name="Normal 61 3 2 4 7" xfId="0"/>
    <cellStyle name="Normal 61 3 2 4 7 2" xfId="0"/>
    <cellStyle name="Normal 61 3 2 4 7 2 2" xfId="0"/>
    <cellStyle name="Normal 61 3 2 4 7 3" xfId="0"/>
    <cellStyle name="Normal 61 3 2 4 8" xfId="0"/>
    <cellStyle name="Normal 61 3 2 4 8 2" xfId="0"/>
    <cellStyle name="Normal 61 3 2 4 9" xfId="0"/>
    <cellStyle name="Normal 61 3 2 5" xfId="0"/>
    <cellStyle name="Normal 61 3 2 5 2" xfId="0"/>
    <cellStyle name="Normal 61 3 2 5 2 2" xfId="0"/>
    <cellStyle name="Normal 61 3 2 5 2 2 2" xfId="0"/>
    <cellStyle name="Normal 61 3 2 5 2 2 2 2" xfId="0"/>
    <cellStyle name="Normal 61 3 2 5 2 2 2 2 2" xfId="0"/>
    <cellStyle name="Normal 61 3 2 5 2 2 2 2 2 2" xfId="0"/>
    <cellStyle name="Normal 61 3 2 5 2 2 2 2 3" xfId="0"/>
    <cellStyle name="Normal 61 3 2 5 2 2 2 3" xfId="0"/>
    <cellStyle name="Normal 61 3 2 5 2 2 2 3 2" xfId="0"/>
    <cellStyle name="Normal 61 3 2 5 2 2 2 3 2 2" xfId="0"/>
    <cellStyle name="Normal 61 3 2 5 2 2 2 3 3" xfId="0"/>
    <cellStyle name="Normal 61 3 2 5 2 2 2 4" xfId="0"/>
    <cellStyle name="Normal 61 3 2 5 2 2 2 4 2" xfId="0"/>
    <cellStyle name="Normal 61 3 2 5 2 2 2 5" xfId="0"/>
    <cellStyle name="Normal 61 3 2 5 2 2 3" xfId="0"/>
    <cellStyle name="Normal 61 3 2 5 2 2 3 2" xfId="0"/>
    <cellStyle name="Normal 61 3 2 5 2 2 3 2 2" xfId="0"/>
    <cellStyle name="Normal 61 3 2 5 2 2 3 3" xfId="0"/>
    <cellStyle name="Normal 61 3 2 5 2 2 4" xfId="0"/>
    <cellStyle name="Normal 61 3 2 5 2 2 4 2" xfId="0"/>
    <cellStyle name="Normal 61 3 2 5 2 2 4 2 2" xfId="0"/>
    <cellStyle name="Normal 61 3 2 5 2 2 4 3" xfId="0"/>
    <cellStyle name="Normal 61 3 2 5 2 2 5" xfId="0"/>
    <cellStyle name="Normal 61 3 2 5 2 2 5 2" xfId="0"/>
    <cellStyle name="Normal 61 3 2 5 2 2 6" xfId="0"/>
    <cellStyle name="Normal 61 3 2 5 2 3" xfId="0"/>
    <cellStyle name="Normal 61 3 2 5 2 3 2" xfId="0"/>
    <cellStyle name="Normal 61 3 2 5 2 3 2 2" xfId="0"/>
    <cellStyle name="Normal 61 3 2 5 2 3 2 2 2" xfId="0"/>
    <cellStyle name="Normal 61 3 2 5 2 3 2 3" xfId="0"/>
    <cellStyle name="Normal 61 3 2 5 2 3 3" xfId="0"/>
    <cellStyle name="Normal 61 3 2 5 2 3 3 2" xfId="0"/>
    <cellStyle name="Normal 61 3 2 5 2 3 3 2 2" xfId="0"/>
    <cellStyle name="Normal 61 3 2 5 2 3 3 3" xfId="0"/>
    <cellStyle name="Normal 61 3 2 5 2 3 4" xfId="0"/>
    <cellStyle name="Normal 61 3 2 5 2 3 4 2" xfId="0"/>
    <cellStyle name="Normal 61 3 2 5 2 3 5" xfId="0"/>
    <cellStyle name="Normal 61 3 2 5 2 4" xfId="0"/>
    <cellStyle name="Normal 61 3 2 5 2 4 2" xfId="0"/>
    <cellStyle name="Normal 61 3 2 5 2 4 2 2" xfId="0"/>
    <cellStyle name="Normal 61 3 2 5 2 4 3" xfId="0"/>
    <cellStyle name="Normal 61 3 2 5 2 5" xfId="0"/>
    <cellStyle name="Normal 61 3 2 5 2 5 2" xfId="0"/>
    <cellStyle name="Normal 61 3 2 5 2 5 2 2" xfId="0"/>
    <cellStyle name="Normal 61 3 2 5 2 5 3" xfId="0"/>
    <cellStyle name="Normal 61 3 2 5 2 6" xfId="0"/>
    <cellStyle name="Normal 61 3 2 5 2 6 2" xfId="0"/>
    <cellStyle name="Normal 61 3 2 5 2 7" xfId="0"/>
    <cellStyle name="Normal 61 3 2 5 3" xfId="0"/>
    <cellStyle name="Normal 61 3 2 5 3 2" xfId="0"/>
    <cellStyle name="Normal 61 3 2 5 3 2 2" xfId="0"/>
    <cellStyle name="Normal 61 3 2 5 3 2 2 2" xfId="0"/>
    <cellStyle name="Normal 61 3 2 5 3 2 2 2 2" xfId="0"/>
    <cellStyle name="Normal 61 3 2 5 3 2 2 3" xfId="0"/>
    <cellStyle name="Normal 61 3 2 5 3 2 3" xfId="0"/>
    <cellStyle name="Normal 61 3 2 5 3 2 3 2" xfId="0"/>
    <cellStyle name="Normal 61 3 2 5 3 2 3 2 2" xfId="0"/>
    <cellStyle name="Normal 61 3 2 5 3 2 3 3" xfId="0"/>
    <cellStyle name="Normal 61 3 2 5 3 2 4" xfId="0"/>
    <cellStyle name="Normal 61 3 2 5 3 2 4 2" xfId="0"/>
    <cellStyle name="Normal 61 3 2 5 3 2 5" xfId="0"/>
    <cellStyle name="Normal 61 3 2 5 3 3" xfId="0"/>
    <cellStyle name="Normal 61 3 2 5 3 3 2" xfId="0"/>
    <cellStyle name="Normal 61 3 2 5 3 3 2 2" xfId="0"/>
    <cellStyle name="Normal 61 3 2 5 3 3 3" xfId="0"/>
    <cellStyle name="Normal 61 3 2 5 3 4" xfId="0"/>
    <cellStyle name="Normal 61 3 2 5 3 4 2" xfId="0"/>
    <cellStyle name="Normal 61 3 2 5 3 4 2 2" xfId="0"/>
    <cellStyle name="Normal 61 3 2 5 3 4 3" xfId="0"/>
    <cellStyle name="Normal 61 3 2 5 3 5" xfId="0"/>
    <cellStyle name="Normal 61 3 2 5 3 5 2" xfId="0"/>
    <cellStyle name="Normal 61 3 2 5 3 6" xfId="0"/>
    <cellStyle name="Normal 61 3 2 5 4" xfId="0"/>
    <cellStyle name="Normal 61 3 2 5 4 2" xfId="0"/>
    <cellStyle name="Normal 61 3 2 5 4 2 2" xfId="0"/>
    <cellStyle name="Normal 61 3 2 5 4 2 2 2" xfId="0"/>
    <cellStyle name="Normal 61 3 2 5 4 2 3" xfId="0"/>
    <cellStyle name="Normal 61 3 2 5 4 3" xfId="0"/>
    <cellStyle name="Normal 61 3 2 5 4 3 2" xfId="0"/>
    <cellStyle name="Normal 61 3 2 5 4 3 2 2" xfId="0"/>
    <cellStyle name="Normal 61 3 2 5 4 3 3" xfId="0"/>
    <cellStyle name="Normal 61 3 2 5 4 4" xfId="0"/>
    <cellStyle name="Normal 61 3 2 5 4 4 2" xfId="0"/>
    <cellStyle name="Normal 61 3 2 5 4 5" xfId="0"/>
    <cellStyle name="Normal 61 3 2 5 5" xfId="0"/>
    <cellStyle name="Normal 61 3 2 5 5 2" xfId="0"/>
    <cellStyle name="Normal 61 3 2 5 5 2 2" xfId="0"/>
    <cellStyle name="Normal 61 3 2 5 5 3" xfId="0"/>
    <cellStyle name="Normal 61 3 2 5 6" xfId="0"/>
    <cellStyle name="Normal 61 3 2 5 6 2" xfId="0"/>
    <cellStyle name="Normal 61 3 2 5 6 2 2" xfId="0"/>
    <cellStyle name="Normal 61 3 2 5 6 3" xfId="0"/>
    <cellStyle name="Normal 61 3 2 5 7" xfId="0"/>
    <cellStyle name="Normal 61 3 2 5 7 2" xfId="0"/>
    <cellStyle name="Normal 61 3 2 5 8" xfId="0"/>
    <cellStyle name="Normal 61 3 2 6" xfId="0"/>
    <cellStyle name="Normal 61 3 2 6 2" xfId="0"/>
    <cellStyle name="Normal 61 3 2 6 2 2" xfId="0"/>
    <cellStyle name="Normal 61 3 2 6 2 2 2" xfId="0"/>
    <cellStyle name="Normal 61 3 2 6 2 2 2 2" xfId="0"/>
    <cellStyle name="Normal 61 3 2 6 2 2 2 2 2" xfId="0"/>
    <cellStyle name="Normal 61 3 2 6 2 2 2 3" xfId="0"/>
    <cellStyle name="Normal 61 3 2 6 2 2 3" xfId="0"/>
    <cellStyle name="Normal 61 3 2 6 2 2 3 2" xfId="0"/>
    <cellStyle name="Normal 61 3 2 6 2 2 3 2 2" xfId="0"/>
    <cellStyle name="Normal 61 3 2 6 2 2 3 3" xfId="0"/>
    <cellStyle name="Normal 61 3 2 6 2 2 4" xfId="0"/>
    <cellStyle name="Normal 61 3 2 6 2 2 4 2" xfId="0"/>
    <cellStyle name="Normal 61 3 2 6 2 2 5" xfId="0"/>
    <cellStyle name="Normal 61 3 2 6 2 3" xfId="0"/>
    <cellStyle name="Normal 61 3 2 6 2 3 2" xfId="0"/>
    <cellStyle name="Normal 61 3 2 6 2 3 2 2" xfId="0"/>
    <cellStyle name="Normal 61 3 2 6 2 3 3" xfId="0"/>
    <cellStyle name="Normal 61 3 2 6 2 4" xfId="0"/>
    <cellStyle name="Normal 61 3 2 6 2 4 2" xfId="0"/>
    <cellStyle name="Normal 61 3 2 6 2 4 2 2" xfId="0"/>
    <cellStyle name="Normal 61 3 2 6 2 4 3" xfId="0"/>
    <cellStyle name="Normal 61 3 2 6 2 5" xfId="0"/>
    <cellStyle name="Normal 61 3 2 6 2 5 2" xfId="0"/>
    <cellStyle name="Normal 61 3 2 6 2 6" xfId="0"/>
    <cellStyle name="Normal 61 3 2 6 3" xfId="0"/>
    <cellStyle name="Normal 61 3 2 6 3 2" xfId="0"/>
    <cellStyle name="Normal 61 3 2 6 3 2 2" xfId="0"/>
    <cellStyle name="Normal 61 3 2 6 3 2 2 2" xfId="0"/>
    <cellStyle name="Normal 61 3 2 6 3 2 3" xfId="0"/>
    <cellStyle name="Normal 61 3 2 6 3 3" xfId="0"/>
    <cellStyle name="Normal 61 3 2 6 3 3 2" xfId="0"/>
    <cellStyle name="Normal 61 3 2 6 3 3 2 2" xfId="0"/>
    <cellStyle name="Normal 61 3 2 6 3 3 3" xfId="0"/>
    <cellStyle name="Normal 61 3 2 6 3 4" xfId="0"/>
    <cellStyle name="Normal 61 3 2 6 3 4 2" xfId="0"/>
    <cellStyle name="Normal 61 3 2 6 3 5" xfId="0"/>
    <cellStyle name="Normal 61 3 2 6 4" xfId="0"/>
    <cellStyle name="Normal 61 3 2 6 4 2" xfId="0"/>
    <cellStyle name="Normal 61 3 2 6 4 2 2" xfId="0"/>
    <cellStyle name="Normal 61 3 2 6 4 3" xfId="0"/>
    <cellStyle name="Normal 61 3 2 6 5" xfId="0"/>
    <cellStyle name="Normal 61 3 2 6 5 2" xfId="0"/>
    <cellStyle name="Normal 61 3 2 6 5 2 2" xfId="0"/>
    <cellStyle name="Normal 61 3 2 6 5 3" xfId="0"/>
    <cellStyle name="Normal 61 3 2 6 6" xfId="0"/>
    <cellStyle name="Normal 61 3 2 6 6 2" xfId="0"/>
    <cellStyle name="Normal 61 3 2 6 7" xfId="0"/>
    <cellStyle name="Normal 61 3 2 7" xfId="0"/>
    <cellStyle name="Normal 61 3 2 7 2" xfId="0"/>
    <cellStyle name="Normal 61 3 2 7 2 2" xfId="0"/>
    <cellStyle name="Normal 61 3 2 7 2 2 2" xfId="0"/>
    <cellStyle name="Normal 61 3 2 7 2 2 2 2" xfId="0"/>
    <cellStyle name="Normal 61 3 2 7 2 2 3" xfId="0"/>
    <cellStyle name="Normal 61 3 2 7 2 3" xfId="0"/>
    <cellStyle name="Normal 61 3 2 7 2 3 2" xfId="0"/>
    <cellStyle name="Normal 61 3 2 7 2 3 2 2" xfId="0"/>
    <cellStyle name="Normal 61 3 2 7 2 3 3" xfId="0"/>
    <cellStyle name="Normal 61 3 2 7 2 4" xfId="0"/>
    <cellStyle name="Normal 61 3 2 7 2 4 2" xfId="0"/>
    <cellStyle name="Normal 61 3 2 7 2 5" xfId="0"/>
    <cellStyle name="Normal 61 3 2 7 3" xfId="0"/>
    <cellStyle name="Normal 61 3 2 7 3 2" xfId="0"/>
    <cellStyle name="Normal 61 3 2 7 3 2 2" xfId="0"/>
    <cellStyle name="Normal 61 3 2 7 3 3" xfId="0"/>
    <cellStyle name="Normal 61 3 2 7 4" xfId="0"/>
    <cellStyle name="Normal 61 3 2 7 4 2" xfId="0"/>
    <cellStyle name="Normal 61 3 2 7 4 2 2" xfId="0"/>
    <cellStyle name="Normal 61 3 2 7 4 3" xfId="0"/>
    <cellStyle name="Normal 61 3 2 7 5" xfId="0"/>
    <cellStyle name="Normal 61 3 2 7 5 2" xfId="0"/>
    <cellStyle name="Normal 61 3 2 7 6" xfId="0"/>
    <cellStyle name="Normal 61 3 2 8" xfId="0"/>
    <cellStyle name="Normal 61 3 2 8 2" xfId="0"/>
    <cellStyle name="Normal 61 3 2 8 2 2" xfId="0"/>
    <cellStyle name="Normal 61 3 2 8 2 2 2" xfId="0"/>
    <cellStyle name="Normal 61 3 2 8 2 3" xfId="0"/>
    <cellStyle name="Normal 61 3 2 8 3" xfId="0"/>
    <cellStyle name="Normal 61 3 2 8 3 2" xfId="0"/>
    <cellStyle name="Normal 61 3 2 8 3 2 2" xfId="0"/>
    <cellStyle name="Normal 61 3 2 8 3 3" xfId="0"/>
    <cellStyle name="Normal 61 3 2 8 4" xfId="0"/>
    <cellStyle name="Normal 61 3 2 8 4 2" xfId="0"/>
    <cellStyle name="Normal 61 3 2 8 5" xfId="0"/>
    <cellStyle name="Normal 61 3 2 9" xfId="0"/>
    <cellStyle name="Normal 61 3 2 9 2" xfId="0"/>
    <cellStyle name="Normal 61 3 2 9 2 2" xfId="0"/>
    <cellStyle name="Normal 61 3 2 9 3" xfId="0"/>
    <cellStyle name="Normal 61 3 3" xfId="0"/>
    <cellStyle name="Normal 61 3 3 10" xfId="0"/>
    <cellStyle name="Normal 61 3 3 2" xfId="0"/>
    <cellStyle name="Normal 61 3 3 2 2" xfId="0"/>
    <cellStyle name="Normal 61 3 3 2 2 2" xfId="0"/>
    <cellStyle name="Normal 61 3 3 2 2 2 2" xfId="0"/>
    <cellStyle name="Normal 61 3 3 2 2 2 2 2" xfId="0"/>
    <cellStyle name="Normal 61 3 3 2 2 2 2 2 2" xfId="0"/>
    <cellStyle name="Normal 61 3 3 2 2 2 2 2 2 2" xfId="0"/>
    <cellStyle name="Normal 61 3 3 2 2 2 2 2 2 2 2" xfId="0"/>
    <cellStyle name="Normal 61 3 3 2 2 2 2 2 2 3" xfId="0"/>
    <cellStyle name="Normal 61 3 3 2 2 2 2 2 3" xfId="0"/>
    <cellStyle name="Normal 61 3 3 2 2 2 2 2 3 2" xfId="0"/>
    <cellStyle name="Normal 61 3 3 2 2 2 2 2 3 2 2" xfId="0"/>
    <cellStyle name="Normal 61 3 3 2 2 2 2 2 3 3" xfId="0"/>
    <cellStyle name="Normal 61 3 3 2 2 2 2 2 4" xfId="0"/>
    <cellStyle name="Normal 61 3 3 2 2 2 2 2 4 2" xfId="0"/>
    <cellStyle name="Normal 61 3 3 2 2 2 2 2 5" xfId="0"/>
    <cellStyle name="Normal 61 3 3 2 2 2 2 3" xfId="0"/>
    <cellStyle name="Normal 61 3 3 2 2 2 2 3 2" xfId="0"/>
    <cellStyle name="Normal 61 3 3 2 2 2 2 3 2 2" xfId="0"/>
    <cellStyle name="Normal 61 3 3 2 2 2 2 3 3" xfId="0"/>
    <cellStyle name="Normal 61 3 3 2 2 2 2 4" xfId="0"/>
    <cellStyle name="Normal 61 3 3 2 2 2 2 4 2" xfId="0"/>
    <cellStyle name="Normal 61 3 3 2 2 2 2 4 2 2" xfId="0"/>
    <cellStyle name="Normal 61 3 3 2 2 2 2 4 3" xfId="0"/>
    <cellStyle name="Normal 61 3 3 2 2 2 2 5" xfId="0"/>
    <cellStyle name="Normal 61 3 3 2 2 2 2 5 2" xfId="0"/>
    <cellStyle name="Normal 61 3 3 2 2 2 2 6" xfId="0"/>
    <cellStyle name="Normal 61 3 3 2 2 2 3" xfId="0"/>
    <cellStyle name="Normal 61 3 3 2 2 2 3 2" xfId="0"/>
    <cellStyle name="Normal 61 3 3 2 2 2 3 2 2" xfId="0"/>
    <cellStyle name="Normal 61 3 3 2 2 2 3 2 2 2" xfId="0"/>
    <cellStyle name="Normal 61 3 3 2 2 2 3 2 3" xfId="0"/>
    <cellStyle name="Normal 61 3 3 2 2 2 3 3" xfId="0"/>
    <cellStyle name="Normal 61 3 3 2 2 2 3 3 2" xfId="0"/>
    <cellStyle name="Normal 61 3 3 2 2 2 3 3 2 2" xfId="0"/>
    <cellStyle name="Normal 61 3 3 2 2 2 3 3 3" xfId="0"/>
    <cellStyle name="Normal 61 3 3 2 2 2 3 4" xfId="0"/>
    <cellStyle name="Normal 61 3 3 2 2 2 3 4 2" xfId="0"/>
    <cellStyle name="Normal 61 3 3 2 2 2 3 5" xfId="0"/>
    <cellStyle name="Normal 61 3 3 2 2 2 4" xfId="0"/>
    <cellStyle name="Normal 61 3 3 2 2 2 4 2" xfId="0"/>
    <cellStyle name="Normal 61 3 3 2 2 2 4 2 2" xfId="0"/>
    <cellStyle name="Normal 61 3 3 2 2 2 4 3" xfId="0"/>
    <cellStyle name="Normal 61 3 3 2 2 2 5" xfId="0"/>
    <cellStyle name="Normal 61 3 3 2 2 2 5 2" xfId="0"/>
    <cellStyle name="Normal 61 3 3 2 2 2 5 2 2" xfId="0"/>
    <cellStyle name="Normal 61 3 3 2 2 2 5 3" xfId="0"/>
    <cellStyle name="Normal 61 3 3 2 2 2 6" xfId="0"/>
    <cellStyle name="Normal 61 3 3 2 2 2 6 2" xfId="0"/>
    <cellStyle name="Normal 61 3 3 2 2 2 7" xfId="0"/>
    <cellStyle name="Normal 61 3 3 2 2 3" xfId="0"/>
    <cellStyle name="Normal 61 3 3 2 2 3 2" xfId="0"/>
    <cellStyle name="Normal 61 3 3 2 2 3 2 2" xfId="0"/>
    <cellStyle name="Normal 61 3 3 2 2 3 2 2 2" xfId="0"/>
    <cellStyle name="Normal 61 3 3 2 2 3 2 2 2 2" xfId="0"/>
    <cellStyle name="Normal 61 3 3 2 2 3 2 2 3" xfId="0"/>
    <cellStyle name="Normal 61 3 3 2 2 3 2 3" xfId="0"/>
    <cellStyle name="Normal 61 3 3 2 2 3 2 3 2" xfId="0"/>
    <cellStyle name="Normal 61 3 3 2 2 3 2 3 2 2" xfId="0"/>
    <cellStyle name="Normal 61 3 3 2 2 3 2 3 3" xfId="0"/>
    <cellStyle name="Normal 61 3 3 2 2 3 2 4" xfId="0"/>
    <cellStyle name="Normal 61 3 3 2 2 3 2 4 2" xfId="0"/>
    <cellStyle name="Normal 61 3 3 2 2 3 2 5" xfId="0"/>
    <cellStyle name="Normal 61 3 3 2 2 3 3" xfId="0"/>
    <cellStyle name="Normal 61 3 3 2 2 3 3 2" xfId="0"/>
    <cellStyle name="Normal 61 3 3 2 2 3 3 2 2" xfId="0"/>
    <cellStyle name="Normal 61 3 3 2 2 3 3 3" xfId="0"/>
    <cellStyle name="Normal 61 3 3 2 2 3 4" xfId="0"/>
    <cellStyle name="Normal 61 3 3 2 2 3 4 2" xfId="0"/>
    <cellStyle name="Normal 61 3 3 2 2 3 4 2 2" xfId="0"/>
    <cellStyle name="Normal 61 3 3 2 2 3 4 3" xfId="0"/>
    <cellStyle name="Normal 61 3 3 2 2 3 5" xfId="0"/>
    <cellStyle name="Normal 61 3 3 2 2 3 5 2" xfId="0"/>
    <cellStyle name="Normal 61 3 3 2 2 3 6" xfId="0"/>
    <cellStyle name="Normal 61 3 3 2 2 4" xfId="0"/>
    <cellStyle name="Normal 61 3 3 2 2 4 2" xfId="0"/>
    <cellStyle name="Normal 61 3 3 2 2 4 2 2" xfId="0"/>
    <cellStyle name="Normal 61 3 3 2 2 4 2 2 2" xfId="0"/>
    <cellStyle name="Normal 61 3 3 2 2 4 2 3" xfId="0"/>
    <cellStyle name="Normal 61 3 3 2 2 4 3" xfId="0"/>
    <cellStyle name="Normal 61 3 3 2 2 4 3 2" xfId="0"/>
    <cellStyle name="Normal 61 3 3 2 2 4 3 2 2" xfId="0"/>
    <cellStyle name="Normal 61 3 3 2 2 4 3 3" xfId="0"/>
    <cellStyle name="Normal 61 3 3 2 2 4 4" xfId="0"/>
    <cellStyle name="Normal 61 3 3 2 2 4 4 2" xfId="0"/>
    <cellStyle name="Normal 61 3 3 2 2 4 5" xfId="0"/>
    <cellStyle name="Normal 61 3 3 2 2 5" xfId="0"/>
    <cellStyle name="Normal 61 3 3 2 2 5 2" xfId="0"/>
    <cellStyle name="Normal 61 3 3 2 2 5 2 2" xfId="0"/>
    <cellStyle name="Normal 61 3 3 2 2 5 3" xfId="0"/>
    <cellStyle name="Normal 61 3 3 2 2 6" xfId="0"/>
    <cellStyle name="Normal 61 3 3 2 2 6 2" xfId="0"/>
    <cellStyle name="Normal 61 3 3 2 2 6 2 2" xfId="0"/>
    <cellStyle name="Normal 61 3 3 2 2 6 3" xfId="0"/>
    <cellStyle name="Normal 61 3 3 2 2 7" xfId="0"/>
    <cellStyle name="Normal 61 3 3 2 2 7 2" xfId="0"/>
    <cellStyle name="Normal 61 3 3 2 2 8" xfId="0"/>
    <cellStyle name="Normal 61 3 3 2 3" xfId="0"/>
    <cellStyle name="Normal 61 3 3 2 3 2" xfId="0"/>
    <cellStyle name="Normal 61 3 3 2 3 2 2" xfId="0"/>
    <cellStyle name="Normal 61 3 3 2 3 2 2 2" xfId="0"/>
    <cellStyle name="Normal 61 3 3 2 3 2 2 2 2" xfId="0"/>
    <cellStyle name="Normal 61 3 3 2 3 2 2 2 2 2" xfId="0"/>
    <cellStyle name="Normal 61 3 3 2 3 2 2 2 3" xfId="0"/>
    <cellStyle name="Normal 61 3 3 2 3 2 2 3" xfId="0"/>
    <cellStyle name="Normal 61 3 3 2 3 2 2 3 2" xfId="0"/>
    <cellStyle name="Normal 61 3 3 2 3 2 2 3 2 2" xfId="0"/>
    <cellStyle name="Normal 61 3 3 2 3 2 2 3 3" xfId="0"/>
    <cellStyle name="Normal 61 3 3 2 3 2 2 4" xfId="0"/>
    <cellStyle name="Normal 61 3 3 2 3 2 2 4 2" xfId="0"/>
    <cellStyle name="Normal 61 3 3 2 3 2 2 5" xfId="0"/>
    <cellStyle name="Normal 61 3 3 2 3 2 3" xfId="0"/>
    <cellStyle name="Normal 61 3 3 2 3 2 3 2" xfId="0"/>
    <cellStyle name="Normal 61 3 3 2 3 2 3 2 2" xfId="0"/>
    <cellStyle name="Normal 61 3 3 2 3 2 3 3" xfId="0"/>
    <cellStyle name="Normal 61 3 3 2 3 2 4" xfId="0"/>
    <cellStyle name="Normal 61 3 3 2 3 2 4 2" xfId="0"/>
    <cellStyle name="Normal 61 3 3 2 3 2 4 2 2" xfId="0"/>
    <cellStyle name="Normal 61 3 3 2 3 2 4 3" xfId="0"/>
    <cellStyle name="Normal 61 3 3 2 3 2 5" xfId="0"/>
    <cellStyle name="Normal 61 3 3 2 3 2 5 2" xfId="0"/>
    <cellStyle name="Normal 61 3 3 2 3 2 6" xfId="0"/>
    <cellStyle name="Normal 61 3 3 2 3 3" xfId="0"/>
    <cellStyle name="Normal 61 3 3 2 3 3 2" xfId="0"/>
    <cellStyle name="Normal 61 3 3 2 3 3 2 2" xfId="0"/>
    <cellStyle name="Normal 61 3 3 2 3 3 2 2 2" xfId="0"/>
    <cellStyle name="Normal 61 3 3 2 3 3 2 3" xfId="0"/>
    <cellStyle name="Normal 61 3 3 2 3 3 3" xfId="0"/>
    <cellStyle name="Normal 61 3 3 2 3 3 3 2" xfId="0"/>
    <cellStyle name="Normal 61 3 3 2 3 3 3 2 2" xfId="0"/>
    <cellStyle name="Normal 61 3 3 2 3 3 3 3" xfId="0"/>
    <cellStyle name="Normal 61 3 3 2 3 3 4" xfId="0"/>
    <cellStyle name="Normal 61 3 3 2 3 3 4 2" xfId="0"/>
    <cellStyle name="Normal 61 3 3 2 3 3 5" xfId="0"/>
    <cellStyle name="Normal 61 3 3 2 3 4" xfId="0"/>
    <cellStyle name="Normal 61 3 3 2 3 4 2" xfId="0"/>
    <cellStyle name="Normal 61 3 3 2 3 4 2 2" xfId="0"/>
    <cellStyle name="Normal 61 3 3 2 3 4 3" xfId="0"/>
    <cellStyle name="Normal 61 3 3 2 3 5" xfId="0"/>
    <cellStyle name="Normal 61 3 3 2 3 5 2" xfId="0"/>
    <cellStyle name="Normal 61 3 3 2 3 5 2 2" xfId="0"/>
    <cellStyle name="Normal 61 3 3 2 3 5 3" xfId="0"/>
    <cellStyle name="Normal 61 3 3 2 3 6" xfId="0"/>
    <cellStyle name="Normal 61 3 3 2 3 6 2" xfId="0"/>
    <cellStyle name="Normal 61 3 3 2 3 7" xfId="0"/>
    <cellStyle name="Normal 61 3 3 2 4" xfId="0"/>
    <cellStyle name="Normal 61 3 3 2 4 2" xfId="0"/>
    <cellStyle name="Normal 61 3 3 2 4 2 2" xfId="0"/>
    <cellStyle name="Normal 61 3 3 2 4 2 2 2" xfId="0"/>
    <cellStyle name="Normal 61 3 3 2 4 2 2 2 2" xfId="0"/>
    <cellStyle name="Normal 61 3 3 2 4 2 2 3" xfId="0"/>
    <cellStyle name="Normal 61 3 3 2 4 2 3" xfId="0"/>
    <cellStyle name="Normal 61 3 3 2 4 2 3 2" xfId="0"/>
    <cellStyle name="Normal 61 3 3 2 4 2 3 2 2" xfId="0"/>
    <cellStyle name="Normal 61 3 3 2 4 2 3 3" xfId="0"/>
    <cellStyle name="Normal 61 3 3 2 4 2 4" xfId="0"/>
    <cellStyle name="Normal 61 3 3 2 4 2 4 2" xfId="0"/>
    <cellStyle name="Normal 61 3 3 2 4 2 5" xfId="0"/>
    <cellStyle name="Normal 61 3 3 2 4 3" xfId="0"/>
    <cellStyle name="Normal 61 3 3 2 4 3 2" xfId="0"/>
    <cellStyle name="Normal 61 3 3 2 4 3 2 2" xfId="0"/>
    <cellStyle name="Normal 61 3 3 2 4 3 3" xfId="0"/>
    <cellStyle name="Normal 61 3 3 2 4 4" xfId="0"/>
    <cellStyle name="Normal 61 3 3 2 4 4 2" xfId="0"/>
    <cellStyle name="Normal 61 3 3 2 4 4 2 2" xfId="0"/>
    <cellStyle name="Normal 61 3 3 2 4 4 3" xfId="0"/>
    <cellStyle name="Normal 61 3 3 2 4 5" xfId="0"/>
    <cellStyle name="Normal 61 3 3 2 4 5 2" xfId="0"/>
    <cellStyle name="Normal 61 3 3 2 4 6" xfId="0"/>
    <cellStyle name="Normal 61 3 3 2 5" xfId="0"/>
    <cellStyle name="Normal 61 3 3 2 5 2" xfId="0"/>
    <cellStyle name="Normal 61 3 3 2 5 2 2" xfId="0"/>
    <cellStyle name="Normal 61 3 3 2 5 2 2 2" xfId="0"/>
    <cellStyle name="Normal 61 3 3 2 5 2 3" xfId="0"/>
    <cellStyle name="Normal 61 3 3 2 5 3" xfId="0"/>
    <cellStyle name="Normal 61 3 3 2 5 3 2" xfId="0"/>
    <cellStyle name="Normal 61 3 3 2 5 3 2 2" xfId="0"/>
    <cellStyle name="Normal 61 3 3 2 5 3 3" xfId="0"/>
    <cellStyle name="Normal 61 3 3 2 5 4" xfId="0"/>
    <cellStyle name="Normal 61 3 3 2 5 4 2" xfId="0"/>
    <cellStyle name="Normal 61 3 3 2 5 5" xfId="0"/>
    <cellStyle name="Normal 61 3 3 2 6" xfId="0"/>
    <cellStyle name="Normal 61 3 3 2 6 2" xfId="0"/>
    <cellStyle name="Normal 61 3 3 2 6 2 2" xfId="0"/>
    <cellStyle name="Normal 61 3 3 2 6 3" xfId="0"/>
    <cellStyle name="Normal 61 3 3 2 7" xfId="0"/>
    <cellStyle name="Normal 61 3 3 2 7 2" xfId="0"/>
    <cellStyle name="Normal 61 3 3 2 7 2 2" xfId="0"/>
    <cellStyle name="Normal 61 3 3 2 7 3" xfId="0"/>
    <cellStyle name="Normal 61 3 3 2 8" xfId="0"/>
    <cellStyle name="Normal 61 3 3 2 8 2" xfId="0"/>
    <cellStyle name="Normal 61 3 3 2 9" xfId="0"/>
    <cellStyle name="Normal 61 3 3 3" xfId="0"/>
    <cellStyle name="Normal 61 3 3 3 2" xfId="0"/>
    <cellStyle name="Normal 61 3 3 3 2 2" xfId="0"/>
    <cellStyle name="Normal 61 3 3 3 2 2 2" xfId="0"/>
    <cellStyle name="Normal 61 3 3 3 2 2 2 2" xfId="0"/>
    <cellStyle name="Normal 61 3 3 3 2 2 2 2 2" xfId="0"/>
    <cellStyle name="Normal 61 3 3 3 2 2 2 2 2 2" xfId="0"/>
    <cellStyle name="Normal 61 3 3 3 2 2 2 2 3" xfId="0"/>
    <cellStyle name="Normal 61 3 3 3 2 2 2 3" xfId="0"/>
    <cellStyle name="Normal 61 3 3 3 2 2 2 3 2" xfId="0"/>
    <cellStyle name="Normal 61 3 3 3 2 2 2 3 2 2" xfId="0"/>
    <cellStyle name="Normal 61 3 3 3 2 2 2 3 3" xfId="0"/>
    <cellStyle name="Normal 61 3 3 3 2 2 2 4" xfId="0"/>
    <cellStyle name="Normal 61 3 3 3 2 2 2 4 2" xfId="0"/>
    <cellStyle name="Normal 61 3 3 3 2 2 2 5" xfId="0"/>
    <cellStyle name="Normal 61 3 3 3 2 2 3" xfId="0"/>
    <cellStyle name="Normal 61 3 3 3 2 2 3 2" xfId="0"/>
    <cellStyle name="Normal 61 3 3 3 2 2 3 2 2" xfId="0"/>
    <cellStyle name="Normal 61 3 3 3 2 2 3 3" xfId="0"/>
    <cellStyle name="Normal 61 3 3 3 2 2 4" xfId="0"/>
    <cellStyle name="Normal 61 3 3 3 2 2 4 2" xfId="0"/>
    <cellStyle name="Normal 61 3 3 3 2 2 4 2 2" xfId="0"/>
    <cellStyle name="Normal 61 3 3 3 2 2 4 3" xfId="0"/>
    <cellStyle name="Normal 61 3 3 3 2 2 5" xfId="0"/>
    <cellStyle name="Normal 61 3 3 3 2 2 5 2" xfId="0"/>
    <cellStyle name="Normal 61 3 3 3 2 2 6" xfId="0"/>
    <cellStyle name="Normal 61 3 3 3 2 3" xfId="0"/>
    <cellStyle name="Normal 61 3 3 3 2 3 2" xfId="0"/>
    <cellStyle name="Normal 61 3 3 3 2 3 2 2" xfId="0"/>
    <cellStyle name="Normal 61 3 3 3 2 3 2 2 2" xfId="0"/>
    <cellStyle name="Normal 61 3 3 3 2 3 2 3" xfId="0"/>
    <cellStyle name="Normal 61 3 3 3 2 3 3" xfId="0"/>
    <cellStyle name="Normal 61 3 3 3 2 3 3 2" xfId="0"/>
    <cellStyle name="Normal 61 3 3 3 2 3 3 2 2" xfId="0"/>
    <cellStyle name="Normal 61 3 3 3 2 3 3 3" xfId="0"/>
    <cellStyle name="Normal 61 3 3 3 2 3 4" xfId="0"/>
    <cellStyle name="Normal 61 3 3 3 2 3 4 2" xfId="0"/>
    <cellStyle name="Normal 61 3 3 3 2 3 5" xfId="0"/>
    <cellStyle name="Normal 61 3 3 3 2 4" xfId="0"/>
    <cellStyle name="Normal 61 3 3 3 2 4 2" xfId="0"/>
    <cellStyle name="Normal 61 3 3 3 2 4 2 2" xfId="0"/>
    <cellStyle name="Normal 61 3 3 3 2 4 3" xfId="0"/>
    <cellStyle name="Normal 61 3 3 3 2 5" xfId="0"/>
    <cellStyle name="Normal 61 3 3 3 2 5 2" xfId="0"/>
    <cellStyle name="Normal 61 3 3 3 2 5 2 2" xfId="0"/>
    <cellStyle name="Normal 61 3 3 3 2 5 3" xfId="0"/>
    <cellStyle name="Normal 61 3 3 3 2 6" xfId="0"/>
    <cellStyle name="Normal 61 3 3 3 2 6 2" xfId="0"/>
    <cellStyle name="Normal 61 3 3 3 2 7" xfId="0"/>
    <cellStyle name="Normal 61 3 3 3 3" xfId="0"/>
    <cellStyle name="Normal 61 3 3 3 3 2" xfId="0"/>
    <cellStyle name="Normal 61 3 3 3 3 2 2" xfId="0"/>
    <cellStyle name="Normal 61 3 3 3 3 2 2 2" xfId="0"/>
    <cellStyle name="Normal 61 3 3 3 3 2 2 2 2" xfId="0"/>
    <cellStyle name="Normal 61 3 3 3 3 2 2 3" xfId="0"/>
    <cellStyle name="Normal 61 3 3 3 3 2 3" xfId="0"/>
    <cellStyle name="Normal 61 3 3 3 3 2 3 2" xfId="0"/>
    <cellStyle name="Normal 61 3 3 3 3 2 3 2 2" xfId="0"/>
    <cellStyle name="Normal 61 3 3 3 3 2 3 3" xfId="0"/>
    <cellStyle name="Normal 61 3 3 3 3 2 4" xfId="0"/>
    <cellStyle name="Normal 61 3 3 3 3 2 4 2" xfId="0"/>
    <cellStyle name="Normal 61 3 3 3 3 2 5" xfId="0"/>
    <cellStyle name="Normal 61 3 3 3 3 3" xfId="0"/>
    <cellStyle name="Normal 61 3 3 3 3 3 2" xfId="0"/>
    <cellStyle name="Normal 61 3 3 3 3 3 2 2" xfId="0"/>
    <cellStyle name="Normal 61 3 3 3 3 3 3" xfId="0"/>
    <cellStyle name="Normal 61 3 3 3 3 4" xfId="0"/>
    <cellStyle name="Normal 61 3 3 3 3 4 2" xfId="0"/>
    <cellStyle name="Normal 61 3 3 3 3 4 2 2" xfId="0"/>
    <cellStyle name="Normal 61 3 3 3 3 4 3" xfId="0"/>
    <cellStyle name="Normal 61 3 3 3 3 5" xfId="0"/>
    <cellStyle name="Normal 61 3 3 3 3 5 2" xfId="0"/>
    <cellStyle name="Normal 61 3 3 3 3 6" xfId="0"/>
    <cellStyle name="Normal 61 3 3 3 4" xfId="0"/>
    <cellStyle name="Normal 61 3 3 3 4 2" xfId="0"/>
    <cellStyle name="Normal 61 3 3 3 4 2 2" xfId="0"/>
    <cellStyle name="Normal 61 3 3 3 4 2 2 2" xfId="0"/>
    <cellStyle name="Normal 61 3 3 3 4 2 3" xfId="0"/>
    <cellStyle name="Normal 61 3 3 3 4 3" xfId="0"/>
    <cellStyle name="Normal 61 3 3 3 4 3 2" xfId="0"/>
    <cellStyle name="Normal 61 3 3 3 4 3 2 2" xfId="0"/>
    <cellStyle name="Normal 61 3 3 3 4 3 3" xfId="0"/>
    <cellStyle name="Normal 61 3 3 3 4 4" xfId="0"/>
    <cellStyle name="Normal 61 3 3 3 4 4 2" xfId="0"/>
    <cellStyle name="Normal 61 3 3 3 4 5" xfId="0"/>
    <cellStyle name="Normal 61 3 3 3 5" xfId="0"/>
    <cellStyle name="Normal 61 3 3 3 5 2" xfId="0"/>
    <cellStyle name="Normal 61 3 3 3 5 2 2" xfId="0"/>
    <cellStyle name="Normal 61 3 3 3 5 3" xfId="0"/>
    <cellStyle name="Normal 61 3 3 3 6" xfId="0"/>
    <cellStyle name="Normal 61 3 3 3 6 2" xfId="0"/>
    <cellStyle name="Normal 61 3 3 3 6 2 2" xfId="0"/>
    <cellStyle name="Normal 61 3 3 3 6 3" xfId="0"/>
    <cellStyle name="Normal 61 3 3 3 7" xfId="0"/>
    <cellStyle name="Normal 61 3 3 3 7 2" xfId="0"/>
    <cellStyle name="Normal 61 3 3 3 8" xfId="0"/>
    <cellStyle name="Normal 61 3 3 4" xfId="0"/>
    <cellStyle name="Normal 61 3 3 4 2" xfId="0"/>
    <cellStyle name="Normal 61 3 3 4 2 2" xfId="0"/>
    <cellStyle name="Normal 61 3 3 4 2 2 2" xfId="0"/>
    <cellStyle name="Normal 61 3 3 4 2 2 2 2" xfId="0"/>
    <cellStyle name="Normal 61 3 3 4 2 2 2 2 2" xfId="0"/>
    <cellStyle name="Normal 61 3 3 4 2 2 2 3" xfId="0"/>
    <cellStyle name="Normal 61 3 3 4 2 2 3" xfId="0"/>
    <cellStyle name="Normal 61 3 3 4 2 2 3 2" xfId="0"/>
    <cellStyle name="Normal 61 3 3 4 2 2 3 2 2" xfId="0"/>
    <cellStyle name="Normal 61 3 3 4 2 2 3 3" xfId="0"/>
    <cellStyle name="Normal 61 3 3 4 2 2 4" xfId="0"/>
    <cellStyle name="Normal 61 3 3 4 2 2 4 2" xfId="0"/>
    <cellStyle name="Normal 61 3 3 4 2 2 5" xfId="0"/>
    <cellStyle name="Normal 61 3 3 4 2 3" xfId="0"/>
    <cellStyle name="Normal 61 3 3 4 2 3 2" xfId="0"/>
    <cellStyle name="Normal 61 3 3 4 2 3 2 2" xfId="0"/>
    <cellStyle name="Normal 61 3 3 4 2 3 3" xfId="0"/>
    <cellStyle name="Normal 61 3 3 4 2 4" xfId="0"/>
    <cellStyle name="Normal 61 3 3 4 2 4 2" xfId="0"/>
    <cellStyle name="Normal 61 3 3 4 2 4 2 2" xfId="0"/>
    <cellStyle name="Normal 61 3 3 4 2 4 3" xfId="0"/>
    <cellStyle name="Normal 61 3 3 4 2 5" xfId="0"/>
    <cellStyle name="Normal 61 3 3 4 2 5 2" xfId="0"/>
    <cellStyle name="Normal 61 3 3 4 2 6" xfId="0"/>
    <cellStyle name="Normal 61 3 3 4 3" xfId="0"/>
    <cellStyle name="Normal 61 3 3 4 3 2" xfId="0"/>
    <cellStyle name="Normal 61 3 3 4 3 2 2" xfId="0"/>
    <cellStyle name="Normal 61 3 3 4 3 2 2 2" xfId="0"/>
    <cellStyle name="Normal 61 3 3 4 3 2 3" xfId="0"/>
    <cellStyle name="Normal 61 3 3 4 3 3" xfId="0"/>
    <cellStyle name="Normal 61 3 3 4 3 3 2" xfId="0"/>
    <cellStyle name="Normal 61 3 3 4 3 3 2 2" xfId="0"/>
    <cellStyle name="Normal 61 3 3 4 3 3 3" xfId="0"/>
    <cellStyle name="Normal 61 3 3 4 3 4" xfId="0"/>
    <cellStyle name="Normal 61 3 3 4 3 4 2" xfId="0"/>
    <cellStyle name="Normal 61 3 3 4 3 5" xfId="0"/>
    <cellStyle name="Normal 61 3 3 4 4" xfId="0"/>
    <cellStyle name="Normal 61 3 3 4 4 2" xfId="0"/>
    <cellStyle name="Normal 61 3 3 4 4 2 2" xfId="0"/>
    <cellStyle name="Normal 61 3 3 4 4 3" xfId="0"/>
    <cellStyle name="Normal 61 3 3 4 5" xfId="0"/>
    <cellStyle name="Normal 61 3 3 4 5 2" xfId="0"/>
    <cellStyle name="Normal 61 3 3 4 5 2 2" xfId="0"/>
    <cellStyle name="Normal 61 3 3 4 5 3" xfId="0"/>
    <cellStyle name="Normal 61 3 3 4 6" xfId="0"/>
    <cellStyle name="Normal 61 3 3 4 6 2" xfId="0"/>
    <cellStyle name="Normal 61 3 3 4 7" xfId="0"/>
    <cellStyle name="Normal 61 3 3 5" xfId="0"/>
    <cellStyle name="Normal 61 3 3 5 2" xfId="0"/>
    <cellStyle name="Normal 61 3 3 5 2 2" xfId="0"/>
    <cellStyle name="Normal 61 3 3 5 2 2 2" xfId="0"/>
    <cellStyle name="Normal 61 3 3 5 2 2 2 2" xfId="0"/>
    <cellStyle name="Normal 61 3 3 5 2 2 3" xfId="0"/>
    <cellStyle name="Normal 61 3 3 5 2 3" xfId="0"/>
    <cellStyle name="Normal 61 3 3 5 2 3 2" xfId="0"/>
    <cellStyle name="Normal 61 3 3 5 2 3 2 2" xfId="0"/>
    <cellStyle name="Normal 61 3 3 5 2 3 3" xfId="0"/>
    <cellStyle name="Normal 61 3 3 5 2 4" xfId="0"/>
    <cellStyle name="Normal 61 3 3 5 2 4 2" xfId="0"/>
    <cellStyle name="Normal 61 3 3 5 2 5" xfId="0"/>
    <cellStyle name="Normal 61 3 3 5 3" xfId="0"/>
    <cellStyle name="Normal 61 3 3 5 3 2" xfId="0"/>
    <cellStyle name="Normal 61 3 3 5 3 2 2" xfId="0"/>
    <cellStyle name="Normal 61 3 3 5 3 3" xfId="0"/>
    <cellStyle name="Normal 61 3 3 5 4" xfId="0"/>
    <cellStyle name="Normal 61 3 3 5 4 2" xfId="0"/>
    <cellStyle name="Normal 61 3 3 5 4 2 2" xfId="0"/>
    <cellStyle name="Normal 61 3 3 5 4 3" xfId="0"/>
    <cellStyle name="Normal 61 3 3 5 5" xfId="0"/>
    <cellStyle name="Normal 61 3 3 5 5 2" xfId="0"/>
    <cellStyle name="Normal 61 3 3 5 6" xfId="0"/>
    <cellStyle name="Normal 61 3 3 6" xfId="0"/>
    <cellStyle name="Normal 61 3 3 6 2" xfId="0"/>
    <cellStyle name="Normal 61 3 3 6 2 2" xfId="0"/>
    <cellStyle name="Normal 61 3 3 6 2 2 2" xfId="0"/>
    <cellStyle name="Normal 61 3 3 6 2 3" xfId="0"/>
    <cellStyle name="Normal 61 3 3 6 3" xfId="0"/>
    <cellStyle name="Normal 61 3 3 6 3 2" xfId="0"/>
    <cellStyle name="Normal 61 3 3 6 3 2 2" xfId="0"/>
    <cellStyle name="Normal 61 3 3 6 3 3" xfId="0"/>
    <cellStyle name="Normal 61 3 3 6 4" xfId="0"/>
    <cellStyle name="Normal 61 3 3 6 4 2" xfId="0"/>
    <cellStyle name="Normal 61 3 3 6 5" xfId="0"/>
    <cellStyle name="Normal 61 3 3 7" xfId="0"/>
    <cellStyle name="Normal 61 3 3 7 2" xfId="0"/>
    <cellStyle name="Normal 61 3 3 7 2 2" xfId="0"/>
    <cellStyle name="Normal 61 3 3 7 3" xfId="0"/>
    <cellStyle name="Normal 61 3 3 8" xfId="0"/>
    <cellStyle name="Normal 61 3 3 8 2" xfId="0"/>
    <cellStyle name="Normal 61 3 3 8 2 2" xfId="0"/>
    <cellStyle name="Normal 61 3 3 8 3" xfId="0"/>
    <cellStyle name="Normal 61 3 3 9" xfId="0"/>
    <cellStyle name="Normal 61 3 3 9 2" xfId="0"/>
    <cellStyle name="Normal 61 3 4" xfId="0"/>
    <cellStyle name="Normal 61 3 4 10" xfId="0"/>
    <cellStyle name="Normal 61 3 4 2" xfId="0"/>
    <cellStyle name="Normal 61 3 4 2 2" xfId="0"/>
    <cellStyle name="Normal 61 3 4 2 2 2" xfId="0"/>
    <cellStyle name="Normal 61 3 4 2 2 2 2" xfId="0"/>
    <cellStyle name="Normal 61 3 4 2 2 2 2 2" xfId="0"/>
    <cellStyle name="Normal 61 3 4 2 2 2 2 2 2" xfId="0"/>
    <cellStyle name="Normal 61 3 4 2 2 2 2 2 2 2" xfId="0"/>
    <cellStyle name="Normal 61 3 4 2 2 2 2 2 2 2 2" xfId="0"/>
    <cellStyle name="Normal 61 3 4 2 2 2 2 2 2 3" xfId="0"/>
    <cellStyle name="Normal 61 3 4 2 2 2 2 2 3" xfId="0"/>
    <cellStyle name="Normal 61 3 4 2 2 2 2 2 3 2" xfId="0"/>
    <cellStyle name="Normal 61 3 4 2 2 2 2 2 3 2 2" xfId="0"/>
    <cellStyle name="Normal 61 3 4 2 2 2 2 2 3 3" xfId="0"/>
    <cellStyle name="Normal 61 3 4 2 2 2 2 2 4" xfId="0"/>
    <cellStyle name="Normal 61 3 4 2 2 2 2 2 4 2" xfId="0"/>
    <cellStyle name="Normal 61 3 4 2 2 2 2 2 5" xfId="0"/>
    <cellStyle name="Normal 61 3 4 2 2 2 2 3" xfId="0"/>
    <cellStyle name="Normal 61 3 4 2 2 2 2 3 2" xfId="0"/>
    <cellStyle name="Normal 61 3 4 2 2 2 2 3 2 2" xfId="0"/>
    <cellStyle name="Normal 61 3 4 2 2 2 2 3 3" xfId="0"/>
    <cellStyle name="Normal 61 3 4 2 2 2 2 4" xfId="0"/>
    <cellStyle name="Normal 61 3 4 2 2 2 2 4 2" xfId="0"/>
    <cellStyle name="Normal 61 3 4 2 2 2 2 4 2 2" xfId="0"/>
    <cellStyle name="Normal 61 3 4 2 2 2 2 4 3" xfId="0"/>
    <cellStyle name="Normal 61 3 4 2 2 2 2 5" xfId="0"/>
    <cellStyle name="Normal 61 3 4 2 2 2 2 5 2" xfId="0"/>
    <cellStyle name="Normal 61 3 4 2 2 2 2 6" xfId="0"/>
    <cellStyle name="Normal 61 3 4 2 2 2 3" xfId="0"/>
    <cellStyle name="Normal 61 3 4 2 2 2 3 2" xfId="0"/>
    <cellStyle name="Normal 61 3 4 2 2 2 3 2 2" xfId="0"/>
    <cellStyle name="Normal 61 3 4 2 2 2 3 2 2 2" xfId="0"/>
    <cellStyle name="Normal 61 3 4 2 2 2 3 2 3" xfId="0"/>
    <cellStyle name="Normal 61 3 4 2 2 2 3 3" xfId="0"/>
    <cellStyle name="Normal 61 3 4 2 2 2 3 3 2" xfId="0"/>
    <cellStyle name="Normal 61 3 4 2 2 2 3 3 2 2" xfId="0"/>
    <cellStyle name="Normal 61 3 4 2 2 2 3 3 3" xfId="0"/>
    <cellStyle name="Normal 61 3 4 2 2 2 3 4" xfId="0"/>
    <cellStyle name="Normal 61 3 4 2 2 2 3 4 2" xfId="0"/>
    <cellStyle name="Normal 61 3 4 2 2 2 3 5" xfId="0"/>
    <cellStyle name="Normal 61 3 4 2 2 2 4" xfId="0"/>
    <cellStyle name="Normal 61 3 4 2 2 2 4 2" xfId="0"/>
    <cellStyle name="Normal 61 3 4 2 2 2 4 2 2" xfId="0"/>
    <cellStyle name="Normal 61 3 4 2 2 2 4 3" xfId="0"/>
    <cellStyle name="Normal 61 3 4 2 2 2 5" xfId="0"/>
    <cellStyle name="Normal 61 3 4 2 2 2 5 2" xfId="0"/>
    <cellStyle name="Normal 61 3 4 2 2 2 5 2 2" xfId="0"/>
    <cellStyle name="Normal 61 3 4 2 2 2 5 3" xfId="0"/>
    <cellStyle name="Normal 61 3 4 2 2 2 6" xfId="0"/>
    <cellStyle name="Normal 61 3 4 2 2 2 6 2" xfId="0"/>
    <cellStyle name="Normal 61 3 4 2 2 2 7" xfId="0"/>
    <cellStyle name="Normal 61 3 4 2 2 3" xfId="0"/>
    <cellStyle name="Normal 61 3 4 2 2 3 2" xfId="0"/>
    <cellStyle name="Normal 61 3 4 2 2 3 2 2" xfId="0"/>
    <cellStyle name="Normal 61 3 4 2 2 3 2 2 2" xfId="0"/>
    <cellStyle name="Normal 61 3 4 2 2 3 2 2 2 2" xfId="0"/>
    <cellStyle name="Normal 61 3 4 2 2 3 2 2 3" xfId="0"/>
    <cellStyle name="Normal 61 3 4 2 2 3 2 3" xfId="0"/>
    <cellStyle name="Normal 61 3 4 2 2 3 2 3 2" xfId="0"/>
    <cellStyle name="Normal 61 3 4 2 2 3 2 3 2 2" xfId="0"/>
    <cellStyle name="Normal 61 3 4 2 2 3 2 3 3" xfId="0"/>
    <cellStyle name="Normal 61 3 4 2 2 3 2 4" xfId="0"/>
    <cellStyle name="Normal 61 3 4 2 2 3 2 4 2" xfId="0"/>
    <cellStyle name="Normal 61 3 4 2 2 3 2 5" xfId="0"/>
    <cellStyle name="Normal 61 3 4 2 2 3 3" xfId="0"/>
    <cellStyle name="Normal 61 3 4 2 2 3 3 2" xfId="0"/>
    <cellStyle name="Normal 61 3 4 2 2 3 3 2 2" xfId="0"/>
    <cellStyle name="Normal 61 3 4 2 2 3 3 3" xfId="0"/>
    <cellStyle name="Normal 61 3 4 2 2 3 4" xfId="0"/>
    <cellStyle name="Normal 61 3 4 2 2 3 4 2" xfId="0"/>
    <cellStyle name="Normal 61 3 4 2 2 3 4 2 2" xfId="0"/>
    <cellStyle name="Normal 61 3 4 2 2 3 4 3" xfId="0"/>
    <cellStyle name="Normal 61 3 4 2 2 3 5" xfId="0"/>
    <cellStyle name="Normal 61 3 4 2 2 3 5 2" xfId="0"/>
    <cellStyle name="Normal 61 3 4 2 2 3 6" xfId="0"/>
    <cellStyle name="Normal 61 3 4 2 2 4" xfId="0"/>
    <cellStyle name="Normal 61 3 4 2 2 4 2" xfId="0"/>
    <cellStyle name="Normal 61 3 4 2 2 4 2 2" xfId="0"/>
    <cellStyle name="Normal 61 3 4 2 2 4 2 2 2" xfId="0"/>
    <cellStyle name="Normal 61 3 4 2 2 4 2 3" xfId="0"/>
    <cellStyle name="Normal 61 3 4 2 2 4 3" xfId="0"/>
    <cellStyle name="Normal 61 3 4 2 2 4 3 2" xfId="0"/>
    <cellStyle name="Normal 61 3 4 2 2 4 3 2 2" xfId="0"/>
    <cellStyle name="Normal 61 3 4 2 2 4 3 3" xfId="0"/>
    <cellStyle name="Normal 61 3 4 2 2 4 4" xfId="0"/>
    <cellStyle name="Normal 61 3 4 2 2 4 4 2" xfId="0"/>
    <cellStyle name="Normal 61 3 4 2 2 4 5" xfId="0"/>
    <cellStyle name="Normal 61 3 4 2 2 5" xfId="0"/>
    <cellStyle name="Normal 61 3 4 2 2 5 2" xfId="0"/>
    <cellStyle name="Normal 61 3 4 2 2 5 2 2" xfId="0"/>
    <cellStyle name="Normal 61 3 4 2 2 5 3" xfId="0"/>
    <cellStyle name="Normal 61 3 4 2 2 6" xfId="0"/>
    <cellStyle name="Normal 61 3 4 2 2 6 2" xfId="0"/>
    <cellStyle name="Normal 61 3 4 2 2 6 2 2" xfId="0"/>
    <cellStyle name="Normal 61 3 4 2 2 6 3" xfId="0"/>
    <cellStyle name="Normal 61 3 4 2 2 7" xfId="0"/>
    <cellStyle name="Normal 61 3 4 2 2 7 2" xfId="0"/>
    <cellStyle name="Normal 61 3 4 2 2 8" xfId="0"/>
    <cellStyle name="Normal 61 3 4 2 3" xfId="0"/>
    <cellStyle name="Normal 61 3 4 2 3 2" xfId="0"/>
    <cellStyle name="Normal 61 3 4 2 3 2 2" xfId="0"/>
    <cellStyle name="Normal 61 3 4 2 3 2 2 2" xfId="0"/>
    <cellStyle name="Normal 61 3 4 2 3 2 2 2 2" xfId="0"/>
    <cellStyle name="Normal 61 3 4 2 3 2 2 2 2 2" xfId="0"/>
    <cellStyle name="Normal 61 3 4 2 3 2 2 2 3" xfId="0"/>
    <cellStyle name="Normal 61 3 4 2 3 2 2 3" xfId="0"/>
    <cellStyle name="Normal 61 3 4 2 3 2 2 3 2" xfId="0"/>
    <cellStyle name="Normal 61 3 4 2 3 2 2 3 2 2" xfId="0"/>
    <cellStyle name="Normal 61 3 4 2 3 2 2 3 3" xfId="0"/>
    <cellStyle name="Normal 61 3 4 2 3 2 2 4" xfId="0"/>
    <cellStyle name="Normal 61 3 4 2 3 2 2 4 2" xfId="0"/>
    <cellStyle name="Normal 61 3 4 2 3 2 2 5" xfId="0"/>
    <cellStyle name="Normal 61 3 4 2 3 2 3" xfId="0"/>
    <cellStyle name="Normal 61 3 4 2 3 2 3 2" xfId="0"/>
    <cellStyle name="Normal 61 3 4 2 3 2 3 2 2" xfId="0"/>
    <cellStyle name="Normal 61 3 4 2 3 2 3 3" xfId="0"/>
    <cellStyle name="Normal 61 3 4 2 3 2 4" xfId="0"/>
    <cellStyle name="Normal 61 3 4 2 3 2 4 2" xfId="0"/>
    <cellStyle name="Normal 61 3 4 2 3 2 4 2 2" xfId="0"/>
    <cellStyle name="Normal 61 3 4 2 3 2 4 3" xfId="0"/>
    <cellStyle name="Normal 61 3 4 2 3 2 5" xfId="0"/>
    <cellStyle name="Normal 61 3 4 2 3 2 5 2" xfId="0"/>
    <cellStyle name="Normal 61 3 4 2 3 2 6" xfId="0"/>
    <cellStyle name="Normal 61 3 4 2 3 3" xfId="0"/>
    <cellStyle name="Normal 61 3 4 2 3 3 2" xfId="0"/>
    <cellStyle name="Normal 61 3 4 2 3 3 2 2" xfId="0"/>
    <cellStyle name="Normal 61 3 4 2 3 3 2 2 2" xfId="0"/>
    <cellStyle name="Normal 61 3 4 2 3 3 2 3" xfId="0"/>
    <cellStyle name="Normal 61 3 4 2 3 3 3" xfId="0"/>
    <cellStyle name="Normal 61 3 4 2 3 3 3 2" xfId="0"/>
    <cellStyle name="Normal 61 3 4 2 3 3 3 2 2" xfId="0"/>
    <cellStyle name="Normal 61 3 4 2 3 3 3 3" xfId="0"/>
    <cellStyle name="Normal 61 3 4 2 3 3 4" xfId="0"/>
    <cellStyle name="Normal 61 3 4 2 3 3 4 2" xfId="0"/>
    <cellStyle name="Normal 61 3 4 2 3 3 5" xfId="0"/>
    <cellStyle name="Normal 61 3 4 2 3 4" xfId="0"/>
    <cellStyle name="Normal 61 3 4 2 3 4 2" xfId="0"/>
    <cellStyle name="Normal 61 3 4 2 3 4 2 2" xfId="0"/>
    <cellStyle name="Normal 61 3 4 2 3 4 3" xfId="0"/>
    <cellStyle name="Normal 61 3 4 2 3 5" xfId="0"/>
    <cellStyle name="Normal 61 3 4 2 3 5 2" xfId="0"/>
    <cellStyle name="Normal 61 3 4 2 3 5 2 2" xfId="0"/>
    <cellStyle name="Normal 61 3 4 2 3 5 3" xfId="0"/>
    <cellStyle name="Normal 61 3 4 2 3 6" xfId="0"/>
    <cellStyle name="Normal 61 3 4 2 3 6 2" xfId="0"/>
    <cellStyle name="Normal 61 3 4 2 3 7" xfId="0"/>
    <cellStyle name="Normal 61 3 4 2 4" xfId="0"/>
    <cellStyle name="Normal 61 3 4 2 4 2" xfId="0"/>
    <cellStyle name="Normal 61 3 4 2 4 2 2" xfId="0"/>
    <cellStyle name="Normal 61 3 4 2 4 2 2 2" xfId="0"/>
    <cellStyle name="Normal 61 3 4 2 4 2 2 2 2" xfId="0"/>
    <cellStyle name="Normal 61 3 4 2 4 2 2 3" xfId="0"/>
    <cellStyle name="Normal 61 3 4 2 4 2 3" xfId="0"/>
    <cellStyle name="Normal 61 3 4 2 4 2 3 2" xfId="0"/>
    <cellStyle name="Normal 61 3 4 2 4 2 3 2 2" xfId="0"/>
    <cellStyle name="Normal 61 3 4 2 4 2 3 3" xfId="0"/>
    <cellStyle name="Normal 61 3 4 2 4 2 4" xfId="0"/>
    <cellStyle name="Normal 61 3 4 2 4 2 4 2" xfId="0"/>
    <cellStyle name="Normal 61 3 4 2 4 2 5" xfId="0"/>
    <cellStyle name="Normal 61 3 4 2 4 3" xfId="0"/>
    <cellStyle name="Normal 61 3 4 2 4 3 2" xfId="0"/>
    <cellStyle name="Normal 61 3 4 2 4 3 2 2" xfId="0"/>
    <cellStyle name="Normal 61 3 4 2 4 3 3" xfId="0"/>
    <cellStyle name="Normal 61 3 4 2 4 4" xfId="0"/>
    <cellStyle name="Normal 61 3 4 2 4 4 2" xfId="0"/>
    <cellStyle name="Normal 61 3 4 2 4 4 2 2" xfId="0"/>
    <cellStyle name="Normal 61 3 4 2 4 4 3" xfId="0"/>
    <cellStyle name="Normal 61 3 4 2 4 5" xfId="0"/>
    <cellStyle name="Normal 61 3 4 2 4 5 2" xfId="0"/>
    <cellStyle name="Normal 61 3 4 2 4 6" xfId="0"/>
    <cellStyle name="Normal 61 3 4 2 5" xfId="0"/>
    <cellStyle name="Normal 61 3 4 2 5 2" xfId="0"/>
    <cellStyle name="Normal 61 3 4 2 5 2 2" xfId="0"/>
    <cellStyle name="Normal 61 3 4 2 5 2 2 2" xfId="0"/>
    <cellStyle name="Normal 61 3 4 2 5 2 3" xfId="0"/>
    <cellStyle name="Normal 61 3 4 2 5 3" xfId="0"/>
    <cellStyle name="Normal 61 3 4 2 5 3 2" xfId="0"/>
    <cellStyle name="Normal 61 3 4 2 5 3 2 2" xfId="0"/>
    <cellStyle name="Normal 61 3 4 2 5 3 3" xfId="0"/>
    <cellStyle name="Normal 61 3 4 2 5 4" xfId="0"/>
    <cellStyle name="Normal 61 3 4 2 5 4 2" xfId="0"/>
    <cellStyle name="Normal 61 3 4 2 5 5" xfId="0"/>
    <cellStyle name="Normal 61 3 4 2 6" xfId="0"/>
    <cellStyle name="Normal 61 3 4 2 6 2" xfId="0"/>
    <cellStyle name="Normal 61 3 4 2 6 2 2" xfId="0"/>
    <cellStyle name="Normal 61 3 4 2 6 3" xfId="0"/>
    <cellStyle name="Normal 61 3 4 2 7" xfId="0"/>
    <cellStyle name="Normal 61 3 4 2 7 2" xfId="0"/>
    <cellStyle name="Normal 61 3 4 2 7 2 2" xfId="0"/>
    <cellStyle name="Normal 61 3 4 2 7 3" xfId="0"/>
    <cellStyle name="Normal 61 3 4 2 8" xfId="0"/>
    <cellStyle name="Normal 61 3 4 2 8 2" xfId="0"/>
    <cellStyle name="Normal 61 3 4 2 9" xfId="0"/>
    <cellStyle name="Normal 61 3 4 3" xfId="0"/>
    <cellStyle name="Normal 61 3 4 3 2" xfId="0"/>
    <cellStyle name="Normal 61 3 4 3 2 2" xfId="0"/>
    <cellStyle name="Normal 61 3 4 3 2 2 2" xfId="0"/>
    <cellStyle name="Normal 61 3 4 3 2 2 2 2" xfId="0"/>
    <cellStyle name="Normal 61 3 4 3 2 2 2 2 2" xfId="0"/>
    <cellStyle name="Normal 61 3 4 3 2 2 2 2 2 2" xfId="0"/>
    <cellStyle name="Normal 61 3 4 3 2 2 2 2 3" xfId="0"/>
    <cellStyle name="Normal 61 3 4 3 2 2 2 3" xfId="0"/>
    <cellStyle name="Normal 61 3 4 3 2 2 2 3 2" xfId="0"/>
    <cellStyle name="Normal 61 3 4 3 2 2 2 3 2 2" xfId="0"/>
    <cellStyle name="Normal 61 3 4 3 2 2 2 3 3" xfId="0"/>
    <cellStyle name="Normal 61 3 4 3 2 2 2 4" xfId="0"/>
    <cellStyle name="Normal 61 3 4 3 2 2 2 4 2" xfId="0"/>
    <cellStyle name="Normal 61 3 4 3 2 2 2 5" xfId="0"/>
    <cellStyle name="Normal 61 3 4 3 2 2 3" xfId="0"/>
    <cellStyle name="Normal 61 3 4 3 2 2 3 2" xfId="0"/>
    <cellStyle name="Normal 61 3 4 3 2 2 3 2 2" xfId="0"/>
    <cellStyle name="Normal 61 3 4 3 2 2 3 3" xfId="0"/>
    <cellStyle name="Normal 61 3 4 3 2 2 4" xfId="0"/>
    <cellStyle name="Normal 61 3 4 3 2 2 4 2" xfId="0"/>
    <cellStyle name="Normal 61 3 4 3 2 2 4 2 2" xfId="0"/>
    <cellStyle name="Normal 61 3 4 3 2 2 4 3" xfId="0"/>
    <cellStyle name="Normal 61 3 4 3 2 2 5" xfId="0"/>
    <cellStyle name="Normal 61 3 4 3 2 2 5 2" xfId="0"/>
    <cellStyle name="Normal 61 3 4 3 2 2 6" xfId="0"/>
    <cellStyle name="Normal 61 3 4 3 2 3" xfId="0"/>
    <cellStyle name="Normal 61 3 4 3 2 3 2" xfId="0"/>
    <cellStyle name="Normal 61 3 4 3 2 3 2 2" xfId="0"/>
    <cellStyle name="Normal 61 3 4 3 2 3 2 2 2" xfId="0"/>
    <cellStyle name="Normal 61 3 4 3 2 3 2 3" xfId="0"/>
    <cellStyle name="Normal 61 3 4 3 2 3 3" xfId="0"/>
    <cellStyle name="Normal 61 3 4 3 2 3 3 2" xfId="0"/>
    <cellStyle name="Normal 61 3 4 3 2 3 3 2 2" xfId="0"/>
    <cellStyle name="Normal 61 3 4 3 2 3 3 3" xfId="0"/>
    <cellStyle name="Normal 61 3 4 3 2 3 4" xfId="0"/>
    <cellStyle name="Normal 61 3 4 3 2 3 4 2" xfId="0"/>
    <cellStyle name="Normal 61 3 4 3 2 3 5" xfId="0"/>
    <cellStyle name="Normal 61 3 4 3 2 4" xfId="0"/>
    <cellStyle name="Normal 61 3 4 3 2 4 2" xfId="0"/>
    <cellStyle name="Normal 61 3 4 3 2 4 2 2" xfId="0"/>
    <cellStyle name="Normal 61 3 4 3 2 4 3" xfId="0"/>
    <cellStyle name="Normal 61 3 4 3 2 5" xfId="0"/>
    <cellStyle name="Normal 61 3 4 3 2 5 2" xfId="0"/>
    <cellStyle name="Normal 61 3 4 3 2 5 2 2" xfId="0"/>
    <cellStyle name="Normal 61 3 4 3 2 5 3" xfId="0"/>
    <cellStyle name="Normal 61 3 4 3 2 6" xfId="0"/>
    <cellStyle name="Normal 61 3 4 3 2 6 2" xfId="0"/>
    <cellStyle name="Normal 61 3 4 3 2 7" xfId="0"/>
    <cellStyle name="Normal 61 3 4 3 3" xfId="0"/>
    <cellStyle name="Normal 61 3 4 3 3 2" xfId="0"/>
    <cellStyle name="Normal 61 3 4 3 3 2 2" xfId="0"/>
    <cellStyle name="Normal 61 3 4 3 3 2 2 2" xfId="0"/>
    <cellStyle name="Normal 61 3 4 3 3 2 2 2 2" xfId="0"/>
    <cellStyle name="Normal 61 3 4 3 3 2 2 3" xfId="0"/>
    <cellStyle name="Normal 61 3 4 3 3 2 3" xfId="0"/>
    <cellStyle name="Normal 61 3 4 3 3 2 3 2" xfId="0"/>
    <cellStyle name="Normal 61 3 4 3 3 2 3 2 2" xfId="0"/>
    <cellStyle name="Normal 61 3 4 3 3 2 3 3" xfId="0"/>
    <cellStyle name="Normal 61 3 4 3 3 2 4" xfId="0"/>
    <cellStyle name="Normal 61 3 4 3 3 2 4 2" xfId="0"/>
    <cellStyle name="Normal 61 3 4 3 3 2 5" xfId="0"/>
    <cellStyle name="Normal 61 3 4 3 3 3" xfId="0"/>
    <cellStyle name="Normal 61 3 4 3 3 3 2" xfId="0"/>
    <cellStyle name="Normal 61 3 4 3 3 3 2 2" xfId="0"/>
    <cellStyle name="Normal 61 3 4 3 3 3 3" xfId="0"/>
    <cellStyle name="Normal 61 3 4 3 3 4" xfId="0"/>
    <cellStyle name="Normal 61 3 4 3 3 4 2" xfId="0"/>
    <cellStyle name="Normal 61 3 4 3 3 4 2 2" xfId="0"/>
    <cellStyle name="Normal 61 3 4 3 3 4 3" xfId="0"/>
    <cellStyle name="Normal 61 3 4 3 3 5" xfId="0"/>
    <cellStyle name="Normal 61 3 4 3 3 5 2" xfId="0"/>
    <cellStyle name="Normal 61 3 4 3 3 6" xfId="0"/>
    <cellStyle name="Normal 61 3 4 3 4" xfId="0"/>
    <cellStyle name="Normal 61 3 4 3 4 2" xfId="0"/>
    <cellStyle name="Normal 61 3 4 3 4 2 2" xfId="0"/>
    <cellStyle name="Normal 61 3 4 3 4 2 2 2" xfId="0"/>
    <cellStyle name="Normal 61 3 4 3 4 2 3" xfId="0"/>
    <cellStyle name="Normal 61 3 4 3 4 3" xfId="0"/>
    <cellStyle name="Normal 61 3 4 3 4 3 2" xfId="0"/>
    <cellStyle name="Normal 61 3 4 3 4 3 2 2" xfId="0"/>
    <cellStyle name="Normal 61 3 4 3 4 3 3" xfId="0"/>
    <cellStyle name="Normal 61 3 4 3 4 4" xfId="0"/>
    <cellStyle name="Normal 61 3 4 3 4 4 2" xfId="0"/>
    <cellStyle name="Normal 61 3 4 3 4 5" xfId="0"/>
    <cellStyle name="Normal 61 3 4 3 5" xfId="0"/>
    <cellStyle name="Normal 61 3 4 3 5 2" xfId="0"/>
    <cellStyle name="Normal 61 3 4 3 5 2 2" xfId="0"/>
    <cellStyle name="Normal 61 3 4 3 5 3" xfId="0"/>
    <cellStyle name="Normal 61 3 4 3 6" xfId="0"/>
    <cellStyle name="Normal 61 3 4 3 6 2" xfId="0"/>
    <cellStyle name="Normal 61 3 4 3 6 2 2" xfId="0"/>
    <cellStyle name="Normal 61 3 4 3 6 3" xfId="0"/>
    <cellStyle name="Normal 61 3 4 3 7" xfId="0"/>
    <cellStyle name="Normal 61 3 4 3 7 2" xfId="0"/>
    <cellStyle name="Normal 61 3 4 3 8" xfId="0"/>
    <cellStyle name="Normal 61 3 4 4" xfId="0"/>
    <cellStyle name="Normal 61 3 4 4 2" xfId="0"/>
    <cellStyle name="Normal 61 3 4 4 2 2" xfId="0"/>
    <cellStyle name="Normal 61 3 4 4 2 2 2" xfId="0"/>
    <cellStyle name="Normal 61 3 4 4 2 2 2 2" xfId="0"/>
    <cellStyle name="Normal 61 3 4 4 2 2 2 2 2" xfId="0"/>
    <cellStyle name="Normal 61 3 4 4 2 2 2 3" xfId="0"/>
    <cellStyle name="Normal 61 3 4 4 2 2 3" xfId="0"/>
    <cellStyle name="Normal 61 3 4 4 2 2 3 2" xfId="0"/>
    <cellStyle name="Normal 61 3 4 4 2 2 3 2 2" xfId="0"/>
    <cellStyle name="Normal 61 3 4 4 2 2 3 3" xfId="0"/>
    <cellStyle name="Normal 61 3 4 4 2 2 4" xfId="0"/>
    <cellStyle name="Normal 61 3 4 4 2 2 4 2" xfId="0"/>
    <cellStyle name="Normal 61 3 4 4 2 2 5" xfId="0"/>
    <cellStyle name="Normal 61 3 4 4 2 3" xfId="0"/>
    <cellStyle name="Normal 61 3 4 4 2 3 2" xfId="0"/>
    <cellStyle name="Normal 61 3 4 4 2 3 2 2" xfId="0"/>
    <cellStyle name="Normal 61 3 4 4 2 3 3" xfId="0"/>
    <cellStyle name="Normal 61 3 4 4 2 4" xfId="0"/>
    <cellStyle name="Normal 61 3 4 4 2 4 2" xfId="0"/>
    <cellStyle name="Normal 61 3 4 4 2 4 2 2" xfId="0"/>
    <cellStyle name="Normal 61 3 4 4 2 4 3" xfId="0"/>
    <cellStyle name="Normal 61 3 4 4 2 5" xfId="0"/>
    <cellStyle name="Normal 61 3 4 4 2 5 2" xfId="0"/>
    <cellStyle name="Normal 61 3 4 4 2 6" xfId="0"/>
    <cellStyle name="Normal 61 3 4 4 3" xfId="0"/>
    <cellStyle name="Normal 61 3 4 4 3 2" xfId="0"/>
    <cellStyle name="Normal 61 3 4 4 3 2 2" xfId="0"/>
    <cellStyle name="Normal 61 3 4 4 3 2 2 2" xfId="0"/>
    <cellStyle name="Normal 61 3 4 4 3 2 3" xfId="0"/>
    <cellStyle name="Normal 61 3 4 4 3 3" xfId="0"/>
    <cellStyle name="Normal 61 3 4 4 3 3 2" xfId="0"/>
    <cellStyle name="Normal 61 3 4 4 3 3 2 2" xfId="0"/>
    <cellStyle name="Normal 61 3 4 4 3 3 3" xfId="0"/>
    <cellStyle name="Normal 61 3 4 4 3 4" xfId="0"/>
    <cellStyle name="Normal 61 3 4 4 3 4 2" xfId="0"/>
    <cellStyle name="Normal 61 3 4 4 3 5" xfId="0"/>
    <cellStyle name="Normal 61 3 4 4 4" xfId="0"/>
    <cellStyle name="Normal 61 3 4 4 4 2" xfId="0"/>
    <cellStyle name="Normal 61 3 4 4 4 2 2" xfId="0"/>
    <cellStyle name="Normal 61 3 4 4 4 3" xfId="0"/>
    <cellStyle name="Normal 61 3 4 4 5" xfId="0"/>
    <cellStyle name="Normal 61 3 4 4 5 2" xfId="0"/>
    <cellStyle name="Normal 61 3 4 4 5 2 2" xfId="0"/>
    <cellStyle name="Normal 61 3 4 4 5 3" xfId="0"/>
    <cellStyle name="Normal 61 3 4 4 6" xfId="0"/>
    <cellStyle name="Normal 61 3 4 4 6 2" xfId="0"/>
    <cellStyle name="Normal 61 3 4 4 7" xfId="0"/>
    <cellStyle name="Normal 61 3 4 5" xfId="0"/>
    <cellStyle name="Normal 61 3 4 5 2" xfId="0"/>
    <cellStyle name="Normal 61 3 4 5 2 2" xfId="0"/>
    <cellStyle name="Normal 61 3 4 5 2 2 2" xfId="0"/>
    <cellStyle name="Normal 61 3 4 5 2 2 2 2" xfId="0"/>
    <cellStyle name="Normal 61 3 4 5 2 2 3" xfId="0"/>
    <cellStyle name="Normal 61 3 4 5 2 3" xfId="0"/>
    <cellStyle name="Normal 61 3 4 5 2 3 2" xfId="0"/>
    <cellStyle name="Normal 61 3 4 5 2 3 2 2" xfId="0"/>
    <cellStyle name="Normal 61 3 4 5 2 3 3" xfId="0"/>
    <cellStyle name="Normal 61 3 4 5 2 4" xfId="0"/>
    <cellStyle name="Normal 61 3 4 5 2 4 2" xfId="0"/>
    <cellStyle name="Normal 61 3 4 5 2 5" xfId="0"/>
    <cellStyle name="Normal 61 3 4 5 3" xfId="0"/>
    <cellStyle name="Normal 61 3 4 5 3 2" xfId="0"/>
    <cellStyle name="Normal 61 3 4 5 3 2 2" xfId="0"/>
    <cellStyle name="Normal 61 3 4 5 3 3" xfId="0"/>
    <cellStyle name="Normal 61 3 4 5 4" xfId="0"/>
    <cellStyle name="Normal 61 3 4 5 4 2" xfId="0"/>
    <cellStyle name="Normal 61 3 4 5 4 2 2" xfId="0"/>
    <cellStyle name="Normal 61 3 4 5 4 3" xfId="0"/>
    <cellStyle name="Normal 61 3 4 5 5" xfId="0"/>
    <cellStyle name="Normal 61 3 4 5 5 2" xfId="0"/>
    <cellStyle name="Normal 61 3 4 5 6" xfId="0"/>
    <cellStyle name="Normal 61 3 4 6" xfId="0"/>
    <cellStyle name="Normal 61 3 4 6 2" xfId="0"/>
    <cellStyle name="Normal 61 3 4 6 2 2" xfId="0"/>
    <cellStyle name="Normal 61 3 4 6 2 2 2" xfId="0"/>
    <cellStyle name="Normal 61 3 4 6 2 3" xfId="0"/>
    <cellStyle name="Normal 61 3 4 6 3" xfId="0"/>
    <cellStyle name="Normal 61 3 4 6 3 2" xfId="0"/>
    <cellStyle name="Normal 61 3 4 6 3 2 2" xfId="0"/>
    <cellStyle name="Normal 61 3 4 6 3 3" xfId="0"/>
    <cellStyle name="Normal 61 3 4 6 4" xfId="0"/>
    <cellStyle name="Normal 61 3 4 6 4 2" xfId="0"/>
    <cellStyle name="Normal 61 3 4 6 5" xfId="0"/>
    <cellStyle name="Normal 61 3 4 7" xfId="0"/>
    <cellStyle name="Normal 61 3 4 7 2" xfId="0"/>
    <cellStyle name="Normal 61 3 4 7 2 2" xfId="0"/>
    <cellStyle name="Normal 61 3 4 7 3" xfId="0"/>
    <cellStyle name="Normal 61 3 4 8" xfId="0"/>
    <cellStyle name="Normal 61 3 4 8 2" xfId="0"/>
    <cellStyle name="Normal 61 3 4 8 2 2" xfId="0"/>
    <cellStyle name="Normal 61 3 4 8 3" xfId="0"/>
    <cellStyle name="Normal 61 3 4 9" xfId="0"/>
    <cellStyle name="Normal 61 3 4 9 2" xfId="0"/>
    <cellStyle name="Normal 61 3 5" xfId="0"/>
    <cellStyle name="Normal 61 3 5 2" xfId="0"/>
    <cellStyle name="Normal 61 3 5 2 2" xfId="0"/>
    <cellStyle name="Normal 61 3 5 2 2 2" xfId="0"/>
    <cellStyle name="Normal 61 3 5 2 2 2 2" xfId="0"/>
    <cellStyle name="Normal 61 3 5 2 2 2 2 2" xfId="0"/>
    <cellStyle name="Normal 61 3 5 2 2 2 2 2 2" xfId="0"/>
    <cellStyle name="Normal 61 3 5 2 2 2 2 2 2 2" xfId="0"/>
    <cellStyle name="Normal 61 3 5 2 2 2 2 2 3" xfId="0"/>
    <cellStyle name="Normal 61 3 5 2 2 2 2 3" xfId="0"/>
    <cellStyle name="Normal 61 3 5 2 2 2 2 3 2" xfId="0"/>
    <cellStyle name="Normal 61 3 5 2 2 2 2 3 2 2" xfId="0"/>
    <cellStyle name="Normal 61 3 5 2 2 2 2 3 3" xfId="0"/>
    <cellStyle name="Normal 61 3 5 2 2 2 2 4" xfId="0"/>
    <cellStyle name="Normal 61 3 5 2 2 2 2 4 2" xfId="0"/>
    <cellStyle name="Normal 61 3 5 2 2 2 2 5" xfId="0"/>
    <cellStyle name="Normal 61 3 5 2 2 2 3" xfId="0"/>
    <cellStyle name="Normal 61 3 5 2 2 2 3 2" xfId="0"/>
    <cellStyle name="Normal 61 3 5 2 2 2 3 2 2" xfId="0"/>
    <cellStyle name="Normal 61 3 5 2 2 2 3 3" xfId="0"/>
    <cellStyle name="Normal 61 3 5 2 2 2 4" xfId="0"/>
    <cellStyle name="Normal 61 3 5 2 2 2 4 2" xfId="0"/>
    <cellStyle name="Normal 61 3 5 2 2 2 4 2 2" xfId="0"/>
    <cellStyle name="Normal 61 3 5 2 2 2 4 3" xfId="0"/>
    <cellStyle name="Normal 61 3 5 2 2 2 5" xfId="0"/>
    <cellStyle name="Normal 61 3 5 2 2 2 5 2" xfId="0"/>
    <cellStyle name="Normal 61 3 5 2 2 2 6" xfId="0"/>
    <cellStyle name="Normal 61 3 5 2 2 3" xfId="0"/>
    <cellStyle name="Normal 61 3 5 2 2 3 2" xfId="0"/>
    <cellStyle name="Normal 61 3 5 2 2 3 2 2" xfId="0"/>
    <cellStyle name="Normal 61 3 5 2 2 3 2 2 2" xfId="0"/>
    <cellStyle name="Normal 61 3 5 2 2 3 2 3" xfId="0"/>
    <cellStyle name="Normal 61 3 5 2 2 3 3" xfId="0"/>
    <cellStyle name="Normal 61 3 5 2 2 3 3 2" xfId="0"/>
    <cellStyle name="Normal 61 3 5 2 2 3 3 2 2" xfId="0"/>
    <cellStyle name="Normal 61 3 5 2 2 3 3 3" xfId="0"/>
    <cellStyle name="Normal 61 3 5 2 2 3 4" xfId="0"/>
    <cellStyle name="Normal 61 3 5 2 2 3 4 2" xfId="0"/>
    <cellStyle name="Normal 61 3 5 2 2 3 5" xfId="0"/>
    <cellStyle name="Normal 61 3 5 2 2 4" xfId="0"/>
    <cellStyle name="Normal 61 3 5 2 2 4 2" xfId="0"/>
    <cellStyle name="Normal 61 3 5 2 2 4 2 2" xfId="0"/>
    <cellStyle name="Normal 61 3 5 2 2 4 3" xfId="0"/>
    <cellStyle name="Normal 61 3 5 2 2 5" xfId="0"/>
    <cellStyle name="Normal 61 3 5 2 2 5 2" xfId="0"/>
    <cellStyle name="Normal 61 3 5 2 2 5 2 2" xfId="0"/>
    <cellStyle name="Normal 61 3 5 2 2 5 3" xfId="0"/>
    <cellStyle name="Normal 61 3 5 2 2 6" xfId="0"/>
    <cellStyle name="Normal 61 3 5 2 2 6 2" xfId="0"/>
    <cellStyle name="Normal 61 3 5 2 2 7" xfId="0"/>
    <cellStyle name="Normal 61 3 5 2 3" xfId="0"/>
    <cellStyle name="Normal 61 3 5 2 3 2" xfId="0"/>
    <cellStyle name="Normal 61 3 5 2 3 2 2" xfId="0"/>
    <cellStyle name="Normal 61 3 5 2 3 2 2 2" xfId="0"/>
    <cellStyle name="Normal 61 3 5 2 3 2 2 2 2" xfId="0"/>
    <cellStyle name="Normal 61 3 5 2 3 2 2 3" xfId="0"/>
    <cellStyle name="Normal 61 3 5 2 3 2 3" xfId="0"/>
    <cellStyle name="Normal 61 3 5 2 3 2 3 2" xfId="0"/>
    <cellStyle name="Normal 61 3 5 2 3 2 3 2 2" xfId="0"/>
    <cellStyle name="Normal 61 3 5 2 3 2 3 3" xfId="0"/>
    <cellStyle name="Normal 61 3 5 2 3 2 4" xfId="0"/>
    <cellStyle name="Normal 61 3 5 2 3 2 4 2" xfId="0"/>
    <cellStyle name="Normal 61 3 5 2 3 2 5" xfId="0"/>
    <cellStyle name="Normal 61 3 5 2 3 3" xfId="0"/>
    <cellStyle name="Normal 61 3 5 2 3 3 2" xfId="0"/>
    <cellStyle name="Normal 61 3 5 2 3 3 2 2" xfId="0"/>
    <cellStyle name="Normal 61 3 5 2 3 3 3" xfId="0"/>
    <cellStyle name="Normal 61 3 5 2 3 4" xfId="0"/>
    <cellStyle name="Normal 61 3 5 2 3 4 2" xfId="0"/>
    <cellStyle name="Normal 61 3 5 2 3 4 2 2" xfId="0"/>
    <cellStyle name="Normal 61 3 5 2 3 4 3" xfId="0"/>
    <cellStyle name="Normal 61 3 5 2 3 5" xfId="0"/>
    <cellStyle name="Normal 61 3 5 2 3 5 2" xfId="0"/>
    <cellStyle name="Normal 61 3 5 2 3 6" xfId="0"/>
    <cellStyle name="Normal 61 3 5 2 4" xfId="0"/>
    <cellStyle name="Normal 61 3 5 2 4 2" xfId="0"/>
    <cellStyle name="Normal 61 3 5 2 4 2 2" xfId="0"/>
    <cellStyle name="Normal 61 3 5 2 4 2 2 2" xfId="0"/>
    <cellStyle name="Normal 61 3 5 2 4 2 3" xfId="0"/>
    <cellStyle name="Normal 61 3 5 2 4 3" xfId="0"/>
    <cellStyle name="Normal 61 3 5 2 4 3 2" xfId="0"/>
    <cellStyle name="Normal 61 3 5 2 4 3 2 2" xfId="0"/>
    <cellStyle name="Normal 61 3 5 2 4 3 3" xfId="0"/>
    <cellStyle name="Normal 61 3 5 2 4 4" xfId="0"/>
    <cellStyle name="Normal 61 3 5 2 4 4 2" xfId="0"/>
    <cellStyle name="Normal 61 3 5 2 4 5" xfId="0"/>
    <cellStyle name="Normal 61 3 5 2 5" xfId="0"/>
    <cellStyle name="Normal 61 3 5 2 5 2" xfId="0"/>
    <cellStyle name="Normal 61 3 5 2 5 2 2" xfId="0"/>
    <cellStyle name="Normal 61 3 5 2 5 3" xfId="0"/>
    <cellStyle name="Normal 61 3 5 2 6" xfId="0"/>
    <cellStyle name="Normal 61 3 5 2 6 2" xfId="0"/>
    <cellStyle name="Normal 61 3 5 2 6 2 2" xfId="0"/>
    <cellStyle name="Normal 61 3 5 2 6 3" xfId="0"/>
    <cellStyle name="Normal 61 3 5 2 7" xfId="0"/>
    <cellStyle name="Normal 61 3 5 2 7 2" xfId="0"/>
    <cellStyle name="Normal 61 3 5 2 8" xfId="0"/>
    <cellStyle name="Normal 61 3 5 3" xfId="0"/>
    <cellStyle name="Normal 61 3 5 3 2" xfId="0"/>
    <cellStyle name="Normal 61 3 5 3 2 2" xfId="0"/>
    <cellStyle name="Normal 61 3 5 3 2 2 2" xfId="0"/>
    <cellStyle name="Normal 61 3 5 3 2 2 2 2" xfId="0"/>
    <cellStyle name="Normal 61 3 5 3 2 2 2 2 2" xfId="0"/>
    <cellStyle name="Normal 61 3 5 3 2 2 2 3" xfId="0"/>
    <cellStyle name="Normal 61 3 5 3 2 2 3" xfId="0"/>
    <cellStyle name="Normal 61 3 5 3 2 2 3 2" xfId="0"/>
    <cellStyle name="Normal 61 3 5 3 2 2 3 2 2" xfId="0"/>
    <cellStyle name="Normal 61 3 5 3 2 2 3 3" xfId="0"/>
    <cellStyle name="Normal 61 3 5 3 2 2 4" xfId="0"/>
    <cellStyle name="Normal 61 3 5 3 2 2 4 2" xfId="0"/>
    <cellStyle name="Normal 61 3 5 3 2 2 5" xfId="0"/>
    <cellStyle name="Normal 61 3 5 3 2 3" xfId="0"/>
    <cellStyle name="Normal 61 3 5 3 2 3 2" xfId="0"/>
    <cellStyle name="Normal 61 3 5 3 2 3 2 2" xfId="0"/>
    <cellStyle name="Normal 61 3 5 3 2 3 3" xfId="0"/>
    <cellStyle name="Normal 61 3 5 3 2 4" xfId="0"/>
    <cellStyle name="Normal 61 3 5 3 2 4 2" xfId="0"/>
    <cellStyle name="Normal 61 3 5 3 2 4 2 2" xfId="0"/>
    <cellStyle name="Normal 61 3 5 3 2 4 3" xfId="0"/>
    <cellStyle name="Normal 61 3 5 3 2 5" xfId="0"/>
    <cellStyle name="Normal 61 3 5 3 2 5 2" xfId="0"/>
    <cellStyle name="Normal 61 3 5 3 2 6" xfId="0"/>
    <cellStyle name="Normal 61 3 5 3 3" xfId="0"/>
    <cellStyle name="Normal 61 3 5 3 3 2" xfId="0"/>
    <cellStyle name="Normal 61 3 5 3 3 2 2" xfId="0"/>
    <cellStyle name="Normal 61 3 5 3 3 2 2 2" xfId="0"/>
    <cellStyle name="Normal 61 3 5 3 3 2 3" xfId="0"/>
    <cellStyle name="Normal 61 3 5 3 3 3" xfId="0"/>
    <cellStyle name="Normal 61 3 5 3 3 3 2" xfId="0"/>
    <cellStyle name="Normal 61 3 5 3 3 3 2 2" xfId="0"/>
    <cellStyle name="Normal 61 3 5 3 3 3 3" xfId="0"/>
    <cellStyle name="Normal 61 3 5 3 3 4" xfId="0"/>
    <cellStyle name="Normal 61 3 5 3 3 4 2" xfId="0"/>
    <cellStyle name="Normal 61 3 5 3 3 5" xfId="0"/>
    <cellStyle name="Normal 61 3 5 3 4" xfId="0"/>
    <cellStyle name="Normal 61 3 5 3 4 2" xfId="0"/>
    <cellStyle name="Normal 61 3 5 3 4 2 2" xfId="0"/>
    <cellStyle name="Normal 61 3 5 3 4 3" xfId="0"/>
    <cellStyle name="Normal 61 3 5 3 5" xfId="0"/>
    <cellStyle name="Normal 61 3 5 3 5 2" xfId="0"/>
    <cellStyle name="Normal 61 3 5 3 5 2 2" xfId="0"/>
    <cellStyle name="Normal 61 3 5 3 5 3" xfId="0"/>
    <cellStyle name="Normal 61 3 5 3 6" xfId="0"/>
    <cellStyle name="Normal 61 3 5 3 6 2" xfId="0"/>
    <cellStyle name="Normal 61 3 5 3 7" xfId="0"/>
    <cellStyle name="Normal 61 3 5 4" xfId="0"/>
    <cellStyle name="Normal 61 3 5 4 2" xfId="0"/>
    <cellStyle name="Normal 61 3 5 4 2 2" xfId="0"/>
    <cellStyle name="Normal 61 3 5 4 2 2 2" xfId="0"/>
    <cellStyle name="Normal 61 3 5 4 2 2 2 2" xfId="0"/>
    <cellStyle name="Normal 61 3 5 4 2 2 3" xfId="0"/>
    <cellStyle name="Normal 61 3 5 4 2 3" xfId="0"/>
    <cellStyle name="Normal 61 3 5 4 2 3 2" xfId="0"/>
    <cellStyle name="Normal 61 3 5 4 2 3 2 2" xfId="0"/>
    <cellStyle name="Normal 61 3 5 4 2 3 3" xfId="0"/>
    <cellStyle name="Normal 61 3 5 4 2 4" xfId="0"/>
    <cellStyle name="Normal 61 3 5 4 2 4 2" xfId="0"/>
    <cellStyle name="Normal 61 3 5 4 2 5" xfId="0"/>
    <cellStyle name="Normal 61 3 5 4 3" xfId="0"/>
    <cellStyle name="Normal 61 3 5 4 3 2" xfId="0"/>
    <cellStyle name="Normal 61 3 5 4 3 2 2" xfId="0"/>
    <cellStyle name="Normal 61 3 5 4 3 3" xfId="0"/>
    <cellStyle name="Normal 61 3 5 4 4" xfId="0"/>
    <cellStyle name="Normal 61 3 5 4 4 2" xfId="0"/>
    <cellStyle name="Normal 61 3 5 4 4 2 2" xfId="0"/>
    <cellStyle name="Normal 61 3 5 4 4 3" xfId="0"/>
    <cellStyle name="Normal 61 3 5 4 5" xfId="0"/>
    <cellStyle name="Normal 61 3 5 4 5 2" xfId="0"/>
    <cellStyle name="Normal 61 3 5 4 6" xfId="0"/>
    <cellStyle name="Normal 61 3 5 5" xfId="0"/>
    <cellStyle name="Normal 61 3 5 5 2" xfId="0"/>
    <cellStyle name="Normal 61 3 5 5 2 2" xfId="0"/>
    <cellStyle name="Normal 61 3 5 5 2 2 2" xfId="0"/>
    <cellStyle name="Normal 61 3 5 5 2 3" xfId="0"/>
    <cellStyle name="Normal 61 3 5 5 3" xfId="0"/>
    <cellStyle name="Normal 61 3 5 5 3 2" xfId="0"/>
    <cellStyle name="Normal 61 3 5 5 3 2 2" xfId="0"/>
    <cellStyle name="Normal 61 3 5 5 3 3" xfId="0"/>
    <cellStyle name="Normal 61 3 5 5 4" xfId="0"/>
    <cellStyle name="Normal 61 3 5 5 4 2" xfId="0"/>
    <cellStyle name="Normal 61 3 5 5 5" xfId="0"/>
    <cellStyle name="Normal 61 3 5 6" xfId="0"/>
    <cellStyle name="Normal 61 3 5 6 2" xfId="0"/>
    <cellStyle name="Normal 61 3 5 6 2 2" xfId="0"/>
    <cellStyle name="Normal 61 3 5 6 3" xfId="0"/>
    <cellStyle name="Normal 61 3 5 7" xfId="0"/>
    <cellStyle name="Normal 61 3 5 7 2" xfId="0"/>
    <cellStyle name="Normal 61 3 5 7 2 2" xfId="0"/>
    <cellStyle name="Normal 61 3 5 7 3" xfId="0"/>
    <cellStyle name="Normal 61 3 5 8" xfId="0"/>
    <cellStyle name="Normal 61 3 5 8 2" xfId="0"/>
    <cellStyle name="Normal 61 3 5 9" xfId="0"/>
    <cellStyle name="Normal 61 3 6" xfId="0"/>
    <cellStyle name="Normal 61 3 6 2" xfId="0"/>
    <cellStyle name="Normal 61 3 6 2 2" xfId="0"/>
    <cellStyle name="Normal 61 3 6 2 2 2" xfId="0"/>
    <cellStyle name="Normal 61 3 6 2 2 2 2" xfId="0"/>
    <cellStyle name="Normal 61 3 6 2 2 2 2 2" xfId="0"/>
    <cellStyle name="Normal 61 3 6 2 2 2 2 2 2" xfId="0"/>
    <cellStyle name="Normal 61 3 6 2 2 2 2 3" xfId="0"/>
    <cellStyle name="Normal 61 3 6 2 2 2 3" xfId="0"/>
    <cellStyle name="Normal 61 3 6 2 2 2 3 2" xfId="0"/>
    <cellStyle name="Normal 61 3 6 2 2 2 3 2 2" xfId="0"/>
    <cellStyle name="Normal 61 3 6 2 2 2 3 3" xfId="0"/>
    <cellStyle name="Normal 61 3 6 2 2 2 4" xfId="0"/>
    <cellStyle name="Normal 61 3 6 2 2 2 4 2" xfId="0"/>
    <cellStyle name="Normal 61 3 6 2 2 2 5" xfId="0"/>
    <cellStyle name="Normal 61 3 6 2 2 3" xfId="0"/>
    <cellStyle name="Normal 61 3 6 2 2 3 2" xfId="0"/>
    <cellStyle name="Normal 61 3 6 2 2 3 2 2" xfId="0"/>
    <cellStyle name="Normal 61 3 6 2 2 3 3" xfId="0"/>
    <cellStyle name="Normal 61 3 6 2 2 4" xfId="0"/>
    <cellStyle name="Normal 61 3 6 2 2 4 2" xfId="0"/>
    <cellStyle name="Normal 61 3 6 2 2 4 2 2" xfId="0"/>
    <cellStyle name="Normal 61 3 6 2 2 4 3" xfId="0"/>
    <cellStyle name="Normal 61 3 6 2 2 5" xfId="0"/>
    <cellStyle name="Normal 61 3 6 2 2 5 2" xfId="0"/>
    <cellStyle name="Normal 61 3 6 2 2 6" xfId="0"/>
    <cellStyle name="Normal 61 3 6 2 3" xfId="0"/>
    <cellStyle name="Normal 61 3 6 2 3 2" xfId="0"/>
    <cellStyle name="Normal 61 3 6 2 3 2 2" xfId="0"/>
    <cellStyle name="Normal 61 3 6 2 3 2 2 2" xfId="0"/>
    <cellStyle name="Normal 61 3 6 2 3 2 3" xfId="0"/>
    <cellStyle name="Normal 61 3 6 2 3 3" xfId="0"/>
    <cellStyle name="Normal 61 3 6 2 3 3 2" xfId="0"/>
    <cellStyle name="Normal 61 3 6 2 3 3 2 2" xfId="0"/>
    <cellStyle name="Normal 61 3 6 2 3 3 3" xfId="0"/>
    <cellStyle name="Normal 61 3 6 2 3 4" xfId="0"/>
    <cellStyle name="Normal 61 3 6 2 3 4 2" xfId="0"/>
    <cellStyle name="Normal 61 3 6 2 3 5" xfId="0"/>
    <cellStyle name="Normal 61 3 6 2 4" xfId="0"/>
    <cellStyle name="Normal 61 3 6 2 4 2" xfId="0"/>
    <cellStyle name="Normal 61 3 6 2 4 2 2" xfId="0"/>
    <cellStyle name="Normal 61 3 6 2 4 3" xfId="0"/>
    <cellStyle name="Normal 61 3 6 2 5" xfId="0"/>
    <cellStyle name="Normal 61 3 6 2 5 2" xfId="0"/>
    <cellStyle name="Normal 61 3 6 2 5 2 2" xfId="0"/>
    <cellStyle name="Normal 61 3 6 2 5 3" xfId="0"/>
    <cellStyle name="Normal 61 3 6 2 6" xfId="0"/>
    <cellStyle name="Normal 61 3 6 2 6 2" xfId="0"/>
    <cellStyle name="Normal 61 3 6 2 7" xfId="0"/>
    <cellStyle name="Normal 61 3 6 3" xfId="0"/>
    <cellStyle name="Normal 61 3 6 3 2" xfId="0"/>
    <cellStyle name="Normal 61 3 6 3 2 2" xfId="0"/>
    <cellStyle name="Normal 61 3 6 3 2 2 2" xfId="0"/>
    <cellStyle name="Normal 61 3 6 3 2 2 2 2" xfId="0"/>
    <cellStyle name="Normal 61 3 6 3 2 2 3" xfId="0"/>
    <cellStyle name="Normal 61 3 6 3 2 3" xfId="0"/>
    <cellStyle name="Normal 61 3 6 3 2 3 2" xfId="0"/>
    <cellStyle name="Normal 61 3 6 3 2 3 2 2" xfId="0"/>
    <cellStyle name="Normal 61 3 6 3 2 3 3" xfId="0"/>
    <cellStyle name="Normal 61 3 6 3 2 4" xfId="0"/>
    <cellStyle name="Normal 61 3 6 3 2 4 2" xfId="0"/>
    <cellStyle name="Normal 61 3 6 3 2 5" xfId="0"/>
    <cellStyle name="Normal 61 3 6 3 3" xfId="0"/>
    <cellStyle name="Normal 61 3 6 3 3 2" xfId="0"/>
    <cellStyle name="Normal 61 3 6 3 3 2 2" xfId="0"/>
    <cellStyle name="Normal 61 3 6 3 3 3" xfId="0"/>
    <cellStyle name="Normal 61 3 6 3 4" xfId="0"/>
    <cellStyle name="Normal 61 3 6 3 4 2" xfId="0"/>
    <cellStyle name="Normal 61 3 6 3 4 2 2" xfId="0"/>
    <cellStyle name="Normal 61 3 6 3 4 3" xfId="0"/>
    <cellStyle name="Normal 61 3 6 3 5" xfId="0"/>
    <cellStyle name="Normal 61 3 6 3 5 2" xfId="0"/>
    <cellStyle name="Normal 61 3 6 3 6" xfId="0"/>
    <cellStyle name="Normal 61 3 6 4" xfId="0"/>
    <cellStyle name="Normal 61 3 6 4 2" xfId="0"/>
    <cellStyle name="Normal 61 3 6 4 2 2" xfId="0"/>
    <cellStyle name="Normal 61 3 6 4 2 2 2" xfId="0"/>
    <cellStyle name="Normal 61 3 6 4 2 3" xfId="0"/>
    <cellStyle name="Normal 61 3 6 4 3" xfId="0"/>
    <cellStyle name="Normal 61 3 6 4 3 2" xfId="0"/>
    <cellStyle name="Normal 61 3 6 4 3 2 2" xfId="0"/>
    <cellStyle name="Normal 61 3 6 4 3 3" xfId="0"/>
    <cellStyle name="Normal 61 3 6 4 4" xfId="0"/>
    <cellStyle name="Normal 61 3 6 4 4 2" xfId="0"/>
    <cellStyle name="Normal 61 3 6 4 5" xfId="0"/>
    <cellStyle name="Normal 61 3 6 5" xfId="0"/>
    <cellStyle name="Normal 61 3 6 5 2" xfId="0"/>
    <cellStyle name="Normal 61 3 6 5 2 2" xfId="0"/>
    <cellStyle name="Normal 61 3 6 5 3" xfId="0"/>
    <cellStyle name="Normal 61 3 6 6" xfId="0"/>
    <cellStyle name="Normal 61 3 6 6 2" xfId="0"/>
    <cellStyle name="Normal 61 3 6 6 2 2" xfId="0"/>
    <cellStyle name="Normal 61 3 6 6 3" xfId="0"/>
    <cellStyle name="Normal 61 3 6 7" xfId="0"/>
    <cellStyle name="Normal 61 3 6 7 2" xfId="0"/>
    <cellStyle name="Normal 61 3 6 8" xfId="0"/>
    <cellStyle name="Normal 61 3 7" xfId="0"/>
    <cellStyle name="Normal 61 3 7 2" xfId="0"/>
    <cellStyle name="Normal 61 3 7 2 2" xfId="0"/>
    <cellStyle name="Normal 61 3 7 2 2 2" xfId="0"/>
    <cellStyle name="Normal 61 3 7 2 2 2 2" xfId="0"/>
    <cellStyle name="Normal 61 3 7 2 2 2 2 2" xfId="0"/>
    <cellStyle name="Normal 61 3 7 2 2 2 3" xfId="0"/>
    <cellStyle name="Normal 61 3 7 2 2 3" xfId="0"/>
    <cellStyle name="Normal 61 3 7 2 2 3 2" xfId="0"/>
    <cellStyle name="Normal 61 3 7 2 2 3 2 2" xfId="0"/>
    <cellStyle name="Normal 61 3 7 2 2 3 3" xfId="0"/>
    <cellStyle name="Normal 61 3 7 2 2 4" xfId="0"/>
    <cellStyle name="Normal 61 3 7 2 2 4 2" xfId="0"/>
    <cellStyle name="Normal 61 3 7 2 2 5" xfId="0"/>
    <cellStyle name="Normal 61 3 7 2 3" xfId="0"/>
    <cellStyle name="Normal 61 3 7 2 3 2" xfId="0"/>
    <cellStyle name="Normal 61 3 7 2 3 2 2" xfId="0"/>
    <cellStyle name="Normal 61 3 7 2 3 3" xfId="0"/>
    <cellStyle name="Normal 61 3 7 2 4" xfId="0"/>
    <cellStyle name="Normal 61 3 7 2 4 2" xfId="0"/>
    <cellStyle name="Normal 61 3 7 2 4 2 2" xfId="0"/>
    <cellStyle name="Normal 61 3 7 2 4 3" xfId="0"/>
    <cellStyle name="Normal 61 3 7 2 5" xfId="0"/>
    <cellStyle name="Normal 61 3 7 2 5 2" xfId="0"/>
    <cellStyle name="Normal 61 3 7 2 6" xfId="0"/>
    <cellStyle name="Normal 61 3 7 3" xfId="0"/>
    <cellStyle name="Normal 61 3 7 3 2" xfId="0"/>
    <cellStyle name="Normal 61 3 7 3 2 2" xfId="0"/>
    <cellStyle name="Normal 61 3 7 3 2 2 2" xfId="0"/>
    <cellStyle name="Normal 61 3 7 3 2 3" xfId="0"/>
    <cellStyle name="Normal 61 3 7 3 3" xfId="0"/>
    <cellStyle name="Normal 61 3 7 3 3 2" xfId="0"/>
    <cellStyle name="Normal 61 3 7 3 3 2 2" xfId="0"/>
    <cellStyle name="Normal 61 3 7 3 3 3" xfId="0"/>
    <cellStyle name="Normal 61 3 7 3 4" xfId="0"/>
    <cellStyle name="Normal 61 3 7 3 4 2" xfId="0"/>
    <cellStyle name="Normal 61 3 7 3 5" xfId="0"/>
    <cellStyle name="Normal 61 3 7 4" xfId="0"/>
    <cellStyle name="Normal 61 3 7 4 2" xfId="0"/>
    <cellStyle name="Normal 61 3 7 4 2 2" xfId="0"/>
    <cellStyle name="Normal 61 3 7 4 3" xfId="0"/>
    <cellStyle name="Normal 61 3 7 5" xfId="0"/>
    <cellStyle name="Normal 61 3 7 5 2" xfId="0"/>
    <cellStyle name="Normal 61 3 7 5 2 2" xfId="0"/>
    <cellStyle name="Normal 61 3 7 5 3" xfId="0"/>
    <cellStyle name="Normal 61 3 7 6" xfId="0"/>
    <cellStyle name="Normal 61 3 7 6 2" xfId="0"/>
    <cellStyle name="Normal 61 3 7 7" xfId="0"/>
    <cellStyle name="Normal 61 3 8" xfId="0"/>
    <cellStyle name="Normal 61 3 8 2" xfId="0"/>
    <cellStyle name="Normal 61 3 8 2 2" xfId="0"/>
    <cellStyle name="Normal 61 3 8 2 2 2" xfId="0"/>
    <cellStyle name="Normal 61 3 8 2 2 2 2" xfId="0"/>
    <cellStyle name="Normal 61 3 8 2 2 3" xfId="0"/>
    <cellStyle name="Normal 61 3 8 2 3" xfId="0"/>
    <cellStyle name="Normal 61 3 8 2 3 2" xfId="0"/>
    <cellStyle name="Normal 61 3 8 2 3 2 2" xfId="0"/>
    <cellStyle name="Normal 61 3 8 2 3 3" xfId="0"/>
    <cellStyle name="Normal 61 3 8 2 4" xfId="0"/>
    <cellStyle name="Normal 61 3 8 2 4 2" xfId="0"/>
    <cellStyle name="Normal 61 3 8 2 5" xfId="0"/>
    <cellStyle name="Normal 61 3 8 3" xfId="0"/>
    <cellStyle name="Normal 61 3 8 3 2" xfId="0"/>
    <cellStyle name="Normal 61 3 8 3 2 2" xfId="0"/>
    <cellStyle name="Normal 61 3 8 3 3" xfId="0"/>
    <cellStyle name="Normal 61 3 8 4" xfId="0"/>
    <cellStyle name="Normal 61 3 8 4 2" xfId="0"/>
    <cellStyle name="Normal 61 3 8 4 2 2" xfId="0"/>
    <cellStyle name="Normal 61 3 8 4 3" xfId="0"/>
    <cellStyle name="Normal 61 3 8 5" xfId="0"/>
    <cellStyle name="Normal 61 3 8 5 2" xfId="0"/>
    <cellStyle name="Normal 61 3 8 6" xfId="0"/>
    <cellStyle name="Normal 61 3 9" xfId="0"/>
    <cellStyle name="Normal 61 3 9 2" xfId="0"/>
    <cellStyle name="Normal 61 3 9 2 2" xfId="0"/>
    <cellStyle name="Normal 61 3 9 2 2 2" xfId="0"/>
    <cellStyle name="Normal 61 3 9 2 3" xfId="0"/>
    <cellStyle name="Normal 61 3 9 3" xfId="0"/>
    <cellStyle name="Normal 61 3 9 3 2" xfId="0"/>
    <cellStyle name="Normal 61 3 9 3 2 2" xfId="0"/>
    <cellStyle name="Normal 61 3 9 3 3" xfId="0"/>
    <cellStyle name="Normal 61 3 9 4" xfId="0"/>
    <cellStyle name="Normal 61 3 9 4 2" xfId="0"/>
    <cellStyle name="Normal 61 3 9 5" xfId="0"/>
    <cellStyle name="Normal 61 4" xfId="0"/>
    <cellStyle name="Normal 61 4 10" xfId="0"/>
    <cellStyle name="Normal 61 4 10 2" xfId="0"/>
    <cellStyle name="Normal 61 4 10 2 2" xfId="0"/>
    <cellStyle name="Normal 61 4 10 3" xfId="0"/>
    <cellStyle name="Normal 61 4 11" xfId="0"/>
    <cellStyle name="Normal 61 4 11 2" xfId="0"/>
    <cellStyle name="Normal 61 4 11 2 2" xfId="0"/>
    <cellStyle name="Normal 61 4 11 3" xfId="0"/>
    <cellStyle name="Normal 61 4 12" xfId="0"/>
    <cellStyle name="Normal 61 4 12 2" xfId="0"/>
    <cellStyle name="Normal 61 4 13" xfId="0"/>
    <cellStyle name="Normal 61 4 2" xfId="0"/>
    <cellStyle name="Normal 61 4 2 10" xfId="0"/>
    <cellStyle name="Normal 61 4 2 10 2" xfId="0"/>
    <cellStyle name="Normal 61 4 2 10 2 2" xfId="0"/>
    <cellStyle name="Normal 61 4 2 10 3" xfId="0"/>
    <cellStyle name="Normal 61 4 2 11" xfId="0"/>
    <cellStyle name="Normal 61 4 2 11 2" xfId="0"/>
    <cellStyle name="Normal 61 4 2 12" xfId="0"/>
    <cellStyle name="Normal 61 4 2 2" xfId="0"/>
    <cellStyle name="Normal 61 4 2 2 10" xfId="0"/>
    <cellStyle name="Normal 61 4 2 2 2" xfId="0"/>
    <cellStyle name="Normal 61 4 2 2 2 2" xfId="0"/>
    <cellStyle name="Normal 61 4 2 2 2 2 2" xfId="0"/>
    <cellStyle name="Normal 61 4 2 2 2 2 2 2" xfId="0"/>
    <cellStyle name="Normal 61 4 2 2 2 2 2 2 2" xfId="0"/>
    <cellStyle name="Normal 61 4 2 2 2 2 2 2 2 2" xfId="0"/>
    <cellStyle name="Normal 61 4 2 2 2 2 2 2 2 2 2" xfId="0"/>
    <cellStyle name="Normal 61 4 2 2 2 2 2 2 2 2 2 2" xfId="0"/>
    <cellStyle name="Normal 61 4 2 2 2 2 2 2 2 2 3" xfId="0"/>
    <cellStyle name="Normal 61 4 2 2 2 2 2 2 2 3" xfId="0"/>
    <cellStyle name="Normal 61 4 2 2 2 2 2 2 2 3 2" xfId="0"/>
    <cellStyle name="Normal 61 4 2 2 2 2 2 2 2 3 2 2" xfId="0"/>
    <cellStyle name="Normal 61 4 2 2 2 2 2 2 2 3 3" xfId="0"/>
    <cellStyle name="Normal 61 4 2 2 2 2 2 2 2 4" xfId="0"/>
    <cellStyle name="Normal 61 4 2 2 2 2 2 2 2 4 2" xfId="0"/>
    <cellStyle name="Normal 61 4 2 2 2 2 2 2 2 5" xfId="0"/>
    <cellStyle name="Normal 61 4 2 2 2 2 2 2 3" xfId="0"/>
    <cellStyle name="Normal 61 4 2 2 2 2 2 2 3 2" xfId="0"/>
    <cellStyle name="Normal 61 4 2 2 2 2 2 2 3 2 2" xfId="0"/>
    <cellStyle name="Normal 61 4 2 2 2 2 2 2 3 3" xfId="0"/>
    <cellStyle name="Normal 61 4 2 2 2 2 2 2 4" xfId="0"/>
    <cellStyle name="Normal 61 4 2 2 2 2 2 2 4 2" xfId="0"/>
    <cellStyle name="Normal 61 4 2 2 2 2 2 2 4 2 2" xfId="0"/>
    <cellStyle name="Normal 61 4 2 2 2 2 2 2 4 3" xfId="0"/>
    <cellStyle name="Normal 61 4 2 2 2 2 2 2 5" xfId="0"/>
    <cellStyle name="Normal 61 4 2 2 2 2 2 2 5 2" xfId="0"/>
    <cellStyle name="Normal 61 4 2 2 2 2 2 2 6" xfId="0"/>
    <cellStyle name="Normal 61 4 2 2 2 2 2 3" xfId="0"/>
    <cellStyle name="Normal 61 4 2 2 2 2 2 3 2" xfId="0"/>
    <cellStyle name="Normal 61 4 2 2 2 2 2 3 2 2" xfId="0"/>
    <cellStyle name="Normal 61 4 2 2 2 2 2 3 2 2 2" xfId="0"/>
    <cellStyle name="Normal 61 4 2 2 2 2 2 3 2 3" xfId="0"/>
    <cellStyle name="Normal 61 4 2 2 2 2 2 3 3" xfId="0"/>
    <cellStyle name="Normal 61 4 2 2 2 2 2 3 3 2" xfId="0"/>
    <cellStyle name="Normal 61 4 2 2 2 2 2 3 3 2 2" xfId="0"/>
    <cellStyle name="Normal 61 4 2 2 2 2 2 3 3 3" xfId="0"/>
    <cellStyle name="Normal 61 4 2 2 2 2 2 3 4" xfId="0"/>
    <cellStyle name="Normal 61 4 2 2 2 2 2 3 4 2" xfId="0"/>
    <cellStyle name="Normal 61 4 2 2 2 2 2 3 5" xfId="0"/>
    <cellStyle name="Normal 61 4 2 2 2 2 2 4" xfId="0"/>
    <cellStyle name="Normal 61 4 2 2 2 2 2 4 2" xfId="0"/>
    <cellStyle name="Normal 61 4 2 2 2 2 2 4 2 2" xfId="0"/>
    <cellStyle name="Normal 61 4 2 2 2 2 2 4 3" xfId="0"/>
    <cellStyle name="Normal 61 4 2 2 2 2 2 5" xfId="0"/>
    <cellStyle name="Normal 61 4 2 2 2 2 2 5 2" xfId="0"/>
    <cellStyle name="Normal 61 4 2 2 2 2 2 5 2 2" xfId="0"/>
    <cellStyle name="Normal 61 4 2 2 2 2 2 5 3" xfId="0"/>
    <cellStyle name="Normal 61 4 2 2 2 2 2 6" xfId="0"/>
    <cellStyle name="Normal 61 4 2 2 2 2 2 6 2" xfId="0"/>
    <cellStyle name="Normal 61 4 2 2 2 2 2 7" xfId="0"/>
    <cellStyle name="Normal 61 4 2 2 2 2 3" xfId="0"/>
    <cellStyle name="Normal 61 4 2 2 2 2 3 2" xfId="0"/>
    <cellStyle name="Normal 61 4 2 2 2 2 3 2 2" xfId="0"/>
    <cellStyle name="Normal 61 4 2 2 2 2 3 2 2 2" xfId="0"/>
    <cellStyle name="Normal 61 4 2 2 2 2 3 2 2 2 2" xfId="0"/>
    <cellStyle name="Normal 61 4 2 2 2 2 3 2 2 3" xfId="0"/>
    <cellStyle name="Normal 61 4 2 2 2 2 3 2 3" xfId="0"/>
    <cellStyle name="Normal 61 4 2 2 2 2 3 2 3 2" xfId="0"/>
    <cellStyle name="Normal 61 4 2 2 2 2 3 2 3 2 2" xfId="0"/>
    <cellStyle name="Normal 61 4 2 2 2 2 3 2 3 3" xfId="0"/>
    <cellStyle name="Normal 61 4 2 2 2 2 3 2 4" xfId="0"/>
    <cellStyle name="Normal 61 4 2 2 2 2 3 2 4 2" xfId="0"/>
    <cellStyle name="Normal 61 4 2 2 2 2 3 2 5" xfId="0"/>
    <cellStyle name="Normal 61 4 2 2 2 2 3 3" xfId="0"/>
    <cellStyle name="Normal 61 4 2 2 2 2 3 3 2" xfId="0"/>
    <cellStyle name="Normal 61 4 2 2 2 2 3 3 2 2" xfId="0"/>
    <cellStyle name="Normal 61 4 2 2 2 2 3 3 3" xfId="0"/>
    <cellStyle name="Normal 61 4 2 2 2 2 3 4" xfId="0"/>
    <cellStyle name="Normal 61 4 2 2 2 2 3 4 2" xfId="0"/>
    <cellStyle name="Normal 61 4 2 2 2 2 3 4 2 2" xfId="0"/>
    <cellStyle name="Normal 61 4 2 2 2 2 3 4 3" xfId="0"/>
    <cellStyle name="Normal 61 4 2 2 2 2 3 5" xfId="0"/>
    <cellStyle name="Normal 61 4 2 2 2 2 3 5 2" xfId="0"/>
    <cellStyle name="Normal 61 4 2 2 2 2 3 6" xfId="0"/>
    <cellStyle name="Normal 61 4 2 2 2 2 4" xfId="0"/>
    <cellStyle name="Normal 61 4 2 2 2 2 4 2" xfId="0"/>
    <cellStyle name="Normal 61 4 2 2 2 2 4 2 2" xfId="0"/>
    <cellStyle name="Normal 61 4 2 2 2 2 4 2 2 2" xfId="0"/>
    <cellStyle name="Normal 61 4 2 2 2 2 4 2 3" xfId="0"/>
    <cellStyle name="Normal 61 4 2 2 2 2 4 3" xfId="0"/>
    <cellStyle name="Normal 61 4 2 2 2 2 4 3 2" xfId="0"/>
    <cellStyle name="Normal 61 4 2 2 2 2 4 3 2 2" xfId="0"/>
    <cellStyle name="Normal 61 4 2 2 2 2 4 3 3" xfId="0"/>
    <cellStyle name="Normal 61 4 2 2 2 2 4 4" xfId="0"/>
    <cellStyle name="Normal 61 4 2 2 2 2 4 4 2" xfId="0"/>
    <cellStyle name="Normal 61 4 2 2 2 2 4 5" xfId="0"/>
    <cellStyle name="Normal 61 4 2 2 2 2 5" xfId="0"/>
    <cellStyle name="Normal 61 4 2 2 2 2 5 2" xfId="0"/>
    <cellStyle name="Normal 61 4 2 2 2 2 5 2 2" xfId="0"/>
    <cellStyle name="Normal 61 4 2 2 2 2 5 3" xfId="0"/>
    <cellStyle name="Normal 61 4 2 2 2 2 6" xfId="0"/>
    <cellStyle name="Normal 61 4 2 2 2 2 6 2" xfId="0"/>
    <cellStyle name="Normal 61 4 2 2 2 2 6 2 2" xfId="0"/>
    <cellStyle name="Normal 61 4 2 2 2 2 6 3" xfId="0"/>
    <cellStyle name="Normal 61 4 2 2 2 2 7" xfId="0"/>
    <cellStyle name="Normal 61 4 2 2 2 2 7 2" xfId="0"/>
    <cellStyle name="Normal 61 4 2 2 2 2 8" xfId="0"/>
    <cellStyle name="Normal 61 4 2 2 2 3" xfId="0"/>
    <cellStyle name="Normal 61 4 2 2 2 3 2" xfId="0"/>
    <cellStyle name="Normal 61 4 2 2 2 3 2 2" xfId="0"/>
    <cellStyle name="Normal 61 4 2 2 2 3 2 2 2" xfId="0"/>
    <cellStyle name="Normal 61 4 2 2 2 3 2 2 2 2" xfId="0"/>
    <cellStyle name="Normal 61 4 2 2 2 3 2 2 2 2 2" xfId="0"/>
    <cellStyle name="Normal 61 4 2 2 2 3 2 2 2 3" xfId="0"/>
    <cellStyle name="Normal 61 4 2 2 2 3 2 2 3" xfId="0"/>
    <cellStyle name="Normal 61 4 2 2 2 3 2 2 3 2" xfId="0"/>
    <cellStyle name="Normal 61 4 2 2 2 3 2 2 3 2 2" xfId="0"/>
    <cellStyle name="Normal 61 4 2 2 2 3 2 2 3 3" xfId="0"/>
    <cellStyle name="Normal 61 4 2 2 2 3 2 2 4" xfId="0"/>
    <cellStyle name="Normal 61 4 2 2 2 3 2 2 4 2" xfId="0"/>
    <cellStyle name="Normal 61 4 2 2 2 3 2 2 5" xfId="0"/>
    <cellStyle name="Normal 61 4 2 2 2 3 2 3" xfId="0"/>
    <cellStyle name="Normal 61 4 2 2 2 3 2 3 2" xfId="0"/>
    <cellStyle name="Normal 61 4 2 2 2 3 2 3 2 2" xfId="0"/>
    <cellStyle name="Normal 61 4 2 2 2 3 2 3 3" xfId="0"/>
    <cellStyle name="Normal 61 4 2 2 2 3 2 4" xfId="0"/>
    <cellStyle name="Normal 61 4 2 2 2 3 2 4 2" xfId="0"/>
    <cellStyle name="Normal 61 4 2 2 2 3 2 4 2 2" xfId="0"/>
    <cellStyle name="Normal 61 4 2 2 2 3 2 4 3" xfId="0"/>
    <cellStyle name="Normal 61 4 2 2 2 3 2 5" xfId="0"/>
    <cellStyle name="Normal 61 4 2 2 2 3 2 5 2" xfId="0"/>
    <cellStyle name="Normal 61 4 2 2 2 3 2 6" xfId="0"/>
    <cellStyle name="Normal 61 4 2 2 2 3 3" xfId="0"/>
    <cellStyle name="Normal 61 4 2 2 2 3 3 2" xfId="0"/>
    <cellStyle name="Normal 61 4 2 2 2 3 3 2 2" xfId="0"/>
    <cellStyle name="Normal 61 4 2 2 2 3 3 2 2 2" xfId="0"/>
    <cellStyle name="Normal 61 4 2 2 2 3 3 2 3" xfId="0"/>
    <cellStyle name="Normal 61 4 2 2 2 3 3 3" xfId="0"/>
    <cellStyle name="Normal 61 4 2 2 2 3 3 3 2" xfId="0"/>
    <cellStyle name="Normal 61 4 2 2 2 3 3 3 2 2" xfId="0"/>
    <cellStyle name="Normal 61 4 2 2 2 3 3 3 3" xfId="0"/>
    <cellStyle name="Normal 61 4 2 2 2 3 3 4" xfId="0"/>
    <cellStyle name="Normal 61 4 2 2 2 3 3 4 2" xfId="0"/>
    <cellStyle name="Normal 61 4 2 2 2 3 3 5" xfId="0"/>
    <cellStyle name="Normal 61 4 2 2 2 3 4" xfId="0"/>
    <cellStyle name="Normal 61 4 2 2 2 3 4 2" xfId="0"/>
    <cellStyle name="Normal 61 4 2 2 2 3 4 2 2" xfId="0"/>
    <cellStyle name="Normal 61 4 2 2 2 3 4 3" xfId="0"/>
    <cellStyle name="Normal 61 4 2 2 2 3 5" xfId="0"/>
    <cellStyle name="Normal 61 4 2 2 2 3 5 2" xfId="0"/>
    <cellStyle name="Normal 61 4 2 2 2 3 5 2 2" xfId="0"/>
    <cellStyle name="Normal 61 4 2 2 2 3 5 3" xfId="0"/>
    <cellStyle name="Normal 61 4 2 2 2 3 6" xfId="0"/>
    <cellStyle name="Normal 61 4 2 2 2 3 6 2" xfId="0"/>
    <cellStyle name="Normal 61 4 2 2 2 3 7" xfId="0"/>
    <cellStyle name="Normal 61 4 2 2 2 4" xfId="0"/>
    <cellStyle name="Normal 61 4 2 2 2 4 2" xfId="0"/>
    <cellStyle name="Normal 61 4 2 2 2 4 2 2" xfId="0"/>
    <cellStyle name="Normal 61 4 2 2 2 4 2 2 2" xfId="0"/>
    <cellStyle name="Normal 61 4 2 2 2 4 2 2 2 2" xfId="0"/>
    <cellStyle name="Normal 61 4 2 2 2 4 2 2 3" xfId="0"/>
    <cellStyle name="Normal 61 4 2 2 2 4 2 3" xfId="0"/>
    <cellStyle name="Normal 61 4 2 2 2 4 2 3 2" xfId="0"/>
    <cellStyle name="Normal 61 4 2 2 2 4 2 3 2 2" xfId="0"/>
    <cellStyle name="Normal 61 4 2 2 2 4 2 3 3" xfId="0"/>
    <cellStyle name="Normal 61 4 2 2 2 4 2 4" xfId="0"/>
    <cellStyle name="Normal 61 4 2 2 2 4 2 4 2" xfId="0"/>
    <cellStyle name="Normal 61 4 2 2 2 4 2 5" xfId="0"/>
    <cellStyle name="Normal 61 4 2 2 2 4 3" xfId="0"/>
    <cellStyle name="Normal 61 4 2 2 2 4 3 2" xfId="0"/>
    <cellStyle name="Normal 61 4 2 2 2 4 3 2 2" xfId="0"/>
    <cellStyle name="Normal 61 4 2 2 2 4 3 3" xfId="0"/>
    <cellStyle name="Normal 61 4 2 2 2 4 4" xfId="0"/>
    <cellStyle name="Normal 61 4 2 2 2 4 4 2" xfId="0"/>
    <cellStyle name="Normal 61 4 2 2 2 4 4 2 2" xfId="0"/>
    <cellStyle name="Normal 61 4 2 2 2 4 4 3" xfId="0"/>
    <cellStyle name="Normal 61 4 2 2 2 4 5" xfId="0"/>
    <cellStyle name="Normal 61 4 2 2 2 4 5 2" xfId="0"/>
    <cellStyle name="Normal 61 4 2 2 2 4 6" xfId="0"/>
    <cellStyle name="Normal 61 4 2 2 2 5" xfId="0"/>
    <cellStyle name="Normal 61 4 2 2 2 5 2" xfId="0"/>
    <cellStyle name="Normal 61 4 2 2 2 5 2 2" xfId="0"/>
    <cellStyle name="Normal 61 4 2 2 2 5 2 2 2" xfId="0"/>
    <cellStyle name="Normal 61 4 2 2 2 5 2 3" xfId="0"/>
    <cellStyle name="Normal 61 4 2 2 2 5 3" xfId="0"/>
    <cellStyle name="Normal 61 4 2 2 2 5 3 2" xfId="0"/>
    <cellStyle name="Normal 61 4 2 2 2 5 3 2 2" xfId="0"/>
    <cellStyle name="Normal 61 4 2 2 2 5 3 3" xfId="0"/>
    <cellStyle name="Normal 61 4 2 2 2 5 4" xfId="0"/>
    <cellStyle name="Normal 61 4 2 2 2 5 4 2" xfId="0"/>
    <cellStyle name="Normal 61 4 2 2 2 5 5" xfId="0"/>
    <cellStyle name="Normal 61 4 2 2 2 6" xfId="0"/>
    <cellStyle name="Normal 61 4 2 2 2 6 2" xfId="0"/>
    <cellStyle name="Normal 61 4 2 2 2 6 2 2" xfId="0"/>
    <cellStyle name="Normal 61 4 2 2 2 6 3" xfId="0"/>
    <cellStyle name="Normal 61 4 2 2 2 7" xfId="0"/>
    <cellStyle name="Normal 61 4 2 2 2 7 2" xfId="0"/>
    <cellStyle name="Normal 61 4 2 2 2 7 2 2" xfId="0"/>
    <cellStyle name="Normal 61 4 2 2 2 7 3" xfId="0"/>
    <cellStyle name="Normal 61 4 2 2 2 8" xfId="0"/>
    <cellStyle name="Normal 61 4 2 2 2 8 2" xfId="0"/>
    <cellStyle name="Normal 61 4 2 2 2 9" xfId="0"/>
    <cellStyle name="Normal 61 4 2 2 3" xfId="0"/>
    <cellStyle name="Normal 61 4 2 2 3 2" xfId="0"/>
    <cellStyle name="Normal 61 4 2 2 3 2 2" xfId="0"/>
    <cellStyle name="Normal 61 4 2 2 3 2 2 2" xfId="0"/>
    <cellStyle name="Normal 61 4 2 2 3 2 2 2 2" xfId="0"/>
    <cellStyle name="Normal 61 4 2 2 3 2 2 2 2 2" xfId="0"/>
    <cellStyle name="Normal 61 4 2 2 3 2 2 2 2 2 2" xfId="0"/>
    <cellStyle name="Normal 61 4 2 2 3 2 2 2 2 3" xfId="0"/>
    <cellStyle name="Normal 61 4 2 2 3 2 2 2 3" xfId="0"/>
    <cellStyle name="Normal 61 4 2 2 3 2 2 2 3 2" xfId="0"/>
    <cellStyle name="Normal 61 4 2 2 3 2 2 2 3 2 2" xfId="0"/>
    <cellStyle name="Normal 61 4 2 2 3 2 2 2 3 3" xfId="0"/>
    <cellStyle name="Normal 61 4 2 2 3 2 2 2 4" xfId="0"/>
    <cellStyle name="Normal 61 4 2 2 3 2 2 2 4 2" xfId="0"/>
    <cellStyle name="Normal 61 4 2 2 3 2 2 2 5" xfId="0"/>
    <cellStyle name="Normal 61 4 2 2 3 2 2 3" xfId="0"/>
    <cellStyle name="Normal 61 4 2 2 3 2 2 3 2" xfId="0"/>
    <cellStyle name="Normal 61 4 2 2 3 2 2 3 2 2" xfId="0"/>
    <cellStyle name="Normal 61 4 2 2 3 2 2 3 3" xfId="0"/>
    <cellStyle name="Normal 61 4 2 2 3 2 2 4" xfId="0"/>
    <cellStyle name="Normal 61 4 2 2 3 2 2 4 2" xfId="0"/>
    <cellStyle name="Normal 61 4 2 2 3 2 2 4 2 2" xfId="0"/>
    <cellStyle name="Normal 61 4 2 2 3 2 2 4 3" xfId="0"/>
    <cellStyle name="Normal 61 4 2 2 3 2 2 5" xfId="0"/>
    <cellStyle name="Normal 61 4 2 2 3 2 2 5 2" xfId="0"/>
    <cellStyle name="Normal 61 4 2 2 3 2 2 6" xfId="0"/>
    <cellStyle name="Normal 61 4 2 2 3 2 3" xfId="0"/>
    <cellStyle name="Normal 61 4 2 2 3 2 3 2" xfId="0"/>
    <cellStyle name="Normal 61 4 2 2 3 2 3 2 2" xfId="0"/>
    <cellStyle name="Normal 61 4 2 2 3 2 3 2 2 2" xfId="0"/>
    <cellStyle name="Normal 61 4 2 2 3 2 3 2 3" xfId="0"/>
    <cellStyle name="Normal 61 4 2 2 3 2 3 3" xfId="0"/>
    <cellStyle name="Normal 61 4 2 2 3 2 3 3 2" xfId="0"/>
    <cellStyle name="Normal 61 4 2 2 3 2 3 3 2 2" xfId="0"/>
    <cellStyle name="Normal 61 4 2 2 3 2 3 3 3" xfId="0"/>
    <cellStyle name="Normal 61 4 2 2 3 2 3 4" xfId="0"/>
    <cellStyle name="Normal 61 4 2 2 3 2 3 4 2" xfId="0"/>
    <cellStyle name="Normal 61 4 2 2 3 2 3 5" xfId="0"/>
    <cellStyle name="Normal 61 4 2 2 3 2 4" xfId="0"/>
    <cellStyle name="Normal 61 4 2 2 3 2 4 2" xfId="0"/>
    <cellStyle name="Normal 61 4 2 2 3 2 4 2 2" xfId="0"/>
    <cellStyle name="Normal 61 4 2 2 3 2 4 3" xfId="0"/>
    <cellStyle name="Normal 61 4 2 2 3 2 5" xfId="0"/>
    <cellStyle name="Normal 61 4 2 2 3 2 5 2" xfId="0"/>
    <cellStyle name="Normal 61 4 2 2 3 2 5 2 2" xfId="0"/>
    <cellStyle name="Normal 61 4 2 2 3 2 5 3" xfId="0"/>
    <cellStyle name="Normal 61 4 2 2 3 2 6" xfId="0"/>
    <cellStyle name="Normal 61 4 2 2 3 2 6 2" xfId="0"/>
    <cellStyle name="Normal 61 4 2 2 3 2 7" xfId="0"/>
    <cellStyle name="Normal 61 4 2 2 3 3" xfId="0"/>
    <cellStyle name="Normal 61 4 2 2 3 3 2" xfId="0"/>
    <cellStyle name="Normal 61 4 2 2 3 3 2 2" xfId="0"/>
    <cellStyle name="Normal 61 4 2 2 3 3 2 2 2" xfId="0"/>
    <cellStyle name="Normal 61 4 2 2 3 3 2 2 2 2" xfId="0"/>
    <cellStyle name="Normal 61 4 2 2 3 3 2 2 3" xfId="0"/>
    <cellStyle name="Normal 61 4 2 2 3 3 2 3" xfId="0"/>
    <cellStyle name="Normal 61 4 2 2 3 3 2 3 2" xfId="0"/>
    <cellStyle name="Normal 61 4 2 2 3 3 2 3 2 2" xfId="0"/>
    <cellStyle name="Normal 61 4 2 2 3 3 2 3 3" xfId="0"/>
    <cellStyle name="Normal 61 4 2 2 3 3 2 4" xfId="0"/>
    <cellStyle name="Normal 61 4 2 2 3 3 2 4 2" xfId="0"/>
    <cellStyle name="Normal 61 4 2 2 3 3 2 5" xfId="0"/>
    <cellStyle name="Normal 61 4 2 2 3 3 3" xfId="0"/>
    <cellStyle name="Normal 61 4 2 2 3 3 3 2" xfId="0"/>
    <cellStyle name="Normal 61 4 2 2 3 3 3 2 2" xfId="0"/>
    <cellStyle name="Normal 61 4 2 2 3 3 3 3" xfId="0"/>
    <cellStyle name="Normal 61 4 2 2 3 3 4" xfId="0"/>
    <cellStyle name="Normal 61 4 2 2 3 3 4 2" xfId="0"/>
    <cellStyle name="Normal 61 4 2 2 3 3 4 2 2" xfId="0"/>
    <cellStyle name="Normal 61 4 2 2 3 3 4 3" xfId="0"/>
    <cellStyle name="Normal 61 4 2 2 3 3 5" xfId="0"/>
    <cellStyle name="Normal 61 4 2 2 3 3 5 2" xfId="0"/>
    <cellStyle name="Normal 61 4 2 2 3 3 6" xfId="0"/>
    <cellStyle name="Normal 61 4 2 2 3 4" xfId="0"/>
    <cellStyle name="Normal 61 4 2 2 3 4 2" xfId="0"/>
    <cellStyle name="Normal 61 4 2 2 3 4 2 2" xfId="0"/>
    <cellStyle name="Normal 61 4 2 2 3 4 2 2 2" xfId="0"/>
    <cellStyle name="Normal 61 4 2 2 3 4 2 3" xfId="0"/>
    <cellStyle name="Normal 61 4 2 2 3 4 3" xfId="0"/>
    <cellStyle name="Normal 61 4 2 2 3 4 3 2" xfId="0"/>
    <cellStyle name="Normal 61 4 2 2 3 4 3 2 2" xfId="0"/>
    <cellStyle name="Normal 61 4 2 2 3 4 3 3" xfId="0"/>
    <cellStyle name="Normal 61 4 2 2 3 4 4" xfId="0"/>
    <cellStyle name="Normal 61 4 2 2 3 4 4 2" xfId="0"/>
    <cellStyle name="Normal 61 4 2 2 3 4 5" xfId="0"/>
    <cellStyle name="Normal 61 4 2 2 3 5" xfId="0"/>
    <cellStyle name="Normal 61 4 2 2 3 5 2" xfId="0"/>
    <cellStyle name="Normal 61 4 2 2 3 5 2 2" xfId="0"/>
    <cellStyle name="Normal 61 4 2 2 3 5 3" xfId="0"/>
    <cellStyle name="Normal 61 4 2 2 3 6" xfId="0"/>
    <cellStyle name="Normal 61 4 2 2 3 6 2" xfId="0"/>
    <cellStyle name="Normal 61 4 2 2 3 6 2 2" xfId="0"/>
    <cellStyle name="Normal 61 4 2 2 3 6 3" xfId="0"/>
    <cellStyle name="Normal 61 4 2 2 3 7" xfId="0"/>
    <cellStyle name="Normal 61 4 2 2 3 7 2" xfId="0"/>
    <cellStyle name="Normal 61 4 2 2 3 8" xfId="0"/>
    <cellStyle name="Normal 61 4 2 2 4" xfId="0"/>
    <cellStyle name="Normal 61 4 2 2 4 2" xfId="0"/>
    <cellStyle name="Normal 61 4 2 2 4 2 2" xfId="0"/>
    <cellStyle name="Normal 61 4 2 2 4 2 2 2" xfId="0"/>
    <cellStyle name="Normal 61 4 2 2 4 2 2 2 2" xfId="0"/>
    <cellStyle name="Normal 61 4 2 2 4 2 2 2 2 2" xfId="0"/>
    <cellStyle name="Normal 61 4 2 2 4 2 2 2 3" xfId="0"/>
    <cellStyle name="Normal 61 4 2 2 4 2 2 3" xfId="0"/>
    <cellStyle name="Normal 61 4 2 2 4 2 2 3 2" xfId="0"/>
    <cellStyle name="Normal 61 4 2 2 4 2 2 3 2 2" xfId="0"/>
    <cellStyle name="Normal 61 4 2 2 4 2 2 3 3" xfId="0"/>
    <cellStyle name="Normal 61 4 2 2 4 2 2 4" xfId="0"/>
    <cellStyle name="Normal 61 4 2 2 4 2 2 4 2" xfId="0"/>
    <cellStyle name="Normal 61 4 2 2 4 2 2 5" xfId="0"/>
    <cellStyle name="Normal 61 4 2 2 4 2 3" xfId="0"/>
    <cellStyle name="Normal 61 4 2 2 4 2 3 2" xfId="0"/>
    <cellStyle name="Normal 61 4 2 2 4 2 3 2 2" xfId="0"/>
    <cellStyle name="Normal 61 4 2 2 4 2 3 3" xfId="0"/>
    <cellStyle name="Normal 61 4 2 2 4 2 4" xfId="0"/>
    <cellStyle name="Normal 61 4 2 2 4 2 4 2" xfId="0"/>
    <cellStyle name="Normal 61 4 2 2 4 2 4 2 2" xfId="0"/>
    <cellStyle name="Normal 61 4 2 2 4 2 4 3" xfId="0"/>
    <cellStyle name="Normal 61 4 2 2 4 2 5" xfId="0"/>
    <cellStyle name="Normal 61 4 2 2 4 2 5 2" xfId="0"/>
    <cellStyle name="Normal 61 4 2 2 4 2 6" xfId="0"/>
    <cellStyle name="Normal 61 4 2 2 4 3" xfId="0"/>
    <cellStyle name="Normal 61 4 2 2 4 3 2" xfId="0"/>
    <cellStyle name="Normal 61 4 2 2 4 3 2 2" xfId="0"/>
    <cellStyle name="Normal 61 4 2 2 4 3 2 2 2" xfId="0"/>
    <cellStyle name="Normal 61 4 2 2 4 3 2 3" xfId="0"/>
    <cellStyle name="Normal 61 4 2 2 4 3 3" xfId="0"/>
    <cellStyle name="Normal 61 4 2 2 4 3 3 2" xfId="0"/>
    <cellStyle name="Normal 61 4 2 2 4 3 3 2 2" xfId="0"/>
    <cellStyle name="Normal 61 4 2 2 4 3 3 3" xfId="0"/>
    <cellStyle name="Normal 61 4 2 2 4 3 4" xfId="0"/>
    <cellStyle name="Normal 61 4 2 2 4 3 4 2" xfId="0"/>
    <cellStyle name="Normal 61 4 2 2 4 3 5" xfId="0"/>
    <cellStyle name="Normal 61 4 2 2 4 4" xfId="0"/>
    <cellStyle name="Normal 61 4 2 2 4 4 2" xfId="0"/>
    <cellStyle name="Normal 61 4 2 2 4 4 2 2" xfId="0"/>
    <cellStyle name="Normal 61 4 2 2 4 4 3" xfId="0"/>
    <cellStyle name="Normal 61 4 2 2 4 5" xfId="0"/>
    <cellStyle name="Normal 61 4 2 2 4 5 2" xfId="0"/>
    <cellStyle name="Normal 61 4 2 2 4 5 2 2" xfId="0"/>
    <cellStyle name="Normal 61 4 2 2 4 5 3" xfId="0"/>
    <cellStyle name="Normal 61 4 2 2 4 6" xfId="0"/>
    <cellStyle name="Normal 61 4 2 2 4 6 2" xfId="0"/>
    <cellStyle name="Normal 61 4 2 2 4 7" xfId="0"/>
    <cellStyle name="Normal 61 4 2 2 5" xfId="0"/>
    <cellStyle name="Normal 61 4 2 2 5 2" xfId="0"/>
    <cellStyle name="Normal 61 4 2 2 5 2 2" xfId="0"/>
    <cellStyle name="Normal 61 4 2 2 5 2 2 2" xfId="0"/>
    <cellStyle name="Normal 61 4 2 2 5 2 2 2 2" xfId="0"/>
    <cellStyle name="Normal 61 4 2 2 5 2 2 3" xfId="0"/>
    <cellStyle name="Normal 61 4 2 2 5 2 3" xfId="0"/>
    <cellStyle name="Normal 61 4 2 2 5 2 3 2" xfId="0"/>
    <cellStyle name="Normal 61 4 2 2 5 2 3 2 2" xfId="0"/>
    <cellStyle name="Normal 61 4 2 2 5 2 3 3" xfId="0"/>
    <cellStyle name="Normal 61 4 2 2 5 2 4" xfId="0"/>
    <cellStyle name="Normal 61 4 2 2 5 2 4 2" xfId="0"/>
    <cellStyle name="Normal 61 4 2 2 5 2 5" xfId="0"/>
    <cellStyle name="Normal 61 4 2 2 5 3" xfId="0"/>
    <cellStyle name="Normal 61 4 2 2 5 3 2" xfId="0"/>
    <cellStyle name="Normal 61 4 2 2 5 3 2 2" xfId="0"/>
    <cellStyle name="Normal 61 4 2 2 5 3 3" xfId="0"/>
    <cellStyle name="Normal 61 4 2 2 5 4" xfId="0"/>
    <cellStyle name="Normal 61 4 2 2 5 4 2" xfId="0"/>
    <cellStyle name="Normal 61 4 2 2 5 4 2 2" xfId="0"/>
    <cellStyle name="Normal 61 4 2 2 5 4 3" xfId="0"/>
    <cellStyle name="Normal 61 4 2 2 5 5" xfId="0"/>
    <cellStyle name="Normal 61 4 2 2 5 5 2" xfId="0"/>
    <cellStyle name="Normal 61 4 2 2 5 6" xfId="0"/>
    <cellStyle name="Normal 61 4 2 2 6" xfId="0"/>
    <cellStyle name="Normal 61 4 2 2 6 2" xfId="0"/>
    <cellStyle name="Normal 61 4 2 2 6 2 2" xfId="0"/>
    <cellStyle name="Normal 61 4 2 2 6 2 2 2" xfId="0"/>
    <cellStyle name="Normal 61 4 2 2 6 2 3" xfId="0"/>
    <cellStyle name="Normal 61 4 2 2 6 3" xfId="0"/>
    <cellStyle name="Normal 61 4 2 2 6 3 2" xfId="0"/>
    <cellStyle name="Normal 61 4 2 2 6 3 2 2" xfId="0"/>
    <cellStyle name="Normal 61 4 2 2 6 3 3" xfId="0"/>
    <cellStyle name="Normal 61 4 2 2 6 4" xfId="0"/>
    <cellStyle name="Normal 61 4 2 2 6 4 2" xfId="0"/>
    <cellStyle name="Normal 61 4 2 2 6 5" xfId="0"/>
    <cellStyle name="Normal 61 4 2 2 7" xfId="0"/>
    <cellStyle name="Normal 61 4 2 2 7 2" xfId="0"/>
    <cellStyle name="Normal 61 4 2 2 7 2 2" xfId="0"/>
    <cellStyle name="Normal 61 4 2 2 7 3" xfId="0"/>
    <cellStyle name="Normal 61 4 2 2 8" xfId="0"/>
    <cellStyle name="Normal 61 4 2 2 8 2" xfId="0"/>
    <cellStyle name="Normal 61 4 2 2 8 2 2" xfId="0"/>
    <cellStyle name="Normal 61 4 2 2 8 3" xfId="0"/>
    <cellStyle name="Normal 61 4 2 2 9" xfId="0"/>
    <cellStyle name="Normal 61 4 2 2 9 2" xfId="0"/>
    <cellStyle name="Normal 61 4 2 3" xfId="0"/>
    <cellStyle name="Normal 61 4 2 3 10" xfId="0"/>
    <cellStyle name="Normal 61 4 2 3 2" xfId="0"/>
    <cellStyle name="Normal 61 4 2 3 2 2" xfId="0"/>
    <cellStyle name="Normal 61 4 2 3 2 2 2" xfId="0"/>
    <cellStyle name="Normal 61 4 2 3 2 2 2 2" xfId="0"/>
    <cellStyle name="Normal 61 4 2 3 2 2 2 2 2" xfId="0"/>
    <cellStyle name="Normal 61 4 2 3 2 2 2 2 2 2" xfId="0"/>
    <cellStyle name="Normal 61 4 2 3 2 2 2 2 2 2 2" xfId="0"/>
    <cellStyle name="Normal 61 4 2 3 2 2 2 2 2 2 2 2" xfId="0"/>
    <cellStyle name="Normal 61 4 2 3 2 2 2 2 2 2 3" xfId="0"/>
    <cellStyle name="Normal 61 4 2 3 2 2 2 2 2 3" xfId="0"/>
    <cellStyle name="Normal 61 4 2 3 2 2 2 2 2 3 2" xfId="0"/>
    <cellStyle name="Normal 61 4 2 3 2 2 2 2 2 3 2 2" xfId="0"/>
    <cellStyle name="Normal 61 4 2 3 2 2 2 2 2 3 3" xfId="0"/>
    <cellStyle name="Normal 61 4 2 3 2 2 2 2 2 4" xfId="0"/>
    <cellStyle name="Normal 61 4 2 3 2 2 2 2 2 4 2" xfId="0"/>
    <cellStyle name="Normal 61 4 2 3 2 2 2 2 2 5" xfId="0"/>
    <cellStyle name="Normal 61 4 2 3 2 2 2 2 3" xfId="0"/>
    <cellStyle name="Normal 61 4 2 3 2 2 2 2 3 2" xfId="0"/>
    <cellStyle name="Normal 61 4 2 3 2 2 2 2 3 2 2" xfId="0"/>
    <cellStyle name="Normal 61 4 2 3 2 2 2 2 3 3" xfId="0"/>
    <cellStyle name="Normal 61 4 2 3 2 2 2 2 4" xfId="0"/>
    <cellStyle name="Normal 61 4 2 3 2 2 2 2 4 2" xfId="0"/>
    <cellStyle name="Normal 61 4 2 3 2 2 2 2 4 2 2" xfId="0"/>
    <cellStyle name="Normal 61 4 2 3 2 2 2 2 4 3" xfId="0"/>
    <cellStyle name="Normal 61 4 2 3 2 2 2 2 5" xfId="0"/>
    <cellStyle name="Normal 61 4 2 3 2 2 2 2 5 2" xfId="0"/>
    <cellStyle name="Normal 61 4 2 3 2 2 2 2 6" xfId="0"/>
    <cellStyle name="Normal 61 4 2 3 2 2 2 3" xfId="0"/>
    <cellStyle name="Normal 61 4 2 3 2 2 2 3 2" xfId="0"/>
    <cellStyle name="Normal 61 4 2 3 2 2 2 3 2 2" xfId="0"/>
    <cellStyle name="Normal 61 4 2 3 2 2 2 3 2 2 2" xfId="0"/>
    <cellStyle name="Normal 61 4 2 3 2 2 2 3 2 3" xfId="0"/>
    <cellStyle name="Normal 61 4 2 3 2 2 2 3 3" xfId="0"/>
    <cellStyle name="Normal 61 4 2 3 2 2 2 3 3 2" xfId="0"/>
    <cellStyle name="Normal 61 4 2 3 2 2 2 3 3 2 2" xfId="0"/>
    <cellStyle name="Normal 61 4 2 3 2 2 2 3 3 3" xfId="0"/>
    <cellStyle name="Normal 61 4 2 3 2 2 2 3 4" xfId="0"/>
    <cellStyle name="Normal 61 4 2 3 2 2 2 3 4 2" xfId="0"/>
    <cellStyle name="Normal 61 4 2 3 2 2 2 3 5" xfId="0"/>
    <cellStyle name="Normal 61 4 2 3 2 2 2 4" xfId="0"/>
    <cellStyle name="Normal 61 4 2 3 2 2 2 4 2" xfId="0"/>
    <cellStyle name="Normal 61 4 2 3 2 2 2 4 2 2" xfId="0"/>
    <cellStyle name="Normal 61 4 2 3 2 2 2 4 3" xfId="0"/>
    <cellStyle name="Normal 61 4 2 3 2 2 2 5" xfId="0"/>
    <cellStyle name="Normal 61 4 2 3 2 2 2 5 2" xfId="0"/>
    <cellStyle name="Normal 61 4 2 3 2 2 2 5 2 2" xfId="0"/>
    <cellStyle name="Normal 61 4 2 3 2 2 2 5 3" xfId="0"/>
    <cellStyle name="Normal 61 4 2 3 2 2 2 6" xfId="0"/>
    <cellStyle name="Normal 61 4 2 3 2 2 2 6 2" xfId="0"/>
    <cellStyle name="Normal 61 4 2 3 2 2 2 7" xfId="0"/>
    <cellStyle name="Normal 61 4 2 3 2 2 3" xfId="0"/>
    <cellStyle name="Normal 61 4 2 3 2 2 3 2" xfId="0"/>
    <cellStyle name="Normal 61 4 2 3 2 2 3 2 2" xfId="0"/>
    <cellStyle name="Normal 61 4 2 3 2 2 3 2 2 2" xfId="0"/>
    <cellStyle name="Normal 61 4 2 3 2 2 3 2 2 2 2" xfId="0"/>
    <cellStyle name="Normal 61 4 2 3 2 2 3 2 2 3" xfId="0"/>
    <cellStyle name="Normal 61 4 2 3 2 2 3 2 3" xfId="0"/>
    <cellStyle name="Normal 61 4 2 3 2 2 3 2 3 2" xfId="0"/>
    <cellStyle name="Normal 61 4 2 3 2 2 3 2 3 2 2" xfId="0"/>
    <cellStyle name="Normal 61 4 2 3 2 2 3 2 3 3" xfId="0"/>
    <cellStyle name="Normal 61 4 2 3 2 2 3 2 4" xfId="0"/>
    <cellStyle name="Normal 61 4 2 3 2 2 3 2 4 2" xfId="0"/>
    <cellStyle name="Normal 61 4 2 3 2 2 3 2 5" xfId="0"/>
    <cellStyle name="Normal 61 4 2 3 2 2 3 3" xfId="0"/>
    <cellStyle name="Normal 61 4 2 3 2 2 3 3 2" xfId="0"/>
    <cellStyle name="Normal 61 4 2 3 2 2 3 3 2 2" xfId="0"/>
    <cellStyle name="Normal 61 4 2 3 2 2 3 3 3" xfId="0"/>
    <cellStyle name="Normal 61 4 2 3 2 2 3 4" xfId="0"/>
    <cellStyle name="Normal 61 4 2 3 2 2 3 4 2" xfId="0"/>
    <cellStyle name="Normal 61 4 2 3 2 2 3 4 2 2" xfId="0"/>
    <cellStyle name="Normal 61 4 2 3 2 2 3 4 3" xfId="0"/>
    <cellStyle name="Normal 61 4 2 3 2 2 3 5" xfId="0"/>
    <cellStyle name="Normal 61 4 2 3 2 2 3 5 2" xfId="0"/>
    <cellStyle name="Normal 61 4 2 3 2 2 3 6" xfId="0"/>
    <cellStyle name="Normal 61 4 2 3 2 2 4" xfId="0"/>
    <cellStyle name="Normal 61 4 2 3 2 2 4 2" xfId="0"/>
    <cellStyle name="Normal 61 4 2 3 2 2 4 2 2" xfId="0"/>
    <cellStyle name="Normal 61 4 2 3 2 2 4 2 2 2" xfId="0"/>
    <cellStyle name="Normal 61 4 2 3 2 2 4 2 3" xfId="0"/>
    <cellStyle name="Normal 61 4 2 3 2 2 4 3" xfId="0"/>
    <cellStyle name="Normal 61 4 2 3 2 2 4 3 2" xfId="0"/>
    <cellStyle name="Normal 61 4 2 3 2 2 4 3 2 2" xfId="0"/>
    <cellStyle name="Normal 61 4 2 3 2 2 4 3 3" xfId="0"/>
    <cellStyle name="Normal 61 4 2 3 2 2 4 4" xfId="0"/>
    <cellStyle name="Normal 61 4 2 3 2 2 4 4 2" xfId="0"/>
    <cellStyle name="Normal 61 4 2 3 2 2 4 5" xfId="0"/>
    <cellStyle name="Normal 61 4 2 3 2 2 5" xfId="0"/>
    <cellStyle name="Normal 61 4 2 3 2 2 5 2" xfId="0"/>
    <cellStyle name="Normal 61 4 2 3 2 2 5 2 2" xfId="0"/>
    <cellStyle name="Normal 61 4 2 3 2 2 5 3" xfId="0"/>
    <cellStyle name="Normal 61 4 2 3 2 2 6" xfId="0"/>
    <cellStyle name="Normal 61 4 2 3 2 2 6 2" xfId="0"/>
    <cellStyle name="Normal 61 4 2 3 2 2 6 2 2" xfId="0"/>
    <cellStyle name="Normal 61 4 2 3 2 2 6 3" xfId="0"/>
    <cellStyle name="Normal 61 4 2 3 2 2 7" xfId="0"/>
    <cellStyle name="Normal 61 4 2 3 2 2 7 2" xfId="0"/>
    <cellStyle name="Normal 61 4 2 3 2 2 8" xfId="0"/>
    <cellStyle name="Normal 61 4 2 3 2 3" xfId="0"/>
    <cellStyle name="Normal 61 4 2 3 2 3 2" xfId="0"/>
    <cellStyle name="Normal 61 4 2 3 2 3 2 2" xfId="0"/>
    <cellStyle name="Normal 61 4 2 3 2 3 2 2 2" xfId="0"/>
    <cellStyle name="Normal 61 4 2 3 2 3 2 2 2 2" xfId="0"/>
    <cellStyle name="Normal 61 4 2 3 2 3 2 2 2 2 2" xfId="0"/>
    <cellStyle name="Normal 61 4 2 3 2 3 2 2 2 3" xfId="0"/>
    <cellStyle name="Normal 61 4 2 3 2 3 2 2 3" xfId="0"/>
    <cellStyle name="Normal 61 4 2 3 2 3 2 2 3 2" xfId="0"/>
    <cellStyle name="Normal 61 4 2 3 2 3 2 2 3 2 2" xfId="0"/>
    <cellStyle name="Normal 61 4 2 3 2 3 2 2 3 3" xfId="0"/>
    <cellStyle name="Normal 61 4 2 3 2 3 2 2 4" xfId="0"/>
    <cellStyle name="Normal 61 4 2 3 2 3 2 2 4 2" xfId="0"/>
    <cellStyle name="Normal 61 4 2 3 2 3 2 2 5" xfId="0"/>
    <cellStyle name="Normal 61 4 2 3 2 3 2 3" xfId="0"/>
    <cellStyle name="Normal 61 4 2 3 2 3 2 3 2" xfId="0"/>
    <cellStyle name="Normal 61 4 2 3 2 3 2 3 2 2" xfId="0"/>
    <cellStyle name="Normal 61 4 2 3 2 3 2 3 3" xfId="0"/>
    <cellStyle name="Normal 61 4 2 3 2 3 2 4" xfId="0"/>
    <cellStyle name="Normal 61 4 2 3 2 3 2 4 2" xfId="0"/>
    <cellStyle name="Normal 61 4 2 3 2 3 2 4 2 2" xfId="0"/>
    <cellStyle name="Normal 61 4 2 3 2 3 2 4 3" xfId="0"/>
    <cellStyle name="Normal 61 4 2 3 2 3 2 5" xfId="0"/>
    <cellStyle name="Normal 61 4 2 3 2 3 2 5 2" xfId="0"/>
    <cellStyle name="Normal 61 4 2 3 2 3 2 6" xfId="0"/>
    <cellStyle name="Normal 61 4 2 3 2 3 3" xfId="0"/>
    <cellStyle name="Normal 61 4 2 3 2 3 3 2" xfId="0"/>
    <cellStyle name="Normal 61 4 2 3 2 3 3 2 2" xfId="0"/>
    <cellStyle name="Normal 61 4 2 3 2 3 3 2 2 2" xfId="0"/>
    <cellStyle name="Normal 61 4 2 3 2 3 3 2 3" xfId="0"/>
    <cellStyle name="Normal 61 4 2 3 2 3 3 3" xfId="0"/>
    <cellStyle name="Normal 61 4 2 3 2 3 3 3 2" xfId="0"/>
    <cellStyle name="Normal 61 4 2 3 2 3 3 3 2 2" xfId="0"/>
    <cellStyle name="Normal 61 4 2 3 2 3 3 3 3" xfId="0"/>
    <cellStyle name="Normal 61 4 2 3 2 3 3 4" xfId="0"/>
    <cellStyle name="Normal 61 4 2 3 2 3 3 4 2" xfId="0"/>
    <cellStyle name="Normal 61 4 2 3 2 3 3 5" xfId="0"/>
    <cellStyle name="Normal 61 4 2 3 2 3 4" xfId="0"/>
    <cellStyle name="Normal 61 4 2 3 2 3 4 2" xfId="0"/>
    <cellStyle name="Normal 61 4 2 3 2 3 4 2 2" xfId="0"/>
    <cellStyle name="Normal 61 4 2 3 2 3 4 3" xfId="0"/>
    <cellStyle name="Normal 61 4 2 3 2 3 5" xfId="0"/>
    <cellStyle name="Normal 61 4 2 3 2 3 5 2" xfId="0"/>
    <cellStyle name="Normal 61 4 2 3 2 3 5 2 2" xfId="0"/>
    <cellStyle name="Normal 61 4 2 3 2 3 5 3" xfId="0"/>
    <cellStyle name="Normal 61 4 2 3 2 3 6" xfId="0"/>
    <cellStyle name="Normal 61 4 2 3 2 3 6 2" xfId="0"/>
    <cellStyle name="Normal 61 4 2 3 2 3 7" xfId="0"/>
    <cellStyle name="Normal 61 4 2 3 2 4" xfId="0"/>
    <cellStyle name="Normal 61 4 2 3 2 4 2" xfId="0"/>
    <cellStyle name="Normal 61 4 2 3 2 4 2 2" xfId="0"/>
    <cellStyle name="Normal 61 4 2 3 2 4 2 2 2" xfId="0"/>
    <cellStyle name="Normal 61 4 2 3 2 4 2 2 2 2" xfId="0"/>
    <cellStyle name="Normal 61 4 2 3 2 4 2 2 3" xfId="0"/>
    <cellStyle name="Normal 61 4 2 3 2 4 2 3" xfId="0"/>
    <cellStyle name="Normal 61 4 2 3 2 4 2 3 2" xfId="0"/>
    <cellStyle name="Normal 61 4 2 3 2 4 2 3 2 2" xfId="0"/>
    <cellStyle name="Normal 61 4 2 3 2 4 2 3 3" xfId="0"/>
    <cellStyle name="Normal 61 4 2 3 2 4 2 4" xfId="0"/>
    <cellStyle name="Normal 61 4 2 3 2 4 2 4 2" xfId="0"/>
    <cellStyle name="Normal 61 4 2 3 2 4 2 5" xfId="0"/>
    <cellStyle name="Normal 61 4 2 3 2 4 3" xfId="0"/>
    <cellStyle name="Normal 61 4 2 3 2 4 3 2" xfId="0"/>
    <cellStyle name="Normal 61 4 2 3 2 4 3 2 2" xfId="0"/>
    <cellStyle name="Normal 61 4 2 3 2 4 3 3" xfId="0"/>
    <cellStyle name="Normal 61 4 2 3 2 4 4" xfId="0"/>
    <cellStyle name="Normal 61 4 2 3 2 4 4 2" xfId="0"/>
    <cellStyle name="Normal 61 4 2 3 2 4 4 2 2" xfId="0"/>
    <cellStyle name="Normal 61 4 2 3 2 4 4 3" xfId="0"/>
    <cellStyle name="Normal 61 4 2 3 2 4 5" xfId="0"/>
    <cellStyle name="Normal 61 4 2 3 2 4 5 2" xfId="0"/>
    <cellStyle name="Normal 61 4 2 3 2 4 6" xfId="0"/>
    <cellStyle name="Normal 61 4 2 3 2 5" xfId="0"/>
    <cellStyle name="Normal 61 4 2 3 2 5 2" xfId="0"/>
    <cellStyle name="Normal 61 4 2 3 2 5 2 2" xfId="0"/>
    <cellStyle name="Normal 61 4 2 3 2 5 2 2 2" xfId="0"/>
    <cellStyle name="Normal 61 4 2 3 2 5 2 3" xfId="0"/>
    <cellStyle name="Normal 61 4 2 3 2 5 3" xfId="0"/>
    <cellStyle name="Normal 61 4 2 3 2 5 3 2" xfId="0"/>
    <cellStyle name="Normal 61 4 2 3 2 5 3 2 2" xfId="0"/>
    <cellStyle name="Normal 61 4 2 3 2 5 3 3" xfId="0"/>
    <cellStyle name="Normal 61 4 2 3 2 5 4" xfId="0"/>
    <cellStyle name="Normal 61 4 2 3 2 5 4 2" xfId="0"/>
    <cellStyle name="Normal 61 4 2 3 2 5 5" xfId="0"/>
    <cellStyle name="Normal 61 4 2 3 2 6" xfId="0"/>
    <cellStyle name="Normal 61 4 2 3 2 6 2" xfId="0"/>
    <cellStyle name="Normal 61 4 2 3 2 6 2 2" xfId="0"/>
    <cellStyle name="Normal 61 4 2 3 2 6 3" xfId="0"/>
    <cellStyle name="Normal 61 4 2 3 2 7" xfId="0"/>
    <cellStyle name="Normal 61 4 2 3 2 7 2" xfId="0"/>
    <cellStyle name="Normal 61 4 2 3 2 7 2 2" xfId="0"/>
    <cellStyle name="Normal 61 4 2 3 2 7 3" xfId="0"/>
    <cellStyle name="Normal 61 4 2 3 2 8" xfId="0"/>
    <cellStyle name="Normal 61 4 2 3 2 8 2" xfId="0"/>
    <cellStyle name="Normal 61 4 2 3 2 9" xfId="0"/>
    <cellStyle name="Normal 61 4 2 3 3" xfId="0"/>
    <cellStyle name="Normal 61 4 2 3 3 2" xfId="0"/>
    <cellStyle name="Normal 61 4 2 3 3 2 2" xfId="0"/>
    <cellStyle name="Normal 61 4 2 3 3 2 2 2" xfId="0"/>
    <cellStyle name="Normal 61 4 2 3 3 2 2 2 2" xfId="0"/>
    <cellStyle name="Normal 61 4 2 3 3 2 2 2 2 2" xfId="0"/>
    <cellStyle name="Normal 61 4 2 3 3 2 2 2 2 2 2" xfId="0"/>
    <cellStyle name="Normal 61 4 2 3 3 2 2 2 2 3" xfId="0"/>
    <cellStyle name="Normal 61 4 2 3 3 2 2 2 3" xfId="0"/>
    <cellStyle name="Normal 61 4 2 3 3 2 2 2 3 2" xfId="0"/>
    <cellStyle name="Normal 61 4 2 3 3 2 2 2 3 2 2" xfId="0"/>
    <cellStyle name="Normal 61 4 2 3 3 2 2 2 3 3" xfId="0"/>
    <cellStyle name="Normal 61 4 2 3 3 2 2 2 4" xfId="0"/>
    <cellStyle name="Normal 61 4 2 3 3 2 2 2 4 2" xfId="0"/>
    <cellStyle name="Normal 61 4 2 3 3 2 2 2 5" xfId="0"/>
    <cellStyle name="Normal 61 4 2 3 3 2 2 3" xfId="0"/>
    <cellStyle name="Normal 61 4 2 3 3 2 2 3 2" xfId="0"/>
    <cellStyle name="Normal 61 4 2 3 3 2 2 3 2 2" xfId="0"/>
    <cellStyle name="Normal 61 4 2 3 3 2 2 3 3" xfId="0"/>
    <cellStyle name="Normal 61 4 2 3 3 2 2 4" xfId="0"/>
    <cellStyle name="Normal 61 4 2 3 3 2 2 4 2" xfId="0"/>
    <cellStyle name="Normal 61 4 2 3 3 2 2 4 2 2" xfId="0"/>
    <cellStyle name="Normal 61 4 2 3 3 2 2 4 3" xfId="0"/>
    <cellStyle name="Normal 61 4 2 3 3 2 2 5" xfId="0"/>
    <cellStyle name="Normal 61 4 2 3 3 2 2 5 2" xfId="0"/>
    <cellStyle name="Normal 61 4 2 3 3 2 2 6" xfId="0"/>
    <cellStyle name="Normal 61 4 2 3 3 2 3" xfId="0"/>
    <cellStyle name="Normal 61 4 2 3 3 2 3 2" xfId="0"/>
    <cellStyle name="Normal 61 4 2 3 3 2 3 2 2" xfId="0"/>
    <cellStyle name="Normal 61 4 2 3 3 2 3 2 2 2" xfId="0"/>
    <cellStyle name="Normal 61 4 2 3 3 2 3 2 3" xfId="0"/>
    <cellStyle name="Normal 61 4 2 3 3 2 3 3" xfId="0"/>
    <cellStyle name="Normal 61 4 2 3 3 2 3 3 2" xfId="0"/>
    <cellStyle name="Normal 61 4 2 3 3 2 3 3 2 2" xfId="0"/>
    <cellStyle name="Normal 61 4 2 3 3 2 3 3 3" xfId="0"/>
    <cellStyle name="Normal 61 4 2 3 3 2 3 4" xfId="0"/>
    <cellStyle name="Normal 61 4 2 3 3 2 3 4 2" xfId="0"/>
    <cellStyle name="Normal 61 4 2 3 3 2 3 5" xfId="0"/>
    <cellStyle name="Normal 61 4 2 3 3 2 4" xfId="0"/>
    <cellStyle name="Normal 61 4 2 3 3 2 4 2" xfId="0"/>
    <cellStyle name="Normal 61 4 2 3 3 2 4 2 2" xfId="0"/>
    <cellStyle name="Normal 61 4 2 3 3 2 4 3" xfId="0"/>
    <cellStyle name="Normal 61 4 2 3 3 2 5" xfId="0"/>
    <cellStyle name="Normal 61 4 2 3 3 2 5 2" xfId="0"/>
    <cellStyle name="Normal 61 4 2 3 3 2 5 2 2" xfId="0"/>
    <cellStyle name="Normal 61 4 2 3 3 2 5 3" xfId="0"/>
    <cellStyle name="Normal 61 4 2 3 3 2 6" xfId="0"/>
    <cellStyle name="Normal 61 4 2 3 3 2 6 2" xfId="0"/>
    <cellStyle name="Normal 61 4 2 3 3 2 7" xfId="0"/>
    <cellStyle name="Normal 61 4 2 3 3 3" xfId="0"/>
    <cellStyle name="Normal 61 4 2 3 3 3 2" xfId="0"/>
    <cellStyle name="Normal 61 4 2 3 3 3 2 2" xfId="0"/>
    <cellStyle name="Normal 61 4 2 3 3 3 2 2 2" xfId="0"/>
    <cellStyle name="Normal 61 4 2 3 3 3 2 2 2 2" xfId="0"/>
    <cellStyle name="Normal 61 4 2 3 3 3 2 2 3" xfId="0"/>
    <cellStyle name="Normal 61 4 2 3 3 3 2 3" xfId="0"/>
    <cellStyle name="Normal 61 4 2 3 3 3 2 3 2" xfId="0"/>
    <cellStyle name="Normal 61 4 2 3 3 3 2 3 2 2" xfId="0"/>
    <cellStyle name="Normal 61 4 2 3 3 3 2 3 3" xfId="0"/>
    <cellStyle name="Normal 61 4 2 3 3 3 2 4" xfId="0"/>
    <cellStyle name="Normal 61 4 2 3 3 3 2 4 2" xfId="0"/>
    <cellStyle name="Normal 61 4 2 3 3 3 2 5" xfId="0"/>
    <cellStyle name="Normal 61 4 2 3 3 3 3" xfId="0"/>
    <cellStyle name="Normal 61 4 2 3 3 3 3 2" xfId="0"/>
    <cellStyle name="Normal 61 4 2 3 3 3 3 2 2" xfId="0"/>
    <cellStyle name="Normal 61 4 2 3 3 3 3 3" xfId="0"/>
    <cellStyle name="Normal 61 4 2 3 3 3 4" xfId="0"/>
    <cellStyle name="Normal 61 4 2 3 3 3 4 2" xfId="0"/>
    <cellStyle name="Normal 61 4 2 3 3 3 4 2 2" xfId="0"/>
    <cellStyle name="Normal 61 4 2 3 3 3 4 3" xfId="0"/>
    <cellStyle name="Normal 61 4 2 3 3 3 5" xfId="0"/>
    <cellStyle name="Normal 61 4 2 3 3 3 5 2" xfId="0"/>
    <cellStyle name="Normal 61 4 2 3 3 3 6" xfId="0"/>
    <cellStyle name="Normal 61 4 2 3 3 4" xfId="0"/>
    <cellStyle name="Normal 61 4 2 3 3 4 2" xfId="0"/>
    <cellStyle name="Normal 61 4 2 3 3 4 2 2" xfId="0"/>
    <cellStyle name="Normal 61 4 2 3 3 4 2 2 2" xfId="0"/>
    <cellStyle name="Normal 61 4 2 3 3 4 2 3" xfId="0"/>
    <cellStyle name="Normal 61 4 2 3 3 4 3" xfId="0"/>
    <cellStyle name="Normal 61 4 2 3 3 4 3 2" xfId="0"/>
    <cellStyle name="Normal 61 4 2 3 3 4 3 2 2" xfId="0"/>
    <cellStyle name="Normal 61 4 2 3 3 4 3 3" xfId="0"/>
    <cellStyle name="Normal 61 4 2 3 3 4 4" xfId="0"/>
    <cellStyle name="Normal 61 4 2 3 3 4 4 2" xfId="0"/>
    <cellStyle name="Normal 61 4 2 3 3 4 5" xfId="0"/>
    <cellStyle name="Normal 61 4 2 3 3 5" xfId="0"/>
    <cellStyle name="Normal 61 4 2 3 3 5 2" xfId="0"/>
    <cellStyle name="Normal 61 4 2 3 3 5 2 2" xfId="0"/>
    <cellStyle name="Normal 61 4 2 3 3 5 3" xfId="0"/>
    <cellStyle name="Normal 61 4 2 3 3 6" xfId="0"/>
    <cellStyle name="Normal 61 4 2 3 3 6 2" xfId="0"/>
    <cellStyle name="Normal 61 4 2 3 3 6 2 2" xfId="0"/>
    <cellStyle name="Normal 61 4 2 3 3 6 3" xfId="0"/>
    <cellStyle name="Normal 61 4 2 3 3 7" xfId="0"/>
    <cellStyle name="Normal 61 4 2 3 3 7 2" xfId="0"/>
    <cellStyle name="Normal 61 4 2 3 3 8" xfId="0"/>
    <cellStyle name="Normal 61 4 2 3 4" xfId="0"/>
    <cellStyle name="Normal 61 4 2 3 4 2" xfId="0"/>
    <cellStyle name="Normal 61 4 2 3 4 2 2" xfId="0"/>
    <cellStyle name="Normal 61 4 2 3 4 2 2 2" xfId="0"/>
    <cellStyle name="Normal 61 4 2 3 4 2 2 2 2" xfId="0"/>
    <cellStyle name="Normal 61 4 2 3 4 2 2 2 2 2" xfId="0"/>
    <cellStyle name="Normal 61 4 2 3 4 2 2 2 3" xfId="0"/>
    <cellStyle name="Normal 61 4 2 3 4 2 2 3" xfId="0"/>
    <cellStyle name="Normal 61 4 2 3 4 2 2 3 2" xfId="0"/>
    <cellStyle name="Normal 61 4 2 3 4 2 2 3 2 2" xfId="0"/>
    <cellStyle name="Normal 61 4 2 3 4 2 2 3 3" xfId="0"/>
    <cellStyle name="Normal 61 4 2 3 4 2 2 4" xfId="0"/>
    <cellStyle name="Normal 61 4 2 3 4 2 2 4 2" xfId="0"/>
    <cellStyle name="Normal 61 4 2 3 4 2 2 5" xfId="0"/>
    <cellStyle name="Normal 61 4 2 3 4 2 3" xfId="0"/>
    <cellStyle name="Normal 61 4 2 3 4 2 3 2" xfId="0"/>
    <cellStyle name="Normal 61 4 2 3 4 2 3 2 2" xfId="0"/>
    <cellStyle name="Normal 61 4 2 3 4 2 3 3" xfId="0"/>
    <cellStyle name="Normal 61 4 2 3 4 2 4" xfId="0"/>
    <cellStyle name="Normal 61 4 2 3 4 2 4 2" xfId="0"/>
    <cellStyle name="Normal 61 4 2 3 4 2 4 2 2" xfId="0"/>
    <cellStyle name="Normal 61 4 2 3 4 2 4 3" xfId="0"/>
    <cellStyle name="Normal 61 4 2 3 4 2 5" xfId="0"/>
    <cellStyle name="Normal 61 4 2 3 4 2 5 2" xfId="0"/>
    <cellStyle name="Normal 61 4 2 3 4 2 6" xfId="0"/>
    <cellStyle name="Normal 61 4 2 3 4 3" xfId="0"/>
    <cellStyle name="Normal 61 4 2 3 4 3 2" xfId="0"/>
    <cellStyle name="Normal 61 4 2 3 4 3 2 2" xfId="0"/>
    <cellStyle name="Normal 61 4 2 3 4 3 2 2 2" xfId="0"/>
    <cellStyle name="Normal 61 4 2 3 4 3 2 3" xfId="0"/>
    <cellStyle name="Normal 61 4 2 3 4 3 3" xfId="0"/>
    <cellStyle name="Normal 61 4 2 3 4 3 3 2" xfId="0"/>
    <cellStyle name="Normal 61 4 2 3 4 3 3 2 2" xfId="0"/>
    <cellStyle name="Normal 61 4 2 3 4 3 3 3" xfId="0"/>
    <cellStyle name="Normal 61 4 2 3 4 3 4" xfId="0"/>
    <cellStyle name="Normal 61 4 2 3 4 3 4 2" xfId="0"/>
    <cellStyle name="Normal 61 4 2 3 4 3 5" xfId="0"/>
    <cellStyle name="Normal 61 4 2 3 4 4" xfId="0"/>
    <cellStyle name="Normal 61 4 2 3 4 4 2" xfId="0"/>
    <cellStyle name="Normal 61 4 2 3 4 4 2 2" xfId="0"/>
    <cellStyle name="Normal 61 4 2 3 4 4 3" xfId="0"/>
    <cellStyle name="Normal 61 4 2 3 4 5" xfId="0"/>
    <cellStyle name="Normal 61 4 2 3 4 5 2" xfId="0"/>
    <cellStyle name="Normal 61 4 2 3 4 5 2 2" xfId="0"/>
    <cellStyle name="Normal 61 4 2 3 4 5 3" xfId="0"/>
    <cellStyle name="Normal 61 4 2 3 4 6" xfId="0"/>
    <cellStyle name="Normal 61 4 2 3 4 6 2" xfId="0"/>
    <cellStyle name="Normal 61 4 2 3 4 7" xfId="0"/>
    <cellStyle name="Normal 61 4 2 3 5" xfId="0"/>
    <cellStyle name="Normal 61 4 2 3 5 2" xfId="0"/>
    <cellStyle name="Normal 61 4 2 3 5 2 2" xfId="0"/>
    <cellStyle name="Normal 61 4 2 3 5 2 2 2" xfId="0"/>
    <cellStyle name="Normal 61 4 2 3 5 2 2 2 2" xfId="0"/>
    <cellStyle name="Normal 61 4 2 3 5 2 2 3" xfId="0"/>
    <cellStyle name="Normal 61 4 2 3 5 2 3" xfId="0"/>
    <cellStyle name="Normal 61 4 2 3 5 2 3 2" xfId="0"/>
    <cellStyle name="Normal 61 4 2 3 5 2 3 2 2" xfId="0"/>
    <cellStyle name="Normal 61 4 2 3 5 2 3 3" xfId="0"/>
    <cellStyle name="Normal 61 4 2 3 5 2 4" xfId="0"/>
    <cellStyle name="Normal 61 4 2 3 5 2 4 2" xfId="0"/>
    <cellStyle name="Normal 61 4 2 3 5 2 5" xfId="0"/>
    <cellStyle name="Normal 61 4 2 3 5 3" xfId="0"/>
    <cellStyle name="Normal 61 4 2 3 5 3 2" xfId="0"/>
    <cellStyle name="Normal 61 4 2 3 5 3 2 2" xfId="0"/>
    <cellStyle name="Normal 61 4 2 3 5 3 3" xfId="0"/>
    <cellStyle name="Normal 61 4 2 3 5 4" xfId="0"/>
    <cellStyle name="Normal 61 4 2 3 5 4 2" xfId="0"/>
    <cellStyle name="Normal 61 4 2 3 5 4 2 2" xfId="0"/>
    <cellStyle name="Normal 61 4 2 3 5 4 3" xfId="0"/>
    <cellStyle name="Normal 61 4 2 3 5 5" xfId="0"/>
    <cellStyle name="Normal 61 4 2 3 5 5 2" xfId="0"/>
    <cellStyle name="Normal 61 4 2 3 5 6" xfId="0"/>
    <cellStyle name="Normal 61 4 2 3 6" xfId="0"/>
    <cellStyle name="Normal 61 4 2 3 6 2" xfId="0"/>
    <cellStyle name="Normal 61 4 2 3 6 2 2" xfId="0"/>
    <cellStyle name="Normal 61 4 2 3 6 2 2 2" xfId="0"/>
    <cellStyle name="Normal 61 4 2 3 6 2 3" xfId="0"/>
    <cellStyle name="Normal 61 4 2 3 6 3" xfId="0"/>
    <cellStyle name="Normal 61 4 2 3 6 3 2" xfId="0"/>
    <cellStyle name="Normal 61 4 2 3 6 3 2 2" xfId="0"/>
    <cellStyle name="Normal 61 4 2 3 6 3 3" xfId="0"/>
    <cellStyle name="Normal 61 4 2 3 6 4" xfId="0"/>
    <cellStyle name="Normal 61 4 2 3 6 4 2" xfId="0"/>
    <cellStyle name="Normal 61 4 2 3 6 5" xfId="0"/>
    <cellStyle name="Normal 61 4 2 3 7" xfId="0"/>
    <cellStyle name="Normal 61 4 2 3 7 2" xfId="0"/>
    <cellStyle name="Normal 61 4 2 3 7 2 2" xfId="0"/>
    <cellStyle name="Normal 61 4 2 3 7 3" xfId="0"/>
    <cellStyle name="Normal 61 4 2 3 8" xfId="0"/>
    <cellStyle name="Normal 61 4 2 3 8 2" xfId="0"/>
    <cellStyle name="Normal 61 4 2 3 8 2 2" xfId="0"/>
    <cellStyle name="Normal 61 4 2 3 8 3" xfId="0"/>
    <cellStyle name="Normal 61 4 2 3 9" xfId="0"/>
    <cellStyle name="Normal 61 4 2 3 9 2" xfId="0"/>
    <cellStyle name="Normal 61 4 2 4" xfId="0"/>
    <cellStyle name="Normal 61 4 2 4 2" xfId="0"/>
    <cellStyle name="Normal 61 4 2 4 2 2" xfId="0"/>
    <cellStyle name="Normal 61 4 2 4 2 2 2" xfId="0"/>
    <cellStyle name="Normal 61 4 2 4 2 2 2 2" xfId="0"/>
    <cellStyle name="Normal 61 4 2 4 2 2 2 2 2" xfId="0"/>
    <cellStyle name="Normal 61 4 2 4 2 2 2 2 2 2" xfId="0"/>
    <cellStyle name="Normal 61 4 2 4 2 2 2 2 2 2 2" xfId="0"/>
    <cellStyle name="Normal 61 4 2 4 2 2 2 2 2 3" xfId="0"/>
    <cellStyle name="Normal 61 4 2 4 2 2 2 2 3" xfId="0"/>
    <cellStyle name="Normal 61 4 2 4 2 2 2 2 3 2" xfId="0"/>
    <cellStyle name="Normal 61 4 2 4 2 2 2 2 3 2 2" xfId="0"/>
    <cellStyle name="Normal 61 4 2 4 2 2 2 2 3 3" xfId="0"/>
    <cellStyle name="Normal 61 4 2 4 2 2 2 2 4" xfId="0"/>
    <cellStyle name="Normal 61 4 2 4 2 2 2 2 4 2" xfId="0"/>
    <cellStyle name="Normal 61 4 2 4 2 2 2 2 5" xfId="0"/>
    <cellStyle name="Normal 61 4 2 4 2 2 2 3" xfId="0"/>
    <cellStyle name="Normal 61 4 2 4 2 2 2 3 2" xfId="0"/>
    <cellStyle name="Normal 61 4 2 4 2 2 2 3 2 2" xfId="0"/>
    <cellStyle name="Normal 61 4 2 4 2 2 2 3 3" xfId="0"/>
    <cellStyle name="Normal 61 4 2 4 2 2 2 4" xfId="0"/>
    <cellStyle name="Normal 61 4 2 4 2 2 2 4 2" xfId="0"/>
    <cellStyle name="Normal 61 4 2 4 2 2 2 4 2 2" xfId="0"/>
    <cellStyle name="Normal 61 4 2 4 2 2 2 4 3" xfId="0"/>
    <cellStyle name="Normal 61 4 2 4 2 2 2 5" xfId="0"/>
    <cellStyle name="Normal 61 4 2 4 2 2 2 5 2" xfId="0"/>
    <cellStyle name="Normal 61 4 2 4 2 2 2 6" xfId="0"/>
    <cellStyle name="Normal 61 4 2 4 2 2 3" xfId="0"/>
    <cellStyle name="Normal 61 4 2 4 2 2 3 2" xfId="0"/>
    <cellStyle name="Normal 61 4 2 4 2 2 3 2 2" xfId="0"/>
    <cellStyle name="Normal 61 4 2 4 2 2 3 2 2 2" xfId="0"/>
    <cellStyle name="Normal 61 4 2 4 2 2 3 2 3" xfId="0"/>
    <cellStyle name="Normal 61 4 2 4 2 2 3 3" xfId="0"/>
    <cellStyle name="Normal 61 4 2 4 2 2 3 3 2" xfId="0"/>
    <cellStyle name="Normal 61 4 2 4 2 2 3 3 2 2" xfId="0"/>
    <cellStyle name="Normal 61 4 2 4 2 2 3 3 3" xfId="0"/>
    <cellStyle name="Normal 61 4 2 4 2 2 3 4" xfId="0"/>
    <cellStyle name="Normal 61 4 2 4 2 2 3 4 2" xfId="0"/>
    <cellStyle name="Normal 61 4 2 4 2 2 3 5" xfId="0"/>
    <cellStyle name="Normal 61 4 2 4 2 2 4" xfId="0"/>
    <cellStyle name="Normal 61 4 2 4 2 2 4 2" xfId="0"/>
    <cellStyle name="Normal 61 4 2 4 2 2 4 2 2" xfId="0"/>
    <cellStyle name="Normal 61 4 2 4 2 2 4 3" xfId="0"/>
    <cellStyle name="Normal 61 4 2 4 2 2 5" xfId="0"/>
    <cellStyle name="Normal 61 4 2 4 2 2 5 2" xfId="0"/>
    <cellStyle name="Normal 61 4 2 4 2 2 5 2 2" xfId="0"/>
    <cellStyle name="Normal 61 4 2 4 2 2 5 3" xfId="0"/>
    <cellStyle name="Normal 61 4 2 4 2 2 6" xfId="0"/>
    <cellStyle name="Normal 61 4 2 4 2 2 6 2" xfId="0"/>
    <cellStyle name="Normal 61 4 2 4 2 2 7" xfId="0"/>
    <cellStyle name="Normal 61 4 2 4 2 3" xfId="0"/>
    <cellStyle name="Normal 61 4 2 4 2 3 2" xfId="0"/>
    <cellStyle name="Normal 61 4 2 4 2 3 2 2" xfId="0"/>
    <cellStyle name="Normal 61 4 2 4 2 3 2 2 2" xfId="0"/>
    <cellStyle name="Normal 61 4 2 4 2 3 2 2 2 2" xfId="0"/>
    <cellStyle name="Normal 61 4 2 4 2 3 2 2 3" xfId="0"/>
    <cellStyle name="Normal 61 4 2 4 2 3 2 3" xfId="0"/>
    <cellStyle name="Normal 61 4 2 4 2 3 2 3 2" xfId="0"/>
    <cellStyle name="Normal 61 4 2 4 2 3 2 3 2 2" xfId="0"/>
    <cellStyle name="Normal 61 4 2 4 2 3 2 3 3" xfId="0"/>
    <cellStyle name="Normal 61 4 2 4 2 3 2 4" xfId="0"/>
    <cellStyle name="Normal 61 4 2 4 2 3 2 4 2" xfId="0"/>
    <cellStyle name="Normal 61 4 2 4 2 3 2 5" xfId="0"/>
    <cellStyle name="Normal 61 4 2 4 2 3 3" xfId="0"/>
    <cellStyle name="Normal 61 4 2 4 2 3 3 2" xfId="0"/>
    <cellStyle name="Normal 61 4 2 4 2 3 3 2 2" xfId="0"/>
    <cellStyle name="Normal 61 4 2 4 2 3 3 3" xfId="0"/>
    <cellStyle name="Normal 61 4 2 4 2 3 4" xfId="0"/>
    <cellStyle name="Normal 61 4 2 4 2 3 4 2" xfId="0"/>
    <cellStyle name="Normal 61 4 2 4 2 3 4 2 2" xfId="0"/>
    <cellStyle name="Normal 61 4 2 4 2 3 4 3" xfId="0"/>
    <cellStyle name="Normal 61 4 2 4 2 3 5" xfId="0"/>
    <cellStyle name="Normal 61 4 2 4 2 3 5 2" xfId="0"/>
    <cellStyle name="Normal 61 4 2 4 2 3 6" xfId="0"/>
    <cellStyle name="Normal 61 4 2 4 2 4" xfId="0"/>
    <cellStyle name="Normal 61 4 2 4 2 4 2" xfId="0"/>
    <cellStyle name="Normal 61 4 2 4 2 4 2 2" xfId="0"/>
    <cellStyle name="Normal 61 4 2 4 2 4 2 2 2" xfId="0"/>
    <cellStyle name="Normal 61 4 2 4 2 4 2 3" xfId="0"/>
    <cellStyle name="Normal 61 4 2 4 2 4 3" xfId="0"/>
    <cellStyle name="Normal 61 4 2 4 2 4 3 2" xfId="0"/>
    <cellStyle name="Normal 61 4 2 4 2 4 3 2 2" xfId="0"/>
    <cellStyle name="Normal 61 4 2 4 2 4 3 3" xfId="0"/>
    <cellStyle name="Normal 61 4 2 4 2 4 4" xfId="0"/>
    <cellStyle name="Normal 61 4 2 4 2 4 4 2" xfId="0"/>
    <cellStyle name="Normal 61 4 2 4 2 4 5" xfId="0"/>
    <cellStyle name="Normal 61 4 2 4 2 5" xfId="0"/>
    <cellStyle name="Normal 61 4 2 4 2 5 2" xfId="0"/>
    <cellStyle name="Normal 61 4 2 4 2 5 2 2" xfId="0"/>
    <cellStyle name="Normal 61 4 2 4 2 5 3" xfId="0"/>
    <cellStyle name="Normal 61 4 2 4 2 6" xfId="0"/>
    <cellStyle name="Normal 61 4 2 4 2 6 2" xfId="0"/>
    <cellStyle name="Normal 61 4 2 4 2 6 2 2" xfId="0"/>
    <cellStyle name="Normal 61 4 2 4 2 6 3" xfId="0"/>
    <cellStyle name="Normal 61 4 2 4 2 7" xfId="0"/>
    <cellStyle name="Normal 61 4 2 4 2 7 2" xfId="0"/>
    <cellStyle name="Normal 61 4 2 4 2 8" xfId="0"/>
    <cellStyle name="Normal 61 4 2 4 3" xfId="0"/>
    <cellStyle name="Normal 61 4 2 4 3 2" xfId="0"/>
    <cellStyle name="Normal 61 4 2 4 3 2 2" xfId="0"/>
    <cellStyle name="Normal 61 4 2 4 3 2 2 2" xfId="0"/>
    <cellStyle name="Normal 61 4 2 4 3 2 2 2 2" xfId="0"/>
    <cellStyle name="Normal 61 4 2 4 3 2 2 2 2 2" xfId="0"/>
    <cellStyle name="Normal 61 4 2 4 3 2 2 2 3" xfId="0"/>
    <cellStyle name="Normal 61 4 2 4 3 2 2 3" xfId="0"/>
    <cellStyle name="Normal 61 4 2 4 3 2 2 3 2" xfId="0"/>
    <cellStyle name="Normal 61 4 2 4 3 2 2 3 2 2" xfId="0"/>
    <cellStyle name="Normal 61 4 2 4 3 2 2 3 3" xfId="0"/>
    <cellStyle name="Normal 61 4 2 4 3 2 2 4" xfId="0"/>
    <cellStyle name="Normal 61 4 2 4 3 2 2 4 2" xfId="0"/>
    <cellStyle name="Normal 61 4 2 4 3 2 2 5" xfId="0"/>
    <cellStyle name="Normal 61 4 2 4 3 2 3" xfId="0"/>
    <cellStyle name="Normal 61 4 2 4 3 2 3 2" xfId="0"/>
    <cellStyle name="Normal 61 4 2 4 3 2 3 2 2" xfId="0"/>
    <cellStyle name="Normal 61 4 2 4 3 2 3 3" xfId="0"/>
    <cellStyle name="Normal 61 4 2 4 3 2 4" xfId="0"/>
    <cellStyle name="Normal 61 4 2 4 3 2 4 2" xfId="0"/>
    <cellStyle name="Normal 61 4 2 4 3 2 4 2 2" xfId="0"/>
    <cellStyle name="Normal 61 4 2 4 3 2 4 3" xfId="0"/>
    <cellStyle name="Normal 61 4 2 4 3 2 5" xfId="0"/>
    <cellStyle name="Normal 61 4 2 4 3 2 5 2" xfId="0"/>
    <cellStyle name="Normal 61 4 2 4 3 2 6" xfId="0"/>
    <cellStyle name="Normal 61 4 2 4 3 3" xfId="0"/>
    <cellStyle name="Normal 61 4 2 4 3 3 2" xfId="0"/>
    <cellStyle name="Normal 61 4 2 4 3 3 2 2" xfId="0"/>
    <cellStyle name="Normal 61 4 2 4 3 3 2 2 2" xfId="0"/>
    <cellStyle name="Normal 61 4 2 4 3 3 2 3" xfId="0"/>
    <cellStyle name="Normal 61 4 2 4 3 3 3" xfId="0"/>
    <cellStyle name="Normal 61 4 2 4 3 3 3 2" xfId="0"/>
    <cellStyle name="Normal 61 4 2 4 3 3 3 2 2" xfId="0"/>
    <cellStyle name="Normal 61 4 2 4 3 3 3 3" xfId="0"/>
    <cellStyle name="Normal 61 4 2 4 3 3 4" xfId="0"/>
    <cellStyle name="Normal 61 4 2 4 3 3 4 2" xfId="0"/>
    <cellStyle name="Normal 61 4 2 4 3 3 5" xfId="0"/>
    <cellStyle name="Normal 61 4 2 4 3 4" xfId="0"/>
    <cellStyle name="Normal 61 4 2 4 3 4 2" xfId="0"/>
    <cellStyle name="Normal 61 4 2 4 3 4 2 2" xfId="0"/>
    <cellStyle name="Normal 61 4 2 4 3 4 3" xfId="0"/>
    <cellStyle name="Normal 61 4 2 4 3 5" xfId="0"/>
    <cellStyle name="Normal 61 4 2 4 3 5 2" xfId="0"/>
    <cellStyle name="Normal 61 4 2 4 3 5 2 2" xfId="0"/>
    <cellStyle name="Normal 61 4 2 4 3 5 3" xfId="0"/>
    <cellStyle name="Normal 61 4 2 4 3 6" xfId="0"/>
    <cellStyle name="Normal 61 4 2 4 3 6 2" xfId="0"/>
    <cellStyle name="Normal 61 4 2 4 3 7" xfId="0"/>
    <cellStyle name="Normal 61 4 2 4 4" xfId="0"/>
    <cellStyle name="Normal 61 4 2 4 4 2" xfId="0"/>
    <cellStyle name="Normal 61 4 2 4 4 2 2" xfId="0"/>
    <cellStyle name="Normal 61 4 2 4 4 2 2 2" xfId="0"/>
    <cellStyle name="Normal 61 4 2 4 4 2 2 2 2" xfId="0"/>
    <cellStyle name="Normal 61 4 2 4 4 2 2 3" xfId="0"/>
    <cellStyle name="Normal 61 4 2 4 4 2 3" xfId="0"/>
    <cellStyle name="Normal 61 4 2 4 4 2 3 2" xfId="0"/>
    <cellStyle name="Normal 61 4 2 4 4 2 3 2 2" xfId="0"/>
    <cellStyle name="Normal 61 4 2 4 4 2 3 3" xfId="0"/>
    <cellStyle name="Normal 61 4 2 4 4 2 4" xfId="0"/>
    <cellStyle name="Normal 61 4 2 4 4 2 4 2" xfId="0"/>
    <cellStyle name="Normal 61 4 2 4 4 2 5" xfId="0"/>
    <cellStyle name="Normal 61 4 2 4 4 3" xfId="0"/>
    <cellStyle name="Normal 61 4 2 4 4 3 2" xfId="0"/>
    <cellStyle name="Normal 61 4 2 4 4 3 2 2" xfId="0"/>
    <cellStyle name="Normal 61 4 2 4 4 3 3" xfId="0"/>
    <cellStyle name="Normal 61 4 2 4 4 4" xfId="0"/>
    <cellStyle name="Normal 61 4 2 4 4 4 2" xfId="0"/>
    <cellStyle name="Normal 61 4 2 4 4 4 2 2" xfId="0"/>
    <cellStyle name="Normal 61 4 2 4 4 4 3" xfId="0"/>
    <cellStyle name="Normal 61 4 2 4 4 5" xfId="0"/>
    <cellStyle name="Normal 61 4 2 4 4 5 2" xfId="0"/>
    <cellStyle name="Normal 61 4 2 4 4 6" xfId="0"/>
    <cellStyle name="Normal 61 4 2 4 5" xfId="0"/>
    <cellStyle name="Normal 61 4 2 4 5 2" xfId="0"/>
    <cellStyle name="Normal 61 4 2 4 5 2 2" xfId="0"/>
    <cellStyle name="Normal 61 4 2 4 5 2 2 2" xfId="0"/>
    <cellStyle name="Normal 61 4 2 4 5 2 3" xfId="0"/>
    <cellStyle name="Normal 61 4 2 4 5 3" xfId="0"/>
    <cellStyle name="Normal 61 4 2 4 5 3 2" xfId="0"/>
    <cellStyle name="Normal 61 4 2 4 5 3 2 2" xfId="0"/>
    <cellStyle name="Normal 61 4 2 4 5 3 3" xfId="0"/>
    <cellStyle name="Normal 61 4 2 4 5 4" xfId="0"/>
    <cellStyle name="Normal 61 4 2 4 5 4 2" xfId="0"/>
    <cellStyle name="Normal 61 4 2 4 5 5" xfId="0"/>
    <cellStyle name="Normal 61 4 2 4 6" xfId="0"/>
    <cellStyle name="Normal 61 4 2 4 6 2" xfId="0"/>
    <cellStyle name="Normal 61 4 2 4 6 2 2" xfId="0"/>
    <cellStyle name="Normal 61 4 2 4 6 3" xfId="0"/>
    <cellStyle name="Normal 61 4 2 4 7" xfId="0"/>
    <cellStyle name="Normal 61 4 2 4 7 2" xfId="0"/>
    <cellStyle name="Normal 61 4 2 4 7 2 2" xfId="0"/>
    <cellStyle name="Normal 61 4 2 4 7 3" xfId="0"/>
    <cellStyle name="Normal 61 4 2 4 8" xfId="0"/>
    <cellStyle name="Normal 61 4 2 4 8 2" xfId="0"/>
    <cellStyle name="Normal 61 4 2 4 9" xfId="0"/>
    <cellStyle name="Normal 61 4 2 5" xfId="0"/>
    <cellStyle name="Normal 61 4 2 5 2" xfId="0"/>
    <cellStyle name="Normal 61 4 2 5 2 2" xfId="0"/>
    <cellStyle name="Normal 61 4 2 5 2 2 2" xfId="0"/>
    <cellStyle name="Normal 61 4 2 5 2 2 2 2" xfId="0"/>
    <cellStyle name="Normal 61 4 2 5 2 2 2 2 2" xfId="0"/>
    <cellStyle name="Normal 61 4 2 5 2 2 2 2 2 2" xfId="0"/>
    <cellStyle name="Normal 61 4 2 5 2 2 2 2 3" xfId="0"/>
    <cellStyle name="Normal 61 4 2 5 2 2 2 3" xfId="0"/>
    <cellStyle name="Normal 61 4 2 5 2 2 2 3 2" xfId="0"/>
    <cellStyle name="Normal 61 4 2 5 2 2 2 3 2 2" xfId="0"/>
    <cellStyle name="Normal 61 4 2 5 2 2 2 3 3" xfId="0"/>
    <cellStyle name="Normal 61 4 2 5 2 2 2 4" xfId="0"/>
    <cellStyle name="Normal 61 4 2 5 2 2 2 4 2" xfId="0"/>
    <cellStyle name="Normal 61 4 2 5 2 2 2 5" xfId="0"/>
    <cellStyle name="Normal 61 4 2 5 2 2 3" xfId="0"/>
    <cellStyle name="Normal 61 4 2 5 2 2 3 2" xfId="0"/>
    <cellStyle name="Normal 61 4 2 5 2 2 3 2 2" xfId="0"/>
    <cellStyle name="Normal 61 4 2 5 2 2 3 3" xfId="0"/>
    <cellStyle name="Normal 61 4 2 5 2 2 4" xfId="0"/>
    <cellStyle name="Normal 61 4 2 5 2 2 4 2" xfId="0"/>
    <cellStyle name="Normal 61 4 2 5 2 2 4 2 2" xfId="0"/>
    <cellStyle name="Normal 61 4 2 5 2 2 4 3" xfId="0"/>
    <cellStyle name="Normal 61 4 2 5 2 2 5" xfId="0"/>
    <cellStyle name="Normal 61 4 2 5 2 2 5 2" xfId="0"/>
    <cellStyle name="Normal 61 4 2 5 2 2 6" xfId="0"/>
    <cellStyle name="Normal 61 4 2 5 2 3" xfId="0"/>
    <cellStyle name="Normal 61 4 2 5 2 3 2" xfId="0"/>
    <cellStyle name="Normal 61 4 2 5 2 3 2 2" xfId="0"/>
    <cellStyle name="Normal 61 4 2 5 2 3 2 2 2" xfId="0"/>
    <cellStyle name="Normal 61 4 2 5 2 3 2 3" xfId="0"/>
    <cellStyle name="Normal 61 4 2 5 2 3 3" xfId="0"/>
    <cellStyle name="Normal 61 4 2 5 2 3 3 2" xfId="0"/>
    <cellStyle name="Normal 61 4 2 5 2 3 3 2 2" xfId="0"/>
    <cellStyle name="Normal 61 4 2 5 2 3 3 3" xfId="0"/>
    <cellStyle name="Normal 61 4 2 5 2 3 4" xfId="0"/>
    <cellStyle name="Normal 61 4 2 5 2 3 4 2" xfId="0"/>
    <cellStyle name="Normal 61 4 2 5 2 3 5" xfId="0"/>
    <cellStyle name="Normal 61 4 2 5 2 4" xfId="0"/>
    <cellStyle name="Normal 61 4 2 5 2 4 2" xfId="0"/>
    <cellStyle name="Normal 61 4 2 5 2 4 2 2" xfId="0"/>
    <cellStyle name="Normal 61 4 2 5 2 4 3" xfId="0"/>
    <cellStyle name="Normal 61 4 2 5 2 5" xfId="0"/>
    <cellStyle name="Normal 61 4 2 5 2 5 2" xfId="0"/>
    <cellStyle name="Normal 61 4 2 5 2 5 2 2" xfId="0"/>
    <cellStyle name="Normal 61 4 2 5 2 5 3" xfId="0"/>
    <cellStyle name="Normal 61 4 2 5 2 6" xfId="0"/>
    <cellStyle name="Normal 61 4 2 5 2 6 2" xfId="0"/>
    <cellStyle name="Normal 61 4 2 5 2 7" xfId="0"/>
    <cellStyle name="Normal 61 4 2 5 3" xfId="0"/>
    <cellStyle name="Normal 61 4 2 5 3 2" xfId="0"/>
    <cellStyle name="Normal 61 4 2 5 3 2 2" xfId="0"/>
    <cellStyle name="Normal 61 4 2 5 3 2 2 2" xfId="0"/>
    <cellStyle name="Normal 61 4 2 5 3 2 2 2 2" xfId="0"/>
    <cellStyle name="Normal 61 4 2 5 3 2 2 3" xfId="0"/>
    <cellStyle name="Normal 61 4 2 5 3 2 3" xfId="0"/>
    <cellStyle name="Normal 61 4 2 5 3 2 3 2" xfId="0"/>
    <cellStyle name="Normal 61 4 2 5 3 2 3 2 2" xfId="0"/>
    <cellStyle name="Normal 61 4 2 5 3 2 3 3" xfId="0"/>
    <cellStyle name="Normal 61 4 2 5 3 2 4" xfId="0"/>
    <cellStyle name="Normal 61 4 2 5 3 2 4 2" xfId="0"/>
    <cellStyle name="Normal 61 4 2 5 3 2 5" xfId="0"/>
    <cellStyle name="Normal 61 4 2 5 3 3" xfId="0"/>
    <cellStyle name="Normal 61 4 2 5 3 3 2" xfId="0"/>
    <cellStyle name="Normal 61 4 2 5 3 3 2 2" xfId="0"/>
    <cellStyle name="Normal 61 4 2 5 3 3 3" xfId="0"/>
    <cellStyle name="Normal 61 4 2 5 3 4" xfId="0"/>
    <cellStyle name="Normal 61 4 2 5 3 4 2" xfId="0"/>
    <cellStyle name="Normal 61 4 2 5 3 4 2 2" xfId="0"/>
    <cellStyle name="Normal 61 4 2 5 3 4 3" xfId="0"/>
    <cellStyle name="Normal 61 4 2 5 3 5" xfId="0"/>
    <cellStyle name="Normal 61 4 2 5 3 5 2" xfId="0"/>
    <cellStyle name="Normal 61 4 2 5 3 6" xfId="0"/>
    <cellStyle name="Normal 61 4 2 5 4" xfId="0"/>
    <cellStyle name="Normal 61 4 2 5 4 2" xfId="0"/>
    <cellStyle name="Normal 61 4 2 5 4 2 2" xfId="0"/>
    <cellStyle name="Normal 61 4 2 5 4 2 2 2" xfId="0"/>
    <cellStyle name="Normal 61 4 2 5 4 2 3" xfId="0"/>
    <cellStyle name="Normal 61 4 2 5 4 3" xfId="0"/>
    <cellStyle name="Normal 61 4 2 5 4 3 2" xfId="0"/>
    <cellStyle name="Normal 61 4 2 5 4 3 2 2" xfId="0"/>
    <cellStyle name="Normal 61 4 2 5 4 3 3" xfId="0"/>
    <cellStyle name="Normal 61 4 2 5 4 4" xfId="0"/>
    <cellStyle name="Normal 61 4 2 5 4 4 2" xfId="0"/>
    <cellStyle name="Normal 61 4 2 5 4 5" xfId="0"/>
    <cellStyle name="Normal 61 4 2 5 5" xfId="0"/>
    <cellStyle name="Normal 61 4 2 5 5 2" xfId="0"/>
    <cellStyle name="Normal 61 4 2 5 5 2 2" xfId="0"/>
    <cellStyle name="Normal 61 4 2 5 5 3" xfId="0"/>
    <cellStyle name="Normal 61 4 2 5 6" xfId="0"/>
    <cellStyle name="Normal 61 4 2 5 6 2" xfId="0"/>
    <cellStyle name="Normal 61 4 2 5 6 2 2" xfId="0"/>
    <cellStyle name="Normal 61 4 2 5 6 3" xfId="0"/>
    <cellStyle name="Normal 61 4 2 5 7" xfId="0"/>
    <cellStyle name="Normal 61 4 2 5 7 2" xfId="0"/>
    <cellStyle name="Normal 61 4 2 5 8" xfId="0"/>
    <cellStyle name="Normal 61 4 2 6" xfId="0"/>
    <cellStyle name="Normal 61 4 2 6 2" xfId="0"/>
    <cellStyle name="Normal 61 4 2 6 2 2" xfId="0"/>
    <cellStyle name="Normal 61 4 2 6 2 2 2" xfId="0"/>
    <cellStyle name="Normal 61 4 2 6 2 2 2 2" xfId="0"/>
    <cellStyle name="Normal 61 4 2 6 2 2 2 2 2" xfId="0"/>
    <cellStyle name="Normal 61 4 2 6 2 2 2 3" xfId="0"/>
    <cellStyle name="Normal 61 4 2 6 2 2 3" xfId="0"/>
    <cellStyle name="Normal 61 4 2 6 2 2 3 2" xfId="0"/>
    <cellStyle name="Normal 61 4 2 6 2 2 3 2 2" xfId="0"/>
    <cellStyle name="Normal 61 4 2 6 2 2 3 3" xfId="0"/>
    <cellStyle name="Normal 61 4 2 6 2 2 4" xfId="0"/>
    <cellStyle name="Normal 61 4 2 6 2 2 4 2" xfId="0"/>
    <cellStyle name="Normal 61 4 2 6 2 2 5" xfId="0"/>
    <cellStyle name="Normal 61 4 2 6 2 3" xfId="0"/>
    <cellStyle name="Normal 61 4 2 6 2 3 2" xfId="0"/>
    <cellStyle name="Normal 61 4 2 6 2 3 2 2" xfId="0"/>
    <cellStyle name="Normal 61 4 2 6 2 3 3" xfId="0"/>
    <cellStyle name="Normal 61 4 2 6 2 4" xfId="0"/>
    <cellStyle name="Normal 61 4 2 6 2 4 2" xfId="0"/>
    <cellStyle name="Normal 61 4 2 6 2 4 2 2" xfId="0"/>
    <cellStyle name="Normal 61 4 2 6 2 4 3" xfId="0"/>
    <cellStyle name="Normal 61 4 2 6 2 5" xfId="0"/>
    <cellStyle name="Normal 61 4 2 6 2 5 2" xfId="0"/>
    <cellStyle name="Normal 61 4 2 6 2 6" xfId="0"/>
    <cellStyle name="Normal 61 4 2 6 3" xfId="0"/>
    <cellStyle name="Normal 61 4 2 6 3 2" xfId="0"/>
    <cellStyle name="Normal 61 4 2 6 3 2 2" xfId="0"/>
    <cellStyle name="Normal 61 4 2 6 3 2 2 2" xfId="0"/>
    <cellStyle name="Normal 61 4 2 6 3 2 3" xfId="0"/>
    <cellStyle name="Normal 61 4 2 6 3 3" xfId="0"/>
    <cellStyle name="Normal 61 4 2 6 3 3 2" xfId="0"/>
    <cellStyle name="Normal 61 4 2 6 3 3 2 2" xfId="0"/>
    <cellStyle name="Normal 61 4 2 6 3 3 3" xfId="0"/>
    <cellStyle name="Normal 61 4 2 6 3 4" xfId="0"/>
    <cellStyle name="Normal 61 4 2 6 3 4 2" xfId="0"/>
    <cellStyle name="Normal 61 4 2 6 3 5" xfId="0"/>
    <cellStyle name="Normal 61 4 2 6 4" xfId="0"/>
    <cellStyle name="Normal 61 4 2 6 4 2" xfId="0"/>
    <cellStyle name="Normal 61 4 2 6 4 2 2" xfId="0"/>
    <cellStyle name="Normal 61 4 2 6 4 3" xfId="0"/>
    <cellStyle name="Normal 61 4 2 6 5" xfId="0"/>
    <cellStyle name="Normal 61 4 2 6 5 2" xfId="0"/>
    <cellStyle name="Normal 61 4 2 6 5 2 2" xfId="0"/>
    <cellStyle name="Normal 61 4 2 6 5 3" xfId="0"/>
    <cellStyle name="Normal 61 4 2 6 6" xfId="0"/>
    <cellStyle name="Normal 61 4 2 6 6 2" xfId="0"/>
    <cellStyle name="Normal 61 4 2 6 7" xfId="0"/>
    <cellStyle name="Normal 61 4 2 7" xfId="0"/>
    <cellStyle name="Normal 61 4 2 7 2" xfId="0"/>
    <cellStyle name="Normal 61 4 2 7 2 2" xfId="0"/>
    <cellStyle name="Normal 61 4 2 7 2 2 2" xfId="0"/>
    <cellStyle name="Normal 61 4 2 7 2 2 2 2" xfId="0"/>
    <cellStyle name="Normal 61 4 2 7 2 2 3" xfId="0"/>
    <cellStyle name="Normal 61 4 2 7 2 3" xfId="0"/>
    <cellStyle name="Normal 61 4 2 7 2 3 2" xfId="0"/>
    <cellStyle name="Normal 61 4 2 7 2 3 2 2" xfId="0"/>
    <cellStyle name="Normal 61 4 2 7 2 3 3" xfId="0"/>
    <cellStyle name="Normal 61 4 2 7 2 4" xfId="0"/>
    <cellStyle name="Normal 61 4 2 7 2 4 2" xfId="0"/>
    <cellStyle name="Normal 61 4 2 7 2 5" xfId="0"/>
    <cellStyle name="Normal 61 4 2 7 3" xfId="0"/>
    <cellStyle name="Normal 61 4 2 7 3 2" xfId="0"/>
    <cellStyle name="Normal 61 4 2 7 3 2 2" xfId="0"/>
    <cellStyle name="Normal 61 4 2 7 3 3" xfId="0"/>
    <cellStyle name="Normal 61 4 2 7 4" xfId="0"/>
    <cellStyle name="Normal 61 4 2 7 4 2" xfId="0"/>
    <cellStyle name="Normal 61 4 2 7 4 2 2" xfId="0"/>
    <cellStyle name="Normal 61 4 2 7 4 3" xfId="0"/>
    <cellStyle name="Normal 61 4 2 7 5" xfId="0"/>
    <cellStyle name="Normal 61 4 2 7 5 2" xfId="0"/>
    <cellStyle name="Normal 61 4 2 7 6" xfId="0"/>
    <cellStyle name="Normal 61 4 2 8" xfId="0"/>
    <cellStyle name="Normal 61 4 2 8 2" xfId="0"/>
    <cellStyle name="Normal 61 4 2 8 2 2" xfId="0"/>
    <cellStyle name="Normal 61 4 2 8 2 2 2" xfId="0"/>
    <cellStyle name="Normal 61 4 2 8 2 3" xfId="0"/>
    <cellStyle name="Normal 61 4 2 8 3" xfId="0"/>
    <cellStyle name="Normal 61 4 2 8 3 2" xfId="0"/>
    <cellStyle name="Normal 61 4 2 8 3 2 2" xfId="0"/>
    <cellStyle name="Normal 61 4 2 8 3 3" xfId="0"/>
    <cellStyle name="Normal 61 4 2 8 4" xfId="0"/>
    <cellStyle name="Normal 61 4 2 8 4 2" xfId="0"/>
    <cellStyle name="Normal 61 4 2 8 5" xfId="0"/>
    <cellStyle name="Normal 61 4 2 9" xfId="0"/>
    <cellStyle name="Normal 61 4 2 9 2" xfId="0"/>
    <cellStyle name="Normal 61 4 2 9 2 2" xfId="0"/>
    <cellStyle name="Normal 61 4 2 9 3" xfId="0"/>
    <cellStyle name="Normal 61 4 3" xfId="0"/>
    <cellStyle name="Normal 61 4 3 10" xfId="0"/>
    <cellStyle name="Normal 61 4 3 2" xfId="0"/>
    <cellStyle name="Normal 61 4 3 2 2" xfId="0"/>
    <cellStyle name="Normal 61 4 3 2 2 2" xfId="0"/>
    <cellStyle name="Normal 61 4 3 2 2 2 2" xfId="0"/>
    <cellStyle name="Normal 61 4 3 2 2 2 2 2" xfId="0"/>
    <cellStyle name="Normal 61 4 3 2 2 2 2 2 2" xfId="0"/>
    <cellStyle name="Normal 61 4 3 2 2 2 2 2 2 2" xfId="0"/>
    <cellStyle name="Normal 61 4 3 2 2 2 2 2 2 2 2" xfId="0"/>
    <cellStyle name="Normal 61 4 3 2 2 2 2 2 2 3" xfId="0"/>
    <cellStyle name="Normal 61 4 3 2 2 2 2 2 3" xfId="0"/>
    <cellStyle name="Normal 61 4 3 2 2 2 2 2 3 2" xfId="0"/>
    <cellStyle name="Normal 61 4 3 2 2 2 2 2 3 2 2" xfId="0"/>
    <cellStyle name="Normal 61 4 3 2 2 2 2 2 3 3" xfId="0"/>
    <cellStyle name="Normal 61 4 3 2 2 2 2 2 4" xfId="0"/>
    <cellStyle name="Normal 61 4 3 2 2 2 2 2 4 2" xfId="0"/>
    <cellStyle name="Normal 61 4 3 2 2 2 2 2 5" xfId="0"/>
    <cellStyle name="Normal 61 4 3 2 2 2 2 3" xfId="0"/>
    <cellStyle name="Normal 61 4 3 2 2 2 2 3 2" xfId="0"/>
    <cellStyle name="Normal 61 4 3 2 2 2 2 3 2 2" xfId="0"/>
    <cellStyle name="Normal 61 4 3 2 2 2 2 3 3" xfId="0"/>
    <cellStyle name="Normal 61 4 3 2 2 2 2 4" xfId="0"/>
    <cellStyle name="Normal 61 4 3 2 2 2 2 4 2" xfId="0"/>
    <cellStyle name="Normal 61 4 3 2 2 2 2 4 2 2" xfId="0"/>
    <cellStyle name="Normal 61 4 3 2 2 2 2 4 3" xfId="0"/>
    <cellStyle name="Normal 61 4 3 2 2 2 2 5" xfId="0"/>
    <cellStyle name="Normal 61 4 3 2 2 2 2 5 2" xfId="0"/>
    <cellStyle name="Normal 61 4 3 2 2 2 2 6" xfId="0"/>
    <cellStyle name="Normal 61 4 3 2 2 2 3" xfId="0"/>
    <cellStyle name="Normal 61 4 3 2 2 2 3 2" xfId="0"/>
    <cellStyle name="Normal 61 4 3 2 2 2 3 2 2" xfId="0"/>
    <cellStyle name="Normal 61 4 3 2 2 2 3 2 2 2" xfId="0"/>
    <cellStyle name="Normal 61 4 3 2 2 2 3 2 3" xfId="0"/>
    <cellStyle name="Normal 61 4 3 2 2 2 3 3" xfId="0"/>
    <cellStyle name="Normal 61 4 3 2 2 2 3 3 2" xfId="0"/>
    <cellStyle name="Normal 61 4 3 2 2 2 3 3 2 2" xfId="0"/>
    <cellStyle name="Normal 61 4 3 2 2 2 3 3 3" xfId="0"/>
    <cellStyle name="Normal 61 4 3 2 2 2 3 4" xfId="0"/>
    <cellStyle name="Normal 61 4 3 2 2 2 3 4 2" xfId="0"/>
    <cellStyle name="Normal 61 4 3 2 2 2 3 5" xfId="0"/>
    <cellStyle name="Normal 61 4 3 2 2 2 4" xfId="0"/>
    <cellStyle name="Normal 61 4 3 2 2 2 4 2" xfId="0"/>
    <cellStyle name="Normal 61 4 3 2 2 2 4 2 2" xfId="0"/>
    <cellStyle name="Normal 61 4 3 2 2 2 4 3" xfId="0"/>
    <cellStyle name="Normal 61 4 3 2 2 2 5" xfId="0"/>
    <cellStyle name="Normal 61 4 3 2 2 2 5 2" xfId="0"/>
    <cellStyle name="Normal 61 4 3 2 2 2 5 2 2" xfId="0"/>
    <cellStyle name="Normal 61 4 3 2 2 2 5 3" xfId="0"/>
    <cellStyle name="Normal 61 4 3 2 2 2 6" xfId="0"/>
    <cellStyle name="Normal 61 4 3 2 2 2 6 2" xfId="0"/>
    <cellStyle name="Normal 61 4 3 2 2 2 7" xfId="0"/>
    <cellStyle name="Normal 61 4 3 2 2 3" xfId="0"/>
    <cellStyle name="Normal 61 4 3 2 2 3 2" xfId="0"/>
    <cellStyle name="Normal 61 4 3 2 2 3 2 2" xfId="0"/>
    <cellStyle name="Normal 61 4 3 2 2 3 2 2 2" xfId="0"/>
    <cellStyle name="Normal 61 4 3 2 2 3 2 2 2 2" xfId="0"/>
    <cellStyle name="Normal 61 4 3 2 2 3 2 2 3" xfId="0"/>
    <cellStyle name="Normal 61 4 3 2 2 3 2 3" xfId="0"/>
    <cellStyle name="Normal 61 4 3 2 2 3 2 3 2" xfId="0"/>
    <cellStyle name="Normal 61 4 3 2 2 3 2 3 2 2" xfId="0"/>
    <cellStyle name="Normal 61 4 3 2 2 3 2 3 3" xfId="0"/>
    <cellStyle name="Normal 61 4 3 2 2 3 2 4" xfId="0"/>
    <cellStyle name="Normal 61 4 3 2 2 3 2 4 2" xfId="0"/>
    <cellStyle name="Normal 61 4 3 2 2 3 2 5" xfId="0"/>
    <cellStyle name="Normal 61 4 3 2 2 3 3" xfId="0"/>
    <cellStyle name="Normal 61 4 3 2 2 3 3 2" xfId="0"/>
    <cellStyle name="Normal 61 4 3 2 2 3 3 2 2" xfId="0"/>
    <cellStyle name="Normal 61 4 3 2 2 3 3 3" xfId="0"/>
    <cellStyle name="Normal 61 4 3 2 2 3 4" xfId="0"/>
    <cellStyle name="Normal 61 4 3 2 2 3 4 2" xfId="0"/>
    <cellStyle name="Normal 61 4 3 2 2 3 4 2 2" xfId="0"/>
    <cellStyle name="Normal 61 4 3 2 2 3 4 3" xfId="0"/>
    <cellStyle name="Normal 61 4 3 2 2 3 5" xfId="0"/>
    <cellStyle name="Normal 61 4 3 2 2 3 5 2" xfId="0"/>
    <cellStyle name="Normal 61 4 3 2 2 3 6" xfId="0"/>
    <cellStyle name="Normal 61 4 3 2 2 4" xfId="0"/>
    <cellStyle name="Normal 61 4 3 2 2 4 2" xfId="0"/>
    <cellStyle name="Normal 61 4 3 2 2 4 2 2" xfId="0"/>
    <cellStyle name="Normal 61 4 3 2 2 4 2 2 2" xfId="0"/>
    <cellStyle name="Normal 61 4 3 2 2 4 2 3" xfId="0"/>
    <cellStyle name="Normal 61 4 3 2 2 4 3" xfId="0"/>
    <cellStyle name="Normal 61 4 3 2 2 4 3 2" xfId="0"/>
    <cellStyle name="Normal 61 4 3 2 2 4 3 2 2" xfId="0"/>
    <cellStyle name="Normal 61 4 3 2 2 4 3 3" xfId="0"/>
    <cellStyle name="Normal 61 4 3 2 2 4 4" xfId="0"/>
    <cellStyle name="Normal 61 4 3 2 2 4 4 2" xfId="0"/>
    <cellStyle name="Normal 61 4 3 2 2 4 5" xfId="0"/>
    <cellStyle name="Normal 61 4 3 2 2 5" xfId="0"/>
    <cellStyle name="Normal 61 4 3 2 2 5 2" xfId="0"/>
    <cellStyle name="Normal 61 4 3 2 2 5 2 2" xfId="0"/>
    <cellStyle name="Normal 61 4 3 2 2 5 3" xfId="0"/>
    <cellStyle name="Normal 61 4 3 2 2 6" xfId="0"/>
    <cellStyle name="Normal 61 4 3 2 2 6 2" xfId="0"/>
    <cellStyle name="Normal 61 4 3 2 2 6 2 2" xfId="0"/>
    <cellStyle name="Normal 61 4 3 2 2 6 3" xfId="0"/>
    <cellStyle name="Normal 61 4 3 2 2 7" xfId="0"/>
    <cellStyle name="Normal 61 4 3 2 2 7 2" xfId="0"/>
    <cellStyle name="Normal 61 4 3 2 2 8" xfId="0"/>
    <cellStyle name="Normal 61 4 3 2 3" xfId="0"/>
    <cellStyle name="Normal 61 4 3 2 3 2" xfId="0"/>
    <cellStyle name="Normal 61 4 3 2 3 2 2" xfId="0"/>
    <cellStyle name="Normal 61 4 3 2 3 2 2 2" xfId="0"/>
    <cellStyle name="Normal 61 4 3 2 3 2 2 2 2" xfId="0"/>
    <cellStyle name="Normal 61 4 3 2 3 2 2 2 2 2" xfId="0"/>
    <cellStyle name="Normal 61 4 3 2 3 2 2 2 3" xfId="0"/>
    <cellStyle name="Normal 61 4 3 2 3 2 2 3" xfId="0"/>
    <cellStyle name="Normal 61 4 3 2 3 2 2 3 2" xfId="0"/>
    <cellStyle name="Normal 61 4 3 2 3 2 2 3 2 2" xfId="0"/>
    <cellStyle name="Normal 61 4 3 2 3 2 2 3 3" xfId="0"/>
    <cellStyle name="Normal 61 4 3 2 3 2 2 4" xfId="0"/>
    <cellStyle name="Normal 61 4 3 2 3 2 2 4 2" xfId="0"/>
    <cellStyle name="Normal 61 4 3 2 3 2 2 5" xfId="0"/>
    <cellStyle name="Normal 61 4 3 2 3 2 3" xfId="0"/>
    <cellStyle name="Normal 61 4 3 2 3 2 3 2" xfId="0"/>
    <cellStyle name="Normal 61 4 3 2 3 2 3 2 2" xfId="0"/>
    <cellStyle name="Normal 61 4 3 2 3 2 3 3" xfId="0"/>
    <cellStyle name="Normal 61 4 3 2 3 2 4" xfId="0"/>
    <cellStyle name="Normal 61 4 3 2 3 2 4 2" xfId="0"/>
    <cellStyle name="Normal 61 4 3 2 3 2 4 2 2" xfId="0"/>
    <cellStyle name="Normal 61 4 3 2 3 2 4 3" xfId="0"/>
    <cellStyle name="Normal 61 4 3 2 3 2 5" xfId="0"/>
    <cellStyle name="Normal 61 4 3 2 3 2 5 2" xfId="0"/>
    <cellStyle name="Normal 61 4 3 2 3 2 6" xfId="0"/>
    <cellStyle name="Normal 61 4 3 2 3 3" xfId="0"/>
    <cellStyle name="Normal 61 4 3 2 3 3 2" xfId="0"/>
    <cellStyle name="Normal 61 4 3 2 3 3 2 2" xfId="0"/>
    <cellStyle name="Normal 61 4 3 2 3 3 2 2 2" xfId="0"/>
    <cellStyle name="Normal 61 4 3 2 3 3 2 3" xfId="0"/>
    <cellStyle name="Normal 61 4 3 2 3 3 3" xfId="0"/>
    <cellStyle name="Normal 61 4 3 2 3 3 3 2" xfId="0"/>
    <cellStyle name="Normal 61 4 3 2 3 3 3 2 2" xfId="0"/>
    <cellStyle name="Normal 61 4 3 2 3 3 3 3" xfId="0"/>
    <cellStyle name="Normal 61 4 3 2 3 3 4" xfId="0"/>
    <cellStyle name="Normal 61 4 3 2 3 3 4 2" xfId="0"/>
    <cellStyle name="Normal 61 4 3 2 3 3 5" xfId="0"/>
    <cellStyle name="Normal 61 4 3 2 3 4" xfId="0"/>
    <cellStyle name="Normal 61 4 3 2 3 4 2" xfId="0"/>
    <cellStyle name="Normal 61 4 3 2 3 4 2 2" xfId="0"/>
    <cellStyle name="Normal 61 4 3 2 3 4 3" xfId="0"/>
    <cellStyle name="Normal 61 4 3 2 3 5" xfId="0"/>
    <cellStyle name="Normal 61 4 3 2 3 5 2" xfId="0"/>
    <cellStyle name="Normal 61 4 3 2 3 5 2 2" xfId="0"/>
    <cellStyle name="Normal 61 4 3 2 3 5 3" xfId="0"/>
    <cellStyle name="Normal 61 4 3 2 3 6" xfId="0"/>
    <cellStyle name="Normal 61 4 3 2 3 6 2" xfId="0"/>
    <cellStyle name="Normal 61 4 3 2 3 7" xfId="0"/>
    <cellStyle name="Normal 61 4 3 2 4" xfId="0"/>
    <cellStyle name="Normal 61 4 3 2 4 2" xfId="0"/>
    <cellStyle name="Normal 61 4 3 2 4 2 2" xfId="0"/>
    <cellStyle name="Normal 61 4 3 2 4 2 2 2" xfId="0"/>
    <cellStyle name="Normal 61 4 3 2 4 2 2 2 2" xfId="0"/>
    <cellStyle name="Normal 61 4 3 2 4 2 2 3" xfId="0"/>
    <cellStyle name="Normal 61 4 3 2 4 2 3" xfId="0"/>
    <cellStyle name="Normal 61 4 3 2 4 2 3 2" xfId="0"/>
    <cellStyle name="Normal 61 4 3 2 4 2 3 2 2" xfId="0"/>
    <cellStyle name="Normal 61 4 3 2 4 2 3 3" xfId="0"/>
    <cellStyle name="Normal 61 4 3 2 4 2 4" xfId="0"/>
    <cellStyle name="Normal 61 4 3 2 4 2 4 2" xfId="0"/>
    <cellStyle name="Normal 61 4 3 2 4 2 5" xfId="0"/>
    <cellStyle name="Normal 61 4 3 2 4 3" xfId="0"/>
    <cellStyle name="Normal 61 4 3 2 4 3 2" xfId="0"/>
    <cellStyle name="Normal 61 4 3 2 4 3 2 2" xfId="0"/>
    <cellStyle name="Normal 61 4 3 2 4 3 3" xfId="0"/>
    <cellStyle name="Normal 61 4 3 2 4 4" xfId="0"/>
    <cellStyle name="Normal 61 4 3 2 4 4 2" xfId="0"/>
    <cellStyle name="Normal 61 4 3 2 4 4 2 2" xfId="0"/>
    <cellStyle name="Normal 61 4 3 2 4 4 3" xfId="0"/>
    <cellStyle name="Normal 61 4 3 2 4 5" xfId="0"/>
    <cellStyle name="Normal 61 4 3 2 4 5 2" xfId="0"/>
    <cellStyle name="Normal 61 4 3 2 4 6" xfId="0"/>
    <cellStyle name="Normal 61 4 3 2 5" xfId="0"/>
    <cellStyle name="Normal 61 4 3 2 5 2" xfId="0"/>
    <cellStyle name="Normal 61 4 3 2 5 2 2" xfId="0"/>
    <cellStyle name="Normal 61 4 3 2 5 2 2 2" xfId="0"/>
    <cellStyle name="Normal 61 4 3 2 5 2 3" xfId="0"/>
    <cellStyle name="Normal 61 4 3 2 5 3" xfId="0"/>
    <cellStyle name="Normal 61 4 3 2 5 3 2" xfId="0"/>
    <cellStyle name="Normal 61 4 3 2 5 3 2 2" xfId="0"/>
    <cellStyle name="Normal 61 4 3 2 5 3 3" xfId="0"/>
    <cellStyle name="Normal 61 4 3 2 5 4" xfId="0"/>
    <cellStyle name="Normal 61 4 3 2 5 4 2" xfId="0"/>
    <cellStyle name="Normal 61 4 3 2 5 5" xfId="0"/>
    <cellStyle name="Normal 61 4 3 2 6" xfId="0"/>
    <cellStyle name="Normal 61 4 3 2 6 2" xfId="0"/>
    <cellStyle name="Normal 61 4 3 2 6 2 2" xfId="0"/>
    <cellStyle name="Normal 61 4 3 2 6 3" xfId="0"/>
    <cellStyle name="Normal 61 4 3 2 7" xfId="0"/>
    <cellStyle name="Normal 61 4 3 2 7 2" xfId="0"/>
    <cellStyle name="Normal 61 4 3 2 7 2 2" xfId="0"/>
    <cellStyle name="Normal 61 4 3 2 7 3" xfId="0"/>
    <cellStyle name="Normal 61 4 3 2 8" xfId="0"/>
    <cellStyle name="Normal 61 4 3 2 8 2" xfId="0"/>
    <cellStyle name="Normal 61 4 3 2 9" xfId="0"/>
    <cellStyle name="Normal 61 4 3 3" xfId="0"/>
    <cellStyle name="Normal 61 4 3 3 2" xfId="0"/>
    <cellStyle name="Normal 61 4 3 3 2 2" xfId="0"/>
    <cellStyle name="Normal 61 4 3 3 2 2 2" xfId="0"/>
    <cellStyle name="Normal 61 4 3 3 2 2 2 2" xfId="0"/>
    <cellStyle name="Normal 61 4 3 3 2 2 2 2 2" xfId="0"/>
    <cellStyle name="Normal 61 4 3 3 2 2 2 2 2 2" xfId="0"/>
    <cellStyle name="Normal 61 4 3 3 2 2 2 2 3" xfId="0"/>
    <cellStyle name="Normal 61 4 3 3 2 2 2 3" xfId="0"/>
    <cellStyle name="Normal 61 4 3 3 2 2 2 3 2" xfId="0"/>
    <cellStyle name="Normal 61 4 3 3 2 2 2 3 2 2" xfId="0"/>
    <cellStyle name="Normal 61 4 3 3 2 2 2 3 3" xfId="0"/>
    <cellStyle name="Normal 61 4 3 3 2 2 2 4" xfId="0"/>
    <cellStyle name="Normal 61 4 3 3 2 2 2 4 2" xfId="0"/>
    <cellStyle name="Normal 61 4 3 3 2 2 2 5" xfId="0"/>
    <cellStyle name="Normal 61 4 3 3 2 2 3" xfId="0"/>
    <cellStyle name="Normal 61 4 3 3 2 2 3 2" xfId="0"/>
    <cellStyle name="Normal 61 4 3 3 2 2 3 2 2" xfId="0"/>
    <cellStyle name="Normal 61 4 3 3 2 2 3 3" xfId="0"/>
    <cellStyle name="Normal 61 4 3 3 2 2 4" xfId="0"/>
    <cellStyle name="Normal 61 4 3 3 2 2 4 2" xfId="0"/>
    <cellStyle name="Normal 61 4 3 3 2 2 4 2 2" xfId="0"/>
    <cellStyle name="Normal 61 4 3 3 2 2 4 3" xfId="0"/>
    <cellStyle name="Normal 61 4 3 3 2 2 5" xfId="0"/>
    <cellStyle name="Normal 61 4 3 3 2 2 5 2" xfId="0"/>
    <cellStyle name="Normal 61 4 3 3 2 2 6" xfId="0"/>
    <cellStyle name="Normal 61 4 3 3 2 3" xfId="0"/>
    <cellStyle name="Normal 61 4 3 3 2 3 2" xfId="0"/>
    <cellStyle name="Normal 61 4 3 3 2 3 2 2" xfId="0"/>
    <cellStyle name="Normal 61 4 3 3 2 3 2 2 2" xfId="0"/>
    <cellStyle name="Normal 61 4 3 3 2 3 2 3" xfId="0"/>
    <cellStyle name="Normal 61 4 3 3 2 3 3" xfId="0"/>
    <cellStyle name="Normal 61 4 3 3 2 3 3 2" xfId="0"/>
    <cellStyle name="Normal 61 4 3 3 2 3 3 2 2" xfId="0"/>
    <cellStyle name="Normal 61 4 3 3 2 3 3 3" xfId="0"/>
    <cellStyle name="Normal 61 4 3 3 2 3 4" xfId="0"/>
    <cellStyle name="Normal 61 4 3 3 2 3 4 2" xfId="0"/>
    <cellStyle name="Normal 61 4 3 3 2 3 5" xfId="0"/>
    <cellStyle name="Normal 61 4 3 3 2 4" xfId="0"/>
    <cellStyle name="Normal 61 4 3 3 2 4 2" xfId="0"/>
    <cellStyle name="Normal 61 4 3 3 2 4 2 2" xfId="0"/>
    <cellStyle name="Normal 61 4 3 3 2 4 3" xfId="0"/>
    <cellStyle name="Normal 61 4 3 3 2 5" xfId="0"/>
    <cellStyle name="Normal 61 4 3 3 2 5 2" xfId="0"/>
    <cellStyle name="Normal 61 4 3 3 2 5 2 2" xfId="0"/>
    <cellStyle name="Normal 61 4 3 3 2 5 3" xfId="0"/>
    <cellStyle name="Normal 61 4 3 3 2 6" xfId="0"/>
    <cellStyle name="Normal 61 4 3 3 2 6 2" xfId="0"/>
    <cellStyle name="Normal 61 4 3 3 2 7" xfId="0"/>
    <cellStyle name="Normal 61 4 3 3 3" xfId="0"/>
    <cellStyle name="Normal 61 4 3 3 3 2" xfId="0"/>
    <cellStyle name="Normal 61 4 3 3 3 2 2" xfId="0"/>
    <cellStyle name="Normal 61 4 3 3 3 2 2 2" xfId="0"/>
    <cellStyle name="Normal 61 4 3 3 3 2 2 2 2" xfId="0"/>
    <cellStyle name="Normal 61 4 3 3 3 2 2 3" xfId="0"/>
    <cellStyle name="Normal 61 4 3 3 3 2 3" xfId="0"/>
    <cellStyle name="Normal 61 4 3 3 3 2 3 2" xfId="0"/>
    <cellStyle name="Normal 61 4 3 3 3 2 3 2 2" xfId="0"/>
    <cellStyle name="Normal 61 4 3 3 3 2 3 3" xfId="0"/>
    <cellStyle name="Normal 61 4 3 3 3 2 4" xfId="0"/>
    <cellStyle name="Normal 61 4 3 3 3 2 4 2" xfId="0"/>
    <cellStyle name="Normal 61 4 3 3 3 2 5" xfId="0"/>
    <cellStyle name="Normal 61 4 3 3 3 3" xfId="0"/>
    <cellStyle name="Normal 61 4 3 3 3 3 2" xfId="0"/>
    <cellStyle name="Normal 61 4 3 3 3 3 2 2" xfId="0"/>
    <cellStyle name="Normal 61 4 3 3 3 3 3" xfId="0"/>
    <cellStyle name="Normal 61 4 3 3 3 4" xfId="0"/>
    <cellStyle name="Normal 61 4 3 3 3 4 2" xfId="0"/>
    <cellStyle name="Normal 61 4 3 3 3 4 2 2" xfId="0"/>
    <cellStyle name="Normal 61 4 3 3 3 4 3" xfId="0"/>
    <cellStyle name="Normal 61 4 3 3 3 5" xfId="0"/>
    <cellStyle name="Normal 61 4 3 3 3 5 2" xfId="0"/>
    <cellStyle name="Normal 61 4 3 3 3 6" xfId="0"/>
    <cellStyle name="Normal 61 4 3 3 4" xfId="0"/>
    <cellStyle name="Normal 61 4 3 3 4 2" xfId="0"/>
    <cellStyle name="Normal 61 4 3 3 4 2 2" xfId="0"/>
    <cellStyle name="Normal 61 4 3 3 4 2 2 2" xfId="0"/>
    <cellStyle name="Normal 61 4 3 3 4 2 3" xfId="0"/>
    <cellStyle name="Normal 61 4 3 3 4 3" xfId="0"/>
    <cellStyle name="Normal 61 4 3 3 4 3 2" xfId="0"/>
    <cellStyle name="Normal 61 4 3 3 4 3 2 2" xfId="0"/>
    <cellStyle name="Normal 61 4 3 3 4 3 3" xfId="0"/>
    <cellStyle name="Normal 61 4 3 3 4 4" xfId="0"/>
    <cellStyle name="Normal 61 4 3 3 4 4 2" xfId="0"/>
    <cellStyle name="Normal 61 4 3 3 4 5" xfId="0"/>
    <cellStyle name="Normal 61 4 3 3 5" xfId="0"/>
    <cellStyle name="Normal 61 4 3 3 5 2" xfId="0"/>
    <cellStyle name="Normal 61 4 3 3 5 2 2" xfId="0"/>
    <cellStyle name="Normal 61 4 3 3 5 3" xfId="0"/>
    <cellStyle name="Normal 61 4 3 3 6" xfId="0"/>
    <cellStyle name="Normal 61 4 3 3 6 2" xfId="0"/>
    <cellStyle name="Normal 61 4 3 3 6 2 2" xfId="0"/>
    <cellStyle name="Normal 61 4 3 3 6 3" xfId="0"/>
    <cellStyle name="Normal 61 4 3 3 7" xfId="0"/>
    <cellStyle name="Normal 61 4 3 3 7 2" xfId="0"/>
    <cellStyle name="Normal 61 4 3 3 8" xfId="0"/>
    <cellStyle name="Normal 61 4 3 4" xfId="0"/>
    <cellStyle name="Normal 61 4 3 4 2" xfId="0"/>
    <cellStyle name="Normal 61 4 3 4 2 2" xfId="0"/>
    <cellStyle name="Normal 61 4 3 4 2 2 2" xfId="0"/>
    <cellStyle name="Normal 61 4 3 4 2 2 2 2" xfId="0"/>
    <cellStyle name="Normal 61 4 3 4 2 2 2 2 2" xfId="0"/>
    <cellStyle name="Normal 61 4 3 4 2 2 2 3" xfId="0"/>
    <cellStyle name="Normal 61 4 3 4 2 2 3" xfId="0"/>
    <cellStyle name="Normal 61 4 3 4 2 2 3 2" xfId="0"/>
    <cellStyle name="Normal 61 4 3 4 2 2 3 2 2" xfId="0"/>
    <cellStyle name="Normal 61 4 3 4 2 2 3 3" xfId="0"/>
    <cellStyle name="Normal 61 4 3 4 2 2 4" xfId="0"/>
    <cellStyle name="Normal 61 4 3 4 2 2 4 2" xfId="0"/>
    <cellStyle name="Normal 61 4 3 4 2 2 5" xfId="0"/>
    <cellStyle name="Normal 61 4 3 4 2 3" xfId="0"/>
    <cellStyle name="Normal 61 4 3 4 2 3 2" xfId="0"/>
    <cellStyle name="Normal 61 4 3 4 2 3 2 2" xfId="0"/>
    <cellStyle name="Normal 61 4 3 4 2 3 3" xfId="0"/>
    <cellStyle name="Normal 61 4 3 4 2 4" xfId="0"/>
    <cellStyle name="Normal 61 4 3 4 2 4 2" xfId="0"/>
    <cellStyle name="Normal 61 4 3 4 2 4 2 2" xfId="0"/>
    <cellStyle name="Normal 61 4 3 4 2 4 3" xfId="0"/>
    <cellStyle name="Normal 61 4 3 4 2 5" xfId="0"/>
    <cellStyle name="Normal 61 4 3 4 2 5 2" xfId="0"/>
    <cellStyle name="Normal 61 4 3 4 2 6" xfId="0"/>
    <cellStyle name="Normal 61 4 3 4 3" xfId="0"/>
    <cellStyle name="Normal 61 4 3 4 3 2" xfId="0"/>
    <cellStyle name="Normal 61 4 3 4 3 2 2" xfId="0"/>
    <cellStyle name="Normal 61 4 3 4 3 2 2 2" xfId="0"/>
    <cellStyle name="Normal 61 4 3 4 3 2 3" xfId="0"/>
    <cellStyle name="Normal 61 4 3 4 3 3" xfId="0"/>
    <cellStyle name="Normal 61 4 3 4 3 3 2" xfId="0"/>
    <cellStyle name="Normal 61 4 3 4 3 3 2 2" xfId="0"/>
    <cellStyle name="Normal 61 4 3 4 3 3 3" xfId="0"/>
    <cellStyle name="Normal 61 4 3 4 3 4" xfId="0"/>
    <cellStyle name="Normal 61 4 3 4 3 4 2" xfId="0"/>
    <cellStyle name="Normal 61 4 3 4 3 5" xfId="0"/>
    <cellStyle name="Normal 61 4 3 4 4" xfId="0"/>
    <cellStyle name="Normal 61 4 3 4 4 2" xfId="0"/>
    <cellStyle name="Normal 61 4 3 4 4 2 2" xfId="0"/>
    <cellStyle name="Normal 61 4 3 4 4 3" xfId="0"/>
    <cellStyle name="Normal 61 4 3 4 5" xfId="0"/>
    <cellStyle name="Normal 61 4 3 4 5 2" xfId="0"/>
    <cellStyle name="Normal 61 4 3 4 5 2 2" xfId="0"/>
    <cellStyle name="Normal 61 4 3 4 5 3" xfId="0"/>
    <cellStyle name="Normal 61 4 3 4 6" xfId="0"/>
    <cellStyle name="Normal 61 4 3 4 6 2" xfId="0"/>
    <cellStyle name="Normal 61 4 3 4 7" xfId="0"/>
    <cellStyle name="Normal 61 4 3 5" xfId="0"/>
    <cellStyle name="Normal 61 4 3 5 2" xfId="0"/>
    <cellStyle name="Normal 61 4 3 5 2 2" xfId="0"/>
    <cellStyle name="Normal 61 4 3 5 2 2 2" xfId="0"/>
    <cellStyle name="Normal 61 4 3 5 2 2 2 2" xfId="0"/>
    <cellStyle name="Normal 61 4 3 5 2 2 3" xfId="0"/>
    <cellStyle name="Normal 61 4 3 5 2 3" xfId="0"/>
    <cellStyle name="Normal 61 4 3 5 2 3 2" xfId="0"/>
    <cellStyle name="Normal 61 4 3 5 2 3 2 2" xfId="0"/>
    <cellStyle name="Normal 61 4 3 5 2 3 3" xfId="0"/>
    <cellStyle name="Normal 61 4 3 5 2 4" xfId="0"/>
    <cellStyle name="Normal 61 4 3 5 2 4 2" xfId="0"/>
    <cellStyle name="Normal 61 4 3 5 2 5" xfId="0"/>
    <cellStyle name="Normal 61 4 3 5 3" xfId="0"/>
    <cellStyle name="Normal 61 4 3 5 3 2" xfId="0"/>
    <cellStyle name="Normal 61 4 3 5 3 2 2" xfId="0"/>
    <cellStyle name="Normal 61 4 3 5 3 3" xfId="0"/>
    <cellStyle name="Normal 61 4 3 5 4" xfId="0"/>
    <cellStyle name="Normal 61 4 3 5 4 2" xfId="0"/>
    <cellStyle name="Normal 61 4 3 5 4 2 2" xfId="0"/>
    <cellStyle name="Normal 61 4 3 5 4 3" xfId="0"/>
    <cellStyle name="Normal 61 4 3 5 5" xfId="0"/>
    <cellStyle name="Normal 61 4 3 5 5 2" xfId="0"/>
    <cellStyle name="Normal 61 4 3 5 6" xfId="0"/>
    <cellStyle name="Normal 61 4 3 6" xfId="0"/>
    <cellStyle name="Normal 61 4 3 6 2" xfId="0"/>
    <cellStyle name="Normal 61 4 3 6 2 2" xfId="0"/>
    <cellStyle name="Normal 61 4 3 6 2 2 2" xfId="0"/>
    <cellStyle name="Normal 61 4 3 6 2 3" xfId="0"/>
    <cellStyle name="Normal 61 4 3 6 3" xfId="0"/>
    <cellStyle name="Normal 61 4 3 6 3 2" xfId="0"/>
    <cellStyle name="Normal 61 4 3 6 3 2 2" xfId="0"/>
    <cellStyle name="Normal 61 4 3 6 3 3" xfId="0"/>
    <cellStyle name="Normal 61 4 3 6 4" xfId="0"/>
    <cellStyle name="Normal 61 4 3 6 4 2" xfId="0"/>
    <cellStyle name="Normal 61 4 3 6 5" xfId="0"/>
    <cellStyle name="Normal 61 4 3 7" xfId="0"/>
    <cellStyle name="Normal 61 4 3 7 2" xfId="0"/>
    <cellStyle name="Normal 61 4 3 7 2 2" xfId="0"/>
    <cellStyle name="Normal 61 4 3 7 3" xfId="0"/>
    <cellStyle name="Normal 61 4 3 8" xfId="0"/>
    <cellStyle name="Normal 61 4 3 8 2" xfId="0"/>
    <cellStyle name="Normal 61 4 3 8 2 2" xfId="0"/>
    <cellStyle name="Normal 61 4 3 8 3" xfId="0"/>
    <cellStyle name="Normal 61 4 3 9" xfId="0"/>
    <cellStyle name="Normal 61 4 3 9 2" xfId="0"/>
    <cellStyle name="Normal 61 4 4" xfId="0"/>
    <cellStyle name="Normal 61 4 4 10" xfId="0"/>
    <cellStyle name="Normal 61 4 4 2" xfId="0"/>
    <cellStyle name="Normal 61 4 4 2 2" xfId="0"/>
    <cellStyle name="Normal 61 4 4 2 2 2" xfId="0"/>
    <cellStyle name="Normal 61 4 4 2 2 2 2" xfId="0"/>
    <cellStyle name="Normal 61 4 4 2 2 2 2 2" xfId="0"/>
    <cellStyle name="Normal 61 4 4 2 2 2 2 2 2" xfId="0"/>
    <cellStyle name="Normal 61 4 4 2 2 2 2 2 2 2" xfId="0"/>
    <cellStyle name="Normal 61 4 4 2 2 2 2 2 2 2 2" xfId="0"/>
    <cellStyle name="Normal 61 4 4 2 2 2 2 2 2 3" xfId="0"/>
    <cellStyle name="Normal 61 4 4 2 2 2 2 2 3" xfId="0"/>
    <cellStyle name="Normal 61 4 4 2 2 2 2 2 3 2" xfId="0"/>
    <cellStyle name="Normal 61 4 4 2 2 2 2 2 3 2 2" xfId="0"/>
    <cellStyle name="Normal 61 4 4 2 2 2 2 2 3 3" xfId="0"/>
    <cellStyle name="Normal 61 4 4 2 2 2 2 2 4" xfId="0"/>
    <cellStyle name="Normal 61 4 4 2 2 2 2 2 4 2" xfId="0"/>
    <cellStyle name="Normal 61 4 4 2 2 2 2 2 5" xfId="0"/>
    <cellStyle name="Normal 61 4 4 2 2 2 2 3" xfId="0"/>
    <cellStyle name="Normal 61 4 4 2 2 2 2 3 2" xfId="0"/>
    <cellStyle name="Normal 61 4 4 2 2 2 2 3 2 2" xfId="0"/>
    <cellStyle name="Normal 61 4 4 2 2 2 2 3 3" xfId="0"/>
    <cellStyle name="Normal 61 4 4 2 2 2 2 4" xfId="0"/>
    <cellStyle name="Normal 61 4 4 2 2 2 2 4 2" xfId="0"/>
    <cellStyle name="Normal 61 4 4 2 2 2 2 4 2 2" xfId="0"/>
    <cellStyle name="Normal 61 4 4 2 2 2 2 4 3" xfId="0"/>
    <cellStyle name="Normal 61 4 4 2 2 2 2 5" xfId="0"/>
    <cellStyle name="Normal 61 4 4 2 2 2 2 5 2" xfId="0"/>
    <cellStyle name="Normal 61 4 4 2 2 2 2 6" xfId="0"/>
    <cellStyle name="Normal 61 4 4 2 2 2 3" xfId="0"/>
    <cellStyle name="Normal 61 4 4 2 2 2 3 2" xfId="0"/>
    <cellStyle name="Normal 61 4 4 2 2 2 3 2 2" xfId="0"/>
    <cellStyle name="Normal 61 4 4 2 2 2 3 2 2 2" xfId="0"/>
    <cellStyle name="Normal 61 4 4 2 2 2 3 2 3" xfId="0"/>
    <cellStyle name="Normal 61 4 4 2 2 2 3 3" xfId="0"/>
    <cellStyle name="Normal 61 4 4 2 2 2 3 3 2" xfId="0"/>
    <cellStyle name="Normal 61 4 4 2 2 2 3 3 2 2" xfId="0"/>
    <cellStyle name="Normal 61 4 4 2 2 2 3 3 3" xfId="0"/>
    <cellStyle name="Normal 61 4 4 2 2 2 3 4" xfId="0"/>
    <cellStyle name="Normal 61 4 4 2 2 2 3 4 2" xfId="0"/>
    <cellStyle name="Normal 61 4 4 2 2 2 3 5" xfId="0"/>
    <cellStyle name="Normal 61 4 4 2 2 2 4" xfId="0"/>
    <cellStyle name="Normal 61 4 4 2 2 2 4 2" xfId="0"/>
    <cellStyle name="Normal 61 4 4 2 2 2 4 2 2" xfId="0"/>
    <cellStyle name="Normal 61 4 4 2 2 2 4 3" xfId="0"/>
    <cellStyle name="Normal 61 4 4 2 2 2 5" xfId="0"/>
    <cellStyle name="Normal 61 4 4 2 2 2 5 2" xfId="0"/>
    <cellStyle name="Normal 61 4 4 2 2 2 5 2 2" xfId="0"/>
    <cellStyle name="Normal 61 4 4 2 2 2 5 3" xfId="0"/>
    <cellStyle name="Normal 61 4 4 2 2 2 6" xfId="0"/>
    <cellStyle name="Normal 61 4 4 2 2 2 6 2" xfId="0"/>
    <cellStyle name="Normal 61 4 4 2 2 2 7" xfId="0"/>
    <cellStyle name="Normal 61 4 4 2 2 3" xfId="0"/>
    <cellStyle name="Normal 61 4 4 2 2 3 2" xfId="0"/>
    <cellStyle name="Normal 61 4 4 2 2 3 2 2" xfId="0"/>
    <cellStyle name="Normal 61 4 4 2 2 3 2 2 2" xfId="0"/>
    <cellStyle name="Normal 61 4 4 2 2 3 2 2 2 2" xfId="0"/>
    <cellStyle name="Normal 61 4 4 2 2 3 2 2 3" xfId="0"/>
    <cellStyle name="Normal 61 4 4 2 2 3 2 3" xfId="0"/>
    <cellStyle name="Normal 61 4 4 2 2 3 2 3 2" xfId="0"/>
    <cellStyle name="Normal 61 4 4 2 2 3 2 3 2 2" xfId="0"/>
    <cellStyle name="Normal 61 4 4 2 2 3 2 3 3" xfId="0"/>
    <cellStyle name="Normal 61 4 4 2 2 3 2 4" xfId="0"/>
    <cellStyle name="Normal 61 4 4 2 2 3 2 4 2" xfId="0"/>
    <cellStyle name="Normal 61 4 4 2 2 3 2 5" xfId="0"/>
    <cellStyle name="Normal 61 4 4 2 2 3 3" xfId="0"/>
    <cellStyle name="Normal 61 4 4 2 2 3 3 2" xfId="0"/>
    <cellStyle name="Normal 61 4 4 2 2 3 3 2 2" xfId="0"/>
    <cellStyle name="Normal 61 4 4 2 2 3 3 3" xfId="0"/>
    <cellStyle name="Normal 61 4 4 2 2 3 4" xfId="0"/>
    <cellStyle name="Normal 61 4 4 2 2 3 4 2" xfId="0"/>
    <cellStyle name="Normal 61 4 4 2 2 3 4 2 2" xfId="0"/>
    <cellStyle name="Normal 61 4 4 2 2 3 4 3" xfId="0"/>
    <cellStyle name="Normal 61 4 4 2 2 3 5" xfId="0"/>
    <cellStyle name="Normal 61 4 4 2 2 3 5 2" xfId="0"/>
    <cellStyle name="Normal 61 4 4 2 2 3 6" xfId="0"/>
    <cellStyle name="Normal 61 4 4 2 2 4" xfId="0"/>
    <cellStyle name="Normal 61 4 4 2 2 4 2" xfId="0"/>
    <cellStyle name="Normal 61 4 4 2 2 4 2 2" xfId="0"/>
    <cellStyle name="Normal 61 4 4 2 2 4 2 2 2" xfId="0"/>
    <cellStyle name="Normal 61 4 4 2 2 4 2 3" xfId="0"/>
    <cellStyle name="Normal 61 4 4 2 2 4 3" xfId="0"/>
    <cellStyle name="Normal 61 4 4 2 2 4 3 2" xfId="0"/>
    <cellStyle name="Normal 61 4 4 2 2 4 3 2 2" xfId="0"/>
    <cellStyle name="Normal 61 4 4 2 2 4 3 3" xfId="0"/>
    <cellStyle name="Normal 61 4 4 2 2 4 4" xfId="0"/>
    <cellStyle name="Normal 61 4 4 2 2 4 4 2" xfId="0"/>
    <cellStyle name="Normal 61 4 4 2 2 4 5" xfId="0"/>
    <cellStyle name="Normal 61 4 4 2 2 5" xfId="0"/>
    <cellStyle name="Normal 61 4 4 2 2 5 2" xfId="0"/>
    <cellStyle name="Normal 61 4 4 2 2 5 2 2" xfId="0"/>
    <cellStyle name="Normal 61 4 4 2 2 5 3" xfId="0"/>
    <cellStyle name="Normal 61 4 4 2 2 6" xfId="0"/>
    <cellStyle name="Normal 61 4 4 2 2 6 2" xfId="0"/>
    <cellStyle name="Normal 61 4 4 2 2 6 2 2" xfId="0"/>
    <cellStyle name="Normal 61 4 4 2 2 6 3" xfId="0"/>
    <cellStyle name="Normal 61 4 4 2 2 7" xfId="0"/>
    <cellStyle name="Normal 61 4 4 2 2 7 2" xfId="0"/>
    <cellStyle name="Normal 61 4 4 2 2 8" xfId="0"/>
    <cellStyle name="Normal 61 4 4 2 3" xfId="0"/>
    <cellStyle name="Normal 61 4 4 2 3 2" xfId="0"/>
    <cellStyle name="Normal 61 4 4 2 3 2 2" xfId="0"/>
    <cellStyle name="Normal 61 4 4 2 3 2 2 2" xfId="0"/>
    <cellStyle name="Normal 61 4 4 2 3 2 2 2 2" xfId="0"/>
    <cellStyle name="Normal 61 4 4 2 3 2 2 2 2 2" xfId="0"/>
    <cellStyle name="Normal 61 4 4 2 3 2 2 2 3" xfId="0"/>
    <cellStyle name="Normal 61 4 4 2 3 2 2 3" xfId="0"/>
    <cellStyle name="Normal 61 4 4 2 3 2 2 3 2" xfId="0"/>
    <cellStyle name="Normal 61 4 4 2 3 2 2 3 2 2" xfId="0"/>
    <cellStyle name="Normal 61 4 4 2 3 2 2 3 3" xfId="0"/>
    <cellStyle name="Normal 61 4 4 2 3 2 2 4" xfId="0"/>
    <cellStyle name="Normal 61 4 4 2 3 2 2 4 2" xfId="0"/>
    <cellStyle name="Normal 61 4 4 2 3 2 2 5" xfId="0"/>
    <cellStyle name="Normal 61 4 4 2 3 2 3" xfId="0"/>
    <cellStyle name="Normal 61 4 4 2 3 2 3 2" xfId="0"/>
    <cellStyle name="Normal 61 4 4 2 3 2 3 2 2" xfId="0"/>
    <cellStyle name="Normal 61 4 4 2 3 2 3 3" xfId="0"/>
    <cellStyle name="Normal 61 4 4 2 3 2 4" xfId="0"/>
    <cellStyle name="Normal 61 4 4 2 3 2 4 2" xfId="0"/>
    <cellStyle name="Normal 61 4 4 2 3 2 4 2 2" xfId="0"/>
    <cellStyle name="Normal 61 4 4 2 3 2 4 3" xfId="0"/>
    <cellStyle name="Normal 61 4 4 2 3 2 5" xfId="0"/>
    <cellStyle name="Normal 61 4 4 2 3 2 5 2" xfId="0"/>
    <cellStyle name="Normal 61 4 4 2 3 2 6" xfId="0"/>
    <cellStyle name="Normal 61 4 4 2 3 3" xfId="0"/>
    <cellStyle name="Normal 61 4 4 2 3 3 2" xfId="0"/>
    <cellStyle name="Normal 61 4 4 2 3 3 2 2" xfId="0"/>
    <cellStyle name="Normal 61 4 4 2 3 3 2 2 2" xfId="0"/>
    <cellStyle name="Normal 61 4 4 2 3 3 2 3" xfId="0"/>
    <cellStyle name="Normal 61 4 4 2 3 3 3" xfId="0"/>
    <cellStyle name="Normal 61 4 4 2 3 3 3 2" xfId="0"/>
    <cellStyle name="Normal 61 4 4 2 3 3 3 2 2" xfId="0"/>
    <cellStyle name="Normal 61 4 4 2 3 3 3 3" xfId="0"/>
    <cellStyle name="Normal 61 4 4 2 3 3 4" xfId="0"/>
    <cellStyle name="Normal 61 4 4 2 3 3 4 2" xfId="0"/>
    <cellStyle name="Normal 61 4 4 2 3 3 5" xfId="0"/>
    <cellStyle name="Normal 61 4 4 2 3 4" xfId="0"/>
    <cellStyle name="Normal 61 4 4 2 3 4 2" xfId="0"/>
    <cellStyle name="Normal 61 4 4 2 3 4 2 2" xfId="0"/>
    <cellStyle name="Normal 61 4 4 2 3 4 3" xfId="0"/>
    <cellStyle name="Normal 61 4 4 2 3 5" xfId="0"/>
    <cellStyle name="Normal 61 4 4 2 3 5 2" xfId="0"/>
    <cellStyle name="Normal 61 4 4 2 3 5 2 2" xfId="0"/>
    <cellStyle name="Normal 61 4 4 2 3 5 3" xfId="0"/>
    <cellStyle name="Normal 61 4 4 2 3 6" xfId="0"/>
    <cellStyle name="Normal 61 4 4 2 3 6 2" xfId="0"/>
    <cellStyle name="Normal 61 4 4 2 3 7" xfId="0"/>
    <cellStyle name="Normal 61 4 4 2 4" xfId="0"/>
    <cellStyle name="Normal 61 4 4 2 4 2" xfId="0"/>
    <cellStyle name="Normal 61 4 4 2 4 2 2" xfId="0"/>
    <cellStyle name="Normal 61 4 4 2 4 2 2 2" xfId="0"/>
    <cellStyle name="Normal 61 4 4 2 4 2 2 2 2" xfId="0"/>
    <cellStyle name="Normal 61 4 4 2 4 2 2 3" xfId="0"/>
    <cellStyle name="Normal 61 4 4 2 4 2 3" xfId="0"/>
    <cellStyle name="Normal 61 4 4 2 4 2 3 2" xfId="0"/>
    <cellStyle name="Normal 61 4 4 2 4 2 3 2 2" xfId="0"/>
    <cellStyle name="Normal 61 4 4 2 4 2 3 3" xfId="0"/>
    <cellStyle name="Normal 61 4 4 2 4 2 4" xfId="0"/>
    <cellStyle name="Normal 61 4 4 2 4 2 4 2" xfId="0"/>
    <cellStyle name="Normal 61 4 4 2 4 2 5" xfId="0"/>
    <cellStyle name="Normal 61 4 4 2 4 3" xfId="0"/>
    <cellStyle name="Normal 61 4 4 2 4 3 2" xfId="0"/>
    <cellStyle name="Normal 61 4 4 2 4 3 2 2" xfId="0"/>
    <cellStyle name="Normal 61 4 4 2 4 3 3" xfId="0"/>
    <cellStyle name="Normal 61 4 4 2 4 4" xfId="0"/>
    <cellStyle name="Normal 61 4 4 2 4 4 2" xfId="0"/>
    <cellStyle name="Normal 61 4 4 2 4 4 2 2" xfId="0"/>
    <cellStyle name="Normal 61 4 4 2 4 4 3" xfId="0"/>
    <cellStyle name="Normal 61 4 4 2 4 5" xfId="0"/>
    <cellStyle name="Normal 61 4 4 2 4 5 2" xfId="0"/>
    <cellStyle name="Normal 61 4 4 2 4 6" xfId="0"/>
    <cellStyle name="Normal 61 4 4 2 5" xfId="0"/>
    <cellStyle name="Normal 61 4 4 2 5 2" xfId="0"/>
    <cellStyle name="Normal 61 4 4 2 5 2 2" xfId="0"/>
    <cellStyle name="Normal 61 4 4 2 5 2 2 2" xfId="0"/>
    <cellStyle name="Normal 61 4 4 2 5 2 3" xfId="0"/>
    <cellStyle name="Normal 61 4 4 2 5 3" xfId="0"/>
    <cellStyle name="Normal 61 4 4 2 5 3 2" xfId="0"/>
    <cellStyle name="Normal 61 4 4 2 5 3 2 2" xfId="0"/>
    <cellStyle name="Normal 61 4 4 2 5 3 3" xfId="0"/>
    <cellStyle name="Normal 61 4 4 2 5 4" xfId="0"/>
    <cellStyle name="Normal 61 4 4 2 5 4 2" xfId="0"/>
    <cellStyle name="Normal 61 4 4 2 5 5" xfId="0"/>
    <cellStyle name="Normal 61 4 4 2 6" xfId="0"/>
    <cellStyle name="Normal 61 4 4 2 6 2" xfId="0"/>
    <cellStyle name="Normal 61 4 4 2 6 2 2" xfId="0"/>
    <cellStyle name="Normal 61 4 4 2 6 3" xfId="0"/>
    <cellStyle name="Normal 61 4 4 2 7" xfId="0"/>
    <cellStyle name="Normal 61 4 4 2 7 2" xfId="0"/>
    <cellStyle name="Normal 61 4 4 2 7 2 2" xfId="0"/>
    <cellStyle name="Normal 61 4 4 2 7 3" xfId="0"/>
    <cellStyle name="Normal 61 4 4 2 8" xfId="0"/>
    <cellStyle name="Normal 61 4 4 2 8 2" xfId="0"/>
    <cellStyle name="Normal 61 4 4 2 9" xfId="0"/>
    <cellStyle name="Normal 61 4 4 3" xfId="0"/>
    <cellStyle name="Normal 61 4 4 3 2" xfId="0"/>
    <cellStyle name="Normal 61 4 4 3 2 2" xfId="0"/>
    <cellStyle name="Normal 61 4 4 3 2 2 2" xfId="0"/>
    <cellStyle name="Normal 61 4 4 3 2 2 2 2" xfId="0"/>
    <cellStyle name="Normal 61 4 4 3 2 2 2 2 2" xfId="0"/>
    <cellStyle name="Normal 61 4 4 3 2 2 2 2 2 2" xfId="0"/>
    <cellStyle name="Normal 61 4 4 3 2 2 2 2 3" xfId="0"/>
    <cellStyle name="Normal 61 4 4 3 2 2 2 3" xfId="0"/>
    <cellStyle name="Normal 61 4 4 3 2 2 2 3 2" xfId="0"/>
    <cellStyle name="Normal 61 4 4 3 2 2 2 3 2 2" xfId="0"/>
    <cellStyle name="Normal 61 4 4 3 2 2 2 3 3" xfId="0"/>
    <cellStyle name="Normal 61 4 4 3 2 2 2 4" xfId="0"/>
    <cellStyle name="Normal 61 4 4 3 2 2 2 4 2" xfId="0"/>
    <cellStyle name="Normal 61 4 4 3 2 2 2 5" xfId="0"/>
    <cellStyle name="Normal 61 4 4 3 2 2 3" xfId="0"/>
    <cellStyle name="Normal 61 4 4 3 2 2 3 2" xfId="0"/>
    <cellStyle name="Normal 61 4 4 3 2 2 3 2 2" xfId="0"/>
    <cellStyle name="Normal 61 4 4 3 2 2 3 3" xfId="0"/>
    <cellStyle name="Normal 61 4 4 3 2 2 4" xfId="0"/>
    <cellStyle name="Normal 61 4 4 3 2 2 4 2" xfId="0"/>
    <cellStyle name="Normal 61 4 4 3 2 2 4 2 2" xfId="0"/>
    <cellStyle name="Normal 61 4 4 3 2 2 4 3" xfId="0"/>
    <cellStyle name="Normal 61 4 4 3 2 2 5" xfId="0"/>
    <cellStyle name="Normal 61 4 4 3 2 2 5 2" xfId="0"/>
    <cellStyle name="Normal 61 4 4 3 2 2 6" xfId="0"/>
    <cellStyle name="Normal 61 4 4 3 2 3" xfId="0"/>
    <cellStyle name="Normal 61 4 4 3 2 3 2" xfId="0"/>
    <cellStyle name="Normal 61 4 4 3 2 3 2 2" xfId="0"/>
    <cellStyle name="Normal 61 4 4 3 2 3 2 2 2" xfId="0"/>
    <cellStyle name="Normal 61 4 4 3 2 3 2 3" xfId="0"/>
    <cellStyle name="Normal 61 4 4 3 2 3 3" xfId="0"/>
    <cellStyle name="Normal 61 4 4 3 2 3 3 2" xfId="0"/>
    <cellStyle name="Normal 61 4 4 3 2 3 3 2 2" xfId="0"/>
    <cellStyle name="Normal 61 4 4 3 2 3 3 3" xfId="0"/>
    <cellStyle name="Normal 61 4 4 3 2 3 4" xfId="0"/>
    <cellStyle name="Normal 61 4 4 3 2 3 4 2" xfId="0"/>
    <cellStyle name="Normal 61 4 4 3 2 3 5" xfId="0"/>
    <cellStyle name="Normal 61 4 4 3 2 4" xfId="0"/>
    <cellStyle name="Normal 61 4 4 3 2 4 2" xfId="0"/>
    <cellStyle name="Normal 61 4 4 3 2 4 2 2" xfId="0"/>
    <cellStyle name="Normal 61 4 4 3 2 4 3" xfId="0"/>
    <cellStyle name="Normal 61 4 4 3 2 5" xfId="0"/>
    <cellStyle name="Normal 61 4 4 3 2 5 2" xfId="0"/>
    <cellStyle name="Normal 61 4 4 3 2 5 2 2" xfId="0"/>
    <cellStyle name="Normal 61 4 4 3 2 5 3" xfId="0"/>
    <cellStyle name="Normal 61 4 4 3 2 6" xfId="0"/>
    <cellStyle name="Normal 61 4 4 3 2 6 2" xfId="0"/>
    <cellStyle name="Normal 61 4 4 3 2 7" xfId="0"/>
    <cellStyle name="Normal 61 4 4 3 3" xfId="0"/>
    <cellStyle name="Normal 61 4 4 3 3 2" xfId="0"/>
    <cellStyle name="Normal 61 4 4 3 3 2 2" xfId="0"/>
    <cellStyle name="Normal 61 4 4 3 3 2 2 2" xfId="0"/>
    <cellStyle name="Normal 61 4 4 3 3 2 2 2 2" xfId="0"/>
    <cellStyle name="Normal 61 4 4 3 3 2 2 3" xfId="0"/>
    <cellStyle name="Normal 61 4 4 3 3 2 3" xfId="0"/>
    <cellStyle name="Normal 61 4 4 3 3 2 3 2" xfId="0"/>
    <cellStyle name="Normal 61 4 4 3 3 2 3 2 2" xfId="0"/>
    <cellStyle name="Normal 61 4 4 3 3 2 3 3" xfId="0"/>
    <cellStyle name="Normal 61 4 4 3 3 2 4" xfId="0"/>
    <cellStyle name="Normal 61 4 4 3 3 2 4 2" xfId="0"/>
    <cellStyle name="Normal 61 4 4 3 3 2 5" xfId="0"/>
    <cellStyle name="Normal 61 4 4 3 3 3" xfId="0"/>
    <cellStyle name="Normal 61 4 4 3 3 3 2" xfId="0"/>
    <cellStyle name="Normal 61 4 4 3 3 3 2 2" xfId="0"/>
    <cellStyle name="Normal 61 4 4 3 3 3 3" xfId="0"/>
    <cellStyle name="Normal 61 4 4 3 3 4" xfId="0"/>
    <cellStyle name="Normal 61 4 4 3 3 4 2" xfId="0"/>
    <cellStyle name="Normal 61 4 4 3 3 4 2 2" xfId="0"/>
    <cellStyle name="Normal 61 4 4 3 3 4 3" xfId="0"/>
    <cellStyle name="Normal 61 4 4 3 3 5" xfId="0"/>
    <cellStyle name="Normal 61 4 4 3 3 5 2" xfId="0"/>
    <cellStyle name="Normal 61 4 4 3 3 6" xfId="0"/>
    <cellStyle name="Normal 61 4 4 3 4" xfId="0"/>
    <cellStyle name="Normal 61 4 4 3 4 2" xfId="0"/>
    <cellStyle name="Normal 61 4 4 3 4 2 2" xfId="0"/>
    <cellStyle name="Normal 61 4 4 3 4 2 2 2" xfId="0"/>
    <cellStyle name="Normal 61 4 4 3 4 2 3" xfId="0"/>
    <cellStyle name="Normal 61 4 4 3 4 3" xfId="0"/>
    <cellStyle name="Normal 61 4 4 3 4 3 2" xfId="0"/>
    <cellStyle name="Normal 61 4 4 3 4 3 2 2" xfId="0"/>
    <cellStyle name="Normal 61 4 4 3 4 3 3" xfId="0"/>
    <cellStyle name="Normal 61 4 4 3 4 4" xfId="0"/>
    <cellStyle name="Normal 61 4 4 3 4 4 2" xfId="0"/>
    <cellStyle name="Normal 61 4 4 3 4 5" xfId="0"/>
    <cellStyle name="Normal 61 4 4 3 5" xfId="0"/>
    <cellStyle name="Normal 61 4 4 3 5 2" xfId="0"/>
    <cellStyle name="Normal 61 4 4 3 5 2 2" xfId="0"/>
    <cellStyle name="Normal 61 4 4 3 5 3" xfId="0"/>
    <cellStyle name="Normal 61 4 4 3 6" xfId="0"/>
    <cellStyle name="Normal 61 4 4 3 6 2" xfId="0"/>
    <cellStyle name="Normal 61 4 4 3 6 2 2" xfId="0"/>
    <cellStyle name="Normal 61 4 4 3 6 3" xfId="0"/>
    <cellStyle name="Normal 61 4 4 3 7" xfId="0"/>
    <cellStyle name="Normal 61 4 4 3 7 2" xfId="0"/>
    <cellStyle name="Normal 61 4 4 3 8" xfId="0"/>
    <cellStyle name="Normal 61 4 4 4" xfId="0"/>
    <cellStyle name="Normal 61 4 4 4 2" xfId="0"/>
    <cellStyle name="Normal 61 4 4 4 2 2" xfId="0"/>
    <cellStyle name="Normal 61 4 4 4 2 2 2" xfId="0"/>
    <cellStyle name="Normal 61 4 4 4 2 2 2 2" xfId="0"/>
    <cellStyle name="Normal 61 4 4 4 2 2 2 2 2" xfId="0"/>
    <cellStyle name="Normal 61 4 4 4 2 2 2 3" xfId="0"/>
    <cellStyle name="Normal 61 4 4 4 2 2 3" xfId="0"/>
    <cellStyle name="Normal 61 4 4 4 2 2 3 2" xfId="0"/>
    <cellStyle name="Normal 61 4 4 4 2 2 3 2 2" xfId="0"/>
    <cellStyle name="Normal 61 4 4 4 2 2 3 3" xfId="0"/>
    <cellStyle name="Normal 61 4 4 4 2 2 4" xfId="0"/>
    <cellStyle name="Normal 61 4 4 4 2 2 4 2" xfId="0"/>
    <cellStyle name="Normal 61 4 4 4 2 2 5" xfId="0"/>
    <cellStyle name="Normal 61 4 4 4 2 3" xfId="0"/>
    <cellStyle name="Normal 61 4 4 4 2 3 2" xfId="0"/>
    <cellStyle name="Normal 61 4 4 4 2 3 2 2" xfId="0"/>
    <cellStyle name="Normal 61 4 4 4 2 3 3" xfId="0"/>
    <cellStyle name="Normal 61 4 4 4 2 4" xfId="0"/>
    <cellStyle name="Normal 61 4 4 4 2 4 2" xfId="0"/>
    <cellStyle name="Normal 61 4 4 4 2 4 2 2" xfId="0"/>
    <cellStyle name="Normal 61 4 4 4 2 4 3" xfId="0"/>
    <cellStyle name="Normal 61 4 4 4 2 5" xfId="0"/>
    <cellStyle name="Normal 61 4 4 4 2 5 2" xfId="0"/>
    <cellStyle name="Normal 61 4 4 4 2 6" xfId="0"/>
    <cellStyle name="Normal 61 4 4 4 3" xfId="0"/>
    <cellStyle name="Normal 61 4 4 4 3 2" xfId="0"/>
    <cellStyle name="Normal 61 4 4 4 3 2 2" xfId="0"/>
    <cellStyle name="Normal 61 4 4 4 3 2 2 2" xfId="0"/>
    <cellStyle name="Normal 61 4 4 4 3 2 3" xfId="0"/>
    <cellStyle name="Normal 61 4 4 4 3 3" xfId="0"/>
    <cellStyle name="Normal 61 4 4 4 3 3 2" xfId="0"/>
    <cellStyle name="Normal 61 4 4 4 3 3 2 2" xfId="0"/>
    <cellStyle name="Normal 61 4 4 4 3 3 3" xfId="0"/>
    <cellStyle name="Normal 61 4 4 4 3 4" xfId="0"/>
    <cellStyle name="Normal 61 4 4 4 3 4 2" xfId="0"/>
    <cellStyle name="Normal 61 4 4 4 3 5" xfId="0"/>
    <cellStyle name="Normal 61 4 4 4 4" xfId="0"/>
    <cellStyle name="Normal 61 4 4 4 4 2" xfId="0"/>
    <cellStyle name="Normal 61 4 4 4 4 2 2" xfId="0"/>
    <cellStyle name="Normal 61 4 4 4 4 3" xfId="0"/>
    <cellStyle name="Normal 61 4 4 4 5" xfId="0"/>
    <cellStyle name="Normal 61 4 4 4 5 2" xfId="0"/>
    <cellStyle name="Normal 61 4 4 4 5 2 2" xfId="0"/>
    <cellStyle name="Normal 61 4 4 4 5 3" xfId="0"/>
    <cellStyle name="Normal 61 4 4 4 6" xfId="0"/>
    <cellStyle name="Normal 61 4 4 4 6 2" xfId="0"/>
    <cellStyle name="Normal 61 4 4 4 7" xfId="0"/>
    <cellStyle name="Normal 61 4 4 5" xfId="0"/>
    <cellStyle name="Normal 61 4 4 5 2" xfId="0"/>
    <cellStyle name="Normal 61 4 4 5 2 2" xfId="0"/>
    <cellStyle name="Normal 61 4 4 5 2 2 2" xfId="0"/>
    <cellStyle name="Normal 61 4 4 5 2 2 2 2" xfId="0"/>
    <cellStyle name="Normal 61 4 4 5 2 2 3" xfId="0"/>
    <cellStyle name="Normal 61 4 4 5 2 3" xfId="0"/>
    <cellStyle name="Normal 61 4 4 5 2 3 2" xfId="0"/>
    <cellStyle name="Normal 61 4 4 5 2 3 2 2" xfId="0"/>
    <cellStyle name="Normal 61 4 4 5 2 3 3" xfId="0"/>
    <cellStyle name="Normal 61 4 4 5 2 4" xfId="0"/>
    <cellStyle name="Normal 61 4 4 5 2 4 2" xfId="0"/>
    <cellStyle name="Normal 61 4 4 5 2 5" xfId="0"/>
    <cellStyle name="Normal 61 4 4 5 3" xfId="0"/>
    <cellStyle name="Normal 61 4 4 5 3 2" xfId="0"/>
    <cellStyle name="Normal 61 4 4 5 3 2 2" xfId="0"/>
    <cellStyle name="Normal 61 4 4 5 3 3" xfId="0"/>
    <cellStyle name="Normal 61 4 4 5 4" xfId="0"/>
    <cellStyle name="Normal 61 4 4 5 4 2" xfId="0"/>
    <cellStyle name="Normal 61 4 4 5 4 2 2" xfId="0"/>
    <cellStyle name="Normal 61 4 4 5 4 3" xfId="0"/>
    <cellStyle name="Normal 61 4 4 5 5" xfId="0"/>
    <cellStyle name="Normal 61 4 4 5 5 2" xfId="0"/>
    <cellStyle name="Normal 61 4 4 5 6" xfId="0"/>
    <cellStyle name="Normal 61 4 4 6" xfId="0"/>
    <cellStyle name="Normal 61 4 4 6 2" xfId="0"/>
    <cellStyle name="Normal 61 4 4 6 2 2" xfId="0"/>
    <cellStyle name="Normal 61 4 4 6 2 2 2" xfId="0"/>
    <cellStyle name="Normal 61 4 4 6 2 3" xfId="0"/>
    <cellStyle name="Normal 61 4 4 6 3" xfId="0"/>
    <cellStyle name="Normal 61 4 4 6 3 2" xfId="0"/>
    <cellStyle name="Normal 61 4 4 6 3 2 2" xfId="0"/>
    <cellStyle name="Normal 61 4 4 6 3 3" xfId="0"/>
    <cellStyle name="Normal 61 4 4 6 4" xfId="0"/>
    <cellStyle name="Normal 61 4 4 6 4 2" xfId="0"/>
    <cellStyle name="Normal 61 4 4 6 5" xfId="0"/>
    <cellStyle name="Normal 61 4 4 7" xfId="0"/>
    <cellStyle name="Normal 61 4 4 7 2" xfId="0"/>
    <cellStyle name="Normal 61 4 4 7 2 2" xfId="0"/>
    <cellStyle name="Normal 61 4 4 7 3" xfId="0"/>
    <cellStyle name="Normal 61 4 4 8" xfId="0"/>
    <cellStyle name="Normal 61 4 4 8 2" xfId="0"/>
    <cellStyle name="Normal 61 4 4 8 2 2" xfId="0"/>
    <cellStyle name="Normal 61 4 4 8 3" xfId="0"/>
    <cellStyle name="Normal 61 4 4 9" xfId="0"/>
    <cellStyle name="Normal 61 4 4 9 2" xfId="0"/>
    <cellStyle name="Normal 61 4 5" xfId="0"/>
    <cellStyle name="Normal 61 4 5 2" xfId="0"/>
    <cellStyle name="Normal 61 4 5 2 2" xfId="0"/>
    <cellStyle name="Normal 61 4 5 2 2 2" xfId="0"/>
    <cellStyle name="Normal 61 4 5 2 2 2 2" xfId="0"/>
    <cellStyle name="Normal 61 4 5 2 2 2 2 2" xfId="0"/>
    <cellStyle name="Normal 61 4 5 2 2 2 2 2 2" xfId="0"/>
    <cellStyle name="Normal 61 4 5 2 2 2 2 2 2 2" xfId="0"/>
    <cellStyle name="Normal 61 4 5 2 2 2 2 2 3" xfId="0"/>
    <cellStyle name="Normal 61 4 5 2 2 2 2 3" xfId="0"/>
    <cellStyle name="Normal 61 4 5 2 2 2 2 3 2" xfId="0"/>
    <cellStyle name="Normal 61 4 5 2 2 2 2 3 2 2" xfId="0"/>
    <cellStyle name="Normal 61 4 5 2 2 2 2 3 3" xfId="0"/>
    <cellStyle name="Normal 61 4 5 2 2 2 2 4" xfId="0"/>
    <cellStyle name="Normal 61 4 5 2 2 2 2 4 2" xfId="0"/>
    <cellStyle name="Normal 61 4 5 2 2 2 2 5" xfId="0"/>
    <cellStyle name="Normal 61 4 5 2 2 2 3" xfId="0"/>
    <cellStyle name="Normal 61 4 5 2 2 2 3 2" xfId="0"/>
    <cellStyle name="Normal 61 4 5 2 2 2 3 2 2" xfId="0"/>
    <cellStyle name="Normal 61 4 5 2 2 2 3 3" xfId="0"/>
    <cellStyle name="Normal 61 4 5 2 2 2 4" xfId="0"/>
    <cellStyle name="Normal 61 4 5 2 2 2 4 2" xfId="0"/>
    <cellStyle name="Normal 61 4 5 2 2 2 4 2 2" xfId="0"/>
    <cellStyle name="Normal 61 4 5 2 2 2 4 3" xfId="0"/>
    <cellStyle name="Normal 61 4 5 2 2 2 5" xfId="0"/>
    <cellStyle name="Normal 61 4 5 2 2 2 5 2" xfId="0"/>
    <cellStyle name="Normal 61 4 5 2 2 2 6" xfId="0"/>
    <cellStyle name="Normal 61 4 5 2 2 3" xfId="0"/>
    <cellStyle name="Normal 61 4 5 2 2 3 2" xfId="0"/>
    <cellStyle name="Normal 61 4 5 2 2 3 2 2" xfId="0"/>
    <cellStyle name="Normal 61 4 5 2 2 3 2 2 2" xfId="0"/>
    <cellStyle name="Normal 61 4 5 2 2 3 2 3" xfId="0"/>
    <cellStyle name="Normal 61 4 5 2 2 3 3" xfId="0"/>
    <cellStyle name="Normal 61 4 5 2 2 3 3 2" xfId="0"/>
    <cellStyle name="Normal 61 4 5 2 2 3 3 2 2" xfId="0"/>
    <cellStyle name="Normal 61 4 5 2 2 3 3 3" xfId="0"/>
    <cellStyle name="Normal 61 4 5 2 2 3 4" xfId="0"/>
    <cellStyle name="Normal 61 4 5 2 2 3 4 2" xfId="0"/>
    <cellStyle name="Normal 61 4 5 2 2 3 5" xfId="0"/>
    <cellStyle name="Normal 61 4 5 2 2 4" xfId="0"/>
    <cellStyle name="Normal 61 4 5 2 2 4 2" xfId="0"/>
    <cellStyle name="Normal 61 4 5 2 2 4 2 2" xfId="0"/>
    <cellStyle name="Normal 61 4 5 2 2 4 3" xfId="0"/>
    <cellStyle name="Normal 61 4 5 2 2 5" xfId="0"/>
    <cellStyle name="Normal 61 4 5 2 2 5 2" xfId="0"/>
    <cellStyle name="Normal 61 4 5 2 2 5 2 2" xfId="0"/>
    <cellStyle name="Normal 61 4 5 2 2 5 3" xfId="0"/>
    <cellStyle name="Normal 61 4 5 2 2 6" xfId="0"/>
    <cellStyle name="Normal 61 4 5 2 2 6 2" xfId="0"/>
    <cellStyle name="Normal 61 4 5 2 2 7" xfId="0"/>
    <cellStyle name="Normal 61 4 5 2 3" xfId="0"/>
    <cellStyle name="Normal 61 4 5 2 3 2" xfId="0"/>
    <cellStyle name="Normal 61 4 5 2 3 2 2" xfId="0"/>
    <cellStyle name="Normal 61 4 5 2 3 2 2 2" xfId="0"/>
    <cellStyle name="Normal 61 4 5 2 3 2 2 2 2" xfId="0"/>
    <cellStyle name="Normal 61 4 5 2 3 2 2 3" xfId="0"/>
    <cellStyle name="Normal 61 4 5 2 3 2 3" xfId="0"/>
    <cellStyle name="Normal 61 4 5 2 3 2 3 2" xfId="0"/>
    <cellStyle name="Normal 61 4 5 2 3 2 3 2 2" xfId="0"/>
    <cellStyle name="Normal 61 4 5 2 3 2 3 3" xfId="0"/>
    <cellStyle name="Normal 61 4 5 2 3 2 4" xfId="0"/>
    <cellStyle name="Normal 61 4 5 2 3 2 4 2" xfId="0"/>
    <cellStyle name="Normal 61 4 5 2 3 2 5" xfId="0"/>
    <cellStyle name="Normal 61 4 5 2 3 3" xfId="0"/>
    <cellStyle name="Normal 61 4 5 2 3 3 2" xfId="0"/>
    <cellStyle name="Normal 61 4 5 2 3 3 2 2" xfId="0"/>
    <cellStyle name="Normal 61 4 5 2 3 3 3" xfId="0"/>
    <cellStyle name="Normal 61 4 5 2 3 4" xfId="0"/>
    <cellStyle name="Normal 61 4 5 2 3 4 2" xfId="0"/>
    <cellStyle name="Normal 61 4 5 2 3 4 2 2" xfId="0"/>
    <cellStyle name="Normal 61 4 5 2 3 4 3" xfId="0"/>
    <cellStyle name="Normal 61 4 5 2 3 5" xfId="0"/>
    <cellStyle name="Normal 61 4 5 2 3 5 2" xfId="0"/>
    <cellStyle name="Normal 61 4 5 2 3 6" xfId="0"/>
    <cellStyle name="Normal 61 4 5 2 4" xfId="0"/>
    <cellStyle name="Normal 61 4 5 2 4 2" xfId="0"/>
    <cellStyle name="Normal 61 4 5 2 4 2 2" xfId="0"/>
    <cellStyle name="Normal 61 4 5 2 4 2 2 2" xfId="0"/>
    <cellStyle name="Normal 61 4 5 2 4 2 3" xfId="0"/>
    <cellStyle name="Normal 61 4 5 2 4 3" xfId="0"/>
    <cellStyle name="Normal 61 4 5 2 4 3 2" xfId="0"/>
    <cellStyle name="Normal 61 4 5 2 4 3 2 2" xfId="0"/>
    <cellStyle name="Normal 61 4 5 2 4 3 3" xfId="0"/>
    <cellStyle name="Normal 61 4 5 2 4 4" xfId="0"/>
    <cellStyle name="Normal 61 4 5 2 4 4 2" xfId="0"/>
    <cellStyle name="Normal 61 4 5 2 4 5" xfId="0"/>
    <cellStyle name="Normal 61 4 5 2 5" xfId="0"/>
    <cellStyle name="Normal 61 4 5 2 5 2" xfId="0"/>
    <cellStyle name="Normal 61 4 5 2 5 2 2" xfId="0"/>
    <cellStyle name="Normal 61 4 5 2 5 3" xfId="0"/>
    <cellStyle name="Normal 61 4 5 2 6" xfId="0"/>
    <cellStyle name="Normal 61 4 5 2 6 2" xfId="0"/>
    <cellStyle name="Normal 61 4 5 2 6 2 2" xfId="0"/>
    <cellStyle name="Normal 61 4 5 2 6 3" xfId="0"/>
    <cellStyle name="Normal 61 4 5 2 7" xfId="0"/>
    <cellStyle name="Normal 61 4 5 2 7 2" xfId="0"/>
    <cellStyle name="Normal 61 4 5 2 8" xfId="0"/>
    <cellStyle name="Normal 61 4 5 3" xfId="0"/>
    <cellStyle name="Normal 61 4 5 3 2" xfId="0"/>
    <cellStyle name="Normal 61 4 5 3 2 2" xfId="0"/>
    <cellStyle name="Normal 61 4 5 3 2 2 2" xfId="0"/>
    <cellStyle name="Normal 61 4 5 3 2 2 2 2" xfId="0"/>
    <cellStyle name="Normal 61 4 5 3 2 2 2 2 2" xfId="0"/>
    <cellStyle name="Normal 61 4 5 3 2 2 2 3" xfId="0"/>
    <cellStyle name="Normal 61 4 5 3 2 2 3" xfId="0"/>
    <cellStyle name="Normal 61 4 5 3 2 2 3 2" xfId="0"/>
    <cellStyle name="Normal 61 4 5 3 2 2 3 2 2" xfId="0"/>
    <cellStyle name="Normal 61 4 5 3 2 2 3 3" xfId="0"/>
    <cellStyle name="Normal 61 4 5 3 2 2 4" xfId="0"/>
    <cellStyle name="Normal 61 4 5 3 2 2 4 2" xfId="0"/>
    <cellStyle name="Normal 61 4 5 3 2 2 5" xfId="0"/>
    <cellStyle name="Normal 61 4 5 3 2 3" xfId="0"/>
    <cellStyle name="Normal 61 4 5 3 2 3 2" xfId="0"/>
    <cellStyle name="Normal 61 4 5 3 2 3 2 2" xfId="0"/>
    <cellStyle name="Normal 61 4 5 3 2 3 3" xfId="0"/>
    <cellStyle name="Normal 61 4 5 3 2 4" xfId="0"/>
    <cellStyle name="Normal 61 4 5 3 2 4 2" xfId="0"/>
    <cellStyle name="Normal 61 4 5 3 2 4 2 2" xfId="0"/>
    <cellStyle name="Normal 61 4 5 3 2 4 3" xfId="0"/>
    <cellStyle name="Normal 61 4 5 3 2 5" xfId="0"/>
    <cellStyle name="Normal 61 4 5 3 2 5 2" xfId="0"/>
    <cellStyle name="Normal 61 4 5 3 2 6" xfId="0"/>
    <cellStyle name="Normal 61 4 5 3 3" xfId="0"/>
    <cellStyle name="Normal 61 4 5 3 3 2" xfId="0"/>
    <cellStyle name="Normal 61 4 5 3 3 2 2" xfId="0"/>
    <cellStyle name="Normal 61 4 5 3 3 2 2 2" xfId="0"/>
    <cellStyle name="Normal 61 4 5 3 3 2 3" xfId="0"/>
    <cellStyle name="Normal 61 4 5 3 3 3" xfId="0"/>
    <cellStyle name="Normal 61 4 5 3 3 3 2" xfId="0"/>
    <cellStyle name="Normal 61 4 5 3 3 3 2 2" xfId="0"/>
    <cellStyle name="Normal 61 4 5 3 3 3 3" xfId="0"/>
    <cellStyle name="Normal 61 4 5 3 3 4" xfId="0"/>
    <cellStyle name="Normal 61 4 5 3 3 4 2" xfId="0"/>
    <cellStyle name="Normal 61 4 5 3 3 5" xfId="0"/>
    <cellStyle name="Normal 61 4 5 3 4" xfId="0"/>
    <cellStyle name="Normal 61 4 5 3 4 2" xfId="0"/>
    <cellStyle name="Normal 61 4 5 3 4 2 2" xfId="0"/>
    <cellStyle name="Normal 61 4 5 3 4 3" xfId="0"/>
    <cellStyle name="Normal 61 4 5 3 5" xfId="0"/>
    <cellStyle name="Normal 61 4 5 3 5 2" xfId="0"/>
    <cellStyle name="Normal 61 4 5 3 5 2 2" xfId="0"/>
    <cellStyle name="Normal 61 4 5 3 5 3" xfId="0"/>
    <cellStyle name="Normal 61 4 5 3 6" xfId="0"/>
    <cellStyle name="Normal 61 4 5 3 6 2" xfId="0"/>
    <cellStyle name="Normal 61 4 5 3 7" xfId="0"/>
    <cellStyle name="Normal 61 4 5 4" xfId="0"/>
    <cellStyle name="Normal 61 4 5 4 2" xfId="0"/>
    <cellStyle name="Normal 61 4 5 4 2 2" xfId="0"/>
    <cellStyle name="Normal 61 4 5 4 2 2 2" xfId="0"/>
    <cellStyle name="Normal 61 4 5 4 2 2 2 2" xfId="0"/>
    <cellStyle name="Normal 61 4 5 4 2 2 3" xfId="0"/>
    <cellStyle name="Normal 61 4 5 4 2 3" xfId="0"/>
    <cellStyle name="Normal 61 4 5 4 2 3 2" xfId="0"/>
    <cellStyle name="Normal 61 4 5 4 2 3 2 2" xfId="0"/>
    <cellStyle name="Normal 61 4 5 4 2 3 3" xfId="0"/>
    <cellStyle name="Normal 61 4 5 4 2 4" xfId="0"/>
    <cellStyle name="Normal 61 4 5 4 2 4 2" xfId="0"/>
    <cellStyle name="Normal 61 4 5 4 2 5" xfId="0"/>
    <cellStyle name="Normal 61 4 5 4 3" xfId="0"/>
    <cellStyle name="Normal 61 4 5 4 3 2" xfId="0"/>
    <cellStyle name="Normal 61 4 5 4 3 2 2" xfId="0"/>
    <cellStyle name="Normal 61 4 5 4 3 3" xfId="0"/>
    <cellStyle name="Normal 61 4 5 4 4" xfId="0"/>
    <cellStyle name="Normal 61 4 5 4 4 2" xfId="0"/>
    <cellStyle name="Normal 61 4 5 4 4 2 2" xfId="0"/>
    <cellStyle name="Normal 61 4 5 4 4 3" xfId="0"/>
    <cellStyle name="Normal 61 4 5 4 5" xfId="0"/>
    <cellStyle name="Normal 61 4 5 4 5 2" xfId="0"/>
    <cellStyle name="Normal 61 4 5 4 6" xfId="0"/>
    <cellStyle name="Normal 61 4 5 5" xfId="0"/>
    <cellStyle name="Normal 61 4 5 5 2" xfId="0"/>
    <cellStyle name="Normal 61 4 5 5 2 2" xfId="0"/>
    <cellStyle name="Normal 61 4 5 5 2 2 2" xfId="0"/>
    <cellStyle name="Normal 61 4 5 5 2 3" xfId="0"/>
    <cellStyle name="Normal 61 4 5 5 3" xfId="0"/>
    <cellStyle name="Normal 61 4 5 5 3 2" xfId="0"/>
    <cellStyle name="Normal 61 4 5 5 3 2 2" xfId="0"/>
    <cellStyle name="Normal 61 4 5 5 3 3" xfId="0"/>
    <cellStyle name="Normal 61 4 5 5 4" xfId="0"/>
    <cellStyle name="Normal 61 4 5 5 4 2" xfId="0"/>
    <cellStyle name="Normal 61 4 5 5 5" xfId="0"/>
    <cellStyle name="Normal 61 4 5 6" xfId="0"/>
    <cellStyle name="Normal 61 4 5 6 2" xfId="0"/>
    <cellStyle name="Normal 61 4 5 6 2 2" xfId="0"/>
    <cellStyle name="Normal 61 4 5 6 3" xfId="0"/>
    <cellStyle name="Normal 61 4 5 7" xfId="0"/>
    <cellStyle name="Normal 61 4 5 7 2" xfId="0"/>
    <cellStyle name="Normal 61 4 5 7 2 2" xfId="0"/>
    <cellStyle name="Normal 61 4 5 7 3" xfId="0"/>
    <cellStyle name="Normal 61 4 5 8" xfId="0"/>
    <cellStyle name="Normal 61 4 5 8 2" xfId="0"/>
    <cellStyle name="Normal 61 4 5 9" xfId="0"/>
    <cellStyle name="Normal 61 4 6" xfId="0"/>
    <cellStyle name="Normal 61 4 6 2" xfId="0"/>
    <cellStyle name="Normal 61 4 6 2 2" xfId="0"/>
    <cellStyle name="Normal 61 4 6 2 2 2" xfId="0"/>
    <cellStyle name="Normal 61 4 6 2 2 2 2" xfId="0"/>
    <cellStyle name="Normal 61 4 6 2 2 2 2 2" xfId="0"/>
    <cellStyle name="Normal 61 4 6 2 2 2 2 2 2" xfId="0"/>
    <cellStyle name="Normal 61 4 6 2 2 2 2 3" xfId="0"/>
    <cellStyle name="Normal 61 4 6 2 2 2 3" xfId="0"/>
    <cellStyle name="Normal 61 4 6 2 2 2 3 2" xfId="0"/>
    <cellStyle name="Normal 61 4 6 2 2 2 3 2 2" xfId="0"/>
    <cellStyle name="Normal 61 4 6 2 2 2 3 3" xfId="0"/>
    <cellStyle name="Normal 61 4 6 2 2 2 4" xfId="0"/>
    <cellStyle name="Normal 61 4 6 2 2 2 4 2" xfId="0"/>
    <cellStyle name="Normal 61 4 6 2 2 2 5" xfId="0"/>
    <cellStyle name="Normal 61 4 6 2 2 3" xfId="0"/>
    <cellStyle name="Normal 61 4 6 2 2 3 2" xfId="0"/>
    <cellStyle name="Normal 61 4 6 2 2 3 2 2" xfId="0"/>
    <cellStyle name="Normal 61 4 6 2 2 3 3" xfId="0"/>
    <cellStyle name="Normal 61 4 6 2 2 4" xfId="0"/>
    <cellStyle name="Normal 61 4 6 2 2 4 2" xfId="0"/>
    <cellStyle name="Normal 61 4 6 2 2 4 2 2" xfId="0"/>
    <cellStyle name="Normal 61 4 6 2 2 4 3" xfId="0"/>
    <cellStyle name="Normal 61 4 6 2 2 5" xfId="0"/>
    <cellStyle name="Normal 61 4 6 2 2 5 2" xfId="0"/>
    <cellStyle name="Normal 61 4 6 2 2 6" xfId="0"/>
    <cellStyle name="Normal 61 4 6 2 3" xfId="0"/>
    <cellStyle name="Normal 61 4 6 2 3 2" xfId="0"/>
    <cellStyle name="Normal 61 4 6 2 3 2 2" xfId="0"/>
    <cellStyle name="Normal 61 4 6 2 3 2 2 2" xfId="0"/>
    <cellStyle name="Normal 61 4 6 2 3 2 3" xfId="0"/>
    <cellStyle name="Normal 61 4 6 2 3 3" xfId="0"/>
    <cellStyle name="Normal 61 4 6 2 3 3 2" xfId="0"/>
    <cellStyle name="Normal 61 4 6 2 3 3 2 2" xfId="0"/>
    <cellStyle name="Normal 61 4 6 2 3 3 3" xfId="0"/>
    <cellStyle name="Normal 61 4 6 2 3 4" xfId="0"/>
    <cellStyle name="Normal 61 4 6 2 3 4 2" xfId="0"/>
    <cellStyle name="Normal 61 4 6 2 3 5" xfId="0"/>
    <cellStyle name="Normal 61 4 6 2 4" xfId="0"/>
    <cellStyle name="Normal 61 4 6 2 4 2" xfId="0"/>
    <cellStyle name="Normal 61 4 6 2 4 2 2" xfId="0"/>
    <cellStyle name="Normal 61 4 6 2 4 3" xfId="0"/>
    <cellStyle name="Normal 61 4 6 2 5" xfId="0"/>
    <cellStyle name="Normal 61 4 6 2 5 2" xfId="0"/>
    <cellStyle name="Normal 61 4 6 2 5 2 2" xfId="0"/>
    <cellStyle name="Normal 61 4 6 2 5 3" xfId="0"/>
    <cellStyle name="Normal 61 4 6 2 6" xfId="0"/>
    <cellStyle name="Normal 61 4 6 2 6 2" xfId="0"/>
    <cellStyle name="Normal 61 4 6 2 7" xfId="0"/>
    <cellStyle name="Normal 61 4 6 3" xfId="0"/>
    <cellStyle name="Normal 61 4 6 3 2" xfId="0"/>
    <cellStyle name="Normal 61 4 6 3 2 2" xfId="0"/>
    <cellStyle name="Normal 61 4 6 3 2 2 2" xfId="0"/>
    <cellStyle name="Normal 61 4 6 3 2 2 2 2" xfId="0"/>
    <cellStyle name="Normal 61 4 6 3 2 2 3" xfId="0"/>
    <cellStyle name="Normal 61 4 6 3 2 3" xfId="0"/>
    <cellStyle name="Normal 61 4 6 3 2 3 2" xfId="0"/>
    <cellStyle name="Normal 61 4 6 3 2 3 2 2" xfId="0"/>
    <cellStyle name="Normal 61 4 6 3 2 3 3" xfId="0"/>
    <cellStyle name="Normal 61 4 6 3 2 4" xfId="0"/>
    <cellStyle name="Normal 61 4 6 3 2 4 2" xfId="0"/>
    <cellStyle name="Normal 61 4 6 3 2 5" xfId="0"/>
    <cellStyle name="Normal 61 4 6 3 3" xfId="0"/>
    <cellStyle name="Normal 61 4 6 3 3 2" xfId="0"/>
    <cellStyle name="Normal 61 4 6 3 3 2 2" xfId="0"/>
    <cellStyle name="Normal 61 4 6 3 3 3" xfId="0"/>
    <cellStyle name="Normal 61 4 6 3 4" xfId="0"/>
    <cellStyle name="Normal 61 4 6 3 4 2" xfId="0"/>
    <cellStyle name="Normal 61 4 6 3 4 2 2" xfId="0"/>
    <cellStyle name="Normal 61 4 6 3 4 3" xfId="0"/>
    <cellStyle name="Normal 61 4 6 3 5" xfId="0"/>
    <cellStyle name="Normal 61 4 6 3 5 2" xfId="0"/>
    <cellStyle name="Normal 61 4 6 3 6" xfId="0"/>
    <cellStyle name="Normal 61 4 6 4" xfId="0"/>
    <cellStyle name="Normal 61 4 6 4 2" xfId="0"/>
    <cellStyle name="Normal 61 4 6 4 2 2" xfId="0"/>
    <cellStyle name="Normal 61 4 6 4 2 2 2" xfId="0"/>
    <cellStyle name="Normal 61 4 6 4 2 3" xfId="0"/>
    <cellStyle name="Normal 61 4 6 4 3" xfId="0"/>
    <cellStyle name="Normal 61 4 6 4 3 2" xfId="0"/>
    <cellStyle name="Normal 61 4 6 4 3 2 2" xfId="0"/>
    <cellStyle name="Normal 61 4 6 4 3 3" xfId="0"/>
    <cellStyle name="Normal 61 4 6 4 4" xfId="0"/>
    <cellStyle name="Normal 61 4 6 4 4 2" xfId="0"/>
    <cellStyle name="Normal 61 4 6 4 5" xfId="0"/>
    <cellStyle name="Normal 61 4 6 5" xfId="0"/>
    <cellStyle name="Normal 61 4 6 5 2" xfId="0"/>
    <cellStyle name="Normal 61 4 6 5 2 2" xfId="0"/>
    <cellStyle name="Normal 61 4 6 5 3" xfId="0"/>
    <cellStyle name="Normal 61 4 6 6" xfId="0"/>
    <cellStyle name="Normal 61 4 6 6 2" xfId="0"/>
    <cellStyle name="Normal 61 4 6 6 2 2" xfId="0"/>
    <cellStyle name="Normal 61 4 6 6 3" xfId="0"/>
    <cellStyle name="Normal 61 4 6 7" xfId="0"/>
    <cellStyle name="Normal 61 4 6 7 2" xfId="0"/>
    <cellStyle name="Normal 61 4 6 8" xfId="0"/>
    <cellStyle name="Normal 61 4 7" xfId="0"/>
    <cellStyle name="Normal 61 4 7 2" xfId="0"/>
    <cellStyle name="Normal 61 4 7 2 2" xfId="0"/>
    <cellStyle name="Normal 61 4 7 2 2 2" xfId="0"/>
    <cellStyle name="Normal 61 4 7 2 2 2 2" xfId="0"/>
    <cellStyle name="Normal 61 4 7 2 2 2 2 2" xfId="0"/>
    <cellStyle name="Normal 61 4 7 2 2 2 3" xfId="0"/>
    <cellStyle name="Normal 61 4 7 2 2 3" xfId="0"/>
    <cellStyle name="Normal 61 4 7 2 2 3 2" xfId="0"/>
    <cellStyle name="Normal 61 4 7 2 2 3 2 2" xfId="0"/>
    <cellStyle name="Normal 61 4 7 2 2 3 3" xfId="0"/>
    <cellStyle name="Normal 61 4 7 2 2 4" xfId="0"/>
    <cellStyle name="Normal 61 4 7 2 2 4 2" xfId="0"/>
    <cellStyle name="Normal 61 4 7 2 2 5" xfId="0"/>
    <cellStyle name="Normal 61 4 7 2 3" xfId="0"/>
    <cellStyle name="Normal 61 4 7 2 3 2" xfId="0"/>
    <cellStyle name="Normal 61 4 7 2 3 2 2" xfId="0"/>
    <cellStyle name="Normal 61 4 7 2 3 3" xfId="0"/>
    <cellStyle name="Normal 61 4 7 2 4" xfId="0"/>
    <cellStyle name="Normal 61 4 7 2 4 2" xfId="0"/>
    <cellStyle name="Normal 61 4 7 2 4 2 2" xfId="0"/>
    <cellStyle name="Normal 61 4 7 2 4 3" xfId="0"/>
    <cellStyle name="Normal 61 4 7 2 5" xfId="0"/>
    <cellStyle name="Normal 61 4 7 2 5 2" xfId="0"/>
    <cellStyle name="Normal 61 4 7 2 6" xfId="0"/>
    <cellStyle name="Normal 61 4 7 3" xfId="0"/>
    <cellStyle name="Normal 61 4 7 3 2" xfId="0"/>
    <cellStyle name="Normal 61 4 7 3 2 2" xfId="0"/>
    <cellStyle name="Normal 61 4 7 3 2 2 2" xfId="0"/>
    <cellStyle name="Normal 61 4 7 3 2 3" xfId="0"/>
    <cellStyle name="Normal 61 4 7 3 3" xfId="0"/>
    <cellStyle name="Normal 61 4 7 3 3 2" xfId="0"/>
    <cellStyle name="Normal 61 4 7 3 3 2 2" xfId="0"/>
    <cellStyle name="Normal 61 4 7 3 3 3" xfId="0"/>
    <cellStyle name="Normal 61 4 7 3 4" xfId="0"/>
    <cellStyle name="Normal 61 4 7 3 4 2" xfId="0"/>
    <cellStyle name="Normal 61 4 7 3 5" xfId="0"/>
    <cellStyle name="Normal 61 4 7 4" xfId="0"/>
    <cellStyle name="Normal 61 4 7 4 2" xfId="0"/>
    <cellStyle name="Normal 61 4 7 4 2 2" xfId="0"/>
    <cellStyle name="Normal 61 4 7 4 3" xfId="0"/>
    <cellStyle name="Normal 61 4 7 5" xfId="0"/>
    <cellStyle name="Normal 61 4 7 5 2" xfId="0"/>
    <cellStyle name="Normal 61 4 7 5 2 2" xfId="0"/>
    <cellStyle name="Normal 61 4 7 5 3" xfId="0"/>
    <cellStyle name="Normal 61 4 7 6" xfId="0"/>
    <cellStyle name="Normal 61 4 7 6 2" xfId="0"/>
    <cellStyle name="Normal 61 4 7 7" xfId="0"/>
    <cellStyle name="Normal 61 4 8" xfId="0"/>
    <cellStyle name="Normal 61 4 8 2" xfId="0"/>
    <cellStyle name="Normal 61 4 8 2 2" xfId="0"/>
    <cellStyle name="Normal 61 4 8 2 2 2" xfId="0"/>
    <cellStyle name="Normal 61 4 8 2 2 2 2" xfId="0"/>
    <cellStyle name="Normal 61 4 8 2 2 3" xfId="0"/>
    <cellStyle name="Normal 61 4 8 2 3" xfId="0"/>
    <cellStyle name="Normal 61 4 8 2 3 2" xfId="0"/>
    <cellStyle name="Normal 61 4 8 2 3 2 2" xfId="0"/>
    <cellStyle name="Normal 61 4 8 2 3 3" xfId="0"/>
    <cellStyle name="Normal 61 4 8 2 4" xfId="0"/>
    <cellStyle name="Normal 61 4 8 2 4 2" xfId="0"/>
    <cellStyle name="Normal 61 4 8 2 5" xfId="0"/>
    <cellStyle name="Normal 61 4 8 3" xfId="0"/>
    <cellStyle name="Normal 61 4 8 3 2" xfId="0"/>
    <cellStyle name="Normal 61 4 8 3 2 2" xfId="0"/>
    <cellStyle name="Normal 61 4 8 3 3" xfId="0"/>
    <cellStyle name="Normal 61 4 8 4" xfId="0"/>
    <cellStyle name="Normal 61 4 8 4 2" xfId="0"/>
    <cellStyle name="Normal 61 4 8 4 2 2" xfId="0"/>
    <cellStyle name="Normal 61 4 8 4 3" xfId="0"/>
    <cellStyle name="Normal 61 4 8 5" xfId="0"/>
    <cellStyle name="Normal 61 4 8 5 2" xfId="0"/>
    <cellStyle name="Normal 61 4 8 6" xfId="0"/>
    <cellStyle name="Normal 61 4 9" xfId="0"/>
    <cellStyle name="Normal 61 4 9 2" xfId="0"/>
    <cellStyle name="Normal 61 4 9 2 2" xfId="0"/>
    <cellStyle name="Normal 61 4 9 2 2 2" xfId="0"/>
    <cellStyle name="Normal 61 4 9 2 3" xfId="0"/>
    <cellStyle name="Normal 61 4 9 3" xfId="0"/>
    <cellStyle name="Normal 61 4 9 3 2" xfId="0"/>
    <cellStyle name="Normal 61 4 9 3 2 2" xfId="0"/>
    <cellStyle name="Normal 61 4 9 3 3" xfId="0"/>
    <cellStyle name="Normal 61 4 9 4" xfId="0"/>
    <cellStyle name="Normal 61 4 9 4 2" xfId="0"/>
    <cellStyle name="Normal 61 4 9 5" xfId="0"/>
    <cellStyle name="Normal 61 5" xfId="0"/>
    <cellStyle name="Normal 61 5 10" xfId="0"/>
    <cellStyle name="Normal 61 5 10 2" xfId="0"/>
    <cellStyle name="Normal 61 5 10 2 2" xfId="0"/>
    <cellStyle name="Normal 61 5 10 3" xfId="0"/>
    <cellStyle name="Normal 61 5 11" xfId="0"/>
    <cellStyle name="Normal 61 5 11 2" xfId="0"/>
    <cellStyle name="Normal 61 5 11 2 2" xfId="0"/>
    <cellStyle name="Normal 61 5 11 3" xfId="0"/>
    <cellStyle name="Normal 61 5 12" xfId="0"/>
    <cellStyle name="Normal 61 5 12 2" xfId="0"/>
    <cellStyle name="Normal 61 5 13" xfId="0"/>
    <cellStyle name="Normal 61 5 2" xfId="0"/>
    <cellStyle name="Normal 61 5 2 10" xfId="0"/>
    <cellStyle name="Normal 61 5 2 10 2" xfId="0"/>
    <cellStyle name="Normal 61 5 2 10 2 2" xfId="0"/>
    <cellStyle name="Normal 61 5 2 10 3" xfId="0"/>
    <cellStyle name="Normal 61 5 2 11" xfId="0"/>
    <cellStyle name="Normal 61 5 2 11 2" xfId="0"/>
    <cellStyle name="Normal 61 5 2 12" xfId="0"/>
    <cellStyle name="Normal 61 5 2 2" xfId="0"/>
    <cellStyle name="Normal 61 5 2 2 10" xfId="0"/>
    <cellStyle name="Normal 61 5 2 2 2" xfId="0"/>
    <cellStyle name="Normal 61 5 2 2 2 2" xfId="0"/>
    <cellStyle name="Normal 61 5 2 2 2 2 2" xfId="0"/>
    <cellStyle name="Normal 61 5 2 2 2 2 2 2" xfId="0"/>
    <cellStyle name="Normal 61 5 2 2 2 2 2 2 2" xfId="0"/>
    <cellStyle name="Normal 61 5 2 2 2 2 2 2 2 2" xfId="0"/>
    <cellStyle name="Normal 61 5 2 2 2 2 2 2 2 2 2" xfId="0"/>
    <cellStyle name="Normal 61 5 2 2 2 2 2 2 2 2 2 2" xfId="0"/>
    <cellStyle name="Normal 61 5 2 2 2 2 2 2 2 2 3" xfId="0"/>
    <cellStyle name="Normal 61 5 2 2 2 2 2 2 2 3" xfId="0"/>
    <cellStyle name="Normal 61 5 2 2 2 2 2 2 2 3 2" xfId="0"/>
    <cellStyle name="Normal 61 5 2 2 2 2 2 2 2 3 2 2" xfId="0"/>
    <cellStyle name="Normal 61 5 2 2 2 2 2 2 2 3 3" xfId="0"/>
    <cellStyle name="Normal 61 5 2 2 2 2 2 2 2 4" xfId="0"/>
    <cellStyle name="Normal 61 5 2 2 2 2 2 2 2 4 2" xfId="0"/>
    <cellStyle name="Normal 61 5 2 2 2 2 2 2 2 5" xfId="0"/>
    <cellStyle name="Normal 61 5 2 2 2 2 2 2 3" xfId="0"/>
    <cellStyle name="Normal 61 5 2 2 2 2 2 2 3 2" xfId="0"/>
    <cellStyle name="Normal 61 5 2 2 2 2 2 2 3 2 2" xfId="0"/>
    <cellStyle name="Normal 61 5 2 2 2 2 2 2 3 3" xfId="0"/>
    <cellStyle name="Normal 61 5 2 2 2 2 2 2 4" xfId="0"/>
    <cellStyle name="Normal 61 5 2 2 2 2 2 2 4 2" xfId="0"/>
    <cellStyle name="Normal 61 5 2 2 2 2 2 2 4 2 2" xfId="0"/>
    <cellStyle name="Normal 61 5 2 2 2 2 2 2 4 3" xfId="0"/>
    <cellStyle name="Normal 61 5 2 2 2 2 2 2 5" xfId="0"/>
    <cellStyle name="Normal 61 5 2 2 2 2 2 2 5 2" xfId="0"/>
    <cellStyle name="Normal 61 5 2 2 2 2 2 2 6" xfId="0"/>
    <cellStyle name="Normal 61 5 2 2 2 2 2 3" xfId="0"/>
    <cellStyle name="Normal 61 5 2 2 2 2 2 3 2" xfId="0"/>
    <cellStyle name="Normal 61 5 2 2 2 2 2 3 2 2" xfId="0"/>
    <cellStyle name="Normal 61 5 2 2 2 2 2 3 2 2 2" xfId="0"/>
    <cellStyle name="Normal 61 5 2 2 2 2 2 3 2 3" xfId="0"/>
    <cellStyle name="Normal 61 5 2 2 2 2 2 3 3" xfId="0"/>
    <cellStyle name="Normal 61 5 2 2 2 2 2 3 3 2" xfId="0"/>
    <cellStyle name="Normal 61 5 2 2 2 2 2 3 3 2 2" xfId="0"/>
    <cellStyle name="Normal 61 5 2 2 2 2 2 3 3 3" xfId="0"/>
    <cellStyle name="Normal 61 5 2 2 2 2 2 3 4" xfId="0"/>
    <cellStyle name="Normal 61 5 2 2 2 2 2 3 4 2" xfId="0"/>
    <cellStyle name="Normal 61 5 2 2 2 2 2 3 5" xfId="0"/>
    <cellStyle name="Normal 61 5 2 2 2 2 2 4" xfId="0"/>
    <cellStyle name="Normal 61 5 2 2 2 2 2 4 2" xfId="0"/>
    <cellStyle name="Normal 61 5 2 2 2 2 2 4 2 2" xfId="0"/>
    <cellStyle name="Normal 61 5 2 2 2 2 2 4 3" xfId="0"/>
    <cellStyle name="Normal 61 5 2 2 2 2 2 5" xfId="0"/>
    <cellStyle name="Normal 61 5 2 2 2 2 2 5 2" xfId="0"/>
    <cellStyle name="Normal 61 5 2 2 2 2 2 5 2 2" xfId="0"/>
    <cellStyle name="Normal 61 5 2 2 2 2 2 5 3" xfId="0"/>
    <cellStyle name="Normal 61 5 2 2 2 2 2 6" xfId="0"/>
    <cellStyle name="Normal 61 5 2 2 2 2 2 6 2" xfId="0"/>
    <cellStyle name="Normal 61 5 2 2 2 2 2 7" xfId="0"/>
    <cellStyle name="Normal 61 5 2 2 2 2 3" xfId="0"/>
    <cellStyle name="Normal 61 5 2 2 2 2 3 2" xfId="0"/>
    <cellStyle name="Normal 61 5 2 2 2 2 3 2 2" xfId="0"/>
    <cellStyle name="Normal 61 5 2 2 2 2 3 2 2 2" xfId="0"/>
    <cellStyle name="Normal 61 5 2 2 2 2 3 2 2 2 2" xfId="0"/>
    <cellStyle name="Normal 61 5 2 2 2 2 3 2 2 3" xfId="0"/>
    <cellStyle name="Normal 61 5 2 2 2 2 3 2 3" xfId="0"/>
    <cellStyle name="Normal 61 5 2 2 2 2 3 2 3 2" xfId="0"/>
    <cellStyle name="Normal 61 5 2 2 2 2 3 2 3 2 2" xfId="0"/>
    <cellStyle name="Normal 61 5 2 2 2 2 3 2 3 3" xfId="0"/>
    <cellStyle name="Normal 61 5 2 2 2 2 3 2 4" xfId="0"/>
    <cellStyle name="Normal 61 5 2 2 2 2 3 2 4 2" xfId="0"/>
    <cellStyle name="Normal 61 5 2 2 2 2 3 2 5" xfId="0"/>
    <cellStyle name="Normal 61 5 2 2 2 2 3 3" xfId="0"/>
    <cellStyle name="Normal 61 5 2 2 2 2 3 3 2" xfId="0"/>
    <cellStyle name="Normal 61 5 2 2 2 2 3 3 2 2" xfId="0"/>
    <cellStyle name="Normal 61 5 2 2 2 2 3 3 3" xfId="0"/>
    <cellStyle name="Normal 61 5 2 2 2 2 3 4" xfId="0"/>
    <cellStyle name="Normal 61 5 2 2 2 2 3 4 2" xfId="0"/>
    <cellStyle name="Normal 61 5 2 2 2 2 3 4 2 2" xfId="0"/>
    <cellStyle name="Normal 61 5 2 2 2 2 3 4 3" xfId="0"/>
    <cellStyle name="Normal 61 5 2 2 2 2 3 5" xfId="0"/>
    <cellStyle name="Normal 61 5 2 2 2 2 3 5 2" xfId="0"/>
    <cellStyle name="Normal 61 5 2 2 2 2 3 6" xfId="0"/>
    <cellStyle name="Normal 61 5 2 2 2 2 4" xfId="0"/>
    <cellStyle name="Normal 61 5 2 2 2 2 4 2" xfId="0"/>
    <cellStyle name="Normal 61 5 2 2 2 2 4 2 2" xfId="0"/>
    <cellStyle name="Normal 61 5 2 2 2 2 4 2 2 2" xfId="0"/>
    <cellStyle name="Normal 61 5 2 2 2 2 4 2 3" xfId="0"/>
    <cellStyle name="Normal 61 5 2 2 2 2 4 3" xfId="0"/>
    <cellStyle name="Normal 61 5 2 2 2 2 4 3 2" xfId="0"/>
    <cellStyle name="Normal 61 5 2 2 2 2 4 3 2 2" xfId="0"/>
    <cellStyle name="Normal 61 5 2 2 2 2 4 3 3" xfId="0"/>
    <cellStyle name="Normal 61 5 2 2 2 2 4 4" xfId="0"/>
    <cellStyle name="Normal 61 5 2 2 2 2 4 4 2" xfId="0"/>
    <cellStyle name="Normal 61 5 2 2 2 2 4 5" xfId="0"/>
    <cellStyle name="Normal 61 5 2 2 2 2 5" xfId="0"/>
    <cellStyle name="Normal 61 5 2 2 2 2 5 2" xfId="0"/>
    <cellStyle name="Normal 61 5 2 2 2 2 5 2 2" xfId="0"/>
    <cellStyle name="Normal 61 5 2 2 2 2 5 3" xfId="0"/>
    <cellStyle name="Normal 61 5 2 2 2 2 6" xfId="0"/>
    <cellStyle name="Normal 61 5 2 2 2 2 6 2" xfId="0"/>
    <cellStyle name="Normal 61 5 2 2 2 2 6 2 2" xfId="0"/>
    <cellStyle name="Normal 61 5 2 2 2 2 6 3" xfId="0"/>
    <cellStyle name="Normal 61 5 2 2 2 2 7" xfId="0"/>
    <cellStyle name="Normal 61 5 2 2 2 2 7 2" xfId="0"/>
    <cellStyle name="Normal 61 5 2 2 2 2 8" xfId="0"/>
    <cellStyle name="Normal 61 5 2 2 2 3" xfId="0"/>
    <cellStyle name="Normal 61 5 2 2 2 3 2" xfId="0"/>
    <cellStyle name="Normal 61 5 2 2 2 3 2 2" xfId="0"/>
    <cellStyle name="Normal 61 5 2 2 2 3 2 2 2" xfId="0"/>
    <cellStyle name="Normal 61 5 2 2 2 3 2 2 2 2" xfId="0"/>
    <cellStyle name="Normal 61 5 2 2 2 3 2 2 2 2 2" xfId="0"/>
    <cellStyle name="Normal 61 5 2 2 2 3 2 2 2 3" xfId="0"/>
    <cellStyle name="Normal 61 5 2 2 2 3 2 2 3" xfId="0"/>
    <cellStyle name="Normal 61 5 2 2 2 3 2 2 3 2" xfId="0"/>
    <cellStyle name="Normal 61 5 2 2 2 3 2 2 3 2 2" xfId="0"/>
    <cellStyle name="Normal 61 5 2 2 2 3 2 2 3 3" xfId="0"/>
    <cellStyle name="Normal 61 5 2 2 2 3 2 2 4" xfId="0"/>
    <cellStyle name="Normal 61 5 2 2 2 3 2 2 4 2" xfId="0"/>
    <cellStyle name="Normal 61 5 2 2 2 3 2 2 5" xfId="0"/>
    <cellStyle name="Normal 61 5 2 2 2 3 2 3" xfId="0"/>
    <cellStyle name="Normal 61 5 2 2 2 3 2 3 2" xfId="0"/>
    <cellStyle name="Normal 61 5 2 2 2 3 2 3 2 2" xfId="0"/>
    <cellStyle name="Normal 61 5 2 2 2 3 2 3 3" xfId="0"/>
    <cellStyle name="Normal 61 5 2 2 2 3 2 4" xfId="0"/>
    <cellStyle name="Normal 61 5 2 2 2 3 2 4 2" xfId="0"/>
    <cellStyle name="Normal 61 5 2 2 2 3 2 4 2 2" xfId="0"/>
    <cellStyle name="Normal 61 5 2 2 2 3 2 4 3" xfId="0"/>
    <cellStyle name="Normal 61 5 2 2 2 3 2 5" xfId="0"/>
    <cellStyle name="Normal 61 5 2 2 2 3 2 5 2" xfId="0"/>
    <cellStyle name="Normal 61 5 2 2 2 3 2 6" xfId="0"/>
    <cellStyle name="Normal 61 5 2 2 2 3 3" xfId="0"/>
    <cellStyle name="Normal 61 5 2 2 2 3 3 2" xfId="0"/>
    <cellStyle name="Normal 61 5 2 2 2 3 3 2 2" xfId="0"/>
    <cellStyle name="Normal 61 5 2 2 2 3 3 2 2 2" xfId="0"/>
    <cellStyle name="Normal 61 5 2 2 2 3 3 2 3" xfId="0"/>
    <cellStyle name="Normal 61 5 2 2 2 3 3 3" xfId="0"/>
    <cellStyle name="Normal 61 5 2 2 2 3 3 3 2" xfId="0"/>
    <cellStyle name="Normal 61 5 2 2 2 3 3 3 2 2" xfId="0"/>
    <cellStyle name="Normal 61 5 2 2 2 3 3 3 3" xfId="0"/>
    <cellStyle name="Normal 61 5 2 2 2 3 3 4" xfId="0"/>
    <cellStyle name="Normal 61 5 2 2 2 3 3 4 2" xfId="0"/>
    <cellStyle name="Normal 61 5 2 2 2 3 3 5" xfId="0"/>
    <cellStyle name="Normal 61 5 2 2 2 3 4" xfId="0"/>
    <cellStyle name="Normal 61 5 2 2 2 3 4 2" xfId="0"/>
    <cellStyle name="Normal 61 5 2 2 2 3 4 2 2" xfId="0"/>
    <cellStyle name="Normal 61 5 2 2 2 3 4 3" xfId="0"/>
    <cellStyle name="Normal 61 5 2 2 2 3 5" xfId="0"/>
    <cellStyle name="Normal 61 5 2 2 2 3 5 2" xfId="0"/>
    <cellStyle name="Normal 61 5 2 2 2 3 5 2 2" xfId="0"/>
    <cellStyle name="Normal 61 5 2 2 2 3 5 3" xfId="0"/>
    <cellStyle name="Normal 61 5 2 2 2 3 6" xfId="0"/>
    <cellStyle name="Normal 61 5 2 2 2 3 6 2" xfId="0"/>
    <cellStyle name="Normal 61 5 2 2 2 3 7" xfId="0"/>
    <cellStyle name="Normal 61 5 2 2 2 4" xfId="0"/>
    <cellStyle name="Normal 61 5 2 2 2 4 2" xfId="0"/>
    <cellStyle name="Normal 61 5 2 2 2 4 2 2" xfId="0"/>
    <cellStyle name="Normal 61 5 2 2 2 4 2 2 2" xfId="0"/>
    <cellStyle name="Normal 61 5 2 2 2 4 2 2 2 2" xfId="0"/>
    <cellStyle name="Normal 61 5 2 2 2 4 2 2 3" xfId="0"/>
    <cellStyle name="Normal 61 5 2 2 2 4 2 3" xfId="0"/>
    <cellStyle name="Normal 61 5 2 2 2 4 2 3 2" xfId="0"/>
    <cellStyle name="Normal 61 5 2 2 2 4 2 3 2 2" xfId="0"/>
    <cellStyle name="Normal 61 5 2 2 2 4 2 3 3" xfId="0"/>
    <cellStyle name="Normal 61 5 2 2 2 4 2 4" xfId="0"/>
    <cellStyle name="Normal 61 5 2 2 2 4 2 4 2" xfId="0"/>
    <cellStyle name="Normal 61 5 2 2 2 4 2 5" xfId="0"/>
    <cellStyle name="Normal 61 5 2 2 2 4 3" xfId="0"/>
    <cellStyle name="Normal 61 5 2 2 2 4 3 2" xfId="0"/>
    <cellStyle name="Normal 61 5 2 2 2 4 3 2 2" xfId="0"/>
    <cellStyle name="Normal 61 5 2 2 2 4 3 3" xfId="0"/>
    <cellStyle name="Normal 61 5 2 2 2 4 4" xfId="0"/>
    <cellStyle name="Normal 61 5 2 2 2 4 4 2" xfId="0"/>
    <cellStyle name="Normal 61 5 2 2 2 4 4 2 2" xfId="0"/>
    <cellStyle name="Normal 61 5 2 2 2 4 4 3" xfId="0"/>
    <cellStyle name="Normal 61 5 2 2 2 4 5" xfId="0"/>
    <cellStyle name="Normal 61 5 2 2 2 4 5 2" xfId="0"/>
    <cellStyle name="Normal 61 5 2 2 2 4 6" xfId="0"/>
    <cellStyle name="Normal 61 5 2 2 2 5" xfId="0"/>
    <cellStyle name="Normal 61 5 2 2 2 5 2" xfId="0"/>
    <cellStyle name="Normal 61 5 2 2 2 5 2 2" xfId="0"/>
    <cellStyle name="Normal 61 5 2 2 2 5 2 2 2" xfId="0"/>
    <cellStyle name="Normal 61 5 2 2 2 5 2 3" xfId="0"/>
    <cellStyle name="Normal 61 5 2 2 2 5 3" xfId="0"/>
    <cellStyle name="Normal 61 5 2 2 2 5 3 2" xfId="0"/>
    <cellStyle name="Normal 61 5 2 2 2 5 3 2 2" xfId="0"/>
    <cellStyle name="Normal 61 5 2 2 2 5 3 3" xfId="0"/>
    <cellStyle name="Normal 61 5 2 2 2 5 4" xfId="0"/>
    <cellStyle name="Normal 61 5 2 2 2 5 4 2" xfId="0"/>
    <cellStyle name="Normal 61 5 2 2 2 5 5" xfId="0"/>
    <cellStyle name="Normal 61 5 2 2 2 6" xfId="0"/>
    <cellStyle name="Normal 61 5 2 2 2 6 2" xfId="0"/>
    <cellStyle name="Normal 61 5 2 2 2 6 2 2" xfId="0"/>
    <cellStyle name="Normal 61 5 2 2 2 6 3" xfId="0"/>
    <cellStyle name="Normal 61 5 2 2 2 7" xfId="0"/>
    <cellStyle name="Normal 61 5 2 2 2 7 2" xfId="0"/>
    <cellStyle name="Normal 61 5 2 2 2 7 2 2" xfId="0"/>
    <cellStyle name="Normal 61 5 2 2 2 7 3" xfId="0"/>
    <cellStyle name="Normal 61 5 2 2 2 8" xfId="0"/>
    <cellStyle name="Normal 61 5 2 2 2 8 2" xfId="0"/>
    <cellStyle name="Normal 61 5 2 2 2 9" xfId="0"/>
    <cellStyle name="Normal 61 5 2 2 3" xfId="0"/>
    <cellStyle name="Normal 61 5 2 2 3 2" xfId="0"/>
    <cellStyle name="Normal 61 5 2 2 3 2 2" xfId="0"/>
    <cellStyle name="Normal 61 5 2 2 3 2 2 2" xfId="0"/>
    <cellStyle name="Normal 61 5 2 2 3 2 2 2 2" xfId="0"/>
    <cellStyle name="Normal 61 5 2 2 3 2 2 2 2 2" xfId="0"/>
    <cellStyle name="Normal 61 5 2 2 3 2 2 2 2 2 2" xfId="0"/>
    <cellStyle name="Normal 61 5 2 2 3 2 2 2 2 3" xfId="0"/>
    <cellStyle name="Normal 61 5 2 2 3 2 2 2 3" xfId="0"/>
    <cellStyle name="Normal 61 5 2 2 3 2 2 2 3 2" xfId="0"/>
    <cellStyle name="Normal 61 5 2 2 3 2 2 2 3 2 2" xfId="0"/>
    <cellStyle name="Normal 61 5 2 2 3 2 2 2 3 3" xfId="0"/>
    <cellStyle name="Normal 61 5 2 2 3 2 2 2 4" xfId="0"/>
    <cellStyle name="Normal 61 5 2 2 3 2 2 2 4 2" xfId="0"/>
    <cellStyle name="Normal 61 5 2 2 3 2 2 2 5" xfId="0"/>
    <cellStyle name="Normal 61 5 2 2 3 2 2 3" xfId="0"/>
    <cellStyle name="Normal 61 5 2 2 3 2 2 3 2" xfId="0"/>
    <cellStyle name="Normal 61 5 2 2 3 2 2 3 2 2" xfId="0"/>
    <cellStyle name="Normal 61 5 2 2 3 2 2 3 3" xfId="0"/>
    <cellStyle name="Normal 61 5 2 2 3 2 2 4" xfId="0"/>
    <cellStyle name="Normal 61 5 2 2 3 2 2 4 2" xfId="0"/>
    <cellStyle name="Normal 61 5 2 2 3 2 2 4 2 2" xfId="0"/>
    <cellStyle name="Normal 61 5 2 2 3 2 2 4 3" xfId="0"/>
    <cellStyle name="Normal 61 5 2 2 3 2 2 5" xfId="0"/>
    <cellStyle name="Normal 61 5 2 2 3 2 2 5 2" xfId="0"/>
    <cellStyle name="Normal 61 5 2 2 3 2 2 6" xfId="0"/>
    <cellStyle name="Normal 61 5 2 2 3 2 3" xfId="0"/>
    <cellStyle name="Normal 61 5 2 2 3 2 3 2" xfId="0"/>
    <cellStyle name="Normal 61 5 2 2 3 2 3 2 2" xfId="0"/>
    <cellStyle name="Normal 61 5 2 2 3 2 3 2 2 2" xfId="0"/>
    <cellStyle name="Normal 61 5 2 2 3 2 3 2 3" xfId="0"/>
    <cellStyle name="Normal 61 5 2 2 3 2 3 3" xfId="0"/>
    <cellStyle name="Normal 61 5 2 2 3 2 3 3 2" xfId="0"/>
    <cellStyle name="Normal 61 5 2 2 3 2 3 3 2 2" xfId="0"/>
    <cellStyle name="Normal 61 5 2 2 3 2 3 3 3" xfId="0"/>
    <cellStyle name="Normal 61 5 2 2 3 2 3 4" xfId="0"/>
    <cellStyle name="Normal 61 5 2 2 3 2 3 4 2" xfId="0"/>
    <cellStyle name="Normal 61 5 2 2 3 2 3 5" xfId="0"/>
    <cellStyle name="Normal 61 5 2 2 3 2 4" xfId="0"/>
    <cellStyle name="Normal 61 5 2 2 3 2 4 2" xfId="0"/>
    <cellStyle name="Normal 61 5 2 2 3 2 4 2 2" xfId="0"/>
    <cellStyle name="Normal 61 5 2 2 3 2 4 3" xfId="0"/>
    <cellStyle name="Normal 61 5 2 2 3 2 5" xfId="0"/>
    <cellStyle name="Normal 61 5 2 2 3 2 5 2" xfId="0"/>
    <cellStyle name="Normal 61 5 2 2 3 2 5 2 2" xfId="0"/>
    <cellStyle name="Normal 61 5 2 2 3 2 5 3" xfId="0"/>
    <cellStyle name="Normal 61 5 2 2 3 2 6" xfId="0"/>
    <cellStyle name="Normal 61 5 2 2 3 2 6 2" xfId="0"/>
    <cellStyle name="Normal 61 5 2 2 3 2 7" xfId="0"/>
    <cellStyle name="Normal 61 5 2 2 3 3" xfId="0"/>
    <cellStyle name="Normal 61 5 2 2 3 3 2" xfId="0"/>
    <cellStyle name="Normal 61 5 2 2 3 3 2 2" xfId="0"/>
    <cellStyle name="Normal 61 5 2 2 3 3 2 2 2" xfId="0"/>
    <cellStyle name="Normal 61 5 2 2 3 3 2 2 2 2" xfId="0"/>
    <cellStyle name="Normal 61 5 2 2 3 3 2 2 3" xfId="0"/>
    <cellStyle name="Normal 61 5 2 2 3 3 2 3" xfId="0"/>
    <cellStyle name="Normal 61 5 2 2 3 3 2 3 2" xfId="0"/>
    <cellStyle name="Normal 61 5 2 2 3 3 2 3 2 2" xfId="0"/>
    <cellStyle name="Normal 61 5 2 2 3 3 2 3 3" xfId="0"/>
    <cellStyle name="Normal 61 5 2 2 3 3 2 4" xfId="0"/>
    <cellStyle name="Normal 61 5 2 2 3 3 2 4 2" xfId="0"/>
    <cellStyle name="Normal 61 5 2 2 3 3 2 5" xfId="0"/>
    <cellStyle name="Normal 61 5 2 2 3 3 3" xfId="0"/>
    <cellStyle name="Normal 61 5 2 2 3 3 3 2" xfId="0"/>
    <cellStyle name="Normal 61 5 2 2 3 3 3 2 2" xfId="0"/>
    <cellStyle name="Normal 61 5 2 2 3 3 3 3" xfId="0"/>
    <cellStyle name="Normal 61 5 2 2 3 3 4" xfId="0"/>
    <cellStyle name="Normal 61 5 2 2 3 3 4 2" xfId="0"/>
    <cellStyle name="Normal 61 5 2 2 3 3 4 2 2" xfId="0"/>
    <cellStyle name="Normal 61 5 2 2 3 3 4 3" xfId="0"/>
    <cellStyle name="Normal 61 5 2 2 3 3 5" xfId="0"/>
    <cellStyle name="Normal 61 5 2 2 3 3 5 2" xfId="0"/>
    <cellStyle name="Normal 61 5 2 2 3 3 6" xfId="0"/>
    <cellStyle name="Normal 61 5 2 2 3 4" xfId="0"/>
    <cellStyle name="Normal 61 5 2 2 3 4 2" xfId="0"/>
    <cellStyle name="Normal 61 5 2 2 3 4 2 2" xfId="0"/>
    <cellStyle name="Normal 61 5 2 2 3 4 2 2 2" xfId="0"/>
    <cellStyle name="Normal 61 5 2 2 3 4 2 3" xfId="0"/>
    <cellStyle name="Normal 61 5 2 2 3 4 3" xfId="0"/>
    <cellStyle name="Normal 61 5 2 2 3 4 3 2" xfId="0"/>
    <cellStyle name="Normal 61 5 2 2 3 4 3 2 2" xfId="0"/>
    <cellStyle name="Normal 61 5 2 2 3 4 3 3" xfId="0"/>
    <cellStyle name="Normal 61 5 2 2 3 4 4" xfId="0"/>
    <cellStyle name="Normal 61 5 2 2 3 4 4 2" xfId="0"/>
    <cellStyle name="Normal 61 5 2 2 3 4 5" xfId="0"/>
    <cellStyle name="Normal 61 5 2 2 3 5" xfId="0"/>
    <cellStyle name="Normal 61 5 2 2 3 5 2" xfId="0"/>
    <cellStyle name="Normal 61 5 2 2 3 5 2 2" xfId="0"/>
    <cellStyle name="Normal 61 5 2 2 3 5 3" xfId="0"/>
    <cellStyle name="Normal 61 5 2 2 3 6" xfId="0"/>
    <cellStyle name="Normal 61 5 2 2 3 6 2" xfId="0"/>
    <cellStyle name="Normal 61 5 2 2 3 6 2 2" xfId="0"/>
    <cellStyle name="Normal 61 5 2 2 3 6 3" xfId="0"/>
    <cellStyle name="Normal 61 5 2 2 3 7" xfId="0"/>
    <cellStyle name="Normal 61 5 2 2 3 7 2" xfId="0"/>
    <cellStyle name="Normal 61 5 2 2 3 8" xfId="0"/>
    <cellStyle name="Normal 61 5 2 2 4" xfId="0"/>
    <cellStyle name="Normal 61 5 2 2 4 2" xfId="0"/>
    <cellStyle name="Normal 61 5 2 2 4 2 2" xfId="0"/>
    <cellStyle name="Normal 61 5 2 2 4 2 2 2" xfId="0"/>
    <cellStyle name="Normal 61 5 2 2 4 2 2 2 2" xfId="0"/>
    <cellStyle name="Normal 61 5 2 2 4 2 2 2 2 2" xfId="0"/>
    <cellStyle name="Normal 61 5 2 2 4 2 2 2 3" xfId="0"/>
    <cellStyle name="Normal 61 5 2 2 4 2 2 3" xfId="0"/>
    <cellStyle name="Normal 61 5 2 2 4 2 2 3 2" xfId="0"/>
    <cellStyle name="Normal 61 5 2 2 4 2 2 3 2 2" xfId="0"/>
    <cellStyle name="Normal 61 5 2 2 4 2 2 3 3" xfId="0"/>
    <cellStyle name="Normal 61 5 2 2 4 2 2 4" xfId="0"/>
    <cellStyle name="Normal 61 5 2 2 4 2 2 4 2" xfId="0"/>
    <cellStyle name="Normal 61 5 2 2 4 2 2 5" xfId="0"/>
    <cellStyle name="Normal 61 5 2 2 4 2 3" xfId="0"/>
    <cellStyle name="Normal 61 5 2 2 4 2 3 2" xfId="0"/>
    <cellStyle name="Normal 61 5 2 2 4 2 3 2 2" xfId="0"/>
    <cellStyle name="Normal 61 5 2 2 4 2 3 3" xfId="0"/>
    <cellStyle name="Normal 61 5 2 2 4 2 4" xfId="0"/>
    <cellStyle name="Normal 61 5 2 2 4 2 4 2" xfId="0"/>
    <cellStyle name="Normal 61 5 2 2 4 2 4 2 2" xfId="0"/>
    <cellStyle name="Normal 61 5 2 2 4 2 4 3" xfId="0"/>
    <cellStyle name="Normal 61 5 2 2 4 2 5" xfId="0"/>
    <cellStyle name="Normal 61 5 2 2 4 2 5 2" xfId="0"/>
    <cellStyle name="Normal 61 5 2 2 4 2 6" xfId="0"/>
    <cellStyle name="Normal 61 5 2 2 4 3" xfId="0"/>
    <cellStyle name="Normal 61 5 2 2 4 3 2" xfId="0"/>
    <cellStyle name="Normal 61 5 2 2 4 3 2 2" xfId="0"/>
    <cellStyle name="Normal 61 5 2 2 4 3 2 2 2" xfId="0"/>
    <cellStyle name="Normal 61 5 2 2 4 3 2 3" xfId="0"/>
    <cellStyle name="Normal 61 5 2 2 4 3 3" xfId="0"/>
    <cellStyle name="Normal 61 5 2 2 4 3 3 2" xfId="0"/>
    <cellStyle name="Normal 61 5 2 2 4 3 3 2 2" xfId="0"/>
    <cellStyle name="Normal 61 5 2 2 4 3 3 3" xfId="0"/>
    <cellStyle name="Normal 61 5 2 2 4 3 4" xfId="0"/>
    <cellStyle name="Normal 61 5 2 2 4 3 4 2" xfId="0"/>
    <cellStyle name="Normal 61 5 2 2 4 3 5" xfId="0"/>
    <cellStyle name="Normal 61 5 2 2 4 4" xfId="0"/>
    <cellStyle name="Normal 61 5 2 2 4 4 2" xfId="0"/>
    <cellStyle name="Normal 61 5 2 2 4 4 2 2" xfId="0"/>
    <cellStyle name="Normal 61 5 2 2 4 4 3" xfId="0"/>
    <cellStyle name="Normal 61 5 2 2 4 5" xfId="0"/>
    <cellStyle name="Normal 61 5 2 2 4 5 2" xfId="0"/>
    <cellStyle name="Normal 61 5 2 2 4 5 2 2" xfId="0"/>
    <cellStyle name="Normal 61 5 2 2 4 5 3" xfId="0"/>
    <cellStyle name="Normal 61 5 2 2 4 6" xfId="0"/>
    <cellStyle name="Normal 61 5 2 2 4 6 2" xfId="0"/>
    <cellStyle name="Normal 61 5 2 2 4 7" xfId="0"/>
    <cellStyle name="Normal 61 5 2 2 5" xfId="0"/>
    <cellStyle name="Normal 61 5 2 2 5 2" xfId="0"/>
    <cellStyle name="Normal 61 5 2 2 5 2 2" xfId="0"/>
    <cellStyle name="Normal 61 5 2 2 5 2 2 2" xfId="0"/>
    <cellStyle name="Normal 61 5 2 2 5 2 2 2 2" xfId="0"/>
    <cellStyle name="Normal 61 5 2 2 5 2 2 3" xfId="0"/>
    <cellStyle name="Normal 61 5 2 2 5 2 3" xfId="0"/>
    <cellStyle name="Normal 61 5 2 2 5 2 3 2" xfId="0"/>
    <cellStyle name="Normal 61 5 2 2 5 2 3 2 2" xfId="0"/>
    <cellStyle name="Normal 61 5 2 2 5 2 3 3" xfId="0"/>
    <cellStyle name="Normal 61 5 2 2 5 2 4" xfId="0"/>
    <cellStyle name="Normal 61 5 2 2 5 2 4 2" xfId="0"/>
    <cellStyle name="Normal 61 5 2 2 5 2 5" xfId="0"/>
    <cellStyle name="Normal 61 5 2 2 5 3" xfId="0"/>
    <cellStyle name="Normal 61 5 2 2 5 3 2" xfId="0"/>
    <cellStyle name="Normal 61 5 2 2 5 3 2 2" xfId="0"/>
    <cellStyle name="Normal 61 5 2 2 5 3 3" xfId="0"/>
    <cellStyle name="Normal 61 5 2 2 5 4" xfId="0"/>
    <cellStyle name="Normal 61 5 2 2 5 4 2" xfId="0"/>
    <cellStyle name="Normal 61 5 2 2 5 4 2 2" xfId="0"/>
    <cellStyle name="Normal 61 5 2 2 5 4 3" xfId="0"/>
    <cellStyle name="Normal 61 5 2 2 5 5" xfId="0"/>
    <cellStyle name="Normal 61 5 2 2 5 5 2" xfId="0"/>
    <cellStyle name="Normal 61 5 2 2 5 6" xfId="0"/>
    <cellStyle name="Normal 61 5 2 2 6" xfId="0"/>
    <cellStyle name="Normal 61 5 2 2 6 2" xfId="0"/>
    <cellStyle name="Normal 61 5 2 2 6 2 2" xfId="0"/>
    <cellStyle name="Normal 61 5 2 2 6 2 2 2" xfId="0"/>
    <cellStyle name="Normal 61 5 2 2 6 2 3" xfId="0"/>
    <cellStyle name="Normal 61 5 2 2 6 3" xfId="0"/>
    <cellStyle name="Normal 61 5 2 2 6 3 2" xfId="0"/>
    <cellStyle name="Normal 61 5 2 2 6 3 2 2" xfId="0"/>
    <cellStyle name="Normal 61 5 2 2 6 3 3" xfId="0"/>
    <cellStyle name="Normal 61 5 2 2 6 4" xfId="0"/>
    <cellStyle name="Normal 61 5 2 2 6 4 2" xfId="0"/>
    <cellStyle name="Normal 61 5 2 2 6 5" xfId="0"/>
    <cellStyle name="Normal 61 5 2 2 7" xfId="0"/>
    <cellStyle name="Normal 61 5 2 2 7 2" xfId="0"/>
    <cellStyle name="Normal 61 5 2 2 7 2 2" xfId="0"/>
    <cellStyle name="Normal 61 5 2 2 7 3" xfId="0"/>
    <cellStyle name="Normal 61 5 2 2 8" xfId="0"/>
    <cellStyle name="Normal 61 5 2 2 8 2" xfId="0"/>
    <cellStyle name="Normal 61 5 2 2 8 2 2" xfId="0"/>
    <cellStyle name="Normal 61 5 2 2 8 3" xfId="0"/>
    <cellStyle name="Normal 61 5 2 2 9" xfId="0"/>
    <cellStyle name="Normal 61 5 2 2 9 2" xfId="0"/>
    <cellStyle name="Normal 61 5 2 3" xfId="0"/>
    <cellStyle name="Normal 61 5 2 3 10" xfId="0"/>
    <cellStyle name="Normal 61 5 2 3 2" xfId="0"/>
    <cellStyle name="Normal 61 5 2 3 2 2" xfId="0"/>
    <cellStyle name="Normal 61 5 2 3 2 2 2" xfId="0"/>
    <cellStyle name="Normal 61 5 2 3 2 2 2 2" xfId="0"/>
    <cellStyle name="Normal 61 5 2 3 2 2 2 2 2" xfId="0"/>
    <cellStyle name="Normal 61 5 2 3 2 2 2 2 2 2" xfId="0"/>
    <cellStyle name="Normal 61 5 2 3 2 2 2 2 2 2 2" xfId="0"/>
    <cellStyle name="Normal 61 5 2 3 2 2 2 2 2 2 2 2" xfId="0"/>
    <cellStyle name="Normal 61 5 2 3 2 2 2 2 2 2 3" xfId="0"/>
    <cellStyle name="Normal 61 5 2 3 2 2 2 2 2 3" xfId="0"/>
    <cellStyle name="Normal 61 5 2 3 2 2 2 2 2 3 2" xfId="0"/>
    <cellStyle name="Normal 61 5 2 3 2 2 2 2 2 3 2 2" xfId="0"/>
    <cellStyle name="Normal 61 5 2 3 2 2 2 2 2 3 3" xfId="0"/>
    <cellStyle name="Normal 61 5 2 3 2 2 2 2 2 4" xfId="0"/>
    <cellStyle name="Normal 61 5 2 3 2 2 2 2 2 4 2" xfId="0"/>
    <cellStyle name="Normal 61 5 2 3 2 2 2 2 2 5" xfId="0"/>
    <cellStyle name="Normal 61 5 2 3 2 2 2 2 3" xfId="0"/>
    <cellStyle name="Normal 61 5 2 3 2 2 2 2 3 2" xfId="0"/>
    <cellStyle name="Normal 61 5 2 3 2 2 2 2 3 2 2" xfId="0"/>
    <cellStyle name="Normal 61 5 2 3 2 2 2 2 3 3" xfId="0"/>
    <cellStyle name="Normal 61 5 2 3 2 2 2 2 4" xfId="0"/>
    <cellStyle name="Normal 61 5 2 3 2 2 2 2 4 2" xfId="0"/>
    <cellStyle name="Normal 61 5 2 3 2 2 2 2 4 2 2" xfId="0"/>
    <cellStyle name="Normal 61 5 2 3 2 2 2 2 4 3" xfId="0"/>
    <cellStyle name="Normal 61 5 2 3 2 2 2 2 5" xfId="0"/>
    <cellStyle name="Normal 61 5 2 3 2 2 2 2 5 2" xfId="0"/>
    <cellStyle name="Normal 61 5 2 3 2 2 2 2 6" xfId="0"/>
    <cellStyle name="Normal 61 5 2 3 2 2 2 3" xfId="0"/>
    <cellStyle name="Normal 61 5 2 3 2 2 2 3 2" xfId="0"/>
    <cellStyle name="Normal 61 5 2 3 2 2 2 3 2 2" xfId="0"/>
    <cellStyle name="Normal 61 5 2 3 2 2 2 3 2 2 2" xfId="0"/>
    <cellStyle name="Normal 61 5 2 3 2 2 2 3 2 3" xfId="0"/>
    <cellStyle name="Normal 61 5 2 3 2 2 2 3 3" xfId="0"/>
    <cellStyle name="Normal 61 5 2 3 2 2 2 3 3 2" xfId="0"/>
    <cellStyle name="Normal 61 5 2 3 2 2 2 3 3 2 2" xfId="0"/>
    <cellStyle name="Normal 61 5 2 3 2 2 2 3 3 3" xfId="0"/>
    <cellStyle name="Normal 61 5 2 3 2 2 2 3 4" xfId="0"/>
    <cellStyle name="Normal 61 5 2 3 2 2 2 3 4 2" xfId="0"/>
    <cellStyle name="Normal 61 5 2 3 2 2 2 3 5" xfId="0"/>
    <cellStyle name="Normal 61 5 2 3 2 2 2 4" xfId="0"/>
    <cellStyle name="Normal 61 5 2 3 2 2 2 4 2" xfId="0"/>
    <cellStyle name="Normal 61 5 2 3 2 2 2 4 2 2" xfId="0"/>
    <cellStyle name="Normal 61 5 2 3 2 2 2 4 3" xfId="0"/>
    <cellStyle name="Normal 61 5 2 3 2 2 2 5" xfId="0"/>
    <cellStyle name="Normal 61 5 2 3 2 2 2 5 2" xfId="0"/>
    <cellStyle name="Normal 61 5 2 3 2 2 2 5 2 2" xfId="0"/>
    <cellStyle name="Normal 61 5 2 3 2 2 2 5 3" xfId="0"/>
    <cellStyle name="Normal 61 5 2 3 2 2 2 6" xfId="0"/>
    <cellStyle name="Normal 61 5 2 3 2 2 2 6 2" xfId="0"/>
    <cellStyle name="Normal 61 5 2 3 2 2 2 7" xfId="0"/>
    <cellStyle name="Normal 61 5 2 3 2 2 3" xfId="0"/>
    <cellStyle name="Normal 61 5 2 3 2 2 3 2" xfId="0"/>
    <cellStyle name="Normal 61 5 2 3 2 2 3 2 2" xfId="0"/>
    <cellStyle name="Normal 61 5 2 3 2 2 3 2 2 2" xfId="0"/>
    <cellStyle name="Normal 61 5 2 3 2 2 3 2 2 2 2" xfId="0"/>
    <cellStyle name="Normal 61 5 2 3 2 2 3 2 2 3" xfId="0"/>
    <cellStyle name="Normal 61 5 2 3 2 2 3 2 3" xfId="0"/>
    <cellStyle name="Normal 61 5 2 3 2 2 3 2 3 2" xfId="0"/>
    <cellStyle name="Normal 61 5 2 3 2 2 3 2 3 2 2" xfId="0"/>
    <cellStyle name="Normal 61 5 2 3 2 2 3 2 3 3" xfId="0"/>
    <cellStyle name="Normal 61 5 2 3 2 2 3 2 4" xfId="0"/>
    <cellStyle name="Normal 61 5 2 3 2 2 3 2 4 2" xfId="0"/>
    <cellStyle name="Normal 61 5 2 3 2 2 3 2 5" xfId="0"/>
    <cellStyle name="Normal 61 5 2 3 2 2 3 3" xfId="0"/>
    <cellStyle name="Normal 61 5 2 3 2 2 3 3 2" xfId="0"/>
    <cellStyle name="Normal 61 5 2 3 2 2 3 3 2 2" xfId="0"/>
    <cellStyle name="Normal 61 5 2 3 2 2 3 3 3" xfId="0"/>
    <cellStyle name="Normal 61 5 2 3 2 2 3 4" xfId="0"/>
    <cellStyle name="Normal 61 5 2 3 2 2 3 4 2" xfId="0"/>
    <cellStyle name="Normal 61 5 2 3 2 2 3 4 2 2" xfId="0"/>
    <cellStyle name="Normal 61 5 2 3 2 2 3 4 3" xfId="0"/>
    <cellStyle name="Normal 61 5 2 3 2 2 3 5" xfId="0"/>
    <cellStyle name="Normal 61 5 2 3 2 2 3 5 2" xfId="0"/>
    <cellStyle name="Normal 61 5 2 3 2 2 3 6" xfId="0"/>
    <cellStyle name="Normal 61 5 2 3 2 2 4" xfId="0"/>
    <cellStyle name="Normal 61 5 2 3 2 2 4 2" xfId="0"/>
    <cellStyle name="Normal 61 5 2 3 2 2 4 2 2" xfId="0"/>
    <cellStyle name="Normal 61 5 2 3 2 2 4 2 2 2" xfId="0"/>
    <cellStyle name="Normal 61 5 2 3 2 2 4 2 3" xfId="0"/>
    <cellStyle name="Normal 61 5 2 3 2 2 4 3" xfId="0"/>
    <cellStyle name="Normal 61 5 2 3 2 2 4 3 2" xfId="0"/>
    <cellStyle name="Normal 61 5 2 3 2 2 4 3 2 2" xfId="0"/>
    <cellStyle name="Normal 61 5 2 3 2 2 4 3 3" xfId="0"/>
    <cellStyle name="Normal 61 5 2 3 2 2 4 4" xfId="0"/>
    <cellStyle name="Normal 61 5 2 3 2 2 4 4 2" xfId="0"/>
    <cellStyle name="Normal 61 5 2 3 2 2 4 5" xfId="0"/>
    <cellStyle name="Normal 61 5 2 3 2 2 5" xfId="0"/>
    <cellStyle name="Normal 61 5 2 3 2 2 5 2" xfId="0"/>
    <cellStyle name="Normal 61 5 2 3 2 2 5 2 2" xfId="0"/>
    <cellStyle name="Normal 61 5 2 3 2 2 5 3" xfId="0"/>
    <cellStyle name="Normal 61 5 2 3 2 2 6" xfId="0"/>
    <cellStyle name="Normal 61 5 2 3 2 2 6 2" xfId="0"/>
    <cellStyle name="Normal 61 5 2 3 2 2 6 2 2" xfId="0"/>
    <cellStyle name="Normal 61 5 2 3 2 2 6 3" xfId="0"/>
    <cellStyle name="Normal 61 5 2 3 2 2 7" xfId="0"/>
    <cellStyle name="Normal 61 5 2 3 2 2 7 2" xfId="0"/>
    <cellStyle name="Normal 61 5 2 3 2 2 8" xfId="0"/>
    <cellStyle name="Normal 61 5 2 3 2 3" xfId="0"/>
    <cellStyle name="Normal 61 5 2 3 2 3 2" xfId="0"/>
    <cellStyle name="Normal 61 5 2 3 2 3 2 2" xfId="0"/>
    <cellStyle name="Normal 61 5 2 3 2 3 2 2 2" xfId="0"/>
    <cellStyle name="Normal 61 5 2 3 2 3 2 2 2 2" xfId="0"/>
    <cellStyle name="Normal 61 5 2 3 2 3 2 2 2 2 2" xfId="0"/>
    <cellStyle name="Normal 61 5 2 3 2 3 2 2 2 3" xfId="0"/>
    <cellStyle name="Normal 61 5 2 3 2 3 2 2 3" xfId="0"/>
    <cellStyle name="Normal 61 5 2 3 2 3 2 2 3 2" xfId="0"/>
    <cellStyle name="Normal 61 5 2 3 2 3 2 2 3 2 2" xfId="0"/>
    <cellStyle name="Normal 61 5 2 3 2 3 2 2 3 3" xfId="0"/>
    <cellStyle name="Normal 61 5 2 3 2 3 2 2 4" xfId="0"/>
    <cellStyle name="Normal 61 5 2 3 2 3 2 2 4 2" xfId="0"/>
    <cellStyle name="Normal 61 5 2 3 2 3 2 2 5" xfId="0"/>
    <cellStyle name="Normal 61 5 2 3 2 3 2 3" xfId="0"/>
    <cellStyle name="Normal 61 5 2 3 2 3 2 3 2" xfId="0"/>
    <cellStyle name="Normal 61 5 2 3 2 3 2 3 2 2" xfId="0"/>
    <cellStyle name="Normal 61 5 2 3 2 3 2 3 3" xfId="0"/>
    <cellStyle name="Normal 61 5 2 3 2 3 2 4" xfId="0"/>
    <cellStyle name="Normal 61 5 2 3 2 3 2 4 2" xfId="0"/>
    <cellStyle name="Normal 61 5 2 3 2 3 2 4 2 2" xfId="0"/>
    <cellStyle name="Normal 61 5 2 3 2 3 2 4 3" xfId="0"/>
    <cellStyle name="Normal 61 5 2 3 2 3 2 5" xfId="0"/>
    <cellStyle name="Normal 61 5 2 3 2 3 2 5 2" xfId="0"/>
    <cellStyle name="Normal 61 5 2 3 2 3 2 6" xfId="0"/>
    <cellStyle name="Normal 61 5 2 3 2 3 3" xfId="0"/>
    <cellStyle name="Normal 61 5 2 3 2 3 3 2" xfId="0"/>
    <cellStyle name="Normal 61 5 2 3 2 3 3 2 2" xfId="0"/>
    <cellStyle name="Normal 61 5 2 3 2 3 3 2 2 2" xfId="0"/>
    <cellStyle name="Normal 61 5 2 3 2 3 3 2 3" xfId="0"/>
    <cellStyle name="Normal 61 5 2 3 2 3 3 3" xfId="0"/>
    <cellStyle name="Normal 61 5 2 3 2 3 3 3 2" xfId="0"/>
    <cellStyle name="Normal 61 5 2 3 2 3 3 3 2 2" xfId="0"/>
    <cellStyle name="Normal 61 5 2 3 2 3 3 3 3" xfId="0"/>
    <cellStyle name="Normal 61 5 2 3 2 3 3 4" xfId="0"/>
    <cellStyle name="Normal 61 5 2 3 2 3 3 4 2" xfId="0"/>
    <cellStyle name="Normal 61 5 2 3 2 3 3 5" xfId="0"/>
    <cellStyle name="Normal 61 5 2 3 2 3 4" xfId="0"/>
    <cellStyle name="Normal 61 5 2 3 2 3 4 2" xfId="0"/>
    <cellStyle name="Normal 61 5 2 3 2 3 4 2 2" xfId="0"/>
    <cellStyle name="Normal 61 5 2 3 2 3 4 3" xfId="0"/>
    <cellStyle name="Normal 61 5 2 3 2 3 5" xfId="0"/>
    <cellStyle name="Normal 61 5 2 3 2 3 5 2" xfId="0"/>
    <cellStyle name="Normal 61 5 2 3 2 3 5 2 2" xfId="0"/>
    <cellStyle name="Normal 61 5 2 3 2 3 5 3" xfId="0"/>
    <cellStyle name="Normal 61 5 2 3 2 3 6" xfId="0"/>
    <cellStyle name="Normal 61 5 2 3 2 3 6 2" xfId="0"/>
    <cellStyle name="Normal 61 5 2 3 2 3 7" xfId="0"/>
    <cellStyle name="Normal 61 5 2 3 2 4" xfId="0"/>
    <cellStyle name="Normal 61 5 2 3 2 4 2" xfId="0"/>
    <cellStyle name="Normal 61 5 2 3 2 4 2 2" xfId="0"/>
    <cellStyle name="Normal 61 5 2 3 2 4 2 2 2" xfId="0"/>
    <cellStyle name="Normal 61 5 2 3 2 4 2 2 2 2" xfId="0"/>
    <cellStyle name="Normal 61 5 2 3 2 4 2 2 3" xfId="0"/>
    <cellStyle name="Normal 61 5 2 3 2 4 2 3" xfId="0"/>
    <cellStyle name="Normal 61 5 2 3 2 4 2 3 2" xfId="0"/>
    <cellStyle name="Normal 61 5 2 3 2 4 2 3 2 2" xfId="0"/>
    <cellStyle name="Normal 61 5 2 3 2 4 2 3 3" xfId="0"/>
    <cellStyle name="Normal 61 5 2 3 2 4 2 4" xfId="0"/>
    <cellStyle name="Normal 61 5 2 3 2 4 2 4 2" xfId="0"/>
    <cellStyle name="Normal 61 5 2 3 2 4 2 5" xfId="0"/>
    <cellStyle name="Normal 61 5 2 3 2 4 3" xfId="0"/>
    <cellStyle name="Normal 61 5 2 3 2 4 3 2" xfId="0"/>
    <cellStyle name="Normal 61 5 2 3 2 4 3 2 2" xfId="0"/>
    <cellStyle name="Normal 61 5 2 3 2 4 3 3" xfId="0"/>
    <cellStyle name="Normal 61 5 2 3 2 4 4" xfId="0"/>
    <cellStyle name="Normal 61 5 2 3 2 4 4 2" xfId="0"/>
    <cellStyle name="Normal 61 5 2 3 2 4 4 2 2" xfId="0"/>
    <cellStyle name="Normal 61 5 2 3 2 4 4 3" xfId="0"/>
    <cellStyle name="Normal 61 5 2 3 2 4 5" xfId="0"/>
    <cellStyle name="Normal 61 5 2 3 2 4 5 2" xfId="0"/>
    <cellStyle name="Normal 61 5 2 3 2 4 6" xfId="0"/>
    <cellStyle name="Normal 61 5 2 3 2 5" xfId="0"/>
    <cellStyle name="Normal 61 5 2 3 2 5 2" xfId="0"/>
    <cellStyle name="Normal 61 5 2 3 2 5 2 2" xfId="0"/>
    <cellStyle name="Normal 61 5 2 3 2 5 2 2 2" xfId="0"/>
    <cellStyle name="Normal 61 5 2 3 2 5 2 3" xfId="0"/>
    <cellStyle name="Normal 61 5 2 3 2 5 3" xfId="0"/>
    <cellStyle name="Normal 61 5 2 3 2 5 3 2" xfId="0"/>
    <cellStyle name="Normal 61 5 2 3 2 5 3 2 2" xfId="0"/>
    <cellStyle name="Normal 61 5 2 3 2 5 3 3" xfId="0"/>
    <cellStyle name="Normal 61 5 2 3 2 5 4" xfId="0"/>
    <cellStyle name="Normal 61 5 2 3 2 5 4 2" xfId="0"/>
    <cellStyle name="Normal 61 5 2 3 2 5 5" xfId="0"/>
    <cellStyle name="Normal 61 5 2 3 2 6" xfId="0"/>
    <cellStyle name="Normal 61 5 2 3 2 6 2" xfId="0"/>
    <cellStyle name="Normal 61 5 2 3 2 6 2 2" xfId="0"/>
    <cellStyle name="Normal 61 5 2 3 2 6 3" xfId="0"/>
    <cellStyle name="Normal 61 5 2 3 2 7" xfId="0"/>
    <cellStyle name="Normal 61 5 2 3 2 7 2" xfId="0"/>
    <cellStyle name="Normal 61 5 2 3 2 7 2 2" xfId="0"/>
    <cellStyle name="Normal 61 5 2 3 2 7 3" xfId="0"/>
    <cellStyle name="Normal 61 5 2 3 2 8" xfId="0"/>
    <cellStyle name="Normal 61 5 2 3 2 8 2" xfId="0"/>
    <cellStyle name="Normal 61 5 2 3 2 9" xfId="0"/>
    <cellStyle name="Normal 61 5 2 3 3" xfId="0"/>
    <cellStyle name="Normal 61 5 2 3 3 2" xfId="0"/>
    <cellStyle name="Normal 61 5 2 3 3 2 2" xfId="0"/>
    <cellStyle name="Normal 61 5 2 3 3 2 2 2" xfId="0"/>
    <cellStyle name="Normal 61 5 2 3 3 2 2 2 2" xfId="0"/>
    <cellStyle name="Normal 61 5 2 3 3 2 2 2 2 2" xfId="0"/>
    <cellStyle name="Normal 61 5 2 3 3 2 2 2 2 2 2" xfId="0"/>
    <cellStyle name="Normal 61 5 2 3 3 2 2 2 2 3" xfId="0"/>
    <cellStyle name="Normal 61 5 2 3 3 2 2 2 3" xfId="0"/>
    <cellStyle name="Normal 61 5 2 3 3 2 2 2 3 2" xfId="0"/>
    <cellStyle name="Normal 61 5 2 3 3 2 2 2 3 2 2" xfId="0"/>
    <cellStyle name="Normal 61 5 2 3 3 2 2 2 3 3" xfId="0"/>
    <cellStyle name="Normal 61 5 2 3 3 2 2 2 4" xfId="0"/>
    <cellStyle name="Normal 61 5 2 3 3 2 2 2 4 2" xfId="0"/>
    <cellStyle name="Normal 61 5 2 3 3 2 2 2 5" xfId="0"/>
    <cellStyle name="Normal 61 5 2 3 3 2 2 3" xfId="0"/>
    <cellStyle name="Normal 61 5 2 3 3 2 2 3 2" xfId="0"/>
    <cellStyle name="Normal 61 5 2 3 3 2 2 3 2 2" xfId="0"/>
    <cellStyle name="Normal 61 5 2 3 3 2 2 3 3" xfId="0"/>
    <cellStyle name="Normal 61 5 2 3 3 2 2 4" xfId="0"/>
    <cellStyle name="Normal 61 5 2 3 3 2 2 4 2" xfId="0"/>
    <cellStyle name="Normal 61 5 2 3 3 2 2 4 2 2" xfId="0"/>
    <cellStyle name="Normal 61 5 2 3 3 2 2 4 3" xfId="0"/>
    <cellStyle name="Normal 61 5 2 3 3 2 2 5" xfId="0"/>
    <cellStyle name="Normal 61 5 2 3 3 2 2 5 2" xfId="0"/>
    <cellStyle name="Normal 61 5 2 3 3 2 2 6" xfId="0"/>
    <cellStyle name="Normal 61 5 2 3 3 2 3" xfId="0"/>
    <cellStyle name="Normal 61 5 2 3 3 2 3 2" xfId="0"/>
    <cellStyle name="Normal 61 5 2 3 3 2 3 2 2" xfId="0"/>
    <cellStyle name="Normal 61 5 2 3 3 2 3 2 2 2" xfId="0"/>
    <cellStyle name="Normal 61 5 2 3 3 2 3 2 3" xfId="0"/>
    <cellStyle name="Normal 61 5 2 3 3 2 3 3" xfId="0"/>
    <cellStyle name="Normal 61 5 2 3 3 2 3 3 2" xfId="0"/>
    <cellStyle name="Normal 61 5 2 3 3 2 3 3 2 2" xfId="0"/>
    <cellStyle name="Normal 61 5 2 3 3 2 3 3 3" xfId="0"/>
    <cellStyle name="Normal 61 5 2 3 3 2 3 4" xfId="0"/>
    <cellStyle name="Normal 61 5 2 3 3 2 3 4 2" xfId="0"/>
    <cellStyle name="Normal 61 5 2 3 3 2 3 5" xfId="0"/>
    <cellStyle name="Normal 61 5 2 3 3 2 4" xfId="0"/>
    <cellStyle name="Normal 61 5 2 3 3 2 4 2" xfId="0"/>
    <cellStyle name="Normal 61 5 2 3 3 2 4 2 2" xfId="0"/>
    <cellStyle name="Normal 61 5 2 3 3 2 4 3" xfId="0"/>
    <cellStyle name="Normal 61 5 2 3 3 2 5" xfId="0"/>
    <cellStyle name="Normal 61 5 2 3 3 2 5 2" xfId="0"/>
    <cellStyle name="Normal 61 5 2 3 3 2 5 2 2" xfId="0"/>
    <cellStyle name="Normal 61 5 2 3 3 2 5 3" xfId="0"/>
    <cellStyle name="Normal 61 5 2 3 3 2 6" xfId="0"/>
    <cellStyle name="Normal 61 5 2 3 3 2 6 2" xfId="0"/>
    <cellStyle name="Normal 61 5 2 3 3 2 7" xfId="0"/>
    <cellStyle name="Normal 61 5 2 3 3 3" xfId="0"/>
    <cellStyle name="Normal 61 5 2 3 3 3 2" xfId="0"/>
    <cellStyle name="Normal 61 5 2 3 3 3 2 2" xfId="0"/>
    <cellStyle name="Normal 61 5 2 3 3 3 2 2 2" xfId="0"/>
    <cellStyle name="Normal 61 5 2 3 3 3 2 2 2 2" xfId="0"/>
    <cellStyle name="Normal 61 5 2 3 3 3 2 2 3" xfId="0"/>
    <cellStyle name="Normal 61 5 2 3 3 3 2 3" xfId="0"/>
    <cellStyle name="Normal 61 5 2 3 3 3 2 3 2" xfId="0"/>
    <cellStyle name="Normal 61 5 2 3 3 3 2 3 2 2" xfId="0"/>
    <cellStyle name="Normal 61 5 2 3 3 3 2 3 3" xfId="0"/>
    <cellStyle name="Normal 61 5 2 3 3 3 2 4" xfId="0"/>
    <cellStyle name="Normal 61 5 2 3 3 3 2 4 2" xfId="0"/>
    <cellStyle name="Normal 61 5 2 3 3 3 2 5" xfId="0"/>
    <cellStyle name="Normal 61 5 2 3 3 3 3" xfId="0"/>
    <cellStyle name="Normal 61 5 2 3 3 3 3 2" xfId="0"/>
    <cellStyle name="Normal 61 5 2 3 3 3 3 2 2" xfId="0"/>
    <cellStyle name="Normal 61 5 2 3 3 3 3 3" xfId="0"/>
    <cellStyle name="Normal 61 5 2 3 3 3 4" xfId="0"/>
    <cellStyle name="Normal 61 5 2 3 3 3 4 2" xfId="0"/>
    <cellStyle name="Normal 61 5 2 3 3 3 4 2 2" xfId="0"/>
    <cellStyle name="Normal 61 5 2 3 3 3 4 3" xfId="0"/>
    <cellStyle name="Normal 61 5 2 3 3 3 5" xfId="0"/>
    <cellStyle name="Normal 61 5 2 3 3 3 5 2" xfId="0"/>
    <cellStyle name="Normal 61 5 2 3 3 3 6" xfId="0"/>
    <cellStyle name="Normal 61 5 2 3 3 4" xfId="0"/>
    <cellStyle name="Normal 61 5 2 3 3 4 2" xfId="0"/>
    <cellStyle name="Normal 61 5 2 3 3 4 2 2" xfId="0"/>
    <cellStyle name="Normal 61 5 2 3 3 4 2 2 2" xfId="0"/>
    <cellStyle name="Normal 61 5 2 3 3 4 2 3" xfId="0"/>
    <cellStyle name="Normal 61 5 2 3 3 4 3" xfId="0"/>
    <cellStyle name="Normal 61 5 2 3 3 4 3 2" xfId="0"/>
    <cellStyle name="Normal 61 5 2 3 3 4 3 2 2" xfId="0"/>
    <cellStyle name="Normal 61 5 2 3 3 4 3 3" xfId="0"/>
    <cellStyle name="Normal 61 5 2 3 3 4 4" xfId="0"/>
    <cellStyle name="Normal 61 5 2 3 3 4 4 2" xfId="0"/>
    <cellStyle name="Normal 61 5 2 3 3 4 5" xfId="0"/>
    <cellStyle name="Normal 61 5 2 3 3 5" xfId="0"/>
    <cellStyle name="Normal 61 5 2 3 3 5 2" xfId="0"/>
    <cellStyle name="Normal 61 5 2 3 3 5 2 2" xfId="0"/>
    <cellStyle name="Normal 61 5 2 3 3 5 3" xfId="0"/>
    <cellStyle name="Normal 61 5 2 3 3 6" xfId="0"/>
    <cellStyle name="Normal 61 5 2 3 3 6 2" xfId="0"/>
    <cellStyle name="Normal 61 5 2 3 3 6 2 2" xfId="0"/>
    <cellStyle name="Normal 61 5 2 3 3 6 3" xfId="0"/>
    <cellStyle name="Normal 61 5 2 3 3 7" xfId="0"/>
    <cellStyle name="Normal 61 5 2 3 3 7 2" xfId="0"/>
    <cellStyle name="Normal 61 5 2 3 3 8" xfId="0"/>
    <cellStyle name="Normal 61 5 2 3 4" xfId="0"/>
    <cellStyle name="Normal 61 5 2 3 4 2" xfId="0"/>
    <cellStyle name="Normal 61 5 2 3 4 2 2" xfId="0"/>
    <cellStyle name="Normal 61 5 2 3 4 2 2 2" xfId="0"/>
    <cellStyle name="Normal 61 5 2 3 4 2 2 2 2" xfId="0"/>
    <cellStyle name="Normal 61 5 2 3 4 2 2 2 2 2" xfId="0"/>
    <cellStyle name="Normal 61 5 2 3 4 2 2 2 3" xfId="0"/>
    <cellStyle name="Normal 61 5 2 3 4 2 2 3" xfId="0"/>
    <cellStyle name="Normal 61 5 2 3 4 2 2 3 2" xfId="0"/>
    <cellStyle name="Normal 61 5 2 3 4 2 2 3 2 2" xfId="0"/>
    <cellStyle name="Normal 61 5 2 3 4 2 2 3 3" xfId="0"/>
    <cellStyle name="Normal 61 5 2 3 4 2 2 4" xfId="0"/>
    <cellStyle name="Normal 61 5 2 3 4 2 2 4 2" xfId="0"/>
    <cellStyle name="Normal 61 5 2 3 4 2 2 5" xfId="0"/>
    <cellStyle name="Normal 61 5 2 3 4 2 3" xfId="0"/>
    <cellStyle name="Normal 61 5 2 3 4 2 3 2" xfId="0"/>
    <cellStyle name="Normal 61 5 2 3 4 2 3 2 2" xfId="0"/>
    <cellStyle name="Normal 61 5 2 3 4 2 3 3" xfId="0"/>
    <cellStyle name="Normal 61 5 2 3 4 2 4" xfId="0"/>
    <cellStyle name="Normal 61 5 2 3 4 2 4 2" xfId="0"/>
    <cellStyle name="Normal 61 5 2 3 4 2 4 2 2" xfId="0"/>
    <cellStyle name="Normal 61 5 2 3 4 2 4 3" xfId="0"/>
    <cellStyle name="Normal 61 5 2 3 4 2 5" xfId="0"/>
    <cellStyle name="Normal 61 5 2 3 4 2 5 2" xfId="0"/>
    <cellStyle name="Normal 61 5 2 3 4 2 6" xfId="0"/>
    <cellStyle name="Normal 61 5 2 3 4 3" xfId="0"/>
    <cellStyle name="Normal 61 5 2 3 4 3 2" xfId="0"/>
    <cellStyle name="Normal 61 5 2 3 4 3 2 2" xfId="0"/>
    <cellStyle name="Normal 61 5 2 3 4 3 2 2 2" xfId="0"/>
    <cellStyle name="Normal 61 5 2 3 4 3 2 3" xfId="0"/>
    <cellStyle name="Normal 61 5 2 3 4 3 3" xfId="0"/>
    <cellStyle name="Normal 61 5 2 3 4 3 3 2" xfId="0"/>
    <cellStyle name="Normal 61 5 2 3 4 3 3 2 2" xfId="0"/>
    <cellStyle name="Normal 61 5 2 3 4 3 3 3" xfId="0"/>
    <cellStyle name="Normal 61 5 2 3 4 3 4" xfId="0"/>
    <cellStyle name="Normal 61 5 2 3 4 3 4 2" xfId="0"/>
    <cellStyle name="Normal 61 5 2 3 4 3 5" xfId="0"/>
    <cellStyle name="Normal 61 5 2 3 4 4" xfId="0"/>
    <cellStyle name="Normal 61 5 2 3 4 4 2" xfId="0"/>
    <cellStyle name="Normal 61 5 2 3 4 4 2 2" xfId="0"/>
    <cellStyle name="Normal 61 5 2 3 4 4 3" xfId="0"/>
    <cellStyle name="Normal 61 5 2 3 4 5" xfId="0"/>
    <cellStyle name="Normal 61 5 2 3 4 5 2" xfId="0"/>
    <cellStyle name="Normal 61 5 2 3 4 5 2 2" xfId="0"/>
    <cellStyle name="Normal 61 5 2 3 4 5 3" xfId="0"/>
    <cellStyle name="Normal 61 5 2 3 4 6" xfId="0"/>
    <cellStyle name="Normal 61 5 2 3 4 6 2" xfId="0"/>
    <cellStyle name="Normal 61 5 2 3 4 7" xfId="0"/>
    <cellStyle name="Normal 61 5 2 3 5" xfId="0"/>
    <cellStyle name="Normal 61 5 2 3 5 2" xfId="0"/>
    <cellStyle name="Normal 61 5 2 3 5 2 2" xfId="0"/>
    <cellStyle name="Normal 61 5 2 3 5 2 2 2" xfId="0"/>
    <cellStyle name="Normal 61 5 2 3 5 2 2 2 2" xfId="0"/>
    <cellStyle name="Normal 61 5 2 3 5 2 2 3" xfId="0"/>
    <cellStyle name="Normal 61 5 2 3 5 2 3" xfId="0"/>
    <cellStyle name="Normal 61 5 2 3 5 2 3 2" xfId="0"/>
    <cellStyle name="Normal 61 5 2 3 5 2 3 2 2" xfId="0"/>
    <cellStyle name="Normal 61 5 2 3 5 2 3 3" xfId="0"/>
    <cellStyle name="Normal 61 5 2 3 5 2 4" xfId="0"/>
    <cellStyle name="Normal 61 5 2 3 5 2 4 2" xfId="0"/>
    <cellStyle name="Normal 61 5 2 3 5 2 5" xfId="0"/>
    <cellStyle name="Normal 61 5 2 3 5 3" xfId="0"/>
    <cellStyle name="Normal 61 5 2 3 5 3 2" xfId="0"/>
    <cellStyle name="Normal 61 5 2 3 5 3 2 2" xfId="0"/>
    <cellStyle name="Normal 61 5 2 3 5 3 3" xfId="0"/>
    <cellStyle name="Normal 61 5 2 3 5 4" xfId="0"/>
    <cellStyle name="Normal 61 5 2 3 5 4 2" xfId="0"/>
    <cellStyle name="Normal 61 5 2 3 5 4 2 2" xfId="0"/>
    <cellStyle name="Normal 61 5 2 3 5 4 3" xfId="0"/>
    <cellStyle name="Normal 61 5 2 3 5 5" xfId="0"/>
    <cellStyle name="Normal 61 5 2 3 5 5 2" xfId="0"/>
    <cellStyle name="Normal 61 5 2 3 5 6" xfId="0"/>
    <cellStyle name="Normal 61 5 2 3 6" xfId="0"/>
    <cellStyle name="Normal 61 5 2 3 6 2" xfId="0"/>
    <cellStyle name="Normal 61 5 2 3 6 2 2" xfId="0"/>
    <cellStyle name="Normal 61 5 2 3 6 2 2 2" xfId="0"/>
    <cellStyle name="Normal 61 5 2 3 6 2 3" xfId="0"/>
    <cellStyle name="Normal 61 5 2 3 6 3" xfId="0"/>
    <cellStyle name="Normal 61 5 2 3 6 3 2" xfId="0"/>
    <cellStyle name="Normal 61 5 2 3 6 3 2 2" xfId="0"/>
    <cellStyle name="Normal 61 5 2 3 6 3 3" xfId="0"/>
    <cellStyle name="Normal 61 5 2 3 6 4" xfId="0"/>
    <cellStyle name="Normal 61 5 2 3 6 4 2" xfId="0"/>
    <cellStyle name="Normal 61 5 2 3 6 5" xfId="0"/>
    <cellStyle name="Normal 61 5 2 3 7" xfId="0"/>
    <cellStyle name="Normal 61 5 2 3 7 2" xfId="0"/>
    <cellStyle name="Normal 61 5 2 3 7 2 2" xfId="0"/>
    <cellStyle name="Normal 61 5 2 3 7 3" xfId="0"/>
    <cellStyle name="Normal 61 5 2 3 8" xfId="0"/>
    <cellStyle name="Normal 61 5 2 3 8 2" xfId="0"/>
    <cellStyle name="Normal 61 5 2 3 8 2 2" xfId="0"/>
    <cellStyle name="Normal 61 5 2 3 8 3" xfId="0"/>
    <cellStyle name="Normal 61 5 2 3 9" xfId="0"/>
    <cellStyle name="Normal 61 5 2 3 9 2" xfId="0"/>
    <cellStyle name="Normal 61 5 2 4" xfId="0"/>
    <cellStyle name="Normal 61 5 2 4 2" xfId="0"/>
    <cellStyle name="Normal 61 5 2 4 2 2" xfId="0"/>
    <cellStyle name="Normal 61 5 2 4 2 2 2" xfId="0"/>
    <cellStyle name="Normal 61 5 2 4 2 2 2 2" xfId="0"/>
    <cellStyle name="Normal 61 5 2 4 2 2 2 2 2" xfId="0"/>
    <cellStyle name="Normal 61 5 2 4 2 2 2 2 2 2" xfId="0"/>
    <cellStyle name="Normal 61 5 2 4 2 2 2 2 2 2 2" xfId="0"/>
    <cellStyle name="Normal 61 5 2 4 2 2 2 2 2 3" xfId="0"/>
    <cellStyle name="Normal 61 5 2 4 2 2 2 2 3" xfId="0"/>
    <cellStyle name="Normal 61 5 2 4 2 2 2 2 3 2" xfId="0"/>
    <cellStyle name="Normal 61 5 2 4 2 2 2 2 3 2 2" xfId="0"/>
    <cellStyle name="Normal 61 5 2 4 2 2 2 2 3 3" xfId="0"/>
    <cellStyle name="Normal 61 5 2 4 2 2 2 2 4" xfId="0"/>
    <cellStyle name="Normal 61 5 2 4 2 2 2 2 4 2" xfId="0"/>
    <cellStyle name="Normal 61 5 2 4 2 2 2 2 5" xfId="0"/>
    <cellStyle name="Normal 61 5 2 4 2 2 2 3" xfId="0"/>
    <cellStyle name="Normal 61 5 2 4 2 2 2 3 2" xfId="0"/>
    <cellStyle name="Normal 61 5 2 4 2 2 2 3 2 2" xfId="0"/>
    <cellStyle name="Normal 61 5 2 4 2 2 2 3 3" xfId="0"/>
    <cellStyle name="Normal 61 5 2 4 2 2 2 4" xfId="0"/>
    <cellStyle name="Normal 61 5 2 4 2 2 2 4 2" xfId="0"/>
    <cellStyle name="Normal 61 5 2 4 2 2 2 4 2 2" xfId="0"/>
    <cellStyle name="Normal 61 5 2 4 2 2 2 4 3" xfId="0"/>
    <cellStyle name="Normal 61 5 2 4 2 2 2 5" xfId="0"/>
    <cellStyle name="Normal 61 5 2 4 2 2 2 5 2" xfId="0"/>
    <cellStyle name="Normal 61 5 2 4 2 2 2 6" xfId="0"/>
    <cellStyle name="Normal 61 5 2 4 2 2 3" xfId="0"/>
    <cellStyle name="Normal 61 5 2 4 2 2 3 2" xfId="0"/>
    <cellStyle name="Normal 61 5 2 4 2 2 3 2 2" xfId="0"/>
    <cellStyle name="Normal 61 5 2 4 2 2 3 2 2 2" xfId="0"/>
    <cellStyle name="Normal 61 5 2 4 2 2 3 2 3" xfId="0"/>
    <cellStyle name="Normal 61 5 2 4 2 2 3 3" xfId="0"/>
    <cellStyle name="Normal 61 5 2 4 2 2 3 3 2" xfId="0"/>
    <cellStyle name="Normal 61 5 2 4 2 2 3 3 2 2" xfId="0"/>
    <cellStyle name="Normal 61 5 2 4 2 2 3 3 3" xfId="0"/>
    <cellStyle name="Normal 61 5 2 4 2 2 3 4" xfId="0"/>
    <cellStyle name="Normal 61 5 2 4 2 2 3 4 2" xfId="0"/>
    <cellStyle name="Normal 61 5 2 4 2 2 3 5" xfId="0"/>
    <cellStyle name="Normal 61 5 2 4 2 2 4" xfId="0"/>
    <cellStyle name="Normal 61 5 2 4 2 2 4 2" xfId="0"/>
    <cellStyle name="Normal 61 5 2 4 2 2 4 2 2" xfId="0"/>
    <cellStyle name="Normal 61 5 2 4 2 2 4 3" xfId="0"/>
    <cellStyle name="Normal 61 5 2 4 2 2 5" xfId="0"/>
    <cellStyle name="Normal 61 5 2 4 2 2 5 2" xfId="0"/>
    <cellStyle name="Normal 61 5 2 4 2 2 5 2 2" xfId="0"/>
    <cellStyle name="Normal 61 5 2 4 2 2 5 3" xfId="0"/>
    <cellStyle name="Normal 61 5 2 4 2 2 6" xfId="0"/>
    <cellStyle name="Normal 61 5 2 4 2 2 6 2" xfId="0"/>
    <cellStyle name="Normal 61 5 2 4 2 2 7" xfId="0"/>
    <cellStyle name="Normal 61 5 2 4 2 3" xfId="0"/>
    <cellStyle name="Normal 61 5 2 4 2 3 2" xfId="0"/>
    <cellStyle name="Normal 61 5 2 4 2 3 2 2" xfId="0"/>
    <cellStyle name="Normal 61 5 2 4 2 3 2 2 2" xfId="0"/>
    <cellStyle name="Normal 61 5 2 4 2 3 2 2 2 2" xfId="0"/>
    <cellStyle name="Normal 61 5 2 4 2 3 2 2 3" xfId="0"/>
    <cellStyle name="Normal 61 5 2 4 2 3 2 3" xfId="0"/>
    <cellStyle name="Normal 61 5 2 4 2 3 2 3 2" xfId="0"/>
    <cellStyle name="Normal 61 5 2 4 2 3 2 3 2 2" xfId="0"/>
    <cellStyle name="Normal 61 5 2 4 2 3 2 3 3" xfId="0"/>
    <cellStyle name="Normal 61 5 2 4 2 3 2 4" xfId="0"/>
    <cellStyle name="Normal 61 5 2 4 2 3 2 4 2" xfId="0"/>
    <cellStyle name="Normal 61 5 2 4 2 3 2 5" xfId="0"/>
    <cellStyle name="Normal 61 5 2 4 2 3 3" xfId="0"/>
    <cellStyle name="Normal 61 5 2 4 2 3 3 2" xfId="0"/>
    <cellStyle name="Normal 61 5 2 4 2 3 3 2 2" xfId="0"/>
    <cellStyle name="Normal 61 5 2 4 2 3 3 3" xfId="0"/>
    <cellStyle name="Normal 61 5 2 4 2 3 4" xfId="0"/>
    <cellStyle name="Normal 61 5 2 4 2 3 4 2" xfId="0"/>
    <cellStyle name="Normal 61 5 2 4 2 3 4 2 2" xfId="0"/>
    <cellStyle name="Normal 61 5 2 4 2 3 4 3" xfId="0"/>
    <cellStyle name="Normal 61 5 2 4 2 3 5" xfId="0"/>
    <cellStyle name="Normal 61 5 2 4 2 3 5 2" xfId="0"/>
    <cellStyle name="Normal 61 5 2 4 2 3 6" xfId="0"/>
    <cellStyle name="Normal 61 5 2 4 2 4" xfId="0"/>
    <cellStyle name="Normal 61 5 2 4 2 4 2" xfId="0"/>
    <cellStyle name="Normal 61 5 2 4 2 4 2 2" xfId="0"/>
    <cellStyle name="Normal 61 5 2 4 2 4 2 2 2" xfId="0"/>
    <cellStyle name="Normal 61 5 2 4 2 4 2 3" xfId="0"/>
    <cellStyle name="Normal 61 5 2 4 2 4 3" xfId="0"/>
    <cellStyle name="Normal 61 5 2 4 2 4 3 2" xfId="0"/>
    <cellStyle name="Normal 61 5 2 4 2 4 3 2 2" xfId="0"/>
    <cellStyle name="Normal 61 5 2 4 2 4 3 3" xfId="0"/>
    <cellStyle name="Normal 61 5 2 4 2 4 4" xfId="0"/>
    <cellStyle name="Normal 61 5 2 4 2 4 4 2" xfId="0"/>
    <cellStyle name="Normal 61 5 2 4 2 4 5" xfId="0"/>
    <cellStyle name="Normal 61 5 2 4 2 5" xfId="0"/>
    <cellStyle name="Normal 61 5 2 4 2 5 2" xfId="0"/>
    <cellStyle name="Normal 61 5 2 4 2 5 2 2" xfId="0"/>
    <cellStyle name="Normal 61 5 2 4 2 5 3" xfId="0"/>
    <cellStyle name="Normal 61 5 2 4 2 6" xfId="0"/>
    <cellStyle name="Normal 61 5 2 4 2 6 2" xfId="0"/>
    <cellStyle name="Normal 61 5 2 4 2 6 2 2" xfId="0"/>
    <cellStyle name="Normal 61 5 2 4 2 6 3" xfId="0"/>
    <cellStyle name="Normal 61 5 2 4 2 7" xfId="0"/>
    <cellStyle name="Normal 61 5 2 4 2 7 2" xfId="0"/>
    <cellStyle name="Normal 61 5 2 4 2 8" xfId="0"/>
    <cellStyle name="Normal 61 5 2 4 3" xfId="0"/>
    <cellStyle name="Normal 61 5 2 4 3 2" xfId="0"/>
    <cellStyle name="Normal 61 5 2 4 3 2 2" xfId="0"/>
    <cellStyle name="Normal 61 5 2 4 3 2 2 2" xfId="0"/>
    <cellStyle name="Normal 61 5 2 4 3 2 2 2 2" xfId="0"/>
    <cellStyle name="Normal 61 5 2 4 3 2 2 2 2 2" xfId="0"/>
    <cellStyle name="Normal 61 5 2 4 3 2 2 2 3" xfId="0"/>
    <cellStyle name="Normal 61 5 2 4 3 2 2 3" xfId="0"/>
    <cellStyle name="Normal 61 5 2 4 3 2 2 3 2" xfId="0"/>
    <cellStyle name="Normal 61 5 2 4 3 2 2 3 2 2" xfId="0"/>
    <cellStyle name="Normal 61 5 2 4 3 2 2 3 3" xfId="0"/>
    <cellStyle name="Normal 61 5 2 4 3 2 2 4" xfId="0"/>
    <cellStyle name="Normal 61 5 2 4 3 2 2 4 2" xfId="0"/>
    <cellStyle name="Normal 61 5 2 4 3 2 2 5" xfId="0"/>
    <cellStyle name="Normal 61 5 2 4 3 2 3" xfId="0"/>
    <cellStyle name="Normal 61 5 2 4 3 2 3 2" xfId="0"/>
    <cellStyle name="Normal 61 5 2 4 3 2 3 2 2" xfId="0"/>
    <cellStyle name="Normal 61 5 2 4 3 2 3 3" xfId="0"/>
    <cellStyle name="Normal 61 5 2 4 3 2 4" xfId="0"/>
    <cellStyle name="Normal 61 5 2 4 3 2 4 2" xfId="0"/>
    <cellStyle name="Normal 61 5 2 4 3 2 4 2 2" xfId="0"/>
    <cellStyle name="Normal 61 5 2 4 3 2 4 3" xfId="0"/>
    <cellStyle name="Normal 61 5 2 4 3 2 5" xfId="0"/>
    <cellStyle name="Normal 61 5 2 4 3 2 5 2" xfId="0"/>
    <cellStyle name="Normal 61 5 2 4 3 2 6" xfId="0"/>
    <cellStyle name="Normal 61 5 2 4 3 3" xfId="0"/>
    <cellStyle name="Normal 61 5 2 4 3 3 2" xfId="0"/>
    <cellStyle name="Normal 61 5 2 4 3 3 2 2" xfId="0"/>
    <cellStyle name="Normal 61 5 2 4 3 3 2 2 2" xfId="0"/>
    <cellStyle name="Normal 61 5 2 4 3 3 2 3" xfId="0"/>
    <cellStyle name="Normal 61 5 2 4 3 3 3" xfId="0"/>
    <cellStyle name="Normal 61 5 2 4 3 3 3 2" xfId="0"/>
    <cellStyle name="Normal 61 5 2 4 3 3 3 2 2" xfId="0"/>
    <cellStyle name="Normal 61 5 2 4 3 3 3 3" xfId="0"/>
    <cellStyle name="Normal 61 5 2 4 3 3 4" xfId="0"/>
    <cellStyle name="Normal 61 5 2 4 3 3 4 2" xfId="0"/>
    <cellStyle name="Normal 61 5 2 4 3 3 5" xfId="0"/>
    <cellStyle name="Normal 61 5 2 4 3 4" xfId="0"/>
    <cellStyle name="Normal 61 5 2 4 3 4 2" xfId="0"/>
    <cellStyle name="Normal 61 5 2 4 3 4 2 2" xfId="0"/>
    <cellStyle name="Normal 61 5 2 4 3 4 3" xfId="0"/>
    <cellStyle name="Normal 61 5 2 4 3 5" xfId="0"/>
    <cellStyle name="Normal 61 5 2 4 3 5 2" xfId="0"/>
    <cellStyle name="Normal 61 5 2 4 3 5 2 2" xfId="0"/>
    <cellStyle name="Normal 61 5 2 4 3 5 3" xfId="0"/>
    <cellStyle name="Normal 61 5 2 4 3 6" xfId="0"/>
    <cellStyle name="Normal 61 5 2 4 3 6 2" xfId="0"/>
    <cellStyle name="Normal 61 5 2 4 3 7" xfId="0"/>
    <cellStyle name="Normal 61 5 2 4 4" xfId="0"/>
    <cellStyle name="Normal 61 5 2 4 4 2" xfId="0"/>
    <cellStyle name="Normal 61 5 2 4 4 2 2" xfId="0"/>
    <cellStyle name="Normal 61 5 2 4 4 2 2 2" xfId="0"/>
    <cellStyle name="Normal 61 5 2 4 4 2 2 2 2" xfId="0"/>
    <cellStyle name="Normal 61 5 2 4 4 2 2 3" xfId="0"/>
    <cellStyle name="Normal 61 5 2 4 4 2 3" xfId="0"/>
    <cellStyle name="Normal 61 5 2 4 4 2 3 2" xfId="0"/>
    <cellStyle name="Normal 61 5 2 4 4 2 3 2 2" xfId="0"/>
    <cellStyle name="Normal 61 5 2 4 4 2 3 3" xfId="0"/>
    <cellStyle name="Normal 61 5 2 4 4 2 4" xfId="0"/>
    <cellStyle name="Normal 61 5 2 4 4 2 4 2" xfId="0"/>
    <cellStyle name="Normal 61 5 2 4 4 2 5" xfId="0"/>
    <cellStyle name="Normal 61 5 2 4 4 3" xfId="0"/>
    <cellStyle name="Normal 61 5 2 4 4 3 2" xfId="0"/>
    <cellStyle name="Normal 61 5 2 4 4 3 2 2" xfId="0"/>
    <cellStyle name="Normal 61 5 2 4 4 3 3" xfId="0"/>
    <cellStyle name="Normal 61 5 2 4 4 4" xfId="0"/>
    <cellStyle name="Normal 61 5 2 4 4 4 2" xfId="0"/>
    <cellStyle name="Normal 61 5 2 4 4 4 2 2" xfId="0"/>
    <cellStyle name="Normal 61 5 2 4 4 4 3" xfId="0"/>
    <cellStyle name="Normal 61 5 2 4 4 5" xfId="0"/>
    <cellStyle name="Normal 61 5 2 4 4 5 2" xfId="0"/>
    <cellStyle name="Normal 61 5 2 4 4 6" xfId="0"/>
    <cellStyle name="Normal 61 5 2 4 5" xfId="0"/>
    <cellStyle name="Normal 61 5 2 4 5 2" xfId="0"/>
    <cellStyle name="Normal 61 5 2 4 5 2 2" xfId="0"/>
    <cellStyle name="Normal 61 5 2 4 5 2 2 2" xfId="0"/>
    <cellStyle name="Normal 61 5 2 4 5 2 3" xfId="0"/>
    <cellStyle name="Normal 61 5 2 4 5 3" xfId="0"/>
    <cellStyle name="Normal 61 5 2 4 5 3 2" xfId="0"/>
    <cellStyle name="Normal 61 5 2 4 5 3 2 2" xfId="0"/>
    <cellStyle name="Normal 61 5 2 4 5 3 3" xfId="0"/>
    <cellStyle name="Normal 61 5 2 4 5 4" xfId="0"/>
    <cellStyle name="Normal 61 5 2 4 5 4 2" xfId="0"/>
    <cellStyle name="Normal 61 5 2 4 5 5" xfId="0"/>
    <cellStyle name="Normal 61 5 2 4 6" xfId="0"/>
    <cellStyle name="Normal 61 5 2 4 6 2" xfId="0"/>
    <cellStyle name="Normal 61 5 2 4 6 2 2" xfId="0"/>
    <cellStyle name="Normal 61 5 2 4 6 3" xfId="0"/>
    <cellStyle name="Normal 61 5 2 4 7" xfId="0"/>
    <cellStyle name="Normal 61 5 2 4 7 2" xfId="0"/>
    <cellStyle name="Normal 61 5 2 4 7 2 2" xfId="0"/>
    <cellStyle name="Normal 61 5 2 4 7 3" xfId="0"/>
    <cellStyle name="Normal 61 5 2 4 8" xfId="0"/>
    <cellStyle name="Normal 61 5 2 4 8 2" xfId="0"/>
    <cellStyle name="Normal 61 5 2 4 9" xfId="0"/>
    <cellStyle name="Normal 61 5 2 5" xfId="0"/>
    <cellStyle name="Normal 61 5 2 5 2" xfId="0"/>
    <cellStyle name="Normal 61 5 2 5 2 2" xfId="0"/>
    <cellStyle name="Normal 61 5 2 5 2 2 2" xfId="0"/>
    <cellStyle name="Normal 61 5 2 5 2 2 2 2" xfId="0"/>
    <cellStyle name="Normal 61 5 2 5 2 2 2 2 2" xfId="0"/>
    <cellStyle name="Normal 61 5 2 5 2 2 2 2 2 2" xfId="0"/>
    <cellStyle name="Normal 61 5 2 5 2 2 2 2 3" xfId="0"/>
    <cellStyle name="Normal 61 5 2 5 2 2 2 3" xfId="0"/>
    <cellStyle name="Normal 61 5 2 5 2 2 2 3 2" xfId="0"/>
    <cellStyle name="Normal 61 5 2 5 2 2 2 3 2 2" xfId="0"/>
    <cellStyle name="Normal 61 5 2 5 2 2 2 3 3" xfId="0"/>
    <cellStyle name="Normal 61 5 2 5 2 2 2 4" xfId="0"/>
    <cellStyle name="Normal 61 5 2 5 2 2 2 4 2" xfId="0"/>
    <cellStyle name="Normal 61 5 2 5 2 2 2 5" xfId="0"/>
    <cellStyle name="Normal 61 5 2 5 2 2 3" xfId="0"/>
    <cellStyle name="Normal 61 5 2 5 2 2 3 2" xfId="0"/>
    <cellStyle name="Normal 61 5 2 5 2 2 3 2 2" xfId="0"/>
    <cellStyle name="Normal 61 5 2 5 2 2 3 3" xfId="0"/>
    <cellStyle name="Normal 61 5 2 5 2 2 4" xfId="0"/>
    <cellStyle name="Normal 61 5 2 5 2 2 4 2" xfId="0"/>
    <cellStyle name="Normal 61 5 2 5 2 2 4 2 2" xfId="0"/>
    <cellStyle name="Normal 61 5 2 5 2 2 4 3" xfId="0"/>
    <cellStyle name="Normal 61 5 2 5 2 2 5" xfId="0"/>
    <cellStyle name="Normal 61 5 2 5 2 2 5 2" xfId="0"/>
    <cellStyle name="Normal 61 5 2 5 2 2 6" xfId="0"/>
    <cellStyle name="Normal 61 5 2 5 2 3" xfId="0"/>
    <cellStyle name="Normal 61 5 2 5 2 3 2" xfId="0"/>
    <cellStyle name="Normal 61 5 2 5 2 3 2 2" xfId="0"/>
    <cellStyle name="Normal 61 5 2 5 2 3 2 2 2" xfId="0"/>
    <cellStyle name="Normal 61 5 2 5 2 3 2 3" xfId="0"/>
    <cellStyle name="Normal 61 5 2 5 2 3 3" xfId="0"/>
    <cellStyle name="Normal 61 5 2 5 2 3 3 2" xfId="0"/>
    <cellStyle name="Normal 61 5 2 5 2 3 3 2 2" xfId="0"/>
    <cellStyle name="Normal 61 5 2 5 2 3 3 3" xfId="0"/>
    <cellStyle name="Normal 61 5 2 5 2 3 4" xfId="0"/>
    <cellStyle name="Normal 61 5 2 5 2 3 4 2" xfId="0"/>
    <cellStyle name="Normal 61 5 2 5 2 3 5" xfId="0"/>
    <cellStyle name="Normal 61 5 2 5 2 4" xfId="0"/>
    <cellStyle name="Normal 61 5 2 5 2 4 2" xfId="0"/>
    <cellStyle name="Normal 61 5 2 5 2 4 2 2" xfId="0"/>
    <cellStyle name="Normal 61 5 2 5 2 4 3" xfId="0"/>
    <cellStyle name="Normal 61 5 2 5 2 5" xfId="0"/>
    <cellStyle name="Normal 61 5 2 5 2 5 2" xfId="0"/>
    <cellStyle name="Normal 61 5 2 5 2 5 2 2" xfId="0"/>
    <cellStyle name="Normal 61 5 2 5 2 5 3" xfId="0"/>
    <cellStyle name="Normal 61 5 2 5 2 6" xfId="0"/>
    <cellStyle name="Normal 61 5 2 5 2 6 2" xfId="0"/>
    <cellStyle name="Normal 61 5 2 5 2 7" xfId="0"/>
    <cellStyle name="Normal 61 5 2 5 3" xfId="0"/>
    <cellStyle name="Normal 61 5 2 5 3 2" xfId="0"/>
    <cellStyle name="Normal 61 5 2 5 3 2 2" xfId="0"/>
    <cellStyle name="Normal 61 5 2 5 3 2 2 2" xfId="0"/>
    <cellStyle name="Normal 61 5 2 5 3 2 2 2 2" xfId="0"/>
    <cellStyle name="Normal 61 5 2 5 3 2 2 3" xfId="0"/>
    <cellStyle name="Normal 61 5 2 5 3 2 3" xfId="0"/>
    <cellStyle name="Normal 61 5 2 5 3 2 3 2" xfId="0"/>
    <cellStyle name="Normal 61 5 2 5 3 2 3 2 2" xfId="0"/>
    <cellStyle name="Normal 61 5 2 5 3 2 3 3" xfId="0"/>
    <cellStyle name="Normal 61 5 2 5 3 2 4" xfId="0"/>
    <cellStyle name="Normal 61 5 2 5 3 2 4 2" xfId="0"/>
    <cellStyle name="Normal 61 5 2 5 3 2 5" xfId="0"/>
    <cellStyle name="Normal 61 5 2 5 3 3" xfId="0"/>
    <cellStyle name="Normal 61 5 2 5 3 3 2" xfId="0"/>
    <cellStyle name="Normal 61 5 2 5 3 3 2 2" xfId="0"/>
    <cellStyle name="Normal 61 5 2 5 3 3 3" xfId="0"/>
    <cellStyle name="Normal 61 5 2 5 3 4" xfId="0"/>
    <cellStyle name="Normal 61 5 2 5 3 4 2" xfId="0"/>
    <cellStyle name="Normal 61 5 2 5 3 4 2 2" xfId="0"/>
    <cellStyle name="Normal 61 5 2 5 3 4 3" xfId="0"/>
    <cellStyle name="Normal 61 5 2 5 3 5" xfId="0"/>
    <cellStyle name="Normal 61 5 2 5 3 5 2" xfId="0"/>
    <cellStyle name="Normal 61 5 2 5 3 6" xfId="0"/>
    <cellStyle name="Normal 61 5 2 5 4" xfId="0"/>
    <cellStyle name="Normal 61 5 2 5 4 2" xfId="0"/>
    <cellStyle name="Normal 61 5 2 5 4 2 2" xfId="0"/>
    <cellStyle name="Normal 61 5 2 5 4 2 2 2" xfId="0"/>
    <cellStyle name="Normal 61 5 2 5 4 2 3" xfId="0"/>
    <cellStyle name="Normal 61 5 2 5 4 3" xfId="0"/>
    <cellStyle name="Normal 61 5 2 5 4 3 2" xfId="0"/>
    <cellStyle name="Normal 61 5 2 5 4 3 2 2" xfId="0"/>
    <cellStyle name="Normal 61 5 2 5 4 3 3" xfId="0"/>
    <cellStyle name="Normal 61 5 2 5 4 4" xfId="0"/>
    <cellStyle name="Normal 61 5 2 5 4 4 2" xfId="0"/>
    <cellStyle name="Normal 61 5 2 5 4 5" xfId="0"/>
    <cellStyle name="Normal 61 5 2 5 5" xfId="0"/>
    <cellStyle name="Normal 61 5 2 5 5 2" xfId="0"/>
    <cellStyle name="Normal 61 5 2 5 5 2 2" xfId="0"/>
    <cellStyle name="Normal 61 5 2 5 5 3" xfId="0"/>
    <cellStyle name="Normal 61 5 2 5 6" xfId="0"/>
    <cellStyle name="Normal 61 5 2 5 6 2" xfId="0"/>
    <cellStyle name="Normal 61 5 2 5 6 2 2" xfId="0"/>
    <cellStyle name="Normal 61 5 2 5 6 3" xfId="0"/>
    <cellStyle name="Normal 61 5 2 5 7" xfId="0"/>
    <cellStyle name="Normal 61 5 2 5 7 2" xfId="0"/>
    <cellStyle name="Normal 61 5 2 5 8" xfId="0"/>
    <cellStyle name="Normal 61 5 2 6" xfId="0"/>
    <cellStyle name="Normal 61 5 2 6 2" xfId="0"/>
    <cellStyle name="Normal 61 5 2 6 2 2" xfId="0"/>
    <cellStyle name="Normal 61 5 2 6 2 2 2" xfId="0"/>
    <cellStyle name="Normal 61 5 2 6 2 2 2 2" xfId="0"/>
    <cellStyle name="Normal 61 5 2 6 2 2 2 2 2" xfId="0"/>
    <cellStyle name="Normal 61 5 2 6 2 2 2 3" xfId="0"/>
    <cellStyle name="Normal 61 5 2 6 2 2 3" xfId="0"/>
    <cellStyle name="Normal 61 5 2 6 2 2 3 2" xfId="0"/>
    <cellStyle name="Normal 61 5 2 6 2 2 3 2 2" xfId="0"/>
    <cellStyle name="Normal 61 5 2 6 2 2 3 3" xfId="0"/>
    <cellStyle name="Normal 61 5 2 6 2 2 4" xfId="0"/>
    <cellStyle name="Normal 61 5 2 6 2 2 4 2" xfId="0"/>
    <cellStyle name="Normal 61 5 2 6 2 2 5" xfId="0"/>
    <cellStyle name="Normal 61 5 2 6 2 3" xfId="0"/>
    <cellStyle name="Normal 61 5 2 6 2 3 2" xfId="0"/>
    <cellStyle name="Normal 61 5 2 6 2 3 2 2" xfId="0"/>
    <cellStyle name="Normal 61 5 2 6 2 3 3" xfId="0"/>
    <cellStyle name="Normal 61 5 2 6 2 4" xfId="0"/>
    <cellStyle name="Normal 61 5 2 6 2 4 2" xfId="0"/>
    <cellStyle name="Normal 61 5 2 6 2 4 2 2" xfId="0"/>
    <cellStyle name="Normal 61 5 2 6 2 4 3" xfId="0"/>
    <cellStyle name="Normal 61 5 2 6 2 5" xfId="0"/>
    <cellStyle name="Normal 61 5 2 6 2 5 2" xfId="0"/>
    <cellStyle name="Normal 61 5 2 6 2 6" xfId="0"/>
    <cellStyle name="Normal 61 5 2 6 3" xfId="0"/>
    <cellStyle name="Normal 61 5 2 6 3 2" xfId="0"/>
    <cellStyle name="Normal 61 5 2 6 3 2 2" xfId="0"/>
    <cellStyle name="Normal 61 5 2 6 3 2 2 2" xfId="0"/>
    <cellStyle name="Normal 61 5 2 6 3 2 3" xfId="0"/>
    <cellStyle name="Normal 61 5 2 6 3 3" xfId="0"/>
    <cellStyle name="Normal 61 5 2 6 3 3 2" xfId="0"/>
    <cellStyle name="Normal 61 5 2 6 3 3 2 2" xfId="0"/>
    <cellStyle name="Normal 61 5 2 6 3 3 3" xfId="0"/>
    <cellStyle name="Normal 61 5 2 6 3 4" xfId="0"/>
    <cellStyle name="Normal 61 5 2 6 3 4 2" xfId="0"/>
    <cellStyle name="Normal 61 5 2 6 3 5" xfId="0"/>
    <cellStyle name="Normal 61 5 2 6 4" xfId="0"/>
    <cellStyle name="Normal 61 5 2 6 4 2" xfId="0"/>
    <cellStyle name="Normal 61 5 2 6 4 2 2" xfId="0"/>
    <cellStyle name="Normal 61 5 2 6 4 3" xfId="0"/>
    <cellStyle name="Normal 61 5 2 6 5" xfId="0"/>
    <cellStyle name="Normal 61 5 2 6 5 2" xfId="0"/>
    <cellStyle name="Normal 61 5 2 6 5 2 2" xfId="0"/>
    <cellStyle name="Normal 61 5 2 6 5 3" xfId="0"/>
    <cellStyle name="Normal 61 5 2 6 6" xfId="0"/>
    <cellStyle name="Normal 61 5 2 6 6 2" xfId="0"/>
    <cellStyle name="Normal 61 5 2 6 7" xfId="0"/>
    <cellStyle name="Normal 61 5 2 7" xfId="0"/>
    <cellStyle name="Normal 61 5 2 7 2" xfId="0"/>
    <cellStyle name="Normal 61 5 2 7 2 2" xfId="0"/>
    <cellStyle name="Normal 61 5 2 7 2 2 2" xfId="0"/>
    <cellStyle name="Normal 61 5 2 7 2 2 2 2" xfId="0"/>
    <cellStyle name="Normal 61 5 2 7 2 2 3" xfId="0"/>
    <cellStyle name="Normal 61 5 2 7 2 3" xfId="0"/>
    <cellStyle name="Normal 61 5 2 7 2 3 2" xfId="0"/>
    <cellStyle name="Normal 61 5 2 7 2 3 2 2" xfId="0"/>
    <cellStyle name="Normal 61 5 2 7 2 3 3" xfId="0"/>
    <cellStyle name="Normal 61 5 2 7 2 4" xfId="0"/>
    <cellStyle name="Normal 61 5 2 7 2 4 2" xfId="0"/>
    <cellStyle name="Normal 61 5 2 7 2 5" xfId="0"/>
    <cellStyle name="Normal 61 5 2 7 3" xfId="0"/>
    <cellStyle name="Normal 61 5 2 7 3 2" xfId="0"/>
    <cellStyle name="Normal 61 5 2 7 3 2 2" xfId="0"/>
    <cellStyle name="Normal 61 5 2 7 3 3" xfId="0"/>
    <cellStyle name="Normal 61 5 2 7 4" xfId="0"/>
    <cellStyle name="Normal 61 5 2 7 4 2" xfId="0"/>
    <cellStyle name="Normal 61 5 2 7 4 2 2" xfId="0"/>
    <cellStyle name="Normal 61 5 2 7 4 3" xfId="0"/>
    <cellStyle name="Normal 61 5 2 7 5" xfId="0"/>
    <cellStyle name="Normal 61 5 2 7 5 2" xfId="0"/>
    <cellStyle name="Normal 61 5 2 7 6" xfId="0"/>
    <cellStyle name="Normal 61 5 2 8" xfId="0"/>
    <cellStyle name="Normal 61 5 2 8 2" xfId="0"/>
    <cellStyle name="Normal 61 5 2 8 2 2" xfId="0"/>
    <cellStyle name="Normal 61 5 2 8 2 2 2" xfId="0"/>
    <cellStyle name="Normal 61 5 2 8 2 3" xfId="0"/>
    <cellStyle name="Normal 61 5 2 8 3" xfId="0"/>
    <cellStyle name="Normal 61 5 2 8 3 2" xfId="0"/>
    <cellStyle name="Normal 61 5 2 8 3 2 2" xfId="0"/>
    <cellStyle name="Normal 61 5 2 8 3 3" xfId="0"/>
    <cellStyle name="Normal 61 5 2 8 4" xfId="0"/>
    <cellStyle name="Normal 61 5 2 8 4 2" xfId="0"/>
    <cellStyle name="Normal 61 5 2 8 5" xfId="0"/>
    <cellStyle name="Normal 61 5 2 9" xfId="0"/>
    <cellStyle name="Normal 61 5 2 9 2" xfId="0"/>
    <cellStyle name="Normal 61 5 2 9 2 2" xfId="0"/>
    <cellStyle name="Normal 61 5 2 9 3" xfId="0"/>
    <cellStyle name="Normal 61 5 3" xfId="0"/>
    <cellStyle name="Normal 61 5 3 10" xfId="0"/>
    <cellStyle name="Normal 61 5 3 2" xfId="0"/>
    <cellStyle name="Normal 61 5 3 2 2" xfId="0"/>
    <cellStyle name="Normal 61 5 3 2 2 2" xfId="0"/>
    <cellStyle name="Normal 61 5 3 2 2 2 2" xfId="0"/>
    <cellStyle name="Normal 61 5 3 2 2 2 2 2" xfId="0"/>
    <cellStyle name="Normal 61 5 3 2 2 2 2 2 2" xfId="0"/>
    <cellStyle name="Normal 61 5 3 2 2 2 2 2 2 2" xfId="0"/>
    <cellStyle name="Normal 61 5 3 2 2 2 2 2 2 2 2" xfId="0"/>
    <cellStyle name="Normal 61 5 3 2 2 2 2 2 2 3" xfId="0"/>
    <cellStyle name="Normal 61 5 3 2 2 2 2 2 3" xfId="0"/>
    <cellStyle name="Normal 61 5 3 2 2 2 2 2 3 2" xfId="0"/>
    <cellStyle name="Normal 61 5 3 2 2 2 2 2 3 2 2" xfId="0"/>
    <cellStyle name="Normal 61 5 3 2 2 2 2 2 3 3" xfId="0"/>
    <cellStyle name="Normal 61 5 3 2 2 2 2 2 4" xfId="0"/>
    <cellStyle name="Normal 61 5 3 2 2 2 2 2 4 2" xfId="0"/>
    <cellStyle name="Normal 61 5 3 2 2 2 2 2 5" xfId="0"/>
    <cellStyle name="Normal 61 5 3 2 2 2 2 3" xfId="0"/>
    <cellStyle name="Normal 61 5 3 2 2 2 2 3 2" xfId="0"/>
    <cellStyle name="Normal 61 5 3 2 2 2 2 3 2 2" xfId="0"/>
    <cellStyle name="Normal 61 5 3 2 2 2 2 3 3" xfId="0"/>
    <cellStyle name="Normal 61 5 3 2 2 2 2 4" xfId="0"/>
    <cellStyle name="Normal 61 5 3 2 2 2 2 4 2" xfId="0"/>
    <cellStyle name="Normal 61 5 3 2 2 2 2 4 2 2" xfId="0"/>
    <cellStyle name="Normal 61 5 3 2 2 2 2 4 3" xfId="0"/>
    <cellStyle name="Normal 61 5 3 2 2 2 2 5" xfId="0"/>
    <cellStyle name="Normal 61 5 3 2 2 2 2 5 2" xfId="0"/>
    <cellStyle name="Normal 61 5 3 2 2 2 2 6" xfId="0"/>
    <cellStyle name="Normal 61 5 3 2 2 2 3" xfId="0"/>
    <cellStyle name="Normal 61 5 3 2 2 2 3 2" xfId="0"/>
    <cellStyle name="Normal 61 5 3 2 2 2 3 2 2" xfId="0"/>
    <cellStyle name="Normal 61 5 3 2 2 2 3 2 2 2" xfId="0"/>
    <cellStyle name="Normal 61 5 3 2 2 2 3 2 3" xfId="0"/>
    <cellStyle name="Normal 61 5 3 2 2 2 3 3" xfId="0"/>
    <cellStyle name="Normal 61 5 3 2 2 2 3 3 2" xfId="0"/>
    <cellStyle name="Normal 61 5 3 2 2 2 3 3 2 2" xfId="0"/>
    <cellStyle name="Normal 61 5 3 2 2 2 3 3 3" xfId="0"/>
    <cellStyle name="Normal 61 5 3 2 2 2 3 4" xfId="0"/>
    <cellStyle name="Normal 61 5 3 2 2 2 3 4 2" xfId="0"/>
    <cellStyle name="Normal 61 5 3 2 2 2 3 5" xfId="0"/>
    <cellStyle name="Normal 61 5 3 2 2 2 4" xfId="0"/>
    <cellStyle name="Normal 61 5 3 2 2 2 4 2" xfId="0"/>
    <cellStyle name="Normal 61 5 3 2 2 2 4 2 2" xfId="0"/>
    <cellStyle name="Normal 61 5 3 2 2 2 4 3" xfId="0"/>
    <cellStyle name="Normal 61 5 3 2 2 2 5" xfId="0"/>
    <cellStyle name="Normal 61 5 3 2 2 2 5 2" xfId="0"/>
    <cellStyle name="Normal 61 5 3 2 2 2 5 2 2" xfId="0"/>
    <cellStyle name="Normal 61 5 3 2 2 2 5 3" xfId="0"/>
    <cellStyle name="Normal 61 5 3 2 2 2 6" xfId="0"/>
    <cellStyle name="Normal 61 5 3 2 2 2 6 2" xfId="0"/>
    <cellStyle name="Normal 61 5 3 2 2 2 7" xfId="0"/>
    <cellStyle name="Normal 61 5 3 2 2 3" xfId="0"/>
    <cellStyle name="Normal 61 5 3 2 2 3 2" xfId="0"/>
    <cellStyle name="Normal 61 5 3 2 2 3 2 2" xfId="0"/>
    <cellStyle name="Normal 61 5 3 2 2 3 2 2 2" xfId="0"/>
    <cellStyle name="Normal 61 5 3 2 2 3 2 2 2 2" xfId="0"/>
    <cellStyle name="Normal 61 5 3 2 2 3 2 2 3" xfId="0"/>
    <cellStyle name="Normal 61 5 3 2 2 3 2 3" xfId="0"/>
    <cellStyle name="Normal 61 5 3 2 2 3 2 3 2" xfId="0"/>
    <cellStyle name="Normal 61 5 3 2 2 3 2 3 2 2" xfId="0"/>
    <cellStyle name="Normal 61 5 3 2 2 3 2 3 3" xfId="0"/>
    <cellStyle name="Normal 61 5 3 2 2 3 2 4" xfId="0"/>
    <cellStyle name="Normal 61 5 3 2 2 3 2 4 2" xfId="0"/>
    <cellStyle name="Normal 61 5 3 2 2 3 2 5" xfId="0"/>
    <cellStyle name="Normal 61 5 3 2 2 3 3" xfId="0"/>
    <cellStyle name="Normal 61 5 3 2 2 3 3 2" xfId="0"/>
    <cellStyle name="Normal 61 5 3 2 2 3 3 2 2" xfId="0"/>
    <cellStyle name="Normal 61 5 3 2 2 3 3 3" xfId="0"/>
    <cellStyle name="Normal 61 5 3 2 2 3 4" xfId="0"/>
    <cellStyle name="Normal 61 5 3 2 2 3 4 2" xfId="0"/>
    <cellStyle name="Normal 61 5 3 2 2 3 4 2 2" xfId="0"/>
    <cellStyle name="Normal 61 5 3 2 2 3 4 3" xfId="0"/>
    <cellStyle name="Normal 61 5 3 2 2 3 5" xfId="0"/>
    <cellStyle name="Normal 61 5 3 2 2 3 5 2" xfId="0"/>
    <cellStyle name="Normal 61 5 3 2 2 3 6" xfId="0"/>
    <cellStyle name="Normal 61 5 3 2 2 4" xfId="0"/>
    <cellStyle name="Normal 61 5 3 2 2 4 2" xfId="0"/>
    <cellStyle name="Normal 61 5 3 2 2 4 2 2" xfId="0"/>
    <cellStyle name="Normal 61 5 3 2 2 4 2 2 2" xfId="0"/>
    <cellStyle name="Normal 61 5 3 2 2 4 2 3" xfId="0"/>
    <cellStyle name="Normal 61 5 3 2 2 4 3" xfId="0"/>
    <cellStyle name="Normal 61 5 3 2 2 4 3 2" xfId="0"/>
    <cellStyle name="Normal 61 5 3 2 2 4 3 2 2" xfId="0"/>
    <cellStyle name="Normal 61 5 3 2 2 4 3 3" xfId="0"/>
    <cellStyle name="Normal 61 5 3 2 2 4 4" xfId="0"/>
    <cellStyle name="Normal 61 5 3 2 2 4 4 2" xfId="0"/>
    <cellStyle name="Normal 61 5 3 2 2 4 5" xfId="0"/>
    <cellStyle name="Normal 61 5 3 2 2 5" xfId="0"/>
    <cellStyle name="Normal 61 5 3 2 2 5 2" xfId="0"/>
    <cellStyle name="Normal 61 5 3 2 2 5 2 2" xfId="0"/>
    <cellStyle name="Normal 61 5 3 2 2 5 3" xfId="0"/>
    <cellStyle name="Normal 61 5 3 2 2 6" xfId="0"/>
    <cellStyle name="Normal 61 5 3 2 2 6 2" xfId="0"/>
    <cellStyle name="Normal 61 5 3 2 2 6 2 2" xfId="0"/>
    <cellStyle name="Normal 61 5 3 2 2 6 3" xfId="0"/>
    <cellStyle name="Normal 61 5 3 2 2 7" xfId="0"/>
    <cellStyle name="Normal 61 5 3 2 2 7 2" xfId="0"/>
    <cellStyle name="Normal 61 5 3 2 2 8" xfId="0"/>
    <cellStyle name="Normal 61 5 3 2 3" xfId="0"/>
    <cellStyle name="Normal 61 5 3 2 3 2" xfId="0"/>
    <cellStyle name="Normal 61 5 3 2 3 2 2" xfId="0"/>
    <cellStyle name="Normal 61 5 3 2 3 2 2 2" xfId="0"/>
    <cellStyle name="Normal 61 5 3 2 3 2 2 2 2" xfId="0"/>
    <cellStyle name="Normal 61 5 3 2 3 2 2 2 2 2" xfId="0"/>
    <cellStyle name="Normal 61 5 3 2 3 2 2 2 3" xfId="0"/>
    <cellStyle name="Normal 61 5 3 2 3 2 2 3" xfId="0"/>
    <cellStyle name="Normal 61 5 3 2 3 2 2 3 2" xfId="0"/>
    <cellStyle name="Normal 61 5 3 2 3 2 2 3 2 2" xfId="0"/>
    <cellStyle name="Normal 61 5 3 2 3 2 2 3 3" xfId="0"/>
    <cellStyle name="Normal 61 5 3 2 3 2 2 4" xfId="0"/>
    <cellStyle name="Normal 61 5 3 2 3 2 2 4 2" xfId="0"/>
    <cellStyle name="Normal 61 5 3 2 3 2 2 5" xfId="0"/>
    <cellStyle name="Normal 61 5 3 2 3 2 3" xfId="0"/>
    <cellStyle name="Normal 61 5 3 2 3 2 3 2" xfId="0"/>
    <cellStyle name="Normal 61 5 3 2 3 2 3 2 2" xfId="0"/>
    <cellStyle name="Normal 61 5 3 2 3 2 3 3" xfId="0"/>
    <cellStyle name="Normal 61 5 3 2 3 2 4" xfId="0"/>
    <cellStyle name="Normal 61 5 3 2 3 2 4 2" xfId="0"/>
    <cellStyle name="Normal 61 5 3 2 3 2 4 2 2" xfId="0"/>
    <cellStyle name="Normal 61 5 3 2 3 2 4 3" xfId="0"/>
    <cellStyle name="Normal 61 5 3 2 3 2 5" xfId="0"/>
    <cellStyle name="Normal 61 5 3 2 3 2 5 2" xfId="0"/>
    <cellStyle name="Normal 61 5 3 2 3 2 6" xfId="0"/>
    <cellStyle name="Normal 61 5 3 2 3 3" xfId="0"/>
    <cellStyle name="Normal 61 5 3 2 3 3 2" xfId="0"/>
    <cellStyle name="Normal 61 5 3 2 3 3 2 2" xfId="0"/>
    <cellStyle name="Normal 61 5 3 2 3 3 2 2 2" xfId="0"/>
    <cellStyle name="Normal 61 5 3 2 3 3 2 3" xfId="0"/>
    <cellStyle name="Normal 61 5 3 2 3 3 3" xfId="0"/>
    <cellStyle name="Normal 61 5 3 2 3 3 3 2" xfId="0"/>
    <cellStyle name="Normal 61 5 3 2 3 3 3 2 2" xfId="0"/>
    <cellStyle name="Normal 61 5 3 2 3 3 3 3" xfId="0"/>
    <cellStyle name="Normal 61 5 3 2 3 3 4" xfId="0"/>
    <cellStyle name="Normal 61 5 3 2 3 3 4 2" xfId="0"/>
    <cellStyle name="Normal 61 5 3 2 3 3 5" xfId="0"/>
    <cellStyle name="Normal 61 5 3 2 3 4" xfId="0"/>
    <cellStyle name="Normal 61 5 3 2 3 4 2" xfId="0"/>
    <cellStyle name="Normal 61 5 3 2 3 4 2 2" xfId="0"/>
    <cellStyle name="Normal 61 5 3 2 3 4 3" xfId="0"/>
    <cellStyle name="Normal 61 5 3 2 3 5" xfId="0"/>
    <cellStyle name="Normal 61 5 3 2 3 5 2" xfId="0"/>
    <cellStyle name="Normal 61 5 3 2 3 5 2 2" xfId="0"/>
    <cellStyle name="Normal 61 5 3 2 3 5 3" xfId="0"/>
    <cellStyle name="Normal 61 5 3 2 3 6" xfId="0"/>
    <cellStyle name="Normal 61 5 3 2 3 6 2" xfId="0"/>
    <cellStyle name="Normal 61 5 3 2 3 7" xfId="0"/>
    <cellStyle name="Normal 61 5 3 2 4" xfId="0"/>
    <cellStyle name="Normal 61 5 3 2 4 2" xfId="0"/>
    <cellStyle name="Normal 61 5 3 2 4 2 2" xfId="0"/>
    <cellStyle name="Normal 61 5 3 2 4 2 2 2" xfId="0"/>
    <cellStyle name="Normal 61 5 3 2 4 2 2 2 2" xfId="0"/>
    <cellStyle name="Normal 61 5 3 2 4 2 2 3" xfId="0"/>
    <cellStyle name="Normal 61 5 3 2 4 2 3" xfId="0"/>
    <cellStyle name="Normal 61 5 3 2 4 2 3 2" xfId="0"/>
    <cellStyle name="Normal 61 5 3 2 4 2 3 2 2" xfId="0"/>
    <cellStyle name="Normal 61 5 3 2 4 2 3 3" xfId="0"/>
    <cellStyle name="Normal 61 5 3 2 4 2 4" xfId="0"/>
    <cellStyle name="Normal 61 5 3 2 4 2 4 2" xfId="0"/>
    <cellStyle name="Normal 61 5 3 2 4 2 5" xfId="0"/>
    <cellStyle name="Normal 61 5 3 2 4 3" xfId="0"/>
    <cellStyle name="Normal 61 5 3 2 4 3 2" xfId="0"/>
    <cellStyle name="Normal 61 5 3 2 4 3 2 2" xfId="0"/>
    <cellStyle name="Normal 61 5 3 2 4 3 3" xfId="0"/>
    <cellStyle name="Normal 61 5 3 2 4 4" xfId="0"/>
    <cellStyle name="Normal 61 5 3 2 4 4 2" xfId="0"/>
    <cellStyle name="Normal 61 5 3 2 4 4 2 2" xfId="0"/>
    <cellStyle name="Normal 61 5 3 2 4 4 3" xfId="0"/>
    <cellStyle name="Normal 61 5 3 2 4 5" xfId="0"/>
    <cellStyle name="Normal 61 5 3 2 4 5 2" xfId="0"/>
    <cellStyle name="Normal 61 5 3 2 4 6" xfId="0"/>
    <cellStyle name="Normal 61 5 3 2 5" xfId="0"/>
    <cellStyle name="Normal 61 5 3 2 5 2" xfId="0"/>
    <cellStyle name="Normal 61 5 3 2 5 2 2" xfId="0"/>
    <cellStyle name="Normal 61 5 3 2 5 2 2 2" xfId="0"/>
    <cellStyle name="Normal 61 5 3 2 5 2 3" xfId="0"/>
    <cellStyle name="Normal 61 5 3 2 5 3" xfId="0"/>
    <cellStyle name="Normal 61 5 3 2 5 3 2" xfId="0"/>
    <cellStyle name="Normal 61 5 3 2 5 3 2 2" xfId="0"/>
    <cellStyle name="Normal 61 5 3 2 5 3 3" xfId="0"/>
    <cellStyle name="Normal 61 5 3 2 5 4" xfId="0"/>
    <cellStyle name="Normal 61 5 3 2 5 4 2" xfId="0"/>
    <cellStyle name="Normal 61 5 3 2 5 5" xfId="0"/>
    <cellStyle name="Normal 61 5 3 2 6" xfId="0"/>
    <cellStyle name="Normal 61 5 3 2 6 2" xfId="0"/>
    <cellStyle name="Normal 61 5 3 2 6 2 2" xfId="0"/>
    <cellStyle name="Normal 61 5 3 2 6 3" xfId="0"/>
    <cellStyle name="Normal 61 5 3 2 7" xfId="0"/>
    <cellStyle name="Normal 61 5 3 2 7 2" xfId="0"/>
    <cellStyle name="Normal 61 5 3 2 7 2 2" xfId="0"/>
    <cellStyle name="Normal 61 5 3 2 7 3" xfId="0"/>
    <cellStyle name="Normal 61 5 3 2 8" xfId="0"/>
    <cellStyle name="Normal 61 5 3 2 8 2" xfId="0"/>
    <cellStyle name="Normal 61 5 3 2 9" xfId="0"/>
    <cellStyle name="Normal 61 5 3 3" xfId="0"/>
    <cellStyle name="Normal 61 5 3 3 2" xfId="0"/>
    <cellStyle name="Normal 61 5 3 3 2 2" xfId="0"/>
    <cellStyle name="Normal 61 5 3 3 2 2 2" xfId="0"/>
    <cellStyle name="Normal 61 5 3 3 2 2 2 2" xfId="0"/>
    <cellStyle name="Normal 61 5 3 3 2 2 2 2 2" xfId="0"/>
    <cellStyle name="Normal 61 5 3 3 2 2 2 2 2 2" xfId="0"/>
    <cellStyle name="Normal 61 5 3 3 2 2 2 2 3" xfId="0"/>
    <cellStyle name="Normal 61 5 3 3 2 2 2 3" xfId="0"/>
    <cellStyle name="Normal 61 5 3 3 2 2 2 3 2" xfId="0"/>
    <cellStyle name="Normal 61 5 3 3 2 2 2 3 2 2" xfId="0"/>
    <cellStyle name="Normal 61 5 3 3 2 2 2 3 3" xfId="0"/>
    <cellStyle name="Normal 61 5 3 3 2 2 2 4" xfId="0"/>
    <cellStyle name="Normal 61 5 3 3 2 2 2 4 2" xfId="0"/>
    <cellStyle name="Normal 61 5 3 3 2 2 2 5" xfId="0"/>
    <cellStyle name="Normal 61 5 3 3 2 2 3" xfId="0"/>
    <cellStyle name="Normal 61 5 3 3 2 2 3 2" xfId="0"/>
    <cellStyle name="Normal 61 5 3 3 2 2 3 2 2" xfId="0"/>
    <cellStyle name="Normal 61 5 3 3 2 2 3 3" xfId="0"/>
    <cellStyle name="Normal 61 5 3 3 2 2 4" xfId="0"/>
    <cellStyle name="Normal 61 5 3 3 2 2 4 2" xfId="0"/>
    <cellStyle name="Normal 61 5 3 3 2 2 4 2 2" xfId="0"/>
    <cellStyle name="Normal 61 5 3 3 2 2 4 3" xfId="0"/>
    <cellStyle name="Normal 61 5 3 3 2 2 5" xfId="0"/>
    <cellStyle name="Normal 61 5 3 3 2 2 5 2" xfId="0"/>
    <cellStyle name="Normal 61 5 3 3 2 2 6" xfId="0"/>
    <cellStyle name="Normal 61 5 3 3 2 3" xfId="0"/>
    <cellStyle name="Normal 61 5 3 3 2 3 2" xfId="0"/>
    <cellStyle name="Normal 61 5 3 3 2 3 2 2" xfId="0"/>
    <cellStyle name="Normal 61 5 3 3 2 3 2 2 2" xfId="0"/>
    <cellStyle name="Normal 61 5 3 3 2 3 2 3" xfId="0"/>
    <cellStyle name="Normal 61 5 3 3 2 3 3" xfId="0"/>
    <cellStyle name="Normal 61 5 3 3 2 3 3 2" xfId="0"/>
    <cellStyle name="Normal 61 5 3 3 2 3 3 2 2" xfId="0"/>
    <cellStyle name="Normal 61 5 3 3 2 3 3 3" xfId="0"/>
    <cellStyle name="Normal 61 5 3 3 2 3 4" xfId="0"/>
    <cellStyle name="Normal 61 5 3 3 2 3 4 2" xfId="0"/>
    <cellStyle name="Normal 61 5 3 3 2 3 5" xfId="0"/>
    <cellStyle name="Normal 61 5 3 3 2 4" xfId="0"/>
    <cellStyle name="Normal 61 5 3 3 2 4 2" xfId="0"/>
    <cellStyle name="Normal 61 5 3 3 2 4 2 2" xfId="0"/>
    <cellStyle name="Normal 61 5 3 3 2 4 3" xfId="0"/>
    <cellStyle name="Normal 61 5 3 3 2 5" xfId="0"/>
    <cellStyle name="Normal 61 5 3 3 2 5 2" xfId="0"/>
    <cellStyle name="Normal 61 5 3 3 2 5 2 2" xfId="0"/>
    <cellStyle name="Normal 61 5 3 3 2 5 3" xfId="0"/>
    <cellStyle name="Normal 61 5 3 3 2 6" xfId="0"/>
    <cellStyle name="Normal 61 5 3 3 2 6 2" xfId="0"/>
    <cellStyle name="Normal 61 5 3 3 2 7" xfId="0"/>
    <cellStyle name="Normal 61 5 3 3 3" xfId="0"/>
    <cellStyle name="Normal 61 5 3 3 3 2" xfId="0"/>
    <cellStyle name="Normal 61 5 3 3 3 2 2" xfId="0"/>
    <cellStyle name="Normal 61 5 3 3 3 2 2 2" xfId="0"/>
    <cellStyle name="Normal 61 5 3 3 3 2 2 2 2" xfId="0"/>
    <cellStyle name="Normal 61 5 3 3 3 2 2 3" xfId="0"/>
    <cellStyle name="Normal 61 5 3 3 3 2 3" xfId="0"/>
    <cellStyle name="Normal 61 5 3 3 3 2 3 2" xfId="0"/>
    <cellStyle name="Normal 61 5 3 3 3 2 3 2 2" xfId="0"/>
    <cellStyle name="Normal 61 5 3 3 3 2 3 3" xfId="0"/>
    <cellStyle name="Normal 61 5 3 3 3 2 4" xfId="0"/>
    <cellStyle name="Normal 61 5 3 3 3 2 4 2" xfId="0"/>
    <cellStyle name="Normal 61 5 3 3 3 2 5" xfId="0"/>
    <cellStyle name="Normal 61 5 3 3 3 3" xfId="0"/>
    <cellStyle name="Normal 61 5 3 3 3 3 2" xfId="0"/>
    <cellStyle name="Normal 61 5 3 3 3 3 2 2" xfId="0"/>
    <cellStyle name="Normal 61 5 3 3 3 3 3" xfId="0"/>
    <cellStyle name="Normal 61 5 3 3 3 4" xfId="0"/>
    <cellStyle name="Normal 61 5 3 3 3 4 2" xfId="0"/>
    <cellStyle name="Normal 61 5 3 3 3 4 2 2" xfId="0"/>
    <cellStyle name="Normal 61 5 3 3 3 4 3" xfId="0"/>
    <cellStyle name="Normal 61 5 3 3 3 5" xfId="0"/>
    <cellStyle name="Normal 61 5 3 3 3 5 2" xfId="0"/>
    <cellStyle name="Normal 61 5 3 3 3 6" xfId="0"/>
    <cellStyle name="Normal 61 5 3 3 4" xfId="0"/>
    <cellStyle name="Normal 61 5 3 3 4 2" xfId="0"/>
    <cellStyle name="Normal 61 5 3 3 4 2 2" xfId="0"/>
    <cellStyle name="Normal 61 5 3 3 4 2 2 2" xfId="0"/>
    <cellStyle name="Normal 61 5 3 3 4 2 3" xfId="0"/>
    <cellStyle name="Normal 61 5 3 3 4 3" xfId="0"/>
    <cellStyle name="Normal 61 5 3 3 4 3 2" xfId="0"/>
    <cellStyle name="Normal 61 5 3 3 4 3 2 2" xfId="0"/>
    <cellStyle name="Normal 61 5 3 3 4 3 3" xfId="0"/>
    <cellStyle name="Normal 61 5 3 3 4 4" xfId="0"/>
    <cellStyle name="Normal 61 5 3 3 4 4 2" xfId="0"/>
    <cellStyle name="Normal 61 5 3 3 4 5" xfId="0"/>
    <cellStyle name="Normal 61 5 3 3 5" xfId="0"/>
    <cellStyle name="Normal 61 5 3 3 5 2" xfId="0"/>
    <cellStyle name="Normal 61 5 3 3 5 2 2" xfId="0"/>
    <cellStyle name="Normal 61 5 3 3 5 3" xfId="0"/>
    <cellStyle name="Normal 61 5 3 3 6" xfId="0"/>
    <cellStyle name="Normal 61 5 3 3 6 2" xfId="0"/>
    <cellStyle name="Normal 61 5 3 3 6 2 2" xfId="0"/>
    <cellStyle name="Normal 61 5 3 3 6 3" xfId="0"/>
    <cellStyle name="Normal 61 5 3 3 7" xfId="0"/>
    <cellStyle name="Normal 61 5 3 3 7 2" xfId="0"/>
    <cellStyle name="Normal 61 5 3 3 8" xfId="0"/>
    <cellStyle name="Normal 61 5 3 4" xfId="0"/>
    <cellStyle name="Normal 61 5 3 4 2" xfId="0"/>
    <cellStyle name="Normal 61 5 3 4 2 2" xfId="0"/>
    <cellStyle name="Normal 61 5 3 4 2 2 2" xfId="0"/>
    <cellStyle name="Normal 61 5 3 4 2 2 2 2" xfId="0"/>
    <cellStyle name="Normal 61 5 3 4 2 2 2 2 2" xfId="0"/>
    <cellStyle name="Normal 61 5 3 4 2 2 2 3" xfId="0"/>
    <cellStyle name="Normal 61 5 3 4 2 2 3" xfId="0"/>
    <cellStyle name="Normal 61 5 3 4 2 2 3 2" xfId="0"/>
    <cellStyle name="Normal 61 5 3 4 2 2 3 2 2" xfId="0"/>
    <cellStyle name="Normal 61 5 3 4 2 2 3 3" xfId="0"/>
    <cellStyle name="Normal 61 5 3 4 2 2 4" xfId="0"/>
    <cellStyle name="Normal 61 5 3 4 2 2 4 2" xfId="0"/>
    <cellStyle name="Normal 61 5 3 4 2 2 5" xfId="0"/>
    <cellStyle name="Normal 61 5 3 4 2 3" xfId="0"/>
    <cellStyle name="Normal 61 5 3 4 2 3 2" xfId="0"/>
    <cellStyle name="Normal 61 5 3 4 2 3 2 2" xfId="0"/>
    <cellStyle name="Normal 61 5 3 4 2 3 3" xfId="0"/>
    <cellStyle name="Normal 61 5 3 4 2 4" xfId="0"/>
    <cellStyle name="Normal 61 5 3 4 2 4 2" xfId="0"/>
    <cellStyle name="Normal 61 5 3 4 2 4 2 2" xfId="0"/>
    <cellStyle name="Normal 61 5 3 4 2 4 3" xfId="0"/>
    <cellStyle name="Normal 61 5 3 4 2 5" xfId="0"/>
    <cellStyle name="Normal 61 5 3 4 2 5 2" xfId="0"/>
    <cellStyle name="Normal 61 5 3 4 2 6" xfId="0"/>
    <cellStyle name="Normal 61 5 3 4 3" xfId="0"/>
    <cellStyle name="Normal 61 5 3 4 3 2" xfId="0"/>
    <cellStyle name="Normal 61 5 3 4 3 2 2" xfId="0"/>
    <cellStyle name="Normal 61 5 3 4 3 2 2 2" xfId="0"/>
    <cellStyle name="Normal 61 5 3 4 3 2 3" xfId="0"/>
    <cellStyle name="Normal 61 5 3 4 3 3" xfId="0"/>
    <cellStyle name="Normal 61 5 3 4 3 3 2" xfId="0"/>
    <cellStyle name="Normal 61 5 3 4 3 3 2 2" xfId="0"/>
    <cellStyle name="Normal 61 5 3 4 3 3 3" xfId="0"/>
    <cellStyle name="Normal 61 5 3 4 3 4" xfId="0"/>
    <cellStyle name="Normal 61 5 3 4 3 4 2" xfId="0"/>
    <cellStyle name="Normal 61 5 3 4 3 5" xfId="0"/>
    <cellStyle name="Normal 61 5 3 4 4" xfId="0"/>
    <cellStyle name="Normal 61 5 3 4 4 2" xfId="0"/>
    <cellStyle name="Normal 61 5 3 4 4 2 2" xfId="0"/>
    <cellStyle name="Normal 61 5 3 4 4 3" xfId="0"/>
    <cellStyle name="Normal 61 5 3 4 5" xfId="0"/>
    <cellStyle name="Normal 61 5 3 4 5 2" xfId="0"/>
    <cellStyle name="Normal 61 5 3 4 5 2 2" xfId="0"/>
    <cellStyle name="Normal 61 5 3 4 5 3" xfId="0"/>
    <cellStyle name="Normal 61 5 3 4 6" xfId="0"/>
    <cellStyle name="Normal 61 5 3 4 6 2" xfId="0"/>
    <cellStyle name="Normal 61 5 3 4 7" xfId="0"/>
    <cellStyle name="Normal 61 5 3 5" xfId="0"/>
    <cellStyle name="Normal 61 5 3 5 2" xfId="0"/>
    <cellStyle name="Normal 61 5 3 5 2 2" xfId="0"/>
    <cellStyle name="Normal 61 5 3 5 2 2 2" xfId="0"/>
    <cellStyle name="Normal 61 5 3 5 2 2 2 2" xfId="0"/>
    <cellStyle name="Normal 61 5 3 5 2 2 3" xfId="0"/>
    <cellStyle name="Normal 61 5 3 5 2 3" xfId="0"/>
    <cellStyle name="Normal 61 5 3 5 2 3 2" xfId="0"/>
    <cellStyle name="Normal 61 5 3 5 2 3 2 2" xfId="0"/>
    <cellStyle name="Normal 61 5 3 5 2 3 3" xfId="0"/>
    <cellStyle name="Normal 61 5 3 5 2 4" xfId="0"/>
    <cellStyle name="Normal 61 5 3 5 2 4 2" xfId="0"/>
    <cellStyle name="Normal 61 5 3 5 2 5" xfId="0"/>
    <cellStyle name="Normal 61 5 3 5 3" xfId="0"/>
    <cellStyle name="Normal 61 5 3 5 3 2" xfId="0"/>
    <cellStyle name="Normal 61 5 3 5 3 2 2" xfId="0"/>
    <cellStyle name="Normal 61 5 3 5 3 3" xfId="0"/>
    <cellStyle name="Normal 61 5 3 5 4" xfId="0"/>
    <cellStyle name="Normal 61 5 3 5 4 2" xfId="0"/>
    <cellStyle name="Normal 61 5 3 5 4 2 2" xfId="0"/>
    <cellStyle name="Normal 61 5 3 5 4 3" xfId="0"/>
    <cellStyle name="Normal 61 5 3 5 5" xfId="0"/>
    <cellStyle name="Normal 61 5 3 5 5 2" xfId="0"/>
    <cellStyle name="Normal 61 5 3 5 6" xfId="0"/>
    <cellStyle name="Normal 61 5 3 6" xfId="0"/>
    <cellStyle name="Normal 61 5 3 6 2" xfId="0"/>
    <cellStyle name="Normal 61 5 3 6 2 2" xfId="0"/>
    <cellStyle name="Normal 61 5 3 6 2 2 2" xfId="0"/>
    <cellStyle name="Normal 61 5 3 6 2 3" xfId="0"/>
    <cellStyle name="Normal 61 5 3 6 3" xfId="0"/>
    <cellStyle name="Normal 61 5 3 6 3 2" xfId="0"/>
    <cellStyle name="Normal 61 5 3 6 3 2 2" xfId="0"/>
    <cellStyle name="Normal 61 5 3 6 3 3" xfId="0"/>
    <cellStyle name="Normal 61 5 3 6 4" xfId="0"/>
    <cellStyle name="Normal 61 5 3 6 4 2" xfId="0"/>
    <cellStyle name="Normal 61 5 3 6 5" xfId="0"/>
    <cellStyle name="Normal 61 5 3 7" xfId="0"/>
    <cellStyle name="Normal 61 5 3 7 2" xfId="0"/>
    <cellStyle name="Normal 61 5 3 7 2 2" xfId="0"/>
    <cellStyle name="Normal 61 5 3 7 3" xfId="0"/>
    <cellStyle name="Normal 61 5 3 8" xfId="0"/>
    <cellStyle name="Normal 61 5 3 8 2" xfId="0"/>
    <cellStyle name="Normal 61 5 3 8 2 2" xfId="0"/>
    <cellStyle name="Normal 61 5 3 8 3" xfId="0"/>
    <cellStyle name="Normal 61 5 3 9" xfId="0"/>
    <cellStyle name="Normal 61 5 3 9 2" xfId="0"/>
    <cellStyle name="Normal 61 5 4" xfId="0"/>
    <cellStyle name="Normal 61 5 4 10" xfId="0"/>
    <cellStyle name="Normal 61 5 4 2" xfId="0"/>
    <cellStyle name="Normal 61 5 4 2 2" xfId="0"/>
    <cellStyle name="Normal 61 5 4 2 2 2" xfId="0"/>
    <cellStyle name="Normal 61 5 4 2 2 2 2" xfId="0"/>
    <cellStyle name="Normal 61 5 4 2 2 2 2 2" xfId="0"/>
    <cellStyle name="Normal 61 5 4 2 2 2 2 2 2" xfId="0"/>
    <cellStyle name="Normal 61 5 4 2 2 2 2 2 2 2" xfId="0"/>
    <cellStyle name="Normal 61 5 4 2 2 2 2 2 2 2 2" xfId="0"/>
    <cellStyle name="Normal 61 5 4 2 2 2 2 2 2 3" xfId="0"/>
    <cellStyle name="Normal 61 5 4 2 2 2 2 2 3" xfId="0"/>
    <cellStyle name="Normal 61 5 4 2 2 2 2 2 3 2" xfId="0"/>
    <cellStyle name="Normal 61 5 4 2 2 2 2 2 3 2 2" xfId="0"/>
    <cellStyle name="Normal 61 5 4 2 2 2 2 2 3 3" xfId="0"/>
    <cellStyle name="Normal 61 5 4 2 2 2 2 2 4" xfId="0"/>
    <cellStyle name="Normal 61 5 4 2 2 2 2 2 4 2" xfId="0"/>
    <cellStyle name="Normal 61 5 4 2 2 2 2 2 5" xfId="0"/>
    <cellStyle name="Normal 61 5 4 2 2 2 2 3" xfId="0"/>
    <cellStyle name="Normal 61 5 4 2 2 2 2 3 2" xfId="0"/>
    <cellStyle name="Normal 61 5 4 2 2 2 2 3 2 2" xfId="0"/>
    <cellStyle name="Normal 61 5 4 2 2 2 2 3 3" xfId="0"/>
    <cellStyle name="Normal 61 5 4 2 2 2 2 4" xfId="0"/>
    <cellStyle name="Normal 61 5 4 2 2 2 2 4 2" xfId="0"/>
    <cellStyle name="Normal 61 5 4 2 2 2 2 4 2 2" xfId="0"/>
    <cellStyle name="Normal 61 5 4 2 2 2 2 4 3" xfId="0"/>
    <cellStyle name="Normal 61 5 4 2 2 2 2 5" xfId="0"/>
    <cellStyle name="Normal 61 5 4 2 2 2 2 5 2" xfId="0"/>
    <cellStyle name="Normal 61 5 4 2 2 2 2 6" xfId="0"/>
    <cellStyle name="Normal 61 5 4 2 2 2 3" xfId="0"/>
    <cellStyle name="Normal 61 5 4 2 2 2 3 2" xfId="0"/>
    <cellStyle name="Normal 61 5 4 2 2 2 3 2 2" xfId="0"/>
    <cellStyle name="Normal 61 5 4 2 2 2 3 2 2 2" xfId="0"/>
    <cellStyle name="Normal 61 5 4 2 2 2 3 2 3" xfId="0"/>
    <cellStyle name="Normal 61 5 4 2 2 2 3 3" xfId="0"/>
    <cellStyle name="Normal 61 5 4 2 2 2 3 3 2" xfId="0"/>
    <cellStyle name="Normal 61 5 4 2 2 2 3 3 2 2" xfId="0"/>
    <cellStyle name="Normal 61 5 4 2 2 2 3 3 3" xfId="0"/>
    <cellStyle name="Normal 61 5 4 2 2 2 3 4" xfId="0"/>
    <cellStyle name="Normal 61 5 4 2 2 2 3 4 2" xfId="0"/>
    <cellStyle name="Normal 61 5 4 2 2 2 3 5" xfId="0"/>
    <cellStyle name="Normal 61 5 4 2 2 2 4" xfId="0"/>
    <cellStyle name="Normal 61 5 4 2 2 2 4 2" xfId="0"/>
    <cellStyle name="Normal 61 5 4 2 2 2 4 2 2" xfId="0"/>
    <cellStyle name="Normal 61 5 4 2 2 2 4 3" xfId="0"/>
    <cellStyle name="Normal 61 5 4 2 2 2 5" xfId="0"/>
    <cellStyle name="Normal 61 5 4 2 2 2 5 2" xfId="0"/>
    <cellStyle name="Normal 61 5 4 2 2 2 5 2 2" xfId="0"/>
    <cellStyle name="Normal 61 5 4 2 2 2 5 3" xfId="0"/>
    <cellStyle name="Normal 61 5 4 2 2 2 6" xfId="0"/>
    <cellStyle name="Normal 61 5 4 2 2 2 6 2" xfId="0"/>
    <cellStyle name="Normal 61 5 4 2 2 2 7" xfId="0"/>
    <cellStyle name="Normal 61 5 4 2 2 3" xfId="0"/>
    <cellStyle name="Normal 61 5 4 2 2 3 2" xfId="0"/>
    <cellStyle name="Normal 61 5 4 2 2 3 2 2" xfId="0"/>
    <cellStyle name="Normal 61 5 4 2 2 3 2 2 2" xfId="0"/>
    <cellStyle name="Normal 61 5 4 2 2 3 2 2 2 2" xfId="0"/>
    <cellStyle name="Normal 61 5 4 2 2 3 2 2 3" xfId="0"/>
    <cellStyle name="Normal 61 5 4 2 2 3 2 3" xfId="0"/>
    <cellStyle name="Normal 61 5 4 2 2 3 2 3 2" xfId="0"/>
    <cellStyle name="Normal 61 5 4 2 2 3 2 3 2 2" xfId="0"/>
    <cellStyle name="Normal 61 5 4 2 2 3 2 3 3" xfId="0"/>
    <cellStyle name="Normal 61 5 4 2 2 3 2 4" xfId="0"/>
    <cellStyle name="Normal 61 5 4 2 2 3 2 4 2" xfId="0"/>
    <cellStyle name="Normal 61 5 4 2 2 3 2 5" xfId="0"/>
    <cellStyle name="Normal 61 5 4 2 2 3 3" xfId="0"/>
    <cellStyle name="Normal 61 5 4 2 2 3 3 2" xfId="0"/>
    <cellStyle name="Normal 61 5 4 2 2 3 3 2 2" xfId="0"/>
    <cellStyle name="Normal 61 5 4 2 2 3 3 3" xfId="0"/>
    <cellStyle name="Normal 61 5 4 2 2 3 4" xfId="0"/>
    <cellStyle name="Normal 61 5 4 2 2 3 4 2" xfId="0"/>
    <cellStyle name="Normal 61 5 4 2 2 3 4 2 2" xfId="0"/>
    <cellStyle name="Normal 61 5 4 2 2 3 4 3" xfId="0"/>
    <cellStyle name="Normal 61 5 4 2 2 3 5" xfId="0"/>
    <cellStyle name="Normal 61 5 4 2 2 3 5 2" xfId="0"/>
    <cellStyle name="Normal 61 5 4 2 2 3 6" xfId="0"/>
    <cellStyle name="Normal 61 5 4 2 2 4" xfId="0"/>
    <cellStyle name="Normal 61 5 4 2 2 4 2" xfId="0"/>
    <cellStyle name="Normal 61 5 4 2 2 4 2 2" xfId="0"/>
    <cellStyle name="Normal 61 5 4 2 2 4 2 2 2" xfId="0"/>
    <cellStyle name="Normal 61 5 4 2 2 4 2 3" xfId="0"/>
    <cellStyle name="Normal 61 5 4 2 2 4 3" xfId="0"/>
    <cellStyle name="Normal 61 5 4 2 2 4 3 2" xfId="0"/>
    <cellStyle name="Normal 61 5 4 2 2 4 3 2 2" xfId="0"/>
    <cellStyle name="Normal 61 5 4 2 2 4 3 3" xfId="0"/>
    <cellStyle name="Normal 61 5 4 2 2 4 4" xfId="0"/>
    <cellStyle name="Normal 61 5 4 2 2 4 4 2" xfId="0"/>
    <cellStyle name="Normal 61 5 4 2 2 4 5" xfId="0"/>
    <cellStyle name="Normal 61 5 4 2 2 5" xfId="0"/>
    <cellStyle name="Normal 61 5 4 2 2 5 2" xfId="0"/>
    <cellStyle name="Normal 61 5 4 2 2 5 2 2" xfId="0"/>
    <cellStyle name="Normal 61 5 4 2 2 5 3" xfId="0"/>
    <cellStyle name="Normal 61 5 4 2 2 6" xfId="0"/>
    <cellStyle name="Normal 61 5 4 2 2 6 2" xfId="0"/>
    <cellStyle name="Normal 61 5 4 2 2 6 2 2" xfId="0"/>
    <cellStyle name="Normal 61 5 4 2 2 6 3" xfId="0"/>
    <cellStyle name="Normal 61 5 4 2 2 7" xfId="0"/>
    <cellStyle name="Normal 61 5 4 2 2 7 2" xfId="0"/>
    <cellStyle name="Normal 61 5 4 2 2 8" xfId="0"/>
    <cellStyle name="Normal 61 5 4 2 3" xfId="0"/>
    <cellStyle name="Normal 61 5 4 2 3 2" xfId="0"/>
    <cellStyle name="Normal 61 5 4 2 3 2 2" xfId="0"/>
    <cellStyle name="Normal 61 5 4 2 3 2 2 2" xfId="0"/>
    <cellStyle name="Normal 61 5 4 2 3 2 2 2 2" xfId="0"/>
    <cellStyle name="Normal 61 5 4 2 3 2 2 2 2 2" xfId="0"/>
    <cellStyle name="Normal 61 5 4 2 3 2 2 2 3" xfId="0"/>
    <cellStyle name="Normal 61 5 4 2 3 2 2 3" xfId="0"/>
    <cellStyle name="Normal 61 5 4 2 3 2 2 3 2" xfId="0"/>
    <cellStyle name="Normal 61 5 4 2 3 2 2 3 2 2" xfId="0"/>
    <cellStyle name="Normal 61 5 4 2 3 2 2 3 3" xfId="0"/>
    <cellStyle name="Normal 61 5 4 2 3 2 2 4" xfId="0"/>
    <cellStyle name="Normal 61 5 4 2 3 2 2 4 2" xfId="0"/>
    <cellStyle name="Normal 61 5 4 2 3 2 2 5" xfId="0"/>
    <cellStyle name="Normal 61 5 4 2 3 2 3" xfId="0"/>
    <cellStyle name="Normal 61 5 4 2 3 2 3 2" xfId="0"/>
    <cellStyle name="Normal 61 5 4 2 3 2 3 2 2" xfId="0"/>
    <cellStyle name="Normal 61 5 4 2 3 2 3 3" xfId="0"/>
    <cellStyle name="Normal 61 5 4 2 3 2 4" xfId="0"/>
    <cellStyle name="Normal 61 5 4 2 3 2 4 2" xfId="0"/>
    <cellStyle name="Normal 61 5 4 2 3 2 4 2 2" xfId="0"/>
    <cellStyle name="Normal 61 5 4 2 3 2 4 3" xfId="0"/>
    <cellStyle name="Normal 61 5 4 2 3 2 5" xfId="0"/>
    <cellStyle name="Normal 61 5 4 2 3 2 5 2" xfId="0"/>
    <cellStyle name="Normal 61 5 4 2 3 2 6" xfId="0"/>
    <cellStyle name="Normal 61 5 4 2 3 3" xfId="0"/>
    <cellStyle name="Normal 61 5 4 2 3 3 2" xfId="0"/>
    <cellStyle name="Normal 61 5 4 2 3 3 2 2" xfId="0"/>
    <cellStyle name="Normal 61 5 4 2 3 3 2 2 2" xfId="0"/>
    <cellStyle name="Normal 61 5 4 2 3 3 2 3" xfId="0"/>
    <cellStyle name="Normal 61 5 4 2 3 3 3" xfId="0"/>
    <cellStyle name="Normal 61 5 4 2 3 3 3 2" xfId="0"/>
    <cellStyle name="Normal 61 5 4 2 3 3 3 2 2" xfId="0"/>
    <cellStyle name="Normal 61 5 4 2 3 3 3 3" xfId="0"/>
    <cellStyle name="Normal 61 5 4 2 3 3 4" xfId="0"/>
    <cellStyle name="Normal 61 5 4 2 3 3 4 2" xfId="0"/>
    <cellStyle name="Normal 61 5 4 2 3 3 5" xfId="0"/>
    <cellStyle name="Normal 61 5 4 2 3 4" xfId="0"/>
    <cellStyle name="Normal 61 5 4 2 3 4 2" xfId="0"/>
    <cellStyle name="Normal 61 5 4 2 3 4 2 2" xfId="0"/>
    <cellStyle name="Normal 61 5 4 2 3 4 3" xfId="0"/>
    <cellStyle name="Normal 61 5 4 2 3 5" xfId="0"/>
    <cellStyle name="Normal 61 5 4 2 3 5 2" xfId="0"/>
    <cellStyle name="Normal 61 5 4 2 3 5 2 2" xfId="0"/>
    <cellStyle name="Normal 61 5 4 2 3 5 3" xfId="0"/>
    <cellStyle name="Normal 61 5 4 2 3 6" xfId="0"/>
    <cellStyle name="Normal 61 5 4 2 3 6 2" xfId="0"/>
    <cellStyle name="Normal 61 5 4 2 3 7" xfId="0"/>
    <cellStyle name="Normal 61 5 4 2 4" xfId="0"/>
    <cellStyle name="Normal 61 5 4 2 4 2" xfId="0"/>
    <cellStyle name="Normal 61 5 4 2 4 2 2" xfId="0"/>
    <cellStyle name="Normal 61 5 4 2 4 2 2 2" xfId="0"/>
    <cellStyle name="Normal 61 5 4 2 4 2 2 2 2" xfId="0"/>
    <cellStyle name="Normal 61 5 4 2 4 2 2 3" xfId="0"/>
    <cellStyle name="Normal 61 5 4 2 4 2 3" xfId="0"/>
    <cellStyle name="Normal 61 5 4 2 4 2 3 2" xfId="0"/>
    <cellStyle name="Normal 61 5 4 2 4 2 3 2 2" xfId="0"/>
    <cellStyle name="Normal 61 5 4 2 4 2 3 3" xfId="0"/>
    <cellStyle name="Normal 61 5 4 2 4 2 4" xfId="0"/>
    <cellStyle name="Normal 61 5 4 2 4 2 4 2" xfId="0"/>
    <cellStyle name="Normal 61 5 4 2 4 2 5" xfId="0"/>
    <cellStyle name="Normal 61 5 4 2 4 3" xfId="0"/>
    <cellStyle name="Normal 61 5 4 2 4 3 2" xfId="0"/>
    <cellStyle name="Normal 61 5 4 2 4 3 2 2" xfId="0"/>
    <cellStyle name="Normal 61 5 4 2 4 3 3" xfId="0"/>
    <cellStyle name="Normal 61 5 4 2 4 4" xfId="0"/>
    <cellStyle name="Normal 61 5 4 2 4 4 2" xfId="0"/>
    <cellStyle name="Normal 61 5 4 2 4 4 2 2" xfId="0"/>
    <cellStyle name="Normal 61 5 4 2 4 4 3" xfId="0"/>
    <cellStyle name="Normal 61 5 4 2 4 5" xfId="0"/>
    <cellStyle name="Normal 61 5 4 2 4 5 2" xfId="0"/>
    <cellStyle name="Normal 61 5 4 2 4 6" xfId="0"/>
    <cellStyle name="Normal 61 5 4 2 5" xfId="0"/>
    <cellStyle name="Normal 61 5 4 2 5 2" xfId="0"/>
    <cellStyle name="Normal 61 5 4 2 5 2 2" xfId="0"/>
    <cellStyle name="Normal 61 5 4 2 5 2 2 2" xfId="0"/>
    <cellStyle name="Normal 61 5 4 2 5 2 3" xfId="0"/>
    <cellStyle name="Normal 61 5 4 2 5 3" xfId="0"/>
    <cellStyle name="Normal 61 5 4 2 5 3 2" xfId="0"/>
    <cellStyle name="Normal 61 5 4 2 5 3 2 2" xfId="0"/>
    <cellStyle name="Normal 61 5 4 2 5 3 3" xfId="0"/>
    <cellStyle name="Normal 61 5 4 2 5 4" xfId="0"/>
    <cellStyle name="Normal 61 5 4 2 5 4 2" xfId="0"/>
    <cellStyle name="Normal 61 5 4 2 5 5" xfId="0"/>
    <cellStyle name="Normal 61 5 4 2 6" xfId="0"/>
    <cellStyle name="Normal 61 5 4 2 6 2" xfId="0"/>
    <cellStyle name="Normal 61 5 4 2 6 2 2" xfId="0"/>
    <cellStyle name="Normal 61 5 4 2 6 3" xfId="0"/>
    <cellStyle name="Normal 61 5 4 2 7" xfId="0"/>
    <cellStyle name="Normal 61 5 4 2 7 2" xfId="0"/>
    <cellStyle name="Normal 61 5 4 2 7 2 2" xfId="0"/>
    <cellStyle name="Normal 61 5 4 2 7 3" xfId="0"/>
    <cellStyle name="Normal 61 5 4 2 8" xfId="0"/>
    <cellStyle name="Normal 61 5 4 2 8 2" xfId="0"/>
    <cellStyle name="Normal 61 5 4 2 9" xfId="0"/>
    <cellStyle name="Normal 61 5 4 3" xfId="0"/>
    <cellStyle name="Normal 61 5 4 3 2" xfId="0"/>
    <cellStyle name="Normal 61 5 4 3 2 2" xfId="0"/>
    <cellStyle name="Normal 61 5 4 3 2 2 2" xfId="0"/>
    <cellStyle name="Normal 61 5 4 3 2 2 2 2" xfId="0"/>
    <cellStyle name="Normal 61 5 4 3 2 2 2 2 2" xfId="0"/>
    <cellStyle name="Normal 61 5 4 3 2 2 2 2 2 2" xfId="0"/>
    <cellStyle name="Normal 61 5 4 3 2 2 2 2 3" xfId="0"/>
    <cellStyle name="Normal 61 5 4 3 2 2 2 3" xfId="0"/>
    <cellStyle name="Normal 61 5 4 3 2 2 2 3 2" xfId="0"/>
    <cellStyle name="Normal 61 5 4 3 2 2 2 3 2 2" xfId="0"/>
    <cellStyle name="Normal 61 5 4 3 2 2 2 3 3" xfId="0"/>
    <cellStyle name="Normal 61 5 4 3 2 2 2 4" xfId="0"/>
    <cellStyle name="Normal 61 5 4 3 2 2 2 4 2" xfId="0"/>
    <cellStyle name="Normal 61 5 4 3 2 2 2 5" xfId="0"/>
    <cellStyle name="Normal 61 5 4 3 2 2 3" xfId="0"/>
    <cellStyle name="Normal 61 5 4 3 2 2 3 2" xfId="0"/>
    <cellStyle name="Normal 61 5 4 3 2 2 3 2 2" xfId="0"/>
    <cellStyle name="Normal 61 5 4 3 2 2 3 3" xfId="0"/>
    <cellStyle name="Normal 61 5 4 3 2 2 4" xfId="0"/>
    <cellStyle name="Normal 61 5 4 3 2 2 4 2" xfId="0"/>
    <cellStyle name="Normal 61 5 4 3 2 2 4 2 2" xfId="0"/>
    <cellStyle name="Normal 61 5 4 3 2 2 4 3" xfId="0"/>
    <cellStyle name="Normal 61 5 4 3 2 2 5" xfId="0"/>
    <cellStyle name="Normal 61 5 4 3 2 2 5 2" xfId="0"/>
    <cellStyle name="Normal 61 5 4 3 2 2 6" xfId="0"/>
    <cellStyle name="Normal 61 5 4 3 2 3" xfId="0"/>
    <cellStyle name="Normal 61 5 4 3 2 3 2" xfId="0"/>
    <cellStyle name="Normal 61 5 4 3 2 3 2 2" xfId="0"/>
    <cellStyle name="Normal 61 5 4 3 2 3 2 2 2" xfId="0"/>
    <cellStyle name="Normal 61 5 4 3 2 3 2 3" xfId="0"/>
    <cellStyle name="Normal 61 5 4 3 2 3 3" xfId="0"/>
    <cellStyle name="Normal 61 5 4 3 2 3 3 2" xfId="0"/>
    <cellStyle name="Normal 61 5 4 3 2 3 3 2 2" xfId="0"/>
    <cellStyle name="Normal 61 5 4 3 2 3 3 3" xfId="0"/>
    <cellStyle name="Normal 61 5 4 3 2 3 4" xfId="0"/>
    <cellStyle name="Normal 61 5 4 3 2 3 4 2" xfId="0"/>
    <cellStyle name="Normal 61 5 4 3 2 3 5" xfId="0"/>
    <cellStyle name="Normal 61 5 4 3 2 4" xfId="0"/>
    <cellStyle name="Normal 61 5 4 3 2 4 2" xfId="0"/>
    <cellStyle name="Normal 61 5 4 3 2 4 2 2" xfId="0"/>
    <cellStyle name="Normal 61 5 4 3 2 4 3" xfId="0"/>
    <cellStyle name="Normal 61 5 4 3 2 5" xfId="0"/>
    <cellStyle name="Normal 61 5 4 3 2 5 2" xfId="0"/>
    <cellStyle name="Normal 61 5 4 3 2 5 2 2" xfId="0"/>
    <cellStyle name="Normal 61 5 4 3 2 5 3" xfId="0"/>
    <cellStyle name="Normal 61 5 4 3 2 6" xfId="0"/>
    <cellStyle name="Normal 61 5 4 3 2 6 2" xfId="0"/>
    <cellStyle name="Normal 61 5 4 3 2 7" xfId="0"/>
    <cellStyle name="Normal 61 5 4 3 3" xfId="0"/>
    <cellStyle name="Normal 61 5 4 3 3 2" xfId="0"/>
    <cellStyle name="Normal 61 5 4 3 3 2 2" xfId="0"/>
    <cellStyle name="Normal 61 5 4 3 3 2 2 2" xfId="0"/>
    <cellStyle name="Normal 61 5 4 3 3 2 2 2 2" xfId="0"/>
    <cellStyle name="Normal 61 5 4 3 3 2 2 3" xfId="0"/>
    <cellStyle name="Normal 61 5 4 3 3 2 3" xfId="0"/>
    <cellStyle name="Normal 61 5 4 3 3 2 3 2" xfId="0"/>
    <cellStyle name="Normal 61 5 4 3 3 2 3 2 2" xfId="0"/>
    <cellStyle name="Normal 61 5 4 3 3 2 3 3" xfId="0"/>
    <cellStyle name="Normal 61 5 4 3 3 2 4" xfId="0"/>
    <cellStyle name="Normal 61 5 4 3 3 2 4 2" xfId="0"/>
    <cellStyle name="Normal 61 5 4 3 3 2 5" xfId="0"/>
    <cellStyle name="Normal 61 5 4 3 3 3" xfId="0"/>
    <cellStyle name="Normal 61 5 4 3 3 3 2" xfId="0"/>
    <cellStyle name="Normal 61 5 4 3 3 3 2 2" xfId="0"/>
    <cellStyle name="Normal 61 5 4 3 3 3 3" xfId="0"/>
    <cellStyle name="Normal 61 5 4 3 3 4" xfId="0"/>
    <cellStyle name="Normal 61 5 4 3 3 4 2" xfId="0"/>
    <cellStyle name="Normal 61 5 4 3 3 4 2 2" xfId="0"/>
    <cellStyle name="Normal 61 5 4 3 3 4 3" xfId="0"/>
    <cellStyle name="Normal 61 5 4 3 3 5" xfId="0"/>
    <cellStyle name="Normal 61 5 4 3 3 5 2" xfId="0"/>
    <cellStyle name="Normal 61 5 4 3 3 6" xfId="0"/>
    <cellStyle name="Normal 61 5 4 3 4" xfId="0"/>
    <cellStyle name="Normal 61 5 4 3 4 2" xfId="0"/>
    <cellStyle name="Normal 61 5 4 3 4 2 2" xfId="0"/>
    <cellStyle name="Normal 61 5 4 3 4 2 2 2" xfId="0"/>
    <cellStyle name="Normal 61 5 4 3 4 2 3" xfId="0"/>
    <cellStyle name="Normal 61 5 4 3 4 3" xfId="0"/>
    <cellStyle name="Normal 61 5 4 3 4 3 2" xfId="0"/>
    <cellStyle name="Normal 61 5 4 3 4 3 2 2" xfId="0"/>
    <cellStyle name="Normal 61 5 4 3 4 3 3" xfId="0"/>
    <cellStyle name="Normal 61 5 4 3 4 4" xfId="0"/>
    <cellStyle name="Normal 61 5 4 3 4 4 2" xfId="0"/>
    <cellStyle name="Normal 61 5 4 3 4 5" xfId="0"/>
    <cellStyle name="Normal 61 5 4 3 5" xfId="0"/>
    <cellStyle name="Normal 61 5 4 3 5 2" xfId="0"/>
    <cellStyle name="Normal 61 5 4 3 5 2 2" xfId="0"/>
    <cellStyle name="Normal 61 5 4 3 5 3" xfId="0"/>
    <cellStyle name="Normal 61 5 4 3 6" xfId="0"/>
    <cellStyle name="Normal 61 5 4 3 6 2" xfId="0"/>
    <cellStyle name="Normal 61 5 4 3 6 2 2" xfId="0"/>
    <cellStyle name="Normal 61 5 4 3 6 3" xfId="0"/>
    <cellStyle name="Normal 61 5 4 3 7" xfId="0"/>
    <cellStyle name="Normal 61 5 4 3 7 2" xfId="0"/>
    <cellStyle name="Normal 61 5 4 3 8" xfId="0"/>
    <cellStyle name="Normal 61 5 4 4" xfId="0"/>
    <cellStyle name="Normal 61 5 4 4 2" xfId="0"/>
    <cellStyle name="Normal 61 5 4 4 2 2" xfId="0"/>
    <cellStyle name="Normal 61 5 4 4 2 2 2" xfId="0"/>
    <cellStyle name="Normal 61 5 4 4 2 2 2 2" xfId="0"/>
    <cellStyle name="Normal 61 5 4 4 2 2 2 2 2" xfId="0"/>
    <cellStyle name="Normal 61 5 4 4 2 2 2 3" xfId="0"/>
    <cellStyle name="Normal 61 5 4 4 2 2 3" xfId="0"/>
    <cellStyle name="Normal 61 5 4 4 2 2 3 2" xfId="0"/>
    <cellStyle name="Normal 61 5 4 4 2 2 3 2 2" xfId="0"/>
    <cellStyle name="Normal 61 5 4 4 2 2 3 3" xfId="0"/>
    <cellStyle name="Normal 61 5 4 4 2 2 4" xfId="0"/>
    <cellStyle name="Normal 61 5 4 4 2 2 4 2" xfId="0"/>
    <cellStyle name="Normal 61 5 4 4 2 2 5" xfId="0"/>
    <cellStyle name="Normal 61 5 4 4 2 3" xfId="0"/>
    <cellStyle name="Normal 61 5 4 4 2 3 2" xfId="0"/>
    <cellStyle name="Normal 61 5 4 4 2 3 2 2" xfId="0"/>
    <cellStyle name="Normal 61 5 4 4 2 3 3" xfId="0"/>
    <cellStyle name="Normal 61 5 4 4 2 4" xfId="0"/>
    <cellStyle name="Normal 61 5 4 4 2 4 2" xfId="0"/>
    <cellStyle name="Normal 61 5 4 4 2 4 2 2" xfId="0"/>
    <cellStyle name="Normal 61 5 4 4 2 4 3" xfId="0"/>
    <cellStyle name="Normal 61 5 4 4 2 5" xfId="0"/>
    <cellStyle name="Normal 61 5 4 4 2 5 2" xfId="0"/>
    <cellStyle name="Normal 61 5 4 4 2 6" xfId="0"/>
    <cellStyle name="Normal 61 5 4 4 3" xfId="0"/>
    <cellStyle name="Normal 61 5 4 4 3 2" xfId="0"/>
    <cellStyle name="Normal 61 5 4 4 3 2 2" xfId="0"/>
    <cellStyle name="Normal 61 5 4 4 3 2 2 2" xfId="0"/>
    <cellStyle name="Normal 61 5 4 4 3 2 3" xfId="0"/>
    <cellStyle name="Normal 61 5 4 4 3 3" xfId="0"/>
    <cellStyle name="Normal 61 5 4 4 3 3 2" xfId="0"/>
    <cellStyle name="Normal 61 5 4 4 3 3 2 2" xfId="0"/>
    <cellStyle name="Normal 61 5 4 4 3 3 3" xfId="0"/>
    <cellStyle name="Normal 61 5 4 4 3 4" xfId="0"/>
    <cellStyle name="Normal 61 5 4 4 3 4 2" xfId="0"/>
    <cellStyle name="Normal 61 5 4 4 3 5" xfId="0"/>
    <cellStyle name="Normal 61 5 4 4 4" xfId="0"/>
    <cellStyle name="Normal 61 5 4 4 4 2" xfId="0"/>
    <cellStyle name="Normal 61 5 4 4 4 2 2" xfId="0"/>
    <cellStyle name="Normal 61 5 4 4 4 3" xfId="0"/>
    <cellStyle name="Normal 61 5 4 4 5" xfId="0"/>
    <cellStyle name="Normal 61 5 4 4 5 2" xfId="0"/>
    <cellStyle name="Normal 61 5 4 4 5 2 2" xfId="0"/>
    <cellStyle name="Normal 61 5 4 4 5 3" xfId="0"/>
    <cellStyle name="Normal 61 5 4 4 6" xfId="0"/>
    <cellStyle name="Normal 61 5 4 4 6 2" xfId="0"/>
    <cellStyle name="Normal 61 5 4 4 7" xfId="0"/>
    <cellStyle name="Normal 61 5 4 5" xfId="0"/>
    <cellStyle name="Normal 61 5 4 5 2" xfId="0"/>
    <cellStyle name="Normal 61 5 4 5 2 2" xfId="0"/>
    <cellStyle name="Normal 61 5 4 5 2 2 2" xfId="0"/>
    <cellStyle name="Normal 61 5 4 5 2 2 2 2" xfId="0"/>
    <cellStyle name="Normal 61 5 4 5 2 2 3" xfId="0"/>
    <cellStyle name="Normal 61 5 4 5 2 3" xfId="0"/>
    <cellStyle name="Normal 61 5 4 5 2 3 2" xfId="0"/>
    <cellStyle name="Normal 61 5 4 5 2 3 2 2" xfId="0"/>
    <cellStyle name="Normal 61 5 4 5 2 3 3" xfId="0"/>
    <cellStyle name="Normal 61 5 4 5 2 4" xfId="0"/>
    <cellStyle name="Normal 61 5 4 5 2 4 2" xfId="0"/>
    <cellStyle name="Normal 61 5 4 5 2 5" xfId="0"/>
    <cellStyle name="Normal 61 5 4 5 3" xfId="0"/>
    <cellStyle name="Normal 61 5 4 5 3 2" xfId="0"/>
    <cellStyle name="Normal 61 5 4 5 3 2 2" xfId="0"/>
    <cellStyle name="Normal 61 5 4 5 3 3" xfId="0"/>
    <cellStyle name="Normal 61 5 4 5 4" xfId="0"/>
    <cellStyle name="Normal 61 5 4 5 4 2" xfId="0"/>
    <cellStyle name="Normal 61 5 4 5 4 2 2" xfId="0"/>
    <cellStyle name="Normal 61 5 4 5 4 3" xfId="0"/>
    <cellStyle name="Normal 61 5 4 5 5" xfId="0"/>
    <cellStyle name="Normal 61 5 4 5 5 2" xfId="0"/>
    <cellStyle name="Normal 61 5 4 5 6" xfId="0"/>
    <cellStyle name="Normal 61 5 4 6" xfId="0"/>
    <cellStyle name="Normal 61 5 4 6 2" xfId="0"/>
    <cellStyle name="Normal 61 5 4 6 2 2" xfId="0"/>
    <cellStyle name="Normal 61 5 4 6 2 2 2" xfId="0"/>
    <cellStyle name="Normal 61 5 4 6 2 3" xfId="0"/>
    <cellStyle name="Normal 61 5 4 6 3" xfId="0"/>
    <cellStyle name="Normal 61 5 4 6 3 2" xfId="0"/>
    <cellStyle name="Normal 61 5 4 6 3 2 2" xfId="0"/>
    <cellStyle name="Normal 61 5 4 6 3 3" xfId="0"/>
    <cellStyle name="Normal 61 5 4 6 4" xfId="0"/>
    <cellStyle name="Normal 61 5 4 6 4 2" xfId="0"/>
    <cellStyle name="Normal 61 5 4 6 5" xfId="0"/>
    <cellStyle name="Normal 61 5 4 7" xfId="0"/>
    <cellStyle name="Normal 61 5 4 7 2" xfId="0"/>
    <cellStyle name="Normal 61 5 4 7 2 2" xfId="0"/>
    <cellStyle name="Normal 61 5 4 7 3" xfId="0"/>
    <cellStyle name="Normal 61 5 4 8" xfId="0"/>
    <cellStyle name="Normal 61 5 4 8 2" xfId="0"/>
    <cellStyle name="Normal 61 5 4 8 2 2" xfId="0"/>
    <cellStyle name="Normal 61 5 4 8 3" xfId="0"/>
    <cellStyle name="Normal 61 5 4 9" xfId="0"/>
    <cellStyle name="Normal 61 5 4 9 2" xfId="0"/>
    <cellStyle name="Normal 61 5 5" xfId="0"/>
    <cellStyle name="Normal 61 5 5 2" xfId="0"/>
    <cellStyle name="Normal 61 5 5 2 2" xfId="0"/>
    <cellStyle name="Normal 61 5 5 2 2 2" xfId="0"/>
    <cellStyle name="Normal 61 5 5 2 2 2 2" xfId="0"/>
    <cellStyle name="Normal 61 5 5 2 2 2 2 2" xfId="0"/>
    <cellStyle name="Normal 61 5 5 2 2 2 2 2 2" xfId="0"/>
    <cellStyle name="Normal 61 5 5 2 2 2 2 2 2 2" xfId="0"/>
    <cellStyle name="Normal 61 5 5 2 2 2 2 2 3" xfId="0"/>
    <cellStyle name="Normal 61 5 5 2 2 2 2 3" xfId="0"/>
    <cellStyle name="Normal 61 5 5 2 2 2 2 3 2" xfId="0"/>
    <cellStyle name="Normal 61 5 5 2 2 2 2 3 2 2" xfId="0"/>
    <cellStyle name="Normal 61 5 5 2 2 2 2 3 3" xfId="0"/>
    <cellStyle name="Normal 61 5 5 2 2 2 2 4" xfId="0"/>
    <cellStyle name="Normal 61 5 5 2 2 2 2 4 2" xfId="0"/>
    <cellStyle name="Normal 61 5 5 2 2 2 2 5" xfId="0"/>
    <cellStyle name="Normal 61 5 5 2 2 2 3" xfId="0"/>
    <cellStyle name="Normal 61 5 5 2 2 2 3 2" xfId="0"/>
    <cellStyle name="Normal 61 5 5 2 2 2 3 2 2" xfId="0"/>
    <cellStyle name="Normal 61 5 5 2 2 2 3 3" xfId="0"/>
    <cellStyle name="Normal 61 5 5 2 2 2 4" xfId="0"/>
    <cellStyle name="Normal 61 5 5 2 2 2 4 2" xfId="0"/>
    <cellStyle name="Normal 61 5 5 2 2 2 4 2 2" xfId="0"/>
    <cellStyle name="Normal 61 5 5 2 2 2 4 3" xfId="0"/>
    <cellStyle name="Normal 61 5 5 2 2 2 5" xfId="0"/>
    <cellStyle name="Normal 61 5 5 2 2 2 5 2" xfId="0"/>
    <cellStyle name="Normal 61 5 5 2 2 2 6" xfId="0"/>
    <cellStyle name="Normal 61 5 5 2 2 3" xfId="0"/>
    <cellStyle name="Normal 61 5 5 2 2 3 2" xfId="0"/>
    <cellStyle name="Normal 61 5 5 2 2 3 2 2" xfId="0"/>
    <cellStyle name="Normal 61 5 5 2 2 3 2 2 2" xfId="0"/>
    <cellStyle name="Normal 61 5 5 2 2 3 2 3" xfId="0"/>
    <cellStyle name="Normal 61 5 5 2 2 3 3" xfId="0"/>
    <cellStyle name="Normal 61 5 5 2 2 3 3 2" xfId="0"/>
    <cellStyle name="Normal 61 5 5 2 2 3 3 2 2" xfId="0"/>
    <cellStyle name="Normal 61 5 5 2 2 3 3 3" xfId="0"/>
    <cellStyle name="Normal 61 5 5 2 2 3 4" xfId="0"/>
    <cellStyle name="Normal 61 5 5 2 2 3 4 2" xfId="0"/>
    <cellStyle name="Normal 61 5 5 2 2 3 5" xfId="0"/>
    <cellStyle name="Normal 61 5 5 2 2 4" xfId="0"/>
    <cellStyle name="Normal 61 5 5 2 2 4 2" xfId="0"/>
    <cellStyle name="Normal 61 5 5 2 2 4 2 2" xfId="0"/>
    <cellStyle name="Normal 61 5 5 2 2 4 3" xfId="0"/>
    <cellStyle name="Normal 61 5 5 2 2 5" xfId="0"/>
    <cellStyle name="Normal 61 5 5 2 2 5 2" xfId="0"/>
    <cellStyle name="Normal 61 5 5 2 2 5 2 2" xfId="0"/>
    <cellStyle name="Normal 61 5 5 2 2 5 3" xfId="0"/>
    <cellStyle name="Normal 61 5 5 2 2 6" xfId="0"/>
    <cellStyle name="Normal 61 5 5 2 2 6 2" xfId="0"/>
    <cellStyle name="Normal 61 5 5 2 2 7" xfId="0"/>
    <cellStyle name="Normal 61 5 5 2 3" xfId="0"/>
    <cellStyle name="Normal 61 5 5 2 3 2" xfId="0"/>
    <cellStyle name="Normal 61 5 5 2 3 2 2" xfId="0"/>
    <cellStyle name="Normal 61 5 5 2 3 2 2 2" xfId="0"/>
    <cellStyle name="Normal 61 5 5 2 3 2 2 2 2" xfId="0"/>
    <cellStyle name="Normal 61 5 5 2 3 2 2 3" xfId="0"/>
    <cellStyle name="Normal 61 5 5 2 3 2 3" xfId="0"/>
    <cellStyle name="Normal 61 5 5 2 3 2 3 2" xfId="0"/>
    <cellStyle name="Normal 61 5 5 2 3 2 3 2 2" xfId="0"/>
    <cellStyle name="Normal 61 5 5 2 3 2 3 3" xfId="0"/>
    <cellStyle name="Normal 61 5 5 2 3 2 4" xfId="0"/>
    <cellStyle name="Normal 61 5 5 2 3 2 4 2" xfId="0"/>
    <cellStyle name="Normal 61 5 5 2 3 2 5" xfId="0"/>
    <cellStyle name="Normal 61 5 5 2 3 3" xfId="0"/>
    <cellStyle name="Normal 61 5 5 2 3 3 2" xfId="0"/>
    <cellStyle name="Normal 61 5 5 2 3 3 2 2" xfId="0"/>
    <cellStyle name="Normal 61 5 5 2 3 3 3" xfId="0"/>
    <cellStyle name="Normal 61 5 5 2 3 4" xfId="0"/>
    <cellStyle name="Normal 61 5 5 2 3 4 2" xfId="0"/>
    <cellStyle name="Normal 61 5 5 2 3 4 2 2" xfId="0"/>
    <cellStyle name="Normal 61 5 5 2 3 4 3" xfId="0"/>
    <cellStyle name="Normal 61 5 5 2 3 5" xfId="0"/>
    <cellStyle name="Normal 61 5 5 2 3 5 2" xfId="0"/>
    <cellStyle name="Normal 61 5 5 2 3 6" xfId="0"/>
    <cellStyle name="Normal 61 5 5 2 4" xfId="0"/>
    <cellStyle name="Normal 61 5 5 2 4 2" xfId="0"/>
    <cellStyle name="Normal 61 5 5 2 4 2 2" xfId="0"/>
    <cellStyle name="Normal 61 5 5 2 4 2 2 2" xfId="0"/>
    <cellStyle name="Normal 61 5 5 2 4 2 3" xfId="0"/>
    <cellStyle name="Normal 61 5 5 2 4 3" xfId="0"/>
    <cellStyle name="Normal 61 5 5 2 4 3 2" xfId="0"/>
    <cellStyle name="Normal 61 5 5 2 4 3 2 2" xfId="0"/>
    <cellStyle name="Normal 61 5 5 2 4 3 3" xfId="0"/>
    <cellStyle name="Normal 61 5 5 2 4 4" xfId="0"/>
    <cellStyle name="Normal 61 5 5 2 4 4 2" xfId="0"/>
    <cellStyle name="Normal 61 5 5 2 4 5" xfId="0"/>
    <cellStyle name="Normal 61 5 5 2 5" xfId="0"/>
    <cellStyle name="Normal 61 5 5 2 5 2" xfId="0"/>
    <cellStyle name="Normal 61 5 5 2 5 2 2" xfId="0"/>
    <cellStyle name="Normal 61 5 5 2 5 3" xfId="0"/>
    <cellStyle name="Normal 61 5 5 2 6" xfId="0"/>
    <cellStyle name="Normal 61 5 5 2 6 2" xfId="0"/>
    <cellStyle name="Normal 61 5 5 2 6 2 2" xfId="0"/>
    <cellStyle name="Normal 61 5 5 2 6 3" xfId="0"/>
    <cellStyle name="Normal 61 5 5 2 7" xfId="0"/>
    <cellStyle name="Normal 61 5 5 2 7 2" xfId="0"/>
    <cellStyle name="Normal 61 5 5 2 8" xfId="0"/>
    <cellStyle name="Normal 61 5 5 3" xfId="0"/>
    <cellStyle name="Normal 61 5 5 3 2" xfId="0"/>
    <cellStyle name="Normal 61 5 5 3 2 2" xfId="0"/>
    <cellStyle name="Normal 61 5 5 3 2 2 2" xfId="0"/>
    <cellStyle name="Normal 61 5 5 3 2 2 2 2" xfId="0"/>
    <cellStyle name="Normal 61 5 5 3 2 2 2 2 2" xfId="0"/>
    <cellStyle name="Normal 61 5 5 3 2 2 2 3" xfId="0"/>
    <cellStyle name="Normal 61 5 5 3 2 2 3" xfId="0"/>
    <cellStyle name="Normal 61 5 5 3 2 2 3 2" xfId="0"/>
    <cellStyle name="Normal 61 5 5 3 2 2 3 2 2" xfId="0"/>
    <cellStyle name="Normal 61 5 5 3 2 2 3 3" xfId="0"/>
    <cellStyle name="Normal 61 5 5 3 2 2 4" xfId="0"/>
    <cellStyle name="Normal 61 5 5 3 2 2 4 2" xfId="0"/>
    <cellStyle name="Normal 61 5 5 3 2 2 5" xfId="0"/>
    <cellStyle name="Normal 61 5 5 3 2 3" xfId="0"/>
    <cellStyle name="Normal 61 5 5 3 2 3 2" xfId="0"/>
    <cellStyle name="Normal 61 5 5 3 2 3 2 2" xfId="0"/>
    <cellStyle name="Normal 61 5 5 3 2 3 3" xfId="0"/>
    <cellStyle name="Normal 61 5 5 3 2 4" xfId="0"/>
    <cellStyle name="Normal 61 5 5 3 2 4 2" xfId="0"/>
    <cellStyle name="Normal 61 5 5 3 2 4 2 2" xfId="0"/>
    <cellStyle name="Normal 61 5 5 3 2 4 3" xfId="0"/>
    <cellStyle name="Normal 61 5 5 3 2 5" xfId="0"/>
    <cellStyle name="Normal 61 5 5 3 2 5 2" xfId="0"/>
    <cellStyle name="Normal 61 5 5 3 2 6" xfId="0"/>
    <cellStyle name="Normal 61 5 5 3 3" xfId="0"/>
    <cellStyle name="Normal 61 5 5 3 3 2" xfId="0"/>
    <cellStyle name="Normal 61 5 5 3 3 2 2" xfId="0"/>
    <cellStyle name="Normal 61 5 5 3 3 2 2 2" xfId="0"/>
    <cellStyle name="Normal 61 5 5 3 3 2 3" xfId="0"/>
    <cellStyle name="Normal 61 5 5 3 3 3" xfId="0"/>
    <cellStyle name="Normal 61 5 5 3 3 3 2" xfId="0"/>
    <cellStyle name="Normal 61 5 5 3 3 3 2 2" xfId="0"/>
    <cellStyle name="Normal 61 5 5 3 3 3 3" xfId="0"/>
    <cellStyle name="Normal 61 5 5 3 3 4" xfId="0"/>
    <cellStyle name="Normal 61 5 5 3 3 4 2" xfId="0"/>
    <cellStyle name="Normal 61 5 5 3 3 5" xfId="0"/>
    <cellStyle name="Normal 61 5 5 3 4" xfId="0"/>
    <cellStyle name="Normal 61 5 5 3 4 2" xfId="0"/>
    <cellStyle name="Normal 61 5 5 3 4 2 2" xfId="0"/>
    <cellStyle name="Normal 61 5 5 3 4 3" xfId="0"/>
    <cellStyle name="Normal 61 5 5 3 5" xfId="0"/>
    <cellStyle name="Normal 61 5 5 3 5 2" xfId="0"/>
    <cellStyle name="Normal 61 5 5 3 5 2 2" xfId="0"/>
    <cellStyle name="Normal 61 5 5 3 5 3" xfId="0"/>
    <cellStyle name="Normal 61 5 5 3 6" xfId="0"/>
    <cellStyle name="Normal 61 5 5 3 6 2" xfId="0"/>
    <cellStyle name="Normal 61 5 5 3 7" xfId="0"/>
    <cellStyle name="Normal 61 5 5 4" xfId="0"/>
    <cellStyle name="Normal 61 5 5 4 2" xfId="0"/>
    <cellStyle name="Normal 61 5 5 4 2 2" xfId="0"/>
    <cellStyle name="Normal 61 5 5 4 2 2 2" xfId="0"/>
    <cellStyle name="Normal 61 5 5 4 2 2 2 2" xfId="0"/>
    <cellStyle name="Normal 61 5 5 4 2 2 3" xfId="0"/>
    <cellStyle name="Normal 61 5 5 4 2 3" xfId="0"/>
    <cellStyle name="Normal 61 5 5 4 2 3 2" xfId="0"/>
    <cellStyle name="Normal 61 5 5 4 2 3 2 2" xfId="0"/>
    <cellStyle name="Normal 61 5 5 4 2 3 3" xfId="0"/>
    <cellStyle name="Normal 61 5 5 4 2 4" xfId="0"/>
    <cellStyle name="Normal 61 5 5 4 2 4 2" xfId="0"/>
    <cellStyle name="Normal 61 5 5 4 2 5" xfId="0"/>
    <cellStyle name="Normal 61 5 5 4 3" xfId="0"/>
    <cellStyle name="Normal 61 5 5 4 3 2" xfId="0"/>
    <cellStyle name="Normal 61 5 5 4 3 2 2" xfId="0"/>
    <cellStyle name="Normal 61 5 5 4 3 3" xfId="0"/>
    <cellStyle name="Normal 61 5 5 4 4" xfId="0"/>
    <cellStyle name="Normal 61 5 5 4 4 2" xfId="0"/>
    <cellStyle name="Normal 61 5 5 4 4 2 2" xfId="0"/>
    <cellStyle name="Normal 61 5 5 4 4 3" xfId="0"/>
    <cellStyle name="Normal 61 5 5 4 5" xfId="0"/>
    <cellStyle name="Normal 61 5 5 4 5 2" xfId="0"/>
    <cellStyle name="Normal 61 5 5 4 6" xfId="0"/>
    <cellStyle name="Normal 61 5 5 5" xfId="0"/>
    <cellStyle name="Normal 61 5 5 5 2" xfId="0"/>
    <cellStyle name="Normal 61 5 5 5 2 2" xfId="0"/>
    <cellStyle name="Normal 61 5 5 5 2 2 2" xfId="0"/>
    <cellStyle name="Normal 61 5 5 5 2 3" xfId="0"/>
    <cellStyle name="Normal 61 5 5 5 3" xfId="0"/>
    <cellStyle name="Normal 61 5 5 5 3 2" xfId="0"/>
    <cellStyle name="Normal 61 5 5 5 3 2 2" xfId="0"/>
    <cellStyle name="Normal 61 5 5 5 3 3" xfId="0"/>
    <cellStyle name="Normal 61 5 5 5 4" xfId="0"/>
    <cellStyle name="Normal 61 5 5 5 4 2" xfId="0"/>
    <cellStyle name="Normal 61 5 5 5 5" xfId="0"/>
    <cellStyle name="Normal 61 5 5 6" xfId="0"/>
    <cellStyle name="Normal 61 5 5 6 2" xfId="0"/>
    <cellStyle name="Normal 61 5 5 6 2 2" xfId="0"/>
    <cellStyle name="Normal 61 5 5 6 3" xfId="0"/>
    <cellStyle name="Normal 61 5 5 7" xfId="0"/>
    <cellStyle name="Normal 61 5 5 7 2" xfId="0"/>
    <cellStyle name="Normal 61 5 5 7 2 2" xfId="0"/>
    <cellStyle name="Normal 61 5 5 7 3" xfId="0"/>
    <cellStyle name="Normal 61 5 5 8" xfId="0"/>
    <cellStyle name="Normal 61 5 5 8 2" xfId="0"/>
    <cellStyle name="Normal 61 5 5 9" xfId="0"/>
    <cellStyle name="Normal 61 5 6" xfId="0"/>
    <cellStyle name="Normal 61 5 6 2" xfId="0"/>
    <cellStyle name="Normal 61 5 6 2 2" xfId="0"/>
    <cellStyle name="Normal 61 5 6 2 2 2" xfId="0"/>
    <cellStyle name="Normal 61 5 6 2 2 2 2" xfId="0"/>
    <cellStyle name="Normal 61 5 6 2 2 2 2 2" xfId="0"/>
    <cellStyle name="Normal 61 5 6 2 2 2 2 2 2" xfId="0"/>
    <cellStyle name="Normal 61 5 6 2 2 2 2 3" xfId="0"/>
    <cellStyle name="Normal 61 5 6 2 2 2 3" xfId="0"/>
    <cellStyle name="Normal 61 5 6 2 2 2 3 2" xfId="0"/>
    <cellStyle name="Normal 61 5 6 2 2 2 3 2 2" xfId="0"/>
    <cellStyle name="Normal 61 5 6 2 2 2 3 3" xfId="0"/>
    <cellStyle name="Normal 61 5 6 2 2 2 4" xfId="0"/>
    <cellStyle name="Normal 61 5 6 2 2 2 4 2" xfId="0"/>
    <cellStyle name="Normal 61 5 6 2 2 2 5" xfId="0"/>
    <cellStyle name="Normal 61 5 6 2 2 3" xfId="0"/>
    <cellStyle name="Normal 61 5 6 2 2 3 2" xfId="0"/>
    <cellStyle name="Normal 61 5 6 2 2 3 2 2" xfId="0"/>
    <cellStyle name="Normal 61 5 6 2 2 3 3" xfId="0"/>
    <cellStyle name="Normal 61 5 6 2 2 4" xfId="0"/>
    <cellStyle name="Normal 61 5 6 2 2 4 2" xfId="0"/>
    <cellStyle name="Normal 61 5 6 2 2 4 2 2" xfId="0"/>
    <cellStyle name="Normal 61 5 6 2 2 4 3" xfId="0"/>
    <cellStyle name="Normal 61 5 6 2 2 5" xfId="0"/>
    <cellStyle name="Normal 61 5 6 2 2 5 2" xfId="0"/>
    <cellStyle name="Normal 61 5 6 2 2 6" xfId="0"/>
    <cellStyle name="Normal 61 5 6 2 3" xfId="0"/>
    <cellStyle name="Normal 61 5 6 2 3 2" xfId="0"/>
    <cellStyle name="Normal 61 5 6 2 3 2 2" xfId="0"/>
    <cellStyle name="Normal 61 5 6 2 3 2 2 2" xfId="0"/>
    <cellStyle name="Normal 61 5 6 2 3 2 3" xfId="0"/>
    <cellStyle name="Normal 61 5 6 2 3 3" xfId="0"/>
    <cellStyle name="Normal 61 5 6 2 3 3 2" xfId="0"/>
    <cellStyle name="Normal 61 5 6 2 3 3 2 2" xfId="0"/>
    <cellStyle name="Normal 61 5 6 2 3 3 3" xfId="0"/>
    <cellStyle name="Normal 61 5 6 2 3 4" xfId="0"/>
    <cellStyle name="Normal 61 5 6 2 3 4 2" xfId="0"/>
    <cellStyle name="Normal 61 5 6 2 3 5" xfId="0"/>
    <cellStyle name="Normal 61 5 6 2 4" xfId="0"/>
    <cellStyle name="Normal 61 5 6 2 4 2" xfId="0"/>
    <cellStyle name="Normal 61 5 6 2 4 2 2" xfId="0"/>
    <cellStyle name="Normal 61 5 6 2 4 3" xfId="0"/>
    <cellStyle name="Normal 61 5 6 2 5" xfId="0"/>
    <cellStyle name="Normal 61 5 6 2 5 2" xfId="0"/>
    <cellStyle name="Normal 61 5 6 2 5 2 2" xfId="0"/>
    <cellStyle name="Normal 61 5 6 2 5 3" xfId="0"/>
    <cellStyle name="Normal 61 5 6 2 6" xfId="0"/>
    <cellStyle name="Normal 61 5 6 2 6 2" xfId="0"/>
    <cellStyle name="Normal 61 5 6 2 7" xfId="0"/>
    <cellStyle name="Normal 61 5 6 3" xfId="0"/>
    <cellStyle name="Normal 61 5 6 3 2" xfId="0"/>
    <cellStyle name="Normal 61 5 6 3 2 2" xfId="0"/>
    <cellStyle name="Normal 61 5 6 3 2 2 2" xfId="0"/>
    <cellStyle name="Normal 61 5 6 3 2 2 2 2" xfId="0"/>
    <cellStyle name="Normal 61 5 6 3 2 2 3" xfId="0"/>
    <cellStyle name="Normal 61 5 6 3 2 3" xfId="0"/>
    <cellStyle name="Normal 61 5 6 3 2 3 2" xfId="0"/>
    <cellStyle name="Normal 61 5 6 3 2 3 2 2" xfId="0"/>
    <cellStyle name="Normal 61 5 6 3 2 3 3" xfId="0"/>
    <cellStyle name="Normal 61 5 6 3 2 4" xfId="0"/>
    <cellStyle name="Normal 61 5 6 3 2 4 2" xfId="0"/>
    <cellStyle name="Normal 61 5 6 3 2 5" xfId="0"/>
    <cellStyle name="Normal 61 5 6 3 3" xfId="0"/>
    <cellStyle name="Normal 61 5 6 3 3 2" xfId="0"/>
    <cellStyle name="Normal 61 5 6 3 3 2 2" xfId="0"/>
    <cellStyle name="Normal 61 5 6 3 3 3" xfId="0"/>
    <cellStyle name="Normal 61 5 6 3 4" xfId="0"/>
    <cellStyle name="Normal 61 5 6 3 4 2" xfId="0"/>
    <cellStyle name="Normal 61 5 6 3 4 2 2" xfId="0"/>
    <cellStyle name="Normal 61 5 6 3 4 3" xfId="0"/>
    <cellStyle name="Normal 61 5 6 3 5" xfId="0"/>
    <cellStyle name="Normal 61 5 6 3 5 2" xfId="0"/>
    <cellStyle name="Normal 61 5 6 3 6" xfId="0"/>
    <cellStyle name="Normal 61 5 6 4" xfId="0"/>
    <cellStyle name="Normal 61 5 6 4 2" xfId="0"/>
    <cellStyle name="Normal 61 5 6 4 2 2" xfId="0"/>
    <cellStyle name="Normal 61 5 6 4 2 2 2" xfId="0"/>
    <cellStyle name="Normal 61 5 6 4 2 3" xfId="0"/>
    <cellStyle name="Normal 61 5 6 4 3" xfId="0"/>
    <cellStyle name="Normal 61 5 6 4 3 2" xfId="0"/>
    <cellStyle name="Normal 61 5 6 4 3 2 2" xfId="0"/>
    <cellStyle name="Normal 61 5 6 4 3 3" xfId="0"/>
    <cellStyle name="Normal 61 5 6 4 4" xfId="0"/>
    <cellStyle name="Normal 61 5 6 4 4 2" xfId="0"/>
    <cellStyle name="Normal 61 5 6 4 5" xfId="0"/>
    <cellStyle name="Normal 61 5 6 5" xfId="0"/>
    <cellStyle name="Normal 61 5 6 5 2" xfId="0"/>
    <cellStyle name="Normal 61 5 6 5 2 2" xfId="0"/>
    <cellStyle name="Normal 61 5 6 5 3" xfId="0"/>
    <cellStyle name="Normal 61 5 6 6" xfId="0"/>
    <cellStyle name="Normal 61 5 6 6 2" xfId="0"/>
    <cellStyle name="Normal 61 5 6 6 2 2" xfId="0"/>
    <cellStyle name="Normal 61 5 6 6 3" xfId="0"/>
    <cellStyle name="Normal 61 5 6 7" xfId="0"/>
    <cellStyle name="Normal 61 5 6 7 2" xfId="0"/>
    <cellStyle name="Normal 61 5 6 8" xfId="0"/>
    <cellStyle name="Normal 61 5 7" xfId="0"/>
    <cellStyle name="Normal 61 5 7 2" xfId="0"/>
    <cellStyle name="Normal 61 5 7 2 2" xfId="0"/>
    <cellStyle name="Normal 61 5 7 2 2 2" xfId="0"/>
    <cellStyle name="Normal 61 5 7 2 2 2 2" xfId="0"/>
    <cellStyle name="Normal 61 5 7 2 2 2 2 2" xfId="0"/>
    <cellStyle name="Normal 61 5 7 2 2 2 3" xfId="0"/>
    <cellStyle name="Normal 61 5 7 2 2 3" xfId="0"/>
    <cellStyle name="Normal 61 5 7 2 2 3 2" xfId="0"/>
    <cellStyle name="Normal 61 5 7 2 2 3 2 2" xfId="0"/>
    <cellStyle name="Normal 61 5 7 2 2 3 3" xfId="0"/>
    <cellStyle name="Normal 61 5 7 2 2 4" xfId="0"/>
    <cellStyle name="Normal 61 5 7 2 2 4 2" xfId="0"/>
    <cellStyle name="Normal 61 5 7 2 2 5" xfId="0"/>
    <cellStyle name="Normal 61 5 7 2 3" xfId="0"/>
    <cellStyle name="Normal 61 5 7 2 3 2" xfId="0"/>
    <cellStyle name="Normal 61 5 7 2 3 2 2" xfId="0"/>
    <cellStyle name="Normal 61 5 7 2 3 3" xfId="0"/>
    <cellStyle name="Normal 61 5 7 2 4" xfId="0"/>
    <cellStyle name="Normal 61 5 7 2 4 2" xfId="0"/>
    <cellStyle name="Normal 61 5 7 2 4 2 2" xfId="0"/>
    <cellStyle name="Normal 61 5 7 2 4 3" xfId="0"/>
    <cellStyle name="Normal 61 5 7 2 5" xfId="0"/>
    <cellStyle name="Normal 61 5 7 2 5 2" xfId="0"/>
    <cellStyle name="Normal 61 5 7 2 6" xfId="0"/>
    <cellStyle name="Normal 61 5 7 3" xfId="0"/>
    <cellStyle name="Normal 61 5 7 3 2" xfId="0"/>
    <cellStyle name="Normal 61 5 7 3 2 2" xfId="0"/>
    <cellStyle name="Normal 61 5 7 3 2 2 2" xfId="0"/>
    <cellStyle name="Normal 61 5 7 3 2 3" xfId="0"/>
    <cellStyle name="Normal 61 5 7 3 3" xfId="0"/>
    <cellStyle name="Normal 61 5 7 3 3 2" xfId="0"/>
    <cellStyle name="Normal 61 5 7 3 3 2 2" xfId="0"/>
    <cellStyle name="Normal 61 5 7 3 3 3" xfId="0"/>
    <cellStyle name="Normal 61 5 7 3 4" xfId="0"/>
    <cellStyle name="Normal 61 5 7 3 4 2" xfId="0"/>
    <cellStyle name="Normal 61 5 7 3 5" xfId="0"/>
    <cellStyle name="Normal 61 5 7 4" xfId="0"/>
    <cellStyle name="Normal 61 5 7 4 2" xfId="0"/>
    <cellStyle name="Normal 61 5 7 4 2 2" xfId="0"/>
    <cellStyle name="Normal 61 5 7 4 3" xfId="0"/>
    <cellStyle name="Normal 61 5 7 5" xfId="0"/>
    <cellStyle name="Normal 61 5 7 5 2" xfId="0"/>
    <cellStyle name="Normal 61 5 7 5 2 2" xfId="0"/>
    <cellStyle name="Normal 61 5 7 5 3" xfId="0"/>
    <cellStyle name="Normal 61 5 7 6" xfId="0"/>
    <cellStyle name="Normal 61 5 7 6 2" xfId="0"/>
    <cellStyle name="Normal 61 5 7 7" xfId="0"/>
    <cellStyle name="Normal 61 5 8" xfId="0"/>
    <cellStyle name="Normal 61 5 8 2" xfId="0"/>
    <cellStyle name="Normal 61 5 8 2 2" xfId="0"/>
    <cellStyle name="Normal 61 5 8 2 2 2" xfId="0"/>
    <cellStyle name="Normal 61 5 8 2 2 2 2" xfId="0"/>
    <cellStyle name="Normal 61 5 8 2 2 3" xfId="0"/>
    <cellStyle name="Normal 61 5 8 2 3" xfId="0"/>
    <cellStyle name="Normal 61 5 8 2 3 2" xfId="0"/>
    <cellStyle name="Normal 61 5 8 2 3 2 2" xfId="0"/>
    <cellStyle name="Normal 61 5 8 2 3 3" xfId="0"/>
    <cellStyle name="Normal 61 5 8 2 4" xfId="0"/>
    <cellStyle name="Normal 61 5 8 2 4 2" xfId="0"/>
    <cellStyle name="Normal 61 5 8 2 5" xfId="0"/>
    <cellStyle name="Normal 61 5 8 3" xfId="0"/>
    <cellStyle name="Normal 61 5 8 3 2" xfId="0"/>
    <cellStyle name="Normal 61 5 8 3 2 2" xfId="0"/>
    <cellStyle name="Normal 61 5 8 3 3" xfId="0"/>
    <cellStyle name="Normal 61 5 8 4" xfId="0"/>
    <cellStyle name="Normal 61 5 8 4 2" xfId="0"/>
    <cellStyle name="Normal 61 5 8 4 2 2" xfId="0"/>
    <cellStyle name="Normal 61 5 8 4 3" xfId="0"/>
    <cellStyle name="Normal 61 5 8 5" xfId="0"/>
    <cellStyle name="Normal 61 5 8 5 2" xfId="0"/>
    <cellStyle name="Normal 61 5 8 6" xfId="0"/>
    <cellStyle name="Normal 61 5 9" xfId="0"/>
    <cellStyle name="Normal 61 5 9 2" xfId="0"/>
    <cellStyle name="Normal 61 5 9 2 2" xfId="0"/>
    <cellStyle name="Normal 61 5 9 2 2 2" xfId="0"/>
    <cellStyle name="Normal 61 5 9 2 3" xfId="0"/>
    <cellStyle name="Normal 61 5 9 3" xfId="0"/>
    <cellStyle name="Normal 61 5 9 3 2" xfId="0"/>
    <cellStyle name="Normal 61 5 9 3 2 2" xfId="0"/>
    <cellStyle name="Normal 61 5 9 3 3" xfId="0"/>
    <cellStyle name="Normal 61 5 9 4" xfId="0"/>
    <cellStyle name="Normal 61 5 9 4 2" xfId="0"/>
    <cellStyle name="Normal 61 5 9 5" xfId="0"/>
    <cellStyle name="Normal 61 6" xfId="0"/>
    <cellStyle name="Normal 61 6 10" xfId="0"/>
    <cellStyle name="Normal 61 6 10 2" xfId="0"/>
    <cellStyle name="Normal 61 6 10 2 2" xfId="0"/>
    <cellStyle name="Normal 61 6 10 3" xfId="0"/>
    <cellStyle name="Normal 61 6 11" xfId="0"/>
    <cellStyle name="Normal 61 6 11 2" xfId="0"/>
    <cellStyle name="Normal 61 6 11 2 2" xfId="0"/>
    <cellStyle name="Normal 61 6 11 3" xfId="0"/>
    <cellStyle name="Normal 61 6 12" xfId="0"/>
    <cellStyle name="Normal 61 6 12 2" xfId="0"/>
    <cellStyle name="Normal 61 6 13" xfId="0"/>
    <cellStyle name="Normal 61 6 2" xfId="0"/>
    <cellStyle name="Normal 61 6 2 10" xfId="0"/>
    <cellStyle name="Normal 61 6 2 10 2" xfId="0"/>
    <cellStyle name="Normal 61 6 2 10 2 2" xfId="0"/>
    <cellStyle name="Normal 61 6 2 10 3" xfId="0"/>
    <cellStyle name="Normal 61 6 2 11" xfId="0"/>
    <cellStyle name="Normal 61 6 2 11 2" xfId="0"/>
    <cellStyle name="Normal 61 6 2 12" xfId="0"/>
    <cellStyle name="Normal 61 6 2 2" xfId="0"/>
    <cellStyle name="Normal 61 6 2 2 10" xfId="0"/>
    <cellStyle name="Normal 61 6 2 2 2" xfId="0"/>
    <cellStyle name="Normal 61 6 2 2 2 2" xfId="0"/>
    <cellStyle name="Normal 61 6 2 2 2 2 2" xfId="0"/>
    <cellStyle name="Normal 61 6 2 2 2 2 2 2" xfId="0"/>
    <cellStyle name="Normal 61 6 2 2 2 2 2 2 2" xfId="0"/>
    <cellStyle name="Normal 61 6 2 2 2 2 2 2 2 2" xfId="0"/>
    <cellStyle name="Normal 61 6 2 2 2 2 2 2 2 2 2" xfId="0"/>
    <cellStyle name="Normal 61 6 2 2 2 2 2 2 2 2 2 2" xfId="0"/>
    <cellStyle name="Normal 61 6 2 2 2 2 2 2 2 2 3" xfId="0"/>
    <cellStyle name="Normal 61 6 2 2 2 2 2 2 2 3" xfId="0"/>
    <cellStyle name="Normal 61 6 2 2 2 2 2 2 2 3 2" xfId="0"/>
    <cellStyle name="Normal 61 6 2 2 2 2 2 2 2 3 2 2" xfId="0"/>
    <cellStyle name="Normal 61 6 2 2 2 2 2 2 2 3 3" xfId="0"/>
    <cellStyle name="Normal 61 6 2 2 2 2 2 2 2 4" xfId="0"/>
    <cellStyle name="Normal 61 6 2 2 2 2 2 2 2 4 2" xfId="0"/>
    <cellStyle name="Normal 61 6 2 2 2 2 2 2 2 5" xfId="0"/>
    <cellStyle name="Normal 61 6 2 2 2 2 2 2 3" xfId="0"/>
    <cellStyle name="Normal 61 6 2 2 2 2 2 2 3 2" xfId="0"/>
    <cellStyle name="Normal 61 6 2 2 2 2 2 2 3 2 2" xfId="0"/>
    <cellStyle name="Normal 61 6 2 2 2 2 2 2 3 3" xfId="0"/>
    <cellStyle name="Normal 61 6 2 2 2 2 2 2 4" xfId="0"/>
    <cellStyle name="Normal 61 6 2 2 2 2 2 2 4 2" xfId="0"/>
    <cellStyle name="Normal 61 6 2 2 2 2 2 2 4 2 2" xfId="0"/>
    <cellStyle name="Normal 61 6 2 2 2 2 2 2 4 3" xfId="0"/>
    <cellStyle name="Normal 61 6 2 2 2 2 2 2 5" xfId="0"/>
    <cellStyle name="Normal 61 6 2 2 2 2 2 2 5 2" xfId="0"/>
    <cellStyle name="Normal 61 6 2 2 2 2 2 2 6" xfId="0"/>
    <cellStyle name="Normal 61 6 2 2 2 2 2 3" xfId="0"/>
    <cellStyle name="Normal 61 6 2 2 2 2 2 3 2" xfId="0"/>
    <cellStyle name="Normal 61 6 2 2 2 2 2 3 2 2" xfId="0"/>
    <cellStyle name="Normal 61 6 2 2 2 2 2 3 2 2 2" xfId="0"/>
    <cellStyle name="Normal 61 6 2 2 2 2 2 3 2 3" xfId="0"/>
    <cellStyle name="Normal 61 6 2 2 2 2 2 3 3" xfId="0"/>
    <cellStyle name="Normal 61 6 2 2 2 2 2 3 3 2" xfId="0"/>
    <cellStyle name="Normal 61 6 2 2 2 2 2 3 3 2 2" xfId="0"/>
    <cellStyle name="Normal 61 6 2 2 2 2 2 3 3 3" xfId="0"/>
    <cellStyle name="Normal 61 6 2 2 2 2 2 3 4" xfId="0"/>
    <cellStyle name="Normal 61 6 2 2 2 2 2 3 4 2" xfId="0"/>
    <cellStyle name="Normal 61 6 2 2 2 2 2 3 5" xfId="0"/>
    <cellStyle name="Normal 61 6 2 2 2 2 2 4" xfId="0"/>
    <cellStyle name="Normal 61 6 2 2 2 2 2 4 2" xfId="0"/>
    <cellStyle name="Normal 61 6 2 2 2 2 2 4 2 2" xfId="0"/>
    <cellStyle name="Normal 61 6 2 2 2 2 2 4 3" xfId="0"/>
    <cellStyle name="Normal 61 6 2 2 2 2 2 5" xfId="0"/>
    <cellStyle name="Normal 61 6 2 2 2 2 2 5 2" xfId="0"/>
    <cellStyle name="Normal 61 6 2 2 2 2 2 5 2 2" xfId="0"/>
    <cellStyle name="Normal 61 6 2 2 2 2 2 5 3" xfId="0"/>
    <cellStyle name="Normal 61 6 2 2 2 2 2 6" xfId="0"/>
    <cellStyle name="Normal 61 6 2 2 2 2 2 6 2" xfId="0"/>
    <cellStyle name="Normal 61 6 2 2 2 2 2 7" xfId="0"/>
    <cellStyle name="Normal 61 6 2 2 2 2 3" xfId="0"/>
    <cellStyle name="Normal 61 6 2 2 2 2 3 2" xfId="0"/>
    <cellStyle name="Normal 61 6 2 2 2 2 3 2 2" xfId="0"/>
    <cellStyle name="Normal 61 6 2 2 2 2 3 2 2 2" xfId="0"/>
    <cellStyle name="Normal 61 6 2 2 2 2 3 2 2 2 2" xfId="0"/>
    <cellStyle name="Normal 61 6 2 2 2 2 3 2 2 3" xfId="0"/>
    <cellStyle name="Normal 61 6 2 2 2 2 3 2 3" xfId="0"/>
    <cellStyle name="Normal 61 6 2 2 2 2 3 2 3 2" xfId="0"/>
    <cellStyle name="Normal 61 6 2 2 2 2 3 2 3 2 2" xfId="0"/>
    <cellStyle name="Normal 61 6 2 2 2 2 3 2 3 3" xfId="0"/>
    <cellStyle name="Normal 61 6 2 2 2 2 3 2 4" xfId="0"/>
    <cellStyle name="Normal 61 6 2 2 2 2 3 2 4 2" xfId="0"/>
    <cellStyle name="Normal 61 6 2 2 2 2 3 2 5" xfId="0"/>
    <cellStyle name="Normal 61 6 2 2 2 2 3 3" xfId="0"/>
    <cellStyle name="Normal 61 6 2 2 2 2 3 3 2" xfId="0"/>
    <cellStyle name="Normal 61 6 2 2 2 2 3 3 2 2" xfId="0"/>
    <cellStyle name="Normal 61 6 2 2 2 2 3 3 3" xfId="0"/>
    <cellStyle name="Normal 61 6 2 2 2 2 3 4" xfId="0"/>
    <cellStyle name="Normal 61 6 2 2 2 2 3 4 2" xfId="0"/>
    <cellStyle name="Normal 61 6 2 2 2 2 3 4 2 2" xfId="0"/>
    <cellStyle name="Normal 61 6 2 2 2 2 3 4 3" xfId="0"/>
    <cellStyle name="Normal 61 6 2 2 2 2 3 5" xfId="0"/>
    <cellStyle name="Normal 61 6 2 2 2 2 3 5 2" xfId="0"/>
    <cellStyle name="Normal 61 6 2 2 2 2 3 6" xfId="0"/>
    <cellStyle name="Normal 61 6 2 2 2 2 4" xfId="0"/>
    <cellStyle name="Normal 61 6 2 2 2 2 4 2" xfId="0"/>
    <cellStyle name="Normal 61 6 2 2 2 2 4 2 2" xfId="0"/>
    <cellStyle name="Normal 61 6 2 2 2 2 4 2 2 2" xfId="0"/>
    <cellStyle name="Normal 61 6 2 2 2 2 4 2 3" xfId="0"/>
    <cellStyle name="Normal 61 6 2 2 2 2 4 3" xfId="0"/>
    <cellStyle name="Normal 61 6 2 2 2 2 4 3 2" xfId="0"/>
    <cellStyle name="Normal 61 6 2 2 2 2 4 3 2 2" xfId="0"/>
    <cellStyle name="Normal 61 6 2 2 2 2 4 3 3" xfId="0"/>
    <cellStyle name="Normal 61 6 2 2 2 2 4 4" xfId="0"/>
    <cellStyle name="Normal 61 6 2 2 2 2 4 4 2" xfId="0"/>
    <cellStyle name="Normal 61 6 2 2 2 2 4 5" xfId="0"/>
    <cellStyle name="Normal 61 6 2 2 2 2 5" xfId="0"/>
    <cellStyle name="Normal 61 6 2 2 2 2 5 2" xfId="0"/>
    <cellStyle name="Normal 61 6 2 2 2 2 5 2 2" xfId="0"/>
    <cellStyle name="Normal 61 6 2 2 2 2 5 3" xfId="0"/>
    <cellStyle name="Normal 61 6 2 2 2 2 6" xfId="0"/>
    <cellStyle name="Normal 61 6 2 2 2 2 6 2" xfId="0"/>
    <cellStyle name="Normal 61 6 2 2 2 2 6 2 2" xfId="0"/>
    <cellStyle name="Normal 61 6 2 2 2 2 6 3" xfId="0"/>
    <cellStyle name="Normal 61 6 2 2 2 2 7" xfId="0"/>
    <cellStyle name="Normal 61 6 2 2 2 2 7 2" xfId="0"/>
    <cellStyle name="Normal 61 6 2 2 2 2 8" xfId="0"/>
    <cellStyle name="Normal 61 6 2 2 2 3" xfId="0"/>
    <cellStyle name="Normal 61 6 2 2 2 3 2" xfId="0"/>
    <cellStyle name="Normal 61 6 2 2 2 3 2 2" xfId="0"/>
    <cellStyle name="Normal 61 6 2 2 2 3 2 2 2" xfId="0"/>
    <cellStyle name="Normal 61 6 2 2 2 3 2 2 2 2" xfId="0"/>
    <cellStyle name="Normal 61 6 2 2 2 3 2 2 2 2 2" xfId="0"/>
    <cellStyle name="Normal 61 6 2 2 2 3 2 2 2 3" xfId="0"/>
    <cellStyle name="Normal 61 6 2 2 2 3 2 2 3" xfId="0"/>
    <cellStyle name="Normal 61 6 2 2 2 3 2 2 3 2" xfId="0"/>
    <cellStyle name="Normal 61 6 2 2 2 3 2 2 3 2 2" xfId="0"/>
    <cellStyle name="Normal 61 6 2 2 2 3 2 2 3 3" xfId="0"/>
    <cellStyle name="Normal 61 6 2 2 2 3 2 2 4" xfId="0"/>
    <cellStyle name="Normal 61 6 2 2 2 3 2 2 4 2" xfId="0"/>
    <cellStyle name="Normal 61 6 2 2 2 3 2 2 5" xfId="0"/>
    <cellStyle name="Normal 61 6 2 2 2 3 2 3" xfId="0"/>
    <cellStyle name="Normal 61 6 2 2 2 3 2 3 2" xfId="0"/>
    <cellStyle name="Normal 61 6 2 2 2 3 2 3 2 2" xfId="0"/>
    <cellStyle name="Normal 61 6 2 2 2 3 2 3 3" xfId="0"/>
    <cellStyle name="Normal 61 6 2 2 2 3 2 4" xfId="0"/>
    <cellStyle name="Normal 61 6 2 2 2 3 2 4 2" xfId="0"/>
    <cellStyle name="Normal 61 6 2 2 2 3 2 4 2 2" xfId="0"/>
    <cellStyle name="Normal 61 6 2 2 2 3 2 4 3" xfId="0"/>
    <cellStyle name="Normal 61 6 2 2 2 3 2 5" xfId="0"/>
    <cellStyle name="Normal 61 6 2 2 2 3 2 5 2" xfId="0"/>
    <cellStyle name="Normal 61 6 2 2 2 3 2 6" xfId="0"/>
    <cellStyle name="Normal 61 6 2 2 2 3 3" xfId="0"/>
    <cellStyle name="Normal 61 6 2 2 2 3 3 2" xfId="0"/>
    <cellStyle name="Normal 61 6 2 2 2 3 3 2 2" xfId="0"/>
    <cellStyle name="Normal 61 6 2 2 2 3 3 2 2 2" xfId="0"/>
    <cellStyle name="Normal 61 6 2 2 2 3 3 2 3" xfId="0"/>
    <cellStyle name="Normal 61 6 2 2 2 3 3 3" xfId="0"/>
    <cellStyle name="Normal 61 6 2 2 2 3 3 3 2" xfId="0"/>
    <cellStyle name="Normal 61 6 2 2 2 3 3 3 2 2" xfId="0"/>
    <cellStyle name="Normal 61 6 2 2 2 3 3 3 3" xfId="0"/>
    <cellStyle name="Normal 61 6 2 2 2 3 3 4" xfId="0"/>
    <cellStyle name="Normal 61 6 2 2 2 3 3 4 2" xfId="0"/>
    <cellStyle name="Normal 61 6 2 2 2 3 3 5" xfId="0"/>
    <cellStyle name="Normal 61 6 2 2 2 3 4" xfId="0"/>
    <cellStyle name="Normal 61 6 2 2 2 3 4 2" xfId="0"/>
    <cellStyle name="Normal 61 6 2 2 2 3 4 2 2" xfId="0"/>
    <cellStyle name="Normal 61 6 2 2 2 3 4 3" xfId="0"/>
    <cellStyle name="Normal 61 6 2 2 2 3 5" xfId="0"/>
    <cellStyle name="Normal 61 6 2 2 2 3 5 2" xfId="0"/>
    <cellStyle name="Normal 61 6 2 2 2 3 5 2 2" xfId="0"/>
    <cellStyle name="Normal 61 6 2 2 2 3 5 3" xfId="0"/>
    <cellStyle name="Normal 61 6 2 2 2 3 6" xfId="0"/>
    <cellStyle name="Normal 61 6 2 2 2 3 6 2" xfId="0"/>
    <cellStyle name="Normal 61 6 2 2 2 3 7" xfId="0"/>
    <cellStyle name="Normal 61 6 2 2 2 4" xfId="0"/>
    <cellStyle name="Normal 61 6 2 2 2 4 2" xfId="0"/>
    <cellStyle name="Normal 61 6 2 2 2 4 2 2" xfId="0"/>
    <cellStyle name="Normal 61 6 2 2 2 4 2 2 2" xfId="0"/>
    <cellStyle name="Normal 61 6 2 2 2 4 2 2 2 2" xfId="0"/>
    <cellStyle name="Normal 61 6 2 2 2 4 2 2 3" xfId="0"/>
    <cellStyle name="Normal 61 6 2 2 2 4 2 3" xfId="0"/>
    <cellStyle name="Normal 61 6 2 2 2 4 2 3 2" xfId="0"/>
    <cellStyle name="Normal 61 6 2 2 2 4 2 3 2 2" xfId="0"/>
    <cellStyle name="Normal 61 6 2 2 2 4 2 3 3" xfId="0"/>
    <cellStyle name="Normal 61 6 2 2 2 4 2 4" xfId="0"/>
    <cellStyle name="Normal 61 6 2 2 2 4 2 4 2" xfId="0"/>
    <cellStyle name="Normal 61 6 2 2 2 4 2 5" xfId="0"/>
    <cellStyle name="Normal 61 6 2 2 2 4 3" xfId="0"/>
    <cellStyle name="Normal 61 6 2 2 2 4 3 2" xfId="0"/>
    <cellStyle name="Normal 61 6 2 2 2 4 3 2 2" xfId="0"/>
    <cellStyle name="Normal 61 6 2 2 2 4 3 3" xfId="0"/>
    <cellStyle name="Normal 61 6 2 2 2 4 4" xfId="0"/>
    <cellStyle name="Normal 61 6 2 2 2 4 4 2" xfId="0"/>
    <cellStyle name="Normal 61 6 2 2 2 4 4 2 2" xfId="0"/>
    <cellStyle name="Normal 61 6 2 2 2 4 4 3" xfId="0"/>
    <cellStyle name="Normal 61 6 2 2 2 4 5" xfId="0"/>
    <cellStyle name="Normal 61 6 2 2 2 4 5 2" xfId="0"/>
    <cellStyle name="Normal 61 6 2 2 2 4 6" xfId="0"/>
    <cellStyle name="Normal 61 6 2 2 2 5" xfId="0"/>
    <cellStyle name="Normal 61 6 2 2 2 5 2" xfId="0"/>
    <cellStyle name="Normal 61 6 2 2 2 5 2 2" xfId="0"/>
    <cellStyle name="Normal 61 6 2 2 2 5 2 2 2" xfId="0"/>
    <cellStyle name="Normal 61 6 2 2 2 5 2 3" xfId="0"/>
    <cellStyle name="Normal 61 6 2 2 2 5 3" xfId="0"/>
    <cellStyle name="Normal 61 6 2 2 2 5 3 2" xfId="0"/>
    <cellStyle name="Normal 61 6 2 2 2 5 3 2 2" xfId="0"/>
    <cellStyle name="Normal 61 6 2 2 2 5 3 3" xfId="0"/>
    <cellStyle name="Normal 61 6 2 2 2 5 4" xfId="0"/>
    <cellStyle name="Normal 61 6 2 2 2 5 4 2" xfId="0"/>
    <cellStyle name="Normal 61 6 2 2 2 5 5" xfId="0"/>
    <cellStyle name="Normal 61 6 2 2 2 6" xfId="0"/>
    <cellStyle name="Normal 61 6 2 2 2 6 2" xfId="0"/>
    <cellStyle name="Normal 61 6 2 2 2 6 2 2" xfId="0"/>
    <cellStyle name="Normal 61 6 2 2 2 6 3" xfId="0"/>
    <cellStyle name="Normal 61 6 2 2 2 7" xfId="0"/>
    <cellStyle name="Normal 61 6 2 2 2 7 2" xfId="0"/>
    <cellStyle name="Normal 61 6 2 2 2 7 2 2" xfId="0"/>
    <cellStyle name="Normal 61 6 2 2 2 7 3" xfId="0"/>
    <cellStyle name="Normal 61 6 2 2 2 8" xfId="0"/>
    <cellStyle name="Normal 61 6 2 2 2 8 2" xfId="0"/>
    <cellStyle name="Normal 61 6 2 2 2 9" xfId="0"/>
    <cellStyle name="Normal 61 6 2 2 3" xfId="0"/>
    <cellStyle name="Normal 61 6 2 2 3 2" xfId="0"/>
    <cellStyle name="Normal 61 6 2 2 3 2 2" xfId="0"/>
    <cellStyle name="Normal 61 6 2 2 3 2 2 2" xfId="0"/>
    <cellStyle name="Normal 61 6 2 2 3 2 2 2 2" xfId="0"/>
    <cellStyle name="Normal 61 6 2 2 3 2 2 2 2 2" xfId="0"/>
    <cellStyle name="Normal 61 6 2 2 3 2 2 2 2 2 2" xfId="0"/>
    <cellStyle name="Normal 61 6 2 2 3 2 2 2 2 3" xfId="0"/>
    <cellStyle name="Normal 61 6 2 2 3 2 2 2 3" xfId="0"/>
    <cellStyle name="Normal 61 6 2 2 3 2 2 2 3 2" xfId="0"/>
    <cellStyle name="Normal 61 6 2 2 3 2 2 2 3 2 2" xfId="0"/>
    <cellStyle name="Normal 61 6 2 2 3 2 2 2 3 3" xfId="0"/>
    <cellStyle name="Normal 61 6 2 2 3 2 2 2 4" xfId="0"/>
    <cellStyle name="Normal 61 6 2 2 3 2 2 2 4 2" xfId="0"/>
    <cellStyle name="Normal 61 6 2 2 3 2 2 2 5" xfId="0"/>
    <cellStyle name="Normal 61 6 2 2 3 2 2 3" xfId="0"/>
    <cellStyle name="Normal 61 6 2 2 3 2 2 3 2" xfId="0"/>
    <cellStyle name="Normal 61 6 2 2 3 2 2 3 2 2" xfId="0"/>
    <cellStyle name="Normal 61 6 2 2 3 2 2 3 3" xfId="0"/>
    <cellStyle name="Normal 61 6 2 2 3 2 2 4" xfId="0"/>
    <cellStyle name="Normal 61 6 2 2 3 2 2 4 2" xfId="0"/>
    <cellStyle name="Normal 61 6 2 2 3 2 2 4 2 2" xfId="0"/>
    <cellStyle name="Normal 61 6 2 2 3 2 2 4 3" xfId="0"/>
    <cellStyle name="Normal 61 6 2 2 3 2 2 5" xfId="0"/>
    <cellStyle name="Normal 61 6 2 2 3 2 2 5 2" xfId="0"/>
    <cellStyle name="Normal 61 6 2 2 3 2 2 6" xfId="0"/>
    <cellStyle name="Normal 61 6 2 2 3 2 3" xfId="0"/>
    <cellStyle name="Normal 61 6 2 2 3 2 3 2" xfId="0"/>
    <cellStyle name="Normal 61 6 2 2 3 2 3 2 2" xfId="0"/>
    <cellStyle name="Normal 61 6 2 2 3 2 3 2 2 2" xfId="0"/>
    <cellStyle name="Normal 61 6 2 2 3 2 3 2 3" xfId="0"/>
    <cellStyle name="Normal 61 6 2 2 3 2 3 3" xfId="0"/>
    <cellStyle name="Normal 61 6 2 2 3 2 3 3 2" xfId="0"/>
    <cellStyle name="Normal 61 6 2 2 3 2 3 3 2 2" xfId="0"/>
    <cellStyle name="Normal 61 6 2 2 3 2 3 3 3" xfId="0"/>
    <cellStyle name="Normal 61 6 2 2 3 2 3 4" xfId="0"/>
    <cellStyle name="Normal 61 6 2 2 3 2 3 4 2" xfId="0"/>
    <cellStyle name="Normal 61 6 2 2 3 2 3 5" xfId="0"/>
    <cellStyle name="Normal 61 6 2 2 3 2 4" xfId="0"/>
    <cellStyle name="Normal 61 6 2 2 3 2 4 2" xfId="0"/>
    <cellStyle name="Normal 61 6 2 2 3 2 4 2 2" xfId="0"/>
    <cellStyle name="Normal 61 6 2 2 3 2 4 3" xfId="0"/>
    <cellStyle name="Normal 61 6 2 2 3 2 5" xfId="0"/>
    <cellStyle name="Normal 61 6 2 2 3 2 5 2" xfId="0"/>
    <cellStyle name="Normal 61 6 2 2 3 2 5 2 2" xfId="0"/>
    <cellStyle name="Normal 61 6 2 2 3 2 5 3" xfId="0"/>
    <cellStyle name="Normal 61 6 2 2 3 2 6" xfId="0"/>
    <cellStyle name="Normal 61 6 2 2 3 2 6 2" xfId="0"/>
    <cellStyle name="Normal 61 6 2 2 3 2 7" xfId="0"/>
    <cellStyle name="Normal 61 6 2 2 3 3" xfId="0"/>
    <cellStyle name="Normal 61 6 2 2 3 3 2" xfId="0"/>
    <cellStyle name="Normal 61 6 2 2 3 3 2 2" xfId="0"/>
    <cellStyle name="Normal 61 6 2 2 3 3 2 2 2" xfId="0"/>
    <cellStyle name="Normal 61 6 2 2 3 3 2 2 2 2" xfId="0"/>
    <cellStyle name="Normal 61 6 2 2 3 3 2 2 3" xfId="0"/>
    <cellStyle name="Normal 61 6 2 2 3 3 2 3" xfId="0"/>
    <cellStyle name="Normal 61 6 2 2 3 3 2 3 2" xfId="0"/>
    <cellStyle name="Normal 61 6 2 2 3 3 2 3 2 2" xfId="0"/>
    <cellStyle name="Normal 61 6 2 2 3 3 2 3 3" xfId="0"/>
    <cellStyle name="Normal 61 6 2 2 3 3 2 4" xfId="0"/>
    <cellStyle name="Normal 61 6 2 2 3 3 2 4 2" xfId="0"/>
    <cellStyle name="Normal 61 6 2 2 3 3 2 5" xfId="0"/>
    <cellStyle name="Normal 61 6 2 2 3 3 3" xfId="0"/>
    <cellStyle name="Normal 61 6 2 2 3 3 3 2" xfId="0"/>
    <cellStyle name="Normal 61 6 2 2 3 3 3 2 2" xfId="0"/>
    <cellStyle name="Normal 61 6 2 2 3 3 3 3" xfId="0"/>
    <cellStyle name="Normal 61 6 2 2 3 3 4" xfId="0"/>
    <cellStyle name="Normal 61 6 2 2 3 3 4 2" xfId="0"/>
    <cellStyle name="Normal 61 6 2 2 3 3 4 2 2" xfId="0"/>
    <cellStyle name="Normal 61 6 2 2 3 3 4 3" xfId="0"/>
    <cellStyle name="Normal 61 6 2 2 3 3 5" xfId="0"/>
    <cellStyle name="Normal 61 6 2 2 3 3 5 2" xfId="0"/>
    <cellStyle name="Normal 61 6 2 2 3 3 6" xfId="0"/>
    <cellStyle name="Normal 61 6 2 2 3 4" xfId="0"/>
    <cellStyle name="Normal 61 6 2 2 3 4 2" xfId="0"/>
    <cellStyle name="Normal 61 6 2 2 3 4 2 2" xfId="0"/>
    <cellStyle name="Normal 61 6 2 2 3 4 2 2 2" xfId="0"/>
    <cellStyle name="Normal 61 6 2 2 3 4 2 3" xfId="0"/>
    <cellStyle name="Normal 61 6 2 2 3 4 3" xfId="0"/>
    <cellStyle name="Normal 61 6 2 2 3 4 3 2" xfId="0"/>
    <cellStyle name="Normal 61 6 2 2 3 4 3 2 2" xfId="0"/>
    <cellStyle name="Normal 61 6 2 2 3 4 3 3" xfId="0"/>
    <cellStyle name="Normal 61 6 2 2 3 4 4" xfId="0"/>
    <cellStyle name="Normal 61 6 2 2 3 4 4 2" xfId="0"/>
    <cellStyle name="Normal 61 6 2 2 3 4 5" xfId="0"/>
    <cellStyle name="Normal 61 6 2 2 3 5" xfId="0"/>
    <cellStyle name="Normal 61 6 2 2 3 5 2" xfId="0"/>
    <cellStyle name="Normal 61 6 2 2 3 5 2 2" xfId="0"/>
    <cellStyle name="Normal 61 6 2 2 3 5 3" xfId="0"/>
    <cellStyle name="Normal 61 6 2 2 3 6" xfId="0"/>
    <cellStyle name="Normal 61 6 2 2 3 6 2" xfId="0"/>
    <cellStyle name="Normal 61 6 2 2 3 6 2 2" xfId="0"/>
    <cellStyle name="Normal 61 6 2 2 3 6 3" xfId="0"/>
    <cellStyle name="Normal 61 6 2 2 3 7" xfId="0"/>
    <cellStyle name="Normal 61 6 2 2 3 7 2" xfId="0"/>
    <cellStyle name="Normal 61 6 2 2 3 8" xfId="0"/>
    <cellStyle name="Normal 61 6 2 2 4" xfId="0"/>
    <cellStyle name="Normal 61 6 2 2 4 2" xfId="0"/>
    <cellStyle name="Normal 61 6 2 2 4 2 2" xfId="0"/>
    <cellStyle name="Normal 61 6 2 2 4 2 2 2" xfId="0"/>
    <cellStyle name="Normal 61 6 2 2 4 2 2 2 2" xfId="0"/>
    <cellStyle name="Normal 61 6 2 2 4 2 2 2 2 2" xfId="0"/>
    <cellStyle name="Normal 61 6 2 2 4 2 2 2 3" xfId="0"/>
    <cellStyle name="Normal 61 6 2 2 4 2 2 3" xfId="0"/>
    <cellStyle name="Normal 61 6 2 2 4 2 2 3 2" xfId="0"/>
    <cellStyle name="Normal 61 6 2 2 4 2 2 3 2 2" xfId="0"/>
    <cellStyle name="Normal 61 6 2 2 4 2 2 3 3" xfId="0"/>
    <cellStyle name="Normal 61 6 2 2 4 2 2 4" xfId="0"/>
    <cellStyle name="Normal 61 6 2 2 4 2 2 4 2" xfId="0"/>
    <cellStyle name="Normal 61 6 2 2 4 2 2 5" xfId="0"/>
    <cellStyle name="Normal 61 6 2 2 4 2 3" xfId="0"/>
    <cellStyle name="Normal 61 6 2 2 4 2 3 2" xfId="0"/>
    <cellStyle name="Normal 61 6 2 2 4 2 3 2 2" xfId="0"/>
    <cellStyle name="Normal 61 6 2 2 4 2 3 3" xfId="0"/>
    <cellStyle name="Normal 61 6 2 2 4 2 4" xfId="0"/>
    <cellStyle name="Normal 61 6 2 2 4 2 4 2" xfId="0"/>
    <cellStyle name="Normal 61 6 2 2 4 2 4 2 2" xfId="0"/>
    <cellStyle name="Normal 61 6 2 2 4 2 4 3" xfId="0"/>
    <cellStyle name="Normal 61 6 2 2 4 2 5" xfId="0"/>
    <cellStyle name="Normal 61 6 2 2 4 2 5 2" xfId="0"/>
    <cellStyle name="Normal 61 6 2 2 4 2 6" xfId="0"/>
    <cellStyle name="Normal 61 6 2 2 4 3" xfId="0"/>
    <cellStyle name="Normal 61 6 2 2 4 3 2" xfId="0"/>
    <cellStyle name="Normal 61 6 2 2 4 3 2 2" xfId="0"/>
    <cellStyle name="Normal 61 6 2 2 4 3 2 2 2" xfId="0"/>
    <cellStyle name="Normal 61 6 2 2 4 3 2 3" xfId="0"/>
    <cellStyle name="Normal 61 6 2 2 4 3 3" xfId="0"/>
    <cellStyle name="Normal 61 6 2 2 4 3 3 2" xfId="0"/>
    <cellStyle name="Normal 61 6 2 2 4 3 3 2 2" xfId="0"/>
    <cellStyle name="Normal 61 6 2 2 4 3 3 3" xfId="0"/>
    <cellStyle name="Normal 61 6 2 2 4 3 4" xfId="0"/>
    <cellStyle name="Normal 61 6 2 2 4 3 4 2" xfId="0"/>
    <cellStyle name="Normal 61 6 2 2 4 3 5" xfId="0"/>
    <cellStyle name="Normal 61 6 2 2 4 4" xfId="0"/>
    <cellStyle name="Normal 61 6 2 2 4 4 2" xfId="0"/>
    <cellStyle name="Normal 61 6 2 2 4 4 2 2" xfId="0"/>
    <cellStyle name="Normal 61 6 2 2 4 4 3" xfId="0"/>
    <cellStyle name="Normal 61 6 2 2 4 5" xfId="0"/>
    <cellStyle name="Normal 61 6 2 2 4 5 2" xfId="0"/>
    <cellStyle name="Normal 61 6 2 2 4 5 2 2" xfId="0"/>
    <cellStyle name="Normal 61 6 2 2 4 5 3" xfId="0"/>
    <cellStyle name="Normal 61 6 2 2 4 6" xfId="0"/>
    <cellStyle name="Normal 61 6 2 2 4 6 2" xfId="0"/>
    <cellStyle name="Normal 61 6 2 2 4 7" xfId="0"/>
    <cellStyle name="Normal 61 6 2 2 5" xfId="0"/>
    <cellStyle name="Normal 61 6 2 2 5 2" xfId="0"/>
    <cellStyle name="Normal 61 6 2 2 5 2 2" xfId="0"/>
    <cellStyle name="Normal 61 6 2 2 5 2 2 2" xfId="0"/>
    <cellStyle name="Normal 61 6 2 2 5 2 2 2 2" xfId="0"/>
    <cellStyle name="Normal 61 6 2 2 5 2 2 3" xfId="0"/>
    <cellStyle name="Normal 61 6 2 2 5 2 3" xfId="0"/>
    <cellStyle name="Normal 61 6 2 2 5 2 3 2" xfId="0"/>
    <cellStyle name="Normal 61 6 2 2 5 2 3 2 2" xfId="0"/>
    <cellStyle name="Normal 61 6 2 2 5 2 3 3" xfId="0"/>
    <cellStyle name="Normal 61 6 2 2 5 2 4" xfId="0"/>
    <cellStyle name="Normal 61 6 2 2 5 2 4 2" xfId="0"/>
    <cellStyle name="Normal 61 6 2 2 5 2 5" xfId="0"/>
    <cellStyle name="Normal 61 6 2 2 5 3" xfId="0"/>
    <cellStyle name="Normal 61 6 2 2 5 3 2" xfId="0"/>
    <cellStyle name="Normal 61 6 2 2 5 3 2 2" xfId="0"/>
    <cellStyle name="Normal 61 6 2 2 5 3 3" xfId="0"/>
    <cellStyle name="Normal 61 6 2 2 5 4" xfId="0"/>
    <cellStyle name="Normal 61 6 2 2 5 4 2" xfId="0"/>
    <cellStyle name="Normal 61 6 2 2 5 4 2 2" xfId="0"/>
    <cellStyle name="Normal 61 6 2 2 5 4 3" xfId="0"/>
    <cellStyle name="Normal 61 6 2 2 5 5" xfId="0"/>
    <cellStyle name="Normal 61 6 2 2 5 5 2" xfId="0"/>
    <cellStyle name="Normal 61 6 2 2 5 6" xfId="0"/>
    <cellStyle name="Normal 61 6 2 2 6" xfId="0"/>
    <cellStyle name="Normal 61 6 2 2 6 2" xfId="0"/>
    <cellStyle name="Normal 61 6 2 2 6 2 2" xfId="0"/>
    <cellStyle name="Normal 61 6 2 2 6 2 2 2" xfId="0"/>
    <cellStyle name="Normal 61 6 2 2 6 2 3" xfId="0"/>
    <cellStyle name="Normal 61 6 2 2 6 3" xfId="0"/>
    <cellStyle name="Normal 61 6 2 2 6 3 2" xfId="0"/>
    <cellStyle name="Normal 61 6 2 2 6 3 2 2" xfId="0"/>
    <cellStyle name="Normal 61 6 2 2 6 3 3" xfId="0"/>
    <cellStyle name="Normal 61 6 2 2 6 4" xfId="0"/>
    <cellStyle name="Normal 61 6 2 2 6 4 2" xfId="0"/>
    <cellStyle name="Normal 61 6 2 2 6 5" xfId="0"/>
    <cellStyle name="Normal 61 6 2 2 7" xfId="0"/>
    <cellStyle name="Normal 61 6 2 2 7 2" xfId="0"/>
    <cellStyle name="Normal 61 6 2 2 7 2 2" xfId="0"/>
    <cellStyle name="Normal 61 6 2 2 7 3" xfId="0"/>
    <cellStyle name="Normal 61 6 2 2 8" xfId="0"/>
    <cellStyle name="Normal 61 6 2 2 8 2" xfId="0"/>
    <cellStyle name="Normal 61 6 2 2 8 2 2" xfId="0"/>
    <cellStyle name="Normal 61 6 2 2 8 3" xfId="0"/>
    <cellStyle name="Normal 61 6 2 2 9" xfId="0"/>
    <cellStyle name="Normal 61 6 2 2 9 2" xfId="0"/>
    <cellStyle name="Normal 61 6 2 3" xfId="0"/>
    <cellStyle name="Normal 61 6 2 3 10" xfId="0"/>
    <cellStyle name="Normal 61 6 2 3 2" xfId="0"/>
    <cellStyle name="Normal 61 6 2 3 2 2" xfId="0"/>
    <cellStyle name="Normal 61 6 2 3 2 2 2" xfId="0"/>
    <cellStyle name="Normal 61 6 2 3 2 2 2 2" xfId="0"/>
    <cellStyle name="Normal 61 6 2 3 2 2 2 2 2" xfId="0"/>
    <cellStyle name="Normal 61 6 2 3 2 2 2 2 2 2" xfId="0"/>
    <cellStyle name="Normal 61 6 2 3 2 2 2 2 2 2 2" xfId="0"/>
    <cellStyle name="Normal 61 6 2 3 2 2 2 2 2 2 2 2" xfId="0"/>
    <cellStyle name="Normal 61 6 2 3 2 2 2 2 2 2 3" xfId="0"/>
    <cellStyle name="Normal 61 6 2 3 2 2 2 2 2 3" xfId="0"/>
    <cellStyle name="Normal 61 6 2 3 2 2 2 2 2 3 2" xfId="0"/>
    <cellStyle name="Normal 61 6 2 3 2 2 2 2 2 3 2 2" xfId="0"/>
    <cellStyle name="Normal 61 6 2 3 2 2 2 2 2 3 3" xfId="0"/>
    <cellStyle name="Normal 61 6 2 3 2 2 2 2 2 4" xfId="0"/>
    <cellStyle name="Normal 61 6 2 3 2 2 2 2 2 4 2" xfId="0"/>
    <cellStyle name="Normal 61 6 2 3 2 2 2 2 2 5" xfId="0"/>
    <cellStyle name="Normal 61 6 2 3 2 2 2 2 3" xfId="0"/>
    <cellStyle name="Normal 61 6 2 3 2 2 2 2 3 2" xfId="0"/>
    <cellStyle name="Normal 61 6 2 3 2 2 2 2 3 2 2" xfId="0"/>
    <cellStyle name="Normal 61 6 2 3 2 2 2 2 3 3" xfId="0"/>
    <cellStyle name="Normal 61 6 2 3 2 2 2 2 4" xfId="0"/>
    <cellStyle name="Normal 61 6 2 3 2 2 2 2 4 2" xfId="0"/>
    <cellStyle name="Normal 61 6 2 3 2 2 2 2 4 2 2" xfId="0"/>
    <cellStyle name="Normal 61 6 2 3 2 2 2 2 4 3" xfId="0"/>
    <cellStyle name="Normal 61 6 2 3 2 2 2 2 5" xfId="0"/>
    <cellStyle name="Normal 61 6 2 3 2 2 2 2 5 2" xfId="0"/>
    <cellStyle name="Normal 61 6 2 3 2 2 2 2 6" xfId="0"/>
    <cellStyle name="Normal 61 6 2 3 2 2 2 3" xfId="0"/>
    <cellStyle name="Normal 61 6 2 3 2 2 2 3 2" xfId="0"/>
    <cellStyle name="Normal 61 6 2 3 2 2 2 3 2 2" xfId="0"/>
    <cellStyle name="Normal 61 6 2 3 2 2 2 3 2 2 2" xfId="0"/>
    <cellStyle name="Normal 61 6 2 3 2 2 2 3 2 3" xfId="0"/>
    <cellStyle name="Normal 61 6 2 3 2 2 2 3 3" xfId="0"/>
    <cellStyle name="Normal 61 6 2 3 2 2 2 3 3 2" xfId="0"/>
    <cellStyle name="Normal 61 6 2 3 2 2 2 3 3 2 2" xfId="0"/>
    <cellStyle name="Normal 61 6 2 3 2 2 2 3 3 3" xfId="0"/>
    <cellStyle name="Normal 61 6 2 3 2 2 2 3 4" xfId="0"/>
    <cellStyle name="Normal 61 6 2 3 2 2 2 3 4 2" xfId="0"/>
    <cellStyle name="Normal 61 6 2 3 2 2 2 3 5" xfId="0"/>
    <cellStyle name="Normal 61 6 2 3 2 2 2 4" xfId="0"/>
    <cellStyle name="Normal 61 6 2 3 2 2 2 4 2" xfId="0"/>
    <cellStyle name="Normal 61 6 2 3 2 2 2 4 2 2" xfId="0"/>
    <cellStyle name="Normal 61 6 2 3 2 2 2 4 3" xfId="0"/>
    <cellStyle name="Normal 61 6 2 3 2 2 2 5" xfId="0"/>
    <cellStyle name="Normal 61 6 2 3 2 2 2 5 2" xfId="0"/>
    <cellStyle name="Normal 61 6 2 3 2 2 2 5 2 2" xfId="0"/>
    <cellStyle name="Normal 61 6 2 3 2 2 2 5 3" xfId="0"/>
    <cellStyle name="Normal 61 6 2 3 2 2 2 6" xfId="0"/>
    <cellStyle name="Normal 61 6 2 3 2 2 2 6 2" xfId="0"/>
    <cellStyle name="Normal 61 6 2 3 2 2 2 7" xfId="0"/>
    <cellStyle name="Normal 61 6 2 3 2 2 3" xfId="0"/>
    <cellStyle name="Normal 61 6 2 3 2 2 3 2" xfId="0"/>
    <cellStyle name="Normal 61 6 2 3 2 2 3 2 2" xfId="0"/>
    <cellStyle name="Normal 61 6 2 3 2 2 3 2 2 2" xfId="0"/>
    <cellStyle name="Normal 61 6 2 3 2 2 3 2 2 2 2" xfId="0"/>
    <cellStyle name="Normal 61 6 2 3 2 2 3 2 2 3" xfId="0"/>
    <cellStyle name="Normal 61 6 2 3 2 2 3 2 3" xfId="0"/>
    <cellStyle name="Normal 61 6 2 3 2 2 3 2 3 2" xfId="0"/>
    <cellStyle name="Normal 61 6 2 3 2 2 3 2 3 2 2" xfId="0"/>
    <cellStyle name="Normal 61 6 2 3 2 2 3 2 3 3" xfId="0"/>
    <cellStyle name="Normal 61 6 2 3 2 2 3 2 4" xfId="0"/>
    <cellStyle name="Normal 61 6 2 3 2 2 3 2 4 2" xfId="0"/>
    <cellStyle name="Normal 61 6 2 3 2 2 3 2 5" xfId="0"/>
    <cellStyle name="Normal 61 6 2 3 2 2 3 3" xfId="0"/>
    <cellStyle name="Normal 61 6 2 3 2 2 3 3 2" xfId="0"/>
    <cellStyle name="Normal 61 6 2 3 2 2 3 3 2 2" xfId="0"/>
    <cellStyle name="Normal 61 6 2 3 2 2 3 3 3" xfId="0"/>
    <cellStyle name="Normal 61 6 2 3 2 2 3 4" xfId="0"/>
    <cellStyle name="Normal 61 6 2 3 2 2 3 4 2" xfId="0"/>
    <cellStyle name="Normal 61 6 2 3 2 2 3 4 2 2" xfId="0"/>
    <cellStyle name="Normal 61 6 2 3 2 2 3 4 3" xfId="0"/>
    <cellStyle name="Normal 61 6 2 3 2 2 3 5" xfId="0"/>
    <cellStyle name="Normal 61 6 2 3 2 2 3 5 2" xfId="0"/>
    <cellStyle name="Normal 61 6 2 3 2 2 3 6" xfId="0"/>
    <cellStyle name="Normal 61 6 2 3 2 2 4" xfId="0"/>
    <cellStyle name="Normal 61 6 2 3 2 2 4 2" xfId="0"/>
    <cellStyle name="Normal 61 6 2 3 2 2 4 2 2" xfId="0"/>
    <cellStyle name="Normal 61 6 2 3 2 2 4 2 2 2" xfId="0"/>
    <cellStyle name="Normal 61 6 2 3 2 2 4 2 3" xfId="0"/>
    <cellStyle name="Normal 61 6 2 3 2 2 4 3" xfId="0"/>
    <cellStyle name="Normal 61 6 2 3 2 2 4 3 2" xfId="0"/>
    <cellStyle name="Normal 61 6 2 3 2 2 4 3 2 2" xfId="0"/>
    <cellStyle name="Normal 61 6 2 3 2 2 4 3 3" xfId="0"/>
    <cellStyle name="Normal 61 6 2 3 2 2 4 4" xfId="0"/>
    <cellStyle name="Normal 61 6 2 3 2 2 4 4 2" xfId="0"/>
    <cellStyle name="Normal 61 6 2 3 2 2 4 5" xfId="0"/>
    <cellStyle name="Normal 61 6 2 3 2 2 5" xfId="0"/>
    <cellStyle name="Normal 61 6 2 3 2 2 5 2" xfId="0"/>
    <cellStyle name="Normal 61 6 2 3 2 2 5 2 2" xfId="0"/>
    <cellStyle name="Normal 61 6 2 3 2 2 5 3" xfId="0"/>
    <cellStyle name="Normal 61 6 2 3 2 2 6" xfId="0"/>
    <cellStyle name="Normal 61 6 2 3 2 2 6 2" xfId="0"/>
    <cellStyle name="Normal 61 6 2 3 2 2 6 2 2" xfId="0"/>
    <cellStyle name="Normal 61 6 2 3 2 2 6 3" xfId="0"/>
    <cellStyle name="Normal 61 6 2 3 2 2 7" xfId="0"/>
    <cellStyle name="Normal 61 6 2 3 2 2 7 2" xfId="0"/>
    <cellStyle name="Normal 61 6 2 3 2 2 8" xfId="0"/>
    <cellStyle name="Normal 61 6 2 3 2 3" xfId="0"/>
    <cellStyle name="Normal 61 6 2 3 2 3 2" xfId="0"/>
    <cellStyle name="Normal 61 6 2 3 2 3 2 2" xfId="0"/>
    <cellStyle name="Normal 61 6 2 3 2 3 2 2 2" xfId="0"/>
    <cellStyle name="Normal 61 6 2 3 2 3 2 2 2 2" xfId="0"/>
    <cellStyle name="Normal 61 6 2 3 2 3 2 2 2 2 2" xfId="0"/>
    <cellStyle name="Normal 61 6 2 3 2 3 2 2 2 3" xfId="0"/>
    <cellStyle name="Normal 61 6 2 3 2 3 2 2 3" xfId="0"/>
    <cellStyle name="Normal 61 6 2 3 2 3 2 2 3 2" xfId="0"/>
    <cellStyle name="Normal 61 6 2 3 2 3 2 2 3 2 2" xfId="0"/>
    <cellStyle name="Normal 61 6 2 3 2 3 2 2 3 3" xfId="0"/>
    <cellStyle name="Normal 61 6 2 3 2 3 2 2 4" xfId="0"/>
    <cellStyle name="Normal 61 6 2 3 2 3 2 2 4 2" xfId="0"/>
    <cellStyle name="Normal 61 6 2 3 2 3 2 2 5" xfId="0"/>
    <cellStyle name="Normal 61 6 2 3 2 3 2 3" xfId="0"/>
    <cellStyle name="Normal 61 6 2 3 2 3 2 3 2" xfId="0"/>
    <cellStyle name="Normal 61 6 2 3 2 3 2 3 2 2" xfId="0"/>
    <cellStyle name="Normal 61 6 2 3 2 3 2 3 3" xfId="0"/>
    <cellStyle name="Normal 61 6 2 3 2 3 2 4" xfId="0"/>
    <cellStyle name="Normal 61 6 2 3 2 3 2 4 2" xfId="0"/>
    <cellStyle name="Normal 61 6 2 3 2 3 2 4 2 2" xfId="0"/>
    <cellStyle name="Normal 61 6 2 3 2 3 2 4 3" xfId="0"/>
    <cellStyle name="Normal 61 6 2 3 2 3 2 5" xfId="0"/>
    <cellStyle name="Normal 61 6 2 3 2 3 2 5 2" xfId="0"/>
    <cellStyle name="Normal 61 6 2 3 2 3 2 6" xfId="0"/>
    <cellStyle name="Normal 61 6 2 3 2 3 3" xfId="0"/>
    <cellStyle name="Normal 61 6 2 3 2 3 3 2" xfId="0"/>
    <cellStyle name="Normal 61 6 2 3 2 3 3 2 2" xfId="0"/>
    <cellStyle name="Normal 61 6 2 3 2 3 3 2 2 2" xfId="0"/>
    <cellStyle name="Normal 61 6 2 3 2 3 3 2 3" xfId="0"/>
    <cellStyle name="Normal 61 6 2 3 2 3 3 3" xfId="0"/>
    <cellStyle name="Normal 61 6 2 3 2 3 3 3 2" xfId="0"/>
    <cellStyle name="Normal 61 6 2 3 2 3 3 3 2 2" xfId="0"/>
    <cellStyle name="Normal 61 6 2 3 2 3 3 3 3" xfId="0"/>
    <cellStyle name="Normal 61 6 2 3 2 3 3 4" xfId="0"/>
    <cellStyle name="Normal 61 6 2 3 2 3 3 4 2" xfId="0"/>
    <cellStyle name="Normal 61 6 2 3 2 3 3 5" xfId="0"/>
    <cellStyle name="Normal 61 6 2 3 2 3 4" xfId="0"/>
    <cellStyle name="Normal 61 6 2 3 2 3 4 2" xfId="0"/>
    <cellStyle name="Normal 61 6 2 3 2 3 4 2 2" xfId="0"/>
    <cellStyle name="Normal 61 6 2 3 2 3 4 3" xfId="0"/>
    <cellStyle name="Normal 61 6 2 3 2 3 5" xfId="0"/>
    <cellStyle name="Normal 61 6 2 3 2 3 5 2" xfId="0"/>
    <cellStyle name="Normal 61 6 2 3 2 3 5 2 2" xfId="0"/>
    <cellStyle name="Normal 61 6 2 3 2 3 5 3" xfId="0"/>
    <cellStyle name="Normal 61 6 2 3 2 3 6" xfId="0"/>
    <cellStyle name="Normal 61 6 2 3 2 3 6 2" xfId="0"/>
    <cellStyle name="Normal 61 6 2 3 2 3 7" xfId="0"/>
    <cellStyle name="Normal 61 6 2 3 2 4" xfId="0"/>
    <cellStyle name="Normal 61 6 2 3 2 4 2" xfId="0"/>
    <cellStyle name="Normal 61 6 2 3 2 4 2 2" xfId="0"/>
    <cellStyle name="Normal 61 6 2 3 2 4 2 2 2" xfId="0"/>
    <cellStyle name="Normal 61 6 2 3 2 4 2 2 2 2" xfId="0"/>
    <cellStyle name="Normal 61 6 2 3 2 4 2 2 3" xfId="0"/>
    <cellStyle name="Normal 61 6 2 3 2 4 2 3" xfId="0"/>
    <cellStyle name="Normal 61 6 2 3 2 4 2 3 2" xfId="0"/>
    <cellStyle name="Normal 61 6 2 3 2 4 2 3 2 2" xfId="0"/>
    <cellStyle name="Normal 61 6 2 3 2 4 2 3 3" xfId="0"/>
    <cellStyle name="Normal 61 6 2 3 2 4 2 4" xfId="0"/>
    <cellStyle name="Normal 61 6 2 3 2 4 2 4 2" xfId="0"/>
    <cellStyle name="Normal 61 6 2 3 2 4 2 5" xfId="0"/>
    <cellStyle name="Normal 61 6 2 3 2 4 3" xfId="0"/>
    <cellStyle name="Normal 61 6 2 3 2 4 3 2" xfId="0"/>
    <cellStyle name="Normal 61 6 2 3 2 4 3 2 2" xfId="0"/>
    <cellStyle name="Normal 61 6 2 3 2 4 3 3" xfId="0"/>
    <cellStyle name="Normal 61 6 2 3 2 4 4" xfId="0"/>
    <cellStyle name="Normal 61 6 2 3 2 4 4 2" xfId="0"/>
    <cellStyle name="Normal 61 6 2 3 2 4 4 2 2" xfId="0"/>
    <cellStyle name="Normal 61 6 2 3 2 4 4 3" xfId="0"/>
    <cellStyle name="Normal 61 6 2 3 2 4 5" xfId="0"/>
    <cellStyle name="Normal 61 6 2 3 2 4 5 2" xfId="0"/>
    <cellStyle name="Normal 61 6 2 3 2 4 6" xfId="0"/>
    <cellStyle name="Normal 61 6 2 3 2 5" xfId="0"/>
    <cellStyle name="Normal 61 6 2 3 2 5 2" xfId="0"/>
    <cellStyle name="Normal 61 6 2 3 2 5 2 2" xfId="0"/>
    <cellStyle name="Normal 61 6 2 3 2 5 2 2 2" xfId="0"/>
    <cellStyle name="Normal 61 6 2 3 2 5 2 3" xfId="0"/>
    <cellStyle name="Normal 61 6 2 3 2 5 3" xfId="0"/>
    <cellStyle name="Normal 61 6 2 3 2 5 3 2" xfId="0"/>
    <cellStyle name="Normal 61 6 2 3 2 5 3 2 2" xfId="0"/>
    <cellStyle name="Normal 61 6 2 3 2 5 3 3" xfId="0"/>
    <cellStyle name="Normal 61 6 2 3 2 5 4" xfId="0"/>
    <cellStyle name="Normal 61 6 2 3 2 5 4 2" xfId="0"/>
    <cellStyle name="Normal 61 6 2 3 2 5 5" xfId="0"/>
    <cellStyle name="Normal 61 6 2 3 2 6" xfId="0"/>
    <cellStyle name="Normal 61 6 2 3 2 6 2" xfId="0"/>
    <cellStyle name="Normal 61 6 2 3 2 6 2 2" xfId="0"/>
    <cellStyle name="Normal 61 6 2 3 2 6 3" xfId="0"/>
    <cellStyle name="Normal 61 6 2 3 2 7" xfId="0"/>
    <cellStyle name="Normal 61 6 2 3 2 7 2" xfId="0"/>
    <cellStyle name="Normal 61 6 2 3 2 7 2 2" xfId="0"/>
    <cellStyle name="Normal 61 6 2 3 2 7 3" xfId="0"/>
    <cellStyle name="Normal 61 6 2 3 2 8" xfId="0"/>
    <cellStyle name="Normal 61 6 2 3 2 8 2" xfId="0"/>
    <cellStyle name="Normal 61 6 2 3 2 9" xfId="0"/>
    <cellStyle name="Normal 61 6 2 3 3" xfId="0"/>
    <cellStyle name="Normal 61 6 2 3 3 2" xfId="0"/>
    <cellStyle name="Normal 61 6 2 3 3 2 2" xfId="0"/>
    <cellStyle name="Normal 61 6 2 3 3 2 2 2" xfId="0"/>
    <cellStyle name="Normal 61 6 2 3 3 2 2 2 2" xfId="0"/>
    <cellStyle name="Normal 61 6 2 3 3 2 2 2 2 2" xfId="0"/>
    <cellStyle name="Normal 61 6 2 3 3 2 2 2 2 2 2" xfId="0"/>
    <cellStyle name="Normal 61 6 2 3 3 2 2 2 2 3" xfId="0"/>
    <cellStyle name="Normal 61 6 2 3 3 2 2 2 3" xfId="0"/>
    <cellStyle name="Normal 61 6 2 3 3 2 2 2 3 2" xfId="0"/>
    <cellStyle name="Normal 61 6 2 3 3 2 2 2 3 2 2" xfId="0"/>
    <cellStyle name="Normal 61 6 2 3 3 2 2 2 3 3" xfId="0"/>
    <cellStyle name="Normal 61 6 2 3 3 2 2 2 4" xfId="0"/>
    <cellStyle name="Normal 61 6 2 3 3 2 2 2 4 2" xfId="0"/>
    <cellStyle name="Normal 61 6 2 3 3 2 2 2 5" xfId="0"/>
    <cellStyle name="Normal 61 6 2 3 3 2 2 3" xfId="0"/>
    <cellStyle name="Normal 61 6 2 3 3 2 2 3 2" xfId="0"/>
    <cellStyle name="Normal 61 6 2 3 3 2 2 3 2 2" xfId="0"/>
    <cellStyle name="Normal 61 6 2 3 3 2 2 3 3" xfId="0"/>
    <cellStyle name="Normal 61 6 2 3 3 2 2 4" xfId="0"/>
    <cellStyle name="Normal 61 6 2 3 3 2 2 4 2" xfId="0"/>
    <cellStyle name="Normal 61 6 2 3 3 2 2 4 2 2" xfId="0"/>
    <cellStyle name="Normal 61 6 2 3 3 2 2 4 3" xfId="0"/>
    <cellStyle name="Normal 61 6 2 3 3 2 2 5" xfId="0"/>
    <cellStyle name="Normal 61 6 2 3 3 2 2 5 2" xfId="0"/>
    <cellStyle name="Normal 61 6 2 3 3 2 2 6" xfId="0"/>
    <cellStyle name="Normal 61 6 2 3 3 2 3" xfId="0"/>
    <cellStyle name="Normal 61 6 2 3 3 2 3 2" xfId="0"/>
    <cellStyle name="Normal 61 6 2 3 3 2 3 2 2" xfId="0"/>
    <cellStyle name="Normal 61 6 2 3 3 2 3 2 2 2" xfId="0"/>
    <cellStyle name="Normal 61 6 2 3 3 2 3 2 3" xfId="0"/>
    <cellStyle name="Normal 61 6 2 3 3 2 3 3" xfId="0"/>
    <cellStyle name="Normal 61 6 2 3 3 2 3 3 2" xfId="0"/>
    <cellStyle name="Normal 61 6 2 3 3 2 3 3 2 2" xfId="0"/>
    <cellStyle name="Normal 61 6 2 3 3 2 3 3 3" xfId="0"/>
    <cellStyle name="Normal 61 6 2 3 3 2 3 4" xfId="0"/>
    <cellStyle name="Normal 61 6 2 3 3 2 3 4 2" xfId="0"/>
    <cellStyle name="Normal 61 6 2 3 3 2 3 5" xfId="0"/>
    <cellStyle name="Normal 61 6 2 3 3 2 4" xfId="0"/>
    <cellStyle name="Normal 61 6 2 3 3 2 4 2" xfId="0"/>
    <cellStyle name="Normal 61 6 2 3 3 2 4 2 2" xfId="0"/>
    <cellStyle name="Normal 61 6 2 3 3 2 4 3" xfId="0"/>
    <cellStyle name="Normal 61 6 2 3 3 2 5" xfId="0"/>
    <cellStyle name="Normal 61 6 2 3 3 2 5 2" xfId="0"/>
    <cellStyle name="Normal 61 6 2 3 3 2 5 2 2" xfId="0"/>
    <cellStyle name="Normal 61 6 2 3 3 2 5 3" xfId="0"/>
    <cellStyle name="Normal 61 6 2 3 3 2 6" xfId="0"/>
    <cellStyle name="Normal 61 6 2 3 3 2 6 2" xfId="0"/>
    <cellStyle name="Normal 61 6 2 3 3 2 7" xfId="0"/>
    <cellStyle name="Normal 61 6 2 3 3 3" xfId="0"/>
    <cellStyle name="Normal 61 6 2 3 3 3 2" xfId="0"/>
    <cellStyle name="Normal 61 6 2 3 3 3 2 2" xfId="0"/>
    <cellStyle name="Normal 61 6 2 3 3 3 2 2 2" xfId="0"/>
    <cellStyle name="Normal 61 6 2 3 3 3 2 2 2 2" xfId="0"/>
    <cellStyle name="Normal 61 6 2 3 3 3 2 2 3" xfId="0"/>
    <cellStyle name="Normal 61 6 2 3 3 3 2 3" xfId="0"/>
    <cellStyle name="Normal 61 6 2 3 3 3 2 3 2" xfId="0"/>
    <cellStyle name="Normal 61 6 2 3 3 3 2 3 2 2" xfId="0"/>
    <cellStyle name="Normal 61 6 2 3 3 3 2 3 3" xfId="0"/>
    <cellStyle name="Normal 61 6 2 3 3 3 2 4" xfId="0"/>
    <cellStyle name="Normal 61 6 2 3 3 3 2 4 2" xfId="0"/>
    <cellStyle name="Normal 61 6 2 3 3 3 2 5" xfId="0"/>
    <cellStyle name="Normal 61 6 2 3 3 3 3" xfId="0"/>
    <cellStyle name="Normal 61 6 2 3 3 3 3 2" xfId="0"/>
    <cellStyle name="Normal 61 6 2 3 3 3 3 2 2" xfId="0"/>
    <cellStyle name="Normal 61 6 2 3 3 3 3 3" xfId="0"/>
    <cellStyle name="Normal 61 6 2 3 3 3 4" xfId="0"/>
    <cellStyle name="Normal 61 6 2 3 3 3 4 2" xfId="0"/>
    <cellStyle name="Normal 61 6 2 3 3 3 4 2 2" xfId="0"/>
    <cellStyle name="Normal 61 6 2 3 3 3 4 3" xfId="0"/>
    <cellStyle name="Normal 61 6 2 3 3 3 5" xfId="0"/>
    <cellStyle name="Normal 61 6 2 3 3 3 5 2" xfId="0"/>
    <cellStyle name="Normal 61 6 2 3 3 3 6" xfId="0"/>
    <cellStyle name="Normal 61 6 2 3 3 4" xfId="0"/>
    <cellStyle name="Normal 61 6 2 3 3 4 2" xfId="0"/>
    <cellStyle name="Normal 61 6 2 3 3 4 2 2" xfId="0"/>
    <cellStyle name="Normal 61 6 2 3 3 4 2 2 2" xfId="0"/>
    <cellStyle name="Normal 61 6 2 3 3 4 2 3" xfId="0"/>
    <cellStyle name="Normal 61 6 2 3 3 4 3" xfId="0"/>
    <cellStyle name="Normal 61 6 2 3 3 4 3 2" xfId="0"/>
    <cellStyle name="Normal 61 6 2 3 3 4 3 2 2" xfId="0"/>
    <cellStyle name="Normal 61 6 2 3 3 4 3 3" xfId="0"/>
    <cellStyle name="Normal 61 6 2 3 3 4 4" xfId="0"/>
    <cellStyle name="Normal 61 6 2 3 3 4 4 2" xfId="0"/>
    <cellStyle name="Normal 61 6 2 3 3 4 5" xfId="0"/>
    <cellStyle name="Normal 61 6 2 3 3 5" xfId="0"/>
    <cellStyle name="Normal 61 6 2 3 3 5 2" xfId="0"/>
    <cellStyle name="Normal 61 6 2 3 3 5 2 2" xfId="0"/>
    <cellStyle name="Normal 61 6 2 3 3 5 3" xfId="0"/>
    <cellStyle name="Normal 61 6 2 3 3 6" xfId="0"/>
    <cellStyle name="Normal 61 6 2 3 3 6 2" xfId="0"/>
    <cellStyle name="Normal 61 6 2 3 3 6 2 2" xfId="0"/>
    <cellStyle name="Normal 61 6 2 3 3 6 3" xfId="0"/>
    <cellStyle name="Normal 61 6 2 3 3 7" xfId="0"/>
    <cellStyle name="Normal 61 6 2 3 3 7 2" xfId="0"/>
    <cellStyle name="Normal 61 6 2 3 3 8" xfId="0"/>
    <cellStyle name="Normal 61 6 2 3 4" xfId="0"/>
    <cellStyle name="Normal 61 6 2 3 4 2" xfId="0"/>
    <cellStyle name="Normal 61 6 2 3 4 2 2" xfId="0"/>
    <cellStyle name="Normal 61 6 2 3 4 2 2 2" xfId="0"/>
    <cellStyle name="Normal 61 6 2 3 4 2 2 2 2" xfId="0"/>
    <cellStyle name="Normal 61 6 2 3 4 2 2 2 2 2" xfId="0"/>
    <cellStyle name="Normal 61 6 2 3 4 2 2 2 3" xfId="0"/>
    <cellStyle name="Normal 61 6 2 3 4 2 2 3" xfId="0"/>
    <cellStyle name="Normal 61 6 2 3 4 2 2 3 2" xfId="0"/>
    <cellStyle name="Normal 61 6 2 3 4 2 2 3 2 2" xfId="0"/>
    <cellStyle name="Normal 61 6 2 3 4 2 2 3 3" xfId="0"/>
    <cellStyle name="Normal 61 6 2 3 4 2 2 4" xfId="0"/>
    <cellStyle name="Normal 61 6 2 3 4 2 2 4 2" xfId="0"/>
    <cellStyle name="Normal 61 6 2 3 4 2 2 5" xfId="0"/>
    <cellStyle name="Normal 61 6 2 3 4 2 3" xfId="0"/>
    <cellStyle name="Normal 61 6 2 3 4 2 3 2" xfId="0"/>
    <cellStyle name="Normal 61 6 2 3 4 2 3 2 2" xfId="0"/>
    <cellStyle name="Normal 61 6 2 3 4 2 3 3" xfId="0"/>
    <cellStyle name="Normal 61 6 2 3 4 2 4" xfId="0"/>
    <cellStyle name="Normal 61 6 2 3 4 2 4 2" xfId="0"/>
    <cellStyle name="Normal 61 6 2 3 4 2 4 2 2" xfId="0"/>
    <cellStyle name="Normal 61 6 2 3 4 2 4 3" xfId="0"/>
    <cellStyle name="Normal 61 6 2 3 4 2 5" xfId="0"/>
    <cellStyle name="Normal 61 6 2 3 4 2 5 2" xfId="0"/>
    <cellStyle name="Normal 61 6 2 3 4 2 6" xfId="0"/>
    <cellStyle name="Normal 61 6 2 3 4 3" xfId="0"/>
    <cellStyle name="Normal 61 6 2 3 4 3 2" xfId="0"/>
    <cellStyle name="Normal 61 6 2 3 4 3 2 2" xfId="0"/>
    <cellStyle name="Normal 61 6 2 3 4 3 2 2 2" xfId="0"/>
    <cellStyle name="Normal 61 6 2 3 4 3 2 3" xfId="0"/>
    <cellStyle name="Normal 61 6 2 3 4 3 3" xfId="0"/>
    <cellStyle name="Normal 61 6 2 3 4 3 3 2" xfId="0"/>
    <cellStyle name="Normal 61 6 2 3 4 3 3 2 2" xfId="0"/>
    <cellStyle name="Normal 61 6 2 3 4 3 3 3" xfId="0"/>
    <cellStyle name="Normal 61 6 2 3 4 3 4" xfId="0"/>
    <cellStyle name="Normal 61 6 2 3 4 3 4 2" xfId="0"/>
    <cellStyle name="Normal 61 6 2 3 4 3 5" xfId="0"/>
    <cellStyle name="Normal 61 6 2 3 4 4" xfId="0"/>
    <cellStyle name="Normal 61 6 2 3 4 4 2" xfId="0"/>
    <cellStyle name="Normal 61 6 2 3 4 4 2 2" xfId="0"/>
    <cellStyle name="Normal 61 6 2 3 4 4 3" xfId="0"/>
    <cellStyle name="Normal 61 6 2 3 4 5" xfId="0"/>
    <cellStyle name="Normal 61 6 2 3 4 5 2" xfId="0"/>
    <cellStyle name="Normal 61 6 2 3 4 5 2 2" xfId="0"/>
    <cellStyle name="Normal 61 6 2 3 4 5 3" xfId="0"/>
    <cellStyle name="Normal 61 6 2 3 4 6" xfId="0"/>
    <cellStyle name="Normal 61 6 2 3 4 6 2" xfId="0"/>
    <cellStyle name="Normal 61 6 2 3 4 7" xfId="0"/>
    <cellStyle name="Normal 61 6 2 3 5" xfId="0"/>
    <cellStyle name="Normal 61 6 2 3 5 2" xfId="0"/>
    <cellStyle name="Normal 61 6 2 3 5 2 2" xfId="0"/>
    <cellStyle name="Normal 61 6 2 3 5 2 2 2" xfId="0"/>
    <cellStyle name="Normal 61 6 2 3 5 2 2 2 2" xfId="0"/>
    <cellStyle name="Normal 61 6 2 3 5 2 2 3" xfId="0"/>
    <cellStyle name="Normal 61 6 2 3 5 2 3" xfId="0"/>
    <cellStyle name="Normal 61 6 2 3 5 2 3 2" xfId="0"/>
    <cellStyle name="Normal 61 6 2 3 5 2 3 2 2" xfId="0"/>
    <cellStyle name="Normal 61 6 2 3 5 2 3 3" xfId="0"/>
    <cellStyle name="Normal 61 6 2 3 5 2 4" xfId="0"/>
    <cellStyle name="Normal 61 6 2 3 5 2 4 2" xfId="0"/>
    <cellStyle name="Normal 61 6 2 3 5 2 5" xfId="0"/>
    <cellStyle name="Normal 61 6 2 3 5 3" xfId="0"/>
    <cellStyle name="Normal 61 6 2 3 5 3 2" xfId="0"/>
    <cellStyle name="Normal 61 6 2 3 5 3 2 2" xfId="0"/>
    <cellStyle name="Normal 61 6 2 3 5 3 3" xfId="0"/>
    <cellStyle name="Normal 61 6 2 3 5 4" xfId="0"/>
    <cellStyle name="Normal 61 6 2 3 5 4 2" xfId="0"/>
    <cellStyle name="Normal 61 6 2 3 5 4 2 2" xfId="0"/>
    <cellStyle name="Normal 61 6 2 3 5 4 3" xfId="0"/>
    <cellStyle name="Normal 61 6 2 3 5 5" xfId="0"/>
    <cellStyle name="Normal 61 6 2 3 5 5 2" xfId="0"/>
    <cellStyle name="Normal 61 6 2 3 5 6" xfId="0"/>
    <cellStyle name="Normal 61 6 2 3 6" xfId="0"/>
    <cellStyle name="Normal 61 6 2 3 6 2" xfId="0"/>
    <cellStyle name="Normal 61 6 2 3 6 2 2" xfId="0"/>
    <cellStyle name="Normal 61 6 2 3 6 2 2 2" xfId="0"/>
    <cellStyle name="Normal 61 6 2 3 6 2 3" xfId="0"/>
    <cellStyle name="Normal 61 6 2 3 6 3" xfId="0"/>
    <cellStyle name="Normal 61 6 2 3 6 3 2" xfId="0"/>
    <cellStyle name="Normal 61 6 2 3 6 3 2 2" xfId="0"/>
    <cellStyle name="Normal 61 6 2 3 6 3 3" xfId="0"/>
    <cellStyle name="Normal 61 6 2 3 6 4" xfId="0"/>
    <cellStyle name="Normal 61 6 2 3 6 4 2" xfId="0"/>
    <cellStyle name="Normal 61 6 2 3 6 5" xfId="0"/>
    <cellStyle name="Normal 61 6 2 3 7" xfId="0"/>
    <cellStyle name="Normal 61 6 2 3 7 2" xfId="0"/>
    <cellStyle name="Normal 61 6 2 3 7 2 2" xfId="0"/>
    <cellStyle name="Normal 61 6 2 3 7 3" xfId="0"/>
    <cellStyle name="Normal 61 6 2 3 8" xfId="0"/>
    <cellStyle name="Normal 61 6 2 3 8 2" xfId="0"/>
    <cellStyle name="Normal 61 6 2 3 8 2 2" xfId="0"/>
    <cellStyle name="Normal 61 6 2 3 8 3" xfId="0"/>
    <cellStyle name="Normal 61 6 2 3 9" xfId="0"/>
    <cellStyle name="Normal 61 6 2 3 9 2" xfId="0"/>
    <cellStyle name="Normal 61 6 2 4" xfId="0"/>
    <cellStyle name="Normal 61 6 2 4 2" xfId="0"/>
    <cellStyle name="Normal 61 6 2 4 2 2" xfId="0"/>
    <cellStyle name="Normal 61 6 2 4 2 2 2" xfId="0"/>
    <cellStyle name="Normal 61 6 2 4 2 2 2 2" xfId="0"/>
    <cellStyle name="Normal 61 6 2 4 2 2 2 2 2" xfId="0"/>
    <cellStyle name="Normal 61 6 2 4 2 2 2 2 2 2" xfId="0"/>
    <cellStyle name="Normal 61 6 2 4 2 2 2 2 2 2 2" xfId="0"/>
    <cellStyle name="Normal 61 6 2 4 2 2 2 2 2 3" xfId="0"/>
    <cellStyle name="Normal 61 6 2 4 2 2 2 2 3" xfId="0"/>
    <cellStyle name="Normal 61 6 2 4 2 2 2 2 3 2" xfId="0"/>
    <cellStyle name="Normal 61 6 2 4 2 2 2 2 3 2 2" xfId="0"/>
    <cellStyle name="Normal 61 6 2 4 2 2 2 2 3 3" xfId="0"/>
    <cellStyle name="Normal 61 6 2 4 2 2 2 2 4" xfId="0"/>
    <cellStyle name="Normal 61 6 2 4 2 2 2 2 4 2" xfId="0"/>
    <cellStyle name="Normal 61 6 2 4 2 2 2 2 5" xfId="0"/>
    <cellStyle name="Normal 61 6 2 4 2 2 2 3" xfId="0"/>
    <cellStyle name="Normal 61 6 2 4 2 2 2 3 2" xfId="0"/>
    <cellStyle name="Normal 61 6 2 4 2 2 2 3 2 2" xfId="0"/>
    <cellStyle name="Normal 61 6 2 4 2 2 2 3 3" xfId="0"/>
    <cellStyle name="Normal 61 6 2 4 2 2 2 4" xfId="0"/>
    <cellStyle name="Normal 61 6 2 4 2 2 2 4 2" xfId="0"/>
    <cellStyle name="Normal 61 6 2 4 2 2 2 4 2 2" xfId="0"/>
    <cellStyle name="Normal 61 6 2 4 2 2 2 4 3" xfId="0"/>
    <cellStyle name="Normal 61 6 2 4 2 2 2 5" xfId="0"/>
    <cellStyle name="Normal 61 6 2 4 2 2 2 5 2" xfId="0"/>
    <cellStyle name="Normal 61 6 2 4 2 2 2 6" xfId="0"/>
    <cellStyle name="Normal 61 6 2 4 2 2 3" xfId="0"/>
    <cellStyle name="Normal 61 6 2 4 2 2 3 2" xfId="0"/>
    <cellStyle name="Normal 61 6 2 4 2 2 3 2 2" xfId="0"/>
    <cellStyle name="Normal 61 6 2 4 2 2 3 2 2 2" xfId="0"/>
    <cellStyle name="Normal 61 6 2 4 2 2 3 2 3" xfId="0"/>
    <cellStyle name="Normal 61 6 2 4 2 2 3 3" xfId="0"/>
    <cellStyle name="Normal 61 6 2 4 2 2 3 3 2" xfId="0"/>
    <cellStyle name="Normal 61 6 2 4 2 2 3 3 2 2" xfId="0"/>
    <cellStyle name="Normal 61 6 2 4 2 2 3 3 3" xfId="0"/>
    <cellStyle name="Normal 61 6 2 4 2 2 3 4" xfId="0"/>
    <cellStyle name="Normal 61 6 2 4 2 2 3 4 2" xfId="0"/>
    <cellStyle name="Normal 61 6 2 4 2 2 3 5" xfId="0"/>
    <cellStyle name="Normal 61 6 2 4 2 2 4" xfId="0"/>
    <cellStyle name="Normal 61 6 2 4 2 2 4 2" xfId="0"/>
    <cellStyle name="Normal 61 6 2 4 2 2 4 2 2" xfId="0"/>
    <cellStyle name="Normal 61 6 2 4 2 2 4 3" xfId="0"/>
    <cellStyle name="Normal 61 6 2 4 2 2 5" xfId="0"/>
    <cellStyle name="Normal 61 6 2 4 2 2 5 2" xfId="0"/>
    <cellStyle name="Normal 61 6 2 4 2 2 5 2 2" xfId="0"/>
    <cellStyle name="Normal 61 6 2 4 2 2 5 3" xfId="0"/>
    <cellStyle name="Normal 61 6 2 4 2 2 6" xfId="0"/>
    <cellStyle name="Normal 61 6 2 4 2 2 6 2" xfId="0"/>
    <cellStyle name="Normal 61 6 2 4 2 2 7" xfId="0"/>
    <cellStyle name="Normal 61 6 2 4 2 3" xfId="0"/>
    <cellStyle name="Normal 61 6 2 4 2 3 2" xfId="0"/>
    <cellStyle name="Normal 61 6 2 4 2 3 2 2" xfId="0"/>
    <cellStyle name="Normal 61 6 2 4 2 3 2 2 2" xfId="0"/>
    <cellStyle name="Normal 61 6 2 4 2 3 2 2 2 2" xfId="0"/>
    <cellStyle name="Normal 61 6 2 4 2 3 2 2 3" xfId="0"/>
    <cellStyle name="Normal 61 6 2 4 2 3 2 3" xfId="0"/>
    <cellStyle name="Normal 61 6 2 4 2 3 2 3 2" xfId="0"/>
    <cellStyle name="Normal 61 6 2 4 2 3 2 3 2 2" xfId="0"/>
    <cellStyle name="Normal 61 6 2 4 2 3 2 3 3" xfId="0"/>
    <cellStyle name="Normal 61 6 2 4 2 3 2 4" xfId="0"/>
    <cellStyle name="Normal 61 6 2 4 2 3 2 4 2" xfId="0"/>
    <cellStyle name="Normal 61 6 2 4 2 3 2 5" xfId="0"/>
    <cellStyle name="Normal 61 6 2 4 2 3 3" xfId="0"/>
    <cellStyle name="Normal 61 6 2 4 2 3 3 2" xfId="0"/>
    <cellStyle name="Normal 61 6 2 4 2 3 3 2 2" xfId="0"/>
    <cellStyle name="Normal 61 6 2 4 2 3 3 3" xfId="0"/>
    <cellStyle name="Normal 61 6 2 4 2 3 4" xfId="0"/>
    <cellStyle name="Normal 61 6 2 4 2 3 4 2" xfId="0"/>
    <cellStyle name="Normal 61 6 2 4 2 3 4 2 2" xfId="0"/>
    <cellStyle name="Normal 61 6 2 4 2 3 4 3" xfId="0"/>
    <cellStyle name="Normal 61 6 2 4 2 3 5" xfId="0"/>
    <cellStyle name="Normal 61 6 2 4 2 3 5 2" xfId="0"/>
    <cellStyle name="Normal 61 6 2 4 2 3 6" xfId="0"/>
    <cellStyle name="Normal 61 6 2 4 2 4" xfId="0"/>
    <cellStyle name="Normal 61 6 2 4 2 4 2" xfId="0"/>
    <cellStyle name="Normal 61 6 2 4 2 4 2 2" xfId="0"/>
    <cellStyle name="Normal 61 6 2 4 2 4 2 2 2" xfId="0"/>
    <cellStyle name="Normal 61 6 2 4 2 4 2 3" xfId="0"/>
    <cellStyle name="Normal 61 6 2 4 2 4 3" xfId="0"/>
    <cellStyle name="Normal 61 6 2 4 2 4 3 2" xfId="0"/>
    <cellStyle name="Normal 61 6 2 4 2 4 3 2 2" xfId="0"/>
    <cellStyle name="Normal 61 6 2 4 2 4 3 3" xfId="0"/>
    <cellStyle name="Normal 61 6 2 4 2 4 4" xfId="0"/>
    <cellStyle name="Normal 61 6 2 4 2 4 4 2" xfId="0"/>
    <cellStyle name="Normal 61 6 2 4 2 4 5" xfId="0"/>
    <cellStyle name="Normal 61 6 2 4 2 5" xfId="0"/>
    <cellStyle name="Normal 61 6 2 4 2 5 2" xfId="0"/>
    <cellStyle name="Normal 61 6 2 4 2 5 2 2" xfId="0"/>
    <cellStyle name="Normal 61 6 2 4 2 5 3" xfId="0"/>
    <cellStyle name="Normal 61 6 2 4 2 6" xfId="0"/>
    <cellStyle name="Normal 61 6 2 4 2 6 2" xfId="0"/>
    <cellStyle name="Normal 61 6 2 4 2 6 2 2" xfId="0"/>
    <cellStyle name="Normal 61 6 2 4 2 6 3" xfId="0"/>
    <cellStyle name="Normal 61 6 2 4 2 7" xfId="0"/>
    <cellStyle name="Normal 61 6 2 4 2 7 2" xfId="0"/>
    <cellStyle name="Normal 61 6 2 4 2 8" xfId="0"/>
    <cellStyle name="Normal 61 6 2 4 3" xfId="0"/>
    <cellStyle name="Normal 61 6 2 4 3 2" xfId="0"/>
    <cellStyle name="Normal 61 6 2 4 3 2 2" xfId="0"/>
    <cellStyle name="Normal 61 6 2 4 3 2 2 2" xfId="0"/>
    <cellStyle name="Normal 61 6 2 4 3 2 2 2 2" xfId="0"/>
    <cellStyle name="Normal 61 6 2 4 3 2 2 2 2 2" xfId="0"/>
    <cellStyle name="Normal 61 6 2 4 3 2 2 2 3" xfId="0"/>
    <cellStyle name="Normal 61 6 2 4 3 2 2 3" xfId="0"/>
    <cellStyle name="Normal 61 6 2 4 3 2 2 3 2" xfId="0"/>
    <cellStyle name="Normal 61 6 2 4 3 2 2 3 2 2" xfId="0"/>
    <cellStyle name="Normal 61 6 2 4 3 2 2 3 3" xfId="0"/>
    <cellStyle name="Normal 61 6 2 4 3 2 2 4" xfId="0"/>
    <cellStyle name="Normal 61 6 2 4 3 2 2 4 2" xfId="0"/>
    <cellStyle name="Normal 61 6 2 4 3 2 2 5" xfId="0"/>
    <cellStyle name="Normal 61 6 2 4 3 2 3" xfId="0"/>
    <cellStyle name="Normal 61 6 2 4 3 2 3 2" xfId="0"/>
    <cellStyle name="Normal 61 6 2 4 3 2 3 2 2" xfId="0"/>
    <cellStyle name="Normal 61 6 2 4 3 2 3 3" xfId="0"/>
    <cellStyle name="Normal 61 6 2 4 3 2 4" xfId="0"/>
    <cellStyle name="Normal 61 6 2 4 3 2 4 2" xfId="0"/>
    <cellStyle name="Normal 61 6 2 4 3 2 4 2 2" xfId="0"/>
    <cellStyle name="Normal 61 6 2 4 3 2 4 3" xfId="0"/>
    <cellStyle name="Normal 61 6 2 4 3 2 5" xfId="0"/>
    <cellStyle name="Normal 61 6 2 4 3 2 5 2" xfId="0"/>
    <cellStyle name="Normal 61 6 2 4 3 2 6" xfId="0"/>
    <cellStyle name="Normal 61 6 2 4 3 3" xfId="0"/>
    <cellStyle name="Normal 61 6 2 4 3 3 2" xfId="0"/>
    <cellStyle name="Normal 61 6 2 4 3 3 2 2" xfId="0"/>
    <cellStyle name="Normal 61 6 2 4 3 3 2 2 2" xfId="0"/>
    <cellStyle name="Normal 61 6 2 4 3 3 2 3" xfId="0"/>
    <cellStyle name="Normal 61 6 2 4 3 3 3" xfId="0"/>
    <cellStyle name="Normal 61 6 2 4 3 3 3 2" xfId="0"/>
    <cellStyle name="Normal 61 6 2 4 3 3 3 2 2" xfId="0"/>
    <cellStyle name="Normal 61 6 2 4 3 3 3 3" xfId="0"/>
    <cellStyle name="Normal 61 6 2 4 3 3 4" xfId="0"/>
    <cellStyle name="Normal 61 6 2 4 3 3 4 2" xfId="0"/>
    <cellStyle name="Normal 61 6 2 4 3 3 5" xfId="0"/>
    <cellStyle name="Normal 61 6 2 4 3 4" xfId="0"/>
    <cellStyle name="Normal 61 6 2 4 3 4 2" xfId="0"/>
    <cellStyle name="Normal 61 6 2 4 3 4 2 2" xfId="0"/>
    <cellStyle name="Normal 61 6 2 4 3 4 3" xfId="0"/>
    <cellStyle name="Normal 61 6 2 4 3 5" xfId="0"/>
    <cellStyle name="Normal 61 6 2 4 3 5 2" xfId="0"/>
    <cellStyle name="Normal 61 6 2 4 3 5 2 2" xfId="0"/>
    <cellStyle name="Normal 61 6 2 4 3 5 3" xfId="0"/>
    <cellStyle name="Normal 61 6 2 4 3 6" xfId="0"/>
    <cellStyle name="Normal 61 6 2 4 3 6 2" xfId="0"/>
    <cellStyle name="Normal 61 6 2 4 3 7" xfId="0"/>
    <cellStyle name="Normal 61 6 2 4 4" xfId="0"/>
    <cellStyle name="Normal 61 6 2 4 4 2" xfId="0"/>
    <cellStyle name="Normal 61 6 2 4 4 2 2" xfId="0"/>
    <cellStyle name="Normal 61 6 2 4 4 2 2 2" xfId="0"/>
    <cellStyle name="Normal 61 6 2 4 4 2 2 2 2" xfId="0"/>
    <cellStyle name="Normal 61 6 2 4 4 2 2 3" xfId="0"/>
    <cellStyle name="Normal 61 6 2 4 4 2 3" xfId="0"/>
    <cellStyle name="Normal 61 6 2 4 4 2 3 2" xfId="0"/>
    <cellStyle name="Normal 61 6 2 4 4 2 3 2 2" xfId="0"/>
    <cellStyle name="Normal 61 6 2 4 4 2 3 3" xfId="0"/>
    <cellStyle name="Normal 61 6 2 4 4 2 4" xfId="0"/>
    <cellStyle name="Normal 61 6 2 4 4 2 4 2" xfId="0"/>
    <cellStyle name="Normal 61 6 2 4 4 2 5" xfId="0"/>
    <cellStyle name="Normal 61 6 2 4 4 3" xfId="0"/>
    <cellStyle name="Normal 61 6 2 4 4 3 2" xfId="0"/>
    <cellStyle name="Normal 61 6 2 4 4 3 2 2" xfId="0"/>
    <cellStyle name="Normal 61 6 2 4 4 3 3" xfId="0"/>
    <cellStyle name="Normal 61 6 2 4 4 4" xfId="0"/>
    <cellStyle name="Normal 61 6 2 4 4 4 2" xfId="0"/>
    <cellStyle name="Normal 61 6 2 4 4 4 2 2" xfId="0"/>
    <cellStyle name="Normal 61 6 2 4 4 4 3" xfId="0"/>
    <cellStyle name="Normal 61 6 2 4 4 5" xfId="0"/>
    <cellStyle name="Normal 61 6 2 4 4 5 2" xfId="0"/>
    <cellStyle name="Normal 61 6 2 4 4 6" xfId="0"/>
    <cellStyle name="Normal 61 6 2 4 5" xfId="0"/>
    <cellStyle name="Normal 61 6 2 4 5 2" xfId="0"/>
    <cellStyle name="Normal 61 6 2 4 5 2 2" xfId="0"/>
    <cellStyle name="Normal 61 6 2 4 5 2 2 2" xfId="0"/>
    <cellStyle name="Normal 61 6 2 4 5 2 3" xfId="0"/>
    <cellStyle name="Normal 61 6 2 4 5 3" xfId="0"/>
    <cellStyle name="Normal 61 6 2 4 5 3 2" xfId="0"/>
    <cellStyle name="Normal 61 6 2 4 5 3 2 2" xfId="0"/>
    <cellStyle name="Normal 61 6 2 4 5 3 3" xfId="0"/>
    <cellStyle name="Normal 61 6 2 4 5 4" xfId="0"/>
    <cellStyle name="Normal 61 6 2 4 5 4 2" xfId="0"/>
    <cellStyle name="Normal 61 6 2 4 5 5" xfId="0"/>
    <cellStyle name="Normal 61 6 2 4 6" xfId="0"/>
    <cellStyle name="Normal 61 6 2 4 6 2" xfId="0"/>
    <cellStyle name="Normal 61 6 2 4 6 2 2" xfId="0"/>
    <cellStyle name="Normal 61 6 2 4 6 3" xfId="0"/>
    <cellStyle name="Normal 61 6 2 4 7" xfId="0"/>
    <cellStyle name="Normal 61 6 2 4 7 2" xfId="0"/>
    <cellStyle name="Normal 61 6 2 4 7 2 2" xfId="0"/>
    <cellStyle name="Normal 61 6 2 4 7 3" xfId="0"/>
    <cellStyle name="Normal 61 6 2 4 8" xfId="0"/>
    <cellStyle name="Normal 61 6 2 4 8 2" xfId="0"/>
    <cellStyle name="Normal 61 6 2 4 9" xfId="0"/>
    <cellStyle name="Normal 61 6 2 5" xfId="0"/>
    <cellStyle name="Normal 61 6 2 5 2" xfId="0"/>
    <cellStyle name="Normal 61 6 2 5 2 2" xfId="0"/>
    <cellStyle name="Normal 61 6 2 5 2 2 2" xfId="0"/>
    <cellStyle name="Normal 61 6 2 5 2 2 2 2" xfId="0"/>
    <cellStyle name="Normal 61 6 2 5 2 2 2 2 2" xfId="0"/>
    <cellStyle name="Normal 61 6 2 5 2 2 2 2 2 2" xfId="0"/>
    <cellStyle name="Normal 61 6 2 5 2 2 2 2 3" xfId="0"/>
    <cellStyle name="Normal 61 6 2 5 2 2 2 3" xfId="0"/>
    <cellStyle name="Normal 61 6 2 5 2 2 2 3 2" xfId="0"/>
    <cellStyle name="Normal 61 6 2 5 2 2 2 3 2 2" xfId="0"/>
    <cellStyle name="Normal 61 6 2 5 2 2 2 3 3" xfId="0"/>
    <cellStyle name="Normal 61 6 2 5 2 2 2 4" xfId="0"/>
    <cellStyle name="Normal 61 6 2 5 2 2 2 4 2" xfId="0"/>
    <cellStyle name="Normal 61 6 2 5 2 2 2 5" xfId="0"/>
    <cellStyle name="Normal 61 6 2 5 2 2 3" xfId="0"/>
    <cellStyle name="Normal 61 6 2 5 2 2 3 2" xfId="0"/>
    <cellStyle name="Normal 61 6 2 5 2 2 3 2 2" xfId="0"/>
    <cellStyle name="Normal 61 6 2 5 2 2 3 3" xfId="0"/>
    <cellStyle name="Normal 61 6 2 5 2 2 4" xfId="0"/>
    <cellStyle name="Normal 61 6 2 5 2 2 4 2" xfId="0"/>
    <cellStyle name="Normal 61 6 2 5 2 2 4 2 2" xfId="0"/>
    <cellStyle name="Normal 61 6 2 5 2 2 4 3" xfId="0"/>
    <cellStyle name="Normal 61 6 2 5 2 2 5" xfId="0"/>
    <cellStyle name="Normal 61 6 2 5 2 2 5 2" xfId="0"/>
    <cellStyle name="Normal 61 6 2 5 2 2 6" xfId="0"/>
    <cellStyle name="Normal 61 6 2 5 2 3" xfId="0"/>
    <cellStyle name="Normal 61 6 2 5 2 3 2" xfId="0"/>
    <cellStyle name="Normal 61 6 2 5 2 3 2 2" xfId="0"/>
    <cellStyle name="Normal 61 6 2 5 2 3 2 2 2" xfId="0"/>
    <cellStyle name="Normal 61 6 2 5 2 3 2 3" xfId="0"/>
    <cellStyle name="Normal 61 6 2 5 2 3 3" xfId="0"/>
    <cellStyle name="Normal 61 6 2 5 2 3 3 2" xfId="0"/>
    <cellStyle name="Normal 61 6 2 5 2 3 3 2 2" xfId="0"/>
    <cellStyle name="Normal 61 6 2 5 2 3 3 3" xfId="0"/>
    <cellStyle name="Normal 61 6 2 5 2 3 4" xfId="0"/>
    <cellStyle name="Normal 61 6 2 5 2 3 4 2" xfId="0"/>
    <cellStyle name="Normal 61 6 2 5 2 3 5" xfId="0"/>
    <cellStyle name="Normal 61 6 2 5 2 4" xfId="0"/>
    <cellStyle name="Normal 61 6 2 5 2 4 2" xfId="0"/>
    <cellStyle name="Normal 61 6 2 5 2 4 2 2" xfId="0"/>
    <cellStyle name="Normal 61 6 2 5 2 4 3" xfId="0"/>
    <cellStyle name="Normal 61 6 2 5 2 5" xfId="0"/>
    <cellStyle name="Normal 61 6 2 5 2 5 2" xfId="0"/>
    <cellStyle name="Normal 61 6 2 5 2 5 2 2" xfId="0"/>
    <cellStyle name="Normal 61 6 2 5 2 5 3" xfId="0"/>
    <cellStyle name="Normal 61 6 2 5 2 6" xfId="0"/>
    <cellStyle name="Normal 61 6 2 5 2 6 2" xfId="0"/>
    <cellStyle name="Normal 61 6 2 5 2 7" xfId="0"/>
    <cellStyle name="Normal 61 6 2 5 3" xfId="0"/>
    <cellStyle name="Normal 61 6 2 5 3 2" xfId="0"/>
    <cellStyle name="Normal 61 6 2 5 3 2 2" xfId="0"/>
    <cellStyle name="Normal 61 6 2 5 3 2 2 2" xfId="0"/>
    <cellStyle name="Normal 61 6 2 5 3 2 2 2 2" xfId="0"/>
    <cellStyle name="Normal 61 6 2 5 3 2 2 3" xfId="0"/>
    <cellStyle name="Normal 61 6 2 5 3 2 3" xfId="0"/>
    <cellStyle name="Normal 61 6 2 5 3 2 3 2" xfId="0"/>
    <cellStyle name="Normal 61 6 2 5 3 2 3 2 2" xfId="0"/>
    <cellStyle name="Normal 61 6 2 5 3 2 3 3" xfId="0"/>
    <cellStyle name="Normal 61 6 2 5 3 2 4" xfId="0"/>
    <cellStyle name="Normal 61 6 2 5 3 2 4 2" xfId="0"/>
    <cellStyle name="Normal 61 6 2 5 3 2 5" xfId="0"/>
    <cellStyle name="Normal 61 6 2 5 3 3" xfId="0"/>
    <cellStyle name="Normal 61 6 2 5 3 3 2" xfId="0"/>
    <cellStyle name="Normal 61 6 2 5 3 3 2 2" xfId="0"/>
    <cellStyle name="Normal 61 6 2 5 3 3 3" xfId="0"/>
    <cellStyle name="Normal 61 6 2 5 3 4" xfId="0"/>
    <cellStyle name="Normal 61 6 2 5 3 4 2" xfId="0"/>
    <cellStyle name="Normal 61 6 2 5 3 4 2 2" xfId="0"/>
    <cellStyle name="Normal 61 6 2 5 3 4 3" xfId="0"/>
    <cellStyle name="Normal 61 6 2 5 3 5" xfId="0"/>
    <cellStyle name="Normal 61 6 2 5 3 5 2" xfId="0"/>
    <cellStyle name="Normal 61 6 2 5 3 6" xfId="0"/>
    <cellStyle name="Normal 61 6 2 5 4" xfId="0"/>
    <cellStyle name="Normal 61 6 2 5 4 2" xfId="0"/>
    <cellStyle name="Normal 61 6 2 5 4 2 2" xfId="0"/>
    <cellStyle name="Normal 61 6 2 5 4 2 2 2" xfId="0"/>
    <cellStyle name="Normal 61 6 2 5 4 2 3" xfId="0"/>
    <cellStyle name="Normal 61 6 2 5 4 3" xfId="0"/>
    <cellStyle name="Normal 61 6 2 5 4 3 2" xfId="0"/>
    <cellStyle name="Normal 61 6 2 5 4 3 2 2" xfId="0"/>
    <cellStyle name="Normal 61 6 2 5 4 3 3" xfId="0"/>
    <cellStyle name="Normal 61 6 2 5 4 4" xfId="0"/>
    <cellStyle name="Normal 61 6 2 5 4 4 2" xfId="0"/>
    <cellStyle name="Normal 61 6 2 5 4 5" xfId="0"/>
    <cellStyle name="Normal 61 6 2 5 5" xfId="0"/>
    <cellStyle name="Normal 61 6 2 5 5 2" xfId="0"/>
    <cellStyle name="Normal 61 6 2 5 5 2 2" xfId="0"/>
    <cellStyle name="Normal 61 6 2 5 5 3" xfId="0"/>
    <cellStyle name="Normal 61 6 2 5 6" xfId="0"/>
    <cellStyle name="Normal 61 6 2 5 6 2" xfId="0"/>
    <cellStyle name="Normal 61 6 2 5 6 2 2" xfId="0"/>
    <cellStyle name="Normal 61 6 2 5 6 3" xfId="0"/>
    <cellStyle name="Normal 61 6 2 5 7" xfId="0"/>
    <cellStyle name="Normal 61 6 2 5 7 2" xfId="0"/>
    <cellStyle name="Normal 61 6 2 5 8" xfId="0"/>
    <cellStyle name="Normal 61 6 2 6" xfId="0"/>
    <cellStyle name="Normal 61 6 2 6 2" xfId="0"/>
    <cellStyle name="Normal 61 6 2 6 2 2" xfId="0"/>
    <cellStyle name="Normal 61 6 2 6 2 2 2" xfId="0"/>
    <cellStyle name="Normal 61 6 2 6 2 2 2 2" xfId="0"/>
    <cellStyle name="Normal 61 6 2 6 2 2 2 2 2" xfId="0"/>
    <cellStyle name="Normal 61 6 2 6 2 2 2 3" xfId="0"/>
    <cellStyle name="Normal 61 6 2 6 2 2 3" xfId="0"/>
    <cellStyle name="Normal 61 6 2 6 2 2 3 2" xfId="0"/>
    <cellStyle name="Normal 61 6 2 6 2 2 3 2 2" xfId="0"/>
    <cellStyle name="Normal 61 6 2 6 2 2 3 3" xfId="0"/>
    <cellStyle name="Normal 61 6 2 6 2 2 4" xfId="0"/>
    <cellStyle name="Normal 61 6 2 6 2 2 4 2" xfId="0"/>
    <cellStyle name="Normal 61 6 2 6 2 2 5" xfId="0"/>
    <cellStyle name="Normal 61 6 2 6 2 3" xfId="0"/>
    <cellStyle name="Normal 61 6 2 6 2 3 2" xfId="0"/>
    <cellStyle name="Normal 61 6 2 6 2 3 2 2" xfId="0"/>
    <cellStyle name="Normal 61 6 2 6 2 3 3" xfId="0"/>
    <cellStyle name="Normal 61 6 2 6 2 4" xfId="0"/>
    <cellStyle name="Normal 61 6 2 6 2 4 2" xfId="0"/>
    <cellStyle name="Normal 61 6 2 6 2 4 2 2" xfId="0"/>
    <cellStyle name="Normal 61 6 2 6 2 4 3" xfId="0"/>
    <cellStyle name="Normal 61 6 2 6 2 5" xfId="0"/>
    <cellStyle name="Normal 61 6 2 6 2 5 2" xfId="0"/>
    <cellStyle name="Normal 61 6 2 6 2 6" xfId="0"/>
    <cellStyle name="Normal 61 6 2 6 3" xfId="0"/>
    <cellStyle name="Normal 61 6 2 6 3 2" xfId="0"/>
    <cellStyle name="Normal 61 6 2 6 3 2 2" xfId="0"/>
    <cellStyle name="Normal 61 6 2 6 3 2 2 2" xfId="0"/>
    <cellStyle name="Normal 61 6 2 6 3 2 3" xfId="0"/>
    <cellStyle name="Normal 61 6 2 6 3 3" xfId="0"/>
    <cellStyle name="Normal 61 6 2 6 3 3 2" xfId="0"/>
    <cellStyle name="Normal 61 6 2 6 3 3 2 2" xfId="0"/>
    <cellStyle name="Normal 61 6 2 6 3 3 3" xfId="0"/>
    <cellStyle name="Normal 61 6 2 6 3 4" xfId="0"/>
    <cellStyle name="Normal 61 6 2 6 3 4 2" xfId="0"/>
    <cellStyle name="Normal 61 6 2 6 3 5" xfId="0"/>
    <cellStyle name="Normal 61 6 2 6 4" xfId="0"/>
    <cellStyle name="Normal 61 6 2 6 4 2" xfId="0"/>
    <cellStyle name="Normal 61 6 2 6 4 2 2" xfId="0"/>
    <cellStyle name="Normal 61 6 2 6 4 3" xfId="0"/>
    <cellStyle name="Normal 61 6 2 6 5" xfId="0"/>
    <cellStyle name="Normal 61 6 2 6 5 2" xfId="0"/>
    <cellStyle name="Normal 61 6 2 6 5 2 2" xfId="0"/>
    <cellStyle name="Normal 61 6 2 6 5 3" xfId="0"/>
    <cellStyle name="Normal 61 6 2 6 6" xfId="0"/>
    <cellStyle name="Normal 61 6 2 6 6 2" xfId="0"/>
    <cellStyle name="Normal 61 6 2 6 7" xfId="0"/>
    <cellStyle name="Normal 61 6 2 7" xfId="0"/>
    <cellStyle name="Normal 61 6 2 7 2" xfId="0"/>
    <cellStyle name="Normal 61 6 2 7 2 2" xfId="0"/>
    <cellStyle name="Normal 61 6 2 7 2 2 2" xfId="0"/>
    <cellStyle name="Normal 61 6 2 7 2 2 2 2" xfId="0"/>
    <cellStyle name="Normal 61 6 2 7 2 2 3" xfId="0"/>
    <cellStyle name="Normal 61 6 2 7 2 3" xfId="0"/>
    <cellStyle name="Normal 61 6 2 7 2 3 2" xfId="0"/>
    <cellStyle name="Normal 61 6 2 7 2 3 2 2" xfId="0"/>
    <cellStyle name="Normal 61 6 2 7 2 3 3" xfId="0"/>
    <cellStyle name="Normal 61 6 2 7 2 4" xfId="0"/>
    <cellStyle name="Normal 61 6 2 7 2 4 2" xfId="0"/>
    <cellStyle name="Normal 61 6 2 7 2 5" xfId="0"/>
    <cellStyle name="Normal 61 6 2 7 3" xfId="0"/>
    <cellStyle name="Normal 61 6 2 7 3 2" xfId="0"/>
    <cellStyle name="Normal 61 6 2 7 3 2 2" xfId="0"/>
    <cellStyle name="Normal 61 6 2 7 3 3" xfId="0"/>
    <cellStyle name="Normal 61 6 2 7 4" xfId="0"/>
    <cellStyle name="Normal 61 6 2 7 4 2" xfId="0"/>
    <cellStyle name="Normal 61 6 2 7 4 2 2" xfId="0"/>
    <cellStyle name="Normal 61 6 2 7 4 3" xfId="0"/>
    <cellStyle name="Normal 61 6 2 7 5" xfId="0"/>
    <cellStyle name="Normal 61 6 2 7 5 2" xfId="0"/>
    <cellStyle name="Normal 61 6 2 7 6" xfId="0"/>
    <cellStyle name="Normal 61 6 2 8" xfId="0"/>
    <cellStyle name="Normal 61 6 2 8 2" xfId="0"/>
    <cellStyle name="Normal 61 6 2 8 2 2" xfId="0"/>
    <cellStyle name="Normal 61 6 2 8 2 2 2" xfId="0"/>
    <cellStyle name="Normal 61 6 2 8 2 3" xfId="0"/>
    <cellStyle name="Normal 61 6 2 8 3" xfId="0"/>
    <cellStyle name="Normal 61 6 2 8 3 2" xfId="0"/>
    <cellStyle name="Normal 61 6 2 8 3 2 2" xfId="0"/>
    <cellStyle name="Normal 61 6 2 8 3 3" xfId="0"/>
    <cellStyle name="Normal 61 6 2 8 4" xfId="0"/>
    <cellStyle name="Normal 61 6 2 8 4 2" xfId="0"/>
    <cellStyle name="Normal 61 6 2 8 5" xfId="0"/>
    <cellStyle name="Normal 61 6 2 9" xfId="0"/>
    <cellStyle name="Normal 61 6 2 9 2" xfId="0"/>
    <cellStyle name="Normal 61 6 2 9 2 2" xfId="0"/>
    <cellStyle name="Normal 61 6 2 9 3" xfId="0"/>
    <cellStyle name="Normal 61 6 3" xfId="0"/>
    <cellStyle name="Normal 61 6 3 10" xfId="0"/>
    <cellStyle name="Normal 61 6 3 2" xfId="0"/>
    <cellStyle name="Normal 61 6 3 2 2" xfId="0"/>
    <cellStyle name="Normal 61 6 3 2 2 2" xfId="0"/>
    <cellStyle name="Normal 61 6 3 2 2 2 2" xfId="0"/>
    <cellStyle name="Normal 61 6 3 2 2 2 2 2" xfId="0"/>
    <cellStyle name="Normal 61 6 3 2 2 2 2 2 2" xfId="0"/>
    <cellStyle name="Normal 61 6 3 2 2 2 2 2 2 2" xfId="0"/>
    <cellStyle name="Normal 61 6 3 2 2 2 2 2 2 2 2" xfId="0"/>
    <cellStyle name="Normal 61 6 3 2 2 2 2 2 2 3" xfId="0"/>
    <cellStyle name="Normal 61 6 3 2 2 2 2 2 3" xfId="0"/>
    <cellStyle name="Normal 61 6 3 2 2 2 2 2 3 2" xfId="0"/>
    <cellStyle name="Normal 61 6 3 2 2 2 2 2 3 2 2" xfId="0"/>
    <cellStyle name="Normal 61 6 3 2 2 2 2 2 3 3" xfId="0"/>
    <cellStyle name="Normal 61 6 3 2 2 2 2 2 4" xfId="0"/>
    <cellStyle name="Normal 61 6 3 2 2 2 2 2 4 2" xfId="0"/>
    <cellStyle name="Normal 61 6 3 2 2 2 2 2 5" xfId="0"/>
    <cellStyle name="Normal 61 6 3 2 2 2 2 3" xfId="0"/>
    <cellStyle name="Normal 61 6 3 2 2 2 2 3 2" xfId="0"/>
    <cellStyle name="Normal 61 6 3 2 2 2 2 3 2 2" xfId="0"/>
    <cellStyle name="Normal 61 6 3 2 2 2 2 3 3" xfId="0"/>
    <cellStyle name="Normal 61 6 3 2 2 2 2 4" xfId="0"/>
    <cellStyle name="Normal 61 6 3 2 2 2 2 4 2" xfId="0"/>
    <cellStyle name="Normal 61 6 3 2 2 2 2 4 2 2" xfId="0"/>
    <cellStyle name="Normal 61 6 3 2 2 2 2 4 3" xfId="0"/>
    <cellStyle name="Normal 61 6 3 2 2 2 2 5" xfId="0"/>
    <cellStyle name="Normal 61 6 3 2 2 2 2 5 2" xfId="0"/>
    <cellStyle name="Normal 61 6 3 2 2 2 2 6" xfId="0"/>
    <cellStyle name="Normal 61 6 3 2 2 2 3" xfId="0"/>
    <cellStyle name="Normal 61 6 3 2 2 2 3 2" xfId="0"/>
    <cellStyle name="Normal 61 6 3 2 2 2 3 2 2" xfId="0"/>
    <cellStyle name="Normal 61 6 3 2 2 2 3 2 2 2" xfId="0"/>
    <cellStyle name="Normal 61 6 3 2 2 2 3 2 3" xfId="0"/>
    <cellStyle name="Normal 61 6 3 2 2 2 3 3" xfId="0"/>
    <cellStyle name="Normal 61 6 3 2 2 2 3 3 2" xfId="0"/>
    <cellStyle name="Normal 61 6 3 2 2 2 3 3 2 2" xfId="0"/>
    <cellStyle name="Normal 61 6 3 2 2 2 3 3 3" xfId="0"/>
    <cellStyle name="Normal 61 6 3 2 2 2 3 4" xfId="0"/>
    <cellStyle name="Normal 61 6 3 2 2 2 3 4 2" xfId="0"/>
    <cellStyle name="Normal 61 6 3 2 2 2 3 5" xfId="0"/>
    <cellStyle name="Normal 61 6 3 2 2 2 4" xfId="0"/>
    <cellStyle name="Normal 61 6 3 2 2 2 4 2" xfId="0"/>
    <cellStyle name="Normal 61 6 3 2 2 2 4 2 2" xfId="0"/>
    <cellStyle name="Normal 61 6 3 2 2 2 4 3" xfId="0"/>
    <cellStyle name="Normal 61 6 3 2 2 2 5" xfId="0"/>
    <cellStyle name="Normal 61 6 3 2 2 2 5 2" xfId="0"/>
    <cellStyle name="Normal 61 6 3 2 2 2 5 2 2" xfId="0"/>
    <cellStyle name="Normal 61 6 3 2 2 2 5 3" xfId="0"/>
    <cellStyle name="Normal 61 6 3 2 2 2 6" xfId="0"/>
    <cellStyle name="Normal 61 6 3 2 2 2 6 2" xfId="0"/>
    <cellStyle name="Normal 61 6 3 2 2 2 7" xfId="0"/>
    <cellStyle name="Normal 61 6 3 2 2 3" xfId="0"/>
    <cellStyle name="Normal 61 6 3 2 2 3 2" xfId="0"/>
    <cellStyle name="Normal 61 6 3 2 2 3 2 2" xfId="0"/>
    <cellStyle name="Normal 61 6 3 2 2 3 2 2 2" xfId="0"/>
    <cellStyle name="Normal 61 6 3 2 2 3 2 2 2 2" xfId="0"/>
    <cellStyle name="Normal 61 6 3 2 2 3 2 2 3" xfId="0"/>
    <cellStyle name="Normal 61 6 3 2 2 3 2 3" xfId="0"/>
    <cellStyle name="Normal 61 6 3 2 2 3 2 3 2" xfId="0"/>
    <cellStyle name="Normal 61 6 3 2 2 3 2 3 2 2" xfId="0"/>
    <cellStyle name="Normal 61 6 3 2 2 3 2 3 3" xfId="0"/>
    <cellStyle name="Normal 61 6 3 2 2 3 2 4" xfId="0"/>
    <cellStyle name="Normal 61 6 3 2 2 3 2 4 2" xfId="0"/>
    <cellStyle name="Normal 61 6 3 2 2 3 2 5" xfId="0"/>
    <cellStyle name="Normal 61 6 3 2 2 3 3" xfId="0"/>
    <cellStyle name="Normal 61 6 3 2 2 3 3 2" xfId="0"/>
    <cellStyle name="Normal 61 6 3 2 2 3 3 2 2" xfId="0"/>
    <cellStyle name="Normal 61 6 3 2 2 3 3 3" xfId="0"/>
    <cellStyle name="Normal 61 6 3 2 2 3 4" xfId="0"/>
    <cellStyle name="Normal 61 6 3 2 2 3 4 2" xfId="0"/>
    <cellStyle name="Normal 61 6 3 2 2 3 4 2 2" xfId="0"/>
    <cellStyle name="Normal 61 6 3 2 2 3 4 3" xfId="0"/>
    <cellStyle name="Normal 61 6 3 2 2 3 5" xfId="0"/>
    <cellStyle name="Normal 61 6 3 2 2 3 5 2" xfId="0"/>
    <cellStyle name="Normal 61 6 3 2 2 3 6" xfId="0"/>
    <cellStyle name="Normal 61 6 3 2 2 4" xfId="0"/>
    <cellStyle name="Normal 61 6 3 2 2 4 2" xfId="0"/>
    <cellStyle name="Normal 61 6 3 2 2 4 2 2" xfId="0"/>
    <cellStyle name="Normal 61 6 3 2 2 4 2 2 2" xfId="0"/>
    <cellStyle name="Normal 61 6 3 2 2 4 2 3" xfId="0"/>
    <cellStyle name="Normal 61 6 3 2 2 4 3" xfId="0"/>
    <cellStyle name="Normal 61 6 3 2 2 4 3 2" xfId="0"/>
    <cellStyle name="Normal 61 6 3 2 2 4 3 2 2" xfId="0"/>
    <cellStyle name="Normal 61 6 3 2 2 4 3 3" xfId="0"/>
    <cellStyle name="Normal 61 6 3 2 2 4 4" xfId="0"/>
    <cellStyle name="Normal 61 6 3 2 2 4 4 2" xfId="0"/>
    <cellStyle name="Normal 61 6 3 2 2 4 5" xfId="0"/>
    <cellStyle name="Normal 61 6 3 2 2 5" xfId="0"/>
    <cellStyle name="Normal 61 6 3 2 2 5 2" xfId="0"/>
    <cellStyle name="Normal 61 6 3 2 2 5 2 2" xfId="0"/>
    <cellStyle name="Normal 61 6 3 2 2 5 3" xfId="0"/>
    <cellStyle name="Normal 61 6 3 2 2 6" xfId="0"/>
    <cellStyle name="Normal 61 6 3 2 2 6 2" xfId="0"/>
    <cellStyle name="Normal 61 6 3 2 2 6 2 2" xfId="0"/>
    <cellStyle name="Normal 61 6 3 2 2 6 3" xfId="0"/>
    <cellStyle name="Normal 61 6 3 2 2 7" xfId="0"/>
    <cellStyle name="Normal 61 6 3 2 2 7 2" xfId="0"/>
    <cellStyle name="Normal 61 6 3 2 2 8" xfId="0"/>
    <cellStyle name="Normal 61 6 3 2 3" xfId="0"/>
    <cellStyle name="Normal 61 6 3 2 3 2" xfId="0"/>
    <cellStyle name="Normal 61 6 3 2 3 2 2" xfId="0"/>
    <cellStyle name="Normal 61 6 3 2 3 2 2 2" xfId="0"/>
    <cellStyle name="Normal 61 6 3 2 3 2 2 2 2" xfId="0"/>
    <cellStyle name="Normal 61 6 3 2 3 2 2 2 2 2" xfId="0"/>
    <cellStyle name="Normal 61 6 3 2 3 2 2 2 3" xfId="0"/>
    <cellStyle name="Normal 61 6 3 2 3 2 2 3" xfId="0"/>
    <cellStyle name="Normal 61 6 3 2 3 2 2 3 2" xfId="0"/>
    <cellStyle name="Normal 61 6 3 2 3 2 2 3 2 2" xfId="0"/>
    <cellStyle name="Normal 61 6 3 2 3 2 2 3 3" xfId="0"/>
    <cellStyle name="Normal 61 6 3 2 3 2 2 4" xfId="0"/>
    <cellStyle name="Normal 61 6 3 2 3 2 2 4 2" xfId="0"/>
    <cellStyle name="Normal 61 6 3 2 3 2 2 5" xfId="0"/>
    <cellStyle name="Normal 61 6 3 2 3 2 3" xfId="0"/>
    <cellStyle name="Normal 61 6 3 2 3 2 3 2" xfId="0"/>
    <cellStyle name="Normal 61 6 3 2 3 2 3 2 2" xfId="0"/>
    <cellStyle name="Normal 61 6 3 2 3 2 3 3" xfId="0"/>
    <cellStyle name="Normal 61 6 3 2 3 2 4" xfId="0"/>
    <cellStyle name="Normal 61 6 3 2 3 2 4 2" xfId="0"/>
    <cellStyle name="Normal 61 6 3 2 3 2 4 2 2" xfId="0"/>
    <cellStyle name="Normal 61 6 3 2 3 2 4 3" xfId="0"/>
    <cellStyle name="Normal 61 6 3 2 3 2 5" xfId="0"/>
    <cellStyle name="Normal 61 6 3 2 3 2 5 2" xfId="0"/>
    <cellStyle name="Normal 61 6 3 2 3 2 6" xfId="0"/>
    <cellStyle name="Normal 61 6 3 2 3 3" xfId="0"/>
    <cellStyle name="Normal 61 6 3 2 3 3 2" xfId="0"/>
    <cellStyle name="Normal 61 6 3 2 3 3 2 2" xfId="0"/>
    <cellStyle name="Normal 61 6 3 2 3 3 2 2 2" xfId="0"/>
    <cellStyle name="Normal 61 6 3 2 3 3 2 3" xfId="0"/>
    <cellStyle name="Normal 61 6 3 2 3 3 3" xfId="0"/>
    <cellStyle name="Normal 61 6 3 2 3 3 3 2" xfId="0"/>
    <cellStyle name="Normal 61 6 3 2 3 3 3 2 2" xfId="0"/>
    <cellStyle name="Normal 61 6 3 2 3 3 3 3" xfId="0"/>
    <cellStyle name="Normal 61 6 3 2 3 3 4" xfId="0"/>
    <cellStyle name="Normal 61 6 3 2 3 3 4 2" xfId="0"/>
    <cellStyle name="Normal 61 6 3 2 3 3 5" xfId="0"/>
    <cellStyle name="Normal 61 6 3 2 3 4" xfId="0"/>
    <cellStyle name="Normal 61 6 3 2 3 4 2" xfId="0"/>
    <cellStyle name="Normal 61 6 3 2 3 4 2 2" xfId="0"/>
    <cellStyle name="Normal 61 6 3 2 3 4 3" xfId="0"/>
    <cellStyle name="Normal 61 6 3 2 3 5" xfId="0"/>
    <cellStyle name="Normal 61 6 3 2 3 5 2" xfId="0"/>
    <cellStyle name="Normal 61 6 3 2 3 5 2 2" xfId="0"/>
    <cellStyle name="Normal 61 6 3 2 3 5 3" xfId="0"/>
    <cellStyle name="Normal 61 6 3 2 3 6" xfId="0"/>
    <cellStyle name="Normal 61 6 3 2 3 6 2" xfId="0"/>
    <cellStyle name="Normal 61 6 3 2 3 7" xfId="0"/>
    <cellStyle name="Normal 61 6 3 2 4" xfId="0"/>
    <cellStyle name="Normal 61 6 3 2 4 2" xfId="0"/>
    <cellStyle name="Normal 61 6 3 2 4 2 2" xfId="0"/>
    <cellStyle name="Normal 61 6 3 2 4 2 2 2" xfId="0"/>
    <cellStyle name="Normal 61 6 3 2 4 2 2 2 2" xfId="0"/>
    <cellStyle name="Normal 61 6 3 2 4 2 2 3" xfId="0"/>
    <cellStyle name="Normal 61 6 3 2 4 2 3" xfId="0"/>
    <cellStyle name="Normal 61 6 3 2 4 2 3 2" xfId="0"/>
    <cellStyle name="Normal 61 6 3 2 4 2 3 2 2" xfId="0"/>
    <cellStyle name="Normal 61 6 3 2 4 2 3 3" xfId="0"/>
    <cellStyle name="Normal 61 6 3 2 4 2 4" xfId="0"/>
    <cellStyle name="Normal 61 6 3 2 4 2 4 2" xfId="0"/>
    <cellStyle name="Normal 61 6 3 2 4 2 5" xfId="0"/>
    <cellStyle name="Normal 61 6 3 2 4 3" xfId="0"/>
    <cellStyle name="Normal 61 6 3 2 4 3 2" xfId="0"/>
    <cellStyle name="Normal 61 6 3 2 4 3 2 2" xfId="0"/>
    <cellStyle name="Normal 61 6 3 2 4 3 3" xfId="0"/>
    <cellStyle name="Normal 61 6 3 2 4 4" xfId="0"/>
    <cellStyle name="Normal 61 6 3 2 4 4 2" xfId="0"/>
    <cellStyle name="Normal 61 6 3 2 4 4 2 2" xfId="0"/>
    <cellStyle name="Normal 61 6 3 2 4 4 3" xfId="0"/>
    <cellStyle name="Normal 61 6 3 2 4 5" xfId="0"/>
    <cellStyle name="Normal 61 6 3 2 4 5 2" xfId="0"/>
    <cellStyle name="Normal 61 6 3 2 4 6" xfId="0"/>
    <cellStyle name="Normal 61 6 3 2 5" xfId="0"/>
    <cellStyle name="Normal 61 6 3 2 5 2" xfId="0"/>
    <cellStyle name="Normal 61 6 3 2 5 2 2" xfId="0"/>
    <cellStyle name="Normal 61 6 3 2 5 2 2 2" xfId="0"/>
    <cellStyle name="Normal 61 6 3 2 5 2 3" xfId="0"/>
    <cellStyle name="Normal 61 6 3 2 5 3" xfId="0"/>
    <cellStyle name="Normal 61 6 3 2 5 3 2" xfId="0"/>
    <cellStyle name="Normal 61 6 3 2 5 3 2 2" xfId="0"/>
    <cellStyle name="Normal 61 6 3 2 5 3 3" xfId="0"/>
    <cellStyle name="Normal 61 6 3 2 5 4" xfId="0"/>
    <cellStyle name="Normal 61 6 3 2 5 4 2" xfId="0"/>
    <cellStyle name="Normal 61 6 3 2 5 5" xfId="0"/>
    <cellStyle name="Normal 61 6 3 2 6" xfId="0"/>
    <cellStyle name="Normal 61 6 3 2 6 2" xfId="0"/>
    <cellStyle name="Normal 61 6 3 2 6 2 2" xfId="0"/>
    <cellStyle name="Normal 61 6 3 2 6 3" xfId="0"/>
    <cellStyle name="Normal 61 6 3 2 7" xfId="0"/>
    <cellStyle name="Normal 61 6 3 2 7 2" xfId="0"/>
    <cellStyle name="Normal 61 6 3 2 7 2 2" xfId="0"/>
    <cellStyle name="Normal 61 6 3 2 7 3" xfId="0"/>
    <cellStyle name="Normal 61 6 3 2 8" xfId="0"/>
    <cellStyle name="Normal 61 6 3 2 8 2" xfId="0"/>
    <cellStyle name="Normal 61 6 3 2 9" xfId="0"/>
    <cellStyle name="Normal 61 6 3 3" xfId="0"/>
    <cellStyle name="Normal 61 6 3 3 2" xfId="0"/>
    <cellStyle name="Normal 61 6 3 3 2 2" xfId="0"/>
    <cellStyle name="Normal 61 6 3 3 2 2 2" xfId="0"/>
    <cellStyle name="Normal 61 6 3 3 2 2 2 2" xfId="0"/>
    <cellStyle name="Normal 61 6 3 3 2 2 2 2 2" xfId="0"/>
    <cellStyle name="Normal 61 6 3 3 2 2 2 2 2 2" xfId="0"/>
    <cellStyle name="Normal 61 6 3 3 2 2 2 2 3" xfId="0"/>
    <cellStyle name="Normal 61 6 3 3 2 2 2 3" xfId="0"/>
    <cellStyle name="Normal 61 6 3 3 2 2 2 3 2" xfId="0"/>
    <cellStyle name="Normal 61 6 3 3 2 2 2 3 2 2" xfId="0"/>
    <cellStyle name="Normal 61 6 3 3 2 2 2 3 3" xfId="0"/>
    <cellStyle name="Normal 61 6 3 3 2 2 2 4" xfId="0"/>
    <cellStyle name="Normal 61 6 3 3 2 2 2 4 2" xfId="0"/>
    <cellStyle name="Normal 61 6 3 3 2 2 2 5" xfId="0"/>
    <cellStyle name="Normal 61 6 3 3 2 2 3" xfId="0"/>
    <cellStyle name="Normal 61 6 3 3 2 2 3 2" xfId="0"/>
    <cellStyle name="Normal 61 6 3 3 2 2 3 2 2" xfId="0"/>
    <cellStyle name="Normal 61 6 3 3 2 2 3 3" xfId="0"/>
    <cellStyle name="Normal 61 6 3 3 2 2 4" xfId="0"/>
    <cellStyle name="Normal 61 6 3 3 2 2 4 2" xfId="0"/>
    <cellStyle name="Normal 61 6 3 3 2 2 4 2 2" xfId="0"/>
    <cellStyle name="Normal 61 6 3 3 2 2 4 3" xfId="0"/>
    <cellStyle name="Normal 61 6 3 3 2 2 5" xfId="0"/>
    <cellStyle name="Normal 61 6 3 3 2 2 5 2" xfId="0"/>
    <cellStyle name="Normal 61 6 3 3 2 2 6" xfId="0"/>
    <cellStyle name="Normal 61 6 3 3 2 3" xfId="0"/>
    <cellStyle name="Normal 61 6 3 3 2 3 2" xfId="0"/>
    <cellStyle name="Normal 61 6 3 3 2 3 2 2" xfId="0"/>
    <cellStyle name="Normal 61 6 3 3 2 3 2 2 2" xfId="0"/>
    <cellStyle name="Normal 61 6 3 3 2 3 2 3" xfId="0"/>
    <cellStyle name="Normal 61 6 3 3 2 3 3" xfId="0"/>
    <cellStyle name="Normal 61 6 3 3 2 3 3 2" xfId="0"/>
    <cellStyle name="Normal 61 6 3 3 2 3 3 2 2" xfId="0"/>
    <cellStyle name="Normal 61 6 3 3 2 3 3 3" xfId="0"/>
    <cellStyle name="Normal 61 6 3 3 2 3 4" xfId="0"/>
    <cellStyle name="Normal 61 6 3 3 2 3 4 2" xfId="0"/>
    <cellStyle name="Normal 61 6 3 3 2 3 5" xfId="0"/>
    <cellStyle name="Normal 61 6 3 3 2 4" xfId="0"/>
    <cellStyle name="Normal 61 6 3 3 2 4 2" xfId="0"/>
    <cellStyle name="Normal 61 6 3 3 2 4 2 2" xfId="0"/>
    <cellStyle name="Normal 61 6 3 3 2 4 3" xfId="0"/>
    <cellStyle name="Normal 61 6 3 3 2 5" xfId="0"/>
    <cellStyle name="Normal 61 6 3 3 2 5 2" xfId="0"/>
    <cellStyle name="Normal 61 6 3 3 2 5 2 2" xfId="0"/>
    <cellStyle name="Normal 61 6 3 3 2 5 3" xfId="0"/>
    <cellStyle name="Normal 61 6 3 3 2 6" xfId="0"/>
    <cellStyle name="Normal 61 6 3 3 2 6 2" xfId="0"/>
    <cellStyle name="Normal 61 6 3 3 2 7" xfId="0"/>
    <cellStyle name="Normal 61 6 3 3 3" xfId="0"/>
    <cellStyle name="Normal 61 6 3 3 3 2" xfId="0"/>
    <cellStyle name="Normal 61 6 3 3 3 2 2" xfId="0"/>
    <cellStyle name="Normal 61 6 3 3 3 2 2 2" xfId="0"/>
    <cellStyle name="Normal 61 6 3 3 3 2 2 2 2" xfId="0"/>
    <cellStyle name="Normal 61 6 3 3 3 2 2 3" xfId="0"/>
    <cellStyle name="Normal 61 6 3 3 3 2 3" xfId="0"/>
    <cellStyle name="Normal 61 6 3 3 3 2 3 2" xfId="0"/>
    <cellStyle name="Normal 61 6 3 3 3 2 3 2 2" xfId="0"/>
    <cellStyle name="Normal 61 6 3 3 3 2 3 3" xfId="0"/>
    <cellStyle name="Normal 61 6 3 3 3 2 4" xfId="0"/>
    <cellStyle name="Normal 61 6 3 3 3 2 4 2" xfId="0"/>
    <cellStyle name="Normal 61 6 3 3 3 2 5" xfId="0"/>
    <cellStyle name="Normal 61 6 3 3 3 3" xfId="0"/>
    <cellStyle name="Normal 61 6 3 3 3 3 2" xfId="0"/>
    <cellStyle name="Normal 61 6 3 3 3 3 2 2" xfId="0"/>
    <cellStyle name="Normal 61 6 3 3 3 3 3" xfId="0"/>
    <cellStyle name="Normal 61 6 3 3 3 4" xfId="0"/>
    <cellStyle name="Normal 61 6 3 3 3 4 2" xfId="0"/>
    <cellStyle name="Normal 61 6 3 3 3 4 2 2" xfId="0"/>
    <cellStyle name="Normal 61 6 3 3 3 4 3" xfId="0"/>
    <cellStyle name="Normal 61 6 3 3 3 5" xfId="0"/>
    <cellStyle name="Normal 61 6 3 3 3 5 2" xfId="0"/>
    <cellStyle name="Normal 61 6 3 3 3 6" xfId="0"/>
    <cellStyle name="Normal 61 6 3 3 4" xfId="0"/>
    <cellStyle name="Normal 61 6 3 3 4 2" xfId="0"/>
    <cellStyle name="Normal 61 6 3 3 4 2 2" xfId="0"/>
    <cellStyle name="Normal 61 6 3 3 4 2 2 2" xfId="0"/>
    <cellStyle name="Normal 61 6 3 3 4 2 3" xfId="0"/>
    <cellStyle name="Normal 61 6 3 3 4 3" xfId="0"/>
    <cellStyle name="Normal 61 6 3 3 4 3 2" xfId="0"/>
    <cellStyle name="Normal 61 6 3 3 4 3 2 2" xfId="0"/>
    <cellStyle name="Normal 61 6 3 3 4 3 3" xfId="0"/>
    <cellStyle name="Normal 61 6 3 3 4 4" xfId="0"/>
    <cellStyle name="Normal 61 6 3 3 4 4 2" xfId="0"/>
    <cellStyle name="Normal 61 6 3 3 4 5" xfId="0"/>
    <cellStyle name="Normal 61 6 3 3 5" xfId="0"/>
    <cellStyle name="Normal 61 6 3 3 5 2" xfId="0"/>
    <cellStyle name="Normal 61 6 3 3 5 2 2" xfId="0"/>
    <cellStyle name="Normal 61 6 3 3 5 3" xfId="0"/>
    <cellStyle name="Normal 61 6 3 3 6" xfId="0"/>
    <cellStyle name="Normal 61 6 3 3 6 2" xfId="0"/>
    <cellStyle name="Normal 61 6 3 3 6 2 2" xfId="0"/>
    <cellStyle name="Normal 61 6 3 3 6 3" xfId="0"/>
    <cellStyle name="Normal 61 6 3 3 7" xfId="0"/>
    <cellStyle name="Normal 61 6 3 3 7 2" xfId="0"/>
    <cellStyle name="Normal 61 6 3 3 8" xfId="0"/>
    <cellStyle name="Normal 61 6 3 4" xfId="0"/>
    <cellStyle name="Normal 61 6 3 4 2" xfId="0"/>
    <cellStyle name="Normal 61 6 3 4 2 2" xfId="0"/>
    <cellStyle name="Normal 61 6 3 4 2 2 2" xfId="0"/>
    <cellStyle name="Normal 61 6 3 4 2 2 2 2" xfId="0"/>
    <cellStyle name="Normal 61 6 3 4 2 2 2 2 2" xfId="0"/>
    <cellStyle name="Normal 61 6 3 4 2 2 2 3" xfId="0"/>
    <cellStyle name="Normal 61 6 3 4 2 2 3" xfId="0"/>
    <cellStyle name="Normal 61 6 3 4 2 2 3 2" xfId="0"/>
    <cellStyle name="Normal 61 6 3 4 2 2 3 2 2" xfId="0"/>
    <cellStyle name="Normal 61 6 3 4 2 2 3 3" xfId="0"/>
    <cellStyle name="Normal 61 6 3 4 2 2 4" xfId="0"/>
    <cellStyle name="Normal 61 6 3 4 2 2 4 2" xfId="0"/>
    <cellStyle name="Normal 61 6 3 4 2 2 5" xfId="0"/>
    <cellStyle name="Normal 61 6 3 4 2 3" xfId="0"/>
    <cellStyle name="Normal 61 6 3 4 2 3 2" xfId="0"/>
    <cellStyle name="Normal 61 6 3 4 2 3 2 2" xfId="0"/>
    <cellStyle name="Normal 61 6 3 4 2 3 3" xfId="0"/>
    <cellStyle name="Normal 61 6 3 4 2 4" xfId="0"/>
    <cellStyle name="Normal 61 6 3 4 2 4 2" xfId="0"/>
    <cellStyle name="Normal 61 6 3 4 2 4 2 2" xfId="0"/>
    <cellStyle name="Normal 61 6 3 4 2 4 3" xfId="0"/>
    <cellStyle name="Normal 61 6 3 4 2 5" xfId="0"/>
    <cellStyle name="Normal 61 6 3 4 2 5 2" xfId="0"/>
    <cellStyle name="Normal 61 6 3 4 2 6" xfId="0"/>
    <cellStyle name="Normal 61 6 3 4 3" xfId="0"/>
    <cellStyle name="Normal 61 6 3 4 3 2" xfId="0"/>
    <cellStyle name="Normal 61 6 3 4 3 2 2" xfId="0"/>
    <cellStyle name="Normal 61 6 3 4 3 2 2 2" xfId="0"/>
    <cellStyle name="Normal 61 6 3 4 3 2 3" xfId="0"/>
    <cellStyle name="Normal 61 6 3 4 3 3" xfId="0"/>
    <cellStyle name="Normal 61 6 3 4 3 3 2" xfId="0"/>
    <cellStyle name="Normal 61 6 3 4 3 3 2 2" xfId="0"/>
    <cellStyle name="Normal 61 6 3 4 3 3 3" xfId="0"/>
    <cellStyle name="Normal 61 6 3 4 3 4" xfId="0"/>
    <cellStyle name="Normal 61 6 3 4 3 4 2" xfId="0"/>
    <cellStyle name="Normal 61 6 3 4 3 5" xfId="0"/>
    <cellStyle name="Normal 61 6 3 4 4" xfId="0"/>
    <cellStyle name="Normal 61 6 3 4 4 2" xfId="0"/>
    <cellStyle name="Normal 61 6 3 4 4 2 2" xfId="0"/>
    <cellStyle name="Normal 61 6 3 4 4 3" xfId="0"/>
    <cellStyle name="Normal 61 6 3 4 5" xfId="0"/>
    <cellStyle name="Normal 61 6 3 4 5 2" xfId="0"/>
    <cellStyle name="Normal 61 6 3 4 5 2 2" xfId="0"/>
    <cellStyle name="Normal 61 6 3 4 5 3" xfId="0"/>
    <cellStyle name="Normal 61 6 3 4 6" xfId="0"/>
    <cellStyle name="Normal 61 6 3 4 6 2" xfId="0"/>
    <cellStyle name="Normal 61 6 3 4 7" xfId="0"/>
    <cellStyle name="Normal 61 6 3 5" xfId="0"/>
    <cellStyle name="Normal 61 6 3 5 2" xfId="0"/>
    <cellStyle name="Normal 61 6 3 5 2 2" xfId="0"/>
    <cellStyle name="Normal 61 6 3 5 2 2 2" xfId="0"/>
    <cellStyle name="Normal 61 6 3 5 2 2 2 2" xfId="0"/>
    <cellStyle name="Normal 61 6 3 5 2 2 3" xfId="0"/>
    <cellStyle name="Normal 61 6 3 5 2 3" xfId="0"/>
    <cellStyle name="Normal 61 6 3 5 2 3 2" xfId="0"/>
    <cellStyle name="Normal 61 6 3 5 2 3 2 2" xfId="0"/>
    <cellStyle name="Normal 61 6 3 5 2 3 3" xfId="0"/>
    <cellStyle name="Normal 61 6 3 5 2 4" xfId="0"/>
    <cellStyle name="Normal 61 6 3 5 2 4 2" xfId="0"/>
    <cellStyle name="Normal 61 6 3 5 2 5" xfId="0"/>
    <cellStyle name="Normal 61 6 3 5 3" xfId="0"/>
    <cellStyle name="Normal 61 6 3 5 3 2" xfId="0"/>
    <cellStyle name="Normal 61 6 3 5 3 2 2" xfId="0"/>
    <cellStyle name="Normal 61 6 3 5 3 3" xfId="0"/>
    <cellStyle name="Normal 61 6 3 5 4" xfId="0"/>
    <cellStyle name="Normal 61 6 3 5 4 2" xfId="0"/>
    <cellStyle name="Normal 61 6 3 5 4 2 2" xfId="0"/>
    <cellStyle name="Normal 61 6 3 5 4 3" xfId="0"/>
    <cellStyle name="Normal 61 6 3 5 5" xfId="0"/>
    <cellStyle name="Normal 61 6 3 5 5 2" xfId="0"/>
    <cellStyle name="Normal 61 6 3 5 6" xfId="0"/>
    <cellStyle name="Normal 61 6 3 6" xfId="0"/>
    <cellStyle name="Normal 61 6 3 6 2" xfId="0"/>
    <cellStyle name="Normal 61 6 3 6 2 2" xfId="0"/>
    <cellStyle name="Normal 61 6 3 6 2 2 2" xfId="0"/>
    <cellStyle name="Normal 61 6 3 6 2 3" xfId="0"/>
    <cellStyle name="Normal 61 6 3 6 3" xfId="0"/>
    <cellStyle name="Normal 61 6 3 6 3 2" xfId="0"/>
    <cellStyle name="Normal 61 6 3 6 3 2 2" xfId="0"/>
    <cellStyle name="Normal 61 6 3 6 3 3" xfId="0"/>
    <cellStyle name="Normal 61 6 3 6 4" xfId="0"/>
    <cellStyle name="Normal 61 6 3 6 4 2" xfId="0"/>
    <cellStyle name="Normal 61 6 3 6 5" xfId="0"/>
    <cellStyle name="Normal 61 6 3 7" xfId="0"/>
    <cellStyle name="Normal 61 6 3 7 2" xfId="0"/>
    <cellStyle name="Normal 61 6 3 7 2 2" xfId="0"/>
    <cellStyle name="Normal 61 6 3 7 3" xfId="0"/>
    <cellStyle name="Normal 61 6 3 8" xfId="0"/>
    <cellStyle name="Normal 61 6 3 8 2" xfId="0"/>
    <cellStyle name="Normal 61 6 3 8 2 2" xfId="0"/>
    <cellStyle name="Normal 61 6 3 8 3" xfId="0"/>
    <cellStyle name="Normal 61 6 3 9" xfId="0"/>
    <cellStyle name="Normal 61 6 3 9 2" xfId="0"/>
    <cellStyle name="Normal 61 6 4" xfId="0"/>
    <cellStyle name="Normal 61 6 4 10" xfId="0"/>
    <cellStyle name="Normal 61 6 4 2" xfId="0"/>
    <cellStyle name="Normal 61 6 4 2 2" xfId="0"/>
    <cellStyle name="Normal 61 6 4 2 2 2" xfId="0"/>
    <cellStyle name="Normal 61 6 4 2 2 2 2" xfId="0"/>
    <cellStyle name="Normal 61 6 4 2 2 2 2 2" xfId="0"/>
    <cellStyle name="Normal 61 6 4 2 2 2 2 2 2" xfId="0"/>
    <cellStyle name="Normal 61 6 4 2 2 2 2 2 2 2" xfId="0"/>
    <cellStyle name="Normal 61 6 4 2 2 2 2 2 2 2 2" xfId="0"/>
    <cellStyle name="Normal 61 6 4 2 2 2 2 2 2 3" xfId="0"/>
    <cellStyle name="Normal 61 6 4 2 2 2 2 2 3" xfId="0"/>
    <cellStyle name="Normal 61 6 4 2 2 2 2 2 3 2" xfId="0"/>
    <cellStyle name="Normal 61 6 4 2 2 2 2 2 3 2 2" xfId="0"/>
    <cellStyle name="Normal 61 6 4 2 2 2 2 2 3 3" xfId="0"/>
    <cellStyle name="Normal 61 6 4 2 2 2 2 2 4" xfId="0"/>
    <cellStyle name="Normal 61 6 4 2 2 2 2 2 4 2" xfId="0"/>
    <cellStyle name="Normal 61 6 4 2 2 2 2 2 5" xfId="0"/>
    <cellStyle name="Normal 61 6 4 2 2 2 2 3" xfId="0"/>
    <cellStyle name="Normal 61 6 4 2 2 2 2 3 2" xfId="0"/>
    <cellStyle name="Normal 61 6 4 2 2 2 2 3 2 2" xfId="0"/>
    <cellStyle name="Normal 61 6 4 2 2 2 2 3 3" xfId="0"/>
    <cellStyle name="Normal 61 6 4 2 2 2 2 4" xfId="0"/>
    <cellStyle name="Normal 61 6 4 2 2 2 2 4 2" xfId="0"/>
    <cellStyle name="Normal 61 6 4 2 2 2 2 4 2 2" xfId="0"/>
    <cellStyle name="Normal 61 6 4 2 2 2 2 4 3" xfId="0"/>
    <cellStyle name="Normal 61 6 4 2 2 2 2 5" xfId="0"/>
    <cellStyle name="Normal 61 6 4 2 2 2 2 5 2" xfId="0"/>
    <cellStyle name="Normal 61 6 4 2 2 2 2 6" xfId="0"/>
    <cellStyle name="Normal 61 6 4 2 2 2 3" xfId="0"/>
    <cellStyle name="Normal 61 6 4 2 2 2 3 2" xfId="0"/>
    <cellStyle name="Normal 61 6 4 2 2 2 3 2 2" xfId="0"/>
    <cellStyle name="Normal 61 6 4 2 2 2 3 2 2 2" xfId="0"/>
    <cellStyle name="Normal 61 6 4 2 2 2 3 2 3" xfId="0"/>
    <cellStyle name="Normal 61 6 4 2 2 2 3 3" xfId="0"/>
    <cellStyle name="Normal 61 6 4 2 2 2 3 3 2" xfId="0"/>
    <cellStyle name="Normal 61 6 4 2 2 2 3 3 2 2" xfId="0"/>
    <cellStyle name="Normal 61 6 4 2 2 2 3 3 3" xfId="0"/>
    <cellStyle name="Normal 61 6 4 2 2 2 3 4" xfId="0"/>
    <cellStyle name="Normal 61 6 4 2 2 2 3 4 2" xfId="0"/>
    <cellStyle name="Normal 61 6 4 2 2 2 3 5" xfId="0"/>
    <cellStyle name="Normal 61 6 4 2 2 2 4" xfId="0"/>
    <cellStyle name="Normal 61 6 4 2 2 2 4 2" xfId="0"/>
    <cellStyle name="Normal 61 6 4 2 2 2 4 2 2" xfId="0"/>
    <cellStyle name="Normal 61 6 4 2 2 2 4 3" xfId="0"/>
    <cellStyle name="Normal 61 6 4 2 2 2 5" xfId="0"/>
    <cellStyle name="Normal 61 6 4 2 2 2 5 2" xfId="0"/>
    <cellStyle name="Normal 61 6 4 2 2 2 5 2 2" xfId="0"/>
    <cellStyle name="Normal 61 6 4 2 2 2 5 3" xfId="0"/>
    <cellStyle name="Normal 61 6 4 2 2 2 6" xfId="0"/>
    <cellStyle name="Normal 61 6 4 2 2 2 6 2" xfId="0"/>
    <cellStyle name="Normal 61 6 4 2 2 2 7" xfId="0"/>
    <cellStyle name="Normal 61 6 4 2 2 3" xfId="0"/>
    <cellStyle name="Normal 61 6 4 2 2 3 2" xfId="0"/>
    <cellStyle name="Normal 61 6 4 2 2 3 2 2" xfId="0"/>
    <cellStyle name="Normal 61 6 4 2 2 3 2 2 2" xfId="0"/>
    <cellStyle name="Normal 61 6 4 2 2 3 2 2 2 2" xfId="0"/>
    <cellStyle name="Normal 61 6 4 2 2 3 2 2 3" xfId="0"/>
    <cellStyle name="Normal 61 6 4 2 2 3 2 3" xfId="0"/>
    <cellStyle name="Normal 61 6 4 2 2 3 2 3 2" xfId="0"/>
    <cellStyle name="Normal 61 6 4 2 2 3 2 3 2 2" xfId="0"/>
    <cellStyle name="Normal 61 6 4 2 2 3 2 3 3" xfId="0"/>
    <cellStyle name="Normal 61 6 4 2 2 3 2 4" xfId="0"/>
    <cellStyle name="Normal 61 6 4 2 2 3 2 4 2" xfId="0"/>
    <cellStyle name="Normal 61 6 4 2 2 3 2 5" xfId="0"/>
    <cellStyle name="Normal 61 6 4 2 2 3 3" xfId="0"/>
    <cellStyle name="Normal 61 6 4 2 2 3 3 2" xfId="0"/>
    <cellStyle name="Normal 61 6 4 2 2 3 3 2 2" xfId="0"/>
    <cellStyle name="Normal 61 6 4 2 2 3 3 3" xfId="0"/>
    <cellStyle name="Normal 61 6 4 2 2 3 4" xfId="0"/>
    <cellStyle name="Normal 61 6 4 2 2 3 4 2" xfId="0"/>
    <cellStyle name="Normal 61 6 4 2 2 3 4 2 2" xfId="0"/>
    <cellStyle name="Normal 61 6 4 2 2 3 4 3" xfId="0"/>
    <cellStyle name="Normal 61 6 4 2 2 3 5" xfId="0"/>
    <cellStyle name="Normal 61 6 4 2 2 3 5 2" xfId="0"/>
    <cellStyle name="Normal 61 6 4 2 2 3 6" xfId="0"/>
    <cellStyle name="Normal 61 6 4 2 2 4" xfId="0"/>
    <cellStyle name="Normal 61 6 4 2 2 4 2" xfId="0"/>
    <cellStyle name="Normal 61 6 4 2 2 4 2 2" xfId="0"/>
    <cellStyle name="Normal 61 6 4 2 2 4 2 2 2" xfId="0"/>
    <cellStyle name="Normal 61 6 4 2 2 4 2 3" xfId="0"/>
    <cellStyle name="Normal 61 6 4 2 2 4 3" xfId="0"/>
    <cellStyle name="Normal 61 6 4 2 2 4 3 2" xfId="0"/>
    <cellStyle name="Normal 61 6 4 2 2 4 3 2 2" xfId="0"/>
    <cellStyle name="Normal 61 6 4 2 2 4 3 3" xfId="0"/>
    <cellStyle name="Normal 61 6 4 2 2 4 4" xfId="0"/>
    <cellStyle name="Normal 61 6 4 2 2 4 4 2" xfId="0"/>
    <cellStyle name="Normal 61 6 4 2 2 4 5" xfId="0"/>
    <cellStyle name="Normal 61 6 4 2 2 5" xfId="0"/>
    <cellStyle name="Normal 61 6 4 2 2 5 2" xfId="0"/>
    <cellStyle name="Normal 61 6 4 2 2 5 2 2" xfId="0"/>
    <cellStyle name="Normal 61 6 4 2 2 5 3" xfId="0"/>
    <cellStyle name="Normal 61 6 4 2 2 6" xfId="0"/>
    <cellStyle name="Normal 61 6 4 2 2 6 2" xfId="0"/>
    <cellStyle name="Normal 61 6 4 2 2 6 2 2" xfId="0"/>
    <cellStyle name="Normal 61 6 4 2 2 6 3" xfId="0"/>
    <cellStyle name="Normal 61 6 4 2 2 7" xfId="0"/>
    <cellStyle name="Normal 61 6 4 2 2 7 2" xfId="0"/>
    <cellStyle name="Normal 61 6 4 2 2 8" xfId="0"/>
    <cellStyle name="Normal 61 6 4 2 3" xfId="0"/>
    <cellStyle name="Normal 61 6 4 2 3 2" xfId="0"/>
    <cellStyle name="Normal 61 6 4 2 3 2 2" xfId="0"/>
    <cellStyle name="Normal 61 6 4 2 3 2 2 2" xfId="0"/>
    <cellStyle name="Normal 61 6 4 2 3 2 2 2 2" xfId="0"/>
    <cellStyle name="Normal 61 6 4 2 3 2 2 2 2 2" xfId="0"/>
    <cellStyle name="Normal 61 6 4 2 3 2 2 2 3" xfId="0"/>
    <cellStyle name="Normal 61 6 4 2 3 2 2 3" xfId="0"/>
    <cellStyle name="Normal 61 6 4 2 3 2 2 3 2" xfId="0"/>
    <cellStyle name="Normal 61 6 4 2 3 2 2 3 2 2" xfId="0"/>
    <cellStyle name="Normal 61 6 4 2 3 2 2 3 3" xfId="0"/>
    <cellStyle name="Normal 61 6 4 2 3 2 2 4" xfId="0"/>
    <cellStyle name="Normal 61 6 4 2 3 2 2 4 2" xfId="0"/>
    <cellStyle name="Normal 61 6 4 2 3 2 2 5" xfId="0"/>
    <cellStyle name="Normal 61 6 4 2 3 2 3" xfId="0"/>
    <cellStyle name="Normal 61 6 4 2 3 2 3 2" xfId="0"/>
    <cellStyle name="Normal 61 6 4 2 3 2 3 2 2" xfId="0"/>
    <cellStyle name="Normal 61 6 4 2 3 2 3 3" xfId="0"/>
    <cellStyle name="Normal 61 6 4 2 3 2 4" xfId="0"/>
    <cellStyle name="Normal 61 6 4 2 3 2 4 2" xfId="0"/>
    <cellStyle name="Normal 61 6 4 2 3 2 4 2 2" xfId="0"/>
    <cellStyle name="Normal 61 6 4 2 3 2 4 3" xfId="0"/>
    <cellStyle name="Normal 61 6 4 2 3 2 5" xfId="0"/>
    <cellStyle name="Normal 61 6 4 2 3 2 5 2" xfId="0"/>
    <cellStyle name="Normal 61 6 4 2 3 2 6" xfId="0"/>
    <cellStyle name="Normal 61 6 4 2 3 3" xfId="0"/>
    <cellStyle name="Normal 61 6 4 2 3 3 2" xfId="0"/>
    <cellStyle name="Normal 61 6 4 2 3 3 2 2" xfId="0"/>
    <cellStyle name="Normal 61 6 4 2 3 3 2 2 2" xfId="0"/>
    <cellStyle name="Normal 61 6 4 2 3 3 2 3" xfId="0"/>
    <cellStyle name="Normal 61 6 4 2 3 3 3" xfId="0"/>
    <cellStyle name="Normal 61 6 4 2 3 3 3 2" xfId="0"/>
    <cellStyle name="Normal 61 6 4 2 3 3 3 2 2" xfId="0"/>
    <cellStyle name="Normal 61 6 4 2 3 3 3 3" xfId="0"/>
    <cellStyle name="Normal 61 6 4 2 3 3 4" xfId="0"/>
    <cellStyle name="Normal 61 6 4 2 3 3 4 2" xfId="0"/>
    <cellStyle name="Normal 61 6 4 2 3 3 5" xfId="0"/>
    <cellStyle name="Normal 61 6 4 2 3 4" xfId="0"/>
    <cellStyle name="Normal 61 6 4 2 3 4 2" xfId="0"/>
    <cellStyle name="Normal 61 6 4 2 3 4 2 2" xfId="0"/>
    <cellStyle name="Normal 61 6 4 2 3 4 3" xfId="0"/>
    <cellStyle name="Normal 61 6 4 2 3 5" xfId="0"/>
    <cellStyle name="Normal 61 6 4 2 3 5 2" xfId="0"/>
    <cellStyle name="Normal 61 6 4 2 3 5 2 2" xfId="0"/>
    <cellStyle name="Normal 61 6 4 2 3 5 3" xfId="0"/>
    <cellStyle name="Normal 61 6 4 2 3 6" xfId="0"/>
    <cellStyle name="Normal 61 6 4 2 3 6 2" xfId="0"/>
    <cellStyle name="Normal 61 6 4 2 3 7" xfId="0"/>
    <cellStyle name="Normal 61 6 4 2 4" xfId="0"/>
    <cellStyle name="Normal 61 6 4 2 4 2" xfId="0"/>
    <cellStyle name="Normal 61 6 4 2 4 2 2" xfId="0"/>
    <cellStyle name="Normal 61 6 4 2 4 2 2 2" xfId="0"/>
    <cellStyle name="Normal 61 6 4 2 4 2 2 2 2" xfId="0"/>
    <cellStyle name="Normal 61 6 4 2 4 2 2 3" xfId="0"/>
    <cellStyle name="Normal 61 6 4 2 4 2 3" xfId="0"/>
    <cellStyle name="Normal 61 6 4 2 4 2 3 2" xfId="0"/>
    <cellStyle name="Normal 61 6 4 2 4 2 3 2 2" xfId="0"/>
    <cellStyle name="Normal 61 6 4 2 4 2 3 3" xfId="0"/>
    <cellStyle name="Normal 61 6 4 2 4 2 4" xfId="0"/>
    <cellStyle name="Normal 61 6 4 2 4 2 4 2" xfId="0"/>
    <cellStyle name="Normal 61 6 4 2 4 2 5" xfId="0"/>
    <cellStyle name="Normal 61 6 4 2 4 3" xfId="0"/>
    <cellStyle name="Normal 61 6 4 2 4 3 2" xfId="0"/>
    <cellStyle name="Normal 61 6 4 2 4 3 2 2" xfId="0"/>
    <cellStyle name="Normal 61 6 4 2 4 3 3" xfId="0"/>
    <cellStyle name="Normal 61 6 4 2 4 4" xfId="0"/>
    <cellStyle name="Normal 61 6 4 2 4 4 2" xfId="0"/>
    <cellStyle name="Normal 61 6 4 2 4 4 2 2" xfId="0"/>
    <cellStyle name="Normal 61 6 4 2 4 4 3" xfId="0"/>
    <cellStyle name="Normal 61 6 4 2 4 5" xfId="0"/>
    <cellStyle name="Normal 61 6 4 2 4 5 2" xfId="0"/>
    <cellStyle name="Normal 61 6 4 2 4 6" xfId="0"/>
    <cellStyle name="Normal 61 6 4 2 5" xfId="0"/>
    <cellStyle name="Normal 61 6 4 2 5 2" xfId="0"/>
    <cellStyle name="Normal 61 6 4 2 5 2 2" xfId="0"/>
    <cellStyle name="Normal 61 6 4 2 5 2 2 2" xfId="0"/>
    <cellStyle name="Normal 61 6 4 2 5 2 3" xfId="0"/>
    <cellStyle name="Normal 61 6 4 2 5 3" xfId="0"/>
    <cellStyle name="Normal 61 6 4 2 5 3 2" xfId="0"/>
    <cellStyle name="Normal 61 6 4 2 5 3 2 2" xfId="0"/>
    <cellStyle name="Normal 61 6 4 2 5 3 3" xfId="0"/>
    <cellStyle name="Normal 61 6 4 2 5 4" xfId="0"/>
    <cellStyle name="Normal 61 6 4 2 5 4 2" xfId="0"/>
    <cellStyle name="Normal 61 6 4 2 5 5" xfId="0"/>
    <cellStyle name="Normal 61 6 4 2 6" xfId="0"/>
    <cellStyle name="Normal 61 6 4 2 6 2" xfId="0"/>
    <cellStyle name="Normal 61 6 4 2 6 2 2" xfId="0"/>
    <cellStyle name="Normal 61 6 4 2 6 3" xfId="0"/>
    <cellStyle name="Normal 61 6 4 2 7" xfId="0"/>
    <cellStyle name="Normal 61 6 4 2 7 2" xfId="0"/>
    <cellStyle name="Normal 61 6 4 2 7 2 2" xfId="0"/>
    <cellStyle name="Normal 61 6 4 2 7 3" xfId="0"/>
    <cellStyle name="Normal 61 6 4 2 8" xfId="0"/>
    <cellStyle name="Normal 61 6 4 2 8 2" xfId="0"/>
    <cellStyle name="Normal 61 6 4 2 9" xfId="0"/>
    <cellStyle name="Normal 61 6 4 3" xfId="0"/>
    <cellStyle name="Normal 61 6 4 3 2" xfId="0"/>
    <cellStyle name="Normal 61 6 4 3 2 2" xfId="0"/>
    <cellStyle name="Normal 61 6 4 3 2 2 2" xfId="0"/>
    <cellStyle name="Normal 61 6 4 3 2 2 2 2" xfId="0"/>
    <cellStyle name="Normal 61 6 4 3 2 2 2 2 2" xfId="0"/>
    <cellStyle name="Normal 61 6 4 3 2 2 2 2 2 2" xfId="0"/>
    <cellStyle name="Normal 61 6 4 3 2 2 2 2 3" xfId="0"/>
    <cellStyle name="Normal 61 6 4 3 2 2 2 3" xfId="0"/>
    <cellStyle name="Normal 61 6 4 3 2 2 2 3 2" xfId="0"/>
    <cellStyle name="Normal 61 6 4 3 2 2 2 3 2 2" xfId="0"/>
    <cellStyle name="Normal 61 6 4 3 2 2 2 3 3" xfId="0"/>
    <cellStyle name="Normal 61 6 4 3 2 2 2 4" xfId="0"/>
    <cellStyle name="Normal 61 6 4 3 2 2 2 4 2" xfId="0"/>
    <cellStyle name="Normal 61 6 4 3 2 2 2 5" xfId="0"/>
    <cellStyle name="Normal 61 6 4 3 2 2 3" xfId="0"/>
    <cellStyle name="Normal 61 6 4 3 2 2 3 2" xfId="0"/>
    <cellStyle name="Normal 61 6 4 3 2 2 3 2 2" xfId="0"/>
    <cellStyle name="Normal 61 6 4 3 2 2 3 3" xfId="0"/>
    <cellStyle name="Normal 61 6 4 3 2 2 4" xfId="0"/>
    <cellStyle name="Normal 61 6 4 3 2 2 4 2" xfId="0"/>
    <cellStyle name="Normal 61 6 4 3 2 2 4 2 2" xfId="0"/>
    <cellStyle name="Normal 61 6 4 3 2 2 4 3" xfId="0"/>
    <cellStyle name="Normal 61 6 4 3 2 2 5" xfId="0"/>
    <cellStyle name="Normal 61 6 4 3 2 2 5 2" xfId="0"/>
    <cellStyle name="Normal 61 6 4 3 2 2 6" xfId="0"/>
    <cellStyle name="Normal 61 6 4 3 2 3" xfId="0"/>
    <cellStyle name="Normal 61 6 4 3 2 3 2" xfId="0"/>
    <cellStyle name="Normal 61 6 4 3 2 3 2 2" xfId="0"/>
    <cellStyle name="Normal 61 6 4 3 2 3 2 2 2" xfId="0"/>
    <cellStyle name="Normal 61 6 4 3 2 3 2 3" xfId="0"/>
    <cellStyle name="Normal 61 6 4 3 2 3 3" xfId="0"/>
    <cellStyle name="Normal 61 6 4 3 2 3 3 2" xfId="0"/>
    <cellStyle name="Normal 61 6 4 3 2 3 3 2 2" xfId="0"/>
    <cellStyle name="Normal 61 6 4 3 2 3 3 3" xfId="0"/>
    <cellStyle name="Normal 61 6 4 3 2 3 4" xfId="0"/>
    <cellStyle name="Normal 61 6 4 3 2 3 4 2" xfId="0"/>
    <cellStyle name="Normal 61 6 4 3 2 3 5" xfId="0"/>
    <cellStyle name="Normal 61 6 4 3 2 4" xfId="0"/>
    <cellStyle name="Normal 61 6 4 3 2 4 2" xfId="0"/>
    <cellStyle name="Normal 61 6 4 3 2 4 2 2" xfId="0"/>
    <cellStyle name="Normal 61 6 4 3 2 4 3" xfId="0"/>
    <cellStyle name="Normal 61 6 4 3 2 5" xfId="0"/>
    <cellStyle name="Normal 61 6 4 3 2 5 2" xfId="0"/>
    <cellStyle name="Normal 61 6 4 3 2 5 2 2" xfId="0"/>
    <cellStyle name="Normal 61 6 4 3 2 5 3" xfId="0"/>
    <cellStyle name="Normal 61 6 4 3 2 6" xfId="0"/>
    <cellStyle name="Normal 61 6 4 3 2 6 2" xfId="0"/>
    <cellStyle name="Normal 61 6 4 3 2 7" xfId="0"/>
    <cellStyle name="Normal 61 6 4 3 3" xfId="0"/>
    <cellStyle name="Normal 61 6 4 3 3 2" xfId="0"/>
    <cellStyle name="Normal 61 6 4 3 3 2 2" xfId="0"/>
    <cellStyle name="Normal 61 6 4 3 3 2 2 2" xfId="0"/>
    <cellStyle name="Normal 61 6 4 3 3 2 2 2 2" xfId="0"/>
    <cellStyle name="Normal 61 6 4 3 3 2 2 3" xfId="0"/>
    <cellStyle name="Normal 61 6 4 3 3 2 3" xfId="0"/>
    <cellStyle name="Normal 61 6 4 3 3 2 3 2" xfId="0"/>
    <cellStyle name="Normal 61 6 4 3 3 2 3 2 2" xfId="0"/>
    <cellStyle name="Normal 61 6 4 3 3 2 3 3" xfId="0"/>
    <cellStyle name="Normal 61 6 4 3 3 2 4" xfId="0"/>
    <cellStyle name="Normal 61 6 4 3 3 2 4 2" xfId="0"/>
    <cellStyle name="Normal 61 6 4 3 3 2 5" xfId="0"/>
    <cellStyle name="Normal 61 6 4 3 3 3" xfId="0"/>
    <cellStyle name="Normal 61 6 4 3 3 3 2" xfId="0"/>
    <cellStyle name="Normal 61 6 4 3 3 3 2 2" xfId="0"/>
    <cellStyle name="Normal 61 6 4 3 3 3 3" xfId="0"/>
    <cellStyle name="Normal 61 6 4 3 3 4" xfId="0"/>
    <cellStyle name="Normal 61 6 4 3 3 4 2" xfId="0"/>
    <cellStyle name="Normal 61 6 4 3 3 4 2 2" xfId="0"/>
    <cellStyle name="Normal 61 6 4 3 3 4 3" xfId="0"/>
    <cellStyle name="Normal 61 6 4 3 3 5" xfId="0"/>
    <cellStyle name="Normal 61 6 4 3 3 5 2" xfId="0"/>
    <cellStyle name="Normal 61 6 4 3 3 6" xfId="0"/>
    <cellStyle name="Normal 61 6 4 3 4" xfId="0"/>
    <cellStyle name="Normal 61 6 4 3 4 2" xfId="0"/>
    <cellStyle name="Normal 61 6 4 3 4 2 2" xfId="0"/>
    <cellStyle name="Normal 61 6 4 3 4 2 2 2" xfId="0"/>
    <cellStyle name="Normal 61 6 4 3 4 2 3" xfId="0"/>
    <cellStyle name="Normal 61 6 4 3 4 3" xfId="0"/>
    <cellStyle name="Normal 61 6 4 3 4 3 2" xfId="0"/>
    <cellStyle name="Normal 61 6 4 3 4 3 2 2" xfId="0"/>
    <cellStyle name="Normal 61 6 4 3 4 3 3" xfId="0"/>
    <cellStyle name="Normal 61 6 4 3 4 4" xfId="0"/>
    <cellStyle name="Normal 61 6 4 3 4 4 2" xfId="0"/>
    <cellStyle name="Normal 61 6 4 3 4 5" xfId="0"/>
    <cellStyle name="Normal 61 6 4 3 5" xfId="0"/>
    <cellStyle name="Normal 61 6 4 3 5 2" xfId="0"/>
    <cellStyle name="Normal 61 6 4 3 5 2 2" xfId="0"/>
    <cellStyle name="Normal 61 6 4 3 5 3" xfId="0"/>
    <cellStyle name="Normal 61 6 4 3 6" xfId="0"/>
    <cellStyle name="Normal 61 6 4 3 6 2" xfId="0"/>
    <cellStyle name="Normal 61 6 4 3 6 2 2" xfId="0"/>
    <cellStyle name="Normal 61 6 4 3 6 3" xfId="0"/>
    <cellStyle name="Normal 61 6 4 3 7" xfId="0"/>
    <cellStyle name="Normal 61 6 4 3 7 2" xfId="0"/>
    <cellStyle name="Normal 61 6 4 3 8" xfId="0"/>
    <cellStyle name="Normal 61 6 4 4" xfId="0"/>
    <cellStyle name="Normal 61 6 4 4 2" xfId="0"/>
    <cellStyle name="Normal 61 6 4 4 2 2" xfId="0"/>
    <cellStyle name="Normal 61 6 4 4 2 2 2" xfId="0"/>
    <cellStyle name="Normal 61 6 4 4 2 2 2 2" xfId="0"/>
    <cellStyle name="Normal 61 6 4 4 2 2 2 2 2" xfId="0"/>
    <cellStyle name="Normal 61 6 4 4 2 2 2 3" xfId="0"/>
    <cellStyle name="Normal 61 6 4 4 2 2 3" xfId="0"/>
    <cellStyle name="Normal 61 6 4 4 2 2 3 2" xfId="0"/>
    <cellStyle name="Normal 61 6 4 4 2 2 3 2 2" xfId="0"/>
    <cellStyle name="Normal 61 6 4 4 2 2 3 3" xfId="0"/>
    <cellStyle name="Normal 61 6 4 4 2 2 4" xfId="0"/>
    <cellStyle name="Normal 61 6 4 4 2 2 4 2" xfId="0"/>
    <cellStyle name="Normal 61 6 4 4 2 2 5" xfId="0"/>
    <cellStyle name="Normal 61 6 4 4 2 3" xfId="0"/>
    <cellStyle name="Normal 61 6 4 4 2 3 2" xfId="0"/>
    <cellStyle name="Normal 61 6 4 4 2 3 2 2" xfId="0"/>
    <cellStyle name="Normal 61 6 4 4 2 3 3" xfId="0"/>
    <cellStyle name="Normal 61 6 4 4 2 4" xfId="0"/>
    <cellStyle name="Normal 61 6 4 4 2 4 2" xfId="0"/>
    <cellStyle name="Normal 61 6 4 4 2 4 2 2" xfId="0"/>
    <cellStyle name="Normal 61 6 4 4 2 4 3" xfId="0"/>
    <cellStyle name="Normal 61 6 4 4 2 5" xfId="0"/>
    <cellStyle name="Normal 61 6 4 4 2 5 2" xfId="0"/>
    <cellStyle name="Normal 61 6 4 4 2 6" xfId="0"/>
    <cellStyle name="Normal 61 6 4 4 3" xfId="0"/>
    <cellStyle name="Normal 61 6 4 4 3 2" xfId="0"/>
    <cellStyle name="Normal 61 6 4 4 3 2 2" xfId="0"/>
    <cellStyle name="Normal 61 6 4 4 3 2 2 2" xfId="0"/>
    <cellStyle name="Normal 61 6 4 4 3 2 3" xfId="0"/>
    <cellStyle name="Normal 61 6 4 4 3 3" xfId="0"/>
    <cellStyle name="Normal 61 6 4 4 3 3 2" xfId="0"/>
    <cellStyle name="Normal 61 6 4 4 3 3 2 2" xfId="0"/>
    <cellStyle name="Normal 61 6 4 4 3 3 3" xfId="0"/>
    <cellStyle name="Normal 61 6 4 4 3 4" xfId="0"/>
    <cellStyle name="Normal 61 6 4 4 3 4 2" xfId="0"/>
    <cellStyle name="Normal 61 6 4 4 3 5" xfId="0"/>
    <cellStyle name="Normal 61 6 4 4 4" xfId="0"/>
    <cellStyle name="Normal 61 6 4 4 4 2" xfId="0"/>
    <cellStyle name="Normal 61 6 4 4 4 2 2" xfId="0"/>
    <cellStyle name="Normal 61 6 4 4 4 3" xfId="0"/>
    <cellStyle name="Normal 61 6 4 4 5" xfId="0"/>
    <cellStyle name="Normal 61 6 4 4 5 2" xfId="0"/>
    <cellStyle name="Normal 61 6 4 4 5 2 2" xfId="0"/>
    <cellStyle name="Normal 61 6 4 4 5 3" xfId="0"/>
    <cellStyle name="Normal 61 6 4 4 6" xfId="0"/>
    <cellStyle name="Normal 61 6 4 4 6 2" xfId="0"/>
    <cellStyle name="Normal 61 6 4 4 7" xfId="0"/>
    <cellStyle name="Normal 61 6 4 5" xfId="0"/>
    <cellStyle name="Normal 61 6 4 5 2" xfId="0"/>
    <cellStyle name="Normal 61 6 4 5 2 2" xfId="0"/>
    <cellStyle name="Normal 61 6 4 5 2 2 2" xfId="0"/>
    <cellStyle name="Normal 61 6 4 5 2 2 2 2" xfId="0"/>
    <cellStyle name="Normal 61 6 4 5 2 2 3" xfId="0"/>
    <cellStyle name="Normal 61 6 4 5 2 3" xfId="0"/>
    <cellStyle name="Normal 61 6 4 5 2 3 2" xfId="0"/>
    <cellStyle name="Normal 61 6 4 5 2 3 2 2" xfId="0"/>
    <cellStyle name="Normal 61 6 4 5 2 3 3" xfId="0"/>
    <cellStyle name="Normal 61 6 4 5 2 4" xfId="0"/>
    <cellStyle name="Normal 61 6 4 5 2 4 2" xfId="0"/>
    <cellStyle name="Normal 61 6 4 5 2 5" xfId="0"/>
    <cellStyle name="Normal 61 6 4 5 3" xfId="0"/>
    <cellStyle name="Normal 61 6 4 5 3 2" xfId="0"/>
    <cellStyle name="Normal 61 6 4 5 3 2 2" xfId="0"/>
    <cellStyle name="Normal 61 6 4 5 3 3" xfId="0"/>
    <cellStyle name="Normal 61 6 4 5 4" xfId="0"/>
    <cellStyle name="Normal 61 6 4 5 4 2" xfId="0"/>
    <cellStyle name="Normal 61 6 4 5 4 2 2" xfId="0"/>
    <cellStyle name="Normal 61 6 4 5 4 3" xfId="0"/>
    <cellStyle name="Normal 61 6 4 5 5" xfId="0"/>
    <cellStyle name="Normal 61 6 4 5 5 2" xfId="0"/>
    <cellStyle name="Normal 61 6 4 5 6" xfId="0"/>
    <cellStyle name="Normal 61 6 4 6" xfId="0"/>
    <cellStyle name="Normal 61 6 4 6 2" xfId="0"/>
    <cellStyle name="Normal 61 6 4 6 2 2" xfId="0"/>
    <cellStyle name="Normal 61 6 4 6 2 2 2" xfId="0"/>
    <cellStyle name="Normal 61 6 4 6 2 3" xfId="0"/>
    <cellStyle name="Normal 61 6 4 6 3" xfId="0"/>
    <cellStyle name="Normal 61 6 4 6 3 2" xfId="0"/>
    <cellStyle name="Normal 61 6 4 6 3 2 2" xfId="0"/>
    <cellStyle name="Normal 61 6 4 6 3 3" xfId="0"/>
    <cellStyle name="Normal 61 6 4 6 4" xfId="0"/>
    <cellStyle name="Normal 61 6 4 6 4 2" xfId="0"/>
    <cellStyle name="Normal 61 6 4 6 5" xfId="0"/>
    <cellStyle name="Normal 61 6 4 7" xfId="0"/>
    <cellStyle name="Normal 61 6 4 7 2" xfId="0"/>
    <cellStyle name="Normal 61 6 4 7 2 2" xfId="0"/>
    <cellStyle name="Normal 61 6 4 7 3" xfId="0"/>
    <cellStyle name="Normal 61 6 4 8" xfId="0"/>
    <cellStyle name="Normal 61 6 4 8 2" xfId="0"/>
    <cellStyle name="Normal 61 6 4 8 2 2" xfId="0"/>
    <cellStyle name="Normal 61 6 4 8 3" xfId="0"/>
    <cellStyle name="Normal 61 6 4 9" xfId="0"/>
    <cellStyle name="Normal 61 6 4 9 2" xfId="0"/>
    <cellStyle name="Normal 61 6 5" xfId="0"/>
    <cellStyle name="Normal 61 6 5 2" xfId="0"/>
    <cellStyle name="Normal 61 6 5 2 2" xfId="0"/>
    <cellStyle name="Normal 61 6 5 2 2 2" xfId="0"/>
    <cellStyle name="Normal 61 6 5 2 2 2 2" xfId="0"/>
    <cellStyle name="Normal 61 6 5 2 2 2 2 2" xfId="0"/>
    <cellStyle name="Normal 61 6 5 2 2 2 2 2 2" xfId="0"/>
    <cellStyle name="Normal 61 6 5 2 2 2 2 2 2 2" xfId="0"/>
    <cellStyle name="Normal 61 6 5 2 2 2 2 2 3" xfId="0"/>
    <cellStyle name="Normal 61 6 5 2 2 2 2 3" xfId="0"/>
    <cellStyle name="Normal 61 6 5 2 2 2 2 3 2" xfId="0"/>
    <cellStyle name="Normal 61 6 5 2 2 2 2 3 2 2" xfId="0"/>
    <cellStyle name="Normal 61 6 5 2 2 2 2 3 3" xfId="0"/>
    <cellStyle name="Normal 61 6 5 2 2 2 2 4" xfId="0"/>
    <cellStyle name="Normal 61 6 5 2 2 2 2 4 2" xfId="0"/>
    <cellStyle name="Normal 61 6 5 2 2 2 2 5" xfId="0"/>
    <cellStyle name="Normal 61 6 5 2 2 2 3" xfId="0"/>
    <cellStyle name="Normal 61 6 5 2 2 2 3 2" xfId="0"/>
    <cellStyle name="Normal 61 6 5 2 2 2 3 2 2" xfId="0"/>
    <cellStyle name="Normal 61 6 5 2 2 2 3 3" xfId="0"/>
    <cellStyle name="Normal 61 6 5 2 2 2 4" xfId="0"/>
    <cellStyle name="Normal 61 6 5 2 2 2 4 2" xfId="0"/>
    <cellStyle name="Normal 61 6 5 2 2 2 4 2 2" xfId="0"/>
    <cellStyle name="Normal 61 6 5 2 2 2 4 3" xfId="0"/>
    <cellStyle name="Normal 61 6 5 2 2 2 5" xfId="0"/>
    <cellStyle name="Normal 61 6 5 2 2 2 5 2" xfId="0"/>
    <cellStyle name="Normal 61 6 5 2 2 2 6" xfId="0"/>
    <cellStyle name="Normal 61 6 5 2 2 3" xfId="0"/>
    <cellStyle name="Normal 61 6 5 2 2 3 2" xfId="0"/>
    <cellStyle name="Normal 61 6 5 2 2 3 2 2" xfId="0"/>
    <cellStyle name="Normal 61 6 5 2 2 3 2 2 2" xfId="0"/>
    <cellStyle name="Normal 61 6 5 2 2 3 2 3" xfId="0"/>
    <cellStyle name="Normal 61 6 5 2 2 3 3" xfId="0"/>
    <cellStyle name="Normal 61 6 5 2 2 3 3 2" xfId="0"/>
    <cellStyle name="Normal 61 6 5 2 2 3 3 2 2" xfId="0"/>
    <cellStyle name="Normal 61 6 5 2 2 3 3 3" xfId="0"/>
    <cellStyle name="Normal 61 6 5 2 2 3 4" xfId="0"/>
    <cellStyle name="Normal 61 6 5 2 2 3 4 2" xfId="0"/>
    <cellStyle name="Normal 61 6 5 2 2 3 5" xfId="0"/>
    <cellStyle name="Normal 61 6 5 2 2 4" xfId="0"/>
    <cellStyle name="Normal 61 6 5 2 2 4 2" xfId="0"/>
    <cellStyle name="Normal 61 6 5 2 2 4 2 2" xfId="0"/>
    <cellStyle name="Normal 61 6 5 2 2 4 3" xfId="0"/>
    <cellStyle name="Normal 61 6 5 2 2 5" xfId="0"/>
    <cellStyle name="Normal 61 6 5 2 2 5 2" xfId="0"/>
    <cellStyle name="Normal 61 6 5 2 2 5 2 2" xfId="0"/>
    <cellStyle name="Normal 61 6 5 2 2 5 3" xfId="0"/>
    <cellStyle name="Normal 61 6 5 2 2 6" xfId="0"/>
    <cellStyle name="Normal 61 6 5 2 2 6 2" xfId="0"/>
    <cellStyle name="Normal 61 6 5 2 2 7" xfId="0"/>
    <cellStyle name="Normal 61 6 5 2 3" xfId="0"/>
    <cellStyle name="Normal 61 6 5 2 3 2" xfId="0"/>
    <cellStyle name="Normal 61 6 5 2 3 2 2" xfId="0"/>
    <cellStyle name="Normal 61 6 5 2 3 2 2 2" xfId="0"/>
    <cellStyle name="Normal 61 6 5 2 3 2 2 2 2" xfId="0"/>
    <cellStyle name="Normal 61 6 5 2 3 2 2 3" xfId="0"/>
    <cellStyle name="Normal 61 6 5 2 3 2 3" xfId="0"/>
    <cellStyle name="Normal 61 6 5 2 3 2 3 2" xfId="0"/>
    <cellStyle name="Normal 61 6 5 2 3 2 3 2 2" xfId="0"/>
    <cellStyle name="Normal 61 6 5 2 3 2 3 3" xfId="0"/>
    <cellStyle name="Normal 61 6 5 2 3 2 4" xfId="0"/>
    <cellStyle name="Normal 61 6 5 2 3 2 4 2" xfId="0"/>
    <cellStyle name="Normal 61 6 5 2 3 2 5" xfId="0"/>
    <cellStyle name="Normal 61 6 5 2 3 3" xfId="0"/>
    <cellStyle name="Normal 61 6 5 2 3 3 2" xfId="0"/>
    <cellStyle name="Normal 61 6 5 2 3 3 2 2" xfId="0"/>
    <cellStyle name="Normal 61 6 5 2 3 3 3" xfId="0"/>
    <cellStyle name="Normal 61 6 5 2 3 4" xfId="0"/>
    <cellStyle name="Normal 61 6 5 2 3 4 2" xfId="0"/>
    <cellStyle name="Normal 61 6 5 2 3 4 2 2" xfId="0"/>
    <cellStyle name="Normal 61 6 5 2 3 4 3" xfId="0"/>
    <cellStyle name="Normal 61 6 5 2 3 5" xfId="0"/>
    <cellStyle name="Normal 61 6 5 2 3 5 2" xfId="0"/>
    <cellStyle name="Normal 61 6 5 2 3 6" xfId="0"/>
    <cellStyle name="Normal 61 6 5 2 4" xfId="0"/>
    <cellStyle name="Normal 61 6 5 2 4 2" xfId="0"/>
    <cellStyle name="Normal 61 6 5 2 4 2 2" xfId="0"/>
    <cellStyle name="Normal 61 6 5 2 4 2 2 2" xfId="0"/>
    <cellStyle name="Normal 61 6 5 2 4 2 3" xfId="0"/>
    <cellStyle name="Normal 61 6 5 2 4 3" xfId="0"/>
    <cellStyle name="Normal 61 6 5 2 4 3 2" xfId="0"/>
    <cellStyle name="Normal 61 6 5 2 4 3 2 2" xfId="0"/>
    <cellStyle name="Normal 61 6 5 2 4 3 3" xfId="0"/>
    <cellStyle name="Normal 61 6 5 2 4 4" xfId="0"/>
    <cellStyle name="Normal 61 6 5 2 4 4 2" xfId="0"/>
    <cellStyle name="Normal 61 6 5 2 4 5" xfId="0"/>
    <cellStyle name="Normal 61 6 5 2 5" xfId="0"/>
    <cellStyle name="Normal 61 6 5 2 5 2" xfId="0"/>
    <cellStyle name="Normal 61 6 5 2 5 2 2" xfId="0"/>
    <cellStyle name="Normal 61 6 5 2 5 3" xfId="0"/>
    <cellStyle name="Normal 61 6 5 2 6" xfId="0"/>
    <cellStyle name="Normal 61 6 5 2 6 2" xfId="0"/>
    <cellStyle name="Normal 61 6 5 2 6 2 2" xfId="0"/>
    <cellStyle name="Normal 61 6 5 2 6 3" xfId="0"/>
    <cellStyle name="Normal 61 6 5 2 7" xfId="0"/>
    <cellStyle name="Normal 61 6 5 2 7 2" xfId="0"/>
    <cellStyle name="Normal 61 6 5 2 8" xfId="0"/>
    <cellStyle name="Normal 61 6 5 3" xfId="0"/>
    <cellStyle name="Normal 61 6 5 3 2" xfId="0"/>
    <cellStyle name="Normal 61 6 5 3 2 2" xfId="0"/>
    <cellStyle name="Normal 61 6 5 3 2 2 2" xfId="0"/>
    <cellStyle name="Normal 61 6 5 3 2 2 2 2" xfId="0"/>
    <cellStyle name="Normal 61 6 5 3 2 2 2 2 2" xfId="0"/>
    <cellStyle name="Normal 61 6 5 3 2 2 2 3" xfId="0"/>
    <cellStyle name="Normal 61 6 5 3 2 2 3" xfId="0"/>
    <cellStyle name="Normal 61 6 5 3 2 2 3 2" xfId="0"/>
    <cellStyle name="Normal 61 6 5 3 2 2 3 2 2" xfId="0"/>
    <cellStyle name="Normal 61 6 5 3 2 2 3 3" xfId="0"/>
    <cellStyle name="Normal 61 6 5 3 2 2 4" xfId="0"/>
    <cellStyle name="Normal 61 6 5 3 2 2 4 2" xfId="0"/>
    <cellStyle name="Normal 61 6 5 3 2 2 5" xfId="0"/>
    <cellStyle name="Normal 61 6 5 3 2 3" xfId="0"/>
    <cellStyle name="Normal 61 6 5 3 2 3 2" xfId="0"/>
    <cellStyle name="Normal 61 6 5 3 2 3 2 2" xfId="0"/>
    <cellStyle name="Normal 61 6 5 3 2 3 3" xfId="0"/>
    <cellStyle name="Normal 61 6 5 3 2 4" xfId="0"/>
    <cellStyle name="Normal 61 6 5 3 2 4 2" xfId="0"/>
    <cellStyle name="Normal 61 6 5 3 2 4 2 2" xfId="0"/>
    <cellStyle name="Normal 61 6 5 3 2 4 3" xfId="0"/>
    <cellStyle name="Normal 61 6 5 3 2 5" xfId="0"/>
    <cellStyle name="Normal 61 6 5 3 2 5 2" xfId="0"/>
    <cellStyle name="Normal 61 6 5 3 2 6" xfId="0"/>
    <cellStyle name="Normal 61 6 5 3 3" xfId="0"/>
    <cellStyle name="Normal 61 6 5 3 3 2" xfId="0"/>
    <cellStyle name="Normal 61 6 5 3 3 2 2" xfId="0"/>
    <cellStyle name="Normal 61 6 5 3 3 2 2 2" xfId="0"/>
    <cellStyle name="Normal 61 6 5 3 3 2 3" xfId="0"/>
    <cellStyle name="Normal 61 6 5 3 3 3" xfId="0"/>
    <cellStyle name="Normal 61 6 5 3 3 3 2" xfId="0"/>
    <cellStyle name="Normal 61 6 5 3 3 3 2 2" xfId="0"/>
    <cellStyle name="Normal 61 6 5 3 3 3 3" xfId="0"/>
    <cellStyle name="Normal 61 6 5 3 3 4" xfId="0"/>
    <cellStyle name="Normal 61 6 5 3 3 4 2" xfId="0"/>
    <cellStyle name="Normal 61 6 5 3 3 5" xfId="0"/>
    <cellStyle name="Normal 61 6 5 3 4" xfId="0"/>
    <cellStyle name="Normal 61 6 5 3 4 2" xfId="0"/>
    <cellStyle name="Normal 61 6 5 3 4 2 2" xfId="0"/>
    <cellStyle name="Normal 61 6 5 3 4 3" xfId="0"/>
    <cellStyle name="Normal 61 6 5 3 5" xfId="0"/>
    <cellStyle name="Normal 61 6 5 3 5 2" xfId="0"/>
    <cellStyle name="Normal 61 6 5 3 5 2 2" xfId="0"/>
    <cellStyle name="Normal 61 6 5 3 5 3" xfId="0"/>
    <cellStyle name="Normal 61 6 5 3 6" xfId="0"/>
    <cellStyle name="Normal 61 6 5 3 6 2" xfId="0"/>
    <cellStyle name="Normal 61 6 5 3 7" xfId="0"/>
    <cellStyle name="Normal 61 6 5 4" xfId="0"/>
    <cellStyle name="Normal 61 6 5 4 2" xfId="0"/>
    <cellStyle name="Normal 61 6 5 4 2 2" xfId="0"/>
    <cellStyle name="Normal 61 6 5 4 2 2 2" xfId="0"/>
    <cellStyle name="Normal 61 6 5 4 2 2 2 2" xfId="0"/>
    <cellStyle name="Normal 61 6 5 4 2 2 3" xfId="0"/>
    <cellStyle name="Normal 61 6 5 4 2 3" xfId="0"/>
    <cellStyle name="Normal 61 6 5 4 2 3 2" xfId="0"/>
    <cellStyle name="Normal 61 6 5 4 2 3 2 2" xfId="0"/>
    <cellStyle name="Normal 61 6 5 4 2 3 3" xfId="0"/>
    <cellStyle name="Normal 61 6 5 4 2 4" xfId="0"/>
    <cellStyle name="Normal 61 6 5 4 2 4 2" xfId="0"/>
    <cellStyle name="Normal 61 6 5 4 2 5" xfId="0"/>
    <cellStyle name="Normal 61 6 5 4 3" xfId="0"/>
    <cellStyle name="Normal 61 6 5 4 3 2" xfId="0"/>
    <cellStyle name="Normal 61 6 5 4 3 2 2" xfId="0"/>
    <cellStyle name="Normal 61 6 5 4 3 3" xfId="0"/>
    <cellStyle name="Normal 61 6 5 4 4" xfId="0"/>
    <cellStyle name="Normal 61 6 5 4 4 2" xfId="0"/>
    <cellStyle name="Normal 61 6 5 4 4 2 2" xfId="0"/>
    <cellStyle name="Normal 61 6 5 4 4 3" xfId="0"/>
    <cellStyle name="Normal 61 6 5 4 5" xfId="0"/>
    <cellStyle name="Normal 61 6 5 4 5 2" xfId="0"/>
    <cellStyle name="Normal 61 6 5 4 6" xfId="0"/>
    <cellStyle name="Normal 61 6 5 5" xfId="0"/>
    <cellStyle name="Normal 61 6 5 5 2" xfId="0"/>
    <cellStyle name="Normal 61 6 5 5 2 2" xfId="0"/>
    <cellStyle name="Normal 61 6 5 5 2 2 2" xfId="0"/>
    <cellStyle name="Normal 61 6 5 5 2 3" xfId="0"/>
    <cellStyle name="Normal 61 6 5 5 3" xfId="0"/>
    <cellStyle name="Normal 61 6 5 5 3 2" xfId="0"/>
    <cellStyle name="Normal 61 6 5 5 3 2 2" xfId="0"/>
    <cellStyle name="Normal 61 6 5 5 3 3" xfId="0"/>
    <cellStyle name="Normal 61 6 5 5 4" xfId="0"/>
    <cellStyle name="Normal 61 6 5 5 4 2" xfId="0"/>
    <cellStyle name="Normal 61 6 5 5 5" xfId="0"/>
    <cellStyle name="Normal 61 6 5 6" xfId="0"/>
    <cellStyle name="Normal 61 6 5 6 2" xfId="0"/>
    <cellStyle name="Normal 61 6 5 6 2 2" xfId="0"/>
    <cellStyle name="Normal 61 6 5 6 3" xfId="0"/>
    <cellStyle name="Normal 61 6 5 7" xfId="0"/>
    <cellStyle name="Normal 61 6 5 7 2" xfId="0"/>
    <cellStyle name="Normal 61 6 5 7 2 2" xfId="0"/>
    <cellStyle name="Normal 61 6 5 7 3" xfId="0"/>
    <cellStyle name="Normal 61 6 5 8" xfId="0"/>
    <cellStyle name="Normal 61 6 5 8 2" xfId="0"/>
    <cellStyle name="Normal 61 6 5 9" xfId="0"/>
    <cellStyle name="Normal 61 6 6" xfId="0"/>
    <cellStyle name="Normal 61 6 6 2" xfId="0"/>
    <cellStyle name="Normal 61 6 6 2 2" xfId="0"/>
    <cellStyle name="Normal 61 6 6 2 2 2" xfId="0"/>
    <cellStyle name="Normal 61 6 6 2 2 2 2" xfId="0"/>
    <cellStyle name="Normal 61 6 6 2 2 2 2 2" xfId="0"/>
    <cellStyle name="Normal 61 6 6 2 2 2 2 2 2" xfId="0"/>
    <cellStyle name="Normal 61 6 6 2 2 2 2 3" xfId="0"/>
    <cellStyle name="Normal 61 6 6 2 2 2 3" xfId="0"/>
    <cellStyle name="Normal 61 6 6 2 2 2 3 2" xfId="0"/>
    <cellStyle name="Normal 61 6 6 2 2 2 3 2 2" xfId="0"/>
    <cellStyle name="Normal 61 6 6 2 2 2 3 3" xfId="0"/>
    <cellStyle name="Normal 61 6 6 2 2 2 4" xfId="0"/>
    <cellStyle name="Normal 61 6 6 2 2 2 4 2" xfId="0"/>
    <cellStyle name="Normal 61 6 6 2 2 2 5" xfId="0"/>
    <cellStyle name="Normal 61 6 6 2 2 3" xfId="0"/>
    <cellStyle name="Normal 61 6 6 2 2 3 2" xfId="0"/>
    <cellStyle name="Normal 61 6 6 2 2 3 2 2" xfId="0"/>
    <cellStyle name="Normal 61 6 6 2 2 3 3" xfId="0"/>
    <cellStyle name="Normal 61 6 6 2 2 4" xfId="0"/>
    <cellStyle name="Normal 61 6 6 2 2 4 2" xfId="0"/>
    <cellStyle name="Normal 61 6 6 2 2 4 2 2" xfId="0"/>
    <cellStyle name="Normal 61 6 6 2 2 4 3" xfId="0"/>
    <cellStyle name="Normal 61 6 6 2 2 5" xfId="0"/>
    <cellStyle name="Normal 61 6 6 2 2 5 2" xfId="0"/>
    <cellStyle name="Normal 61 6 6 2 2 6" xfId="0"/>
    <cellStyle name="Normal 61 6 6 2 3" xfId="0"/>
    <cellStyle name="Normal 61 6 6 2 3 2" xfId="0"/>
    <cellStyle name="Normal 61 6 6 2 3 2 2" xfId="0"/>
    <cellStyle name="Normal 61 6 6 2 3 2 2 2" xfId="0"/>
    <cellStyle name="Normal 61 6 6 2 3 2 3" xfId="0"/>
    <cellStyle name="Normal 61 6 6 2 3 3" xfId="0"/>
    <cellStyle name="Normal 61 6 6 2 3 3 2" xfId="0"/>
    <cellStyle name="Normal 61 6 6 2 3 3 2 2" xfId="0"/>
    <cellStyle name="Normal 61 6 6 2 3 3 3" xfId="0"/>
    <cellStyle name="Normal 61 6 6 2 3 4" xfId="0"/>
    <cellStyle name="Normal 61 6 6 2 3 4 2" xfId="0"/>
    <cellStyle name="Normal 61 6 6 2 3 5" xfId="0"/>
    <cellStyle name="Normal 61 6 6 2 4" xfId="0"/>
    <cellStyle name="Normal 61 6 6 2 4 2" xfId="0"/>
    <cellStyle name="Normal 61 6 6 2 4 2 2" xfId="0"/>
    <cellStyle name="Normal 61 6 6 2 4 3" xfId="0"/>
    <cellStyle name="Normal 61 6 6 2 5" xfId="0"/>
    <cellStyle name="Normal 61 6 6 2 5 2" xfId="0"/>
    <cellStyle name="Normal 61 6 6 2 5 2 2" xfId="0"/>
    <cellStyle name="Normal 61 6 6 2 5 3" xfId="0"/>
    <cellStyle name="Normal 61 6 6 2 6" xfId="0"/>
    <cellStyle name="Normal 61 6 6 2 6 2" xfId="0"/>
    <cellStyle name="Normal 61 6 6 2 7" xfId="0"/>
    <cellStyle name="Normal 61 6 6 3" xfId="0"/>
    <cellStyle name="Normal 61 6 6 3 2" xfId="0"/>
    <cellStyle name="Normal 61 6 6 3 2 2" xfId="0"/>
    <cellStyle name="Normal 61 6 6 3 2 2 2" xfId="0"/>
    <cellStyle name="Normal 61 6 6 3 2 2 2 2" xfId="0"/>
    <cellStyle name="Normal 61 6 6 3 2 2 3" xfId="0"/>
    <cellStyle name="Normal 61 6 6 3 2 3" xfId="0"/>
    <cellStyle name="Normal 61 6 6 3 2 3 2" xfId="0"/>
    <cellStyle name="Normal 61 6 6 3 2 3 2 2" xfId="0"/>
    <cellStyle name="Normal 61 6 6 3 2 3 3" xfId="0"/>
    <cellStyle name="Normal 61 6 6 3 2 4" xfId="0"/>
    <cellStyle name="Normal 61 6 6 3 2 4 2" xfId="0"/>
    <cellStyle name="Normal 61 6 6 3 2 5" xfId="0"/>
    <cellStyle name="Normal 61 6 6 3 3" xfId="0"/>
    <cellStyle name="Normal 61 6 6 3 3 2" xfId="0"/>
    <cellStyle name="Normal 61 6 6 3 3 2 2" xfId="0"/>
    <cellStyle name="Normal 61 6 6 3 3 3" xfId="0"/>
    <cellStyle name="Normal 61 6 6 3 4" xfId="0"/>
    <cellStyle name="Normal 61 6 6 3 4 2" xfId="0"/>
    <cellStyle name="Normal 61 6 6 3 4 2 2" xfId="0"/>
    <cellStyle name="Normal 61 6 6 3 4 3" xfId="0"/>
    <cellStyle name="Normal 61 6 6 3 5" xfId="0"/>
    <cellStyle name="Normal 61 6 6 3 5 2" xfId="0"/>
    <cellStyle name="Normal 61 6 6 3 6" xfId="0"/>
    <cellStyle name="Normal 61 6 6 4" xfId="0"/>
    <cellStyle name="Normal 61 6 6 4 2" xfId="0"/>
    <cellStyle name="Normal 61 6 6 4 2 2" xfId="0"/>
    <cellStyle name="Normal 61 6 6 4 2 2 2" xfId="0"/>
    <cellStyle name="Normal 61 6 6 4 2 3" xfId="0"/>
    <cellStyle name="Normal 61 6 6 4 3" xfId="0"/>
    <cellStyle name="Normal 61 6 6 4 3 2" xfId="0"/>
    <cellStyle name="Normal 61 6 6 4 3 2 2" xfId="0"/>
    <cellStyle name="Normal 61 6 6 4 3 3" xfId="0"/>
    <cellStyle name="Normal 61 6 6 4 4" xfId="0"/>
    <cellStyle name="Normal 61 6 6 4 4 2" xfId="0"/>
    <cellStyle name="Normal 61 6 6 4 5" xfId="0"/>
    <cellStyle name="Normal 61 6 6 5" xfId="0"/>
    <cellStyle name="Normal 61 6 6 5 2" xfId="0"/>
    <cellStyle name="Normal 61 6 6 5 2 2" xfId="0"/>
    <cellStyle name="Normal 61 6 6 5 3" xfId="0"/>
    <cellStyle name="Normal 61 6 6 6" xfId="0"/>
    <cellStyle name="Normal 61 6 6 6 2" xfId="0"/>
    <cellStyle name="Normal 61 6 6 6 2 2" xfId="0"/>
    <cellStyle name="Normal 61 6 6 6 3" xfId="0"/>
    <cellStyle name="Normal 61 6 6 7" xfId="0"/>
    <cellStyle name="Normal 61 6 6 7 2" xfId="0"/>
    <cellStyle name="Normal 61 6 6 8" xfId="0"/>
    <cellStyle name="Normal 61 6 7" xfId="0"/>
    <cellStyle name="Normal 61 6 7 2" xfId="0"/>
    <cellStyle name="Normal 61 6 7 2 2" xfId="0"/>
    <cellStyle name="Normal 61 6 7 2 2 2" xfId="0"/>
    <cellStyle name="Normal 61 6 7 2 2 2 2" xfId="0"/>
    <cellStyle name="Normal 61 6 7 2 2 2 2 2" xfId="0"/>
    <cellStyle name="Normal 61 6 7 2 2 2 3" xfId="0"/>
    <cellStyle name="Normal 61 6 7 2 2 3" xfId="0"/>
    <cellStyle name="Normal 61 6 7 2 2 3 2" xfId="0"/>
    <cellStyle name="Normal 61 6 7 2 2 3 2 2" xfId="0"/>
    <cellStyle name="Normal 61 6 7 2 2 3 3" xfId="0"/>
    <cellStyle name="Normal 61 6 7 2 2 4" xfId="0"/>
    <cellStyle name="Normal 61 6 7 2 2 4 2" xfId="0"/>
    <cellStyle name="Normal 61 6 7 2 2 5" xfId="0"/>
    <cellStyle name="Normal 61 6 7 2 3" xfId="0"/>
    <cellStyle name="Normal 61 6 7 2 3 2" xfId="0"/>
    <cellStyle name="Normal 61 6 7 2 3 2 2" xfId="0"/>
    <cellStyle name="Normal 61 6 7 2 3 3" xfId="0"/>
    <cellStyle name="Normal 61 6 7 2 4" xfId="0"/>
    <cellStyle name="Normal 61 6 7 2 4 2" xfId="0"/>
    <cellStyle name="Normal 61 6 7 2 4 2 2" xfId="0"/>
    <cellStyle name="Normal 61 6 7 2 4 3" xfId="0"/>
    <cellStyle name="Normal 61 6 7 2 5" xfId="0"/>
    <cellStyle name="Normal 61 6 7 2 5 2" xfId="0"/>
    <cellStyle name="Normal 61 6 7 2 6" xfId="0"/>
    <cellStyle name="Normal 61 6 7 3" xfId="0"/>
    <cellStyle name="Normal 61 6 7 3 2" xfId="0"/>
    <cellStyle name="Normal 61 6 7 3 2 2" xfId="0"/>
    <cellStyle name="Normal 61 6 7 3 2 2 2" xfId="0"/>
    <cellStyle name="Normal 61 6 7 3 2 3" xfId="0"/>
    <cellStyle name="Normal 61 6 7 3 3" xfId="0"/>
    <cellStyle name="Normal 61 6 7 3 3 2" xfId="0"/>
    <cellStyle name="Normal 61 6 7 3 3 2 2" xfId="0"/>
    <cellStyle name="Normal 61 6 7 3 3 3" xfId="0"/>
    <cellStyle name="Normal 61 6 7 3 4" xfId="0"/>
    <cellStyle name="Normal 61 6 7 3 4 2" xfId="0"/>
    <cellStyle name="Normal 61 6 7 3 5" xfId="0"/>
    <cellStyle name="Normal 61 6 7 4" xfId="0"/>
    <cellStyle name="Normal 61 6 7 4 2" xfId="0"/>
    <cellStyle name="Normal 61 6 7 4 2 2" xfId="0"/>
    <cellStyle name="Normal 61 6 7 4 3" xfId="0"/>
    <cellStyle name="Normal 61 6 7 5" xfId="0"/>
    <cellStyle name="Normal 61 6 7 5 2" xfId="0"/>
    <cellStyle name="Normal 61 6 7 5 2 2" xfId="0"/>
    <cellStyle name="Normal 61 6 7 5 3" xfId="0"/>
    <cellStyle name="Normal 61 6 7 6" xfId="0"/>
    <cellStyle name="Normal 61 6 7 6 2" xfId="0"/>
    <cellStyle name="Normal 61 6 7 7" xfId="0"/>
    <cellStyle name="Normal 61 6 8" xfId="0"/>
    <cellStyle name="Normal 61 6 8 2" xfId="0"/>
    <cellStyle name="Normal 61 6 8 2 2" xfId="0"/>
    <cellStyle name="Normal 61 6 8 2 2 2" xfId="0"/>
    <cellStyle name="Normal 61 6 8 2 2 2 2" xfId="0"/>
    <cellStyle name="Normal 61 6 8 2 2 3" xfId="0"/>
    <cellStyle name="Normal 61 6 8 2 3" xfId="0"/>
    <cellStyle name="Normal 61 6 8 2 3 2" xfId="0"/>
    <cellStyle name="Normal 61 6 8 2 3 2 2" xfId="0"/>
    <cellStyle name="Normal 61 6 8 2 3 3" xfId="0"/>
    <cellStyle name="Normal 61 6 8 2 4" xfId="0"/>
    <cellStyle name="Normal 61 6 8 2 4 2" xfId="0"/>
    <cellStyle name="Normal 61 6 8 2 5" xfId="0"/>
    <cellStyle name="Normal 61 6 8 3" xfId="0"/>
    <cellStyle name="Normal 61 6 8 3 2" xfId="0"/>
    <cellStyle name="Normal 61 6 8 3 2 2" xfId="0"/>
    <cellStyle name="Normal 61 6 8 3 3" xfId="0"/>
    <cellStyle name="Normal 61 6 8 4" xfId="0"/>
    <cellStyle name="Normal 61 6 8 4 2" xfId="0"/>
    <cellStyle name="Normal 61 6 8 4 2 2" xfId="0"/>
    <cellStyle name="Normal 61 6 8 4 3" xfId="0"/>
    <cellStyle name="Normal 61 6 8 5" xfId="0"/>
    <cellStyle name="Normal 61 6 8 5 2" xfId="0"/>
    <cellStyle name="Normal 61 6 8 6" xfId="0"/>
    <cellStyle name="Normal 61 6 9" xfId="0"/>
    <cellStyle name="Normal 61 6 9 2" xfId="0"/>
    <cellStyle name="Normal 61 6 9 2 2" xfId="0"/>
    <cellStyle name="Normal 61 6 9 2 2 2" xfId="0"/>
    <cellStyle name="Normal 61 6 9 2 3" xfId="0"/>
    <cellStyle name="Normal 61 6 9 3" xfId="0"/>
    <cellStyle name="Normal 61 6 9 3 2" xfId="0"/>
    <cellStyle name="Normal 61 6 9 3 2 2" xfId="0"/>
    <cellStyle name="Normal 61 6 9 3 3" xfId="0"/>
    <cellStyle name="Normal 61 6 9 4" xfId="0"/>
    <cellStyle name="Normal 61 6 9 4 2" xfId="0"/>
    <cellStyle name="Normal 61 6 9 5" xfId="0"/>
    <cellStyle name="Normal 61 7" xfId="0"/>
    <cellStyle name="Normal 61 7 10" xfId="0"/>
    <cellStyle name="Normal 61 7 10 2" xfId="0"/>
    <cellStyle name="Normal 61 7 10 2 2" xfId="0"/>
    <cellStyle name="Normal 61 7 10 3" xfId="0"/>
    <cellStyle name="Normal 61 7 11" xfId="0"/>
    <cellStyle name="Normal 61 7 11 2" xfId="0"/>
    <cellStyle name="Normal 61 7 12" xfId="0"/>
    <cellStyle name="Normal 61 7 2" xfId="0"/>
    <cellStyle name="Normal 61 7 2 10" xfId="0"/>
    <cellStyle name="Normal 61 7 2 2" xfId="0"/>
    <cellStyle name="Normal 61 7 2 2 2" xfId="0"/>
    <cellStyle name="Normal 61 7 2 2 2 2" xfId="0"/>
    <cellStyle name="Normal 61 7 2 2 2 2 2" xfId="0"/>
    <cellStyle name="Normal 61 7 2 2 2 2 2 2" xfId="0"/>
    <cellStyle name="Normal 61 7 2 2 2 2 2 2 2" xfId="0"/>
    <cellStyle name="Normal 61 7 2 2 2 2 2 2 2 2" xfId="0"/>
    <cellStyle name="Normal 61 7 2 2 2 2 2 2 2 2 2" xfId="0"/>
    <cellStyle name="Normal 61 7 2 2 2 2 2 2 2 3" xfId="0"/>
    <cellStyle name="Normal 61 7 2 2 2 2 2 2 3" xfId="0"/>
    <cellStyle name="Normal 61 7 2 2 2 2 2 2 3 2" xfId="0"/>
    <cellStyle name="Normal 61 7 2 2 2 2 2 2 3 2 2" xfId="0"/>
    <cellStyle name="Normal 61 7 2 2 2 2 2 2 3 3" xfId="0"/>
    <cellStyle name="Normal 61 7 2 2 2 2 2 2 4" xfId="0"/>
    <cellStyle name="Normal 61 7 2 2 2 2 2 2 4 2" xfId="0"/>
    <cellStyle name="Normal 61 7 2 2 2 2 2 2 5" xfId="0"/>
    <cellStyle name="Normal 61 7 2 2 2 2 2 3" xfId="0"/>
    <cellStyle name="Normal 61 7 2 2 2 2 2 3 2" xfId="0"/>
    <cellStyle name="Normal 61 7 2 2 2 2 2 3 2 2" xfId="0"/>
    <cellStyle name="Normal 61 7 2 2 2 2 2 3 3" xfId="0"/>
    <cellStyle name="Normal 61 7 2 2 2 2 2 4" xfId="0"/>
    <cellStyle name="Normal 61 7 2 2 2 2 2 4 2" xfId="0"/>
    <cellStyle name="Normal 61 7 2 2 2 2 2 4 2 2" xfId="0"/>
    <cellStyle name="Normal 61 7 2 2 2 2 2 4 3" xfId="0"/>
    <cellStyle name="Normal 61 7 2 2 2 2 2 5" xfId="0"/>
    <cellStyle name="Normal 61 7 2 2 2 2 2 5 2" xfId="0"/>
    <cellStyle name="Normal 61 7 2 2 2 2 2 6" xfId="0"/>
    <cellStyle name="Normal 61 7 2 2 2 2 3" xfId="0"/>
    <cellStyle name="Normal 61 7 2 2 2 2 3 2" xfId="0"/>
    <cellStyle name="Normal 61 7 2 2 2 2 3 2 2" xfId="0"/>
    <cellStyle name="Normal 61 7 2 2 2 2 3 2 2 2" xfId="0"/>
    <cellStyle name="Normal 61 7 2 2 2 2 3 2 3" xfId="0"/>
    <cellStyle name="Normal 61 7 2 2 2 2 3 3" xfId="0"/>
    <cellStyle name="Normal 61 7 2 2 2 2 3 3 2" xfId="0"/>
    <cellStyle name="Normal 61 7 2 2 2 2 3 3 2 2" xfId="0"/>
    <cellStyle name="Normal 61 7 2 2 2 2 3 3 3" xfId="0"/>
    <cellStyle name="Normal 61 7 2 2 2 2 3 4" xfId="0"/>
    <cellStyle name="Normal 61 7 2 2 2 2 3 4 2" xfId="0"/>
    <cellStyle name="Normal 61 7 2 2 2 2 3 5" xfId="0"/>
    <cellStyle name="Normal 61 7 2 2 2 2 4" xfId="0"/>
    <cellStyle name="Normal 61 7 2 2 2 2 4 2" xfId="0"/>
    <cellStyle name="Normal 61 7 2 2 2 2 4 2 2" xfId="0"/>
    <cellStyle name="Normal 61 7 2 2 2 2 4 3" xfId="0"/>
    <cellStyle name="Normal 61 7 2 2 2 2 5" xfId="0"/>
    <cellStyle name="Normal 61 7 2 2 2 2 5 2" xfId="0"/>
    <cellStyle name="Normal 61 7 2 2 2 2 5 2 2" xfId="0"/>
    <cellStyle name="Normal 61 7 2 2 2 2 5 3" xfId="0"/>
    <cellStyle name="Normal 61 7 2 2 2 2 6" xfId="0"/>
    <cellStyle name="Normal 61 7 2 2 2 2 6 2" xfId="0"/>
    <cellStyle name="Normal 61 7 2 2 2 2 7" xfId="0"/>
    <cellStyle name="Normal 61 7 2 2 2 3" xfId="0"/>
    <cellStyle name="Normal 61 7 2 2 2 3 2" xfId="0"/>
    <cellStyle name="Normal 61 7 2 2 2 3 2 2" xfId="0"/>
    <cellStyle name="Normal 61 7 2 2 2 3 2 2 2" xfId="0"/>
    <cellStyle name="Normal 61 7 2 2 2 3 2 2 2 2" xfId="0"/>
    <cellStyle name="Normal 61 7 2 2 2 3 2 2 3" xfId="0"/>
    <cellStyle name="Normal 61 7 2 2 2 3 2 3" xfId="0"/>
    <cellStyle name="Normal 61 7 2 2 2 3 2 3 2" xfId="0"/>
    <cellStyle name="Normal 61 7 2 2 2 3 2 3 2 2" xfId="0"/>
    <cellStyle name="Normal 61 7 2 2 2 3 2 3 3" xfId="0"/>
    <cellStyle name="Normal 61 7 2 2 2 3 2 4" xfId="0"/>
    <cellStyle name="Normal 61 7 2 2 2 3 2 4 2" xfId="0"/>
    <cellStyle name="Normal 61 7 2 2 2 3 2 5" xfId="0"/>
    <cellStyle name="Normal 61 7 2 2 2 3 3" xfId="0"/>
    <cellStyle name="Normal 61 7 2 2 2 3 3 2" xfId="0"/>
    <cellStyle name="Normal 61 7 2 2 2 3 3 2 2" xfId="0"/>
    <cellStyle name="Normal 61 7 2 2 2 3 3 3" xfId="0"/>
    <cellStyle name="Normal 61 7 2 2 2 3 4" xfId="0"/>
    <cellStyle name="Normal 61 7 2 2 2 3 4 2" xfId="0"/>
    <cellStyle name="Normal 61 7 2 2 2 3 4 2 2" xfId="0"/>
    <cellStyle name="Normal 61 7 2 2 2 3 4 3" xfId="0"/>
    <cellStyle name="Normal 61 7 2 2 2 3 5" xfId="0"/>
    <cellStyle name="Normal 61 7 2 2 2 3 5 2" xfId="0"/>
    <cellStyle name="Normal 61 7 2 2 2 3 6" xfId="0"/>
    <cellStyle name="Normal 61 7 2 2 2 4" xfId="0"/>
    <cellStyle name="Normal 61 7 2 2 2 4 2" xfId="0"/>
    <cellStyle name="Normal 61 7 2 2 2 4 2 2" xfId="0"/>
    <cellStyle name="Normal 61 7 2 2 2 4 2 2 2" xfId="0"/>
    <cellStyle name="Normal 61 7 2 2 2 4 2 3" xfId="0"/>
    <cellStyle name="Normal 61 7 2 2 2 4 3" xfId="0"/>
    <cellStyle name="Normal 61 7 2 2 2 4 3 2" xfId="0"/>
    <cellStyle name="Normal 61 7 2 2 2 4 3 2 2" xfId="0"/>
    <cellStyle name="Normal 61 7 2 2 2 4 3 3" xfId="0"/>
    <cellStyle name="Normal 61 7 2 2 2 4 4" xfId="0"/>
    <cellStyle name="Normal 61 7 2 2 2 4 4 2" xfId="0"/>
    <cellStyle name="Normal 61 7 2 2 2 4 5" xfId="0"/>
    <cellStyle name="Normal 61 7 2 2 2 5" xfId="0"/>
    <cellStyle name="Normal 61 7 2 2 2 5 2" xfId="0"/>
    <cellStyle name="Normal 61 7 2 2 2 5 2 2" xfId="0"/>
    <cellStyle name="Normal 61 7 2 2 2 5 3" xfId="0"/>
    <cellStyle name="Normal 61 7 2 2 2 6" xfId="0"/>
    <cellStyle name="Normal 61 7 2 2 2 6 2" xfId="0"/>
    <cellStyle name="Normal 61 7 2 2 2 6 2 2" xfId="0"/>
    <cellStyle name="Normal 61 7 2 2 2 6 3" xfId="0"/>
    <cellStyle name="Normal 61 7 2 2 2 7" xfId="0"/>
    <cellStyle name="Normal 61 7 2 2 2 7 2" xfId="0"/>
    <cellStyle name="Normal 61 7 2 2 2 8" xfId="0"/>
    <cellStyle name="Normal 61 7 2 2 3" xfId="0"/>
    <cellStyle name="Normal 61 7 2 2 3 2" xfId="0"/>
    <cellStyle name="Normal 61 7 2 2 3 2 2" xfId="0"/>
    <cellStyle name="Normal 61 7 2 2 3 2 2 2" xfId="0"/>
    <cellStyle name="Normal 61 7 2 2 3 2 2 2 2" xfId="0"/>
    <cellStyle name="Normal 61 7 2 2 3 2 2 2 2 2" xfId="0"/>
    <cellStyle name="Normal 61 7 2 2 3 2 2 2 3" xfId="0"/>
    <cellStyle name="Normal 61 7 2 2 3 2 2 3" xfId="0"/>
    <cellStyle name="Normal 61 7 2 2 3 2 2 3 2" xfId="0"/>
    <cellStyle name="Normal 61 7 2 2 3 2 2 3 2 2" xfId="0"/>
    <cellStyle name="Normal 61 7 2 2 3 2 2 3 3" xfId="0"/>
    <cellStyle name="Normal 61 7 2 2 3 2 2 4" xfId="0"/>
    <cellStyle name="Normal 61 7 2 2 3 2 2 4 2" xfId="0"/>
    <cellStyle name="Normal 61 7 2 2 3 2 2 5" xfId="0"/>
    <cellStyle name="Normal 61 7 2 2 3 2 3" xfId="0"/>
    <cellStyle name="Normal 61 7 2 2 3 2 3 2" xfId="0"/>
    <cellStyle name="Normal 61 7 2 2 3 2 3 2 2" xfId="0"/>
    <cellStyle name="Normal 61 7 2 2 3 2 3 3" xfId="0"/>
    <cellStyle name="Normal 61 7 2 2 3 2 4" xfId="0"/>
    <cellStyle name="Normal 61 7 2 2 3 2 4 2" xfId="0"/>
    <cellStyle name="Normal 61 7 2 2 3 2 4 2 2" xfId="0"/>
    <cellStyle name="Normal 61 7 2 2 3 2 4 3" xfId="0"/>
    <cellStyle name="Normal 61 7 2 2 3 2 5" xfId="0"/>
    <cellStyle name="Normal 61 7 2 2 3 2 5 2" xfId="0"/>
    <cellStyle name="Normal 61 7 2 2 3 2 6" xfId="0"/>
    <cellStyle name="Normal 61 7 2 2 3 3" xfId="0"/>
    <cellStyle name="Normal 61 7 2 2 3 3 2" xfId="0"/>
    <cellStyle name="Normal 61 7 2 2 3 3 2 2" xfId="0"/>
    <cellStyle name="Normal 61 7 2 2 3 3 2 2 2" xfId="0"/>
    <cellStyle name="Normal 61 7 2 2 3 3 2 3" xfId="0"/>
    <cellStyle name="Normal 61 7 2 2 3 3 3" xfId="0"/>
    <cellStyle name="Normal 61 7 2 2 3 3 3 2" xfId="0"/>
    <cellStyle name="Normal 61 7 2 2 3 3 3 2 2" xfId="0"/>
    <cellStyle name="Normal 61 7 2 2 3 3 3 3" xfId="0"/>
    <cellStyle name="Normal 61 7 2 2 3 3 4" xfId="0"/>
    <cellStyle name="Normal 61 7 2 2 3 3 4 2" xfId="0"/>
    <cellStyle name="Normal 61 7 2 2 3 3 5" xfId="0"/>
    <cellStyle name="Normal 61 7 2 2 3 4" xfId="0"/>
    <cellStyle name="Normal 61 7 2 2 3 4 2" xfId="0"/>
    <cellStyle name="Normal 61 7 2 2 3 4 2 2" xfId="0"/>
    <cellStyle name="Normal 61 7 2 2 3 4 3" xfId="0"/>
    <cellStyle name="Normal 61 7 2 2 3 5" xfId="0"/>
    <cellStyle name="Normal 61 7 2 2 3 5 2" xfId="0"/>
    <cellStyle name="Normal 61 7 2 2 3 5 2 2" xfId="0"/>
    <cellStyle name="Normal 61 7 2 2 3 5 3" xfId="0"/>
    <cellStyle name="Normal 61 7 2 2 3 6" xfId="0"/>
    <cellStyle name="Normal 61 7 2 2 3 6 2" xfId="0"/>
    <cellStyle name="Normal 61 7 2 2 3 7" xfId="0"/>
    <cellStyle name="Normal 61 7 2 2 4" xfId="0"/>
    <cellStyle name="Normal 61 7 2 2 4 2" xfId="0"/>
    <cellStyle name="Normal 61 7 2 2 4 2 2" xfId="0"/>
    <cellStyle name="Normal 61 7 2 2 4 2 2 2" xfId="0"/>
    <cellStyle name="Normal 61 7 2 2 4 2 2 2 2" xfId="0"/>
    <cellStyle name="Normal 61 7 2 2 4 2 2 3" xfId="0"/>
    <cellStyle name="Normal 61 7 2 2 4 2 3" xfId="0"/>
    <cellStyle name="Normal 61 7 2 2 4 2 3 2" xfId="0"/>
    <cellStyle name="Normal 61 7 2 2 4 2 3 2 2" xfId="0"/>
    <cellStyle name="Normal 61 7 2 2 4 2 3 3" xfId="0"/>
    <cellStyle name="Normal 61 7 2 2 4 2 4" xfId="0"/>
    <cellStyle name="Normal 61 7 2 2 4 2 4 2" xfId="0"/>
    <cellStyle name="Normal 61 7 2 2 4 2 5" xfId="0"/>
    <cellStyle name="Normal 61 7 2 2 4 3" xfId="0"/>
    <cellStyle name="Normal 61 7 2 2 4 3 2" xfId="0"/>
    <cellStyle name="Normal 61 7 2 2 4 3 2 2" xfId="0"/>
    <cellStyle name="Normal 61 7 2 2 4 3 3" xfId="0"/>
    <cellStyle name="Normal 61 7 2 2 4 4" xfId="0"/>
    <cellStyle name="Normal 61 7 2 2 4 4 2" xfId="0"/>
    <cellStyle name="Normal 61 7 2 2 4 4 2 2" xfId="0"/>
    <cellStyle name="Normal 61 7 2 2 4 4 3" xfId="0"/>
    <cellStyle name="Normal 61 7 2 2 4 5" xfId="0"/>
    <cellStyle name="Normal 61 7 2 2 4 5 2" xfId="0"/>
    <cellStyle name="Normal 61 7 2 2 4 6" xfId="0"/>
    <cellStyle name="Normal 61 7 2 2 5" xfId="0"/>
    <cellStyle name="Normal 61 7 2 2 5 2" xfId="0"/>
    <cellStyle name="Normal 61 7 2 2 5 2 2" xfId="0"/>
    <cellStyle name="Normal 61 7 2 2 5 2 2 2" xfId="0"/>
    <cellStyle name="Normal 61 7 2 2 5 2 3" xfId="0"/>
    <cellStyle name="Normal 61 7 2 2 5 3" xfId="0"/>
    <cellStyle name="Normal 61 7 2 2 5 3 2" xfId="0"/>
    <cellStyle name="Normal 61 7 2 2 5 3 2 2" xfId="0"/>
    <cellStyle name="Normal 61 7 2 2 5 3 3" xfId="0"/>
    <cellStyle name="Normal 61 7 2 2 5 4" xfId="0"/>
    <cellStyle name="Normal 61 7 2 2 5 4 2" xfId="0"/>
    <cellStyle name="Normal 61 7 2 2 5 5" xfId="0"/>
    <cellStyle name="Normal 61 7 2 2 6" xfId="0"/>
    <cellStyle name="Normal 61 7 2 2 6 2" xfId="0"/>
    <cellStyle name="Normal 61 7 2 2 6 2 2" xfId="0"/>
    <cellStyle name="Normal 61 7 2 2 6 3" xfId="0"/>
    <cellStyle name="Normal 61 7 2 2 7" xfId="0"/>
    <cellStyle name="Normal 61 7 2 2 7 2" xfId="0"/>
    <cellStyle name="Normal 61 7 2 2 7 2 2" xfId="0"/>
    <cellStyle name="Normal 61 7 2 2 7 3" xfId="0"/>
    <cellStyle name="Normal 61 7 2 2 8" xfId="0"/>
    <cellStyle name="Normal 61 7 2 2 8 2" xfId="0"/>
    <cellStyle name="Normal 61 7 2 2 9" xfId="0"/>
    <cellStyle name="Normal 61 7 2 3" xfId="0"/>
    <cellStyle name="Normal 61 7 2 3 2" xfId="0"/>
    <cellStyle name="Normal 61 7 2 3 2 2" xfId="0"/>
    <cellStyle name="Normal 61 7 2 3 2 2 2" xfId="0"/>
    <cellStyle name="Normal 61 7 2 3 2 2 2 2" xfId="0"/>
    <cellStyle name="Normal 61 7 2 3 2 2 2 2 2" xfId="0"/>
    <cellStyle name="Normal 61 7 2 3 2 2 2 2 2 2" xfId="0"/>
    <cellStyle name="Normal 61 7 2 3 2 2 2 2 3" xfId="0"/>
    <cellStyle name="Normal 61 7 2 3 2 2 2 3" xfId="0"/>
    <cellStyle name="Normal 61 7 2 3 2 2 2 3 2" xfId="0"/>
    <cellStyle name="Normal 61 7 2 3 2 2 2 3 2 2" xfId="0"/>
    <cellStyle name="Normal 61 7 2 3 2 2 2 3 3" xfId="0"/>
    <cellStyle name="Normal 61 7 2 3 2 2 2 4" xfId="0"/>
    <cellStyle name="Normal 61 7 2 3 2 2 2 4 2" xfId="0"/>
    <cellStyle name="Normal 61 7 2 3 2 2 2 5" xfId="0"/>
    <cellStyle name="Normal 61 7 2 3 2 2 3" xfId="0"/>
    <cellStyle name="Normal 61 7 2 3 2 2 3 2" xfId="0"/>
    <cellStyle name="Normal 61 7 2 3 2 2 3 2 2" xfId="0"/>
    <cellStyle name="Normal 61 7 2 3 2 2 3 3" xfId="0"/>
    <cellStyle name="Normal 61 7 2 3 2 2 4" xfId="0"/>
    <cellStyle name="Normal 61 7 2 3 2 2 4 2" xfId="0"/>
    <cellStyle name="Normal 61 7 2 3 2 2 4 2 2" xfId="0"/>
    <cellStyle name="Normal 61 7 2 3 2 2 4 3" xfId="0"/>
    <cellStyle name="Normal 61 7 2 3 2 2 5" xfId="0"/>
    <cellStyle name="Normal 61 7 2 3 2 2 5 2" xfId="0"/>
    <cellStyle name="Normal 61 7 2 3 2 2 6" xfId="0"/>
    <cellStyle name="Normal 61 7 2 3 2 3" xfId="0"/>
    <cellStyle name="Normal 61 7 2 3 2 3 2" xfId="0"/>
    <cellStyle name="Normal 61 7 2 3 2 3 2 2" xfId="0"/>
    <cellStyle name="Normal 61 7 2 3 2 3 2 2 2" xfId="0"/>
    <cellStyle name="Normal 61 7 2 3 2 3 2 3" xfId="0"/>
    <cellStyle name="Normal 61 7 2 3 2 3 3" xfId="0"/>
    <cellStyle name="Normal 61 7 2 3 2 3 3 2" xfId="0"/>
    <cellStyle name="Normal 61 7 2 3 2 3 3 2 2" xfId="0"/>
    <cellStyle name="Normal 61 7 2 3 2 3 3 3" xfId="0"/>
    <cellStyle name="Normal 61 7 2 3 2 3 4" xfId="0"/>
    <cellStyle name="Normal 61 7 2 3 2 3 4 2" xfId="0"/>
    <cellStyle name="Normal 61 7 2 3 2 3 5" xfId="0"/>
    <cellStyle name="Normal 61 7 2 3 2 4" xfId="0"/>
    <cellStyle name="Normal 61 7 2 3 2 4 2" xfId="0"/>
    <cellStyle name="Normal 61 7 2 3 2 4 2 2" xfId="0"/>
    <cellStyle name="Normal 61 7 2 3 2 4 3" xfId="0"/>
    <cellStyle name="Normal 61 7 2 3 2 5" xfId="0"/>
    <cellStyle name="Normal 61 7 2 3 2 5 2" xfId="0"/>
    <cellStyle name="Normal 61 7 2 3 2 5 2 2" xfId="0"/>
    <cellStyle name="Normal 61 7 2 3 2 5 3" xfId="0"/>
    <cellStyle name="Normal 61 7 2 3 2 6" xfId="0"/>
    <cellStyle name="Normal 61 7 2 3 2 6 2" xfId="0"/>
    <cellStyle name="Normal 61 7 2 3 2 7" xfId="0"/>
    <cellStyle name="Normal 61 7 2 3 3" xfId="0"/>
    <cellStyle name="Normal 61 7 2 3 3 2" xfId="0"/>
    <cellStyle name="Normal 61 7 2 3 3 2 2" xfId="0"/>
    <cellStyle name="Normal 61 7 2 3 3 2 2 2" xfId="0"/>
    <cellStyle name="Normal 61 7 2 3 3 2 2 2 2" xfId="0"/>
    <cellStyle name="Normal 61 7 2 3 3 2 2 3" xfId="0"/>
    <cellStyle name="Normal 61 7 2 3 3 2 3" xfId="0"/>
    <cellStyle name="Normal 61 7 2 3 3 2 3 2" xfId="0"/>
    <cellStyle name="Normal 61 7 2 3 3 2 3 2 2" xfId="0"/>
    <cellStyle name="Normal 61 7 2 3 3 2 3 3" xfId="0"/>
    <cellStyle name="Normal 61 7 2 3 3 2 4" xfId="0"/>
    <cellStyle name="Normal 61 7 2 3 3 2 4 2" xfId="0"/>
    <cellStyle name="Normal 61 7 2 3 3 2 5" xfId="0"/>
    <cellStyle name="Normal 61 7 2 3 3 3" xfId="0"/>
    <cellStyle name="Normal 61 7 2 3 3 3 2" xfId="0"/>
    <cellStyle name="Normal 61 7 2 3 3 3 2 2" xfId="0"/>
    <cellStyle name="Normal 61 7 2 3 3 3 3" xfId="0"/>
    <cellStyle name="Normal 61 7 2 3 3 4" xfId="0"/>
    <cellStyle name="Normal 61 7 2 3 3 4 2" xfId="0"/>
    <cellStyle name="Normal 61 7 2 3 3 4 2 2" xfId="0"/>
    <cellStyle name="Normal 61 7 2 3 3 4 3" xfId="0"/>
    <cellStyle name="Normal 61 7 2 3 3 5" xfId="0"/>
    <cellStyle name="Normal 61 7 2 3 3 5 2" xfId="0"/>
    <cellStyle name="Normal 61 7 2 3 3 6" xfId="0"/>
    <cellStyle name="Normal 61 7 2 3 4" xfId="0"/>
    <cellStyle name="Normal 61 7 2 3 4 2" xfId="0"/>
    <cellStyle name="Normal 61 7 2 3 4 2 2" xfId="0"/>
    <cellStyle name="Normal 61 7 2 3 4 2 2 2" xfId="0"/>
    <cellStyle name="Normal 61 7 2 3 4 2 3" xfId="0"/>
    <cellStyle name="Normal 61 7 2 3 4 3" xfId="0"/>
    <cellStyle name="Normal 61 7 2 3 4 3 2" xfId="0"/>
    <cellStyle name="Normal 61 7 2 3 4 3 2 2" xfId="0"/>
    <cellStyle name="Normal 61 7 2 3 4 3 3" xfId="0"/>
    <cellStyle name="Normal 61 7 2 3 4 4" xfId="0"/>
    <cellStyle name="Normal 61 7 2 3 4 4 2" xfId="0"/>
    <cellStyle name="Normal 61 7 2 3 4 5" xfId="0"/>
    <cellStyle name="Normal 61 7 2 3 5" xfId="0"/>
    <cellStyle name="Normal 61 7 2 3 5 2" xfId="0"/>
    <cellStyle name="Normal 61 7 2 3 5 2 2" xfId="0"/>
    <cellStyle name="Normal 61 7 2 3 5 3" xfId="0"/>
    <cellStyle name="Normal 61 7 2 3 6" xfId="0"/>
    <cellStyle name="Normal 61 7 2 3 6 2" xfId="0"/>
    <cellStyle name="Normal 61 7 2 3 6 2 2" xfId="0"/>
    <cellStyle name="Normal 61 7 2 3 6 3" xfId="0"/>
    <cellStyle name="Normal 61 7 2 3 7" xfId="0"/>
    <cellStyle name="Normal 61 7 2 3 7 2" xfId="0"/>
    <cellStyle name="Normal 61 7 2 3 8" xfId="0"/>
    <cellStyle name="Normal 61 7 2 4" xfId="0"/>
    <cellStyle name="Normal 61 7 2 4 2" xfId="0"/>
    <cellStyle name="Normal 61 7 2 4 2 2" xfId="0"/>
    <cellStyle name="Normal 61 7 2 4 2 2 2" xfId="0"/>
    <cellStyle name="Normal 61 7 2 4 2 2 2 2" xfId="0"/>
    <cellStyle name="Normal 61 7 2 4 2 2 2 2 2" xfId="0"/>
    <cellStyle name="Normal 61 7 2 4 2 2 2 3" xfId="0"/>
    <cellStyle name="Normal 61 7 2 4 2 2 3" xfId="0"/>
    <cellStyle name="Normal 61 7 2 4 2 2 3 2" xfId="0"/>
    <cellStyle name="Normal 61 7 2 4 2 2 3 2 2" xfId="0"/>
    <cellStyle name="Normal 61 7 2 4 2 2 3 3" xfId="0"/>
    <cellStyle name="Normal 61 7 2 4 2 2 4" xfId="0"/>
    <cellStyle name="Normal 61 7 2 4 2 2 4 2" xfId="0"/>
    <cellStyle name="Normal 61 7 2 4 2 2 5" xfId="0"/>
    <cellStyle name="Normal 61 7 2 4 2 3" xfId="0"/>
    <cellStyle name="Normal 61 7 2 4 2 3 2" xfId="0"/>
    <cellStyle name="Normal 61 7 2 4 2 3 2 2" xfId="0"/>
    <cellStyle name="Normal 61 7 2 4 2 3 3" xfId="0"/>
    <cellStyle name="Normal 61 7 2 4 2 4" xfId="0"/>
    <cellStyle name="Normal 61 7 2 4 2 4 2" xfId="0"/>
    <cellStyle name="Normal 61 7 2 4 2 4 2 2" xfId="0"/>
    <cellStyle name="Normal 61 7 2 4 2 4 3" xfId="0"/>
    <cellStyle name="Normal 61 7 2 4 2 5" xfId="0"/>
    <cellStyle name="Normal 61 7 2 4 2 5 2" xfId="0"/>
    <cellStyle name="Normal 61 7 2 4 2 6" xfId="0"/>
    <cellStyle name="Normal 61 7 2 4 3" xfId="0"/>
    <cellStyle name="Normal 61 7 2 4 3 2" xfId="0"/>
    <cellStyle name="Normal 61 7 2 4 3 2 2" xfId="0"/>
    <cellStyle name="Normal 61 7 2 4 3 2 2 2" xfId="0"/>
    <cellStyle name="Normal 61 7 2 4 3 2 3" xfId="0"/>
    <cellStyle name="Normal 61 7 2 4 3 3" xfId="0"/>
    <cellStyle name="Normal 61 7 2 4 3 3 2" xfId="0"/>
    <cellStyle name="Normal 61 7 2 4 3 3 2 2" xfId="0"/>
    <cellStyle name="Normal 61 7 2 4 3 3 3" xfId="0"/>
    <cellStyle name="Normal 61 7 2 4 3 4" xfId="0"/>
    <cellStyle name="Normal 61 7 2 4 3 4 2" xfId="0"/>
    <cellStyle name="Normal 61 7 2 4 3 5" xfId="0"/>
    <cellStyle name="Normal 61 7 2 4 4" xfId="0"/>
    <cellStyle name="Normal 61 7 2 4 4 2" xfId="0"/>
    <cellStyle name="Normal 61 7 2 4 4 2 2" xfId="0"/>
    <cellStyle name="Normal 61 7 2 4 4 3" xfId="0"/>
    <cellStyle name="Normal 61 7 2 4 5" xfId="0"/>
    <cellStyle name="Normal 61 7 2 4 5 2" xfId="0"/>
    <cellStyle name="Normal 61 7 2 4 5 2 2" xfId="0"/>
    <cellStyle name="Normal 61 7 2 4 5 3" xfId="0"/>
    <cellStyle name="Normal 61 7 2 4 6" xfId="0"/>
    <cellStyle name="Normal 61 7 2 4 6 2" xfId="0"/>
    <cellStyle name="Normal 61 7 2 4 7" xfId="0"/>
    <cellStyle name="Normal 61 7 2 5" xfId="0"/>
    <cellStyle name="Normal 61 7 2 5 2" xfId="0"/>
    <cellStyle name="Normal 61 7 2 5 2 2" xfId="0"/>
    <cellStyle name="Normal 61 7 2 5 2 2 2" xfId="0"/>
    <cellStyle name="Normal 61 7 2 5 2 2 2 2" xfId="0"/>
    <cellStyle name="Normal 61 7 2 5 2 2 3" xfId="0"/>
    <cellStyle name="Normal 61 7 2 5 2 3" xfId="0"/>
    <cellStyle name="Normal 61 7 2 5 2 3 2" xfId="0"/>
    <cellStyle name="Normal 61 7 2 5 2 3 2 2" xfId="0"/>
    <cellStyle name="Normal 61 7 2 5 2 3 3" xfId="0"/>
    <cellStyle name="Normal 61 7 2 5 2 4" xfId="0"/>
    <cellStyle name="Normal 61 7 2 5 2 4 2" xfId="0"/>
    <cellStyle name="Normal 61 7 2 5 2 5" xfId="0"/>
    <cellStyle name="Normal 61 7 2 5 3" xfId="0"/>
    <cellStyle name="Normal 61 7 2 5 3 2" xfId="0"/>
    <cellStyle name="Normal 61 7 2 5 3 2 2" xfId="0"/>
    <cellStyle name="Normal 61 7 2 5 3 3" xfId="0"/>
    <cellStyle name="Normal 61 7 2 5 4" xfId="0"/>
    <cellStyle name="Normal 61 7 2 5 4 2" xfId="0"/>
    <cellStyle name="Normal 61 7 2 5 4 2 2" xfId="0"/>
    <cellStyle name="Normal 61 7 2 5 4 3" xfId="0"/>
    <cellStyle name="Normal 61 7 2 5 5" xfId="0"/>
    <cellStyle name="Normal 61 7 2 5 5 2" xfId="0"/>
    <cellStyle name="Normal 61 7 2 5 6" xfId="0"/>
    <cellStyle name="Normal 61 7 2 6" xfId="0"/>
    <cellStyle name="Normal 61 7 2 6 2" xfId="0"/>
    <cellStyle name="Normal 61 7 2 6 2 2" xfId="0"/>
    <cellStyle name="Normal 61 7 2 6 2 2 2" xfId="0"/>
    <cellStyle name="Normal 61 7 2 6 2 3" xfId="0"/>
    <cellStyle name="Normal 61 7 2 6 3" xfId="0"/>
    <cellStyle name="Normal 61 7 2 6 3 2" xfId="0"/>
    <cellStyle name="Normal 61 7 2 6 3 2 2" xfId="0"/>
    <cellStyle name="Normal 61 7 2 6 3 3" xfId="0"/>
    <cellStyle name="Normal 61 7 2 6 4" xfId="0"/>
    <cellStyle name="Normal 61 7 2 6 4 2" xfId="0"/>
    <cellStyle name="Normal 61 7 2 6 5" xfId="0"/>
    <cellStyle name="Normal 61 7 2 7" xfId="0"/>
    <cellStyle name="Normal 61 7 2 7 2" xfId="0"/>
    <cellStyle name="Normal 61 7 2 7 2 2" xfId="0"/>
    <cellStyle name="Normal 61 7 2 7 3" xfId="0"/>
    <cellStyle name="Normal 61 7 2 8" xfId="0"/>
    <cellStyle name="Normal 61 7 2 8 2" xfId="0"/>
    <cellStyle name="Normal 61 7 2 8 2 2" xfId="0"/>
    <cellStyle name="Normal 61 7 2 8 3" xfId="0"/>
    <cellStyle name="Normal 61 7 2 9" xfId="0"/>
    <cellStyle name="Normal 61 7 2 9 2" xfId="0"/>
    <cellStyle name="Normal 61 7 3" xfId="0"/>
    <cellStyle name="Normal 61 7 3 10" xfId="0"/>
    <cellStyle name="Normal 61 7 3 2" xfId="0"/>
    <cellStyle name="Normal 61 7 3 2 2" xfId="0"/>
    <cellStyle name="Normal 61 7 3 2 2 2" xfId="0"/>
    <cellStyle name="Normal 61 7 3 2 2 2 2" xfId="0"/>
    <cellStyle name="Normal 61 7 3 2 2 2 2 2" xfId="0"/>
    <cellStyle name="Normal 61 7 3 2 2 2 2 2 2" xfId="0"/>
    <cellStyle name="Normal 61 7 3 2 2 2 2 2 2 2" xfId="0"/>
    <cellStyle name="Normal 61 7 3 2 2 2 2 2 2 2 2" xfId="0"/>
    <cellStyle name="Normal 61 7 3 2 2 2 2 2 2 3" xfId="0"/>
    <cellStyle name="Normal 61 7 3 2 2 2 2 2 3" xfId="0"/>
    <cellStyle name="Normal 61 7 3 2 2 2 2 2 3 2" xfId="0"/>
    <cellStyle name="Normal 61 7 3 2 2 2 2 2 3 2 2" xfId="0"/>
    <cellStyle name="Normal 61 7 3 2 2 2 2 2 3 3" xfId="0"/>
    <cellStyle name="Normal 61 7 3 2 2 2 2 2 4" xfId="0"/>
    <cellStyle name="Normal 61 7 3 2 2 2 2 2 4 2" xfId="0"/>
    <cellStyle name="Normal 61 7 3 2 2 2 2 2 5" xfId="0"/>
    <cellStyle name="Normal 61 7 3 2 2 2 2 3" xfId="0"/>
    <cellStyle name="Normal 61 7 3 2 2 2 2 3 2" xfId="0"/>
    <cellStyle name="Normal 61 7 3 2 2 2 2 3 2 2" xfId="0"/>
    <cellStyle name="Normal 61 7 3 2 2 2 2 3 3" xfId="0"/>
    <cellStyle name="Normal 61 7 3 2 2 2 2 4" xfId="0"/>
    <cellStyle name="Normal 61 7 3 2 2 2 2 4 2" xfId="0"/>
    <cellStyle name="Normal 61 7 3 2 2 2 2 4 2 2" xfId="0"/>
    <cellStyle name="Normal 61 7 3 2 2 2 2 4 3" xfId="0"/>
    <cellStyle name="Normal 61 7 3 2 2 2 2 5" xfId="0"/>
    <cellStyle name="Normal 61 7 3 2 2 2 2 5 2" xfId="0"/>
    <cellStyle name="Normal 61 7 3 2 2 2 2 6" xfId="0"/>
    <cellStyle name="Normal 61 7 3 2 2 2 3" xfId="0"/>
    <cellStyle name="Normal 61 7 3 2 2 2 3 2" xfId="0"/>
    <cellStyle name="Normal 61 7 3 2 2 2 3 2 2" xfId="0"/>
    <cellStyle name="Normal 61 7 3 2 2 2 3 2 2 2" xfId="0"/>
    <cellStyle name="Normal 61 7 3 2 2 2 3 2 3" xfId="0"/>
    <cellStyle name="Normal 61 7 3 2 2 2 3 3" xfId="0"/>
    <cellStyle name="Normal 61 7 3 2 2 2 3 3 2" xfId="0"/>
    <cellStyle name="Normal 61 7 3 2 2 2 3 3 2 2" xfId="0"/>
    <cellStyle name="Normal 61 7 3 2 2 2 3 3 3" xfId="0"/>
    <cellStyle name="Normal 61 7 3 2 2 2 3 4" xfId="0"/>
    <cellStyle name="Normal 61 7 3 2 2 2 3 4 2" xfId="0"/>
    <cellStyle name="Normal 61 7 3 2 2 2 3 5" xfId="0"/>
    <cellStyle name="Normal 61 7 3 2 2 2 4" xfId="0"/>
    <cellStyle name="Normal 61 7 3 2 2 2 4 2" xfId="0"/>
    <cellStyle name="Normal 61 7 3 2 2 2 4 2 2" xfId="0"/>
    <cellStyle name="Normal 61 7 3 2 2 2 4 3" xfId="0"/>
    <cellStyle name="Normal 61 7 3 2 2 2 5" xfId="0"/>
    <cellStyle name="Normal 61 7 3 2 2 2 5 2" xfId="0"/>
    <cellStyle name="Normal 61 7 3 2 2 2 5 2 2" xfId="0"/>
    <cellStyle name="Normal 61 7 3 2 2 2 5 3" xfId="0"/>
    <cellStyle name="Normal 61 7 3 2 2 2 6" xfId="0"/>
    <cellStyle name="Normal 61 7 3 2 2 2 6 2" xfId="0"/>
    <cellStyle name="Normal 61 7 3 2 2 2 7" xfId="0"/>
    <cellStyle name="Normal 61 7 3 2 2 3" xfId="0"/>
    <cellStyle name="Normal 61 7 3 2 2 3 2" xfId="0"/>
    <cellStyle name="Normal 61 7 3 2 2 3 2 2" xfId="0"/>
    <cellStyle name="Normal 61 7 3 2 2 3 2 2 2" xfId="0"/>
    <cellStyle name="Normal 61 7 3 2 2 3 2 2 2 2" xfId="0"/>
    <cellStyle name="Normal 61 7 3 2 2 3 2 2 3" xfId="0"/>
    <cellStyle name="Normal 61 7 3 2 2 3 2 3" xfId="0"/>
    <cellStyle name="Normal 61 7 3 2 2 3 2 3 2" xfId="0"/>
    <cellStyle name="Normal 61 7 3 2 2 3 2 3 2 2" xfId="0"/>
    <cellStyle name="Normal 61 7 3 2 2 3 2 3 3" xfId="0"/>
    <cellStyle name="Normal 61 7 3 2 2 3 2 4" xfId="0"/>
    <cellStyle name="Normal 61 7 3 2 2 3 2 4 2" xfId="0"/>
    <cellStyle name="Normal 61 7 3 2 2 3 2 5" xfId="0"/>
    <cellStyle name="Normal 61 7 3 2 2 3 3" xfId="0"/>
    <cellStyle name="Normal 61 7 3 2 2 3 3 2" xfId="0"/>
    <cellStyle name="Normal 61 7 3 2 2 3 3 2 2" xfId="0"/>
    <cellStyle name="Normal 61 7 3 2 2 3 3 3" xfId="0"/>
    <cellStyle name="Normal 61 7 3 2 2 3 4" xfId="0"/>
    <cellStyle name="Normal 61 7 3 2 2 3 4 2" xfId="0"/>
    <cellStyle name="Normal 61 7 3 2 2 3 4 2 2" xfId="0"/>
    <cellStyle name="Normal 61 7 3 2 2 3 4 3" xfId="0"/>
    <cellStyle name="Normal 61 7 3 2 2 3 5" xfId="0"/>
    <cellStyle name="Normal 61 7 3 2 2 3 5 2" xfId="0"/>
    <cellStyle name="Normal 61 7 3 2 2 3 6" xfId="0"/>
    <cellStyle name="Normal 61 7 3 2 2 4" xfId="0"/>
    <cellStyle name="Normal 61 7 3 2 2 4 2" xfId="0"/>
    <cellStyle name="Normal 61 7 3 2 2 4 2 2" xfId="0"/>
    <cellStyle name="Normal 61 7 3 2 2 4 2 2 2" xfId="0"/>
    <cellStyle name="Normal 61 7 3 2 2 4 2 3" xfId="0"/>
    <cellStyle name="Normal 61 7 3 2 2 4 3" xfId="0"/>
    <cellStyle name="Normal 61 7 3 2 2 4 3 2" xfId="0"/>
    <cellStyle name="Normal 61 7 3 2 2 4 3 2 2" xfId="0"/>
    <cellStyle name="Normal 61 7 3 2 2 4 3 3" xfId="0"/>
    <cellStyle name="Normal 61 7 3 2 2 4 4" xfId="0"/>
    <cellStyle name="Normal 61 7 3 2 2 4 4 2" xfId="0"/>
    <cellStyle name="Normal 61 7 3 2 2 4 5" xfId="0"/>
    <cellStyle name="Normal 61 7 3 2 2 5" xfId="0"/>
    <cellStyle name="Normal 61 7 3 2 2 5 2" xfId="0"/>
    <cellStyle name="Normal 61 7 3 2 2 5 2 2" xfId="0"/>
    <cellStyle name="Normal 61 7 3 2 2 5 3" xfId="0"/>
    <cellStyle name="Normal 61 7 3 2 2 6" xfId="0"/>
    <cellStyle name="Normal 61 7 3 2 2 6 2" xfId="0"/>
    <cellStyle name="Normal 61 7 3 2 2 6 2 2" xfId="0"/>
    <cellStyle name="Normal 61 7 3 2 2 6 3" xfId="0"/>
    <cellStyle name="Normal 61 7 3 2 2 7" xfId="0"/>
    <cellStyle name="Normal 61 7 3 2 2 7 2" xfId="0"/>
    <cellStyle name="Normal 61 7 3 2 2 8" xfId="0"/>
    <cellStyle name="Normal 61 7 3 2 3" xfId="0"/>
    <cellStyle name="Normal 61 7 3 2 3 2" xfId="0"/>
    <cellStyle name="Normal 61 7 3 2 3 2 2" xfId="0"/>
    <cellStyle name="Normal 61 7 3 2 3 2 2 2" xfId="0"/>
    <cellStyle name="Normal 61 7 3 2 3 2 2 2 2" xfId="0"/>
    <cellStyle name="Normal 61 7 3 2 3 2 2 2 2 2" xfId="0"/>
    <cellStyle name="Normal 61 7 3 2 3 2 2 2 3" xfId="0"/>
    <cellStyle name="Normal 61 7 3 2 3 2 2 3" xfId="0"/>
    <cellStyle name="Normal 61 7 3 2 3 2 2 3 2" xfId="0"/>
    <cellStyle name="Normal 61 7 3 2 3 2 2 3 2 2" xfId="0"/>
    <cellStyle name="Normal 61 7 3 2 3 2 2 3 3" xfId="0"/>
    <cellStyle name="Normal 61 7 3 2 3 2 2 4" xfId="0"/>
    <cellStyle name="Normal 61 7 3 2 3 2 2 4 2" xfId="0"/>
    <cellStyle name="Normal 61 7 3 2 3 2 2 5" xfId="0"/>
    <cellStyle name="Normal 61 7 3 2 3 2 3" xfId="0"/>
    <cellStyle name="Normal 61 7 3 2 3 2 3 2" xfId="0"/>
    <cellStyle name="Normal 61 7 3 2 3 2 3 2 2" xfId="0"/>
    <cellStyle name="Normal 61 7 3 2 3 2 3 3" xfId="0"/>
    <cellStyle name="Normal 61 7 3 2 3 2 4" xfId="0"/>
    <cellStyle name="Normal 61 7 3 2 3 2 4 2" xfId="0"/>
    <cellStyle name="Normal 61 7 3 2 3 2 4 2 2" xfId="0"/>
    <cellStyle name="Normal 61 7 3 2 3 2 4 3" xfId="0"/>
    <cellStyle name="Normal 61 7 3 2 3 2 5" xfId="0"/>
    <cellStyle name="Normal 61 7 3 2 3 2 5 2" xfId="0"/>
    <cellStyle name="Normal 61 7 3 2 3 2 6" xfId="0"/>
    <cellStyle name="Normal 61 7 3 2 3 3" xfId="0"/>
    <cellStyle name="Normal 61 7 3 2 3 3 2" xfId="0"/>
    <cellStyle name="Normal 61 7 3 2 3 3 2 2" xfId="0"/>
    <cellStyle name="Normal 61 7 3 2 3 3 2 2 2" xfId="0"/>
    <cellStyle name="Normal 61 7 3 2 3 3 2 3" xfId="0"/>
    <cellStyle name="Normal 61 7 3 2 3 3 3" xfId="0"/>
    <cellStyle name="Normal 61 7 3 2 3 3 3 2" xfId="0"/>
    <cellStyle name="Normal 61 7 3 2 3 3 3 2 2" xfId="0"/>
    <cellStyle name="Normal 61 7 3 2 3 3 3 3" xfId="0"/>
    <cellStyle name="Normal 61 7 3 2 3 3 4" xfId="0"/>
    <cellStyle name="Normal 61 7 3 2 3 3 4 2" xfId="0"/>
    <cellStyle name="Normal 61 7 3 2 3 3 5" xfId="0"/>
    <cellStyle name="Normal 61 7 3 2 3 4" xfId="0"/>
    <cellStyle name="Normal 61 7 3 2 3 4 2" xfId="0"/>
    <cellStyle name="Normal 61 7 3 2 3 4 2 2" xfId="0"/>
    <cellStyle name="Normal 61 7 3 2 3 4 3" xfId="0"/>
    <cellStyle name="Normal 61 7 3 2 3 5" xfId="0"/>
    <cellStyle name="Normal 61 7 3 2 3 5 2" xfId="0"/>
    <cellStyle name="Normal 61 7 3 2 3 5 2 2" xfId="0"/>
    <cellStyle name="Normal 61 7 3 2 3 5 3" xfId="0"/>
    <cellStyle name="Normal 61 7 3 2 3 6" xfId="0"/>
    <cellStyle name="Normal 61 7 3 2 3 6 2" xfId="0"/>
    <cellStyle name="Normal 61 7 3 2 3 7" xfId="0"/>
    <cellStyle name="Normal 61 7 3 2 4" xfId="0"/>
    <cellStyle name="Normal 61 7 3 2 4 2" xfId="0"/>
    <cellStyle name="Normal 61 7 3 2 4 2 2" xfId="0"/>
    <cellStyle name="Normal 61 7 3 2 4 2 2 2" xfId="0"/>
    <cellStyle name="Normal 61 7 3 2 4 2 2 2 2" xfId="0"/>
    <cellStyle name="Normal 61 7 3 2 4 2 2 3" xfId="0"/>
    <cellStyle name="Normal 61 7 3 2 4 2 3" xfId="0"/>
    <cellStyle name="Normal 61 7 3 2 4 2 3 2" xfId="0"/>
    <cellStyle name="Normal 61 7 3 2 4 2 3 2 2" xfId="0"/>
    <cellStyle name="Normal 61 7 3 2 4 2 3 3" xfId="0"/>
    <cellStyle name="Normal 61 7 3 2 4 2 4" xfId="0"/>
    <cellStyle name="Normal 61 7 3 2 4 2 4 2" xfId="0"/>
    <cellStyle name="Normal 61 7 3 2 4 2 5" xfId="0"/>
    <cellStyle name="Normal 61 7 3 2 4 3" xfId="0"/>
    <cellStyle name="Normal 61 7 3 2 4 3 2" xfId="0"/>
    <cellStyle name="Normal 61 7 3 2 4 3 2 2" xfId="0"/>
    <cellStyle name="Normal 61 7 3 2 4 3 3" xfId="0"/>
    <cellStyle name="Normal 61 7 3 2 4 4" xfId="0"/>
    <cellStyle name="Normal 61 7 3 2 4 4 2" xfId="0"/>
    <cellStyle name="Normal 61 7 3 2 4 4 2 2" xfId="0"/>
    <cellStyle name="Normal 61 7 3 2 4 4 3" xfId="0"/>
    <cellStyle name="Normal 61 7 3 2 4 5" xfId="0"/>
    <cellStyle name="Normal 61 7 3 2 4 5 2" xfId="0"/>
    <cellStyle name="Normal 61 7 3 2 4 6" xfId="0"/>
    <cellStyle name="Normal 61 7 3 2 5" xfId="0"/>
    <cellStyle name="Normal 61 7 3 2 5 2" xfId="0"/>
    <cellStyle name="Normal 61 7 3 2 5 2 2" xfId="0"/>
    <cellStyle name="Normal 61 7 3 2 5 2 2 2" xfId="0"/>
    <cellStyle name="Normal 61 7 3 2 5 2 3" xfId="0"/>
    <cellStyle name="Normal 61 7 3 2 5 3" xfId="0"/>
    <cellStyle name="Normal 61 7 3 2 5 3 2" xfId="0"/>
    <cellStyle name="Normal 61 7 3 2 5 3 2 2" xfId="0"/>
    <cellStyle name="Normal 61 7 3 2 5 3 3" xfId="0"/>
    <cellStyle name="Normal 61 7 3 2 5 4" xfId="0"/>
    <cellStyle name="Normal 61 7 3 2 5 4 2" xfId="0"/>
    <cellStyle name="Normal 61 7 3 2 5 5" xfId="0"/>
    <cellStyle name="Normal 61 7 3 2 6" xfId="0"/>
    <cellStyle name="Normal 61 7 3 2 6 2" xfId="0"/>
    <cellStyle name="Normal 61 7 3 2 6 2 2" xfId="0"/>
    <cellStyle name="Normal 61 7 3 2 6 3" xfId="0"/>
    <cellStyle name="Normal 61 7 3 2 7" xfId="0"/>
    <cellStyle name="Normal 61 7 3 2 7 2" xfId="0"/>
    <cellStyle name="Normal 61 7 3 2 7 2 2" xfId="0"/>
    <cellStyle name="Normal 61 7 3 2 7 3" xfId="0"/>
    <cellStyle name="Normal 61 7 3 2 8" xfId="0"/>
    <cellStyle name="Normal 61 7 3 2 8 2" xfId="0"/>
    <cellStyle name="Normal 61 7 3 2 9" xfId="0"/>
    <cellStyle name="Normal 61 7 3 3" xfId="0"/>
    <cellStyle name="Normal 61 7 3 3 2" xfId="0"/>
    <cellStyle name="Normal 61 7 3 3 2 2" xfId="0"/>
    <cellStyle name="Normal 61 7 3 3 2 2 2" xfId="0"/>
    <cellStyle name="Normal 61 7 3 3 2 2 2 2" xfId="0"/>
    <cellStyle name="Normal 61 7 3 3 2 2 2 2 2" xfId="0"/>
    <cellStyle name="Normal 61 7 3 3 2 2 2 2 2 2" xfId="0"/>
    <cellStyle name="Normal 61 7 3 3 2 2 2 2 3" xfId="0"/>
    <cellStyle name="Normal 61 7 3 3 2 2 2 3" xfId="0"/>
    <cellStyle name="Normal 61 7 3 3 2 2 2 3 2" xfId="0"/>
    <cellStyle name="Normal 61 7 3 3 2 2 2 3 2 2" xfId="0"/>
    <cellStyle name="Normal 61 7 3 3 2 2 2 3 3" xfId="0"/>
    <cellStyle name="Normal 61 7 3 3 2 2 2 4" xfId="0"/>
    <cellStyle name="Normal 61 7 3 3 2 2 2 4 2" xfId="0"/>
    <cellStyle name="Normal 61 7 3 3 2 2 2 5" xfId="0"/>
    <cellStyle name="Normal 61 7 3 3 2 2 3" xfId="0"/>
    <cellStyle name="Normal 61 7 3 3 2 2 3 2" xfId="0"/>
    <cellStyle name="Normal 61 7 3 3 2 2 3 2 2" xfId="0"/>
    <cellStyle name="Normal 61 7 3 3 2 2 3 3" xfId="0"/>
    <cellStyle name="Normal 61 7 3 3 2 2 4" xfId="0"/>
    <cellStyle name="Normal 61 7 3 3 2 2 4 2" xfId="0"/>
    <cellStyle name="Normal 61 7 3 3 2 2 4 2 2" xfId="0"/>
    <cellStyle name="Normal 61 7 3 3 2 2 4 3" xfId="0"/>
    <cellStyle name="Normal 61 7 3 3 2 2 5" xfId="0"/>
    <cellStyle name="Normal 61 7 3 3 2 2 5 2" xfId="0"/>
    <cellStyle name="Normal 61 7 3 3 2 2 6" xfId="0"/>
    <cellStyle name="Normal 61 7 3 3 2 3" xfId="0"/>
    <cellStyle name="Normal 61 7 3 3 2 3 2" xfId="0"/>
    <cellStyle name="Normal 61 7 3 3 2 3 2 2" xfId="0"/>
    <cellStyle name="Normal 61 7 3 3 2 3 2 2 2" xfId="0"/>
    <cellStyle name="Normal 61 7 3 3 2 3 2 3" xfId="0"/>
    <cellStyle name="Normal 61 7 3 3 2 3 3" xfId="0"/>
    <cellStyle name="Normal 61 7 3 3 2 3 3 2" xfId="0"/>
    <cellStyle name="Normal 61 7 3 3 2 3 3 2 2" xfId="0"/>
    <cellStyle name="Normal 61 7 3 3 2 3 3 3" xfId="0"/>
    <cellStyle name="Normal 61 7 3 3 2 3 4" xfId="0"/>
    <cellStyle name="Normal 61 7 3 3 2 3 4 2" xfId="0"/>
    <cellStyle name="Normal 61 7 3 3 2 3 5" xfId="0"/>
    <cellStyle name="Normal 61 7 3 3 2 4" xfId="0"/>
    <cellStyle name="Normal 61 7 3 3 2 4 2" xfId="0"/>
    <cellStyle name="Normal 61 7 3 3 2 4 2 2" xfId="0"/>
    <cellStyle name="Normal 61 7 3 3 2 4 3" xfId="0"/>
    <cellStyle name="Normal 61 7 3 3 2 5" xfId="0"/>
    <cellStyle name="Normal 61 7 3 3 2 5 2" xfId="0"/>
    <cellStyle name="Normal 61 7 3 3 2 5 2 2" xfId="0"/>
    <cellStyle name="Normal 61 7 3 3 2 5 3" xfId="0"/>
    <cellStyle name="Normal 61 7 3 3 2 6" xfId="0"/>
    <cellStyle name="Normal 61 7 3 3 2 6 2" xfId="0"/>
    <cellStyle name="Normal 61 7 3 3 2 7" xfId="0"/>
    <cellStyle name="Normal 61 7 3 3 3" xfId="0"/>
    <cellStyle name="Normal 61 7 3 3 3 2" xfId="0"/>
    <cellStyle name="Normal 61 7 3 3 3 2 2" xfId="0"/>
    <cellStyle name="Normal 61 7 3 3 3 2 2 2" xfId="0"/>
    <cellStyle name="Normal 61 7 3 3 3 2 2 2 2" xfId="0"/>
    <cellStyle name="Normal 61 7 3 3 3 2 2 3" xfId="0"/>
    <cellStyle name="Normal 61 7 3 3 3 2 3" xfId="0"/>
    <cellStyle name="Normal 61 7 3 3 3 2 3 2" xfId="0"/>
    <cellStyle name="Normal 61 7 3 3 3 2 3 2 2" xfId="0"/>
    <cellStyle name="Normal 61 7 3 3 3 2 3 3" xfId="0"/>
    <cellStyle name="Normal 61 7 3 3 3 2 4" xfId="0"/>
    <cellStyle name="Normal 61 7 3 3 3 2 4 2" xfId="0"/>
    <cellStyle name="Normal 61 7 3 3 3 2 5" xfId="0"/>
    <cellStyle name="Normal 61 7 3 3 3 3" xfId="0"/>
    <cellStyle name="Normal 61 7 3 3 3 3 2" xfId="0"/>
    <cellStyle name="Normal 61 7 3 3 3 3 2 2" xfId="0"/>
    <cellStyle name="Normal 61 7 3 3 3 3 3" xfId="0"/>
    <cellStyle name="Normal 61 7 3 3 3 4" xfId="0"/>
    <cellStyle name="Normal 61 7 3 3 3 4 2" xfId="0"/>
    <cellStyle name="Normal 61 7 3 3 3 4 2 2" xfId="0"/>
    <cellStyle name="Normal 61 7 3 3 3 4 3" xfId="0"/>
    <cellStyle name="Normal 61 7 3 3 3 5" xfId="0"/>
    <cellStyle name="Normal 61 7 3 3 3 5 2" xfId="0"/>
    <cellStyle name="Normal 61 7 3 3 3 6" xfId="0"/>
    <cellStyle name="Normal 61 7 3 3 4" xfId="0"/>
    <cellStyle name="Normal 61 7 3 3 4 2" xfId="0"/>
    <cellStyle name="Normal 61 7 3 3 4 2 2" xfId="0"/>
    <cellStyle name="Normal 61 7 3 3 4 2 2 2" xfId="0"/>
    <cellStyle name="Normal 61 7 3 3 4 2 3" xfId="0"/>
    <cellStyle name="Normal 61 7 3 3 4 3" xfId="0"/>
    <cellStyle name="Normal 61 7 3 3 4 3 2" xfId="0"/>
    <cellStyle name="Normal 61 7 3 3 4 3 2 2" xfId="0"/>
    <cellStyle name="Normal 61 7 3 3 4 3 3" xfId="0"/>
    <cellStyle name="Normal 61 7 3 3 4 4" xfId="0"/>
    <cellStyle name="Normal 61 7 3 3 4 4 2" xfId="0"/>
    <cellStyle name="Normal 61 7 3 3 4 5" xfId="0"/>
    <cellStyle name="Normal 61 7 3 3 5" xfId="0"/>
    <cellStyle name="Normal 61 7 3 3 5 2" xfId="0"/>
    <cellStyle name="Normal 61 7 3 3 5 2 2" xfId="0"/>
    <cellStyle name="Normal 61 7 3 3 5 3" xfId="0"/>
    <cellStyle name="Normal 61 7 3 3 6" xfId="0"/>
    <cellStyle name="Normal 61 7 3 3 6 2" xfId="0"/>
    <cellStyle name="Normal 61 7 3 3 6 2 2" xfId="0"/>
    <cellStyle name="Normal 61 7 3 3 6 3" xfId="0"/>
    <cellStyle name="Normal 61 7 3 3 7" xfId="0"/>
    <cellStyle name="Normal 61 7 3 3 7 2" xfId="0"/>
    <cellStyle name="Normal 61 7 3 3 8" xfId="0"/>
    <cellStyle name="Normal 61 7 3 4" xfId="0"/>
    <cellStyle name="Normal 61 7 3 4 2" xfId="0"/>
    <cellStyle name="Normal 61 7 3 4 2 2" xfId="0"/>
    <cellStyle name="Normal 61 7 3 4 2 2 2" xfId="0"/>
    <cellStyle name="Normal 61 7 3 4 2 2 2 2" xfId="0"/>
    <cellStyle name="Normal 61 7 3 4 2 2 2 2 2" xfId="0"/>
    <cellStyle name="Normal 61 7 3 4 2 2 2 3" xfId="0"/>
    <cellStyle name="Normal 61 7 3 4 2 2 3" xfId="0"/>
    <cellStyle name="Normal 61 7 3 4 2 2 3 2" xfId="0"/>
    <cellStyle name="Normal 61 7 3 4 2 2 3 2 2" xfId="0"/>
    <cellStyle name="Normal 61 7 3 4 2 2 3 3" xfId="0"/>
    <cellStyle name="Normal 61 7 3 4 2 2 4" xfId="0"/>
    <cellStyle name="Normal 61 7 3 4 2 2 4 2" xfId="0"/>
    <cellStyle name="Normal 61 7 3 4 2 2 5" xfId="0"/>
    <cellStyle name="Normal 61 7 3 4 2 3" xfId="0"/>
    <cellStyle name="Normal 61 7 3 4 2 3 2" xfId="0"/>
    <cellStyle name="Normal 61 7 3 4 2 3 2 2" xfId="0"/>
    <cellStyle name="Normal 61 7 3 4 2 3 3" xfId="0"/>
    <cellStyle name="Normal 61 7 3 4 2 4" xfId="0"/>
    <cellStyle name="Normal 61 7 3 4 2 4 2" xfId="0"/>
    <cellStyle name="Normal 61 7 3 4 2 4 2 2" xfId="0"/>
    <cellStyle name="Normal 61 7 3 4 2 4 3" xfId="0"/>
    <cellStyle name="Normal 61 7 3 4 2 5" xfId="0"/>
    <cellStyle name="Normal 61 7 3 4 2 5 2" xfId="0"/>
    <cellStyle name="Normal 61 7 3 4 2 6" xfId="0"/>
    <cellStyle name="Normal 61 7 3 4 3" xfId="0"/>
    <cellStyle name="Normal 61 7 3 4 3 2" xfId="0"/>
    <cellStyle name="Normal 61 7 3 4 3 2 2" xfId="0"/>
    <cellStyle name="Normal 61 7 3 4 3 2 2 2" xfId="0"/>
    <cellStyle name="Normal 61 7 3 4 3 2 3" xfId="0"/>
    <cellStyle name="Normal 61 7 3 4 3 3" xfId="0"/>
    <cellStyle name="Normal 61 7 3 4 3 3 2" xfId="0"/>
    <cellStyle name="Normal 61 7 3 4 3 3 2 2" xfId="0"/>
    <cellStyle name="Normal 61 7 3 4 3 3 3" xfId="0"/>
    <cellStyle name="Normal 61 7 3 4 3 4" xfId="0"/>
    <cellStyle name="Normal 61 7 3 4 3 4 2" xfId="0"/>
    <cellStyle name="Normal 61 7 3 4 3 5" xfId="0"/>
    <cellStyle name="Normal 61 7 3 4 4" xfId="0"/>
    <cellStyle name="Normal 61 7 3 4 4 2" xfId="0"/>
    <cellStyle name="Normal 61 7 3 4 4 2 2" xfId="0"/>
    <cellStyle name="Normal 61 7 3 4 4 3" xfId="0"/>
    <cellStyle name="Normal 61 7 3 4 5" xfId="0"/>
    <cellStyle name="Normal 61 7 3 4 5 2" xfId="0"/>
    <cellStyle name="Normal 61 7 3 4 5 2 2" xfId="0"/>
    <cellStyle name="Normal 61 7 3 4 5 3" xfId="0"/>
    <cellStyle name="Normal 61 7 3 4 6" xfId="0"/>
    <cellStyle name="Normal 61 7 3 4 6 2" xfId="0"/>
    <cellStyle name="Normal 61 7 3 4 7" xfId="0"/>
    <cellStyle name="Normal 61 7 3 5" xfId="0"/>
    <cellStyle name="Normal 61 7 3 5 2" xfId="0"/>
    <cellStyle name="Normal 61 7 3 5 2 2" xfId="0"/>
    <cellStyle name="Normal 61 7 3 5 2 2 2" xfId="0"/>
    <cellStyle name="Normal 61 7 3 5 2 2 2 2" xfId="0"/>
    <cellStyle name="Normal 61 7 3 5 2 2 3" xfId="0"/>
    <cellStyle name="Normal 61 7 3 5 2 3" xfId="0"/>
    <cellStyle name="Normal 61 7 3 5 2 3 2" xfId="0"/>
    <cellStyle name="Normal 61 7 3 5 2 3 2 2" xfId="0"/>
    <cellStyle name="Normal 61 7 3 5 2 3 3" xfId="0"/>
    <cellStyle name="Normal 61 7 3 5 2 4" xfId="0"/>
    <cellStyle name="Normal 61 7 3 5 2 4 2" xfId="0"/>
    <cellStyle name="Normal 61 7 3 5 2 5" xfId="0"/>
    <cellStyle name="Normal 61 7 3 5 3" xfId="0"/>
    <cellStyle name="Normal 61 7 3 5 3 2" xfId="0"/>
    <cellStyle name="Normal 61 7 3 5 3 2 2" xfId="0"/>
    <cellStyle name="Normal 61 7 3 5 3 3" xfId="0"/>
    <cellStyle name="Normal 61 7 3 5 4" xfId="0"/>
    <cellStyle name="Normal 61 7 3 5 4 2" xfId="0"/>
    <cellStyle name="Normal 61 7 3 5 4 2 2" xfId="0"/>
    <cellStyle name="Normal 61 7 3 5 4 3" xfId="0"/>
    <cellStyle name="Normal 61 7 3 5 5" xfId="0"/>
    <cellStyle name="Normal 61 7 3 5 5 2" xfId="0"/>
    <cellStyle name="Normal 61 7 3 5 6" xfId="0"/>
    <cellStyle name="Normal 61 7 3 6" xfId="0"/>
    <cellStyle name="Normal 61 7 3 6 2" xfId="0"/>
    <cellStyle name="Normal 61 7 3 6 2 2" xfId="0"/>
    <cellStyle name="Normal 61 7 3 6 2 2 2" xfId="0"/>
    <cellStyle name="Normal 61 7 3 6 2 3" xfId="0"/>
    <cellStyle name="Normal 61 7 3 6 3" xfId="0"/>
    <cellStyle name="Normal 61 7 3 6 3 2" xfId="0"/>
    <cellStyle name="Normal 61 7 3 6 3 2 2" xfId="0"/>
    <cellStyle name="Normal 61 7 3 6 3 3" xfId="0"/>
    <cellStyle name="Normal 61 7 3 6 4" xfId="0"/>
    <cellStyle name="Normal 61 7 3 6 4 2" xfId="0"/>
    <cellStyle name="Normal 61 7 3 6 5" xfId="0"/>
    <cellStyle name="Normal 61 7 3 7" xfId="0"/>
    <cellStyle name="Normal 61 7 3 7 2" xfId="0"/>
    <cellStyle name="Normal 61 7 3 7 2 2" xfId="0"/>
    <cellStyle name="Normal 61 7 3 7 3" xfId="0"/>
    <cellStyle name="Normal 61 7 3 8" xfId="0"/>
    <cellStyle name="Normal 61 7 3 8 2" xfId="0"/>
    <cellStyle name="Normal 61 7 3 8 2 2" xfId="0"/>
    <cellStyle name="Normal 61 7 3 8 3" xfId="0"/>
    <cellStyle name="Normal 61 7 3 9" xfId="0"/>
    <cellStyle name="Normal 61 7 3 9 2" xfId="0"/>
    <cellStyle name="Normal 61 7 4" xfId="0"/>
    <cellStyle name="Normal 61 7 4 2" xfId="0"/>
    <cellStyle name="Normal 61 7 4 2 2" xfId="0"/>
    <cellStyle name="Normal 61 7 4 2 2 2" xfId="0"/>
    <cellStyle name="Normal 61 7 4 2 2 2 2" xfId="0"/>
    <cellStyle name="Normal 61 7 4 2 2 2 2 2" xfId="0"/>
    <cellStyle name="Normal 61 7 4 2 2 2 2 2 2" xfId="0"/>
    <cellStyle name="Normal 61 7 4 2 2 2 2 2 2 2" xfId="0"/>
    <cellStyle name="Normal 61 7 4 2 2 2 2 2 3" xfId="0"/>
    <cellStyle name="Normal 61 7 4 2 2 2 2 3" xfId="0"/>
    <cellStyle name="Normal 61 7 4 2 2 2 2 3 2" xfId="0"/>
    <cellStyle name="Normal 61 7 4 2 2 2 2 3 2 2" xfId="0"/>
    <cellStyle name="Normal 61 7 4 2 2 2 2 3 3" xfId="0"/>
    <cellStyle name="Normal 61 7 4 2 2 2 2 4" xfId="0"/>
    <cellStyle name="Normal 61 7 4 2 2 2 2 4 2" xfId="0"/>
    <cellStyle name="Normal 61 7 4 2 2 2 2 5" xfId="0"/>
    <cellStyle name="Normal 61 7 4 2 2 2 3" xfId="0"/>
    <cellStyle name="Normal 61 7 4 2 2 2 3 2" xfId="0"/>
    <cellStyle name="Normal 61 7 4 2 2 2 3 2 2" xfId="0"/>
    <cellStyle name="Normal 61 7 4 2 2 2 3 3" xfId="0"/>
    <cellStyle name="Normal 61 7 4 2 2 2 4" xfId="0"/>
    <cellStyle name="Normal 61 7 4 2 2 2 4 2" xfId="0"/>
    <cellStyle name="Normal 61 7 4 2 2 2 4 2 2" xfId="0"/>
    <cellStyle name="Normal 61 7 4 2 2 2 4 3" xfId="0"/>
    <cellStyle name="Normal 61 7 4 2 2 2 5" xfId="0"/>
    <cellStyle name="Normal 61 7 4 2 2 2 5 2" xfId="0"/>
    <cellStyle name="Normal 61 7 4 2 2 2 6" xfId="0"/>
    <cellStyle name="Normal 61 7 4 2 2 3" xfId="0"/>
    <cellStyle name="Normal 61 7 4 2 2 3 2" xfId="0"/>
    <cellStyle name="Normal 61 7 4 2 2 3 2 2" xfId="0"/>
    <cellStyle name="Normal 61 7 4 2 2 3 2 2 2" xfId="0"/>
    <cellStyle name="Normal 61 7 4 2 2 3 2 3" xfId="0"/>
    <cellStyle name="Normal 61 7 4 2 2 3 3" xfId="0"/>
    <cellStyle name="Normal 61 7 4 2 2 3 3 2" xfId="0"/>
    <cellStyle name="Normal 61 7 4 2 2 3 3 2 2" xfId="0"/>
    <cellStyle name="Normal 61 7 4 2 2 3 3 3" xfId="0"/>
    <cellStyle name="Normal 61 7 4 2 2 3 4" xfId="0"/>
    <cellStyle name="Normal 61 7 4 2 2 3 4 2" xfId="0"/>
    <cellStyle name="Normal 61 7 4 2 2 3 5" xfId="0"/>
    <cellStyle name="Normal 61 7 4 2 2 4" xfId="0"/>
    <cellStyle name="Normal 61 7 4 2 2 4 2" xfId="0"/>
    <cellStyle name="Normal 61 7 4 2 2 4 2 2" xfId="0"/>
    <cellStyle name="Normal 61 7 4 2 2 4 3" xfId="0"/>
    <cellStyle name="Normal 61 7 4 2 2 5" xfId="0"/>
    <cellStyle name="Normal 61 7 4 2 2 5 2" xfId="0"/>
    <cellStyle name="Normal 61 7 4 2 2 5 2 2" xfId="0"/>
    <cellStyle name="Normal 61 7 4 2 2 5 3" xfId="0"/>
    <cellStyle name="Normal 61 7 4 2 2 6" xfId="0"/>
    <cellStyle name="Normal 61 7 4 2 2 6 2" xfId="0"/>
    <cellStyle name="Normal 61 7 4 2 2 7" xfId="0"/>
    <cellStyle name="Normal 61 7 4 2 3" xfId="0"/>
    <cellStyle name="Normal 61 7 4 2 3 2" xfId="0"/>
    <cellStyle name="Normal 61 7 4 2 3 2 2" xfId="0"/>
    <cellStyle name="Normal 61 7 4 2 3 2 2 2" xfId="0"/>
    <cellStyle name="Normal 61 7 4 2 3 2 2 2 2" xfId="0"/>
    <cellStyle name="Normal 61 7 4 2 3 2 2 3" xfId="0"/>
    <cellStyle name="Normal 61 7 4 2 3 2 3" xfId="0"/>
    <cellStyle name="Normal 61 7 4 2 3 2 3 2" xfId="0"/>
    <cellStyle name="Normal 61 7 4 2 3 2 3 2 2" xfId="0"/>
    <cellStyle name="Normal 61 7 4 2 3 2 3 3" xfId="0"/>
    <cellStyle name="Normal 61 7 4 2 3 2 4" xfId="0"/>
    <cellStyle name="Normal 61 7 4 2 3 2 4 2" xfId="0"/>
    <cellStyle name="Normal 61 7 4 2 3 2 5" xfId="0"/>
    <cellStyle name="Normal 61 7 4 2 3 3" xfId="0"/>
    <cellStyle name="Normal 61 7 4 2 3 3 2" xfId="0"/>
    <cellStyle name="Normal 61 7 4 2 3 3 2 2" xfId="0"/>
    <cellStyle name="Normal 61 7 4 2 3 3 3" xfId="0"/>
    <cellStyle name="Normal 61 7 4 2 3 4" xfId="0"/>
    <cellStyle name="Normal 61 7 4 2 3 4 2" xfId="0"/>
    <cellStyle name="Normal 61 7 4 2 3 4 2 2" xfId="0"/>
    <cellStyle name="Normal 61 7 4 2 3 4 3" xfId="0"/>
    <cellStyle name="Normal 61 7 4 2 3 5" xfId="0"/>
    <cellStyle name="Normal 61 7 4 2 3 5 2" xfId="0"/>
    <cellStyle name="Normal 61 7 4 2 3 6" xfId="0"/>
    <cellStyle name="Normal 61 7 4 2 4" xfId="0"/>
    <cellStyle name="Normal 61 7 4 2 4 2" xfId="0"/>
    <cellStyle name="Normal 61 7 4 2 4 2 2" xfId="0"/>
    <cellStyle name="Normal 61 7 4 2 4 2 2 2" xfId="0"/>
    <cellStyle name="Normal 61 7 4 2 4 2 3" xfId="0"/>
    <cellStyle name="Normal 61 7 4 2 4 3" xfId="0"/>
    <cellStyle name="Normal 61 7 4 2 4 3 2" xfId="0"/>
    <cellStyle name="Normal 61 7 4 2 4 3 2 2" xfId="0"/>
    <cellStyle name="Normal 61 7 4 2 4 3 3" xfId="0"/>
    <cellStyle name="Normal 61 7 4 2 4 4" xfId="0"/>
    <cellStyle name="Normal 61 7 4 2 4 4 2" xfId="0"/>
    <cellStyle name="Normal 61 7 4 2 4 5" xfId="0"/>
    <cellStyle name="Normal 61 7 4 2 5" xfId="0"/>
    <cellStyle name="Normal 61 7 4 2 5 2" xfId="0"/>
    <cellStyle name="Normal 61 7 4 2 5 2 2" xfId="0"/>
    <cellStyle name="Normal 61 7 4 2 5 3" xfId="0"/>
    <cellStyle name="Normal 61 7 4 2 6" xfId="0"/>
    <cellStyle name="Normal 61 7 4 2 6 2" xfId="0"/>
    <cellStyle name="Normal 61 7 4 2 6 2 2" xfId="0"/>
    <cellStyle name="Normal 61 7 4 2 6 3" xfId="0"/>
    <cellStyle name="Normal 61 7 4 2 7" xfId="0"/>
    <cellStyle name="Normal 61 7 4 2 7 2" xfId="0"/>
    <cellStyle name="Normal 61 7 4 2 8" xfId="0"/>
    <cellStyle name="Normal 61 7 4 3" xfId="0"/>
    <cellStyle name="Normal 61 7 4 3 2" xfId="0"/>
    <cellStyle name="Normal 61 7 4 3 2 2" xfId="0"/>
    <cellStyle name="Normal 61 7 4 3 2 2 2" xfId="0"/>
    <cellStyle name="Normal 61 7 4 3 2 2 2 2" xfId="0"/>
    <cellStyle name="Normal 61 7 4 3 2 2 2 2 2" xfId="0"/>
    <cellStyle name="Normal 61 7 4 3 2 2 2 3" xfId="0"/>
    <cellStyle name="Normal 61 7 4 3 2 2 3" xfId="0"/>
    <cellStyle name="Normal 61 7 4 3 2 2 3 2" xfId="0"/>
    <cellStyle name="Normal 61 7 4 3 2 2 3 2 2" xfId="0"/>
    <cellStyle name="Normal 61 7 4 3 2 2 3 3" xfId="0"/>
    <cellStyle name="Normal 61 7 4 3 2 2 4" xfId="0"/>
    <cellStyle name="Normal 61 7 4 3 2 2 4 2" xfId="0"/>
    <cellStyle name="Normal 61 7 4 3 2 2 5" xfId="0"/>
    <cellStyle name="Normal 61 7 4 3 2 3" xfId="0"/>
    <cellStyle name="Normal 61 7 4 3 2 3 2" xfId="0"/>
    <cellStyle name="Normal 61 7 4 3 2 3 2 2" xfId="0"/>
    <cellStyle name="Normal 61 7 4 3 2 3 3" xfId="0"/>
    <cellStyle name="Normal 61 7 4 3 2 4" xfId="0"/>
    <cellStyle name="Normal 61 7 4 3 2 4 2" xfId="0"/>
    <cellStyle name="Normal 61 7 4 3 2 4 2 2" xfId="0"/>
    <cellStyle name="Normal 61 7 4 3 2 4 3" xfId="0"/>
    <cellStyle name="Normal 61 7 4 3 2 5" xfId="0"/>
    <cellStyle name="Normal 61 7 4 3 2 5 2" xfId="0"/>
    <cellStyle name="Normal 61 7 4 3 2 6" xfId="0"/>
    <cellStyle name="Normal 61 7 4 3 3" xfId="0"/>
    <cellStyle name="Normal 61 7 4 3 3 2" xfId="0"/>
    <cellStyle name="Normal 61 7 4 3 3 2 2" xfId="0"/>
    <cellStyle name="Normal 61 7 4 3 3 2 2 2" xfId="0"/>
    <cellStyle name="Normal 61 7 4 3 3 2 3" xfId="0"/>
    <cellStyle name="Normal 61 7 4 3 3 3" xfId="0"/>
    <cellStyle name="Normal 61 7 4 3 3 3 2" xfId="0"/>
    <cellStyle name="Normal 61 7 4 3 3 3 2 2" xfId="0"/>
    <cellStyle name="Normal 61 7 4 3 3 3 3" xfId="0"/>
    <cellStyle name="Normal 61 7 4 3 3 4" xfId="0"/>
    <cellStyle name="Normal 61 7 4 3 3 4 2" xfId="0"/>
    <cellStyle name="Normal 61 7 4 3 3 5" xfId="0"/>
    <cellStyle name="Normal 61 7 4 3 4" xfId="0"/>
    <cellStyle name="Normal 61 7 4 3 4 2" xfId="0"/>
    <cellStyle name="Normal 61 7 4 3 4 2 2" xfId="0"/>
    <cellStyle name="Normal 61 7 4 3 4 3" xfId="0"/>
    <cellStyle name="Normal 61 7 4 3 5" xfId="0"/>
    <cellStyle name="Normal 61 7 4 3 5 2" xfId="0"/>
    <cellStyle name="Normal 61 7 4 3 5 2 2" xfId="0"/>
    <cellStyle name="Normal 61 7 4 3 5 3" xfId="0"/>
    <cellStyle name="Normal 61 7 4 3 6" xfId="0"/>
    <cellStyle name="Normal 61 7 4 3 6 2" xfId="0"/>
    <cellStyle name="Normal 61 7 4 3 7" xfId="0"/>
    <cellStyle name="Normal 61 7 4 4" xfId="0"/>
    <cellStyle name="Normal 61 7 4 4 2" xfId="0"/>
    <cellStyle name="Normal 61 7 4 4 2 2" xfId="0"/>
    <cellStyle name="Normal 61 7 4 4 2 2 2" xfId="0"/>
    <cellStyle name="Normal 61 7 4 4 2 2 2 2" xfId="0"/>
    <cellStyle name="Normal 61 7 4 4 2 2 3" xfId="0"/>
    <cellStyle name="Normal 61 7 4 4 2 3" xfId="0"/>
    <cellStyle name="Normal 61 7 4 4 2 3 2" xfId="0"/>
    <cellStyle name="Normal 61 7 4 4 2 3 2 2" xfId="0"/>
    <cellStyle name="Normal 61 7 4 4 2 3 3" xfId="0"/>
    <cellStyle name="Normal 61 7 4 4 2 4" xfId="0"/>
    <cellStyle name="Normal 61 7 4 4 2 4 2" xfId="0"/>
    <cellStyle name="Normal 61 7 4 4 2 5" xfId="0"/>
    <cellStyle name="Normal 61 7 4 4 3" xfId="0"/>
    <cellStyle name="Normal 61 7 4 4 3 2" xfId="0"/>
    <cellStyle name="Normal 61 7 4 4 3 2 2" xfId="0"/>
    <cellStyle name="Normal 61 7 4 4 3 3" xfId="0"/>
    <cellStyle name="Normal 61 7 4 4 4" xfId="0"/>
    <cellStyle name="Normal 61 7 4 4 4 2" xfId="0"/>
    <cellStyle name="Normal 61 7 4 4 4 2 2" xfId="0"/>
    <cellStyle name="Normal 61 7 4 4 4 3" xfId="0"/>
    <cellStyle name="Normal 61 7 4 4 5" xfId="0"/>
    <cellStyle name="Normal 61 7 4 4 5 2" xfId="0"/>
    <cellStyle name="Normal 61 7 4 4 6" xfId="0"/>
    <cellStyle name="Normal 61 7 4 5" xfId="0"/>
    <cellStyle name="Normal 61 7 4 5 2" xfId="0"/>
    <cellStyle name="Normal 61 7 4 5 2 2" xfId="0"/>
    <cellStyle name="Normal 61 7 4 5 2 2 2" xfId="0"/>
    <cellStyle name="Normal 61 7 4 5 2 3" xfId="0"/>
    <cellStyle name="Normal 61 7 4 5 3" xfId="0"/>
    <cellStyle name="Normal 61 7 4 5 3 2" xfId="0"/>
    <cellStyle name="Normal 61 7 4 5 3 2 2" xfId="0"/>
    <cellStyle name="Normal 61 7 4 5 3 3" xfId="0"/>
    <cellStyle name="Normal 61 7 4 5 4" xfId="0"/>
    <cellStyle name="Normal 61 7 4 5 4 2" xfId="0"/>
    <cellStyle name="Normal 61 7 4 5 5" xfId="0"/>
    <cellStyle name="Normal 61 7 4 6" xfId="0"/>
    <cellStyle name="Normal 61 7 4 6 2" xfId="0"/>
    <cellStyle name="Normal 61 7 4 6 2 2" xfId="0"/>
    <cellStyle name="Normal 61 7 4 6 3" xfId="0"/>
    <cellStyle name="Normal 61 7 4 7" xfId="0"/>
    <cellStyle name="Normal 61 7 4 7 2" xfId="0"/>
    <cellStyle name="Normal 61 7 4 7 2 2" xfId="0"/>
    <cellStyle name="Normal 61 7 4 7 3" xfId="0"/>
    <cellStyle name="Normal 61 7 4 8" xfId="0"/>
    <cellStyle name="Normal 61 7 4 8 2" xfId="0"/>
    <cellStyle name="Normal 61 7 4 9" xfId="0"/>
    <cellStyle name="Normal 61 7 5" xfId="0"/>
    <cellStyle name="Normal 61 7 5 2" xfId="0"/>
    <cellStyle name="Normal 61 7 5 2 2" xfId="0"/>
    <cellStyle name="Normal 61 7 5 2 2 2" xfId="0"/>
    <cellStyle name="Normal 61 7 5 2 2 2 2" xfId="0"/>
    <cellStyle name="Normal 61 7 5 2 2 2 2 2" xfId="0"/>
    <cellStyle name="Normal 61 7 5 2 2 2 2 2 2" xfId="0"/>
    <cellStyle name="Normal 61 7 5 2 2 2 2 3" xfId="0"/>
    <cellStyle name="Normal 61 7 5 2 2 2 3" xfId="0"/>
    <cellStyle name="Normal 61 7 5 2 2 2 3 2" xfId="0"/>
    <cellStyle name="Normal 61 7 5 2 2 2 3 2 2" xfId="0"/>
    <cellStyle name="Normal 61 7 5 2 2 2 3 3" xfId="0"/>
    <cellStyle name="Normal 61 7 5 2 2 2 4" xfId="0"/>
    <cellStyle name="Normal 61 7 5 2 2 2 4 2" xfId="0"/>
    <cellStyle name="Normal 61 7 5 2 2 2 5" xfId="0"/>
    <cellStyle name="Normal 61 7 5 2 2 3" xfId="0"/>
    <cellStyle name="Normal 61 7 5 2 2 3 2" xfId="0"/>
    <cellStyle name="Normal 61 7 5 2 2 3 2 2" xfId="0"/>
    <cellStyle name="Normal 61 7 5 2 2 3 3" xfId="0"/>
    <cellStyle name="Normal 61 7 5 2 2 4" xfId="0"/>
    <cellStyle name="Normal 61 7 5 2 2 4 2" xfId="0"/>
    <cellStyle name="Normal 61 7 5 2 2 4 2 2" xfId="0"/>
    <cellStyle name="Normal 61 7 5 2 2 4 3" xfId="0"/>
    <cellStyle name="Normal 61 7 5 2 2 5" xfId="0"/>
    <cellStyle name="Normal 61 7 5 2 2 5 2" xfId="0"/>
    <cellStyle name="Normal 61 7 5 2 2 6" xfId="0"/>
    <cellStyle name="Normal 61 7 5 2 3" xfId="0"/>
    <cellStyle name="Normal 61 7 5 2 3 2" xfId="0"/>
    <cellStyle name="Normal 61 7 5 2 3 2 2" xfId="0"/>
    <cellStyle name="Normal 61 7 5 2 3 2 2 2" xfId="0"/>
    <cellStyle name="Normal 61 7 5 2 3 2 3" xfId="0"/>
    <cellStyle name="Normal 61 7 5 2 3 3" xfId="0"/>
    <cellStyle name="Normal 61 7 5 2 3 3 2" xfId="0"/>
    <cellStyle name="Normal 61 7 5 2 3 3 2 2" xfId="0"/>
    <cellStyle name="Normal 61 7 5 2 3 3 3" xfId="0"/>
    <cellStyle name="Normal 61 7 5 2 3 4" xfId="0"/>
    <cellStyle name="Normal 61 7 5 2 3 4 2" xfId="0"/>
    <cellStyle name="Normal 61 7 5 2 3 5" xfId="0"/>
    <cellStyle name="Normal 61 7 5 2 4" xfId="0"/>
    <cellStyle name="Normal 61 7 5 2 4 2" xfId="0"/>
    <cellStyle name="Normal 61 7 5 2 4 2 2" xfId="0"/>
    <cellStyle name="Normal 61 7 5 2 4 3" xfId="0"/>
    <cellStyle name="Normal 61 7 5 2 5" xfId="0"/>
    <cellStyle name="Normal 61 7 5 2 5 2" xfId="0"/>
    <cellStyle name="Normal 61 7 5 2 5 2 2" xfId="0"/>
    <cellStyle name="Normal 61 7 5 2 5 3" xfId="0"/>
    <cellStyle name="Normal 61 7 5 2 6" xfId="0"/>
    <cellStyle name="Normal 61 7 5 2 6 2" xfId="0"/>
    <cellStyle name="Normal 61 7 5 2 7" xfId="0"/>
    <cellStyle name="Normal 61 7 5 3" xfId="0"/>
    <cellStyle name="Normal 61 7 5 3 2" xfId="0"/>
    <cellStyle name="Normal 61 7 5 3 2 2" xfId="0"/>
    <cellStyle name="Normal 61 7 5 3 2 2 2" xfId="0"/>
    <cellStyle name="Normal 61 7 5 3 2 2 2 2" xfId="0"/>
    <cellStyle name="Normal 61 7 5 3 2 2 3" xfId="0"/>
    <cellStyle name="Normal 61 7 5 3 2 3" xfId="0"/>
    <cellStyle name="Normal 61 7 5 3 2 3 2" xfId="0"/>
    <cellStyle name="Normal 61 7 5 3 2 3 2 2" xfId="0"/>
    <cellStyle name="Normal 61 7 5 3 2 3 3" xfId="0"/>
    <cellStyle name="Normal 61 7 5 3 2 4" xfId="0"/>
    <cellStyle name="Normal 61 7 5 3 2 4 2" xfId="0"/>
    <cellStyle name="Normal 61 7 5 3 2 5" xfId="0"/>
    <cellStyle name="Normal 61 7 5 3 3" xfId="0"/>
    <cellStyle name="Normal 61 7 5 3 3 2" xfId="0"/>
    <cellStyle name="Normal 61 7 5 3 3 2 2" xfId="0"/>
    <cellStyle name="Normal 61 7 5 3 3 3" xfId="0"/>
    <cellStyle name="Normal 61 7 5 3 4" xfId="0"/>
    <cellStyle name="Normal 61 7 5 3 4 2" xfId="0"/>
    <cellStyle name="Normal 61 7 5 3 4 2 2" xfId="0"/>
    <cellStyle name="Normal 61 7 5 3 4 3" xfId="0"/>
    <cellStyle name="Normal 61 7 5 3 5" xfId="0"/>
    <cellStyle name="Normal 61 7 5 3 5 2" xfId="0"/>
    <cellStyle name="Normal 61 7 5 3 6" xfId="0"/>
    <cellStyle name="Normal 61 7 5 4" xfId="0"/>
    <cellStyle name="Normal 61 7 5 4 2" xfId="0"/>
    <cellStyle name="Normal 61 7 5 4 2 2" xfId="0"/>
    <cellStyle name="Normal 61 7 5 4 2 2 2" xfId="0"/>
    <cellStyle name="Normal 61 7 5 4 2 3" xfId="0"/>
    <cellStyle name="Normal 61 7 5 4 3" xfId="0"/>
    <cellStyle name="Normal 61 7 5 4 3 2" xfId="0"/>
    <cellStyle name="Normal 61 7 5 4 3 2 2" xfId="0"/>
    <cellStyle name="Normal 61 7 5 4 3 3" xfId="0"/>
    <cellStyle name="Normal 61 7 5 4 4" xfId="0"/>
    <cellStyle name="Normal 61 7 5 4 4 2" xfId="0"/>
    <cellStyle name="Normal 61 7 5 4 5" xfId="0"/>
    <cellStyle name="Normal 61 7 5 5" xfId="0"/>
    <cellStyle name="Normal 61 7 5 5 2" xfId="0"/>
    <cellStyle name="Normal 61 7 5 5 2 2" xfId="0"/>
    <cellStyle name="Normal 61 7 5 5 3" xfId="0"/>
    <cellStyle name="Normal 61 7 5 6" xfId="0"/>
    <cellStyle name="Normal 61 7 5 6 2" xfId="0"/>
    <cellStyle name="Normal 61 7 5 6 2 2" xfId="0"/>
    <cellStyle name="Normal 61 7 5 6 3" xfId="0"/>
    <cellStyle name="Normal 61 7 5 7" xfId="0"/>
    <cellStyle name="Normal 61 7 5 7 2" xfId="0"/>
    <cellStyle name="Normal 61 7 5 8" xfId="0"/>
    <cellStyle name="Normal 61 7 6" xfId="0"/>
    <cellStyle name="Normal 61 7 6 2" xfId="0"/>
    <cellStyle name="Normal 61 7 6 2 2" xfId="0"/>
    <cellStyle name="Normal 61 7 6 2 2 2" xfId="0"/>
    <cellStyle name="Normal 61 7 6 2 2 2 2" xfId="0"/>
    <cellStyle name="Normal 61 7 6 2 2 2 2 2" xfId="0"/>
    <cellStyle name="Normal 61 7 6 2 2 2 3" xfId="0"/>
    <cellStyle name="Normal 61 7 6 2 2 3" xfId="0"/>
    <cellStyle name="Normal 61 7 6 2 2 3 2" xfId="0"/>
    <cellStyle name="Normal 61 7 6 2 2 3 2 2" xfId="0"/>
    <cellStyle name="Normal 61 7 6 2 2 3 3" xfId="0"/>
    <cellStyle name="Normal 61 7 6 2 2 4" xfId="0"/>
    <cellStyle name="Normal 61 7 6 2 2 4 2" xfId="0"/>
    <cellStyle name="Normal 61 7 6 2 2 5" xfId="0"/>
    <cellStyle name="Normal 61 7 6 2 3" xfId="0"/>
    <cellStyle name="Normal 61 7 6 2 3 2" xfId="0"/>
    <cellStyle name="Normal 61 7 6 2 3 2 2" xfId="0"/>
    <cellStyle name="Normal 61 7 6 2 3 3" xfId="0"/>
    <cellStyle name="Normal 61 7 6 2 4" xfId="0"/>
    <cellStyle name="Normal 61 7 6 2 4 2" xfId="0"/>
    <cellStyle name="Normal 61 7 6 2 4 2 2" xfId="0"/>
    <cellStyle name="Normal 61 7 6 2 4 3" xfId="0"/>
    <cellStyle name="Normal 61 7 6 2 5" xfId="0"/>
    <cellStyle name="Normal 61 7 6 2 5 2" xfId="0"/>
    <cellStyle name="Normal 61 7 6 2 6" xfId="0"/>
    <cellStyle name="Normal 61 7 6 3" xfId="0"/>
    <cellStyle name="Normal 61 7 6 3 2" xfId="0"/>
    <cellStyle name="Normal 61 7 6 3 2 2" xfId="0"/>
    <cellStyle name="Normal 61 7 6 3 2 2 2" xfId="0"/>
    <cellStyle name="Normal 61 7 6 3 2 3" xfId="0"/>
    <cellStyle name="Normal 61 7 6 3 3" xfId="0"/>
    <cellStyle name="Normal 61 7 6 3 3 2" xfId="0"/>
    <cellStyle name="Normal 61 7 6 3 3 2 2" xfId="0"/>
    <cellStyle name="Normal 61 7 6 3 3 3" xfId="0"/>
    <cellStyle name="Normal 61 7 6 3 4" xfId="0"/>
    <cellStyle name="Normal 61 7 6 3 4 2" xfId="0"/>
    <cellStyle name="Normal 61 7 6 3 5" xfId="0"/>
    <cellStyle name="Normal 61 7 6 4" xfId="0"/>
    <cellStyle name="Normal 61 7 6 4 2" xfId="0"/>
    <cellStyle name="Normal 61 7 6 4 2 2" xfId="0"/>
    <cellStyle name="Normal 61 7 6 4 3" xfId="0"/>
    <cellStyle name="Normal 61 7 6 5" xfId="0"/>
    <cellStyle name="Normal 61 7 6 5 2" xfId="0"/>
    <cellStyle name="Normal 61 7 6 5 2 2" xfId="0"/>
    <cellStyle name="Normal 61 7 6 5 3" xfId="0"/>
    <cellStyle name="Normal 61 7 6 6" xfId="0"/>
    <cellStyle name="Normal 61 7 6 6 2" xfId="0"/>
    <cellStyle name="Normal 61 7 6 7" xfId="0"/>
    <cellStyle name="Normal 61 7 7" xfId="0"/>
    <cellStyle name="Normal 61 7 7 2" xfId="0"/>
    <cellStyle name="Normal 61 7 7 2 2" xfId="0"/>
    <cellStyle name="Normal 61 7 7 2 2 2" xfId="0"/>
    <cellStyle name="Normal 61 7 7 2 2 2 2" xfId="0"/>
    <cellStyle name="Normal 61 7 7 2 2 3" xfId="0"/>
    <cellStyle name="Normal 61 7 7 2 3" xfId="0"/>
    <cellStyle name="Normal 61 7 7 2 3 2" xfId="0"/>
    <cellStyle name="Normal 61 7 7 2 3 2 2" xfId="0"/>
    <cellStyle name="Normal 61 7 7 2 3 3" xfId="0"/>
    <cellStyle name="Normal 61 7 7 2 4" xfId="0"/>
    <cellStyle name="Normal 61 7 7 2 4 2" xfId="0"/>
    <cellStyle name="Normal 61 7 7 2 5" xfId="0"/>
    <cellStyle name="Normal 61 7 7 3" xfId="0"/>
    <cellStyle name="Normal 61 7 7 3 2" xfId="0"/>
    <cellStyle name="Normal 61 7 7 3 2 2" xfId="0"/>
    <cellStyle name="Normal 61 7 7 3 3" xfId="0"/>
    <cellStyle name="Normal 61 7 7 4" xfId="0"/>
    <cellStyle name="Normal 61 7 7 4 2" xfId="0"/>
    <cellStyle name="Normal 61 7 7 4 2 2" xfId="0"/>
    <cellStyle name="Normal 61 7 7 4 3" xfId="0"/>
    <cellStyle name="Normal 61 7 7 5" xfId="0"/>
    <cellStyle name="Normal 61 7 7 5 2" xfId="0"/>
    <cellStyle name="Normal 61 7 7 6" xfId="0"/>
    <cellStyle name="Normal 61 7 8" xfId="0"/>
    <cellStyle name="Normal 61 7 8 2" xfId="0"/>
    <cellStyle name="Normal 61 7 8 2 2" xfId="0"/>
    <cellStyle name="Normal 61 7 8 2 2 2" xfId="0"/>
    <cellStyle name="Normal 61 7 8 2 3" xfId="0"/>
    <cellStyle name="Normal 61 7 8 3" xfId="0"/>
    <cellStyle name="Normal 61 7 8 3 2" xfId="0"/>
    <cellStyle name="Normal 61 7 8 3 2 2" xfId="0"/>
    <cellStyle name="Normal 61 7 8 3 3" xfId="0"/>
    <cellStyle name="Normal 61 7 8 4" xfId="0"/>
    <cellStyle name="Normal 61 7 8 4 2" xfId="0"/>
    <cellStyle name="Normal 61 7 8 5" xfId="0"/>
    <cellStyle name="Normal 61 7 9" xfId="0"/>
    <cellStyle name="Normal 61 7 9 2" xfId="0"/>
    <cellStyle name="Normal 61 7 9 2 2" xfId="0"/>
    <cellStyle name="Normal 61 7 9 3" xfId="0"/>
    <cellStyle name="Normal 61 8" xfId="0"/>
    <cellStyle name="Normal 61 8 10" xfId="0"/>
    <cellStyle name="Normal 61 8 2" xfId="0"/>
    <cellStyle name="Normal 61 8 2 2" xfId="0"/>
    <cellStyle name="Normal 61 8 2 2 2" xfId="0"/>
    <cellStyle name="Normal 61 8 2 2 2 2" xfId="0"/>
    <cellStyle name="Normal 61 8 2 2 2 2 2" xfId="0"/>
    <cellStyle name="Normal 61 8 2 2 2 2 2 2" xfId="0"/>
    <cellStyle name="Normal 61 8 2 2 2 2 2 2 2" xfId="0"/>
    <cellStyle name="Normal 61 8 2 2 2 2 2 2 2 2" xfId="0"/>
    <cellStyle name="Normal 61 8 2 2 2 2 2 2 3" xfId="0"/>
    <cellStyle name="Normal 61 8 2 2 2 2 2 3" xfId="0"/>
    <cellStyle name="Normal 61 8 2 2 2 2 2 3 2" xfId="0"/>
    <cellStyle name="Normal 61 8 2 2 2 2 2 3 2 2" xfId="0"/>
    <cellStyle name="Normal 61 8 2 2 2 2 2 3 3" xfId="0"/>
    <cellStyle name="Normal 61 8 2 2 2 2 2 4" xfId="0"/>
    <cellStyle name="Normal 61 8 2 2 2 2 2 4 2" xfId="0"/>
    <cellStyle name="Normal 61 8 2 2 2 2 2 5" xfId="0"/>
    <cellStyle name="Normal 61 8 2 2 2 2 3" xfId="0"/>
    <cellStyle name="Normal 61 8 2 2 2 2 3 2" xfId="0"/>
    <cellStyle name="Normal 61 8 2 2 2 2 3 2 2" xfId="0"/>
    <cellStyle name="Normal 61 8 2 2 2 2 3 3" xfId="0"/>
    <cellStyle name="Normal 61 8 2 2 2 2 4" xfId="0"/>
    <cellStyle name="Normal 61 8 2 2 2 2 4 2" xfId="0"/>
    <cellStyle name="Normal 61 8 2 2 2 2 4 2 2" xfId="0"/>
    <cellStyle name="Normal 61 8 2 2 2 2 4 3" xfId="0"/>
    <cellStyle name="Normal 61 8 2 2 2 2 5" xfId="0"/>
    <cellStyle name="Normal 61 8 2 2 2 2 5 2" xfId="0"/>
    <cellStyle name="Normal 61 8 2 2 2 2 6" xfId="0"/>
    <cellStyle name="Normal 61 8 2 2 2 3" xfId="0"/>
    <cellStyle name="Normal 61 8 2 2 2 3 2" xfId="0"/>
    <cellStyle name="Normal 61 8 2 2 2 3 2 2" xfId="0"/>
    <cellStyle name="Normal 61 8 2 2 2 3 2 2 2" xfId="0"/>
    <cellStyle name="Normal 61 8 2 2 2 3 2 3" xfId="0"/>
    <cellStyle name="Normal 61 8 2 2 2 3 3" xfId="0"/>
    <cellStyle name="Normal 61 8 2 2 2 3 3 2" xfId="0"/>
    <cellStyle name="Normal 61 8 2 2 2 3 3 2 2" xfId="0"/>
    <cellStyle name="Normal 61 8 2 2 2 3 3 3" xfId="0"/>
    <cellStyle name="Normal 61 8 2 2 2 3 4" xfId="0"/>
    <cellStyle name="Normal 61 8 2 2 2 3 4 2" xfId="0"/>
    <cellStyle name="Normal 61 8 2 2 2 3 5" xfId="0"/>
    <cellStyle name="Normal 61 8 2 2 2 4" xfId="0"/>
    <cellStyle name="Normal 61 8 2 2 2 4 2" xfId="0"/>
    <cellStyle name="Normal 61 8 2 2 2 4 2 2" xfId="0"/>
    <cellStyle name="Normal 61 8 2 2 2 4 3" xfId="0"/>
    <cellStyle name="Normal 61 8 2 2 2 5" xfId="0"/>
    <cellStyle name="Normal 61 8 2 2 2 5 2" xfId="0"/>
    <cellStyle name="Normal 61 8 2 2 2 5 2 2" xfId="0"/>
    <cellStyle name="Normal 61 8 2 2 2 5 3" xfId="0"/>
    <cellStyle name="Normal 61 8 2 2 2 6" xfId="0"/>
    <cellStyle name="Normal 61 8 2 2 2 6 2" xfId="0"/>
    <cellStyle name="Normal 61 8 2 2 2 7" xfId="0"/>
    <cellStyle name="Normal 61 8 2 2 3" xfId="0"/>
    <cellStyle name="Normal 61 8 2 2 3 2" xfId="0"/>
    <cellStyle name="Normal 61 8 2 2 3 2 2" xfId="0"/>
    <cellStyle name="Normal 61 8 2 2 3 2 2 2" xfId="0"/>
    <cellStyle name="Normal 61 8 2 2 3 2 2 2 2" xfId="0"/>
    <cellStyle name="Normal 61 8 2 2 3 2 2 3" xfId="0"/>
    <cellStyle name="Normal 61 8 2 2 3 2 3" xfId="0"/>
    <cellStyle name="Normal 61 8 2 2 3 2 3 2" xfId="0"/>
    <cellStyle name="Normal 61 8 2 2 3 2 3 2 2" xfId="0"/>
    <cellStyle name="Normal 61 8 2 2 3 2 3 3" xfId="0"/>
    <cellStyle name="Normal 61 8 2 2 3 2 4" xfId="0"/>
    <cellStyle name="Normal 61 8 2 2 3 2 4 2" xfId="0"/>
    <cellStyle name="Normal 61 8 2 2 3 2 5" xfId="0"/>
    <cellStyle name="Normal 61 8 2 2 3 3" xfId="0"/>
    <cellStyle name="Normal 61 8 2 2 3 3 2" xfId="0"/>
    <cellStyle name="Normal 61 8 2 2 3 3 2 2" xfId="0"/>
    <cellStyle name="Normal 61 8 2 2 3 3 3" xfId="0"/>
    <cellStyle name="Normal 61 8 2 2 3 4" xfId="0"/>
    <cellStyle name="Normal 61 8 2 2 3 4 2" xfId="0"/>
    <cellStyle name="Normal 61 8 2 2 3 4 2 2" xfId="0"/>
    <cellStyle name="Normal 61 8 2 2 3 4 3" xfId="0"/>
    <cellStyle name="Normal 61 8 2 2 3 5" xfId="0"/>
    <cellStyle name="Normal 61 8 2 2 3 5 2" xfId="0"/>
    <cellStyle name="Normal 61 8 2 2 3 6" xfId="0"/>
    <cellStyle name="Normal 61 8 2 2 4" xfId="0"/>
    <cellStyle name="Normal 61 8 2 2 4 2" xfId="0"/>
    <cellStyle name="Normal 61 8 2 2 4 2 2" xfId="0"/>
    <cellStyle name="Normal 61 8 2 2 4 2 2 2" xfId="0"/>
    <cellStyle name="Normal 61 8 2 2 4 2 3" xfId="0"/>
    <cellStyle name="Normal 61 8 2 2 4 3" xfId="0"/>
    <cellStyle name="Normal 61 8 2 2 4 3 2" xfId="0"/>
    <cellStyle name="Normal 61 8 2 2 4 3 2 2" xfId="0"/>
    <cellStyle name="Normal 61 8 2 2 4 3 3" xfId="0"/>
    <cellStyle name="Normal 61 8 2 2 4 4" xfId="0"/>
    <cellStyle name="Normal 61 8 2 2 4 4 2" xfId="0"/>
    <cellStyle name="Normal 61 8 2 2 4 5" xfId="0"/>
    <cellStyle name="Normal 61 8 2 2 5" xfId="0"/>
    <cellStyle name="Normal 61 8 2 2 5 2" xfId="0"/>
    <cellStyle name="Normal 61 8 2 2 5 2 2" xfId="0"/>
    <cellStyle name="Normal 61 8 2 2 5 3" xfId="0"/>
    <cellStyle name="Normal 61 8 2 2 6" xfId="0"/>
    <cellStyle name="Normal 61 8 2 2 6 2" xfId="0"/>
    <cellStyle name="Normal 61 8 2 2 6 2 2" xfId="0"/>
    <cellStyle name="Normal 61 8 2 2 6 3" xfId="0"/>
    <cellStyle name="Normal 61 8 2 2 7" xfId="0"/>
    <cellStyle name="Normal 61 8 2 2 7 2" xfId="0"/>
    <cellStyle name="Normal 61 8 2 2 8" xfId="0"/>
    <cellStyle name="Normal 61 8 2 3" xfId="0"/>
    <cellStyle name="Normal 61 8 2 3 2" xfId="0"/>
    <cellStyle name="Normal 61 8 2 3 2 2" xfId="0"/>
    <cellStyle name="Normal 61 8 2 3 2 2 2" xfId="0"/>
    <cellStyle name="Normal 61 8 2 3 2 2 2 2" xfId="0"/>
    <cellStyle name="Normal 61 8 2 3 2 2 2 2 2" xfId="0"/>
    <cellStyle name="Normal 61 8 2 3 2 2 2 3" xfId="0"/>
    <cellStyle name="Normal 61 8 2 3 2 2 3" xfId="0"/>
    <cellStyle name="Normal 61 8 2 3 2 2 3 2" xfId="0"/>
    <cellStyle name="Normal 61 8 2 3 2 2 3 2 2" xfId="0"/>
    <cellStyle name="Normal 61 8 2 3 2 2 3 3" xfId="0"/>
    <cellStyle name="Normal 61 8 2 3 2 2 4" xfId="0"/>
    <cellStyle name="Normal 61 8 2 3 2 2 4 2" xfId="0"/>
    <cellStyle name="Normal 61 8 2 3 2 2 5" xfId="0"/>
    <cellStyle name="Normal 61 8 2 3 2 3" xfId="0"/>
    <cellStyle name="Normal 61 8 2 3 2 3 2" xfId="0"/>
    <cellStyle name="Normal 61 8 2 3 2 3 2 2" xfId="0"/>
    <cellStyle name="Normal 61 8 2 3 2 3 3" xfId="0"/>
    <cellStyle name="Normal 61 8 2 3 2 4" xfId="0"/>
    <cellStyle name="Normal 61 8 2 3 2 4 2" xfId="0"/>
    <cellStyle name="Normal 61 8 2 3 2 4 2 2" xfId="0"/>
    <cellStyle name="Normal 61 8 2 3 2 4 3" xfId="0"/>
    <cellStyle name="Normal 61 8 2 3 2 5" xfId="0"/>
    <cellStyle name="Normal 61 8 2 3 2 5 2" xfId="0"/>
    <cellStyle name="Normal 61 8 2 3 2 6" xfId="0"/>
    <cellStyle name="Normal 61 8 2 3 3" xfId="0"/>
    <cellStyle name="Normal 61 8 2 3 3 2" xfId="0"/>
    <cellStyle name="Normal 61 8 2 3 3 2 2" xfId="0"/>
    <cellStyle name="Normal 61 8 2 3 3 2 2 2" xfId="0"/>
    <cellStyle name="Normal 61 8 2 3 3 2 3" xfId="0"/>
    <cellStyle name="Normal 61 8 2 3 3 3" xfId="0"/>
    <cellStyle name="Normal 61 8 2 3 3 3 2" xfId="0"/>
    <cellStyle name="Normal 61 8 2 3 3 3 2 2" xfId="0"/>
    <cellStyle name="Normal 61 8 2 3 3 3 3" xfId="0"/>
    <cellStyle name="Normal 61 8 2 3 3 4" xfId="0"/>
    <cellStyle name="Normal 61 8 2 3 3 4 2" xfId="0"/>
    <cellStyle name="Normal 61 8 2 3 3 5" xfId="0"/>
    <cellStyle name="Normal 61 8 2 3 4" xfId="0"/>
    <cellStyle name="Normal 61 8 2 3 4 2" xfId="0"/>
    <cellStyle name="Normal 61 8 2 3 4 2 2" xfId="0"/>
    <cellStyle name="Normal 61 8 2 3 4 3" xfId="0"/>
    <cellStyle name="Normal 61 8 2 3 5" xfId="0"/>
    <cellStyle name="Normal 61 8 2 3 5 2" xfId="0"/>
    <cellStyle name="Normal 61 8 2 3 5 2 2" xfId="0"/>
    <cellStyle name="Normal 61 8 2 3 5 3" xfId="0"/>
    <cellStyle name="Normal 61 8 2 3 6" xfId="0"/>
    <cellStyle name="Normal 61 8 2 3 6 2" xfId="0"/>
    <cellStyle name="Normal 61 8 2 3 7" xfId="0"/>
    <cellStyle name="Normal 61 8 2 4" xfId="0"/>
    <cellStyle name="Normal 61 8 2 4 2" xfId="0"/>
    <cellStyle name="Normal 61 8 2 4 2 2" xfId="0"/>
    <cellStyle name="Normal 61 8 2 4 2 2 2" xfId="0"/>
    <cellStyle name="Normal 61 8 2 4 2 2 2 2" xfId="0"/>
    <cellStyle name="Normal 61 8 2 4 2 2 3" xfId="0"/>
    <cellStyle name="Normal 61 8 2 4 2 3" xfId="0"/>
    <cellStyle name="Normal 61 8 2 4 2 3 2" xfId="0"/>
    <cellStyle name="Normal 61 8 2 4 2 3 2 2" xfId="0"/>
    <cellStyle name="Normal 61 8 2 4 2 3 3" xfId="0"/>
    <cellStyle name="Normal 61 8 2 4 2 4" xfId="0"/>
    <cellStyle name="Normal 61 8 2 4 2 4 2" xfId="0"/>
    <cellStyle name="Normal 61 8 2 4 2 5" xfId="0"/>
    <cellStyle name="Normal 61 8 2 4 3" xfId="0"/>
    <cellStyle name="Normal 61 8 2 4 3 2" xfId="0"/>
    <cellStyle name="Normal 61 8 2 4 3 2 2" xfId="0"/>
    <cellStyle name="Normal 61 8 2 4 3 3" xfId="0"/>
    <cellStyle name="Normal 61 8 2 4 4" xfId="0"/>
    <cellStyle name="Normal 61 8 2 4 4 2" xfId="0"/>
    <cellStyle name="Normal 61 8 2 4 4 2 2" xfId="0"/>
    <cellStyle name="Normal 61 8 2 4 4 3" xfId="0"/>
    <cellStyle name="Normal 61 8 2 4 5" xfId="0"/>
    <cellStyle name="Normal 61 8 2 4 5 2" xfId="0"/>
    <cellStyle name="Normal 61 8 2 4 6" xfId="0"/>
    <cellStyle name="Normal 61 8 2 5" xfId="0"/>
    <cellStyle name="Normal 61 8 2 5 2" xfId="0"/>
    <cellStyle name="Normal 61 8 2 5 2 2" xfId="0"/>
    <cellStyle name="Normal 61 8 2 5 2 2 2" xfId="0"/>
    <cellStyle name="Normal 61 8 2 5 2 3" xfId="0"/>
    <cellStyle name="Normal 61 8 2 5 3" xfId="0"/>
    <cellStyle name="Normal 61 8 2 5 3 2" xfId="0"/>
    <cellStyle name="Normal 61 8 2 5 3 2 2" xfId="0"/>
    <cellStyle name="Normal 61 8 2 5 3 3" xfId="0"/>
    <cellStyle name="Normal 61 8 2 5 4" xfId="0"/>
    <cellStyle name="Normal 61 8 2 5 4 2" xfId="0"/>
    <cellStyle name="Normal 61 8 2 5 5" xfId="0"/>
    <cellStyle name="Normal 61 8 2 6" xfId="0"/>
    <cellStyle name="Normal 61 8 2 6 2" xfId="0"/>
    <cellStyle name="Normal 61 8 2 6 2 2" xfId="0"/>
    <cellStyle name="Normal 61 8 2 6 3" xfId="0"/>
    <cellStyle name="Normal 61 8 2 7" xfId="0"/>
    <cellStyle name="Normal 61 8 2 7 2" xfId="0"/>
    <cellStyle name="Normal 61 8 2 7 2 2" xfId="0"/>
    <cellStyle name="Normal 61 8 2 7 3" xfId="0"/>
    <cellStyle name="Normal 61 8 2 8" xfId="0"/>
    <cellStyle name="Normal 61 8 2 8 2" xfId="0"/>
    <cellStyle name="Normal 61 8 2 9" xfId="0"/>
    <cellStyle name="Normal 61 8 3" xfId="0"/>
    <cellStyle name="Normal 61 8 3 2" xfId="0"/>
    <cellStyle name="Normal 61 8 3 2 2" xfId="0"/>
    <cellStyle name="Normal 61 8 3 2 2 2" xfId="0"/>
    <cellStyle name="Normal 61 8 3 2 2 2 2" xfId="0"/>
    <cellStyle name="Normal 61 8 3 2 2 2 2 2" xfId="0"/>
    <cellStyle name="Normal 61 8 3 2 2 2 2 2 2" xfId="0"/>
    <cellStyle name="Normal 61 8 3 2 2 2 2 3" xfId="0"/>
    <cellStyle name="Normal 61 8 3 2 2 2 3" xfId="0"/>
    <cellStyle name="Normal 61 8 3 2 2 2 3 2" xfId="0"/>
    <cellStyle name="Normal 61 8 3 2 2 2 3 2 2" xfId="0"/>
    <cellStyle name="Normal 61 8 3 2 2 2 3 3" xfId="0"/>
    <cellStyle name="Normal 61 8 3 2 2 2 4" xfId="0"/>
    <cellStyle name="Normal 61 8 3 2 2 2 4 2" xfId="0"/>
    <cellStyle name="Normal 61 8 3 2 2 2 5" xfId="0"/>
    <cellStyle name="Normal 61 8 3 2 2 3" xfId="0"/>
    <cellStyle name="Normal 61 8 3 2 2 3 2" xfId="0"/>
    <cellStyle name="Normal 61 8 3 2 2 3 2 2" xfId="0"/>
    <cellStyle name="Normal 61 8 3 2 2 3 3" xfId="0"/>
    <cellStyle name="Normal 61 8 3 2 2 4" xfId="0"/>
    <cellStyle name="Normal 61 8 3 2 2 4 2" xfId="0"/>
    <cellStyle name="Normal 61 8 3 2 2 4 2 2" xfId="0"/>
    <cellStyle name="Normal 61 8 3 2 2 4 3" xfId="0"/>
    <cellStyle name="Normal 61 8 3 2 2 5" xfId="0"/>
    <cellStyle name="Normal 61 8 3 2 2 5 2" xfId="0"/>
    <cellStyle name="Normal 61 8 3 2 2 6" xfId="0"/>
    <cellStyle name="Normal 61 8 3 2 3" xfId="0"/>
    <cellStyle name="Normal 61 8 3 2 3 2" xfId="0"/>
    <cellStyle name="Normal 61 8 3 2 3 2 2" xfId="0"/>
    <cellStyle name="Normal 61 8 3 2 3 2 2 2" xfId="0"/>
    <cellStyle name="Normal 61 8 3 2 3 2 3" xfId="0"/>
    <cellStyle name="Normal 61 8 3 2 3 3" xfId="0"/>
    <cellStyle name="Normal 61 8 3 2 3 3 2" xfId="0"/>
    <cellStyle name="Normal 61 8 3 2 3 3 2 2" xfId="0"/>
    <cellStyle name="Normal 61 8 3 2 3 3 3" xfId="0"/>
    <cellStyle name="Normal 61 8 3 2 3 4" xfId="0"/>
    <cellStyle name="Normal 61 8 3 2 3 4 2" xfId="0"/>
    <cellStyle name="Normal 61 8 3 2 3 5" xfId="0"/>
    <cellStyle name="Normal 61 8 3 2 4" xfId="0"/>
    <cellStyle name="Normal 61 8 3 2 4 2" xfId="0"/>
    <cellStyle name="Normal 61 8 3 2 4 2 2" xfId="0"/>
    <cellStyle name="Normal 61 8 3 2 4 3" xfId="0"/>
    <cellStyle name="Normal 61 8 3 2 5" xfId="0"/>
    <cellStyle name="Normal 61 8 3 2 5 2" xfId="0"/>
    <cellStyle name="Normal 61 8 3 2 5 2 2" xfId="0"/>
    <cellStyle name="Normal 61 8 3 2 5 3" xfId="0"/>
    <cellStyle name="Normal 61 8 3 2 6" xfId="0"/>
    <cellStyle name="Normal 61 8 3 2 6 2" xfId="0"/>
    <cellStyle name="Normal 61 8 3 2 7" xfId="0"/>
    <cellStyle name="Normal 61 8 3 3" xfId="0"/>
    <cellStyle name="Normal 61 8 3 3 2" xfId="0"/>
    <cellStyle name="Normal 61 8 3 3 2 2" xfId="0"/>
    <cellStyle name="Normal 61 8 3 3 2 2 2" xfId="0"/>
    <cellStyle name="Normal 61 8 3 3 2 2 2 2" xfId="0"/>
    <cellStyle name="Normal 61 8 3 3 2 2 3" xfId="0"/>
    <cellStyle name="Normal 61 8 3 3 2 3" xfId="0"/>
    <cellStyle name="Normal 61 8 3 3 2 3 2" xfId="0"/>
    <cellStyle name="Normal 61 8 3 3 2 3 2 2" xfId="0"/>
    <cellStyle name="Normal 61 8 3 3 2 3 3" xfId="0"/>
    <cellStyle name="Normal 61 8 3 3 2 4" xfId="0"/>
    <cellStyle name="Normal 61 8 3 3 2 4 2" xfId="0"/>
    <cellStyle name="Normal 61 8 3 3 2 5" xfId="0"/>
    <cellStyle name="Normal 61 8 3 3 3" xfId="0"/>
    <cellStyle name="Normal 61 8 3 3 3 2" xfId="0"/>
    <cellStyle name="Normal 61 8 3 3 3 2 2" xfId="0"/>
    <cellStyle name="Normal 61 8 3 3 3 3" xfId="0"/>
    <cellStyle name="Normal 61 8 3 3 4" xfId="0"/>
    <cellStyle name="Normal 61 8 3 3 4 2" xfId="0"/>
    <cellStyle name="Normal 61 8 3 3 4 2 2" xfId="0"/>
    <cellStyle name="Normal 61 8 3 3 4 3" xfId="0"/>
    <cellStyle name="Normal 61 8 3 3 5" xfId="0"/>
    <cellStyle name="Normal 61 8 3 3 5 2" xfId="0"/>
    <cellStyle name="Normal 61 8 3 3 6" xfId="0"/>
    <cellStyle name="Normal 61 8 3 4" xfId="0"/>
    <cellStyle name="Normal 61 8 3 4 2" xfId="0"/>
    <cellStyle name="Normal 61 8 3 4 2 2" xfId="0"/>
    <cellStyle name="Normal 61 8 3 4 2 2 2" xfId="0"/>
    <cellStyle name="Normal 61 8 3 4 2 3" xfId="0"/>
    <cellStyle name="Normal 61 8 3 4 3" xfId="0"/>
    <cellStyle name="Normal 61 8 3 4 3 2" xfId="0"/>
    <cellStyle name="Normal 61 8 3 4 3 2 2" xfId="0"/>
    <cellStyle name="Normal 61 8 3 4 3 3" xfId="0"/>
    <cellStyle name="Normal 61 8 3 4 4" xfId="0"/>
    <cellStyle name="Normal 61 8 3 4 4 2" xfId="0"/>
    <cellStyle name="Normal 61 8 3 4 5" xfId="0"/>
    <cellStyle name="Normal 61 8 3 5" xfId="0"/>
    <cellStyle name="Normal 61 8 3 5 2" xfId="0"/>
    <cellStyle name="Normal 61 8 3 5 2 2" xfId="0"/>
    <cellStyle name="Normal 61 8 3 5 3" xfId="0"/>
    <cellStyle name="Normal 61 8 3 6" xfId="0"/>
    <cellStyle name="Normal 61 8 3 6 2" xfId="0"/>
    <cellStyle name="Normal 61 8 3 6 2 2" xfId="0"/>
    <cellStyle name="Normal 61 8 3 6 3" xfId="0"/>
    <cellStyle name="Normal 61 8 3 7" xfId="0"/>
    <cellStyle name="Normal 61 8 3 7 2" xfId="0"/>
    <cellStyle name="Normal 61 8 3 8" xfId="0"/>
    <cellStyle name="Normal 61 8 4" xfId="0"/>
    <cellStyle name="Normal 61 8 4 2" xfId="0"/>
    <cellStyle name="Normal 61 8 4 2 2" xfId="0"/>
    <cellStyle name="Normal 61 8 4 2 2 2" xfId="0"/>
    <cellStyle name="Normal 61 8 4 2 2 2 2" xfId="0"/>
    <cellStyle name="Normal 61 8 4 2 2 2 2 2" xfId="0"/>
    <cellStyle name="Normal 61 8 4 2 2 2 3" xfId="0"/>
    <cellStyle name="Normal 61 8 4 2 2 3" xfId="0"/>
    <cellStyle name="Normal 61 8 4 2 2 3 2" xfId="0"/>
    <cellStyle name="Normal 61 8 4 2 2 3 2 2" xfId="0"/>
    <cellStyle name="Normal 61 8 4 2 2 3 3" xfId="0"/>
    <cellStyle name="Normal 61 8 4 2 2 4" xfId="0"/>
    <cellStyle name="Normal 61 8 4 2 2 4 2" xfId="0"/>
    <cellStyle name="Normal 61 8 4 2 2 5" xfId="0"/>
    <cellStyle name="Normal 61 8 4 2 3" xfId="0"/>
    <cellStyle name="Normal 61 8 4 2 3 2" xfId="0"/>
    <cellStyle name="Normal 61 8 4 2 3 2 2" xfId="0"/>
    <cellStyle name="Normal 61 8 4 2 3 3" xfId="0"/>
    <cellStyle name="Normal 61 8 4 2 4" xfId="0"/>
    <cellStyle name="Normal 61 8 4 2 4 2" xfId="0"/>
    <cellStyle name="Normal 61 8 4 2 4 2 2" xfId="0"/>
    <cellStyle name="Normal 61 8 4 2 4 3" xfId="0"/>
    <cellStyle name="Normal 61 8 4 2 5" xfId="0"/>
    <cellStyle name="Normal 61 8 4 2 5 2" xfId="0"/>
    <cellStyle name="Normal 61 8 4 2 6" xfId="0"/>
    <cellStyle name="Normal 61 8 4 3" xfId="0"/>
    <cellStyle name="Normal 61 8 4 3 2" xfId="0"/>
    <cellStyle name="Normal 61 8 4 3 2 2" xfId="0"/>
    <cellStyle name="Normal 61 8 4 3 2 2 2" xfId="0"/>
    <cellStyle name="Normal 61 8 4 3 2 3" xfId="0"/>
    <cellStyle name="Normal 61 8 4 3 3" xfId="0"/>
    <cellStyle name="Normal 61 8 4 3 3 2" xfId="0"/>
    <cellStyle name="Normal 61 8 4 3 3 2 2" xfId="0"/>
    <cellStyle name="Normal 61 8 4 3 3 3" xfId="0"/>
    <cellStyle name="Normal 61 8 4 3 4" xfId="0"/>
    <cellStyle name="Normal 61 8 4 3 4 2" xfId="0"/>
    <cellStyle name="Normal 61 8 4 3 5" xfId="0"/>
    <cellStyle name="Normal 61 8 4 4" xfId="0"/>
    <cellStyle name="Normal 61 8 4 4 2" xfId="0"/>
    <cellStyle name="Normal 61 8 4 4 2 2" xfId="0"/>
    <cellStyle name="Normal 61 8 4 4 3" xfId="0"/>
    <cellStyle name="Normal 61 8 4 5" xfId="0"/>
    <cellStyle name="Normal 61 8 4 5 2" xfId="0"/>
    <cellStyle name="Normal 61 8 4 5 2 2" xfId="0"/>
    <cellStyle name="Normal 61 8 4 5 3" xfId="0"/>
    <cellStyle name="Normal 61 8 4 6" xfId="0"/>
    <cellStyle name="Normal 61 8 4 6 2" xfId="0"/>
    <cellStyle name="Normal 61 8 4 7" xfId="0"/>
    <cellStyle name="Normal 61 8 5" xfId="0"/>
    <cellStyle name="Normal 61 8 5 2" xfId="0"/>
    <cellStyle name="Normal 61 8 5 2 2" xfId="0"/>
    <cellStyle name="Normal 61 8 5 2 2 2" xfId="0"/>
    <cellStyle name="Normal 61 8 5 2 2 2 2" xfId="0"/>
    <cellStyle name="Normal 61 8 5 2 2 3" xfId="0"/>
    <cellStyle name="Normal 61 8 5 2 3" xfId="0"/>
    <cellStyle name="Normal 61 8 5 2 3 2" xfId="0"/>
    <cellStyle name="Normal 61 8 5 2 3 2 2" xfId="0"/>
    <cellStyle name="Normal 61 8 5 2 3 3" xfId="0"/>
    <cellStyle name="Normal 61 8 5 2 4" xfId="0"/>
    <cellStyle name="Normal 61 8 5 2 4 2" xfId="0"/>
    <cellStyle name="Normal 61 8 5 2 5" xfId="0"/>
    <cellStyle name="Normal 61 8 5 3" xfId="0"/>
    <cellStyle name="Normal 61 8 5 3 2" xfId="0"/>
    <cellStyle name="Normal 61 8 5 3 2 2" xfId="0"/>
    <cellStyle name="Normal 61 8 5 3 3" xfId="0"/>
    <cellStyle name="Normal 61 8 5 4" xfId="0"/>
    <cellStyle name="Normal 61 8 5 4 2" xfId="0"/>
    <cellStyle name="Normal 61 8 5 4 2 2" xfId="0"/>
    <cellStyle name="Normal 61 8 5 4 3" xfId="0"/>
    <cellStyle name="Normal 61 8 5 5" xfId="0"/>
    <cellStyle name="Normal 61 8 5 5 2" xfId="0"/>
    <cellStyle name="Normal 61 8 5 6" xfId="0"/>
    <cellStyle name="Normal 61 8 6" xfId="0"/>
    <cellStyle name="Normal 61 8 6 2" xfId="0"/>
    <cellStyle name="Normal 61 8 6 2 2" xfId="0"/>
    <cellStyle name="Normal 61 8 6 2 2 2" xfId="0"/>
    <cellStyle name="Normal 61 8 6 2 3" xfId="0"/>
    <cellStyle name="Normal 61 8 6 3" xfId="0"/>
    <cellStyle name="Normal 61 8 6 3 2" xfId="0"/>
    <cellStyle name="Normal 61 8 6 3 2 2" xfId="0"/>
    <cellStyle name="Normal 61 8 6 3 3" xfId="0"/>
    <cellStyle name="Normal 61 8 6 4" xfId="0"/>
    <cellStyle name="Normal 61 8 6 4 2" xfId="0"/>
    <cellStyle name="Normal 61 8 6 5" xfId="0"/>
    <cellStyle name="Normal 61 8 7" xfId="0"/>
    <cellStyle name="Normal 61 8 7 2" xfId="0"/>
    <cellStyle name="Normal 61 8 7 2 2" xfId="0"/>
    <cellStyle name="Normal 61 8 7 3" xfId="0"/>
    <cellStyle name="Normal 61 8 8" xfId="0"/>
    <cellStyle name="Normal 61 8 8 2" xfId="0"/>
    <cellStyle name="Normal 61 8 8 2 2" xfId="0"/>
    <cellStyle name="Normal 61 8 8 3" xfId="0"/>
    <cellStyle name="Normal 61 8 9" xfId="0"/>
    <cellStyle name="Normal 61 8 9 2" xfId="0"/>
    <cellStyle name="Normal 61 9" xfId="0"/>
    <cellStyle name="Normal 61 9 10" xfId="0"/>
    <cellStyle name="Normal 61 9 2" xfId="0"/>
    <cellStyle name="Normal 61 9 2 2" xfId="0"/>
    <cellStyle name="Normal 61 9 2 2 2" xfId="0"/>
    <cellStyle name="Normal 61 9 2 2 2 2" xfId="0"/>
    <cellStyle name="Normal 61 9 2 2 2 2 2" xfId="0"/>
    <cellStyle name="Normal 61 9 2 2 2 2 2 2" xfId="0"/>
    <cellStyle name="Normal 61 9 2 2 2 2 2 2 2" xfId="0"/>
    <cellStyle name="Normal 61 9 2 2 2 2 2 2 2 2" xfId="0"/>
    <cellStyle name="Normal 61 9 2 2 2 2 2 2 3" xfId="0"/>
    <cellStyle name="Normal 61 9 2 2 2 2 2 3" xfId="0"/>
    <cellStyle name="Normal 61 9 2 2 2 2 2 3 2" xfId="0"/>
    <cellStyle name="Normal 61 9 2 2 2 2 2 3 2 2" xfId="0"/>
    <cellStyle name="Normal 61 9 2 2 2 2 2 3 3" xfId="0"/>
    <cellStyle name="Normal 61 9 2 2 2 2 2 4" xfId="0"/>
    <cellStyle name="Normal 61 9 2 2 2 2 2 4 2" xfId="0"/>
    <cellStyle name="Normal 61 9 2 2 2 2 2 5" xfId="0"/>
    <cellStyle name="Normal 61 9 2 2 2 2 3" xfId="0"/>
    <cellStyle name="Normal 61 9 2 2 2 2 3 2" xfId="0"/>
    <cellStyle name="Normal 61 9 2 2 2 2 3 2 2" xfId="0"/>
    <cellStyle name="Normal 61 9 2 2 2 2 3 3" xfId="0"/>
    <cellStyle name="Normal 61 9 2 2 2 2 4" xfId="0"/>
    <cellStyle name="Normal 61 9 2 2 2 2 4 2" xfId="0"/>
    <cellStyle name="Normal 61 9 2 2 2 2 4 2 2" xfId="0"/>
    <cellStyle name="Normal 61 9 2 2 2 2 4 3" xfId="0"/>
    <cellStyle name="Normal 61 9 2 2 2 2 5" xfId="0"/>
    <cellStyle name="Normal 61 9 2 2 2 2 5 2" xfId="0"/>
    <cellStyle name="Normal 61 9 2 2 2 2 6" xfId="0"/>
    <cellStyle name="Normal 61 9 2 2 2 3" xfId="0"/>
    <cellStyle name="Normal 61 9 2 2 2 3 2" xfId="0"/>
    <cellStyle name="Normal 61 9 2 2 2 3 2 2" xfId="0"/>
    <cellStyle name="Normal 61 9 2 2 2 3 2 2 2" xfId="0"/>
    <cellStyle name="Normal 61 9 2 2 2 3 2 3" xfId="0"/>
    <cellStyle name="Normal 61 9 2 2 2 3 3" xfId="0"/>
    <cellStyle name="Normal 61 9 2 2 2 3 3 2" xfId="0"/>
    <cellStyle name="Normal 61 9 2 2 2 3 3 2 2" xfId="0"/>
    <cellStyle name="Normal 61 9 2 2 2 3 3 3" xfId="0"/>
    <cellStyle name="Normal 61 9 2 2 2 3 4" xfId="0"/>
    <cellStyle name="Normal 61 9 2 2 2 3 4 2" xfId="0"/>
    <cellStyle name="Normal 61 9 2 2 2 3 5" xfId="0"/>
    <cellStyle name="Normal 61 9 2 2 2 4" xfId="0"/>
    <cellStyle name="Normal 61 9 2 2 2 4 2" xfId="0"/>
    <cellStyle name="Normal 61 9 2 2 2 4 2 2" xfId="0"/>
    <cellStyle name="Normal 61 9 2 2 2 4 3" xfId="0"/>
    <cellStyle name="Normal 61 9 2 2 2 5" xfId="0"/>
    <cellStyle name="Normal 61 9 2 2 2 5 2" xfId="0"/>
    <cellStyle name="Normal 61 9 2 2 2 5 2 2" xfId="0"/>
    <cellStyle name="Normal 61 9 2 2 2 5 3" xfId="0"/>
    <cellStyle name="Normal 61 9 2 2 2 6" xfId="0"/>
    <cellStyle name="Normal 61 9 2 2 2 6 2" xfId="0"/>
    <cellStyle name="Normal 61 9 2 2 2 7" xfId="0"/>
    <cellStyle name="Normal 61 9 2 2 3" xfId="0"/>
    <cellStyle name="Normal 61 9 2 2 3 2" xfId="0"/>
    <cellStyle name="Normal 61 9 2 2 3 2 2" xfId="0"/>
    <cellStyle name="Normal 61 9 2 2 3 2 2 2" xfId="0"/>
    <cellStyle name="Normal 61 9 2 2 3 2 2 2 2" xfId="0"/>
    <cellStyle name="Normal 61 9 2 2 3 2 2 3" xfId="0"/>
    <cellStyle name="Normal 61 9 2 2 3 2 3" xfId="0"/>
    <cellStyle name="Normal 61 9 2 2 3 2 3 2" xfId="0"/>
    <cellStyle name="Normal 61 9 2 2 3 2 3 2 2" xfId="0"/>
    <cellStyle name="Normal 61 9 2 2 3 2 3 3" xfId="0"/>
    <cellStyle name="Normal 61 9 2 2 3 2 4" xfId="0"/>
    <cellStyle name="Normal 61 9 2 2 3 2 4 2" xfId="0"/>
    <cellStyle name="Normal 61 9 2 2 3 2 5" xfId="0"/>
    <cellStyle name="Normal 61 9 2 2 3 3" xfId="0"/>
    <cellStyle name="Normal 61 9 2 2 3 3 2" xfId="0"/>
    <cellStyle name="Normal 61 9 2 2 3 3 2 2" xfId="0"/>
    <cellStyle name="Normal 61 9 2 2 3 3 3" xfId="0"/>
    <cellStyle name="Normal 61 9 2 2 3 4" xfId="0"/>
    <cellStyle name="Normal 61 9 2 2 3 4 2" xfId="0"/>
    <cellStyle name="Normal 61 9 2 2 3 4 2 2" xfId="0"/>
    <cellStyle name="Normal 61 9 2 2 3 4 3" xfId="0"/>
    <cellStyle name="Normal 61 9 2 2 3 5" xfId="0"/>
    <cellStyle name="Normal 61 9 2 2 3 5 2" xfId="0"/>
    <cellStyle name="Normal 61 9 2 2 3 6" xfId="0"/>
    <cellStyle name="Normal 61 9 2 2 4" xfId="0"/>
    <cellStyle name="Normal 61 9 2 2 4 2" xfId="0"/>
    <cellStyle name="Normal 61 9 2 2 4 2 2" xfId="0"/>
    <cellStyle name="Normal 61 9 2 2 4 2 2 2" xfId="0"/>
    <cellStyle name="Normal 61 9 2 2 4 2 3" xfId="0"/>
    <cellStyle name="Normal 61 9 2 2 4 3" xfId="0"/>
    <cellStyle name="Normal 61 9 2 2 4 3 2" xfId="0"/>
    <cellStyle name="Normal 61 9 2 2 4 3 2 2" xfId="0"/>
    <cellStyle name="Normal 61 9 2 2 4 3 3" xfId="0"/>
    <cellStyle name="Normal 61 9 2 2 4 4" xfId="0"/>
    <cellStyle name="Normal 61 9 2 2 4 4 2" xfId="0"/>
    <cellStyle name="Normal 61 9 2 2 4 5" xfId="0"/>
    <cellStyle name="Normal 61 9 2 2 5" xfId="0"/>
    <cellStyle name="Normal 61 9 2 2 5 2" xfId="0"/>
    <cellStyle name="Normal 61 9 2 2 5 2 2" xfId="0"/>
    <cellStyle name="Normal 61 9 2 2 5 3" xfId="0"/>
    <cellStyle name="Normal 61 9 2 2 6" xfId="0"/>
    <cellStyle name="Normal 61 9 2 2 6 2" xfId="0"/>
    <cellStyle name="Normal 61 9 2 2 6 2 2" xfId="0"/>
    <cellStyle name="Normal 61 9 2 2 6 3" xfId="0"/>
    <cellStyle name="Normal 61 9 2 2 7" xfId="0"/>
    <cellStyle name="Normal 61 9 2 2 7 2" xfId="0"/>
    <cellStyle name="Normal 61 9 2 2 8" xfId="0"/>
    <cellStyle name="Normal 61 9 2 3" xfId="0"/>
    <cellStyle name="Normal 61 9 2 3 2" xfId="0"/>
    <cellStyle name="Normal 61 9 2 3 2 2" xfId="0"/>
    <cellStyle name="Normal 61 9 2 3 2 2 2" xfId="0"/>
    <cellStyle name="Normal 61 9 2 3 2 2 2 2" xfId="0"/>
    <cellStyle name="Normal 61 9 2 3 2 2 2 2 2" xfId="0"/>
    <cellStyle name="Normal 61 9 2 3 2 2 2 3" xfId="0"/>
    <cellStyle name="Normal 61 9 2 3 2 2 3" xfId="0"/>
    <cellStyle name="Normal 61 9 2 3 2 2 3 2" xfId="0"/>
    <cellStyle name="Normal 61 9 2 3 2 2 3 2 2" xfId="0"/>
    <cellStyle name="Normal 61 9 2 3 2 2 3 3" xfId="0"/>
    <cellStyle name="Normal 61 9 2 3 2 2 4" xfId="0"/>
    <cellStyle name="Normal 61 9 2 3 2 2 4 2" xfId="0"/>
    <cellStyle name="Normal 61 9 2 3 2 2 5" xfId="0"/>
    <cellStyle name="Normal 61 9 2 3 2 3" xfId="0"/>
    <cellStyle name="Normal 61 9 2 3 2 3 2" xfId="0"/>
    <cellStyle name="Normal 61 9 2 3 2 3 2 2" xfId="0"/>
    <cellStyle name="Normal 61 9 2 3 2 3 3" xfId="0"/>
    <cellStyle name="Normal 61 9 2 3 2 4" xfId="0"/>
    <cellStyle name="Normal 61 9 2 3 2 4 2" xfId="0"/>
    <cellStyle name="Normal 61 9 2 3 2 4 2 2" xfId="0"/>
    <cellStyle name="Normal 61 9 2 3 2 4 3" xfId="0"/>
    <cellStyle name="Normal 61 9 2 3 2 5" xfId="0"/>
    <cellStyle name="Normal 61 9 2 3 2 5 2" xfId="0"/>
    <cellStyle name="Normal 61 9 2 3 2 6" xfId="0"/>
    <cellStyle name="Normal 61 9 2 3 3" xfId="0"/>
    <cellStyle name="Normal 61 9 2 3 3 2" xfId="0"/>
    <cellStyle name="Normal 61 9 2 3 3 2 2" xfId="0"/>
    <cellStyle name="Normal 61 9 2 3 3 2 2 2" xfId="0"/>
    <cellStyle name="Normal 61 9 2 3 3 2 3" xfId="0"/>
    <cellStyle name="Normal 61 9 2 3 3 3" xfId="0"/>
    <cellStyle name="Normal 61 9 2 3 3 3 2" xfId="0"/>
    <cellStyle name="Normal 61 9 2 3 3 3 2 2" xfId="0"/>
    <cellStyle name="Normal 61 9 2 3 3 3 3" xfId="0"/>
    <cellStyle name="Normal 61 9 2 3 3 4" xfId="0"/>
    <cellStyle name="Normal 61 9 2 3 3 4 2" xfId="0"/>
    <cellStyle name="Normal 61 9 2 3 3 5" xfId="0"/>
    <cellStyle name="Normal 61 9 2 3 4" xfId="0"/>
    <cellStyle name="Normal 61 9 2 3 4 2" xfId="0"/>
    <cellStyle name="Normal 61 9 2 3 4 2 2" xfId="0"/>
    <cellStyle name="Normal 61 9 2 3 4 3" xfId="0"/>
    <cellStyle name="Normal 61 9 2 3 5" xfId="0"/>
    <cellStyle name="Normal 61 9 2 3 5 2" xfId="0"/>
    <cellStyle name="Normal 61 9 2 3 5 2 2" xfId="0"/>
    <cellStyle name="Normal 61 9 2 3 5 3" xfId="0"/>
    <cellStyle name="Normal 61 9 2 3 6" xfId="0"/>
    <cellStyle name="Normal 61 9 2 3 6 2" xfId="0"/>
    <cellStyle name="Normal 61 9 2 3 7" xfId="0"/>
    <cellStyle name="Normal 61 9 2 4" xfId="0"/>
    <cellStyle name="Normal 61 9 2 4 2" xfId="0"/>
    <cellStyle name="Normal 61 9 2 4 2 2" xfId="0"/>
    <cellStyle name="Normal 61 9 2 4 2 2 2" xfId="0"/>
    <cellStyle name="Normal 61 9 2 4 2 2 2 2" xfId="0"/>
    <cellStyle name="Normal 61 9 2 4 2 2 3" xfId="0"/>
    <cellStyle name="Normal 61 9 2 4 2 3" xfId="0"/>
    <cellStyle name="Normal 61 9 2 4 2 3 2" xfId="0"/>
    <cellStyle name="Normal 61 9 2 4 2 3 2 2" xfId="0"/>
    <cellStyle name="Normal 61 9 2 4 2 3 3" xfId="0"/>
    <cellStyle name="Normal 61 9 2 4 2 4" xfId="0"/>
    <cellStyle name="Normal 61 9 2 4 2 4 2" xfId="0"/>
    <cellStyle name="Normal 61 9 2 4 2 5" xfId="0"/>
    <cellStyle name="Normal 61 9 2 4 3" xfId="0"/>
    <cellStyle name="Normal 61 9 2 4 3 2" xfId="0"/>
    <cellStyle name="Normal 61 9 2 4 3 2 2" xfId="0"/>
    <cellStyle name="Normal 61 9 2 4 3 3" xfId="0"/>
    <cellStyle name="Normal 61 9 2 4 4" xfId="0"/>
    <cellStyle name="Normal 61 9 2 4 4 2" xfId="0"/>
    <cellStyle name="Normal 61 9 2 4 4 2 2" xfId="0"/>
    <cellStyle name="Normal 61 9 2 4 4 3" xfId="0"/>
    <cellStyle name="Normal 61 9 2 4 5" xfId="0"/>
    <cellStyle name="Normal 61 9 2 4 5 2" xfId="0"/>
    <cellStyle name="Normal 61 9 2 4 6" xfId="0"/>
    <cellStyle name="Normal 61 9 2 5" xfId="0"/>
    <cellStyle name="Normal 61 9 2 5 2" xfId="0"/>
    <cellStyle name="Normal 61 9 2 5 2 2" xfId="0"/>
    <cellStyle name="Normal 61 9 2 5 2 2 2" xfId="0"/>
    <cellStyle name="Normal 61 9 2 5 2 3" xfId="0"/>
    <cellStyle name="Normal 61 9 2 5 3" xfId="0"/>
    <cellStyle name="Normal 61 9 2 5 3 2" xfId="0"/>
    <cellStyle name="Normal 61 9 2 5 3 2 2" xfId="0"/>
    <cellStyle name="Normal 61 9 2 5 3 3" xfId="0"/>
    <cellStyle name="Normal 61 9 2 5 4" xfId="0"/>
    <cellStyle name="Normal 61 9 2 5 4 2" xfId="0"/>
    <cellStyle name="Normal 61 9 2 5 5" xfId="0"/>
    <cellStyle name="Normal 61 9 2 6" xfId="0"/>
    <cellStyle name="Normal 61 9 2 6 2" xfId="0"/>
    <cellStyle name="Normal 61 9 2 6 2 2" xfId="0"/>
    <cellStyle name="Normal 61 9 2 6 3" xfId="0"/>
    <cellStyle name="Normal 61 9 2 7" xfId="0"/>
    <cellStyle name="Normal 61 9 2 7 2" xfId="0"/>
    <cellStyle name="Normal 61 9 2 7 2 2" xfId="0"/>
    <cellStyle name="Normal 61 9 2 7 3" xfId="0"/>
    <cellStyle name="Normal 61 9 2 8" xfId="0"/>
    <cellStyle name="Normal 61 9 2 8 2" xfId="0"/>
    <cellStyle name="Normal 61 9 2 9" xfId="0"/>
    <cellStyle name="Normal 61 9 3" xfId="0"/>
    <cellStyle name="Normal 61 9 3 2" xfId="0"/>
    <cellStyle name="Normal 61 9 3 2 2" xfId="0"/>
    <cellStyle name="Normal 61 9 3 2 2 2" xfId="0"/>
    <cellStyle name="Normal 61 9 3 2 2 2 2" xfId="0"/>
    <cellStyle name="Normal 61 9 3 2 2 2 2 2" xfId="0"/>
    <cellStyle name="Normal 61 9 3 2 2 2 2 2 2" xfId="0"/>
    <cellStyle name="Normal 61 9 3 2 2 2 2 3" xfId="0"/>
    <cellStyle name="Normal 61 9 3 2 2 2 3" xfId="0"/>
    <cellStyle name="Normal 61 9 3 2 2 2 3 2" xfId="0"/>
    <cellStyle name="Normal 61 9 3 2 2 2 3 2 2" xfId="0"/>
    <cellStyle name="Normal 61 9 3 2 2 2 3 3" xfId="0"/>
    <cellStyle name="Normal 61 9 3 2 2 2 4" xfId="0"/>
    <cellStyle name="Normal 61 9 3 2 2 2 4 2" xfId="0"/>
    <cellStyle name="Normal 61 9 3 2 2 2 5" xfId="0"/>
    <cellStyle name="Normal 61 9 3 2 2 3" xfId="0"/>
    <cellStyle name="Normal 61 9 3 2 2 3 2" xfId="0"/>
    <cellStyle name="Normal 61 9 3 2 2 3 2 2" xfId="0"/>
    <cellStyle name="Normal 61 9 3 2 2 3 3" xfId="0"/>
    <cellStyle name="Normal 61 9 3 2 2 4" xfId="0"/>
    <cellStyle name="Normal 61 9 3 2 2 4 2" xfId="0"/>
    <cellStyle name="Normal 61 9 3 2 2 4 2 2" xfId="0"/>
    <cellStyle name="Normal 61 9 3 2 2 4 3" xfId="0"/>
    <cellStyle name="Normal 61 9 3 2 2 5" xfId="0"/>
    <cellStyle name="Normal 61 9 3 2 2 5 2" xfId="0"/>
    <cellStyle name="Normal 61 9 3 2 2 6" xfId="0"/>
    <cellStyle name="Normal 61 9 3 2 3" xfId="0"/>
    <cellStyle name="Normal 61 9 3 2 3 2" xfId="0"/>
    <cellStyle name="Normal 61 9 3 2 3 2 2" xfId="0"/>
    <cellStyle name="Normal 61 9 3 2 3 2 2 2" xfId="0"/>
    <cellStyle name="Normal 61 9 3 2 3 2 3" xfId="0"/>
    <cellStyle name="Normal 61 9 3 2 3 3" xfId="0"/>
    <cellStyle name="Normal 61 9 3 2 3 3 2" xfId="0"/>
    <cellStyle name="Normal 61 9 3 2 3 3 2 2" xfId="0"/>
    <cellStyle name="Normal 61 9 3 2 3 3 3" xfId="0"/>
    <cellStyle name="Normal 61 9 3 2 3 4" xfId="0"/>
    <cellStyle name="Normal 61 9 3 2 3 4 2" xfId="0"/>
    <cellStyle name="Normal 61 9 3 2 3 5" xfId="0"/>
    <cellStyle name="Normal 61 9 3 2 4" xfId="0"/>
    <cellStyle name="Normal 61 9 3 2 4 2" xfId="0"/>
    <cellStyle name="Normal 61 9 3 2 4 2 2" xfId="0"/>
    <cellStyle name="Normal 61 9 3 2 4 3" xfId="0"/>
    <cellStyle name="Normal 61 9 3 2 5" xfId="0"/>
    <cellStyle name="Normal 61 9 3 2 5 2" xfId="0"/>
    <cellStyle name="Normal 61 9 3 2 5 2 2" xfId="0"/>
    <cellStyle name="Normal 61 9 3 2 5 3" xfId="0"/>
    <cellStyle name="Normal 61 9 3 2 6" xfId="0"/>
    <cellStyle name="Normal 61 9 3 2 6 2" xfId="0"/>
    <cellStyle name="Normal 61 9 3 2 7" xfId="0"/>
    <cellStyle name="Normal 61 9 3 3" xfId="0"/>
    <cellStyle name="Normal 61 9 3 3 2" xfId="0"/>
    <cellStyle name="Normal 61 9 3 3 2 2" xfId="0"/>
    <cellStyle name="Normal 61 9 3 3 2 2 2" xfId="0"/>
    <cellStyle name="Normal 61 9 3 3 2 2 2 2" xfId="0"/>
    <cellStyle name="Normal 61 9 3 3 2 2 3" xfId="0"/>
    <cellStyle name="Normal 61 9 3 3 2 3" xfId="0"/>
    <cellStyle name="Normal 61 9 3 3 2 3 2" xfId="0"/>
    <cellStyle name="Normal 61 9 3 3 2 3 2 2" xfId="0"/>
    <cellStyle name="Normal 61 9 3 3 2 3 3" xfId="0"/>
    <cellStyle name="Normal 61 9 3 3 2 4" xfId="0"/>
    <cellStyle name="Normal 61 9 3 3 2 4 2" xfId="0"/>
    <cellStyle name="Normal 61 9 3 3 2 5" xfId="0"/>
    <cellStyle name="Normal 61 9 3 3 3" xfId="0"/>
    <cellStyle name="Normal 61 9 3 3 3 2" xfId="0"/>
    <cellStyle name="Normal 61 9 3 3 3 2 2" xfId="0"/>
    <cellStyle name="Normal 61 9 3 3 3 3" xfId="0"/>
    <cellStyle name="Normal 61 9 3 3 4" xfId="0"/>
    <cellStyle name="Normal 61 9 3 3 4 2" xfId="0"/>
    <cellStyle name="Normal 61 9 3 3 4 2 2" xfId="0"/>
    <cellStyle name="Normal 61 9 3 3 4 3" xfId="0"/>
    <cellStyle name="Normal 61 9 3 3 5" xfId="0"/>
    <cellStyle name="Normal 61 9 3 3 5 2" xfId="0"/>
    <cellStyle name="Normal 61 9 3 3 6" xfId="0"/>
    <cellStyle name="Normal 61 9 3 4" xfId="0"/>
    <cellStyle name="Normal 61 9 3 4 2" xfId="0"/>
    <cellStyle name="Normal 61 9 3 4 2 2" xfId="0"/>
    <cellStyle name="Normal 61 9 3 4 2 2 2" xfId="0"/>
    <cellStyle name="Normal 61 9 3 4 2 3" xfId="0"/>
    <cellStyle name="Normal 61 9 3 4 3" xfId="0"/>
    <cellStyle name="Normal 61 9 3 4 3 2" xfId="0"/>
    <cellStyle name="Normal 61 9 3 4 3 2 2" xfId="0"/>
    <cellStyle name="Normal 61 9 3 4 3 3" xfId="0"/>
    <cellStyle name="Normal 61 9 3 4 4" xfId="0"/>
    <cellStyle name="Normal 61 9 3 4 4 2" xfId="0"/>
    <cellStyle name="Normal 61 9 3 4 5" xfId="0"/>
    <cellStyle name="Normal 61 9 3 5" xfId="0"/>
    <cellStyle name="Normal 61 9 3 5 2" xfId="0"/>
    <cellStyle name="Normal 61 9 3 5 2 2" xfId="0"/>
    <cellStyle name="Normal 61 9 3 5 3" xfId="0"/>
    <cellStyle name="Normal 61 9 3 6" xfId="0"/>
    <cellStyle name="Normal 61 9 3 6 2" xfId="0"/>
    <cellStyle name="Normal 61 9 3 6 2 2" xfId="0"/>
    <cellStyle name="Normal 61 9 3 6 3" xfId="0"/>
    <cellStyle name="Normal 61 9 3 7" xfId="0"/>
    <cellStyle name="Normal 61 9 3 7 2" xfId="0"/>
    <cellStyle name="Normal 61 9 3 8" xfId="0"/>
    <cellStyle name="Normal 61 9 4" xfId="0"/>
    <cellStyle name="Normal 61 9 4 2" xfId="0"/>
    <cellStyle name="Normal 61 9 4 2 2" xfId="0"/>
    <cellStyle name="Normal 61 9 4 2 2 2" xfId="0"/>
    <cellStyle name="Normal 61 9 4 2 2 2 2" xfId="0"/>
    <cellStyle name="Normal 61 9 4 2 2 2 2 2" xfId="0"/>
    <cellStyle name="Normal 61 9 4 2 2 2 3" xfId="0"/>
    <cellStyle name="Normal 61 9 4 2 2 3" xfId="0"/>
    <cellStyle name="Normal 61 9 4 2 2 3 2" xfId="0"/>
    <cellStyle name="Normal 61 9 4 2 2 3 2 2" xfId="0"/>
    <cellStyle name="Normal 61 9 4 2 2 3 3" xfId="0"/>
    <cellStyle name="Normal 61 9 4 2 2 4" xfId="0"/>
    <cellStyle name="Normal 61 9 4 2 2 4 2" xfId="0"/>
    <cellStyle name="Normal 61 9 4 2 2 5" xfId="0"/>
    <cellStyle name="Normal 61 9 4 2 3" xfId="0"/>
    <cellStyle name="Normal 61 9 4 2 3 2" xfId="0"/>
    <cellStyle name="Normal 61 9 4 2 3 2 2" xfId="0"/>
    <cellStyle name="Normal 61 9 4 2 3 3" xfId="0"/>
    <cellStyle name="Normal 61 9 4 2 4" xfId="0"/>
    <cellStyle name="Normal 61 9 4 2 4 2" xfId="0"/>
    <cellStyle name="Normal 61 9 4 2 4 2 2" xfId="0"/>
    <cellStyle name="Normal 61 9 4 2 4 3" xfId="0"/>
    <cellStyle name="Normal 61 9 4 2 5" xfId="0"/>
    <cellStyle name="Normal 61 9 4 2 5 2" xfId="0"/>
    <cellStyle name="Normal 61 9 4 2 6" xfId="0"/>
    <cellStyle name="Normal 61 9 4 3" xfId="0"/>
    <cellStyle name="Normal 61 9 4 3 2" xfId="0"/>
    <cellStyle name="Normal 61 9 4 3 2 2" xfId="0"/>
    <cellStyle name="Normal 61 9 4 3 2 2 2" xfId="0"/>
    <cellStyle name="Normal 61 9 4 3 2 3" xfId="0"/>
    <cellStyle name="Normal 61 9 4 3 3" xfId="0"/>
    <cellStyle name="Normal 61 9 4 3 3 2" xfId="0"/>
    <cellStyle name="Normal 61 9 4 3 3 2 2" xfId="0"/>
    <cellStyle name="Normal 61 9 4 3 3 3" xfId="0"/>
    <cellStyle name="Normal 61 9 4 3 4" xfId="0"/>
    <cellStyle name="Normal 61 9 4 3 4 2" xfId="0"/>
    <cellStyle name="Normal 61 9 4 3 5" xfId="0"/>
    <cellStyle name="Normal 61 9 4 4" xfId="0"/>
    <cellStyle name="Normal 61 9 4 4 2" xfId="0"/>
    <cellStyle name="Normal 61 9 4 4 2 2" xfId="0"/>
    <cellStyle name="Normal 61 9 4 4 3" xfId="0"/>
    <cellStyle name="Normal 61 9 4 5" xfId="0"/>
    <cellStyle name="Normal 61 9 4 5 2" xfId="0"/>
    <cellStyle name="Normal 61 9 4 5 2 2" xfId="0"/>
    <cellStyle name="Normal 61 9 4 5 3" xfId="0"/>
    <cellStyle name="Normal 61 9 4 6" xfId="0"/>
    <cellStyle name="Normal 61 9 4 6 2" xfId="0"/>
    <cellStyle name="Normal 61 9 4 7" xfId="0"/>
    <cellStyle name="Normal 61 9 5" xfId="0"/>
    <cellStyle name="Normal 61 9 5 2" xfId="0"/>
    <cellStyle name="Normal 61 9 5 2 2" xfId="0"/>
    <cellStyle name="Normal 61 9 5 2 2 2" xfId="0"/>
    <cellStyle name="Normal 61 9 5 2 2 2 2" xfId="0"/>
    <cellStyle name="Normal 61 9 5 2 2 3" xfId="0"/>
    <cellStyle name="Normal 61 9 5 2 3" xfId="0"/>
    <cellStyle name="Normal 61 9 5 2 3 2" xfId="0"/>
    <cellStyle name="Normal 61 9 5 2 3 2 2" xfId="0"/>
    <cellStyle name="Normal 61 9 5 2 3 3" xfId="0"/>
    <cellStyle name="Normal 61 9 5 2 4" xfId="0"/>
    <cellStyle name="Normal 61 9 5 2 4 2" xfId="0"/>
    <cellStyle name="Normal 61 9 5 2 5" xfId="0"/>
    <cellStyle name="Normal 61 9 5 3" xfId="0"/>
    <cellStyle name="Normal 61 9 5 3 2" xfId="0"/>
    <cellStyle name="Normal 61 9 5 3 2 2" xfId="0"/>
    <cellStyle name="Normal 61 9 5 3 3" xfId="0"/>
    <cellStyle name="Normal 61 9 5 4" xfId="0"/>
    <cellStyle name="Normal 61 9 5 4 2" xfId="0"/>
    <cellStyle name="Normal 61 9 5 4 2 2" xfId="0"/>
    <cellStyle name="Normal 61 9 5 4 3" xfId="0"/>
    <cellStyle name="Normal 61 9 5 5" xfId="0"/>
    <cellStyle name="Normal 61 9 5 5 2" xfId="0"/>
    <cellStyle name="Normal 61 9 5 6" xfId="0"/>
    <cellStyle name="Normal 61 9 6" xfId="0"/>
    <cellStyle name="Normal 61 9 6 2" xfId="0"/>
    <cellStyle name="Normal 61 9 6 2 2" xfId="0"/>
    <cellStyle name="Normal 61 9 6 2 2 2" xfId="0"/>
    <cellStyle name="Normal 61 9 6 2 3" xfId="0"/>
    <cellStyle name="Normal 61 9 6 3" xfId="0"/>
    <cellStyle name="Normal 61 9 6 3 2" xfId="0"/>
    <cellStyle name="Normal 61 9 6 3 2 2" xfId="0"/>
    <cellStyle name="Normal 61 9 6 3 3" xfId="0"/>
    <cellStyle name="Normal 61 9 6 4" xfId="0"/>
    <cellStyle name="Normal 61 9 6 4 2" xfId="0"/>
    <cellStyle name="Normal 61 9 6 5" xfId="0"/>
    <cellStyle name="Normal 61 9 7" xfId="0"/>
    <cellStyle name="Normal 61 9 7 2" xfId="0"/>
    <cellStyle name="Normal 61 9 7 2 2" xfId="0"/>
    <cellStyle name="Normal 61 9 7 3" xfId="0"/>
    <cellStyle name="Normal 61 9 8" xfId="0"/>
    <cellStyle name="Normal 61 9 8 2" xfId="0"/>
    <cellStyle name="Normal 61 9 8 2 2" xfId="0"/>
    <cellStyle name="Normal 61 9 8 3" xfId="0"/>
    <cellStyle name="Normal 61 9 9" xfId="0"/>
    <cellStyle name="Normal 61 9 9 2" xfId="0"/>
    <cellStyle name="Normal 62" xfId="206"/>
    <cellStyle name="Normal 63" xfId="206"/>
    <cellStyle name="Normal 64" xfId="206"/>
    <cellStyle name="Normal 65" xfId="206"/>
    <cellStyle name="Normal 66" xfId="206"/>
    <cellStyle name="Normal 67" xfId="206"/>
    <cellStyle name="Normal 68" xfId="206"/>
    <cellStyle name="Normal 69" xfId="206"/>
    <cellStyle name="Normal 7" xfId="0"/>
    <cellStyle name="Normal 7 2" xfId="0"/>
    <cellStyle name="Normal 7 2 2" xfId="206"/>
    <cellStyle name="Normal 7 3" xfId="0"/>
    <cellStyle name="Normal 7 4" xfId="205"/>
    <cellStyle name="Normal 7_Sheet3" xfId="206"/>
    <cellStyle name="Normal 70" xfId="206"/>
    <cellStyle name="Normal 71" xfId="206"/>
    <cellStyle name="Normal 72" xfId="206"/>
    <cellStyle name="Normal 73" xfId="206"/>
    <cellStyle name="Normal 74" xfId="206"/>
    <cellStyle name="Normal 75" xfId="206"/>
    <cellStyle name="Normal 75 2" xfId="216"/>
    <cellStyle name="Normal 76" xfId="206"/>
    <cellStyle name="Normal 77" xfId="206"/>
    <cellStyle name="Normal 78" xfId="206"/>
    <cellStyle name="Normal 79" xfId="206"/>
    <cellStyle name="Normal 8" xfId="210"/>
    <cellStyle name="Normal 8 2" xfId="206"/>
    <cellStyle name="Normal 8 3" xfId="0"/>
    <cellStyle name="Normal 8 4" xfId="205"/>
    <cellStyle name="Normal 8_Sheet3" xfId="206"/>
    <cellStyle name="Normal 80" xfId="206"/>
    <cellStyle name="Normal 81" xfId="206"/>
    <cellStyle name="Normal 82" xfId="206"/>
    <cellStyle name="Normal 83" xfId="206"/>
    <cellStyle name="Normal 84" xfId="206"/>
    <cellStyle name="Normal 85" xfId="206"/>
    <cellStyle name="Normal 86" xfId="206"/>
    <cellStyle name="Normal 87" xfId="206"/>
    <cellStyle name="Normal 88" xfId="206"/>
    <cellStyle name="Normal 89" xfId="206"/>
    <cellStyle name="Normal 9" xfId="205"/>
    <cellStyle name="Normal 9 2" xfId="206"/>
    <cellStyle name="Normal 9 3" xfId="0"/>
    <cellStyle name="Normal 9_Sheet3" xfId="206"/>
    <cellStyle name="Normal 90" xfId="206"/>
    <cellStyle name="Normal 91" xfId="206"/>
    <cellStyle name="Normal 92" xfId="206"/>
    <cellStyle name="Normal 93" xfId="206"/>
    <cellStyle name="Normal 94" xfId="206"/>
    <cellStyle name="Normal 95" xfId="206"/>
    <cellStyle name="Normal 96" xfId="206"/>
    <cellStyle name="Normal 97" xfId="206"/>
    <cellStyle name="Normal 98" xfId="206"/>
    <cellStyle name="Normal 99" xfId="206"/>
    <cellStyle name="Normal_Borrower Credit" xfId="206"/>
    <cellStyle name="Normal_Collection Chart" xfId="206"/>
    <cellStyle name="Normal_Data1" xfId="217"/>
    <cellStyle name="Normal_Prescreen Larkspur Woods 10.7.08 Post LSC" xfId="206"/>
    <cellStyle name="Normal_Sheet1" xfId="212"/>
    <cellStyle name="Normal_spread" xfId="206"/>
    <cellStyle name="Normal_Topeka Loan CalcTF" xfId="218"/>
    <cellStyle name="Normal-NP" xfId="219"/>
    <cellStyle name="Note" xfId="220" builtinId="10"/>
    <cellStyle name="Note 2" xfId="221"/>
    <cellStyle name="Note 2 2" xfId="221"/>
    <cellStyle name="Note 2 2 2" xfId="221"/>
    <cellStyle name="Note 2 3" xfId="221"/>
    <cellStyle name="Note 2 3 2" xfId="221"/>
    <cellStyle name="Note 2 4" xfId="221"/>
    <cellStyle name="Note 2 4 2" xfId="221"/>
    <cellStyle name="Note 2 5" xfId="221"/>
    <cellStyle name="Note 2 6" xfId="220"/>
    <cellStyle name="Note 3" xfId="221"/>
    <cellStyle name="Note 4" xfId="221"/>
    <cellStyle name="NumberTB" xfId="222"/>
    <cellStyle name="NumberTB-C,WB" xfId="223"/>
    <cellStyle name="NumberTB-C,WB-1" xfId="224"/>
    <cellStyle name="NumberTB-DuelMode" xfId="222"/>
    <cellStyle name="NumberTB-H" xfId="225"/>
    <cellStyle name="NumberTB-HVerdana9" xfId="226"/>
    <cellStyle name="NumberTB-R" xfId="227"/>
    <cellStyle name="NumberTB-R,B" xfId="228"/>
    <cellStyle name="NumberTB-R,C" xfId="229"/>
    <cellStyle name="NumberTB-R,C-NoBorder" xfId="230"/>
    <cellStyle name="NumberTB-R,C-NoComma" xfId="231"/>
    <cellStyle name="NumberTB-R,C,B" xfId="232"/>
    <cellStyle name="NumberTB-R,CYears" xfId="233"/>
    <cellStyle name="NumberTB-R,NoComma" xfId="234"/>
    <cellStyle name="NumberTB-R,NoCommaCAlign" xfId="235"/>
    <cellStyle name="NumberTB-R,R-NoBorder" xfId="236"/>
    <cellStyle name="NumberTB-R,S" xfId="237"/>
    <cellStyle name="NumberTB-RBoldRed" xfId="238"/>
    <cellStyle name="NumberTB-Rleft" xfId="239"/>
    <cellStyle name="NumberTB-RRedBoldCenterAlign" xfId="240"/>
    <cellStyle name="NumberTB-S" xfId="241"/>
    <cellStyle name="NumberTB,C" xfId="223"/>
    <cellStyle name="NumberTB,CBB" xfId="242"/>
    <cellStyle name="NumberTB10" xfId="243"/>
    <cellStyle name="NumberTB1d-R" xfId="244"/>
    <cellStyle name="NumberTB1d-RRebBold" xfId="245"/>
    <cellStyle name="NumberTB1d-RYears" xfId="246"/>
    <cellStyle name="NumberTB1dCenter" xfId="247"/>
    <cellStyle name="NumberTB1dCenterYears" xfId="248"/>
    <cellStyle name="NumberTB1dCenterYearsBB" xfId="249"/>
    <cellStyle name="NumberTB1dLeftAlign" xfId="250"/>
    <cellStyle name="NumberTB1dRight" xfId="251"/>
    <cellStyle name="NumberTB2d" xfId="252"/>
    <cellStyle name="NumberTB2d-C,R" xfId="253"/>
    <cellStyle name="NumberTB2d-DuelMode" xfId="252"/>
    <cellStyle name="NumberTB2d-R" xfId="254"/>
    <cellStyle name="NumberTB2d-RRightAlign" xfId="255"/>
    <cellStyle name="NumberTB2d,C" xfId="256"/>
    <cellStyle name="NumberTB2dLeftAlign" xfId="257"/>
    <cellStyle name="NumberTB3d" xfId="258"/>
    <cellStyle name="NumberTB3d-DuelMode" xfId="259"/>
    <cellStyle name="NumberTB3d-H" xfId="260"/>
    <cellStyle name="NumberTB3d-R" xfId="261"/>
    <cellStyle name="NumberTB3d-R,B" xfId="262"/>
    <cellStyle name="NumberTB3d-R,C" xfId="263"/>
    <cellStyle name="NumberTB3d-R,H" xfId="264"/>
    <cellStyle name="NumberTB3d,C" xfId="265"/>
    <cellStyle name="NumberTB3dRightAlign" xfId="266"/>
    <cellStyle name="NumberTB5d-R" xfId="267"/>
    <cellStyle name="NumberTBCenter" xfId="268"/>
    <cellStyle name="NumberTBCenterAlignNoComma" xfId="269"/>
    <cellStyle name="NumberTBLeftAlignNoComma" xfId="243"/>
    <cellStyle name="NumberTBRightAlign" xfId="270"/>
    <cellStyle name="NumberTBZipCode" xfId="271"/>
    <cellStyle name="OddBodyShade" xfId="145"/>
    <cellStyle name="Output" xfId="272" builtinId="21"/>
    <cellStyle name="Output 2" xfId="273"/>
    <cellStyle name="Output 2 2" xfId="273"/>
    <cellStyle name="Output 2 2 2" xfId="273"/>
    <cellStyle name="Output 2 3" xfId="273"/>
    <cellStyle name="Output 2 3 2" xfId="273"/>
    <cellStyle name="Output 2 4" xfId="273"/>
    <cellStyle name="Output 2 4 2" xfId="273"/>
    <cellStyle name="Output 2 5" xfId="273"/>
    <cellStyle name="Output 3" xfId="273"/>
    <cellStyle name="Output 4" xfId="273"/>
    <cellStyle name="Overscore" xfId="274"/>
    <cellStyle name="Page Heading" xfId="275"/>
    <cellStyle name="Percent" xfId="276" builtinId="5"/>
    <cellStyle name="Percent [2]" xfId="277"/>
    <cellStyle name="Percent [2] 10" xfId="277"/>
    <cellStyle name="Percent [2] 11" xfId="277"/>
    <cellStyle name="Percent [2] 12" xfId="277"/>
    <cellStyle name="Percent [2] 13" xfId="277"/>
    <cellStyle name="Percent [2] 14" xfId="277"/>
    <cellStyle name="Percent [2] 15" xfId="277"/>
    <cellStyle name="Percent [2] 16" xfId="277"/>
    <cellStyle name="Percent [2] 17" xfId="277"/>
    <cellStyle name="Percent [2] 18" xfId="277"/>
    <cellStyle name="Percent [2] 19" xfId="277"/>
    <cellStyle name="Percent [2] 2" xfId="277"/>
    <cellStyle name="Percent [2] 20" xfId="277"/>
    <cellStyle name="Percent [2] 21" xfId="277"/>
    <cellStyle name="Percent [2] 3" xfId="277"/>
    <cellStyle name="Percent [2] 4" xfId="277"/>
    <cellStyle name="Percent [2] 5" xfId="277"/>
    <cellStyle name="Percent [2] 6" xfId="277"/>
    <cellStyle name="Percent [2] 7" xfId="277"/>
    <cellStyle name="Percent [2] 8" xfId="277"/>
    <cellStyle name="Percent [2] 9" xfId="277"/>
    <cellStyle name="Percent 10" xfId="278"/>
    <cellStyle name="Percent 11" xfId="278"/>
    <cellStyle name="Percent 12" xfId="278"/>
    <cellStyle name="Percent 13" xfId="278"/>
    <cellStyle name="Percent 14" xfId="278"/>
    <cellStyle name="Percent 15" xfId="278"/>
    <cellStyle name="Percent 16" xfId="278"/>
    <cellStyle name="Percent 17" xfId="278"/>
    <cellStyle name="Percent 18" xfId="278"/>
    <cellStyle name="Percent 19" xfId="278"/>
    <cellStyle name="Percent 2" xfId="278"/>
    <cellStyle name="Percent 2 10" xfId="276"/>
    <cellStyle name="Percent 2 17 3" xfId="278"/>
    <cellStyle name="Percent 2 2" xfId="278"/>
    <cellStyle name="Percent 2 3" xfId="278"/>
    <cellStyle name="Percent 2 4" xfId="278"/>
    <cellStyle name="Percent 2 4 2" xfId="276"/>
    <cellStyle name="Percent 2 4 3" xfId="276"/>
    <cellStyle name="Percent 2 4 4" xfId="276"/>
    <cellStyle name="Percent 2 4 5" xfId="276"/>
    <cellStyle name="Percent 2 5" xfId="278"/>
    <cellStyle name="Percent 2 6" xfId="278"/>
    <cellStyle name="Percent 2 7" xfId="276"/>
    <cellStyle name="Percent 2 7 2" xfId="278"/>
    <cellStyle name="Percent 20" xfId="278"/>
    <cellStyle name="Percent 21" xfId="278"/>
    <cellStyle name="Percent 22" xfId="279"/>
    <cellStyle name="Percent 23" xfId="279"/>
    <cellStyle name="Percent 24" xfId="279"/>
    <cellStyle name="Percent 25" xfId="279"/>
    <cellStyle name="Percent 26" xfId="279"/>
    <cellStyle name="Percent 27" xfId="279"/>
    <cellStyle name="Percent 28" xfId="279"/>
    <cellStyle name="Percent 29" xfId="279"/>
    <cellStyle name="Percent 3" xfId="278"/>
    <cellStyle name="Percent 3 2" xfId="278"/>
    <cellStyle name="Percent 3 2 2" xfId="276"/>
    <cellStyle name="Percent 3 3" xfId="276"/>
    <cellStyle name="Percent 3 4" xfId="276"/>
    <cellStyle name="Percent 3 5" xfId="276"/>
    <cellStyle name="Percent 3 6" xfId="276"/>
    <cellStyle name="Percent 3 7" xfId="276"/>
    <cellStyle name="Percent 3 8" xfId="276"/>
    <cellStyle name="Percent 3 9" xfId="279"/>
    <cellStyle name="Percent 30" xfId="279"/>
    <cellStyle name="Percent 31" xfId="279"/>
    <cellStyle name="Percent 32" xfId="279"/>
    <cellStyle name="Percent 33" xfId="279"/>
    <cellStyle name="Percent 34" xfId="278"/>
    <cellStyle name="Percent 35" xfId="279"/>
    <cellStyle name="Percent 36" xfId="279"/>
    <cellStyle name="Percent 37" xfId="279"/>
    <cellStyle name="Percent 38" xfId="278"/>
    <cellStyle name="Percent 39" xfId="278"/>
    <cellStyle name="Percent 4" xfId="278"/>
    <cellStyle name="Percent 4 2" xfId="278"/>
    <cellStyle name="Percent 4 3" xfId="276"/>
    <cellStyle name="Percent 4 4" xfId="279"/>
    <cellStyle name="Percent 40" xfId="278"/>
    <cellStyle name="Percent 41" xfId="278"/>
    <cellStyle name="Percent 42" xfId="278"/>
    <cellStyle name="Percent 43" xfId="278"/>
    <cellStyle name="Percent 44" xfId="278"/>
    <cellStyle name="Percent 45" xfId="278"/>
    <cellStyle name="Percent 46" xfId="278"/>
    <cellStyle name="Percent 47" xfId="278"/>
    <cellStyle name="Percent 48" xfId="278"/>
    <cellStyle name="Percent 49" xfId="278"/>
    <cellStyle name="Percent 5" xfId="278"/>
    <cellStyle name="Percent 5 2" xfId="276"/>
    <cellStyle name="Percent 50" xfId="280"/>
    <cellStyle name="Percent 6" xfId="278"/>
    <cellStyle name="Percent 6 2" xfId="276"/>
    <cellStyle name="Percent 7" xfId="278"/>
    <cellStyle name="Percent 8" xfId="278"/>
    <cellStyle name="Percent 9" xfId="278"/>
    <cellStyle name="Percent 9 2" xfId="281"/>
    <cellStyle name="Percent 9 2 2" xfId="281"/>
    <cellStyle name="Percent 9 2 3" xfId="281"/>
    <cellStyle name="Percent 9 2 4" xfId="281"/>
    <cellStyle name="Percent 9 2 5" xfId="281"/>
    <cellStyle name="Percent 9 3" xfId="281"/>
    <cellStyle name="Percent 9 3 2" xfId="281"/>
    <cellStyle name="Percent 9 4" xfId="281"/>
    <cellStyle name="Percent 9 5" xfId="281"/>
    <cellStyle name="Percent 9 6" xfId="281"/>
    <cellStyle name="Percent 9 7" xfId="281"/>
    <cellStyle name="Percent 9 8" xfId="281"/>
    <cellStyle name="Percent 9 9" xfId="281"/>
    <cellStyle name="Percent1d" xfId="282"/>
    <cellStyle name="Percent1d,C" xfId="283"/>
    <cellStyle name="Percent1dRightAlign" xfId="284"/>
    <cellStyle name="PercentageTB-R" xfId="285"/>
    <cellStyle name="PercentageTB-R,C" xfId="286"/>
    <cellStyle name="PercentageTB-R,CB" xfId="287"/>
    <cellStyle name="PercentageTB-R,H" xfId="288"/>
    <cellStyle name="PercentageTB-R,S" xfId="289"/>
    <cellStyle name="PercentageTB-R,S DuelMode" xfId="290"/>
    <cellStyle name="PercentageTB-S" xfId="290"/>
    <cellStyle name="PercentageTB0-R,S" xfId="291"/>
    <cellStyle name="PercentageTB0,S" xfId="292"/>
    <cellStyle name="PercentageTB2d" xfId="293"/>
    <cellStyle name="PercentageTB2d-DuelMode" xfId="294"/>
    <cellStyle name="PercentageTB2d-R" xfId="295"/>
    <cellStyle name="PercentageTB2d-R,C" xfId="296"/>
    <cellStyle name="PercentageTB2d-R,S" xfId="297"/>
    <cellStyle name="PercentageTB2d,C" xfId="298"/>
    <cellStyle name="PercentageTB2d,HCAlignVCAlign" xfId="299"/>
    <cellStyle name="PercentageTB2d,S" xfId="300"/>
    <cellStyle name="PercentageTB2dLeftAlign" xfId="301"/>
    <cellStyle name="PercentageTB2dR,HCAlignVCAlign" xfId="302"/>
    <cellStyle name="PercentageTB2dRightAlign" xfId="303"/>
    <cellStyle name="PercentageTB3d" xfId="304"/>
    <cellStyle name="PercentageTB3d-DuelMode" xfId="305"/>
    <cellStyle name="PercentageTB3d-R" xfId="306"/>
    <cellStyle name="PercentageTB3d-R,B" xfId="307"/>
    <cellStyle name="PercentageTB3d-R,B,9" xfId="308"/>
    <cellStyle name="PercentageTB3d-R,B,H" xfId="309"/>
    <cellStyle name="PercentageTB3d-RC" xfId="310"/>
    <cellStyle name="PercentageTB3d,C" xfId="311"/>
    <cellStyle name="PercentageTB3d,L" xfId="312"/>
    <cellStyle name="PercentageTB3dRightAlign" xfId="313"/>
    <cellStyle name="PercentageTB4d,C" xfId="314"/>
    <cellStyle name="PercentageTB4dR,HCAlignVCAlign" xfId="315"/>
    <cellStyle name="PercentageTB5d" xfId="316"/>
    <cellStyle name="PercentageTB5d-DuelMode" xfId="317"/>
    <cellStyle name="PercentageTB5d-R" xfId="318"/>
    <cellStyle name="PercentageTB5d-RC" xfId="319"/>
    <cellStyle name="PercentCenter" xfId="320"/>
    <cellStyle name="ProgramCell" xfId="321"/>
    <cellStyle name="PSChar" xfId="322"/>
    <cellStyle name="PSDate" xfId="323"/>
    <cellStyle name="PSDec" xfId="324"/>
    <cellStyle name="PSHeading" xfId="325"/>
    <cellStyle name="PSHeading 2" xfId="325"/>
    <cellStyle name="PSInt" xfId="326"/>
    <cellStyle name="PSSpacer" xfId="327"/>
    <cellStyle name="question" xfId="328"/>
    <cellStyle name="question 2" xfId="328"/>
    <cellStyle name="question 2 2" xfId="328"/>
    <cellStyle name="question 3" xfId="329"/>
    <cellStyle name="question_Sheet3" xfId="328"/>
    <cellStyle name="Reg2" xfId="330"/>
    <cellStyle name="Row Header" xfId="162"/>
    <cellStyle name="Row Header-B" xfId="163"/>
    <cellStyle name="Row Header-Red" xfId="331"/>
    <cellStyle name="Row Header-RedB" xfId="332"/>
    <cellStyle name="Row Header-Vertical" xfId="333"/>
    <cellStyle name="Row Header-Vertoca;" xfId="334"/>
    <cellStyle name="Row Header-Vertocal" xfId="335"/>
    <cellStyle name="Row HeaderCB" xfId="336"/>
    <cellStyle name="Row HeaderRight" xfId="159"/>
    <cellStyle name="Row HeaderWB,B" xfId="337"/>
    <cellStyle name="Row HeaderWB,BRightAlign" xfId="338"/>
    <cellStyle name="Row HeaderWBorder" xfId="164"/>
    <cellStyle name="Row-GroupHeader" xfId="339"/>
    <cellStyle name="Row-GroupHeader12" xfId="340"/>
    <cellStyle name="RowHeader" xfId="341"/>
    <cellStyle name="SectionHeader" xfId="342"/>
    <cellStyle name="SectionHeader 2" xfId="342"/>
    <cellStyle name="SectionHeader 2 2" xfId="342"/>
    <cellStyle name="SectionHeader 2 2 2" xfId="342"/>
    <cellStyle name="SectionHeader 2 2 2 2" xfId="342"/>
    <cellStyle name="SectionHeader 2 2 3" xfId="342"/>
    <cellStyle name="SectionHeader 2 2 3 2" xfId="342"/>
    <cellStyle name="SectionHeader 2 2 4" xfId="342"/>
    <cellStyle name="SectionHeader 2 2 4 2" xfId="342"/>
    <cellStyle name="SectionHeader 2 2 5" xfId="342"/>
    <cellStyle name="SectionHeader 2 2 5 2" xfId="342"/>
    <cellStyle name="SectionHeader 2 2 6" xfId="342"/>
    <cellStyle name="SectionHeader 2 3" xfId="342"/>
    <cellStyle name="SectionHeader 2 3 2" xfId="342"/>
    <cellStyle name="SectionHeader 2 4" xfId="342"/>
    <cellStyle name="SectionHeader 2 4 2" xfId="342"/>
    <cellStyle name="SectionHeader 2 5" xfId="342"/>
    <cellStyle name="SectionHeader 2 5 2" xfId="342"/>
    <cellStyle name="SectionHeader 2 6" xfId="342"/>
    <cellStyle name="SectionHeader 2 6 2" xfId="342"/>
    <cellStyle name="SectionHeader 3" xfId="342"/>
    <cellStyle name="SectionHeader 3 2" xfId="342"/>
    <cellStyle name="SectionHeader 3 2 2" xfId="342"/>
    <cellStyle name="SectionHeader 3 3" xfId="342"/>
    <cellStyle name="SectionHeader 3 3 2" xfId="342"/>
    <cellStyle name="SectionHeader 3 4" xfId="342"/>
    <cellStyle name="SectionHeader 3 4 2" xfId="342"/>
    <cellStyle name="SectionHeader 3 5" xfId="342"/>
    <cellStyle name="SectionHeader 3 5 2" xfId="342"/>
    <cellStyle name="SectionHeader 3 6" xfId="342"/>
    <cellStyle name="SectionHeader 4" xfId="342"/>
    <cellStyle name="SectionHeader 4 2" xfId="342"/>
    <cellStyle name="SectionHeader 5" xfId="342"/>
    <cellStyle name="SectionHeader 5 2" xfId="342"/>
    <cellStyle name="SectionHeader 6" xfId="342"/>
    <cellStyle name="Standard_JT 19 ergänzt" xfId="343"/>
    <cellStyle name="STYLE1 - Style1" xfId="344"/>
    <cellStyle name="STYLE1 - Style1 10" xfId="344"/>
    <cellStyle name="STYLE1 - Style1 11" xfId="344"/>
    <cellStyle name="STYLE1 - Style1 12" xfId="344"/>
    <cellStyle name="STYLE1 - Style1 13" xfId="344"/>
    <cellStyle name="STYLE1 - Style1 14" xfId="344"/>
    <cellStyle name="STYLE1 - Style1 15" xfId="344"/>
    <cellStyle name="STYLE1 - Style1 16" xfId="344"/>
    <cellStyle name="STYLE1 - Style1 17" xfId="344"/>
    <cellStyle name="STYLE1 - Style1 18" xfId="344"/>
    <cellStyle name="STYLE1 - Style1 19" xfId="344"/>
    <cellStyle name="STYLE1 - Style1 2" xfId="344"/>
    <cellStyle name="STYLE1 - Style1 20" xfId="344"/>
    <cellStyle name="STYLE1 - Style1 21" xfId="344"/>
    <cellStyle name="STYLE1 - Style1 22" xfId="344"/>
    <cellStyle name="STYLE1 - Style1 3" xfId="344"/>
    <cellStyle name="STYLE1 - Style1 4" xfId="344"/>
    <cellStyle name="STYLE1 - Style1 5" xfId="344"/>
    <cellStyle name="STYLE1 - Style1 6" xfId="344"/>
    <cellStyle name="STYLE1 - Style1 7" xfId="344"/>
    <cellStyle name="STYLE1 - Style1 8" xfId="344"/>
    <cellStyle name="STYLE1 - Style1 9" xfId="344"/>
    <cellStyle name="STYLE1 - Style1_Input Sheet" xfId="344"/>
    <cellStyle name="STYLE2 - Style2" xfId="344"/>
    <cellStyle name="STYLE2 - Style2 10" xfId="344"/>
    <cellStyle name="STYLE2 - Style2 11" xfId="344"/>
    <cellStyle name="STYLE2 - Style2 12" xfId="344"/>
    <cellStyle name="STYLE2 - Style2 13" xfId="344"/>
    <cellStyle name="STYLE2 - Style2 14" xfId="344"/>
    <cellStyle name="STYLE2 - Style2 15" xfId="344"/>
    <cellStyle name="STYLE2 - Style2 16" xfId="344"/>
    <cellStyle name="STYLE2 - Style2 17" xfId="344"/>
    <cellStyle name="STYLE2 - Style2 18" xfId="344"/>
    <cellStyle name="STYLE2 - Style2 19" xfId="344"/>
    <cellStyle name="STYLE2 - Style2 2" xfId="344"/>
    <cellStyle name="STYLE2 - Style2 20" xfId="344"/>
    <cellStyle name="STYLE2 - Style2 21" xfId="344"/>
    <cellStyle name="STYLE2 - Style2 22" xfId="344"/>
    <cellStyle name="STYLE2 - Style2 3" xfId="344"/>
    <cellStyle name="STYLE2 - Style2 4" xfId="344"/>
    <cellStyle name="STYLE2 - Style2 5" xfId="344"/>
    <cellStyle name="STYLE2 - Style2 6" xfId="344"/>
    <cellStyle name="STYLE2 - Style2 7" xfId="344"/>
    <cellStyle name="STYLE2 - Style2 8" xfId="344"/>
    <cellStyle name="STYLE2 - Style2 9" xfId="344"/>
    <cellStyle name="STYLE2 - Style2_Input Sheet" xfId="344"/>
    <cellStyle name="STYLE3 - Style3" xfId="344"/>
    <cellStyle name="STYLE3 - Style3 10" xfId="344"/>
    <cellStyle name="STYLE3 - Style3 11" xfId="344"/>
    <cellStyle name="STYLE3 - Style3 12" xfId="344"/>
    <cellStyle name="STYLE3 - Style3 13" xfId="344"/>
    <cellStyle name="STYLE3 - Style3 14" xfId="344"/>
    <cellStyle name="STYLE3 - Style3 15" xfId="344"/>
    <cellStyle name="STYLE3 - Style3 16" xfId="344"/>
    <cellStyle name="STYLE3 - Style3 17" xfId="344"/>
    <cellStyle name="STYLE3 - Style3 18" xfId="344"/>
    <cellStyle name="STYLE3 - Style3 19" xfId="344"/>
    <cellStyle name="STYLE3 - Style3 2" xfId="344"/>
    <cellStyle name="STYLE3 - Style3 20" xfId="344"/>
    <cellStyle name="STYLE3 - Style3 21" xfId="344"/>
    <cellStyle name="STYLE3 - Style3 22" xfId="344"/>
    <cellStyle name="STYLE3 - Style3 3" xfId="344"/>
    <cellStyle name="STYLE3 - Style3 4" xfId="344"/>
    <cellStyle name="STYLE3 - Style3 5" xfId="344"/>
    <cellStyle name="STYLE3 - Style3 6" xfId="344"/>
    <cellStyle name="STYLE3 - Style3 7" xfId="344"/>
    <cellStyle name="STYLE3 - Style3 8" xfId="344"/>
    <cellStyle name="STYLE3 - Style3 9" xfId="344"/>
    <cellStyle name="STYLE3 - Style3_Input Sheet" xfId="344"/>
    <cellStyle name="STYLE4 - Style4" xfId="344"/>
    <cellStyle name="STYLE4 - Style4 10" xfId="344"/>
    <cellStyle name="STYLE4 - Style4 11" xfId="344"/>
    <cellStyle name="STYLE4 - Style4 12" xfId="344"/>
    <cellStyle name="STYLE4 - Style4 13" xfId="344"/>
    <cellStyle name="STYLE4 - Style4 14" xfId="344"/>
    <cellStyle name="STYLE4 - Style4 15" xfId="344"/>
    <cellStyle name="STYLE4 - Style4 16" xfId="344"/>
    <cellStyle name="STYLE4 - Style4 17" xfId="344"/>
    <cellStyle name="STYLE4 - Style4 18" xfId="344"/>
    <cellStyle name="STYLE4 - Style4 19" xfId="344"/>
    <cellStyle name="STYLE4 - Style4 2" xfId="344"/>
    <cellStyle name="STYLE4 - Style4 20" xfId="344"/>
    <cellStyle name="STYLE4 - Style4 21" xfId="344"/>
    <cellStyle name="STYLE4 - Style4 22" xfId="344"/>
    <cellStyle name="STYLE4 - Style4 3" xfId="344"/>
    <cellStyle name="STYLE4 - Style4 4" xfId="344"/>
    <cellStyle name="STYLE4 - Style4 5" xfId="344"/>
    <cellStyle name="STYLE4 - Style4 6" xfId="344"/>
    <cellStyle name="STYLE4 - Style4 7" xfId="344"/>
    <cellStyle name="STYLE4 - Style4 8" xfId="344"/>
    <cellStyle name="STYLE4 - Style4 9" xfId="344"/>
    <cellStyle name="STYLE4 - Style4_Input Sheet" xfId="344"/>
    <cellStyle name="TableCenter" xfId="345"/>
    <cellStyle name="TableCenter 2" xfId="345"/>
    <cellStyle name="TableCenter_Sheet3" xfId="345"/>
    <cellStyle name="TableFooter" xfId="346"/>
    <cellStyle name="TableFooter 2" xfId="346"/>
    <cellStyle name="TableFooter 2 2" xfId="346"/>
    <cellStyle name="TableFooter 2 2 2" xfId="346"/>
    <cellStyle name="TableFooter 2 3" xfId="346"/>
    <cellStyle name="TableFooter 3" xfId="346"/>
    <cellStyle name="TableFooter 3 2" xfId="346"/>
    <cellStyle name="TableFooter 4" xfId="346"/>
    <cellStyle name="TableFooter_Sheet3" xfId="346"/>
    <cellStyle name="TableIndent" xfId="347"/>
    <cellStyle name="TableIndent 2" xfId="347"/>
    <cellStyle name="TableIndent_Sheet3" xfId="347"/>
    <cellStyle name="TableText" xfId="348"/>
    <cellStyle name="TableText 2" xfId="348"/>
    <cellStyle name="TableText_Sheet3" xfId="348"/>
    <cellStyle name="TableTitle" xfId="349"/>
    <cellStyle name="TableTitle 2" xfId="349"/>
    <cellStyle name="TelephoneTB10" xfId="350"/>
    <cellStyle name="TelephoneTB10-R" xfId="351"/>
    <cellStyle name="TelephoneTB11" xfId="350"/>
    <cellStyle name="Text-Comments" xfId="352"/>
    <cellStyle name="Text-Comments,NoBorder" xfId="353"/>
    <cellStyle name="Text-DuelMode" xfId="354"/>
    <cellStyle name="Text-G" xfId="355"/>
    <cellStyle name="Text-G R" xfId="356"/>
    <cellStyle name="Text-G R RightAllign" xfId="357"/>
    <cellStyle name="Text-G RGeorgiaC" xfId="358"/>
    <cellStyle name="Text-G,NoBorder" xfId="359"/>
    <cellStyle name="Text-G10LeftAlign" xfId="360"/>
    <cellStyle name="Text-G10LeftAlignWrap" xfId="361"/>
    <cellStyle name="Text-GBB" xfId="362"/>
    <cellStyle name="Text-GC,B" xfId="363"/>
    <cellStyle name="Text-GCenterAlign" xfId="364"/>
    <cellStyle name="Text-GCustomCenterAlign" xfId="365"/>
    <cellStyle name="Text-Georgia10LeftAlign" xfId="366"/>
    <cellStyle name="Text-Georgia10LeftAlignNoBorder" xfId="367"/>
    <cellStyle name="Text-GHCenterAlignVCenterAlign" xfId="368"/>
    <cellStyle name="Text-GHCenterVCenter" xfId="368"/>
    <cellStyle name="Text-GHLeftAlignVCenterAlign" xfId="369"/>
    <cellStyle name="Text-GHLeftAlignVCenterAlignBB" xfId="370"/>
    <cellStyle name="Text-GLeftAlign" xfId="360"/>
    <cellStyle name="Text-GRHCenterAlignVCenterAlign" xfId="371"/>
    <cellStyle name="Text-GRHLeftAlignVCenterAlign" xfId="372"/>
    <cellStyle name="Text-GRightAlign" xfId="135"/>
    <cellStyle name="Text-GTopAlign" xfId="373"/>
    <cellStyle name="Text-WFormula R" xfId="356"/>
    <cellStyle name="Text-WFormula RC" xfId="374"/>
    <cellStyle name="Text-WFormula RNoBorder" xfId="375"/>
    <cellStyle name="Times New Roman" xfId="376"/>
    <cellStyle name="Title" xfId="377" builtinId="15"/>
    <cellStyle name="Title 2" xfId="378"/>
    <cellStyle name="Total" xfId="379" builtinId="25"/>
    <cellStyle name="Total 10" xfId="380"/>
    <cellStyle name="Total 2" xfId="380"/>
    <cellStyle name="Total 2 2" xfId="380"/>
    <cellStyle name="Total 2 3" xfId="380"/>
    <cellStyle name="Total 2 4" xfId="380"/>
    <cellStyle name="Total 3" xfId="380"/>
    <cellStyle name="Total 3 2" xfId="380"/>
    <cellStyle name="Total 4" xfId="380"/>
    <cellStyle name="Total 4 2" xfId="380"/>
    <cellStyle name="Total 5" xfId="379"/>
    <cellStyle name="Total 6" xfId="380"/>
    <cellStyle name="Total 7" xfId="380"/>
    <cellStyle name="Total 8" xfId="380"/>
    <cellStyle name="Total 9" xfId="380"/>
    <cellStyle name="Warning Text" xfId="381" builtinId="11"/>
    <cellStyle name="Warning Text 2" xfId="382"/>
    <cellStyle name="wrap" xfId="383"/>
  </cellStyles>
  <dxfs count="76">
    <dxf>
      <font>
        <color theme="7" tint="-0.5"/>
      </font>
      <fill>
        <patternFill patternType="solid">
          <fgColor theme="7" tint="0.8"/>
          <bgColor theme="7" tint="0.8"/>
        </patternFill>
      </fill>
    </dxf>
    <dxf>
      <font>
        <color theme="1"/>
      </font>
    </dxf>
    <dxf>
      <font>
        <color theme="0" tint="-0.15"/>
      </font>
    </dxf>
    <dxf>
      <font>
        <color auto="1"/>
      </font>
    </dxf>
    <dxf>
      <font>
        <color rgb="FFFF0000"/>
      </font>
    </dxf>
    <dxf>
      <font>
        <color rgb="FF0000FF"/>
      </font>
    </dxf>
    <dxf>
      <font>
        <color theme="0"/>
      </font>
      <fill>
        <patternFill patternType="solid">
          <fgColor rgb="FF257F4E"/>
          <bgColor rgb="FF257F4E"/>
        </patternFill>
      </fill>
    </dxf>
    <dxf>
      <font>
        <b/>
        <color theme="0"/>
      </font>
    </dxf>
    <dxf>
      <font>
        <color theme="0"/>
      </font>
    </dxf>
    <dxf>
      <font>
        <color theme="9" tint="-0.5"/>
      </font>
      <fill>
        <patternFill patternType="solid">
          <fgColor rgb="FFC6EFCE"/>
          <bgColor rgb="FFC6EFCE"/>
        </patternFill>
      </fill>
    </dxf>
    <dxf>
      <font>
        <strike/>
        <color auto="1"/>
      </font>
    </dxf>
    <dxf>
      <font>
        <color rgb="FF0000FF"/>
      </font>
      <fill>
        <patternFill patternType="solid">
          <fgColor rgb="FFFFFFCC"/>
          <bgColor rgb="FFFFFFCC"/>
        </patternFill>
      </fill>
    </dxf>
    <dxf>
      <font>
        <color rgb="FF9C0006"/>
      </font>
      <fill>
        <patternFill patternType="solid">
          <fgColor rgb="FFFFC7CE"/>
          <bgColor rgb="FFFFC7CE"/>
        </patternFill>
      </fill>
    </dxf>
    <dxf>
      <fill>
        <patternFill patternType="solid">
          <fgColor theme="5" tint="0.4"/>
          <bgColor theme="5" tint="0.4"/>
        </patternFill>
      </fill>
    </dxf>
    <dxf>
      <font>
        <color rgb="FF006100"/>
      </font>
      <fill>
        <patternFill patternType="solid">
          <fgColor rgb="FFC6EFCE"/>
          <bgColor rgb="FFC6EFCE"/>
        </patternFill>
      </fill>
    </dxf>
    <dxf>
      <font>
        <color theme="0"/>
      </font>
      <fill>
        <patternFill patternType="solid">
          <fgColor rgb="FFC00000"/>
          <bgColor rgb="FFC00000"/>
        </patternFill>
      </fill>
    </dxf>
    <dxf>
      <font>
        <color theme="0" tint="-0.25"/>
      </font>
    </dxf>
    <dxf>
      <font>
        <strike/>
        <color theme="5" tint="-0.5"/>
      </font>
      <fill>
        <patternFill patternType="solid">
          <fgColor theme="5" tint="0.8"/>
          <bgColor theme="5" tint="0.8"/>
        </patternFill>
      </fill>
    </dxf>
    <dxf>
      <font>
        <color theme="5" tint="-0.5"/>
      </font>
      <fill>
        <patternFill patternType="solid">
          <fgColor theme="5" tint="0.8"/>
          <bgColor theme="5" tint="0.8"/>
        </patternFill>
      </fill>
    </dxf>
    <dxf>
      <fill>
        <patternFill patternType="solid">
          <fgColor theme="5" tint="0.8"/>
          <bgColor theme="5" tint="0.8"/>
        </patternFill>
      </fill>
    </dxf>
    <dxf>
      <font>
        <strike/>
        <color theme="0" tint="-0.35"/>
      </font>
    </dxf>
    <dxf>
      <font>
        <strike/>
        <color theme="0" tint="-0.25"/>
      </font>
      <fill>
        <patternFill patternType="solid">
          <fgColor theme="0"/>
          <bgColor theme="0"/>
        </patternFill>
      </fill>
    </dxf>
    <dxf>
      <font>
        <color theme="0" tint="-0.25"/>
      </font>
      <fill>
        <patternFill patternType="solid">
          <fgColor theme="0" tint="-0.05"/>
          <bgColor theme="0" tint="-0.05"/>
        </patternFill>
      </fill>
    </dxf>
    <dxf>
      <font>
        <strike/>
        <color theme="0" tint="-0.25"/>
      </font>
      <fill>
        <patternFill patternType="solid">
          <fgColor theme="0" tint="-0.05"/>
          <bgColor theme="0" tint="-0.05"/>
        </patternFill>
      </fill>
    </dxf>
    <dxf>
      <font>
        <color rgb="FFC00000"/>
      </font>
    </dxf>
    <dxf>
      <fill>
        <patternFill patternType="gray0625">
          <fgColor auto="1"/>
          <bgColor auto="1"/>
        </patternFill>
      </fill>
    </dxf>
    <dxf>
      <fill>
        <patternFill patternType="solid">
          <fgColor theme="9" tint="0.6"/>
          <bgColor theme="9" tint="0.6"/>
        </patternFill>
      </fill>
    </dxf>
    <dxf>
      <font>
        <color theme="0" tint="-0.35"/>
      </font>
    </dxf>
    <dxf>
      <font>
        <color theme="0" tint="-0.35"/>
      </font>
      <fill>
        <patternFill patternType="solid">
          <fgColor theme="0" tint="-0.15"/>
          <bgColor theme="0" tint="-0.15"/>
        </patternFill>
      </fill>
    </dxf>
    <dxf>
      <font>
        <color theme="0" tint="-0.35"/>
      </font>
      <fill>
        <patternFill patternType="solid">
          <fgColor theme="0" tint="-0.05"/>
          <bgColor theme="0" tint="-0.05"/>
        </patternFill>
      </fill>
    </dxf>
    <dxf>
      <font>
        <color theme="0" tint="-0.35"/>
      </font>
      <fill>
        <patternFill patternType="lightUp">
          <fgColor auto="1"/>
          <bgColor auto="1"/>
        </patternFill>
      </fill>
    </dxf>
    <dxf>
      <font>
        <color auto="1"/>
      </font>
      <fill>
        <patternFill patternType="solid">
          <fgColor theme="0"/>
          <bgColor theme="0"/>
        </patternFill>
      </fill>
    </dxf>
    <dxf>
      <fill>
        <patternFill patternType="solid">
          <fgColor rgb="FFFFC000"/>
          <bgColor rgb="FFFFC000"/>
        </patternFill>
      </fill>
    </dxf>
    <dxf>
      <fill>
        <patternFill patternType="solid">
          <fgColor theme="6" tint="0.4"/>
          <bgColor theme="6" tint="0.4"/>
        </patternFill>
      </fill>
    </dxf>
    <dxf>
      <fill>
        <patternFill patternType="solid">
          <fgColor rgb="FFC00000"/>
          <bgColor rgb="FFC00000"/>
        </patternFill>
      </fill>
    </dxf>
    <dxf>
      <fill>
        <patternFill patternType="solid">
          <fgColor theme="9" tint="0.4"/>
          <bgColor theme="9" tint="0.4"/>
        </patternFill>
      </fill>
    </dxf>
    <dxf>
      <font>
        <color rgb="FFC65911"/>
      </font>
      <fill>
        <patternFill patternType="solid">
          <fgColor rgb="FFF8CBAD"/>
          <bgColor rgb="FFF8CBAD"/>
        </patternFill>
      </fill>
    </dxf>
    <dxf>
      <font>
        <color rgb="FF0000FF"/>
      </font>
      <fill>
        <patternFill patternType="solid">
          <fgColor rgb="FFFFFF99"/>
          <bgColor rgb="FFFFFF99"/>
        </patternFill>
      </fill>
    </dxf>
    <dxf>
      <font>
        <color rgb="FFE7E6E6"/>
      </font>
      <fill>
        <patternFill patternType="solid">
          <fgColor rgb="FFE7E6E6"/>
          <bgColor rgb="FFE7E6E6"/>
        </patternFill>
      </fill>
    </dxf>
    <dxf>
      <border>
        <left style="thin">
          <color rgb="FF0070C0"/>
        </left>
      </border>
    </dxf>
    <dxf>
      <border>
        <top style="thin">
          <color theme="0"/>
        </top>
      </border>
    </dxf>
    <dxf>
      <font>
        <color theme="0"/>
      </font>
      <fill>
        <patternFill patternType="solid">
          <fgColor theme="0"/>
          <bgColor theme="0"/>
        </patternFill>
      </fill>
    </dxf>
    <dxf>
      <border>
        <right style="thin">
          <color rgb="FF000000"/>
        </right>
      </border>
    </dxf>
    <dxf>
      <font>
        <i/>
        <color theme="1"/>
      </font>
      <fill>
        <patternFill patternType="solid">
          <fgColor rgb="FFFFFF00"/>
          <bgColor rgb="FFFFFF00"/>
        </patternFill>
      </fill>
    </dxf>
    <dxf>
      <font>
        <color rgb="FF002060"/>
      </font>
    </dxf>
    <dxf>
      <font>
        <color rgb="FF41B6E6"/>
      </font>
    </dxf>
    <dxf>
      <fill>
        <patternFill patternType="solid">
          <fgColor rgb="FF002A4E"/>
          <bgColor rgb="FF002A4E"/>
        </patternFill>
      </fill>
    </dxf>
    <dxf>
      <fill>
        <patternFill patternType="solid">
          <fgColor rgb="FF41B6E6"/>
          <bgColor rgb="FF41B6E6"/>
        </patternFill>
      </fill>
    </dxf>
    <dxf>
      <font>
        <color auto="1"/>
      </font>
      <fill>
        <patternFill patternType="solid">
          <fgColor theme="5" tint="0.6"/>
          <bgColor theme="5" tint="0.6"/>
        </patternFill>
      </fill>
    </dxf>
    <dxf>
      <font>
        <color rgb="FFED7D31"/>
      </font>
      <fill>
        <patternFill patternType="solid">
          <fgColor rgb="FFF2F2F2"/>
          <bgColor rgb="FFF2F2F2"/>
        </patternFill>
      </fill>
    </dxf>
    <dxf>
      <font>
        <color rgb="FFFFFFFF"/>
      </font>
      <fill>
        <patternFill patternType="solid">
          <fgColor rgb="FF257F4E"/>
          <bgColor rgb="FF257F4E"/>
        </patternFill>
      </fill>
    </dxf>
    <dxf>
      <font>
        <color rgb="FFFFFFFF"/>
      </font>
      <fill>
        <patternFill patternType="solid">
          <fgColor rgb="FFC00000"/>
          <bgColor rgb="FFC00000"/>
        </patternFill>
      </fill>
    </dxf>
    <dxf>
      <font>
        <color theme="5" tint="-0.5"/>
      </font>
      <fill>
        <patternFill patternType="solid">
          <fgColor theme="5" tint="0.6"/>
          <bgColor theme="5" tint="0.6"/>
        </patternFill>
      </fill>
    </dxf>
    <dxf>
      <font>
        <color theme="5" tint="-0.25"/>
      </font>
      <fill>
        <patternFill patternType="solid">
          <fgColor theme="5" tint="0.6"/>
          <bgColor theme="5" tint="0.6"/>
        </patternFill>
      </fill>
    </dxf>
    <dxf>
      <font>
        <color rgb="FFA50021"/>
      </font>
      <fill>
        <patternFill patternType="solid">
          <fgColor rgb="FFFFCCCC"/>
          <bgColor rgb="FFFFCCCC"/>
        </patternFill>
      </fill>
    </dxf>
    <dxf>
      <fill>
        <patternFill patternType="solid">
          <fgColor rgb="FFFF0000"/>
          <bgColor rgb="FFFF0000"/>
        </patternFill>
      </fill>
    </dxf>
    <dxf>
      <fill>
        <patternFill patternType="solid">
          <fgColor rgb="FFFF9933"/>
          <bgColor rgb="FFFF9933"/>
        </patternFill>
      </fill>
    </dxf>
    <dxf>
      <font>
        <color rgb="FF257F4E"/>
      </font>
    </dxf>
    <dxf>
      <fill>
        <patternFill patternType="solid">
          <fgColor rgb="FFFFFF00"/>
          <bgColor rgb="FFFFFF00"/>
        </patternFill>
      </fill>
    </dxf>
    <dxf>
      <font>
        <color theme="0" tint="-0.05"/>
      </font>
      <fill>
        <patternFill patternType="solid">
          <fgColor theme="0" tint="-0.05"/>
          <bgColor theme="0" tint="-0.05"/>
        </patternFill>
      </fill>
    </dxf>
    <dxf>
      <font>
        <color theme="0" tint="-0.5"/>
      </font>
      <fill>
        <patternFill patternType="solid">
          <fgColor theme="0" tint="-0.05"/>
          <bgColor theme="0" tint="-0.05"/>
        </patternFill>
      </fill>
    </dxf>
    <dxf>
      <fill>
        <patternFill patternType="solid">
          <fgColor rgb="FFFFFFCC"/>
          <bgColor rgb="FFFFFFCC"/>
        </patternFill>
      </fill>
    </dxf>
    <dxf>
      <font>
        <color theme="3" tint="-0.25"/>
      </font>
      <fill>
        <patternFill patternType="solid">
          <fgColor rgb="FFFFFF00"/>
          <bgColor rgb="FFFFFF00"/>
        </patternFill>
      </fill>
    </dxf>
    <dxf>
      <font>
        <color theme="9" tint="0.4"/>
      </font>
    </dxf>
    <dxf>
      <numFmt numFmtId="170" formatCode="0.0"/>
    </dxf>
    <dxf>
      <font>
        <color rgb="FF00B050"/>
      </font>
      <fill>
        <patternFill patternType="none"/>
      </fill>
    </dxf>
    <dxf>
      <fill>
        <patternFill patternType="none"/>
      </fill>
      <border>
        <bottom style="thin">
          <color rgb="FFFF0000"/>
        </bottom>
      </border>
    </dxf>
    <dxf>
      <font>
        <b/>
        <color rgb="FFFF0000"/>
      </font>
      <fill>
        <patternFill patternType="none"/>
      </fill>
    </dxf>
    <dxf>
      <border>
        <left style="thin">
          <color rgb="FFFF0000"/>
        </left>
        <right style="thin">
          <color rgb="FFFF0000"/>
        </right>
        <top style="thin">
          <color rgb="FFFF0000"/>
        </top>
        <bottom style="thin">
          <color rgb="FFFF0000"/>
        </bottom>
      </border>
    </dxf>
    <dxf>
      <fill>
        <patternFill patternType="solid">
          <fgColor theme="5" tint="0.6"/>
          <bgColor theme="5" tint="0.6"/>
        </patternFill>
      </fill>
    </dxf>
    <dxf>
      <font>
        <strike/>
        <color auto="1"/>
      </font>
      <fill>
        <patternFill patternType="solid">
          <fgColor theme="0"/>
          <bgColor theme="0"/>
        </patternFill>
      </fill>
    </dxf>
    <dxf>
      <font>
        <color auto="1"/>
      </font>
      <fill>
        <patternFill patternType="solid">
          <fgColor rgb="FFFFFF00"/>
          <bgColor rgb="FFFFFF00"/>
        </patternFill>
      </fill>
    </dxf>
    <dxf>
      <font>
        <color rgb="FF9C6500"/>
      </font>
      <fill>
        <patternFill patternType="solid">
          <fgColor rgb="FFFFEB9C"/>
          <bgColor rgb="FFFFEB9C"/>
        </patternFill>
      </fill>
    </dxf>
    <dxf>
      <fill>
        <patternFill patternType="solid">
          <fgColor rgb="FFCCECFF"/>
          <bgColor rgb="FFCCECFF"/>
        </patternFill>
      </fill>
    </dxf>
    <dxf>
      <fill>
        <patternFill patternType="solid">
          <fgColor rgb="FFC0C0C0"/>
          <bgColor rgb="FFC0C0C0"/>
        </patternFill>
      </fill>
    </dxf>
    <dxf>
      <font>
        <color rgb="FFFFFFFF"/>
      </font>
      <fill>
        <patternFill patternType="solid">
          <fgColor rgb="FF009900"/>
          <bgColor rgb="FF009900"/>
        </patternFill>
      </fill>
    </dxf>
  </dxfs>
  <tableStyles count="0" defaultTableStyle="TableStyleMedium2"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sharedStrings" Target="sharedStrings.xml"/><Relationship Id="rId54" Type="http://schemas.openxmlformats.org/officeDocument/2006/relationships/styles" Target="styles.xml"/><Relationship Id="rId55" Type="http://schemas.openxmlformats.org/officeDocument/2006/relationships/theme" Target="theme/theme1.xml"/><Relationship Id="rId56" Type="http://schemas.openxmlformats.org/officeDocument/2006/relationships/sheetMetadata" Target="metadata.xml"/></Relationships>
</file>

<file path=xl/charts/chart1.xml><?xml version="1.0" encoding="utf-8"?>
<c:chartSpace xmlns:a="http://schemas.openxmlformats.org/drawingml/2006/main" xmlns:r="http://schemas.openxmlformats.org/officeDocument/2006/relationships" xmlns:c="http://schemas.openxmlformats.org/drawingml/2006/chart" xmlns:c16r2="http://schemas.microsoft.com/office/drawing/2015/06/chart">
  <c:roundedCorners val="0"/>
  <c:chart>
    <c:autoTitleDeleted val="1"/>
    <c:plotArea>
      <c:barChart chartType="6">
        <c:ser seriesType="0">
          <c:idx val="0"/>
          <c:order val="0"/>
          <c:tx>
            <c:v>T12 NRI</c:v>
          </c:tx>
          <c:spPr/>
          <c:cat>
            <c:strRef>
              <c:f>'NRI Analysis'!$N$158:$N$169,'NRI Analysis'!$E$80</c:f>
            </c:strRef>
          </c:cat>
          <c:val>
            <c:numRef>
              <c:f>'NRI Analysis'!$J$171:$J$182,'NRI Analysis'!$E$81</c:f>
              <c:numCache>
                <c:formatCode>General</c:formatCode>
              </c:numCache>
            </c:numRef>
          </c:val>
          <c:dLbls>
            <c:spPr>
              <a:noFill/>
              <a:ln>
                <a:noFill/>
              </a:ln>
            </c:spPr>
            <c:dLblPos val="outEnd"/>
            <c:showLeaderLines val="0"/>
            <c:showBubbleSize val="0"/>
            <c:showLegendKey val="0"/>
            <c:showPercent val="0"/>
            <c:showCatName val="0"/>
            <c:showSerName val="0"/>
            <c:showVal val="0"/>
          </c:dLbls>
          <c:extLst/>
          <c:invertIfNegative val="0"/>
          <c:dPt>
            <c:idx val="12"/>
            <c:bubble3D val="0"/>
            <c:invertIfNegative val="0"/>
            <c:spPr>
              <a:solidFill>
                <a:schemeClr val="accent2"/>
              </a:solidFill>
            </c:spPr>
          </c:dPt>
          <c:dPt>
            <c:idx val="13"/>
            <c:bubble3D val="0"/>
            <c:invertIfNegative val="0"/>
            <c:spPr>
              <a:solidFill>
                <a:srgbClr val="00b050"/>
              </a:solidFill>
            </c:spPr>
          </c:dPt>
        </c:ser>
        <c:axId val="40491458"/>
        <c:axId val="35302212"/>
        <c:barDir val="col"/>
        <c:grouping val="clustered"/>
        <c:gapWidth val="150"/>
        <c:varyColors val="0"/>
        <c:overlap val="0"/>
      </c:barChart>
      <c:catAx axisType="0">
        <c:axId val="40491458"/>
        <c:delete val="0"/>
        <c:majorTickMark val="out"/>
        <c:minorTickMark val="none"/>
        <c:tickLblPos val="nextTo"/>
        <c:axPos val="b"/>
        <c:scaling>
          <c:orientation val="minMax"/>
        </c:scaling>
        <c:spPr>
          <a:noFill/>
          <a:ln w="9525" cmpd="sng" cap="flat">
            <a:solidFill>
              <a:schemeClr val="tx1">
                <a:lumMod val="15000"/>
                <a:lumOff val="85000"/>
              </a:schemeClr>
            </a:solidFill>
            <a:round/>
          </a:ln>
        </c:spPr>
        <c:numFmt formatCode="[$-409]mmm\-yy;@" sourceLinked="0"/>
        <c:txPr>
          <a:bodyPr vert="horz"/>
          <a:p>
            <a:pPr>
              <a:defRPr sz="1000" b="0" i="0" strike="noStrike" u="none">
                <a:solidFill>
                  <a:srgbClr val="000000"/>
                </a:solidFill>
                <a:latin typeface="Calibri"/>
              </a:defRPr>
            </a:pPr>
            <a:endParaRPr/>
          </a:p>
        </c:txPr>
        <c:auto val="1"/>
        <c:tickMarkSkip val="1"/>
        <c:noMultiLvlLbl val="1"/>
        <c:crosses val="autoZero"/>
        <c:crossAx val="35302212"/>
        <c:lblOffset val="0"/>
      </c:catAx>
      <c:valAx axisType="3">
        <c:axId val="35302212"/>
        <c:delete val="0"/>
        <c:majorTickMark val="out"/>
        <c:minorTickMark val="none"/>
        <c:tickLblPos val="nextTo"/>
        <c:axPos val="l"/>
        <c:scaling>
          <c:orientation val="minMax"/>
        </c:scaling>
        <c:spPr>
          <a:noFill/>
          <a:ln w="9525" cmpd="sng" cap="flat">
            <a:solidFill>
              <a:schemeClr val="tx1">
                <a:lumMod val="15000"/>
                <a:lumOff val="85000"/>
              </a:schemeClr>
            </a:solidFill>
            <a:round/>
          </a:ln>
        </c:spPr>
        <c:numFmt formatCode="&quot;$&quot;#,##0_);[Red]\(&quot;$&quot;#,##0\)"/>
        <c:txPr>
          <a:bodyPr vert="horz"/>
          <a:p>
            <a:pPr>
              <a:defRPr sz="1000" b="0" i="0" strike="noStrike" u="none">
                <a:solidFill>
                  <a:srgbClr val="000000"/>
                </a:solidFill>
                <a:latin typeface="Calibri"/>
              </a:defRPr>
            </a:pPr>
            <a:endParaRPr/>
          </a:p>
        </c:txPr>
        <c:majorGridlines>
          <c:spPr>
            <a:ln w="9525" cmpd="sng" cap="flat">
              <a:solidFill>
                <a:srgbClr val="868686"/>
              </a:solidFill>
              <a:round/>
            </a:ln>
          </c:spPr>
        </c:majorGridlines>
        <c:crosses val="autoZero"/>
        <c:crossBetween val="between"/>
        <c:crossAx val="40491458"/>
      </c:valAx>
      <c:lineChart chartType="8">
        <c:ser seriesType="2">
          <c:idx val="1"/>
          <c:order val="1"/>
          <c:tx>
            <c:v>Avg T12 NRI</c:v>
          </c:tx>
          <c:val>
            <c:numRef>
              <c:f>'NRI Analysis'!$K$171:$K$182</c:f>
              <c:numCache>
                <c:formatCode>"$"#,##0_);[Red]\("$"#,##0\)</c:formatCode>
              </c:numCache>
            </c:numRef>
          </c:val>
          <c:extLst/>
          <c:smooth val="0"/>
          <c:marker>
            <c:symbol val="none"/>
          </c:marker>
        </c:ser>
        <c:axId val="40491458"/>
        <c:axId val="35302212"/>
        <c:grouping val="standard"/>
        <c:varyColors val="0"/>
        <c:smooth val="0"/>
        <c:marker val="1"/>
      </c:lineChart>
      <c:spPr>
        <a:noFill/>
        <a:ln>
          <a:noFill/>
        </a:ln>
      </c:spPr>
    </c:plotArea>
    <c:legend>
      <c:legendPos val="r"/>
      <c:overlay val="0"/>
      <c:txPr>
        <a:bodyPr/>
        <a:p>
          <a:pPr>
            <a:defRPr sz="650" b="0" i="0" strike="noStrike" u="none">
              <a:solidFill>
                <a:srgbClr val="000000"/>
              </a:solidFill>
              <a:latin typeface="Calibri"/>
            </a:defRPr>
          </a:pPr>
          <a:endParaRPr/>
        </a:p>
      </c:txPr>
    </c:legend>
    <c:plotVisOnly val="1"/>
    <c:dispBlanksAs val="gap"/>
    <c:showDLblsOverMax val="0"/>
    <c:extLst>
      <c:ext xmlns:c16r3="http://schemas.microsoft.com/office/drawing/2017/03/chart" uri="{56B9EC1D-385E-4148-901F-78D8002777C0}">
        <c16r3:dataDisplayOptions16>
          <c16r3:dispNaAsBlank val="0"/>
        </c16r3:dataDisplayOptions16>
      </c:ext>
    </c:extLst>
  </c:chart>
  <c:txPr>
    <a:bodyPr/>
    <a:p>
      <a:pPr>
        <a:defRPr sz="1000" b="0" i="0" strike="noStrike" u="none">
          <a:solidFill>
            <a:srgbClr val="000000"/>
          </a:solidFill>
          <a:latin typeface="Calibri"/>
        </a:defRPr>
      </a:pPr>
      <a:endParaRPr/>
    </a:p>
  </c:txPr>
</c:chartSpace>
</file>

<file path=xl/charts/chart2.xml><?xml version="1.0" encoding="utf-8"?>
<c:chartSpace xmlns:a="http://schemas.openxmlformats.org/drawingml/2006/main" xmlns:r="http://schemas.openxmlformats.org/officeDocument/2006/relationships" xmlns:c="http://schemas.openxmlformats.org/drawingml/2006/chart" xmlns:c16r2="http://schemas.microsoft.com/office/drawing/2015/06/chart">
  <c:roundedCorners val="0"/>
  <c:chart>
    <c:title>
      <c:txPr>
        <a:bodyPr/>
        <a:p>
          <a:pPr>
            <a:defRPr sz="1400" b="0" i="0" strike="noStrike" u="none">
              <a:solidFill>
                <a:srgbClr val="000000"/>
              </a:solidFill>
              <a:latin typeface="Calibri"/>
            </a:defRPr>
          </a:pPr>
          <a:r>
            <a:rPr sz="1400" b="0" i="0" strike="noStrike" u="none">
              <a:solidFill>
                <a:srgbClr val="000000"/>
              </a:solidFill>
              <a:latin typeface="Calibri"/>
            </a:rPr>
            <a:t/>
          </a:r>
          <a:endParaRPr/>
        </a:p>
      </c:txPr>
      <c:overlay val="0"/>
    </c:title>
    <c:autoTitleDeleted val="0"/>
    <c:plotArea>
      <c:barChart chartType="6">
        <c:ser seriesType="0">
          <c:idx val="0"/>
          <c:order val="0"/>
          <c:tx>
            <c:v>Monthly NRI</c:v>
          </c:tx>
          <c:spPr/>
          <c:cat>
            <c:strRef>
              <c:f>'NRI Analysis'!$A$6:$A$17</c:f>
            </c:strRef>
          </c:cat>
          <c:val>
            <c:numRef>
              <c:f>'NRI Analysis'!$M$6:$M$17</c:f>
              <c:numCache>
                <c:formatCode>"$"#,##0_);\("$"#,##0\)</c:formatCode>
              </c:numCache>
            </c:numRef>
          </c:val>
          <c:dLbls>
            <c:spPr>
              <a:noFill/>
              <a:ln>
                <a:noFill/>
              </a:ln>
            </c:spPr>
            <c:dLblPos val="outEnd"/>
            <c:showLeaderLines val="0"/>
            <c:showBubbleSize val="0"/>
            <c:showLegendKey val="0"/>
            <c:showPercent val="0"/>
            <c:showCatName val="0"/>
            <c:showSerName val="0"/>
            <c:showVal val="0"/>
          </c:dLbls>
          <c:extLst/>
          <c:invertIfNegative val="0"/>
          <c:dPt>
            <c:idx val="12"/>
            <c:bubble3D val="0"/>
            <c:invertIfNegative val="0"/>
            <c:spPr>
              <a:solidFill>
                <a:schemeClr val="accent2"/>
              </a:solidFill>
            </c:spPr>
          </c:dPt>
          <c:dPt>
            <c:idx val="13"/>
            <c:bubble3D val="0"/>
            <c:invertIfNegative val="0"/>
            <c:spPr>
              <a:solidFill>
                <a:srgbClr val="00b050"/>
              </a:solidFill>
            </c:spPr>
          </c:dPt>
        </c:ser>
        <c:axId val="22651467"/>
        <c:axId val="79941214"/>
        <c:barDir val="col"/>
        <c:grouping val="clustered"/>
        <c:gapWidth val="150"/>
        <c:varyColors val="0"/>
        <c:overlap val="0"/>
      </c:barChart>
      <c:catAx axisType="0">
        <c:axId val="22651467"/>
        <c:delete val="0"/>
        <c:majorTickMark val="out"/>
        <c:minorTickMark val="none"/>
        <c:tickLblPos val="nextTo"/>
        <c:axPos val="b"/>
        <c:scaling>
          <c:orientation val="minMax"/>
        </c:scaling>
        <c:spPr>
          <a:noFill/>
          <a:ln w="9525" cmpd="sng" cap="flat">
            <a:solidFill>
              <a:schemeClr val="tx1">
                <a:lumMod val="15000"/>
                <a:lumOff val="85000"/>
              </a:schemeClr>
            </a:solidFill>
            <a:round/>
          </a:ln>
        </c:spPr>
        <c:numFmt formatCode="[$-409]mmm\-yy;@" sourceLinked="0"/>
        <c:txPr>
          <a:bodyPr rot="-2700000" vert="horz"/>
          <a:p>
            <a:pPr>
              <a:defRPr sz="1000" b="0" i="0" strike="noStrike" u="none">
                <a:solidFill>
                  <a:srgbClr val="000000"/>
                </a:solidFill>
                <a:latin typeface="Calibri"/>
              </a:defRPr>
            </a:pPr>
            <a:endParaRPr/>
          </a:p>
        </c:txPr>
        <c:auto val="1"/>
        <c:tickMarkSkip val="1"/>
        <c:noMultiLvlLbl val="1"/>
        <c:crosses val="autoZero"/>
        <c:crossAx val="79941214"/>
        <c:lblOffset val="0"/>
      </c:catAx>
      <c:valAx axisType="3">
        <c:axId val="79941214"/>
        <c:delete val="0"/>
        <c:majorTickMark val="out"/>
        <c:minorTickMark val="none"/>
        <c:tickLblPos val="nextTo"/>
        <c:axPos val="l"/>
        <c:scaling>
          <c:orientation val="minMax"/>
        </c:scaling>
        <c:spPr>
          <a:noFill/>
          <a:ln w="9525" cmpd="sng" cap="flat">
            <a:solidFill>
              <a:schemeClr val="tx1">
                <a:lumMod val="15000"/>
                <a:lumOff val="85000"/>
              </a:schemeClr>
            </a:solidFill>
            <a:round/>
          </a:ln>
        </c:spPr>
        <c:numFmt formatCode="&quot;$&quot;#,##0_);\(&quot;$&quot;#,##0\)"/>
        <c:txPr>
          <a:bodyPr vert="horz"/>
          <a:p>
            <a:pPr>
              <a:defRPr sz="1000" b="0" i="0" strike="noStrike" u="none">
                <a:solidFill>
                  <a:srgbClr val="000000"/>
                </a:solidFill>
                <a:latin typeface="Calibri"/>
              </a:defRPr>
            </a:pPr>
            <a:endParaRPr/>
          </a:p>
        </c:txPr>
        <c:majorGridlines>
          <c:spPr>
            <a:ln w="9525" cmpd="sng" cap="flat">
              <a:solidFill>
                <a:srgbClr val="868686"/>
              </a:solidFill>
              <a:round/>
            </a:ln>
          </c:spPr>
        </c:majorGridlines>
        <c:crosses val="autoZero"/>
        <c:crossBetween val="between"/>
        <c:crossAx val="22651467"/>
      </c:valAx>
      <c:spPr>
        <a:noFill/>
        <a:ln>
          <a:noFill/>
        </a:ln>
      </c:spPr>
    </c:plotArea>
    <c:plotVisOnly val="1"/>
    <c:dispBlanksAs val="gap"/>
    <c:showDLblsOverMax val="0"/>
    <c:extLst>
      <c:ext xmlns:c16r3="http://schemas.microsoft.com/office/drawing/2017/03/chart" uri="{56B9EC1D-385E-4148-901F-78D8002777C0}">
        <c16r3:dataDisplayOptions16>
          <c16r3:dispNaAsBlank val="0"/>
        </c16r3:dataDisplayOptions16>
      </c:ext>
    </c:extLst>
  </c:chart>
  <c:txPr>
    <a:bodyPr/>
    <a:p>
      <a:pPr>
        <a:defRPr sz="1000" b="0" i="0" strike="noStrike" u="none">
          <a:solidFill>
            <a:srgbClr val="000000"/>
          </a:solidFill>
          <a:latin typeface="Calibri"/>
        </a:defRPr>
      </a:pPr>
      <a:endParaRPr/>
    </a:p>
  </c:txPr>
</c:chartSpace>
</file>

<file path=xl/charts/chart3.xml><?xml version="1.0" encoding="utf-8"?>
<c:chartSpace xmlns:a="http://schemas.openxmlformats.org/drawingml/2006/main" xmlns:r="http://schemas.openxmlformats.org/officeDocument/2006/relationships" xmlns:c="http://schemas.openxmlformats.org/drawingml/2006/chart" xmlns:c16r2="http://schemas.microsoft.com/office/drawing/2015/06/chart">
  <c:roundedCorners val="0"/>
  <c:chart>
    <c:title>
      <c:txPr>
        <a:bodyPr/>
        <a:p>
          <a:pPr>
            <a:defRPr sz="1400" b="0" i="0" strike="noStrike" u="none">
              <a:solidFill>
                <a:srgbClr val="000000"/>
              </a:solidFill>
              <a:latin typeface="Calibri"/>
            </a:defRPr>
          </a:pPr>
          <a:r>
            <a:rPr sz="1400" b="0" i="0" strike="noStrike" u="none">
              <a:solidFill>
                <a:srgbClr val="000000"/>
              </a:solidFill>
              <a:latin typeface="Calibri"/>
            </a:rPr>
            <a:t/>
          </a:r>
          <a:endParaRPr/>
        </a:p>
      </c:txPr>
      <c:overlay val="0"/>
    </c:title>
    <c:autoTitleDeleted val="0"/>
    <c:plotArea>
      <c:barChart chartType="6">
        <c:ser seriesType="0">
          <c:idx val="0"/>
          <c:order val="0"/>
          <c:tx>
            <c:v>Monthly NRI</c:v>
          </c:tx>
          <c:spPr/>
          <c:cat>
            <c:strRef>
              <c:f>'NRI Analysis'!$A$22:$A$33</c:f>
            </c:strRef>
          </c:cat>
          <c:val>
            <c:numRef>
              <c:f>'NRI Analysis'!$M$22:$M$33</c:f>
              <c:numCache>
                <c:formatCode>"$"#,##0_);\("$"#,##0\)</c:formatCode>
              </c:numCache>
            </c:numRef>
          </c:val>
          <c:dLbls>
            <c:spPr>
              <a:noFill/>
              <a:ln>
                <a:noFill/>
              </a:ln>
            </c:spPr>
            <c:dLblPos val="outEnd"/>
            <c:showLeaderLines val="0"/>
            <c:showBubbleSize val="0"/>
            <c:showLegendKey val="0"/>
            <c:showPercent val="0"/>
            <c:showCatName val="0"/>
            <c:showSerName val="0"/>
            <c:showVal val="0"/>
          </c:dLbls>
          <c:extLst/>
          <c:invertIfNegative val="0"/>
          <c:dPt>
            <c:idx val="12"/>
            <c:bubble3D val="0"/>
            <c:invertIfNegative val="0"/>
            <c:spPr>
              <a:solidFill>
                <a:schemeClr val="accent2"/>
              </a:solidFill>
            </c:spPr>
          </c:dPt>
          <c:dPt>
            <c:idx val="13"/>
            <c:bubble3D val="0"/>
            <c:invertIfNegative val="0"/>
            <c:spPr>
              <a:solidFill>
                <a:srgbClr val="00b050"/>
              </a:solidFill>
            </c:spPr>
          </c:dPt>
        </c:ser>
        <c:axId val="99512729"/>
        <c:axId val="48270566"/>
        <c:barDir val="col"/>
        <c:grouping val="clustered"/>
        <c:gapWidth val="150"/>
        <c:varyColors val="0"/>
        <c:overlap val="0"/>
      </c:barChart>
      <c:catAx axisType="0">
        <c:axId val="99512729"/>
        <c:delete val="0"/>
        <c:majorTickMark val="out"/>
        <c:minorTickMark val="none"/>
        <c:tickLblPos val="nextTo"/>
        <c:axPos val="b"/>
        <c:scaling>
          <c:orientation val="minMax"/>
        </c:scaling>
        <c:spPr>
          <a:noFill/>
          <a:ln w="9525" cmpd="sng" cap="flat">
            <a:solidFill>
              <a:schemeClr val="tx1">
                <a:lumMod val="15000"/>
                <a:lumOff val="85000"/>
              </a:schemeClr>
            </a:solidFill>
            <a:round/>
          </a:ln>
        </c:spPr>
        <c:numFmt formatCode="[$-409]mmm\-yy;@" sourceLinked="0"/>
        <c:txPr>
          <a:bodyPr rot="-2700000" vert="horz"/>
          <a:p>
            <a:pPr>
              <a:defRPr sz="1000" b="0" i="0" strike="noStrike" u="none">
                <a:solidFill>
                  <a:srgbClr val="000000"/>
                </a:solidFill>
                <a:latin typeface="Calibri"/>
              </a:defRPr>
            </a:pPr>
            <a:endParaRPr/>
          </a:p>
        </c:txPr>
        <c:auto val="1"/>
        <c:tickMarkSkip val="1"/>
        <c:noMultiLvlLbl val="1"/>
        <c:crosses val="autoZero"/>
        <c:crossAx val="48270566"/>
        <c:lblOffset val="0"/>
      </c:catAx>
      <c:valAx axisType="3">
        <c:axId val="48270566"/>
        <c:delete val="0"/>
        <c:majorTickMark val="out"/>
        <c:minorTickMark val="none"/>
        <c:tickLblPos val="nextTo"/>
        <c:axPos val="l"/>
        <c:scaling>
          <c:orientation val="minMax"/>
        </c:scaling>
        <c:spPr>
          <a:noFill/>
          <a:ln w="9525" cmpd="sng" cap="flat">
            <a:solidFill>
              <a:schemeClr val="tx1">
                <a:lumMod val="15000"/>
                <a:lumOff val="85000"/>
              </a:schemeClr>
            </a:solidFill>
            <a:round/>
          </a:ln>
        </c:spPr>
        <c:numFmt formatCode="&quot;$&quot;#,##0_);\(&quot;$&quot;#,##0\)"/>
        <c:txPr>
          <a:bodyPr vert="horz"/>
          <a:p>
            <a:pPr>
              <a:defRPr sz="1000" b="0" i="0" strike="noStrike" u="none">
                <a:solidFill>
                  <a:srgbClr val="000000"/>
                </a:solidFill>
                <a:latin typeface="Calibri"/>
              </a:defRPr>
            </a:pPr>
            <a:endParaRPr/>
          </a:p>
        </c:txPr>
        <c:majorGridlines>
          <c:spPr>
            <a:ln w="9525" cmpd="sng" cap="flat">
              <a:solidFill>
                <a:srgbClr val="868686"/>
              </a:solidFill>
              <a:round/>
            </a:ln>
          </c:spPr>
        </c:majorGridlines>
        <c:crosses val="autoZero"/>
        <c:crossBetween val="between"/>
        <c:crossAx val="99512729"/>
      </c:valAx>
      <c:spPr>
        <a:noFill/>
        <a:ln>
          <a:noFill/>
        </a:ln>
      </c:spPr>
    </c:plotArea>
    <c:plotVisOnly val="1"/>
    <c:dispBlanksAs val="gap"/>
    <c:showDLblsOverMax val="0"/>
    <c:extLst>
      <c:ext xmlns:c16r3="http://schemas.microsoft.com/office/drawing/2017/03/chart" uri="{56B9EC1D-385E-4148-901F-78D8002777C0}">
        <c16r3:dataDisplayOptions16>
          <c16r3:dispNaAsBlank val="0"/>
        </c16r3:dataDisplayOptions16>
      </c:ext>
    </c:extLst>
  </c:chart>
  <c:txPr>
    <a:bodyPr/>
    <a:p>
      <a:pPr>
        <a:defRPr sz="1000" b="0" i="0" strike="noStrike" u="none">
          <a:solidFill>
            <a:srgbClr val="000000"/>
          </a:solidFill>
          <a:latin typeface="Calibri"/>
        </a:defRPr>
      </a:pPr>
      <a:endParaRPr/>
    </a:p>
  </c:txPr>
</c:chartSpace>
</file>

<file path=xl/charts/chart4.xml><?xml version="1.0" encoding="utf-8"?>
<c:chartSpace xmlns:a="http://schemas.openxmlformats.org/drawingml/2006/main" xmlns:r="http://schemas.openxmlformats.org/officeDocument/2006/relationships" xmlns:c="http://schemas.openxmlformats.org/drawingml/2006/chart" xmlns:c16r2="http://schemas.microsoft.com/office/drawing/2015/06/chart">
  <c:roundedCorners val="0"/>
  <c:chart>
    <c:title>
      <c:txPr>
        <a:bodyPr/>
        <a:p>
          <a:pPr>
            <a:defRPr sz="1400" b="0" i="0" strike="noStrike" u="none">
              <a:solidFill>
                <a:srgbClr val="000000"/>
              </a:solidFill>
              <a:latin typeface="Calibri"/>
            </a:defRPr>
          </a:pPr>
          <a:r>
            <a:rPr sz="1400" b="0" i="0" strike="noStrike" u="none">
              <a:solidFill>
                <a:srgbClr val="000000"/>
              </a:solidFill>
              <a:latin typeface="Calibri"/>
            </a:rPr>
            <a:t/>
          </a:r>
          <a:endParaRPr/>
        </a:p>
      </c:txPr>
      <c:overlay val="0"/>
    </c:title>
    <c:autoTitleDeleted val="0"/>
    <c:plotArea>
      <c:barChart chartType="6">
        <c:ser seriesType="0">
          <c:idx val="0"/>
          <c:order val="0"/>
          <c:tx>
            <c:v>Monthly NRI</c:v>
          </c:tx>
          <c:spPr/>
          <c:cat>
            <c:strRef>
              <c:f>'NRI Analysis'!$A$42:$A$53</c:f>
            </c:strRef>
          </c:cat>
          <c:val>
            <c:numRef>
              <c:f>'NRI Analysis'!$M$42:$M$53</c:f>
              <c:numCache>
                <c:formatCode>"$"#,##0_);\("$"#,##0\)</c:formatCode>
              </c:numCache>
            </c:numRef>
          </c:val>
          <c:dLbls>
            <c:spPr>
              <a:noFill/>
              <a:ln>
                <a:noFill/>
              </a:ln>
            </c:spPr>
            <c:dLblPos val="outEnd"/>
            <c:showLeaderLines val="0"/>
            <c:showBubbleSize val="0"/>
            <c:showLegendKey val="0"/>
            <c:showPercent val="0"/>
            <c:showCatName val="0"/>
            <c:showSerName val="0"/>
            <c:showVal val="0"/>
          </c:dLbls>
          <c:extLst/>
          <c:invertIfNegative val="0"/>
          <c:dPt>
            <c:idx val="12"/>
            <c:bubble3D val="0"/>
            <c:invertIfNegative val="0"/>
            <c:spPr>
              <a:solidFill>
                <a:schemeClr val="accent2"/>
              </a:solidFill>
            </c:spPr>
          </c:dPt>
          <c:dPt>
            <c:idx val="13"/>
            <c:bubble3D val="0"/>
            <c:invertIfNegative val="0"/>
            <c:spPr>
              <a:solidFill>
                <a:srgbClr val="00b050"/>
              </a:solidFill>
            </c:spPr>
          </c:dPt>
        </c:ser>
        <c:axId val="85849419"/>
        <c:axId val="51030500"/>
        <c:barDir val="col"/>
        <c:grouping val="clustered"/>
        <c:gapWidth val="150"/>
        <c:varyColors val="0"/>
        <c:overlap val="0"/>
      </c:barChart>
      <c:catAx axisType="0">
        <c:axId val="85849419"/>
        <c:delete val="0"/>
        <c:majorTickMark val="out"/>
        <c:minorTickMark val="none"/>
        <c:tickLblPos val="nextTo"/>
        <c:axPos val="b"/>
        <c:scaling>
          <c:orientation val="minMax"/>
        </c:scaling>
        <c:spPr>
          <a:noFill/>
          <a:ln w="9525" cmpd="sng" cap="flat">
            <a:solidFill>
              <a:schemeClr val="tx1">
                <a:lumMod val="15000"/>
                <a:lumOff val="85000"/>
              </a:schemeClr>
            </a:solidFill>
            <a:round/>
          </a:ln>
        </c:spPr>
        <c:numFmt formatCode="[$-409]mmm\-yy;@" sourceLinked="0"/>
        <c:txPr>
          <a:bodyPr rot="-2700000" vert="horz"/>
          <a:p>
            <a:pPr>
              <a:defRPr sz="1000" b="0" i="0" strike="noStrike" u="none">
                <a:solidFill>
                  <a:srgbClr val="000000"/>
                </a:solidFill>
                <a:latin typeface="Calibri"/>
              </a:defRPr>
            </a:pPr>
            <a:endParaRPr/>
          </a:p>
        </c:txPr>
        <c:auto val="1"/>
        <c:tickMarkSkip val="1"/>
        <c:noMultiLvlLbl val="1"/>
        <c:crosses val="autoZero"/>
        <c:crossAx val="51030500"/>
        <c:lblOffset val="0"/>
      </c:catAx>
      <c:valAx axisType="3">
        <c:axId val="51030500"/>
        <c:delete val="0"/>
        <c:majorTickMark val="out"/>
        <c:minorTickMark val="none"/>
        <c:tickLblPos val="nextTo"/>
        <c:axPos val="l"/>
        <c:scaling>
          <c:orientation val="minMax"/>
        </c:scaling>
        <c:spPr>
          <a:noFill/>
          <a:ln w="9525" cmpd="sng" cap="flat">
            <a:solidFill>
              <a:schemeClr val="tx1">
                <a:lumMod val="15000"/>
                <a:lumOff val="85000"/>
              </a:schemeClr>
            </a:solidFill>
            <a:round/>
          </a:ln>
        </c:spPr>
        <c:numFmt formatCode="&quot;$&quot;#,##0_);\(&quot;$&quot;#,##0\)"/>
        <c:txPr>
          <a:bodyPr vert="horz"/>
          <a:p>
            <a:pPr>
              <a:defRPr sz="1000" b="0" i="0" strike="noStrike" u="none">
                <a:solidFill>
                  <a:srgbClr val="000000"/>
                </a:solidFill>
                <a:latin typeface="Calibri"/>
              </a:defRPr>
            </a:pPr>
            <a:endParaRPr/>
          </a:p>
        </c:txPr>
        <c:majorGridlines>
          <c:spPr>
            <a:ln w="9525" cmpd="sng" cap="flat">
              <a:solidFill>
                <a:srgbClr val="868686"/>
              </a:solidFill>
              <a:round/>
            </a:ln>
          </c:spPr>
        </c:majorGridlines>
        <c:crosses val="autoZero"/>
        <c:crossBetween val="between"/>
        <c:crossAx val="85849419"/>
      </c:valAx>
      <c:spPr>
        <a:noFill/>
        <a:ln>
          <a:noFill/>
        </a:ln>
      </c:spPr>
    </c:plotArea>
    <c:plotVisOnly val="1"/>
    <c:dispBlanksAs val="gap"/>
    <c:showDLblsOverMax val="0"/>
    <c:extLst>
      <c:ext xmlns:c16r3="http://schemas.microsoft.com/office/drawing/2017/03/chart" uri="{56B9EC1D-385E-4148-901F-78D8002777C0}">
        <c16r3:dataDisplayOptions16>
          <c16r3:dispNaAsBlank val="0"/>
        </c16r3:dataDisplayOptions16>
      </c:ext>
    </c:extLst>
  </c:chart>
  <c:txPr>
    <a:bodyPr/>
    <a:p>
      <a:pPr>
        <a:defRPr sz="1000" b="0" i="0" strike="noStrike" u="none">
          <a:solidFill>
            <a:srgbClr val="000000"/>
          </a:solidFill>
          <a:latin typeface="Calibri"/>
        </a:defRPr>
      </a:pPr>
      <a:endParaRPr/>
    </a:p>
  </c:txPr>
</c:chartSpace>
</file>

<file path=xl/charts/chart5.xml><?xml version="1.0" encoding="utf-8"?>
<c:chartSpace xmlns:a="http://schemas.openxmlformats.org/drawingml/2006/main" xmlns:r="http://schemas.openxmlformats.org/officeDocument/2006/relationships" xmlns:c="http://schemas.openxmlformats.org/drawingml/2006/chart" xmlns:c16r2="http://schemas.microsoft.com/office/drawing/2015/06/chart">
  <c:roundedCorners val="0"/>
  <c:chart>
    <c:title>
      <c:txPr>
        <a:bodyPr/>
        <a:p>
          <a:pPr>
            <a:defRPr sz="1400" b="0" i="0" strike="noStrike" u="none">
              <a:solidFill>
                <a:srgbClr val="000000"/>
              </a:solidFill>
              <a:latin typeface="Calibri"/>
            </a:defRPr>
          </a:pPr>
          <a:r>
            <a:rPr sz="1400" b="0" i="0" strike="noStrike" u="none">
              <a:solidFill>
                <a:srgbClr val="000000"/>
              </a:solidFill>
              <a:latin typeface="Calibri"/>
            </a:rPr>
            <a:t/>
          </a:r>
          <a:endParaRPr/>
        </a:p>
      </c:txPr>
      <c:overlay val="0"/>
    </c:title>
    <c:autoTitleDeleted val="0"/>
    <c:plotArea>
      <c:barChart chartType="6">
        <c:ser seriesType="0">
          <c:idx val="0"/>
          <c:order val="0"/>
          <c:tx>
            <c:v>Monthly NRI</c:v>
          </c:tx>
          <c:spPr/>
          <c:cat>
            <c:strRef>
              <c:f>'NRI Analysis'!$A$58:$A$69</c:f>
            </c:strRef>
          </c:cat>
          <c:val>
            <c:numRef>
              <c:f>'NRI Analysis'!$M$58:$M$69</c:f>
              <c:numCache>
                <c:formatCode>"$"#,##0_);\("$"#,##0\)</c:formatCode>
              </c:numCache>
            </c:numRef>
          </c:val>
          <c:dLbls>
            <c:spPr>
              <a:noFill/>
              <a:ln>
                <a:noFill/>
              </a:ln>
            </c:spPr>
            <c:dLblPos val="outEnd"/>
            <c:showLeaderLines val="0"/>
            <c:showBubbleSize val="0"/>
            <c:showLegendKey val="0"/>
            <c:showPercent val="0"/>
            <c:showCatName val="0"/>
            <c:showSerName val="0"/>
            <c:showVal val="0"/>
          </c:dLbls>
          <c:extLst/>
          <c:invertIfNegative val="0"/>
          <c:dPt>
            <c:idx val="12"/>
            <c:bubble3D val="0"/>
            <c:invertIfNegative val="0"/>
            <c:spPr>
              <a:solidFill>
                <a:schemeClr val="accent2"/>
              </a:solidFill>
            </c:spPr>
          </c:dPt>
          <c:dPt>
            <c:idx val="13"/>
            <c:bubble3D val="0"/>
            <c:invertIfNegative val="0"/>
            <c:spPr>
              <a:solidFill>
                <a:srgbClr val="00b050"/>
              </a:solidFill>
            </c:spPr>
          </c:dPt>
        </c:ser>
        <c:axId val="18422025"/>
        <c:axId val="97488289"/>
        <c:barDir val="col"/>
        <c:grouping val="clustered"/>
        <c:gapWidth val="150"/>
        <c:varyColors val="0"/>
        <c:overlap val="0"/>
      </c:barChart>
      <c:catAx axisType="0">
        <c:axId val="18422025"/>
        <c:delete val="0"/>
        <c:majorTickMark val="out"/>
        <c:minorTickMark val="none"/>
        <c:tickLblPos val="nextTo"/>
        <c:axPos val="b"/>
        <c:scaling>
          <c:orientation val="minMax"/>
        </c:scaling>
        <c:spPr>
          <a:noFill/>
          <a:ln w="9525" cmpd="sng" cap="flat">
            <a:solidFill>
              <a:schemeClr val="tx1">
                <a:lumMod val="15000"/>
                <a:lumOff val="85000"/>
              </a:schemeClr>
            </a:solidFill>
            <a:round/>
          </a:ln>
        </c:spPr>
        <c:numFmt formatCode="[$-409]mmm\-yy;@" sourceLinked="0"/>
        <c:txPr>
          <a:bodyPr rot="-2700000" vert="horz"/>
          <a:p>
            <a:pPr>
              <a:defRPr sz="1000" b="0" i="0" strike="noStrike" u="none">
                <a:solidFill>
                  <a:srgbClr val="000000"/>
                </a:solidFill>
                <a:latin typeface="Calibri"/>
              </a:defRPr>
            </a:pPr>
            <a:endParaRPr/>
          </a:p>
        </c:txPr>
        <c:auto val="1"/>
        <c:tickMarkSkip val="1"/>
        <c:noMultiLvlLbl val="1"/>
        <c:crosses val="autoZero"/>
        <c:crossAx val="97488289"/>
        <c:lblOffset val="0"/>
      </c:catAx>
      <c:valAx axisType="3">
        <c:axId val="97488289"/>
        <c:delete val="0"/>
        <c:majorTickMark val="out"/>
        <c:minorTickMark val="none"/>
        <c:tickLblPos val="nextTo"/>
        <c:axPos val="l"/>
        <c:scaling>
          <c:orientation val="minMax"/>
        </c:scaling>
        <c:spPr>
          <a:noFill/>
          <a:ln w="9525" cmpd="sng" cap="flat">
            <a:solidFill>
              <a:schemeClr val="tx1">
                <a:lumMod val="15000"/>
                <a:lumOff val="85000"/>
              </a:schemeClr>
            </a:solidFill>
            <a:round/>
          </a:ln>
        </c:spPr>
        <c:numFmt formatCode="&quot;$&quot;#,##0_);\(&quot;$&quot;#,##0\)"/>
        <c:txPr>
          <a:bodyPr vert="horz"/>
          <a:p>
            <a:pPr>
              <a:defRPr sz="1000" b="0" i="0" strike="noStrike" u="none">
                <a:solidFill>
                  <a:srgbClr val="000000"/>
                </a:solidFill>
                <a:latin typeface="Calibri"/>
              </a:defRPr>
            </a:pPr>
            <a:endParaRPr/>
          </a:p>
        </c:txPr>
        <c:majorGridlines>
          <c:spPr>
            <a:ln w="9525" cmpd="sng" cap="flat">
              <a:solidFill>
                <a:srgbClr val="868686"/>
              </a:solidFill>
              <a:round/>
            </a:ln>
          </c:spPr>
        </c:majorGridlines>
        <c:crosses val="autoZero"/>
        <c:crossBetween val="between"/>
        <c:crossAx val="18422025"/>
      </c:valAx>
      <c:spPr>
        <a:noFill/>
        <a:ln>
          <a:noFill/>
        </a:ln>
      </c:spPr>
    </c:plotArea>
    <c:plotVisOnly val="1"/>
    <c:dispBlanksAs val="gap"/>
    <c:showDLblsOverMax val="0"/>
    <c:extLst>
      <c:ext xmlns:c16r3="http://schemas.microsoft.com/office/drawing/2017/03/chart" uri="{56B9EC1D-385E-4148-901F-78D8002777C0}">
        <c16r3:dataDisplayOptions16>
          <c16r3:dispNaAsBlank val="0"/>
        </c16r3:dataDisplayOptions16>
      </c:ext>
    </c:extLst>
  </c:chart>
  <c:txPr>
    <a:bodyPr/>
    <a:p>
      <a:pPr>
        <a:defRPr sz="1000" b="0" i="0" strike="noStrike" u="none">
          <a:solidFill>
            <a:srgbClr val="000000"/>
          </a:solidFill>
          <a:latin typeface="Calibri"/>
        </a:defRPr>
      </a:pPr>
      <a:endParaRPr/>
    </a:p>
  </c:txPr>
</c:chartSpace>
</file>

<file path=xl/ctrlProps/ctrlProp1.xml><?xml version="1.0" encoding="utf-8"?>
<formControlPr xmlns="http://schemas.microsoft.com/office/spreadsheetml/2009/9/main" objectType="Button"/>
</file>

<file path=xl/ctrlProps/ctrlProp2.xml><?xml version="1.0" encoding="utf-8"?>
<formControlPr xmlns="http://schemas.microsoft.com/office/spreadsheetml/2009/9/main" objectType="Button"/>
</file>

<file path=xl/ctrlProps/ctrlProp3.xml><?xml version="1.0" encoding="utf-8"?>
<formControlPr xmlns="http://schemas.microsoft.com/office/spreadsheetml/2009/9/main" objectType="Button"/>
</file>

<file path=xl/ctrlProps/ctrlProp4.xml><?xml version="1.0" encoding="utf-8"?>
<formControlPr xmlns="http://schemas.microsoft.com/office/spreadsheetml/2009/9/main" objectType="Button"/>
</file>

<file path=xl/ctrlProps/ctrlProp5.xml><?xml version="1.0" encoding="utf-8"?>
<formControlPr xmlns="http://schemas.microsoft.com/office/spreadsheetml/2009/9/main" objectType="Button"/>
</file>

<file path=xl/ctrlProps/ctrlProp6.xml><?xml version="1.0" encoding="utf-8"?>
<formControlPr xmlns="http://schemas.microsoft.com/office/spreadsheetml/2009/9/main" objectType="Button"/>
</file>

<file path=xl/ctrlProps/ctrlProp7.xml><?xml version="1.0" encoding="utf-8"?>
<formControlPr xmlns="http://schemas.microsoft.com/office/spreadsheetml/2009/9/main" objectType="Button"/>
</file>

<file path=xl/ctrlProps/ctrlProp8.xml><?xml version="1.0" encoding="utf-8"?>
<formControlPr xmlns="http://schemas.microsoft.com/office/spreadsheetml/2009/9/main" objectType="Button"/>
</file>

<file path=xl/ctrlProps/ctrlProp9.xml><?xml version="1.0" encoding="utf-8"?>
<formControlPr xmlns="http://schemas.microsoft.com/office/spreadsheetml/2009/9/main" objectType="Button"/>
</file>

<file path=xl/ctrlProps/ctrlProp10.xml><?xml version="1.0" encoding="utf-8"?>
<formControlPr xmlns="http://schemas.microsoft.com/office/spreadsheetml/2009/9/main" objectType="Button"/>
</file>

<file path=xl/ctrlProps/ctrlProp11.xml><?xml version="1.0" encoding="utf-8"?>
<formControlPr xmlns="http://schemas.microsoft.com/office/spreadsheetml/2009/9/main" lockText="1" noThreeD="1" fmlaLink="'Rent Roll'!$E$3" objectType="CheckBox"/>
</file>

<file path=xl/ctrlProps/ctrlProp12.xml><?xml version="1.0" encoding="utf-8"?>
<formControlPr xmlns="http://schemas.microsoft.com/office/spreadsheetml/2009/9/main" objectType="Button"/>
</file>

<file path=xl/ctrlProps/ctrlProp13.xml><?xml version="1.0" encoding="utf-8"?>
<formControlPr xmlns="http://schemas.microsoft.com/office/spreadsheetml/2009/9/main" objectType="Button"/>
</file>

<file path=xl/ctrlProps/ctrlProp14.xml><?xml version="1.0" encoding="utf-8"?>
<formControlPr xmlns="http://schemas.microsoft.com/office/spreadsheetml/2009/9/main" objectType="Button"/>
</file>

<file path=xl/ctrlProps/ctrlProp15.xml><?xml version="1.0" encoding="utf-8"?>
<formControlPr xmlns="http://schemas.microsoft.com/office/spreadsheetml/2009/9/main" objectType="Button"/>
</file>

<file path=xl/ctrlProps/ctrlProp16.xml><?xml version="1.0" encoding="utf-8"?>
<formControlPr xmlns="http://schemas.microsoft.com/office/spreadsheetml/2009/9/main" objectType="Button"/>
</file>

<file path=xl/ctrlProps/ctrlProp17.xml><?xml version="1.0" encoding="utf-8"?>
<formControlPr xmlns="http://schemas.microsoft.com/office/spreadsheetml/2009/9/main" objectType="Button"/>
</file>

<file path=xl/ctrlProps/ctrlProp18.xml><?xml version="1.0" encoding="utf-8"?>
<formControlPr xmlns="http://schemas.microsoft.com/office/spreadsheetml/2009/9/main" objectType="Button"/>
</file>

<file path=xl/ctrlProps/ctrlProp19.xml><?xml version="1.0" encoding="utf-8"?>
<formControlPr xmlns="http://schemas.microsoft.com/office/spreadsheetml/2009/9/main" objectType="Button"/>
</file>

<file path=xl/ctrlProps/ctrlProp20.xml><?xml version="1.0" encoding="utf-8"?>
<formControlPr xmlns="http://schemas.microsoft.com/office/spreadsheetml/2009/9/main" objectType="Button"/>
</file>

<file path=xl/ctrlProps/ctrlProp21.xml><?xml version="1.0" encoding="utf-8"?>
<formControlPr xmlns="http://schemas.microsoft.com/office/spreadsheetml/2009/9/main" objectType="Button"/>
</file>

<file path=xl/ctrlProps/ctrlProp22.xml><?xml version="1.0" encoding="utf-8"?>
<formControlPr xmlns="http://schemas.microsoft.com/office/spreadsheetml/2009/9/main" objectType="Button"/>
</file>

<file path=xl/ctrlProps/ctrlProp23.xml><?xml version="1.0" encoding="utf-8"?>
<formControlPr xmlns="http://schemas.microsoft.com/office/spreadsheetml/2009/9/main" objectType="Button"/>
</file>

<file path=xl/ctrlProps/ctrlProp24.xml><?xml version="1.0" encoding="utf-8"?>
<formControlPr xmlns="http://schemas.microsoft.com/office/spreadsheetml/2009/9/main" objectType="Button"/>
</file>

<file path=xl/ctrlProps/ctrlProp25.xml><?xml version="1.0" encoding="utf-8"?>
<formControlPr xmlns="http://schemas.microsoft.com/office/spreadsheetml/2009/9/main" objectType="Button"/>
</file>

<file path=xl/ctrlProps/ctrlProp26.xml><?xml version="1.0" encoding="utf-8"?>
<formControlPr xmlns="http://schemas.microsoft.com/office/spreadsheetml/2009/9/main" objectType="Button"/>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
</file>

<file path=xl/drawings/_rels/drawing5.xml.rels><?xml version="1.0" encoding="UTF-8" standalone="yes"?>
<Relationships xmlns="http://schemas.openxmlformats.org/package/2006/relationships"/>
</file>

<file path=xl/drawings/_rels/drawing6.xml.rels><?xml version="1.0" encoding="UTF-8" standalone="yes"?>
<Relationships xmlns="http://schemas.openxmlformats.org/package/2006/relationships"/>
</file>

<file path=xl/drawings/_rels/drawing7.xml.rels><?xml version="1.0" encoding="UTF-8" standalone="yes"?>
<Relationships xmlns="http://schemas.openxmlformats.org/package/2006/relationships"/>
</file>

<file path=xl/drawings/_rels/drawing8.xml.rels><?xml version="1.0" encoding="UTF-8" standalone="yes"?>
<Relationships xmlns="http://schemas.openxmlformats.org/package/2006/relationships"/>
</file>

<file path=xl/drawings/_rels/drawing9.xml.rels><?xml version="1.0" encoding="UTF-8" standalone="yes"?>
<Relationships xmlns="http://schemas.openxmlformats.org/package/2006/relationships"/>
</file>

<file path=xl/drawings/_rels/drawing10.xml.rels><?xml version="1.0" encoding="UTF-8" standalone="yes"?>
<Relationships xmlns="http://schemas.openxmlformats.org/package/2006/relationships"><Relationship Id="rId1" Type="http://schemas.openxmlformats.org/officeDocument/2006/relationships/image" Target="../media/image4.jpeg"/><Relationship Id="rId2" Type="http://schemas.openxmlformats.org/officeDocument/2006/relationships/image" Target="../media/image4.jpeg"/><Relationship Id="rId3" Type="http://schemas.openxmlformats.org/officeDocument/2006/relationships/image" Target="../media/image4.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
</file>

<file path=xl/drawings/_rels/drawing14.xml.rels><?xml version="1.0" encoding="UTF-8" standalone="yes"?>
<Relationships xmlns="http://schemas.openxmlformats.org/package/2006/relationships"/>
</file>

<file path=xl/drawings/_rels/drawing15.xml.rels><?xml version="1.0" encoding="UTF-8" standalone="yes"?>
<Relationships xmlns="http://schemas.openxmlformats.org/package/2006/relationships"/>
</file>

<file path=xl/drawings/_rels/drawing1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17.xml.rels><?xml version="1.0" encoding="UTF-8" standalone="yes"?>
<Relationships xmlns="http://schemas.openxmlformats.org/package/2006/relationships"/>
</file>

<file path=xl/drawings/_rels/drawing18.xml.rels><?xml version="1.0" encoding="UTF-8" standalone="yes"?>
<Relationships xmlns="http://schemas.openxmlformats.org/package/2006/relationships"><Relationship Id="rId1" Type="http://schemas.openxmlformats.org/officeDocument/2006/relationships/hyperlink" Target="http://www.dogpile.com/" TargetMode="External"/><Relationship Id="rId2" Type="http://schemas.openxmlformats.org/officeDocument/2006/relationships/hyperlink" Target="http://www.dogpile.com/" TargetMode="External"/></Relationships>
</file>

<file path=xl/drawings/_rels/drawing19.xml.rels><?xml version="1.0" encoding="UTF-8" standalone="yes"?>
<Relationships xmlns="http://schemas.openxmlformats.org/package/2006/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
</file>

<file path=xl/drawings/_rels/drawing22.xml.rels><?xml version="1.0" encoding="UTF-8" standalone="yes"?>
<Relationships xmlns="http://schemas.openxmlformats.org/package/2006/relationships"/>
</file>

<file path=xl/drawings/_rels/drawing23.xml.rels><?xml version="1.0" encoding="UTF-8" standalone="yes"?>
<Relationships xmlns="http://schemas.openxmlformats.org/package/2006/relationships"/>
</file>

<file path=xl/drawings/_rels/drawing24.xml.rels><?xml version="1.0" encoding="UTF-8" standalone="yes"?>
<Relationships xmlns="http://schemas.openxmlformats.org/package/2006/relationships"/>
</file>

<file path=xl/drawings/_rels/vmlDrawing9.vml.rels><?xml version="1.0" encoding="UTF-8" standalone="yes"?>
<Relationships xmlns="http://schemas.openxmlformats.org/package/2006/relationships"><Relationship Id="rId1" Type="http://schemas.openxmlformats.org/officeDocument/2006/relationships/image" Target="../media/image0.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0.jpeg"/></Relationships>
</file>

<file path=xl/drawings/drawing1.xml><?xml version="1.0" encoding="utf-8"?>
<xdr:wsDr xmlns:xdr="http://schemas.openxmlformats.org/drawingml/2006/spreadsheetDrawing" xmlns:a="http://schemas.openxmlformats.org/drawingml/2006/main">
  <xdr:twoCellAnchor editAs="oneCell">
    <xdr:from>
      <xdr:col>3</xdr:col>
      <xdr:colOff>247936</xdr:colOff>
      <xdr:row>1</xdr:row>
      <xdr:rowOff>67723</xdr:rowOff>
    </xdr:from>
    <xdr:to>
      <xdr:col>12</xdr:col>
      <xdr:colOff>321755</xdr:colOff>
      <xdr:row>3</xdr:row>
      <xdr:rowOff>24860</xdr:rowOff>
    </xdr:to>
    <xdr:pic>
      <xdr:nvPicPr>
        <xdr:cNvPr id="3" name="WD Logo"/>
        <xdr:cNvPicPr>
          <a:picLocks noChangeAspect="1"/>
        </xdr:cNvPicPr>
      </xdr:nvPicPr>
      <xdr:blipFill>
        <a:blip xmlns:r="http://schemas.openxmlformats.org/officeDocument/2006/relationships" r:embed="rId1"/>
        <a:srcRect l="0" r="0" t="0" b="0"/>
        <a:stretch/>
      </xdr:blipFill>
      <xdr:spPr>
        <a:xfrm>
          <a:off x="247936" y="182023"/>
          <a:ext cx="6398419" cy="338138"/>
        </a:xfrm>
        <a:prstGeom prst="rect">
          <a:avLst/>
        </a:prstGeom>
        <a:noFill/>
        <a:ln cmpd="sng">
          <a:noFill/>
        </a:ln>
      </xdr:spPr>
    </xdr:pic>
    <xdr:clientData/>
  </xdr:twoCellAnchor>
  <xdr:twoCellAnchor editAs="oneCell">
    <xdr:from>
      <xdr:col>4</xdr:col>
      <xdr:colOff>276225</xdr:colOff>
      <xdr:row>5</xdr:row>
      <xdr:rowOff>171450</xdr:rowOff>
    </xdr:from>
    <xdr:to>
      <xdr:col>6</xdr:col>
      <xdr:colOff>790575</xdr:colOff>
      <xdr:row>7</xdr:row>
      <xdr:rowOff>133350</xdr:rowOff>
    </xdr:to>
    <xdr:sp>
      <xdr:nvSpPr>
        <xdr:cNvPr id="5" name="button_ProducerView"/>
        <xdr:cNvSpPr>
          <a:spLocks noChangeAspect="0"/>
        </xdr:cNvSpPr>
      </xdr:nvSpPr>
      <xdr:spPr>
        <a:xfrm>
          <a:off x="1323975" y="1152525"/>
          <a:ext cx="1362075" cy="342900"/>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Producer</a:t>
          </a:r>
          <a:r>
            <a:rPr sz="1200" b="0">
              <a:latin typeface="+mn-lt"/>
            </a:rPr>
            <a:t> View</a:t>
          </a:r>
          <a:endParaRPr/>
        </a:p>
      </xdr:txBody>
    </xdr:sp>
    <xdr:clientData fPrintsWithSheet="0"/>
  </xdr:twoCellAnchor>
  <xdr:twoCellAnchor editAs="oneCell">
    <xdr:from>
      <xdr:col>9</xdr:col>
      <xdr:colOff>342900</xdr:colOff>
      <xdr:row>5</xdr:row>
      <xdr:rowOff>171450</xdr:rowOff>
    </xdr:from>
    <xdr:to>
      <xdr:col>11</xdr:col>
      <xdr:colOff>476250</xdr:colOff>
      <xdr:row>7</xdr:row>
      <xdr:rowOff>133350</xdr:rowOff>
    </xdr:to>
    <xdr:sp>
      <xdr:nvSpPr>
        <xdr:cNvPr id="6" name="button_UnderwriterView"/>
        <xdr:cNvSpPr>
          <a:spLocks noChangeAspect="0"/>
        </xdr:cNvSpPr>
      </xdr:nvSpPr>
      <xdr:spPr>
        <a:xfrm>
          <a:off x="4838700" y="1152525"/>
          <a:ext cx="1352550" cy="342900"/>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Underwriter</a:t>
          </a:r>
          <a:r>
            <a:rPr sz="1200" b="0">
              <a:latin typeface="+mn-lt"/>
            </a:rPr>
            <a:t> View</a:t>
          </a:r>
          <a:endParaRPr/>
        </a:p>
      </xdr:txBody>
    </xdr:sp>
    <xdr:clientData fPrintsWithSheet="0"/>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520732</xdr:colOff>
          <xdr:row>0</xdr:row>
          <xdr:rowOff>50768</xdr:rowOff>
        </xdr:from>
        <xdr:to>
          <xdr:col>11</xdr:col>
          <xdr:colOff>12668</xdr:colOff>
          <xdr:row>1</xdr:row>
          <xdr:rowOff>139732</xdr:rowOff>
        </xdr:to>
        <xdr:sp>
          <xdr:nvSpPr>
            <xdr:cNvPr id="517666" name="button_ExportCD_UploadTemplate" hidden="1">
              <a:extLst>
                <a:ext uri="{63B3BB69-23CF-44E3-9099-C40C66FF867C}">
                  <a14:compatExt spid="_x0000_s4108"/>
                </a:ext>
              </a:extLst>
            </xdr:cNvPr>
            <xdr:cNvSpPr>
              <a:spLocks noChangeAspect="0"/>
            </xdr:cNvSpPr>
          </xdr:nvSpPr>
          <xdr:spPr>
            <a:xfrm>
              <a:off x="7159657" y="50768"/>
              <a:ext cx="1835087" cy="31756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Export C&amp;D Upload Template</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7</xdr:col>
          <xdr:colOff>1028700</xdr:colOff>
          <xdr:row>0</xdr:row>
          <xdr:rowOff>50768</xdr:rowOff>
        </xdr:from>
        <xdr:to>
          <xdr:col>9</xdr:col>
          <xdr:colOff>266700</xdr:colOff>
          <xdr:row>1</xdr:row>
          <xdr:rowOff>139732</xdr:rowOff>
        </xdr:to>
        <xdr:sp>
          <xdr:nvSpPr>
            <xdr:cNvPr id="517667" name="button_ExportForm4662" hidden="1">
              <a:extLst>
                <a:ext uri="{63B3BB69-23CF-44E3-9099-C40C66FF867C}">
                  <a14:compatExt spid="_x0000_s4109"/>
                </a:ext>
              </a:extLst>
            </xdr:cNvPr>
            <xdr:cNvSpPr>
              <a:spLocks noChangeAspect="0"/>
            </xdr:cNvSpPr>
          </xdr:nvSpPr>
          <xdr:spPr>
            <a:xfrm>
              <a:off x="5524500" y="50768"/>
              <a:ext cx="1381125" cy="31756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Export Form 4662</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11</xdr:col>
          <xdr:colOff>76200</xdr:colOff>
          <xdr:row>0</xdr:row>
          <xdr:rowOff>50768</xdr:rowOff>
        </xdr:from>
        <xdr:to>
          <xdr:col>12</xdr:col>
          <xdr:colOff>596932</xdr:colOff>
          <xdr:row>1</xdr:row>
          <xdr:rowOff>139732</xdr:rowOff>
        </xdr:to>
        <xdr:sp>
          <xdr:nvSpPr>
            <xdr:cNvPr id="517670" name="button_ImportData" hidden="1">
              <a:extLst>
                <a:ext uri="{63B3BB69-23CF-44E3-9099-C40C66FF867C}">
                  <a14:compatExt spid="_x0000_s4110"/>
                </a:ext>
              </a:extLst>
            </xdr:cNvPr>
            <xdr:cNvSpPr>
              <a:spLocks noChangeAspect="0"/>
            </xdr:cNvSpPr>
          </xdr:nvSpPr>
          <xdr:spPr>
            <a:xfrm>
              <a:off x="9058275" y="50768"/>
              <a:ext cx="1292257" cy="31756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Import Data</a:t>
              </a:r>
              <a:endParaRPr/>
            </a:p>
          </xdr:txBody>
        </xdr:sp>
        <xdr:clientData fPrintsWithSheet="0"/>
      </xdr:twoCellAnchor>
    </mc:Choice>
  </mc:AlternateContent>
  <xdr:twoCellAnchor editAs="oneCell">
    <xdr:from>
      <xdr:col>36</xdr:col>
      <xdr:colOff>0</xdr:colOff>
      <xdr:row>42</xdr:row>
      <xdr:rowOff>101632</xdr:rowOff>
    </xdr:from>
    <xdr:to>
      <xdr:col>37</xdr:col>
      <xdr:colOff>0</xdr:colOff>
      <xdr:row>44</xdr:row>
      <xdr:rowOff>88868</xdr:rowOff>
    </xdr:to>
    <xdr:sp>
      <xdr:nvSpPr>
        <xdr:cNvPr id="517674" name="button_EmailAsNonGSELoan" hidden="1"/>
        <xdr:cNvSpPr>
          <a:spLocks noChangeAspect="0"/>
        </xdr:cNvSpPr>
      </xdr:nvSpPr>
      <xdr:spPr>
        <a:xfrm>
          <a:off x="23602950" y="6302407"/>
          <a:ext cx="2809875" cy="272987"/>
        </a:xfrm>
        <a:prstGeom prst="rect">
          <a:avLst/>
        </a:prstGeom>
        <a:noFill/>
        <a:ln cmpd="sng">
          <a:noFill/>
        </a:ln>
      </xdr:spPr>
      <xdr:style>
        <a:lnRef idx="2">
          <a:schemeClr val="accent1"/>
        </a:lnRef>
        <a:fillRef idx="1">
          <a:schemeClr val="accent1"/>
        </a:fillRef>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clientData/>
  </xdr:twoCellAnchor>
  <xdr:twoCellAnchor editAs="oneCell">
    <xdr:from>
      <xdr:col>36</xdr:col>
      <xdr:colOff>0</xdr:colOff>
      <xdr:row>42</xdr:row>
      <xdr:rowOff>101632</xdr:rowOff>
    </xdr:from>
    <xdr:to>
      <xdr:col>37</xdr:col>
      <xdr:colOff>0</xdr:colOff>
      <xdr:row>44</xdr:row>
      <xdr:rowOff>88868</xdr:rowOff>
    </xdr:to>
    <xdr:pic>
      <xdr:nvPicPr>
        <xdr:cNvPr id="2" name="button_EmailAsNonGSELoan_1"/>
        <xdr:cNvPicPr>
          <a:picLocks noChangeAspect="0"/>
        </xdr:cNvPicPr>
      </xdr:nvPicPr>
      <xdr:blipFill>
        <a:blip xmlns:r="http://schemas.openxmlformats.org/officeDocument/2006/relationships" r:embed="rId1"/>
        <a:srcRect l="0" r="0" t="0" b="0"/>
        <a:stretch/>
      </xdr:blipFill>
      <xdr:spPr>
        <a:xfrm>
          <a:off x="23602950" y="6302407"/>
          <a:ext cx="2809875" cy="272987"/>
        </a:xfrm>
        <a:prstGeom prst="rect">
          <a:avLst/>
        </a:prstGeom>
        <a:noFill/>
        <a:ln cmpd="sng">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64</xdr:col>
      <xdr:colOff>211646</xdr:colOff>
      <xdr:row>48</xdr:row>
      <xdr:rowOff>169355</xdr:rowOff>
    </xdr:from>
    <xdr:to>
      <xdr:col>68</xdr:col>
      <xdr:colOff>304800</xdr:colOff>
      <xdr:row>50</xdr:row>
      <xdr:rowOff>112109</xdr:rowOff>
    </xdr:to>
    <xdr:sp>
      <xdr:nvSpPr>
        <xdr:cNvPr id="2" name="AutoShape 5"/>
        <xdr:cNvSpPr>
          <a:spLocks noChangeAspect="1"/>
        </xdr:cNvSpPr>
      </xdr:nvSpPr>
      <xdr:spPr>
        <a:xfrm>
          <a:off x="19454813" y="9325261"/>
          <a:ext cx="304800" cy="323755"/>
        </a:xfrm>
        <a:prstGeom prst="rect">
          <a:avLst/>
        </a:prstGeom>
        <a:noFill/>
        <a:ln w="9525" cmpd="sng">
          <a:noFill/>
        </a:ln>
      </xdr:spPr>
      <xdr:style>
        <a:lnRef idx="2">
          <a:schemeClr val="accent1"/>
        </a:lnRef>
        <a:fillRef idx="1">
          <a:schemeClr val="accent1"/>
        </a:fillRef>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clientData/>
  </xdr:twoCellAnchor>
  <xdr:twoCellAnchor editAs="oneCell">
    <xdr:from>
      <xdr:col>2</xdr:col>
      <xdr:colOff>175832</xdr:colOff>
      <xdr:row>1</xdr:row>
      <xdr:rowOff>32957</xdr:rowOff>
    </xdr:from>
    <xdr:to>
      <xdr:col>3</xdr:col>
      <xdr:colOff>2317242</xdr:colOff>
      <xdr:row>1</xdr:row>
      <xdr:rowOff>164687</xdr:rowOff>
    </xdr:to>
    <xdr:pic>
      <xdr:nvPicPr>
        <xdr:cNvPr id="7" name="Picture 6"/>
        <xdr:cNvPicPr>
          <a:picLocks noChangeAspect="1"/>
        </xdr:cNvPicPr>
      </xdr:nvPicPr>
      <xdr:blipFill>
        <a:blip xmlns:r="http://schemas.openxmlformats.org/officeDocument/2006/relationships" r:embed="rId1"/>
        <a:srcRect l="0" r="0" t="0" b="0"/>
        <a:stretch/>
      </xdr:blipFill>
      <xdr:spPr>
        <a:xfrm>
          <a:off x="5581269" y="223457"/>
          <a:ext cx="2331910" cy="131731"/>
        </a:xfrm>
        <a:prstGeom prst="rect">
          <a:avLst/>
        </a:prstGeom>
        <a:noFill/>
        <a:ln cmpd="sng">
          <a:noFill/>
        </a:ln>
      </xdr:spPr>
    </xdr:pic>
    <xdr:clientData/>
  </xdr:twoCellAnchor>
  <mc:AlternateContent xmlns:mc="http://schemas.openxmlformats.org/markup-compatibility/2006">
    <mc:Choice xmlns:a14="http://schemas.microsoft.com/office/drawing/2010/main" Requires="a14">
      <xdr:twoCellAnchor>
        <xdr:from>
          <xdr:col>1</xdr:col>
          <xdr:colOff>469868</xdr:colOff>
          <xdr:row>66</xdr:row>
          <xdr:rowOff>12668</xdr:rowOff>
        </xdr:from>
        <xdr:to>
          <xdr:col>1</xdr:col>
          <xdr:colOff>2006632</xdr:colOff>
          <xdr:row>68</xdr:row>
          <xdr:rowOff>88868</xdr:rowOff>
        </xdr:to>
        <xdr:sp>
          <xdr:nvSpPr>
            <xdr:cNvPr id="1325072" name="button_ResetToDefaultValues" hidden="1">
              <a:extLst>
                <a:ext uri="{63B3BB69-23CF-44E3-9099-C40C66FF867C}">
                  <a14:compatExt spid="_x0000_s5131"/>
                </a:ext>
              </a:extLst>
            </xdr:cNvPr>
            <xdr:cNvSpPr>
              <a:spLocks noChangeAspect="0"/>
            </xdr:cNvSpPr>
          </xdr:nvSpPr>
          <xdr:spPr>
            <a:xfrm>
              <a:off x="3553587" y="12597575"/>
              <a:ext cx="1536763" cy="4572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Reset to Defaults</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1</xdr:col>
          <xdr:colOff>482632</xdr:colOff>
          <xdr:row>64</xdr:row>
          <xdr:rowOff>63532</xdr:rowOff>
        </xdr:from>
        <xdr:to>
          <xdr:col>1</xdr:col>
          <xdr:colOff>2006632</xdr:colOff>
          <xdr:row>65</xdr:row>
          <xdr:rowOff>177832</xdr:rowOff>
        </xdr:to>
        <xdr:sp>
          <xdr:nvSpPr>
            <xdr:cNvPr id="1325074" name="Button 18" hidden="1">
              <a:extLst>
                <a:ext uri="{63B3BB69-23CF-44E3-9099-C40C66FF867C}">
                  <a14:compatExt spid="_x0000_s5132"/>
                </a:ext>
              </a:extLst>
            </xdr:cNvPr>
            <xdr:cNvSpPr>
              <a:spLocks noChangeAspect="0"/>
            </xdr:cNvSpPr>
          </xdr:nvSpPr>
          <xdr:spPr>
            <a:xfrm>
              <a:off x="3566350" y="12267438"/>
              <a:ext cx="1524000" cy="3048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Display Glitch Fixer</a:t>
              </a:r>
              <a:endParaRPr/>
            </a:p>
          </xdr:txBody>
        </xdr:sp>
        <xdr:clientData fPrintsWithSheet="0"/>
      </xdr:twoCellAnchor>
    </mc:Choice>
  </mc:AlternateContent>
  <xdr:twoCellAnchor editAs="oneCell">
    <xdr:from>
      <xdr:col>0</xdr:col>
      <xdr:colOff>71438</xdr:colOff>
      <xdr:row>0</xdr:row>
      <xdr:rowOff>59531</xdr:rowOff>
    </xdr:from>
    <xdr:to>
      <xdr:col>0</xdr:col>
      <xdr:colOff>1178719</xdr:colOff>
      <xdr:row>2</xdr:row>
      <xdr:rowOff>138875</xdr:rowOff>
    </xdr:to>
    <xdr:sp>
      <xdr:nvSpPr>
        <xdr:cNvPr id="10" name="button_GetPricingByDate"/>
        <xdr:cNvSpPr>
          <a:spLocks noChangeAspect="0"/>
        </xdr:cNvSpPr>
      </xdr:nvSpPr>
      <xdr:spPr>
        <a:xfrm>
          <a:off x="71438" y="59531"/>
          <a:ext cx="1107281" cy="460343"/>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Get Pricing       by Date</a:t>
          </a:r>
          <a:endParaRPr/>
        </a:p>
      </xdr:txBody>
    </xdr:sp>
    <xdr:clientData fPrintsWithSheet="0"/>
  </xdr:twoCellAnchor>
  <xdr:twoCellAnchor editAs="oneCell">
    <xdr:from>
      <xdr:col>1</xdr:col>
      <xdr:colOff>1166813</xdr:colOff>
      <xdr:row>0</xdr:row>
      <xdr:rowOff>59531</xdr:rowOff>
    </xdr:from>
    <xdr:to>
      <xdr:col>1</xdr:col>
      <xdr:colOff>2274094</xdr:colOff>
      <xdr:row>1</xdr:row>
      <xdr:rowOff>95250</xdr:rowOff>
    </xdr:to>
    <xdr:sp>
      <xdr:nvSpPr>
        <xdr:cNvPr id="11" name="button_ImportEnodo"/>
        <xdr:cNvSpPr>
          <a:spLocks noChangeAspect="0"/>
        </xdr:cNvSpPr>
      </xdr:nvSpPr>
      <xdr:spPr>
        <a:xfrm>
          <a:off x="4250531" y="59531"/>
          <a:ext cx="1107281" cy="22621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Import</a:t>
          </a:r>
          <a:endParaRPr/>
        </a:p>
      </xdr:txBody>
    </xdr:sp>
    <xdr:clientData fPrintsWithSheet="0"/>
  </xdr:twoCellAnchor>
  <xdr:twoCellAnchor editAs="oneCell">
    <xdr:from>
      <xdr:col>1</xdr:col>
      <xdr:colOff>1178719</xdr:colOff>
      <xdr:row>1</xdr:row>
      <xdr:rowOff>154781</xdr:rowOff>
    </xdr:from>
    <xdr:to>
      <xdr:col>1</xdr:col>
      <xdr:colOff>2286000</xdr:colOff>
      <xdr:row>2</xdr:row>
      <xdr:rowOff>190500</xdr:rowOff>
    </xdr:to>
    <xdr:sp>
      <xdr:nvSpPr>
        <xdr:cNvPr id="12" name="button_PrintPDF"/>
        <xdr:cNvSpPr>
          <a:spLocks noChangeAspect="0"/>
        </xdr:cNvSpPr>
      </xdr:nvSpPr>
      <xdr:spPr>
        <a:xfrm>
          <a:off x="4262438" y="345281"/>
          <a:ext cx="1107281" cy="22621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Print</a:t>
          </a:r>
          <a:r>
            <a:rPr sz="1200" b="0">
              <a:latin typeface="+mn-lt"/>
            </a:rPr>
            <a:t> PDF</a:t>
          </a:r>
          <a:endParaRPr/>
        </a:p>
      </xdr:txBody>
    </xdr:sp>
    <xdr:clientData fPrintsWithSheet="0"/>
  </xdr:twoCellAnchor>
  <xdr:twoCellAnchor editAs="oneCell">
    <xdr:from>
      <xdr:col>3</xdr:col>
      <xdr:colOff>1333500</xdr:colOff>
      <xdr:row>28</xdr:row>
      <xdr:rowOff>178594</xdr:rowOff>
    </xdr:from>
    <xdr:to>
      <xdr:col>3</xdr:col>
      <xdr:colOff>2440781</xdr:colOff>
      <xdr:row>30</xdr:row>
      <xdr:rowOff>23813</xdr:rowOff>
    </xdr:to>
    <xdr:sp>
      <xdr:nvSpPr>
        <xdr:cNvPr id="13" name="button_Iterate"/>
        <xdr:cNvSpPr>
          <a:spLocks noChangeAspect="0"/>
        </xdr:cNvSpPr>
      </xdr:nvSpPr>
      <xdr:spPr>
        <a:xfrm>
          <a:off x="6929438" y="5512594"/>
          <a:ext cx="1107281" cy="22621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Calculate</a:t>
          </a:r>
          <a:endParaRPr/>
        </a:p>
      </xdr:txBody>
    </xdr:sp>
    <xdr:clientData fPrintsWithSheet="0"/>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863632</xdr:colOff>
          <xdr:row>1</xdr:row>
          <xdr:rowOff>0</xdr:rowOff>
        </xdr:from>
        <xdr:to>
          <xdr:col>8</xdr:col>
          <xdr:colOff>419100</xdr:colOff>
          <xdr:row>3</xdr:row>
          <xdr:rowOff>101632</xdr:rowOff>
        </xdr:to>
        <xdr:sp>
          <xdr:nvSpPr>
            <xdr:cNvPr id="1120258" name="buttton_PrintToPDF" hidden="1">
              <a:extLst>
                <a:ext uri="{63B3BB69-23CF-44E3-9099-C40C66FF867C}">
                  <a14:compatExt spid="_x0000_s8193"/>
                </a:ext>
              </a:extLst>
            </xdr:cNvPr>
            <xdr:cNvSpPr>
              <a:spLocks noChangeAspect="0"/>
            </xdr:cNvSpPr>
          </xdr:nvSpPr>
          <xdr:spPr>
            <a:xfrm>
              <a:off x="7702582" y="190500"/>
              <a:ext cx="1993868" cy="482632"/>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0" i="0" strike="noStrike" u="none">
                  <a:solidFill>
                    <a:srgbClr val="000000"/>
                  </a:solidFill>
                  <a:latin typeface="Calibri"/>
                </a:defRPr>
              </a:pPr>
              <a:r>
                <a:rPr sz="1600" b="0" i="0" strike="noStrike" u="none">
                  <a:solidFill>
                    <a:srgbClr val="000000"/>
                  </a:solidFill>
                  <a:latin typeface="Calibri"/>
                </a:rPr>
                <a:t>Print to PDF</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3</xdr:col>
          <xdr:colOff>609600</xdr:colOff>
          <xdr:row>0</xdr:row>
          <xdr:rowOff>177832</xdr:rowOff>
        </xdr:from>
        <xdr:to>
          <xdr:col>6</xdr:col>
          <xdr:colOff>330232</xdr:colOff>
          <xdr:row>3</xdr:row>
          <xdr:rowOff>101632</xdr:rowOff>
        </xdr:to>
        <xdr:sp>
          <xdr:nvSpPr>
            <xdr:cNvPr id="1120260" name="button_ExportForDUSGateway" hidden="1">
              <a:extLst>
                <a:ext uri="{63B3BB69-23CF-44E3-9099-C40C66FF867C}">
                  <a14:compatExt spid="_x0000_s8194"/>
                </a:ext>
              </a:extLst>
            </xdr:cNvPr>
            <xdr:cNvSpPr>
              <a:spLocks noChangeAspect="0"/>
            </xdr:cNvSpPr>
          </xdr:nvSpPr>
          <xdr:spPr>
            <a:xfrm>
              <a:off x="5143500" y="177832"/>
              <a:ext cx="2025682" cy="4953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0" i="0" strike="noStrike" u="none">
                  <a:solidFill>
                    <a:srgbClr val="000000"/>
                  </a:solidFill>
                  <a:latin typeface="Calibri"/>
                </a:defRPr>
              </a:pPr>
              <a:r>
                <a:rPr sz="1400" b="0" i="0" strike="noStrike" u="none">
                  <a:solidFill>
                    <a:srgbClr val="000000"/>
                  </a:solidFill>
                  <a:latin typeface="Calibri"/>
                </a:rPr>
                <a:t>DUS Gateway Export</a:t>
              </a:r>
              <a:endParaRPr/>
            </a:p>
            <a:p>
              <a:pPr algn="ctr">
                <a:defRPr sz="1000" b="0" i="0" strike="noStrike" u="none">
                  <a:solidFill>
                    <a:srgbClr val="000000"/>
                  </a:solidFill>
                  <a:latin typeface="Calibri"/>
                </a:defRPr>
              </a:pPr>
              <a:r>
                <a:rPr sz="1000" b="0" i="0" strike="noStrike" u="none">
                  <a:solidFill>
                    <a:srgbClr val="000000"/>
                  </a:solidFill>
                  <a:latin typeface="Calibri"/>
                </a:rPr>
                <a:t>(see "DUS Gateway Data" tab)</a:t>
              </a:r>
              <a:endParaRPr/>
            </a:p>
          </xdr:txBody>
        </xdr:sp>
        <xdr:clientData fPrintsWithSheet="0"/>
      </xdr:twoCellAnchor>
    </mc:Choice>
  </mc:AlternateContent>
</xdr:wsDr>
</file>

<file path=xl/drawings/drawing5.xml><?xml version="1.0" encoding="utf-8"?>
<xdr:wsDr xmlns:xdr="http://schemas.openxmlformats.org/drawingml/2006/spreadsheetDrawing" xmlns:a="http://schemas.openxmlformats.org/drawingml/2006/main">
  <xdr:twoCellAnchor editAs="oneCell">
    <xdr:from>
      <xdr:col>5</xdr:col>
      <xdr:colOff>47625</xdr:colOff>
      <xdr:row>2</xdr:row>
      <xdr:rowOff>107156</xdr:rowOff>
    </xdr:from>
    <xdr:to>
      <xdr:col>7</xdr:col>
      <xdr:colOff>52388</xdr:colOff>
      <xdr:row>4</xdr:row>
      <xdr:rowOff>130969</xdr:rowOff>
    </xdr:to>
    <xdr:sp>
      <xdr:nvSpPr>
        <xdr:cNvPr id="3" name="button_PrintExitToPDF" hidden="1"/>
        <xdr:cNvSpPr>
          <a:spLocks noChangeAspect="0"/>
        </xdr:cNvSpPr>
      </xdr:nvSpPr>
      <xdr:spPr>
        <a:xfrm>
          <a:off x="5032375" y="488156"/>
          <a:ext cx="1613429" cy="404813"/>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anchor="ctr" vert="horz" wrap="square" horzOverflow="clip" vertOverflow="clip"/>
        <a:p>
          <a:pPr algn="ctr">
            <a:defRPr sz="1400">
              <a:solidFill>
                <a:schemeClr val="bg1"/>
              </a:solidFill>
              <a:latin typeface="+mn-lt"/>
            </a:defRPr>
          </a:pPr>
          <a:r>
            <a:rPr sz="1400">
              <a:solidFill>
                <a:schemeClr val="bg1"/>
              </a:solidFill>
              <a:latin typeface="+mn-lt"/>
            </a:rPr>
            <a:t>Print Exit to PDF</a:t>
          </a:r>
          <a:endParaRPr/>
        </a:p>
      </xdr:txBody>
    </xdr:sp>
    <xdr:clientData fPrintsWithSheet="0"/>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101632</xdr:colOff>
          <xdr:row>0</xdr:row>
          <xdr:rowOff>25432</xdr:rowOff>
        </xdr:from>
        <xdr:to>
          <xdr:col>9</xdr:col>
          <xdr:colOff>1181100</xdr:colOff>
          <xdr:row>1</xdr:row>
          <xdr:rowOff>152400</xdr:rowOff>
        </xdr:to>
        <xdr:sp>
          <xdr:nvSpPr>
            <xdr:cNvPr id="995330" name="buttonExportForDUSGateway" hidden="1">
              <a:extLst>
                <a:ext uri="{63B3BB69-23CF-44E3-9099-C40C66FF867C}">
                  <a14:compatExt spid="_x0000_s10249"/>
                </a:ext>
              </a:extLst>
            </xdr:cNvPr>
            <xdr:cNvSpPr>
              <a:spLocks noChangeAspect="0"/>
            </xdr:cNvSpPr>
          </xdr:nvSpPr>
          <xdr:spPr>
            <a:xfrm>
              <a:off x="13817632" y="25432"/>
              <a:ext cx="2317718" cy="317468"/>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0" i="0" strike="noStrike" u="none">
                  <a:solidFill>
                    <a:srgbClr val="000000"/>
                  </a:solidFill>
                  <a:latin typeface="Calibri"/>
                </a:defRPr>
              </a:pPr>
              <a:r>
                <a:rPr sz="1400" b="0" i="0" strike="noStrike" u="none">
                  <a:solidFill>
                    <a:srgbClr val="000000"/>
                  </a:solidFill>
                  <a:latin typeface="Calibri"/>
                </a:rPr>
                <a:t>Export for DUS Gateway</a:t>
              </a:r>
              <a:endParaRPr/>
            </a:p>
          </xdr:txBody>
        </xdr:sp>
        <xdr:clientData fPrintsWithSheet="0"/>
      </xdr:twoCellAnchor>
    </mc:Choice>
  </mc:AlternateContent>
</xdr:wsDr>
</file>

<file path=xl/drawings/drawing7.xml><?xml version="1.0" encoding="utf-8"?>
<xdr:wsDr xmlns:xdr="http://schemas.openxmlformats.org/drawingml/2006/spreadsheetDrawing" xmlns:a="http://schemas.openxmlformats.org/drawingml/2006/main">
  <xdr:twoCellAnchor>
    <xdr:from>
      <xdr:col>2</xdr:col>
      <xdr:colOff>0</xdr:colOff>
      <xdr:row>8</xdr:row>
      <xdr:rowOff>52959</xdr:rowOff>
    </xdr:from>
    <xdr:to>
      <xdr:col>2</xdr:col>
      <xdr:colOff>1164146</xdr:colOff>
      <xdr:row>11</xdr:row>
      <xdr:rowOff>52959</xdr:rowOff>
    </xdr:to>
    <xdr:sp>
      <xdr:nvSpPr>
        <xdr:cNvPr id="2" name="button_TransferToFreddieLST"/>
        <xdr:cNvSpPr>
          <a:spLocks noChangeAspect="0"/>
        </xdr:cNvSpPr>
      </xdr:nvSpPr>
      <xdr:spPr>
        <a:xfrm>
          <a:off x="497417" y="635042"/>
          <a:ext cx="1164145" cy="571500"/>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anchor="ctr" vert="horz" wrap="square" horzOverflow="clip" vertOverflow="clip"/>
        <a:p>
          <a:pPr algn="ctr">
            <a:defRPr sz="1100">
              <a:solidFill>
                <a:schemeClr val="bg1"/>
              </a:solidFill>
              <a:latin typeface="+mn-lt"/>
            </a:defRPr>
          </a:pPr>
          <a:r>
            <a:rPr sz="1100">
              <a:solidFill>
                <a:schemeClr val="bg1"/>
              </a:solidFill>
              <a:latin typeface="+mn-lt"/>
            </a:rPr>
            <a:t>Transfer to Freddie LST</a:t>
          </a:r>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156877</xdr:colOff>
      <xdr:row>62</xdr:row>
      <xdr:rowOff>56007</xdr:rowOff>
    </xdr:from>
    <xdr:to>
      <xdr:col>0</xdr:col>
      <xdr:colOff>437007</xdr:colOff>
      <xdr:row>66</xdr:row>
      <xdr:rowOff>123254</xdr:rowOff>
    </xdr:to>
    <xdr:sp>
      <xdr:nvSpPr>
        <xdr:cNvPr id="9" name="Left Brace 8"/>
        <xdr:cNvSpPr>
          <a:spLocks noChangeAspect="0"/>
        </xdr:cNvSpPr>
      </xdr:nvSpPr>
      <xdr:spPr>
        <a:xfrm>
          <a:off x="156877" y="11390757"/>
          <a:ext cx="280130" cy="82924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wrap="square" horzOverflow="clip" vertOverflow="clip"/>
        <a:p>
          <a:pPr algn="ctr">
            <a:defRPr sz="1100">
              <a:solidFill>
                <a:schemeClr val="tx1"/>
              </a:solidFill>
              <a:latin typeface="+mn-lt"/>
            </a:defRPr>
          </a:pPr>
          <a:r>
            <a:rPr sz="1100">
              <a:solidFill>
                <a:schemeClr val="tx1"/>
              </a:solidFill>
              <a:latin typeface="+mn-lt"/>
            </a:rPr>
            <a:t>Admin</a:t>
          </a:r>
          <a:endParaRPr/>
        </a:p>
      </xdr:txBody>
    </xdr:sp>
    <xdr:clientData/>
  </xdr:twoCellAnchor>
  <xdr:twoCellAnchor>
    <xdr:from>
      <xdr:col>0</xdr:col>
      <xdr:colOff>156877</xdr:colOff>
      <xdr:row>51</xdr:row>
      <xdr:rowOff>56007</xdr:rowOff>
    </xdr:from>
    <xdr:to>
      <xdr:col>0</xdr:col>
      <xdr:colOff>437007</xdr:colOff>
      <xdr:row>57</xdr:row>
      <xdr:rowOff>112014</xdr:rowOff>
    </xdr:to>
    <xdr:sp>
      <xdr:nvSpPr>
        <xdr:cNvPr id="10" name="Left Brace 9"/>
        <xdr:cNvSpPr>
          <a:spLocks noChangeAspect="0"/>
        </xdr:cNvSpPr>
      </xdr:nvSpPr>
      <xdr:spPr>
        <a:xfrm>
          <a:off x="156877" y="9676257"/>
          <a:ext cx="280130" cy="119900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Payroll</a:t>
          </a:r>
          <a:endParaRPr/>
        </a:p>
      </xdr:txBody>
    </xdr:sp>
    <xdr:clientData/>
  </xdr:twoCellAnchor>
  <xdr:twoCellAnchor>
    <xdr:from>
      <xdr:col>0</xdr:col>
      <xdr:colOff>156877</xdr:colOff>
      <xdr:row>43</xdr:row>
      <xdr:rowOff>56007</xdr:rowOff>
    </xdr:from>
    <xdr:to>
      <xdr:col>0</xdr:col>
      <xdr:colOff>437007</xdr:colOff>
      <xdr:row>49</xdr:row>
      <xdr:rowOff>123254</xdr:rowOff>
    </xdr:to>
    <xdr:sp>
      <xdr:nvSpPr>
        <xdr:cNvPr id="11" name="Left Brace 10"/>
        <xdr:cNvSpPr>
          <a:spLocks noChangeAspect="0"/>
        </xdr:cNvSpPr>
      </xdr:nvSpPr>
      <xdr:spPr>
        <a:xfrm>
          <a:off x="156877" y="8152257"/>
          <a:ext cx="280130" cy="121024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R&amp;M</a:t>
          </a:r>
          <a:endParaRPr/>
        </a:p>
      </xdr:txBody>
    </xdr:sp>
    <xdr:clientData/>
  </xdr:twoCellAnchor>
  <xdr:twoCellAnchor>
    <xdr:from>
      <xdr:col>0</xdr:col>
      <xdr:colOff>156877</xdr:colOff>
      <xdr:row>38</xdr:row>
      <xdr:rowOff>168116</xdr:rowOff>
    </xdr:from>
    <xdr:to>
      <xdr:col>0</xdr:col>
      <xdr:colOff>437007</xdr:colOff>
      <xdr:row>41</xdr:row>
      <xdr:rowOff>145637</xdr:rowOff>
    </xdr:to>
    <xdr:sp>
      <xdr:nvSpPr>
        <xdr:cNvPr id="12" name="Left Brace 11"/>
        <xdr:cNvSpPr>
          <a:spLocks noChangeAspect="0"/>
        </xdr:cNvSpPr>
      </xdr:nvSpPr>
      <xdr:spPr>
        <a:xfrm>
          <a:off x="156877" y="7311866"/>
          <a:ext cx="280130" cy="549021"/>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tIns="91440" bIns="0" lIns="0" rIns="0" anchorCtr="1" anchor="ctr" vert="vert270" wrap="square" horzOverflow="clip" vertOverflow="clip"/>
        <a:p>
          <a:pPr algn="ctr">
            <a:defRPr sz="1100">
              <a:solidFill>
                <a:schemeClr val="tx1"/>
              </a:solidFill>
              <a:latin typeface="+mn-lt"/>
            </a:defRPr>
          </a:pPr>
          <a:r>
            <a:rPr sz="1100">
              <a:solidFill>
                <a:schemeClr val="tx1"/>
              </a:solidFill>
              <a:latin typeface="+mn-lt"/>
            </a:rPr>
            <a:t>Util</a:t>
          </a:r>
          <a:endParaRPr/>
        </a:p>
      </xdr:txBody>
    </xdr:sp>
    <xdr:clientData/>
  </xdr:twoCellAnchor>
  <xdr:twoCellAnchor>
    <xdr:from>
      <xdr:col>0</xdr:col>
      <xdr:colOff>361569</xdr:colOff>
      <xdr:row>50</xdr:row>
      <xdr:rowOff>89630</xdr:rowOff>
    </xdr:from>
    <xdr:to>
      <xdr:col>0</xdr:col>
      <xdr:colOff>496062</xdr:colOff>
      <xdr:row>50</xdr:row>
      <xdr:rowOff>89630</xdr:rowOff>
    </xdr:to>
    <xdr:cxnSp>
      <xdr:nvCxnSpPr>
        <xdr:cNvPr id="5" name="Straight Connector 4"/>
        <xdr:cNvCxnSpPr>
          <a:cxnSpLocks noChangeAspect="0"/>
        </xdr:cNvCxnSpPr>
      </xdr:nvCxnSpPr>
      <xdr:spPr>
        <a:xfrm>
          <a:off x="361569" y="95193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361569</xdr:colOff>
      <xdr:row>42</xdr:row>
      <xdr:rowOff>89630</xdr:rowOff>
    </xdr:from>
    <xdr:to>
      <xdr:col>0</xdr:col>
      <xdr:colOff>496062</xdr:colOff>
      <xdr:row>42</xdr:row>
      <xdr:rowOff>89630</xdr:rowOff>
    </xdr:to>
    <xdr:cxnSp>
      <xdr:nvCxnSpPr>
        <xdr:cNvPr id="19" name="Straight Connector 18"/>
        <xdr:cNvCxnSpPr>
          <a:cxnSpLocks noChangeAspect="0"/>
        </xdr:cNvCxnSpPr>
      </xdr:nvCxnSpPr>
      <xdr:spPr>
        <a:xfrm>
          <a:off x="361569" y="79953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403384</xdr:colOff>
      <xdr:row>32</xdr:row>
      <xdr:rowOff>67247</xdr:rowOff>
    </xdr:from>
    <xdr:to>
      <xdr:col>0</xdr:col>
      <xdr:colOff>537877</xdr:colOff>
      <xdr:row>32</xdr:row>
      <xdr:rowOff>67247</xdr:rowOff>
    </xdr:to>
    <xdr:cxnSp>
      <xdr:nvCxnSpPr>
        <xdr:cNvPr id="20" name="Straight Connector 19"/>
        <xdr:cNvCxnSpPr>
          <a:cxnSpLocks noChangeAspect="0"/>
        </xdr:cNvCxnSpPr>
      </xdr:nvCxnSpPr>
      <xdr:spPr>
        <a:xfrm>
          <a:off x="403384" y="6067997"/>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34</xdr:row>
      <xdr:rowOff>78486</xdr:rowOff>
    </xdr:from>
    <xdr:to>
      <xdr:col>0</xdr:col>
      <xdr:colOff>526637</xdr:colOff>
      <xdr:row>34</xdr:row>
      <xdr:rowOff>78486</xdr:rowOff>
    </xdr:to>
    <xdr:cxnSp>
      <xdr:nvCxnSpPr>
        <xdr:cNvPr id="21" name="Straight Connector 20"/>
        <xdr:cNvCxnSpPr>
          <a:cxnSpLocks noChangeAspect="0"/>
        </xdr:cNvCxnSpPr>
      </xdr:nvCxnSpPr>
      <xdr:spPr>
        <a:xfrm>
          <a:off x="392240" y="64602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35</xdr:row>
      <xdr:rowOff>78486</xdr:rowOff>
    </xdr:from>
    <xdr:to>
      <xdr:col>0</xdr:col>
      <xdr:colOff>526637</xdr:colOff>
      <xdr:row>35</xdr:row>
      <xdr:rowOff>78486</xdr:rowOff>
    </xdr:to>
    <xdr:cxnSp>
      <xdr:nvCxnSpPr>
        <xdr:cNvPr id="22" name="Straight Connector 21"/>
        <xdr:cNvCxnSpPr>
          <a:cxnSpLocks noChangeAspect="0"/>
        </xdr:cNvCxnSpPr>
      </xdr:nvCxnSpPr>
      <xdr:spPr>
        <a:xfrm>
          <a:off x="392240" y="66507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36</xdr:row>
      <xdr:rowOff>78486</xdr:rowOff>
    </xdr:from>
    <xdr:to>
      <xdr:col>0</xdr:col>
      <xdr:colOff>526637</xdr:colOff>
      <xdr:row>36</xdr:row>
      <xdr:rowOff>78486</xdr:rowOff>
    </xdr:to>
    <xdr:cxnSp>
      <xdr:nvCxnSpPr>
        <xdr:cNvPr id="23" name="Straight Connector 22"/>
        <xdr:cNvCxnSpPr>
          <a:cxnSpLocks noChangeAspect="0"/>
        </xdr:cNvCxnSpPr>
      </xdr:nvCxnSpPr>
      <xdr:spPr>
        <a:xfrm>
          <a:off x="392240" y="68412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403384</xdr:colOff>
      <xdr:row>33</xdr:row>
      <xdr:rowOff>78486</xdr:rowOff>
    </xdr:from>
    <xdr:to>
      <xdr:col>0</xdr:col>
      <xdr:colOff>537877</xdr:colOff>
      <xdr:row>33</xdr:row>
      <xdr:rowOff>78486</xdr:rowOff>
    </xdr:to>
    <xdr:cxnSp>
      <xdr:nvCxnSpPr>
        <xdr:cNvPr id="24" name="Straight Connector 23"/>
        <xdr:cNvCxnSpPr>
          <a:cxnSpLocks noChangeAspect="0"/>
        </xdr:cNvCxnSpPr>
      </xdr:nvCxnSpPr>
      <xdr:spPr>
        <a:xfrm>
          <a:off x="403384" y="6269736"/>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109919</xdr:colOff>
      <xdr:row>31</xdr:row>
      <xdr:rowOff>139256</xdr:rowOff>
    </xdr:from>
    <xdr:to>
      <xdr:col>0</xdr:col>
      <xdr:colOff>454247</xdr:colOff>
      <xdr:row>32</xdr:row>
      <xdr:rowOff>153829</xdr:rowOff>
    </xdr:to>
    <xdr:sp>
      <xdr:nvSpPr>
        <xdr:cNvPr id="16" name="TextBox 15"/>
        <xdr:cNvSpPr txBox="1">
          <a:spLocks noChangeAspect="0"/>
        </xdr:cNvSpPr>
      </xdr:nvSpPr>
      <xdr:spPr>
        <a:xfrm>
          <a:off x="109919" y="5949506"/>
          <a:ext cx="344329" cy="205073"/>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RET</a:t>
          </a:r>
          <a:endParaRPr/>
        </a:p>
      </xdr:txBody>
    </xdr:sp>
    <xdr:clientData/>
  </xdr:twoCellAnchor>
  <xdr:twoCellAnchor>
    <xdr:from>
      <xdr:col>0</xdr:col>
      <xdr:colOff>0</xdr:colOff>
      <xdr:row>32</xdr:row>
      <xdr:rowOff>139256</xdr:rowOff>
    </xdr:from>
    <xdr:to>
      <xdr:col>0</xdr:col>
      <xdr:colOff>490919</xdr:colOff>
      <xdr:row>34</xdr:row>
      <xdr:rowOff>0</xdr:rowOff>
    </xdr:to>
    <xdr:sp>
      <xdr:nvSpPr>
        <xdr:cNvPr id="26" name="TextBox 25"/>
        <xdr:cNvSpPr txBox="1">
          <a:spLocks noChangeAspect="0"/>
        </xdr:cNvSpPr>
      </xdr:nvSpPr>
      <xdr:spPr>
        <a:xfrm>
          <a:off x="0" y="6140006"/>
          <a:ext cx="490919" cy="24174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0</xdr:col>
      <xdr:colOff>117253</xdr:colOff>
      <xdr:row>33</xdr:row>
      <xdr:rowOff>139256</xdr:rowOff>
    </xdr:from>
    <xdr:to>
      <xdr:col>0</xdr:col>
      <xdr:colOff>446913</xdr:colOff>
      <xdr:row>35</xdr:row>
      <xdr:rowOff>0</xdr:rowOff>
    </xdr:to>
    <xdr:sp>
      <xdr:nvSpPr>
        <xdr:cNvPr id="27" name="TextBox 26"/>
        <xdr:cNvSpPr txBox="1">
          <a:spLocks noChangeAspect="0"/>
        </xdr:cNvSpPr>
      </xdr:nvSpPr>
      <xdr:spPr>
        <a:xfrm>
          <a:off x="117253" y="6330506"/>
          <a:ext cx="329660" cy="24174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INS</a:t>
          </a:r>
          <a:endParaRPr/>
        </a:p>
      </xdr:txBody>
    </xdr:sp>
    <xdr:clientData/>
  </xdr:twoCellAnchor>
  <xdr:twoCellAnchor>
    <xdr:from>
      <xdr:col>0</xdr:col>
      <xdr:colOff>0</xdr:colOff>
      <xdr:row>34</xdr:row>
      <xdr:rowOff>139256</xdr:rowOff>
    </xdr:from>
    <xdr:to>
      <xdr:col>0</xdr:col>
      <xdr:colOff>476250</xdr:colOff>
      <xdr:row>35</xdr:row>
      <xdr:rowOff>161163</xdr:rowOff>
    </xdr:to>
    <xdr:sp>
      <xdr:nvSpPr>
        <xdr:cNvPr id="28" name="TextBox 27"/>
        <xdr:cNvSpPr txBox="1">
          <a:spLocks noChangeAspect="0"/>
        </xdr:cNvSpPr>
      </xdr:nvSpPr>
      <xdr:spPr>
        <a:xfrm>
          <a:off x="0" y="6521006"/>
          <a:ext cx="476250" cy="212408"/>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0</xdr:col>
      <xdr:colOff>0</xdr:colOff>
      <xdr:row>35</xdr:row>
      <xdr:rowOff>116777</xdr:rowOff>
    </xdr:from>
    <xdr:to>
      <xdr:col>0</xdr:col>
      <xdr:colOff>459486</xdr:colOff>
      <xdr:row>37</xdr:row>
      <xdr:rowOff>44863</xdr:rowOff>
    </xdr:to>
    <xdr:sp>
      <xdr:nvSpPr>
        <xdr:cNvPr id="29" name="TextBox 28"/>
        <xdr:cNvSpPr txBox="1">
          <a:spLocks noChangeAspect="0"/>
        </xdr:cNvSpPr>
      </xdr:nvSpPr>
      <xdr:spPr>
        <a:xfrm>
          <a:off x="0" y="6689027"/>
          <a:ext cx="459486" cy="309086"/>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Ground      </a:t>
          </a:r>
          <a:endParaRPr/>
        </a:p>
      </xdr:txBody>
    </xdr:sp>
    <xdr:clientData/>
  </xdr:twoCellAnchor>
  <xdr:twoCellAnchor>
    <xdr:from>
      <xdr:col>0</xdr:col>
      <xdr:colOff>14669</xdr:colOff>
      <xdr:row>41</xdr:row>
      <xdr:rowOff>146495</xdr:rowOff>
    </xdr:from>
    <xdr:to>
      <xdr:col>0</xdr:col>
      <xdr:colOff>425006</xdr:colOff>
      <xdr:row>43</xdr:row>
      <xdr:rowOff>7334</xdr:rowOff>
    </xdr:to>
    <xdr:sp>
      <xdr:nvSpPr>
        <xdr:cNvPr id="30" name="TextBox 29"/>
        <xdr:cNvSpPr txBox="1">
          <a:spLocks noChangeAspect="0"/>
        </xdr:cNvSpPr>
      </xdr:nvSpPr>
      <xdr:spPr>
        <a:xfrm>
          <a:off x="14669" y="7861744"/>
          <a:ext cx="410337" cy="24184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W&amp;S</a:t>
          </a:r>
          <a:endParaRPr/>
        </a:p>
      </xdr:txBody>
    </xdr:sp>
    <xdr:clientData/>
  </xdr:twoCellAnchor>
  <xdr:twoCellAnchor>
    <xdr:from>
      <xdr:col>0</xdr:col>
      <xdr:colOff>0</xdr:colOff>
      <xdr:row>49</xdr:row>
      <xdr:rowOff>146495</xdr:rowOff>
    </xdr:from>
    <xdr:to>
      <xdr:col>0</xdr:col>
      <xdr:colOff>483584</xdr:colOff>
      <xdr:row>50</xdr:row>
      <xdr:rowOff>161163</xdr:rowOff>
    </xdr:to>
    <xdr:sp>
      <xdr:nvSpPr>
        <xdr:cNvPr id="31" name="TextBox 30"/>
        <xdr:cNvSpPr txBox="1">
          <a:spLocks noChangeAspect="0"/>
        </xdr:cNvSpPr>
      </xdr:nvSpPr>
      <xdr:spPr>
        <a:xfrm>
          <a:off x="0" y="9385744"/>
          <a:ext cx="483584" cy="205169"/>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Mgmt</a:t>
          </a:r>
          <a:endParaRPr/>
        </a:p>
      </xdr:txBody>
    </xdr:sp>
    <xdr:clientData/>
  </xdr:twoCellAnchor>
  <xdr:twoCellAnchor>
    <xdr:from>
      <xdr:col>41</xdr:col>
      <xdr:colOff>134493</xdr:colOff>
      <xdr:row>51</xdr:row>
      <xdr:rowOff>51245</xdr:rowOff>
    </xdr:from>
    <xdr:to>
      <xdr:col>41</xdr:col>
      <xdr:colOff>414623</xdr:colOff>
      <xdr:row>57</xdr:row>
      <xdr:rowOff>107347</xdr:rowOff>
    </xdr:to>
    <xdr:sp>
      <xdr:nvSpPr>
        <xdr:cNvPr id="51" name="Left Brace 50"/>
        <xdr:cNvSpPr>
          <a:spLocks noChangeAspect="0"/>
        </xdr:cNvSpPr>
      </xdr:nvSpPr>
      <xdr:spPr>
        <a:xfrm>
          <a:off x="16017431" y="9671494"/>
          <a:ext cx="280130" cy="1199102"/>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Payroll</a:t>
          </a:r>
          <a:endParaRPr/>
        </a:p>
      </xdr:txBody>
    </xdr:sp>
    <xdr:clientData/>
  </xdr:twoCellAnchor>
  <xdr:twoCellAnchor>
    <xdr:from>
      <xdr:col>41</xdr:col>
      <xdr:colOff>134493</xdr:colOff>
      <xdr:row>43</xdr:row>
      <xdr:rowOff>51245</xdr:rowOff>
    </xdr:from>
    <xdr:to>
      <xdr:col>41</xdr:col>
      <xdr:colOff>414623</xdr:colOff>
      <xdr:row>49</xdr:row>
      <xdr:rowOff>118491</xdr:rowOff>
    </xdr:to>
    <xdr:sp>
      <xdr:nvSpPr>
        <xdr:cNvPr id="52" name="Left Brace 51"/>
        <xdr:cNvSpPr>
          <a:spLocks noChangeAspect="0"/>
        </xdr:cNvSpPr>
      </xdr:nvSpPr>
      <xdr:spPr>
        <a:xfrm>
          <a:off x="16017431" y="8147494"/>
          <a:ext cx="280130" cy="121024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R&amp;M</a:t>
          </a:r>
          <a:endParaRPr/>
        </a:p>
      </xdr:txBody>
    </xdr:sp>
    <xdr:clientData/>
  </xdr:twoCellAnchor>
  <xdr:twoCellAnchor>
    <xdr:from>
      <xdr:col>41</xdr:col>
      <xdr:colOff>134493</xdr:colOff>
      <xdr:row>38</xdr:row>
      <xdr:rowOff>163354</xdr:rowOff>
    </xdr:from>
    <xdr:to>
      <xdr:col>41</xdr:col>
      <xdr:colOff>414623</xdr:colOff>
      <xdr:row>41</xdr:row>
      <xdr:rowOff>140970</xdr:rowOff>
    </xdr:to>
    <xdr:sp>
      <xdr:nvSpPr>
        <xdr:cNvPr id="53" name="Left Brace 52"/>
        <xdr:cNvSpPr>
          <a:spLocks noChangeAspect="0"/>
        </xdr:cNvSpPr>
      </xdr:nvSpPr>
      <xdr:spPr>
        <a:xfrm>
          <a:off x="16017431" y="7307104"/>
          <a:ext cx="280130" cy="549116"/>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tIns="91440" bIns="0" lIns="0" rIns="0" anchorCtr="1" anchor="ctr" vert="vert270" wrap="square" horzOverflow="clip" vertOverflow="clip"/>
        <a:p>
          <a:pPr algn="ctr">
            <a:defRPr sz="1100">
              <a:solidFill>
                <a:schemeClr val="tx1"/>
              </a:solidFill>
              <a:latin typeface="+mn-lt"/>
            </a:defRPr>
          </a:pPr>
          <a:r>
            <a:rPr sz="1100">
              <a:solidFill>
                <a:schemeClr val="tx1"/>
              </a:solidFill>
              <a:latin typeface="+mn-lt"/>
            </a:rPr>
            <a:t>Utility</a:t>
          </a:r>
          <a:endParaRPr/>
        </a:p>
      </xdr:txBody>
    </xdr:sp>
    <xdr:clientData/>
  </xdr:twoCellAnchor>
  <xdr:twoCellAnchor>
    <xdr:from>
      <xdr:col>41</xdr:col>
      <xdr:colOff>339185</xdr:colOff>
      <xdr:row>50</xdr:row>
      <xdr:rowOff>84868</xdr:rowOff>
    </xdr:from>
    <xdr:to>
      <xdr:col>41</xdr:col>
      <xdr:colOff>473678</xdr:colOff>
      <xdr:row>50</xdr:row>
      <xdr:rowOff>84868</xdr:rowOff>
    </xdr:to>
    <xdr:cxnSp>
      <xdr:nvCxnSpPr>
        <xdr:cNvPr id="54" name="Straight Connector 53"/>
        <xdr:cNvCxnSpPr>
          <a:cxnSpLocks noChangeAspect="0"/>
        </xdr:cNvCxnSpPr>
      </xdr:nvCxnSpPr>
      <xdr:spPr>
        <a:xfrm>
          <a:off x="16222123" y="9514618"/>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339185</xdr:colOff>
      <xdr:row>42</xdr:row>
      <xdr:rowOff>84868</xdr:rowOff>
    </xdr:from>
    <xdr:to>
      <xdr:col>41</xdr:col>
      <xdr:colOff>473678</xdr:colOff>
      <xdr:row>42</xdr:row>
      <xdr:rowOff>84868</xdr:rowOff>
    </xdr:to>
    <xdr:cxnSp>
      <xdr:nvCxnSpPr>
        <xdr:cNvPr id="55" name="Straight Connector 54"/>
        <xdr:cNvCxnSpPr>
          <a:cxnSpLocks noChangeAspect="0"/>
        </xdr:cNvCxnSpPr>
      </xdr:nvCxnSpPr>
      <xdr:spPr>
        <a:xfrm>
          <a:off x="16222123" y="7990618"/>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381000</xdr:colOff>
      <xdr:row>32</xdr:row>
      <xdr:rowOff>62484</xdr:rowOff>
    </xdr:from>
    <xdr:to>
      <xdr:col>41</xdr:col>
      <xdr:colOff>515493</xdr:colOff>
      <xdr:row>32</xdr:row>
      <xdr:rowOff>62484</xdr:rowOff>
    </xdr:to>
    <xdr:cxnSp>
      <xdr:nvCxnSpPr>
        <xdr:cNvPr id="56" name="Straight Connector 55"/>
        <xdr:cNvCxnSpPr>
          <a:cxnSpLocks noChangeAspect="0"/>
        </xdr:cNvCxnSpPr>
      </xdr:nvCxnSpPr>
      <xdr:spPr>
        <a:xfrm>
          <a:off x="16263938" y="606323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369761</xdr:colOff>
      <xdr:row>34</xdr:row>
      <xdr:rowOff>73724</xdr:rowOff>
    </xdr:from>
    <xdr:to>
      <xdr:col>41</xdr:col>
      <xdr:colOff>504254</xdr:colOff>
      <xdr:row>34</xdr:row>
      <xdr:rowOff>73724</xdr:rowOff>
    </xdr:to>
    <xdr:cxnSp>
      <xdr:nvCxnSpPr>
        <xdr:cNvPr id="57" name="Straight Connector 56"/>
        <xdr:cNvCxnSpPr>
          <a:cxnSpLocks noChangeAspect="0"/>
        </xdr:cNvCxnSpPr>
      </xdr:nvCxnSpPr>
      <xdr:spPr>
        <a:xfrm>
          <a:off x="16252698" y="645547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369761</xdr:colOff>
      <xdr:row>35</xdr:row>
      <xdr:rowOff>73724</xdr:rowOff>
    </xdr:from>
    <xdr:to>
      <xdr:col>41</xdr:col>
      <xdr:colOff>504254</xdr:colOff>
      <xdr:row>35</xdr:row>
      <xdr:rowOff>73724</xdr:rowOff>
    </xdr:to>
    <xdr:cxnSp>
      <xdr:nvCxnSpPr>
        <xdr:cNvPr id="58" name="Straight Connector 57"/>
        <xdr:cNvCxnSpPr>
          <a:cxnSpLocks noChangeAspect="0"/>
        </xdr:cNvCxnSpPr>
      </xdr:nvCxnSpPr>
      <xdr:spPr>
        <a:xfrm>
          <a:off x="16252698" y="664597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369761</xdr:colOff>
      <xdr:row>36</xdr:row>
      <xdr:rowOff>73724</xdr:rowOff>
    </xdr:from>
    <xdr:to>
      <xdr:col>41</xdr:col>
      <xdr:colOff>504254</xdr:colOff>
      <xdr:row>36</xdr:row>
      <xdr:rowOff>73724</xdr:rowOff>
    </xdr:to>
    <xdr:cxnSp>
      <xdr:nvCxnSpPr>
        <xdr:cNvPr id="59" name="Straight Connector 58"/>
        <xdr:cNvCxnSpPr>
          <a:cxnSpLocks noChangeAspect="0"/>
        </xdr:cNvCxnSpPr>
      </xdr:nvCxnSpPr>
      <xdr:spPr>
        <a:xfrm>
          <a:off x="16252698" y="683647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381000</xdr:colOff>
      <xdr:row>33</xdr:row>
      <xdr:rowOff>73724</xdr:rowOff>
    </xdr:from>
    <xdr:to>
      <xdr:col>41</xdr:col>
      <xdr:colOff>515493</xdr:colOff>
      <xdr:row>33</xdr:row>
      <xdr:rowOff>73724</xdr:rowOff>
    </xdr:to>
    <xdr:cxnSp>
      <xdr:nvCxnSpPr>
        <xdr:cNvPr id="60" name="Straight Connector 59"/>
        <xdr:cNvCxnSpPr>
          <a:cxnSpLocks noChangeAspect="0"/>
        </xdr:cNvCxnSpPr>
      </xdr:nvCxnSpPr>
      <xdr:spPr>
        <a:xfrm>
          <a:off x="16263938" y="626497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87535</xdr:colOff>
      <xdr:row>31</xdr:row>
      <xdr:rowOff>134493</xdr:rowOff>
    </xdr:from>
    <xdr:to>
      <xdr:col>41</xdr:col>
      <xdr:colOff>431864</xdr:colOff>
      <xdr:row>32</xdr:row>
      <xdr:rowOff>149162</xdr:rowOff>
    </xdr:to>
    <xdr:sp>
      <xdr:nvSpPr>
        <xdr:cNvPr id="61" name="TextBox 60"/>
        <xdr:cNvSpPr txBox="1">
          <a:spLocks noChangeAspect="0"/>
        </xdr:cNvSpPr>
      </xdr:nvSpPr>
      <xdr:spPr>
        <a:xfrm>
          <a:off x="15970472" y="5944743"/>
          <a:ext cx="344329" cy="205168"/>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RET</a:t>
          </a:r>
          <a:endParaRPr/>
        </a:p>
      </xdr:txBody>
    </xdr:sp>
    <xdr:clientData/>
  </xdr:twoCellAnchor>
  <xdr:twoCellAnchor>
    <xdr:from>
      <xdr:col>41</xdr:col>
      <xdr:colOff>0</xdr:colOff>
      <xdr:row>32</xdr:row>
      <xdr:rowOff>128016</xdr:rowOff>
    </xdr:from>
    <xdr:to>
      <xdr:col>41</xdr:col>
      <xdr:colOff>477965</xdr:colOff>
      <xdr:row>33</xdr:row>
      <xdr:rowOff>118967</xdr:rowOff>
    </xdr:to>
    <xdr:sp>
      <xdr:nvSpPr>
        <xdr:cNvPr id="62" name="TextBox 61"/>
        <xdr:cNvSpPr txBox="1">
          <a:spLocks noChangeAspect="0"/>
        </xdr:cNvSpPr>
      </xdr:nvSpPr>
      <xdr:spPr>
        <a:xfrm>
          <a:off x="15882938" y="6128766"/>
          <a:ext cx="477964" cy="181451"/>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41</xdr:col>
      <xdr:colOff>94774</xdr:colOff>
      <xdr:row>33</xdr:row>
      <xdr:rowOff>134493</xdr:rowOff>
    </xdr:from>
    <xdr:to>
      <xdr:col>41</xdr:col>
      <xdr:colOff>424529</xdr:colOff>
      <xdr:row>34</xdr:row>
      <xdr:rowOff>152114</xdr:rowOff>
    </xdr:to>
    <xdr:sp>
      <xdr:nvSpPr>
        <xdr:cNvPr id="63" name="TextBox 62"/>
        <xdr:cNvSpPr txBox="1">
          <a:spLocks noChangeAspect="0"/>
        </xdr:cNvSpPr>
      </xdr:nvSpPr>
      <xdr:spPr>
        <a:xfrm>
          <a:off x="15977711" y="6325743"/>
          <a:ext cx="329755" cy="208121"/>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INS</a:t>
          </a:r>
          <a:endParaRPr/>
        </a:p>
      </xdr:txBody>
    </xdr:sp>
    <xdr:clientData/>
  </xdr:twoCellAnchor>
  <xdr:twoCellAnchor>
    <xdr:from>
      <xdr:col>41</xdr:col>
      <xdr:colOff>0</xdr:colOff>
      <xdr:row>34</xdr:row>
      <xdr:rowOff>138398</xdr:rowOff>
    </xdr:from>
    <xdr:to>
      <xdr:col>41</xdr:col>
      <xdr:colOff>509588</xdr:colOff>
      <xdr:row>35</xdr:row>
      <xdr:rowOff>124682</xdr:rowOff>
    </xdr:to>
    <xdr:sp>
      <xdr:nvSpPr>
        <xdr:cNvPr id="64" name="TextBox 63"/>
        <xdr:cNvSpPr txBox="1">
          <a:spLocks noChangeAspect="0"/>
        </xdr:cNvSpPr>
      </xdr:nvSpPr>
      <xdr:spPr>
        <a:xfrm>
          <a:off x="15882938" y="6520148"/>
          <a:ext cx="509587" cy="17678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41</xdr:col>
      <xdr:colOff>0</xdr:colOff>
      <xdr:row>35</xdr:row>
      <xdr:rowOff>138398</xdr:rowOff>
    </xdr:from>
    <xdr:to>
      <xdr:col>41</xdr:col>
      <xdr:colOff>468821</xdr:colOff>
      <xdr:row>36</xdr:row>
      <xdr:rowOff>124682</xdr:rowOff>
    </xdr:to>
    <xdr:sp>
      <xdr:nvSpPr>
        <xdr:cNvPr id="65" name="TextBox 64"/>
        <xdr:cNvSpPr txBox="1">
          <a:spLocks noChangeAspect="0"/>
        </xdr:cNvSpPr>
      </xdr:nvSpPr>
      <xdr:spPr>
        <a:xfrm>
          <a:off x="15882938" y="6710648"/>
          <a:ext cx="468820" cy="17678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Ground</a:t>
          </a:r>
          <a:endParaRPr/>
        </a:p>
      </xdr:txBody>
    </xdr:sp>
    <xdr:clientData/>
  </xdr:twoCellAnchor>
  <xdr:twoCellAnchor>
    <xdr:from>
      <xdr:col>41</xdr:col>
      <xdr:colOff>0</xdr:colOff>
      <xdr:row>41</xdr:row>
      <xdr:rowOff>144399</xdr:rowOff>
    </xdr:from>
    <xdr:to>
      <xdr:col>41</xdr:col>
      <xdr:colOff>487394</xdr:colOff>
      <xdr:row>42</xdr:row>
      <xdr:rowOff>151638</xdr:rowOff>
    </xdr:to>
    <xdr:sp>
      <xdr:nvSpPr>
        <xdr:cNvPr id="66" name="TextBox 65"/>
        <xdr:cNvSpPr txBox="1">
          <a:spLocks noChangeAspect="0"/>
        </xdr:cNvSpPr>
      </xdr:nvSpPr>
      <xdr:spPr>
        <a:xfrm>
          <a:off x="15882938" y="7859649"/>
          <a:ext cx="487394" cy="197739"/>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W&amp;S</a:t>
          </a:r>
          <a:endParaRPr/>
        </a:p>
      </xdr:txBody>
    </xdr:sp>
    <xdr:clientData/>
  </xdr:twoCellAnchor>
  <xdr:twoCellAnchor>
    <xdr:from>
      <xdr:col>41</xdr:col>
      <xdr:colOff>0</xdr:colOff>
      <xdr:row>49</xdr:row>
      <xdr:rowOff>141637</xdr:rowOff>
    </xdr:from>
    <xdr:to>
      <xdr:col>41</xdr:col>
      <xdr:colOff>496443</xdr:colOff>
      <xdr:row>50</xdr:row>
      <xdr:rowOff>134303</xdr:rowOff>
    </xdr:to>
    <xdr:sp>
      <xdr:nvSpPr>
        <xdr:cNvPr id="67" name="TextBox 66"/>
        <xdr:cNvSpPr txBox="1">
          <a:spLocks noChangeAspect="0"/>
        </xdr:cNvSpPr>
      </xdr:nvSpPr>
      <xdr:spPr>
        <a:xfrm>
          <a:off x="15882938" y="9380887"/>
          <a:ext cx="496443" cy="183166"/>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Mgmt</a:t>
          </a:r>
          <a:endParaRPr/>
        </a:p>
      </xdr:txBody>
    </xdr:sp>
    <xdr:clientData/>
  </xdr:twoCellAnchor>
  <xdr:twoCellAnchor>
    <xdr:from>
      <xdr:col>0</xdr:col>
      <xdr:colOff>361569</xdr:colOff>
      <xdr:row>67</xdr:row>
      <xdr:rowOff>89630</xdr:rowOff>
    </xdr:from>
    <xdr:to>
      <xdr:col>0</xdr:col>
      <xdr:colOff>496062</xdr:colOff>
      <xdr:row>67</xdr:row>
      <xdr:rowOff>89630</xdr:rowOff>
    </xdr:to>
    <xdr:cxnSp>
      <xdr:nvCxnSpPr>
        <xdr:cNvPr id="41" name="Straight Connector 40"/>
        <xdr:cNvCxnSpPr>
          <a:cxnSpLocks noChangeAspect="0"/>
        </xdr:cNvCxnSpPr>
      </xdr:nvCxnSpPr>
      <xdr:spPr>
        <a:xfrm>
          <a:off x="361569" y="123768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3429</xdr:colOff>
      <xdr:row>66</xdr:row>
      <xdr:rowOff>146495</xdr:rowOff>
    </xdr:from>
    <xdr:to>
      <xdr:col>0</xdr:col>
      <xdr:colOff>448247</xdr:colOff>
      <xdr:row>68</xdr:row>
      <xdr:rowOff>0</xdr:rowOff>
    </xdr:to>
    <xdr:sp>
      <xdr:nvSpPr>
        <xdr:cNvPr id="42" name="TextBox 41"/>
        <xdr:cNvSpPr txBox="1">
          <a:spLocks noChangeAspect="0"/>
        </xdr:cNvSpPr>
      </xdr:nvSpPr>
      <xdr:spPr>
        <a:xfrm>
          <a:off x="3429" y="12243245"/>
          <a:ext cx="444818" cy="234505"/>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Other</a:t>
          </a:r>
          <a:endParaRPr/>
        </a:p>
      </xdr:txBody>
    </xdr:sp>
    <xdr:clientData/>
  </xdr:twoCellAnchor>
  <xdr:twoCellAnchor>
    <xdr:from>
      <xdr:col>41</xdr:col>
      <xdr:colOff>339185</xdr:colOff>
      <xdr:row>67</xdr:row>
      <xdr:rowOff>84868</xdr:rowOff>
    </xdr:from>
    <xdr:to>
      <xdr:col>41</xdr:col>
      <xdr:colOff>473678</xdr:colOff>
      <xdr:row>67</xdr:row>
      <xdr:rowOff>84868</xdr:rowOff>
    </xdr:to>
    <xdr:cxnSp>
      <xdr:nvCxnSpPr>
        <xdr:cNvPr id="43" name="Straight Connector 42"/>
        <xdr:cNvCxnSpPr>
          <a:cxnSpLocks noChangeAspect="0"/>
        </xdr:cNvCxnSpPr>
      </xdr:nvCxnSpPr>
      <xdr:spPr>
        <a:xfrm>
          <a:off x="16222123" y="12372118"/>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0</xdr:colOff>
      <xdr:row>66</xdr:row>
      <xdr:rowOff>147257</xdr:rowOff>
    </xdr:from>
    <xdr:to>
      <xdr:col>41</xdr:col>
      <xdr:colOff>422339</xdr:colOff>
      <xdr:row>67</xdr:row>
      <xdr:rowOff>169926</xdr:rowOff>
    </xdr:to>
    <xdr:sp>
      <xdr:nvSpPr>
        <xdr:cNvPr id="45" name="TextBox 44"/>
        <xdr:cNvSpPr txBox="1">
          <a:spLocks noChangeAspect="0"/>
        </xdr:cNvSpPr>
      </xdr:nvSpPr>
      <xdr:spPr>
        <a:xfrm>
          <a:off x="15882938" y="12244006"/>
          <a:ext cx="422338" cy="21317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Other</a:t>
          </a:r>
          <a:endParaRPr/>
        </a:p>
      </xdr:txBody>
    </xdr:sp>
    <xdr:clientData/>
  </xdr:twoCellAnchor>
  <xdr:twoCellAnchor>
    <xdr:from>
      <xdr:col>0</xdr:col>
      <xdr:colOff>0</xdr:colOff>
      <xdr:row>57</xdr:row>
      <xdr:rowOff>156877</xdr:rowOff>
    </xdr:from>
    <xdr:to>
      <xdr:col>0</xdr:col>
      <xdr:colOff>483584</xdr:colOff>
      <xdr:row>59</xdr:row>
      <xdr:rowOff>14669</xdr:rowOff>
    </xdr:to>
    <xdr:sp>
      <xdr:nvSpPr>
        <xdr:cNvPr id="46" name="TextBox 45"/>
        <xdr:cNvSpPr txBox="1">
          <a:spLocks noChangeAspect="0"/>
        </xdr:cNvSpPr>
      </xdr:nvSpPr>
      <xdr:spPr>
        <a:xfrm>
          <a:off x="0" y="10920127"/>
          <a:ext cx="483584" cy="238792"/>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Adv.</a:t>
          </a:r>
          <a:endParaRPr/>
        </a:p>
      </xdr:txBody>
    </xdr:sp>
    <xdr:clientData/>
  </xdr:twoCellAnchor>
  <xdr:twoCellAnchor>
    <xdr:from>
      <xdr:col>0</xdr:col>
      <xdr:colOff>0</xdr:colOff>
      <xdr:row>58</xdr:row>
      <xdr:rowOff>145637</xdr:rowOff>
    </xdr:from>
    <xdr:to>
      <xdr:col>0</xdr:col>
      <xdr:colOff>483584</xdr:colOff>
      <xdr:row>59</xdr:row>
      <xdr:rowOff>156877</xdr:rowOff>
    </xdr:to>
    <xdr:sp>
      <xdr:nvSpPr>
        <xdr:cNvPr id="47" name="TextBox 46"/>
        <xdr:cNvSpPr txBox="1">
          <a:spLocks noChangeAspect="0"/>
        </xdr:cNvSpPr>
      </xdr:nvSpPr>
      <xdr:spPr>
        <a:xfrm>
          <a:off x="0" y="11099387"/>
          <a:ext cx="483584" cy="20174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Prof.</a:t>
          </a:r>
          <a:endParaRPr/>
        </a:p>
      </xdr:txBody>
    </xdr:sp>
    <xdr:clientData/>
  </xdr:twoCellAnchor>
  <xdr:twoCellAnchor>
    <xdr:from>
      <xdr:col>0</xdr:col>
      <xdr:colOff>347377</xdr:colOff>
      <xdr:row>58</xdr:row>
      <xdr:rowOff>100870</xdr:rowOff>
    </xdr:from>
    <xdr:to>
      <xdr:col>0</xdr:col>
      <xdr:colOff>481870</xdr:colOff>
      <xdr:row>58</xdr:row>
      <xdr:rowOff>100870</xdr:rowOff>
    </xdr:to>
    <xdr:cxnSp>
      <xdr:nvCxnSpPr>
        <xdr:cNvPr id="48" name="Straight Connector 47"/>
        <xdr:cNvCxnSpPr>
          <a:cxnSpLocks noChangeAspect="0"/>
        </xdr:cNvCxnSpPr>
      </xdr:nvCxnSpPr>
      <xdr:spPr>
        <a:xfrm>
          <a:off x="347377" y="1105462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347377</xdr:colOff>
      <xdr:row>59</xdr:row>
      <xdr:rowOff>89630</xdr:rowOff>
    </xdr:from>
    <xdr:to>
      <xdr:col>0</xdr:col>
      <xdr:colOff>481870</xdr:colOff>
      <xdr:row>59</xdr:row>
      <xdr:rowOff>89630</xdr:rowOff>
    </xdr:to>
    <xdr:cxnSp>
      <xdr:nvCxnSpPr>
        <xdr:cNvPr id="49" name="Straight Connector 48"/>
        <xdr:cNvCxnSpPr>
          <a:cxnSpLocks noChangeAspect="0"/>
        </xdr:cNvCxnSpPr>
      </xdr:nvCxnSpPr>
      <xdr:spPr>
        <a:xfrm>
          <a:off x="347377" y="112338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156877</xdr:colOff>
      <xdr:row>62</xdr:row>
      <xdr:rowOff>67247</xdr:rowOff>
    </xdr:from>
    <xdr:to>
      <xdr:col>41</xdr:col>
      <xdr:colOff>437007</xdr:colOff>
      <xdr:row>66</xdr:row>
      <xdr:rowOff>134493</xdr:rowOff>
    </xdr:to>
    <xdr:sp>
      <xdr:nvSpPr>
        <xdr:cNvPr id="68" name="Left Brace 67"/>
        <xdr:cNvSpPr>
          <a:spLocks noChangeAspect="0"/>
        </xdr:cNvSpPr>
      </xdr:nvSpPr>
      <xdr:spPr>
        <a:xfrm>
          <a:off x="16039814" y="11401997"/>
          <a:ext cx="280130" cy="829246"/>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wrap="square" horzOverflow="clip" vertOverflow="clip"/>
        <a:p>
          <a:pPr algn="ctr">
            <a:defRPr sz="1100">
              <a:solidFill>
                <a:schemeClr val="tx1"/>
              </a:solidFill>
              <a:latin typeface="+mn-lt"/>
            </a:defRPr>
          </a:pPr>
          <a:r>
            <a:rPr sz="1100">
              <a:solidFill>
                <a:schemeClr val="tx1"/>
              </a:solidFill>
              <a:latin typeface="+mn-lt"/>
            </a:rPr>
            <a:t>Admin</a:t>
          </a:r>
          <a:endParaRPr/>
        </a:p>
      </xdr:txBody>
    </xdr:sp>
    <xdr:clientData/>
  </xdr:twoCellAnchor>
  <xdr:twoCellAnchor>
    <xdr:from>
      <xdr:col>41</xdr:col>
      <xdr:colOff>0</xdr:colOff>
      <xdr:row>58</xdr:row>
      <xdr:rowOff>0</xdr:rowOff>
    </xdr:from>
    <xdr:to>
      <xdr:col>41</xdr:col>
      <xdr:colOff>483584</xdr:colOff>
      <xdr:row>59</xdr:row>
      <xdr:rowOff>25813</xdr:rowOff>
    </xdr:to>
    <xdr:sp>
      <xdr:nvSpPr>
        <xdr:cNvPr id="69" name="TextBox 68"/>
        <xdr:cNvSpPr txBox="1">
          <a:spLocks noChangeAspect="0"/>
        </xdr:cNvSpPr>
      </xdr:nvSpPr>
      <xdr:spPr>
        <a:xfrm>
          <a:off x="15882938" y="10953750"/>
          <a:ext cx="483584" cy="216313"/>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Adv.</a:t>
          </a:r>
          <a:endParaRPr/>
        </a:p>
      </xdr:txBody>
    </xdr:sp>
    <xdr:clientData/>
  </xdr:twoCellAnchor>
  <xdr:twoCellAnchor>
    <xdr:from>
      <xdr:col>41</xdr:col>
      <xdr:colOff>0</xdr:colOff>
      <xdr:row>59</xdr:row>
      <xdr:rowOff>0</xdr:rowOff>
    </xdr:from>
    <xdr:to>
      <xdr:col>41</xdr:col>
      <xdr:colOff>483584</xdr:colOff>
      <xdr:row>60</xdr:row>
      <xdr:rowOff>44863</xdr:rowOff>
    </xdr:to>
    <xdr:sp>
      <xdr:nvSpPr>
        <xdr:cNvPr id="70" name="TextBox 69"/>
        <xdr:cNvSpPr txBox="1">
          <a:spLocks noChangeAspect="0"/>
        </xdr:cNvSpPr>
      </xdr:nvSpPr>
      <xdr:spPr>
        <a:xfrm>
          <a:off x="15882938" y="11144250"/>
          <a:ext cx="483584" cy="19050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Prof.</a:t>
          </a:r>
          <a:endParaRPr/>
        </a:p>
      </xdr:txBody>
    </xdr:sp>
    <xdr:clientData/>
  </xdr:twoCellAnchor>
  <xdr:twoCellAnchor>
    <xdr:from>
      <xdr:col>41</xdr:col>
      <xdr:colOff>347377</xdr:colOff>
      <xdr:row>58</xdr:row>
      <xdr:rowOff>112014</xdr:rowOff>
    </xdr:from>
    <xdr:to>
      <xdr:col>41</xdr:col>
      <xdr:colOff>481870</xdr:colOff>
      <xdr:row>58</xdr:row>
      <xdr:rowOff>112014</xdr:rowOff>
    </xdr:to>
    <xdr:cxnSp>
      <xdr:nvCxnSpPr>
        <xdr:cNvPr id="71" name="Straight Connector 70"/>
        <xdr:cNvCxnSpPr>
          <a:cxnSpLocks noChangeAspect="0"/>
        </xdr:cNvCxnSpPr>
      </xdr:nvCxnSpPr>
      <xdr:spPr>
        <a:xfrm>
          <a:off x="16230314" y="11065764"/>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347377</xdr:colOff>
      <xdr:row>59</xdr:row>
      <xdr:rowOff>100870</xdr:rowOff>
    </xdr:from>
    <xdr:to>
      <xdr:col>41</xdr:col>
      <xdr:colOff>481870</xdr:colOff>
      <xdr:row>59</xdr:row>
      <xdr:rowOff>100870</xdr:rowOff>
    </xdr:to>
    <xdr:cxnSp>
      <xdr:nvCxnSpPr>
        <xdr:cNvPr id="72" name="Straight Connector 71"/>
        <xdr:cNvCxnSpPr>
          <a:cxnSpLocks noChangeAspect="0"/>
        </xdr:cNvCxnSpPr>
      </xdr:nvCxnSpPr>
      <xdr:spPr>
        <a:xfrm>
          <a:off x="16230314" y="1124512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59</xdr:row>
      <xdr:rowOff>136112</xdr:rowOff>
    </xdr:from>
    <xdr:to>
      <xdr:col>0</xdr:col>
      <xdr:colOff>483584</xdr:colOff>
      <xdr:row>60</xdr:row>
      <xdr:rowOff>134493</xdr:rowOff>
    </xdr:to>
    <xdr:sp>
      <xdr:nvSpPr>
        <xdr:cNvPr id="76" name="TextBox 75"/>
        <xdr:cNvSpPr txBox="1">
          <a:spLocks noChangeAspect="0"/>
        </xdr:cNvSpPr>
      </xdr:nvSpPr>
      <xdr:spPr>
        <a:xfrm>
          <a:off x="0" y="11280362"/>
          <a:ext cx="483584" cy="54388"/>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60</xdr:row>
      <xdr:rowOff>80010</xdr:rowOff>
    </xdr:from>
    <xdr:to>
      <xdr:col>0</xdr:col>
      <xdr:colOff>470630</xdr:colOff>
      <xdr:row>60</xdr:row>
      <xdr:rowOff>80010</xdr:rowOff>
    </xdr:to>
    <xdr:cxnSp>
      <xdr:nvCxnSpPr>
        <xdr:cNvPr id="77" name="Straight Connector 76"/>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41</xdr:col>
      <xdr:colOff>358616</xdr:colOff>
      <xdr:row>60</xdr:row>
      <xdr:rowOff>100870</xdr:rowOff>
    </xdr:from>
    <xdr:to>
      <xdr:col>41</xdr:col>
      <xdr:colOff>493109</xdr:colOff>
      <xdr:row>60</xdr:row>
      <xdr:rowOff>100870</xdr:rowOff>
    </xdr:to>
    <xdr:cxnSp>
      <xdr:nvCxnSpPr>
        <xdr:cNvPr id="79" name="Straight Connector 78"/>
        <xdr:cNvCxnSpPr>
          <a:cxnSpLocks noChangeAspect="0"/>
        </xdr:cNvCxnSpPr>
      </xdr:nvCxnSpPr>
      <xdr:spPr>
        <a:xfrm>
          <a:off x="16241554"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40</xdr:col>
      <xdr:colOff>11240</xdr:colOff>
      <xdr:row>59</xdr:row>
      <xdr:rowOff>156877</xdr:rowOff>
    </xdr:from>
    <xdr:to>
      <xdr:col>41</xdr:col>
      <xdr:colOff>470630</xdr:colOff>
      <xdr:row>61</xdr:row>
      <xdr:rowOff>11240</xdr:rowOff>
    </xdr:to>
    <xdr:sp>
      <xdr:nvSpPr>
        <xdr:cNvPr id="80" name="TextBox 79"/>
        <xdr:cNvSpPr txBox="1">
          <a:spLocks noChangeAspect="0"/>
        </xdr:cNvSpPr>
      </xdr:nvSpPr>
      <xdr:spPr>
        <a:xfrm>
          <a:off x="15703677" y="11301127"/>
          <a:ext cx="649891" cy="33623"/>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Senior</a:t>
          </a:r>
          <a:endParaRPr/>
        </a:p>
      </xdr:txBody>
    </xdr:sp>
    <xdr:clientData/>
  </xdr:twoCellAnchor>
  <xdr:twoCellAnchor>
    <xdr:from>
      <xdr:col>41</xdr:col>
      <xdr:colOff>358616</xdr:colOff>
      <xdr:row>61</xdr:row>
      <xdr:rowOff>100870</xdr:rowOff>
    </xdr:from>
    <xdr:to>
      <xdr:col>41</xdr:col>
      <xdr:colOff>493109</xdr:colOff>
      <xdr:row>61</xdr:row>
      <xdr:rowOff>100870</xdr:rowOff>
    </xdr:to>
    <xdr:cxnSp>
      <xdr:nvCxnSpPr>
        <xdr:cNvPr id="82" name="Straight Connector 81"/>
        <xdr:cNvCxnSpPr>
          <a:cxnSpLocks noChangeAspect="0"/>
        </xdr:cNvCxnSpPr>
      </xdr:nvCxnSpPr>
      <xdr:spPr>
        <a:xfrm>
          <a:off x="16241554"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60</xdr:row>
      <xdr:rowOff>134493</xdr:rowOff>
    </xdr:from>
    <xdr:to>
      <xdr:col>0</xdr:col>
      <xdr:colOff>483584</xdr:colOff>
      <xdr:row>61</xdr:row>
      <xdr:rowOff>132874</xdr:rowOff>
    </xdr:to>
    <xdr:sp>
      <xdr:nvSpPr>
        <xdr:cNvPr id="83" name="TextBox 82"/>
        <xdr:cNvSpPr txBox="1">
          <a:spLocks noChangeAspect="0"/>
        </xdr:cNvSpPr>
      </xdr:nvSpPr>
      <xdr:spPr>
        <a:xfrm>
          <a:off x="0" y="11334750"/>
          <a:ext cx="483584" cy="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61</xdr:row>
      <xdr:rowOff>78486</xdr:rowOff>
    </xdr:from>
    <xdr:to>
      <xdr:col>0</xdr:col>
      <xdr:colOff>470630</xdr:colOff>
      <xdr:row>61</xdr:row>
      <xdr:rowOff>78486</xdr:rowOff>
    </xdr:to>
    <xdr:cxnSp>
      <xdr:nvCxnSpPr>
        <xdr:cNvPr id="84" name="Straight Connector 83"/>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60</xdr:row>
      <xdr:rowOff>136112</xdr:rowOff>
    </xdr:from>
    <xdr:to>
      <xdr:col>0</xdr:col>
      <xdr:colOff>483584</xdr:colOff>
      <xdr:row>61</xdr:row>
      <xdr:rowOff>134493</xdr:rowOff>
    </xdr:to>
    <xdr:sp>
      <xdr:nvSpPr>
        <xdr:cNvPr id="85" name="TextBox 84"/>
        <xdr:cNvSpPr txBox="1">
          <a:spLocks noChangeAspect="0"/>
        </xdr:cNvSpPr>
      </xdr:nvSpPr>
      <xdr:spPr>
        <a:xfrm>
          <a:off x="0" y="11334750"/>
          <a:ext cx="483584" cy="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61</xdr:row>
      <xdr:rowOff>80010</xdr:rowOff>
    </xdr:from>
    <xdr:to>
      <xdr:col>0</xdr:col>
      <xdr:colOff>470630</xdr:colOff>
      <xdr:row>61</xdr:row>
      <xdr:rowOff>80010</xdr:rowOff>
    </xdr:to>
    <xdr:cxnSp>
      <xdr:nvCxnSpPr>
        <xdr:cNvPr id="86" name="Straight Connector 85"/>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40</xdr:col>
      <xdr:colOff>11240</xdr:colOff>
      <xdr:row>60</xdr:row>
      <xdr:rowOff>156877</xdr:rowOff>
    </xdr:from>
    <xdr:to>
      <xdr:col>41</xdr:col>
      <xdr:colOff>470630</xdr:colOff>
      <xdr:row>62</xdr:row>
      <xdr:rowOff>11240</xdr:rowOff>
    </xdr:to>
    <xdr:sp>
      <xdr:nvSpPr>
        <xdr:cNvPr id="90" name="TextBox 89"/>
        <xdr:cNvSpPr txBox="1">
          <a:spLocks noChangeAspect="0"/>
        </xdr:cNvSpPr>
      </xdr:nvSpPr>
      <xdr:spPr>
        <a:xfrm>
          <a:off x="15703677" y="11334750"/>
          <a:ext cx="649891" cy="11239"/>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Senior</a:t>
          </a:r>
          <a:endParaRPr/>
        </a:p>
      </xdr:txBody>
    </xdr:sp>
    <xdr:clientData/>
  </xdr:twoCellAnchor>
  <xdr:twoCellAnchor>
    <xdr:from>
      <xdr:col>0</xdr:col>
      <xdr:colOff>133350</xdr:colOff>
      <xdr:row>23</xdr:row>
      <xdr:rowOff>44863</xdr:rowOff>
    </xdr:from>
    <xdr:to>
      <xdr:col>0</xdr:col>
      <xdr:colOff>413480</xdr:colOff>
      <xdr:row>26</xdr:row>
      <xdr:rowOff>84963</xdr:rowOff>
    </xdr:to>
    <xdr:sp>
      <xdr:nvSpPr>
        <xdr:cNvPr id="73" name="Left Brace 72"/>
        <xdr:cNvSpPr>
          <a:spLocks noChangeAspect="0"/>
        </xdr:cNvSpPr>
      </xdr:nvSpPr>
      <xdr:spPr>
        <a:xfrm>
          <a:off x="133350" y="4426363"/>
          <a:ext cx="280130" cy="540163"/>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wrap="square" horzOverflow="clip" vertOverflow="clip"/>
        <a:p>
          <a:pPr algn="ctr">
            <a:defRPr sz="1100">
              <a:solidFill>
                <a:schemeClr val="tx1"/>
              </a:solidFill>
              <a:latin typeface="+mn-lt"/>
            </a:defRPr>
          </a:pPr>
          <a:r>
            <a:rPr sz="1100">
              <a:solidFill>
                <a:schemeClr val="tx1"/>
              </a:solidFill>
              <a:latin typeface="+mn-lt"/>
            </a:rPr>
            <a:t>Seniors</a:t>
          </a:r>
          <a:endParaRPr/>
        </a:p>
      </xdr:txBody>
    </xdr:sp>
    <xdr:clientData/>
  </xdr:twoCellAnchor>
  <xdr:twoCellAnchor>
    <xdr:from>
      <xdr:col>0</xdr:col>
      <xdr:colOff>156877</xdr:colOff>
      <xdr:row>62</xdr:row>
      <xdr:rowOff>56007</xdr:rowOff>
    </xdr:from>
    <xdr:to>
      <xdr:col>0</xdr:col>
      <xdr:colOff>437007</xdr:colOff>
      <xdr:row>66</xdr:row>
      <xdr:rowOff>123254</xdr:rowOff>
    </xdr:to>
    <xdr:sp>
      <xdr:nvSpPr>
        <xdr:cNvPr id="74" name="Left Brace 73"/>
        <xdr:cNvSpPr>
          <a:spLocks noChangeAspect="0"/>
        </xdr:cNvSpPr>
      </xdr:nvSpPr>
      <xdr:spPr>
        <a:xfrm>
          <a:off x="156877" y="11390757"/>
          <a:ext cx="280130" cy="82924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wrap="square" horzOverflow="clip" vertOverflow="clip"/>
        <a:p>
          <a:pPr algn="ctr">
            <a:defRPr sz="1100">
              <a:solidFill>
                <a:schemeClr val="tx1"/>
              </a:solidFill>
              <a:latin typeface="+mn-lt"/>
            </a:defRPr>
          </a:pPr>
          <a:r>
            <a:rPr sz="1100">
              <a:solidFill>
                <a:schemeClr val="tx1"/>
              </a:solidFill>
              <a:latin typeface="+mn-lt"/>
            </a:rPr>
            <a:t>Admin</a:t>
          </a:r>
          <a:endParaRPr/>
        </a:p>
      </xdr:txBody>
    </xdr:sp>
    <xdr:clientData/>
  </xdr:twoCellAnchor>
  <xdr:twoCellAnchor>
    <xdr:from>
      <xdr:col>0</xdr:col>
      <xdr:colOff>156877</xdr:colOff>
      <xdr:row>51</xdr:row>
      <xdr:rowOff>56007</xdr:rowOff>
    </xdr:from>
    <xdr:to>
      <xdr:col>0</xdr:col>
      <xdr:colOff>437007</xdr:colOff>
      <xdr:row>57</xdr:row>
      <xdr:rowOff>112014</xdr:rowOff>
    </xdr:to>
    <xdr:sp>
      <xdr:nvSpPr>
        <xdr:cNvPr id="75" name="Left Brace 74"/>
        <xdr:cNvSpPr>
          <a:spLocks noChangeAspect="0"/>
        </xdr:cNvSpPr>
      </xdr:nvSpPr>
      <xdr:spPr>
        <a:xfrm>
          <a:off x="156877" y="9676257"/>
          <a:ext cx="280130" cy="119900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Payroll</a:t>
          </a:r>
          <a:endParaRPr/>
        </a:p>
      </xdr:txBody>
    </xdr:sp>
    <xdr:clientData/>
  </xdr:twoCellAnchor>
  <xdr:twoCellAnchor>
    <xdr:from>
      <xdr:col>0</xdr:col>
      <xdr:colOff>156877</xdr:colOff>
      <xdr:row>43</xdr:row>
      <xdr:rowOff>56007</xdr:rowOff>
    </xdr:from>
    <xdr:to>
      <xdr:col>0</xdr:col>
      <xdr:colOff>437007</xdr:colOff>
      <xdr:row>49</xdr:row>
      <xdr:rowOff>123254</xdr:rowOff>
    </xdr:to>
    <xdr:sp>
      <xdr:nvSpPr>
        <xdr:cNvPr id="78" name="Left Brace 77"/>
        <xdr:cNvSpPr>
          <a:spLocks noChangeAspect="0"/>
        </xdr:cNvSpPr>
      </xdr:nvSpPr>
      <xdr:spPr>
        <a:xfrm>
          <a:off x="156877" y="8152257"/>
          <a:ext cx="280130" cy="1210247"/>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horzOverflow="clip" vertOverflow="clip" wrap="square"/>
        <a:p>
          <a:pPr algn="ctr">
            <a:defRPr sz="1100">
              <a:solidFill>
                <a:schemeClr val="tx1"/>
              </a:solidFill>
              <a:latin typeface="+mn-lt"/>
            </a:defRPr>
          </a:pPr>
          <a:r>
            <a:rPr sz="1100">
              <a:solidFill>
                <a:schemeClr val="tx1"/>
              </a:solidFill>
              <a:latin typeface="+mn-lt"/>
            </a:rPr>
            <a:t>R&amp;M</a:t>
          </a:r>
          <a:endParaRPr/>
        </a:p>
      </xdr:txBody>
    </xdr:sp>
    <xdr:clientData/>
  </xdr:twoCellAnchor>
  <xdr:twoCellAnchor>
    <xdr:from>
      <xdr:col>0</xdr:col>
      <xdr:colOff>156877</xdr:colOff>
      <xdr:row>38</xdr:row>
      <xdr:rowOff>168116</xdr:rowOff>
    </xdr:from>
    <xdr:to>
      <xdr:col>0</xdr:col>
      <xdr:colOff>437007</xdr:colOff>
      <xdr:row>41</xdr:row>
      <xdr:rowOff>145637</xdr:rowOff>
    </xdr:to>
    <xdr:sp>
      <xdr:nvSpPr>
        <xdr:cNvPr id="81" name="Left Brace 80"/>
        <xdr:cNvSpPr>
          <a:spLocks noChangeAspect="0"/>
        </xdr:cNvSpPr>
      </xdr:nvSpPr>
      <xdr:spPr>
        <a:xfrm>
          <a:off x="156877" y="7311866"/>
          <a:ext cx="280130" cy="549021"/>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tIns="91440" bIns="0" lIns="0" rIns="0" anchorCtr="1" anchor="ctr" vert="vert270" wrap="square" horzOverflow="clip" vertOverflow="clip"/>
        <a:p>
          <a:pPr algn="ctr">
            <a:defRPr sz="1100">
              <a:solidFill>
                <a:schemeClr val="tx1"/>
              </a:solidFill>
              <a:latin typeface="+mn-lt"/>
            </a:defRPr>
          </a:pPr>
          <a:r>
            <a:rPr sz="1100">
              <a:solidFill>
                <a:schemeClr val="tx1"/>
              </a:solidFill>
              <a:latin typeface="+mn-lt"/>
            </a:rPr>
            <a:t>Util</a:t>
          </a:r>
          <a:endParaRPr/>
        </a:p>
      </xdr:txBody>
    </xdr:sp>
    <xdr:clientData/>
  </xdr:twoCellAnchor>
  <xdr:twoCellAnchor>
    <xdr:from>
      <xdr:col>0</xdr:col>
      <xdr:colOff>361569</xdr:colOff>
      <xdr:row>50</xdr:row>
      <xdr:rowOff>89630</xdr:rowOff>
    </xdr:from>
    <xdr:to>
      <xdr:col>0</xdr:col>
      <xdr:colOff>496062</xdr:colOff>
      <xdr:row>50</xdr:row>
      <xdr:rowOff>89630</xdr:rowOff>
    </xdr:to>
    <xdr:cxnSp>
      <xdr:nvCxnSpPr>
        <xdr:cNvPr id="87" name="Straight Connector 86"/>
        <xdr:cNvCxnSpPr>
          <a:cxnSpLocks noChangeAspect="0"/>
        </xdr:cNvCxnSpPr>
      </xdr:nvCxnSpPr>
      <xdr:spPr>
        <a:xfrm>
          <a:off x="361569" y="95193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361569</xdr:colOff>
      <xdr:row>42</xdr:row>
      <xdr:rowOff>89630</xdr:rowOff>
    </xdr:from>
    <xdr:to>
      <xdr:col>0</xdr:col>
      <xdr:colOff>496062</xdr:colOff>
      <xdr:row>42</xdr:row>
      <xdr:rowOff>89630</xdr:rowOff>
    </xdr:to>
    <xdr:cxnSp>
      <xdr:nvCxnSpPr>
        <xdr:cNvPr id="88" name="Straight Connector 87"/>
        <xdr:cNvCxnSpPr>
          <a:cxnSpLocks noChangeAspect="0"/>
        </xdr:cNvCxnSpPr>
      </xdr:nvCxnSpPr>
      <xdr:spPr>
        <a:xfrm>
          <a:off x="361569" y="79953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403384</xdr:colOff>
      <xdr:row>32</xdr:row>
      <xdr:rowOff>67247</xdr:rowOff>
    </xdr:from>
    <xdr:to>
      <xdr:col>0</xdr:col>
      <xdr:colOff>537877</xdr:colOff>
      <xdr:row>32</xdr:row>
      <xdr:rowOff>67247</xdr:rowOff>
    </xdr:to>
    <xdr:cxnSp>
      <xdr:nvCxnSpPr>
        <xdr:cNvPr id="89" name="Straight Connector 88"/>
        <xdr:cNvCxnSpPr>
          <a:cxnSpLocks noChangeAspect="0"/>
        </xdr:cNvCxnSpPr>
      </xdr:nvCxnSpPr>
      <xdr:spPr>
        <a:xfrm>
          <a:off x="403384" y="6067997"/>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34</xdr:row>
      <xdr:rowOff>78486</xdr:rowOff>
    </xdr:from>
    <xdr:to>
      <xdr:col>0</xdr:col>
      <xdr:colOff>526637</xdr:colOff>
      <xdr:row>34</xdr:row>
      <xdr:rowOff>78486</xdr:rowOff>
    </xdr:to>
    <xdr:cxnSp>
      <xdr:nvCxnSpPr>
        <xdr:cNvPr id="91" name="Straight Connector 90"/>
        <xdr:cNvCxnSpPr>
          <a:cxnSpLocks noChangeAspect="0"/>
        </xdr:cNvCxnSpPr>
      </xdr:nvCxnSpPr>
      <xdr:spPr>
        <a:xfrm>
          <a:off x="392240" y="64602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35</xdr:row>
      <xdr:rowOff>78486</xdr:rowOff>
    </xdr:from>
    <xdr:to>
      <xdr:col>0</xdr:col>
      <xdr:colOff>526637</xdr:colOff>
      <xdr:row>35</xdr:row>
      <xdr:rowOff>78486</xdr:rowOff>
    </xdr:to>
    <xdr:cxnSp>
      <xdr:nvCxnSpPr>
        <xdr:cNvPr id="92" name="Straight Connector 91"/>
        <xdr:cNvCxnSpPr>
          <a:cxnSpLocks noChangeAspect="0"/>
        </xdr:cNvCxnSpPr>
      </xdr:nvCxnSpPr>
      <xdr:spPr>
        <a:xfrm>
          <a:off x="392240" y="66507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392240</xdr:colOff>
      <xdr:row>36</xdr:row>
      <xdr:rowOff>78486</xdr:rowOff>
    </xdr:from>
    <xdr:to>
      <xdr:col>0</xdr:col>
      <xdr:colOff>526637</xdr:colOff>
      <xdr:row>36</xdr:row>
      <xdr:rowOff>78486</xdr:rowOff>
    </xdr:to>
    <xdr:cxnSp>
      <xdr:nvCxnSpPr>
        <xdr:cNvPr id="93" name="Straight Connector 92"/>
        <xdr:cNvCxnSpPr>
          <a:cxnSpLocks noChangeAspect="0"/>
        </xdr:cNvCxnSpPr>
      </xdr:nvCxnSpPr>
      <xdr:spPr>
        <a:xfrm>
          <a:off x="392240" y="6841236"/>
          <a:ext cx="134398"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403384</xdr:colOff>
      <xdr:row>33</xdr:row>
      <xdr:rowOff>78486</xdr:rowOff>
    </xdr:from>
    <xdr:to>
      <xdr:col>0</xdr:col>
      <xdr:colOff>537877</xdr:colOff>
      <xdr:row>33</xdr:row>
      <xdr:rowOff>78486</xdr:rowOff>
    </xdr:to>
    <xdr:cxnSp>
      <xdr:nvCxnSpPr>
        <xdr:cNvPr id="94" name="Straight Connector 93"/>
        <xdr:cNvCxnSpPr>
          <a:cxnSpLocks noChangeAspect="0"/>
        </xdr:cNvCxnSpPr>
      </xdr:nvCxnSpPr>
      <xdr:spPr>
        <a:xfrm>
          <a:off x="403384" y="6269736"/>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109919</xdr:colOff>
      <xdr:row>31</xdr:row>
      <xdr:rowOff>139256</xdr:rowOff>
    </xdr:from>
    <xdr:to>
      <xdr:col>0</xdr:col>
      <xdr:colOff>454247</xdr:colOff>
      <xdr:row>32</xdr:row>
      <xdr:rowOff>153829</xdr:rowOff>
    </xdr:to>
    <xdr:sp>
      <xdr:nvSpPr>
        <xdr:cNvPr id="95" name="TextBox 94"/>
        <xdr:cNvSpPr txBox="1">
          <a:spLocks noChangeAspect="0"/>
        </xdr:cNvSpPr>
      </xdr:nvSpPr>
      <xdr:spPr>
        <a:xfrm>
          <a:off x="109919" y="5949506"/>
          <a:ext cx="344329" cy="205073"/>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RET</a:t>
          </a:r>
          <a:endParaRPr/>
        </a:p>
      </xdr:txBody>
    </xdr:sp>
    <xdr:clientData/>
  </xdr:twoCellAnchor>
  <xdr:twoCellAnchor>
    <xdr:from>
      <xdr:col>0</xdr:col>
      <xdr:colOff>0</xdr:colOff>
      <xdr:row>32</xdr:row>
      <xdr:rowOff>139256</xdr:rowOff>
    </xdr:from>
    <xdr:to>
      <xdr:col>0</xdr:col>
      <xdr:colOff>490919</xdr:colOff>
      <xdr:row>34</xdr:row>
      <xdr:rowOff>0</xdr:rowOff>
    </xdr:to>
    <xdr:sp>
      <xdr:nvSpPr>
        <xdr:cNvPr id="96" name="TextBox 95"/>
        <xdr:cNvSpPr txBox="1">
          <a:spLocks noChangeAspect="0"/>
        </xdr:cNvSpPr>
      </xdr:nvSpPr>
      <xdr:spPr>
        <a:xfrm>
          <a:off x="0" y="6140006"/>
          <a:ext cx="490919" cy="24174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0</xdr:col>
      <xdr:colOff>117253</xdr:colOff>
      <xdr:row>33</xdr:row>
      <xdr:rowOff>139256</xdr:rowOff>
    </xdr:from>
    <xdr:to>
      <xdr:col>0</xdr:col>
      <xdr:colOff>446913</xdr:colOff>
      <xdr:row>35</xdr:row>
      <xdr:rowOff>0</xdr:rowOff>
    </xdr:to>
    <xdr:sp>
      <xdr:nvSpPr>
        <xdr:cNvPr id="97" name="TextBox 96"/>
        <xdr:cNvSpPr txBox="1">
          <a:spLocks noChangeAspect="0"/>
        </xdr:cNvSpPr>
      </xdr:nvSpPr>
      <xdr:spPr>
        <a:xfrm>
          <a:off x="117253" y="6330506"/>
          <a:ext cx="329660" cy="24174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INS</a:t>
          </a:r>
          <a:endParaRPr/>
        </a:p>
      </xdr:txBody>
    </xdr:sp>
    <xdr:clientData/>
  </xdr:twoCellAnchor>
  <xdr:twoCellAnchor>
    <xdr:from>
      <xdr:col>0</xdr:col>
      <xdr:colOff>0</xdr:colOff>
      <xdr:row>34</xdr:row>
      <xdr:rowOff>139256</xdr:rowOff>
    </xdr:from>
    <xdr:to>
      <xdr:col>0</xdr:col>
      <xdr:colOff>476250</xdr:colOff>
      <xdr:row>35</xdr:row>
      <xdr:rowOff>161163</xdr:rowOff>
    </xdr:to>
    <xdr:sp>
      <xdr:nvSpPr>
        <xdr:cNvPr id="98" name="TextBox 97"/>
        <xdr:cNvSpPr txBox="1">
          <a:spLocks noChangeAspect="0"/>
        </xdr:cNvSpPr>
      </xdr:nvSpPr>
      <xdr:spPr>
        <a:xfrm>
          <a:off x="0" y="6521006"/>
          <a:ext cx="476250" cy="212408"/>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Admin</a:t>
          </a:r>
          <a:endParaRPr/>
        </a:p>
      </xdr:txBody>
    </xdr:sp>
    <xdr:clientData/>
  </xdr:twoCellAnchor>
  <xdr:twoCellAnchor>
    <xdr:from>
      <xdr:col>0</xdr:col>
      <xdr:colOff>0</xdr:colOff>
      <xdr:row>35</xdr:row>
      <xdr:rowOff>116777</xdr:rowOff>
    </xdr:from>
    <xdr:to>
      <xdr:col>0</xdr:col>
      <xdr:colOff>459486</xdr:colOff>
      <xdr:row>37</xdr:row>
      <xdr:rowOff>44863</xdr:rowOff>
    </xdr:to>
    <xdr:sp>
      <xdr:nvSpPr>
        <xdr:cNvPr id="99" name="TextBox 98"/>
        <xdr:cNvSpPr txBox="1">
          <a:spLocks noChangeAspect="0"/>
        </xdr:cNvSpPr>
      </xdr:nvSpPr>
      <xdr:spPr>
        <a:xfrm>
          <a:off x="0" y="6689027"/>
          <a:ext cx="459486" cy="309086"/>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Ground      </a:t>
          </a:r>
          <a:endParaRPr/>
        </a:p>
      </xdr:txBody>
    </xdr:sp>
    <xdr:clientData/>
  </xdr:twoCellAnchor>
  <xdr:twoCellAnchor>
    <xdr:from>
      <xdr:col>0</xdr:col>
      <xdr:colOff>14669</xdr:colOff>
      <xdr:row>41</xdr:row>
      <xdr:rowOff>146495</xdr:rowOff>
    </xdr:from>
    <xdr:to>
      <xdr:col>0</xdr:col>
      <xdr:colOff>425006</xdr:colOff>
      <xdr:row>43</xdr:row>
      <xdr:rowOff>7334</xdr:rowOff>
    </xdr:to>
    <xdr:sp>
      <xdr:nvSpPr>
        <xdr:cNvPr id="100" name="TextBox 99"/>
        <xdr:cNvSpPr txBox="1">
          <a:spLocks noChangeAspect="0"/>
        </xdr:cNvSpPr>
      </xdr:nvSpPr>
      <xdr:spPr>
        <a:xfrm>
          <a:off x="14669" y="7861744"/>
          <a:ext cx="410337" cy="24184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W&amp;S</a:t>
          </a:r>
          <a:endParaRPr/>
        </a:p>
      </xdr:txBody>
    </xdr:sp>
    <xdr:clientData/>
  </xdr:twoCellAnchor>
  <xdr:twoCellAnchor>
    <xdr:from>
      <xdr:col>0</xdr:col>
      <xdr:colOff>0</xdr:colOff>
      <xdr:row>49</xdr:row>
      <xdr:rowOff>146495</xdr:rowOff>
    </xdr:from>
    <xdr:to>
      <xdr:col>0</xdr:col>
      <xdr:colOff>483584</xdr:colOff>
      <xdr:row>50</xdr:row>
      <xdr:rowOff>161163</xdr:rowOff>
    </xdr:to>
    <xdr:sp>
      <xdr:nvSpPr>
        <xdr:cNvPr id="101" name="TextBox 100"/>
        <xdr:cNvSpPr txBox="1">
          <a:spLocks noChangeAspect="0"/>
        </xdr:cNvSpPr>
      </xdr:nvSpPr>
      <xdr:spPr>
        <a:xfrm>
          <a:off x="0" y="9385744"/>
          <a:ext cx="483584" cy="205169"/>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Mgmt</a:t>
          </a:r>
          <a:endParaRPr/>
        </a:p>
      </xdr:txBody>
    </xdr:sp>
    <xdr:clientData/>
  </xdr:twoCellAnchor>
  <xdr:twoCellAnchor>
    <xdr:from>
      <xdr:col>0</xdr:col>
      <xdr:colOff>361569</xdr:colOff>
      <xdr:row>67</xdr:row>
      <xdr:rowOff>89630</xdr:rowOff>
    </xdr:from>
    <xdr:to>
      <xdr:col>0</xdr:col>
      <xdr:colOff>496062</xdr:colOff>
      <xdr:row>67</xdr:row>
      <xdr:rowOff>89630</xdr:rowOff>
    </xdr:to>
    <xdr:cxnSp>
      <xdr:nvCxnSpPr>
        <xdr:cNvPr id="102" name="Straight Connector 101"/>
        <xdr:cNvCxnSpPr>
          <a:cxnSpLocks noChangeAspect="0"/>
        </xdr:cNvCxnSpPr>
      </xdr:nvCxnSpPr>
      <xdr:spPr>
        <a:xfrm>
          <a:off x="361569" y="123768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3429</xdr:colOff>
      <xdr:row>66</xdr:row>
      <xdr:rowOff>146495</xdr:rowOff>
    </xdr:from>
    <xdr:to>
      <xdr:col>0</xdr:col>
      <xdr:colOff>448247</xdr:colOff>
      <xdr:row>68</xdr:row>
      <xdr:rowOff>0</xdr:rowOff>
    </xdr:to>
    <xdr:sp>
      <xdr:nvSpPr>
        <xdr:cNvPr id="103" name="TextBox 102"/>
        <xdr:cNvSpPr txBox="1">
          <a:spLocks noChangeAspect="0"/>
        </xdr:cNvSpPr>
      </xdr:nvSpPr>
      <xdr:spPr>
        <a:xfrm>
          <a:off x="3429" y="12243245"/>
          <a:ext cx="444818" cy="234505"/>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Other</a:t>
          </a:r>
          <a:endParaRPr/>
        </a:p>
      </xdr:txBody>
    </xdr:sp>
    <xdr:clientData/>
  </xdr:twoCellAnchor>
  <xdr:twoCellAnchor>
    <xdr:from>
      <xdr:col>0</xdr:col>
      <xdr:colOff>0</xdr:colOff>
      <xdr:row>57</xdr:row>
      <xdr:rowOff>156877</xdr:rowOff>
    </xdr:from>
    <xdr:to>
      <xdr:col>0</xdr:col>
      <xdr:colOff>483584</xdr:colOff>
      <xdr:row>59</xdr:row>
      <xdr:rowOff>14669</xdr:rowOff>
    </xdr:to>
    <xdr:sp>
      <xdr:nvSpPr>
        <xdr:cNvPr id="104" name="TextBox 103"/>
        <xdr:cNvSpPr txBox="1">
          <a:spLocks noChangeAspect="0"/>
        </xdr:cNvSpPr>
      </xdr:nvSpPr>
      <xdr:spPr>
        <a:xfrm>
          <a:off x="0" y="10920127"/>
          <a:ext cx="483584" cy="238792"/>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Adv.</a:t>
          </a:r>
          <a:endParaRPr/>
        </a:p>
      </xdr:txBody>
    </xdr:sp>
    <xdr:clientData/>
  </xdr:twoCellAnchor>
  <xdr:twoCellAnchor>
    <xdr:from>
      <xdr:col>0</xdr:col>
      <xdr:colOff>0</xdr:colOff>
      <xdr:row>58</xdr:row>
      <xdr:rowOff>145637</xdr:rowOff>
    </xdr:from>
    <xdr:to>
      <xdr:col>0</xdr:col>
      <xdr:colOff>483584</xdr:colOff>
      <xdr:row>59</xdr:row>
      <xdr:rowOff>156877</xdr:rowOff>
    </xdr:to>
    <xdr:sp>
      <xdr:nvSpPr>
        <xdr:cNvPr id="105" name="TextBox 104"/>
        <xdr:cNvSpPr txBox="1">
          <a:spLocks noChangeAspect="0"/>
        </xdr:cNvSpPr>
      </xdr:nvSpPr>
      <xdr:spPr>
        <a:xfrm>
          <a:off x="0" y="11099387"/>
          <a:ext cx="483584" cy="20174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Prof.</a:t>
          </a:r>
          <a:endParaRPr/>
        </a:p>
      </xdr:txBody>
    </xdr:sp>
    <xdr:clientData/>
  </xdr:twoCellAnchor>
  <xdr:twoCellAnchor>
    <xdr:from>
      <xdr:col>0</xdr:col>
      <xdr:colOff>347377</xdr:colOff>
      <xdr:row>58</xdr:row>
      <xdr:rowOff>100870</xdr:rowOff>
    </xdr:from>
    <xdr:to>
      <xdr:col>0</xdr:col>
      <xdr:colOff>481870</xdr:colOff>
      <xdr:row>58</xdr:row>
      <xdr:rowOff>100870</xdr:rowOff>
    </xdr:to>
    <xdr:cxnSp>
      <xdr:nvCxnSpPr>
        <xdr:cNvPr id="106" name="Straight Connector 105"/>
        <xdr:cNvCxnSpPr>
          <a:cxnSpLocks noChangeAspect="0"/>
        </xdr:cNvCxnSpPr>
      </xdr:nvCxnSpPr>
      <xdr:spPr>
        <a:xfrm>
          <a:off x="347377" y="1105462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347377</xdr:colOff>
      <xdr:row>59</xdr:row>
      <xdr:rowOff>89630</xdr:rowOff>
    </xdr:from>
    <xdr:to>
      <xdr:col>0</xdr:col>
      <xdr:colOff>481870</xdr:colOff>
      <xdr:row>59</xdr:row>
      <xdr:rowOff>89630</xdr:rowOff>
    </xdr:to>
    <xdr:cxnSp>
      <xdr:nvCxnSpPr>
        <xdr:cNvPr id="107" name="Straight Connector 106"/>
        <xdr:cNvCxnSpPr>
          <a:cxnSpLocks noChangeAspect="0"/>
        </xdr:cNvCxnSpPr>
      </xdr:nvCxnSpPr>
      <xdr:spPr>
        <a:xfrm>
          <a:off x="347377" y="1123388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59</xdr:row>
      <xdr:rowOff>136112</xdr:rowOff>
    </xdr:from>
    <xdr:to>
      <xdr:col>0</xdr:col>
      <xdr:colOff>483584</xdr:colOff>
      <xdr:row>60</xdr:row>
      <xdr:rowOff>134493</xdr:rowOff>
    </xdr:to>
    <xdr:sp>
      <xdr:nvSpPr>
        <xdr:cNvPr id="108" name="TextBox 107"/>
        <xdr:cNvSpPr txBox="1">
          <a:spLocks noChangeAspect="0"/>
        </xdr:cNvSpPr>
      </xdr:nvSpPr>
      <xdr:spPr>
        <a:xfrm>
          <a:off x="0" y="11280362"/>
          <a:ext cx="483584" cy="54388"/>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60</xdr:row>
      <xdr:rowOff>80010</xdr:rowOff>
    </xdr:from>
    <xdr:to>
      <xdr:col>0</xdr:col>
      <xdr:colOff>470630</xdr:colOff>
      <xdr:row>60</xdr:row>
      <xdr:rowOff>80010</xdr:rowOff>
    </xdr:to>
    <xdr:cxnSp>
      <xdr:nvCxnSpPr>
        <xdr:cNvPr id="109" name="Straight Connector 108"/>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60</xdr:row>
      <xdr:rowOff>134493</xdr:rowOff>
    </xdr:from>
    <xdr:to>
      <xdr:col>0</xdr:col>
      <xdr:colOff>483584</xdr:colOff>
      <xdr:row>61</xdr:row>
      <xdr:rowOff>132874</xdr:rowOff>
    </xdr:to>
    <xdr:sp>
      <xdr:nvSpPr>
        <xdr:cNvPr id="110" name="TextBox 109"/>
        <xdr:cNvSpPr txBox="1">
          <a:spLocks noChangeAspect="0"/>
        </xdr:cNvSpPr>
      </xdr:nvSpPr>
      <xdr:spPr>
        <a:xfrm>
          <a:off x="0" y="11334750"/>
          <a:ext cx="483584" cy="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61</xdr:row>
      <xdr:rowOff>78486</xdr:rowOff>
    </xdr:from>
    <xdr:to>
      <xdr:col>0</xdr:col>
      <xdr:colOff>470630</xdr:colOff>
      <xdr:row>61</xdr:row>
      <xdr:rowOff>78486</xdr:rowOff>
    </xdr:to>
    <xdr:cxnSp>
      <xdr:nvCxnSpPr>
        <xdr:cNvPr id="111" name="Straight Connector 110"/>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0</xdr:colOff>
      <xdr:row>60</xdr:row>
      <xdr:rowOff>136112</xdr:rowOff>
    </xdr:from>
    <xdr:to>
      <xdr:col>0</xdr:col>
      <xdr:colOff>483584</xdr:colOff>
      <xdr:row>61</xdr:row>
      <xdr:rowOff>134493</xdr:rowOff>
    </xdr:to>
    <xdr:sp>
      <xdr:nvSpPr>
        <xdr:cNvPr id="112" name="TextBox 111"/>
        <xdr:cNvSpPr txBox="1">
          <a:spLocks noChangeAspect="0"/>
        </xdr:cNvSpPr>
      </xdr:nvSpPr>
      <xdr:spPr>
        <a:xfrm>
          <a:off x="0" y="11334750"/>
          <a:ext cx="483584" cy="0"/>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l">
            <a:defRPr sz="800">
              <a:solidFill>
                <a:schemeClr val="tx1"/>
              </a:solidFill>
              <a:latin typeface="+mn-lt"/>
            </a:defRPr>
          </a:pPr>
          <a:r>
            <a:rPr sz="800">
              <a:solidFill>
                <a:schemeClr val="tx1"/>
              </a:solidFill>
              <a:latin typeface="+mn-lt"/>
            </a:rPr>
            <a:t> Sen.	</a:t>
          </a:r>
          <a:endParaRPr/>
        </a:p>
      </xdr:txBody>
    </xdr:sp>
    <xdr:clientData/>
  </xdr:twoCellAnchor>
  <xdr:twoCellAnchor>
    <xdr:from>
      <xdr:col>0</xdr:col>
      <xdr:colOff>336137</xdr:colOff>
      <xdr:row>61</xdr:row>
      <xdr:rowOff>80010</xdr:rowOff>
    </xdr:from>
    <xdr:to>
      <xdr:col>0</xdr:col>
      <xdr:colOff>470630</xdr:colOff>
      <xdr:row>61</xdr:row>
      <xdr:rowOff>80010</xdr:rowOff>
    </xdr:to>
    <xdr:cxnSp>
      <xdr:nvCxnSpPr>
        <xdr:cNvPr id="113" name="Straight Connector 112"/>
        <xdr:cNvCxnSpPr>
          <a:cxnSpLocks noChangeAspect="0"/>
        </xdr:cNvCxnSpPr>
      </xdr:nvCxnSpPr>
      <xdr:spPr>
        <a:xfrm>
          <a:off x="336137" y="11334750"/>
          <a:ext cx="134493" cy="0"/>
        </a:xfrm>
        <a:prstGeom prst="straightConnector1">
          <a:avLst/>
        </a:prstGeom>
        <a:noFill/>
        <a:ln w="9525" cmpd="sng" cap="flat">
          <a:solidFill>
            <a:schemeClr val="accent1"/>
          </a:solidFill>
          <a:prstDash val="solid"/>
        </a:ln>
      </xdr:spPr>
      <xdr:style>
        <a:lnRef idx="1">
          <a:schemeClr val="accent1"/>
        </a:lnRef>
        <a:fillRef idx="0"/>
        <a:effectRef idx="0">
          <a:schemeClr val="accent1"/>
        </a:effectRef>
        <a:fontRef idx="minor">
          <a:schemeClr val="tx1"/>
        </a:fontRef>
      </xdr:style>
    </xdr:cxnSp>
    <xdr:clientData/>
  </xdr:twoCellAnchor>
  <xdr:twoCellAnchor>
    <xdr:from>
      <xdr:col>0</xdr:col>
      <xdr:colOff>133350</xdr:colOff>
      <xdr:row>23</xdr:row>
      <xdr:rowOff>44863</xdr:rowOff>
    </xdr:from>
    <xdr:to>
      <xdr:col>0</xdr:col>
      <xdr:colOff>413480</xdr:colOff>
      <xdr:row>26</xdr:row>
      <xdr:rowOff>84963</xdr:rowOff>
    </xdr:to>
    <xdr:sp>
      <xdr:nvSpPr>
        <xdr:cNvPr id="114" name="Left Brace 113"/>
        <xdr:cNvSpPr>
          <a:spLocks noChangeAspect="0"/>
        </xdr:cNvSpPr>
      </xdr:nvSpPr>
      <xdr:spPr>
        <a:xfrm>
          <a:off x="133350" y="4426363"/>
          <a:ext cx="280130" cy="540163"/>
        </a:xfrm>
        <a:prstGeom prst="leftBrace">
          <a:avLst>
            <a:gd name="adj1" fmla="val 8333"/>
            <a:gd name="adj2" fmla="val 50000"/>
          </a:avLst>
        </a:prstGeom>
        <a:noFill/>
        <a:ln w="9525" cmpd="sng" cap="flat">
          <a:solidFill>
            <a:schemeClr val="accent1">
              <a:shade val="50000"/>
            </a:schemeClr>
          </a:solidFill>
          <a:prstDash val="solid"/>
        </a:ln>
      </xdr:spPr>
      <xdr:style>
        <a:lnRef idx="1">
          <a:schemeClr val="accent1"/>
        </a:lnRef>
        <a:fillRef idx="0"/>
        <a:effectRef idx="0">
          <a:schemeClr val="accent1"/>
        </a:effectRef>
        <a:fontRef idx="minor">
          <a:schemeClr val="tx1"/>
        </a:fontRef>
      </xdr:style>
      <xdr:txBody>
        <a:bodyPr lIns="0" rIns="0" anchorCtr="1" anchor="ctr" vert="vert270" wrap="square" horzOverflow="clip" vertOverflow="clip"/>
        <a:p>
          <a:pPr algn="ctr">
            <a:defRPr sz="1100">
              <a:solidFill>
                <a:schemeClr val="tx1"/>
              </a:solidFill>
              <a:latin typeface="+mn-lt"/>
            </a:defRPr>
          </a:pPr>
          <a:r>
            <a:rPr sz="1100">
              <a:solidFill>
                <a:schemeClr val="tx1"/>
              </a:solidFill>
              <a:latin typeface="+mn-lt"/>
            </a:rPr>
            <a:t>Seniors</a:t>
          </a:r>
          <a:endParaRPr/>
        </a:p>
      </xdr:txBody>
    </xdr:sp>
    <xdr:clientData/>
  </xdr:twoCellAnchor>
  <xdr:twoCellAnchor>
    <xdr:from>
      <xdr:col>36</xdr:col>
      <xdr:colOff>800100</xdr:colOff>
      <xdr:row>49</xdr:row>
      <xdr:rowOff>123825</xdr:rowOff>
    </xdr:from>
    <xdr:to>
      <xdr:col>40</xdr:col>
      <xdr:colOff>161925</xdr:colOff>
      <xdr:row>51</xdr:row>
      <xdr:rowOff>19050</xdr:rowOff>
    </xdr:to>
    <xdr:sp>
      <xdr:nvSpPr>
        <xdr:cNvPr id="2" name="Rectangle 1"/>
        <xdr:cNvSpPr>
          <a:spLocks noChangeAspect="0"/>
        </xdr:cNvSpPr>
      </xdr:nvSpPr>
      <xdr:spPr>
        <a:xfrm>
          <a:off x="13720763" y="9363075"/>
          <a:ext cx="2133600" cy="276225"/>
        </a:xfrm>
        <a:prstGeom prst="rect">
          <a:avLst/>
        </a:prstGeom>
        <a:noFill/>
        <a:ln w="25432" cmpd="sng" cap="flat">
          <a:solidFill>
            <a:srgbClr val="ff0000"/>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endParaRPr/>
        </a:p>
      </xdr:txBody>
    </xdr:sp>
    <xdr:clientData/>
  </xdr:twoCellAnchor>
  <xdr:twoCellAnchor>
    <xdr:from>
      <xdr:col>42</xdr:col>
      <xdr:colOff>44863</xdr:colOff>
      <xdr:row>2</xdr:row>
      <xdr:rowOff>33623</xdr:rowOff>
    </xdr:from>
    <xdr:to>
      <xdr:col>42</xdr:col>
      <xdr:colOff>1019747</xdr:colOff>
      <xdr:row>4</xdr:row>
      <xdr:rowOff>11240</xdr:rowOff>
    </xdr:to>
    <xdr:sp>
      <xdr:nvSpPr>
        <xdr:cNvPr id="3" name="buttonQuickExport"/>
        <xdr:cNvSpPr>
          <a:spLocks noChangeAspect="1"/>
        </xdr:cNvSpPr>
      </xdr:nvSpPr>
      <xdr:spPr>
        <a:xfrm>
          <a:off x="16487394" y="414623"/>
          <a:ext cx="974884" cy="358616"/>
        </a:xfrm>
        <a:prstGeom prst="roundRect">
          <a:avLst>
            <a:gd name="adj" fmla="val 16667"/>
          </a:avLst>
        </a:prstGeom>
        <a:solidFill>
          <a:schemeClr val="accent5">
            <a:lumMod val="50000"/>
          </a:schemeClr>
        </a:solidFill>
        <a:ln w="25432" cmpd="sng" cap="flat">
          <a:solidFill>
            <a:schemeClr val="tx2">
              <a:lumMod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Quick Export</a:t>
          </a:r>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4686300</xdr:colOff>
      <xdr:row>2</xdr:row>
      <xdr:rowOff>38100</xdr:rowOff>
    </xdr:from>
    <xdr:to>
      <xdr:col>2</xdr:col>
      <xdr:colOff>5753100</xdr:colOff>
      <xdr:row>2</xdr:row>
      <xdr:rowOff>259080</xdr:rowOff>
    </xdr:to>
    <xdr:sp>
      <xdr:nvSpPr>
        <xdr:cNvPr id="6" name="Rectangle 5"/>
        <xdr:cNvSpPr>
          <a:spLocks noChangeAspect="0"/>
        </xdr:cNvSpPr>
      </xdr:nvSpPr>
      <xdr:spPr>
        <a:xfrm>
          <a:off x="7419975" y="733425"/>
          <a:ext cx="1066800" cy="220980"/>
        </a:xfrm>
        <a:prstGeom prst="rect">
          <a:avLst/>
        </a:prstGeom>
        <a:solidFill>
          <a:srgbClr val="ffff99"/>
        </a:solidFill>
        <a:ln w="3143" cmpd="sng" cap="flat">
          <a:solidFill>
            <a:sysClr val="windowText" lastClr="000000"/>
          </a:solidFill>
          <a:prstDash val="solid"/>
        </a:ln>
      </xdr:spPr>
      <xdr:style>
        <a:lnRef idx="2">
          <a:schemeClr val="accent1"/>
        </a:lnRef>
        <a:fillRef idx="1">
          <a:schemeClr val="accent1"/>
        </a:fillRef>
        <a:effectRef idx="0">
          <a:schemeClr val="accent1"/>
        </a:effectRef>
        <a:fontRef idx="minor">
          <a:schemeClr val="bg1"/>
        </a:fontRef>
      </xdr:style>
      <xdr:txBody>
        <a:bodyPr tIns="0" bIns="0" lIns="0" rIns="0" anchorCtr="1" anchor="ctr" vert="horz" wrap="square" horzOverflow="clip" vertOverflow="clip"/>
        <a:p>
          <a:pPr algn="ctr">
            <a:defRPr sz="1100" b="0" i="0" strike="noStrike" u="none">
              <a:solidFill>
                <a:srgbClr val="0000ff"/>
              </a:solidFill>
              <a:latin typeface="Calibri"/>
            </a:defRPr>
          </a:pPr>
          <a:r>
            <a:rPr sz="1100" b="0" i="0" strike="noStrike" u="none">
              <a:solidFill>
                <a:srgbClr val="0000ff"/>
              </a:solidFill>
              <a:latin typeface="Calibri"/>
            </a:rPr>
            <a:t>Input Required</a:t>
          </a:r>
          <a:endParaRPr/>
        </a:p>
      </xdr:txBody>
    </xdr:sp>
    <xdr:clientData fPrintsWithSheet="0"/>
  </xdr:twoCellAnchor>
  <mc:AlternateContent xmlns:mc="http://schemas.openxmlformats.org/markup-compatibility/2006">
    <mc:Choice xmlns:a14="http://schemas.microsoft.com/office/drawing/2010/main" Requires="a14">
      <xdr:twoCellAnchor>
        <xdr:from>
          <xdr:col>3</xdr:col>
          <xdr:colOff>101632</xdr:colOff>
          <xdr:row>0</xdr:row>
          <xdr:rowOff>101632</xdr:rowOff>
        </xdr:from>
        <xdr:to>
          <xdr:col>5</xdr:col>
          <xdr:colOff>406432</xdr:colOff>
          <xdr:row>2</xdr:row>
          <xdr:rowOff>88868</xdr:rowOff>
        </xdr:to>
        <xdr:sp>
          <xdr:nvSpPr>
            <xdr:cNvPr id="1443843" name="Button 3" hidden="1" descr="Print Kick-Off Memo to PDF">
              <a:extLst>
                <a:ext uri="{63B3BB69-23CF-44E3-9099-C40C66FF867C}">
                  <a14:compatExt spid="_x0000_s13313"/>
                </a:ext>
              </a:extLst>
            </xdr:cNvPr>
            <xdr:cNvSpPr>
              <a:spLocks noChangeAspect="0"/>
            </xdr:cNvSpPr>
          </xdr:nvSpPr>
          <xdr:spPr>
            <a:xfrm>
              <a:off x="8683657" y="101632"/>
              <a:ext cx="1524000" cy="682562"/>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1" i="0" strike="noStrike" u="none">
                  <a:solidFill>
                    <a:srgbClr val="0000ff"/>
                  </a:solidFill>
                  <a:latin typeface="Calibri"/>
                </a:defRPr>
              </a:pPr>
              <a:r>
                <a:rPr sz="1400" b="1" i="0" strike="noStrike" u="none">
                  <a:solidFill>
                    <a:srgbClr val="0000ff"/>
                  </a:solidFill>
                  <a:latin typeface="Calibri"/>
                </a:rPr>
                <a:t>Save Kick-Off Memo as PDF</a:t>
              </a:r>
              <a:endParaRPr/>
            </a:p>
          </xdr:txBody>
        </xdr:sp>
        <xdr:clientData fPrintsWithSheet="0"/>
      </xdr:twoCellAnchor>
    </mc:Choice>
  </mc:AlternateContent>
</xdr:wsDr>
</file>

<file path=xl/drawings/drawing10.xml><?xml version="1.0" encoding="utf-8"?>
<xdr:wsDr xmlns:xdr="http://schemas.openxmlformats.org/drawingml/2006/spreadsheetDrawing" xmlns:a="http://schemas.openxmlformats.org/drawingml/2006/main">
  <xdr:twoCellAnchor editAs="oneCell">
    <xdr:from>
      <xdr:col>3</xdr:col>
      <xdr:colOff>75343</xdr:colOff>
      <xdr:row>4</xdr:row>
      <xdr:rowOff>24289</xdr:rowOff>
    </xdr:from>
    <xdr:to>
      <xdr:col>5</xdr:col>
      <xdr:colOff>76200</xdr:colOff>
      <xdr:row>5</xdr:row>
      <xdr:rowOff>31814</xdr:rowOff>
    </xdr:to>
    <xdr:pic>
      <xdr:nvPicPr>
        <xdr:cNvPr id="5" name="WD Logo_FRE"/>
        <xdr:cNvPicPr>
          <a:picLocks noChangeAspect="1"/>
        </xdr:cNvPicPr>
      </xdr:nvPicPr>
      <xdr:blipFill>
        <a:blip xmlns:r="http://schemas.openxmlformats.org/officeDocument/2006/relationships" r:embed="rId1"/>
        <a:srcRect l="0" r="0" t="0" b="0"/>
        <a:stretch/>
      </xdr:blipFill>
      <xdr:spPr>
        <a:xfrm>
          <a:off x="1713643" y="119539"/>
          <a:ext cx="2877407" cy="150400"/>
        </a:xfrm>
        <a:prstGeom prst="rect">
          <a:avLst/>
        </a:prstGeom>
        <a:noFill/>
        <a:ln cmpd="sng">
          <a:noFill/>
        </a:ln>
      </xdr:spPr>
    </xdr:pic>
    <xdr:clientData/>
  </xdr:twoCellAnchor>
  <xdr:twoCellAnchor editAs="oneCell">
    <xdr:from>
      <xdr:col>0</xdr:col>
      <xdr:colOff>112586</xdr:colOff>
      <xdr:row>3</xdr:row>
      <xdr:rowOff>77915</xdr:rowOff>
    </xdr:from>
    <xdr:to>
      <xdr:col>1</xdr:col>
      <xdr:colOff>190500</xdr:colOff>
      <xdr:row>6</xdr:row>
      <xdr:rowOff>86582</xdr:rowOff>
    </xdr:to>
    <xdr:sp>
      <xdr:nvSpPr>
        <xdr:cNvPr id="2" name="button_PrintPDF"/>
        <xdr:cNvSpPr>
          <a:spLocks noChangeAspect="0"/>
        </xdr:cNvSpPr>
      </xdr:nvSpPr>
      <xdr:spPr>
        <a:xfrm>
          <a:off x="112586" y="77915"/>
          <a:ext cx="868490" cy="389668"/>
        </a:xfrm>
        <a:prstGeom prst="roundRect">
          <a:avLst>
            <a:gd name="adj" fmla="val 16667"/>
          </a:avLst>
        </a:prstGeom>
        <a:solidFill>
          <a:srgbClr val="44546a">
            <a:lumMod val="75000"/>
          </a:srgbClr>
        </a:solidFill>
        <a:ln w="25432" cmpd="sng" cap="flat">
          <a:solidFill>
            <a:srgbClr val="4472c4">
              <a:shade val="50000"/>
            </a:srgbClr>
          </a:solidFill>
          <a:prstDash val="solid"/>
        </a:ln>
      </xdr:spPr>
      <xdr:style>
        <a:lnRef idx="2">
          <a:schemeClr val="accent1"/>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i="0" strike="noStrike" u="none">
              <a:solidFill>
                <a:srgbClr val="ffffff"/>
              </a:solidFill>
              <a:latin typeface="Calibri"/>
            </a:defRPr>
          </a:pPr>
          <a:r>
            <a:rPr sz="1200" b="0" i="0" strike="noStrike" u="none">
              <a:solidFill>
                <a:sysClr val="window" lastClr="ffffff"/>
              </a:solidFill>
              <a:latin typeface="Calibri"/>
            </a:rPr>
            <a:t>Print PDF</a:t>
          </a:r>
          <a:endParaRPr/>
        </a:p>
      </xdr:txBody>
    </xdr:sp>
    <xdr:clientData fPrintsWithSheet="0"/>
  </xdr:twoCellAnchor>
  <xdr:twoCellAnchor editAs="oneCell">
    <xdr:from>
      <xdr:col>3</xdr:col>
      <xdr:colOff>110014</xdr:colOff>
      <xdr:row>33</xdr:row>
      <xdr:rowOff>58865</xdr:rowOff>
    </xdr:from>
    <xdr:to>
      <xdr:col>5</xdr:col>
      <xdr:colOff>109157</xdr:colOff>
      <xdr:row>38</xdr:row>
      <xdr:rowOff>154781</xdr:rowOff>
    </xdr:to>
    <xdr:pic>
      <xdr:nvPicPr>
        <xdr:cNvPr id="4" name="WD Logo_FNM" hidden="1"/>
        <xdr:cNvPicPr>
          <a:picLocks noChangeAspect="1"/>
        </xdr:cNvPicPr>
      </xdr:nvPicPr>
      <xdr:blipFill>
        <a:blip xmlns:r="http://schemas.openxmlformats.org/officeDocument/2006/relationships" r:embed="rId2"/>
        <a:srcRect l="0" r="0" t="0" b="0"/>
        <a:stretch/>
      </xdr:blipFill>
      <xdr:spPr>
        <a:xfrm>
          <a:off x="1748314" y="3752850"/>
          <a:ext cx="2875693" cy="154781"/>
        </a:xfrm>
        <a:prstGeom prst="rect">
          <a:avLst/>
        </a:prstGeom>
        <a:noFill/>
        <a:ln cmpd="sng">
          <a:noFill/>
        </a:ln>
      </xdr:spPr>
    </xdr:pic>
    <xdr:clientData/>
  </xdr:twoCellAnchor>
  <xdr:twoCellAnchor editAs="oneCell">
    <xdr:from>
      <xdr:col>3</xdr:col>
      <xdr:colOff>92678</xdr:colOff>
      <xdr:row>65</xdr:row>
      <xdr:rowOff>24289</xdr:rowOff>
    </xdr:from>
    <xdr:to>
      <xdr:col>5</xdr:col>
      <xdr:colOff>91821</xdr:colOff>
      <xdr:row>70</xdr:row>
      <xdr:rowOff>154781</xdr:rowOff>
    </xdr:to>
    <xdr:pic>
      <xdr:nvPicPr>
        <xdr:cNvPr id="7" name="WD Logo_WPL" hidden="1"/>
        <xdr:cNvPicPr>
          <a:picLocks noChangeAspect="1"/>
        </xdr:cNvPicPr>
      </xdr:nvPicPr>
      <xdr:blipFill>
        <a:blip xmlns:r="http://schemas.openxmlformats.org/officeDocument/2006/relationships" r:embed="rId3"/>
        <a:srcRect l="0" r="0" t="0" b="0"/>
        <a:stretch/>
      </xdr:blipFill>
      <xdr:spPr>
        <a:xfrm>
          <a:off x="1730978" y="6734175"/>
          <a:ext cx="2875693" cy="154781"/>
        </a:xfrm>
        <a:prstGeom prst="rect">
          <a:avLst/>
        </a:prstGeom>
        <a:noFill/>
        <a:ln cmpd="sng">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985457</xdr:colOff>
      <xdr:row>42</xdr:row>
      <xdr:rowOff>200025</xdr:rowOff>
    </xdr:from>
    <xdr:to>
      <xdr:col>14</xdr:col>
      <xdr:colOff>858488</xdr:colOff>
      <xdr:row>42</xdr:row>
      <xdr:rowOff>428816</xdr:rowOff>
    </xdr:to>
    <xdr:pic>
      <xdr:nvPicPr>
        <xdr:cNvPr id="3" name="WD_Logo"/>
        <xdr:cNvPicPr>
          <a:picLocks noChangeAspect="0"/>
        </xdr:cNvPicPr>
      </xdr:nvPicPr>
      <xdr:blipFill>
        <a:blip xmlns:r="http://schemas.openxmlformats.org/officeDocument/2006/relationships" r:embed="rId1"/>
        <a:srcRect l="0" r="0" t="0" b="0"/>
        <a:stretch/>
      </xdr:blipFill>
      <xdr:spPr>
        <a:xfrm>
          <a:off x="3271457" y="8277225"/>
          <a:ext cx="4064032" cy="228790"/>
        </a:xfrm>
        <a:prstGeom prst="rect">
          <a:avLst/>
        </a:prstGeom>
        <a:noFill/>
        <a:ln cmpd="sng">
          <a:noFill/>
        </a:ln>
      </xdr:spPr>
    </xdr:pic>
    <xdr:clientData/>
  </xdr:twoCellAnchor>
  <xdr:twoCellAnchor editAs="oneCell">
    <xdr:from>
      <xdr:col>0</xdr:col>
      <xdr:colOff>485775</xdr:colOff>
      <xdr:row>2</xdr:row>
      <xdr:rowOff>85725</xdr:rowOff>
    </xdr:from>
    <xdr:to>
      <xdr:col>0</xdr:col>
      <xdr:colOff>1593056</xdr:colOff>
      <xdr:row>5</xdr:row>
      <xdr:rowOff>60293</xdr:rowOff>
    </xdr:to>
    <xdr:sp>
      <xdr:nvSpPr>
        <xdr:cNvPr id="4" name="button_PrintPDF"/>
        <xdr:cNvSpPr>
          <a:spLocks noChangeAspect="0"/>
        </xdr:cNvSpPr>
      </xdr:nvSpPr>
      <xdr:spPr>
        <a:xfrm>
          <a:off x="485775" y="85725"/>
          <a:ext cx="1107281" cy="460343"/>
        </a:xfrm>
        <a:prstGeom prst="roundRect">
          <a:avLst>
            <a:gd name="adj" fmla="val 16667"/>
          </a:avLst>
        </a:prstGeom>
        <a:solidFill>
          <a:srgbClr val="44546a">
            <a:lumMod val="75000"/>
          </a:srgbClr>
        </a:solidFill>
        <a:ln w="25432" cmpd="sng" cap="flat">
          <a:solidFill>
            <a:srgbClr val="4472c4">
              <a:shade val="50000"/>
            </a:srgbClr>
          </a:solidFill>
          <a:prstDash val="solid"/>
        </a:ln>
      </xdr:spPr>
      <xdr:style>
        <a:lnRef idx="2">
          <a:schemeClr val="accent1"/>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i="0" strike="noStrike" u="none">
              <a:solidFill>
                <a:srgbClr val="ffffff"/>
              </a:solidFill>
              <a:latin typeface="Calibri"/>
            </a:defRPr>
          </a:pPr>
          <a:r>
            <a:rPr sz="1200" b="0" i="0" strike="noStrike" u="none">
              <a:solidFill>
                <a:sysClr val="window" lastClr="ffffff"/>
              </a:solidFill>
              <a:latin typeface="Calibri"/>
            </a:rPr>
            <a:t>Print PDF</a:t>
          </a:r>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183</xdr:row>
      <xdr:rowOff>142875</xdr:rowOff>
    </xdr:from>
    <xdr:to>
      <xdr:col>1</xdr:col>
      <xdr:colOff>0</xdr:colOff>
      <xdr:row>185</xdr:row>
      <xdr:rowOff>28575</xdr:rowOff>
    </xdr:to>
    <xdr:sp>
      <xdr:nvSpPr>
        <xdr:cNvPr id="2" name="Text Box 14"/>
        <xdr:cNvSpPr txBox="1">
          <a:spLocks noChangeAspect="0"/>
        </xdr:cNvSpPr>
      </xdr:nvSpPr>
      <xdr:spPr>
        <a:xfrm flipV="1" rot="10800000">
          <a:off x="114300" y="53892450"/>
          <a:ext cx="0" cy="238125"/>
        </a:xfrm>
        <a:prstGeom prst="rect">
          <a:avLst/>
        </a:prstGeom>
        <a:solidFill>
          <a:srgbClr val="ffffff"/>
        </a:solidFill>
        <a:ln cmpd="sng">
          <a:noFill/>
        </a:ln>
      </xdr:spPr>
      <xdr:style>
        <a:lnRef idx="2">
          <a:schemeClr val="accent1"/>
        </a:lnRef>
        <a:fillRef idx="1">
          <a:schemeClr val="accent1"/>
        </a:fillRef>
        <a:effectRef idx="0">
          <a:schemeClr val="accent1"/>
        </a:effectRef>
        <a:fontRef idx="minor">
          <a:schemeClr val="bg1"/>
        </a:fontRef>
      </xdr:style>
      <xdr:txBody>
        <a:bodyPr vert="horz" wrap="square" horzOverflow="clip" vertOverflow="clip" anchor="t"/>
        <a:p>
          <a:pPr algn="l">
            <a:defRPr sz="1000" b="0" i="0" strike="noStrike" u="none">
              <a:solidFill>
                <a:srgbClr val="000000"/>
              </a:solidFill>
              <a:latin typeface="Times New Roman"/>
            </a:defRPr>
          </a:pPr>
          <a:r>
            <a:rPr sz="1200" b="0" i="0" strike="noStrike" u="none">
              <a:solidFill>
                <a:srgbClr val="000000"/>
              </a:solidFill>
              <a:latin typeface="Times New Roman"/>
            </a:rPr>
            <a:t> </a:t>
          </a:r>
          <a:endParaRPr/>
        </a:p>
      </xdr:txBody>
    </xdr:sp>
    <xdr:clientData/>
  </xdr:twoCellAnchor>
  <xdr:twoCellAnchor editAs="oneCell">
    <xdr:from>
      <xdr:col>0</xdr:col>
      <xdr:colOff>89630</xdr:colOff>
      <xdr:row>274</xdr:row>
      <xdr:rowOff>190500</xdr:rowOff>
    </xdr:from>
    <xdr:to>
      <xdr:col>2</xdr:col>
      <xdr:colOff>3756374</xdr:colOff>
      <xdr:row>295</xdr:row>
      <xdr:rowOff>100298</xdr:rowOff>
    </xdr:to>
    <xdr:pic>
      <xdr:nvPicPr>
        <xdr:cNvPr id="3" name="Picture 2"/>
        <xdr:cNvPicPr>
          <a:picLocks noChangeAspect="1"/>
        </xdr:cNvPicPr>
      </xdr:nvPicPr>
      <xdr:blipFill>
        <a:blip xmlns:r="http://schemas.openxmlformats.org/officeDocument/2006/relationships" r:embed="rId1"/>
        <a:srcRect l="0" r="0" t="0" b="0"/>
        <a:stretch/>
      </xdr:blipFill>
      <xdr:spPr>
        <a:xfrm>
          <a:off x="89630" y="71199375"/>
          <a:ext cx="6248019" cy="3719798"/>
        </a:xfrm>
        <a:prstGeom prst="rect">
          <a:avLst/>
        </a:prstGeom>
        <a:noFill/>
        <a:ln cmpd="sng">
          <a:noFill/>
        </a:ln>
      </xdr:spPr>
    </xdr:pic>
    <xdr:clientData/>
  </xdr:twoCellAnchor>
  <mc:AlternateContent xmlns:mc="http://schemas.openxmlformats.org/markup-compatibility/2006">
    <mc:Choice xmlns:a14="http://schemas.microsoft.com/office/drawing/2010/main" Requires="a14">
      <xdr:twoCellAnchor>
        <xdr:from>
          <xdr:col>3</xdr:col>
          <xdr:colOff>177832</xdr:colOff>
          <xdr:row>0</xdr:row>
          <xdr:rowOff>25432</xdr:rowOff>
        </xdr:from>
        <xdr:to>
          <xdr:col>5</xdr:col>
          <xdr:colOff>749332</xdr:colOff>
          <xdr:row>3</xdr:row>
          <xdr:rowOff>25432</xdr:rowOff>
        </xdr:to>
        <xdr:sp>
          <xdr:nvSpPr>
            <xdr:cNvPr id="1416193" name="button_PrintToPDF" hidden="1">
              <a:extLst>
                <a:ext uri="{63B3BB69-23CF-44E3-9099-C40C66FF867C}">
                  <a14:compatExt spid="_x0000_s17409"/>
                </a:ext>
              </a:extLst>
            </xdr:cNvPr>
            <xdr:cNvSpPr>
              <a:spLocks noChangeAspect="0"/>
            </xdr:cNvSpPr>
          </xdr:nvSpPr>
          <xdr:spPr>
            <a:xfrm>
              <a:off x="6864382" y="25432"/>
              <a:ext cx="1752600" cy="485775"/>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Print to PDF</a:t>
              </a:r>
              <a:endParaRPr/>
            </a:p>
          </xdr:txBody>
        </xdr:sp>
        <xdr:clientData fPrintsWithSheet="0"/>
      </xdr:twoCellAnchor>
    </mc:Choice>
  </mc:AlternateContent>
</xdr:wsDr>
</file>

<file path=xl/drawings/drawing13.xml><?xml version="1.0" encoding="utf-8"?>
<xdr:wsDr xmlns:xdr="http://schemas.openxmlformats.org/drawingml/2006/spreadsheetDrawing" xmlns:a="http://schemas.openxmlformats.org/drawingml/2006/main">
  <xdr:twoCellAnchor editAs="oneCell">
    <xdr:from>
      <xdr:col>12</xdr:col>
      <xdr:colOff>1166813</xdr:colOff>
      <xdr:row>2</xdr:row>
      <xdr:rowOff>35719</xdr:rowOff>
    </xdr:from>
    <xdr:to>
      <xdr:col>13</xdr:col>
      <xdr:colOff>309563</xdr:colOff>
      <xdr:row>5</xdr:row>
      <xdr:rowOff>107156</xdr:rowOff>
    </xdr:to>
    <xdr:sp>
      <xdr:nvSpPr>
        <xdr:cNvPr id="6" name="button_ResubmitB2B"/>
        <xdr:cNvSpPr>
          <a:spLocks noChangeAspect="0"/>
        </xdr:cNvSpPr>
      </xdr:nvSpPr>
      <xdr:spPr>
        <a:xfrm>
          <a:off x="8091488" y="416719"/>
          <a:ext cx="1276350" cy="642938"/>
        </a:xfrm>
        <a:prstGeom prst="roundRect">
          <a:avLst>
            <a:gd name="adj" fmla="val 16667"/>
          </a:avLst>
        </a:prstGeom>
        <a:solidFill>
          <a:schemeClr val="accent1">
            <a:lumMod val="50000"/>
          </a:schemeClr>
        </a:solidFill>
        <a:ln w="12668"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anchor="ctr" vert="horz" wrap="square" horzOverflow="clip" vertOverflow="clip"/>
        <a:p>
          <a:pPr algn="ctr">
            <a:defRPr sz="1100" b="1">
              <a:solidFill>
                <a:schemeClr val="bg1"/>
              </a:solidFill>
              <a:latin typeface="Arial"/>
            </a:defRPr>
          </a:pPr>
          <a:r>
            <a:rPr sz="1100" b="1">
              <a:solidFill>
                <a:schemeClr val="bg1"/>
              </a:solidFill>
              <a:latin typeface="Arial"/>
            </a:rPr>
            <a:t>Resubmit Existing   B2B Submission</a:t>
          </a:r>
          <a:endParaRPr/>
        </a:p>
      </xdr:txBody>
    </xdr:sp>
    <xdr:clientData fPrintsWithSheet="0"/>
  </xdr:twoCellAnchor>
  <xdr:twoCellAnchor editAs="oneCell">
    <xdr:from>
      <xdr:col>11</xdr:col>
      <xdr:colOff>381000</xdr:colOff>
      <xdr:row>2</xdr:row>
      <xdr:rowOff>35719</xdr:rowOff>
    </xdr:from>
    <xdr:to>
      <xdr:col>12</xdr:col>
      <xdr:colOff>976313</xdr:colOff>
      <xdr:row>5</xdr:row>
      <xdr:rowOff>107156</xdr:rowOff>
    </xdr:to>
    <xdr:sp>
      <xdr:nvSpPr>
        <xdr:cNvPr id="7" name="button_SendNewB2BSubmission"/>
        <xdr:cNvSpPr>
          <a:spLocks noChangeAspect="0"/>
        </xdr:cNvSpPr>
      </xdr:nvSpPr>
      <xdr:spPr>
        <a:xfrm>
          <a:off x="6619875" y="416719"/>
          <a:ext cx="1281113" cy="642938"/>
        </a:xfrm>
        <a:prstGeom prst="roundRect">
          <a:avLst>
            <a:gd name="adj" fmla="val 16667"/>
          </a:avLst>
        </a:prstGeom>
        <a:solidFill>
          <a:schemeClr val="accent1">
            <a:lumMod val="50000"/>
          </a:schemeClr>
        </a:solidFill>
        <a:ln w="12668"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anchor="ctr" vert="horz" wrap="square" horzOverflow="clip" vertOverflow="clip"/>
        <a:p>
          <a:pPr algn="ctr">
            <a:defRPr sz="1100" b="1">
              <a:solidFill>
                <a:schemeClr val="bg1"/>
              </a:solidFill>
              <a:latin typeface="Arial"/>
            </a:defRPr>
          </a:pPr>
          <a:r>
            <a:rPr sz="1100" b="1">
              <a:solidFill>
                <a:schemeClr val="bg1"/>
              </a:solidFill>
              <a:latin typeface="Arial"/>
            </a:rPr>
            <a:t>Send</a:t>
          </a:r>
          <a:r>
            <a:rPr sz="1100" b="1">
              <a:latin typeface="Arial"/>
            </a:rPr>
            <a:t> New   </a:t>
          </a:r>
          <a:r>
            <a:rPr sz="1100" b="1">
              <a:latin typeface="Arial"/>
            </a:rPr>
            <a:t>              </a:t>
          </a:r>
          <a:r>
            <a:rPr sz="1100" b="1">
              <a:latin typeface="Arial"/>
            </a:rPr>
            <a:t>B2B Submission</a:t>
          </a:r>
          <a:endParaRPr/>
        </a:p>
      </xdr:txBody>
    </xdr:sp>
    <xdr:clientData fPrintsWithSheet="0"/>
  </xdr:twoCellAnchor>
  <xdr:twoCellAnchor editAs="oneCell">
    <xdr:from>
      <xdr:col>12</xdr:col>
      <xdr:colOff>488156</xdr:colOff>
      <xdr:row>9</xdr:row>
      <xdr:rowOff>47625</xdr:rowOff>
    </xdr:from>
    <xdr:to>
      <xdr:col>12</xdr:col>
      <xdr:colOff>1750219</xdr:colOff>
      <xdr:row>11</xdr:row>
      <xdr:rowOff>47625</xdr:rowOff>
    </xdr:to>
    <xdr:sp>
      <xdr:nvSpPr>
        <xdr:cNvPr id="8" name="button_AbortSendToB2B" hidden="1"/>
        <xdr:cNvSpPr>
          <a:spLocks noChangeAspect="0"/>
        </xdr:cNvSpPr>
      </xdr:nvSpPr>
      <xdr:spPr>
        <a:xfrm>
          <a:off x="7412831" y="1762125"/>
          <a:ext cx="1262063" cy="390525"/>
        </a:xfrm>
        <a:prstGeom prst="roundRect">
          <a:avLst>
            <a:gd name="adj" fmla="val 16667"/>
          </a:avLst>
        </a:prstGeom>
        <a:solidFill>
          <a:schemeClr val="accent1">
            <a:lumMod val="50000"/>
          </a:schemeClr>
        </a:solidFill>
        <a:ln w="12668"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anchor="ctr" vert="horz" wrap="square" horzOverflow="clip" vertOverflow="clip"/>
        <a:p>
          <a:pPr algn="ctr">
            <a:defRPr sz="1100" b="1">
              <a:solidFill>
                <a:schemeClr val="bg1"/>
              </a:solidFill>
              <a:latin typeface="Arial"/>
            </a:defRPr>
          </a:pPr>
          <a:r>
            <a:rPr sz="1100" b="1">
              <a:solidFill>
                <a:schemeClr val="bg1"/>
              </a:solidFill>
              <a:latin typeface="Arial"/>
            </a:rPr>
            <a:t>Abort</a:t>
          </a:r>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13621</xdr:colOff>
      <xdr:row>21</xdr:row>
      <xdr:rowOff>129254</xdr:rowOff>
    </xdr:from>
    <xdr:to>
      <xdr:col>1</xdr:col>
      <xdr:colOff>1080421</xdr:colOff>
      <xdr:row>21</xdr:row>
      <xdr:rowOff>424529</xdr:rowOff>
    </xdr:to>
    <xdr:sp>
      <xdr:nvSpPr>
        <xdr:cNvPr id="8" name="buttonSetNumberOfUnits"/>
        <xdr:cNvSpPr>
          <a:spLocks noChangeAspect="0"/>
        </xdr:cNvSpPr>
      </xdr:nvSpPr>
      <xdr:spPr>
        <a:xfrm>
          <a:off x="370808" y="3236786"/>
          <a:ext cx="1066800" cy="295275"/>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a:solidFill>
                <a:schemeClr val="bg1"/>
              </a:solidFill>
              <a:latin typeface="+mn-lt"/>
            </a:defRPr>
          </a:pPr>
          <a:r>
            <a:rPr sz="1100" b="0">
              <a:solidFill>
                <a:schemeClr val="bg1"/>
              </a:solidFill>
              <a:latin typeface="+mn-lt"/>
            </a:rPr>
            <a:t>Set</a:t>
          </a:r>
          <a:r>
            <a:rPr sz="1100" b="0">
              <a:latin typeface="+mn-lt"/>
            </a:rPr>
            <a:t> # of Units</a:t>
          </a:r>
          <a:endParaRPr/>
        </a:p>
      </xdr:txBody>
    </xdr:sp>
    <xdr:clientData fPrintsWithSheet="0"/>
  </xdr:twoCellAnchor>
  <xdr:twoCellAnchor editAs="oneCell">
    <xdr:from>
      <xdr:col>12</xdr:col>
      <xdr:colOff>107156</xdr:colOff>
      <xdr:row>6</xdr:row>
      <xdr:rowOff>90107</xdr:rowOff>
    </xdr:from>
    <xdr:to>
      <xdr:col>13</xdr:col>
      <xdr:colOff>693992</xdr:colOff>
      <xdr:row>8</xdr:row>
      <xdr:rowOff>99822</xdr:rowOff>
    </xdr:to>
    <xdr:sp>
      <xdr:nvSpPr>
        <xdr:cNvPr id="9" name="buttonUpdateRentRoll"/>
        <xdr:cNvSpPr>
          <a:spLocks noChangeAspect="0"/>
        </xdr:cNvSpPr>
      </xdr:nvSpPr>
      <xdr:spPr>
        <a:xfrm>
          <a:off x="9108281" y="280607"/>
          <a:ext cx="1634585" cy="47405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200" b="0">
              <a:solidFill>
                <a:schemeClr val="bg1"/>
              </a:solidFill>
              <a:latin typeface="+mn-lt"/>
            </a:defRPr>
          </a:pPr>
          <a:r>
            <a:rPr sz="1200" b="0">
              <a:solidFill>
                <a:schemeClr val="bg1"/>
              </a:solidFill>
              <a:latin typeface="+mn-lt"/>
            </a:rPr>
            <a:t>Update</a:t>
          </a:r>
          <a:r>
            <a:rPr sz="1200" b="0">
              <a:latin typeface="+mn-lt"/>
            </a:rPr>
            <a:t> Rent Roll</a:t>
          </a:r>
          <a:endParaRPr/>
        </a:p>
      </xdr:txBody>
    </xdr:sp>
    <xdr:clientData fPrintsWithSheet="0"/>
  </xdr:twoCellAnchor>
  <xdr:twoCellAnchor editAs="oneCell">
    <xdr:from>
      <xdr:col>14</xdr:col>
      <xdr:colOff>541877</xdr:colOff>
      <xdr:row>10</xdr:row>
      <xdr:rowOff>59531</xdr:rowOff>
    </xdr:from>
    <xdr:to>
      <xdr:col>15</xdr:col>
      <xdr:colOff>638842</xdr:colOff>
      <xdr:row>13</xdr:row>
      <xdr:rowOff>20384</xdr:rowOff>
    </xdr:to>
    <xdr:sp>
      <xdr:nvSpPr>
        <xdr:cNvPr id="10" name="buttonSetNumberOfUnitTypes"/>
        <xdr:cNvSpPr>
          <a:spLocks noChangeAspect="0"/>
        </xdr:cNvSpPr>
      </xdr:nvSpPr>
      <xdr:spPr>
        <a:xfrm>
          <a:off x="11495627" y="1000125"/>
          <a:ext cx="942308" cy="449008"/>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100" b="0">
              <a:solidFill>
                <a:schemeClr val="bg1"/>
              </a:solidFill>
              <a:latin typeface="+mn-lt"/>
            </a:defRPr>
          </a:pPr>
          <a:r>
            <a:rPr sz="1100" b="0">
              <a:solidFill>
                <a:schemeClr val="bg1"/>
              </a:solidFill>
              <a:latin typeface="+mn-lt"/>
            </a:rPr>
            <a:t>Set</a:t>
          </a:r>
          <a:r>
            <a:rPr sz="1100" b="0">
              <a:latin typeface="+mn-lt"/>
            </a:rPr>
            <a:t> # of           Unit Types</a:t>
          </a:r>
          <a:endParaRPr/>
        </a:p>
      </xdr:txBody>
    </xdr:sp>
    <xdr:clientData fPrintsWithSheet="0"/>
  </xdr:twoCellAnchor>
  <xdr:twoCellAnchor editAs="oneCell">
    <xdr:from>
      <xdr:col>10</xdr:col>
      <xdr:colOff>175165</xdr:colOff>
      <xdr:row>6</xdr:row>
      <xdr:rowOff>90107</xdr:rowOff>
    </xdr:from>
    <xdr:to>
      <xdr:col>11</xdr:col>
      <xdr:colOff>830009</xdr:colOff>
      <xdr:row>8</xdr:row>
      <xdr:rowOff>99822</xdr:rowOff>
    </xdr:to>
    <xdr:sp>
      <xdr:nvSpPr>
        <xdr:cNvPr id="11" name="buttonAffordabilityEstimator"/>
        <xdr:cNvSpPr>
          <a:spLocks noChangeAspect="0"/>
        </xdr:cNvSpPr>
      </xdr:nvSpPr>
      <xdr:spPr>
        <a:xfrm>
          <a:off x="7295102" y="280607"/>
          <a:ext cx="1631156" cy="47405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200" b="0">
              <a:solidFill>
                <a:schemeClr val="bg1"/>
              </a:solidFill>
              <a:latin typeface="+mn-lt"/>
            </a:defRPr>
          </a:pPr>
          <a:r>
            <a:rPr sz="1200" b="0">
              <a:solidFill>
                <a:schemeClr val="bg1"/>
              </a:solidFill>
              <a:latin typeface="+mn-lt"/>
            </a:rPr>
            <a:t>Affordability Estimator</a:t>
          </a:r>
          <a:endParaRPr/>
        </a:p>
      </xdr:txBody>
    </xdr:sp>
    <xdr:clientData fPrintsWithSheet="0"/>
  </xdr:twoCellAnchor>
  <xdr:twoCellAnchor editAs="oneCell">
    <xdr:from>
      <xdr:col>8</xdr:col>
      <xdr:colOff>148019</xdr:colOff>
      <xdr:row>6</xdr:row>
      <xdr:rowOff>90107</xdr:rowOff>
    </xdr:from>
    <xdr:to>
      <xdr:col>10</xdr:col>
      <xdr:colOff>18669</xdr:colOff>
      <xdr:row>8</xdr:row>
      <xdr:rowOff>99822</xdr:rowOff>
    </xdr:to>
    <xdr:sp>
      <xdr:nvSpPr>
        <xdr:cNvPr id="12" name="buttonTranferToFnmRentRollTmplt"/>
        <xdr:cNvSpPr>
          <a:spLocks noChangeAspect="0"/>
        </xdr:cNvSpPr>
      </xdr:nvSpPr>
      <xdr:spPr>
        <a:xfrm>
          <a:off x="5458206" y="280607"/>
          <a:ext cx="1680400" cy="47405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Transfer to </a:t>
          </a:r>
          <a:r>
            <a:rPr sz="1200" b="0">
              <a:latin typeface="+mn-lt"/>
            </a:rPr>
            <a:t>                  </a:t>
          </a:r>
          <a:r>
            <a:rPr sz="1200" b="0">
              <a:latin typeface="+mn-lt"/>
            </a:rPr>
            <a:t>FNM</a:t>
          </a:r>
          <a:r>
            <a:rPr sz="1200" b="0">
              <a:latin typeface="+mn-lt"/>
            </a:rPr>
            <a:t> Rent Roll Template</a:t>
          </a:r>
          <a:endParaRPr/>
        </a:p>
      </xdr:txBody>
    </xdr:sp>
    <xdr:clientData fPrintsWithSheet="0"/>
  </xdr:twoCellAnchor>
  <xdr:twoCellAnchor editAs="oneCell">
    <xdr:from>
      <xdr:col>6</xdr:col>
      <xdr:colOff>98679</xdr:colOff>
      <xdr:row>6</xdr:row>
      <xdr:rowOff>90107</xdr:rowOff>
    </xdr:from>
    <xdr:to>
      <xdr:col>8</xdr:col>
      <xdr:colOff>1715</xdr:colOff>
      <xdr:row>8</xdr:row>
      <xdr:rowOff>99822</xdr:rowOff>
    </xdr:to>
    <xdr:sp>
      <xdr:nvSpPr>
        <xdr:cNvPr id="13" name="button_TransferToFreddieLST"/>
        <xdr:cNvSpPr>
          <a:spLocks noChangeAspect="0"/>
        </xdr:cNvSpPr>
      </xdr:nvSpPr>
      <xdr:spPr>
        <a:xfrm>
          <a:off x="3658648" y="280607"/>
          <a:ext cx="1653254" cy="47405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200" b="0">
              <a:solidFill>
                <a:schemeClr val="bg1"/>
              </a:solidFill>
              <a:latin typeface="+mn-lt"/>
            </a:defRPr>
          </a:pPr>
          <a:r>
            <a:rPr sz="1200" b="0">
              <a:solidFill>
                <a:schemeClr val="bg1"/>
              </a:solidFill>
              <a:latin typeface="+mn-lt"/>
            </a:rPr>
            <a:t>Transfer</a:t>
          </a:r>
          <a:r>
            <a:rPr sz="1200" b="0">
              <a:latin typeface="+mn-lt"/>
            </a:rPr>
            <a:t> to             Freddie LST</a:t>
          </a:r>
          <a:endParaRPr/>
        </a:p>
      </xdr:txBody>
    </xdr:sp>
    <xdr:clientData fPrintsWithSheet="0"/>
  </xdr:twoCellAnchor>
  <mc:AlternateContent xmlns:mc="http://schemas.openxmlformats.org/markup-compatibility/2006">
    <mc:Choice xmlns:a14="http://schemas.microsoft.com/office/drawing/2010/main" Requires="a14">
      <xdr:twoCellAnchor editAs="absolute">
        <xdr:from>
          <xdr:col>6</xdr:col>
          <xdr:colOff>50768</xdr:colOff>
          <xdr:row>21</xdr:row>
          <xdr:rowOff>254032</xdr:rowOff>
        </xdr:from>
        <xdr:to>
          <xdr:col>8</xdr:col>
          <xdr:colOff>177832</xdr:colOff>
          <xdr:row>21</xdr:row>
          <xdr:rowOff>520732</xdr:rowOff>
        </xdr:to>
        <xdr:sp>
          <xdr:nvSpPr>
            <xdr:cNvPr id="3155" name="checkbox_ShowMarketRentColumn" hidden="1">
              <a:extLst>
                <a:ext uri="{63B3BB69-23CF-44E3-9099-C40C66FF867C}">
                  <a14:compatExt spid="_x0000_s22539"/>
                </a:ext>
              </a:extLst>
            </xdr:cNvPr>
            <xdr:cNvSpPr>
              <a:spLocks noChangeAspect="0"/>
            </xdr:cNvSpPr>
          </xdr:nvSpPr>
          <xdr:spPr>
            <a:xfrm>
              <a:off x="3610737" y="3361563"/>
              <a:ext cx="1877282" cy="260318"/>
            </a:xfrm>
            <a:prstGeom prst="rect">
              <a:avLst/>
            </a:prstGeom>
            <a:noFill/>
            <a:ln cmpd="sng">
              <a:noFill/>
              <a:miter lim="800000"/>
            </a:ln>
          </xdr:spPr>
          <xdr:style>
            <a:lnRef idx="2">
              <a:schemeClr val="accent1"/>
            </a:lnRef>
            <a:fillRef idx="1">
              <a:schemeClr val="accent1"/>
            </a:fillRef>
            <a:effectRef idx="0">
              <a:schemeClr val="accent1"/>
            </a:effectRef>
            <a:fontRef idx="minor">
              <a:srgbClr val="000000"/>
            </a:fontRef>
          </xdr:style>
          <xdr:txBody>
            <a:bodyPr tIns="18288" bIns="18288" lIns="18288" rIns="0" anchor="ctr" vert="horz" wrap="square" horzOverflow="clip" vertOverflow="clip"/>
            <a:p>
              <a:pPr algn="l">
                <a:defRPr sz="1000" b="0" i="0" strike="noStrike" u="none">
                  <a:solidFill>
                    <a:srgbClr val="000000"/>
                  </a:solidFill>
                  <a:latin typeface="Segoe UI"/>
                </a:defRPr>
              </a:pPr>
              <a:r>
                <a:rPr sz="800" b="0" i="0" strike="noStrike" u="none">
                  <a:solidFill>
                    <a:srgbClr val="000000"/>
                  </a:solidFill>
                  <a:latin typeface="Segoe UI"/>
                </a:rPr>
                <a:t>Show Market Rent by-Unit</a:t>
              </a:r>
              <a:endParaRPr/>
            </a:p>
          </xdr:txBody>
        </xdr:sp>
        <xdr:clientData fLocksWithSheet="0" fPrintsWithSheet="0"/>
      </xdr:twoCellAnchor>
    </mc:Choice>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1371600</xdr:colOff>
          <xdr:row>1</xdr:row>
          <xdr:rowOff>0</xdr:rowOff>
        </xdr:to>
        <xdr:sp>
          <xdr:nvSpPr>
            <xdr:cNvPr id="1111042" name="buttonUpdateOS" hidden="1">
              <a:extLst>
                <a:ext uri="{63B3BB69-23CF-44E3-9099-C40C66FF867C}">
                  <a14:compatExt spid="_x0000_s23553"/>
                </a:ext>
              </a:extLst>
            </xdr:cNvPr>
            <xdr:cNvSpPr>
              <a:spLocks noChangeAspect="0"/>
            </xdr:cNvSpPr>
          </xdr:nvSpPr>
          <xdr:spPr>
            <a:xfrm>
              <a:off x="0" y="0"/>
              <a:ext cx="1371600" cy="428625"/>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1" i="0" strike="noStrike" u="none">
                  <a:solidFill>
                    <a:srgbClr val="000000"/>
                  </a:solidFill>
                  <a:latin typeface="Calibri"/>
                </a:defRPr>
              </a:pPr>
              <a:r>
                <a:rPr sz="1400" b="1" i="0" strike="noStrike" u="none">
                  <a:solidFill>
                    <a:srgbClr val="000000"/>
                  </a:solidFill>
                  <a:latin typeface="Calibri"/>
                </a:rPr>
                <a:t>Update</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2</xdr:col>
          <xdr:colOff>12668</xdr:colOff>
          <xdr:row>0</xdr:row>
          <xdr:rowOff>0</xdr:rowOff>
        </xdr:from>
        <xdr:to>
          <xdr:col>2</xdr:col>
          <xdr:colOff>2044732</xdr:colOff>
          <xdr:row>1</xdr:row>
          <xdr:rowOff>0</xdr:rowOff>
        </xdr:to>
        <xdr:sp>
          <xdr:nvSpPr>
            <xdr:cNvPr id="1111045" name="buttonHighlightOutliers" hidden="1">
              <a:extLst>
                <a:ext uri="{63B3BB69-23CF-44E3-9099-C40C66FF867C}">
                  <a14:compatExt spid="_x0000_s23554"/>
                </a:ext>
              </a:extLst>
            </xdr:cNvPr>
            <xdr:cNvSpPr>
              <a:spLocks noChangeAspect="0"/>
            </xdr:cNvSpPr>
          </xdr:nvSpPr>
          <xdr:spPr>
            <a:xfrm>
              <a:off x="3441668" y="0"/>
              <a:ext cx="2032063" cy="428625"/>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1" i="0" strike="noStrike" u="none">
                  <a:solidFill>
                    <a:srgbClr val="000000"/>
                  </a:solidFill>
                  <a:latin typeface="Calibri"/>
                </a:defRPr>
              </a:pPr>
              <a:r>
                <a:rPr sz="1100" b="1" i="0" strike="noStrike" u="none">
                  <a:solidFill>
                    <a:srgbClr val="000000"/>
                  </a:solidFill>
                  <a:latin typeface="Calibri"/>
                </a:rPr>
                <a:t>Highlight Outliers</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1</xdr:col>
          <xdr:colOff>25432</xdr:colOff>
          <xdr:row>0</xdr:row>
          <xdr:rowOff>0</xdr:rowOff>
        </xdr:from>
        <xdr:to>
          <xdr:col>1</xdr:col>
          <xdr:colOff>2044732</xdr:colOff>
          <xdr:row>1</xdr:row>
          <xdr:rowOff>0</xdr:rowOff>
        </xdr:to>
        <xdr:sp>
          <xdr:nvSpPr>
            <xdr:cNvPr id="1111046" name="buttonToggleCategoryEqns" hidden="1">
              <a:extLst>
                <a:ext uri="{63B3BB69-23CF-44E3-9099-C40C66FF867C}">
                  <a14:compatExt spid="_x0000_s23555"/>
                </a:ext>
              </a:extLst>
            </xdr:cNvPr>
            <xdr:cNvSpPr>
              <a:spLocks noChangeAspect="0"/>
            </xdr:cNvSpPr>
          </xdr:nvSpPr>
          <xdr:spPr>
            <a:xfrm>
              <a:off x="1406557" y="0"/>
              <a:ext cx="2019300" cy="428625"/>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1" i="0" strike="noStrike" u="none">
                  <a:solidFill>
                    <a:srgbClr val="000000"/>
                  </a:solidFill>
                  <a:latin typeface="Calibri"/>
                </a:defRPr>
              </a:pPr>
              <a:r>
                <a:rPr sz="1100" b="1" i="0" strike="noStrike" u="none">
                  <a:solidFill>
                    <a:srgbClr val="000000"/>
                  </a:solidFill>
                  <a:latin typeface="Calibri"/>
                </a:rPr>
                <a:t>Click to Update Manually</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0</xdr:col>
          <xdr:colOff>50768</xdr:colOff>
          <xdr:row>1003</xdr:row>
          <xdr:rowOff>76200</xdr:rowOff>
        </xdr:from>
        <xdr:to>
          <xdr:col>1</xdr:col>
          <xdr:colOff>50768</xdr:colOff>
          <xdr:row>1006</xdr:row>
          <xdr:rowOff>63532</xdr:rowOff>
        </xdr:to>
        <xdr:sp>
          <xdr:nvSpPr>
            <xdr:cNvPr id="1111050" name="buttonZipperMerge" hidden="1">
              <a:extLst>
                <a:ext uri="{63B3BB69-23CF-44E3-9099-C40C66FF867C}">
                  <a14:compatExt spid="_x0000_s23556"/>
                </a:ext>
              </a:extLst>
            </xdr:cNvPr>
            <xdr:cNvSpPr>
              <a:spLocks noChangeAspect="0"/>
            </xdr:cNvSpPr>
          </xdr:nvSpPr>
          <xdr:spPr>
            <a:xfrm>
              <a:off x="50768" y="191671575"/>
              <a:ext cx="1381125" cy="558832"/>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Zipper Merge</a:t>
              </a:r>
              <a:endParaRPr/>
            </a:p>
          </xdr:txBody>
        </xdr:sp>
        <xdr:clientData fPrintsWithSheet="0"/>
      </xdr:twoCellAnchor>
    </mc:Choice>
  </mc:AlternateContent>
</xdr:wsDr>
</file>

<file path=xl/drawings/drawing16.xml><?xml version="1.0" encoding="utf-8"?>
<xdr:wsDr xmlns:xdr="http://schemas.openxmlformats.org/drawingml/2006/spreadsheetDrawing" xmlns:a="http://schemas.openxmlformats.org/drawingml/2006/main">
  <xdr:twoCellAnchor>
    <xdr:from>
      <xdr:col>7</xdr:col>
      <xdr:colOff>336137</xdr:colOff>
      <xdr:row>95</xdr:row>
      <xdr:rowOff>11240</xdr:rowOff>
    </xdr:from>
    <xdr:to>
      <xdr:col>11</xdr:col>
      <xdr:colOff>24098</xdr:colOff>
      <xdr:row>98</xdr:row>
      <xdr:rowOff>11240</xdr:rowOff>
    </xdr:to>
    <xdr:sp>
      <xdr:nvSpPr>
        <xdr:cNvPr id="3" name="TextBox 2"/>
        <xdr:cNvSpPr txBox="1">
          <a:spLocks noChangeAspect="0"/>
        </xdr:cNvSpPr>
      </xdr:nvSpPr>
      <xdr:spPr>
        <a:xfrm>
          <a:off x="7837075" y="18239708"/>
          <a:ext cx="2521649" cy="571500"/>
        </a:xfrm>
        <a:prstGeom prst="rect">
          <a:avLst/>
        </a:prstGeom>
        <a:solidFill>
          <a:schemeClr val="bg1">
            <a:alpha val="0"/>
          </a:schemeClr>
        </a:solidFill>
        <a:ln w="9525" cmpd="sng">
          <a:noFill/>
        </a:ln>
      </xdr:spPr>
      <xdr:style>
        <a:lnRef idx="0"/>
        <a:fillRef idx="0"/>
        <a:effectRef idx="0">
          <a:schemeClr val="accent1"/>
        </a:effectRef>
        <a:fontRef idx="minor">
          <a:schemeClr val="tx1"/>
        </a:fontRef>
      </xdr:style>
      <xdr:txBody>
        <a:bodyPr vert="horz" wrap="square" horzOverflow="clip" vertOverflow="clip" anchor="t"/>
        <a:p>
          <a:pPr algn="ctr">
            <a:defRPr sz="1200" b="1">
              <a:solidFill>
                <a:schemeClr val="tx1"/>
              </a:solidFill>
              <a:latin typeface="+mn-lt"/>
            </a:defRPr>
          </a:pPr>
          <a:r>
            <a:rPr sz="1200" b="1">
              <a:solidFill>
                <a:schemeClr val="tx1"/>
              </a:solidFill>
              <a:latin typeface="+mn-lt"/>
            </a:rPr>
            <a:t>Tr-12</a:t>
          </a:r>
          <a:endParaRPr/>
        </a:p>
        <a:p>
          <a:pPr algn="ctr">
            <a:defRPr sz="1200" b="1">
              <a:solidFill>
                <a:schemeClr val="tx1"/>
              </a:solidFill>
              <a:latin typeface="+mn-lt"/>
            </a:defRPr>
          </a:pPr>
          <a:r>
            <a:rPr sz="1000" b="1">
              <a:latin typeface="+mn-lt"/>
            </a:rPr>
            <a:t>(Including</a:t>
          </a:r>
          <a:r>
            <a:rPr sz="1000" b="1">
              <a:latin typeface="+mn-lt"/>
            </a:rPr>
            <a:t> Discretionary Adjustments)</a:t>
          </a:r>
          <a:endParaRPr/>
        </a:p>
      </xdr:txBody>
    </xdr:sp>
    <xdr:clientData/>
  </xdr:twoCellAnchor>
  <xdr:twoCellAnchor>
    <xdr:from>
      <xdr:col>0</xdr:col>
      <xdr:colOff>1232630</xdr:colOff>
      <xdr:row>95</xdr:row>
      <xdr:rowOff>56007</xdr:rowOff>
    </xdr:from>
    <xdr:to>
      <xdr:col>17</xdr:col>
      <xdr:colOff>1030986</xdr:colOff>
      <xdr:row>113</xdr:row>
      <xdr:rowOff>112014</xdr:rowOff>
    </xdr:to>
    <xdr:graphicFrame macro="">
      <xdr:nvGraphicFramePr>
        <xdr:cNvPr id="1"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44863</xdr:colOff>
      <xdr:row>3</xdr:row>
      <xdr:rowOff>0</xdr:rowOff>
    </xdr:from>
    <xdr:to>
      <xdr:col>25</xdr:col>
      <xdr:colOff>571500</xdr:colOff>
      <xdr:row>18</xdr:row>
      <xdr:rowOff>0</xdr:rowOff>
    </xdr:to>
    <xdr:graphicFrame macro="">
      <xdr:nvGraphicFramePr>
        <xdr:cNvPr id="2" name="Chart 2_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44863</xdr:colOff>
      <xdr:row>19</xdr:row>
      <xdr:rowOff>0</xdr:rowOff>
    </xdr:from>
    <xdr:to>
      <xdr:col>25</xdr:col>
      <xdr:colOff>571500</xdr:colOff>
      <xdr:row>34</xdr:row>
      <xdr:rowOff>0</xdr:rowOff>
    </xdr:to>
    <xdr:graphicFrame macro="">
      <xdr:nvGraphicFramePr>
        <xdr:cNvPr id="3" name="Chart 2_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33623</xdr:colOff>
      <xdr:row>39</xdr:row>
      <xdr:rowOff>0</xdr:rowOff>
    </xdr:from>
    <xdr:to>
      <xdr:col>25</xdr:col>
      <xdr:colOff>560261</xdr:colOff>
      <xdr:row>54</xdr:row>
      <xdr:rowOff>0</xdr:rowOff>
    </xdr:to>
    <xdr:graphicFrame macro="">
      <xdr:nvGraphicFramePr>
        <xdr:cNvPr id="4" name="Chart 2_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33623</xdr:colOff>
      <xdr:row>55</xdr:row>
      <xdr:rowOff>0</xdr:rowOff>
    </xdr:from>
    <xdr:to>
      <xdr:col>25</xdr:col>
      <xdr:colOff>560261</xdr:colOff>
      <xdr:row>70</xdr:row>
      <xdr:rowOff>0</xdr:rowOff>
    </xdr:to>
    <xdr:graphicFrame macro="">
      <xdr:nvGraphicFramePr>
        <xdr:cNvPr id="5" name="Chart 2_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63532</xdr:colOff>
          <xdr:row>1</xdr:row>
          <xdr:rowOff>88868</xdr:rowOff>
        </xdr:from>
        <xdr:to>
          <xdr:col>4</xdr:col>
          <xdr:colOff>1587532</xdr:colOff>
          <xdr:row>3</xdr:row>
          <xdr:rowOff>101632</xdr:rowOff>
        </xdr:to>
        <xdr:sp>
          <xdr:nvSpPr>
            <xdr:cNvPr id="1433601" name="button_UpdateExpenseComps" hidden="1">
              <a:extLst>
                <a:ext uri="{63B3BB69-23CF-44E3-9099-C40C66FF867C}">
                  <a14:compatExt spid="_x0000_s25601"/>
                </a:ext>
              </a:extLst>
            </xdr:cNvPr>
            <xdr:cNvSpPr>
              <a:spLocks noChangeAspect="0"/>
            </xdr:cNvSpPr>
          </xdr:nvSpPr>
          <xdr:spPr>
            <a:xfrm>
              <a:off x="4421219" y="279368"/>
              <a:ext cx="1524000" cy="48901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1" i="0" strike="noStrike" u="none">
                  <a:solidFill>
                    <a:srgbClr val="000000"/>
                  </a:solidFill>
                  <a:latin typeface="Calibri"/>
                </a:defRPr>
              </a:pPr>
              <a:r>
                <a:rPr sz="1200" b="1" i="0" strike="noStrike" u="none">
                  <a:solidFill>
                    <a:srgbClr val="000000"/>
                  </a:solidFill>
                  <a:latin typeface="Calibri"/>
                </a:rPr>
                <a:t>Update                Expense Comps</a:t>
              </a:r>
              <a:endParaRPr/>
            </a:p>
          </xdr:txBody>
        </xdr:sp>
        <xdr:clientData fPrintsWithSheet="0"/>
      </xdr:twoCellAnchor>
    </mc:Choice>
  </mc:AlternateContent>
</xdr:wsDr>
</file>

<file path=xl/drawings/drawing18.xml><?xml version="1.0" encoding="utf-8"?>
<xdr:wsDr xmlns:xdr="http://schemas.openxmlformats.org/drawingml/2006/spreadsheetDrawing" xmlns:a="http://schemas.openxmlformats.org/drawingml/2006/main">
  <xdr:twoCellAnchor>
    <xdr:from>
      <xdr:col>0</xdr:col>
      <xdr:colOff>1994630</xdr:colOff>
      <xdr:row>62</xdr:row>
      <xdr:rowOff>0</xdr:rowOff>
    </xdr:from>
    <xdr:to>
      <xdr:col>1</xdr:col>
      <xdr:colOff>0</xdr:colOff>
      <xdr:row>62</xdr:row>
      <xdr:rowOff>22384</xdr:rowOff>
    </xdr:to>
    <xdr:sp>
      <xdr:nvSpPr>
        <xdr:cNvPr id="17" name="TextBox 16">
          <a:hlinkClick xmlns:r="http://schemas.openxmlformats.org/officeDocument/2006/relationships" r:id="rId1"/>
        </xdr:cNvPr>
        <xdr:cNvSpPr txBox="1">
          <a:spLocks noChangeAspect="0"/>
        </xdr:cNvSpPr>
      </xdr:nvSpPr>
      <xdr:spPr>
        <a:xfrm>
          <a:off x="1994630" y="9515475"/>
          <a:ext cx="1643920" cy="2238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r">
            <a:defRPr sz="800" u="sng">
              <a:solidFill>
                <a:srgbClr val="0000ff"/>
              </a:solidFill>
              <a:latin typeface="Arial"/>
            </a:defRPr>
          </a:pPr>
          <a:r>
            <a:rPr sz="800" u="sng">
              <a:solidFill>
                <a:srgbClr val="0000ff"/>
              </a:solidFill>
              <a:latin typeface="Arial"/>
            </a:rPr>
            <a:t>Dogpile.com:</a:t>
          </a:r>
          <a:endParaRPr/>
        </a:p>
      </xdr:txBody>
    </xdr:sp>
    <xdr:clientData/>
  </xdr:twoCellAnchor>
  <xdr:twoCellAnchor>
    <xdr:from>
      <xdr:col>0</xdr:col>
      <xdr:colOff>1994630</xdr:colOff>
      <xdr:row>61</xdr:row>
      <xdr:rowOff>0</xdr:rowOff>
    </xdr:from>
    <xdr:to>
      <xdr:col>1</xdr:col>
      <xdr:colOff>0</xdr:colOff>
      <xdr:row>61</xdr:row>
      <xdr:rowOff>22384</xdr:rowOff>
    </xdr:to>
    <xdr:sp>
      <xdr:nvSpPr>
        <xdr:cNvPr id="28" name="TextBox 27">
          <a:hlinkClick xmlns:r="http://schemas.openxmlformats.org/officeDocument/2006/relationships" r:id="rId2"/>
        </xdr:cNvPr>
        <xdr:cNvSpPr txBox="1">
          <a:spLocks noChangeAspect="0"/>
        </xdr:cNvSpPr>
      </xdr:nvSpPr>
      <xdr:spPr>
        <a:xfrm>
          <a:off x="1994630" y="9363075"/>
          <a:ext cx="1643920" cy="22384"/>
        </a:xfrm>
        <a:prstGeom prst="rect">
          <a:avLst/>
        </a:prstGeom>
        <a:noFill/>
        <a:ln w="9525" cmpd="sng">
          <a:noFill/>
        </a:ln>
      </xdr:spPr>
      <xdr:style>
        <a:lnRef idx="0"/>
        <a:fillRef idx="0"/>
        <a:effectRef idx="0">
          <a:schemeClr val="accent1"/>
        </a:effectRef>
        <a:fontRef idx="minor">
          <a:schemeClr val="tx1"/>
        </a:fontRef>
      </xdr:style>
      <xdr:txBody>
        <a:bodyPr vert="horz" wrap="square" horzOverflow="clip" vertOverflow="clip" anchor="t"/>
        <a:p>
          <a:pPr algn="r">
            <a:defRPr sz="800" u="sng">
              <a:solidFill>
                <a:srgbClr val="0000ff"/>
              </a:solidFill>
              <a:latin typeface="Arial"/>
            </a:defRPr>
          </a:pPr>
          <a:r>
            <a:rPr sz="800" u="sng">
              <a:solidFill>
                <a:srgbClr val="0000ff"/>
              </a:solidFill>
              <a:latin typeface="Arial"/>
            </a:rPr>
            <a:t>Dogpile.com:</a:t>
          </a:r>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xdr:col>
      <xdr:colOff>302514</xdr:colOff>
      <xdr:row>52</xdr:row>
      <xdr:rowOff>235363</xdr:rowOff>
    </xdr:from>
    <xdr:to>
      <xdr:col>18</xdr:col>
      <xdr:colOff>616363</xdr:colOff>
      <xdr:row>78</xdr:row>
      <xdr:rowOff>44863</xdr:rowOff>
    </xdr:to>
    <xdr:sp>
      <xdr:nvSpPr>
        <xdr:cNvPr id="2" name="TextBox 1"/>
        <xdr:cNvSpPr txBox="1">
          <a:spLocks noChangeAspect="0"/>
        </xdr:cNvSpPr>
      </xdr:nvSpPr>
      <xdr:spPr>
        <a:xfrm>
          <a:off x="6855714" y="10477500"/>
          <a:ext cx="7971949" cy="4950238"/>
        </a:xfrm>
        <a:prstGeom prst="rect">
          <a:avLst/>
        </a:prstGeom>
        <a:solidFill>
          <a:schemeClr val="bg1"/>
        </a:solidFill>
        <a:ln w="9525" cmpd="sng">
          <a:solidFill>
            <a:schemeClr val="tx1"/>
          </a:solidFill>
        </a:ln>
      </xdr:spPr>
      <xdr:style>
        <a:lnRef idx="0"/>
        <a:fillRef idx="0"/>
        <a:effectRef idx="0">
          <a:schemeClr val="accent1"/>
        </a:effectRef>
        <a:fontRef idx="minor">
          <a:schemeClr val="tx1"/>
        </a:fontRef>
      </xdr:style>
      <xdr:txBody>
        <a:bodyPr vert="horz" wrap="square" horzOverflow="clip" vertOverflow="clip" anchor="t"/>
        <a:p>
          <a:pPr algn="l">
            <a:defRPr sz="1000">
              <a:solidFill>
                <a:schemeClr val="tx1"/>
              </a:solidFill>
              <a:latin typeface="Arial"/>
            </a:defRPr>
          </a:pPr>
          <a:r>
            <a:rPr sz="1000">
              <a:solidFill>
                <a:schemeClr val="tx1"/>
              </a:solidFill>
              <a:latin typeface="Arial"/>
            </a:rPr>
            <a:t>Notes:</a:t>
          </a:r>
          <a:endParaRPr/>
        </a:p>
        <a:p>
          <a:pPr algn="l">
            <a:defRPr sz="1000">
              <a:solidFill>
                <a:schemeClr val="tx1"/>
              </a:solidFill>
              <a:latin typeface="Arial"/>
            </a:defRPr>
          </a:pPr>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29528</xdr:colOff>
      <xdr:row>1</xdr:row>
      <xdr:rowOff>142875</xdr:rowOff>
    </xdr:from>
    <xdr:to>
      <xdr:col>54</xdr:col>
      <xdr:colOff>84106</xdr:colOff>
      <xdr:row>5</xdr:row>
      <xdr:rowOff>79724</xdr:rowOff>
    </xdr:to>
    <xdr:sp>
      <xdr:nvSpPr>
        <xdr:cNvPr id="2" name="Rectangle 18"/>
        <xdr:cNvSpPr>
          <a:spLocks noChangeAspect="0"/>
        </xdr:cNvSpPr>
      </xdr:nvSpPr>
      <xdr:spPr>
        <a:xfrm>
          <a:off x="296228" y="571500"/>
          <a:ext cx="8150828" cy="594074"/>
        </a:xfrm>
        <a:prstGeom prst="rect">
          <a:avLst/>
        </a:prstGeom>
        <a:noFill/>
        <a:ln w="9525" cmpd="sng">
          <a:solidFill>
            <a:srgbClr val="000000"/>
          </a:solidFill>
          <a:miter lim="800000"/>
          <a:headEnd w="med" len="med"/>
          <a:tailEnd w="med" len="med"/>
        </a:ln>
      </xdr:spPr>
      <xdr:style>
        <a:lnRef idx="2">
          <a:schemeClr val="accent1"/>
        </a:lnRef>
        <a:fillRef idx="1">
          <a:schemeClr val="accent1"/>
        </a:fillRef>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clientData/>
  </xdr:twoCellAnchor>
  <xdr:twoCellAnchor>
    <xdr:from>
      <xdr:col>1</xdr:col>
      <xdr:colOff>23813</xdr:colOff>
      <xdr:row>5</xdr:row>
      <xdr:rowOff>100774</xdr:rowOff>
    </xdr:from>
    <xdr:to>
      <xdr:col>27</xdr:col>
      <xdr:colOff>100679</xdr:colOff>
      <xdr:row>23</xdr:row>
      <xdr:rowOff>90583</xdr:rowOff>
    </xdr:to>
    <xdr:grpSp>
      <xdr:nvGrpSpPr>
        <xdr:cNvPr id="3" name="Group 2"/>
        <xdr:cNvGrpSpPr>
          <a:grpSpLocks noChangeAspect="0"/>
        </xdr:cNvGrpSpPr>
      </xdr:nvGrpSpPr>
      <xdr:grpSpPr>
        <a:xfrm rot="0">
          <a:off x="290513" y="1186625"/>
          <a:ext cx="4039267" cy="2733008"/>
          <a:chOff x="290513" y="1186625"/>
          <a:chExt cx="4039267" cy="2733008"/>
        </a:xfrm>
      </xdr:grpSpPr>
      <xdr:sp>
        <xdr:nvSpPr>
          <xdr:cNvPr id="4" name="Rectangle 20"/>
          <xdr:cNvSpPr>
            <a:spLocks noChangeAspect="0"/>
          </xdr:cNvSpPr>
        </xdr:nvSpPr>
        <xdr:spPr>
          <a:xfrm>
            <a:off x="290513" y="1308263"/>
            <a:ext cx="4039267" cy="2611370"/>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5" name="Text Box 28"/>
          <xdr:cNvSpPr txBox="1">
            <a:spLocks noChangeAspect="0"/>
          </xdr:cNvSpPr>
        </xdr:nvSpPr>
        <xdr:spPr>
          <a:xfrm>
            <a:off x="336044" y="1186625"/>
            <a:ext cx="901938" cy="198656"/>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vert="horz" wrap="square" horzOverflow="clip" vertOverflow="clip" anchor="t"/>
          <a:p>
            <a:pPr algn="l">
              <a:defRPr sz="1000" b="1" i="0" strike="noStrike" u="none">
                <a:solidFill>
                  <a:srgbClr val="000000"/>
                </a:solidFill>
                <a:latin typeface="Source Sans Pro"/>
              </a:defRPr>
            </a:pPr>
            <a:r>
              <a:rPr sz="1200" b="1" i="0" strike="noStrike" u="none">
                <a:solidFill>
                  <a:srgbClr val="000000"/>
                </a:solidFill>
                <a:latin typeface="Source Sans Pro"/>
              </a:rPr>
              <a:t> Property</a:t>
            </a:r>
            <a:endParaRPr/>
          </a:p>
        </xdr:txBody>
      </xdr:sp>
    </xdr:grpSp>
    <xdr:clientData/>
  </xdr:twoCellAnchor>
  <xdr:twoCellAnchor>
    <xdr:from>
      <xdr:col>1</xdr:col>
      <xdr:colOff>26384</xdr:colOff>
      <xdr:row>23</xdr:row>
      <xdr:rowOff>101537</xdr:rowOff>
    </xdr:from>
    <xdr:to>
      <xdr:col>27</xdr:col>
      <xdr:colOff>100679</xdr:colOff>
      <xdr:row>34</xdr:row>
      <xdr:rowOff>61246</xdr:rowOff>
    </xdr:to>
    <xdr:grpSp>
      <xdr:nvGrpSpPr>
        <xdr:cNvPr id="6" name="Group 5"/>
        <xdr:cNvGrpSpPr>
          <a:grpSpLocks noChangeAspect="0"/>
        </xdr:cNvGrpSpPr>
      </xdr:nvGrpSpPr>
      <xdr:grpSpPr>
        <a:xfrm rot="0">
          <a:off x="293084" y="3930587"/>
          <a:ext cx="4036695" cy="1636109"/>
          <a:chOff x="293084" y="3930587"/>
          <a:chExt cx="4036695" cy="1636109"/>
        </a:xfrm>
      </xdr:grpSpPr>
      <xdr:sp>
        <xdr:nvSpPr>
          <xdr:cNvPr id="7" name="Rectangle 24"/>
          <xdr:cNvSpPr>
            <a:spLocks noChangeAspect="0"/>
          </xdr:cNvSpPr>
        </xdr:nvSpPr>
        <xdr:spPr>
          <a:xfrm>
            <a:off x="293084" y="4028172"/>
            <a:ext cx="4036695" cy="1538524"/>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8" name="Text Box 30"/>
          <xdr:cNvSpPr txBox="1">
            <a:spLocks noChangeAspect="0"/>
          </xdr:cNvSpPr>
        </xdr:nvSpPr>
        <xdr:spPr>
          <a:xfrm>
            <a:off x="334898" y="3930587"/>
            <a:ext cx="1431661" cy="216959"/>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vert="horz" wrap="square" horzOverflow="clip" vertOverflow="clip" anchor="t"/>
          <a:p>
            <a:pPr algn="l">
              <a:defRPr sz="1000" b="1" i="0" strike="noStrike" u="none">
                <a:solidFill>
                  <a:srgbClr val="000000"/>
                </a:solidFill>
                <a:latin typeface="Source Sans Pro"/>
              </a:defRPr>
            </a:pPr>
            <a:r>
              <a:rPr sz="1200" b="1" i="0" strike="noStrike" u="none">
                <a:solidFill>
                  <a:srgbClr val="000000"/>
                </a:solidFill>
                <a:latin typeface="Source Sans Pro"/>
              </a:rPr>
              <a:t> Affordable</a:t>
            </a:r>
            <a:endParaRPr/>
          </a:p>
        </xdr:txBody>
      </xdr:sp>
    </xdr:grpSp>
    <xdr:clientData/>
  </xdr:twoCellAnchor>
  <xdr:twoCellAnchor>
    <xdr:from>
      <xdr:col>1</xdr:col>
      <xdr:colOff>24765</xdr:colOff>
      <xdr:row>34</xdr:row>
      <xdr:rowOff>74295</xdr:rowOff>
    </xdr:from>
    <xdr:to>
      <xdr:col>27</xdr:col>
      <xdr:colOff>104775</xdr:colOff>
      <xdr:row>37</xdr:row>
      <xdr:rowOff>100775</xdr:rowOff>
    </xdr:to>
    <xdr:grpSp>
      <xdr:nvGrpSpPr>
        <xdr:cNvPr id="9" name="Group 8"/>
        <xdr:cNvGrpSpPr>
          <a:grpSpLocks noChangeAspect="0"/>
        </xdr:cNvGrpSpPr>
      </xdr:nvGrpSpPr>
      <xdr:grpSpPr>
        <a:xfrm rot="0">
          <a:off x="291465" y="5579745"/>
          <a:ext cx="4042410" cy="483680"/>
          <a:chOff x="291465" y="5579745"/>
          <a:chExt cx="4042410" cy="483680"/>
        </a:xfrm>
      </xdr:grpSpPr>
      <xdr:sp>
        <xdr:nvSpPr>
          <xdr:cNvPr id="10" name="Rectangle 23"/>
          <xdr:cNvSpPr>
            <a:spLocks noChangeAspect="0"/>
          </xdr:cNvSpPr>
        </xdr:nvSpPr>
        <xdr:spPr>
          <a:xfrm>
            <a:off x="291465" y="5676145"/>
            <a:ext cx="4042410" cy="387280"/>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11" name="Text Box 31"/>
          <xdr:cNvSpPr txBox="1">
            <a:spLocks noChangeAspect="0"/>
          </xdr:cNvSpPr>
        </xdr:nvSpPr>
        <xdr:spPr>
          <a:xfrm>
            <a:off x="319734" y="5579745"/>
            <a:ext cx="1761120" cy="206177"/>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vert="horz" wrap="square" horzOverflow="clip" vertOverflow="clip" anchor="t"/>
          <a:p>
            <a:pPr algn="l">
              <a:defRPr sz="1000" b="1" i="0" strike="noStrike" u="none">
                <a:solidFill>
                  <a:srgbClr val="000000"/>
                </a:solidFill>
                <a:latin typeface="Source Sans Pro"/>
              </a:defRPr>
            </a:pPr>
            <a:r>
              <a:rPr sz="1200" b="1" i="0" strike="noStrike" u="none">
                <a:solidFill>
                  <a:srgbClr val="000000"/>
                </a:solidFill>
                <a:latin typeface="Source Sans Pro"/>
              </a:rPr>
              <a:t> Repairs &amp; Reserves</a:t>
            </a:r>
            <a:endParaRPr/>
          </a:p>
        </xdr:txBody>
      </xdr:sp>
    </xdr:grpSp>
    <xdr:clientData/>
  </xdr:twoCellAnchor>
  <xdr:twoCellAnchor>
    <xdr:from>
      <xdr:col>27</xdr:col>
      <xdr:colOff>120777</xdr:colOff>
      <xdr:row>5</xdr:row>
      <xdr:rowOff>95155</xdr:rowOff>
    </xdr:from>
    <xdr:to>
      <xdr:col>54</xdr:col>
      <xdr:colOff>43910</xdr:colOff>
      <xdr:row>19</xdr:row>
      <xdr:rowOff>142589</xdr:rowOff>
    </xdr:to>
    <xdr:grpSp>
      <xdr:nvGrpSpPr>
        <xdr:cNvPr id="12" name="Group 11"/>
        <xdr:cNvGrpSpPr>
          <a:grpSpLocks noChangeAspect="0"/>
        </xdr:cNvGrpSpPr>
      </xdr:nvGrpSpPr>
      <xdr:grpSpPr>
        <a:xfrm rot="0">
          <a:off x="4349877" y="1181005"/>
          <a:ext cx="4056983" cy="2181035"/>
          <a:chOff x="4349877" y="1181005"/>
          <a:chExt cx="4056983" cy="2181035"/>
        </a:xfrm>
      </xdr:grpSpPr>
      <xdr:sp>
        <xdr:nvSpPr>
          <xdr:cNvPr id="13" name="Rectangle 25"/>
          <xdr:cNvSpPr>
            <a:spLocks noChangeAspect="0"/>
          </xdr:cNvSpPr>
        </xdr:nvSpPr>
        <xdr:spPr>
          <a:xfrm>
            <a:off x="4349877" y="1304370"/>
            <a:ext cx="4056983" cy="2057669"/>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14" name="Text Box 32"/>
          <xdr:cNvSpPr txBox="1">
            <a:spLocks noChangeAspect="0"/>
          </xdr:cNvSpPr>
        </xdr:nvSpPr>
        <xdr:spPr>
          <a:xfrm>
            <a:off x="4388246" y="1181005"/>
            <a:ext cx="450416" cy="171552"/>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anchor="b" vert="horz" wrap="square" horzOverflow="clip" vertOverflow="clip"/>
          <a:p>
            <a:pPr algn="l">
              <a:defRPr sz="1000" b="1" i="0" strike="noStrike" u="none">
                <a:solidFill>
                  <a:srgbClr val="000000"/>
                </a:solidFill>
                <a:latin typeface="Source Sans Pro"/>
              </a:defRPr>
            </a:pPr>
            <a:r>
              <a:rPr sz="1200" b="1" i="0" strike="noStrike" u="none">
                <a:solidFill>
                  <a:srgbClr val="000000"/>
                </a:solidFill>
                <a:latin typeface="Source Sans Pro"/>
              </a:rPr>
              <a:t> Loan</a:t>
            </a:r>
            <a:endParaRPr/>
          </a:p>
        </xdr:txBody>
      </xdr:sp>
    </xdr:grpSp>
    <xdr:clientData/>
  </xdr:twoCellAnchor>
  <xdr:twoCellAnchor>
    <xdr:from>
      <xdr:col>1</xdr:col>
      <xdr:colOff>25051</xdr:colOff>
      <xdr:row>37</xdr:row>
      <xdr:rowOff>141732</xdr:rowOff>
    </xdr:from>
    <xdr:to>
      <xdr:col>54</xdr:col>
      <xdr:colOff>78867</xdr:colOff>
      <xdr:row>48</xdr:row>
      <xdr:rowOff>87058</xdr:rowOff>
    </xdr:to>
    <xdr:grpSp>
      <xdr:nvGrpSpPr>
        <xdr:cNvPr id="15" name="Group 14"/>
        <xdr:cNvGrpSpPr>
          <a:grpSpLocks noChangeAspect="0"/>
        </xdr:cNvGrpSpPr>
      </xdr:nvGrpSpPr>
      <xdr:grpSpPr>
        <a:xfrm rot="0">
          <a:off x="291751" y="6104382"/>
          <a:ext cx="8150066" cy="1621727"/>
          <a:chOff x="291751" y="6104382"/>
          <a:chExt cx="8150066" cy="1621727"/>
        </a:xfrm>
      </xdr:grpSpPr>
      <xdr:sp>
        <xdr:nvSpPr>
          <xdr:cNvPr id="16" name="Rectangle 17"/>
          <xdr:cNvSpPr>
            <a:spLocks noChangeAspect="0"/>
          </xdr:cNvSpPr>
        </xdr:nvSpPr>
        <xdr:spPr>
          <a:xfrm>
            <a:off x="291751" y="6191366"/>
            <a:ext cx="8150066" cy="1534742"/>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17" name="Text Box 36"/>
          <xdr:cNvSpPr txBox="1">
            <a:spLocks noChangeAspect="0"/>
          </xdr:cNvSpPr>
        </xdr:nvSpPr>
        <xdr:spPr>
          <a:xfrm>
            <a:off x="319984" y="6104382"/>
            <a:ext cx="2012187" cy="166983"/>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anchor="b" vert="horz" wrap="square" horzOverflow="clip" vertOverflow="clip"/>
          <a:p>
            <a:pPr algn="l">
              <a:defRPr sz="1000" b="1" i="0" strike="noStrike" u="none">
                <a:solidFill>
                  <a:srgbClr val="000000"/>
                </a:solidFill>
                <a:latin typeface="Source Sans Pro"/>
              </a:defRPr>
            </a:pPr>
            <a:r>
              <a:rPr sz="1200" b="1" i="0" strike="noStrike" u="none">
                <a:solidFill>
                  <a:srgbClr val="000000"/>
                </a:solidFill>
                <a:latin typeface="Source Sans Pro"/>
              </a:rPr>
              <a:t> Signature &amp; Comments</a:t>
            </a:r>
            <a:endParaRPr/>
          </a:p>
        </xdr:txBody>
      </xdr:sp>
    </xdr:grpSp>
    <xdr:clientData/>
  </xdr:twoCellAnchor>
  <xdr:twoCellAnchor>
    <xdr:from>
      <xdr:col>27</xdr:col>
      <xdr:colOff>120777</xdr:colOff>
      <xdr:row>0</xdr:row>
      <xdr:rowOff>-104775</xdr:rowOff>
    </xdr:from>
    <xdr:to>
      <xdr:col>16382</xdr:col>
      <xdr:colOff>0</xdr:colOff>
      <xdr:row>31</xdr:row>
      <xdr:rowOff>92869</xdr:rowOff>
    </xdr:to>
    <xdr:grpSp>
      <xdr:nvGrpSpPr>
        <xdr:cNvPr id="18" name="Group 17"/>
        <xdr:cNvGrpSpPr>
          <a:grpSpLocks noChangeAspect="0"/>
        </xdr:cNvGrpSpPr>
      </xdr:nvGrpSpPr>
      <xdr:grpSpPr>
        <a:xfrm rot="0">
          <a:off x="4349877" y="-104775"/>
          <a:ext cx="4470273" cy="5245894"/>
          <a:chOff x="4349877" y="-104775"/>
          <a:chExt cx="4470273" cy="5245894"/>
        </a:xfrm>
      </xdr:grpSpPr>
      <xdr:grpSp>
        <xdr:nvGrpSpPr>
          <xdr:cNvPr id="19" name="Group 18"/>
          <xdr:cNvGrpSpPr>
            <a:grpSpLocks noChangeAspect="0"/>
          </xdr:cNvGrpSpPr>
        </xdr:nvGrpSpPr>
        <xdr:grpSpPr>
          <a:xfrm rot="0">
            <a:off x="4966126" y="-104775"/>
            <a:ext cx="3854024" cy="2729706"/>
            <a:chOff x="4966126" y="-104775"/>
            <a:chExt cx="3854024" cy="2729706"/>
          </a:xfrm>
        </xdr:grpSpPr>
        <xdr:sp>
          <xdr:nvSpPr>
            <xdr:cNvPr id="22" name="Rectangle 26"/>
            <xdr:cNvSpPr>
              <a:spLocks noChangeAspect="0"/>
            </xdr:cNvSpPr>
          </xdr:nvSpPr>
          <xdr:spPr>
            <a:xfrm>
              <a:off x="4966126" y="6548"/>
              <a:ext cx="3854024" cy="2618383"/>
            </a:xfrm>
            <a:prstGeom prst="rect">
              <a:avLst/>
            </a:prstGeom>
            <a:noFill/>
            <a:ln w="9525" cmpd="sng">
              <a:solidFill>
                <a:srgbClr val="000000"/>
              </a:solidFill>
              <a:miter lim="800000"/>
              <a:headEnd w="med" len="med"/>
              <a:tailEnd w="med" len="med"/>
            </a:ln>
          </xdr:spPr>
          <xdr:style>
            <a:lnRef idx="2"/>
            <a:fillRef idx="1"/>
            <a:effectRef idx="0">
              <a:schemeClr val="accent1"/>
            </a:effectRef>
            <a:fontRef idx="minor">
              <a:schemeClr val="bg1"/>
            </a:fontRef>
          </xdr:style>
          <xdr:txBody>
            <a:bodyPr vert="horz" wrap="square" horzOverflow="clip" vertOverflow="clip" anchor="t"/>
            <a:p>
              <a:pPr algn="l">
                <a:defRPr sz="1100">
                  <a:solidFill>
                    <a:schemeClr val="bg1"/>
                  </a:solidFill>
                  <a:latin typeface="+mn-lt"/>
                </a:defRPr>
              </a:pPr>
              <a:r>
                <a:rPr sz="1100">
                  <a:solidFill>
                    <a:schemeClr val="bg1"/>
                  </a:solidFill>
                  <a:latin typeface="+mn-lt"/>
                </a:rPr>
                <a:t/>
              </a:r>
              <a:endParaRPr/>
            </a:p>
          </xdr:txBody>
        </xdr:sp>
        <xdr:sp>
          <xdr:nvSpPr>
            <xdr:cNvPr id="23" name="Text Box 33"/>
            <xdr:cNvSpPr txBox="1">
              <a:spLocks noChangeAspect="0"/>
            </xdr:cNvSpPr>
          </xdr:nvSpPr>
          <xdr:spPr>
            <a:xfrm>
              <a:off x="5009835" y="-104775"/>
              <a:ext cx="1149055" cy="192922"/>
            </a:xfrm>
            <a:prstGeom prst="rect">
              <a:avLst/>
            </a:prstGeom>
            <a:solidFill>
              <a:srgbClr val="ffffff"/>
            </a:solidFill>
            <a:ln w="9525" cmpd="sng">
              <a:noFill/>
              <a:miter lim="800000"/>
              <a:headEnd w="med" len="med"/>
              <a:tailEnd w="med" len="med"/>
            </a:ln>
          </xdr:spPr>
          <xdr:style>
            <a:lnRef idx="2"/>
            <a:fillRef idx="1"/>
            <a:effectRef idx="0">
              <a:schemeClr val="accent1"/>
            </a:effectRef>
            <a:fontRef idx="minor">
              <a:schemeClr val="bg1"/>
            </a:fontRef>
          </xdr:style>
          <xdr:txBody>
            <a:bodyPr tIns="0" bIns="0" lIns="0" rIns="0" vert="horz" wrap="square" horzOverflow="clip" vertOverflow="clip" anchor="t"/>
            <a:p>
              <a:pPr algn="l">
                <a:defRPr sz="1000" b="1" i="0" strike="noStrike" u="none">
                  <a:solidFill>
                    <a:srgbClr val="000000"/>
                  </a:solidFill>
                  <a:latin typeface="Calibri"/>
                </a:defRPr>
              </a:pPr>
              <a:r>
                <a:rPr sz="1200" b="1" i="0" strike="noStrike" u="none">
                  <a:solidFill>
                    <a:srgbClr val="000000"/>
                  </a:solidFill>
                  <a:latin typeface="Calibri"/>
                </a:rPr>
                <a:t> Underwriting</a:t>
              </a:r>
              <a:endParaRPr/>
            </a:p>
          </xdr:txBody>
        </xdr:sp>
      </xdr:grpSp>
      <xdr:cxnSp>
        <xdr:nvCxnSpPr>
          <xdr:cNvPr id="20" name="Straight Connector 19"/>
          <xdr:cNvCxnSpPr>
            <a:cxnSpLocks noChangeAspect="0"/>
          </xdr:cNvCxnSpPr>
        </xdr:nvCxnSpPr>
        <xdr:spPr>
          <a:xfrm flipV="1">
            <a:off x="4359684" y="4678488"/>
            <a:ext cx="4047176" cy="1"/>
          </a:xfrm>
          <a:prstGeom prst="straightConnector1">
            <a:avLst/>
          </a:prstGeom>
          <a:noFill/>
          <a:ln w="9525" cmpd="sng" cap="flat">
            <a:solidFill>
              <a:schemeClr val="tx1"/>
            </a:solidFill>
            <a:prstDash val="sysDash"/>
          </a:ln>
        </xdr:spPr>
        <xdr:style>
          <a:lnRef idx="1">
            <a:schemeClr val="tx1"/>
          </a:lnRef>
          <a:fillRef idx="0"/>
          <a:effectRef idx="0">
            <a:schemeClr val="accent1"/>
          </a:effectRef>
          <a:fontRef idx="minor">
            <a:schemeClr val="tx1"/>
          </a:fontRef>
        </xdr:style>
      </xdr:cxnSp>
      <xdr:cxnSp>
        <xdr:nvCxnSpPr>
          <xdr:cNvPr id="21" name="Straight Connector 20"/>
          <xdr:cNvCxnSpPr>
            <a:cxnSpLocks noChangeAspect="0"/>
          </xdr:cNvCxnSpPr>
        </xdr:nvCxnSpPr>
        <xdr:spPr>
          <a:xfrm flipV="1">
            <a:off x="4349877" y="5141118"/>
            <a:ext cx="4046322" cy="1"/>
          </a:xfrm>
          <a:prstGeom prst="straightConnector1">
            <a:avLst/>
          </a:prstGeom>
          <a:noFill/>
          <a:ln w="9525" cmpd="sng" cap="flat">
            <a:solidFill>
              <a:schemeClr val="tx1"/>
            </a:solidFill>
            <a:prstDash val="sysDash"/>
          </a:ln>
        </xdr:spPr>
        <xdr:style>
          <a:lnRef idx="1">
            <a:schemeClr val="tx1"/>
          </a:lnRef>
          <a:fillRef idx="0"/>
          <a:effectRef idx="0">
            <a:schemeClr val="accent1"/>
          </a:effectRef>
          <a:fontRef idx="minor">
            <a:schemeClr val="tx1"/>
          </a:fontRef>
        </xdr:style>
      </xdr:cxnSp>
    </xdr:grpSp>
    <xdr:clientData/>
  </xdr:twoCellAnchor>
  <xdr:twoCellAnchor>
    <xdr:from>
      <xdr:col>1</xdr:col>
      <xdr:colOff>6287</xdr:colOff>
      <xdr:row>0</xdr:row>
      <xdr:rowOff>0</xdr:rowOff>
    </xdr:from>
    <xdr:to>
      <xdr:col>54</xdr:col>
      <xdr:colOff>47338</xdr:colOff>
      <xdr:row>0</xdr:row>
      <xdr:rowOff>401098</xdr:rowOff>
    </xdr:to>
    <xdr:grpSp>
      <xdr:nvGrpSpPr>
        <xdr:cNvPr id="24" name="Group 23"/>
        <xdr:cNvGrpSpPr>
          <a:grpSpLocks noChangeAspect="0"/>
        </xdr:cNvGrpSpPr>
      </xdr:nvGrpSpPr>
      <xdr:grpSpPr>
        <a:xfrm rot="0">
          <a:off x="272987" y="0"/>
          <a:ext cx="8137302" cy="401098"/>
          <a:chOff x="272987" y="0"/>
          <a:chExt cx="8137302" cy="401098"/>
        </a:xfrm>
      </xdr:grpSpPr>
      <xdr:cxnSp>
        <xdr:nvCxnSpPr>
          <xdr:cNvPr id="25" name="Straight Connector 24"/>
          <xdr:cNvCxnSpPr>
            <a:cxnSpLocks noChangeAspect="1"/>
          </xdr:cNvCxnSpPr>
        </xdr:nvCxnSpPr>
        <xdr:spPr>
          <a:xfrm>
            <a:off x="2253947" y="278190"/>
            <a:ext cx="6156341" cy="0"/>
          </a:xfrm>
          <a:prstGeom prst="straightConnector1">
            <a:avLst/>
          </a:prstGeom>
          <a:noFill/>
          <a:ln w="19050" cmpd="sng" cap="flat">
            <a:solidFill>
              <a:srgbClr val="d9d7dc"/>
            </a:solidFill>
            <a:prstDash val="solid"/>
          </a:ln>
        </xdr:spPr>
        <xdr:style>
          <a:lnRef idx="1"/>
          <a:fillRef idx="0"/>
          <a:effectRef idx="0">
            <a:schemeClr val="accent1"/>
          </a:effectRef>
          <a:fontRef idx="minor">
            <a:schemeClr val="accent1"/>
          </a:fontRef>
        </xdr:style>
      </xdr:cxnSp>
      <xdr:pic>
        <xdr:nvPicPr>
          <xdr:cNvPr id="26" name="Picture 25"/>
          <xdr:cNvPicPr>
            <a:picLocks noChangeAspect="1"/>
          </xdr:cNvPicPr>
        </xdr:nvPicPr>
        <xdr:blipFill>
          <a:blip xmlns:r="http://schemas.openxmlformats.org/officeDocument/2006/relationships" r:embed="rId1"/>
          <a:srcRect l="5091" r="0" t="17077" b="17720"/>
          <a:stretch/>
        </xdr:blipFill>
        <xdr:spPr>
          <a:xfrm>
            <a:off x="272987" y="0"/>
            <a:ext cx="1953691" cy="401098"/>
          </a:xfrm>
          <a:prstGeom prst="rect">
            <a:avLst/>
          </a:prstGeom>
          <a:noFill/>
          <a:ln cmpd="sng">
            <a:noFill/>
          </a:ln>
        </xdr:spPr>
      </xdr:pic>
    </xdr:grpSp>
    <xdr:clientData/>
  </xdr:twoCellAnchor>
  <mc:AlternateContent xmlns:mc="http://schemas.openxmlformats.org/markup-compatibility/2006">
    <mc:Choice xmlns:a14="http://schemas.microsoft.com/office/drawing/2010/main" Requires="a14">
      <xdr:twoCellAnchor editAs="oneCell">
        <xdr:from>
          <xdr:col>45</xdr:col>
          <xdr:colOff>63532</xdr:colOff>
          <xdr:row>0</xdr:row>
          <xdr:rowOff>50768</xdr:rowOff>
        </xdr:from>
        <xdr:to>
          <xdr:col>54</xdr:col>
          <xdr:colOff>88868</xdr:colOff>
          <xdr:row>0</xdr:row>
          <xdr:rowOff>241268</xdr:rowOff>
        </xdr:to>
        <xdr:sp>
          <xdr:nvSpPr>
            <xdr:cNvPr id="1198084" name="button_ExportForm4662" hidden="1">
              <a:extLst>
                <a:ext uri="{63B3BB69-23CF-44E3-9099-C40C66FF867C}">
                  <a14:compatExt spid="_x0000_s39939"/>
                </a:ext>
              </a:extLst>
            </xdr:cNvPr>
            <xdr:cNvSpPr>
              <a:spLocks noChangeAspect="0"/>
            </xdr:cNvSpPr>
          </xdr:nvSpPr>
          <xdr:spPr>
            <a:xfrm>
              <a:off x="7054882" y="50768"/>
              <a:ext cx="1396937" cy="1905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Export Form 4662</a:t>
              </a:r>
              <a:endParaRPr/>
            </a:p>
          </xdr:txBody>
        </xdr:sp>
        <xdr:clientData fPrintsWithSheet="0"/>
      </xdr:twoCellAnchor>
    </mc:Choice>
  </mc:AlternateContent>
</xdr:wsDr>
</file>

<file path=xl/drawings/drawing21.xml><?xml version="1.0" encoding="utf-8"?>
<xdr:wsDr xmlns:xdr="http://schemas.openxmlformats.org/drawingml/2006/spreadsheetDrawing" xmlns:a="http://schemas.openxmlformats.org/drawingml/2006/main">
  <xdr:twoCellAnchor>
    <xdr:from>
      <xdr:col>14</xdr:col>
      <xdr:colOff>78486</xdr:colOff>
      <xdr:row>6</xdr:row>
      <xdr:rowOff>44863</xdr:rowOff>
    </xdr:from>
    <xdr:to>
      <xdr:col>20</xdr:col>
      <xdr:colOff>89630</xdr:colOff>
      <xdr:row>14</xdr:row>
      <xdr:rowOff>168116</xdr:rowOff>
    </xdr:to>
    <xdr:sp>
      <xdr:nvSpPr>
        <xdr:cNvPr id="2" name="TextBox 1"/>
        <xdr:cNvSpPr txBox="1">
          <a:spLocks noChangeAspect="0"/>
        </xdr:cNvSpPr>
      </xdr:nvSpPr>
      <xdr:spPr>
        <a:xfrm>
          <a:off x="12460986" y="1485519"/>
          <a:ext cx="3987832" cy="2123504"/>
        </a:xfrm>
        <a:prstGeom prst="rect">
          <a:avLst/>
        </a:prstGeom>
        <a:solidFill>
          <a:schemeClr val="bg1"/>
        </a:solidFill>
        <a:ln w="9525" cmpd="sng">
          <a:solidFill>
            <a:schemeClr val="bg1">
              <a:shade val="50000"/>
            </a:schemeClr>
          </a:solidFill>
        </a:ln>
      </xdr:spPr>
      <xdr:style>
        <a:lnRef idx="0"/>
        <a:fillRef idx="0"/>
        <a:effectRef idx="0">
          <a:schemeClr val="accent1"/>
        </a:effectRef>
        <a:fontRef idx="minor">
          <a:schemeClr val="tx1"/>
        </a:fontRef>
      </xdr:style>
      <xdr:txBody>
        <a:bodyPr vert="horz" wrap="square" horzOverflow="clip" vertOverflow="clip" anchor="t"/>
        <a:p>
          <a:pPr algn="l">
            <a:defRPr sz="1100">
              <a:solidFill>
                <a:schemeClr val="tx1"/>
              </a:solidFill>
              <a:latin typeface="+mn-lt"/>
            </a:defRPr>
          </a:pPr>
          <a:r>
            <a:rPr sz="1100">
              <a:solidFill>
                <a:schemeClr val="tx1"/>
              </a:solidFill>
              <a:latin typeface="+mn-lt"/>
            </a:rPr>
            <a:t>Instructions:</a:t>
          </a:r>
          <a:endParaRPr/>
        </a:p>
        <a:p>
          <a:pPr algn="l">
            <a:defRPr sz="1100">
              <a:solidFill>
                <a:schemeClr val="tx1"/>
              </a:solidFill>
              <a:latin typeface="+mn-lt"/>
            </a:defRPr>
          </a:pPr>
          <a:r>
            <a:rPr sz="1100">
              <a:latin typeface="+mn-lt"/>
            </a:rPr>
            <a:t>1)</a:t>
          </a:r>
          <a:r>
            <a:rPr sz="1100">
              <a:latin typeface="+mn-lt"/>
            </a:rPr>
            <a:t> Print Trade Sheet for circulation to DCU, Producer, and Closer.</a:t>
          </a:r>
          <a:endParaRPr/>
        </a:p>
        <a:p>
          <a:pPr algn="l">
            <a:defRPr sz="1100">
              <a:solidFill>
                <a:schemeClr val="tx1"/>
              </a:solidFill>
              <a:latin typeface="+mn-lt"/>
            </a:defRPr>
          </a:pPr>
          <a:endParaRPr/>
        </a:p>
        <a:p>
          <a:pPr algn="l">
            <a:defRPr sz="1100">
              <a:solidFill>
                <a:schemeClr val="tx1"/>
              </a:solidFill>
              <a:latin typeface="+mn-lt"/>
            </a:defRPr>
          </a:pPr>
          <a:r>
            <a:rPr sz="1100">
              <a:latin typeface="+mn-lt"/>
            </a:rPr>
            <a:t>2) Once signatures are received, hit the "Send to Traders" button and save this file as "Trade Sheet (Insert the Property Name)".</a:t>
          </a:r>
          <a:endParaRPr/>
        </a:p>
        <a:p>
          <a:pPr algn="l">
            <a:defRPr sz="1100">
              <a:solidFill>
                <a:schemeClr val="tx1"/>
              </a:solidFill>
              <a:latin typeface="+mn-lt"/>
            </a:defRPr>
          </a:pPr>
          <a:endParaRPr/>
        </a:p>
        <a:p>
          <a:pPr algn="l">
            <a:defRPr sz="1100">
              <a:solidFill>
                <a:schemeClr val="tx1"/>
              </a:solidFill>
              <a:latin typeface="+mn-lt"/>
            </a:defRPr>
          </a:pPr>
          <a:r>
            <a:rPr sz="1100">
              <a:latin typeface="+mn-lt"/>
            </a:rPr>
            <a:t>3) Confirm that all information matches the Signed Trade Sheet</a:t>
          </a:r>
          <a:endParaRPr/>
        </a:p>
        <a:p>
          <a:pPr algn="l">
            <a:defRPr sz="1100">
              <a:solidFill>
                <a:schemeClr val="tx1"/>
              </a:solidFill>
              <a:latin typeface="+mn-lt"/>
            </a:defRPr>
          </a:pPr>
          <a:endParaRPr/>
        </a:p>
        <a:p>
          <a:pPr algn="l">
            <a:defRPr sz="1100">
              <a:solidFill>
                <a:schemeClr val="tx1"/>
              </a:solidFill>
              <a:latin typeface="+mn-lt"/>
            </a:defRPr>
          </a:pPr>
          <a:r>
            <a:rPr sz="1100">
              <a:latin typeface="+mn-lt"/>
            </a:rPr>
            <a:t>4) Send Excel Trade Sheet and Signed Trade Sheet to Traders (Matt Shevlin or Blake Lanford)</a:t>
          </a:r>
          <a:endParaRPr/>
        </a:p>
        <a:p>
          <a:pPr algn="l">
            <a:defRPr sz="1100">
              <a:solidFill>
                <a:schemeClr val="tx1"/>
              </a:solidFill>
              <a:latin typeface="+mn-lt"/>
            </a:defRPr>
          </a:pPr>
          <a:endParaRPr/>
        </a:p>
      </xdr:txBody>
    </xdr:sp>
    <xdr:clientData/>
  </xdr:twoCellAnchor>
  <mc:AlternateContent xmlns:mc="http://schemas.openxmlformats.org/markup-compatibility/2006">
    <mc:Choice xmlns:a14="http://schemas.microsoft.com/office/drawing/2010/main" Requires="a14">
      <xdr:twoCellAnchor>
        <xdr:from>
          <xdr:col>14</xdr:col>
          <xdr:colOff>177832</xdr:colOff>
          <xdr:row>1</xdr:row>
          <xdr:rowOff>114300</xdr:rowOff>
        </xdr:from>
        <xdr:to>
          <xdr:col>14</xdr:col>
          <xdr:colOff>1625632</xdr:colOff>
          <xdr:row>5</xdr:row>
          <xdr:rowOff>25432</xdr:rowOff>
        </xdr:to>
        <xdr:sp>
          <xdr:nvSpPr>
            <xdr:cNvPr id="809714" name="button_SendToTraders" hidden="1">
              <a:extLst>
                <a:ext uri="{63B3BB69-23CF-44E3-9099-C40C66FF867C}">
                  <a14:compatExt spid="_x0000_s40962"/>
                </a:ext>
              </a:extLst>
            </xdr:cNvPr>
            <xdr:cNvSpPr>
              <a:spLocks noChangeAspect="0"/>
            </xdr:cNvSpPr>
          </xdr:nvSpPr>
          <xdr:spPr>
            <a:xfrm>
              <a:off x="12560332" y="304800"/>
              <a:ext cx="1447800" cy="911257"/>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0" i="0" strike="noStrike" u="none">
                  <a:solidFill>
                    <a:srgbClr val="000000"/>
                  </a:solidFill>
                  <a:latin typeface="Calibri"/>
                </a:defRPr>
              </a:pPr>
              <a:r>
                <a:rPr sz="1400" b="0" i="0" strike="noStrike" u="none">
                  <a:solidFill>
                    <a:srgbClr val="000000"/>
                  </a:solidFill>
                  <a:latin typeface="Calibri"/>
                </a:rPr>
                <a:t>Send to Traders</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16</xdr:col>
          <xdr:colOff>12668</xdr:colOff>
          <xdr:row>1</xdr:row>
          <xdr:rowOff>114300</xdr:rowOff>
        </xdr:from>
        <xdr:to>
          <xdr:col>20</xdr:col>
          <xdr:colOff>88868</xdr:colOff>
          <xdr:row>5</xdr:row>
          <xdr:rowOff>25432</xdr:rowOff>
        </xdr:to>
        <xdr:sp>
          <xdr:nvSpPr>
            <xdr:cNvPr id="809723" name="button_SendToSalesForce" hidden="1">
              <a:extLst>
                <a:ext uri="{63B3BB69-23CF-44E3-9099-C40C66FF867C}">
                  <a14:compatExt spid="_x0000_s40963"/>
                </a:ext>
              </a:extLst>
            </xdr:cNvPr>
            <xdr:cNvSpPr>
              <a:spLocks noChangeAspect="0"/>
            </xdr:cNvSpPr>
          </xdr:nvSpPr>
          <xdr:spPr>
            <a:xfrm>
              <a:off x="14847856" y="304800"/>
              <a:ext cx="1600200" cy="911257"/>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7432" bIns="27432" lIns="27432" rIns="27432" anchor="ctr" vert="horz" wrap="square" horzOverflow="clip" vertOverflow="clip"/>
            <a:p>
              <a:pPr algn="ctr">
                <a:defRPr sz="1000" b="0" i="0" strike="noStrike" u="none">
                  <a:solidFill>
                    <a:srgbClr val="000000"/>
                  </a:solidFill>
                  <a:latin typeface="Calibri"/>
                </a:defRPr>
              </a:pPr>
              <a:r>
                <a:rPr sz="1400" b="0" i="0" strike="noStrike" u="none">
                  <a:solidFill>
                    <a:srgbClr val="000000"/>
                  </a:solidFill>
                  <a:latin typeface="Calibri"/>
                </a:rPr>
                <a:t>Send to      Salesforce</a:t>
              </a:r>
              <a:endParaRPr/>
            </a:p>
          </xdr:txBody>
        </xdr:sp>
        <xdr:clientData fPrintsWithSheet="0"/>
      </xdr:twoCellAnchor>
    </mc:Choice>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20</xdr:col>
          <xdr:colOff>0</xdr:colOff>
          <xdr:row>0</xdr:row>
          <xdr:rowOff>50768</xdr:rowOff>
        </xdr:from>
        <xdr:to>
          <xdr:col>22</xdr:col>
          <xdr:colOff>126968</xdr:colOff>
          <xdr:row>0</xdr:row>
          <xdr:rowOff>368332</xdr:rowOff>
        </xdr:to>
        <xdr:sp>
          <xdr:nvSpPr>
            <xdr:cNvPr id="1199105" name="button_LinkSourcesToForm" hidden="1">
              <a:extLst>
                <a:ext uri="{63B3BB69-23CF-44E3-9099-C40C66FF867C}">
                  <a14:compatExt spid="_x0000_s43009"/>
                </a:ext>
              </a:extLst>
            </xdr:cNvPr>
            <xdr:cNvSpPr>
              <a:spLocks noChangeAspect="0"/>
            </xdr:cNvSpPr>
          </xdr:nvSpPr>
          <xdr:spPr>
            <a:xfrm>
              <a:off x="36195000" y="50768"/>
              <a:ext cx="1346168" cy="31756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000" b="0" i="0" strike="noStrike" u="none">
                  <a:solidFill>
                    <a:srgbClr val="000000"/>
                  </a:solidFill>
                  <a:latin typeface="Calibri"/>
                </a:rPr>
                <a:t>Link Sources to Form</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23</xdr:col>
          <xdr:colOff>0</xdr:colOff>
          <xdr:row>0</xdr:row>
          <xdr:rowOff>50768</xdr:rowOff>
        </xdr:from>
        <xdr:to>
          <xdr:col>25</xdr:col>
          <xdr:colOff>215932</xdr:colOff>
          <xdr:row>0</xdr:row>
          <xdr:rowOff>368332</xdr:rowOff>
        </xdr:to>
        <xdr:sp>
          <xdr:nvSpPr>
            <xdr:cNvPr id="1199106" name="button_RestoreLinksToHData" hidden="1">
              <a:extLst>
                <a:ext uri="{63B3BB69-23CF-44E3-9099-C40C66FF867C}">
                  <a14:compatExt spid="_x0000_s43010"/>
                </a:ext>
              </a:extLst>
            </xdr:cNvPr>
            <xdr:cNvSpPr>
              <a:spLocks noChangeAspect="0"/>
            </xdr:cNvSpPr>
          </xdr:nvSpPr>
          <xdr:spPr>
            <a:xfrm>
              <a:off x="37804725" y="50768"/>
              <a:ext cx="1435132" cy="317564"/>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000" b="0" i="0" strike="noStrike" u="none">
                  <a:solidFill>
                    <a:srgbClr val="000000"/>
                  </a:solidFill>
                  <a:latin typeface="Calibri"/>
                </a:rPr>
                <a:t>Restore Links to HData</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25</xdr:col>
          <xdr:colOff>482632</xdr:colOff>
          <xdr:row>0</xdr:row>
          <xdr:rowOff>63532</xdr:rowOff>
        </xdr:from>
        <xdr:to>
          <xdr:col>27</xdr:col>
          <xdr:colOff>139732</xdr:colOff>
          <xdr:row>0</xdr:row>
          <xdr:rowOff>355568</xdr:rowOff>
        </xdr:to>
        <xdr:sp>
          <xdr:nvSpPr>
            <xdr:cNvPr id="1199107" name="button_ClearForm" hidden="1">
              <a:extLst>
                <a:ext uri="{63B3BB69-23CF-44E3-9099-C40C66FF867C}">
                  <a14:compatExt spid="_x0000_s43011"/>
                </a:ext>
              </a:extLst>
            </xdr:cNvPr>
            <xdr:cNvSpPr>
              <a:spLocks noChangeAspect="0"/>
            </xdr:cNvSpPr>
          </xdr:nvSpPr>
          <xdr:spPr>
            <a:xfrm>
              <a:off x="39506557" y="63532"/>
              <a:ext cx="876300" cy="292036"/>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000" b="0" i="0" strike="noStrike" u="none">
                  <a:solidFill>
                    <a:srgbClr val="000000"/>
                  </a:solidFill>
                  <a:latin typeface="Calibri"/>
                </a:rPr>
                <a:t>Clear Form</a:t>
              </a:r>
              <a:endParaRPr/>
            </a:p>
          </xdr:txBody>
        </xdr:sp>
        <xdr:clientData fPrintsWithSheet="0"/>
      </xdr:twoCellAnchor>
    </mc:Choice>
  </mc:AlternateContent>
</xdr:wsDr>
</file>

<file path=xl/drawings/drawing23.xml><?xml version="1.0" encoding="utf-8"?>
<xdr:wsDr xmlns:xdr="http://schemas.openxmlformats.org/drawingml/2006/spreadsheetDrawing" xmlns:a="http://schemas.openxmlformats.org/drawingml/2006/main">
  <xdr:twoCellAnchor editAs="oneCell">
    <xdr:from>
      <xdr:col>0</xdr:col>
      <xdr:colOff>171450</xdr:colOff>
      <xdr:row>3</xdr:row>
      <xdr:rowOff>19050</xdr:rowOff>
    </xdr:from>
    <xdr:to>
      <xdr:col>1</xdr:col>
      <xdr:colOff>781050</xdr:colOff>
      <xdr:row>4</xdr:row>
      <xdr:rowOff>123825</xdr:rowOff>
    </xdr:to>
    <xdr:sp>
      <xdr:nvSpPr>
        <xdr:cNvPr id="2" name="button_RunTests"/>
        <xdr:cNvSpPr>
          <a:spLocks noChangeAspect="0"/>
        </xdr:cNvSpPr>
      </xdr:nvSpPr>
      <xdr:spPr>
        <a:xfrm>
          <a:off x="171450" y="800100"/>
          <a:ext cx="895350" cy="295275"/>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a:solidFill>
                <a:schemeClr val="bg1"/>
              </a:solidFill>
              <a:latin typeface="+mn-lt"/>
            </a:defRPr>
          </a:pPr>
          <a:r>
            <a:rPr sz="1100" b="0">
              <a:solidFill>
                <a:schemeClr val="bg1"/>
              </a:solidFill>
              <a:latin typeface="+mn-lt"/>
            </a:rPr>
            <a:t>Run Tests</a:t>
          </a:r>
          <a:endParaRPr/>
        </a:p>
      </xdr:txBody>
    </xdr:sp>
    <xdr:clientData fPrintsWithSheet="0"/>
  </xdr:twoCellAnchor>
  <xdr:twoCellAnchor editAs="oneCell">
    <xdr:from>
      <xdr:col>4</xdr:col>
      <xdr:colOff>638175</xdr:colOff>
      <xdr:row>2</xdr:row>
      <xdr:rowOff>38100</xdr:rowOff>
    </xdr:from>
    <xdr:to>
      <xdr:col>5</xdr:col>
      <xdr:colOff>479393</xdr:colOff>
      <xdr:row>2</xdr:row>
      <xdr:rowOff>338709</xdr:rowOff>
    </xdr:to>
    <xdr:sp>
      <xdr:nvSpPr>
        <xdr:cNvPr id="3" name="button_RunTest1"/>
        <xdr:cNvSpPr>
          <a:spLocks noChangeAspect="0"/>
        </xdr:cNvSpPr>
      </xdr:nvSpPr>
      <xdr:spPr>
        <a:xfrm>
          <a:off x="5048250" y="419100"/>
          <a:ext cx="898493" cy="30060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a:solidFill>
                <a:schemeClr val="bg1"/>
              </a:solidFill>
              <a:latin typeface="+mn-lt"/>
            </a:defRPr>
          </a:pPr>
          <a:r>
            <a:rPr sz="1100" b="0">
              <a:solidFill>
                <a:schemeClr val="bg1"/>
              </a:solidFill>
              <a:latin typeface="+mn-lt"/>
            </a:rPr>
            <a:t>Run Test #1</a:t>
          </a:r>
          <a:endParaRPr/>
        </a:p>
      </xdr:txBody>
    </xdr:sp>
    <xdr:clientData fPrintsWithSheet="0"/>
  </xdr:twoCellAnchor>
  <xdr:twoCellAnchor editAs="oneCell">
    <xdr:from>
      <xdr:col>6</xdr:col>
      <xdr:colOff>552450</xdr:colOff>
      <xdr:row>2</xdr:row>
      <xdr:rowOff>38100</xdr:rowOff>
    </xdr:from>
    <xdr:to>
      <xdr:col>7</xdr:col>
      <xdr:colOff>393668</xdr:colOff>
      <xdr:row>2</xdr:row>
      <xdr:rowOff>338709</xdr:rowOff>
    </xdr:to>
    <xdr:sp>
      <xdr:nvSpPr>
        <xdr:cNvPr id="4" name="button_RunTest2"/>
        <xdr:cNvSpPr>
          <a:spLocks noChangeAspect="0"/>
        </xdr:cNvSpPr>
      </xdr:nvSpPr>
      <xdr:spPr>
        <a:xfrm>
          <a:off x="7191375" y="419100"/>
          <a:ext cx="898493" cy="300609"/>
        </a:xfrm>
        <a:prstGeom prst="roundRect">
          <a:avLst>
            <a:gd name="adj" fmla="val 16667"/>
          </a:avLst>
        </a:prstGeom>
        <a:solidFill>
          <a:schemeClr val="tx2">
            <a:lumMod val="75000"/>
          </a:schemeClr>
        </a:solidFill>
        <a:ln w="25432" cmpd="sng" cap="flat">
          <a:solidFill>
            <a:schemeClr val="accent1">
              <a:shade val="50000"/>
            </a:schemeClr>
          </a:solidFill>
          <a:prstDash val="solid"/>
        </a:ln>
      </xdr:spPr>
      <xdr:style>
        <a:lnRef idx="2">
          <a:schemeClr val="accent1">
            <a:shade val="50000"/>
          </a:schemeClr>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a:solidFill>
                <a:schemeClr val="bg1"/>
              </a:solidFill>
              <a:latin typeface="+mn-lt"/>
            </a:defRPr>
          </a:pPr>
          <a:r>
            <a:rPr sz="1100" b="0">
              <a:solidFill>
                <a:schemeClr val="bg1"/>
              </a:solidFill>
              <a:latin typeface="+mn-lt"/>
            </a:rPr>
            <a:t>Run Test #2</a:t>
          </a:r>
          <a:endParaRPr/>
        </a:p>
      </xdr:txBody>
    </xdr:sp>
    <xdr:clientData fPrintsWithSheet="0"/>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482632</xdr:colOff>
          <xdr:row>19</xdr:row>
          <xdr:rowOff>25432</xdr:rowOff>
        </xdr:from>
        <xdr:to>
          <xdr:col>5</xdr:col>
          <xdr:colOff>1511332</xdr:colOff>
          <xdr:row>21</xdr:row>
          <xdr:rowOff>0</xdr:rowOff>
        </xdr:to>
        <xdr:sp>
          <xdr:nvSpPr>
            <xdr:cNvPr id="1105921" name="button_UpdateRR" hidden="1">
              <a:extLst>
                <a:ext uri="{63B3BB69-23CF-44E3-9099-C40C66FF867C}">
                  <a14:compatExt spid="_x0000_s54273"/>
                </a:ext>
              </a:extLst>
            </xdr:cNvPr>
            <xdr:cNvSpPr>
              <a:spLocks noChangeAspect="0"/>
            </xdr:cNvSpPr>
          </xdr:nvSpPr>
          <xdr:spPr>
            <a:xfrm>
              <a:off x="10018215" y="3644932"/>
              <a:ext cx="1028700" cy="355568"/>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Update RR</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editAs="oneCell">
        <xdr:from>
          <xdr:col>3</xdr:col>
          <xdr:colOff>457200</xdr:colOff>
          <xdr:row>19</xdr:row>
          <xdr:rowOff>50768</xdr:rowOff>
        </xdr:from>
        <xdr:to>
          <xdr:col>3</xdr:col>
          <xdr:colOff>1473232</xdr:colOff>
          <xdr:row>20</xdr:row>
          <xdr:rowOff>165068</xdr:rowOff>
        </xdr:to>
        <xdr:sp>
          <xdr:nvSpPr>
            <xdr:cNvPr id="1105922" name="button_UpdateOS" hidden="1">
              <a:extLst>
                <a:ext uri="{63B3BB69-23CF-44E3-9099-C40C66FF867C}">
                  <a14:compatExt spid="_x0000_s54274"/>
                </a:ext>
              </a:extLst>
            </xdr:cNvPr>
            <xdr:cNvSpPr>
              <a:spLocks noChangeAspect="0"/>
            </xdr:cNvSpPr>
          </xdr:nvSpPr>
          <xdr:spPr>
            <a:xfrm>
              <a:off x="6637867" y="3670268"/>
              <a:ext cx="1016032" cy="3048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Update OS</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3</xdr:col>
          <xdr:colOff>469868</xdr:colOff>
          <xdr:row>22</xdr:row>
          <xdr:rowOff>126968</xdr:rowOff>
        </xdr:from>
        <xdr:to>
          <xdr:col>3</xdr:col>
          <xdr:colOff>1473232</xdr:colOff>
          <xdr:row>25</xdr:row>
          <xdr:rowOff>12668</xdr:rowOff>
        </xdr:to>
        <xdr:sp>
          <xdr:nvSpPr>
            <xdr:cNvPr id="1105925" name="button_ResetWrkBookAsBlankSizer" hidden="1">
              <a:extLst>
                <a:ext uri="{63B3BB69-23CF-44E3-9099-C40C66FF867C}">
                  <a14:compatExt spid="_x0000_s54275"/>
                </a:ext>
              </a:extLst>
            </xdr:cNvPr>
            <xdr:cNvSpPr>
              <a:spLocks noChangeAspect="0"/>
            </xdr:cNvSpPr>
          </xdr:nvSpPr>
          <xdr:spPr>
            <a:xfrm>
              <a:off x="6650535" y="4317968"/>
              <a:ext cx="1003363" cy="457200"/>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Reset Sizer As Blank</a:t>
              </a:r>
              <a:endParaRPr/>
            </a:p>
          </xdr:txBody>
        </xdr:sp>
        <xdr:clientData fPrintsWithSheet="0"/>
      </xdr:twoCellAnchor>
    </mc:Choice>
  </mc:AlternateContent>
  <mc:AlternateContent xmlns:mc="http://schemas.openxmlformats.org/markup-compatibility/2006">
    <mc:Choice xmlns:a14="http://schemas.microsoft.com/office/drawing/2010/main" Requires="a14">
      <xdr:twoCellAnchor>
        <xdr:from>
          <xdr:col>3</xdr:col>
          <xdr:colOff>1803368</xdr:colOff>
          <xdr:row>22</xdr:row>
          <xdr:rowOff>114300</xdr:rowOff>
        </xdr:from>
        <xdr:to>
          <xdr:col>4</xdr:col>
          <xdr:colOff>393668</xdr:colOff>
          <xdr:row>25</xdr:row>
          <xdr:rowOff>25432</xdr:rowOff>
        </xdr:to>
        <xdr:sp>
          <xdr:nvSpPr>
            <xdr:cNvPr id="1105926" name="button_UnhideAllWorksheets" hidden="1">
              <a:extLst>
                <a:ext uri="{63B3BB69-23CF-44E3-9099-C40C66FF867C}">
                  <a14:compatExt spid="_x0000_s54276"/>
                </a:ext>
              </a:extLst>
            </xdr:cNvPr>
            <xdr:cNvSpPr>
              <a:spLocks noChangeAspect="0"/>
            </xdr:cNvSpPr>
          </xdr:nvSpPr>
          <xdr:spPr>
            <a:xfrm>
              <a:off x="7984035" y="4305300"/>
              <a:ext cx="971550" cy="482632"/>
            </a:xfrm>
            <a:prstGeom prst="rect">
              <a:avLst/>
            </a:prstGeom>
            <a:noFill/>
            <a:ln w="9525" cmpd="sng">
              <a:noFill/>
              <a:miter lim="800000"/>
              <a:headEnd w="med" len="med"/>
              <a:tailEnd w="med" len="med"/>
            </a:ln>
          </xdr:spPr>
          <xdr:style>
            <a:lnRef idx="2">
              <a:schemeClr val="accent1"/>
            </a:lnRef>
            <a:fillRef idx="1">
              <a:schemeClr val="accent1"/>
            </a:fillRef>
            <a:effectRef idx="0">
              <a:schemeClr val="accent1"/>
            </a:effectRef>
            <a:fontRef idx="minor">
              <a:srgbClr val="000000"/>
            </a:fontRef>
          </xdr:style>
          <xdr:txBody>
            <a:bodyPr tIns="22860" bIns="22860" lIns="27432" rIns="27432" anchor="ctr" vert="horz" wrap="square" horzOverflow="clip" vertOverflow="clip"/>
            <a:p>
              <a:pPr algn="ctr">
                <a:defRPr sz="1000" b="0" i="0" strike="noStrike" u="none">
                  <a:solidFill>
                    <a:srgbClr val="000000"/>
                  </a:solidFill>
                  <a:latin typeface="Calibri"/>
                </a:defRPr>
              </a:pPr>
              <a:r>
                <a:rPr sz="1100" b="0" i="0" strike="noStrike" u="none">
                  <a:solidFill>
                    <a:srgbClr val="000000"/>
                  </a:solidFill>
                  <a:latin typeface="Calibri"/>
                </a:rPr>
                <a:t>Unhide All Worksheets</a:t>
              </a:r>
              <a:endParaRPr/>
            </a:p>
          </xdr:txBody>
        </xdr:sp>
        <xdr:clientData fPrintsWithSheet="0"/>
      </xdr:twoCellAnchor>
    </mc:Choice>
  </mc:AlternateContent>
  <xdr:twoCellAnchor editAs="oneCell">
    <xdr:from>
      <xdr:col>5</xdr:col>
      <xdr:colOff>466725</xdr:colOff>
      <xdr:row>22</xdr:row>
      <xdr:rowOff>47625</xdr:rowOff>
    </xdr:from>
    <xdr:to>
      <xdr:col>5</xdr:col>
      <xdr:colOff>1514475</xdr:colOff>
      <xdr:row>24</xdr:row>
      <xdr:rowOff>76200</xdr:rowOff>
    </xdr:to>
    <xdr:sp>
      <xdr:nvSpPr>
        <xdr:cNvPr id="6" name="button_RunTests"/>
        <xdr:cNvSpPr>
          <a:spLocks noChangeAspect="0"/>
        </xdr:cNvSpPr>
      </xdr:nvSpPr>
      <xdr:spPr>
        <a:xfrm>
          <a:off x="10002308" y="4238625"/>
          <a:ext cx="1047750" cy="409575"/>
        </a:xfrm>
        <a:prstGeom prst="roundRect">
          <a:avLst>
            <a:gd name="adj" fmla="val 16667"/>
          </a:avLst>
        </a:prstGeom>
        <a:solidFill>
          <a:srgbClr val="1f497d">
            <a:lumMod val="75000"/>
          </a:srgbClr>
        </a:solidFill>
        <a:ln w="25432" cmpd="sng" cap="flat">
          <a:solidFill>
            <a:srgbClr val="4f81bd">
              <a:shade val="50000"/>
            </a:srgbClr>
          </a:solidFill>
          <a:prstDash val="solid"/>
        </a:ln>
      </xdr:spPr>
      <xdr:style>
        <a:lnRef idx="2">
          <a:schemeClr val="accent1"/>
        </a:lnRef>
        <a:fillRef idx="1">
          <a:schemeClr val="accent1"/>
        </a:fillRef>
        <a:effectRef idx="0">
          <a:schemeClr val="accent1"/>
        </a:effectRef>
        <a:fontRef idx="minor">
          <a:schemeClr val="bg1"/>
        </a:fontRef>
      </xdr:style>
      <xdr:txBody>
        <a:bodyPr tIns="9144" bIns="9144" lIns="9144" rIns="9144" anchor="ctr" vert="horz" wrap="square" horzOverflow="clip" vertOverflow="clip"/>
        <a:p>
          <a:pPr algn="ctr">
            <a:defRPr sz="1000" b="0" i="0" strike="noStrike" u="none">
              <a:solidFill>
                <a:srgbClr val="ffffff"/>
              </a:solidFill>
              <a:latin typeface="Calibri"/>
            </a:defRPr>
          </a:pPr>
          <a:r>
            <a:rPr sz="1000" b="0" i="0" strike="noStrike" u="none">
              <a:solidFill>
                <a:sysClr val="window" lastClr="ffffff"/>
              </a:solidFill>
              <a:latin typeface="Calibri"/>
            </a:rPr>
            <a:t>Run Regression Tests</a:t>
          </a:r>
          <a:endParaRPr/>
        </a:p>
      </xdr:txBody>
    </xdr:sp>
    <xdr:clientData fPrintsWithSheet="0"/>
  </xdr:twoCellAnchor>
  <xdr:twoCellAnchor editAs="oneCell">
    <xdr:from>
      <xdr:col>5</xdr:col>
      <xdr:colOff>552450</xdr:colOff>
      <xdr:row>24</xdr:row>
      <xdr:rowOff>171450</xdr:rowOff>
    </xdr:from>
    <xdr:to>
      <xdr:col>5</xdr:col>
      <xdr:colOff>1447800</xdr:colOff>
      <xdr:row>26</xdr:row>
      <xdr:rowOff>104775</xdr:rowOff>
    </xdr:to>
    <xdr:sp>
      <xdr:nvSpPr>
        <xdr:cNvPr id="7" name="button_RunTest1"/>
        <xdr:cNvSpPr>
          <a:spLocks noChangeAspect="0"/>
        </xdr:cNvSpPr>
      </xdr:nvSpPr>
      <xdr:spPr>
        <a:xfrm>
          <a:off x="10088033" y="4743450"/>
          <a:ext cx="895350" cy="314325"/>
        </a:xfrm>
        <a:prstGeom prst="roundRect">
          <a:avLst>
            <a:gd name="adj" fmla="val 16667"/>
          </a:avLst>
        </a:prstGeom>
        <a:solidFill>
          <a:srgbClr val="1f497d">
            <a:lumMod val="75000"/>
          </a:srgbClr>
        </a:solidFill>
        <a:ln w="25432" cmpd="sng" cap="flat">
          <a:solidFill>
            <a:srgbClr val="4f81bd">
              <a:shade val="50000"/>
            </a:srgbClr>
          </a:solidFill>
          <a:prstDash val="solid"/>
        </a:ln>
      </xdr:spPr>
      <xdr:style>
        <a:lnRef idx="2">
          <a:schemeClr val="accent1"/>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i="0" strike="noStrike" u="none">
              <a:solidFill>
                <a:srgbClr val="ffffff"/>
              </a:solidFill>
              <a:latin typeface="Calibri"/>
            </a:defRPr>
          </a:pPr>
          <a:r>
            <a:rPr sz="1100" b="0" i="0" strike="noStrike" u="none">
              <a:solidFill>
                <a:sysClr val="window" lastClr="ffffff"/>
              </a:solidFill>
              <a:latin typeface="Calibri"/>
            </a:rPr>
            <a:t>Run Test #1</a:t>
          </a:r>
          <a:endParaRPr/>
        </a:p>
      </xdr:txBody>
    </xdr:sp>
    <xdr:clientData fPrintsWithSheet="0"/>
  </xdr:twoCellAnchor>
  <xdr:twoCellAnchor editAs="oneCell">
    <xdr:from>
      <xdr:col>5</xdr:col>
      <xdr:colOff>552450</xdr:colOff>
      <xdr:row>27</xdr:row>
      <xdr:rowOff>19050</xdr:rowOff>
    </xdr:from>
    <xdr:to>
      <xdr:col>5</xdr:col>
      <xdr:colOff>1447800</xdr:colOff>
      <xdr:row>28</xdr:row>
      <xdr:rowOff>133350</xdr:rowOff>
    </xdr:to>
    <xdr:sp>
      <xdr:nvSpPr>
        <xdr:cNvPr id="8" name="button_RunTest2"/>
        <xdr:cNvSpPr>
          <a:spLocks noChangeAspect="0"/>
        </xdr:cNvSpPr>
      </xdr:nvSpPr>
      <xdr:spPr>
        <a:xfrm>
          <a:off x="10088033" y="5162550"/>
          <a:ext cx="895350" cy="304800"/>
        </a:xfrm>
        <a:prstGeom prst="roundRect">
          <a:avLst>
            <a:gd name="adj" fmla="val 16667"/>
          </a:avLst>
        </a:prstGeom>
        <a:solidFill>
          <a:srgbClr val="1f497d">
            <a:lumMod val="75000"/>
          </a:srgbClr>
        </a:solidFill>
        <a:ln w="25432" cmpd="sng" cap="flat">
          <a:solidFill>
            <a:srgbClr val="4f81bd">
              <a:shade val="50000"/>
            </a:srgbClr>
          </a:solidFill>
          <a:prstDash val="solid"/>
        </a:ln>
      </xdr:spPr>
      <xdr:style>
        <a:lnRef idx="2">
          <a:schemeClr val="accent1"/>
        </a:lnRef>
        <a:fillRef idx="1">
          <a:schemeClr val="accent1"/>
        </a:fillRef>
        <a:effectRef idx="0">
          <a:schemeClr val="accent1"/>
        </a:effectRef>
        <a:fontRef idx="minor">
          <a:schemeClr val="bg1"/>
        </a:fontRef>
      </xdr:style>
      <xdr:txBody>
        <a:bodyPr lIns="9144" rIns="9144" anchor="ctr" vert="horz" wrap="square" horzOverflow="clip" vertOverflow="clip"/>
        <a:p>
          <a:pPr algn="ctr">
            <a:defRPr sz="1100" b="0" i="0" strike="noStrike" u="none">
              <a:solidFill>
                <a:srgbClr val="ffffff"/>
              </a:solidFill>
              <a:latin typeface="Calibri"/>
            </a:defRPr>
          </a:pPr>
          <a:r>
            <a:rPr sz="1100" b="0" i="0" strike="noStrike" u="none">
              <a:solidFill>
                <a:sysClr val="window" lastClr="ffffff"/>
              </a:solidFill>
              <a:latin typeface="Calibri"/>
            </a:rPr>
            <a:t>Run Test #2</a:t>
          </a:r>
          <a:endParaRPr/>
        </a:p>
      </xdr:txBody>
    </xdr:sp>
    <xdr:clientData fPrintsWithSheet="0"/>
  </xdr:twoCellAnchor>
</xdr:wsDr>
</file>

<file path=xl/tables/table1.xml><?xml version="1.0" encoding="utf-8"?>
<table xmlns="http://schemas.openxmlformats.org/spreadsheetml/2006/main" id="1" name="FRE_PrepayStrings" displayName="FRE_PrepayStrings" ref="U3:Y7">
  <autoFilter ref="U3:Y7"/>
  <tableColumns count="5">
    <tableColumn id="1" name="Prepay Strings"/>
    <tableColumn id="2" name="3 YR Floating"/>
    <tableColumn id="5" name="5 YR Fixed"/>
    <tableColumn id="6" name="7 YR Fixed"/>
    <tableColumn id="7" name="10 YR Fixed"/>
  </tableColumns>
  <tableStyleInfo name="TableStyleMedium2" showFirstColumn="0" showLastColumn="0" showRowStripes="1" showColumnStripes="0"/>
</table>
</file>

<file path=xl/tables/table2.xml><?xml version="1.0" encoding="utf-8"?>
<table xmlns="http://schemas.openxmlformats.org/spreadsheetml/2006/main" id="2" name="FRE_PremiumAdjustmentsTable" displayName="FRE_PremiumAdjustmentsTable" ref="K3:S36">
  <autoFilter ref="K3:S36"/>
  <tableColumns count="9">
    <tableColumn id="1" name="Total Premium"/>
    <tableColumn id="2" name="Portion to Seller"/>
    <tableColumn id="3" name="Portion to Freddie"/>
    <tableColumn id="4" name="5 YR Hybrid"/>
    <tableColumn id="5" name="7 YR Hybrid"/>
    <tableColumn id="6" name="10 YR Hybrid"/>
    <tableColumn id="7" name="5 YR Fixed"/>
    <tableColumn id="8" name="7 YR Fixed"/>
    <tableColumn id="9" name="10 YR Fixed"/>
  </tableColumns>
  <tableStyleInfo name="TableStyleMedium2" showFirstColumn="0" showLastColumn="0" showRowStripes="1" showColumnStripes="0"/>
</table>
</file>

<file path=xl/tables/table3.xml><?xml version="1.0" encoding="utf-8"?>
<table xmlns="http://schemas.openxmlformats.org/spreadsheetml/2006/main" id="3" name="FRE_PrepayAdjustmentsTable" displayName="FRE_PrepayAdjustmentsTable" ref="B3:I19">
  <autoFilter ref="B3:I19"/>
  <tableColumns count="8">
    <tableColumn id="1" name="Type"/>
    <tableColumn id="2" name="Prepay Strings"/>
    <tableColumn id="3" name="5 YR Hybrid"/>
    <tableColumn id="4" name="7 YR Hybrid"/>
    <tableColumn id="5" name="10 YR Hybrid"/>
    <tableColumn id="6" name="5 YR Fixed"/>
    <tableColumn id="7" name="7 YR Fixed"/>
    <tableColumn id="8" name="10 YR Fixed"/>
  </tableColumns>
  <tableStyleInfo name="TableStyleMedium2" showFirstColumn="0" showLastColumn="0" showRowStripes="1" showColumnStripes="0"/>
</table>
</file>

<file path=xl/tables/table4.xml><?xml version="1.0" encoding="utf-8"?>
<table xmlns="http://schemas.openxmlformats.org/spreadsheetml/2006/main" id="4" name="ExpComps_BorrowerTable" displayName="ExpComps_BorrowerTable" ref="B257:AB260">
  <autoFilter ref="B257:AB260"/>
  <tableColumns count="27">
    <tableColumn id="1" name="#"/>
    <tableColumn id="2" name="Project Name"/>
    <tableColumn id="3" name="City"/>
    <tableColumn id="4" name="Market"/>
    <tableColumn id="5" name="State"/>
    <tableColumn id="27" name="Similarity"/>
    <tableColumn id="24" name="Property Type"/>
    <tableColumn id="7" name="Year Built"/>
    <tableColumn id="8" name="Units/Beds"/>
    <tableColumn id="6" name="Occ"/>
    <tableColumn id="9" name="EGI"/>
    <tableColumn id="10" name="Mgmt. % of EGI"/>
    <tableColumn id="11" name="Mgmt."/>
    <tableColumn id="12" name="Adv"/>
    <tableColumn id="13" name="Prof"/>
    <tableColumn id="14" name="Admin"/>
    <tableColumn id="15" name="Payroll"/>
    <tableColumn id="16" name="Utilities"/>
    <tableColumn id="17" name="W&amp;S"/>
    <tableColumn id="18" name="R&amp;M"/>
    <tableColumn id="19" name="Insur- ance"/>
    <tableColumn id="20" name="RET"/>
    <tableColumn id="21" name="RR"/>
    <tableColumn id="22" name="Total">
      <calculatedColumnFormula>IF(SUM(N258:X258)&gt;0,SUM(N258:X258),"")</calculatedColumnFormula>
    </tableColumn>
    <tableColumn id="23" name="Total (less RET and RR)">
      <calculatedColumnFormula>IF(LEN(Y258)&gt;0,Y258-W258-X258,"")</calculatedColumnFormula>
    </tableColumn>
    <tableColumn id="25" name="Payroll + R&amp;M">
      <calculatedColumnFormula>IF(ExpComps_BorrowerTable[[#This Row], [R&amp;M]]+ExpComps_BorrowerTable[[#This Row], [Payroll]]&gt;0,ExpComps_BorrowerTable[[#This Row], [R&amp;M]]+ExpComps_BorrowerTable[[#This Row], [Payroll]],"")</calculatedColumnFormula>
    </tableColumn>
    <tableColumn id="26" name="Payroll + R&amp;M + Admin + Prof + Adv">
      <calculatedColumnFormula>IF(ExpComps_BorrowerTable[[#This Row], [Payroll]]+ExpComps_BorrowerTable[[#This Row], [R&amp;M]]+ExpComps_BorrowerTable[[#This Row], [Admin]]+ExpComps_BorrowerTable[[#This Row], [Prof]]+ExpComps_BorrowerTable[[#This Row], [Adv]]&gt;0,ExpComps_BorrowerTable[[#This Row], [Payroll]]+ExpComps_BorrowerTable[[#This Row], [R&amp;M]]+ExpComps_BorrowerTable[[#This Row], [Admin]]+ExpComps_BorrowerTable[[#This Row], [Prof]]+ExpComps_BorrowerTable[[#This Row], [Adv]],"")</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5" name="ExpComps_AppraiserTable" displayName="ExpComps_AppraiserTable" ref="B221:AB228">
  <autoFilter ref="B221:AB228"/>
  <tableColumns count="27">
    <tableColumn id="1" name="#"/>
    <tableColumn id="2" name="Project Name"/>
    <tableColumn id="3" name="City"/>
    <tableColumn id="4" name="Market"/>
    <tableColumn id="5" name="State"/>
    <tableColumn id="27" name="Similarity"/>
    <tableColumn id="24" name="Property Type"/>
    <tableColumn id="7" name="Year Built"/>
    <tableColumn id="8" name="Units/Beds"/>
    <tableColumn id="6" name="Occ"/>
    <tableColumn id="9" name="EGI"/>
    <tableColumn id="10" name="Mgmt. % of EGI"/>
    <tableColumn id="11" name="Mgmt."/>
    <tableColumn id="12" name="Adv"/>
    <tableColumn id="13" name="Prof"/>
    <tableColumn id="14" name="Admin"/>
    <tableColumn id="15" name="Payroll"/>
    <tableColumn id="16" name="Utilities"/>
    <tableColumn id="17" name="W&amp;S"/>
    <tableColumn id="18" name="R&amp;M"/>
    <tableColumn id="19" name="Insur- ance"/>
    <tableColumn id="20" name="RET"/>
    <tableColumn id="21" name="RR"/>
    <tableColumn id="22" name="Total">
      <calculatedColumnFormula>IF(SUM(N222:X222)&gt;0,SUM(N222:X222),"")</calculatedColumnFormula>
    </tableColumn>
    <tableColumn id="23" name="Total (less RET and RR)">
      <calculatedColumnFormula>IF(LEN(Y222)&gt;0,Y222-W222-X222,"")</calculatedColumnFormula>
    </tableColumn>
    <tableColumn id="25" name="Payroll + R&amp;M">
      <calculatedColumnFormula>IF(ExpComps_AppraiserTable[[#This Row], [R&amp;M]]+ExpComps_AppraiserTable[[#This Row], [Payroll]]&gt;0,ExpComps_AppraiserTable[[#This Row], [R&amp;M]]+ExpComps_AppraiserTable[[#This Row], [Payroll]],"")</calculatedColumnFormula>
    </tableColumn>
    <tableColumn id="26" name="Payroll + R&amp;M + Admin + Prof + Adv">
      <calculatedColumnFormula>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ExpComps_LenderTable" displayName="ExpComps_LenderTable" ref="B11:AO211">
  <autoFilter ref="B11:AO211"/>
  <sortState ref="B12:B211">
    <sortCondition ref="B12:B211"/>
  </sortState>
  <tableColumns count="40">
    <tableColumn id="1" name="#"/>
    <tableColumn id="2" name="Project Name"/>
    <tableColumn id="3" name="City"/>
    <tableColumn id="4" name="Market"/>
    <tableColumn id="5" name="State"/>
    <tableColumn id="39" name="Similarity"/>
    <tableColumn id="37" name="Property Type"/>
    <tableColumn id="7" name="Year Built"/>
    <tableColumn id="8" name="Units/Beds"/>
    <tableColumn id="36" name="Occ"/>
    <tableColumn id="9" name="EGI"/>
    <tableColumn id="10" name="Mgmt. % of EGI"/>
    <tableColumn id="11" name="Mgmt."/>
    <tableColumn id="12" name="Adv"/>
    <tableColumn id="13" name="Prof"/>
    <tableColumn id="14" name="Admin"/>
    <tableColumn id="15" name="Payroll"/>
    <tableColumn id="16" name="Utilities"/>
    <tableColumn id="17" name="W&amp;S"/>
    <tableColumn id="18" name="R&amp;M"/>
    <tableColumn id="19" name="Insur- ance"/>
    <tableColumn id="20" name="RET"/>
    <tableColumn id="21" name="RR"/>
    <tableColumn id="22" name="Total"/>
    <tableColumn id="23" name="Total (less RET and RR)"/>
    <tableColumn id="24" name="% Diff"/>
    <tableColumn id="25" name="% of EGI"/>
    <tableColumn id="26" name="NCF"/>
    <tableColumn id="27" name="Prior NCF"/>
    <tableColumn id="28" name="NCF Change"/>
    <tableColumn id="29" name="DSCR"/>
    <tableColumn id="30" name="Prior DSCR"/>
    <tableColumn id="31" name="UW Value"/>
    <tableColumn id="32" name="UW Loan Amt"/>
    <tableColumn id="33" name="UW LTV"/>
    <tableColumn id="34" name="UW NCF"/>
    <tableColumn id="35" name="Orig. Year"/>
    <tableColumn id="42" name="UPB"/>
    <tableColumn id="6" name="Payroll + R&amp;M">
      <calculatedColumnFormula>IF(ExpComps_LenderTable[[#This Row], [R&amp;M]]+ExpComps_LenderTable[[#This Row], [Payroll]]&gt;0,ExpComps_LenderTable[[#This Row], [R&amp;M]]+ExpComps_LenderTable[[#This Row], [Payroll]],"")</calculatedColumnFormula>
    </tableColumn>
    <tableColumn id="38" name="Payroll + R&amp;M + Admin + Prof + Adv">
      <calculatedColumnFormula>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7" name="ExpComps_DusTable" displayName="ExpComps_DusTable" ref="B239:AB246">
  <autoFilter ref="B239:AB246"/>
  <tableColumns count="27">
    <tableColumn id="1" name="#"/>
    <tableColumn id="2" name="Project Name"/>
    <tableColumn id="3" name="City"/>
    <tableColumn id="4" name="Market"/>
    <tableColumn id="5" name="State"/>
    <tableColumn id="27" name="Similarity"/>
    <tableColumn id="24" name="Property Type"/>
    <tableColumn id="7" name="Year Built"/>
    <tableColumn id="8" name="Units/Beds"/>
    <tableColumn id="6" name="Occ"/>
    <tableColumn id="9" name="EGI"/>
    <tableColumn id="10" name="Mgmt. % of EGI"/>
    <tableColumn id="11" name="Mgmt."/>
    <tableColumn id="12" name="Adv"/>
    <tableColumn id="13" name="Prof"/>
    <tableColumn id="14" name="Admin"/>
    <tableColumn id="15" name="Payroll"/>
    <tableColumn id="16" name="Utilities"/>
    <tableColumn id="17" name="W&amp;S"/>
    <tableColumn id="18" name="R&amp;M"/>
    <tableColumn id="19" name="Insur- ance"/>
    <tableColumn id="20" name="RET"/>
    <tableColumn id="21" name="RR"/>
    <tableColumn id="22" name="Total">
      <calculatedColumnFormula>IF(SUM(N240:X240)&gt;0,SUM(N240:X240),"")</calculatedColumnFormula>
    </tableColumn>
    <tableColumn id="23" name="Total (less RET and RR)">
      <calculatedColumnFormula>IF(LEN(Y240)&gt;0,Y240-W240-X240,"")</calculatedColumnFormula>
    </tableColumn>
    <tableColumn id="25" name="Payroll + R&amp;M">
      <calculatedColumnFormula>IF(ExpComps_DusTable[[#This Row], [R&amp;M]]+ExpComps_DusTable[[#This Row], [Payroll]]&gt;0,ExpComps_DusTable[[#This Row], [R&amp;M]]+ExpComps_DusTable[[#This Row], [Payroll]],"")</calculatedColumnFormula>
    </tableColumn>
    <tableColumn id="26" name="Payroll + R&amp;M + Admin + Prof + Adv">
      <calculatedColumnFormula>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arget="https://walkerdunlop.box.com/s/73g6zzr46d966auknh7gytl11cxm0q2t" Type="http://schemas.openxmlformats.org/officeDocument/2006/relationships/hyperlink" TargetMode="External"/><Relationship Id="rId2" Type="http://schemas.openxmlformats.org/officeDocument/2006/relationships/comments" Target="../comments3.xml"/><Relationship Id="rId3" Type="http://schemas.openxmlformats.org/officeDocument/2006/relationships/vmlDrawing" Target="../drawings/vmlDrawing1.vml"/><Relationship Id="rId4" Type="http://schemas.openxmlformats.org/officeDocument/2006/relationships/drawing" Target="../drawings/drawing2.xml"/><Relationship Id="rId5" Type="http://schemas.openxmlformats.org/officeDocument/2006/relationships/ctrlProp" Target="../ctrlProps/ctrlProp1.xml"/><Relationship Id="rId6" Type="http://schemas.openxmlformats.org/officeDocument/2006/relationships/ctrlProp" Target="../ctrlProps/ctrlProp2.xml"/><Relationship Id="rId7"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 Target="https://www.treasury.gov/resource-center/data-chart-center/interest-rates/pages/textview.aspx?data=yield" Type="http://schemas.openxmlformats.org/officeDocument/2006/relationships/hyperlink" TargetMode="External"/><Relationship Id="rId2" Type="http://schemas.openxmlformats.org/officeDocument/2006/relationships/comments" Target="../comments4.xml"/><Relationship Id="rId3" Type="http://schemas.openxmlformats.org/officeDocument/2006/relationships/vmlDrawing" Target="../drawings/vmlDrawing2.vml"/><Relationship Id="rId4" Type="http://schemas.openxmlformats.org/officeDocument/2006/relationships/drawing" Target="../drawings/drawing3.xml"/><Relationship Id="rId5" Type="http://schemas.openxmlformats.org/officeDocument/2006/relationships/ctrlProp" Target="../ctrlProps/ctrlProp4.xml"/><Relationship Id="rId6" Type="http://schemas.openxmlformats.org/officeDocument/2006/relationships/ctrlProp" Target="../ctrlProps/ctrlProp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arget="https://secure.costargroup.com/login?signin=0998280e304719a00fe28972e170d784" Type="http://schemas.openxmlformats.org/officeDocument/2006/relationships/hyperlink" TargetMode="External"/><Relationship Id="rId2" Target="https://www.securitygauge.com/" Type="http://schemas.openxmlformats.org/officeDocument/2006/relationships/hyperlink" TargetMode="External"/><Relationship Id="rId3" Target="https://axio.realpage.com/Home/Index/" Type="http://schemas.openxmlformats.org/officeDocument/2006/relationships/hyperlink" TargetMode="External"/><Relationship Id="rId4" Type="http://schemas.openxmlformats.org/officeDocument/2006/relationships/drawing" Target="../drawings/drawing4.xml"/><Relationship Id="rId5" Type="http://schemas.openxmlformats.org/officeDocument/2006/relationships/vmlDrawing" Target="../drawings/vmlDrawing4.vml"/><Relationship Id="rId6" Type="http://schemas.openxmlformats.org/officeDocument/2006/relationships/ctrlProp" Target="../ctrlProps/ctrlProp6.xml"/><Relationship Id="rId7" Type="http://schemas.openxmlformats.org/officeDocument/2006/relationships/ctrlProp" Target="../ctrlProps/ctrlProp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5.vml"/><Relationship Id="rId3"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6.vml"/><Relationship Id="rId3" Type="http://schemas.openxmlformats.org/officeDocument/2006/relationships/drawing" Target="../drawings/drawing6.xml"/><Relationship Id="rId4" Type="http://schemas.openxmlformats.org/officeDocument/2006/relationships/ctrlProp" Target="../ctrlProps/ctrlProp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 Id="rId2" Type="http://schemas.openxmlformats.org/officeDocument/2006/relationships/vmlDrawing" Target="../drawings/vmlDrawing7.vml"/><Relationship Id="rId3" Type="http://schemas.openxmlformats.org/officeDocument/2006/relationships/ctrlProp" Target="../ctrlProps/ctrlProp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 Id="rId3"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8.vml"/><Relationship Id="rId3" Type="http://schemas.openxmlformats.org/officeDocument/2006/relationships/vmlDrawing" Target="../drawings/vmlDrawing9.vml"/><Relationship Id="rId4" Type="http://schemas.openxmlformats.org/officeDocument/2006/relationships/ctrlProp" Target="../ctrlProps/ctrlProp10.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11.vml"/><Relationship Id="rId3" Type="http://schemas.openxmlformats.org/officeDocument/2006/relationships/drawing" Target="../drawings/drawing14.xml"/><Relationship Id="rId4" Type="http://schemas.openxmlformats.org/officeDocument/2006/relationships/ctrlProp" Target="../ctrlProps/ctrlProp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vmlDrawing" Target="../drawings/vmlDrawing12.vml"/><Relationship Id="rId3" Type="http://schemas.openxmlformats.org/officeDocument/2006/relationships/ctrlProp" Target="../ctrlProps/ctrlProp12.xml"/><Relationship Id="rId4" Type="http://schemas.openxmlformats.org/officeDocument/2006/relationships/ctrlProp" Target="../ctrlProps/ctrlProp13.xml"/><Relationship Id="rId5" Type="http://schemas.openxmlformats.org/officeDocument/2006/relationships/ctrlProp" Target="../ctrlProps/ctrlProp14.xml"/><Relationship Id="rId6" Type="http://schemas.openxmlformats.org/officeDocument/2006/relationships/ctrlProp" Target="../ctrlProps/ctrlProp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arget="https://enodo.walkerdunlop.com/comparables/expense_comps" Type="http://schemas.openxmlformats.org/officeDocument/2006/relationships/hyperlink" TargetMode="External"/><Relationship Id="rId2" Type="http://schemas.openxmlformats.org/officeDocument/2006/relationships/table" Target="../tables/table4.xml"/><Relationship Id="rId3" Type="http://schemas.openxmlformats.org/officeDocument/2006/relationships/table" Target="../tables/table5.xml"/><Relationship Id="rId4" Type="http://schemas.openxmlformats.org/officeDocument/2006/relationships/table" Target="../tables/table6.xml"/><Relationship Id="rId5" Type="http://schemas.openxmlformats.org/officeDocument/2006/relationships/table" Target="../tables/table7.xml"/><Relationship Id="rId6" Type="http://schemas.openxmlformats.org/officeDocument/2006/relationships/drawing" Target="../drawings/drawing17.xml"/><Relationship Id="rId7" Type="http://schemas.openxmlformats.org/officeDocument/2006/relationships/vmlDrawing" Target="../drawings/vmlDrawing13.vml"/><Relationship Id="rId8" Type="http://schemas.openxmlformats.org/officeDocument/2006/relationships/ctrlProp" Target="../ctrlProps/ctrlProp16.xml"/></Relationships>
</file>

<file path=xl/worksheets/_rels/sheet26.xml.rels><?xml version="1.0" encoding="UTF-8" standalone="yes"?>
<Relationships xmlns="http://schemas.openxmlformats.org/package/2006/relationships"><Relationship Id="rId1" Target="http://www2.creditplus.com/" Type="http://schemas.openxmlformats.org/officeDocument/2006/relationships/hyperlink" TargetMode="External"/><Relationship Id="rId2" Target="https://home.fanniemae.com/applicantExperience/" Type="http://schemas.openxmlformats.org/officeDocument/2006/relationships/hyperlink" TargetMode="External"/><Relationship Id="rId3" Target="http://www.google.com/" Type="http://schemas.openxmlformats.org/officeDocument/2006/relationships/hyperlink" TargetMode="External"/><Relationship Id="rId4" Target="https://ofac.finra.org/" Type="http://schemas.openxmlformats.org/officeDocument/2006/relationships/hyperlink" TargetMode="External"/><Relationship Id="rId5" Target="http://www.lexisadvance.com/" Type="http://schemas.openxmlformats.org/officeDocument/2006/relationships/hyperlink" TargetMode="External"/><Relationship Id="rId6" Target="http://portal.hud.gov/hudportal/HUD?src=/topics/limited_denials_of_participation" Type="http://schemas.openxmlformats.org/officeDocument/2006/relationships/hyperlink" TargetMode="External"/><Relationship Id="rId7" Target="https://sam.gov/SAM/pages/public/searchRecords/search.jsf" Type="http://schemas.openxmlformats.org/officeDocument/2006/relationships/hyperlink" TargetMode="External"/><Relationship Id="rId8" Target="http://www.fhfa.gov/SupervisionRegulation/LegalDocuments/Pages/SuspendedCounterpartyProgram.aspx" Type="http://schemas.openxmlformats.org/officeDocument/2006/relationships/hyperlink" TargetMode="External"/><Relationship Id="rId9" Target="https://courtlink.lexisnexis.com/login.aspx?ReturnUrl=%2f" Type="http://schemas.openxmlformats.org/officeDocument/2006/relationships/hyperlink" TargetMode="External"/><Relationship Id="rId10" Type="http://schemas.openxmlformats.org/officeDocument/2006/relationships/comments" Target="../comments26.xml"/><Relationship Id="rId11" Type="http://schemas.openxmlformats.org/officeDocument/2006/relationships/vmlDrawing" Target="../drawings/vmlDrawing14.vml"/><Relationship Id="rId12"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vmlDrawing" Target="../drawings/vmlDrawing15.vml"/><Relationship Id="rId3"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vmlDrawing" Target="../drawings/vmlDrawing16.vml"/><Relationship Id="rId3" Type="http://schemas.openxmlformats.org/officeDocument/2006/relationships/drawing" Target="../drawings/drawing20.xml"/><Relationship Id="rId4" Type="http://schemas.openxmlformats.org/officeDocument/2006/relationships/ctrlProp" Target="../ctrlProps/ctrlProp17.xml"/></Relationships>
</file>

<file path=xl/worksheets/_rels/sheet39.xml.rels><?xml version="1.0" encoding="UTF-8" standalone="yes"?>
<Relationships xmlns="http://schemas.openxmlformats.org/package/2006/relationships"><Relationship Id="rId1" Target="https://walkerdunlop.app.box.com/file/1179328992264" Type="http://schemas.openxmlformats.org/officeDocument/2006/relationships/hyperlink" TargetMode="External"/><Relationship Id="rId2" Type="http://schemas.openxmlformats.org/officeDocument/2006/relationships/comments" Target="../comments39.xml"/><Relationship Id="rId3" Type="http://schemas.openxmlformats.org/officeDocument/2006/relationships/vmlDrawing" Target="../drawings/vmlDrawing17.vml"/><Relationship Id="rId4" Type="http://schemas.openxmlformats.org/officeDocument/2006/relationships/drawing" Target="../drawings/drawing21.xml"/><Relationship Id="rId5" Type="http://schemas.openxmlformats.org/officeDocument/2006/relationships/ctrlProp" Target="../ctrlProps/ctrlProp18.xml"/><Relationship Id="rId6" Type="http://schemas.openxmlformats.org/officeDocument/2006/relationships/ctrlProp" Target="../ctrlProps/ctrlProp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2.xml"/><Relationship Id="rId2" Type="http://schemas.openxmlformats.org/officeDocument/2006/relationships/vmlDrawing" Target="../drawings/vmlDrawing18.vml"/><Relationship Id="rId3" Type="http://schemas.openxmlformats.org/officeDocument/2006/relationships/ctrlProp" Target="../ctrlProps/ctrlProp20.xml"/><Relationship Id="rId4" Type="http://schemas.openxmlformats.org/officeDocument/2006/relationships/ctrlProp" Target="../ctrlProps/ctrlProp21.xml"/><Relationship Id="rId5" Type="http://schemas.openxmlformats.org/officeDocument/2006/relationships/ctrlProp" Target="../ctrlProps/ctrlProp22.xml"/></Relationships>
</file>

<file path=xl/worksheets/_rels/sheet47.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vmlDrawing" Target="../drawings/vmlDrawing19.vml"/></Relationships>
</file>

<file path=xl/worksheets/_rels/sheet49.xml.rels><?xml version="1.0" encoding="UTF-8" standalone="yes"?>
<Relationships xmlns="http://schemas.openxmlformats.org/package/2006/relationships"><Relationship Id="rId1" Target="mailto:tedwards@walkerdunlop.com" Type="http://schemas.openxmlformats.org/officeDocument/2006/relationships/hyperlink"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4.xml"/><Relationship Id="rId2" Type="http://schemas.openxmlformats.org/officeDocument/2006/relationships/vmlDrawing" Target="../drawings/vmlDrawing20.vml"/><Relationship Id="rId3" Type="http://schemas.openxmlformats.org/officeDocument/2006/relationships/ctrlProp" Target="../ctrlProps/ctrlProp23.xml"/><Relationship Id="rId4" Type="http://schemas.openxmlformats.org/officeDocument/2006/relationships/ctrlProp" Target="../ctrlProps/ctrlProp24.xml"/><Relationship Id="rId5" Type="http://schemas.openxmlformats.org/officeDocument/2006/relationships/ctrlProp" Target="../ctrlProps/ctrlProp25.xml"/><Relationship Id="rId6" Type="http://schemas.openxmlformats.org/officeDocument/2006/relationships/ctrlProp" Target="../ctrlProps/ctrlProp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D56FB4D4-8A8F-4F5A-AE69-78B3BCDA6757}" mc:Ignorable="x14ac xr xr2 xr3">
  <dimension ref="A1:T20"/>
  <sheetViews>
    <sheetView topLeftCell="A1" workbookViewId="0">
      <selection activeCell="A1" sqref="A1"/>
    </sheetView>
  </sheetViews>
  <sheetFormatPr defaultRowHeight="22.5" defaultColWidth="7.50390625" customHeight="1"/>
  <sheetData>
    <row r="2" ht="22.5" customHeight="1">
      <c r="B2" t="str">
        <v>Powered by GrapeCity SpreadJS.</v>
      </c>
    </row>
    <row r="3" ht="22.5" customHeight="1">
      <c r="B3" t="str">
        <v>Your temporary deployment key expires in 30 day(s).</v>
      </c>
    </row>
  </sheetData>
  <printOptions/>
  <pageMargins left="0.7" right="0.7" top="0.75" bottom="0.75" header="0.3" footer="0.3"/>
  <pageSetup paperSize="1" useFirstPageNumber="1" firstPageNumber="1" orientation="portrait"/>
  <headerFooter>
    <oddHeader>&amp;L&amp;C&amp;R</oddHeader>
    <oddFooter>&amp;L&amp;C&amp;R</oddFooter>
  </headerFooter>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C02F964E-4F42-F05F-842E-F005F643F6F4}" mc:Ignorable="x14ac xr xr2 xr3">
  <dimension ref="A1:N105"/>
  <sheetViews>
    <sheetView topLeftCell="D1" workbookViewId="0">
      <selection activeCell="D5" sqref="D5:N5"/>
    </sheetView>
  </sheetViews>
  <sheetFormatPr defaultRowHeight="15" defaultColWidth="9.140625" customHeight="1" outlineLevelRow="1"/>
  <cols>
    <col min="1" max="1" style="21" width="13.00390625" hidden="1" customWidth="1"/>
    <col min="2" max="2" style="21" width="21.57421875" hidden="1" customWidth="1"/>
    <col min="3" max="3" style="21" width="5.140625" hidden="1" customWidth="1"/>
    <col min="4" max="4" style="6" width="15.7109375" customWidth="1"/>
    <col min="5" max="5" style="6" width="9.140625" customWidth="1"/>
    <col min="6" max="6" style="6" width="3.57421875" customWidth="1"/>
    <col min="7" max="7" style="6" width="14.8515625" customWidth="1"/>
    <col min="8" max="8" style="6" width="12.00390625" customWidth="1"/>
    <col min="9" max="9" style="6" width="12.140625" customWidth="1"/>
    <col min="10" max="14" style="6" width="9.140625" customWidth="1"/>
  </cols>
  <sheetData>
    <row r="1" ht="9" customHeight="1"/>
    <row r="2" ht="15" customHeight="1">
      <c r="D2" s="1"/>
      <c r="E2" s="1"/>
      <c r="F2" s="1"/>
      <c r="G2" s="1"/>
      <c r="H2" s="1"/>
      <c r="I2" s="1"/>
      <c r="J2" s="1"/>
      <c r="K2" s="1"/>
      <c r="L2" s="1"/>
      <c r="M2" s="1"/>
      <c r="N2" s="1"/>
    </row>
    <row r="3" ht="15" customHeight="1">
      <c r="D3" s="1"/>
      <c r="E3" s="1"/>
      <c r="F3" s="1"/>
      <c r="G3" s="1"/>
      <c r="H3" s="1"/>
      <c r="I3" s="1"/>
      <c r="J3" s="1"/>
      <c r="K3" s="1"/>
      <c r="L3" s="1"/>
      <c r="M3" s="1"/>
      <c r="N3" s="1"/>
    </row>
    <row r="4" ht="15" customHeight="1">
      <c r="D4" s="1"/>
      <c r="E4" s="1"/>
      <c r="F4" s="1"/>
      <c r="G4" s="1"/>
      <c r="H4" s="1"/>
      <c r="I4" s="1"/>
      <c r="J4" s="1"/>
      <c r="K4" s="1"/>
      <c r="L4" s="1"/>
      <c r="M4" s="1"/>
      <c r="N4" s="1"/>
    </row>
    <row r="5" ht="23.25" customHeight="1">
      <c r="D5" s="2" t="s">
        <v>4</v>
      </c>
      <c r="E5" s="2"/>
      <c r="F5" s="2"/>
      <c r="G5" s="2"/>
      <c r="H5" s="2"/>
      <c r="I5" s="2"/>
      <c r="J5" s="2"/>
      <c r="K5" s="2"/>
      <c r="L5" s="2"/>
      <c r="M5" s="2"/>
      <c r="N5" s="2"/>
    </row>
    <row r="7" ht="15" customHeight="1">
      <c r="A7" s="3" t="s">
        <v>5</v>
      </c>
      <c r="B7" s="4" t="s">
        <v>6</v>
      </c>
    </row>
    <row r="14" ht="15" customHeight="1">
      <c r="H14" s="5" t="s">
        <v>7</v>
      </c>
      <c r="I14" s="1" t="str">
        <f>EnodoConfig_Version</f>
        <v>5.35.2</v>
      </c>
      <c r="J14" s="6">
        <f>IF(RIGHT(I14,2)="RC"," (Release Candidate: not for general use.)","")</f>
      </c>
    </row>
    <row r="15" ht="15" customHeight="1">
      <c r="H15" s="5" t="s">
        <v>9</v>
      </c>
      <c r="I15" s="7">
        <f>EnodoConfig_ReleaseDate</f>
        <v>45183</v>
      </c>
    </row>
    <row r="18" ht="15" customHeight="1">
      <c r="D18" s="8" t="s">
        <v>10</v>
      </c>
      <c r="E18" s="9"/>
      <c r="F18" s="9"/>
      <c r="G18" s="9"/>
      <c r="H18" s="9"/>
      <c r="I18" s="9"/>
      <c r="J18" s="9"/>
      <c r="K18" s="9"/>
      <c r="L18" s="9"/>
      <c r="M18" s="9"/>
      <c r="N18" s="9"/>
    </row>
    <row r="19" ht="15" customHeight="1">
      <c r="D19" s="10" t="s">
        <v>8</v>
      </c>
      <c r="E19" s="11">
        <v>45183</v>
      </c>
      <c r="F19" s="12"/>
      <c r="G19" s="13" t="s">
        <v>11</v>
      </c>
      <c r="H19" s="13"/>
      <c r="I19" s="13"/>
      <c r="J19" s="13"/>
      <c r="K19" s="13"/>
      <c r="L19" s="13"/>
      <c r="M19" s="13"/>
      <c r="N19" s="14"/>
    </row>
    <row r="20" ht="26.25" customHeight="1">
      <c r="D20" s="15" t="s">
        <v>12</v>
      </c>
      <c r="E20" s="16">
        <v>45181</v>
      </c>
      <c r="F20" s="17"/>
      <c r="G20" s="18" t="s">
        <v>13</v>
      </c>
      <c r="H20" s="18"/>
      <c r="I20" s="18"/>
      <c r="J20" s="18"/>
      <c r="K20" s="18"/>
      <c r="L20" s="18"/>
      <c r="M20" s="18"/>
      <c r="N20" s="18"/>
    </row>
    <row r="21" ht="26.25" customHeight="1">
      <c r="D21" s="10" t="s">
        <v>14</v>
      </c>
      <c r="E21" s="11">
        <v>45176</v>
      </c>
      <c r="F21" s="12"/>
      <c r="G21" s="13" t="s">
        <v>15</v>
      </c>
      <c r="H21" s="13"/>
      <c r="I21" s="13"/>
      <c r="J21" s="13"/>
      <c r="K21" s="13"/>
      <c r="L21" s="13"/>
      <c r="M21" s="13"/>
      <c r="N21" s="14"/>
    </row>
    <row r="22" ht="26.25" customHeight="1">
      <c r="D22" s="15" t="s">
        <v>16</v>
      </c>
      <c r="E22" s="16">
        <v>45159</v>
      </c>
      <c r="F22" s="17"/>
      <c r="G22" s="18" t="s">
        <v>17</v>
      </c>
      <c r="H22" s="18"/>
      <c r="I22" s="18"/>
      <c r="J22" s="18"/>
      <c r="K22" s="18"/>
      <c r="L22" s="18"/>
      <c r="M22" s="18"/>
      <c r="N22" s="18"/>
    </row>
    <row r="23" ht="26.25" customHeight="1">
      <c r="D23" s="10" t="s">
        <v>18</v>
      </c>
      <c r="E23" s="11">
        <v>45145</v>
      </c>
      <c r="F23" s="12"/>
      <c r="G23" s="13" t="s">
        <v>19</v>
      </c>
      <c r="H23" s="13"/>
      <c r="I23" s="13"/>
      <c r="J23" s="13"/>
      <c r="K23" s="13"/>
      <c r="L23" s="13"/>
      <c r="M23" s="13"/>
      <c r="N23" s="14"/>
    </row>
    <row r="24" ht="37.5" customHeight="1">
      <c r="D24" s="15" t="s">
        <v>20</v>
      </c>
      <c r="E24" s="16">
        <v>45131</v>
      </c>
      <c r="F24" s="17"/>
      <c r="G24" s="18" t="s">
        <v>21</v>
      </c>
      <c r="H24" s="18"/>
      <c r="I24" s="18"/>
      <c r="J24" s="18"/>
      <c r="K24" s="18"/>
      <c r="L24" s="18"/>
      <c r="M24" s="18"/>
      <c r="N24" s="18"/>
    </row>
    <row r="25" ht="51.75" customHeight="1">
      <c r="D25" s="10" t="s">
        <v>22</v>
      </c>
      <c r="E25" s="11">
        <v>45124</v>
      </c>
      <c r="F25" s="12"/>
      <c r="G25" s="13" t="s">
        <v>23</v>
      </c>
      <c r="H25" s="13"/>
      <c r="I25" s="13"/>
      <c r="J25" s="13"/>
      <c r="K25" s="13"/>
      <c r="L25" s="13"/>
      <c r="M25" s="13"/>
      <c r="N25" s="14"/>
    </row>
    <row r="26" ht="15" customHeight="1">
      <c r="D26" s="15" t="s">
        <v>24</v>
      </c>
      <c r="E26" s="16">
        <v>45084</v>
      </c>
      <c r="F26" s="17"/>
      <c r="G26" s="18" t="s">
        <v>25</v>
      </c>
      <c r="H26" s="18"/>
      <c r="I26" s="18"/>
      <c r="J26" s="18"/>
      <c r="K26" s="18"/>
      <c r="L26" s="18"/>
      <c r="M26" s="18"/>
      <c r="N26" s="18"/>
    </row>
    <row r="27" ht="26.25" customHeight="1">
      <c r="D27" s="10" t="s">
        <v>26</v>
      </c>
      <c r="E27" s="11">
        <v>45084</v>
      </c>
      <c r="F27" s="12"/>
      <c r="G27" s="13" t="s">
        <v>27</v>
      </c>
      <c r="H27" s="13"/>
      <c r="I27" s="13"/>
      <c r="J27" s="13"/>
      <c r="K27" s="13"/>
      <c r="L27" s="13"/>
      <c r="M27" s="13"/>
      <c r="N27" s="14"/>
    </row>
    <row r="28" ht="26.25" customHeight="1">
      <c r="D28" s="15" t="s">
        <v>28</v>
      </c>
      <c r="E28" s="16">
        <v>45061</v>
      </c>
      <c r="F28" s="17"/>
      <c r="G28" s="18" t="s">
        <v>29</v>
      </c>
      <c r="H28" s="18"/>
      <c r="I28" s="18"/>
      <c r="J28" s="18"/>
      <c r="K28" s="18"/>
      <c r="L28" s="18"/>
      <c r="M28" s="18"/>
      <c r="N28" s="18"/>
    </row>
    <row r="29" ht="15" customHeight="1">
      <c r="D29" s="10" t="s">
        <v>30</v>
      </c>
      <c r="E29" s="11">
        <v>45055</v>
      </c>
      <c r="F29" s="12"/>
      <c r="G29" s="13" t="s">
        <v>31</v>
      </c>
      <c r="H29" s="13"/>
      <c r="I29" s="13"/>
      <c r="J29" s="13"/>
      <c r="K29" s="13"/>
      <c r="L29" s="13"/>
      <c r="M29" s="13"/>
      <c r="N29" s="14"/>
    </row>
    <row r="30" ht="15" customHeight="1">
      <c r="D30" s="15" t="s">
        <v>32</v>
      </c>
      <c r="E30" s="16">
        <v>45036</v>
      </c>
      <c r="F30" s="17"/>
      <c r="G30" s="18" t="s">
        <v>33</v>
      </c>
      <c r="H30" s="18"/>
      <c r="I30" s="18"/>
      <c r="J30" s="18"/>
      <c r="K30" s="18"/>
      <c r="L30" s="18"/>
      <c r="M30" s="18"/>
      <c r="N30" s="18"/>
    </row>
    <row r="31" ht="26.25" customHeight="1">
      <c r="D31" s="10" t="s">
        <v>34</v>
      </c>
      <c r="E31" s="11">
        <v>45020</v>
      </c>
      <c r="F31" s="12"/>
      <c r="G31" s="13" t="s">
        <v>35</v>
      </c>
      <c r="H31" s="13"/>
      <c r="I31" s="13"/>
      <c r="J31" s="13"/>
      <c r="K31" s="13"/>
      <c r="L31" s="13"/>
      <c r="M31" s="13"/>
      <c r="N31" s="14"/>
    </row>
    <row r="32" ht="41.25" customHeight="1" hidden="1" collapsed="0" outlineLevel="1">
      <c r="D32" s="15" t="s">
        <v>36</v>
      </c>
      <c r="E32" s="16">
        <v>45000</v>
      </c>
      <c r="F32" s="17"/>
      <c r="G32" s="18" t="s">
        <v>37</v>
      </c>
      <c r="H32" s="18"/>
      <c r="I32" s="18"/>
      <c r="J32" s="18"/>
      <c r="K32" s="18"/>
      <c r="L32" s="18"/>
      <c r="M32" s="18"/>
      <c r="N32" s="18"/>
    </row>
    <row r="33" ht="41.25" customHeight="1" hidden="1" collapsed="0" outlineLevel="1">
      <c r="D33" s="10" t="s">
        <v>38</v>
      </c>
      <c r="E33" s="11">
        <v>44991</v>
      </c>
      <c r="F33" s="12"/>
      <c r="G33" s="13" t="s">
        <v>39</v>
      </c>
      <c r="H33" s="13"/>
      <c r="I33" s="13"/>
      <c r="J33" s="13"/>
      <c r="K33" s="13"/>
      <c r="L33" s="13"/>
      <c r="M33" s="13"/>
      <c r="N33" s="14"/>
    </row>
    <row r="34" ht="15" customHeight="1" hidden="1" collapsed="0" outlineLevel="1">
      <c r="D34" s="15" t="s">
        <v>40</v>
      </c>
      <c r="E34" s="16">
        <v>44987</v>
      </c>
      <c r="F34" s="17"/>
      <c r="G34" s="18" t="s">
        <v>41</v>
      </c>
      <c r="H34" s="18"/>
      <c r="I34" s="18"/>
      <c r="J34" s="18"/>
      <c r="K34" s="18"/>
      <c r="L34" s="18"/>
      <c r="M34" s="18"/>
      <c r="N34" s="18"/>
    </row>
    <row r="35" ht="15" customHeight="1" hidden="1" collapsed="0" outlineLevel="1">
      <c r="D35" s="10" t="s">
        <v>42</v>
      </c>
      <c r="E35" s="11">
        <v>44984</v>
      </c>
      <c r="F35" s="12"/>
      <c r="G35" s="13" t="s">
        <v>43</v>
      </c>
      <c r="H35" s="13"/>
      <c r="I35" s="13"/>
      <c r="J35" s="13"/>
      <c r="K35" s="13"/>
      <c r="L35" s="13"/>
      <c r="M35" s="13"/>
      <c r="N35" s="14"/>
    </row>
    <row r="36" ht="15" customHeight="1" hidden="1" collapsed="0" outlineLevel="1">
      <c r="D36" s="15" t="s">
        <v>44</v>
      </c>
      <c r="E36" s="16">
        <v>44972</v>
      </c>
      <c r="F36" s="17"/>
      <c r="G36" s="18" t="s">
        <v>45</v>
      </c>
      <c r="H36" s="18"/>
      <c r="I36" s="18"/>
      <c r="J36" s="18"/>
      <c r="K36" s="18"/>
      <c r="L36" s="18"/>
      <c r="M36" s="18"/>
      <c r="N36" s="19"/>
    </row>
    <row r="37" ht="41.25" customHeight="1" hidden="1" collapsed="0" outlineLevel="1">
      <c r="D37" s="10" t="s">
        <v>46</v>
      </c>
      <c r="E37" s="11">
        <v>44971</v>
      </c>
      <c r="F37" s="12"/>
      <c r="G37" s="13" t="s">
        <v>47</v>
      </c>
      <c r="H37" s="13"/>
      <c r="I37" s="13"/>
      <c r="J37" s="13"/>
      <c r="K37" s="13"/>
      <c r="L37" s="13"/>
      <c r="M37" s="13"/>
      <c r="N37" s="14"/>
    </row>
    <row r="38" ht="26.25" customHeight="1" hidden="1" collapsed="0" outlineLevel="1">
      <c r="D38" s="15" t="s">
        <v>48</v>
      </c>
      <c r="E38" s="16">
        <v>44853</v>
      </c>
      <c r="F38" s="17"/>
      <c r="G38" s="18" t="s">
        <v>49</v>
      </c>
      <c r="H38" s="18"/>
      <c r="I38" s="18"/>
      <c r="J38" s="18"/>
      <c r="K38" s="18"/>
      <c r="L38" s="18"/>
      <c r="M38" s="18"/>
      <c r="N38" s="19"/>
    </row>
    <row r="39" ht="15" customHeight="1" hidden="1" collapsed="0" outlineLevel="1">
      <c r="D39" s="10" t="s">
        <v>50</v>
      </c>
      <c r="E39" s="11">
        <v>44839</v>
      </c>
      <c r="F39" s="12"/>
      <c r="G39" s="13" t="s">
        <v>51</v>
      </c>
      <c r="H39" s="13"/>
      <c r="I39" s="13"/>
      <c r="J39" s="13"/>
      <c r="K39" s="13"/>
      <c r="L39" s="13"/>
      <c r="M39" s="13"/>
      <c r="N39" s="14"/>
    </row>
    <row r="40" ht="15" customHeight="1" hidden="1" collapsed="0" outlineLevel="1">
      <c r="D40" s="15" t="s">
        <v>52</v>
      </c>
      <c r="E40" s="16">
        <v>44839</v>
      </c>
      <c r="F40" s="17"/>
      <c r="G40" s="18" t="s">
        <v>53</v>
      </c>
      <c r="H40" s="18"/>
      <c r="I40" s="18"/>
      <c r="J40" s="18"/>
      <c r="K40" s="18"/>
      <c r="L40" s="18"/>
      <c r="M40" s="18"/>
      <c r="N40" s="19"/>
    </row>
    <row r="41" ht="15" customHeight="1" hidden="1" collapsed="0" outlineLevel="1">
      <c r="D41" s="10" t="s">
        <v>54</v>
      </c>
      <c r="E41" s="11">
        <v>44833</v>
      </c>
      <c r="F41" s="12"/>
      <c r="G41" s="13" t="s">
        <v>55</v>
      </c>
      <c r="H41" s="13"/>
      <c r="I41" s="13"/>
      <c r="J41" s="13"/>
      <c r="K41" s="13"/>
      <c r="L41" s="13"/>
      <c r="M41" s="13"/>
      <c r="N41" s="14"/>
    </row>
    <row r="42" ht="37.5" customHeight="1" hidden="1" collapsed="0" outlineLevel="1">
      <c r="D42" s="15" t="s">
        <v>56</v>
      </c>
      <c r="E42" s="16">
        <v>44832</v>
      </c>
      <c r="F42" s="17"/>
      <c r="G42" s="18" t="s">
        <v>57</v>
      </c>
      <c r="H42" s="18"/>
      <c r="I42" s="18"/>
      <c r="J42" s="18"/>
      <c r="K42" s="18"/>
      <c r="L42" s="18"/>
      <c r="M42" s="18"/>
      <c r="N42" s="19"/>
    </row>
    <row r="43" ht="26.25" customHeight="1" hidden="1" collapsed="0" outlineLevel="1">
      <c r="D43" s="10" t="s">
        <v>58</v>
      </c>
      <c r="E43" s="11">
        <v>44823</v>
      </c>
      <c r="F43" s="12"/>
      <c r="G43" s="13" t="s">
        <v>59</v>
      </c>
      <c r="H43" s="13"/>
      <c r="I43" s="13"/>
      <c r="J43" s="13"/>
      <c r="K43" s="13"/>
      <c r="L43" s="13"/>
      <c r="M43" s="13"/>
      <c r="N43" s="14"/>
    </row>
    <row r="44" ht="15" customHeight="1" hidden="1" collapsed="0" outlineLevel="1">
      <c r="D44" s="15" t="s">
        <v>60</v>
      </c>
      <c r="E44" s="16">
        <v>44819</v>
      </c>
      <c r="F44" s="17"/>
      <c r="G44" s="18" t="s">
        <v>61</v>
      </c>
      <c r="H44" s="20"/>
      <c r="I44" s="20"/>
      <c r="J44" s="20"/>
      <c r="K44" s="20"/>
      <c r="L44" s="20"/>
      <c r="M44" s="20"/>
      <c r="N44" s="19"/>
    </row>
    <row r="45" ht="15" customHeight="1" hidden="1" collapsed="0" outlineLevel="1">
      <c r="D45" s="10" t="s">
        <v>62</v>
      </c>
      <c r="E45" s="11">
        <v>44819</v>
      </c>
      <c r="F45" s="12"/>
      <c r="G45" s="13" t="s">
        <v>63</v>
      </c>
      <c r="H45" s="13"/>
      <c r="I45" s="13"/>
      <c r="J45" s="13"/>
      <c r="K45" s="13"/>
      <c r="L45" s="13"/>
      <c r="M45" s="13"/>
      <c r="N45" s="14"/>
    </row>
    <row r="46" ht="37.5" customHeight="1" hidden="1" collapsed="0" outlineLevel="1">
      <c r="D46" s="15" t="s">
        <v>64</v>
      </c>
      <c r="E46" s="16">
        <v>44817</v>
      </c>
      <c r="F46" s="17"/>
      <c r="G46" s="18" t="s">
        <v>65</v>
      </c>
      <c r="H46" s="20"/>
      <c r="I46" s="20"/>
      <c r="J46" s="20"/>
      <c r="K46" s="20"/>
      <c r="L46" s="20"/>
      <c r="M46" s="20"/>
      <c r="N46" s="19"/>
    </row>
    <row r="47" ht="26.25" customHeight="1" hidden="1" collapsed="0" outlineLevel="1">
      <c r="D47" s="10" t="s">
        <v>66</v>
      </c>
      <c r="E47" s="11">
        <v>44813</v>
      </c>
      <c r="F47" s="12"/>
      <c r="G47" s="13" t="s">
        <v>67</v>
      </c>
      <c r="H47" s="13"/>
      <c r="I47" s="13"/>
      <c r="J47" s="13"/>
      <c r="K47" s="13"/>
      <c r="L47" s="13"/>
      <c r="M47" s="13"/>
      <c r="N47" s="14"/>
    </row>
    <row r="48" ht="37.5" customHeight="1" hidden="1" collapsed="0" outlineLevel="1">
      <c r="D48" s="15" t="s">
        <v>68</v>
      </c>
      <c r="E48" s="16">
        <v>44804</v>
      </c>
      <c r="F48" s="17"/>
      <c r="G48" s="18" t="s">
        <v>69</v>
      </c>
      <c r="H48" s="20"/>
      <c r="I48" s="20"/>
      <c r="J48" s="20"/>
      <c r="K48" s="20"/>
      <c r="L48" s="20"/>
      <c r="M48" s="20"/>
      <c r="N48" s="19"/>
    </row>
    <row r="49" ht="52.5" customHeight="1" hidden="1" collapsed="0" outlineLevel="1">
      <c r="D49" s="10" t="s">
        <v>70</v>
      </c>
      <c r="E49" s="11">
        <v>44802</v>
      </c>
      <c r="F49" s="12"/>
      <c r="G49" s="13" t="s">
        <v>71</v>
      </c>
      <c r="H49" s="13"/>
      <c r="I49" s="13"/>
      <c r="J49" s="13"/>
      <c r="K49" s="13"/>
      <c r="L49" s="13"/>
      <c r="M49" s="13"/>
      <c r="N49" s="14"/>
    </row>
    <row r="50" ht="26.25" customHeight="1" hidden="1" collapsed="0" outlineLevel="1">
      <c r="D50" s="15" t="s">
        <v>72</v>
      </c>
      <c r="E50" s="16">
        <v>44796</v>
      </c>
      <c r="F50" s="17"/>
      <c r="G50" s="18" t="s">
        <v>73</v>
      </c>
      <c r="H50" s="20"/>
      <c r="I50" s="20"/>
      <c r="J50" s="20"/>
      <c r="K50" s="20"/>
      <c r="L50" s="20"/>
      <c r="M50" s="20"/>
      <c r="N50" s="19"/>
    </row>
    <row r="51" ht="26.25" customHeight="1" hidden="1" collapsed="0" outlineLevel="1">
      <c r="D51" s="10" t="s">
        <v>74</v>
      </c>
      <c r="E51" s="11">
        <v>44784</v>
      </c>
      <c r="F51" s="12"/>
      <c r="G51" s="13" t="s">
        <v>75</v>
      </c>
      <c r="H51" s="13"/>
      <c r="I51" s="13"/>
      <c r="J51" s="13"/>
      <c r="K51" s="13"/>
      <c r="L51" s="13"/>
      <c r="M51" s="13"/>
      <c r="N51" s="14"/>
    </row>
    <row r="52" ht="26.25" customHeight="1" hidden="1" collapsed="0" outlineLevel="1">
      <c r="D52" s="15" t="s">
        <v>76</v>
      </c>
      <c r="E52" s="16">
        <v>44782</v>
      </c>
      <c r="F52" s="17"/>
      <c r="G52" s="18" t="s">
        <v>77</v>
      </c>
      <c r="H52" s="20"/>
      <c r="I52" s="20"/>
      <c r="J52" s="20"/>
      <c r="K52" s="20"/>
      <c r="L52" s="20"/>
      <c r="M52" s="20"/>
      <c r="N52" s="19"/>
    </row>
    <row r="53" ht="26.25" customHeight="1" hidden="1" collapsed="0" outlineLevel="1">
      <c r="D53" s="10" t="s">
        <v>78</v>
      </c>
      <c r="E53" s="11">
        <v>44776</v>
      </c>
      <c r="F53" s="12"/>
      <c r="G53" s="13" t="s">
        <v>79</v>
      </c>
      <c r="H53" s="13"/>
      <c r="I53" s="13"/>
      <c r="J53" s="13"/>
      <c r="K53" s="13"/>
      <c r="L53" s="13"/>
      <c r="M53" s="13"/>
      <c r="N53" s="14"/>
    </row>
    <row r="54" ht="26.25" customHeight="1" hidden="1" collapsed="0" outlineLevel="1">
      <c r="D54" s="15" t="s">
        <v>80</v>
      </c>
      <c r="E54" s="16">
        <v>44774</v>
      </c>
      <c r="F54" s="17"/>
      <c r="G54" s="18" t="s">
        <v>81</v>
      </c>
      <c r="H54" s="20"/>
      <c r="I54" s="20"/>
      <c r="J54" s="20"/>
      <c r="K54" s="20"/>
      <c r="L54" s="20"/>
      <c r="M54" s="20"/>
      <c r="N54" s="19"/>
    </row>
    <row r="55" ht="15" customHeight="1" hidden="1" collapsed="0" outlineLevel="1">
      <c r="D55" s="10" t="s">
        <v>82</v>
      </c>
      <c r="E55" s="11">
        <v>44768</v>
      </c>
      <c r="F55" s="12"/>
      <c r="G55" s="13" t="s">
        <v>83</v>
      </c>
      <c r="H55" s="13"/>
      <c r="I55" s="13"/>
      <c r="J55" s="13"/>
      <c r="K55" s="13"/>
      <c r="L55" s="13"/>
      <c r="M55" s="13"/>
      <c r="N55" s="14"/>
    </row>
    <row r="56" ht="15" customHeight="1" hidden="1" collapsed="0" outlineLevel="1">
      <c r="D56" s="15" t="s">
        <v>84</v>
      </c>
      <c r="E56" s="16">
        <v>44767</v>
      </c>
      <c r="F56" s="17"/>
      <c r="G56" s="18" t="s">
        <v>85</v>
      </c>
      <c r="H56" s="20"/>
      <c r="I56" s="20"/>
      <c r="J56" s="20"/>
      <c r="K56" s="20"/>
      <c r="L56" s="20"/>
      <c r="M56" s="20"/>
      <c r="N56" s="19"/>
    </row>
    <row r="57" ht="26.25" customHeight="1" hidden="1" collapsed="0" outlineLevel="1">
      <c r="D57" s="10" t="s">
        <v>86</v>
      </c>
      <c r="E57" s="11">
        <v>44760</v>
      </c>
      <c r="F57" s="12"/>
      <c r="G57" s="13" t="s">
        <v>87</v>
      </c>
      <c r="H57" s="13"/>
      <c r="I57" s="13"/>
      <c r="J57" s="13"/>
      <c r="K57" s="13"/>
      <c r="L57" s="13"/>
      <c r="M57" s="13"/>
      <c r="N57" s="14"/>
    </row>
    <row r="58" ht="15" customHeight="1" hidden="1" collapsed="0" outlineLevel="1">
      <c r="D58" s="15" t="s">
        <v>88</v>
      </c>
      <c r="E58" s="16">
        <v>44757</v>
      </c>
      <c r="F58" s="17"/>
      <c r="G58" s="18" t="s">
        <v>89</v>
      </c>
      <c r="H58" s="20"/>
      <c r="I58" s="20"/>
      <c r="J58" s="20"/>
      <c r="K58" s="20"/>
      <c r="L58" s="20"/>
      <c r="M58" s="20"/>
      <c r="N58" s="19"/>
    </row>
    <row r="59" ht="37.5" customHeight="1" hidden="1" collapsed="0" outlineLevel="1">
      <c r="D59" s="10" t="s">
        <v>90</v>
      </c>
      <c r="E59" s="11">
        <v>44757</v>
      </c>
      <c r="F59" s="12"/>
      <c r="G59" s="13" t="s">
        <v>91</v>
      </c>
      <c r="H59" s="13"/>
      <c r="I59" s="13"/>
      <c r="J59" s="13"/>
      <c r="K59" s="13"/>
      <c r="L59" s="13"/>
      <c r="M59" s="13"/>
      <c r="N59" s="14"/>
    </row>
    <row r="60" ht="15" customHeight="1" hidden="1" collapsed="0" outlineLevel="1">
      <c r="D60" s="15" t="s">
        <v>92</v>
      </c>
      <c r="E60" s="16">
        <v>44757</v>
      </c>
      <c r="F60" s="17"/>
      <c r="G60" s="18" t="s">
        <v>93</v>
      </c>
      <c r="H60" s="20"/>
      <c r="I60" s="20"/>
      <c r="J60" s="20"/>
      <c r="K60" s="20"/>
      <c r="L60" s="20"/>
      <c r="M60" s="20"/>
      <c r="N60" s="19"/>
    </row>
    <row r="61" ht="26.25" customHeight="1" hidden="1" collapsed="0" outlineLevel="1">
      <c r="D61" s="10" t="s">
        <v>94</v>
      </c>
      <c r="E61" s="11">
        <v>44753</v>
      </c>
      <c r="F61" s="12"/>
      <c r="G61" s="13" t="s">
        <v>95</v>
      </c>
      <c r="H61" s="13"/>
      <c r="I61" s="13"/>
      <c r="J61" s="13"/>
      <c r="K61" s="13"/>
      <c r="L61" s="13"/>
      <c r="M61" s="13"/>
      <c r="N61" s="14"/>
    </row>
    <row r="62" ht="15" customHeight="1" hidden="1" collapsed="0" outlineLevel="1">
      <c r="D62" s="15" t="s">
        <v>96</v>
      </c>
      <c r="E62" s="16">
        <v>44753</v>
      </c>
      <c r="F62" s="17"/>
      <c r="G62" s="18" t="s">
        <v>97</v>
      </c>
      <c r="H62" s="20"/>
      <c r="I62" s="20"/>
      <c r="J62" s="20"/>
      <c r="K62" s="20"/>
      <c r="L62" s="20"/>
      <c r="M62" s="20"/>
      <c r="N62" s="19"/>
    </row>
    <row r="63" ht="26.25" customHeight="1" hidden="1" collapsed="0" outlineLevel="1">
      <c r="D63" s="10" t="s">
        <v>98</v>
      </c>
      <c r="E63" s="11">
        <v>44750</v>
      </c>
      <c r="F63" s="12"/>
      <c r="G63" s="13" t="s">
        <v>99</v>
      </c>
      <c r="H63" s="13"/>
      <c r="I63" s="13"/>
      <c r="J63" s="13"/>
      <c r="K63" s="13"/>
      <c r="L63" s="13"/>
      <c r="M63" s="13"/>
      <c r="N63" s="14"/>
    </row>
    <row r="64" ht="15" customHeight="1" hidden="1" collapsed="0" outlineLevel="1">
      <c r="D64" s="15" t="s">
        <v>100</v>
      </c>
      <c r="E64" s="16">
        <v>44749</v>
      </c>
      <c r="F64" s="17"/>
      <c r="G64" s="18" t="s">
        <v>101</v>
      </c>
      <c r="H64" s="20"/>
      <c r="I64" s="20"/>
      <c r="J64" s="20"/>
      <c r="K64" s="20"/>
      <c r="L64" s="20"/>
      <c r="M64" s="20"/>
      <c r="N64" s="19"/>
    </row>
    <row r="65" ht="26.25" customHeight="1" hidden="1" collapsed="0" outlineLevel="1">
      <c r="D65" s="10" t="s">
        <v>102</v>
      </c>
      <c r="E65" s="11">
        <v>44748</v>
      </c>
      <c r="F65" s="12"/>
      <c r="G65" s="13" t="s">
        <v>103</v>
      </c>
      <c r="H65" s="13"/>
      <c r="I65" s="13"/>
      <c r="J65" s="13"/>
      <c r="K65" s="13"/>
      <c r="L65" s="13"/>
      <c r="M65" s="13"/>
      <c r="N65" s="14"/>
    </row>
    <row r="66" ht="15" customHeight="1" hidden="1" collapsed="0" outlineLevel="1">
      <c r="D66" s="15" t="s">
        <v>104</v>
      </c>
      <c r="E66" s="16">
        <v>44748</v>
      </c>
      <c r="F66" s="17"/>
      <c r="G66" s="18" t="s">
        <v>105</v>
      </c>
      <c r="H66" s="20"/>
      <c r="I66" s="20"/>
      <c r="J66" s="20"/>
      <c r="K66" s="20"/>
      <c r="L66" s="20"/>
      <c r="M66" s="20"/>
      <c r="N66" s="19"/>
    </row>
    <row r="67" ht="40.5" customHeight="1" hidden="1" collapsed="0" outlineLevel="1">
      <c r="D67" s="10" t="s">
        <v>106</v>
      </c>
      <c r="E67" s="11">
        <v>44747</v>
      </c>
      <c r="F67" s="12"/>
      <c r="G67" s="13" t="s">
        <v>107</v>
      </c>
      <c r="H67" s="13"/>
      <c r="I67" s="13"/>
      <c r="J67" s="13"/>
      <c r="K67" s="13"/>
      <c r="L67" s="13"/>
      <c r="M67" s="13"/>
      <c r="N67" s="14"/>
    </row>
    <row r="68" ht="52.5" customHeight="1" hidden="1" collapsed="0" outlineLevel="1">
      <c r="D68" s="15" t="s">
        <v>108</v>
      </c>
      <c r="E68" s="16">
        <v>44742</v>
      </c>
      <c r="F68" s="17"/>
      <c r="G68" s="18" t="s">
        <v>109</v>
      </c>
      <c r="H68" s="20"/>
      <c r="I68" s="20"/>
      <c r="J68" s="20"/>
      <c r="K68" s="20"/>
      <c r="L68" s="20"/>
      <c r="M68" s="20"/>
      <c r="N68" s="19"/>
    </row>
    <row r="69" ht="26.25" customHeight="1" hidden="1" collapsed="0" outlineLevel="1">
      <c r="D69" s="10" t="s">
        <v>110</v>
      </c>
      <c r="E69" s="11">
        <v>44740</v>
      </c>
      <c r="F69" s="12"/>
      <c r="G69" s="13" t="s">
        <v>111</v>
      </c>
      <c r="H69" s="13"/>
      <c r="I69" s="13"/>
      <c r="J69" s="13"/>
      <c r="K69" s="13"/>
      <c r="L69" s="13"/>
      <c r="M69" s="13"/>
      <c r="N69" s="14"/>
    </row>
    <row r="70" ht="26.25" customHeight="1" hidden="1" collapsed="0" outlineLevel="1">
      <c r="D70" s="15" t="s">
        <v>112</v>
      </c>
      <c r="E70" s="16">
        <v>44736</v>
      </c>
      <c r="F70" s="17"/>
      <c r="G70" s="18" t="s">
        <v>113</v>
      </c>
      <c r="H70" s="20"/>
      <c r="I70" s="20"/>
      <c r="J70" s="20"/>
      <c r="K70" s="20"/>
      <c r="L70" s="20"/>
      <c r="M70" s="20"/>
      <c r="N70" s="19"/>
    </row>
    <row r="71" ht="26.25" customHeight="1" hidden="1" collapsed="0" outlineLevel="1">
      <c r="D71" s="10" t="s">
        <v>114</v>
      </c>
      <c r="E71" s="11">
        <v>44733</v>
      </c>
      <c r="F71" s="12"/>
      <c r="G71" s="13" t="s">
        <v>115</v>
      </c>
      <c r="H71" s="13"/>
      <c r="I71" s="13"/>
      <c r="J71" s="13"/>
      <c r="K71" s="13"/>
      <c r="L71" s="13"/>
      <c r="M71" s="13"/>
      <c r="N71" s="14"/>
    </row>
    <row r="72" ht="26.25" customHeight="1" hidden="1" collapsed="0" outlineLevel="1">
      <c r="D72" s="15" t="s">
        <v>116</v>
      </c>
      <c r="E72" s="16">
        <v>44721</v>
      </c>
      <c r="F72" s="17"/>
      <c r="G72" s="18" t="s">
        <v>117</v>
      </c>
      <c r="H72" s="20"/>
      <c r="I72" s="20"/>
      <c r="J72" s="20"/>
      <c r="K72" s="20"/>
      <c r="L72" s="20"/>
      <c r="M72" s="20"/>
      <c r="N72" s="19"/>
    </row>
    <row r="73" ht="26.25" customHeight="1" hidden="1" collapsed="0" outlineLevel="1">
      <c r="D73" s="10" t="s">
        <v>118</v>
      </c>
      <c r="E73" s="11">
        <v>44718</v>
      </c>
      <c r="F73" s="12"/>
      <c r="G73" s="13" t="s">
        <v>119</v>
      </c>
      <c r="H73" s="13"/>
      <c r="I73" s="13"/>
      <c r="J73" s="13"/>
      <c r="K73" s="13"/>
      <c r="L73" s="13"/>
      <c r="M73" s="13"/>
      <c r="N73" s="14"/>
    </row>
    <row r="74" ht="15" customHeight="1" hidden="1" collapsed="0" outlineLevel="1">
      <c r="D74" s="15" t="s">
        <v>120</v>
      </c>
      <c r="E74" s="16">
        <v>44718</v>
      </c>
      <c r="F74" s="17"/>
      <c r="G74" s="18" t="s">
        <v>121</v>
      </c>
      <c r="H74" s="20"/>
      <c r="I74" s="20"/>
      <c r="J74" s="20"/>
      <c r="K74" s="20"/>
      <c r="L74" s="20"/>
      <c r="M74" s="20"/>
      <c r="N74" s="19"/>
    </row>
    <row r="75" ht="26.25" customHeight="1" hidden="1" collapsed="0" outlineLevel="1">
      <c r="D75" s="10" t="s">
        <v>122</v>
      </c>
      <c r="E75" s="11">
        <v>44698</v>
      </c>
      <c r="F75" s="12"/>
      <c r="G75" s="13" t="s">
        <v>123</v>
      </c>
      <c r="H75" s="13"/>
      <c r="I75" s="13"/>
      <c r="J75" s="13"/>
      <c r="K75" s="13"/>
      <c r="L75" s="13"/>
      <c r="M75" s="13"/>
      <c r="N75" s="14"/>
    </row>
    <row r="76" ht="15" customHeight="1" hidden="1" collapsed="0" outlineLevel="1">
      <c r="D76" s="15" t="s">
        <v>124</v>
      </c>
      <c r="E76" s="16">
        <v>44692</v>
      </c>
      <c r="F76" s="17"/>
      <c r="G76" s="18" t="s">
        <v>125</v>
      </c>
      <c r="H76" s="20"/>
      <c r="I76" s="20"/>
      <c r="J76" s="20"/>
      <c r="K76" s="20"/>
      <c r="L76" s="20"/>
      <c r="M76" s="20"/>
      <c r="N76" s="19"/>
    </row>
    <row r="77" ht="15" customHeight="1" hidden="1" collapsed="0" outlineLevel="1">
      <c r="D77" s="10" t="s">
        <v>126</v>
      </c>
      <c r="E77" s="11">
        <v>44678</v>
      </c>
      <c r="F77" s="12"/>
      <c r="G77" s="13" t="s">
        <v>127</v>
      </c>
      <c r="H77" s="13"/>
      <c r="I77" s="13"/>
      <c r="J77" s="13"/>
      <c r="K77" s="13"/>
      <c r="L77" s="13"/>
      <c r="M77" s="13"/>
      <c r="N77" s="14"/>
    </row>
    <row r="78" ht="15" customHeight="1" hidden="1" collapsed="0" outlineLevel="1">
      <c r="D78" s="15" t="s">
        <v>128</v>
      </c>
      <c r="E78" s="16">
        <v>44671</v>
      </c>
      <c r="F78" s="17"/>
      <c r="G78" s="18" t="s">
        <v>129</v>
      </c>
      <c r="H78" s="20"/>
      <c r="I78" s="20"/>
      <c r="J78" s="20"/>
      <c r="K78" s="20"/>
      <c r="L78" s="20"/>
      <c r="M78" s="20"/>
      <c r="N78" s="19"/>
    </row>
    <row r="79" ht="15" customHeight="1" hidden="1" collapsed="0" outlineLevel="1">
      <c r="D79" s="10" t="s">
        <v>130</v>
      </c>
      <c r="E79" s="11">
        <v>44671</v>
      </c>
      <c r="F79" s="12"/>
      <c r="G79" s="13" t="s">
        <v>131</v>
      </c>
      <c r="H79" s="13"/>
      <c r="I79" s="13"/>
      <c r="J79" s="13"/>
      <c r="K79" s="13"/>
      <c r="L79" s="13"/>
      <c r="M79" s="13"/>
      <c r="N79" s="14"/>
    </row>
    <row r="80" ht="15" customHeight="1" hidden="1" collapsed="0" outlineLevel="1">
      <c r="D80" s="15" t="s">
        <v>132</v>
      </c>
      <c r="E80" s="16">
        <v>44666</v>
      </c>
      <c r="F80" s="17"/>
      <c r="G80" s="18" t="s">
        <v>133</v>
      </c>
      <c r="H80" s="20"/>
      <c r="I80" s="20"/>
      <c r="J80" s="20"/>
      <c r="K80" s="20"/>
      <c r="L80" s="20"/>
      <c r="M80" s="20"/>
      <c r="N80" s="19"/>
    </row>
    <row r="81" ht="15" customHeight="1" hidden="1" collapsed="0" outlineLevel="1">
      <c r="D81" s="10" t="s">
        <v>134</v>
      </c>
      <c r="E81" s="11">
        <v>44666</v>
      </c>
      <c r="F81" s="12"/>
      <c r="G81" s="13" t="s">
        <v>135</v>
      </c>
      <c r="H81" s="13"/>
      <c r="I81" s="13"/>
      <c r="J81" s="13"/>
      <c r="K81" s="13"/>
      <c r="L81" s="13"/>
      <c r="M81" s="13"/>
      <c r="N81" s="14"/>
    </row>
    <row r="82" ht="15" customHeight="1" hidden="1" collapsed="0" outlineLevel="1">
      <c r="D82" s="15" t="s">
        <v>136</v>
      </c>
      <c r="E82" s="16">
        <v>44664</v>
      </c>
      <c r="F82" s="17"/>
      <c r="G82" s="18" t="s">
        <v>137</v>
      </c>
      <c r="H82" s="20"/>
      <c r="I82" s="20"/>
      <c r="J82" s="20"/>
      <c r="K82" s="20"/>
      <c r="L82" s="20"/>
      <c r="M82" s="20"/>
      <c r="N82" s="19"/>
    </row>
    <row r="83" ht="26.25" customHeight="1" hidden="1" collapsed="0" outlineLevel="1">
      <c r="D83" s="10" t="s">
        <v>138</v>
      </c>
      <c r="E83" s="11">
        <v>44664</v>
      </c>
      <c r="F83" s="12"/>
      <c r="G83" s="13" t="s">
        <v>139</v>
      </c>
      <c r="H83" s="13"/>
      <c r="I83" s="13"/>
      <c r="J83" s="13"/>
      <c r="K83" s="13"/>
      <c r="L83" s="13"/>
      <c r="M83" s="13"/>
      <c r="N83" s="14"/>
    </row>
    <row r="84" ht="26.25" customHeight="1" hidden="1" collapsed="0" outlineLevel="1">
      <c r="D84" s="15" t="s">
        <v>140</v>
      </c>
      <c r="E84" s="16">
        <v>44663</v>
      </c>
      <c r="F84" s="17"/>
      <c r="G84" s="18" t="s">
        <v>141</v>
      </c>
      <c r="H84" s="20"/>
      <c r="I84" s="20"/>
      <c r="J84" s="20"/>
      <c r="K84" s="20"/>
      <c r="L84" s="20"/>
      <c r="M84" s="20"/>
      <c r="N84" s="19"/>
    </row>
    <row r="85" ht="26.25" customHeight="1" hidden="1" collapsed="0" outlineLevel="1">
      <c r="D85" s="10" t="s">
        <v>142</v>
      </c>
      <c r="E85" s="11">
        <v>44644</v>
      </c>
      <c r="F85" s="12"/>
      <c r="G85" s="13" t="s">
        <v>143</v>
      </c>
      <c r="H85" s="13"/>
      <c r="I85" s="13"/>
      <c r="J85" s="13"/>
      <c r="K85" s="13"/>
      <c r="L85" s="13"/>
      <c r="M85" s="13"/>
      <c r="N85" s="14"/>
    </row>
    <row r="86" ht="26.25" customHeight="1" hidden="1" collapsed="0" outlineLevel="1">
      <c r="D86" s="15" t="s">
        <v>144</v>
      </c>
      <c r="E86" s="16">
        <v>44644</v>
      </c>
      <c r="F86" s="17"/>
      <c r="G86" s="18" t="s">
        <v>145</v>
      </c>
      <c r="H86" s="20"/>
      <c r="I86" s="20"/>
      <c r="J86" s="20"/>
      <c r="K86" s="20"/>
      <c r="L86" s="20"/>
      <c r="M86" s="20"/>
      <c r="N86" s="19"/>
    </row>
    <row r="87" ht="15" customHeight="1" hidden="1" collapsed="0" outlineLevel="1">
      <c r="D87" s="10" t="s">
        <v>146</v>
      </c>
      <c r="E87" s="11">
        <v>44643</v>
      </c>
      <c r="F87" s="12"/>
      <c r="G87" s="13" t="s">
        <v>147</v>
      </c>
      <c r="H87" s="13"/>
      <c r="I87" s="13"/>
      <c r="J87" s="13"/>
      <c r="K87" s="13"/>
      <c r="L87" s="13"/>
      <c r="M87" s="13"/>
      <c r="N87" s="14"/>
    </row>
    <row r="88" ht="15" customHeight="1" hidden="1" collapsed="0" outlineLevel="1">
      <c r="D88" s="15" t="s">
        <v>148</v>
      </c>
      <c r="E88" s="16">
        <v>44635</v>
      </c>
      <c r="F88" s="17"/>
      <c r="G88" s="18" t="s">
        <v>149</v>
      </c>
      <c r="H88" s="20"/>
      <c r="I88" s="20"/>
      <c r="J88" s="20"/>
      <c r="K88" s="20"/>
      <c r="L88" s="20"/>
      <c r="M88" s="20"/>
      <c r="N88" s="19"/>
    </row>
    <row r="89" ht="15" customHeight="1" hidden="1" collapsed="0" outlineLevel="1">
      <c r="D89" s="10" t="s">
        <v>150</v>
      </c>
      <c r="E89" s="11">
        <v>44635</v>
      </c>
      <c r="F89" s="12"/>
      <c r="G89" s="13" t="s">
        <v>151</v>
      </c>
      <c r="H89" s="13"/>
      <c r="I89" s="13"/>
      <c r="J89" s="13"/>
      <c r="K89" s="13"/>
      <c r="L89" s="13"/>
      <c r="M89" s="13"/>
      <c r="N89" s="14"/>
    </row>
    <row r="90" ht="26.25" customHeight="1" hidden="1" collapsed="0" outlineLevel="1">
      <c r="D90" s="15" t="s">
        <v>152</v>
      </c>
      <c r="E90" s="16">
        <v>44628</v>
      </c>
      <c r="F90" s="17"/>
      <c r="G90" s="18" t="s">
        <v>153</v>
      </c>
      <c r="H90" s="20"/>
      <c r="I90" s="20"/>
      <c r="J90" s="20"/>
      <c r="K90" s="20"/>
      <c r="L90" s="20"/>
      <c r="M90" s="20"/>
      <c r="N90" s="19"/>
    </row>
    <row r="91" ht="15" customHeight="1" hidden="1" collapsed="0" outlineLevel="1">
      <c r="D91" s="10" t="s">
        <v>154</v>
      </c>
      <c r="E91" s="11">
        <v>44621</v>
      </c>
      <c r="F91" s="12"/>
      <c r="G91" s="13" t="s">
        <v>155</v>
      </c>
      <c r="H91" s="13"/>
      <c r="I91" s="13"/>
      <c r="J91" s="13"/>
      <c r="K91" s="13"/>
      <c r="L91" s="13"/>
      <c r="M91" s="13"/>
      <c r="N91" s="14"/>
    </row>
    <row r="92" ht="26.25" customHeight="1" hidden="1" collapsed="0" outlineLevel="1">
      <c r="D92" s="15" t="s">
        <v>156</v>
      </c>
      <c r="E92" s="16">
        <v>44620</v>
      </c>
      <c r="F92" s="17"/>
      <c r="G92" s="18" t="s">
        <v>157</v>
      </c>
      <c r="H92" s="20"/>
      <c r="I92" s="20"/>
      <c r="J92" s="20"/>
      <c r="K92" s="20"/>
      <c r="L92" s="20"/>
      <c r="M92" s="20"/>
      <c r="N92" s="19"/>
    </row>
    <row r="93" ht="15" customHeight="1" hidden="1" collapsed="0" outlineLevel="1">
      <c r="D93" s="10" t="s">
        <v>158</v>
      </c>
      <c r="E93" s="11">
        <v>44607</v>
      </c>
      <c r="F93" s="12"/>
      <c r="G93" s="13" t="s">
        <v>159</v>
      </c>
      <c r="H93" s="13"/>
      <c r="I93" s="13"/>
      <c r="J93" s="13"/>
      <c r="K93" s="13"/>
      <c r="L93" s="13"/>
      <c r="M93" s="13"/>
      <c r="N93" s="14"/>
    </row>
    <row r="94" ht="15" customHeight="1" hidden="1" collapsed="0" outlineLevel="1">
      <c r="D94" s="15" t="s">
        <v>160</v>
      </c>
      <c r="E94" s="16">
        <v>44595</v>
      </c>
      <c r="F94" s="17"/>
      <c r="G94" s="18" t="s">
        <v>161</v>
      </c>
      <c r="H94" s="20"/>
      <c r="I94" s="20"/>
      <c r="J94" s="20"/>
      <c r="K94" s="20"/>
      <c r="L94" s="20"/>
      <c r="M94" s="20"/>
      <c r="N94" s="19"/>
    </row>
    <row r="95" ht="15" customHeight="1" hidden="1" collapsed="0" outlineLevel="1">
      <c r="D95" s="10" t="s">
        <v>162</v>
      </c>
      <c r="E95" s="11">
        <v>44592</v>
      </c>
      <c r="F95" s="12"/>
      <c r="G95" s="13" t="s">
        <v>163</v>
      </c>
      <c r="H95" s="13"/>
      <c r="I95" s="13"/>
      <c r="J95" s="13"/>
      <c r="K95" s="13"/>
      <c r="L95" s="13"/>
      <c r="M95" s="13"/>
      <c r="N95" s="14"/>
    </row>
    <row r="96" ht="15" customHeight="1" hidden="1" collapsed="0" outlineLevel="1">
      <c r="D96" s="15" t="s">
        <v>164</v>
      </c>
      <c r="E96" s="16">
        <v>44589</v>
      </c>
      <c r="F96" s="17"/>
      <c r="G96" s="18" t="s">
        <v>165</v>
      </c>
      <c r="H96" s="20"/>
      <c r="I96" s="20"/>
      <c r="J96" s="20"/>
      <c r="K96" s="20"/>
      <c r="L96" s="20"/>
      <c r="M96" s="20"/>
      <c r="N96" s="19"/>
    </row>
    <row r="97" ht="15" customHeight="1" hidden="1" collapsed="0" outlineLevel="1">
      <c r="D97" s="10" t="s">
        <v>166</v>
      </c>
      <c r="E97" s="11">
        <v>44587</v>
      </c>
      <c r="F97" s="12"/>
      <c r="G97" s="13" t="s">
        <v>167</v>
      </c>
      <c r="H97" s="13"/>
      <c r="I97" s="13"/>
      <c r="J97" s="13"/>
      <c r="K97" s="13"/>
      <c r="L97" s="13"/>
      <c r="M97" s="13"/>
      <c r="N97" s="14"/>
    </row>
    <row r="98" ht="15" customHeight="1" hidden="1" collapsed="0" outlineLevel="1">
      <c r="D98" s="15"/>
      <c r="E98" s="16"/>
      <c r="F98" s="17"/>
      <c r="G98" s="18"/>
      <c r="H98" s="20"/>
      <c r="I98" s="20"/>
      <c r="J98" s="20"/>
      <c r="K98" s="20"/>
      <c r="L98" s="20"/>
      <c r="M98" s="20"/>
      <c r="N98" s="19"/>
    </row>
    <row r="99" ht="15" customHeight="1" collapsed="1" outlineLevel="0">
      <c r="D99" s="15"/>
      <c r="E99" s="16"/>
      <c r="F99" s="17"/>
      <c r="G99" s="18"/>
      <c r="H99" s="20"/>
      <c r="I99" s="20"/>
      <c r="J99" s="20"/>
      <c r="K99" s="20"/>
      <c r="L99" s="20"/>
      <c r="M99" s="20"/>
      <c r="N99" s="19"/>
    </row>
    <row r="100" ht="15" customHeight="1">
      <c r="D100" s="19"/>
      <c r="E100" s="19"/>
      <c r="F100" s="19"/>
      <c r="G100" s="19"/>
      <c r="H100" s="19"/>
      <c r="I100" s="19"/>
      <c r="J100" s="19"/>
      <c r="K100" s="19"/>
      <c r="L100" s="19"/>
      <c r="M100" s="19"/>
      <c r="N100" s="19"/>
    </row>
    <row r="101" ht="15" customHeight="1">
      <c r="D101" s="19"/>
      <c r="E101" s="19"/>
      <c r="F101" s="19"/>
      <c r="G101" s="19"/>
      <c r="H101" s="19"/>
      <c r="I101" s="19"/>
      <c r="J101" s="19"/>
      <c r="K101" s="19"/>
      <c r="L101" s="19"/>
      <c r="M101" s="19"/>
      <c r="N101" s="19"/>
    </row>
    <row r="102" ht="15" customHeight="1">
      <c r="D102" s="19"/>
      <c r="E102" s="19"/>
      <c r="F102" s="19"/>
      <c r="G102" s="19"/>
      <c r="H102" s="19"/>
      <c r="I102" s="19"/>
      <c r="J102" s="19"/>
      <c r="K102" s="19"/>
      <c r="L102" s="19"/>
      <c r="M102" s="19"/>
      <c r="N102" s="19"/>
    </row>
    <row r="103" ht="15" customHeight="1">
      <c r="D103" s="19"/>
      <c r="E103" s="19"/>
      <c r="F103" s="19"/>
      <c r="G103" s="19"/>
      <c r="H103" s="19"/>
      <c r="I103" s="19"/>
      <c r="J103" s="19"/>
      <c r="K103" s="19"/>
      <c r="L103" s="19"/>
      <c r="M103" s="19"/>
      <c r="N103" s="19"/>
    </row>
    <row r="104" ht="15" customHeight="1">
      <c r="D104" s="19"/>
      <c r="E104" s="19"/>
      <c r="F104" s="19"/>
      <c r="G104" s="19"/>
      <c r="H104" s="19"/>
      <c r="I104" s="19"/>
      <c r="J104" s="19"/>
      <c r="K104" s="19"/>
      <c r="L104" s="19"/>
      <c r="M104" s="19"/>
      <c r="N104" s="19"/>
    </row>
    <row r="105" ht="15" customHeight="1">
      <c r="D105" s="19"/>
      <c r="E105" s="19"/>
      <c r="F105" s="19"/>
      <c r="G105" s="19"/>
      <c r="H105" s="19"/>
      <c r="I105" s="19"/>
      <c r="J105" s="19"/>
      <c r="K105" s="19"/>
      <c r="L105" s="19"/>
      <c r="M105" s="19"/>
      <c r="N105" s="19"/>
    </row>
  </sheetData>
  <mergeCells>
    <mergeCell ref="G37:M37"/>
    <mergeCell ref="G21:M21"/>
    <mergeCell ref="G41:M41"/>
    <mergeCell ref="G50:M50"/>
    <mergeCell ref="G52:M52"/>
    <mergeCell ref="G22:M22"/>
    <mergeCell ref="G23:M23"/>
    <mergeCell ref="G31:M31"/>
    <mergeCell ref="G34:M34"/>
    <mergeCell ref="G35:M35"/>
    <mergeCell ref="G25:M25"/>
    <mergeCell ref="G27:M27"/>
    <mergeCell ref="G29:M29"/>
    <mergeCell ref="G30:M30"/>
    <mergeCell ref="G26:M26"/>
    <mergeCell ref="G28:M28"/>
    <mergeCell ref="G55:M55"/>
    <mergeCell ref="G56:M56"/>
    <mergeCell ref="G53:M53"/>
    <mergeCell ref="G61:M61"/>
    <mergeCell ref="G65:M65"/>
    <mergeCell ref="G64:M64"/>
    <mergeCell ref="D2:N4"/>
    <mergeCell ref="D5:N5"/>
    <mergeCell ref="G66:M66"/>
    <mergeCell ref="G62:M62"/>
    <mergeCell ref="G42:M42"/>
    <mergeCell ref="G44:M44"/>
    <mergeCell ref="G46:M46"/>
    <mergeCell ref="G39:M39"/>
    <mergeCell ref="G54:M54"/>
    <mergeCell ref="G57:M57"/>
    <mergeCell ref="G40:M40"/>
    <mergeCell ref="G38:M38"/>
    <mergeCell ref="G48:M48"/>
    <mergeCell ref="G49:M49"/>
    <mergeCell ref="G51:M51"/>
    <mergeCell ref="G24:M24"/>
    <mergeCell ref="G91:M91"/>
    <mergeCell ref="G89:M89"/>
    <mergeCell ref="G90:M90"/>
    <mergeCell ref="G88:M88"/>
    <mergeCell ref="G87:M87"/>
    <mergeCell ref="G97:M97"/>
    <mergeCell ref="G99:M99"/>
    <mergeCell ref="G92:M92"/>
    <mergeCell ref="G93:M93"/>
    <mergeCell ref="G94:M94"/>
    <mergeCell ref="G95:M95"/>
    <mergeCell ref="G96:M96"/>
    <mergeCell ref="G98:M98"/>
    <mergeCell ref="G86:M86"/>
    <mergeCell ref="G83:M83"/>
    <mergeCell ref="G59:M59"/>
    <mergeCell ref="G60:M60"/>
    <mergeCell ref="G63:M63"/>
    <mergeCell ref="G85:M85"/>
    <mergeCell ref="G78:M78"/>
    <mergeCell ref="G75:M75"/>
    <mergeCell ref="G76:M76"/>
    <mergeCell ref="G84:M84"/>
    <mergeCell ref="G74:M74"/>
    <mergeCell ref="G73:M73"/>
    <mergeCell ref="G70:M70"/>
    <mergeCell ref="G72:M72"/>
    <mergeCell ref="G77:M77"/>
    <mergeCell ref="G68:M68"/>
    <mergeCell ref="G71:M71"/>
    <mergeCell ref="G69:M69"/>
    <mergeCell ref="G82:M82"/>
    <mergeCell ref="G19:M19"/>
    <mergeCell ref="G80:M80"/>
    <mergeCell ref="G79:M79"/>
    <mergeCell ref="G81:M81"/>
    <mergeCell ref="G20:M20"/>
    <mergeCell ref="G36:M36"/>
    <mergeCell ref="G32:M32"/>
    <mergeCell ref="G33:M33"/>
    <mergeCell ref="G67:M67"/>
    <mergeCell ref="G47:M47"/>
    <mergeCell ref="G43:M43"/>
    <mergeCell ref="G45:M45"/>
    <mergeCell ref="G58:M58"/>
  </mergeCells>
  <conditionalFormatting sqref="D14:N14">
    <cfRule type="expression" dxfId="0" priority="1" text="null">
      <formula>RIGHT($I$14,2)="RC"</formula>
    </cfRule>
  </conditionalFormatting>
  <dataValidations count="2">
    <dataValidation allowBlank="1" error="Must select from the list." errorTitle="Invalid View Type" showErrorMessage="1" showInputMessage="1" sqref="C7"/>
    <dataValidation allowBlank="1" error="Must select from the list." errorTitle="Invalid View Type" showErrorMessage="1" showInputMessage="1" sqref="B7" type="list">
      <formula1>"Producer,Underwriter"</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extLst/>
</worksheet>
</file>

<file path=xl/worksheets/sheet3.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8F954197-73F2-1FAE-319B-02469C7FAACF}" mc:Ignorable="x14ac xr xr2 xr3">
  <sheetPr>
    <tabColor theme="8" tint="-0.5"/>
    <pageSetUpPr fitToPage="1"/>
  </sheetPr>
  <dimension ref="A1:BA92"/>
  <sheetViews>
    <sheetView showGridLines="0" topLeftCell="A35" workbookViewId="0">
      <selection activeCell="B64" sqref="B64"/>
    </sheetView>
  </sheetViews>
  <sheetFormatPr defaultRowHeight="15" defaultColWidth="8.8515625" customHeight="1"/>
  <cols>
    <col min="1" max="1" style="625" width="2.57421875" customWidth="1"/>
    <col min="2" max="2" style="625" width="23.57421875" customWidth="1"/>
    <col min="3" max="3" style="625" width="7.57421875" customWidth="1"/>
    <col min="4" max="5" style="625" width="13.57421875" customWidth="1"/>
    <col min="6" max="6" style="625" width="4.00390625" customWidth="1"/>
    <col min="7" max="7" style="625" width="2.57421875" customWidth="1"/>
    <col min="8" max="8" style="625" width="20.140625" customWidth="1"/>
    <col min="9" max="9" style="625" width="12.00390625" customWidth="1"/>
    <col min="10" max="10" style="625" width="18.57421875" customWidth="1"/>
    <col min="11" max="11" style="625" width="16.57421875" customWidth="1"/>
    <col min="12" max="12" style="625" width="11.57421875" customWidth="1"/>
    <col min="13" max="13" style="625" width="9.57421875" customWidth="1"/>
    <col min="14" max="14" style="626" width="13.7109375" customWidth="1"/>
    <col min="15" max="15" style="626" width="15.57421875" hidden="1" customWidth="1"/>
    <col min="16" max="16" style="626" width="10.00390625" hidden="1" customWidth="1"/>
    <col min="17" max="17" style="626" width="4.00390625" customWidth="1"/>
    <col min="18" max="18" style="626" width="7.7109375" customWidth="1"/>
    <col min="19" max="19" style="626" width="16.57421875" customWidth="1"/>
    <col min="20" max="20" style="626" width="4.140625" customWidth="1"/>
    <col min="21" max="21" style="626" width="9.57421875" customWidth="1"/>
    <col min="22" max="22" style="626" width="7.140625" customWidth="1"/>
    <col min="23" max="24" style="626" width="13.57421875" customWidth="1"/>
    <col min="25" max="25" style="626" width="13.7109375" customWidth="1"/>
    <col min="26" max="26" style="626" width="4.00390625" customWidth="1"/>
    <col min="27" max="27" style="626" width="34.28125" customWidth="1"/>
    <col min="28" max="28" style="626" width="10.57421875" customWidth="1"/>
    <col min="29" max="35" style="626" width="6.140625" customWidth="1"/>
    <col min="36" max="36" style="626" width="2.57421875" customWidth="1"/>
    <col min="37" max="37" style="625" width="42.140625" customWidth="1"/>
    <col min="38" max="38" style="625" width="9.28125" customWidth="1"/>
    <col min="39" max="39" style="625" width="9.8515625" customWidth="1"/>
    <col min="40" max="40" style="625" width="9.140625" customWidth="1"/>
    <col min="41" max="41" style="625" width="9.8515625" customWidth="1"/>
    <col min="42" max="42" style="625" width="9.140625" customWidth="1"/>
    <col min="43" max="43" style="625" width="9.8515625" customWidth="1"/>
    <col min="44" max="45" style="625" width="9.140625" customWidth="1"/>
    <col min="46" max="46" style="625" width="12.00390625" customWidth="1"/>
    <col min="47" max="47" style="625" width="4.00390625" customWidth="1"/>
    <col min="48" max="48" style="6" width="20.140625" customWidth="1"/>
    <col min="49" max="52" style="6" width="8.8515625" customWidth="1"/>
    <col min="53" max="53" style="6" width="11.7109375" customWidth="1"/>
  </cols>
  <sheetData>
    <row r="1" ht="18" customHeight="1">
      <c r="A1" s="22"/>
      <c r="B1" s="23" t="str">
        <f>"Version:  "&amp;EnodoConfig_Version&amp;"  ("&amp;_xlfn.IFERROR(TEXT(EnodoConfig_ReleaseDate,"m/d/yyyy"),EnodoConfig_ReleaseDate)&amp;")"&amp;IF(LEN(EnodoConfig_Token)&gt;2,"   (created with Enodo)","")</f>
        <v>Version:  5.35.2  (9/14/2023)   (created with Enodo)</v>
      </c>
      <c r="C1" s="24"/>
      <c r="D1" s="24"/>
      <c r="E1" s="24"/>
      <c r="F1" s="24"/>
      <c r="G1" s="24"/>
      <c r="H1" s="24"/>
      <c r="I1" s="24"/>
      <c r="J1" s="24"/>
      <c r="K1" s="24"/>
      <c r="L1" s="24"/>
      <c r="M1" s="24"/>
      <c r="N1" s="24"/>
      <c r="O1" s="22"/>
      <c r="P1" s="22"/>
      <c r="Q1" s="25"/>
      <c r="R1" s="22"/>
      <c r="S1" s="22"/>
      <c r="T1" s="22"/>
      <c r="U1" s="22"/>
      <c r="V1" s="26"/>
      <c r="W1" s="26"/>
      <c r="X1" s="26"/>
      <c r="Y1" s="26"/>
      <c r="Z1" s="26"/>
      <c r="AA1" s="26"/>
      <c r="AB1" s="26"/>
      <c r="AC1" s="26"/>
      <c r="AD1" s="26"/>
      <c r="AE1" s="26"/>
      <c r="AF1" s="26"/>
      <c r="AG1" s="26"/>
      <c r="AH1" s="27"/>
      <c r="AI1" s="27"/>
      <c r="AJ1" s="27"/>
      <c r="AK1" s="6"/>
      <c r="AL1" s="28"/>
      <c r="AM1" s="28"/>
      <c r="AN1" s="28"/>
      <c r="AO1" s="28"/>
      <c r="AP1" s="6"/>
      <c r="AQ1" s="6"/>
      <c r="AR1" s="6"/>
      <c r="AS1" s="6"/>
      <c r="AT1" s="6"/>
      <c r="AU1" s="6"/>
    </row>
    <row r="2" ht="15" customHeight="1">
      <c r="A2" s="22"/>
      <c r="B2" s="29" t="str">
        <f>IF(Setup_ViewType="Underwriter","Underwriter View","Producer View")</f>
        <v>Producer View</v>
      </c>
      <c r="D2" s="24"/>
      <c r="E2" s="24"/>
      <c r="F2" s="24"/>
      <c r="G2" s="24"/>
      <c r="H2" s="24"/>
      <c r="I2" s="24"/>
      <c r="J2" s="24"/>
      <c r="K2" s="24"/>
      <c r="L2" s="24"/>
      <c r="M2" s="24"/>
      <c r="N2" s="30">
        <f t="shared" si="0" ref="N2:N3">NOW()</f>
        <v>45201.47613517361</v>
      </c>
      <c r="O2" s="22"/>
      <c r="P2" s="22"/>
      <c r="Q2" s="30"/>
      <c r="R2" s="22"/>
      <c r="S2" s="31"/>
      <c r="T2" s="22"/>
      <c r="U2" s="22"/>
      <c r="V2" s="26"/>
      <c r="W2" s="26"/>
      <c r="X2" s="26"/>
      <c r="Y2" s="26"/>
      <c r="Z2" s="26"/>
      <c r="AA2" s="26"/>
      <c r="AB2" s="26"/>
      <c r="AC2" s="26"/>
      <c r="AD2" s="26"/>
      <c r="AE2" s="26"/>
      <c r="AF2" s="26"/>
      <c r="AG2" s="26"/>
      <c r="AH2" s="27"/>
      <c r="AI2" s="27"/>
      <c r="AJ2" s="27"/>
      <c r="AK2" s="6"/>
      <c r="AL2" s="32"/>
      <c r="AM2" s="32"/>
      <c r="AN2" s="6"/>
      <c r="AO2" s="33"/>
      <c r="AP2" s="6"/>
      <c r="AQ2" s="6"/>
      <c r="AR2" s="6"/>
      <c r="AS2" s="6"/>
      <c r="AT2" s="6"/>
      <c r="AU2" s="6"/>
    </row>
    <row r="3" ht="14.25" customHeight="1">
      <c r="A3" s="22"/>
      <c r="B3" s="24" t="s">
        <v>170</v>
      </c>
      <c r="C3" s="24"/>
      <c r="D3" s="24"/>
      <c r="E3" s="24"/>
      <c r="F3" s="24"/>
      <c r="G3" s="24"/>
      <c r="H3" s="24"/>
      <c r="I3" s="24"/>
      <c r="J3" s="24"/>
      <c r="K3" s="24"/>
      <c r="L3" s="24"/>
      <c r="M3" s="24"/>
      <c r="N3" s="34">
        <f t="shared" si="0"/>
        <v>45201.476135185185</v>
      </c>
      <c r="O3" s="22"/>
      <c r="P3" s="22"/>
      <c r="Q3" s="34"/>
      <c r="R3" s="22"/>
      <c r="S3" s="22"/>
      <c r="T3" s="22"/>
      <c r="U3" s="22"/>
      <c r="V3" s="26"/>
      <c r="W3" s="26"/>
      <c r="X3" s="26"/>
      <c r="Y3" s="26"/>
      <c r="Z3" s="26"/>
      <c r="AA3" s="26"/>
      <c r="AB3" s="26"/>
      <c r="AC3" s="26"/>
      <c r="AD3" s="26"/>
      <c r="AE3" s="26"/>
      <c r="AF3" s="26"/>
      <c r="AG3" s="26"/>
      <c r="AH3" s="27"/>
      <c r="AI3" s="27"/>
      <c r="AJ3" s="27"/>
      <c r="AK3" s="6"/>
      <c r="AL3" s="32"/>
      <c r="AM3" s="32"/>
      <c r="AN3" s="6"/>
      <c r="AO3" s="33"/>
      <c r="AP3" s="6"/>
      <c r="AQ3" s="6"/>
      <c r="AR3" s="6"/>
      <c r="AS3" s="6"/>
      <c r="AT3" s="6"/>
      <c r="AU3" s="6"/>
    </row>
    <row r="4" ht="12" customHeight="1" s="35" customFormat="1">
      <c r="A4" s="22"/>
      <c r="B4" s="36" t="str">
        <f>IF('SBL Quotes'!B53="Proprietary Capital","Proprietary Capital","Fannie Mae")&amp;" Option# "</f>
        <v>Fannie Mae Option# </v>
      </c>
      <c r="C4" s="37" t="str">
        <f>_xlfn.IFERROR(MATCH("Selected",IF(Loan_Program_Accepted="Proprietary Capital",'SBL Quotes'!$AA$23:$AH23,'SBL Quotes'!$R$23:$Y23),0),"Not selected")</f>
        <v>Not selected</v>
      </c>
      <c r="D4" s="22"/>
      <c r="E4" s="38"/>
      <c r="F4" s="22"/>
      <c r="G4" s="22"/>
      <c r="H4" s="38"/>
      <c r="I4" s="38"/>
      <c r="J4" s="22"/>
      <c r="K4" s="22"/>
      <c r="L4" s="38"/>
      <c r="M4" s="22"/>
      <c r="N4" s="22"/>
      <c r="O4" s="22"/>
      <c r="P4" s="38"/>
      <c r="Q4" s="22"/>
      <c r="R4" s="22"/>
      <c r="S4" s="22"/>
      <c r="T4" s="22"/>
      <c r="U4" s="22"/>
      <c r="V4" s="39"/>
      <c r="W4" s="39"/>
      <c r="X4" s="39"/>
      <c r="Y4" s="39"/>
      <c r="Z4" s="39"/>
      <c r="AA4" s="39"/>
      <c r="AB4" s="39"/>
      <c r="AC4" s="39"/>
      <c r="AD4" s="39"/>
      <c r="AE4" s="39"/>
      <c r="AF4" s="39"/>
      <c r="AG4" s="39"/>
      <c r="AH4" s="40"/>
      <c r="AI4" s="40"/>
      <c r="AJ4" s="40"/>
      <c r="AK4" s="41"/>
      <c r="AL4" s="32"/>
      <c r="AM4" s="32"/>
      <c r="AN4" s="41"/>
      <c r="AO4" s="33"/>
      <c r="AP4" s="41"/>
      <c r="AQ4" s="41"/>
      <c r="AR4" s="41"/>
      <c r="AS4" s="41"/>
      <c r="AT4" s="41"/>
      <c r="AU4" s="41"/>
      <c r="AV4" s="41"/>
      <c r="AW4" s="41"/>
      <c r="AX4" s="42" t="s">
        <v>173</v>
      </c>
      <c r="AY4" s="43" t="s">
        <v>174</v>
      </c>
      <c r="AZ4" s="41"/>
      <c r="BA4" s="41"/>
    </row>
    <row r="5" ht="12" customHeight="1" s="35" customFormat="1">
      <c r="A5" s="22"/>
      <c r="B5" s="38" t="s">
        <v>175</v>
      </c>
      <c r="C5" s="22"/>
      <c r="D5" s="22"/>
      <c r="E5" s="38"/>
      <c r="F5" s="22"/>
      <c r="G5" s="22"/>
      <c r="H5" s="22" t="s">
        <v>176</v>
      </c>
      <c r="I5" s="22"/>
      <c r="J5" s="44"/>
      <c r="K5" s="44" t="s">
        <v>177</v>
      </c>
      <c r="L5" s="22"/>
      <c r="M5" s="38"/>
      <c r="N5" s="45"/>
      <c r="O5" s="38" t="s">
        <v>178</v>
      </c>
      <c r="P5" s="38"/>
      <c r="Q5" s="38"/>
      <c r="R5" s="38" t="s">
        <v>179</v>
      </c>
      <c r="S5" s="38"/>
      <c r="T5" s="38"/>
      <c r="U5" s="38"/>
      <c r="V5" s="38"/>
      <c r="W5" s="38"/>
      <c r="X5" s="38"/>
      <c r="Y5" s="38"/>
      <c r="Z5" s="22" t="s">
        <v>180</v>
      </c>
      <c r="AA5" s="38" t="s">
        <v>181</v>
      </c>
      <c r="AB5" s="22"/>
      <c r="AC5" s="22"/>
      <c r="AD5" s="22"/>
      <c r="AE5" s="22"/>
      <c r="AF5" s="22"/>
      <c r="AG5" s="22"/>
      <c r="AH5" s="40"/>
      <c r="AI5" s="40"/>
      <c r="AJ5" s="40"/>
      <c r="AK5" s="41"/>
      <c r="AL5" s="32"/>
      <c r="AM5" s="32"/>
      <c r="AN5" s="41"/>
      <c r="AO5" s="33"/>
      <c r="AP5" s="41"/>
      <c r="AQ5" s="41"/>
      <c r="AR5" s="41"/>
      <c r="AS5" s="41"/>
      <c r="AT5" s="41"/>
      <c r="AU5" s="41"/>
      <c r="AV5" s="41"/>
      <c r="AW5" s="41"/>
      <c r="AX5" s="42" t="s">
        <v>182</v>
      </c>
      <c r="AY5" s="43" t="s">
        <v>174</v>
      </c>
      <c r="AZ5" s="41"/>
      <c r="BA5" s="46" t="s">
        <v>183</v>
      </c>
    </row>
    <row r="6" ht="12" customHeight="1" s="35" customFormat="1">
      <c r="A6" s="22" t="s">
        <v>184</v>
      </c>
      <c r="B6" s="47" t="s">
        <v>185</v>
      </c>
      <c r="C6" s="48"/>
      <c r="D6" s="49" t="s">
        <v>186</v>
      </c>
      <c r="E6" s="50"/>
      <c r="F6" s="22" t="s">
        <v>184</v>
      </c>
      <c r="G6" s="22"/>
      <c r="H6" s="51" t="s">
        <v>187</v>
      </c>
      <c r="I6" s="48"/>
      <c r="J6" s="52" t="str">
        <f>SBL_YearBuilt</f>
        <v>XXXX</v>
      </c>
      <c r="K6" s="53"/>
      <c r="L6" s="54" t="s">
        <v>189</v>
      </c>
      <c r="M6" s="55" t="s">
        <v>190</v>
      </c>
      <c r="N6" s="56" t="s">
        <v>191</v>
      </c>
      <c r="O6" s="57" t="s">
        <v>192</v>
      </c>
      <c r="P6" s="58" t="s">
        <v>191</v>
      </c>
      <c r="Q6" s="38" t="s">
        <v>184</v>
      </c>
      <c r="R6" s="59"/>
      <c r="S6" s="60"/>
      <c r="T6" s="61"/>
      <c r="U6" s="61"/>
      <c r="V6" s="61"/>
      <c r="W6" s="62" t="s">
        <v>193</v>
      </c>
      <c r="X6" s="63" t="s">
        <v>194</v>
      </c>
      <c r="Y6" s="63" t="s">
        <v>195</v>
      </c>
      <c r="Z6" s="22" t="s">
        <v>184</v>
      </c>
      <c r="AA6" s="64" t="s">
        <v>196</v>
      </c>
      <c r="AB6" s="65"/>
      <c r="AC6" s="39"/>
      <c r="AD6" s="66"/>
      <c r="AE6" s="66"/>
      <c r="AF6" s="66"/>
      <c r="AG6" s="66"/>
      <c r="AH6" s="40"/>
      <c r="AI6" s="40"/>
      <c r="AJ6" s="40"/>
      <c r="AK6" s="67" t="s">
        <v>197</v>
      </c>
      <c r="AL6" s="32"/>
      <c r="AM6" s="32"/>
      <c r="AN6" s="41"/>
      <c r="AO6" s="33"/>
      <c r="AP6" s="68"/>
      <c r="AQ6" s="68"/>
      <c r="AR6" s="68"/>
      <c r="AS6" s="68"/>
      <c r="AT6" s="68"/>
      <c r="AU6" s="68"/>
      <c r="AV6" s="41"/>
      <c r="AW6" s="41"/>
      <c r="AX6" s="41"/>
      <c r="AY6" s="41"/>
      <c r="AZ6" s="46" t="s">
        <v>198</v>
      </c>
      <c r="BA6" s="46" t="s">
        <v>199</v>
      </c>
    </row>
    <row r="7" ht="11.25" customHeight="1" s="35" customFormat="1">
      <c r="A7" s="22"/>
      <c r="B7" s="69" t="s">
        <v>200</v>
      </c>
      <c r="C7" s="70"/>
      <c r="D7" s="71" t="s">
        <v>188</v>
      </c>
      <c r="E7" s="72"/>
      <c r="F7" s="22"/>
      <c r="G7" s="22"/>
      <c r="H7" s="73" t="s">
        <v>201</v>
      </c>
      <c r="I7" s="74">
        <f>IF('SBL Quotes'!B33="MAH","MAH","")</f>
      </c>
      <c r="J7" s="75" t="str">
        <f>SBL_PropertyType</f>
        <v>Multifamily</v>
      </c>
      <c r="K7" s="76" t="s">
        <v>203</v>
      </c>
      <c r="L7" s="77">
        <f>'Unit Mix'!E165</f>
        <v>53</v>
      </c>
      <c r="M7" s="78">
        <f>'Unit Mix'!I165</f>
        <v>921.6415094339623</v>
      </c>
      <c r="N7" s="79">
        <f t="shared" si="1" ref="N7:N13">_xlfn.IFERROR(L7/TotalUnits,0)</f>
        <v>0.6235294117647059</v>
      </c>
      <c r="O7" s="80">
        <v>0</v>
      </c>
      <c r="P7" s="81">
        <f t="shared" si="2" ref="P7:P12">_xlfn.IFERROR(O7/TotalBeds,0)</f>
        <v>0</v>
      </c>
      <c r="Q7" s="45"/>
      <c r="R7" s="47" t="s">
        <v>204</v>
      </c>
      <c r="S7" s="57"/>
      <c r="T7" s="48"/>
      <c r="U7" s="48"/>
      <c r="V7" s="82"/>
      <c r="W7" s="83">
        <v>2</v>
      </c>
      <c r="X7" s="84">
        <v>2</v>
      </c>
      <c r="Y7" s="84">
        <v>2</v>
      </c>
      <c r="Z7" s="85"/>
      <c r="AA7" s="86" t="s">
        <v>205</v>
      </c>
      <c r="AB7" s="87">
        <f t="shared" si="3" ref="AB7:AB12">SOps_UnderwrittenNCF</f>
        <v>-1720952.21</v>
      </c>
      <c r="AC7" s="39"/>
      <c r="AD7" s="39"/>
      <c r="AE7" s="85"/>
      <c r="AF7" s="85"/>
      <c r="AG7" s="88"/>
      <c r="AH7" s="40"/>
      <c r="AI7" s="40"/>
      <c r="AJ7" s="40"/>
      <c r="AK7" s="68"/>
      <c r="AL7" s="68"/>
      <c r="AM7" s="68"/>
      <c r="AN7" s="68"/>
      <c r="AO7" s="68"/>
      <c r="AP7" s="68"/>
      <c r="AQ7" s="68"/>
      <c r="AR7" s="68"/>
      <c r="AS7" s="68"/>
      <c r="AT7" s="68"/>
      <c r="AU7" s="68"/>
      <c r="AV7" s="41"/>
      <c r="AW7" s="41"/>
      <c r="AX7" s="41"/>
      <c r="AY7" s="41"/>
      <c r="AZ7" s="46" t="s">
        <v>206</v>
      </c>
      <c r="BA7" s="46" t="s">
        <v>206</v>
      </c>
    </row>
    <row r="8" ht="11.25" customHeight="1" s="35" customFormat="1">
      <c r="A8" s="38"/>
      <c r="B8" s="69" t="s">
        <v>207</v>
      </c>
      <c r="C8" s="89"/>
      <c r="D8" s="71" t="s">
        <v>188</v>
      </c>
      <c r="E8" s="90"/>
      <c r="F8" s="22"/>
      <c r="G8" s="22"/>
      <c r="H8" s="73" t="s">
        <v>208</v>
      </c>
      <c r="I8" s="70"/>
      <c r="J8" s="91" t="str">
        <f>SBL_BuildingType</f>
        <v>Select</v>
      </c>
      <c r="K8" s="92" t="s">
        <v>210</v>
      </c>
      <c r="L8" s="77">
        <f>'Unit Mix'!E166</f>
        <v>32</v>
      </c>
      <c r="M8" s="78">
        <f>'Unit Mix'!I166</f>
        <v>704</v>
      </c>
      <c r="N8" s="79">
        <f t="shared" si="1"/>
        <v>0.3764705882352941</v>
      </c>
      <c r="O8" s="80">
        <v>0</v>
      </c>
      <c r="P8" s="81">
        <f t="shared" si="2"/>
        <v>0</v>
      </c>
      <c r="Q8" s="45"/>
      <c r="R8" s="69" t="s">
        <v>211</v>
      </c>
      <c r="S8" s="89"/>
      <c r="T8" s="70"/>
      <c r="U8" s="70"/>
      <c r="V8" s="93"/>
      <c r="W8" s="94">
        <v>10</v>
      </c>
      <c r="X8" s="95">
        <v>10</v>
      </c>
      <c r="Y8" s="95">
        <v>10</v>
      </c>
      <c r="Z8" s="85"/>
      <c r="AA8" s="86" t="s">
        <v>212</v>
      </c>
      <c r="AB8" s="87" t="e">
        <f>AB7/Requested_Floor_UW_DSCR</f>
        <v>#NAME?</v>
      </c>
      <c r="AC8" s="39"/>
      <c r="AD8" s="39"/>
      <c r="AE8" s="85"/>
      <c r="AF8" s="85"/>
      <c r="AG8" s="96"/>
      <c r="AH8" s="40"/>
      <c r="AI8" s="40"/>
      <c r="AJ8" s="40"/>
      <c r="AK8" s="97" t="s">
        <v>213</v>
      </c>
      <c r="AL8" s="68"/>
      <c r="AM8" s="68"/>
      <c r="AN8" s="68"/>
      <c r="AO8" s="68"/>
      <c r="AP8" s="97" t="s">
        <v>214</v>
      </c>
      <c r="AQ8" s="97"/>
      <c r="AR8" s="68"/>
      <c r="AS8" s="68"/>
      <c r="AT8" s="68"/>
      <c r="AU8" s="68"/>
      <c r="AV8" s="97" t="s">
        <v>215</v>
      </c>
      <c r="AX8" s="41"/>
      <c r="AY8" s="41"/>
      <c r="AZ8" s="98" t="s">
        <v>216</v>
      </c>
      <c r="BA8" s="46" t="s">
        <v>216</v>
      </c>
    </row>
    <row r="9" ht="11.25" customHeight="1" s="35" customFormat="1">
      <c r="A9" s="38"/>
      <c r="B9" s="69" t="s">
        <v>217</v>
      </c>
      <c r="C9" s="89"/>
      <c r="D9" s="71" t="s">
        <v>188</v>
      </c>
      <c r="E9" s="90"/>
      <c r="F9" s="22"/>
      <c r="G9" s="22"/>
      <c r="H9" s="73" t="s">
        <v>218</v>
      </c>
      <c r="I9" s="70"/>
      <c r="J9" s="99">
        <v>24</v>
      </c>
      <c r="K9" s="92" t="s">
        <v>219</v>
      </c>
      <c r="L9" s="77">
        <f>SUM('Unit Mix'!E167:E168)</f>
        <v>0</v>
      </c>
      <c r="M9" s="78">
        <f>_xlfn.IFERROR(SUM('Unit Mix'!H167:H168)/L9,0)</f>
        <v>0</v>
      </c>
      <c r="N9" s="79">
        <f t="shared" si="1"/>
        <v>0</v>
      </c>
      <c r="O9" s="80">
        <v>0</v>
      </c>
      <c r="P9" s="81">
        <f t="shared" si="2"/>
        <v>0</v>
      </c>
      <c r="Q9" s="45"/>
      <c r="R9" s="69" t="s">
        <v>220</v>
      </c>
      <c r="S9" s="89"/>
      <c r="T9" s="70"/>
      <c r="U9" s="70"/>
      <c r="V9" s="93"/>
      <c r="W9" s="94">
        <v>30</v>
      </c>
      <c r="X9" s="95">
        <v>30</v>
      </c>
      <c r="Y9" s="95">
        <v>30</v>
      </c>
      <c r="Z9" s="85"/>
      <c r="AA9" s="100" t="s">
        <v>221</v>
      </c>
      <c r="AB9" s="101" t="e">
        <f t="shared" si="6" ref="AB9:AB14">AB8-FirstDebtService_IfSupp-SecondDebtService_IfSupp-ThirdDebtService_IfSupp</f>
        <v>#NAME?</v>
      </c>
      <c r="AC9" s="39"/>
      <c r="AD9" s="39"/>
      <c r="AE9" s="85"/>
      <c r="AF9" s="85"/>
      <c r="AG9" s="96"/>
      <c r="AH9" s="40"/>
      <c r="AI9" s="40"/>
      <c r="AJ9" s="40"/>
      <c r="AK9" s="102" t="s">
        <v>222</v>
      </c>
      <c r="AL9" s="103"/>
      <c r="AM9" s="103"/>
      <c r="AN9" s="103"/>
      <c r="AO9" s="104"/>
      <c r="AP9" s="105"/>
      <c r="AQ9" s="103"/>
      <c r="AR9" s="103"/>
      <c r="AS9" s="103"/>
      <c r="AT9" s="104"/>
      <c r="AU9" s="68"/>
      <c r="AV9" s="106"/>
      <c r="AW9" s="107" t="s">
        <v>223</v>
      </c>
      <c r="AX9" s="108" t="s">
        <v>224</v>
      </c>
      <c r="AY9" s="109"/>
      <c r="AZ9" s="41"/>
      <c r="BA9" s="41"/>
    </row>
    <row r="10" ht="11.25" customHeight="1" s="35" customFormat="1">
      <c r="A10" s="22"/>
      <c r="B10" s="110" t="s">
        <v>225</v>
      </c>
      <c r="C10" s="111"/>
      <c r="D10" s="112" t="s">
        <v>188</v>
      </c>
      <c r="E10" s="113"/>
      <c r="F10" s="22"/>
      <c r="G10" s="22"/>
      <c r="H10" s="73" t="s">
        <v>226</v>
      </c>
      <c r="I10" s="70"/>
      <c r="J10" s="114">
        <v>0</v>
      </c>
      <c r="K10" s="92" t="s">
        <v>227</v>
      </c>
      <c r="L10" s="77">
        <f>SUM('Unit Mix'!E169:E170)</f>
        <v>0</v>
      </c>
      <c r="M10" s="78">
        <f>_xlfn.IFERROR(SUM('Unit Mix'!H169:H170)/L10,0)</f>
        <v>0</v>
      </c>
      <c r="N10" s="79">
        <f t="shared" si="1"/>
        <v>0</v>
      </c>
      <c r="O10" s="80">
        <v>0</v>
      </c>
      <c r="P10" s="81">
        <f t="shared" si="2"/>
        <v>0</v>
      </c>
      <c r="Q10" s="45"/>
      <c r="R10" s="69" t="s">
        <v>228</v>
      </c>
      <c r="S10" s="89"/>
      <c r="T10" s="70"/>
      <c r="U10" s="70"/>
      <c r="V10" s="93"/>
      <c r="W10" s="94">
        <v>2</v>
      </c>
      <c r="X10" s="95">
        <v>2</v>
      </c>
      <c r="Y10" s="95">
        <v>2</v>
      </c>
      <c r="Z10" s="85"/>
      <c r="AA10" s="115"/>
      <c r="AB10" s="116"/>
      <c r="AC10" s="39"/>
      <c r="AD10" s="39"/>
      <c r="AE10" s="85"/>
      <c r="AF10" s="85"/>
      <c r="AG10" s="39"/>
      <c r="AH10" s="40"/>
      <c r="AI10" s="40"/>
      <c r="AJ10" s="40"/>
      <c r="AK10" s="117" t="s">
        <v>229</v>
      </c>
      <c r="AL10" s="68"/>
      <c r="AM10" s="68"/>
      <c r="AN10" s="68"/>
      <c r="AO10" s="118" t="e">
        <f>LoanAmount</f>
        <v>#NAME?</v>
      </c>
      <c r="AP10" s="119" t="s">
        <v>230</v>
      </c>
      <c r="AQ10" s="68"/>
      <c r="AR10" s="68"/>
      <c r="AS10" s="68"/>
      <c r="AT10" s="120">
        <f>IF(_xlfn.IFERROR(FIND("Acquisition",$H$23),0)+_xlfn.IFERROR(FIND("Construction",$H$23),0)&gt;0,K25,0)</f>
        <v>0</v>
      </c>
      <c r="AU10" s="68"/>
      <c r="AV10" s="121"/>
      <c r="AW10" s="122" t="s">
        <v>231</v>
      </c>
      <c r="AX10" s="123" t="b">
        <v>1</v>
      </c>
      <c r="AY10" s="124"/>
      <c r="AZ10" s="41"/>
      <c r="BA10" s="41"/>
    </row>
    <row r="11" ht="11.25" customHeight="1" s="35" customFormat="1">
      <c r="A11" s="22"/>
      <c r="B11" s="38"/>
      <c r="C11" s="22"/>
      <c r="D11" s="22"/>
      <c r="E11" s="38"/>
      <c r="F11" s="22"/>
      <c r="G11" s="22"/>
      <c r="H11" s="73" t="s">
        <v>232</v>
      </c>
      <c r="I11" s="70"/>
      <c r="J11" s="125">
        <f>'Rent Roll'!$P$135</f>
        <v>84991</v>
      </c>
      <c r="K11" s="92" t="s">
        <v>233</v>
      </c>
      <c r="L11" s="77">
        <f>'Unit Mix'!E171</f>
        <v>0</v>
      </c>
      <c r="M11" s="78">
        <f>'Unit Mix'!I171</f>
        <v>0</v>
      </c>
      <c r="N11" s="79">
        <f t="shared" si="1"/>
        <v>0</v>
      </c>
      <c r="O11" s="80">
        <v>0</v>
      </c>
      <c r="P11" s="81">
        <f t="shared" si="2"/>
        <v>0</v>
      </c>
      <c r="Q11" s="38"/>
      <c r="R11" s="69" t="s">
        <v>234</v>
      </c>
      <c r="S11" s="89"/>
      <c r="T11" s="70"/>
      <c r="U11" s="70"/>
      <c r="V11" s="93"/>
      <c r="W11" s="126">
        <v>0</v>
      </c>
      <c r="X11" s="127">
        <v>0</v>
      </c>
      <c r="Y11" s="127">
        <v>0</v>
      </c>
      <c r="Z11" s="85"/>
      <c r="AA11" s="64" t="s">
        <v>235</v>
      </c>
      <c r="AB11" s="65"/>
      <c r="AC11" s="22"/>
      <c r="AD11" s="66"/>
      <c r="AE11" s="66"/>
      <c r="AF11" s="66"/>
      <c r="AG11" s="66"/>
      <c r="AH11" s="40"/>
      <c r="AI11" s="40"/>
      <c r="AJ11" s="40"/>
      <c r="AK11" s="128" t="s">
        <v>236</v>
      </c>
      <c r="AL11" s="129" t="s">
        <v>237</v>
      </c>
      <c r="AM11" s="68"/>
      <c r="AN11" s="68"/>
      <c r="AO11" s="130">
        <f>IF('SBL Quotes'!AN32="Supplemental",FirstUPB_IfSupp,0)+IF('SBL Quotes'!AN33="2nd Supplemental",SecondUPB_IfSupp,0)+IF('SBL Quotes'!AN34="3rd Supplemental",ThirdUPB_IfSupp,0)</f>
        <v>0</v>
      </c>
      <c r="AP11" s="119" t="s">
        <v>238</v>
      </c>
      <c r="AQ11" s="68"/>
      <c r="AR11" s="68"/>
      <c r="AS11" s="68"/>
      <c r="AT11" s="131">
        <f>'Engineering schedule'!D78</f>
        <v>0</v>
      </c>
      <c r="AU11" s="68"/>
      <c r="AV11" s="121"/>
      <c r="AW11" s="132">
        <v>1.2</v>
      </c>
      <c r="AX11" s="133">
        <v>319</v>
      </c>
      <c r="AY11" s="134">
        <f t="shared" si="4" ref="AY11:AY16">IF(TotalUnits=0,"-",ROUND(AX11/TotalUnits,4))</f>
        <v>3.7529</v>
      </c>
      <c r="AZ11" s="41"/>
      <c r="BA11" s="41"/>
    </row>
    <row r="12" ht="11.25" customHeight="1" s="35" customFormat="1">
      <c r="A12" s="22"/>
      <c r="B12" s="38" t="s">
        <v>239</v>
      </c>
      <c r="C12" s="22"/>
      <c r="D12" s="22"/>
      <c r="E12" s="38"/>
      <c r="F12" s="22"/>
      <c r="G12" s="22"/>
      <c r="H12" s="73" t="s">
        <v>240</v>
      </c>
      <c r="I12" s="70"/>
      <c r="J12" s="135">
        <v>0</v>
      </c>
      <c r="K12" s="76" t="s">
        <v>241</v>
      </c>
      <c r="L12" s="77">
        <f>'Unit Mix'!E172</f>
        <v>0</v>
      </c>
      <c r="M12" s="78">
        <f>'Unit Mix'!I172</f>
        <v>0</v>
      </c>
      <c r="N12" s="79">
        <f t="shared" si="1"/>
        <v>0</v>
      </c>
      <c r="O12" s="80">
        <v>0</v>
      </c>
      <c r="P12" s="81">
        <f t="shared" si="2"/>
        <v>0</v>
      </c>
      <c r="Q12" s="38"/>
      <c r="R12" s="69" t="s">
        <v>242</v>
      </c>
      <c r="S12" s="89"/>
      <c r="T12" s="89"/>
      <c r="U12" s="89"/>
      <c r="V12" s="93"/>
      <c r="W12" s="136">
        <f>_xlfn.IFERROR(FirstOrigLoan_IfSupp/TotalUnits,0)</f>
        <v>0</v>
      </c>
      <c r="X12" s="137">
        <f>_xlfn.IFERROR(SecondOrigLoan_IfSupp/TotalUnits,0)</f>
        <v>0</v>
      </c>
      <c r="Y12" s="137">
        <f>_xlfn.IFERROR(ThirdOrigLoan_IfSupp/TotalUnits,0)</f>
        <v>0</v>
      </c>
      <c r="Z12" s="85"/>
      <c r="AA12" s="86" t="s">
        <v>205</v>
      </c>
      <c r="AB12" s="87">
        <f t="shared" si="3"/>
        <v>-1720952.21</v>
      </c>
      <c r="AC12" s="22"/>
      <c r="AD12" s="39"/>
      <c r="AE12" s="85"/>
      <c r="AF12" s="85"/>
      <c r="AG12" s="88"/>
      <c r="AH12" s="40"/>
      <c r="AI12" s="40"/>
      <c r="AJ12" s="40"/>
      <c r="AK12" s="128"/>
      <c r="AL12" s="129"/>
      <c r="AM12" s="68"/>
      <c r="AN12" s="68"/>
      <c r="AO12" s="130"/>
      <c r="AP12" s="138" t="s">
        <v>243</v>
      </c>
      <c r="AQ12" s="68"/>
      <c r="AR12" s="68"/>
      <c r="AS12" s="68"/>
      <c r="AT12" s="120">
        <v>0</v>
      </c>
      <c r="AU12" s="68"/>
      <c r="AV12" s="121"/>
      <c r="AW12" s="132">
        <v>1</v>
      </c>
      <c r="AX12" s="133">
        <v>209</v>
      </c>
      <c r="AY12" s="134">
        <f t="shared" si="4"/>
        <v>2.4588</v>
      </c>
      <c r="AZ12" s="139" t="s">
        <v>244</v>
      </c>
      <c r="BA12" s="139" t="s">
        <v>244</v>
      </c>
    </row>
    <row r="13" ht="11.25" customHeight="1" s="35" customFormat="1">
      <c r="A13" s="22"/>
      <c r="B13" s="47" t="s">
        <v>245</v>
      </c>
      <c r="C13" s="48"/>
      <c r="D13" s="140" t="s">
        <v>188</v>
      </c>
      <c r="E13" s="141"/>
      <c r="F13" s="22"/>
      <c r="G13" s="22"/>
      <c r="H13" s="142" t="s">
        <v>246</v>
      </c>
      <c r="I13" s="143"/>
      <c r="J13" s="144">
        <f>_xlfn.IFERROR(J12/GBA,0)</f>
        <v>0</v>
      </c>
      <c r="K13" s="145"/>
      <c r="L13" s="146">
        <f t="shared" si="5" ref="L13:O13">SUM(L7:L12)</f>
        <v>85</v>
      </c>
      <c r="M13" s="147">
        <f>'Unit Mix'!I173</f>
        <v>839.7058823529412</v>
      </c>
      <c r="N13" s="79">
        <f t="shared" si="1"/>
        <v>1</v>
      </c>
      <c r="O13" s="148">
        <f t="shared" si="5"/>
        <v>0</v>
      </c>
      <c r="P13" s="149"/>
      <c r="Q13" s="38"/>
      <c r="R13" s="69" t="s">
        <v>247</v>
      </c>
      <c r="S13" s="89"/>
      <c r="T13" s="89"/>
      <c r="U13" s="70"/>
      <c r="V13" s="93"/>
      <c r="W13" s="126">
        <v>0</v>
      </c>
      <c r="X13" s="127">
        <v>0</v>
      </c>
      <c r="Y13" s="127">
        <v>0</v>
      </c>
      <c r="Z13" s="85"/>
      <c r="AA13" s="86" t="s">
        <v>212</v>
      </c>
      <c r="AB13" s="87" t="e">
        <f>AB12/Requested_Actual_UW_DSCR</f>
        <v>#NAME?</v>
      </c>
      <c r="AC13" s="22"/>
      <c r="AD13" s="39"/>
      <c r="AE13" s="85"/>
      <c r="AF13" s="85"/>
      <c r="AG13" s="96"/>
      <c r="AH13" s="40"/>
      <c r="AI13" s="40"/>
      <c r="AJ13" s="40"/>
      <c r="AK13" s="117"/>
      <c r="AL13" s="68"/>
      <c r="AM13" s="68"/>
      <c r="AN13" s="68"/>
      <c r="AO13" s="118"/>
      <c r="AP13" s="119"/>
      <c r="AQ13" s="68"/>
      <c r="AR13" s="68"/>
      <c r="AS13" s="68"/>
      <c r="AT13" s="150"/>
      <c r="AU13" s="68"/>
      <c r="AV13" s="121"/>
      <c r="AW13" s="132">
        <v>0.8</v>
      </c>
      <c r="AX13" s="133">
        <v>5</v>
      </c>
      <c r="AY13" s="134">
        <f t="shared" si="4"/>
        <v>0.0588</v>
      </c>
      <c r="AZ13" s="151" t="b">
        <f>AND(TotalUnits&gt;50,AY13&lt;&gt;"-",AY13&gt;=75%)</f>
        <v>0</v>
      </c>
      <c r="BA13" s="151" t="b">
        <f>AND(LEN(AMI_HighNeedsRural_Marker)&gt;0,AY13&lt;&gt;"-",AY13&gt;=50%)</f>
        <v>0</v>
      </c>
    </row>
    <row r="14" ht="11.25" customHeight="1" s="35" customFormat="1">
      <c r="A14" s="22"/>
      <c r="B14" s="110" t="s">
        <v>248</v>
      </c>
      <c r="C14" s="143"/>
      <c r="D14" s="152" t="s">
        <v>188</v>
      </c>
      <c r="E14" s="153"/>
      <c r="F14" s="22"/>
      <c r="G14" s="22"/>
      <c r="H14" s="41"/>
      <c r="I14" s="41"/>
      <c r="J14" s="41"/>
      <c r="K14" s="41"/>
      <c r="L14" s="41"/>
      <c r="M14" s="154"/>
      <c r="N14" s="154"/>
      <c r="O14" s="38"/>
      <c r="P14" s="38"/>
      <c r="Q14" s="38"/>
      <c r="R14" s="69" t="s">
        <v>249</v>
      </c>
      <c r="S14" s="89"/>
      <c r="T14" s="89"/>
      <c r="U14" s="89"/>
      <c r="V14" s="93"/>
      <c r="W14" s="136">
        <f>_xlfn.IFERROR(FirstUPB_IfSupp/TotalUnits,0)</f>
        <v>0</v>
      </c>
      <c r="X14" s="137">
        <f>_xlfn.IFERROR(SecondUPB_IfSupp/TotalUnits,0)</f>
        <v>0</v>
      </c>
      <c r="Y14" s="137">
        <f>_xlfn.IFERROR(ThirdUPB_IfSupp/TotalUnits,0)</f>
        <v>0</v>
      </c>
      <c r="Z14" s="85"/>
      <c r="AA14" s="100" t="s">
        <v>221</v>
      </c>
      <c r="AB14" s="101" t="e">
        <f t="shared" si="6"/>
        <v>#NAME?</v>
      </c>
      <c r="AC14" s="22"/>
      <c r="AD14" s="39"/>
      <c r="AE14" s="85"/>
      <c r="AF14" s="85"/>
      <c r="AG14" s="96"/>
      <c r="AH14" s="40"/>
      <c r="AI14" s="40"/>
      <c r="AJ14" s="40"/>
      <c r="AK14" s="117"/>
      <c r="AL14" s="97" t="s">
        <v>250</v>
      </c>
      <c r="AM14" s="68"/>
      <c r="AN14" s="68"/>
      <c r="AO14" s="155" t="e">
        <f>SUM(AO10:AO12)</f>
        <v>#NAME?</v>
      </c>
      <c r="AP14" s="156" t="s">
        <v>251</v>
      </c>
      <c r="AQ14" s="68"/>
      <c r="AR14" s="68"/>
      <c r="AS14" s="68"/>
      <c r="AT14" s="157">
        <v>0</v>
      </c>
      <c r="AU14" s="68"/>
      <c r="AV14" s="121"/>
      <c r="AW14" s="132">
        <v>0.6</v>
      </c>
      <c r="AX14" s="133">
        <v>1</v>
      </c>
      <c r="AY14" s="134">
        <f t="shared" si="4"/>
        <v>0.0118</v>
      </c>
      <c r="AZ14" s="158" t="s">
        <v>252</v>
      </c>
      <c r="BA14" s="159" t="s">
        <v>252</v>
      </c>
    </row>
    <row r="15" ht="11.25" customHeight="1" s="35" customFormat="1">
      <c r="A15" s="22"/>
      <c r="B15" s="38"/>
      <c r="C15" s="22"/>
      <c r="D15" s="22"/>
      <c r="E15" s="38"/>
      <c r="F15" s="22"/>
      <c r="G15" s="22"/>
      <c r="H15" s="160" t="s">
        <v>253</v>
      </c>
      <c r="I15" s="161"/>
      <c r="J15" s="162"/>
      <c r="K15" s="163"/>
      <c r="L15" s="164" t="s">
        <v>254</v>
      </c>
      <c r="M15" s="165"/>
      <c r="N15" s="165"/>
      <c r="O15" s="38"/>
      <c r="P15" s="38"/>
      <c r="Q15" s="38"/>
      <c r="R15" s="69" t="s">
        <v>255</v>
      </c>
      <c r="S15" s="89"/>
      <c r="T15" s="89"/>
      <c r="U15" s="70"/>
      <c r="V15" s="93"/>
      <c r="W15" s="166">
        <v>0</v>
      </c>
      <c r="X15" s="167">
        <v>0</v>
      </c>
      <c r="Y15" s="167">
        <v>0</v>
      </c>
      <c r="Z15" s="85"/>
      <c r="AA15" s="168"/>
      <c r="AB15" s="88"/>
      <c r="AC15" s="22"/>
      <c r="AD15" s="39"/>
      <c r="AE15" s="85"/>
      <c r="AF15" s="85"/>
      <c r="AG15" s="96"/>
      <c r="AH15" s="40"/>
      <c r="AI15" s="40"/>
      <c r="AJ15" s="40"/>
      <c r="AK15" s="169"/>
      <c r="AL15" s="68"/>
      <c r="AM15" s="68"/>
      <c r="AN15" s="68"/>
      <c r="AO15" s="118"/>
      <c r="AP15" s="119" t="s">
        <v>256</v>
      </c>
      <c r="AQ15" s="68"/>
      <c r="AR15" s="68"/>
      <c r="AS15" s="68"/>
      <c r="AT15" s="170" t="e">
        <f>AO33-AO17-AO18-AO27-AO28</f>
        <v>#NAME?</v>
      </c>
      <c r="AU15" s="68"/>
      <c r="AV15" s="121"/>
      <c r="AW15" s="132">
        <v>0.5</v>
      </c>
      <c r="AX15" s="133">
        <v>1</v>
      </c>
      <c r="AY15" s="134">
        <f t="shared" si="4"/>
        <v>0.0118</v>
      </c>
      <c r="AZ15" s="171" t="b">
        <f>AND(TotalUnits&gt;=5,TotalUnits&lt;=50,AY13&lt;&gt;"-",AY13&gt;=50%)</f>
        <v>0</v>
      </c>
      <c r="BA15" s="159" t="s">
        <v>257</v>
      </c>
    </row>
    <row r="16" ht="11.25" customHeight="1" s="35" customFormat="1">
      <c r="A16" s="22"/>
      <c r="B16" s="38" t="s">
        <v>258</v>
      </c>
      <c r="C16" s="22"/>
      <c r="D16" s="22"/>
      <c r="E16" s="38"/>
      <c r="F16" s="22"/>
      <c r="G16" s="22"/>
      <c r="H16" s="172" t="s">
        <v>259</v>
      </c>
      <c r="I16" s="57"/>
      <c r="J16" s="57"/>
      <c r="K16" s="173" t="str">
        <f>IF(LEN(AMI_CostBurden),AMI_CostBurden,"-")</f>
        <v>-</v>
      </c>
      <c r="L16" s="174">
        <v>0</v>
      </c>
      <c r="M16" s="57" t="s">
        <v>261</v>
      </c>
      <c r="N16" s="175"/>
      <c r="O16" s="38"/>
      <c r="P16" s="38"/>
      <c r="Q16" s="38"/>
      <c r="R16" s="110" t="s">
        <v>262</v>
      </c>
      <c r="S16" s="111"/>
      <c r="T16" s="111"/>
      <c r="U16" s="111"/>
      <c r="V16" s="176"/>
      <c r="W16" s="177">
        <f>IF(FirstRate_IfSupp&gt;0,(PMT(FirstRate_IfSupp/12,FirstAmort_IfSupp*12,-1))*12,0)</f>
        <v>0</v>
      </c>
      <c r="X16" s="178">
        <f>IF(SecondRate_IfSupp&gt;0,(PMT(SecondRate_IfSupp/12,SecondAmort_IfSupp*12,-1))*12,0)</f>
        <v>0</v>
      </c>
      <c r="Y16" s="178">
        <f>IF(ThirdRate_IfSupp&gt;0,(PMT(ThirdRate_IfSupp/12,ThirdAmort_IfSupp*12,-1))*12,0)</f>
        <v>0</v>
      </c>
      <c r="Z16" s="85"/>
      <c r="AA16" s="168"/>
      <c r="AB16" s="85"/>
      <c r="AC16" s="85"/>
      <c r="AD16" s="39"/>
      <c r="AE16" s="39"/>
      <c r="AF16" s="39"/>
      <c r="AG16" s="39"/>
      <c r="AH16" s="40"/>
      <c r="AI16" s="40"/>
      <c r="AJ16" s="40"/>
      <c r="AK16" s="169" t="s">
        <v>263</v>
      </c>
      <c r="AL16" s="68"/>
      <c r="AM16" s="68"/>
      <c r="AN16" s="68"/>
      <c r="AO16" s="118"/>
      <c r="AP16" s="179" t="s">
        <v>264</v>
      </c>
      <c r="AQ16" s="68"/>
      <c r="AR16" s="68"/>
      <c r="AS16" s="68"/>
      <c r="AT16" s="170">
        <f>AO18</f>
        <v>0</v>
      </c>
      <c r="AU16" s="68"/>
      <c r="AV16" s="121"/>
      <c r="AW16" s="180">
        <v>0.4</v>
      </c>
      <c r="AX16" s="181">
        <v>1</v>
      </c>
      <c r="AY16" s="182">
        <f t="shared" si="4"/>
        <v>0.0118</v>
      </c>
      <c r="AZ16" s="41"/>
      <c r="BA16" s="41"/>
    </row>
    <row r="17" ht="11.25" customHeight="1" s="35" customFormat="1">
      <c r="A17" s="38"/>
      <c r="B17" s="47" t="s">
        <v>265</v>
      </c>
      <c r="C17" s="57"/>
      <c r="D17" s="183" t="str">
        <f>property_name</f>
        <v>XXXX</v>
      </c>
      <c r="E17" s="184"/>
      <c r="F17" s="22"/>
      <c r="G17" s="22"/>
      <c r="H17" s="185" t="s">
        <v>266</v>
      </c>
      <c r="I17" s="89"/>
      <c r="J17" s="89"/>
      <c r="K17" s="186" t="str">
        <f>IF(AMI_IsRural,"Is Rural","-")</f>
        <v>-</v>
      </c>
      <c r="L17" s="187">
        <v>0</v>
      </c>
      <c r="M17" s="89" t="s">
        <v>261</v>
      </c>
      <c r="N17" s="188"/>
      <c r="O17" s="38"/>
      <c r="P17" s="38"/>
      <c r="Q17" s="38"/>
      <c r="R17" s="110" t="s">
        <v>267</v>
      </c>
      <c r="S17" s="111"/>
      <c r="T17" s="111"/>
      <c r="U17" s="189" t="s">
        <v>268</v>
      </c>
      <c r="V17" s="190" t="s">
        <v>269</v>
      </c>
      <c r="W17" s="191">
        <f>IF($V$17="Yes",FirstOrigLoan_IfSupp*FirstConstant_IfSupp,FirstOrigLoan_IfSupp*FirstRate_IfSupp)</f>
        <v>0</v>
      </c>
      <c r="X17" s="192">
        <f>IF($V$17="Yes",SecondOrigLoan_IfSupp*SecondConstant_IfSupp,SecondOrigLoan_IfSupp*SecondRate_IfSupp)</f>
        <v>0</v>
      </c>
      <c r="Y17" s="192">
        <f>IF($V$17="Yes",ThirdOrigLoan_IfSupp*ThirdConstant_IfSupp,ThirdOrigLoan_IfSupp*ThirdRate_IfSupp)</f>
        <v>0</v>
      </c>
      <c r="Z17" s="85"/>
      <c r="AA17" s="168"/>
      <c r="AB17" s="85"/>
      <c r="AC17" s="85"/>
      <c r="AD17" s="39"/>
      <c r="AE17" s="39"/>
      <c r="AF17" s="39"/>
      <c r="AG17" s="39"/>
      <c r="AH17" s="40"/>
      <c r="AI17" s="40"/>
      <c r="AJ17" s="40"/>
      <c r="AK17" s="117" t="str">
        <f>IF('Data Page'!H23="If Acquisition (within 1 year)","Purchase Price","Existing UPB")</f>
        <v>Existing UPB</v>
      </c>
      <c r="AL17" s="68"/>
      <c r="AM17" s="68"/>
      <c r="AN17" s="68"/>
      <c r="AO17" s="118">
        <f>IF(OR('Data Page'!H23="If Acquisition (within 1 year)",'Data Page'!H23="If Refinance"),'Data Page'!K25,0)</f>
        <v>0</v>
      </c>
      <c r="AP17" s="119" t="s">
        <v>271</v>
      </c>
      <c r="AQ17" s="68"/>
      <c r="AR17" s="68"/>
      <c r="AS17" s="68"/>
      <c r="AT17" s="118" t="e">
        <f>SUM(AT10:AT16)</f>
        <v>#NAME?</v>
      </c>
      <c r="AU17" s="68"/>
      <c r="AV17" s="121"/>
      <c r="AW17" s="193"/>
      <c r="AX17" s="194" t="s">
        <v>272</v>
      </c>
      <c r="AY17" s="195" t="b">
        <f>EXACT(_xlfn.CONCAT(DataPage_AMI_Percentages),_xlfn.CONCAT(AMI_PercentagesFromServer))</f>
        <v>0</v>
      </c>
      <c r="AZ17" s="41"/>
      <c r="BA17" s="41"/>
    </row>
    <row r="18" ht="12" customHeight="1" s="35" customFormat="1">
      <c r="A18" s="22"/>
      <c r="B18" s="69" t="s">
        <v>273</v>
      </c>
      <c r="C18" s="196" t="str">
        <f>HYPERLINK("https://maps.google.com/maps?q="&amp;Address_DataPageTab,"Map")</f>
        <v>Map</v>
      </c>
      <c r="D18" s="197">
        <f>address</f>
      </c>
      <c r="E18" s="198"/>
      <c r="F18" s="22"/>
      <c r="G18" s="22"/>
      <c r="H18" s="185" t="s">
        <v>275</v>
      </c>
      <c r="I18" s="89"/>
      <c r="J18" s="89"/>
      <c r="K18" s="199"/>
      <c r="L18" s="187">
        <v>0</v>
      </c>
      <c r="M18" s="89" t="s">
        <v>261</v>
      </c>
      <c r="N18" s="188"/>
      <c r="O18" s="38"/>
      <c r="P18" s="38"/>
      <c r="Q18" s="38"/>
      <c r="R18" s="200"/>
      <c r="S18" s="38"/>
      <c r="T18" s="38"/>
      <c r="U18" s="38"/>
      <c r="V18" s="22"/>
      <c r="W18" s="201"/>
      <c r="X18" s="201"/>
      <c r="Y18" s="202"/>
      <c r="Z18" s="85"/>
      <c r="AA18" s="39"/>
      <c r="AB18" s="85"/>
      <c r="AC18" s="85"/>
      <c r="AD18" s="39"/>
      <c r="AE18" s="39"/>
      <c r="AF18" s="39"/>
      <c r="AG18" s="39"/>
      <c r="AH18" s="40"/>
      <c r="AI18" s="40"/>
      <c r="AJ18" s="40"/>
      <c r="AK18" s="117" t="s">
        <v>276</v>
      </c>
      <c r="AL18" s="68"/>
      <c r="AM18" s="68"/>
      <c r="AN18" s="68"/>
      <c r="AO18" s="118">
        <f>IF('Data Page'!H23="If Refinance",'Data Page'!K28,0)</f>
        <v>0</v>
      </c>
      <c r="AP18" s="203" t="s">
        <v>277</v>
      </c>
      <c r="AQ18" s="129"/>
      <c r="AR18" s="68"/>
      <c r="AS18" s="68"/>
      <c r="AT18" s="170">
        <f>IF('SBL Quotes'!$AN$32="Supplemental",FirstUPB_IfSupp+SecondUPB_IfSupp+ThirdUPB_IfSupp,0)</f>
        <v>0</v>
      </c>
      <c r="AU18" s="68"/>
      <c r="AV18" s="121"/>
      <c r="AW18" s="204" t="s">
        <v>278</v>
      </c>
      <c r="AX18" s="205"/>
      <c r="AY18" s="206"/>
      <c r="AZ18" s="41"/>
      <c r="BA18" s="41"/>
    </row>
    <row r="19" ht="11.25" customHeight="1" s="35" customFormat="1">
      <c r="A19" s="22"/>
      <c r="B19" s="69" t="s">
        <v>279</v>
      </c>
      <c r="C19" s="207">
        <f>_xlfn.IFERROR(FIND(",",SblQuotes_CityState),1000)</f>
        <v>5</v>
      </c>
      <c r="D19" s="197" t="str">
        <f>LEFT(SblQuotes_CityState,C19-1)</f>
        <v>City</v>
      </c>
      <c r="E19" s="208"/>
      <c r="F19" s="22"/>
      <c r="G19" s="22"/>
      <c r="H19" s="185" t="s">
        <v>280</v>
      </c>
      <c r="I19" s="89"/>
      <c r="J19" s="209"/>
      <c r="K19" s="210"/>
      <c r="L19" s="187">
        <v>0</v>
      </c>
      <c r="M19" s="89" t="s">
        <v>261</v>
      </c>
      <c r="N19" s="211"/>
      <c r="O19" s="38"/>
      <c r="P19" s="38"/>
      <c r="Q19" s="38"/>
      <c r="R19" s="200"/>
      <c r="S19" s="38"/>
      <c r="T19" s="22"/>
      <c r="U19" s="22"/>
      <c r="V19" s="22"/>
      <c r="W19" s="212"/>
      <c r="X19" s="212"/>
      <c r="Y19" s="213"/>
      <c r="Z19" s="85"/>
      <c r="AA19" s="39"/>
      <c r="AB19" s="85"/>
      <c r="AC19" s="85"/>
      <c r="AD19" s="39"/>
      <c r="AE19" s="39"/>
      <c r="AF19" s="39"/>
      <c r="AG19" s="39"/>
      <c r="AH19" s="40"/>
      <c r="AI19" s="40"/>
      <c r="AJ19" s="40"/>
      <c r="AK19" s="117"/>
      <c r="AL19" s="68"/>
      <c r="AM19" s="68"/>
      <c r="AN19" s="68"/>
      <c r="AO19" s="118"/>
      <c r="AP19" s="179" t="s">
        <v>281</v>
      </c>
      <c r="AQ19" s="68"/>
      <c r="AR19" s="68"/>
      <c r="AS19" s="68"/>
      <c r="AT19" s="118" t="e">
        <f>IF('SBL Quotes'!AN35="Assumption",0,AO10)</f>
        <v>#NAME?</v>
      </c>
      <c r="AU19" s="68"/>
      <c r="AV19" s="121"/>
      <c r="AW19" s="214" t="s">
        <v>282</v>
      </c>
      <c r="AX19" s="215" t="b">
        <v>0</v>
      </c>
      <c r="AY19" s="216"/>
      <c r="AZ19" s="41"/>
      <c r="BA19" s="41"/>
    </row>
    <row r="20" ht="11.25" customHeight="1" s="35" customFormat="1">
      <c r="A20" s="22"/>
      <c r="B20" s="69" t="s">
        <v>283</v>
      </c>
      <c r="C20" s="70"/>
      <c r="D20" s="217" t="str">
        <f>IF(LEN(SblQuotes_County)=0,"",SblQuotes_County)</f>
        <v>County not found</v>
      </c>
      <c r="E20" s="218"/>
      <c r="F20" s="22"/>
      <c r="G20" s="22"/>
      <c r="H20" s="69" t="s">
        <v>285</v>
      </c>
      <c r="I20" s="89"/>
      <c r="J20" s="219"/>
      <c r="K20" s="210"/>
      <c r="L20" s="220">
        <v>0</v>
      </c>
      <c r="M20" s="89" t="s">
        <v>261</v>
      </c>
      <c r="N20" s="221"/>
      <c r="O20" s="38"/>
      <c r="P20" s="38"/>
      <c r="Q20" s="38"/>
      <c r="R20" s="222" t="s">
        <v>286</v>
      </c>
      <c r="S20" s="160"/>
      <c r="T20" s="223"/>
      <c r="U20" s="223"/>
      <c r="V20" s="223"/>
      <c r="W20" s="224" t="s">
        <v>193</v>
      </c>
      <c r="X20" s="225" t="s">
        <v>194</v>
      </c>
      <c r="Y20" s="226" t="s">
        <v>195</v>
      </c>
      <c r="Z20" s="39"/>
      <c r="AA20" s="39"/>
      <c r="AB20" s="85"/>
      <c r="AC20" s="85"/>
      <c r="AD20" s="39"/>
      <c r="AE20" s="39"/>
      <c r="AF20" s="39"/>
      <c r="AG20" s="39"/>
      <c r="AH20" s="40"/>
      <c r="AI20" s="40"/>
      <c r="AJ20" s="40"/>
      <c r="AK20" s="117"/>
      <c r="AL20" s="68"/>
      <c r="AM20" s="68"/>
      <c r="AN20" s="68"/>
      <c r="AO20" s="118"/>
      <c r="AP20" s="119" t="s">
        <v>287</v>
      </c>
      <c r="AQ20" s="68"/>
      <c r="AR20" s="68"/>
      <c r="AS20" s="68"/>
      <c r="AT20" s="118" t="e">
        <f>AT17-AT18-AT19</f>
        <v>#NAME?</v>
      </c>
      <c r="AU20" s="68"/>
      <c r="AV20" s="227"/>
      <c r="AW20" s="228" t="s">
        <v>288</v>
      </c>
      <c r="AX20" s="229"/>
      <c r="AY20" s="230"/>
      <c r="AZ20" s="41"/>
      <c r="BA20" s="41"/>
    </row>
    <row r="21" ht="11.25" customHeight="1" s="35" customFormat="1">
      <c r="A21" s="22"/>
      <c r="B21" s="69" t="s">
        <v>289</v>
      </c>
      <c r="C21" s="70"/>
      <c r="D21" s="231" t="str">
        <f>MID(SblQuotes_CityState,C19+2,2)</f>
        <v>XX</v>
      </c>
      <c r="E21" s="218"/>
      <c r="F21" s="22"/>
      <c r="G21" s="22"/>
      <c r="H21" s="110" t="s">
        <v>291</v>
      </c>
      <c r="I21" s="111"/>
      <c r="J21" s="232"/>
      <c r="K21" s="233"/>
      <c r="L21" s="234">
        <f>'SBL Quotes'!AN16</f>
        <v>0</v>
      </c>
      <c r="M21" s="235" t="s">
        <v>261</v>
      </c>
      <c r="N21" s="236"/>
      <c r="O21" s="45"/>
      <c r="P21" s="45"/>
      <c r="Q21" s="45"/>
      <c r="R21" s="59" t="s">
        <v>292</v>
      </c>
      <c r="S21" s="60"/>
      <c r="T21" s="60"/>
      <c r="U21" s="60"/>
      <c r="V21" s="237"/>
      <c r="W21" s="238" t="s">
        <v>293</v>
      </c>
      <c r="X21" s="238" t="s">
        <v>294</v>
      </c>
      <c r="Y21" s="238" t="s">
        <v>294</v>
      </c>
      <c r="Z21" s="39"/>
      <c r="AA21" s="39"/>
      <c r="AB21" s="39"/>
      <c r="AC21" s="85"/>
      <c r="AD21" s="39"/>
      <c r="AE21" s="39"/>
      <c r="AF21" s="39"/>
      <c r="AG21" s="39"/>
      <c r="AH21" s="40"/>
      <c r="AI21" s="40"/>
      <c r="AJ21" s="40"/>
      <c r="AK21" s="117" t="s">
        <v>295</v>
      </c>
      <c r="AL21" s="68"/>
      <c r="AM21" s="239">
        <f>OriginationPerc_Lender</f>
        <v>0.01</v>
      </c>
      <c r="AN21" s="68"/>
      <c r="AO21" s="118" t="e">
        <f>OriginationFee_Lender</f>
        <v>#NAME?</v>
      </c>
      <c r="AP21" s="240" t="s">
        <v>296</v>
      </c>
      <c r="AQ21" s="241"/>
      <c r="AR21" s="241"/>
      <c r="AS21" s="241"/>
      <c r="AT21" s="242" t="e">
        <f>AT20/AT17</f>
        <v>#NAME?</v>
      </c>
      <c r="AU21" s="68"/>
      <c r="AV21" s="193"/>
      <c r="AW21" s="243" t="s">
        <v>297</v>
      </c>
      <c r="AX21" s="244"/>
      <c r="AY21" s="195"/>
      <c r="AZ21" s="41"/>
      <c r="BA21" s="41"/>
    </row>
    <row r="22" ht="11.25" customHeight="1" s="35" customFormat="1">
      <c r="A22" s="22"/>
      <c r="B22" s="69" t="s">
        <v>298</v>
      </c>
      <c r="C22" s="70"/>
      <c r="D22" s="245" t="str">
        <f>SBL_ZipCode</f>
        <v>XXXXX</v>
      </c>
      <c r="E22" s="246"/>
      <c r="F22" s="22"/>
      <c r="G22" s="22"/>
      <c r="H22" s="41"/>
      <c r="I22" s="41"/>
      <c r="J22" s="22">
        <f>IF(H23="If Refinance","",IF(H23="If Construction","Date of Construction","Date of Acquisition"))</f>
      </c>
      <c r="K22" s="224" t="s">
        <v>300</v>
      </c>
      <c r="L22" s="44"/>
      <c r="M22" s="38"/>
      <c r="N22" s="38"/>
      <c r="O22" s="45"/>
      <c r="P22" s="45"/>
      <c r="Q22" s="45"/>
      <c r="R22" s="59" t="s">
        <v>301</v>
      </c>
      <c r="S22" s="60"/>
      <c r="T22" s="60"/>
      <c r="U22" s="60"/>
      <c r="V22" s="237"/>
      <c r="W22" s="247" t="s">
        <v>269</v>
      </c>
      <c r="X22" s="248" t="s">
        <v>269</v>
      </c>
      <c r="Y22" s="249" t="s">
        <v>269</v>
      </c>
      <c r="Z22" s="39"/>
      <c r="AA22" s="39"/>
      <c r="AB22" s="39"/>
      <c r="AC22" s="39"/>
      <c r="AD22" s="39"/>
      <c r="AE22" s="39"/>
      <c r="AF22" s="39"/>
      <c r="AG22" s="39"/>
      <c r="AH22" s="40"/>
      <c r="AI22" s="40"/>
      <c r="AJ22" s="40"/>
      <c r="AK22" s="117" t="s">
        <v>302</v>
      </c>
      <c r="AL22" s="68"/>
      <c r="AM22" s="239">
        <f>OriginationPerc_Broker</f>
        <v>0.01</v>
      </c>
      <c r="AN22" s="68"/>
      <c r="AO22" s="118" t="e">
        <f>OriginationFee_Broker</f>
        <v>#NAME?</v>
      </c>
      <c r="AP22" s="117"/>
      <c r="AQ22" s="68"/>
      <c r="AR22" s="68"/>
      <c r="AS22" s="68"/>
      <c r="AT22" s="68"/>
      <c r="AU22" s="68"/>
      <c r="AV22" s="250"/>
      <c r="AW22" s="251" t="s">
        <v>303</v>
      </c>
      <c r="AX22" s="215">
        <v>5</v>
      </c>
      <c r="AY22" s="216" t="s">
        <v>304</v>
      </c>
      <c r="AZ22" s="41"/>
      <c r="BA22" s="41"/>
    </row>
    <row r="23" ht="11.25" customHeight="1" s="35" customFormat="1">
      <c r="A23" s="22"/>
      <c r="B23" s="252" t="str">
        <f>SBL_MSA_Type</f>
        <v>Requires Manual Lookup</v>
      </c>
      <c r="C23" s="143"/>
      <c r="D23" s="253">
        <f>MSA</f>
      </c>
      <c r="E23" s="254"/>
      <c r="F23" s="22"/>
      <c r="G23" s="22"/>
      <c r="H23" s="255" t="str">
        <f>IF(SBL_DealPurpose="Refinance","If Refinance","If Acquisition (within 1 year)")</f>
        <v>If Refinance</v>
      </c>
      <c r="I23" s="255"/>
      <c r="J23" s="41"/>
      <c r="K23" s="41"/>
      <c r="L23" s="41"/>
      <c r="M23" s="154"/>
      <c r="N23" s="154"/>
      <c r="O23" s="154"/>
      <c r="P23" s="154"/>
      <c r="Q23" s="45"/>
      <c r="R23" s="200" t="s">
        <v>307</v>
      </c>
      <c r="S23" s="38"/>
      <c r="T23" s="22"/>
      <c r="U23" s="22"/>
      <c r="V23" s="256"/>
      <c r="W23" s="257">
        <f t="shared" si="7" ref="W23:Y23">EOMONTH(EDATE(W24,-W8*12),0)+1</f>
        <v>40634</v>
      </c>
      <c r="X23" s="257">
        <f t="shared" si="7"/>
        <v>41000</v>
      </c>
      <c r="Y23" s="257">
        <f t="shared" si="7"/>
        <v>41365</v>
      </c>
      <c r="Z23" s="39"/>
      <c r="AA23" s="39"/>
      <c r="AB23" s="39"/>
      <c r="AC23" s="39"/>
      <c r="AD23" s="39"/>
      <c r="AE23" s="39"/>
      <c r="AF23" s="39"/>
      <c r="AG23" s="39"/>
      <c r="AH23" s="40"/>
      <c r="AI23" s="40"/>
      <c r="AJ23" s="40"/>
      <c r="AK23" s="128" t="s">
        <v>308</v>
      </c>
      <c r="AL23" s="68"/>
      <c r="AM23" s="68"/>
      <c r="AN23" s="68"/>
      <c r="AO23" s="157">
        <v>18000</v>
      </c>
      <c r="AP23" s="258" t="s">
        <v>309</v>
      </c>
      <c r="AQ23" s="97"/>
      <c r="AR23" s="97"/>
      <c r="AS23" s="97"/>
      <c r="AT23" s="97"/>
      <c r="AU23" s="68"/>
      <c r="AV23" s="250"/>
      <c r="AW23" s="251" t="s">
        <v>310</v>
      </c>
      <c r="AX23" s="215">
        <v>5</v>
      </c>
      <c r="AY23" s="216" t="s">
        <v>304</v>
      </c>
      <c r="AZ23" s="41"/>
      <c r="BA23" s="41"/>
    </row>
    <row r="24" ht="11.25" customHeight="1" s="35" customFormat="1">
      <c r="A24" s="22"/>
      <c r="B24" s="38"/>
      <c r="C24" s="22"/>
      <c r="D24" s="22"/>
      <c r="E24" s="38"/>
      <c r="F24" s="22"/>
      <c r="G24" s="22"/>
      <c r="H24" s="259" t="str">
        <f>IF(H23="If Refinance","Expected Closing of Refinance","Date of "&amp;IF(H23="If Construction","Construction","Acquisition")&amp;" (if within 5 years)")</f>
        <v>Expected Closing of Refinance</v>
      </c>
      <c r="I24" s="48"/>
      <c r="J24" s="260" t="s">
        <v>312</v>
      </c>
      <c r="K24" s="261">
        <f>'SBL Quotes'!AK31</f>
        <v>45292</v>
      </c>
      <c r="L24" s="262"/>
      <c r="M24" s="57"/>
      <c r="N24" s="263"/>
      <c r="O24" s="57"/>
      <c r="P24" s="263"/>
      <c r="Q24" s="45"/>
      <c r="R24" s="200" t="s">
        <v>313</v>
      </c>
      <c r="S24" s="38"/>
      <c r="T24" s="22"/>
      <c r="U24" s="22"/>
      <c r="V24" s="256"/>
      <c r="W24" s="264">
        <v>44275</v>
      </c>
      <c r="X24" s="265">
        <v>44640</v>
      </c>
      <c r="Y24" s="266">
        <v>45005</v>
      </c>
      <c r="Z24" s="39"/>
      <c r="AA24" s="39"/>
      <c r="AB24" s="39"/>
      <c r="AC24" s="39"/>
      <c r="AD24" s="39"/>
      <c r="AE24" s="39"/>
      <c r="AF24" s="39"/>
      <c r="AG24" s="39"/>
      <c r="AH24" s="40"/>
      <c r="AI24" s="40"/>
      <c r="AJ24" s="40"/>
      <c r="AK24" s="128" t="s">
        <v>314</v>
      </c>
      <c r="AL24" s="68"/>
      <c r="AM24" s="68"/>
      <c r="AN24" s="68"/>
      <c r="AO24" s="157">
        <v>10000</v>
      </c>
      <c r="AP24" s="267" t="s">
        <v>315</v>
      </c>
      <c r="AQ24" s="197" t="s">
        <v>316</v>
      </c>
      <c r="AR24" s="97"/>
      <c r="AS24" s="97"/>
      <c r="AT24" s="268">
        <v>0</v>
      </c>
      <c r="AU24" s="68"/>
      <c r="AV24" s="250"/>
      <c r="AW24" s="269"/>
      <c r="AX24" s="269"/>
      <c r="AY24" s="270" t="s">
        <v>317</v>
      </c>
      <c r="AZ24" s="41"/>
      <c r="BA24" s="41"/>
    </row>
    <row r="25" ht="11.25" customHeight="1" s="35" customFormat="1">
      <c r="A25" s="22"/>
      <c r="B25" s="38" t="s">
        <v>318</v>
      </c>
      <c r="C25" s="22"/>
      <c r="D25" s="22"/>
      <c r="E25" s="38"/>
      <c r="F25" s="22"/>
      <c r="G25" s="22"/>
      <c r="H25" s="271" t="str">
        <f>IF(H23="If Refinance","Existing Mortgage (UPB)",IF(H23="If Construction","Construction Cost","Acquisition Price"))</f>
        <v>Existing Mortgage (UPB)</v>
      </c>
      <c r="I25" s="143"/>
      <c r="J25" s="223"/>
      <c r="K25" s="272">
        <f>_xlfn.IFERROR(VALUE('SBL Quotes'!$B$39),0)</f>
        <v>0</v>
      </c>
      <c r="L25" s="273"/>
      <c r="M25" s="111" t="s">
        <v>320</v>
      </c>
      <c r="N25" s="274">
        <f t="shared" si="10" ref="N25:N37">_xlfn.IFERROR(K25/TotalUnits,0)</f>
        <v>0</v>
      </c>
      <c r="O25" s="111" t="s">
        <v>321</v>
      </c>
      <c r="P25" s="274">
        <f t="shared" si="11" ref="P25:P29">_xlfn.IFERROR(K25/TotalBeds,0)</f>
        <v>0</v>
      </c>
      <c r="Q25" s="38"/>
      <c r="R25" s="275" t="s">
        <v>322</v>
      </c>
      <c r="S25" s="38"/>
      <c r="T25" s="38"/>
      <c r="U25" s="38"/>
      <c r="V25" s="276"/>
      <c r="W25" s="264">
        <v>44044</v>
      </c>
      <c r="X25" s="265">
        <v>44409</v>
      </c>
      <c r="Y25" s="266">
        <v>44774</v>
      </c>
      <c r="Z25" s="277"/>
      <c r="AA25" s="39"/>
      <c r="AB25" s="39"/>
      <c r="AC25" s="39"/>
      <c r="AD25" s="39"/>
      <c r="AE25" s="39"/>
      <c r="AF25" s="39"/>
      <c r="AG25" s="39"/>
      <c r="AH25" s="40"/>
      <c r="AI25" s="40"/>
      <c r="AJ25" s="40"/>
      <c r="AK25" s="128" t="s">
        <v>323</v>
      </c>
      <c r="AL25" s="68"/>
      <c r="AM25" s="68"/>
      <c r="AN25" s="68"/>
      <c r="AO25" s="157">
        <v>0</v>
      </c>
      <c r="AP25" s="267" t="s">
        <v>324</v>
      </c>
      <c r="AQ25" s="197" t="s">
        <v>325</v>
      </c>
      <c r="AR25" s="97"/>
      <c r="AS25" s="97"/>
      <c r="AT25" s="278">
        <v>0</v>
      </c>
      <c r="AU25" s="68"/>
      <c r="AV25" s="250"/>
      <c r="AW25" s="269"/>
      <c r="AX25" s="251" t="s">
        <v>326</v>
      </c>
      <c r="AY25" s="279" t="b">
        <v>0</v>
      </c>
      <c r="AZ25" s="41"/>
      <c r="BA25" s="41"/>
    </row>
    <row r="26" ht="11.25" customHeight="1" s="35" customFormat="1">
      <c r="A26" s="22"/>
      <c r="B26" s="47" t="s">
        <v>327</v>
      </c>
      <c r="C26" s="48"/>
      <c r="D26" s="61"/>
      <c r="E26" s="249" t="s">
        <v>188</v>
      </c>
      <c r="F26" s="22"/>
      <c r="G26" s="22"/>
      <c r="H26" s="280" t="s">
        <v>328</v>
      </c>
      <c r="I26" s="48"/>
      <c r="J26" s="61"/>
      <c r="K26" s="281">
        <f>'SBL Quotes'!AK33</f>
        <v>0</v>
      </c>
      <c r="L26" s="282"/>
      <c r="M26" s="282"/>
      <c r="N26" s="263"/>
      <c r="O26" s="57"/>
      <c r="P26" s="263"/>
      <c r="Q26" s="38"/>
      <c r="R26" s="64" t="s">
        <v>329</v>
      </c>
      <c r="S26" s="283"/>
      <c r="T26" s="284"/>
      <c r="U26" s="284"/>
      <c r="V26" s="285"/>
      <c r="W26" s="286">
        <f>K24</f>
        <v>45292</v>
      </c>
      <c r="X26" s="287"/>
      <c r="Y26" s="288"/>
      <c r="Z26" s="277"/>
      <c r="AA26" s="39"/>
      <c r="AB26" s="39"/>
      <c r="AC26" s="39"/>
      <c r="AD26" s="39"/>
      <c r="AE26" s="39"/>
      <c r="AF26" s="39"/>
      <c r="AG26" s="39"/>
      <c r="AH26" s="40"/>
      <c r="AI26" s="40"/>
      <c r="AJ26" s="40"/>
      <c r="AK26" s="128" t="s">
        <v>330</v>
      </c>
      <c r="AL26" s="68"/>
      <c r="AM26" s="68"/>
      <c r="AN26" s="68"/>
      <c r="AO26" s="157">
        <v>0</v>
      </c>
      <c r="AP26" s="267" t="s">
        <v>331</v>
      </c>
      <c r="AQ26" s="197" t="s">
        <v>332</v>
      </c>
      <c r="AR26" s="97"/>
      <c r="AS26" s="97"/>
      <c r="AT26" s="268">
        <v>0</v>
      </c>
      <c r="AU26" s="68"/>
      <c r="AV26" s="250"/>
      <c r="AW26" s="269"/>
      <c r="AX26" s="251" t="s">
        <v>333</v>
      </c>
      <c r="AY26" s="289" t="b">
        <f>AMI_MissionDriven_Discount_Addnl80</f>
        <v>0</v>
      </c>
      <c r="AZ26" s="41"/>
      <c r="BA26" s="41"/>
    </row>
    <row r="27" ht="11.25" customHeight="1" s="35" customFormat="1">
      <c r="A27" s="290"/>
      <c r="B27" s="291" t="s">
        <v>334</v>
      </c>
      <c r="C27" s="292"/>
      <c r="D27" s="290"/>
      <c r="E27" s="293" t="e">
        <f t="shared" si="9" ref="E27:E34">E28*LoanAmount</f>
        <v>#NAME?</v>
      </c>
      <c r="F27" s="22"/>
      <c r="G27" s="22"/>
      <c r="H27" s="73" t="s">
        <v>335</v>
      </c>
      <c r="I27" s="70"/>
      <c r="J27" s="44"/>
      <c r="K27" s="294">
        <f>'SBL Quotes'!AK34</f>
        <v>0</v>
      </c>
      <c r="L27" s="295"/>
      <c r="M27" s="89"/>
      <c r="N27" s="296"/>
      <c r="O27" s="89"/>
      <c r="P27" s="296"/>
      <c r="Q27" s="45"/>
      <c r="R27" s="64" t="s">
        <v>336</v>
      </c>
      <c r="S27" s="283"/>
      <c r="T27" s="284"/>
      <c r="U27" s="284"/>
      <c r="V27" s="285"/>
      <c r="W27" s="286" t="e">
        <f>EDATE(K24,E52*12)</f>
        <v>#NAME?</v>
      </c>
      <c r="X27" s="287"/>
      <c r="Y27" s="288"/>
      <c r="Z27" s="277"/>
      <c r="AA27" s="39"/>
      <c r="AB27" s="39"/>
      <c r="AC27" s="39"/>
      <c r="AD27" s="39"/>
      <c r="AE27" s="39"/>
      <c r="AF27" s="39"/>
      <c r="AG27" s="39"/>
      <c r="AH27" s="40"/>
      <c r="AI27" s="40"/>
      <c r="AJ27" s="40"/>
      <c r="AK27" s="117" t="s">
        <v>337</v>
      </c>
      <c r="AL27" s="68"/>
      <c r="AM27" s="68"/>
      <c r="AN27" s="68"/>
      <c r="AO27" s="118">
        <f>IF('Engineering schedule'!F79="Yes",0,'Engineering schedule'!F78)</f>
        <v>0</v>
      </c>
      <c r="AP27" s="97"/>
      <c r="AQ27" s="97"/>
      <c r="AR27" s="97"/>
      <c r="AS27" s="97"/>
      <c r="AT27" s="297"/>
      <c r="AU27" s="68"/>
      <c r="AV27" s="250"/>
      <c r="AW27" s="269"/>
      <c r="AX27" s="251" t="s">
        <v>338</v>
      </c>
      <c r="AY27" s="279" t="b">
        <v>0</v>
      </c>
      <c r="AZ27" s="41"/>
      <c r="BA27" s="41"/>
    </row>
    <row r="28" ht="11.25" customHeight="1" s="35" customFormat="1">
      <c r="A28" s="38"/>
      <c r="B28" s="69" t="s">
        <v>339</v>
      </c>
      <c r="C28" s="89"/>
      <c r="D28" s="38"/>
      <c r="E28" s="298">
        <v>0.01</v>
      </c>
      <c r="F28" s="38"/>
      <c r="G28" s="38"/>
      <c r="H28" s="73" t="str">
        <f>IF(H23="if refinance","Prepayment Penalty Amount","N/A")</f>
        <v>Prepayment Penalty Amount</v>
      </c>
      <c r="I28" s="70"/>
      <c r="J28" s="299"/>
      <c r="K28" s="294">
        <f>'SBL Quotes'!AK35</f>
        <v>0</v>
      </c>
      <c r="L28" s="300"/>
      <c r="M28" s="89"/>
      <c r="N28" s="296"/>
      <c r="O28" s="89"/>
      <c r="P28" s="296"/>
      <c r="Q28" s="45"/>
      <c r="R28" s="200" t="s">
        <v>341</v>
      </c>
      <c r="S28" s="38"/>
      <c r="T28" s="224"/>
      <c r="U28" s="224"/>
      <c r="V28" s="226" t="s">
        <v>342</v>
      </c>
      <c r="W28" s="301">
        <f t="shared" si="8" ref="W28:Y29">YEARFRAC(EOMONTH($W$26,-1)+1,EOMONTH(W24,-1)+1)</f>
        <v>2.83333333333333</v>
      </c>
      <c r="X28" s="301">
        <f t="shared" si="8"/>
        <v>1.83333333333333</v>
      </c>
      <c r="Y28" s="302">
        <f t="shared" si="8"/>
        <v>0.833333333333333</v>
      </c>
      <c r="Z28" s="39"/>
      <c r="AA28" s="39"/>
      <c r="AB28" s="39"/>
      <c r="AC28" s="39"/>
      <c r="AD28" s="39"/>
      <c r="AE28" s="39"/>
      <c r="AF28" s="39"/>
      <c r="AG28" s="39"/>
      <c r="AH28" s="40"/>
      <c r="AI28" s="40"/>
      <c r="AJ28" s="40"/>
      <c r="AK28" s="117" t="s">
        <v>343</v>
      </c>
      <c r="AL28" s="68"/>
      <c r="AM28" s="68"/>
      <c r="AN28" s="68"/>
      <c r="AO28" s="118">
        <f>'Engineering schedule'!E42</f>
        <v>0</v>
      </c>
      <c r="AP28" s="97" t="s">
        <v>344</v>
      </c>
      <c r="AQ28" s="97"/>
      <c r="AR28" s="97"/>
      <c r="AS28" s="97"/>
      <c r="AT28" s="303">
        <f>AT25+AT26</f>
        <v>0</v>
      </c>
      <c r="AU28" s="68"/>
      <c r="AV28" s="250"/>
      <c r="AW28" s="269"/>
      <c r="AX28" s="304" t="s">
        <v>345</v>
      </c>
      <c r="AY28" s="279" t="b">
        <v>0</v>
      </c>
      <c r="AZ28" s="41"/>
      <c r="BA28" s="41"/>
    </row>
    <row r="29" ht="11.25" customHeight="1" s="35" customFormat="1">
      <c r="A29" s="38"/>
      <c r="B29" s="69" t="s">
        <v>346</v>
      </c>
      <c r="C29" s="89"/>
      <c r="D29" s="38"/>
      <c r="E29" s="293" t="e">
        <f t="shared" si="9"/>
        <v>#NAME?</v>
      </c>
      <c r="F29" s="38"/>
      <c r="G29" s="38"/>
      <c r="H29" s="73" t="str">
        <f>"Total "&amp;IF(H23="If Construction","Construction",IF(H23="If refinance","Refinance","Acquisition"))&amp;" Cost"</f>
        <v>Total Refinance Cost</v>
      </c>
      <c r="I29" s="70"/>
      <c r="J29" s="305"/>
      <c r="K29" s="306">
        <f>K25+K26+K27+K28</f>
        <v>0</v>
      </c>
      <c r="L29" s="307"/>
      <c r="M29" s="89" t="s">
        <v>320</v>
      </c>
      <c r="N29" s="296">
        <f t="shared" si="10"/>
        <v>0</v>
      </c>
      <c r="O29" s="89" t="s">
        <v>321</v>
      </c>
      <c r="P29" s="308">
        <f t="shared" si="11"/>
        <v>0</v>
      </c>
      <c r="Q29" s="38"/>
      <c r="R29" s="200" t="s">
        <v>348</v>
      </c>
      <c r="S29" s="38"/>
      <c r="T29" s="224"/>
      <c r="U29" s="224"/>
      <c r="V29" s="226" t="s">
        <v>342</v>
      </c>
      <c r="W29" s="301">
        <f t="shared" si="8"/>
        <v>3.41666666666667</v>
      </c>
      <c r="X29" s="301">
        <f t="shared" si="8"/>
        <v>2.41666666666667</v>
      </c>
      <c r="Y29" s="309">
        <f t="shared" si="8"/>
        <v>1.41666666666667</v>
      </c>
      <c r="Z29" s="39"/>
      <c r="AA29" s="39"/>
      <c r="AB29" s="39"/>
      <c r="AC29" s="39"/>
      <c r="AD29" s="39"/>
      <c r="AE29" s="39"/>
      <c r="AF29" s="39"/>
      <c r="AG29" s="39"/>
      <c r="AH29" s="40"/>
      <c r="AI29" s="40"/>
      <c r="AJ29" s="40"/>
      <c r="AK29" s="128" t="s">
        <v>349</v>
      </c>
      <c r="AL29" s="68"/>
      <c r="AM29" s="68"/>
      <c r="AN29" s="68"/>
      <c r="AO29" s="157">
        <v>20000</v>
      </c>
      <c r="AP29" s="68"/>
      <c r="AQ29" s="68"/>
      <c r="AR29" s="68"/>
      <c r="AS29" s="68"/>
      <c r="AT29" s="68"/>
      <c r="AU29" s="68"/>
      <c r="AV29" s="227"/>
      <c r="AW29" s="310"/>
      <c r="AX29" s="228" t="s">
        <v>350</v>
      </c>
      <c r="AY29" s="311" t="b">
        <v>0</v>
      </c>
      <c r="AZ29" s="41"/>
      <c r="BA29" s="41"/>
    </row>
    <row r="30" ht="11.25" customHeight="1" s="35" customFormat="1">
      <c r="A30" s="38"/>
      <c r="B30" s="69" t="s">
        <v>339</v>
      </c>
      <c r="C30" s="89"/>
      <c r="D30" s="38"/>
      <c r="E30" s="298">
        <v>0.01</v>
      </c>
      <c r="F30" s="38"/>
      <c r="G30" s="38"/>
      <c r="H30" s="142" t="str">
        <f>IF(H23="If Refinance","% of Loan to Capped Refinance Costs","LTC")</f>
        <v>% of Loan to Capped Refinance Costs</v>
      </c>
      <c r="I30" s="143"/>
      <c r="J30" s="223"/>
      <c r="K30" s="312">
        <f>_xlfn.IFERROR(IF('SBL Quotes'!AN32="Supplemental",(LoanAmount+FirstUPB_IfSupp+SecondUPB_IfSupp+ThirdUPB_IfSupp)/K29,LoanAmount/K29),0)</f>
        <v>0</v>
      </c>
      <c r="L30" s="313"/>
      <c r="M30" s="111"/>
      <c r="N30" s="314"/>
      <c r="O30" s="111"/>
      <c r="P30" s="314"/>
      <c r="Q30" s="38"/>
      <c r="R30" s="252" t="s">
        <v>352</v>
      </c>
      <c r="S30" s="160"/>
      <c r="T30" s="225"/>
      <c r="U30" s="225"/>
      <c r="V30" s="315" t="s">
        <v>342</v>
      </c>
      <c r="W30" s="316">
        <f t="shared" si="12" ref="W30:Y30">MAX(W28-(W8-W10),0)</f>
        <v>0</v>
      </c>
      <c r="X30" s="317">
        <f t="shared" si="12"/>
        <v>0</v>
      </c>
      <c r="Y30" s="318">
        <f t="shared" si="12"/>
        <v>0</v>
      </c>
      <c r="Z30" s="39"/>
      <c r="AA30" s="39"/>
      <c r="AB30" s="39"/>
      <c r="AC30" s="39"/>
      <c r="AD30" s="39"/>
      <c r="AE30" s="39"/>
      <c r="AF30" s="39"/>
      <c r="AG30" s="39"/>
      <c r="AH30" s="40"/>
      <c r="AI30" s="40"/>
      <c r="AJ30" s="40"/>
      <c r="AK30" s="319" t="s">
        <v>353</v>
      </c>
      <c r="AL30" s="68"/>
      <c r="AM30" s="68"/>
      <c r="AN30" s="68"/>
      <c r="AO30" s="157">
        <v>0</v>
      </c>
      <c r="AP30" s="68"/>
      <c r="AQ30" s="68"/>
      <c r="AR30" s="68"/>
      <c r="AS30" s="68"/>
      <c r="AT30" s="68"/>
      <c r="AU30" s="68"/>
      <c r="AV30" s="41"/>
      <c r="AW30" s="41"/>
      <c r="AX30" s="41"/>
      <c r="AY30" s="41"/>
      <c r="AZ30" s="41"/>
      <c r="BA30" s="41"/>
    </row>
    <row r="31" ht="11.25" customHeight="1" s="35" customFormat="1">
      <c r="A31" s="38"/>
      <c r="B31" s="47" t="s">
        <v>354</v>
      </c>
      <c r="C31" s="57"/>
      <c r="D31" s="60"/>
      <c r="E31" s="320"/>
      <c r="F31" s="38"/>
      <c r="G31" s="38"/>
      <c r="H31" s="321" t="e">
        <f>IF(K31&lt;0,"Cash-In",IF(OR(K31=0,LoanAmount-(K25+K26+K27+K28)&lt;0),"Cash-Neutral","Cash-Out"))</f>
        <v>#NAME?</v>
      </c>
      <c r="I31" s="322" t="e">
        <f>IF(AND(H31="Cash-Out",Requested_Tier=2),"-5% to Max LTV","")</f>
        <v>#NAME?</v>
      </c>
      <c r="J31" s="323"/>
      <c r="K31" s="324" t="e">
        <f>'Data Page'!AO35</f>
        <v>#NAME?</v>
      </c>
      <c r="L31" s="325"/>
      <c r="M31" s="326"/>
      <c r="N31" s="327"/>
      <c r="O31" s="326"/>
      <c r="P31" s="327"/>
      <c r="Q31" s="38"/>
      <c r="R31" s="200"/>
      <c r="S31" s="328"/>
      <c r="T31" s="40"/>
      <c r="U31" s="40"/>
      <c r="V31" s="40"/>
      <c r="W31" s="329"/>
      <c r="X31" s="329"/>
      <c r="Y31" s="330"/>
      <c r="Z31" s="201"/>
      <c r="AA31" s="39"/>
      <c r="AB31" s="39"/>
      <c r="AC31" s="39"/>
      <c r="AD31" s="39"/>
      <c r="AE31" s="39"/>
      <c r="AF31" s="39"/>
      <c r="AG31" s="39"/>
      <c r="AH31" s="40"/>
      <c r="AI31" s="40"/>
      <c r="AJ31" s="40"/>
      <c r="AK31" s="319" t="s">
        <v>355</v>
      </c>
      <c r="AL31" s="68"/>
      <c r="AM31" s="68"/>
      <c r="AN31" s="68"/>
      <c r="AO31" s="157">
        <v>0</v>
      </c>
      <c r="AP31" s="267"/>
      <c r="AQ31" s="68"/>
      <c r="AR31" s="68"/>
      <c r="AS31" s="68"/>
      <c r="AT31" s="68"/>
      <c r="AU31" s="68"/>
      <c r="AV31" s="41"/>
      <c r="AW31" s="41"/>
      <c r="AX31" s="41"/>
      <c r="AY31" s="41"/>
      <c r="AZ31" s="41"/>
      <c r="BA31" s="41"/>
    </row>
    <row r="32" ht="11.25" customHeight="1" s="35" customFormat="1">
      <c r="A32" s="38"/>
      <c r="B32" s="69" t="str">
        <f>B27</f>
        <v>Broker Fee</v>
      </c>
      <c r="C32" s="89"/>
      <c r="D32" s="38"/>
      <c r="E32" s="293" t="e">
        <f t="shared" si="9"/>
        <v>#NAME?</v>
      </c>
      <c r="F32" s="38"/>
      <c r="G32" s="38"/>
      <c r="H32" s="38"/>
      <c r="I32" s="38"/>
      <c r="J32" s="331"/>
      <c r="K32" s="332"/>
      <c r="L32" s="38"/>
      <c r="M32" s="38"/>
      <c r="N32" s="333"/>
      <c r="O32" s="38"/>
      <c r="P32" s="333"/>
      <c r="Q32" s="38"/>
      <c r="R32" s="200"/>
      <c r="S32" s="38"/>
      <c r="T32" s="22"/>
      <c r="U32" s="22"/>
      <c r="V32" s="22"/>
      <c r="W32" s="329"/>
      <c r="X32" s="329"/>
      <c r="Y32" s="330"/>
      <c r="Z32" s="201"/>
      <c r="AA32" s="39"/>
      <c r="AB32" s="39"/>
      <c r="AC32" s="39"/>
      <c r="AD32" s="39"/>
      <c r="AE32" s="39"/>
      <c r="AF32" s="39"/>
      <c r="AG32" s="39"/>
      <c r="AH32" s="40"/>
      <c r="AI32" s="40"/>
      <c r="AJ32" s="40"/>
      <c r="AK32" s="128" t="s">
        <v>236</v>
      </c>
      <c r="AL32" s="68"/>
      <c r="AM32" s="68"/>
      <c r="AN32" s="68"/>
      <c r="AO32" s="157">
        <v>0</v>
      </c>
      <c r="AP32" s="68"/>
      <c r="AQ32" s="68"/>
      <c r="AR32" s="68"/>
      <c r="AS32" s="68"/>
      <c r="AT32" s="68"/>
      <c r="AU32" s="68"/>
      <c r="AV32" s="41"/>
      <c r="AW32" s="41"/>
      <c r="AX32" s="41"/>
      <c r="AY32" s="41"/>
      <c r="AZ32" s="41"/>
      <c r="BA32" s="41"/>
    </row>
    <row r="33" ht="11.25" customHeight="1" s="35" customFormat="1">
      <c r="A33" s="38"/>
      <c r="B33" s="69" t="s">
        <v>339</v>
      </c>
      <c r="C33" s="89"/>
      <c r="D33" s="38"/>
      <c r="E33" s="298">
        <v>0</v>
      </c>
      <c r="F33" s="38"/>
      <c r="G33" s="38"/>
      <c r="H33" s="38" t="s">
        <v>356</v>
      </c>
      <c r="I33" s="334"/>
      <c r="J33" s="44"/>
      <c r="K33" s="335"/>
      <c r="L33" s="336"/>
      <c r="M33" s="38"/>
      <c r="N33" s="337"/>
      <c r="O33" s="38"/>
      <c r="P33" s="338"/>
      <c r="Q33" s="38"/>
      <c r="R33" s="200"/>
      <c r="S33" s="38"/>
      <c r="T33" s="224"/>
      <c r="U33" s="224"/>
      <c r="V33" s="224"/>
      <c r="W33" s="339"/>
      <c r="X33" s="339"/>
      <c r="Y33" s="340"/>
      <c r="Z33" s="201"/>
      <c r="AA33" s="39"/>
      <c r="AB33" s="39"/>
      <c r="AC33" s="39"/>
      <c r="AD33" s="39"/>
      <c r="AE33" s="39"/>
      <c r="AF33" s="39"/>
      <c r="AG33" s="39"/>
      <c r="AH33" s="40"/>
      <c r="AI33" s="40"/>
      <c r="AJ33" s="40"/>
      <c r="AK33" s="117"/>
      <c r="AL33" s="97" t="s">
        <v>357</v>
      </c>
      <c r="AM33" s="68"/>
      <c r="AN33" s="68"/>
      <c r="AO33" s="155" t="e">
        <f>SUM(AO17:AO32)</f>
        <v>#NAME?</v>
      </c>
      <c r="AP33" s="68"/>
      <c r="AQ33" s="68"/>
      <c r="AR33" s="68"/>
      <c r="AS33" s="68"/>
      <c r="AT33" s="68"/>
      <c r="AU33" s="68"/>
      <c r="AV33" s="41"/>
      <c r="AW33" s="41"/>
      <c r="AX33" s="41"/>
      <c r="AY33" s="41"/>
      <c r="AZ33" s="41"/>
      <c r="BA33" s="41"/>
    </row>
    <row r="34" ht="11.25" customHeight="1" s="35" customFormat="1">
      <c r="A34" s="38"/>
      <c r="B34" s="69" t="s">
        <v>346</v>
      </c>
      <c r="C34" s="89"/>
      <c r="D34" s="38"/>
      <c r="E34" s="293" t="e">
        <f t="shared" si="9"/>
        <v>#NAME?</v>
      </c>
      <c r="F34" s="38"/>
      <c r="G34" s="38"/>
      <c r="H34" s="47" t="s">
        <v>358</v>
      </c>
      <c r="I34" s="57"/>
      <c r="J34" s="341"/>
      <c r="K34" s="342" t="s">
        <v>188</v>
      </c>
      <c r="L34" s="57"/>
      <c r="M34" s="57"/>
      <c r="N34" s="263"/>
      <c r="O34" s="57"/>
      <c r="P34" s="263"/>
      <c r="Q34" s="45"/>
      <c r="R34" s="343"/>
      <c r="S34" s="328"/>
      <c r="T34" s="40"/>
      <c r="U34" s="40"/>
      <c r="V34" s="40"/>
      <c r="W34" s="40"/>
      <c r="X34" s="40"/>
      <c r="Y34" s="344"/>
      <c r="Z34" s="212"/>
      <c r="AA34" s="39"/>
      <c r="AB34" s="39"/>
      <c r="AC34" s="39"/>
      <c r="AD34" s="39"/>
      <c r="AE34" s="39"/>
      <c r="AF34" s="39"/>
      <c r="AG34" s="39"/>
      <c r="AH34" s="40"/>
      <c r="AI34" s="40"/>
      <c r="AJ34" s="40"/>
      <c r="AK34" s="117"/>
      <c r="AL34" s="68"/>
      <c r="AM34" s="68"/>
      <c r="AN34" s="68"/>
      <c r="AO34" s="118"/>
      <c r="AP34" s="68"/>
      <c r="AQ34" s="68"/>
      <c r="AR34" s="68"/>
      <c r="AS34" s="68"/>
      <c r="AT34" s="68"/>
      <c r="AU34" s="68"/>
      <c r="AV34" s="41"/>
      <c r="AW34" s="41"/>
      <c r="AX34" s="41"/>
      <c r="AY34" s="41"/>
      <c r="AZ34" s="41"/>
      <c r="BA34" s="41"/>
    </row>
    <row r="35" ht="11.25" customHeight="1" s="35" customFormat="1">
      <c r="A35" s="38"/>
      <c r="B35" s="69" t="s">
        <v>339</v>
      </c>
      <c r="C35" s="89"/>
      <c r="D35" s="38"/>
      <c r="E35" s="298">
        <v>0</v>
      </c>
      <c r="F35" s="38"/>
      <c r="G35" s="38"/>
      <c r="H35" s="69" t="s">
        <v>359</v>
      </c>
      <c r="I35" s="89"/>
      <c r="J35" s="305"/>
      <c r="K35" s="345" t="s">
        <v>188</v>
      </c>
      <c r="L35" s="89"/>
      <c r="M35" s="89"/>
      <c r="N35" s="346"/>
      <c r="O35" s="89"/>
      <c r="P35" s="346"/>
      <c r="Q35" s="38"/>
      <c r="R35" s="343"/>
      <c r="S35" s="328"/>
      <c r="T35" s="40"/>
      <c r="U35" s="40"/>
      <c r="V35" s="40"/>
      <c r="W35" s="40"/>
      <c r="X35" s="40"/>
      <c r="Y35" s="344"/>
      <c r="Z35" s="347"/>
      <c r="AA35" s="39"/>
      <c r="AB35" s="39"/>
      <c r="AC35" s="39"/>
      <c r="AD35" s="39"/>
      <c r="AE35" s="39"/>
      <c r="AF35" s="39"/>
      <c r="AG35" s="39"/>
      <c r="AH35" s="40"/>
      <c r="AI35" s="40"/>
      <c r="AJ35" s="40"/>
      <c r="AK35" s="128" t="s">
        <v>360</v>
      </c>
      <c r="AL35" s="68"/>
      <c r="AM35" s="68"/>
      <c r="AN35" s="68"/>
      <c r="AO35" s="155" t="e">
        <f>AO14-AO33</f>
        <v>#NAME?</v>
      </c>
      <c r="AP35" s="68"/>
      <c r="AQ35" s="68"/>
      <c r="AR35" s="68"/>
      <c r="AS35" s="68"/>
      <c r="AT35" s="68"/>
      <c r="AU35" s="68"/>
      <c r="AV35" s="41"/>
      <c r="AW35" s="41"/>
      <c r="AX35" s="41"/>
      <c r="AY35" s="41"/>
      <c r="AZ35" s="41"/>
      <c r="BA35" s="41"/>
    </row>
    <row r="36" ht="11.25" customHeight="1" s="35" customFormat="1">
      <c r="A36" s="38"/>
      <c r="B36" s="348" t="s">
        <v>361</v>
      </c>
      <c r="C36" s="326"/>
      <c r="D36" s="283"/>
      <c r="E36" s="349">
        <v>0</v>
      </c>
      <c r="F36" s="38"/>
      <c r="G36" s="38"/>
      <c r="H36" s="69" t="s">
        <v>362</v>
      </c>
      <c r="I36" s="89"/>
      <c r="J36" s="331"/>
      <c r="K36" s="350" t="s">
        <v>363</v>
      </c>
      <c r="L36" s="89"/>
      <c r="M36" s="89"/>
      <c r="N36" s="308"/>
      <c r="O36" s="89"/>
      <c r="P36" s="308"/>
      <c r="Q36" s="38"/>
      <c r="R36" s="200" t="s">
        <v>364</v>
      </c>
      <c r="S36" s="38"/>
      <c r="T36" s="224"/>
      <c r="U36" s="224"/>
      <c r="V36" s="224"/>
      <c r="W36" s="351"/>
      <c r="X36" s="351"/>
      <c r="Y36" s="352"/>
      <c r="Z36" s="277"/>
      <c r="AA36" s="39"/>
      <c r="AB36" s="39"/>
      <c r="AC36" s="39"/>
      <c r="AD36" s="39"/>
      <c r="AE36" s="39"/>
      <c r="AF36" s="39"/>
      <c r="AG36" s="39"/>
      <c r="AH36" s="40"/>
      <c r="AI36" s="40"/>
      <c r="AJ36" s="40"/>
      <c r="AK36" s="117"/>
      <c r="AL36" s="68"/>
      <c r="AM36" s="68"/>
      <c r="AN36" s="68"/>
      <c r="AO36" s="150"/>
      <c r="AP36" s="68"/>
      <c r="AQ36" s="68"/>
      <c r="AR36" s="68"/>
      <c r="AS36" s="68"/>
      <c r="AT36" s="68"/>
      <c r="AU36" s="68"/>
      <c r="AV36" s="41"/>
      <c r="AW36" s="41"/>
      <c r="AX36" s="41"/>
      <c r="AY36" s="41"/>
      <c r="AZ36" s="41"/>
      <c r="BA36" s="41"/>
    </row>
    <row r="37" ht="11.25" customHeight="1" s="35" customFormat="1">
      <c r="A37" s="38"/>
      <c r="B37" s="38"/>
      <c r="C37" s="60"/>
      <c r="D37" s="60"/>
      <c r="E37" s="353"/>
      <c r="F37" s="38"/>
      <c r="G37" s="38"/>
      <c r="H37" s="354" t="s">
        <v>365</v>
      </c>
      <c r="I37" s="326"/>
      <c r="J37" s="355"/>
      <c r="K37" s="356">
        <v>0</v>
      </c>
      <c r="L37" s="326"/>
      <c r="M37" s="326" t="s">
        <v>320</v>
      </c>
      <c r="N37" s="357">
        <f t="shared" si="10"/>
        <v>0</v>
      </c>
      <c r="O37" s="326" t="s">
        <v>321</v>
      </c>
      <c r="P37" s="357" t="e">
        <f>K37/TotalBeds</f>
        <v>#DIV/0!</v>
      </c>
      <c r="Q37" s="38"/>
      <c r="R37" s="64" t="s">
        <v>366</v>
      </c>
      <c r="S37" s="283"/>
      <c r="T37" s="284"/>
      <c r="U37" s="284"/>
      <c r="V37" s="284"/>
      <c r="W37" s="358" t="s">
        <v>367</v>
      </c>
      <c r="X37" s="359"/>
      <c r="Y37" s="360"/>
      <c r="Z37" s="277"/>
      <c r="AA37" s="39"/>
      <c r="AB37" s="39"/>
      <c r="AC37" s="39"/>
      <c r="AD37" s="39"/>
      <c r="AE37" s="39"/>
      <c r="AF37" s="39"/>
      <c r="AG37" s="39"/>
      <c r="AH37" s="40"/>
      <c r="AI37" s="40"/>
      <c r="AJ37" s="40"/>
      <c r="AK37" s="169" t="s">
        <v>368</v>
      </c>
      <c r="AL37" s="68"/>
      <c r="AM37" s="68"/>
      <c r="AN37" s="68"/>
      <c r="AO37" s="150"/>
      <c r="AP37" s="68"/>
      <c r="AQ37" s="68"/>
      <c r="AR37" s="68"/>
      <c r="AS37" s="68"/>
      <c r="AT37" s="68"/>
      <c r="AU37" s="68"/>
      <c r="AV37" s="41"/>
      <c r="AW37" s="41"/>
      <c r="AX37" s="41"/>
      <c r="AY37" s="41"/>
      <c r="AZ37" s="41"/>
      <c r="BA37" s="41"/>
    </row>
    <row r="38" ht="11.25" customHeight="1" s="35" customFormat="1">
      <c r="A38" s="38"/>
      <c r="B38" s="38" t="s">
        <v>369</v>
      </c>
      <c r="C38" s="160"/>
      <c r="D38" s="160"/>
      <c r="E38" s="361"/>
      <c r="F38" s="38"/>
      <c r="G38" s="38"/>
      <c r="H38" s="47" t="s">
        <v>370</v>
      </c>
      <c r="I38" s="57"/>
      <c r="J38" s="362"/>
      <c r="K38" s="363">
        <v>0</v>
      </c>
      <c r="L38" s="57"/>
      <c r="M38" s="57" t="s">
        <v>320</v>
      </c>
      <c r="N38" s="263">
        <f t="shared" si="13" ref="N38:N42">_xlfn.IFERROR(IF(OR(K38="N/A",K38="NA",K38=""),"N/A",K38/TotalUnits),0)</f>
        <v>0</v>
      </c>
      <c r="O38" s="57" t="s">
        <v>321</v>
      </c>
      <c r="P38" s="263" t="e">
        <f t="shared" si="14" ref="P38:P42">IF(OR(K38="N/A",K38="NA",K38=""),"N/A",K38/TotalBeds)</f>
        <v>#DIV/0!</v>
      </c>
      <c r="Q38" s="38"/>
      <c r="R38" s="200"/>
      <c r="S38" s="38"/>
      <c r="T38" s="224"/>
      <c r="U38" s="277"/>
      <c r="V38" s="224"/>
      <c r="W38" s="277"/>
      <c r="X38" s="277"/>
      <c r="Y38" s="364"/>
      <c r="Z38" s="365"/>
      <c r="AA38" s="39"/>
      <c r="AB38" s="39"/>
      <c r="AC38" s="39"/>
      <c r="AD38" s="39"/>
      <c r="AE38" s="39"/>
      <c r="AF38" s="39"/>
      <c r="AG38" s="39"/>
      <c r="AH38" s="40"/>
      <c r="AI38" s="40"/>
      <c r="AJ38" s="40"/>
      <c r="AK38" s="128" t="s">
        <v>371</v>
      </c>
      <c r="AL38" s="129"/>
      <c r="AM38" s="366">
        <v>0.02</v>
      </c>
      <c r="AN38" s="68"/>
      <c r="AO38" s="367" t="e">
        <f t="shared" si="15" ref="AO38:AO40">AM38*$AO$10</f>
        <v>#NAME?</v>
      </c>
      <c r="AP38" s="68"/>
      <c r="AQ38" s="68"/>
      <c r="AR38" s="68"/>
      <c r="AS38" s="68"/>
      <c r="AT38" s="68"/>
      <c r="AU38" s="68"/>
      <c r="AV38" s="41"/>
      <c r="AW38" s="41"/>
      <c r="AX38" s="41"/>
      <c r="AY38" s="41"/>
      <c r="AZ38" s="41"/>
      <c r="BA38" s="41"/>
    </row>
    <row r="39" ht="11.25" customHeight="1" s="35" customFormat="1">
      <c r="A39" s="38"/>
      <c r="B39" s="47" t="s">
        <v>372</v>
      </c>
      <c r="C39" s="57"/>
      <c r="D39" s="368" t="s">
        <v>373</v>
      </c>
      <c r="E39" s="369"/>
      <c r="F39" s="370"/>
      <c r="G39" s="370"/>
      <c r="H39" s="69" t="s">
        <v>374</v>
      </c>
      <c r="I39" s="89"/>
      <c r="J39" s="332"/>
      <c r="K39" s="371">
        <v>0</v>
      </c>
      <c r="L39" s="89"/>
      <c r="M39" s="89" t="s">
        <v>320</v>
      </c>
      <c r="N39" s="308">
        <f t="shared" si="13"/>
        <v>0</v>
      </c>
      <c r="O39" s="89" t="s">
        <v>321</v>
      </c>
      <c r="P39" s="308" t="e">
        <f t="shared" si="14"/>
        <v>#DIV/0!</v>
      </c>
      <c r="Q39" s="38"/>
      <c r="R39" s="200"/>
      <c r="S39" s="38"/>
      <c r="T39" s="224"/>
      <c r="U39" s="277"/>
      <c r="V39" s="224"/>
      <c r="W39" s="277"/>
      <c r="X39" s="277"/>
      <c r="Y39" s="364"/>
      <c r="Z39" s="201"/>
      <c r="AA39" s="39"/>
      <c r="AB39" s="39"/>
      <c r="AC39" s="39"/>
      <c r="AD39" s="39"/>
      <c r="AE39" s="39"/>
      <c r="AF39" s="39"/>
      <c r="AG39" s="39"/>
      <c r="AH39" s="40"/>
      <c r="AI39" s="40"/>
      <c r="AJ39" s="40"/>
      <c r="AK39" s="128" t="s">
        <v>375</v>
      </c>
      <c r="AL39" s="129"/>
      <c r="AM39" s="366">
        <v>0</v>
      </c>
      <c r="AN39" s="68"/>
      <c r="AO39" s="367" t="e">
        <f t="shared" si="15"/>
        <v>#NAME?</v>
      </c>
      <c r="AP39" s="68"/>
      <c r="AQ39" s="68"/>
      <c r="AR39" s="68"/>
      <c r="AS39" s="68"/>
      <c r="AT39" s="68"/>
      <c r="AU39" s="68"/>
      <c r="AV39" s="41"/>
      <c r="AW39" s="41"/>
      <c r="AX39" s="41"/>
      <c r="AY39" s="41"/>
      <c r="AZ39" s="41"/>
      <c r="BA39" s="41"/>
    </row>
    <row r="40" ht="11.25" customHeight="1" s="35" customFormat="1">
      <c r="A40" s="38"/>
      <c r="B40" s="372" t="str">
        <f>IF(Delegated_Level="Performance Differentiation","Borrow Priority (for PD Exit Rate)","N/A (Delegated Level is not PD)")</f>
        <v>N/A (Delegated Level is not PD)</v>
      </c>
      <c r="C40" s="89"/>
      <c r="D40" s="373">
        <f>IF(Delegated_Level="Performance Differentiation","All other borrowers","")</f>
      </c>
      <c r="E40" s="374"/>
      <c r="F40" s="370"/>
      <c r="G40" s="370"/>
      <c r="H40" s="110" t="s">
        <v>377</v>
      </c>
      <c r="I40" s="111"/>
      <c r="J40" s="375"/>
      <c r="K40" s="376" t="s">
        <v>174</v>
      </c>
      <c r="L40" s="377"/>
      <c r="M40" s="111" t="s">
        <v>320</v>
      </c>
      <c r="N40" s="274" t="str">
        <f>IF(OR(K40="N/A",K40="NA",K40=""),"N/A",K40/TotalUnits)</f>
        <v>N/A</v>
      </c>
      <c r="O40" s="111" t="s">
        <v>321</v>
      </c>
      <c r="P40" s="274" t="str">
        <f t="shared" si="14"/>
        <v>N/A</v>
      </c>
      <c r="Q40" s="38"/>
      <c r="R40" s="378"/>
      <c r="S40" s="379"/>
      <c r="T40" s="380"/>
      <c r="U40" s="380"/>
      <c r="V40" s="380"/>
      <c r="W40" s="380"/>
      <c r="X40" s="380"/>
      <c r="Y40" s="381"/>
      <c r="Z40" s="201"/>
      <c r="AA40" s="39"/>
      <c r="AB40" s="39"/>
      <c r="AC40" s="39"/>
      <c r="AD40" s="39"/>
      <c r="AE40" s="39"/>
      <c r="AF40" s="39"/>
      <c r="AG40" s="39"/>
      <c r="AH40" s="40"/>
      <c r="AI40" s="40"/>
      <c r="AJ40" s="40"/>
      <c r="AK40" s="382" t="s">
        <v>378</v>
      </c>
      <c r="AL40" s="383"/>
      <c r="AM40" s="384">
        <v>0</v>
      </c>
      <c r="AN40" s="241"/>
      <c r="AO40" s="385" t="e">
        <f t="shared" si="15"/>
        <v>#NAME?</v>
      </c>
      <c r="AP40" s="68"/>
      <c r="AQ40" s="68"/>
      <c r="AR40" s="68"/>
      <c r="AS40" s="68"/>
      <c r="AT40" s="68"/>
      <c r="AU40" s="68"/>
      <c r="AV40" s="41"/>
      <c r="AW40" s="41"/>
      <c r="AX40" s="41"/>
      <c r="AY40" s="41"/>
      <c r="AZ40" s="41"/>
      <c r="BA40" s="41"/>
    </row>
    <row r="41" ht="11.25" customHeight="1" s="35" customFormat="1">
      <c r="A41" s="38"/>
      <c r="B41" s="69" t="s">
        <v>379</v>
      </c>
      <c r="C41" s="89"/>
      <c r="D41" s="386" t="s">
        <v>380</v>
      </c>
      <c r="E41" s="387"/>
      <c r="F41" s="370"/>
      <c r="G41" s="370"/>
      <c r="H41" s="47" t="s">
        <v>381</v>
      </c>
      <c r="I41" s="57"/>
      <c r="J41" s="388"/>
      <c r="K41" s="363">
        <f>'SBL Quotes'!B45</f>
        <v>-34419044.199999996</v>
      </c>
      <c r="L41" s="57"/>
      <c r="M41" s="57" t="s">
        <v>320</v>
      </c>
      <c r="N41" s="263">
        <f t="shared" si="13"/>
        <v>-404929.9317647058</v>
      </c>
      <c r="O41" s="57" t="s">
        <v>321</v>
      </c>
      <c r="P41" s="263" t="e">
        <f t="shared" si="14"/>
        <v>#DIV/0!</v>
      </c>
      <c r="Q41" s="38"/>
      <c r="R41" s="389" t="str">
        <f>"Fannie Mae New Loan Test"&amp;IF(OR(FirstRemTerm_IfSupp&gt;7,FirstRemTerm_IfSupp=7)," (Not Applicable)"," (Required)")</f>
        <v>Fannie Mae New Loan Test (Required)</v>
      </c>
      <c r="S41" s="390"/>
      <c r="T41" s="391"/>
      <c r="U41" s="391"/>
      <c r="V41" s="391"/>
      <c r="W41" s="392"/>
      <c r="X41" s="392"/>
      <c r="Y41" s="393"/>
      <c r="Z41" s="39"/>
      <c r="AA41" s="39"/>
      <c r="AB41" s="39"/>
      <c r="AC41" s="39"/>
      <c r="AD41" s="39"/>
      <c r="AE41" s="39"/>
      <c r="AF41" s="39"/>
      <c r="AG41" s="39"/>
      <c r="AH41" s="40"/>
      <c r="AI41" s="40"/>
      <c r="AJ41" s="40"/>
      <c r="AK41" s="41"/>
      <c r="AL41" s="41"/>
      <c r="AM41" s="41"/>
      <c r="AN41" s="41"/>
      <c r="AO41" s="41"/>
      <c r="AP41" s="41"/>
      <c r="AQ41" s="41"/>
      <c r="AR41" s="41"/>
      <c r="AS41" s="41"/>
      <c r="AT41" s="41"/>
      <c r="AU41" s="41"/>
      <c r="AV41" s="41"/>
      <c r="AW41" s="41"/>
      <c r="AX41" s="41"/>
      <c r="AY41" s="41"/>
      <c r="AZ41" s="41"/>
      <c r="BA41" s="41"/>
    </row>
    <row r="42" ht="10.5" customHeight="1" s="35" customFormat="1">
      <c r="A42" s="38"/>
      <c r="B42" s="69" t="s">
        <v>383</v>
      </c>
      <c r="C42" s="89"/>
      <c r="D42" s="394"/>
      <c r="E42" s="395" t="s">
        <v>384</v>
      </c>
      <c r="F42" s="370"/>
      <c r="G42" s="370"/>
      <c r="H42" s="110" t="s">
        <v>385</v>
      </c>
      <c r="I42" s="111"/>
      <c r="J42" s="375"/>
      <c r="K42" s="376">
        <f>Appraised_Value</f>
        <v>-34419044.199999996</v>
      </c>
      <c r="L42" s="377"/>
      <c r="M42" s="111" t="s">
        <v>320</v>
      </c>
      <c r="N42" s="274">
        <f t="shared" si="13"/>
        <v>-404929.9317647058</v>
      </c>
      <c r="O42" s="111" t="s">
        <v>321</v>
      </c>
      <c r="P42" s="274" t="e">
        <f t="shared" si="14"/>
        <v>#DIV/0!</v>
      </c>
      <c r="Q42" s="38"/>
      <c r="R42" s="396" t="s">
        <v>386</v>
      </c>
      <c r="S42" s="397"/>
      <c r="T42" s="397"/>
      <c r="U42" s="397"/>
      <c r="V42" s="397"/>
      <c r="W42" s="397"/>
      <c r="X42" s="397"/>
      <c r="Y42" s="398"/>
      <c r="Z42" s="224"/>
      <c r="AA42" s="39"/>
      <c r="AB42" s="39"/>
      <c r="AC42" s="39"/>
      <c r="AD42" s="39"/>
      <c r="AE42" s="39"/>
      <c r="AF42" s="39"/>
      <c r="AG42" s="39"/>
      <c r="AH42" s="40"/>
      <c r="AI42" s="40"/>
      <c r="AJ42" s="40"/>
      <c r="AK42" s="41"/>
      <c r="AL42" s="41"/>
      <c r="AM42" s="41"/>
      <c r="AN42" s="41"/>
      <c r="AO42" s="41"/>
      <c r="AP42" s="41"/>
      <c r="AQ42" s="41"/>
      <c r="AR42" s="41"/>
      <c r="AS42" s="41"/>
      <c r="AT42" s="41"/>
      <c r="AU42" s="41"/>
      <c r="AV42" s="41"/>
      <c r="AW42" s="41"/>
      <c r="AX42" s="41"/>
      <c r="AY42" s="41"/>
      <c r="AZ42" s="41"/>
      <c r="BA42" s="41"/>
    </row>
    <row r="43" ht="11.25" customHeight="1" s="35" customFormat="1">
      <c r="A43" s="38"/>
      <c r="B43" s="69" t="s">
        <v>387</v>
      </c>
      <c r="C43" s="89"/>
      <c r="D43" s="394"/>
      <c r="E43" s="395" t="s">
        <v>388</v>
      </c>
      <c r="F43" s="370"/>
      <c r="G43" s="370"/>
      <c r="H43" s="47" t="s">
        <v>389</v>
      </c>
      <c r="I43" s="57"/>
      <c r="J43" s="399"/>
      <c r="K43" s="399">
        <f>'SBL Quotes'!$B$40</f>
        <v>0.05</v>
      </c>
      <c r="L43" s="57"/>
      <c r="M43" s="57"/>
      <c r="N43" s="263"/>
      <c r="O43" s="57"/>
      <c r="P43" s="263"/>
      <c r="Q43" s="38"/>
      <c r="R43" s="400"/>
      <c r="S43" s="401"/>
      <c r="T43" s="401"/>
      <c r="U43" s="401"/>
      <c r="V43" s="401"/>
      <c r="W43" s="401"/>
      <c r="X43" s="401"/>
      <c r="Y43" s="402"/>
      <c r="Z43" s="224"/>
      <c r="AA43" s="39"/>
      <c r="AB43" s="39"/>
      <c r="AC43" s="39"/>
      <c r="AD43" s="39"/>
      <c r="AE43" s="39"/>
      <c r="AF43" s="39"/>
      <c r="AG43" s="39"/>
      <c r="AH43" s="40"/>
      <c r="AI43" s="40"/>
      <c r="AJ43" s="40"/>
      <c r="AK43" s="41"/>
      <c r="AL43" s="41"/>
      <c r="AM43" s="41"/>
      <c r="AN43" s="41"/>
      <c r="AO43" s="41"/>
      <c r="AP43" s="41"/>
      <c r="AQ43" s="41"/>
      <c r="AR43" s="41"/>
      <c r="AS43" s="41"/>
      <c r="AT43" s="41"/>
      <c r="AU43" s="41"/>
      <c r="AV43" s="41"/>
      <c r="AW43" s="41"/>
      <c r="AX43" s="41"/>
      <c r="AY43" s="41"/>
      <c r="AZ43" s="41"/>
      <c r="BA43" s="41"/>
    </row>
    <row r="44" ht="11.25" customHeight="1" s="35" customFormat="1">
      <c r="A44" s="38"/>
      <c r="B44" s="69" t="s">
        <v>390</v>
      </c>
      <c r="C44" s="89"/>
      <c r="D44" s="394"/>
      <c r="E44" s="395" t="s">
        <v>293</v>
      </c>
      <c r="F44" s="370"/>
      <c r="G44" s="370"/>
      <c r="H44" s="110" t="s">
        <v>391</v>
      </c>
      <c r="I44" s="111"/>
      <c r="J44" s="403"/>
      <c r="K44" s="404">
        <f>Appraised_Cap</f>
        <v>0.05</v>
      </c>
      <c r="L44" s="111"/>
      <c r="M44" s="111"/>
      <c r="N44" s="314"/>
      <c r="O44" s="111"/>
      <c r="P44" s="314"/>
      <c r="Q44" s="38"/>
      <c r="R44" s="400"/>
      <c r="S44" s="401"/>
      <c r="T44" s="401"/>
      <c r="U44" s="401"/>
      <c r="V44" s="401"/>
      <c r="W44" s="401"/>
      <c r="X44" s="401"/>
      <c r="Y44" s="402"/>
      <c r="Z44" s="365"/>
      <c r="AA44" s="39"/>
      <c r="AB44" s="39"/>
      <c r="AC44" s="39"/>
      <c r="AD44" s="39"/>
      <c r="AE44" s="39"/>
      <c r="AF44" s="39"/>
      <c r="AG44" s="39"/>
      <c r="AH44" s="40"/>
      <c r="AI44" s="40"/>
      <c r="AJ44" s="40"/>
      <c r="AK44" s="41"/>
      <c r="AL44" s="41"/>
      <c r="AM44" s="41"/>
      <c r="AN44" s="41"/>
      <c r="AO44" s="41"/>
      <c r="AP44" s="41"/>
      <c r="AQ44" s="41"/>
      <c r="AR44" s="41"/>
      <c r="AS44" s="41"/>
      <c r="AT44" s="41"/>
      <c r="AU44" s="41"/>
      <c r="AV44" s="41"/>
      <c r="AW44" s="41"/>
      <c r="AX44" s="41"/>
      <c r="AY44" s="41"/>
      <c r="AZ44" s="41"/>
      <c r="BA44" s="41"/>
    </row>
    <row r="45" ht="11.25" customHeight="1" s="35" customFormat="1">
      <c r="A45" s="38"/>
      <c r="B45" s="69" t="s">
        <v>392</v>
      </c>
      <c r="C45" s="89"/>
      <c r="D45" s="394"/>
      <c r="E45" s="395" t="s">
        <v>393</v>
      </c>
      <c r="F45" s="370"/>
      <c r="G45" s="370"/>
      <c r="H45" s="38"/>
      <c r="I45" s="38"/>
      <c r="J45" s="45"/>
      <c r="K45" s="405"/>
      <c r="L45" s="38"/>
      <c r="M45" s="406"/>
      <c r="N45" s="407"/>
      <c r="O45" s="38"/>
      <c r="P45" s="38"/>
      <c r="Q45" s="38"/>
      <c r="R45" s="400"/>
      <c r="S45" s="401"/>
      <c r="T45" s="401"/>
      <c r="U45" s="401"/>
      <c r="V45" s="401"/>
      <c r="W45" s="401"/>
      <c r="X45" s="401"/>
      <c r="Y45" s="402"/>
      <c r="Z45" s="365"/>
      <c r="AA45" s="39"/>
      <c r="AB45" s="39"/>
      <c r="AC45" s="39"/>
      <c r="AD45" s="39"/>
      <c r="AE45" s="39"/>
      <c r="AF45" s="39"/>
      <c r="AG45" s="39"/>
      <c r="AH45" s="40"/>
      <c r="AI45" s="40"/>
      <c r="AJ45" s="40"/>
      <c r="AK45" s="41"/>
      <c r="AL45" s="41"/>
      <c r="AM45" s="41"/>
      <c r="AN45" s="41"/>
      <c r="AO45" s="41"/>
      <c r="AP45" s="41"/>
      <c r="AQ45" s="41"/>
      <c r="AR45" s="41"/>
      <c r="AS45" s="41"/>
      <c r="AT45" s="41"/>
      <c r="AU45" s="41"/>
      <c r="AV45" s="41"/>
      <c r="AW45" s="41"/>
      <c r="AX45" s="41"/>
      <c r="AY45" s="41"/>
      <c r="AZ45" s="41"/>
      <c r="BA45" s="41"/>
    </row>
    <row r="46" ht="11.25" customHeight="1" s="35" customFormat="1">
      <c r="A46" s="38"/>
      <c r="B46" s="69" t="s">
        <v>394</v>
      </c>
      <c r="C46" s="89"/>
      <c r="D46" s="394"/>
      <c r="E46" s="395" t="s">
        <v>395</v>
      </c>
      <c r="F46" s="370"/>
      <c r="G46" s="370"/>
      <c r="H46" s="38" t="s">
        <v>396</v>
      </c>
      <c r="I46" s="38"/>
      <c r="J46" s="38"/>
      <c r="K46" s="38"/>
      <c r="L46" s="38"/>
      <c r="M46" s="38"/>
      <c r="N46" s="45"/>
      <c r="O46" s="45"/>
      <c r="P46" s="45"/>
      <c r="Q46" s="38"/>
      <c r="R46" s="408"/>
      <c r="S46" s="409"/>
      <c r="T46" s="409"/>
      <c r="U46" s="409"/>
      <c r="V46" s="409"/>
      <c r="W46" s="409"/>
      <c r="X46" s="409"/>
      <c r="Y46" s="410"/>
      <c r="Z46" s="365"/>
      <c r="AA46" s="39"/>
      <c r="AB46" s="39"/>
      <c r="AC46" s="39"/>
      <c r="AD46" s="39"/>
      <c r="AE46" s="39"/>
      <c r="AF46" s="39"/>
      <c r="AG46" s="39"/>
      <c r="AH46" s="40"/>
      <c r="AI46" s="40"/>
      <c r="AJ46" s="40"/>
      <c r="AK46" s="411" t="s">
        <v>397</v>
      </c>
      <c r="AL46" s="154" t="str">
        <f>PropertyName_DataPageTab</f>
        <v>XXXX</v>
      </c>
      <c r="AN46" s="412" t="s">
        <v>398</v>
      </c>
      <c r="AO46" s="412"/>
      <c r="AP46" s="412" t="s">
        <v>399</v>
      </c>
      <c r="AQ46" s="412"/>
      <c r="AR46" s="412" t="s">
        <v>400</v>
      </c>
      <c r="AS46" s="41"/>
      <c r="AT46" s="41"/>
      <c r="AU46" s="41"/>
      <c r="AV46" s="41"/>
      <c r="AW46" s="41"/>
      <c r="AX46" s="41"/>
      <c r="AY46" s="41"/>
      <c r="AZ46" s="41"/>
      <c r="BA46" s="41"/>
    </row>
    <row r="47" ht="11.25" customHeight="1" s="35" customFormat="1">
      <c r="A47" s="38"/>
      <c r="B47" s="413"/>
      <c r="C47" s="414"/>
      <c r="D47" s="415" t="s">
        <v>401</v>
      </c>
      <c r="E47" s="416" t="s">
        <v>402</v>
      </c>
      <c r="F47" s="370"/>
      <c r="G47" s="370"/>
      <c r="H47" s="47" t="s">
        <v>403</v>
      </c>
      <c r="I47" s="57"/>
      <c r="J47" s="417"/>
      <c r="K47" s="418" t="e">
        <f>IF(LoanAmount&gt;0,((AmortizingDebtService+IF('SBL Quotes'!AN32="Supplemental",FirstDebtService_IfSupp+SecondDebtService_IfSupp+ThirdDebtService_IfSupp,0))-SOps_UnderwrittenTotalOtherIncome+SOps_UnderwrittenExpenses)/SOps_UnderwrittenGPR,0)</f>
        <v>#NAME?</v>
      </c>
      <c r="L47" s="57"/>
      <c r="M47" s="57"/>
      <c r="N47" s="419"/>
      <c r="O47" s="45"/>
      <c r="P47" s="45"/>
      <c r="Q47" s="45"/>
      <c r="R47" s="420" t="s">
        <v>404</v>
      </c>
      <c r="S47" s="421"/>
      <c r="T47" s="422"/>
      <c r="U47" s="422"/>
      <c r="V47" s="422"/>
      <c r="W47" s="423">
        <v>2</v>
      </c>
      <c r="X47" s="424"/>
      <c r="Y47" s="425"/>
      <c r="Z47" s="365"/>
      <c r="AA47" s="39"/>
      <c r="AB47" s="39"/>
      <c r="AC47" s="39"/>
      <c r="AD47" s="39"/>
      <c r="AE47" s="39"/>
      <c r="AF47" s="39"/>
      <c r="AG47" s="39"/>
      <c r="AH47" s="40"/>
      <c r="AI47" s="40"/>
      <c r="AJ47" s="40"/>
      <c r="AK47" s="426" t="s">
        <v>405</v>
      </c>
      <c r="AL47" s="124" t="str">
        <f>Property_Type</f>
        <v>Multifamily</v>
      </c>
      <c r="AM47" s="42" t="s">
        <v>202</v>
      </c>
      <c r="AN47" s="427" t="b">
        <f t="shared" si="16" ref="AN47:AP47">_xlfn.IFERROR($AL$47="Multifamily",FALSE)</f>
        <v>1</v>
      </c>
      <c r="AO47" s="42" t="s">
        <v>202</v>
      </c>
      <c r="AP47" s="427" t="b">
        <f t="shared" si="16"/>
        <v>1</v>
      </c>
      <c r="AQ47" s="42" t="s">
        <v>406</v>
      </c>
      <c r="AR47" s="427" t="b">
        <v>1</v>
      </c>
      <c r="AS47" s="41"/>
      <c r="AT47" s="41"/>
      <c r="AU47" s="41"/>
      <c r="AV47" s="41"/>
      <c r="AW47" s="41"/>
      <c r="AX47" s="41"/>
      <c r="AY47" s="41"/>
      <c r="AZ47" s="41"/>
      <c r="BA47" s="41"/>
    </row>
    <row r="48" ht="11.25" customHeight="1" s="35" customFormat="1">
      <c r="A48" s="38"/>
      <c r="B48" s="110" t="s">
        <v>407</v>
      </c>
      <c r="C48" s="111"/>
      <c r="D48" s="428" t="e">
        <f>Requested_Tier</f>
        <v>#NAME?</v>
      </c>
      <c r="E48" s="429" t="e">
        <f>IF(GETSELECTEDQUOTEVALUEFORDATAPAGE('SBL Quotes'!D39)=0,2,GETSELECTEDQUOTEVALUEFORDATAPAGE('SBL Quotes'!D39))</f>
        <v>#NAME?</v>
      </c>
      <c r="F48" s="38"/>
      <c r="G48" s="38"/>
      <c r="H48" s="430" t="s">
        <v>408</v>
      </c>
      <c r="I48" s="89"/>
      <c r="J48" s="431"/>
      <c r="K48" s="432" t="e">
        <f>'FNM Exit Strategy'!AL16</f>
        <v>#NAME?</v>
      </c>
      <c r="L48" s="89"/>
      <c r="M48" s="89"/>
      <c r="N48" s="433"/>
      <c r="O48" s="38"/>
      <c r="P48" s="45"/>
      <c r="Q48" s="45"/>
      <c r="R48" s="434" t="s">
        <v>409</v>
      </c>
      <c r="S48" s="435"/>
      <c r="T48" s="436"/>
      <c r="U48" s="436"/>
      <c r="V48" s="436"/>
      <c r="W48" s="437">
        <v>0.75</v>
      </c>
      <c r="X48" s="438"/>
      <c r="Y48" s="439"/>
      <c r="Z48" s="365"/>
      <c r="AA48" s="39"/>
      <c r="AB48" s="39"/>
      <c r="AC48" s="39"/>
      <c r="AD48" s="39"/>
      <c r="AE48" s="39"/>
      <c r="AF48" s="39"/>
      <c r="AG48" s="39"/>
      <c r="AH48" s="40"/>
      <c r="AI48" s="40"/>
      <c r="AJ48" s="40"/>
      <c r="AK48" s="440" t="s">
        <v>410</v>
      </c>
      <c r="AL48" s="124" t="str">
        <f>Loan_Purpose</f>
        <v>Refinance</v>
      </c>
      <c r="AM48" s="42" t="s">
        <v>406</v>
      </c>
      <c r="AN48" s="427" t="b">
        <v>1</v>
      </c>
      <c r="AO48" s="42" t="s">
        <v>406</v>
      </c>
      <c r="AP48" s="427" t="b">
        <v>1</v>
      </c>
      <c r="AQ48" s="42" t="s">
        <v>406</v>
      </c>
      <c r="AR48" s="427" t="b">
        <v>1</v>
      </c>
      <c r="AS48" s="41"/>
      <c r="AT48" s="41"/>
      <c r="AU48" s="41"/>
      <c r="AV48" s="41"/>
      <c r="AW48" s="41"/>
      <c r="AX48" s="41"/>
      <c r="AY48" s="41"/>
      <c r="AZ48" s="41"/>
      <c r="BA48" s="41"/>
    </row>
    <row r="49" ht="11.25" customHeight="1" s="35" customFormat="1">
      <c r="A49" s="38"/>
      <c r="B49" s="110" t="s">
        <v>411</v>
      </c>
      <c r="C49" s="111"/>
      <c r="D49" s="441">
        <v>0.75</v>
      </c>
      <c r="E49" s="442" cm="1">
        <f t="array" ref="E49">_xlfn.IFERROR(GETSELECTEDQUOTEVALUEFORDATAPAGE('SBL Quotes'!D41)*1,Tier_Max_LTV)</f>
        <v>0.75</v>
      </c>
      <c r="F49" s="38"/>
      <c r="G49" s="38"/>
      <c r="H49" s="69" t="s">
        <v>412</v>
      </c>
      <c r="I49" s="89"/>
      <c r="J49" s="443" t="s">
        <v>413</v>
      </c>
      <c r="K49" s="444" t="e">
        <f>IF('SBL Quotes'!AN35="Assumption",FirstDebtService_IfSupp+SecondDebtService_IfSupp+ThirdDebtService_IfSupp,LoanAmount*NoteConstant)</f>
        <v>#NAME?</v>
      </c>
      <c r="L49" s="89"/>
      <c r="M49" s="89" t="s">
        <v>228</v>
      </c>
      <c r="N49" s="445" t="e">
        <f>IF('SBL Quotes'!AN35="Assumption",IF(FirstRemIO_IfSupp&gt;0,FirstOrigLoan_IfSupp*FirstRate_IfSupp,FirstDebtService_IfSupp)+IF(SecondRemIO_IfSupp&gt;0,SecondOrigLoan_IfSupp*SecondRate_IfSupp,SecondDebtService_IfSupp)+IF(ThirdRemIO_IfSupp&gt;0,ThirdOrigLoan_IfSupp*ThirdRate_IfSupp,ThirdDebtService_IfSupp),IF(InterestOnly&gt;0,LoanAmount*NoteRate,AmortizingDebtService))</f>
        <v>#NAME?</v>
      </c>
      <c r="O49" s="38"/>
      <c r="P49" s="45"/>
      <c r="Q49" s="45"/>
      <c r="R49" s="434" t="s">
        <v>414</v>
      </c>
      <c r="S49" s="435"/>
      <c r="T49" s="436"/>
      <c r="U49" s="436"/>
      <c r="V49" s="436"/>
      <c r="W49" s="446">
        <v>1.25</v>
      </c>
      <c r="X49" s="447"/>
      <c r="Y49" s="448"/>
      <c r="Z49" s="365"/>
      <c r="AA49" s="39"/>
      <c r="AB49" s="39"/>
      <c r="AC49" s="39"/>
      <c r="AD49" s="39"/>
      <c r="AE49" s="39"/>
      <c r="AF49" s="39"/>
      <c r="AG49" s="39"/>
      <c r="AH49" s="40"/>
      <c r="AI49" s="40"/>
      <c r="AJ49" s="40"/>
      <c r="AK49" s="426" t="s">
        <v>415</v>
      </c>
      <c r="AL49" s="449">
        <f>_xlfn.IFERROR(LoanAmount,0)</f>
        <v>0</v>
      </c>
      <c r="AM49" s="450">
        <v>15000000</v>
      </c>
      <c r="AN49" s="427" t="b">
        <f>_xlfn.IFERROR(AL49&gt;=AM49,FALSE)</f>
        <v>0</v>
      </c>
      <c r="AO49" s="450">
        <v>13000000</v>
      </c>
      <c r="AP49" s="427" t="b">
        <f>_xlfn.IFERROR(AL49&gt;=AO49,FALSE)</f>
        <v>0</v>
      </c>
      <c r="AQ49" s="450">
        <v>10000000</v>
      </c>
      <c r="AR49" s="427" t="b">
        <f>_xlfn.IFERROR(AL49&gt;=AQ49,FALSE)</f>
        <v>0</v>
      </c>
      <c r="AS49" s="41"/>
      <c r="AT49" s="41"/>
      <c r="AU49" s="41"/>
      <c r="AV49" s="41"/>
      <c r="AW49" s="41"/>
      <c r="AX49" s="41"/>
      <c r="AY49" s="41"/>
      <c r="AZ49" s="41"/>
      <c r="BA49" s="41"/>
    </row>
    <row r="50" ht="11.25" customHeight="1" s="35" customFormat="1">
      <c r="A50" s="38"/>
      <c r="B50" s="47" t="s">
        <v>416</v>
      </c>
      <c r="C50" s="57"/>
      <c r="D50" s="451" t="e">
        <f t="shared" si="17" ref="D50:E50">Tier_Min_Floor_UW_DSCR</f>
        <v>#NAME?</v>
      </c>
      <c r="E50" s="452" t="e">
        <f t="shared" si="17"/>
        <v>#NAME?</v>
      </c>
      <c r="F50" s="38"/>
      <c r="G50" s="38"/>
      <c r="H50" s="69" t="s">
        <v>417</v>
      </c>
      <c r="I50" s="89"/>
      <c r="J50" s="453"/>
      <c r="K50" s="365">
        <f>_xlfn.IFERROR(SOps_UnderwrittenNCF/(LoanAmount+IF('SBL Quotes'!AN32="Supplemental",(FirstUPB_IfSupp+SecondUPB_IfSupp+ThirdUPB_IfSupp),0)),0)</f>
        <v>0</v>
      </c>
      <c r="L50" s="89"/>
      <c r="M50" s="454"/>
      <c r="N50" s="455"/>
      <c r="O50" s="38"/>
      <c r="P50" s="45"/>
      <c r="Q50" s="45"/>
      <c r="R50" s="434" t="s">
        <v>418</v>
      </c>
      <c r="S50" s="435"/>
      <c r="T50" s="436"/>
      <c r="U50" s="436"/>
      <c r="V50" s="436"/>
      <c r="W50" s="456">
        <v>30</v>
      </c>
      <c r="X50" s="457"/>
      <c r="Y50" s="458"/>
      <c r="Z50" s="459"/>
      <c r="AA50" s="39"/>
      <c r="AB50" s="39"/>
      <c r="AC50" s="39"/>
      <c r="AD50" s="39"/>
      <c r="AE50" s="39"/>
      <c r="AF50" s="39"/>
      <c r="AG50" s="39"/>
      <c r="AH50" s="40"/>
      <c r="AI50" s="40"/>
      <c r="AJ50" s="40"/>
      <c r="AK50" s="426" t="s">
        <v>419</v>
      </c>
      <c r="AL50" s="124" t="str">
        <f>Interest_Rate_Type</f>
        <v>Fixed</v>
      </c>
      <c r="AM50" s="460" t="s">
        <v>420</v>
      </c>
      <c r="AN50" s="427" t="b">
        <v>1</v>
      </c>
      <c r="AO50" s="460" t="s">
        <v>420</v>
      </c>
      <c r="AP50" s="427" t="b">
        <v>1</v>
      </c>
      <c r="AQ50" s="460" t="s">
        <v>420</v>
      </c>
      <c r="AR50" s="427" t="b">
        <v>1</v>
      </c>
      <c r="AS50" s="41"/>
      <c r="AT50" s="41"/>
      <c r="AU50" s="41"/>
      <c r="AV50" s="41"/>
      <c r="AW50" s="41"/>
      <c r="AX50" s="41"/>
      <c r="AY50" s="41"/>
      <c r="AZ50" s="41"/>
      <c r="BA50" s="41"/>
    </row>
    <row r="51" ht="11.25" customHeight="1" s="35" customFormat="1">
      <c r="A51" s="38"/>
      <c r="B51" s="69" t="s">
        <v>421</v>
      </c>
      <c r="C51" s="89"/>
      <c r="D51" s="461" t="e">
        <f>IF(Min_Tier=2,1.25,IF(Min_Tier=3,1.35,IF(Min_Tier=4,1.55,0)))</f>
        <v>#NAME?</v>
      </c>
      <c r="E51" s="462" cm="1" t="e">
        <f t="array" ref="E51">GETSELECTEDQUOTEVALUEFORDATAPAGE('SBL Quotes'!D72)</f>
        <v>#NAME?</v>
      </c>
      <c r="F51" s="38"/>
      <c r="G51" s="38"/>
      <c r="H51" s="69" t="s">
        <v>422</v>
      </c>
      <c r="I51" s="89"/>
      <c r="J51" s="453" cm="1" t="e">
        <f t="array" ref="J51">IF(DataPage_View="Producer View",GETSELECTEDQUOTEVALUEFORDATAPAGE('SBL Quotes'!D82),PD!V5)</f>
        <v>#NAME?</v>
      </c>
      <c r="K51" s="405" t="e">
        <f>IF(Term=Amort,"N/A",'FNM Exit Strategy'!AL25)</f>
        <v>#NAME?</v>
      </c>
      <c r="L51" s="89"/>
      <c r="M51" s="435" t="s">
        <v>423</v>
      </c>
      <c r="N51" s="463">
        <f>'FNM Exit Strategy'!AM25</f>
        <v>0</v>
      </c>
      <c r="O51" s="38"/>
      <c r="P51" s="45"/>
      <c r="Q51" s="45"/>
      <c r="R51" s="434" t="s">
        <v>424</v>
      </c>
      <c r="S51" s="435"/>
      <c r="T51" s="436"/>
      <c r="U51" s="436"/>
      <c r="V51" s="436"/>
      <c r="W51" s="464">
        <v>0</v>
      </c>
      <c r="X51" s="465"/>
      <c r="Y51" s="466"/>
      <c r="Z51" s="39"/>
      <c r="AA51" s="39"/>
      <c r="AB51" s="39"/>
      <c r="AC51" s="39"/>
      <c r="AD51" s="39"/>
      <c r="AE51" s="39"/>
      <c r="AF51" s="39"/>
      <c r="AG51" s="39"/>
      <c r="AH51" s="40"/>
      <c r="AI51" s="40"/>
      <c r="AJ51" s="40"/>
      <c r="AK51" s="426" t="str">
        <f>IF(ISNUMBER(Loan_to_Cost),"Loan-to-Cost (LTC)","Loan-to-Value (LTV)")&amp;" is at or below maximum:"</f>
        <v>Loan-to-Value (LTV) is at or below maximum:</v>
      </c>
      <c r="AL51" s="467">
        <f>IF(ISNUMBER(Loan_to_Cost),Loan_to_Cost,LTV)</f>
        <v>0</v>
      </c>
      <c r="AM51" s="468">
        <v>0.83</v>
      </c>
      <c r="AN51" s="469" t="b">
        <f t="shared" si="18" ref="AN51:AP51">IF(ISNUMBER($AL51),$AL51&lt;=AM51,FALSE)</f>
        <v>1</v>
      </c>
      <c r="AO51" s="468">
        <v>0.83</v>
      </c>
      <c r="AP51" s="469" t="b">
        <f t="shared" si="18"/>
        <v>1</v>
      </c>
      <c r="AQ51" s="468"/>
      <c r="AR51" s="470"/>
      <c r="AS51" s="41"/>
      <c r="AT51" s="41"/>
      <c r="AU51" s="41"/>
      <c r="AV51" s="41"/>
      <c r="AW51" s="41"/>
      <c r="AX51" s="41"/>
      <c r="AY51" s="41"/>
      <c r="AZ51" s="41"/>
      <c r="BA51" s="41"/>
    </row>
    <row r="52" ht="11.25" customHeight="1" s="35" customFormat="1">
      <c r="A52" s="471"/>
      <c r="B52" s="47" t="s">
        <v>426</v>
      </c>
      <c r="C52" s="57"/>
      <c r="D52" s="472" t="e">
        <f>Term</f>
        <v>#NAME?</v>
      </c>
      <c r="E52" s="473" cm="1" t="e">
        <f t="array" ref="E52">GETSELECTEDQUOTEVALUEFORDATAPAGE('SBL Quotes'!D98)</f>
        <v>#NAME?</v>
      </c>
      <c r="F52" s="38"/>
      <c r="G52" s="38"/>
      <c r="H52" s="110" t="s">
        <v>427</v>
      </c>
      <c r="I52" s="111"/>
      <c r="J52" s="111"/>
      <c r="K52" s="474" t="e">
        <f>IF(Term=Amort,"N/A",'FNM Exit Strategy'!AL21)</f>
        <v>#NAME?</v>
      </c>
      <c r="L52" s="111"/>
      <c r="M52" s="475" t="s">
        <v>428</v>
      </c>
      <c r="N52" s="476">
        <f>'FNM Exit Strategy'!AM21</f>
        <v>0</v>
      </c>
      <c r="O52" s="45"/>
      <c r="P52" s="45"/>
      <c r="Q52" s="45"/>
      <c r="R52" s="434" t="s">
        <v>429</v>
      </c>
      <c r="S52" s="435"/>
      <c r="T52" s="436"/>
      <c r="U52" s="436"/>
      <c r="V52" s="436"/>
      <c r="W52" s="464">
        <v>0</v>
      </c>
      <c r="X52" s="465"/>
      <c r="Y52" s="466"/>
      <c r="Z52" s="39"/>
      <c r="AA52" s="39"/>
      <c r="AB52" s="39"/>
      <c r="AC52" s="39"/>
      <c r="AD52" s="39"/>
      <c r="AE52" s="39"/>
      <c r="AF52" s="39"/>
      <c r="AG52" s="39"/>
      <c r="AH52" s="40"/>
      <c r="AI52" s="40"/>
      <c r="AJ52" s="40"/>
      <c r="AK52" s="477" t="s">
        <v>430</v>
      </c>
      <c r="AL52" s="42" t="s">
        <v>431</v>
      </c>
      <c r="AM52" s="41"/>
      <c r="AN52" s="478" t="b">
        <f t="shared" si="19" ref="AN52:AR52">COUNTIF(AN47:AN51,"FALSE")=0</f>
        <v>0</v>
      </c>
      <c r="AO52" s="41"/>
      <c r="AP52" s="478" t="b">
        <f t="shared" si="19"/>
        <v>0</v>
      </c>
      <c r="AQ52" s="41"/>
      <c r="AR52" s="478" t="b">
        <f t="shared" si="19"/>
        <v>0</v>
      </c>
      <c r="AS52" s="41"/>
      <c r="AT52" s="41"/>
      <c r="AU52" s="41"/>
      <c r="AV52" s="41"/>
      <c r="AW52" s="41"/>
      <c r="AX52" s="41"/>
      <c r="AY52" s="41"/>
      <c r="AZ52" s="41"/>
      <c r="BA52" s="41"/>
    </row>
    <row r="53" ht="15" customHeight="1" s="35" customFormat="1">
      <c r="A53" s="471"/>
      <c r="B53" s="479" t="s">
        <v>432</v>
      </c>
      <c r="C53" s="480"/>
      <c r="D53" s="481" t="e">
        <f>Amort</f>
        <v>#NAME?</v>
      </c>
      <c r="E53" s="482" t="e">
        <f>GETSELECTEDQUOTEVALUEFORDATAPAGE('SBL Quotes'!D46)</f>
        <v>#NAME?</v>
      </c>
      <c r="F53" s="471"/>
      <c r="G53" s="471"/>
      <c r="H53" s="471"/>
      <c r="I53" s="471"/>
      <c r="J53" s="483"/>
      <c r="K53" s="484"/>
      <c r="L53" s="485"/>
      <c r="M53" s="486"/>
      <c r="N53" s="487"/>
      <c r="O53" s="488"/>
      <c r="P53" s="45"/>
      <c r="Q53" s="45"/>
      <c r="R53" s="434" t="s">
        <v>433</v>
      </c>
      <c r="S53" s="435"/>
      <c r="T53" s="436"/>
      <c r="U53" s="436"/>
      <c r="V53" s="436"/>
      <c r="W53" s="489" t="e">
        <f>IF(NewLoanTestCheck="Fannie Mae New Loan Test (Required)",IF(Amort&gt;0,(PMT(IF(OR(W52="N/A",W52="NA",W52=""),W51,MAX(W51,W52))/12,W50*12,-1))*12,0),"N/A")</f>
        <v>#NAME?</v>
      </c>
      <c r="X53" s="490"/>
      <c r="Y53" s="491"/>
      <c r="Z53" s="39"/>
      <c r="AA53" s="39"/>
      <c r="AB53" s="39"/>
      <c r="AC53" s="39"/>
      <c r="AD53" s="39"/>
      <c r="AE53" s="39"/>
      <c r="AF53" s="39"/>
      <c r="AG53" s="39"/>
      <c r="AH53" s="40"/>
      <c r="AI53" s="40"/>
      <c r="AJ53" s="40"/>
      <c r="AL53" s="41"/>
      <c r="AM53" s="41"/>
      <c r="AN53" s="492"/>
      <c r="AO53" s="41"/>
      <c r="AP53" s="492"/>
      <c r="AQ53" s="41"/>
      <c r="AR53" s="492"/>
      <c r="AS53" s="41"/>
      <c r="AT53" s="41"/>
      <c r="AU53" s="41"/>
      <c r="AV53" s="41"/>
      <c r="AW53" s="41"/>
      <c r="AX53" s="41"/>
      <c r="AY53" s="41"/>
      <c r="AZ53" s="41"/>
      <c r="BA53" s="41"/>
    </row>
    <row r="54" ht="12" customHeight="1" s="35" customFormat="1">
      <c r="A54" s="38"/>
      <c r="B54" s="493" cm="1" t="e">
        <f t="array" ref="B54">IF(GETSELECTEDQUOTEVALUEFORDATAPAGE('SBL Quotes'!D38)="Defeasance","Defeasance","Yield Maintenance (years)")</f>
        <v>#NAME?</v>
      </c>
      <c r="C54" s="480"/>
      <c r="D54" s="494">
        <v>9.5</v>
      </c>
      <c r="E54" s="495">
        <f>D54</f>
        <v>9.5</v>
      </c>
      <c r="F54" s="38"/>
      <c r="G54" s="38"/>
      <c r="H54" s="496" t="s">
        <v>434</v>
      </c>
      <c r="I54" s="38"/>
      <c r="J54" s="497"/>
      <c r="K54" s="498"/>
      <c r="L54" s="38"/>
      <c r="M54" s="38"/>
      <c r="N54" s="38"/>
      <c r="O54" s="38"/>
      <c r="P54" s="45"/>
      <c r="Q54" s="45"/>
      <c r="R54" s="434" t="s">
        <v>435</v>
      </c>
      <c r="S54" s="435"/>
      <c r="T54" s="436"/>
      <c r="U54" s="436"/>
      <c r="V54" s="436"/>
      <c r="W54" s="499">
        <f>IF(NewLoanTestCheck="Fannie Mae New Loan Test (Required)",(UW_Value*W48),"N/A")</f>
        <v>-25814283.15</v>
      </c>
      <c r="X54" s="500"/>
      <c r="Y54" s="501"/>
      <c r="Z54" s="39"/>
      <c r="AA54" s="39"/>
      <c r="AB54" s="39"/>
      <c r="AC54" s="39"/>
      <c r="AD54" s="39"/>
      <c r="AE54" s="39"/>
      <c r="AF54" s="39"/>
      <c r="AG54" s="39"/>
      <c r="AH54" s="40"/>
      <c r="AI54" s="40"/>
      <c r="AJ54" s="40"/>
      <c r="AK54" s="502"/>
      <c r="AL54" s="502"/>
      <c r="AM54" s="41"/>
      <c r="AN54" s="41"/>
      <c r="AO54" s="41"/>
      <c r="AP54" s="41"/>
      <c r="AQ54" s="41"/>
      <c r="AR54" s="41"/>
      <c r="AS54" s="502"/>
      <c r="AT54" s="41"/>
      <c r="AU54" s="41"/>
      <c r="AV54" s="41"/>
      <c r="AW54" s="41"/>
      <c r="AX54" s="41"/>
      <c r="AY54" s="41"/>
      <c r="AZ54" s="41"/>
      <c r="BA54" s="41"/>
    </row>
    <row r="55" ht="11.25" customHeight="1" s="35" customFormat="1">
      <c r="A55" s="38"/>
      <c r="B55" s="110" t="s">
        <v>436</v>
      </c>
      <c r="C55" s="111"/>
      <c r="D55" s="503" cm="1" t="e">
        <f t="array" ref="D55">GETSELECTEDQUOTEVALUEFORDATAPAGE('SBL Quotes'!D44)</f>
        <v>#NAME?</v>
      </c>
      <c r="E55" s="504" t="e">
        <f>GETSELECTEDQUOTEVALUEFORDATAPAGE('SBL Quotes'!D43)</f>
        <v>#NAME?</v>
      </c>
      <c r="F55" s="38"/>
      <c r="G55" s="38"/>
      <c r="H55" s="47"/>
      <c r="I55" s="57"/>
      <c r="J55" s="505" t="s">
        <v>437</v>
      </c>
      <c r="K55" s="506" t="s">
        <v>438</v>
      </c>
      <c r="L55" s="507" t="s">
        <v>439</v>
      </c>
      <c r="M55" s="414"/>
      <c r="N55" s="508" t="s">
        <v>440</v>
      </c>
      <c r="O55" s="38"/>
      <c r="P55" s="45"/>
      <c r="Q55" s="45"/>
      <c r="R55" s="509" t="s">
        <v>441</v>
      </c>
      <c r="S55" s="475"/>
      <c r="T55" s="510"/>
      <c r="U55" s="510"/>
      <c r="V55" s="510"/>
      <c r="W55" s="511" t="e">
        <f>IF(NewLoanTestCheck="Fannie Mae New Loan Test (Required)",MIN((SOps_UnderwrittenNCF/W49/W53),W54)-FirstUPB_IfSupp-SecondUPB_IfSupp-ThirdUPB_IfSupp,"N/A")</f>
        <v>#NAME?</v>
      </c>
      <c r="X55" s="512"/>
      <c r="Y55" s="513"/>
      <c r="Z55" s="39"/>
      <c r="AA55" s="39"/>
      <c r="AB55" s="39"/>
      <c r="AC55" s="39"/>
      <c r="AD55" s="39"/>
      <c r="AE55" s="39"/>
      <c r="AF55" s="39"/>
      <c r="AG55" s="39"/>
      <c r="AH55" s="40"/>
      <c r="AI55" s="40"/>
      <c r="AJ55" s="40"/>
      <c r="AK55" s="41"/>
      <c r="AL55" s="41"/>
      <c r="AM55" s="41"/>
      <c r="AN55" s="41"/>
      <c r="AO55" s="41"/>
      <c r="AP55" s="41"/>
      <c r="AQ55" s="41"/>
      <c r="AR55" s="41"/>
      <c r="AS55" s="41"/>
      <c r="AT55" s="41"/>
      <c r="AU55" s="41"/>
      <c r="AV55" s="41"/>
      <c r="AW55" s="41"/>
      <c r="AX55" s="41"/>
      <c r="AY55" s="41"/>
      <c r="AZ55" s="41"/>
      <c r="BA55" s="41"/>
    </row>
    <row r="56" ht="14.25" customHeight="1" s="35" customFormat="1">
      <c r="A56" s="38"/>
      <c r="B56" s="38"/>
      <c r="C56" s="38"/>
      <c r="D56" s="38"/>
      <c r="E56" s="224"/>
      <c r="F56" s="38"/>
      <c r="G56" s="38"/>
      <c r="H56" s="69" t="s">
        <v>442</v>
      </c>
      <c r="I56" s="89"/>
      <c r="J56" s="514">
        <f>_xlfn.IFERROR(SOps_UnderwrittenNCF/((LoanAmount*NoteConstant)+IF('SBL Quotes'!AN32="Supplemental",(FirstDebtService_IfSupp+SecondDebtService_IfSupp+ThirdDebtService_IfSupp),0)),0)</f>
        <v>0</v>
      </c>
      <c r="K56" s="515">
        <f t="shared" si="20" ref="K56:K57">_xlfn.IFERROR(SOps_UnderwrittenNCF/(FirstDebtService_IfSupp+SecondDebtService_IfSupp+ThirdDebtService_IfSupp),0)</f>
        <v>0</v>
      </c>
      <c r="L56" s="516">
        <f>_xlfn.IFERROR(SOps_UnderwrittenNCF/(IF('SBL Quotes'!AN32="Supplemental",IF(FirstRemIO_IfSupp&gt;0,FirstOrigLoan_IfSupp*FirstRate_IfSupp,FirstDebtService_IfSupp)+IF(SecondRemIO_IfSupp&gt;0,SecondOrigLoan_IfSupp*SecondRate_IfSupp,SecondDebtService_IfSupp)+IF(ThirdRemIO_IfSupp&gt;0,ThirdOrigLoan_IfSupp*ThirdRate_IfSupp,ThirdDebtService_IfSupp),0)+IF(InterestOnly&gt;0,InterestOnlyDebtService,AmortizingDebtService)),0)</f>
        <v>0</v>
      </c>
      <c r="M56" s="517"/>
      <c r="N56" s="518">
        <f>IF(SOps_UnderwrittenNCF&gt;0,SOps_UnderwrittenNCF/(((PMT(NoteRate/12,Amort*12,-RequestedLoan))*12)+IF('SBL Quotes'!AN32="Supplemental",FirstDebtService_IfSupp+SecondDebtService_IfSupp+ThirdDebtService_IfSupp,0)),0)</f>
        <v>0</v>
      </c>
      <c r="O56" s="38"/>
      <c r="P56" s="45"/>
      <c r="Q56" s="45"/>
      <c r="R56" s="519"/>
      <c r="S56" s="520"/>
      <c r="T56" s="521"/>
      <c r="U56" s="521"/>
      <c r="V56" s="522"/>
      <c r="W56" s="523"/>
      <c r="X56" s="523"/>
      <c r="Y56" s="524"/>
      <c r="Z56" s="39"/>
      <c r="AA56" s="39"/>
      <c r="AB56" s="39"/>
      <c r="AC56" s="39"/>
      <c r="AD56" s="39"/>
      <c r="AE56" s="39"/>
      <c r="AF56" s="39"/>
      <c r="AG56" s="39"/>
      <c r="AH56" s="40"/>
      <c r="AI56" s="40"/>
      <c r="AJ56" s="40"/>
      <c r="AK56" s="502"/>
      <c r="AL56" s="502"/>
      <c r="AM56" s="41"/>
      <c r="AN56" s="41"/>
      <c r="AO56" s="41"/>
      <c r="AP56" s="41"/>
      <c r="AQ56" s="41"/>
      <c r="AR56" s="41"/>
      <c r="AS56" s="41"/>
      <c r="AT56" s="41"/>
      <c r="AU56" s="41"/>
      <c r="AV56" s="41"/>
      <c r="AW56" s="41"/>
      <c r="AX56" s="41"/>
      <c r="AY56" s="41"/>
      <c r="AZ56" s="41"/>
      <c r="BA56" s="41"/>
    </row>
    <row r="57" ht="14.25" customHeight="1" s="35" customFormat="1">
      <c r="A57" s="38"/>
      <c r="B57" s="38" t="s">
        <v>443</v>
      </c>
      <c r="C57" s="38"/>
      <c r="D57" s="38"/>
      <c r="E57" s="38"/>
      <c r="F57" s="45"/>
      <c r="G57" s="45"/>
      <c r="H57" s="479" t="s">
        <v>444</v>
      </c>
      <c r="I57" s="480"/>
      <c r="J57" s="483">
        <f>_xlfn.IFERROR(IF(OR(FloorRate="N/A",FloorRate="NA",FloorRate=""),"N/A",SOps_UnderwrittenNCF/((LoanAmount*FloorConstant)+IF('SBL Quotes'!AN32="Supplemental",(FirstDebtService_IfSupp+SecondDebtService_IfSupp+ThirdDebtService_IfSupp),0))),0)</f>
        <v>0</v>
      </c>
      <c r="K57" s="525">
        <f t="shared" si="20"/>
        <v>0</v>
      </c>
      <c r="L57" s="526"/>
      <c r="M57" s="517"/>
      <c r="N57" s="527" t="e">
        <f>IF(OR(FloorRate="N/A",FloorRate="NA",FloorRate=""),"N/A",IF(SOps_UnderwrittenNCF&gt;0,SOps_UnderwrittenNCF/(((PMT(FloorRate/12,Amort*12,-RequestedLoan))*12)+IF('SBL Quotes'!AN32="Supplemental",FirstDebtService_IfSupp+SecondDebtService_IfSupp+ThirdDebtService_IfSupp,0)),0))</f>
        <v>#NAME?</v>
      </c>
      <c r="O57" s="38"/>
      <c r="P57" s="45"/>
      <c r="Q57" s="45"/>
      <c r="R57" s="519">
        <f>IF(Interest_Rate_Type="Fixed","","Variable Rate Mortgage Loans are not eligible for Tier Dropping")</f>
      </c>
      <c r="S57" s="520"/>
      <c r="T57" s="521"/>
      <c r="U57" s="521"/>
      <c r="V57" s="522"/>
      <c r="W57" s="522"/>
      <c r="X57" s="522"/>
      <c r="Y57" s="528"/>
      <c r="Z57" s="39"/>
      <c r="AA57" s="39"/>
      <c r="AB57" s="39"/>
      <c r="AC57" s="39"/>
      <c r="AD57" s="39"/>
      <c r="AE57" s="39"/>
      <c r="AF57" s="39"/>
      <c r="AG57" s="39"/>
      <c r="AH57" s="40"/>
      <c r="AI57" s="40"/>
      <c r="AJ57" s="40"/>
      <c r="AK57" s="41"/>
      <c r="AL57" s="41"/>
      <c r="AM57" s="41"/>
      <c r="AN57" s="41"/>
      <c r="AO57" s="41"/>
      <c r="AP57" s="41"/>
      <c r="AQ57" s="41"/>
      <c r="AR57" s="41"/>
      <c r="AS57" s="41"/>
      <c r="AT57" s="41"/>
      <c r="AU57" s="41"/>
      <c r="AV57" s="41"/>
      <c r="AW57" s="41"/>
      <c r="AX57" s="41"/>
      <c r="AY57" s="41"/>
      <c r="AZ57" s="41"/>
      <c r="BA57" s="41"/>
    </row>
    <row r="58" ht="11.25" customHeight="1" s="35" customFormat="1">
      <c r="A58" s="38"/>
      <c r="B58" s="47" t="s">
        <v>445</v>
      </c>
      <c r="C58" s="417"/>
      <c r="D58" s="529"/>
      <c r="E58" s="530" t="s">
        <v>393</v>
      </c>
      <c r="F58" s="45"/>
      <c r="G58" s="45"/>
      <c r="H58" s="413" t="s">
        <v>446</v>
      </c>
      <c r="I58" s="414"/>
      <c r="J58" s="531">
        <f>_xlfn.IFERROR((IF('SBL Quotes'!AN32="Supplemental",(FirstUPB_IfSupp+SecondUPB_IfSupp+ThirdUPB_IfSupp),0)+LoanAmount)/Appraised_Value,0)</f>
        <v>0</v>
      </c>
      <c r="K58" s="532">
        <f>_xlfn.IFERROR((FirstUPB_IfSupp+SecondUPB_IfSupp+ThirdUPB_IfSupp)/Appraised_Value,0)</f>
        <v>0</v>
      </c>
      <c r="L58" s="533"/>
      <c r="M58" s="414"/>
      <c r="N58" s="508"/>
      <c r="O58" s="38"/>
      <c r="P58" s="38"/>
      <c r="Q58" s="38"/>
      <c r="R58" s="534" t="str">
        <f>"Pricing for Tier Dropping Supplemental Loans"&amp;IF(W59="No"," (Not Applicable)","")</f>
        <v>Pricing for Tier Dropping Supplemental Loans (Not Applicable)</v>
      </c>
      <c r="S58" s="535"/>
      <c r="T58" s="536"/>
      <c r="U58" s="536"/>
      <c r="V58" s="536"/>
      <c r="W58" s="537"/>
      <c r="X58" s="537"/>
      <c r="Y58" s="538"/>
      <c r="Z58" s="39"/>
      <c r="AA58" s="39"/>
      <c r="AB58" s="39"/>
      <c r="AC58" s="39"/>
      <c r="AD58" s="39"/>
      <c r="AE58" s="39"/>
      <c r="AF58" s="39"/>
      <c r="AG58" s="39"/>
      <c r="AH58" s="40"/>
      <c r="AI58" s="40"/>
      <c r="AJ58" s="40"/>
      <c r="AK58" s="502"/>
      <c r="AL58" s="502"/>
      <c r="AM58" s="41"/>
      <c r="AN58" s="41"/>
      <c r="AO58" s="41"/>
      <c r="AP58" s="41"/>
      <c r="AQ58" s="41"/>
      <c r="AR58" s="41"/>
      <c r="AS58" s="41"/>
      <c r="AT58" s="41"/>
      <c r="AU58" s="41"/>
      <c r="AV58" s="41"/>
      <c r="AW58" s="41"/>
      <c r="AX58" s="41"/>
      <c r="AY58" s="41"/>
      <c r="AZ58" s="41"/>
      <c r="BA58" s="41"/>
    </row>
    <row r="59" ht="11.25" customHeight="1" s="35" customFormat="1">
      <c r="A59" s="38"/>
      <c r="B59" s="69" t="s">
        <v>448</v>
      </c>
      <c r="C59" s="431"/>
      <c r="D59" s="431"/>
      <c r="E59" s="539" cm="1" t="e">
        <f t="array" ref="E59">GETSELECTEDQUOTEVALUEFORDATAPAGE('SBL Quotes'!D50)</f>
        <v>#NAME?</v>
      </c>
      <c r="F59" s="38"/>
      <c r="G59" s="38"/>
      <c r="H59" s="69" t="s">
        <v>449</v>
      </c>
      <c r="I59" s="89"/>
      <c r="J59" s="540">
        <f>_xlfn.IFERROR((IF('SBL Quotes'!AN32="Supplemental",(FirstUPB_IfSupp+SecondUPB_IfSupp+ThirdUPB_IfSupp),0)+LoanAmount)/UW_Value,0)</f>
        <v>0</v>
      </c>
      <c r="K59" s="541">
        <f>_xlfn.IFERROR((FirstUPB_IfSupp+SecondUPB_IfSupp+ThirdUPB_IfSupp)/UW_Value,0)</f>
        <v>0</v>
      </c>
      <c r="L59" s="542"/>
      <c r="M59" s="89"/>
      <c r="N59" s="211"/>
      <c r="O59" s="38"/>
      <c r="P59" s="38"/>
      <c r="Q59" s="38"/>
      <c r="R59" s="420" t="s">
        <v>450</v>
      </c>
      <c r="S59" s="421"/>
      <c r="T59" s="422"/>
      <c r="U59" s="422"/>
      <c r="V59" s="422"/>
      <c r="W59" s="543" t="s">
        <v>451</v>
      </c>
      <c r="X59" s="544"/>
      <c r="Y59" s="545"/>
      <c r="Z59" s="39"/>
      <c r="AA59" s="546" t="s">
        <v>452</v>
      </c>
      <c r="AB59" s="546"/>
      <c r="AC59" s="546"/>
      <c r="AD59" s="546"/>
      <c r="AE59" s="546"/>
      <c r="AF59" s="546"/>
      <c r="AG59" s="546"/>
      <c r="AH59" s="546"/>
      <c r="AI59" s="546"/>
      <c r="AJ59" s="40"/>
      <c r="AK59" s="41"/>
      <c r="AL59" s="41"/>
      <c r="AM59" s="41"/>
      <c r="AN59" s="41"/>
      <c r="AO59" s="41"/>
      <c r="AP59" s="41"/>
      <c r="AQ59" s="41"/>
      <c r="AR59" s="41"/>
      <c r="AS59" s="41"/>
      <c r="AT59" s="41"/>
      <c r="AU59" s="41"/>
      <c r="AV59" s="41"/>
      <c r="AW59" s="41"/>
      <c r="AX59" s="41"/>
      <c r="AY59" s="41"/>
      <c r="AZ59" s="41"/>
      <c r="BA59" s="41"/>
    </row>
    <row r="60" ht="11.25" customHeight="1" s="35" customFormat="1">
      <c r="A60" s="38"/>
      <c r="B60" s="69" t="s">
        <v>453</v>
      </c>
      <c r="C60" s="547" cm="1" t="e">
        <f t="array" ref="C60">GETSELECTEDQUOTEVALUEFORDATAPAGE('SBL Quotes'!D51)+GETSELECTEDQUOTEVALUEFORDATAPAGE('SBL Quotes'!D54)+GETSELECTEDQUOTEVALUEFORDATAPAGE('SBL Quotes'!D56)+GETSELECTEDQUOTEVALUEFORDATAPAGE('SBL Quotes'!D58)+GETSELECTEDQUOTEVALUEFORDATAPAGE('SBL Quotes'!D64)</f>
        <v>#NAME?</v>
      </c>
      <c r="D60" s="431"/>
      <c r="E60" s="539" cm="1" t="e">
        <f t="array" ref="E60">_xlfn.IFERROR(_xlfn.LET(_xlpm.InvestorSpread,GETSELECTEDQUOTEVALUEFORDATAPAGE('SBL Quotes'!D51),_xlpm.PremiumAdjustment,GETSELECTEDQUOTEVALUEFORDATAPAGE('SBL Quotes'!D54),_xlpm.IOAdjustment,GETSELECTEDQUOTEVALUEFORDATAPAGE('SBL Quotes'!D56),_xlpm.ForwardCurve,GETSELECTEDQUOTEVALUEFORDATAPAGE('SBL Quotes'!D58),_xlpm.SmallLoanBuffer,GETSELECTEDQUOTEVALUEFORDATAPAGE('SBL Quotes'!D64),_xlpm.InvestorSpread+_xlpm.PremiumAdjustment+_xlpm.IOAdjustment+_xlpm.ForwardCurve+_xlpm.SmallLoanBuffer),C60)</f>
        <v>#NAME?</v>
      </c>
      <c r="F60" s="38"/>
      <c r="G60" s="38"/>
      <c r="H60" s="110" t="s">
        <v>454</v>
      </c>
      <c r="I60" s="111"/>
      <c r="J60" s="548" t="str">
        <f>IF('Data Page'!H23="If Acquisition (within 1 year)",(IF('SBL Quotes'!AN32="Supplemental",(FirstUPB_IfSupp+SecondUPB_IfSupp+ThirdUPB_IfSupp),0)+LoanAmount)/K29,"N/A")</f>
        <v>N/A</v>
      </c>
      <c r="K60" s="549" t="str">
        <f>IF('Data Page'!H23="If Acquisition (within 1 year)",(FirstUPB_IfSupp+SecondUPB_IfSupp+ThirdUPB_IfSupp)/K29,"N/A")</f>
        <v>N/A</v>
      </c>
      <c r="L60" s="550"/>
      <c r="M60" s="551"/>
      <c r="N60" s="149"/>
      <c r="O60" s="38"/>
      <c r="P60" s="38"/>
      <c r="Q60" s="38"/>
      <c r="R60" s="420" t="s">
        <v>455</v>
      </c>
      <c r="S60" s="421"/>
      <c r="T60" s="422"/>
      <c r="U60" s="422"/>
      <c r="V60" s="422"/>
      <c r="W60" s="552">
        <v>0</v>
      </c>
      <c r="X60" s="553"/>
      <c r="Y60" s="554"/>
      <c r="Z60" s="39"/>
      <c r="AA60" s="546"/>
      <c r="AB60" s="546"/>
      <c r="AC60" s="546"/>
      <c r="AD60" s="546"/>
      <c r="AE60" s="546"/>
      <c r="AF60" s="546"/>
      <c r="AG60" s="546"/>
      <c r="AH60" s="546"/>
      <c r="AI60" s="546"/>
      <c r="AJ60" s="40"/>
      <c r="AK60" s="41"/>
      <c r="AL60" s="41"/>
      <c r="AM60" s="41"/>
      <c r="AN60" s="41"/>
      <c r="AO60" s="41"/>
      <c r="AP60" s="41"/>
      <c r="AQ60" s="41"/>
      <c r="AR60" s="41"/>
      <c r="AS60" s="41"/>
      <c r="AT60" s="41"/>
      <c r="AU60" s="41"/>
      <c r="AV60" s="41"/>
      <c r="AW60" s="41"/>
      <c r="AX60" s="41"/>
      <c r="AY60" s="41"/>
      <c r="AZ60" s="41"/>
      <c r="BA60" s="41"/>
    </row>
    <row r="61" ht="11.25" customHeight="1" s="35" customFormat="1">
      <c r="A61" s="38"/>
      <c r="B61" s="69" t="s">
        <v>456</v>
      </c>
      <c r="C61" s="89"/>
      <c r="D61" s="89"/>
      <c r="E61" s="555" t="e">
        <f>E59+E60</f>
        <v>#NAME?</v>
      </c>
      <c r="F61" s="38"/>
      <c r="G61" s="38"/>
      <c r="H61" s="38"/>
      <c r="I61" s="38"/>
      <c r="J61" s="38"/>
      <c r="K61" s="556"/>
      <c r="L61" s="224"/>
      <c r="M61" s="38"/>
      <c r="N61" s="333"/>
      <c r="O61" s="38"/>
      <c r="P61" s="38"/>
      <c r="Q61" s="38"/>
      <c r="R61" s="509" t="s">
        <v>457</v>
      </c>
      <c r="S61" s="475"/>
      <c r="T61" s="510"/>
      <c r="U61" s="510"/>
      <c r="V61" s="510"/>
      <c r="W61" s="557">
        <v>0</v>
      </c>
      <c r="X61" s="558"/>
      <c r="Y61" s="559"/>
      <c r="Z61" s="39"/>
      <c r="AA61" s="39"/>
      <c r="AB61" s="39"/>
      <c r="AC61" s="39"/>
      <c r="AD61" s="39"/>
      <c r="AE61" s="39"/>
      <c r="AF61" s="39"/>
      <c r="AG61" s="39"/>
      <c r="AH61" s="40"/>
      <c r="AI61" s="40"/>
      <c r="AJ61" s="40"/>
      <c r="AK61" s="41"/>
      <c r="AL61" s="41"/>
      <c r="AM61" s="41"/>
      <c r="AN61" s="41"/>
      <c r="AO61" s="41"/>
      <c r="AP61" s="41"/>
      <c r="AQ61" s="41"/>
      <c r="AR61" s="41"/>
      <c r="AS61" s="41"/>
      <c r="AT61" s="41"/>
      <c r="AU61" s="41"/>
      <c r="AV61" s="41"/>
      <c r="AW61" s="41"/>
      <c r="AX61" s="41"/>
      <c r="AY61" s="41"/>
      <c r="AZ61" s="41"/>
      <c r="BA61" s="41"/>
    </row>
    <row r="62" ht="12" customHeight="1" s="35" customFormat="1">
      <c r="A62" s="38"/>
      <c r="B62" s="69" t="s">
        <v>458</v>
      </c>
      <c r="C62" s="547" cm="1" t="e">
        <f t="array" ref="C62">(GETSELECTEDQUOTEVALUEFORDATAPAGE('SBL Quotes'!D52)+GETSELECTEDQUOTEVALUEFORDATAPAGE('SBL Quotes'!D57)+GETSELECTEDQUOTEVALUEFORDATAPAGE('SBL Quotes'!D65))*D62+GETSELECTEDQUOTEVALUEFORDATAPAGE('SBL Quotes'!D55)</f>
        <v>#NAME?</v>
      </c>
      <c r="D62" s="560">
        <f>'FNM Loan Terms'!D24</f>
        <v>0.6</v>
      </c>
      <c r="E62" s="555" cm="1" t="e">
        <f t="array" ref="E62">_xlfn.IFERROR(_xlfn.LET(_xlpm.CreditFee,GETSELECTEDQUOTEVALUEFORDATAPAGE('SBL Quotes'!D52),_xlpm.AffordablityAdjustment,GETSELECTEDQUOTEVALUEFORDATAPAGE('SBL Quotes'!D57),_xlpm.GuarantyFeePcnt,D62,_xlpm.PrePay,GETSELECTEDQUOTEVALUEFORDATAPAGE('SBL Quotes'!D55),_xlpm.SmallLoanAdjustment,GETSELECTEDQUOTEVALUEFORDATAPAGE('SBL Quotes'!D63),_xlpm.GandS_Adjustment,GETSELECTEDQUOTEVALUEFORDATAPAGE('SBL Quotes'!D65),(_xlpm.CreditFee+_xlpm.AffordablityAdjustment+_xlpm.SmallLoanAdjustment+_xlpm.GandS_Adjustment)*_xlpm.GuarantyFeePcnt+_xlpm.PrePay),C62)</f>
        <v>#NAME?</v>
      </c>
      <c r="F62" s="38"/>
      <c r="G62" s="38"/>
      <c r="H62" s="561" t="s">
        <v>459</v>
      </c>
      <c r="I62" s="38"/>
      <c r="J62" s="38"/>
      <c r="K62" s="38"/>
      <c r="L62" s="38"/>
      <c r="M62" s="45"/>
      <c r="N62" s="45"/>
      <c r="O62" s="38"/>
      <c r="P62" s="38"/>
      <c r="Q62" s="497"/>
      <c r="R62" s="420" t="s">
        <v>460</v>
      </c>
      <c r="S62" s="421"/>
      <c r="T62" s="422"/>
      <c r="U62" s="422"/>
      <c r="V62" s="422"/>
      <c r="W62" s="552">
        <v>0</v>
      </c>
      <c r="X62" s="553"/>
      <c r="Y62" s="554"/>
      <c r="Z62" s="39"/>
      <c r="AA62" s="39"/>
      <c r="AB62" s="39"/>
      <c r="AC62" s="39"/>
      <c r="AD62" s="39"/>
      <c r="AE62" s="39"/>
      <c r="AF62" s="39"/>
      <c r="AG62" s="39"/>
      <c r="AH62" s="40"/>
      <c r="AI62" s="40"/>
      <c r="AJ62" s="40"/>
      <c r="AK62" s="41"/>
      <c r="AL62" s="41"/>
      <c r="AM62" s="41"/>
      <c r="AN62" s="41"/>
      <c r="AO62" s="41"/>
      <c r="AP62" s="41"/>
      <c r="AQ62" s="41"/>
      <c r="AR62" s="41"/>
      <c r="AS62" s="41"/>
      <c r="AT62" s="41"/>
      <c r="AU62" s="41"/>
      <c r="AV62" s="41"/>
      <c r="AW62" s="41"/>
      <c r="AX62" s="41"/>
      <c r="AY62" s="41"/>
      <c r="AZ62" s="41"/>
      <c r="BA62" s="41"/>
    </row>
    <row r="63" ht="12" customHeight="1" s="35" customFormat="1">
      <c r="A63" s="38"/>
      <c r="B63" s="69" t="s">
        <v>461</v>
      </c>
      <c r="C63" s="547" cm="1" t="e">
        <f t="array" ref="C63">(GETSELECTEDQUOTEVALUEFORDATAPAGE('SBL Quotes'!D52)+GETSELECTEDQUOTEVALUEFORDATAPAGE('SBL Quotes'!D57)+GETSELECTEDQUOTEVALUEFORDATAPAGE('SBL Quotes'!D65))*D63</f>
        <v>#NAME?</v>
      </c>
      <c r="D63" s="560">
        <f>'FNM Loan Terms'!D25</f>
        <v>0.4</v>
      </c>
      <c r="E63" s="555" cm="1" t="e">
        <f t="array" ref="E63">_xlfn.IFERROR(_xlfn.LET(_xlpm.CreditFee,GETSELECTEDQUOTEVALUEFORDATAPAGE('SBL Quotes'!D52),_xlpm.AffordablityAdjustment,GETSELECTEDQUOTEVALUEFORDATAPAGE('SBL Quotes'!D57),_xlpm.ServicingFeePcnt,D63,_xlpm.SmallLoanAdjustment,GETSELECTEDQUOTEVALUEFORDATAPAGE('SBL Quotes'!D63),_xlpm.GandS_Adjustment,GETSELECTEDQUOTEVALUEFORDATAPAGE('SBL Quotes'!D65),(_xlpm.CreditFee+_xlpm.AffordablityAdjustment+_xlpm.SmallLoanAdjustment+_xlpm.GandS_Adjustment)*_xlpm.ServicingFeePcnt),C63)</f>
        <v>#NAME?</v>
      </c>
      <c r="F63" s="41"/>
      <c r="G63" s="41"/>
      <c r="H63" s="413" t="s">
        <v>462</v>
      </c>
      <c r="I63" s="414"/>
      <c r="J63" s="562"/>
      <c r="K63" s="563" cm="1" t="e">
        <f t="array" ref="K63">GETSELECTEDQUOTEVALUEFORDATAPAGE('SBL Quotes'!D30)</f>
        <v>#NAME?</v>
      </c>
      <c r="L63" s="564"/>
      <c r="M63" s="414" t="s">
        <v>320</v>
      </c>
      <c r="N63" s="565">
        <f t="shared" si="21" ref="N63:N70">_xlfn.IFERROR(IF(K63="N/A","N/A",K63/TotalUnits),0)</f>
        <v>0</v>
      </c>
      <c r="O63" s="566" t="s">
        <v>321</v>
      </c>
      <c r="P63" s="567" t="e">
        <f t="shared" si="22" ref="P63:P70">IF(K63="N/A","N/A",K63/TotalBeds)</f>
        <v>#NAME?</v>
      </c>
      <c r="Q63" s="38"/>
      <c r="R63" s="509" t="s">
        <v>463</v>
      </c>
      <c r="S63" s="475"/>
      <c r="T63" s="510"/>
      <c r="U63" s="510"/>
      <c r="V63" s="510"/>
      <c r="W63" s="557">
        <v>0</v>
      </c>
      <c r="X63" s="558"/>
      <c r="Y63" s="559"/>
      <c r="Z63" s="39"/>
      <c r="AA63" s="39" t="s">
        <v>464</v>
      </c>
      <c r="AB63" s="39"/>
      <c r="AC63" s="39"/>
      <c r="AD63" s="39"/>
      <c r="AE63" s="39"/>
      <c r="AF63" s="39"/>
      <c r="AG63" s="39"/>
      <c r="AH63" s="40"/>
      <c r="AI63" s="40"/>
      <c r="AJ63" s="40"/>
      <c r="AK63" s="41"/>
      <c r="AL63" s="41"/>
      <c r="AM63" s="41"/>
      <c r="AN63" s="41"/>
      <c r="AO63" s="41"/>
      <c r="AP63" s="41"/>
      <c r="AQ63" s="41"/>
      <c r="AR63" s="41"/>
      <c r="AS63" s="41"/>
      <c r="AT63" s="41"/>
      <c r="AU63" s="41"/>
      <c r="AV63" s="41"/>
      <c r="AW63" s="41"/>
      <c r="AX63" s="41"/>
      <c r="AY63" s="41"/>
      <c r="AZ63" s="41"/>
      <c r="BA63" s="41"/>
    </row>
    <row r="64" ht="11.25" customHeight="1" s="35" customFormat="1">
      <c r="A64" s="38"/>
      <c r="B64" s="69" t="s">
        <v>465</v>
      </c>
      <c r="C64" s="89"/>
      <c r="D64" s="89"/>
      <c r="E64" s="555" cm="1" t="e">
        <f t="array" ref="E64">GETSELECTEDQUOTEVALUEFORDATAPAGE('SBL Quotes'!D66)</f>
        <v>#NAME?</v>
      </c>
      <c r="F64" s="38"/>
      <c r="G64" s="38"/>
      <c r="H64" s="69" t="s">
        <v>466</v>
      </c>
      <c r="I64" s="89"/>
      <c r="J64" s="333"/>
      <c r="K64" s="568" t="e">
        <f>ApplicationLoan</f>
        <v>#NAME?</v>
      </c>
      <c r="L64" s="569"/>
      <c r="M64" s="89" t="s">
        <v>320</v>
      </c>
      <c r="N64" s="308">
        <f t="shared" si="21"/>
        <v>0</v>
      </c>
      <c r="O64" s="89" t="s">
        <v>321</v>
      </c>
      <c r="P64" s="570" t="e">
        <f t="shared" si="22"/>
        <v>#NAME?</v>
      </c>
      <c r="Q64" s="38"/>
      <c r="R64" s="434" t="s">
        <v>467</v>
      </c>
      <c r="S64" s="435"/>
      <c r="T64" s="436"/>
      <c r="U64" s="436"/>
      <c r="V64" s="436"/>
      <c r="W64" s="552">
        <v>0</v>
      </c>
      <c r="X64" s="553"/>
      <c r="Y64" s="554"/>
      <c r="Z64" s="39"/>
      <c r="AA64" s="39"/>
      <c r="AB64" s="39"/>
      <c r="AC64" s="39"/>
      <c r="AD64" s="39"/>
      <c r="AE64" s="39"/>
      <c r="AF64" s="39"/>
      <c r="AG64" s="39"/>
      <c r="AH64" s="40"/>
      <c r="AI64" s="40"/>
      <c r="AJ64" s="40"/>
      <c r="AK64" s="41"/>
      <c r="AL64" s="41"/>
      <c r="AM64" s="41"/>
      <c r="AN64" s="41"/>
      <c r="AO64" s="41"/>
      <c r="AP64" s="41"/>
      <c r="AQ64" s="41"/>
      <c r="AR64" s="41"/>
      <c r="AS64" s="41"/>
      <c r="AT64" s="41"/>
      <c r="AU64" s="41"/>
      <c r="AV64" s="41"/>
      <c r="AW64" s="41"/>
      <c r="AX64" s="41"/>
      <c r="AY64" s="41"/>
      <c r="AZ64" s="41"/>
      <c r="BA64" s="41"/>
    </row>
    <row r="65" ht="12" customHeight="1" s="35" customFormat="1">
      <c r="A65" s="38"/>
      <c r="B65" s="110" t="s">
        <v>468</v>
      </c>
      <c r="C65" s="551"/>
      <c r="D65" s="571"/>
      <c r="E65" s="572" t="e">
        <f>E60+E62+E63+E64</f>
        <v>#NAME?</v>
      </c>
      <c r="F65" s="38"/>
      <c r="G65" s="38"/>
      <c r="H65" s="69" t="s">
        <v>469</v>
      </c>
      <c r="I65" s="89"/>
      <c r="J65" s="338"/>
      <c r="K65" s="573" cm="1" t="e">
        <f t="array" ref="K65">GETSELECTEDQUOTEVALUEFORDATAPAGE('SBL Quotes'!D77)</f>
        <v>#NAME?</v>
      </c>
      <c r="L65" s="569"/>
      <c r="M65" s="89" t="s">
        <v>320</v>
      </c>
      <c r="N65" s="346">
        <f t="shared" si="21"/>
        <v>0</v>
      </c>
      <c r="O65" s="89" t="s">
        <v>321</v>
      </c>
      <c r="P65" s="570" t="e">
        <f t="shared" si="22"/>
        <v>#NAME?</v>
      </c>
      <c r="Q65" s="38"/>
      <c r="R65" s="434" t="s">
        <v>470</v>
      </c>
      <c r="S65" s="435"/>
      <c r="T65" s="436"/>
      <c r="U65" s="436"/>
      <c r="V65" s="436"/>
      <c r="W65" s="574">
        <v>0</v>
      </c>
      <c r="X65" s="575"/>
      <c r="Y65" s="576"/>
      <c r="Z65" s="39"/>
      <c r="AA65" s="39"/>
      <c r="AB65" s="39"/>
      <c r="AC65" s="39"/>
      <c r="AD65" s="39"/>
      <c r="AE65" s="39"/>
      <c r="AF65" s="39"/>
      <c r="AG65" s="39"/>
      <c r="AH65" s="40"/>
      <c r="AI65" s="40"/>
      <c r="AJ65" s="40"/>
      <c r="AK65" s="41"/>
      <c r="AL65" s="41"/>
      <c r="AM65" s="41"/>
      <c r="AN65" s="41"/>
      <c r="AO65" s="41"/>
      <c r="AP65" s="41"/>
      <c r="AQ65" s="41"/>
      <c r="AR65" s="41"/>
      <c r="AS65" s="41"/>
      <c r="AT65" s="41"/>
      <c r="AU65" s="41"/>
      <c r="AV65" s="41"/>
      <c r="AW65" s="41"/>
      <c r="AX65" s="41"/>
      <c r="AY65" s="41"/>
      <c r="AZ65" s="41"/>
      <c r="BA65" s="41"/>
    </row>
    <row r="66" ht="12" customHeight="1" s="35" customFormat="1">
      <c r="A66" s="38"/>
      <c r="B66" s="47" t="s">
        <v>471</v>
      </c>
      <c r="C66" s="417"/>
      <c r="D66" s="577"/>
      <c r="E66" s="578" t="e">
        <f>E59+E65</f>
        <v>#NAME?</v>
      </c>
      <c r="F66" s="38"/>
      <c r="G66" s="38"/>
      <c r="H66" s="69" t="s">
        <v>472</v>
      </c>
      <c r="I66" s="89"/>
      <c r="J66" s="338"/>
      <c r="K66" s="573" cm="1" t="e">
        <f t="array" ref="K66">GETSELECTEDQUOTEVALUEFORDATAPAGE('SBL Quotes'!D76)</f>
        <v>#NAME?</v>
      </c>
      <c r="L66" s="569"/>
      <c r="M66" s="89" t="s">
        <v>320</v>
      </c>
      <c r="N66" s="308">
        <f t="shared" si="21"/>
        <v>0</v>
      </c>
      <c r="O66" s="89" t="s">
        <v>321</v>
      </c>
      <c r="P66" s="570" t="e">
        <f t="shared" si="22"/>
        <v>#NAME?</v>
      </c>
      <c r="Q66" s="38"/>
      <c r="R66" s="420" t="s">
        <v>473</v>
      </c>
      <c r="S66" s="421"/>
      <c r="T66" s="422"/>
      <c r="U66" s="422"/>
      <c r="V66" s="422"/>
      <c r="W66" s="579" t="str">
        <f>IF(W59="No","N/A",W64+(((0.0005+(W62-W60))*((FirstUPB_IfSupp+SecondUPB_IfSupp+ThirdUPB_IfSupp)/LoanAmount))))</f>
        <v>N/A</v>
      </c>
      <c r="X66" s="553"/>
      <c r="Y66" s="554"/>
      <c r="Z66" s="39"/>
      <c r="AA66" s="39"/>
      <c r="AB66" s="39"/>
      <c r="AC66" s="39"/>
      <c r="AD66" s="39"/>
      <c r="AE66" s="39"/>
      <c r="AF66" s="39"/>
      <c r="AG66" s="39"/>
      <c r="AH66" s="40"/>
      <c r="AI66" s="40"/>
      <c r="AJ66" s="40"/>
      <c r="AK66" s="41"/>
      <c r="AL66" s="41"/>
      <c r="AM66" s="41"/>
      <c r="AN66" s="41"/>
      <c r="AO66" s="41"/>
      <c r="AP66" s="41"/>
      <c r="AQ66" s="41"/>
      <c r="AR66" s="41"/>
      <c r="AS66" s="41"/>
      <c r="AT66" s="41"/>
      <c r="AU66" s="41"/>
      <c r="AV66" s="41"/>
      <c r="AW66" s="41"/>
      <c r="AX66" s="41"/>
      <c r="AY66" s="41"/>
      <c r="AZ66" s="41"/>
      <c r="BA66" s="41"/>
    </row>
    <row r="67" ht="12" customHeight="1" s="35" customFormat="1">
      <c r="A67" s="38"/>
      <c r="B67" s="110" t="s">
        <v>474</v>
      </c>
      <c r="C67" s="580"/>
      <c r="D67" s="580"/>
      <c r="E67" s="572" cm="1" t="e">
        <f t="array" ref="E67">IF(GETSELECTEDQUOTEVALUEFORDATAPAGE('SBL Quotes'!D79)="N/A",NoteRate,GETSELECTEDQUOTEVALUEFORDATAPAGE('SBL Quotes'!D79))</f>
        <v>#NAME?</v>
      </c>
      <c r="F67" s="38"/>
      <c r="G67" s="38"/>
      <c r="H67" s="69" t="s">
        <v>475</v>
      </c>
      <c r="I67" s="89"/>
      <c r="J67" s="338"/>
      <c r="K67" s="573" cm="1" t="e">
        <f t="array" ref="K67">GETSELECTEDQUOTEVALUEFORDATAPAGE('SBL Quotes'!D78)</f>
        <v>#NAME?</v>
      </c>
      <c r="L67" s="569"/>
      <c r="M67" s="89" t="s">
        <v>320</v>
      </c>
      <c r="N67" s="308">
        <f t="shared" si="21"/>
        <v>0</v>
      </c>
      <c r="O67" s="89" t="s">
        <v>321</v>
      </c>
      <c r="P67" s="570" t="e">
        <f t="shared" si="22"/>
        <v>#NAME?</v>
      </c>
      <c r="Q67" s="38"/>
      <c r="R67" s="509" t="s">
        <v>476</v>
      </c>
      <c r="S67" s="475"/>
      <c r="T67" s="510"/>
      <c r="U67" s="510"/>
      <c r="V67" s="510"/>
      <c r="W67" s="581" t="str">
        <f>IF(W59="No","N/A",W65+(((0.0005+(W63-W61))*((FirstUPB_IfSupp+SecondUPB_IfSupp+ThirdUPB_IfSupp)/LoanAmount))))</f>
        <v>N/A</v>
      </c>
      <c r="X67" s="558"/>
      <c r="Y67" s="559"/>
      <c r="Z67" s="39"/>
      <c r="AA67" s="39"/>
      <c r="AB67" s="39"/>
      <c r="AC67" s="39"/>
      <c r="AD67" s="39"/>
      <c r="AE67" s="39"/>
      <c r="AF67" s="39"/>
      <c r="AG67" s="39"/>
      <c r="AH67" s="40"/>
      <c r="AI67" s="40"/>
      <c r="AJ67" s="40"/>
      <c r="AK67" s="41"/>
      <c r="AL67" s="41"/>
      <c r="AM67" s="41"/>
      <c r="AN67" s="41"/>
      <c r="AO67" s="41"/>
      <c r="AP67" s="41"/>
      <c r="AQ67" s="41"/>
      <c r="AR67" s="41"/>
      <c r="AS67" s="41"/>
      <c r="AT67" s="41"/>
      <c r="AU67" s="41"/>
      <c r="AV67" s="41"/>
      <c r="AW67" s="41"/>
      <c r="AX67" s="41"/>
      <c r="AY67" s="41"/>
      <c r="AZ67" s="41"/>
      <c r="BA67" s="41"/>
    </row>
    <row r="68" ht="12" customHeight="1" s="35" customFormat="1">
      <c r="A68" s="38"/>
      <c r="B68" s="47" t="s">
        <v>477</v>
      </c>
      <c r="C68" s="57"/>
      <c r="D68" s="57"/>
      <c r="E68" s="582" t="e">
        <f>IF(Amort&gt;0,(PMT(NoteRate/12,Amort*12,-1))*12,0)</f>
        <v>#NAME?</v>
      </c>
      <c r="F68" s="38"/>
      <c r="G68" s="38"/>
      <c r="H68" s="372" t="str">
        <f>"Max Loan @ "&amp;IF(OR(Interest_Rate_Type="Fixed",Interest_Rate_Type="Variable: ILP"),"Variable Rate",Interest_Rate_Type)</f>
        <v>Max Loan @ Variable Rate</v>
      </c>
      <c r="I68" s="583"/>
      <c r="J68" s="584"/>
      <c r="K68" s="585" t="s">
        <v>174</v>
      </c>
      <c r="L68" s="586"/>
      <c r="M68" s="583" t="s">
        <v>320</v>
      </c>
      <c r="N68" s="587" t="str">
        <f t="shared" si="23" ref="N68:N69">IF(K68="N/A","N/A",K68/TotalUnits)</f>
        <v>N/A</v>
      </c>
      <c r="O68" s="89" t="s">
        <v>321</v>
      </c>
      <c r="P68" s="570" t="str">
        <f t="shared" si="22"/>
        <v>N/A</v>
      </c>
      <c r="Q68" s="38"/>
      <c r="R68" s="534"/>
      <c r="S68" s="535"/>
      <c r="T68" s="536"/>
      <c r="U68" s="536"/>
      <c r="V68" s="522"/>
      <c r="W68" s="522"/>
      <c r="X68" s="522"/>
      <c r="Y68" s="528"/>
      <c r="Z68" s="39"/>
      <c r="AA68" s="39"/>
      <c r="AB68" s="39"/>
      <c r="AC68" s="39"/>
      <c r="AD68" s="39"/>
      <c r="AE68" s="39"/>
      <c r="AF68" s="39"/>
      <c r="AG68" s="39"/>
      <c r="AH68" s="40"/>
      <c r="AI68" s="40"/>
      <c r="AJ68" s="40"/>
      <c r="AK68" s="41"/>
      <c r="AL68" s="41"/>
      <c r="AM68" s="41"/>
      <c r="AN68" s="41"/>
      <c r="AO68" s="41"/>
      <c r="AP68" s="41"/>
      <c r="AQ68" s="41"/>
      <c r="AR68" s="41"/>
      <c r="AS68" s="41"/>
      <c r="AT68" s="41"/>
      <c r="AU68" s="41"/>
      <c r="AV68" s="41"/>
      <c r="AW68" s="41"/>
      <c r="AX68" s="41"/>
      <c r="AY68" s="41"/>
      <c r="AZ68" s="41"/>
      <c r="BA68" s="41"/>
    </row>
    <row r="69" ht="12" customHeight="1" s="35" customFormat="1">
      <c r="A69" s="38"/>
      <c r="B69" s="110" t="s">
        <v>479</v>
      </c>
      <c r="C69" s="111"/>
      <c r="D69" s="111"/>
      <c r="E69" s="588" t="e">
        <f>IF(OR(FloorRate="N/A",FloorRate="No Floor",FloorRate=""),"N/A",IF(Amort&gt;0,(PMT(FloorRate/12,Amort*12,-1))*12,0))</f>
        <v>#NAME?</v>
      </c>
      <c r="F69" s="38"/>
      <c r="G69" s="38"/>
      <c r="H69" s="589" t="s">
        <v>480</v>
      </c>
      <c r="I69" s="590"/>
      <c r="J69" s="584"/>
      <c r="K69" s="585" t="s">
        <v>174</v>
      </c>
      <c r="L69" s="586"/>
      <c r="M69" s="583" t="s">
        <v>320</v>
      </c>
      <c r="N69" s="587" t="str">
        <f t="shared" si="23"/>
        <v>N/A</v>
      </c>
      <c r="O69" s="89" t="s">
        <v>321</v>
      </c>
      <c r="P69" s="570" t="str">
        <f t="shared" si="22"/>
        <v>N/A</v>
      </c>
      <c r="Q69" s="38"/>
      <c r="R69" s="534" t="s">
        <v>481</v>
      </c>
      <c r="S69" s="535"/>
      <c r="T69" s="536"/>
      <c r="U69" s="536"/>
      <c r="V69" s="522"/>
      <c r="W69" s="591" t="str">
        <f>IF('SBL Quotes'!AN32="Supplemental",AmortizingDebtService+FirstDebtService_IfSupp+SecondDebtService_IfSupp+ThirdDebtService_IfSupp,"N/A")</f>
        <v>N/A</v>
      </c>
      <c r="X69" s="591"/>
      <c r="Y69" s="592"/>
      <c r="Z69" s="39"/>
      <c r="AA69" s="39"/>
      <c r="AB69" s="39"/>
      <c r="AC69" s="39"/>
      <c r="AD69" s="39"/>
      <c r="AE69" s="39"/>
      <c r="AF69" s="39"/>
      <c r="AG69" s="39"/>
      <c r="AH69" s="40"/>
      <c r="AI69" s="40"/>
      <c r="AJ69" s="40"/>
      <c r="AK69" s="41"/>
      <c r="AL69" s="41"/>
      <c r="AM69" s="41"/>
      <c r="AN69" s="41"/>
      <c r="AO69" s="41"/>
      <c r="AP69" s="41"/>
      <c r="AQ69" s="41"/>
      <c r="AR69" s="41"/>
      <c r="AS69" s="41"/>
      <c r="AT69" s="41"/>
      <c r="AU69" s="41"/>
      <c r="AV69" s="41"/>
      <c r="AW69" s="41"/>
      <c r="AX69" s="41"/>
      <c r="AY69" s="41"/>
      <c r="AZ69" s="41"/>
      <c r="BA69" s="41"/>
    </row>
    <row r="70" ht="12" customHeight="1" s="35" customFormat="1">
      <c r="A70" s="38"/>
      <c r="B70" s="479" t="s">
        <v>482</v>
      </c>
      <c r="C70" s="593"/>
      <c r="D70" s="593"/>
      <c r="E70" s="594">
        <f>_xlfn.IFERROR(IF('SBL Quotes'!$AN$32="Supplemental",ROUNDDOWN(MIN(RATE(Amort*12,-AB14/12,LoanAmount)*12,RATE(Amort*12,-AB9/12,LoanAmount)*12),5),ROUNDDOWN(MIN(RATE(Amort*12,-SOps_UnderwrittenNCF/Requested_Floor_UW_DSCR/12,LoanAmount)*12,RATE(Amort*12,-SOps_UnderwrittenNCF/Requested_Actual_UW_DSCR/12,LoanAmount)*12),5)),0)</f>
        <v>0</v>
      </c>
      <c r="F70" s="595">
        <f>IF(OR(LossSharing_DataPageTab=0%,LossSharing_DataPageTab=25%,LossSharing_DataPageTab=50%,LossSharing_DataPageTab=75%,LossSharing_DataPageTab=100%),"","Waiver")</f>
      </c>
      <c r="G70" s="595"/>
      <c r="H70" s="596" t="s">
        <v>483</v>
      </c>
      <c r="I70" s="597"/>
      <c r="J70" s="598"/>
      <c r="K70" s="599" t="e">
        <f>MIN(K64:K69)</f>
        <v>#NAME?</v>
      </c>
      <c r="L70" s="600"/>
      <c r="M70" s="601" t="s">
        <v>320</v>
      </c>
      <c r="N70" s="602">
        <f t="shared" si="21"/>
        <v>0</v>
      </c>
      <c r="O70" s="603" t="s">
        <v>321</v>
      </c>
      <c r="P70" s="604" t="e">
        <f t="shared" si="22"/>
        <v>#NAME?</v>
      </c>
      <c r="Q70" s="497"/>
      <c r="R70" s="605" t="s">
        <v>484</v>
      </c>
      <c r="S70" s="606"/>
      <c r="T70" s="607"/>
      <c r="U70" s="607"/>
      <c r="V70" s="608"/>
      <c r="W70" s="609" t="str">
        <f>IF('SBL Quotes'!AN32="Supplemental",LoanAmount+FirstUPB_IfSupp+SecondUPB_IfSupp+ThirdUPB_IfSupp,"N/A")</f>
        <v>N/A</v>
      </c>
      <c r="X70" s="610"/>
      <c r="Y70" s="611"/>
      <c r="Z70" s="39"/>
      <c r="AA70" s="39"/>
      <c r="AB70" s="39"/>
      <c r="AC70" s="39"/>
      <c r="AD70" s="39"/>
      <c r="AE70" s="39"/>
      <c r="AF70" s="39"/>
      <c r="AG70" s="39"/>
      <c r="AH70" s="40"/>
      <c r="AI70" s="40"/>
      <c r="AJ70" s="40"/>
      <c r="AK70" s="41"/>
      <c r="AL70" s="41"/>
      <c r="AM70" s="41"/>
      <c r="AN70" s="41"/>
      <c r="AO70" s="41"/>
      <c r="AP70" s="41"/>
      <c r="AQ70" s="41"/>
      <c r="AR70" s="41"/>
      <c r="AS70" s="41"/>
      <c r="AT70" s="41"/>
      <c r="AU70" s="41"/>
      <c r="AV70" s="41"/>
      <c r="AW70" s="41"/>
      <c r="AX70" s="41"/>
      <c r="AY70" s="41"/>
      <c r="AZ70" s="41"/>
      <c r="BA70" s="41"/>
    </row>
    <row r="71" ht="12" customHeight="1" s="35" customFormat="1">
      <c r="B71" s="110" t="s">
        <v>485</v>
      </c>
      <c r="C71" s="111"/>
      <c r="D71" s="111"/>
      <c r="E71" s="612">
        <v>1</v>
      </c>
      <c r="F71" s="41"/>
      <c r="G71" s="41"/>
      <c r="H71" s="41"/>
      <c r="I71" s="41"/>
      <c r="J71" s="41"/>
      <c r="K71" s="41"/>
      <c r="L71" s="41"/>
      <c r="M71" s="154"/>
      <c r="N71" s="328"/>
      <c r="O71" s="328"/>
      <c r="P71" s="328"/>
      <c r="Q71" s="328"/>
      <c r="R71" s="328"/>
      <c r="S71" s="328"/>
      <c r="T71" s="40"/>
      <c r="U71" s="40"/>
      <c r="V71" s="40"/>
      <c r="W71" s="40"/>
      <c r="X71" s="40"/>
      <c r="Y71" s="40"/>
      <c r="Z71" s="40"/>
      <c r="AA71" s="40"/>
      <c r="AB71" s="40"/>
      <c r="AC71" s="40"/>
      <c r="AD71" s="40"/>
      <c r="AE71" s="40"/>
      <c r="AF71" s="40"/>
      <c r="AG71" s="40"/>
      <c r="AH71" s="40"/>
      <c r="AI71" s="40"/>
      <c r="AJ71" s="40"/>
      <c r="AK71" s="6"/>
      <c r="AL71" s="6"/>
      <c r="AM71" s="6"/>
      <c r="AN71" s="6"/>
      <c r="AO71" s="6"/>
      <c r="AP71" s="6"/>
      <c r="AQ71" s="6"/>
      <c r="AR71" s="6"/>
      <c r="AS71" s="6"/>
      <c r="AT71" s="6"/>
      <c r="AU71" s="6"/>
      <c r="AV71" s="41"/>
      <c r="AW71" s="41"/>
      <c r="AX71" s="41"/>
      <c r="AY71" s="41"/>
      <c r="AZ71" s="41"/>
      <c r="BA71" s="41"/>
    </row>
    <row r="72" ht="12" customHeight="1">
      <c r="A72" s="6"/>
      <c r="B72" s="6"/>
      <c r="C72" s="6"/>
      <c r="D72" s="6"/>
      <c r="E72" s="6"/>
      <c r="F72" s="6"/>
      <c r="G72" s="6"/>
      <c r="H72" s="6"/>
      <c r="I72" s="6"/>
      <c r="J72" s="6"/>
      <c r="K72" s="6"/>
      <c r="L72" s="6"/>
      <c r="M72" s="613"/>
      <c r="N72" s="614"/>
      <c r="O72" s="614"/>
      <c r="P72" s="614"/>
      <c r="Q72" s="614"/>
      <c r="R72" s="614"/>
      <c r="S72" s="614"/>
      <c r="T72" s="27"/>
      <c r="U72" s="27"/>
      <c r="V72" s="27"/>
      <c r="W72" s="27"/>
      <c r="X72" s="27"/>
      <c r="Y72" s="27"/>
      <c r="Z72" s="27"/>
      <c r="AA72" s="27"/>
      <c r="AB72" s="27"/>
      <c r="AC72" s="27"/>
      <c r="AD72" s="27"/>
      <c r="AE72" s="27"/>
      <c r="AF72" s="27"/>
      <c r="AG72" s="27"/>
      <c r="AH72" s="27"/>
      <c r="AI72" s="27"/>
      <c r="AJ72" s="27"/>
      <c r="AK72" s="6"/>
      <c r="AL72" s="6"/>
      <c r="AM72" s="6"/>
      <c r="AN72" s="6"/>
      <c r="AO72" s="6"/>
      <c r="AP72" s="6"/>
      <c r="AQ72" s="6"/>
      <c r="AR72" s="6"/>
      <c r="AS72" s="6"/>
      <c r="AT72" s="6"/>
      <c r="AU72" s="6"/>
    </row>
    <row r="73" ht="12" customHeight="1">
      <c r="H73" s="561" t="s">
        <v>486</v>
      </c>
      <c r="M73" s="615"/>
      <c r="N73" s="616"/>
      <c r="O73" s="616"/>
      <c r="P73" s="616"/>
      <c r="Q73" s="616"/>
      <c r="R73" s="616"/>
      <c r="S73" s="616"/>
    </row>
    <row r="74" ht="12" customHeight="1">
      <c r="H74" s="413" t="s">
        <v>487</v>
      </c>
      <c r="I74" s="617">
        <v>0.05</v>
      </c>
      <c r="J74" s="618">
        <v>0</v>
      </c>
      <c r="K74" s="619">
        <f t="shared" si="24" ref="K74:K75">J74*(100%+I74)</f>
        <v>0</v>
      </c>
      <c r="L74" s="620"/>
      <c r="M74" s="615"/>
      <c r="N74" s="616"/>
      <c r="O74" s="616"/>
      <c r="P74" s="616"/>
      <c r="Q74" s="616"/>
      <c r="R74" s="616"/>
      <c r="S74" s="616"/>
    </row>
    <row r="75" ht="12" customHeight="1">
      <c r="H75" s="69" t="s">
        <v>488</v>
      </c>
      <c r="I75" s="621">
        <f>'Trade Sheet'!K14</f>
        <v>0.05</v>
      </c>
      <c r="J75" s="568">
        <v>0</v>
      </c>
      <c r="K75" s="622">
        <f t="shared" si="24"/>
        <v>0</v>
      </c>
      <c r="L75" s="620"/>
      <c r="M75" s="615"/>
      <c r="N75" s="616"/>
      <c r="O75" s="616"/>
      <c r="P75" s="616"/>
      <c r="Q75" s="616"/>
      <c r="R75" s="616"/>
      <c r="S75" s="616"/>
    </row>
    <row r="76" ht="12" customHeight="1">
      <c r="H76" s="110" t="s">
        <v>489</v>
      </c>
      <c r="I76" s="111"/>
      <c r="J76" s="623"/>
      <c r="K76" s="624">
        <v>0</v>
      </c>
      <c r="L76" s="620"/>
      <c r="M76" s="615"/>
      <c r="N76" s="616"/>
      <c r="O76" s="616"/>
      <c r="P76" s="616"/>
      <c r="Q76" s="616"/>
      <c r="R76" s="616"/>
      <c r="S76" s="616"/>
    </row>
    <row r="77" ht="15" customHeight="1">
      <c r="M77" s="615"/>
      <c r="N77" s="616"/>
      <c r="O77" s="616"/>
      <c r="P77" s="616"/>
      <c r="Q77" s="616"/>
      <c r="R77" s="616"/>
      <c r="S77" s="616"/>
    </row>
    <row r="78" ht="15" customHeight="1">
      <c r="M78" s="615"/>
      <c r="N78" s="616"/>
      <c r="O78" s="616"/>
      <c r="P78" s="616"/>
      <c r="Q78" s="616"/>
      <c r="R78" s="616"/>
      <c r="S78" s="616"/>
    </row>
    <row r="79" ht="15" customHeight="1">
      <c r="M79" s="615"/>
      <c r="N79" s="616"/>
      <c r="O79" s="616"/>
      <c r="P79" s="616"/>
      <c r="Q79" s="616"/>
      <c r="R79" s="616"/>
      <c r="S79" s="616"/>
    </row>
    <row r="80" ht="15" customHeight="1">
      <c r="M80" s="615"/>
      <c r="N80" s="616"/>
      <c r="O80" s="616"/>
      <c r="P80" s="616"/>
      <c r="Q80" s="616"/>
      <c r="R80" s="616"/>
      <c r="S80" s="616"/>
    </row>
    <row r="81" ht="15" customHeight="1">
      <c r="M81" s="615"/>
      <c r="N81" s="616"/>
      <c r="O81" s="616"/>
      <c r="P81" s="616"/>
      <c r="Q81" s="616"/>
      <c r="R81" s="616"/>
      <c r="S81" s="616"/>
    </row>
    <row r="82" ht="15" customHeight="1">
      <c r="M82" s="615"/>
      <c r="N82" s="616"/>
      <c r="O82" s="616"/>
      <c r="P82" s="616"/>
      <c r="Q82" s="616"/>
      <c r="R82" s="616"/>
      <c r="S82" s="616"/>
    </row>
    <row r="83" ht="15" customHeight="1">
      <c r="M83" s="615"/>
      <c r="N83" s="616"/>
      <c r="O83" s="616"/>
      <c r="P83" s="616"/>
      <c r="Q83" s="616"/>
      <c r="R83" s="616"/>
      <c r="S83" s="616"/>
    </row>
    <row r="84" ht="15" customHeight="1">
      <c r="M84" s="615"/>
      <c r="N84" s="616"/>
      <c r="O84" s="616"/>
      <c r="P84" s="616"/>
      <c r="Q84" s="616"/>
      <c r="R84" s="616"/>
      <c r="S84" s="616"/>
    </row>
    <row r="85" ht="15" customHeight="1">
      <c r="M85" s="615"/>
      <c r="N85" s="616"/>
      <c r="O85" s="616"/>
      <c r="P85" s="616"/>
      <c r="Q85" s="616"/>
      <c r="R85" s="616"/>
      <c r="S85" s="616"/>
    </row>
    <row r="86" ht="15" customHeight="1">
      <c r="M86" s="615"/>
      <c r="N86" s="616"/>
      <c r="O86" s="616"/>
      <c r="P86" s="616"/>
      <c r="Q86" s="616"/>
      <c r="R86" s="616"/>
      <c r="S86" s="616"/>
    </row>
    <row r="87" ht="15" customHeight="1">
      <c r="M87" s="615"/>
      <c r="N87" s="616"/>
      <c r="O87" s="616"/>
      <c r="P87" s="616"/>
      <c r="Q87" s="616"/>
      <c r="R87" s="616"/>
      <c r="S87" s="616"/>
    </row>
    <row r="88" ht="15" customHeight="1">
      <c r="M88" s="615"/>
      <c r="N88" s="616"/>
      <c r="O88" s="616"/>
      <c r="P88" s="616"/>
      <c r="Q88" s="616"/>
      <c r="R88" s="616"/>
      <c r="S88" s="616"/>
    </row>
    <row r="89" ht="15" customHeight="1">
      <c r="M89" s="615"/>
      <c r="N89" s="616"/>
      <c r="O89" s="616"/>
      <c r="P89" s="616"/>
      <c r="Q89" s="616"/>
      <c r="R89" s="616"/>
      <c r="S89" s="616"/>
    </row>
    <row r="90" ht="15" customHeight="1">
      <c r="M90" s="615"/>
      <c r="N90" s="616"/>
      <c r="O90" s="616"/>
      <c r="P90" s="616"/>
      <c r="Q90" s="616"/>
      <c r="R90" s="616"/>
      <c r="S90" s="616"/>
    </row>
    <row r="91" ht="15" customHeight="1">
      <c r="M91" s="615"/>
      <c r="N91" s="616"/>
      <c r="O91" s="616"/>
      <c r="P91" s="616"/>
      <c r="Q91" s="616"/>
      <c r="R91" s="616"/>
      <c r="S91" s="616"/>
    </row>
    <row r="92" ht="15" customHeight="1">
      <c r="M92" s="615"/>
      <c r="N92" s="616"/>
      <c r="O92" s="616"/>
      <c r="P92" s="616"/>
      <c r="Q92" s="616"/>
      <c r="R92" s="616"/>
      <c r="S92" s="616"/>
    </row>
  </sheetData>
  <mergeCells>
    <mergeCell ref="AX10:AY10"/>
    <mergeCell ref="H23:I23"/>
    <mergeCell ref="AX9:AY9"/>
    <mergeCell ref="AL1:AO1"/>
    <mergeCell ref="R42:Y46"/>
    <mergeCell ref="AX18:AY18"/>
    <mergeCell ref="D41:E41"/>
    <mergeCell ref="D39:E39"/>
    <mergeCell ref="AD6:AG6"/>
    <mergeCell ref="AD11:AG11"/>
    <mergeCell ref="D40:E40"/>
  </mergeCells>
  <conditionalFormatting sqref="Z44:Z45">
    <cfRule type="expression" dxfId="1" priority="287" text="null">
      <formula>Z43="No"</formula>
    </cfRule>
  </conditionalFormatting>
  <conditionalFormatting sqref="L30">
    <cfRule type="expression" dxfId="2" priority="184" text="null">
      <formula>$L$24="#DIV/0!"</formula>
    </cfRule>
  </conditionalFormatting>
  <conditionalFormatting sqref="R42">
    <cfRule type="expression" dxfId="3" priority="75" text="null">
      <formula>OR($X$25&gt;7,$X$25=7)</formula>
    </cfRule>
  </conditionalFormatting>
  <conditionalFormatting sqref="R41">
    <cfRule type="expression" dxfId="3" priority="74" text="null">
      <formula>OR($X$25&gt;7,$X$25=7)</formula>
    </cfRule>
  </conditionalFormatting>
  <conditionalFormatting sqref="R41">
    <cfRule type="expression" dxfId="3" priority="123" text="null">
      <formula>OR($X$25&gt;7,$X$25=7)</formula>
    </cfRule>
  </conditionalFormatting>
  <conditionalFormatting sqref="R58:S58">
    <cfRule type="expression" dxfId="4" priority="68" text="null">
      <formula>Z59="No"</formula>
    </cfRule>
  </conditionalFormatting>
  <conditionalFormatting sqref="W58:Y58 W59:W65">
    <cfRule type="expression" dxfId="1" priority="67" text="null">
      <formula>$W$56="No"</formula>
    </cfRule>
  </conditionalFormatting>
  <conditionalFormatting sqref="R58">
    <cfRule type="expression" dxfId="4" priority="66" text="null">
      <formula>$W$58="Yes"</formula>
    </cfRule>
  </conditionalFormatting>
  <conditionalFormatting sqref="W62:W63">
    <cfRule type="expression" dxfId="5" priority="65" text="null">
      <formula>$W$56="Yes"</formula>
    </cfRule>
  </conditionalFormatting>
  <conditionalFormatting sqref="R60:S60">
    <cfRule type="expression" dxfId="4" priority="64" text="null">
      <formula>Z61="No"</formula>
    </cfRule>
  </conditionalFormatting>
  <conditionalFormatting sqref="R60">
    <cfRule type="expression" dxfId="4" priority="63" text="null">
      <formula>$W$58="Yes"</formula>
    </cfRule>
  </conditionalFormatting>
  <conditionalFormatting sqref="R58:S58">
    <cfRule type="expression" dxfId="4" priority="62" text="null">
      <formula>Z59="No"</formula>
    </cfRule>
  </conditionalFormatting>
  <conditionalFormatting sqref="R58">
    <cfRule type="expression" dxfId="4" priority="61" text="null">
      <formula>$W$56="Yes"</formula>
    </cfRule>
  </conditionalFormatting>
  <conditionalFormatting sqref="W64:W65">
    <cfRule type="expression" dxfId="5" priority="60" text="null">
      <formula>$W$56="Yes"</formula>
    </cfRule>
  </conditionalFormatting>
  <conditionalFormatting sqref="W55">
    <cfRule type="expression" dxfId="1" priority="59" text="null">
      <formula>W54="No"</formula>
    </cfRule>
  </conditionalFormatting>
  <conditionalFormatting sqref="R55:S55">
    <cfRule type="expression" dxfId="4" priority="55" text="null">
      <formula>Z56="No"</formula>
    </cfRule>
  </conditionalFormatting>
  <conditionalFormatting sqref="W55">
    <cfRule type="expression" dxfId="1" priority="57" text="null">
      <formula>$W$48="No"</formula>
    </cfRule>
  </conditionalFormatting>
  <conditionalFormatting sqref="R55:S55">
    <cfRule type="expression" dxfId="4" priority="56" text="null">
      <formula>Z56="No"</formula>
    </cfRule>
  </conditionalFormatting>
  <conditionalFormatting sqref="S54">
    <cfRule type="expression" dxfId="4" priority="50" text="null">
      <formula>AA55="No"</formula>
    </cfRule>
  </conditionalFormatting>
  <conditionalFormatting sqref="W54">
    <cfRule type="expression" dxfId="1" priority="52" text="null">
      <formula>$W$48="No"</formula>
    </cfRule>
  </conditionalFormatting>
  <conditionalFormatting sqref="S54">
    <cfRule type="expression" dxfId="4" priority="51" text="null">
      <formula>AA55="No"</formula>
    </cfRule>
  </conditionalFormatting>
  <conditionalFormatting sqref="R54">
    <cfRule type="expression" dxfId="4" priority="49" text="null">
      <formula>Z55="No"</formula>
    </cfRule>
  </conditionalFormatting>
  <conditionalFormatting sqref="R54">
    <cfRule type="expression" dxfId="4" priority="48" text="null">
      <formula>Z55="No"</formula>
    </cfRule>
  </conditionalFormatting>
  <conditionalFormatting sqref="W54">
    <cfRule type="expression" dxfId="1" priority="54" text="null">
      <formula>#REF!="No"</formula>
    </cfRule>
  </conditionalFormatting>
  <conditionalFormatting sqref="W53">
    <cfRule type="expression" dxfId="1" priority="45" text="null">
      <formula>$W$48="No"</formula>
    </cfRule>
  </conditionalFormatting>
  <conditionalFormatting sqref="W53">
    <cfRule type="expression" dxfId="1" priority="44" text="null">
      <formula>W52="No"</formula>
    </cfRule>
  </conditionalFormatting>
  <conditionalFormatting sqref="R53:S53">
    <cfRule type="expression" dxfId="4" priority="47" text="null">
      <formula>#REF!="No"</formula>
    </cfRule>
  </conditionalFormatting>
  <conditionalFormatting sqref="W52">
    <cfRule type="expression" dxfId="1" priority="42" text="null">
      <formula>$W$48="No"</formula>
    </cfRule>
  </conditionalFormatting>
  <conditionalFormatting sqref="R52:S52">
    <cfRule type="expression" dxfId="4" priority="41" text="null">
      <formula>Z53="No"</formula>
    </cfRule>
  </conditionalFormatting>
  <conditionalFormatting sqref="R52:S52">
    <cfRule type="expression" dxfId="4" priority="40" text="null">
      <formula>Z53="No"</formula>
    </cfRule>
  </conditionalFormatting>
  <conditionalFormatting sqref="R51:S51">
    <cfRule type="expression" dxfId="4" priority="37" text="null">
      <formula>Z52="No"</formula>
    </cfRule>
  </conditionalFormatting>
  <conditionalFormatting sqref="W50">
    <cfRule type="expression" dxfId="1" priority="35" text="null">
      <formula>W49="No"</formula>
    </cfRule>
  </conditionalFormatting>
  <conditionalFormatting sqref="W50">
    <cfRule type="expression" dxfId="1" priority="34" text="null">
      <formula>W49="No"</formula>
    </cfRule>
  </conditionalFormatting>
  <conditionalFormatting sqref="R49">
    <cfRule type="expression" dxfId="4" priority="28" text="null">
      <formula>Z51="No"</formula>
    </cfRule>
  </conditionalFormatting>
  <conditionalFormatting sqref="R49:S49">
    <cfRule type="expression" dxfId="4" priority="31" text="null">
      <formula>Z51="No"</formula>
    </cfRule>
  </conditionalFormatting>
  <conditionalFormatting sqref="W49">
    <cfRule type="expression" dxfId="1" priority="32" text="null">
      <formula>W48="No"</formula>
    </cfRule>
  </conditionalFormatting>
  <conditionalFormatting sqref="W49">
    <cfRule type="expression" dxfId="1" priority="30" text="null">
      <formula>W48="No"</formula>
    </cfRule>
  </conditionalFormatting>
  <conditionalFormatting sqref="R49:S49">
    <cfRule type="expression" dxfId="4" priority="29" text="null">
      <formula>Z51="No"</formula>
    </cfRule>
  </conditionalFormatting>
  <conditionalFormatting sqref="W48">
    <cfRule type="expression" dxfId="1" priority="26" text="null">
      <formula>W47="No"</formula>
    </cfRule>
  </conditionalFormatting>
  <conditionalFormatting sqref="R48:S48">
    <cfRule type="expression" dxfId="4" priority="25" text="null">
      <formula>Z49="No"</formula>
    </cfRule>
  </conditionalFormatting>
  <conditionalFormatting sqref="W48">
    <cfRule type="expression" dxfId="1" priority="24" text="null">
      <formula>W47="No"</formula>
    </cfRule>
  </conditionalFormatting>
  <conditionalFormatting sqref="R48:S48">
    <cfRule type="expression" dxfId="4" priority="23" text="null">
      <formula>Z49="No"</formula>
    </cfRule>
  </conditionalFormatting>
  <conditionalFormatting sqref="W47">
    <cfRule type="expression" dxfId="1" priority="22" text="null">
      <formula>W46="No"</formula>
    </cfRule>
  </conditionalFormatting>
  <conditionalFormatting sqref="R47:S47">
    <cfRule type="expression" dxfId="4" priority="20" text="null">
      <formula>Z48="No"</formula>
    </cfRule>
  </conditionalFormatting>
  <conditionalFormatting sqref="R47:S47">
    <cfRule type="expression" dxfId="4" priority="19" text="null">
      <formula>Z48="No"</formula>
    </cfRule>
  </conditionalFormatting>
  <conditionalFormatting sqref="W51">
    <cfRule type="expression" dxfId="1" priority="17" text="null">
      <formula>$W$48="No"</formula>
    </cfRule>
  </conditionalFormatting>
  <conditionalFormatting sqref="AP52">
    <cfRule type="expression" dxfId="6" priority="12" text="null">
      <formula>AP52=TRUE</formula>
    </cfRule>
  </conditionalFormatting>
  <conditionalFormatting sqref="AR52">
    <cfRule type="expression" dxfId="6" priority="13" text="null">
      <formula>AR52=TRUE</formula>
    </cfRule>
  </conditionalFormatting>
  <conditionalFormatting sqref="AN52">
    <cfRule type="expression" dxfId="6" priority="11" text="null">
      <formula>AN52=TRUE</formula>
    </cfRule>
  </conditionalFormatting>
  <conditionalFormatting sqref="J24">
    <cfRule type="expression" dxfId="7" priority="288" text="null">
      <formula>H23="If Refinance"</formula>
    </cfRule>
  </conditionalFormatting>
  <conditionalFormatting sqref="K22">
    <cfRule type="expression" dxfId="8" priority="289" text="null">
      <formula>H23="If Refinance"</formula>
    </cfRule>
  </conditionalFormatting>
  <conditionalFormatting sqref="H24">
    <cfRule type="expression" dxfId="2" priority="290" text="null">
      <formula>OR(H23="If Acquisition (within 1 year)",H23="If Acquisition (beyond 1 year)",H23="If Construction")</formula>
    </cfRule>
  </conditionalFormatting>
  <conditionalFormatting sqref="Z44:Z48 W58:Y58 W59:W65 W47:W55">
    <cfRule type="expression" dxfId="1" priority="291" text="null">
      <formula>$O$25="No"</formula>
    </cfRule>
  </conditionalFormatting>
  <conditionalFormatting sqref="B40">
    <cfRule type="expression" dxfId="1" priority="7" text="null">
      <formula>Delegated_Level="Performance Differentiation"</formula>
    </cfRule>
  </conditionalFormatting>
  <conditionalFormatting sqref="J50:J51">
    <cfRule type="expression" dxfId="9" priority="6" text="null">
      <formula>J50="PD: Pass"</formula>
    </cfRule>
  </conditionalFormatting>
  <conditionalFormatting sqref="B4:C4">
    <cfRule type="expression" dxfId="10" priority="5" text="null">
      <formula>$C$4="Not selected"</formula>
    </cfRule>
  </conditionalFormatting>
  <conditionalFormatting sqref="I74">
    <cfRule type="expression" dxfId="11" priority="2" text="null">
      <formula>SizerIsILP</formula>
    </cfRule>
  </conditionalFormatting>
  <conditionalFormatting sqref="I75">
    <cfRule type="expression" dxfId="11" priority="1" text="null">
      <formula>SizerIsILP</formula>
    </cfRule>
  </conditionalFormatting>
  <dataValidations count="33">
    <dataValidation allowBlank="1" showErrorMessage="1" showInputMessage="1" sqref="D40:E40" type="list">
      <formula1>Dropdowns_BorrowerPriority</formula1>
    </dataValidation>
    <dataValidation allowBlank="1" showErrorMessage="1" showInputMessage="1" sqref="L16:L20" type="decimal">
      <formula1>0</formula1>
      <formula2>100</formula2>
    </dataValidation>
    <dataValidation showDropDown="1" showErrorMessage="1" showInputMessage="1" sqref="L15:N15"/>
    <dataValidation allowBlank="1" showErrorMessage="1" showInputMessage="1" sqref="L21" type="decimal">
      <formula1>0</formula1>
      <formula2>1</formula2>
    </dataValidation>
    <dataValidation allowBlank="1" showErrorMessage="1" showInputMessage="1" sqref="AL61" type="list">
      <formula1>"64%, 65%, 66%,  70%, 79%,80%, 81%"</formula1>
    </dataValidation>
    <dataValidation allowBlank="1" showErrorMessage="1" showInputMessage="1" sqref="AL57" type="list">
      <formula1>"Multifamily, Other"</formula1>
    </dataValidation>
    <dataValidation allowBlank="1" showErrorMessage="1" showInputMessage="1" sqref="AL58" type="list">
      <formula1>"Acquisition, Refinance, Other"</formula1>
    </dataValidation>
    <dataValidation allowBlank="1" showErrorMessage="1" showInputMessage="1" sqref="AL60" type="list">
      <formula1>"Fixed, Variable"</formula1>
    </dataValidation>
    <dataValidation allowBlank="1" showErrorMessage="1" showInputMessage="1" sqref="V17" type="list">
      <formula1>"Yes,No"</formula1>
    </dataValidation>
    <dataValidation allowBlank="1" error="must choose from the list based on list found in the 'Dropdowns (DNP)' very-hidden worksheet." errorTitle="Invalid Delegated Level" showErrorMessage="1" showInputMessage="1" sqref="D39:E39" type="list">
      <formula1>Dropdowns_DelegatedLevel</formula1>
    </dataValidation>
    <dataValidation allowBlank="1" showErrorMessage="1" showInputMessage="1" sqref="E45" type="list">
      <formula1>"Standard,SERL"</formula1>
    </dataValidation>
    <dataValidation allowBlank="1" showErrorMessage="1" showInputMessage="1" sqref="D41" type="list">
      <formula1>"(Standard) DUS MBS,(Fixed +1) DUS MBS,(Standard) DUS Cash,(Fixed +1) DUS Cash,DMBS,BCE"</formula1>
    </dataValidation>
    <dataValidation allowBlank="1" showErrorMessage="1" showInputMessage="1" sqref="H23" type="list">
      <formula1>"If Refinance,If Acquisition (within 1 year),If Acquisition (beyond 1 year),If Construction"</formula1>
    </dataValidation>
    <dataValidation allowBlank="1" showErrorMessage="1" showInputMessage="1" sqref="E42" type="list">
      <formula1>"Fixed,Variable: Standard,Variable: SARM,Variable: ARM 7-6,Variable: ILP"</formula1>
    </dataValidation>
    <dataValidation allowBlank="1" showErrorMessage="1" showInputMessage="1" sqref="E43" type="list">
      <formula1>"Acquisition,Refinance,Forward Conver.,ARM to Fixed,Rehabilitation,Equity"</formula1>
    </dataValidation>
    <dataValidation allowBlank="1" showErrorMessage="1" showInputMessage="1" sqref="W21:Y21" type="list">
      <formula1>"Actual/360,'30/360"</formula1>
    </dataValidation>
    <dataValidation allowBlank="1" showErrorMessage="1" showInputMessage="1" sqref="D21" type="list">
      <formula1>"XX,AL,AK,AZ,AR,CA,CO,CT,DC,DE,FL,GA,GU,HI,ID,IL,IN,IA,KS,KY,LA,ME,MD,MA,MI,MN,MS,MO,MT,NE,NV,NH,NJ,NM,NY,NC,ND,OH,OK,OR,PA,PR,RI,SC,SD,TN,TX,UT,VT,VA,VI,WA,WV,WI,WY"</formula1>
    </dataValidation>
    <dataValidation allowBlank="1" showErrorMessage="1" showInputMessage="1" sqref="B23" type="list">
      <formula1>DataPage_MSA_Type_List</formula1>
    </dataValidation>
    <dataValidation allowBlank="1" showErrorMessage="1" showInputMessage="1" sqref="E46" type="list">
      <formula1>"YM - Standard,YM, then open,YM - Modified,Defeasance,1 Yr LO - 1%,2 Yr LO - 1%,LO - Declining,Declining"</formula1>
    </dataValidation>
    <dataValidation allowBlank="1" showErrorMessage="1" showInputMessage="1" sqref="D8" type="list">
      <formula1>Dropdowns_DeputyChiefUnderwriters</formula1>
    </dataValidation>
    <dataValidation allowBlank="1" showErrorMessage="1" showInputMessage="1" sqref="E44" type="list">
      <formula1>"30/360,Actual/360"</formula1>
    </dataValidation>
    <dataValidation allowBlank="1" showErrorMessage="1" showInputMessage="1" sqref="J7" type="list">
      <formula1>"Multifamily,Cooperative,Dedicated Student,Manufactured Housing,Seniors,Military"</formula1>
    </dataValidation>
    <dataValidation allowBlank="1" showErrorMessage="1" showInputMessage="1" sqref="J8" type="list">
      <formula1>"Select,Garden,High-Rise,Mid-Rise,Single Family Rental,Townhouse,Other"</formula1>
    </dataValidation>
    <dataValidation operator="greaterThan" allowBlank="1" showErrorMessage="1" showInputMessage="1" sqref="J9" type="whole">
      <formula1>0</formula1>
    </dataValidation>
    <dataValidation allowBlank="1" error="Must be a 5-digit number." errorTitle="Invalid Zipcode" showErrorMessage="1" showInputMessage="1" sqref="D22"/>
  </dataValidations>
  <hyperlinks>
    <hyperlink ref="AK52" r:id="rId1" display="Debt Product Integration Guide"/>
  </hyperlinks>
  <printOptions horizontalCentered="1"/>
  <pageMargins left="0.25" right="0.25" top="0.25" bottom="0.25" header="0.3" footer="0.3"/>
  <pageSetup useFirstPageNumber="1" fitToHeight="1" fitToWidth="1" paperSize="5" firstPageNumber="1" scale="67" pageOrder="downThenOver" orientation="landscape"/>
  <headerFooter>
    <oddHeader>&amp;L&amp;C&amp;R</oddHeader>
    <oddFooter>&amp;L&amp;C&amp;R</oddFooter>
  </headerFooter>
  <drawing r:id="rId4"/>
  <legacyDrawing r:id="rId3"/>
  <mc:AlternateContent xmlns:mc="http://schemas.openxmlformats.org/markup-compatibility/2006">
    <mc:Choice Requires="x14">
      <controls>
        <mc:AlternateContent xmlns:mc="http://schemas.openxmlformats.org/markup-compatibility/2006">
          <mc:Choice Requires="x14">
            <control shapeId="517666" name="button_ExportCD_UploadTemplate" r:id="rId5">
              <controlPr defaultSize="0" autoPict="0" print="0">
                <anchor moveWithCells="1" sizeWithCells="1">
                  <from>
                    <xdr:col>9</xdr:col>
                    <xdr:colOff>520732</xdr:colOff>
                    <xdr:row>0</xdr:row>
                    <xdr:rowOff>50768</xdr:rowOff>
                  </from>
                  <to>
                    <xdr:col>11</xdr:col>
                    <xdr:colOff>12668</xdr:colOff>
                    <xdr:row>1</xdr:row>
                    <xdr:rowOff>139732</xdr:rowOff>
                  </to>
                </anchor>
              </controlPr>
            </control>
          </mc:Choice>
        </mc:AlternateContent>
        <mc:AlternateContent xmlns:mc="http://schemas.openxmlformats.org/markup-compatibility/2006">
          <mc:Choice Requires="x14">
            <control shapeId="517667" name="button_ExportForm4662" r:id="rId6">
              <controlPr defaultSize="0" autoPict="0" print="0">
                <anchor moveWithCells="1" sizeWithCells="1">
                  <from>
                    <xdr:col>7</xdr:col>
                    <xdr:colOff>1028700</xdr:colOff>
                    <xdr:row>0</xdr:row>
                    <xdr:rowOff>50768</xdr:rowOff>
                  </from>
                  <to>
                    <xdr:col>9</xdr:col>
                    <xdr:colOff>266700</xdr:colOff>
                    <xdr:row>1</xdr:row>
                    <xdr:rowOff>139732</xdr:rowOff>
                  </to>
                </anchor>
              </controlPr>
            </control>
          </mc:Choice>
        </mc:AlternateContent>
        <mc:AlternateContent xmlns:mc="http://schemas.openxmlformats.org/markup-compatibility/2006">
          <mc:Choice Requires="x14">
            <control shapeId="517670" name="button_ImportData" r:id="rId7">
              <controlPr defaultSize="0" autoPict="0" print="0">
                <anchor moveWithCells="1" sizeWithCells="1">
                  <from>
                    <xdr:col>11</xdr:col>
                    <xdr:colOff>76200</xdr:colOff>
                    <xdr:row>0</xdr:row>
                    <xdr:rowOff>50768</xdr:rowOff>
                  </from>
                  <to>
                    <xdr:col>12</xdr:col>
                    <xdr:colOff>596932</xdr:colOff>
                    <xdr:row>1</xdr:row>
                    <xdr:rowOff>139732</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id="{cfb579ed-7b02-4a83-aaec-e4405888798c}" priority="132">
            <x14:f>$L$13&lt;&gt;'Rent Roll'!$D$141</x14:f>
            <x14:dxf>
              <fill>
                <patternFill patternType="solid">
                  <fgColor rgb="FFFF0000"/>
                  <bgColor rgb="FFFF0000"/>
                </patternFill>
              </fill>
            </x14:dxf>
          </x14:cfRule>
          <xm:sqref>L13</xm:sqref>
        </x14:conditionalFormatting>
        <x14:conditionalFormatting xmlns:xm="http://schemas.microsoft.com/office/excel/2006/main">
          <x14:cfRule type="expression" id="{1a3c65a4-a052-4aab-92c9-33efeade00f0}" priority="590">
            <x14:f>AND($D$22&lt;&gt;'SBL Quotes'!$B$9, 'SBL Quotes'!$B$9 &lt;&gt; "XXXXX")</x14:f>
            <x14:dxf>
              <font>
                <color theme="0"/>
              </font>
              <fill>
                <patternFill patternType="solid">
                  <fgColor rgb="FFC00000"/>
                  <bgColor rgb="FFC00000"/>
                </patternFill>
              </fill>
            </x14:dxf>
          </x14:cfRule>
          <xm:sqref>D22</xm:sqref>
        </x14:conditionalFormatting>
      </x14:conditionalFormattings>
    </ext>
    <ext xmlns:x14="http://schemas.microsoft.com/office/spreadsheetml/2009/9/main" uri="{CCE6A557-97BC-4b89-ADB6-D9C93CAAB3DF}">
      <x14:dataValidations xmlns:xm="http://schemas.microsoft.com/office/excel/2006/main" count="8">
        <x14:dataValidation allowBlank="1" showErrorMessage="1" showInputMessage="1" sqref="I7" type="list">
          <x14:formula1>
            <xm:f>'Dropdowns (DNP)'!$EG$2:$EG$3</xm:f>
          </x14:formula1>
          <xm:sqref>I7</xm:sqref>
        </x14:dataValidation>
        <x14:dataValidation allowBlank="1" showErrorMessage="1" showInputMessage="1" sqref="W47" type="list">
          <x14:formula1>
            <xm:f>'Dropdowns (DNP)'!$DW$2:$DW$5</xm:f>
          </x14:formula1>
          <xm:sqref>W47</xm:sqref>
        </x14:dataValidation>
        <x14:dataValidation allowBlank="1" showErrorMessage="1" showInputMessage="1" sqref="B54" type="list">
          <x14:formula1>
            <xm:f>'Dropdowns (DNP)'!$DH$2:$DH$3</xm:f>
          </x14:formula1>
          <xm:sqref>B54</xm:sqref>
        </x14:dataValidation>
        <x14:dataValidation allowBlank="1" showErrorMessage="1" showInputMessage="1" sqref="E58" type="list">
          <x14:formula1>
            <xm:f>'Dropdowns (DNP)'!$BX$2:$BX$8</xm:f>
          </x14:formula1>
          <xm:sqref>E58</xm:sqref>
        </x14:dataValidation>
        <x14:dataValidation allowBlank="1" showErrorMessage="1" showInputMessage="1" sqref="B27" type="list">
          <x14:formula1>
            <xm:f>'Dropdowns (DNP)'!$AV$2:$AV$3</xm:f>
          </x14:formula1>
          <xm:sqref>B27</xm:sqref>
        </x14:dataValidation>
        <x14:dataValidation allowBlank="1" showErrorMessage="1" showInputMessage="1" sqref="D48:E48" type="list">
          <x14:formula1>
            <xm:f>'Dropdowns (DNP)'!$AM$2:$AM$4</xm:f>
          </x14:formula1>
          <xm:sqref>D48:E48</xm:sqref>
        </x14:dataValidation>
        <x14:dataValidation allowBlank="1" showErrorMessage="1" showInputMessage="1" sqref="W22:Y22 W37" type="list">
          <x14:formula1>
            <xm:f>'Dropdowns (DNP)'!$A$2:$A$4</xm:f>
          </x14:formula1>
          <xm:sqref>W22:Y22 W37</xm:sqref>
        </x14:dataValidation>
        <x14:dataValidation allowBlank="1" showErrorMessage="1" showInputMessage="1" sqref="Z43 W59" type="list">
          <x14:formula1>
            <xm:f>'Dropdowns (DNP)'!$A$3:$A$4</xm:f>
          </x14:formula1>
          <xm:sqref>Z43 W59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58BDD03A-CF7E-DE05-0EDE-24E913CC8E84}" mc:Ignorable="x14ac xr xr2 xr3">
  <sheetPr>
    <tabColor rgb="FF00B050"/>
    <pageSetUpPr fitToPage="1"/>
  </sheetPr>
  <dimension ref="A1:FC43576"/>
  <sheetViews>
    <sheetView showGridLines="0" topLeftCell="A1" zoomScale="80" workbookViewId="0">
      <selection activeCell="B6" sqref="B6"/>
    </sheetView>
  </sheetViews>
  <sheetFormatPr defaultRowHeight="14.002500000000003" defaultColWidth="9.140625" customHeight="1" outlineLevelCol="1"/>
  <cols>
    <col min="1" max="1" style="716" width="46.140625" customWidth="1"/>
    <col min="2" max="2" style="716" width="34.7109375" customWidth="1"/>
    <col min="3" max="3" style="716" width="2.7109375" customWidth="1"/>
    <col min="4" max="4" style="716" width="37.28125" customWidth="1"/>
    <col min="5" max="7" style="716" width="16.7109375" customWidth="1"/>
    <col min="8" max="16" style="716" width="16.7109375" hidden="1" customWidth="1"/>
    <col min="17" max="17" style="716" width="5.00390625" customWidth="1"/>
    <col min="18" max="18" style="716" width="16.57421875" customWidth="1"/>
    <col min="19" max="20" style="716" width="16.7109375" customWidth="1"/>
    <col min="21" max="25" style="716" width="16.7109375" hidden="1" customWidth="1"/>
    <col min="26" max="26" style="716" width="4.8515625" customWidth="1"/>
    <col min="27" max="28" style="716" width="16.7109375" customWidth="1"/>
    <col min="29" max="34" style="716" width="16.7109375" hidden="1" customWidth="1"/>
    <col min="35" max="35" style="716" width="2.7109375" customWidth="1"/>
    <col min="36" max="36" style="712" width="46.00390625" hidden="1" customWidth="1" outlineLevel="1"/>
    <col min="37" max="37" style="716" width="20.140625" hidden="1" customWidth="1" outlineLevel="1"/>
    <col min="38" max="38" style="716" width="2.7109375" hidden="1" customWidth="1" outlineLevel="1"/>
    <col min="39" max="39" style="716" width="38.7109375" hidden="1" customWidth="1" outlineLevel="1"/>
    <col min="40" max="40" style="716" width="24.140625" hidden="1" customWidth="1" outlineLevel="1"/>
    <col min="41" max="41" style="716" width="7.8515625" collapsed="1" customWidth="1"/>
    <col min="42" max="42" style="716" width="43.57421875" hidden="1" customWidth="1" outlineLevel="1"/>
    <col min="43" max="43" style="716" width="13.28125" hidden="1" customWidth="1" outlineLevel="1"/>
    <col min="44" max="45" style="716" width="12.140625" hidden="1" customWidth="1" outlineLevel="1"/>
    <col min="46" max="46" style="716" width="7.8515625" collapsed="1" customWidth="1"/>
    <col min="47" max="47" style="716" width="44.7109375" hidden="1" customWidth="1" outlineLevel="1"/>
    <col min="48" max="48" style="716" width="12.7109375" hidden="1" customWidth="1" outlineLevel="1"/>
    <col min="49" max="49" style="716" width="15.57421875" hidden="1" customWidth="1" outlineLevel="1"/>
    <col min="50" max="56" style="716" width="12.7109375" hidden="1" customWidth="1" outlineLevel="1"/>
    <col min="57" max="57" style="716" width="15.8515625" hidden="1" customWidth="1" outlineLevel="1"/>
    <col min="58" max="59" style="716" width="12.7109375" hidden="1" customWidth="1" outlineLevel="1"/>
    <col min="60" max="60" style="716" width="12.57421875" hidden="1" customWidth="1" outlineLevel="1"/>
    <col min="61" max="61" style="716" width="7.8515625" collapsed="1" customWidth="1"/>
    <col min="62" max="62" style="716" width="38.8515625" hidden="1" customWidth="1" outlineLevel="1"/>
    <col min="63" max="68" style="740" width="15.28125" hidden="1" customWidth="1" outlineLevel="1"/>
    <col min="69" max="69" style="716" width="9.140625" collapsed="1" customWidth="1"/>
    <col min="70" max="70" style="716" width="4.7109375" hidden="1" customWidth="1" outlineLevel="1"/>
    <col min="71" max="71" style="716" width="27.28125" hidden="1" customWidth="1" outlineLevel="1"/>
    <col min="72" max="72" style="716" width="9.140625" hidden="1" customWidth="1" outlineLevel="1"/>
    <col min="73" max="73" style="716" width="9.8515625" collapsed="1" customWidth="1"/>
    <col min="74" max="74" style="716" width="17.57421875" customWidth="1"/>
    <col min="75" max="76" style="716" width="15.28125" customWidth="1"/>
    <col min="77" max="77" style="716" width="16.57421875" customWidth="1"/>
    <col min="78" max="78" style="716" width="9.140625" customWidth="1"/>
    <col min="79" max="79" style="716" width="19.140625" customWidth="1"/>
    <col min="80" max="80" style="716" width="20.7109375" customWidth="1"/>
    <col min="81" max="81" style="716" width="22.28125" customWidth="1"/>
    <col min="82" max="83" style="716" width="16.57421875" customWidth="1"/>
    <col min="84" max="84" style="716" width="17.57421875" customWidth="1"/>
    <col min="85" max="86" style="716" width="15.28125" customWidth="1"/>
    <col min="87" max="87" style="716" width="16.57421875" customWidth="1"/>
    <col min="88" max="159" style="716" width="9.140625" customWidth="1"/>
  </cols>
  <sheetData>
    <row r="1" ht="15" customHeight="1">
      <c r="A1" s="627"/>
      <c r="B1" s="628"/>
      <c r="C1" s="627"/>
      <c r="D1" s="629"/>
      <c r="E1" s="630">
        <v>3</v>
      </c>
      <c r="F1" s="631"/>
      <c r="G1" s="631"/>
      <c r="H1" s="631"/>
      <c r="I1" s="631"/>
      <c r="J1" s="631"/>
      <c r="K1" s="631"/>
      <c r="L1" s="631"/>
      <c r="M1" s="631"/>
      <c r="N1" s="631"/>
      <c r="O1" s="631"/>
      <c r="P1" s="631"/>
      <c r="Q1" s="632"/>
      <c r="R1" s="630">
        <v>3</v>
      </c>
      <c r="S1" s="631"/>
      <c r="T1" s="631"/>
      <c r="U1" s="631"/>
      <c r="V1" s="631"/>
      <c r="W1" s="631"/>
      <c r="X1" s="631"/>
      <c r="Y1" s="631"/>
      <c r="Z1" s="632"/>
      <c r="AA1" s="630">
        <v>2</v>
      </c>
      <c r="AB1" s="631"/>
      <c r="AC1" s="631"/>
      <c r="AD1" s="631"/>
      <c r="AE1" s="631"/>
      <c r="AF1" s="631"/>
      <c r="AG1" s="631"/>
      <c r="AH1" s="631"/>
      <c r="AI1" s="632"/>
      <c r="AJ1" s="633"/>
      <c r="AK1" s="632"/>
      <c r="AL1" s="632"/>
      <c r="AM1" s="632"/>
      <c r="AN1" s="632"/>
      <c r="AO1" s="632"/>
      <c r="AP1" s="632"/>
      <c r="AQ1" s="632"/>
      <c r="AR1" s="632"/>
      <c r="AS1" s="632"/>
      <c r="AT1" s="634" t="s">
        <v>490</v>
      </c>
      <c r="AU1" s="632"/>
      <c r="AV1" s="632"/>
      <c r="AW1" s="632"/>
      <c r="AX1" s="632"/>
      <c r="AY1" s="632"/>
      <c r="AZ1" s="632"/>
      <c r="BA1" s="632"/>
      <c r="BB1" s="632"/>
      <c r="BC1" s="632"/>
      <c r="BD1" s="632"/>
      <c r="BE1" s="632"/>
      <c r="BF1" s="632"/>
      <c r="BG1" s="632"/>
      <c r="BH1" s="632"/>
      <c r="BI1" s="632" t="s">
        <v>491</v>
      </c>
      <c r="BJ1" s="632" t="s">
        <v>492</v>
      </c>
      <c r="BK1" s="633" t="str">
        <f>DailyPricingUpdateTimestamp</f>
        <v>09/15/2023, 13:37:47</v>
      </c>
      <c r="BL1" s="635"/>
      <c r="BM1" s="635"/>
      <c r="BN1" s="635"/>
      <c r="BO1" s="635"/>
      <c r="BP1" s="635"/>
      <c r="BQ1" s="632" t="s">
        <v>494</v>
      </c>
      <c r="BR1" s="636"/>
      <c r="BS1" s="632"/>
      <c r="BT1" s="632"/>
      <c r="BU1" s="637" t="s">
        <v>491</v>
      </c>
    </row>
    <row r="2" ht="15" customHeight="1">
      <c r="A2" s="627"/>
      <c r="B2" s="627"/>
      <c r="C2" s="628"/>
      <c r="D2" s="638"/>
      <c r="E2" s="639" t="str">
        <f>IF(OR(property_name="XXXX",LEN(property_name)=0),"",property_name)&amp;IF(OR(_xlfn.IFERROR(SEARCH(address,property_name),0)&gt;=1,address=0),"",IF(property_name=0,address," | "&amp;address))&amp;IF(address=0,""," | "&amp;B8)</f>
        <v> | City, XX</v>
      </c>
      <c r="F2" s="639"/>
      <c r="G2" s="639"/>
      <c r="H2" s="639"/>
      <c r="I2" s="639"/>
      <c r="J2" s="639"/>
      <c r="K2" s="639"/>
      <c r="L2" s="639"/>
      <c r="M2" s="639"/>
      <c r="N2" s="639"/>
      <c r="O2" s="639"/>
      <c r="P2" s="639"/>
      <c r="Q2" s="639"/>
      <c r="R2" s="639"/>
      <c r="S2" s="639"/>
      <c r="T2" s="639"/>
      <c r="U2" s="639"/>
      <c r="V2" s="639"/>
      <c r="W2" s="639"/>
      <c r="X2" s="639"/>
      <c r="Y2" s="639"/>
      <c r="Z2" s="639"/>
      <c r="AA2" s="639"/>
      <c r="AB2" s="639"/>
      <c r="AC2" s="639"/>
      <c r="AD2" s="639"/>
      <c r="AE2" s="639"/>
      <c r="AF2" s="639"/>
      <c r="AG2" s="639"/>
      <c r="AH2" s="639"/>
      <c r="AI2" s="632"/>
      <c r="AJ2" s="640" t="s">
        <v>496</v>
      </c>
      <c r="AK2" s="640"/>
      <c r="AL2" s="641"/>
      <c r="AM2" s="640" t="s">
        <v>497</v>
      </c>
      <c r="AN2" s="640"/>
      <c r="AO2" s="632"/>
      <c r="AP2" s="642" t="s">
        <v>498</v>
      </c>
      <c r="AQ2" s="632"/>
      <c r="AR2" s="632"/>
      <c r="AS2" s="632"/>
      <c r="AT2" s="634"/>
      <c r="AU2" s="643" t="s">
        <v>499</v>
      </c>
      <c r="AV2" s="6"/>
      <c r="AW2" s="6"/>
      <c r="AX2" s="6"/>
      <c r="AY2" s="6"/>
      <c r="AZ2" s="6"/>
      <c r="BA2" s="6"/>
      <c r="BB2" s="6"/>
      <c r="BC2" s="6"/>
      <c r="BD2" s="6"/>
      <c r="BE2" s="6"/>
      <c r="BF2" s="644"/>
      <c r="BG2" s="644"/>
      <c r="BH2" s="632"/>
      <c r="BI2" s="632" t="s">
        <v>443</v>
      </c>
      <c r="BJ2" s="645" t="s">
        <v>500</v>
      </c>
      <c r="BK2" s="646" t="s">
        <v>501</v>
      </c>
      <c r="BL2" s="635" t="str">
        <f>IF(SBL_FRE_RegionalPricingGridRegionCode="WE","Western",IF(SBL_FRE_RegionalPricingGridRegionCode="NE","Northeast",IF(SBL_FRE_RegionalPricingGridRegionCode="NC","North Central",IF(SBL_FRE_RegionalPricingGridRegionCode="SE","Southeast",IF(SBL_FRE_RegionalPricingGridRegionCode="SC","South Central","Unknown")))))</f>
        <v>Northeast</v>
      </c>
      <c r="BN2" s="635"/>
      <c r="BO2" s="647"/>
      <c r="BP2" s="635"/>
      <c r="BQ2" s="632" t="s">
        <v>443</v>
      </c>
      <c r="BR2" s="636"/>
      <c r="BS2" s="632"/>
      <c r="BT2" s="632"/>
      <c r="BU2" s="637" t="s">
        <v>503</v>
      </c>
    </row>
    <row r="3" ht="15" customHeight="1">
      <c r="A3" s="627"/>
      <c r="B3" s="627"/>
      <c r="C3" s="627"/>
      <c r="D3" s="648"/>
      <c r="E3" s="649"/>
      <c r="F3" s="649"/>
      <c r="G3" s="650"/>
      <c r="H3" s="650"/>
      <c r="I3" s="650"/>
      <c r="J3" s="650"/>
      <c r="K3" s="650"/>
      <c r="L3" s="650"/>
      <c r="M3" s="650"/>
      <c r="N3" s="650"/>
      <c r="O3" s="650"/>
      <c r="P3" s="650"/>
      <c r="Q3" s="651"/>
      <c r="R3" s="651"/>
      <c r="S3" s="651"/>
      <c r="T3" s="651"/>
      <c r="U3" s="651"/>
      <c r="V3" s="651"/>
      <c r="W3" s="651"/>
      <c r="X3" s="651"/>
      <c r="Y3" s="651"/>
      <c r="Z3" s="651"/>
      <c r="AA3" s="652"/>
      <c r="AB3" s="651"/>
      <c r="AC3" s="651"/>
      <c r="AD3" s="651"/>
      <c r="AE3" s="651"/>
      <c r="AF3" s="651"/>
      <c r="AG3" s="651"/>
      <c r="AH3" s="651"/>
      <c r="AI3" s="632"/>
      <c r="AJ3" s="653" t="s">
        <v>504</v>
      </c>
      <c r="AK3" s="654" t="str">
        <f>property_name</f>
        <v>XXXX</v>
      </c>
      <c r="AL3" s="635"/>
      <c r="AM3" s="653" t="s">
        <v>505</v>
      </c>
      <c r="AN3" s="655" t="e">
        <f>'Data Page'!$K$31</f>
        <v>#NAME?</v>
      </c>
      <c r="AO3" s="632"/>
      <c r="AP3" s="656" t="s">
        <v>506</v>
      </c>
      <c r="AQ3" s="657"/>
      <c r="AR3" s="657"/>
      <c r="AS3" s="658"/>
      <c r="AT3" s="659" t="s">
        <v>507</v>
      </c>
      <c r="AU3" s="660" t="s">
        <v>508</v>
      </c>
      <c r="AV3" s="660" t="s">
        <v>509</v>
      </c>
      <c r="AW3" s="660" t="s">
        <v>510</v>
      </c>
      <c r="AX3" s="660" t="s">
        <v>511</v>
      </c>
      <c r="AY3" s="660" t="s">
        <v>512</v>
      </c>
      <c r="AZ3" s="660" t="s">
        <v>513</v>
      </c>
      <c r="BA3" s="660" t="s">
        <v>514</v>
      </c>
      <c r="BB3" s="660" t="s">
        <v>515</v>
      </c>
      <c r="BC3" s="660" t="s">
        <v>516</v>
      </c>
      <c r="BD3" s="660" t="s">
        <v>517</v>
      </c>
      <c r="BE3" s="661" t="s">
        <v>518</v>
      </c>
      <c r="BH3" s="632"/>
      <c r="BI3" s="662" t="s">
        <v>507</v>
      </c>
      <c r="BJ3" s="645" t="s">
        <v>519</v>
      </c>
      <c r="BK3" s="663">
        <v>45181</v>
      </c>
      <c r="BL3" s="664"/>
      <c r="BM3" s="664"/>
      <c r="BN3" s="665"/>
      <c r="BO3" s="666"/>
      <c r="BP3" s="664"/>
      <c r="BQ3" s="662" t="s">
        <v>507</v>
      </c>
      <c r="BR3" s="636"/>
      <c r="BS3" s="667" t="s">
        <v>520</v>
      </c>
      <c r="BT3" s="661"/>
      <c r="BU3" s="668" t="s">
        <v>507</v>
      </c>
    </row>
    <row r="4" ht="15" customHeight="1">
      <c r="A4" s="669" t="str">
        <f>"Assumptions (Blue = Freddie, Green = Fannie)  Version: "&amp;EnodoConfig_Version&amp;", released: "&amp;TEXT(EnodoConfig_ReleaseDate,"m/d/yy")</f>
        <v>Assumptions (Blue = Freddie, Green = Fannie)  Version: 5.35.2, released: 9/14/23</v>
      </c>
      <c r="B4" s="669"/>
      <c r="C4" s="627"/>
      <c r="D4" s="670" t="s">
        <v>522</v>
      </c>
      <c r="E4" s="639" t="s">
        <v>523</v>
      </c>
      <c r="F4" s="639"/>
      <c r="G4" s="639"/>
      <c r="H4" s="639"/>
      <c r="I4" s="639"/>
      <c r="J4" s="639"/>
      <c r="K4" s="639"/>
      <c r="L4" s="639"/>
      <c r="M4" s="639"/>
      <c r="N4" s="639"/>
      <c r="O4" s="639"/>
      <c r="P4" s="639"/>
      <c r="Q4" s="631"/>
      <c r="R4" s="639" t="s">
        <v>524</v>
      </c>
      <c r="S4" s="639"/>
      <c r="T4" s="639"/>
      <c r="U4" s="639"/>
      <c r="V4" s="639"/>
      <c r="W4" s="639"/>
      <c r="X4" s="639"/>
      <c r="Y4" s="639"/>
      <c r="Z4" s="631"/>
      <c r="AA4" s="639" t="s">
        <v>525</v>
      </c>
      <c r="AB4" s="639"/>
      <c r="AC4" s="639"/>
      <c r="AD4" s="639"/>
      <c r="AE4" s="639"/>
      <c r="AF4" s="639"/>
      <c r="AG4" s="639"/>
      <c r="AH4" s="639"/>
      <c r="AI4" s="632"/>
      <c r="AJ4" s="671" t="s">
        <v>273</v>
      </c>
      <c r="AK4" s="654">
        <f>address</f>
      </c>
      <c r="AL4" s="635"/>
      <c r="AM4" s="653" t="s">
        <v>526</v>
      </c>
      <c r="AN4" s="672" cm="1">
        <f t="array" ref="AN4">_xlfn.IFERROR(INDEX(IF($B$53="Freddie Mac SBL",E30:G30,R30:T30),1,$B$54),0)</f>
        <v>0</v>
      </c>
      <c r="AO4" s="632"/>
      <c r="AP4" s="632" t="s">
        <v>527</v>
      </c>
      <c r="AQ4" s="673"/>
      <c r="AR4" s="632"/>
      <c r="AS4" s="632"/>
      <c r="AT4" s="632"/>
      <c r="AU4" s="674" t="s">
        <v>528</v>
      </c>
      <c r="AV4" s="675">
        <v>45183</v>
      </c>
      <c r="AW4" s="676">
        <v>0.0542</v>
      </c>
      <c r="AX4" s="676">
        <v>0.05</v>
      </c>
      <c r="AY4" s="676">
        <v>0.046799999999999994</v>
      </c>
      <c r="AZ4" s="677"/>
      <c r="BA4" s="676">
        <v>0.044199999999999996</v>
      </c>
      <c r="BB4" s="676">
        <v>0.0438</v>
      </c>
      <c r="BC4" s="676">
        <v>0.0429</v>
      </c>
      <c r="BD4" s="676">
        <v>0.045700000000000005</v>
      </c>
      <c r="BE4" s="676">
        <v>0.043899999999999995</v>
      </c>
      <c r="BH4" s="632"/>
      <c r="BI4" s="632"/>
      <c r="BJ4" s="678" t="s">
        <v>529</v>
      </c>
      <c r="BK4" s="666" t="s">
        <v>530</v>
      </c>
      <c r="BL4" s="666" t="s">
        <v>531</v>
      </c>
      <c r="BM4" s="666" t="s">
        <v>532</v>
      </c>
      <c r="BN4" s="666" t="s">
        <v>533</v>
      </c>
      <c r="BO4" s="666" t="s">
        <v>534</v>
      </c>
      <c r="BP4" s="666" t="s">
        <v>535</v>
      </c>
      <c r="BQ4" s="632"/>
      <c r="BR4" s="636"/>
      <c r="BS4" s="636" t="s">
        <v>536</v>
      </c>
      <c r="BT4" s="679">
        <v>0.8</v>
      </c>
      <c r="BU4" s="680" t="s">
        <v>537</v>
      </c>
    </row>
    <row r="5" ht="15" customHeight="1">
      <c r="A5" s="631" t="s">
        <v>538</v>
      </c>
      <c r="B5" s="681">
        <v>45184.338842592595</v>
      </c>
      <c r="C5" s="631"/>
      <c r="D5" s="631"/>
      <c r="E5" s="682" t="s">
        <v>539</v>
      </c>
      <c r="F5" s="683" t="s">
        <v>540</v>
      </c>
      <c r="G5" s="684" t="s">
        <v>541</v>
      </c>
      <c r="H5" s="683" t="s">
        <v>542</v>
      </c>
      <c r="I5" s="684" t="s">
        <v>543</v>
      </c>
      <c r="J5" s="683" t="s">
        <v>544</v>
      </c>
      <c r="K5" s="684" t="s">
        <v>545</v>
      </c>
      <c r="L5" s="683" t="s">
        <v>546</v>
      </c>
      <c r="M5" s="684" t="s">
        <v>547</v>
      </c>
      <c r="N5" s="683" t="s">
        <v>548</v>
      </c>
      <c r="O5" s="684" t="s">
        <v>549</v>
      </c>
      <c r="P5" s="683" t="s">
        <v>550</v>
      </c>
      <c r="Q5" s="631"/>
      <c r="R5" s="682" t="s">
        <v>539</v>
      </c>
      <c r="S5" s="683" t="s">
        <v>540</v>
      </c>
      <c r="T5" s="684" t="s">
        <v>541</v>
      </c>
      <c r="U5" s="683" t="s">
        <v>542</v>
      </c>
      <c r="V5" s="684" t="s">
        <v>543</v>
      </c>
      <c r="W5" s="683" t="s">
        <v>544</v>
      </c>
      <c r="X5" s="684" t="s">
        <v>545</v>
      </c>
      <c r="Y5" s="683" t="s">
        <v>546</v>
      </c>
      <c r="Z5" s="631"/>
      <c r="AA5" s="682" t="s">
        <v>539</v>
      </c>
      <c r="AB5" s="683" t="s">
        <v>540</v>
      </c>
      <c r="AC5" s="684" t="s">
        <v>541</v>
      </c>
      <c r="AD5" s="683" t="s">
        <v>542</v>
      </c>
      <c r="AE5" s="684" t="s">
        <v>543</v>
      </c>
      <c r="AF5" s="683" t="s">
        <v>544</v>
      </c>
      <c r="AG5" s="684" t="s">
        <v>545</v>
      </c>
      <c r="AH5" s="683" t="s">
        <v>546</v>
      </c>
      <c r="AI5" s="632"/>
      <c r="AJ5" s="671" t="s">
        <v>551</v>
      </c>
      <c r="AK5" s="654">
        <f>MSA</f>
      </c>
      <c r="AL5" s="635"/>
      <c r="AM5" s="653" t="s">
        <v>552</v>
      </c>
      <c r="AN5" s="654" cm="1">
        <f t="array" ref="AN5">_xlfn.IFERROR(INDEX(IF($B$53="Freddie Mac SBL",E26:G26,R26:T26),1,$B$54),0)</f>
        <v>0</v>
      </c>
      <c r="AO5" s="632"/>
      <c r="AP5" s="632" t="s">
        <v>553</v>
      </c>
      <c r="AQ5" s="685"/>
      <c r="AR5" s="632"/>
      <c r="AS5" s="632"/>
      <c r="AT5" s="632"/>
      <c r="AU5" s="686" t="s">
        <v>554</v>
      </c>
      <c r="AV5" s="675">
        <f>DailyPricing!E6</f>
        <v>45184</v>
      </c>
      <c r="AW5" s="687">
        <f>DailyPricing!E14</f>
        <v>0.054237</v>
      </c>
      <c r="AX5" s="687">
        <f>DailyPricing!E15</f>
        <v>0.050347</v>
      </c>
      <c r="AY5" s="687">
        <f>DailyPricing!E16</f>
        <v>0.047126</v>
      </c>
      <c r="AZ5" s="687">
        <f>DailyPricing!E17</f>
        <v>0.045816</v>
      </c>
      <c r="BA5" s="687">
        <f>DailyPricing!E18</f>
        <v>0.044509</v>
      </c>
      <c r="BB5" s="687">
        <f>DailyPricing!E19</f>
        <v>0.044065</v>
      </c>
      <c r="BC5" s="687">
        <f>DailyPricing!E20</f>
        <v>0.043144</v>
      </c>
      <c r="BD5" s="687">
        <f>DailyPricing!E21</f>
        <v>0.04582</v>
      </c>
      <c r="BE5" s="687">
        <f>DailyPricing!E22</f>
        <v>0.043957</v>
      </c>
      <c r="BH5" s="632"/>
      <c r="BI5" s="688"/>
      <c r="BJ5" s="689" t="str">
        <f>"SBL - "&amp;$BL$2&amp;" Region Pricing Grid - Top/Standard Markets Effective:    "&amp;TEXT(SBL_FRE_RegionalPricingGridTimestamp,"dddd  mm/dd/yyyy")</f>
        <v>SBL - Northeast Region Pricing Grid - Top/Standard Markets Effective:    Tuesday  09/12/2023</v>
      </c>
      <c r="BK5" s="690"/>
      <c r="BL5" s="690"/>
      <c r="BM5" s="690"/>
      <c r="BN5" s="690"/>
      <c r="BO5" s="690"/>
      <c r="BP5" s="691"/>
      <c r="BQ5" s="692"/>
      <c r="BR5" s="693"/>
      <c r="BS5" s="636" t="s">
        <v>556</v>
      </c>
      <c r="BT5" s="694">
        <v>1.25</v>
      </c>
      <c r="BU5" s="637"/>
      <c r="BZ5" s="695"/>
      <c r="CJ5" s="695"/>
      <c r="CK5" s="695"/>
      <c r="CL5" s="695"/>
      <c r="CM5" s="695"/>
      <c r="CN5" s="695"/>
      <c r="CO5" s="695"/>
      <c r="CP5" s="695"/>
      <c r="CQ5" s="695"/>
      <c r="CR5" s="695"/>
      <c r="CS5" s="695"/>
      <c r="CT5" s="695"/>
      <c r="CU5" s="695"/>
      <c r="CV5" s="695"/>
      <c r="CW5" s="695"/>
      <c r="CX5" s="695"/>
      <c r="CY5" s="695"/>
      <c r="CZ5" s="695"/>
      <c r="DA5" s="695"/>
      <c r="DB5" s="695"/>
      <c r="DC5" s="695"/>
      <c r="DD5" s="695"/>
      <c r="DE5" s="695"/>
      <c r="DF5" s="695"/>
      <c r="DG5" s="695"/>
      <c r="DH5" s="695"/>
      <c r="DI5" s="695"/>
      <c r="DJ5" s="695"/>
      <c r="DK5" s="695"/>
      <c r="DL5" s="695"/>
      <c r="DM5" s="695"/>
      <c r="DN5" s="695"/>
      <c r="DO5" s="695"/>
      <c r="DP5" s="695"/>
      <c r="DQ5" s="695"/>
      <c r="DR5" s="695"/>
      <c r="DS5" s="695"/>
      <c r="DT5" s="695"/>
      <c r="DU5" s="695"/>
      <c r="DV5" s="695"/>
      <c r="DW5" s="695"/>
      <c r="DX5" s="695"/>
      <c r="DY5" s="695"/>
      <c r="DZ5" s="695"/>
      <c r="EA5" s="695"/>
      <c r="EB5" s="695"/>
      <c r="EC5" s="695"/>
      <c r="ED5" s="695"/>
      <c r="EE5" s="695"/>
      <c r="EF5" s="695"/>
      <c r="EG5" s="695"/>
      <c r="EH5" s="695"/>
      <c r="EI5" s="695"/>
      <c r="EJ5" s="695"/>
      <c r="EK5" s="695"/>
      <c r="EL5" s="695"/>
      <c r="EM5" s="695"/>
      <c r="EN5" s="695"/>
      <c r="EO5" s="695"/>
      <c r="EP5" s="695"/>
      <c r="EQ5" s="695"/>
      <c r="ER5" s="695"/>
      <c r="ES5" s="695"/>
      <c r="ET5" s="695"/>
      <c r="EU5" s="695"/>
      <c r="EV5" s="695"/>
      <c r="EW5" s="695"/>
      <c r="EX5" s="695"/>
      <c r="EY5" s="695"/>
      <c r="EZ5" s="695"/>
      <c r="FA5" s="695"/>
      <c r="FB5" s="695"/>
      <c r="FC5" s="695"/>
    </row>
    <row r="6" ht="15" customHeight="1">
      <c r="A6" s="696" t="s">
        <v>265</v>
      </c>
      <c r="B6" s="697" t="s">
        <v>188</v>
      </c>
      <c r="C6" s="696"/>
      <c r="D6" s="631" t="s">
        <v>557</v>
      </c>
      <c r="E6" s="698" t="str">
        <f t="shared" si="0" ref="E6:AH6">E26</f>
        <v>5 YR Fixed</v>
      </c>
      <c r="F6" s="699" t="str">
        <f t="shared" si="0"/>
        <v>7 YR Fixed</v>
      </c>
      <c r="G6" s="700" t="str">
        <f t="shared" si="0"/>
        <v>10 YR Fixed</v>
      </c>
      <c r="H6" s="699" t="str">
        <f t="shared" si="0"/>
        <v>5 YR Fixed</v>
      </c>
      <c r="I6" s="700" t="str">
        <f t="shared" si="0"/>
        <v>7 YR Fixed</v>
      </c>
      <c r="J6" s="699" t="str">
        <f t="shared" si="0"/>
        <v>10 YR Fixed</v>
      </c>
      <c r="K6" s="700" t="str">
        <f t="shared" si="0"/>
        <v>5 YR Hybrid</v>
      </c>
      <c r="L6" s="699" t="str">
        <f t="shared" si="0"/>
        <v>7 YR Hybrid</v>
      </c>
      <c r="M6" s="700" t="str">
        <f t="shared" si="0"/>
        <v>10 YR Fixed</v>
      </c>
      <c r="N6" s="699" t="str">
        <f t="shared" si="0"/>
        <v>5 YR Hybrid</v>
      </c>
      <c r="O6" s="700" t="str">
        <f t="shared" si="0"/>
        <v>7 YR Hybrid</v>
      </c>
      <c r="P6" s="699" t="str">
        <f t="shared" si="0"/>
        <v>10 YR Fixed</v>
      </c>
      <c r="Q6" s="701"/>
      <c r="R6" s="698" t="str">
        <f t="shared" si="0"/>
        <v>10 YR Fixed</v>
      </c>
      <c r="S6" s="699" t="str">
        <f t="shared" si="0"/>
        <v>12 YR Fixed</v>
      </c>
      <c r="T6" s="700" t="str">
        <f t="shared" si="0"/>
        <v>15 YR Fixed</v>
      </c>
      <c r="U6" s="699" t="str">
        <f t="shared" si="0"/>
        <v>10 YR Fixed</v>
      </c>
      <c r="V6" s="700" t="str">
        <f t="shared" si="0"/>
        <v>10 YR Fixed</v>
      </c>
      <c r="W6" s="699" t="str">
        <f t="shared" si="0"/>
        <v>5 YR Fixed</v>
      </c>
      <c r="X6" s="700" t="str">
        <f t="shared" si="0"/>
        <v>5 YR Fixed</v>
      </c>
      <c r="Y6" s="699" t="str">
        <f t="shared" si="0"/>
        <v>10 YR Variable</v>
      </c>
      <c r="Z6" s="701"/>
      <c r="AA6" s="698" t="str">
        <f t="shared" si="0"/>
        <v>3 YR Floating</v>
      </c>
      <c r="AB6" s="699" t="str">
        <f t="shared" si="0"/>
        <v>5 YR Floating</v>
      </c>
      <c r="AC6" s="700" t="str">
        <f t="shared" si="0"/>
        <v>7 YR Floating</v>
      </c>
      <c r="AD6" s="699" t="str">
        <f t="shared" si="0"/>
        <v>3 YR Floating</v>
      </c>
      <c r="AE6" s="700" t="str">
        <f t="shared" si="0"/>
        <v>5 YR Floating</v>
      </c>
      <c r="AF6" s="699" t="str">
        <f t="shared" si="0"/>
        <v>7 YR Floating</v>
      </c>
      <c r="AG6" s="700" t="str">
        <f t="shared" si="0"/>
        <v>3 YR Floating</v>
      </c>
      <c r="AH6" s="699" t="str">
        <f t="shared" si="0"/>
        <v>5 YR Floating</v>
      </c>
      <c r="AI6" s="632"/>
      <c r="AJ6" s="671" t="s">
        <v>564</v>
      </c>
      <c r="AK6" s="654" t="str">
        <f>SBL_DelegatedLevel</f>
        <v>Delegated</v>
      </c>
      <c r="AL6" s="635"/>
      <c r="AM6" s="653" t="s">
        <v>565</v>
      </c>
      <c r="AN6" s="654" cm="1">
        <f t="array" ref="AN6">_xlfn.IFERROR(INDEX(IF($B$53="Freddie Mac SBL",E43:G43,R43:T43),1,$B$54),0)</f>
        <v>0</v>
      </c>
      <c r="AO6" s="632"/>
      <c r="AP6" s="632" t="s">
        <v>566</v>
      </c>
      <c r="AQ6" s="685"/>
      <c r="AR6" s="632"/>
      <c r="AS6" s="632"/>
      <c r="AT6" s="632"/>
      <c r="AU6" s="702" t="s">
        <v>567</v>
      </c>
      <c r="AV6" s="687">
        <f>DailyPricing!E9</f>
        <v>0.053704</v>
      </c>
      <c r="BH6" s="632"/>
      <c r="BI6" s="27"/>
      <c r="BJ6" s="703" t="s">
        <v>568</v>
      </c>
      <c r="BK6" s="704"/>
      <c r="BL6" s="704"/>
      <c r="BM6" s="704"/>
      <c r="BN6" s="704"/>
      <c r="BO6" s="704"/>
      <c r="BP6" s="705"/>
      <c r="BQ6" s="664"/>
      <c r="BR6" s="706"/>
      <c r="BS6" s="636" t="s">
        <v>569</v>
      </c>
      <c r="BT6" s="707">
        <v>0</v>
      </c>
      <c r="BU6" s="637"/>
      <c r="BZ6" s="708"/>
      <c r="CJ6" s="708"/>
      <c r="CK6" s="708"/>
      <c r="CL6" s="708"/>
      <c r="CM6" s="708"/>
      <c r="CN6" s="708"/>
      <c r="CO6" s="708"/>
      <c r="CP6" s="708"/>
      <c r="CQ6" s="708"/>
      <c r="CR6" s="708"/>
      <c r="CS6" s="708"/>
      <c r="CT6" s="708"/>
      <c r="CU6" s="708"/>
      <c r="CV6" s="708"/>
      <c r="CW6" s="708"/>
      <c r="CX6" s="708"/>
      <c r="CY6" s="708"/>
      <c r="CZ6" s="708"/>
      <c r="DA6" s="625"/>
      <c r="DB6" s="625"/>
      <c r="DC6" s="625"/>
      <c r="DD6" s="625"/>
      <c r="DE6" s="625"/>
      <c r="DF6" s="625"/>
      <c r="DG6" s="625"/>
      <c r="DH6" s="625"/>
      <c r="DI6" s="625"/>
      <c r="DJ6" s="625"/>
      <c r="DK6" s="625"/>
      <c r="DL6" s="625"/>
      <c r="DM6" s="625"/>
      <c r="DN6" s="625"/>
      <c r="DO6" s="625"/>
      <c r="DP6" s="625"/>
      <c r="DQ6" s="625"/>
      <c r="DR6" s="625"/>
      <c r="DS6" s="625"/>
      <c r="DT6" s="625"/>
      <c r="DU6" s="625"/>
      <c r="DV6" s="625"/>
      <c r="DW6" s="625"/>
      <c r="DX6" s="625"/>
      <c r="DY6" s="625"/>
      <c r="DZ6" s="625"/>
      <c r="EA6" s="625"/>
      <c r="EB6" s="625"/>
      <c r="EC6" s="625"/>
      <c r="ED6" s="625"/>
      <c r="EE6" s="625"/>
      <c r="EF6" s="625"/>
      <c r="EG6" s="625"/>
      <c r="EH6" s="625"/>
      <c r="EI6" s="625"/>
      <c r="EJ6" s="625"/>
      <c r="EK6" s="625"/>
      <c r="EL6" s="625"/>
      <c r="EM6" s="625"/>
      <c r="EN6" s="625"/>
      <c r="EO6" s="625"/>
      <c r="EP6" s="625"/>
      <c r="EQ6" s="625"/>
      <c r="ER6" s="625"/>
      <c r="ES6" s="625"/>
      <c r="ET6" s="625"/>
      <c r="EU6" s="625"/>
      <c r="EV6" s="625"/>
      <c r="EW6" s="625"/>
      <c r="EX6" s="625"/>
      <c r="EY6" s="625"/>
      <c r="EZ6" s="625"/>
      <c r="FA6" s="625"/>
      <c r="FB6" s="625"/>
      <c r="FC6" s="625"/>
    </row>
    <row r="7" ht="15" customHeight="1">
      <c r="A7" s="631" t="s">
        <v>570</v>
      </c>
      <c r="B7" s="697" t="s">
        <v>571</v>
      </c>
      <c r="C7" s="631"/>
      <c r="D7" s="709" t="s">
        <v>572</v>
      </c>
      <c r="E7" s="710">
        <f t="shared" si="1" ref="E7:AH7">E30</f>
        <v>0</v>
      </c>
      <c r="F7" s="710">
        <f t="shared" si="1"/>
        <v>0</v>
      </c>
      <c r="G7" s="710">
        <f t="shared" si="1"/>
        <v>0</v>
      </c>
      <c r="H7" s="710">
        <f t="shared" si="1"/>
        <v>0</v>
      </c>
      <c r="I7" s="710">
        <f t="shared" si="1"/>
        <v>0</v>
      </c>
      <c r="J7" s="710">
        <f t="shared" si="1"/>
        <v>0</v>
      </c>
      <c r="K7" s="710">
        <f t="shared" si="1"/>
        <v>0</v>
      </c>
      <c r="L7" s="710">
        <f t="shared" si="1"/>
        <v>0</v>
      </c>
      <c r="M7" s="710">
        <f t="shared" si="1"/>
        <v>0</v>
      </c>
      <c r="N7" s="710">
        <f t="shared" si="1"/>
        <v>0</v>
      </c>
      <c r="O7" s="710">
        <f t="shared" si="1"/>
        <v>0</v>
      </c>
      <c r="P7" s="710">
        <f t="shared" si="1"/>
        <v>0</v>
      </c>
      <c r="Q7" s="710"/>
      <c r="R7" s="710">
        <f t="shared" si="1"/>
        <v>0</v>
      </c>
      <c r="S7" s="710">
        <f t="shared" si="1"/>
        <v>0</v>
      </c>
      <c r="T7" s="710">
        <f t="shared" si="1"/>
        <v>0</v>
      </c>
      <c r="U7" s="710">
        <f t="shared" si="1"/>
        <v>0</v>
      </c>
      <c r="V7" s="710">
        <f t="shared" si="1"/>
        <v>0</v>
      </c>
      <c r="W7" s="710">
        <f t="shared" si="1"/>
        <v>0</v>
      </c>
      <c r="X7" s="710">
        <f t="shared" si="1"/>
        <v>0</v>
      </c>
      <c r="Y7" s="710">
        <f t="shared" si="1"/>
        <v>0</v>
      </c>
      <c r="Z7" s="710"/>
      <c r="AA7" s="710">
        <f t="shared" si="1"/>
        <v>0</v>
      </c>
      <c r="AB7" s="710">
        <f t="shared" si="1"/>
        <v>0</v>
      </c>
      <c r="AC7" s="710">
        <f t="shared" si="1"/>
        <v>0</v>
      </c>
      <c r="AD7" s="710">
        <f t="shared" si="1"/>
        <v>0</v>
      </c>
      <c r="AE7" s="710">
        <f t="shared" si="1"/>
        <v>0</v>
      </c>
      <c r="AF7" s="710">
        <f t="shared" si="1"/>
        <v>0</v>
      </c>
      <c r="AG7" s="710">
        <f t="shared" si="1"/>
        <v>0</v>
      </c>
      <c r="AH7" s="710">
        <f t="shared" si="1"/>
        <v>0</v>
      </c>
      <c r="AI7" s="632"/>
      <c r="AJ7" s="671" t="s">
        <v>573</v>
      </c>
      <c r="AK7" s="654" t="str">
        <f>SBL_MSA_Type</f>
        <v>Requires Manual Lookup</v>
      </c>
      <c r="AL7" s="635"/>
      <c r="AM7" s="653" t="s">
        <v>574</v>
      </c>
      <c r="AN7" s="654" t="str">
        <f>IF(B55="Select","Select in Column B",B55)</f>
        <v>Select in Column B</v>
      </c>
      <c r="AO7" s="632"/>
      <c r="AP7" s="632" t="s">
        <v>576</v>
      </c>
      <c r="AQ7" s="685"/>
      <c r="AR7" s="632"/>
      <c r="AS7" s="632"/>
      <c r="AT7" s="632"/>
      <c r="AU7" s="702" t="s">
        <v>577</v>
      </c>
      <c r="AV7" s="687">
        <f>DailyPricing!E10</f>
        <v>0.053271</v>
      </c>
      <c r="AW7" s="631"/>
      <c r="AX7" s="631"/>
      <c r="AY7" s="631"/>
      <c r="AZ7" s="631"/>
      <c r="BA7" s="631"/>
      <c r="BB7" s="631"/>
      <c r="BC7" s="631"/>
      <c r="BD7" s="631"/>
      <c r="BE7" s="631"/>
      <c r="BF7" s="631"/>
      <c r="BG7" s="631"/>
      <c r="BH7" s="632"/>
      <c r="BI7" s="27"/>
      <c r="BJ7" s="711" t="s">
        <v>578</v>
      </c>
      <c r="BK7" s="712" t="s">
        <v>579</v>
      </c>
      <c r="BL7" s="712" t="s">
        <v>579</v>
      </c>
      <c r="BM7" s="712" t="s">
        <v>579</v>
      </c>
      <c r="BN7" s="712" t="s">
        <v>384</v>
      </c>
      <c r="BO7" s="712" t="s">
        <v>384</v>
      </c>
      <c r="BP7" s="713" t="s">
        <v>384</v>
      </c>
      <c r="BQ7" s="6"/>
      <c r="BR7" s="714"/>
      <c r="BS7" s="636" t="s">
        <v>580</v>
      </c>
      <c r="BT7" s="707">
        <v>-0.002</v>
      </c>
      <c r="BU7" s="637"/>
      <c r="BZ7" s="625"/>
      <c r="CJ7" s="625"/>
      <c r="CK7" s="625"/>
      <c r="CL7" s="625"/>
      <c r="CM7" s="625"/>
      <c r="CN7" s="625"/>
      <c r="CO7" s="625"/>
      <c r="CP7" s="625"/>
      <c r="CQ7" s="625"/>
      <c r="CR7" s="625"/>
      <c r="CS7" s="625"/>
      <c r="CT7" s="625"/>
      <c r="CU7" s="625"/>
      <c r="CV7" s="625"/>
      <c r="CW7" s="625"/>
      <c r="CX7" s="625"/>
      <c r="CY7" s="625"/>
      <c r="CZ7" s="625"/>
      <c r="DA7" s="625"/>
      <c r="DB7" s="625"/>
      <c r="DC7" s="625"/>
      <c r="DD7" s="625"/>
      <c r="DE7" s="625"/>
      <c r="DF7" s="625"/>
      <c r="DG7" s="625"/>
      <c r="DH7" s="625"/>
      <c r="DI7" s="625"/>
      <c r="DJ7" s="625"/>
      <c r="DK7" s="625"/>
      <c r="DL7" s="625"/>
      <c r="DM7" s="625"/>
      <c r="DN7" s="625"/>
      <c r="DO7" s="625"/>
      <c r="DP7" s="625"/>
      <c r="DQ7" s="625"/>
      <c r="DR7" s="625"/>
      <c r="DS7" s="625"/>
      <c r="DT7" s="625"/>
      <c r="DU7" s="625"/>
      <c r="DV7" s="625"/>
      <c r="DW7" s="625"/>
      <c r="DX7" s="625"/>
      <c r="DY7" s="625"/>
      <c r="DZ7" s="625"/>
      <c r="EA7" s="625"/>
      <c r="EB7" s="625"/>
      <c r="EC7" s="625"/>
      <c r="ED7" s="625"/>
      <c r="EE7" s="625"/>
      <c r="EF7" s="625"/>
      <c r="EG7" s="625"/>
      <c r="EH7" s="625"/>
      <c r="EI7" s="625"/>
      <c r="EJ7" s="625"/>
      <c r="EK7" s="625"/>
      <c r="EL7" s="625"/>
      <c r="EM7" s="625"/>
      <c r="EN7" s="625"/>
      <c r="EO7" s="625"/>
      <c r="EP7" s="625"/>
      <c r="EQ7" s="625"/>
      <c r="ER7" s="625"/>
      <c r="ES7" s="625"/>
      <c r="ET7" s="625"/>
      <c r="EU7" s="625"/>
      <c r="EV7" s="625"/>
      <c r="EW7" s="625"/>
      <c r="EX7" s="625"/>
      <c r="EY7" s="625"/>
      <c r="EZ7" s="625"/>
      <c r="FA7" s="625"/>
      <c r="FB7" s="625"/>
      <c r="FC7" s="625"/>
    </row>
    <row r="8" ht="15" customHeight="1">
      <c r="A8" s="631" t="s">
        <v>581</v>
      </c>
      <c r="B8" s="697" t="s">
        <v>582</v>
      </c>
      <c r="C8" s="631"/>
      <c r="D8" s="631" t="s">
        <v>583</v>
      </c>
      <c r="E8" s="651" t="str">
        <f t="shared" si="2" ref="E8:AH8">TRIM(LEFT(E6,5))&amp;IF(RIGHT(E6,6)="Hybrid"," | "&amp;(20-E$98)&amp;" YR","")</f>
        <v>5 YR</v>
      </c>
      <c r="F8" s="651" t="str">
        <f t="shared" si="2"/>
        <v>7 YR</v>
      </c>
      <c r="G8" s="651" t="str">
        <f t="shared" si="2"/>
        <v>10 YR</v>
      </c>
      <c r="H8" s="651" t="str">
        <f t="shared" si="2"/>
        <v>5 YR</v>
      </c>
      <c r="I8" s="651" t="str">
        <f t="shared" si="2"/>
        <v>7 YR</v>
      </c>
      <c r="J8" s="651" t="str">
        <f t="shared" si="2"/>
        <v>10 YR</v>
      </c>
      <c r="K8" s="651" t="str">
        <f t="shared" si="2"/>
        <v>5 YR | 15 YR</v>
      </c>
      <c r="L8" s="651" t="str">
        <f t="shared" si="2"/>
        <v>7 YR | 13 YR</v>
      </c>
      <c r="M8" s="651" t="str">
        <f t="shared" si="2"/>
        <v>10 YR</v>
      </c>
      <c r="N8" s="651" t="str">
        <f t="shared" si="2"/>
        <v>5 YR | 15 YR</v>
      </c>
      <c r="O8" s="651" t="str">
        <f t="shared" si="2"/>
        <v>7 YR | 13 YR</v>
      </c>
      <c r="P8" s="651" t="str">
        <f t="shared" si="2"/>
        <v>10 YR</v>
      </c>
      <c r="Q8" s="651"/>
      <c r="R8" s="651" t="str">
        <f t="shared" si="3" ref="R8:Y8">TRIM(LEFT(R6,5))&amp;IF(RIGHT(R6,8)="Variable"," | "&amp;(20-R$98)&amp;" YR","")</f>
        <v>10 YR</v>
      </c>
      <c r="S8" s="651" t="str">
        <f t="shared" si="3"/>
        <v>12 YR</v>
      </c>
      <c r="T8" s="651" t="str">
        <f t="shared" si="3"/>
        <v>15 YR</v>
      </c>
      <c r="U8" s="651" t="str">
        <f t="shared" si="3"/>
        <v>10 YR</v>
      </c>
      <c r="V8" s="651" t="str">
        <f t="shared" si="3"/>
        <v>10 YR</v>
      </c>
      <c r="W8" s="651" t="str">
        <f t="shared" si="3"/>
        <v>5 YR</v>
      </c>
      <c r="X8" s="651" t="str">
        <f t="shared" si="3"/>
        <v>5 YR</v>
      </c>
      <c r="Y8" s="651" t="str">
        <f t="shared" si="3"/>
        <v>10 YR | 10 YR</v>
      </c>
      <c r="Z8" s="651"/>
      <c r="AA8" s="651" t="str">
        <f t="shared" si="2"/>
        <v>3 YR</v>
      </c>
      <c r="AB8" s="651" t="str">
        <f t="shared" si="2"/>
        <v>5 YR</v>
      </c>
      <c r="AC8" s="651" t="str">
        <f t="shared" si="2"/>
        <v>7 YR</v>
      </c>
      <c r="AD8" s="651" t="str">
        <f t="shared" si="2"/>
        <v>3 YR</v>
      </c>
      <c r="AE8" s="651" t="str">
        <f t="shared" si="2"/>
        <v>5 YR</v>
      </c>
      <c r="AF8" s="651" t="str">
        <f t="shared" si="2"/>
        <v>7 YR</v>
      </c>
      <c r="AG8" s="651" t="str">
        <f t="shared" si="2"/>
        <v>3 YR</v>
      </c>
      <c r="AH8" s="651" t="str">
        <f t="shared" si="2"/>
        <v>5 YR</v>
      </c>
      <c r="AI8" s="651"/>
      <c r="AJ8" s="671" t="s">
        <v>593</v>
      </c>
      <c r="AK8" s="654" t="str">
        <f>IF(OR(_xlfn.IFERROR(SEARCH("Strong",B32),0)&gt;0,_xlfn.IFERROR(SEARCH("Eligible",B32),0)&gt;0),"Yes","No")</f>
        <v>No</v>
      </c>
      <c r="AL8" s="635"/>
      <c r="AM8" s="653" t="s">
        <v>594</v>
      </c>
      <c r="AN8" s="715" cm="1" t="str">
        <f t="array" ref="AN8">_xlfn.IFERROR(INDEX($E$68:$G$68,1,Loan_Option_Accepted),"Select Loan Option (Cell B42)")</f>
        <v>Select Loan Option (Cell B42)</v>
      </c>
      <c r="AO8" s="632"/>
      <c r="AP8" s="716" t="s">
        <v>596</v>
      </c>
      <c r="AQ8" s="685"/>
      <c r="AR8" s="632"/>
      <c r="AS8" s="632"/>
      <c r="AT8" s="632"/>
      <c r="AU8" s="632"/>
      <c r="AV8" s="632"/>
      <c r="AW8" s="717" t="s">
        <v>597</v>
      </c>
      <c r="AX8" s="632"/>
      <c r="AY8" s="632"/>
      <c r="AZ8" s="632"/>
      <c r="BA8" s="632"/>
      <c r="BB8" s="632"/>
      <c r="BC8" s="632"/>
      <c r="BD8" s="718"/>
      <c r="BE8" s="718"/>
      <c r="BF8" s="719" t="s">
        <v>598</v>
      </c>
      <c r="BG8" s="718"/>
      <c r="BH8" s="718"/>
      <c r="BI8" s="688"/>
      <c r="BJ8" s="720" t="s">
        <v>599</v>
      </c>
      <c r="BK8" s="721">
        <v>5</v>
      </c>
      <c r="BL8" s="721">
        <v>7</v>
      </c>
      <c r="BM8" s="721">
        <v>10</v>
      </c>
      <c r="BN8" s="721">
        <v>5</v>
      </c>
      <c r="BO8" s="721">
        <v>7</v>
      </c>
      <c r="BP8" s="722">
        <v>10</v>
      </c>
      <c r="BQ8" s="6"/>
      <c r="BR8" s="714"/>
      <c r="BS8" s="636" t="s">
        <v>600</v>
      </c>
      <c r="BT8" s="707">
        <v>-0.001</v>
      </c>
      <c r="BU8" s="637"/>
      <c r="BZ8" s="625"/>
      <c r="CJ8" s="625"/>
      <c r="CK8" s="625"/>
      <c r="CL8" s="625"/>
      <c r="CM8" s="625"/>
      <c r="CN8" s="625"/>
      <c r="CO8" s="625"/>
      <c r="CP8" s="625"/>
      <c r="CQ8" s="625"/>
      <c r="CR8" s="625"/>
      <c r="CS8" s="625"/>
      <c r="CT8" s="625"/>
      <c r="CU8" s="625"/>
      <c r="CV8" s="625"/>
      <c r="CW8" s="625"/>
      <c r="CX8" s="625"/>
      <c r="CY8" s="625"/>
      <c r="CZ8" s="625"/>
      <c r="DA8" s="625"/>
      <c r="DB8" s="625"/>
      <c r="DC8" s="625"/>
      <c r="DD8" s="625"/>
      <c r="DE8" s="625"/>
      <c r="DF8" s="625"/>
      <c r="DG8" s="625"/>
      <c r="DH8" s="625"/>
      <c r="DI8" s="625"/>
      <c r="DJ8" s="625"/>
      <c r="DK8" s="625"/>
      <c r="DL8" s="625"/>
      <c r="DM8" s="625"/>
      <c r="DN8" s="625"/>
      <c r="DO8" s="625"/>
      <c r="DP8" s="625"/>
      <c r="DQ8" s="625"/>
      <c r="DR8" s="625"/>
      <c r="DS8" s="625"/>
      <c r="DT8" s="625"/>
      <c r="DU8" s="625"/>
      <c r="DV8" s="625"/>
      <c r="DW8" s="625"/>
      <c r="DX8" s="625"/>
      <c r="DY8" s="625"/>
      <c r="DZ8" s="625"/>
      <c r="EA8" s="625"/>
      <c r="EB8" s="625"/>
      <c r="EC8" s="625"/>
      <c r="ED8" s="625"/>
      <c r="EE8" s="625"/>
      <c r="EF8" s="625"/>
      <c r="EG8" s="625"/>
      <c r="EH8" s="625"/>
      <c r="EI8" s="625"/>
      <c r="EJ8" s="625"/>
      <c r="EK8" s="625"/>
      <c r="EL8" s="625"/>
      <c r="EM8" s="625"/>
      <c r="EN8" s="625"/>
      <c r="EO8" s="625"/>
      <c r="EP8" s="625"/>
      <c r="EQ8" s="625"/>
      <c r="ER8" s="625"/>
      <c r="ES8" s="625"/>
      <c r="ET8" s="625"/>
      <c r="EU8" s="625"/>
      <c r="EV8" s="625"/>
      <c r="EW8" s="625"/>
      <c r="EX8" s="625"/>
      <c r="EY8" s="625"/>
      <c r="EZ8" s="625"/>
      <c r="FA8" s="625"/>
      <c r="FB8" s="625"/>
      <c r="FC8" s="625"/>
    </row>
    <row r="9" ht="15" customHeight="1">
      <c r="A9" s="723" t="s">
        <v>601</v>
      </c>
      <c r="B9" s="724" t="s">
        <v>299</v>
      </c>
      <c r="C9" s="631"/>
      <c r="D9" s="709" t="s">
        <v>220</v>
      </c>
      <c r="E9" s="725">
        <f t="shared" si="4" ref="E9:Y9">IF(E$45="Full Term","Full Term IO",E$46)</f>
        <v>30</v>
      </c>
      <c r="F9" s="725">
        <f t="shared" si="4"/>
        <v>30</v>
      </c>
      <c r="G9" s="725">
        <f t="shared" si="4"/>
        <v>30</v>
      </c>
      <c r="H9" s="725">
        <f t="shared" si="4"/>
        <v>30</v>
      </c>
      <c r="I9" s="725">
        <f t="shared" si="4"/>
        <v>30</v>
      </c>
      <c r="J9" s="725">
        <f t="shared" si="4"/>
        <v>30</v>
      </c>
      <c r="K9" s="725">
        <f t="shared" si="4"/>
        <v>30</v>
      </c>
      <c r="L9" s="725">
        <f t="shared" si="4"/>
        <v>30</v>
      </c>
      <c r="M9" s="725">
        <f t="shared" si="4"/>
        <v>30</v>
      </c>
      <c r="N9" s="725">
        <f t="shared" si="4"/>
        <v>30</v>
      </c>
      <c r="O9" s="725">
        <f t="shared" si="4"/>
        <v>30</v>
      </c>
      <c r="P9" s="725">
        <f t="shared" si="4"/>
        <v>30</v>
      </c>
      <c r="Q9" s="725"/>
      <c r="R9" s="725">
        <f t="shared" si="4"/>
        <v>30</v>
      </c>
      <c r="S9" s="725">
        <f t="shared" si="4"/>
        <v>30</v>
      </c>
      <c r="T9" s="725">
        <f t="shared" si="4"/>
        <v>30</v>
      </c>
      <c r="U9" s="725">
        <f t="shared" si="4"/>
        <v>30</v>
      </c>
      <c r="V9" s="725" t="str">
        <f t="shared" si="4"/>
        <v>Full Term IO</v>
      </c>
      <c r="W9" s="725">
        <f t="shared" si="4"/>
        <v>30</v>
      </c>
      <c r="X9" s="725" t="str">
        <f t="shared" si="4"/>
        <v>Full Term IO</v>
      </c>
      <c r="Y9" s="725">
        <f t="shared" si="4"/>
        <v>30</v>
      </c>
      <c r="Z9" s="725"/>
      <c r="AA9" s="725" t="s">
        <v>602</v>
      </c>
      <c r="AB9" s="725" t="s">
        <v>602</v>
      </c>
      <c r="AC9" s="725" t="s">
        <v>602</v>
      </c>
      <c r="AD9" s="725" t="s">
        <v>602</v>
      </c>
      <c r="AE9" s="725" t="s">
        <v>602</v>
      </c>
      <c r="AF9" s="725" t="s">
        <v>602</v>
      </c>
      <c r="AG9" s="725" t="s">
        <v>602</v>
      </c>
      <c r="AH9" s="725" t="s">
        <v>602</v>
      </c>
      <c r="AI9" s="632"/>
      <c r="AJ9" s="671" t="s">
        <v>603</v>
      </c>
      <c r="AK9" s="654">
        <f>B19</f>
      </c>
      <c r="AL9" s="635"/>
      <c r="AM9" s="653" t="s">
        <v>604</v>
      </c>
      <c r="AN9" s="654" cm="1">
        <f t="array" ref="AN9">_xlfn.IFERROR(INDEX(IF($B$53="Freddie Mac SBL",E46:G46,R46:T46),1,$B$54),0)</f>
        <v>0</v>
      </c>
      <c r="AO9" s="632"/>
      <c r="AP9" s="632" t="s">
        <v>605</v>
      </c>
      <c r="AQ9" s="685"/>
      <c r="AR9" s="632"/>
      <c r="AS9" s="632"/>
      <c r="AT9" s="632"/>
      <c r="AU9" s="643" t="s">
        <v>606</v>
      </c>
      <c r="AV9" s="9"/>
      <c r="AW9" s="717" t="s">
        <v>607</v>
      </c>
      <c r="AX9" s="6"/>
      <c r="AY9" s="6" t="s">
        <v>608</v>
      </c>
      <c r="AZ9" s="6"/>
      <c r="BA9" s="6"/>
      <c r="BB9" s="6"/>
      <c r="BC9" s="6"/>
      <c r="BD9" s="726"/>
      <c r="BE9" s="726"/>
      <c r="BF9" s="727" t="s">
        <v>607</v>
      </c>
      <c r="BG9" s="728"/>
      <c r="BH9" s="728"/>
      <c r="BI9" s="27"/>
      <c r="BJ9" s="711" t="s">
        <v>609</v>
      </c>
      <c r="BK9" s="712">
        <v>15</v>
      </c>
      <c r="BL9" s="712">
        <v>13</v>
      </c>
      <c r="BM9" s="712">
        <v>10</v>
      </c>
      <c r="BN9" s="712">
        <v>0</v>
      </c>
      <c r="BO9" s="712">
        <v>0</v>
      </c>
      <c r="BP9" s="713">
        <v>0</v>
      </c>
      <c r="BQ9" s="6"/>
      <c r="BR9" s="714"/>
      <c r="BS9" s="636" t="s">
        <v>610</v>
      </c>
      <c r="BT9" s="707">
        <v>-0.003</v>
      </c>
      <c r="BU9" s="637"/>
      <c r="BZ9" s="625"/>
      <c r="CJ9" s="625"/>
      <c r="CK9" s="625"/>
      <c r="CL9" s="625"/>
      <c r="CM9" s="625"/>
      <c r="CN9" s="625"/>
      <c r="CO9" s="625"/>
      <c r="CP9" s="625"/>
      <c r="CQ9" s="625"/>
      <c r="CR9" s="625"/>
      <c r="CS9" s="625"/>
      <c r="CT9" s="625"/>
      <c r="CU9" s="625"/>
      <c r="CV9" s="625"/>
      <c r="CW9" s="625"/>
      <c r="CX9" s="625"/>
      <c r="CY9" s="625"/>
      <c r="CZ9" s="625"/>
      <c r="DA9" s="625"/>
      <c r="DB9" s="625"/>
      <c r="DC9" s="625"/>
      <c r="DD9" s="625"/>
      <c r="DE9" s="625"/>
      <c r="DF9" s="625"/>
      <c r="DG9" s="625"/>
      <c r="DH9" s="625"/>
      <c r="DI9" s="625"/>
      <c r="DJ9" s="625"/>
      <c r="DK9" s="625"/>
      <c r="DL9" s="625"/>
      <c r="DM9" s="625"/>
      <c r="DN9" s="625"/>
      <c r="DO9" s="625"/>
      <c r="DP9" s="625"/>
      <c r="DQ9" s="625"/>
      <c r="DR9" s="625"/>
      <c r="DS9" s="625"/>
      <c r="DT9" s="625"/>
      <c r="DU9" s="625"/>
      <c r="DV9" s="625"/>
      <c r="DW9" s="625"/>
      <c r="DX9" s="625"/>
      <c r="DY9" s="625"/>
      <c r="DZ9" s="625"/>
      <c r="EA9" s="625"/>
      <c r="EB9" s="625"/>
      <c r="EC9" s="625"/>
      <c r="ED9" s="625"/>
      <c r="EE9" s="625"/>
      <c r="EF9" s="625"/>
      <c r="EG9" s="625"/>
      <c r="EH9" s="625"/>
      <c r="EI9" s="625"/>
      <c r="EJ9" s="625"/>
      <c r="EK9" s="625"/>
      <c r="EL9" s="625"/>
      <c r="EM9" s="625"/>
      <c r="EN9" s="625"/>
      <c r="EO9" s="625"/>
      <c r="EP9" s="625"/>
      <c r="EQ9" s="625"/>
      <c r="ER9" s="625"/>
      <c r="ES9" s="625"/>
      <c r="ET9" s="625"/>
      <c r="EU9" s="625"/>
      <c r="EV9" s="625"/>
      <c r="EW9" s="625"/>
      <c r="EX9" s="625"/>
      <c r="EY9" s="625"/>
      <c r="EZ9" s="625"/>
      <c r="FA9" s="625"/>
      <c r="FB9" s="625"/>
      <c r="FC9" s="625"/>
    </row>
    <row r="10" ht="15" customHeight="1">
      <c r="A10" s="696" t="s">
        <v>611</v>
      </c>
      <c r="B10" s="729"/>
      <c r="C10" s="631"/>
      <c r="D10" s="631" t="s">
        <v>612</v>
      </c>
      <c r="E10" s="730">
        <f t="shared" si="5" ref="E10:AH10">E43</f>
        <v>0</v>
      </c>
      <c r="F10" s="730">
        <f t="shared" si="5"/>
        <v>1</v>
      </c>
      <c r="G10" s="730">
        <f t="shared" si="5"/>
        <v>2</v>
      </c>
      <c r="H10" s="730">
        <f t="shared" si="5"/>
        <v>0</v>
      </c>
      <c r="I10" s="730">
        <f t="shared" si="5"/>
        <v>1</v>
      </c>
      <c r="J10" s="730">
        <f t="shared" si="5"/>
        <v>2</v>
      </c>
      <c r="K10" s="730">
        <f t="shared" si="5"/>
        <v>0</v>
      </c>
      <c r="L10" s="730">
        <f t="shared" si="5"/>
        <v>1</v>
      </c>
      <c r="M10" s="730">
        <f t="shared" si="5"/>
        <v>2</v>
      </c>
      <c r="N10" s="730">
        <f t="shared" si="5"/>
        <v>0</v>
      </c>
      <c r="O10" s="730">
        <f t="shared" si="5"/>
        <v>1</v>
      </c>
      <c r="P10" s="730">
        <f t="shared" si="5"/>
        <v>2</v>
      </c>
      <c r="Q10" s="730"/>
      <c r="R10" s="730">
        <f t="shared" si="5"/>
        <v>0</v>
      </c>
      <c r="S10" s="730">
        <f t="shared" si="5"/>
        <v>0</v>
      </c>
      <c r="T10" s="730">
        <f t="shared" si="5"/>
        <v>0</v>
      </c>
      <c r="U10" s="730">
        <f t="shared" si="5"/>
        <v>5</v>
      </c>
      <c r="V10" s="730">
        <f t="shared" si="5"/>
        <v>10</v>
      </c>
      <c r="W10" s="730">
        <f t="shared" si="5"/>
        <v>2</v>
      </c>
      <c r="X10" s="730">
        <f t="shared" si="5"/>
        <v>5</v>
      </c>
      <c r="Y10" s="730">
        <f t="shared" si="5"/>
        <v>0</v>
      </c>
      <c r="Z10" s="730"/>
      <c r="AA10" s="730">
        <f t="shared" si="5"/>
        <v>3</v>
      </c>
      <c r="AB10" s="730">
        <f t="shared" si="5"/>
        <v>5</v>
      </c>
      <c r="AC10" s="730">
        <f t="shared" si="5"/>
        <v>7</v>
      </c>
      <c r="AD10" s="730">
        <f t="shared" si="5"/>
        <v>3</v>
      </c>
      <c r="AE10" s="730">
        <f t="shared" si="5"/>
        <v>5</v>
      </c>
      <c r="AF10" s="730">
        <f t="shared" si="5"/>
        <v>7</v>
      </c>
      <c r="AG10" s="730">
        <f t="shared" si="5"/>
        <v>3</v>
      </c>
      <c r="AH10" s="730">
        <f t="shared" si="5"/>
        <v>5</v>
      </c>
      <c r="AI10" s="632"/>
      <c r="AJ10" s="671" t="s">
        <v>613</v>
      </c>
      <c r="AK10" s="654">
        <f>B22</f>
        <v>0</v>
      </c>
      <c r="AL10" s="635"/>
      <c r="AM10" s="653" t="s">
        <v>614</v>
      </c>
      <c r="AN10" s="731" t="s">
        <v>209</v>
      </c>
      <c r="AO10" s="632"/>
      <c r="AP10" s="632" t="s">
        <v>615</v>
      </c>
      <c r="AQ10" s="732">
        <f>$B$40</f>
        <v>0.05</v>
      </c>
      <c r="AR10" s="632"/>
      <c r="AS10" s="632"/>
      <c r="AT10" s="632"/>
      <c r="AU10" s="733" t="s">
        <v>616</v>
      </c>
      <c r="AV10" s="734"/>
      <c r="AW10" s="733"/>
      <c r="AX10" s="735"/>
      <c r="AY10" s="660" t="s">
        <v>617</v>
      </c>
      <c r="AZ10" s="736" t="s">
        <v>618</v>
      </c>
      <c r="BA10" s="737"/>
      <c r="BB10" s="660" t="s">
        <v>619</v>
      </c>
      <c r="BC10" s="737"/>
      <c r="BD10" s="660" t="s">
        <v>620</v>
      </c>
      <c r="BE10" s="736"/>
      <c r="BF10" s="736"/>
      <c r="BG10" s="736"/>
      <c r="BH10" s="737"/>
      <c r="BI10" s="27"/>
      <c r="BJ10" s="720" t="s">
        <v>621</v>
      </c>
      <c r="BK10" s="738" t="s">
        <v>622</v>
      </c>
      <c r="BL10" s="738" t="s">
        <v>622</v>
      </c>
      <c r="BM10" s="738" t="s">
        <v>622</v>
      </c>
      <c r="BN10" s="738" t="s">
        <v>623</v>
      </c>
      <c r="BO10" s="738" t="s">
        <v>624</v>
      </c>
      <c r="BP10" s="739" t="s">
        <v>625</v>
      </c>
      <c r="BQ10" s="6"/>
      <c r="BR10" s="714"/>
      <c r="BS10" s="636" t="s">
        <v>626</v>
      </c>
      <c r="BT10" s="707">
        <v>-0.004</v>
      </c>
      <c r="BU10" s="637"/>
      <c r="BZ10" s="625"/>
      <c r="CJ10" s="625"/>
      <c r="CK10" s="625"/>
      <c r="CL10" s="625"/>
      <c r="CM10" s="625"/>
      <c r="CN10" s="625"/>
      <c r="CO10" s="625"/>
      <c r="CP10" s="625"/>
      <c r="CQ10" s="625"/>
      <c r="CR10" s="625"/>
      <c r="CS10" s="625"/>
      <c r="CT10" s="625"/>
      <c r="CU10" s="625"/>
      <c r="CV10" s="625"/>
      <c r="CW10" s="625"/>
      <c r="CX10" s="625"/>
      <c r="CY10" s="625"/>
      <c r="CZ10" s="625"/>
      <c r="DA10" s="625"/>
      <c r="DB10" s="625"/>
      <c r="DC10" s="625"/>
      <c r="DD10" s="625"/>
      <c r="DE10" s="625"/>
      <c r="DF10" s="625"/>
      <c r="DG10" s="625"/>
      <c r="DH10" s="625"/>
      <c r="DI10" s="625"/>
      <c r="DJ10" s="625"/>
      <c r="DK10" s="625"/>
      <c r="DL10" s="625"/>
      <c r="DM10" s="625"/>
      <c r="DN10" s="625"/>
      <c r="DO10" s="625"/>
      <c r="DP10" s="625"/>
      <c r="DQ10" s="625"/>
      <c r="DR10" s="625"/>
      <c r="DS10" s="625"/>
      <c r="DT10" s="625"/>
      <c r="DU10" s="625"/>
      <c r="DV10" s="625"/>
      <c r="DW10" s="625"/>
      <c r="DX10" s="625"/>
      <c r="DY10" s="625"/>
      <c r="DZ10" s="625"/>
      <c r="EA10" s="625"/>
      <c r="EB10" s="625"/>
      <c r="EC10" s="625"/>
      <c r="ED10" s="625"/>
      <c r="EE10" s="625"/>
      <c r="EF10" s="625"/>
      <c r="EG10" s="625"/>
      <c r="EH10" s="625"/>
      <c r="EI10" s="625"/>
      <c r="EJ10" s="625"/>
      <c r="EK10" s="625"/>
      <c r="EL10" s="625"/>
      <c r="EM10" s="625"/>
      <c r="EN10" s="625"/>
      <c r="EO10" s="625"/>
      <c r="EP10" s="625"/>
      <c r="EQ10" s="625"/>
      <c r="ER10" s="625"/>
      <c r="ES10" s="625"/>
      <c r="ET10" s="625"/>
      <c r="EU10" s="625"/>
      <c r="EV10" s="625"/>
      <c r="EW10" s="625"/>
      <c r="EX10" s="625"/>
      <c r="EY10" s="625"/>
      <c r="EZ10" s="625"/>
      <c r="FA10" s="625"/>
      <c r="FB10" s="625"/>
      <c r="FC10" s="625"/>
    </row>
    <row r="11" ht="15" customHeight="1">
      <c r="A11" s="631" t="s">
        <v>627</v>
      </c>
      <c r="B11" s="740"/>
      <c r="C11" s="651"/>
      <c r="D11" s="709" t="s">
        <v>628</v>
      </c>
      <c r="E11" s="741" t="str">
        <f t="shared" si="6" ref="E11:P11">IF(AND(TRIM(RIGHT(E26,6))="Hybrid",E38="310(3)"),"310(3),0%",IF(RIGHT(E26,5)="Fixed",E38,E38&amp;",1%"))</f>
        <v>YM</v>
      </c>
      <c r="F11" s="741" t="str">
        <f t="shared" si="6"/>
        <v>YM</v>
      </c>
      <c r="G11" s="741" t="str">
        <f t="shared" si="6"/>
        <v>YM</v>
      </c>
      <c r="H11" s="741" t="str">
        <f t="shared" si="6"/>
        <v>YM</v>
      </c>
      <c r="I11" s="741" t="str">
        <f t="shared" si="6"/>
        <v>YM</v>
      </c>
      <c r="J11" s="741" t="str">
        <f t="shared" si="6"/>
        <v>YM</v>
      </c>
      <c r="K11" s="741" t="str">
        <f t="shared" si="6"/>
        <v>YM,1%</v>
      </c>
      <c r="L11" s="741" t="str">
        <f t="shared" si="6"/>
        <v>YM,1%</v>
      </c>
      <c r="M11" s="741" t="str">
        <f t="shared" si="6"/>
        <v>YM</v>
      </c>
      <c r="N11" s="741" t="str">
        <f t="shared" si="6"/>
        <v>YM,1%</v>
      </c>
      <c r="O11" s="741" t="str">
        <f t="shared" si="6"/>
        <v>YM,1%</v>
      </c>
      <c r="P11" s="741" t="str">
        <f t="shared" si="6"/>
        <v>YM</v>
      </c>
      <c r="Q11" s="741"/>
      <c r="R11" s="741" cm="1" t="str">
        <f t="array" ref="R11">IF(R$38="Yield Maintenance","YM,1%",IF(R$38="Declining Premium",GETFNMDECLININGPREMIUMSTRING(R$98),R$38))</f>
        <v>YM,1%</v>
      </c>
      <c r="S11" s="741" cm="1" t="str">
        <f t="array" ref="S11">IF(S$38="Yield Maintenance","YM,1%",IF(S$38="Declining Premium",GETFNMDECLININGPREMIUMSTRING(S$98),S$38))</f>
        <v>YM,1%</v>
      </c>
      <c r="T11" s="741" cm="1" t="str">
        <f t="array" ref="T11">IF(T$38="Yield Maintenance","YM,1%",IF(T$38="Declining Premium",GETFNMDECLININGPREMIUMSTRING(T$98),T$38))</f>
        <v>YM,1%</v>
      </c>
      <c r="U11" s="741" cm="1" t="str">
        <f t="array" ref="U11">IF(U$38="Yield Maintenance","YM,1%",IF(U$38="Declining Premium",GETFNMDECLININGPREMIUMSTRING(U$98),U$38))</f>
        <v>YM,1%</v>
      </c>
      <c r="V11" s="741" cm="1" t="str">
        <f t="array" ref="V11">IF(V$38="Yield Maintenance","YM,1%",IF(V$38="Declining Premium",GETFNMDECLININGPREMIUMSTRING(V$98),V$38))</f>
        <v>YM,1%</v>
      </c>
      <c r="W11" s="741" cm="1" t="str">
        <f t="array" ref="W11">IF(W$38="Yield Maintenance","YM,1%",IF(W$38="Declining Premium",GETFNMDECLININGPREMIUMSTRING(W$98),W$38))</f>
        <v>YM,1%</v>
      </c>
      <c r="X11" s="741" cm="1" t="str">
        <f t="array" ref="X11">IF(X$38="Yield Maintenance","YM,1%",IF(X$38="Declining Premium",GETFNMDECLININGPREMIUMSTRING(X$98),X$38))</f>
        <v>YM,1%</v>
      </c>
      <c r="Y11" s="741" cm="1" t="str">
        <f t="array" ref="Y11">IF(Y$38="Yield Maintenance","YM,1%",IF(Y$38="Declining Premium",GETFNMDECLININGPREMIUMSTRING(Y$98),Y$38))</f>
        <v>YM,1%</v>
      </c>
      <c r="Z11" s="741"/>
      <c r="AA11" s="741" t="str">
        <f t="shared" si="7" ref="AA11:AH11">IF(AA$38="YM","YM,1%",AA$38)</f>
        <v>1% Prepayment</v>
      </c>
      <c r="AB11" s="741" t="str">
        <f t="shared" si="7"/>
        <v>1% Prepayment</v>
      </c>
      <c r="AC11" s="741" t="str">
        <f t="shared" si="7"/>
        <v>1% Prepayment</v>
      </c>
      <c r="AD11" s="741" t="str">
        <f t="shared" si="7"/>
        <v>1% Prepayment</v>
      </c>
      <c r="AE11" s="741" t="str">
        <f t="shared" si="7"/>
        <v>1% Prepayment</v>
      </c>
      <c r="AF11" s="741" t="str">
        <f t="shared" si="7"/>
        <v>1% Prepayment</v>
      </c>
      <c r="AG11" s="741" t="str">
        <f t="shared" si="7"/>
        <v>1% Prepayment</v>
      </c>
      <c r="AH11" s="741" t="str">
        <f t="shared" si="7"/>
        <v>1% Prepayment</v>
      </c>
      <c r="AI11" s="632"/>
      <c r="AJ11" s="671" t="s">
        <v>632</v>
      </c>
      <c r="AK11" s="731" t="s">
        <v>209</v>
      </c>
      <c r="AL11" s="635"/>
      <c r="AM11" s="671" t="s">
        <v>633</v>
      </c>
      <c r="AN11" s="742">
        <f>_xlfn.IFERROR(PMT(AN$8/12,AN$9*12,-1)*12*AN$4,0)</f>
        <v>0</v>
      </c>
      <c r="AO11" s="632"/>
      <c r="AP11" s="632" t="s">
        <v>634</v>
      </c>
      <c r="AQ11" s="685"/>
      <c r="AR11" s="632"/>
      <c r="AS11" s="632"/>
      <c r="AT11" s="632"/>
      <c r="AU11" s="743" t="s">
        <v>635</v>
      </c>
      <c r="AV11" s="744" t="s">
        <v>636</v>
      </c>
      <c r="AW11" s="745" t="s">
        <v>453</v>
      </c>
      <c r="AX11" s="746" t="s">
        <v>637</v>
      </c>
      <c r="AY11" s="746" t="s">
        <v>638</v>
      </c>
      <c r="AZ11" s="746" t="s">
        <v>639</v>
      </c>
      <c r="BA11" s="746" t="s">
        <v>640</v>
      </c>
      <c r="BB11" s="746" t="s">
        <v>639</v>
      </c>
      <c r="BC11" s="747" t="s">
        <v>640</v>
      </c>
      <c r="BD11" s="748" t="s">
        <v>510</v>
      </c>
      <c r="BE11" s="748" t="s">
        <v>641</v>
      </c>
      <c r="BF11" s="748" t="s">
        <v>642</v>
      </c>
      <c r="BG11" s="748" t="s">
        <v>643</v>
      </c>
      <c r="BH11" s="748" t="s">
        <v>644</v>
      </c>
      <c r="BI11" s="688"/>
      <c r="BJ11" s="711" t="s">
        <v>645</v>
      </c>
      <c r="BK11" s="712">
        <v>1</v>
      </c>
      <c r="BL11" s="712">
        <v>2</v>
      </c>
      <c r="BM11" s="712">
        <v>3</v>
      </c>
      <c r="BN11" s="712">
        <v>1</v>
      </c>
      <c r="BO11" s="712">
        <v>2</v>
      </c>
      <c r="BP11" s="713">
        <v>3</v>
      </c>
      <c r="BQ11" s="6"/>
      <c r="BR11" s="714"/>
      <c r="BS11" s="636" t="s">
        <v>646</v>
      </c>
      <c r="BT11" s="707">
        <v>-0.0035</v>
      </c>
      <c r="BU11" s="637"/>
      <c r="BZ11" s="625"/>
      <c r="CJ11" s="625"/>
      <c r="CK11" s="625"/>
      <c r="CL11" s="625"/>
      <c r="CM11" s="625"/>
      <c r="CN11" s="625"/>
      <c r="CO11" s="625"/>
      <c r="CP11" s="625"/>
      <c r="CQ11" s="625"/>
      <c r="CR11" s="625"/>
      <c r="CS11" s="625"/>
      <c r="CT11" s="625"/>
      <c r="CU11" s="625"/>
      <c r="CV11" s="625"/>
      <c r="CW11" s="625"/>
      <c r="CX11" s="625"/>
      <c r="CY11" s="625"/>
      <c r="CZ11" s="625"/>
      <c r="DA11" s="625"/>
      <c r="DB11" s="625"/>
      <c r="DC11" s="625"/>
      <c r="DD11" s="625"/>
      <c r="DE11" s="625"/>
      <c r="DF11" s="625"/>
      <c r="DG11" s="625"/>
      <c r="DH11" s="625"/>
      <c r="DI11" s="625"/>
      <c r="DJ11" s="625"/>
      <c r="DK11" s="625"/>
      <c r="DL11" s="625"/>
      <c r="DM11" s="625"/>
      <c r="DN11" s="625"/>
      <c r="DO11" s="625"/>
      <c r="DP11" s="625"/>
      <c r="DQ11" s="625"/>
      <c r="DR11" s="625"/>
      <c r="DS11" s="625"/>
      <c r="DT11" s="625"/>
      <c r="DU11" s="625"/>
      <c r="DV11" s="625"/>
      <c r="DW11" s="625"/>
      <c r="DX11" s="625"/>
      <c r="DY11" s="625"/>
      <c r="DZ11" s="625"/>
      <c r="EA11" s="625"/>
      <c r="EB11" s="625"/>
      <c r="EC11" s="625"/>
      <c r="ED11" s="625"/>
      <c r="EE11" s="625"/>
      <c r="EF11" s="625"/>
      <c r="EG11" s="625"/>
      <c r="EH11" s="625"/>
      <c r="EI11" s="625"/>
      <c r="EJ11" s="625"/>
      <c r="EK11" s="625"/>
      <c r="EL11" s="625"/>
      <c r="EM11" s="625"/>
      <c r="EN11" s="625"/>
      <c r="EO11" s="625"/>
      <c r="EP11" s="625"/>
      <c r="EQ11" s="625"/>
      <c r="ER11" s="625"/>
      <c r="ES11" s="625"/>
      <c r="ET11" s="625"/>
      <c r="EU11" s="625"/>
      <c r="EV11" s="625"/>
      <c r="EW11" s="625"/>
      <c r="EX11" s="625"/>
      <c r="EY11" s="625"/>
      <c r="EZ11" s="625"/>
      <c r="FA11" s="625"/>
      <c r="FB11" s="625"/>
      <c r="FC11" s="625"/>
    </row>
    <row r="12" ht="15" customHeight="1">
      <c r="A12" s="631" t="s">
        <v>647</v>
      </c>
      <c r="B12" s="749">
        <f>RentRollTotalUnits</f>
        <v>101</v>
      </c>
      <c r="D12" s="631" t="s">
        <v>648</v>
      </c>
      <c r="E12" s="750" t="str">
        <f t="shared" si="8" ref="E12:P12">IF(E47="Standard Delivery","Standard",E47)</f>
        <v>Standard</v>
      </c>
      <c r="F12" s="750" t="str">
        <f t="shared" si="8"/>
        <v>Standard</v>
      </c>
      <c r="G12" s="750" t="str">
        <f t="shared" si="8"/>
        <v>Standard</v>
      </c>
      <c r="H12" s="750" t="str">
        <f t="shared" si="8"/>
        <v>Standard</v>
      </c>
      <c r="I12" s="750" t="str">
        <f t="shared" si="8"/>
        <v>Standard</v>
      </c>
      <c r="J12" s="750" t="str">
        <f t="shared" si="8"/>
        <v>Standard</v>
      </c>
      <c r="K12" s="750" t="str">
        <f t="shared" si="8"/>
        <v>Standard</v>
      </c>
      <c r="L12" s="750" t="str">
        <f t="shared" si="8"/>
        <v>Standard</v>
      </c>
      <c r="M12" s="750" t="str">
        <f t="shared" si="8"/>
        <v>Standard</v>
      </c>
      <c r="N12" s="750" t="str">
        <f t="shared" si="8"/>
        <v>Standard</v>
      </c>
      <c r="O12" s="750" t="str">
        <f t="shared" si="8"/>
        <v>Standard</v>
      </c>
      <c r="P12" s="750" t="str">
        <f t="shared" si="8"/>
        <v>Standard</v>
      </c>
      <c r="Q12" s="651"/>
      <c r="R12" s="750" t="str">
        <f t="shared" si="9" ref="R12:AH12">R47</f>
        <v>Standard</v>
      </c>
      <c r="S12" s="750" t="str">
        <f t="shared" si="9"/>
        <v>Standard</v>
      </c>
      <c r="T12" s="750" t="str">
        <f t="shared" si="9"/>
        <v>Standard</v>
      </c>
      <c r="U12" s="750" t="str">
        <f t="shared" si="9"/>
        <v>Standard</v>
      </c>
      <c r="V12" s="750" t="str">
        <f t="shared" si="9"/>
        <v>Standard</v>
      </c>
      <c r="W12" s="750" t="str">
        <f t="shared" si="9"/>
        <v>Standard</v>
      </c>
      <c r="X12" s="750" t="str">
        <f t="shared" si="9"/>
        <v>Standard</v>
      </c>
      <c r="Y12" s="750" t="str">
        <f t="shared" si="9"/>
        <v>Standard</v>
      </c>
      <c r="Z12" s="651"/>
      <c r="AA12" s="750" t="str">
        <f t="shared" si="9"/>
        <v>Standard</v>
      </c>
      <c r="AB12" s="750" t="str">
        <f t="shared" si="9"/>
        <v>Standard</v>
      </c>
      <c r="AC12" s="750" t="str">
        <f t="shared" si="9"/>
        <v>Standard</v>
      </c>
      <c r="AD12" s="750" t="str">
        <f t="shared" si="9"/>
        <v>Standard</v>
      </c>
      <c r="AE12" s="750" t="str">
        <f t="shared" si="9"/>
        <v>Standard</v>
      </c>
      <c r="AF12" s="750" t="str">
        <f t="shared" si="9"/>
        <v>Standard</v>
      </c>
      <c r="AG12" s="750" t="str">
        <f t="shared" si="9"/>
        <v>Standard</v>
      </c>
      <c r="AH12" s="750" t="str">
        <f t="shared" si="9"/>
        <v>Standard</v>
      </c>
      <c r="AI12" s="632"/>
      <c r="AJ12" s="671" t="s">
        <v>649</v>
      </c>
      <c r="AK12" s="654">
        <f>number_units</f>
        <v>101</v>
      </c>
      <c r="AL12" s="635"/>
      <c r="AM12" s="671" t="s">
        <v>650</v>
      </c>
      <c r="AN12" s="742">
        <f>_xlfn.IFERROR(((AN$4*AN$8)*365)/360,0)</f>
        <v>0</v>
      </c>
      <c r="AO12" s="632"/>
      <c r="AP12" s="632" t="s">
        <v>651</v>
      </c>
      <c r="AQ12" s="685"/>
      <c r="AR12" s="632"/>
      <c r="AS12" s="632"/>
      <c r="AT12" s="632"/>
      <c r="AU12" s="751">
        <v>5</v>
      </c>
      <c r="AV12" s="752">
        <v>4.5</v>
      </c>
      <c r="AW12" s="753">
        <f>DailyPricing!E23</f>
        <v>0.0069</v>
      </c>
      <c r="AX12" s="754">
        <f t="shared" si="26" ref="AX12:AX40">$BA$5</f>
        <v>0.044509</v>
      </c>
      <c r="AY12" s="755">
        <v>0.007</v>
      </c>
      <c r="AZ12" s="756">
        <f>DailyPricing!E33</f>
        <v>0.0234</v>
      </c>
      <c r="BA12" s="756">
        <f t="shared" si="10" ref="BA12:BC50">$AW12+MAX($AX12,$AY12)+AZ12</f>
        <v>0.074809</v>
      </c>
      <c r="BB12" s="756">
        <f>DailyPricing!E116</f>
        <v>0.0193</v>
      </c>
      <c r="BC12" s="756">
        <f t="shared" si="10"/>
        <v>0.070709</v>
      </c>
      <c r="BD12" s="754">
        <f>DailyPricing!E65/100</f>
        <v>0.00005936</v>
      </c>
      <c r="BE12" s="754">
        <f>DailyPricing!E66/100</f>
        <v>0.00001328</v>
      </c>
      <c r="BF12" s="754">
        <f>DailyPricing!E67/100</f>
        <v>-0.00001809</v>
      </c>
      <c r="BG12" s="754">
        <f>DailyPricing!E68/100</f>
        <v>-0.000036270000000000003</v>
      </c>
      <c r="BH12" s="754">
        <f>BG12</f>
        <v>-0.000036270000000000003</v>
      </c>
      <c r="BI12" s="27"/>
      <c r="BJ12" s="720" t="s">
        <v>652</v>
      </c>
      <c r="BK12" s="721">
        <v>54321</v>
      </c>
      <c r="BL12" s="721">
        <v>5544321</v>
      </c>
      <c r="BM12" s="721">
        <v>5544332211</v>
      </c>
      <c r="BN12" s="721">
        <v>54321</v>
      </c>
      <c r="BO12" s="721">
        <v>5544321</v>
      </c>
      <c r="BP12" s="722">
        <v>5544332211</v>
      </c>
      <c r="BQ12" s="6"/>
      <c r="BR12" s="714"/>
      <c r="BS12" s="636" t="s">
        <v>653</v>
      </c>
      <c r="BT12" s="707">
        <v>-0.0027</v>
      </c>
      <c r="BU12" s="637"/>
      <c r="BZ12" s="625"/>
      <c r="CJ12" s="625"/>
      <c r="CK12" s="625"/>
      <c r="CL12" s="625"/>
      <c r="CM12" s="625"/>
      <c r="CN12" s="625"/>
      <c r="CO12" s="625"/>
      <c r="CP12" s="625"/>
      <c r="CQ12" s="625"/>
      <c r="CR12" s="625"/>
      <c r="CS12" s="625"/>
      <c r="CT12" s="625"/>
      <c r="CU12" s="625"/>
      <c r="CV12" s="625"/>
      <c r="CW12" s="625"/>
      <c r="CX12" s="625"/>
      <c r="CY12" s="625"/>
      <c r="CZ12" s="625"/>
      <c r="DA12" s="625"/>
      <c r="DB12" s="625"/>
      <c r="DC12" s="625"/>
      <c r="DD12" s="625"/>
      <c r="DE12" s="625"/>
      <c r="DF12" s="625"/>
      <c r="DG12" s="625"/>
      <c r="DH12" s="625"/>
      <c r="DI12" s="625"/>
      <c r="DJ12" s="625"/>
      <c r="DK12" s="625"/>
      <c r="DL12" s="625"/>
      <c r="DM12" s="625"/>
      <c r="DN12" s="625"/>
      <c r="DO12" s="625"/>
      <c r="DP12" s="625"/>
      <c r="DQ12" s="625"/>
      <c r="DR12" s="625"/>
      <c r="DS12" s="625"/>
      <c r="DT12" s="625"/>
      <c r="DU12" s="625"/>
      <c r="DV12" s="625"/>
      <c r="DW12" s="625"/>
      <c r="DX12" s="625"/>
      <c r="DY12" s="625"/>
      <c r="DZ12" s="625"/>
      <c r="EA12" s="625"/>
      <c r="EB12" s="625"/>
      <c r="EC12" s="625"/>
      <c r="ED12" s="625"/>
      <c r="EE12" s="625"/>
      <c r="EF12" s="625"/>
      <c r="EG12" s="625"/>
      <c r="EH12" s="625"/>
      <c r="EI12" s="625"/>
      <c r="EJ12" s="625"/>
      <c r="EK12" s="625"/>
      <c r="EL12" s="625"/>
      <c r="EM12" s="625"/>
      <c r="EN12" s="625"/>
      <c r="EO12" s="625"/>
      <c r="EP12" s="625"/>
      <c r="EQ12" s="625"/>
      <c r="ER12" s="625"/>
      <c r="ES12" s="625"/>
      <c r="ET12" s="625"/>
      <c r="EU12" s="625"/>
      <c r="EV12" s="625"/>
      <c r="EW12" s="625"/>
      <c r="EX12" s="625"/>
      <c r="EY12" s="625"/>
      <c r="EZ12" s="625"/>
      <c r="FA12" s="625"/>
      <c r="FB12" s="625"/>
      <c r="FC12" s="625"/>
    </row>
    <row r="13" ht="15" customHeight="1">
      <c r="A13" s="631" t="s">
        <v>201</v>
      </c>
      <c r="B13" s="757" t="s">
        <v>202</v>
      </c>
      <c r="C13" s="631"/>
      <c r="D13" s="709" t="s">
        <v>654</v>
      </c>
      <c r="E13" s="758">
        <f t="shared" si="11" ref="E13:AH14">E73</f>
        <v>1.4</v>
      </c>
      <c r="F13" s="758">
        <f t="shared" si="11"/>
        <v>1.4</v>
      </c>
      <c r="G13" s="758">
        <f t="shared" si="11"/>
        <v>1.4</v>
      </c>
      <c r="H13" s="758">
        <f t="shared" si="11"/>
        <v>1.4</v>
      </c>
      <c r="I13" s="758">
        <f t="shared" si="11"/>
        <v>1.4</v>
      </c>
      <c r="J13" s="758">
        <f t="shared" si="11"/>
        <v>1.4</v>
      </c>
      <c r="K13" s="758">
        <f t="shared" si="11"/>
        <v>1.4</v>
      </c>
      <c r="L13" s="758">
        <f t="shared" si="11"/>
        <v>1.4</v>
      </c>
      <c r="M13" s="758">
        <f t="shared" si="11"/>
        <v>1.4</v>
      </c>
      <c r="N13" s="758">
        <f t="shared" si="11"/>
        <v>1.4</v>
      </c>
      <c r="O13" s="758">
        <f t="shared" si="11"/>
        <v>1.4</v>
      </c>
      <c r="P13" s="758">
        <f t="shared" si="11"/>
        <v>1.4</v>
      </c>
      <c r="Q13" s="758"/>
      <c r="R13" s="758">
        <f t="shared" si="12" ref="R13:Y13">R72</f>
        <v>1.25</v>
      </c>
      <c r="S13" s="758">
        <f t="shared" si="12"/>
        <v>1.25</v>
      </c>
      <c r="T13" s="758">
        <f t="shared" si="12"/>
        <v>1.25</v>
      </c>
      <c r="U13" s="758">
        <f t="shared" si="12"/>
        <v>1.35</v>
      </c>
      <c r="V13" s="758">
        <f t="shared" si="12"/>
        <v>1.55</v>
      </c>
      <c r="W13" s="758">
        <f t="shared" si="12"/>
        <v>1.35</v>
      </c>
      <c r="X13" s="758">
        <f t="shared" si="12"/>
        <v>1.55</v>
      </c>
      <c r="Y13" s="758">
        <f t="shared" si="12"/>
        <v>1.25</v>
      </c>
      <c r="Z13" s="758"/>
      <c r="AA13" s="758">
        <f t="shared" si="11"/>
        <v>1.35</v>
      </c>
      <c r="AB13" s="758">
        <f t="shared" si="11"/>
        <v>1.35</v>
      </c>
      <c r="AC13" s="758">
        <f t="shared" si="11"/>
        <v>1.35</v>
      </c>
      <c r="AD13" s="758">
        <f t="shared" si="11"/>
        <v>1.35</v>
      </c>
      <c r="AE13" s="758">
        <f t="shared" si="11"/>
        <v>1.35</v>
      </c>
      <c r="AF13" s="758">
        <f t="shared" si="11"/>
        <v>1.35</v>
      </c>
      <c r="AG13" s="758">
        <f t="shared" si="11"/>
        <v>1.35</v>
      </c>
      <c r="AH13" s="758">
        <f t="shared" si="11"/>
        <v>1.35</v>
      </c>
      <c r="AI13" s="632"/>
      <c r="AJ13" s="671" t="s">
        <v>405</v>
      </c>
      <c r="AK13" s="740" t="str">
        <f>Property_Type</f>
        <v>Multifamily</v>
      </c>
      <c r="AL13" s="759"/>
      <c r="AM13" s="653" t="s">
        <v>655</v>
      </c>
      <c r="AN13" s="760" t="s">
        <v>656</v>
      </c>
      <c r="AO13" s="632"/>
      <c r="AP13" s="632" t="s">
        <v>657</v>
      </c>
      <c r="AQ13" s="685"/>
      <c r="AR13" s="632"/>
      <c r="AS13" s="632"/>
      <c r="AT13" s="632"/>
      <c r="AU13" s="761">
        <v>7</v>
      </c>
      <c r="AV13" s="762">
        <v>6.5</v>
      </c>
      <c r="AW13" s="753">
        <f>DailyPricing!E24</f>
        <v>0.0069</v>
      </c>
      <c r="AX13" s="763">
        <f t="shared" si="29" ref="AX13:AX41">$BB$5</f>
        <v>0.044065</v>
      </c>
      <c r="AY13" s="755">
        <v>0.008</v>
      </c>
      <c r="AZ13" s="764">
        <f>DailyPricing!E34</f>
        <v>0.0207</v>
      </c>
      <c r="BA13" s="756">
        <f t="shared" si="10"/>
        <v>0.07166499999999999</v>
      </c>
      <c r="BB13" s="764">
        <f>DailyPricing!E117</f>
        <v>0.0166</v>
      </c>
      <c r="BC13" s="756">
        <f t="shared" si="10"/>
        <v>0.067565</v>
      </c>
      <c r="BD13" s="754">
        <f>DailyPricing!E69/100</f>
        <v>0.00007325</v>
      </c>
      <c r="BE13" s="765">
        <f>DailyPricing!E70/100</f>
        <v>0.00003449</v>
      </c>
      <c r="BF13" s="765">
        <f>DailyPricing!E71/100</f>
        <v>0.000004180000000000001</v>
      </c>
      <c r="BG13" s="765">
        <f>DailyPricing!E72/100</f>
        <v>-0.00003359</v>
      </c>
      <c r="BH13" s="765">
        <f>DailyPricing!E73/100</f>
        <v>-0.0000409</v>
      </c>
      <c r="BI13" s="27"/>
      <c r="BJ13" s="711" t="s">
        <v>658</v>
      </c>
      <c r="BK13" s="766">
        <v>0.01</v>
      </c>
      <c r="BL13" s="766">
        <v>0.01</v>
      </c>
      <c r="BM13" s="766">
        <v>0.01</v>
      </c>
      <c r="BN13" s="712" t="s">
        <v>174</v>
      </c>
      <c r="BO13" s="712" t="s">
        <v>174</v>
      </c>
      <c r="BP13" s="713" t="s">
        <v>174</v>
      </c>
      <c r="BQ13" s="6"/>
      <c r="BR13" s="714"/>
      <c r="BS13" s="636" t="s">
        <v>659</v>
      </c>
      <c r="BT13" s="707">
        <v>-0.0005</v>
      </c>
      <c r="BU13" s="637"/>
      <c r="BZ13" s="625"/>
      <c r="CJ13" s="625"/>
      <c r="CK13" s="625"/>
      <c r="CL13" s="625"/>
      <c r="CM13" s="625"/>
      <c r="CN13" s="625"/>
      <c r="CO13" s="625"/>
      <c r="CP13" s="625"/>
      <c r="CQ13" s="625"/>
      <c r="CR13" s="625"/>
      <c r="CS13" s="625"/>
      <c r="CT13" s="625"/>
      <c r="CU13" s="625"/>
      <c r="CV13" s="625"/>
      <c r="CW13" s="625"/>
      <c r="CX13" s="625"/>
      <c r="CY13" s="625"/>
      <c r="CZ13" s="625"/>
      <c r="DA13" s="625"/>
      <c r="DB13" s="625"/>
      <c r="DC13" s="625"/>
      <c r="DD13" s="625"/>
      <c r="DE13" s="625"/>
      <c r="DF13" s="625"/>
      <c r="DG13" s="625"/>
      <c r="DH13" s="625"/>
      <c r="DI13" s="625"/>
      <c r="DJ13" s="625"/>
      <c r="DK13" s="625"/>
      <c r="DL13" s="625"/>
      <c r="DM13" s="625"/>
      <c r="DN13" s="625"/>
      <c r="DO13" s="625"/>
      <c r="DP13" s="625"/>
      <c r="DQ13" s="625"/>
      <c r="DR13" s="625"/>
      <c r="DS13" s="625"/>
      <c r="DT13" s="625"/>
      <c r="DU13" s="625"/>
      <c r="DV13" s="625"/>
      <c r="DW13" s="625"/>
      <c r="DX13" s="625"/>
      <c r="DY13" s="625"/>
      <c r="DZ13" s="625"/>
      <c r="EA13" s="625"/>
      <c r="EB13" s="625"/>
      <c r="EC13" s="625"/>
      <c r="ED13" s="625"/>
      <c r="EE13" s="625"/>
      <c r="EF13" s="625"/>
      <c r="EG13" s="625"/>
      <c r="EH13" s="625"/>
      <c r="EI13" s="625"/>
      <c r="EJ13" s="625"/>
      <c r="EK13" s="625"/>
      <c r="EL13" s="625"/>
      <c r="EM13" s="625"/>
      <c r="EN13" s="625"/>
      <c r="EO13" s="625"/>
      <c r="EP13" s="625"/>
      <c r="EQ13" s="625"/>
      <c r="ER13" s="625"/>
      <c r="ES13" s="625"/>
      <c r="ET13" s="625"/>
      <c r="EU13" s="625"/>
      <c r="EV13" s="625"/>
      <c r="EW13" s="625"/>
      <c r="EX13" s="625"/>
      <c r="EY13" s="625"/>
      <c r="EZ13" s="625"/>
      <c r="FA13" s="625"/>
      <c r="FB13" s="625"/>
      <c r="FC13" s="625"/>
    </row>
    <row r="14" ht="15" customHeight="1">
      <c r="A14" s="767" t="s">
        <v>660</v>
      </c>
      <c r="B14" s="768" t="s">
        <v>188</v>
      </c>
      <c r="C14" s="631"/>
      <c r="D14" s="631" t="s">
        <v>661</v>
      </c>
      <c r="E14" s="769">
        <f t="shared" si="11"/>
        <v>0.7</v>
      </c>
      <c r="F14" s="769">
        <f t="shared" si="11"/>
        <v>0.7</v>
      </c>
      <c r="G14" s="769">
        <f t="shared" si="11"/>
        <v>0.7</v>
      </c>
      <c r="H14" s="769">
        <f t="shared" si="11"/>
        <v>0.7</v>
      </c>
      <c r="I14" s="769">
        <f t="shared" si="11"/>
        <v>0.7</v>
      </c>
      <c r="J14" s="769">
        <f t="shared" si="11"/>
        <v>0.7</v>
      </c>
      <c r="K14" s="769">
        <f t="shared" si="11"/>
        <v>0.7</v>
      </c>
      <c r="L14" s="769">
        <f t="shared" si="11"/>
        <v>0.7</v>
      </c>
      <c r="M14" s="769">
        <f t="shared" si="11"/>
        <v>0.7</v>
      </c>
      <c r="N14" s="769">
        <f t="shared" si="11"/>
        <v>0.7</v>
      </c>
      <c r="O14" s="769">
        <f t="shared" si="11"/>
        <v>0.7</v>
      </c>
      <c r="P14" s="769">
        <f t="shared" si="11"/>
        <v>0.7</v>
      </c>
      <c r="Q14" s="769"/>
      <c r="R14" s="769">
        <f t="shared" si="11"/>
        <v>0.8</v>
      </c>
      <c r="S14" s="769">
        <f t="shared" si="11"/>
        <v>0.8</v>
      </c>
      <c r="T14" s="769">
        <f t="shared" si="11"/>
        <v>0.8</v>
      </c>
      <c r="U14" s="769">
        <f t="shared" si="11"/>
        <v>0.65</v>
      </c>
      <c r="V14" s="769">
        <f t="shared" si="11"/>
        <v>0.55</v>
      </c>
      <c r="W14" s="769">
        <f t="shared" si="11"/>
        <v>0.65</v>
      </c>
      <c r="X14" s="769">
        <f t="shared" si="11"/>
        <v>0.55</v>
      </c>
      <c r="Y14" s="769">
        <f t="shared" si="11"/>
        <v>0.8</v>
      </c>
      <c r="Z14" s="769"/>
      <c r="AA14" s="769">
        <f t="shared" si="11"/>
        <v>0.7</v>
      </c>
      <c r="AB14" s="769">
        <f t="shared" si="11"/>
        <v>0.7</v>
      </c>
      <c r="AC14" s="769">
        <f t="shared" si="11"/>
        <v>0.7</v>
      </c>
      <c r="AD14" s="769">
        <f t="shared" si="11"/>
        <v>0.7</v>
      </c>
      <c r="AE14" s="769">
        <f t="shared" si="11"/>
        <v>0.7</v>
      </c>
      <c r="AF14" s="769">
        <f t="shared" si="11"/>
        <v>0.7</v>
      </c>
      <c r="AG14" s="769">
        <f t="shared" si="11"/>
        <v>0.7</v>
      </c>
      <c r="AH14" s="769">
        <f t="shared" si="11"/>
        <v>0.7</v>
      </c>
      <c r="AI14" s="632"/>
      <c r="AJ14" s="671" t="s">
        <v>662</v>
      </c>
      <c r="AK14" s="770" t="s">
        <v>209</v>
      </c>
      <c r="AL14" s="635"/>
      <c r="AM14" s="632"/>
      <c r="AN14" s="632"/>
      <c r="AO14" s="632"/>
      <c r="AP14" s="632"/>
      <c r="AQ14" s="632"/>
      <c r="AR14" s="632"/>
      <c r="AS14" s="632"/>
      <c r="AT14" s="632"/>
      <c r="AU14" s="771">
        <v>10</v>
      </c>
      <c r="AV14" s="762">
        <v>9.5</v>
      </c>
      <c r="AW14" s="753">
        <f>DailyPricing!E25</f>
        <v>0.0073</v>
      </c>
      <c r="AX14" s="754">
        <f t="shared" si="32" ref="AX14:AX42">$BC$5</f>
        <v>0.043144</v>
      </c>
      <c r="AY14" s="755">
        <v>0.009</v>
      </c>
      <c r="AZ14" s="764">
        <f>DailyPricing!E35</f>
        <v>0.0192</v>
      </c>
      <c r="BA14" s="756">
        <f t="shared" si="10"/>
        <v>0.069644</v>
      </c>
      <c r="BB14" s="764">
        <f>DailyPricing!E118</f>
        <v>0.0151</v>
      </c>
      <c r="BC14" s="756">
        <f t="shared" si="10"/>
        <v>0.065544</v>
      </c>
      <c r="BD14" s="754">
        <f>DailyPricing!E74/100</f>
        <v>0.00009379999999999999</v>
      </c>
      <c r="BE14" s="765">
        <f>DailyPricing!E75/100</f>
        <v>0.00007074</v>
      </c>
      <c r="BF14" s="765">
        <f>DailyPricing!E76/100</f>
        <v>0.00005143</v>
      </c>
      <c r="BG14" s="765">
        <f>DailyPricing!E77/100</f>
        <v>0.00002258</v>
      </c>
      <c r="BH14" s="765">
        <f>DailyPricing!E78/100</f>
        <v>-0.00000265</v>
      </c>
      <c r="BI14" s="688"/>
      <c r="BJ14" s="720" t="s">
        <v>663</v>
      </c>
      <c r="BK14" s="721" t="s">
        <v>664</v>
      </c>
      <c r="BL14" s="721" t="s">
        <v>664</v>
      </c>
      <c r="BM14" s="721" t="s">
        <v>664</v>
      </c>
      <c r="BN14" s="721" t="s">
        <v>664</v>
      </c>
      <c r="BO14" s="721" t="s">
        <v>664</v>
      </c>
      <c r="BP14" s="722" t="s">
        <v>664</v>
      </c>
      <c r="BQ14" s="6"/>
      <c r="BR14" s="714"/>
      <c r="BS14" s="636" t="s">
        <v>665</v>
      </c>
      <c r="BT14" s="707">
        <v>-0.0045</v>
      </c>
      <c r="BU14" s="637"/>
      <c r="BZ14" s="625"/>
      <c r="CJ14" s="625"/>
      <c r="CK14" s="625"/>
      <c r="CL14" s="625"/>
      <c r="CM14" s="625"/>
      <c r="CN14" s="625"/>
      <c r="CO14" s="625"/>
      <c r="CP14" s="625"/>
      <c r="CQ14" s="625"/>
      <c r="CR14" s="625"/>
      <c r="CS14" s="625"/>
      <c r="CT14" s="625"/>
      <c r="CU14" s="625"/>
      <c r="CV14" s="625"/>
      <c r="CW14" s="625"/>
      <c r="CX14" s="625"/>
      <c r="CY14" s="625"/>
      <c r="CZ14" s="625"/>
      <c r="DA14" s="625"/>
      <c r="DB14" s="625"/>
      <c r="DC14" s="625"/>
      <c r="DD14" s="625"/>
      <c r="DE14" s="625"/>
      <c r="DF14" s="625"/>
      <c r="DG14" s="625"/>
      <c r="DH14" s="625"/>
      <c r="DI14" s="625"/>
      <c r="DJ14" s="625"/>
      <c r="DK14" s="625"/>
      <c r="DL14" s="625"/>
      <c r="DM14" s="625"/>
      <c r="DN14" s="625"/>
      <c r="DO14" s="625"/>
      <c r="DP14" s="625"/>
      <c r="DQ14" s="625"/>
      <c r="DR14" s="625"/>
      <c r="DS14" s="625"/>
      <c r="DT14" s="625"/>
      <c r="DU14" s="625"/>
      <c r="DV14" s="625"/>
      <c r="DW14" s="625"/>
      <c r="DX14" s="625"/>
      <c r="DY14" s="625"/>
      <c r="DZ14" s="625"/>
      <c r="EA14" s="625"/>
      <c r="EB14" s="625"/>
      <c r="EC14" s="625"/>
      <c r="ED14" s="625"/>
      <c r="EE14" s="625"/>
      <c r="EF14" s="625"/>
      <c r="EG14" s="625"/>
      <c r="EH14" s="625"/>
      <c r="EI14" s="625"/>
      <c r="EJ14" s="625"/>
      <c r="EK14" s="625"/>
      <c r="EL14" s="625"/>
      <c r="EM14" s="625"/>
      <c r="EN14" s="625"/>
      <c r="EO14" s="625"/>
      <c r="EP14" s="625"/>
      <c r="EQ14" s="625"/>
      <c r="ER14" s="625"/>
      <c r="ES14" s="625"/>
      <c r="ET14" s="625"/>
      <c r="EU14" s="625"/>
      <c r="EV14" s="625"/>
      <c r="EW14" s="625"/>
      <c r="EX14" s="625"/>
      <c r="EY14" s="625"/>
      <c r="EZ14" s="625"/>
      <c r="FA14" s="625"/>
      <c r="FB14" s="625"/>
      <c r="FC14" s="625"/>
    </row>
    <row r="15" ht="15" customHeight="1">
      <c r="A15" s="772" t="s">
        <v>666</v>
      </c>
      <c r="B15" s="773"/>
      <c r="C15" s="631"/>
      <c r="D15" s="709" t="s">
        <v>667</v>
      </c>
      <c r="E15" s="774">
        <f t="shared" si="13" ref="E15:P15">_xlfn.IFERROR($B$41/E69,0)</f>
        <v>0</v>
      </c>
      <c r="F15" s="774">
        <f t="shared" si="13"/>
        <v>0</v>
      </c>
      <c r="G15" s="774">
        <f t="shared" si="13"/>
        <v>0</v>
      </c>
      <c r="H15" s="774">
        <f t="shared" si="13"/>
        <v>0</v>
      </c>
      <c r="I15" s="774">
        <f t="shared" si="13"/>
        <v>0</v>
      </c>
      <c r="J15" s="774">
        <f t="shared" si="13"/>
        <v>0</v>
      </c>
      <c r="K15" s="774">
        <f t="shared" si="13"/>
        <v>0</v>
      </c>
      <c r="L15" s="774">
        <f t="shared" si="13"/>
        <v>0</v>
      </c>
      <c r="M15" s="774">
        <f t="shared" si="13"/>
        <v>0</v>
      </c>
      <c r="N15" s="774">
        <f t="shared" si="13"/>
        <v>0</v>
      </c>
      <c r="O15" s="774">
        <f t="shared" si="13"/>
        <v>0</v>
      </c>
      <c r="P15" s="774">
        <f t="shared" si="13"/>
        <v>0</v>
      </c>
      <c r="Q15" s="774"/>
      <c r="R15" s="774">
        <f t="shared" si="14" ref="R15:Y15">_xlfn.IFERROR($B$44/R69,0)</f>
        <v>0</v>
      </c>
      <c r="S15" s="774">
        <f t="shared" si="14"/>
        <v>0</v>
      </c>
      <c r="T15" s="774">
        <f t="shared" si="14"/>
        <v>0</v>
      </c>
      <c r="U15" s="774">
        <f t="shared" si="14"/>
        <v>0</v>
      </c>
      <c r="V15" s="774">
        <f t="shared" si="14"/>
        <v>0</v>
      </c>
      <c r="W15" s="774">
        <f t="shared" si="14"/>
        <v>0</v>
      </c>
      <c r="X15" s="774">
        <f t="shared" si="14"/>
        <v>0</v>
      </c>
      <c r="Y15" s="774">
        <f t="shared" si="14"/>
        <v>0</v>
      </c>
      <c r="Z15" s="774"/>
      <c r="AA15" s="774">
        <f t="shared" si="15" ref="AA15:AH15">_xlfn.IFERROR($B$44/AA$70,0)</f>
        <v>0</v>
      </c>
      <c r="AB15" s="774">
        <f t="shared" si="15"/>
        <v>0</v>
      </c>
      <c r="AC15" s="774">
        <f t="shared" si="15"/>
        <v>0</v>
      </c>
      <c r="AD15" s="774">
        <f t="shared" si="15"/>
        <v>0</v>
      </c>
      <c r="AE15" s="774">
        <f t="shared" si="15"/>
        <v>0</v>
      </c>
      <c r="AF15" s="774">
        <f t="shared" si="15"/>
        <v>0</v>
      </c>
      <c r="AG15" s="774">
        <f t="shared" si="15"/>
        <v>0</v>
      </c>
      <c r="AH15" s="774">
        <f t="shared" si="15"/>
        <v>0</v>
      </c>
      <c r="AI15" s="632"/>
      <c r="AJ15" s="671" t="s">
        <v>668</v>
      </c>
      <c r="AK15" s="654" t="str">
        <f>SBL_YearBuilt</f>
        <v>XXXX</v>
      </c>
      <c r="AL15" s="635"/>
      <c r="AM15" s="640" t="s">
        <v>669</v>
      </c>
      <c r="AN15" s="640"/>
      <c r="AO15" s="632"/>
      <c r="AP15" s="656" t="s">
        <v>670</v>
      </c>
      <c r="AQ15" s="657"/>
      <c r="AR15" s="657"/>
      <c r="AS15" s="658"/>
      <c r="AT15" s="632"/>
      <c r="AU15" s="775">
        <v>12</v>
      </c>
      <c r="AV15" s="1">
        <v>11.5</v>
      </c>
      <c r="AW15" s="753">
        <f>DailyPricing!E26</f>
        <v>0.0087</v>
      </c>
      <c r="AX15" s="754">
        <f t="shared" si="18" ref="AX15:AX45">$AX$14</f>
        <v>0.043144</v>
      </c>
      <c r="AY15" s="755">
        <v>0.009</v>
      </c>
      <c r="AZ15" s="764">
        <f>DailyPricing!E36</f>
        <v>0.0192</v>
      </c>
      <c r="BA15" s="756">
        <f t="shared" si="10"/>
        <v>0.071044</v>
      </c>
      <c r="BB15" s="764">
        <f>DailyPricing!E119</f>
        <v>0.0151</v>
      </c>
      <c r="BC15" s="756">
        <f t="shared" si="10"/>
        <v>0.066944</v>
      </c>
      <c r="BD15" s="754">
        <f>DailyPricing!E79/100</f>
        <v>0.0001064</v>
      </c>
      <c r="BE15" s="765">
        <f>DailyPricing!E80/100</f>
        <v>0.00009410999999999999</v>
      </c>
      <c r="BF15" s="765">
        <f>DailyPricing!E81/100</f>
        <v>0.00008375</v>
      </c>
      <c r="BG15" s="765">
        <f>DailyPricing!E82/100</f>
        <v>0.00006768</v>
      </c>
      <c r="BH15" s="765">
        <f>DailyPricing!E83/100</f>
        <v>0.000048469999999999995</v>
      </c>
      <c r="BI15" s="27"/>
      <c r="BJ15" s="711" t="s">
        <v>671</v>
      </c>
      <c r="BK15" s="712" t="s">
        <v>672</v>
      </c>
      <c r="BL15" s="712" t="s">
        <v>672</v>
      </c>
      <c r="BM15" s="712" t="s">
        <v>672</v>
      </c>
      <c r="BN15" s="712" t="s">
        <v>672</v>
      </c>
      <c r="BO15" s="712" t="s">
        <v>672</v>
      </c>
      <c r="BP15" s="713" t="s">
        <v>672</v>
      </c>
      <c r="BQ15" s="6"/>
      <c r="BR15" s="714"/>
      <c r="BS15" s="636" t="s">
        <v>673</v>
      </c>
      <c r="BT15" s="707">
        <v>-0.001</v>
      </c>
      <c r="BU15" s="637"/>
      <c r="BZ15" s="625"/>
      <c r="CJ15" s="625"/>
      <c r="CK15" s="625"/>
      <c r="CL15" s="625"/>
      <c r="CM15" s="625"/>
      <c r="CN15" s="625"/>
      <c r="CO15" s="625"/>
      <c r="CP15" s="625"/>
      <c r="CQ15" s="625"/>
      <c r="CR15" s="625"/>
      <c r="CS15" s="625"/>
      <c r="CT15" s="625"/>
      <c r="CU15" s="625"/>
      <c r="CV15" s="625"/>
      <c r="CW15" s="625"/>
      <c r="CX15" s="625"/>
      <c r="CY15" s="625"/>
      <c r="CZ15" s="625"/>
      <c r="DA15" s="625"/>
      <c r="DB15" s="625"/>
      <c r="DC15" s="625"/>
      <c r="DD15" s="625"/>
      <c r="DE15" s="625"/>
      <c r="DF15" s="625"/>
      <c r="DG15" s="625"/>
      <c r="DH15" s="625"/>
      <c r="DI15" s="625"/>
      <c r="DJ15" s="625"/>
      <c r="DK15" s="625"/>
      <c r="DL15" s="625"/>
      <c r="DM15" s="625"/>
      <c r="DN15" s="625"/>
      <c r="DO15" s="625"/>
      <c r="DP15" s="625"/>
      <c r="DQ15" s="625"/>
      <c r="DR15" s="625"/>
      <c r="DS15" s="625"/>
      <c r="DT15" s="625"/>
      <c r="DU15" s="625"/>
      <c r="DV15" s="625"/>
      <c r="DW15" s="625"/>
      <c r="DX15" s="625"/>
      <c r="DY15" s="625"/>
      <c r="DZ15" s="625"/>
      <c r="EA15" s="625"/>
      <c r="EB15" s="625"/>
      <c r="EC15" s="625"/>
      <c r="ED15" s="625"/>
      <c r="EE15" s="625"/>
      <c r="EF15" s="625"/>
      <c r="EG15" s="625"/>
      <c r="EH15" s="625"/>
      <c r="EI15" s="625"/>
      <c r="EJ15" s="625"/>
      <c r="EK15" s="625"/>
      <c r="EL15" s="625"/>
      <c r="EM15" s="625"/>
      <c r="EN15" s="625"/>
      <c r="EO15" s="625"/>
      <c r="EP15" s="625"/>
      <c r="EQ15" s="625"/>
      <c r="ER15" s="625"/>
      <c r="ES15" s="625"/>
      <c r="ET15" s="625"/>
      <c r="EU15" s="625"/>
      <c r="EV15" s="625"/>
      <c r="EW15" s="625"/>
      <c r="EX15" s="625"/>
      <c r="EY15" s="625"/>
      <c r="EZ15" s="625"/>
      <c r="FA15" s="625"/>
      <c r="FB15" s="625"/>
      <c r="FC15" s="625"/>
    </row>
    <row r="16" ht="15" customHeight="1">
      <c r="A16" s="631" t="s">
        <v>283</v>
      </c>
      <c r="B16" s="776" t="s">
        <v>284</v>
      </c>
      <c r="C16" s="631"/>
      <c r="D16" s="631" t="s">
        <v>674</v>
      </c>
      <c r="E16" s="777">
        <f t="shared" si="16" ref="E16:P16">_xlfn.IFERROR(E30/$B$42,"")</f>
        <v>0</v>
      </c>
      <c r="F16" s="777">
        <f t="shared" si="16"/>
        <v>0</v>
      </c>
      <c r="G16" s="777">
        <f t="shared" si="16"/>
        <v>0</v>
      </c>
      <c r="H16" s="777">
        <f t="shared" si="16"/>
        <v>0</v>
      </c>
      <c r="I16" s="777">
        <f t="shared" si="16"/>
        <v>0</v>
      </c>
      <c r="J16" s="777">
        <f t="shared" si="16"/>
        <v>0</v>
      </c>
      <c r="K16" s="777">
        <f t="shared" si="16"/>
        <v>0</v>
      </c>
      <c r="L16" s="777">
        <f t="shared" si="16"/>
        <v>0</v>
      </c>
      <c r="M16" s="777">
        <f t="shared" si="16"/>
        <v>0</v>
      </c>
      <c r="N16" s="777">
        <f t="shared" si="16"/>
        <v>0</v>
      </c>
      <c r="O16" s="777">
        <f t="shared" si="16"/>
        <v>0</v>
      </c>
      <c r="P16" s="777">
        <f t="shared" si="16"/>
        <v>0</v>
      </c>
      <c r="Q16" s="777"/>
      <c r="R16" s="777">
        <f t="shared" si="17" ref="R16:AH16">_xlfn.IFERROR(R30/$B$45,"")</f>
        <v>0</v>
      </c>
      <c r="S16" s="777">
        <f t="shared" si="17"/>
        <v>0</v>
      </c>
      <c r="T16" s="777">
        <f t="shared" si="17"/>
        <v>0</v>
      </c>
      <c r="U16" s="777">
        <f t="shared" si="17"/>
        <v>0</v>
      </c>
      <c r="V16" s="777">
        <f t="shared" si="17"/>
        <v>0</v>
      </c>
      <c r="W16" s="777">
        <f t="shared" si="17"/>
        <v>0</v>
      </c>
      <c r="X16" s="777">
        <f t="shared" si="17"/>
        <v>0</v>
      </c>
      <c r="Y16" s="777">
        <f t="shared" si="17"/>
        <v>0</v>
      </c>
      <c r="Z16" s="777"/>
      <c r="AA16" s="777">
        <f t="shared" si="17"/>
        <v>0</v>
      </c>
      <c r="AB16" s="777">
        <f t="shared" si="17"/>
        <v>0</v>
      </c>
      <c r="AC16" s="777">
        <f t="shared" si="17"/>
        <v>0</v>
      </c>
      <c r="AD16" s="777">
        <f t="shared" si="17"/>
        <v>0</v>
      </c>
      <c r="AE16" s="777">
        <f t="shared" si="17"/>
        <v>0</v>
      </c>
      <c r="AF16" s="777">
        <f t="shared" si="17"/>
        <v>0</v>
      </c>
      <c r="AG16" s="777">
        <f t="shared" si="17"/>
        <v>0</v>
      </c>
      <c r="AH16" s="777">
        <f t="shared" si="17"/>
        <v>0</v>
      </c>
      <c r="AI16" s="632"/>
      <c r="AJ16" s="671" t="s">
        <v>675</v>
      </c>
      <c r="AK16" s="731" t="s">
        <v>209</v>
      </c>
      <c r="AL16" s="635"/>
      <c r="AM16" s="653" t="s">
        <v>676</v>
      </c>
      <c r="AN16" s="778">
        <v>0</v>
      </c>
      <c r="AO16" s="632"/>
      <c r="AP16" s="632" t="s">
        <v>677</v>
      </c>
      <c r="AQ16" s="779" t="str">
        <f>IF(LEN(AQ4)=0,"-",DATEDIF($AQ$4,TODAY(),"Y")&amp;" yrs, "&amp;DATEDIF($AQ$4,TODAY(),"YM")&amp;" mo")</f>
        <v>-</v>
      </c>
      <c r="AR16" s="632"/>
      <c r="AS16" s="632"/>
      <c r="AT16" s="632"/>
      <c r="AU16" s="780">
        <v>15</v>
      </c>
      <c r="AV16" s="762">
        <v>14.5</v>
      </c>
      <c r="AW16" s="753">
        <f>DailyPricing!E27</f>
        <v>0.0105</v>
      </c>
      <c r="AX16" s="754">
        <f t="shared" si="18"/>
        <v>0.043144</v>
      </c>
      <c r="AY16" s="755">
        <v>0.009</v>
      </c>
      <c r="AZ16" s="764">
        <f>DailyPricing!E37</f>
        <v>0.0192</v>
      </c>
      <c r="BA16" s="756">
        <f t="shared" si="10"/>
        <v>0.072844</v>
      </c>
      <c r="BB16" s="764">
        <f>DailyPricing!E120</f>
        <v>0.0151</v>
      </c>
      <c r="BC16" s="756">
        <f t="shared" si="10"/>
        <v>0.068744</v>
      </c>
      <c r="BD16" s="754">
        <f>DailyPricing!E84/100</f>
        <v>0.00010751</v>
      </c>
      <c r="BE16" s="765">
        <f>DailyPricing!E85/100</f>
        <v>0.00009582</v>
      </c>
      <c r="BF16" s="765">
        <f>DailyPricing!E86/100</f>
        <v>0.00008586</v>
      </c>
      <c r="BG16" s="765">
        <f>DailyPricing!E87/100</f>
        <v>0.00006981</v>
      </c>
      <c r="BH16" s="765">
        <f>DailyPricing!E88/100</f>
        <v>0.0000404</v>
      </c>
      <c r="BI16" s="27"/>
      <c r="BJ16" s="703" t="s">
        <v>678</v>
      </c>
      <c r="BK16" s="704"/>
      <c r="BL16" s="704"/>
      <c r="BM16" s="704"/>
      <c r="BN16" s="704"/>
      <c r="BO16" s="704"/>
      <c r="BP16" s="705"/>
      <c r="BQ16" s="664"/>
      <c r="BR16" s="781"/>
      <c r="BS16" s="636" t="s">
        <v>679</v>
      </c>
      <c r="BT16" s="707">
        <v>0.0022</v>
      </c>
      <c r="BU16" s="637"/>
      <c r="BZ16" s="708"/>
      <c r="CJ16" s="708"/>
      <c r="CK16" s="708"/>
      <c r="CL16" s="708"/>
      <c r="CM16" s="708"/>
      <c r="CN16" s="708"/>
      <c r="CO16" s="708"/>
      <c r="CP16" s="708"/>
      <c r="CQ16" s="708"/>
      <c r="CR16" s="708"/>
      <c r="CS16" s="708"/>
      <c r="CT16" s="708"/>
      <c r="CU16" s="708"/>
      <c r="CV16" s="708"/>
      <c r="CW16" s="708"/>
      <c r="CX16" s="708"/>
      <c r="CY16" s="708"/>
      <c r="CZ16" s="708"/>
      <c r="DA16" s="625"/>
      <c r="DB16" s="625"/>
      <c r="DC16" s="625"/>
      <c r="DD16" s="625"/>
      <c r="DE16" s="625"/>
      <c r="DF16" s="625"/>
      <c r="DG16" s="625"/>
      <c r="DH16" s="625"/>
      <c r="DI16" s="625"/>
      <c r="DJ16" s="625"/>
      <c r="DK16" s="625"/>
      <c r="DL16" s="625"/>
      <c r="DM16" s="625"/>
      <c r="DN16" s="625"/>
      <c r="DO16" s="625"/>
      <c r="DP16" s="625"/>
      <c r="DQ16" s="625"/>
      <c r="DR16" s="625"/>
      <c r="DS16" s="625"/>
      <c r="DT16" s="625"/>
      <c r="DU16" s="625"/>
      <c r="DV16" s="625"/>
      <c r="DW16" s="625"/>
      <c r="DX16" s="625"/>
      <c r="DY16" s="625"/>
      <c r="DZ16" s="625"/>
      <c r="EA16" s="625"/>
      <c r="EB16" s="625"/>
      <c r="EC16" s="625"/>
      <c r="ED16" s="625"/>
      <c r="EE16" s="625"/>
      <c r="EF16" s="625"/>
      <c r="EG16" s="625"/>
      <c r="EH16" s="625"/>
      <c r="EI16" s="625"/>
      <c r="EJ16" s="625"/>
      <c r="EK16" s="625"/>
      <c r="EL16" s="625"/>
      <c r="EM16" s="625"/>
      <c r="EN16" s="625"/>
      <c r="EO16" s="625"/>
      <c r="EP16" s="625"/>
      <c r="EQ16" s="625"/>
      <c r="ER16" s="625"/>
      <c r="ES16" s="625"/>
      <c r="ET16" s="625"/>
      <c r="EU16" s="625"/>
      <c r="EV16" s="625"/>
      <c r="EW16" s="625"/>
      <c r="EX16" s="625"/>
      <c r="EY16" s="625"/>
      <c r="EZ16" s="625"/>
      <c r="FA16" s="625"/>
      <c r="FB16" s="625"/>
      <c r="FC16" s="625"/>
    </row>
    <row r="17" ht="15" customHeight="1">
      <c r="A17" s="631" t="s">
        <v>680</v>
      </c>
      <c r="B17" s="782" t="s">
        <v>571</v>
      </c>
      <c r="C17" s="631"/>
      <c r="D17" s="709" t="s">
        <v>681</v>
      </c>
      <c r="E17" s="682" t="e">
        <f t="shared" si="19" ref="E17:AH17">E68</f>
        <v>#N/A</v>
      </c>
      <c r="F17" s="683" t="e">
        <f t="shared" si="19"/>
        <v>#N/A</v>
      </c>
      <c r="G17" s="684" t="e">
        <f t="shared" si="19"/>
        <v>#N/A</v>
      </c>
      <c r="H17" s="683" t="e">
        <f t="shared" si="19"/>
        <v>#N/A</v>
      </c>
      <c r="I17" s="684" t="e">
        <f t="shared" si="19"/>
        <v>#N/A</v>
      </c>
      <c r="J17" s="683" t="e">
        <f t="shared" si="19"/>
        <v>#N/A</v>
      </c>
      <c r="K17" s="684" t="e">
        <f t="shared" si="19"/>
        <v>#N/A</v>
      </c>
      <c r="L17" s="683" t="e">
        <f t="shared" si="19"/>
        <v>#N/A</v>
      </c>
      <c r="M17" s="684" t="e">
        <f t="shared" si="19"/>
        <v>#N/A</v>
      </c>
      <c r="N17" s="683" t="e">
        <f t="shared" si="19"/>
        <v>#N/A</v>
      </c>
      <c r="O17" s="684" t="e">
        <f t="shared" si="19"/>
        <v>#N/A</v>
      </c>
      <c r="P17" s="683" t="e">
        <f t="shared" si="19"/>
        <v>#N/A</v>
      </c>
      <c r="Q17" s="709"/>
      <c r="R17" s="682">
        <f t="shared" si="19"/>
        <v>0.070944</v>
      </c>
      <c r="S17" s="683">
        <f t="shared" si="19"/>
        <v>0.072144</v>
      </c>
      <c r="T17" s="684">
        <f t="shared" si="19"/>
        <v>0.07394400000000001</v>
      </c>
      <c r="U17" s="683">
        <f t="shared" si="19"/>
        <v>0.06896658000000001</v>
      </c>
      <c r="V17" s="684">
        <f t="shared" si="19"/>
        <v>0.06694135000000001</v>
      </c>
      <c r="W17" s="683">
        <f t="shared" si="19"/>
        <v>0.07172228</v>
      </c>
      <c r="X17" s="684">
        <f t="shared" si="19"/>
        <v>0.06967273</v>
      </c>
      <c r="Y17" s="683">
        <f t="shared" si="19"/>
        <v>0.070944</v>
      </c>
      <c r="Z17" s="709"/>
      <c r="AA17" s="682">
        <f t="shared" si="19"/>
        <v>0.053704</v>
      </c>
      <c r="AB17" s="683">
        <f t="shared" si="19"/>
        <v>0.053704</v>
      </c>
      <c r="AC17" s="684">
        <f t="shared" si="19"/>
        <v>0.053704</v>
      </c>
      <c r="AD17" s="683">
        <f t="shared" si="19"/>
        <v>0.053704</v>
      </c>
      <c r="AE17" s="684">
        <f t="shared" si="19"/>
        <v>0.053704</v>
      </c>
      <c r="AF17" s="683">
        <f t="shared" si="19"/>
        <v>0.053704</v>
      </c>
      <c r="AG17" s="684">
        <f t="shared" si="19"/>
        <v>0.053704</v>
      </c>
      <c r="AH17" s="683">
        <f t="shared" si="19"/>
        <v>0.053704</v>
      </c>
      <c r="AI17" s="632"/>
      <c r="AJ17" s="671" t="s">
        <v>682</v>
      </c>
      <c r="AK17" s="778">
        <v>0</v>
      </c>
      <c r="AL17" s="635"/>
      <c r="AM17" s="653" t="s">
        <v>683</v>
      </c>
      <c r="AN17" s="778">
        <v>0</v>
      </c>
      <c r="AO17" s="632"/>
      <c r="AP17" s="632" t="s">
        <v>684</v>
      </c>
      <c r="AQ17" s="783">
        <f>AQ5+AQ6+AQ21</f>
        <v>0</v>
      </c>
      <c r="AR17" s="632"/>
      <c r="AS17" s="632"/>
      <c r="AT17" s="632"/>
      <c r="AU17" s="784">
        <v>18</v>
      </c>
      <c r="AV17" s="762">
        <v>15</v>
      </c>
      <c r="AW17" s="753">
        <f>DailyPricing!E28</f>
        <v>0.0121</v>
      </c>
      <c r="AX17" s="754">
        <f t="shared" si="18"/>
        <v>0.043144</v>
      </c>
      <c r="AY17" s="755">
        <v>0.009</v>
      </c>
      <c r="AZ17" s="764">
        <f>DailyPricing!E38</f>
        <v>0.0192</v>
      </c>
      <c r="BA17" s="756">
        <f t="shared" si="10"/>
        <v>0.074444</v>
      </c>
      <c r="BB17" s="764">
        <f>DailyPricing!E121</f>
        <v>0.0151</v>
      </c>
      <c r="BC17" s="756">
        <f t="shared" si="10"/>
        <v>0.070344</v>
      </c>
      <c r="BD17" s="785"/>
      <c r="BE17" s="786"/>
      <c r="BF17" s="787"/>
      <c r="BG17" s="786"/>
      <c r="BH17" s="788"/>
      <c r="BI17" s="688"/>
      <c r="BJ17" s="720" t="s">
        <v>685</v>
      </c>
      <c r="BK17" s="789">
        <v>0.0675</v>
      </c>
      <c r="BL17" s="789">
        <v>0.0663</v>
      </c>
      <c r="BM17" s="789">
        <v>0.0683</v>
      </c>
      <c r="BN17" s="789">
        <v>0.065</v>
      </c>
      <c r="BO17" s="789">
        <v>0.0663</v>
      </c>
      <c r="BP17" s="790">
        <v>0.0668</v>
      </c>
      <c r="BQ17" s="6"/>
      <c r="BR17" s="714"/>
      <c r="BS17" s="636" t="s">
        <v>686</v>
      </c>
      <c r="BT17" s="707">
        <v>0.0017</v>
      </c>
      <c r="BU17" s="637"/>
      <c r="BZ17" s="625"/>
      <c r="CJ17" s="625"/>
      <c r="CK17" s="625"/>
      <c r="CL17" s="625"/>
      <c r="CM17" s="625"/>
      <c r="CN17" s="625"/>
      <c r="CO17" s="625"/>
      <c r="CP17" s="625"/>
      <c r="CQ17" s="625"/>
      <c r="CR17" s="625"/>
      <c r="CS17" s="625"/>
      <c r="CT17" s="625"/>
      <c r="CU17" s="625"/>
      <c r="CV17" s="625"/>
      <c r="CW17" s="625"/>
      <c r="CX17" s="625"/>
      <c r="CY17" s="625"/>
      <c r="CZ17" s="625"/>
      <c r="DA17" s="625"/>
      <c r="DB17" s="625"/>
      <c r="DC17" s="625"/>
      <c r="DD17" s="625"/>
      <c r="DE17" s="625"/>
      <c r="DF17" s="625"/>
      <c r="DG17" s="625"/>
      <c r="DH17" s="625"/>
      <c r="DI17" s="625"/>
      <c r="DJ17" s="625"/>
      <c r="DK17" s="625"/>
      <c r="DL17" s="625"/>
      <c r="DM17" s="625"/>
      <c r="DN17" s="625"/>
      <c r="DO17" s="625"/>
      <c r="DP17" s="625"/>
      <c r="DQ17" s="625"/>
      <c r="DR17" s="625"/>
      <c r="DS17" s="625"/>
      <c r="DT17" s="625"/>
      <c r="DU17" s="625"/>
      <c r="DV17" s="625"/>
      <c r="DW17" s="625"/>
      <c r="DX17" s="625"/>
      <c r="DY17" s="625"/>
      <c r="DZ17" s="625"/>
      <c r="EA17" s="625"/>
      <c r="EB17" s="625"/>
      <c r="EC17" s="625"/>
      <c r="ED17" s="625"/>
      <c r="EE17" s="625"/>
      <c r="EF17" s="625"/>
      <c r="EG17" s="625"/>
      <c r="EH17" s="625"/>
      <c r="EI17" s="625"/>
      <c r="EJ17" s="625"/>
      <c r="EK17" s="625"/>
      <c r="EL17" s="625"/>
      <c r="EM17" s="625"/>
      <c r="EN17" s="625"/>
      <c r="EO17" s="625"/>
      <c r="EP17" s="625"/>
      <c r="EQ17" s="625"/>
      <c r="ER17" s="625"/>
      <c r="ES17" s="625"/>
      <c r="ET17" s="625"/>
      <c r="EU17" s="625"/>
      <c r="EV17" s="625"/>
      <c r="EW17" s="625"/>
      <c r="EX17" s="625"/>
      <c r="EY17" s="625"/>
      <c r="EZ17" s="625"/>
      <c r="FA17" s="625"/>
      <c r="FB17" s="625"/>
      <c r="FC17" s="625"/>
    </row>
    <row r="18" ht="15" customHeight="1">
      <c r="A18" s="631" t="s">
        <v>687</v>
      </c>
      <c r="B18" s="791" t="str">
        <f>IF(ISBLANK(B32),"Requires Manual Lookup",IF(_xlfn.IFERROR(SEARCH("pre-review",B32),0)&gt;0,"MSA (Pre-Review)",IF(_xlfn.IFERROR(SEARCH("Strong",B32),0)&gt;0,"MSA (Strong Market)","MSA (Standard Market)")))</f>
        <v>Requires Manual Lookup</v>
      </c>
      <c r="C18" s="631"/>
      <c r="D18" s="631" t="s">
        <v>688</v>
      </c>
      <c r="E18" s="792" t="e">
        <f t="shared" si="20" ref="E18:AH18">IF(E$45="Full Term","NA",PMT(E68/12,E46*12,-1)*12*E30)</f>
        <v>#N/A</v>
      </c>
      <c r="F18" s="793" t="e">
        <f t="shared" si="20"/>
        <v>#N/A</v>
      </c>
      <c r="G18" s="794" t="e">
        <f t="shared" si="20"/>
        <v>#N/A</v>
      </c>
      <c r="H18" s="793" t="e">
        <f t="shared" si="20"/>
        <v>#N/A</v>
      </c>
      <c r="I18" s="794" t="e">
        <f t="shared" si="20"/>
        <v>#N/A</v>
      </c>
      <c r="J18" s="793" t="e">
        <f t="shared" si="20"/>
        <v>#N/A</v>
      </c>
      <c r="K18" s="794" t="e">
        <f t="shared" si="20"/>
        <v>#N/A</v>
      </c>
      <c r="L18" s="793" t="e">
        <f t="shared" si="20"/>
        <v>#N/A</v>
      </c>
      <c r="M18" s="794" t="e">
        <f t="shared" si="20"/>
        <v>#N/A</v>
      </c>
      <c r="N18" s="793" t="e">
        <f t="shared" si="20"/>
        <v>#N/A</v>
      </c>
      <c r="O18" s="794" t="e">
        <f t="shared" si="20"/>
        <v>#N/A</v>
      </c>
      <c r="P18" s="793" t="e">
        <f t="shared" si="20"/>
        <v>#N/A</v>
      </c>
      <c r="Q18" s="631"/>
      <c r="R18" s="792">
        <f t="shared" si="20"/>
        <v>0</v>
      </c>
      <c r="S18" s="793">
        <f t="shared" si="20"/>
        <v>0</v>
      </c>
      <c r="T18" s="794">
        <f t="shared" si="20"/>
        <v>0</v>
      </c>
      <c r="U18" s="793">
        <f t="shared" si="20"/>
        <v>0</v>
      </c>
      <c r="V18" s="794" t="str">
        <f t="shared" si="20"/>
        <v>NA</v>
      </c>
      <c r="W18" s="793">
        <f t="shared" si="20"/>
        <v>0</v>
      </c>
      <c r="X18" s="794" t="str">
        <f t="shared" si="20"/>
        <v>NA</v>
      </c>
      <c r="Y18" s="793">
        <f t="shared" si="20"/>
        <v>0</v>
      </c>
      <c r="Z18" s="631"/>
      <c r="AA18" s="792" t="str">
        <f t="shared" si="20"/>
        <v>NA</v>
      </c>
      <c r="AB18" s="793" t="str">
        <f t="shared" si="20"/>
        <v>NA</v>
      </c>
      <c r="AC18" s="794" t="str">
        <f t="shared" si="20"/>
        <v>NA</v>
      </c>
      <c r="AD18" s="793" t="str">
        <f t="shared" si="20"/>
        <v>NA</v>
      </c>
      <c r="AE18" s="794" t="str">
        <f t="shared" si="20"/>
        <v>NA</v>
      </c>
      <c r="AF18" s="793" t="str">
        <f t="shared" si="20"/>
        <v>NA</v>
      </c>
      <c r="AG18" s="794" t="str">
        <f t="shared" si="20"/>
        <v>NA</v>
      </c>
      <c r="AH18" s="793" t="str">
        <f t="shared" si="20"/>
        <v>NA</v>
      </c>
      <c r="AI18" s="632"/>
      <c r="AJ18" s="654"/>
      <c r="AK18" s="795"/>
      <c r="AL18" s="635"/>
      <c r="AM18" s="632"/>
      <c r="AN18" s="632"/>
      <c r="AO18" s="632"/>
      <c r="AP18" s="632" t="s">
        <v>689</v>
      </c>
      <c r="AQ18" s="796">
        <f>IF(AQ17&gt;0,AQ12/AQ17,0)</f>
        <v>0</v>
      </c>
      <c r="AR18" s="632"/>
      <c r="AS18" s="632"/>
      <c r="AT18" s="632"/>
      <c r="AU18" s="797">
        <v>30</v>
      </c>
      <c r="AV18" s="798">
        <v>15</v>
      </c>
      <c r="AW18" s="799">
        <f>DailyPricing!E29</f>
        <v>0.013</v>
      </c>
      <c r="AX18" s="800">
        <f t="shared" si="34" ref="AX18:AX46">$BE$5</f>
        <v>0.043957</v>
      </c>
      <c r="AY18" s="755">
        <v>0.013</v>
      </c>
      <c r="AZ18" s="764">
        <f>DailyPricing!E39</f>
        <v>0.0192</v>
      </c>
      <c r="BA18" s="756">
        <f t="shared" si="10"/>
        <v>0.076157</v>
      </c>
      <c r="BB18" s="764">
        <f>DailyPricing!E122</f>
        <v>0.0151</v>
      </c>
      <c r="BC18" s="756">
        <f t="shared" si="10"/>
        <v>0.072057</v>
      </c>
      <c r="BD18" s="785"/>
      <c r="BE18" s="786"/>
      <c r="BF18" s="787"/>
      <c r="BG18" s="786"/>
      <c r="BH18" s="786"/>
      <c r="BI18" s="27"/>
      <c r="BJ18" s="711" t="s">
        <v>690</v>
      </c>
      <c r="BK18" s="801">
        <v>0.071</v>
      </c>
      <c r="BL18" s="801">
        <v>0.0698</v>
      </c>
      <c r="BM18" s="801">
        <v>0.0713</v>
      </c>
      <c r="BN18" s="801">
        <v>0.069</v>
      </c>
      <c r="BO18" s="801">
        <v>0.0698</v>
      </c>
      <c r="BP18" s="802">
        <v>0.0698</v>
      </c>
      <c r="BQ18" s="6"/>
      <c r="BR18" s="714"/>
      <c r="BS18" s="636" t="s">
        <v>691</v>
      </c>
      <c r="BT18" s="707">
        <v>0.0013</v>
      </c>
      <c r="BU18" s="637"/>
      <c r="BZ18" s="625"/>
      <c r="CJ18" s="625"/>
      <c r="CK18" s="625"/>
      <c r="CL18" s="625"/>
      <c r="CM18" s="625"/>
      <c r="CN18" s="625"/>
      <c r="CO18" s="625"/>
      <c r="CP18" s="625"/>
      <c r="CQ18" s="625"/>
      <c r="CR18" s="625"/>
      <c r="CS18" s="625"/>
      <c r="CT18" s="625"/>
      <c r="CU18" s="625"/>
      <c r="CV18" s="625"/>
      <c r="CW18" s="625"/>
      <c r="CX18" s="625"/>
      <c r="CY18" s="625"/>
      <c r="CZ18" s="625"/>
      <c r="DA18" s="625"/>
      <c r="DB18" s="625"/>
      <c r="DC18" s="625"/>
      <c r="DD18" s="625"/>
      <c r="DE18" s="625"/>
      <c r="DF18" s="625"/>
      <c r="DG18" s="625"/>
      <c r="DH18" s="625"/>
      <c r="DI18" s="625"/>
      <c r="DJ18" s="625"/>
      <c r="DK18" s="625"/>
      <c r="DL18" s="625"/>
      <c r="DM18" s="625"/>
      <c r="DN18" s="625"/>
      <c r="DO18" s="625"/>
      <c r="DP18" s="625"/>
      <c r="DQ18" s="625"/>
      <c r="DR18" s="625"/>
      <c r="DS18" s="625"/>
      <c r="DT18" s="625"/>
      <c r="DU18" s="625"/>
      <c r="DV18" s="625"/>
      <c r="DW18" s="625"/>
      <c r="DX18" s="625"/>
      <c r="DY18" s="625"/>
      <c r="DZ18" s="625"/>
      <c r="EA18" s="625"/>
      <c r="EB18" s="625"/>
      <c r="EC18" s="625"/>
      <c r="ED18" s="625"/>
      <c r="EE18" s="625"/>
      <c r="EF18" s="625"/>
      <c r="EG18" s="625"/>
      <c r="EH18" s="625"/>
      <c r="EI18" s="625"/>
      <c r="EJ18" s="625"/>
      <c r="EK18" s="625"/>
      <c r="EL18" s="625"/>
      <c r="EM18" s="625"/>
      <c r="EN18" s="625"/>
      <c r="EO18" s="625"/>
      <c r="EP18" s="625"/>
      <c r="EQ18" s="625"/>
      <c r="ER18" s="625"/>
      <c r="ES18" s="625"/>
      <c r="ET18" s="625"/>
      <c r="EU18" s="625"/>
      <c r="EV18" s="625"/>
      <c r="EW18" s="625"/>
      <c r="EX18" s="625"/>
      <c r="EY18" s="625"/>
      <c r="EZ18" s="625"/>
      <c r="FA18" s="625"/>
      <c r="FB18" s="625"/>
      <c r="FC18" s="625"/>
    </row>
    <row r="19" ht="15" customHeight="1">
      <c r="A19" s="631" t="s">
        <v>692</v>
      </c>
      <c r="B19" s="776" t="s">
        <v>571</v>
      </c>
      <c r="C19" s="631"/>
      <c r="D19" s="709" t="s">
        <v>693</v>
      </c>
      <c r="E19" s="792" t="e">
        <f t="shared" si="21" ref="E19:AH19">(E30*E68*365)/360</f>
        <v>#N/A</v>
      </c>
      <c r="F19" s="793" t="e">
        <f t="shared" si="21"/>
        <v>#N/A</v>
      </c>
      <c r="G19" s="794" t="e">
        <f t="shared" si="21"/>
        <v>#N/A</v>
      </c>
      <c r="H19" s="793" t="e">
        <f t="shared" si="21"/>
        <v>#N/A</v>
      </c>
      <c r="I19" s="794" t="e">
        <f t="shared" si="21"/>
        <v>#N/A</v>
      </c>
      <c r="J19" s="793" t="e">
        <f t="shared" si="21"/>
        <v>#N/A</v>
      </c>
      <c r="K19" s="794" t="e">
        <f t="shared" si="21"/>
        <v>#N/A</v>
      </c>
      <c r="L19" s="793" t="e">
        <f t="shared" si="21"/>
        <v>#N/A</v>
      </c>
      <c r="M19" s="794" t="e">
        <f t="shared" si="21"/>
        <v>#N/A</v>
      </c>
      <c r="N19" s="793" t="e">
        <f t="shared" si="21"/>
        <v>#N/A</v>
      </c>
      <c r="O19" s="794" t="e">
        <f t="shared" si="21"/>
        <v>#N/A</v>
      </c>
      <c r="P19" s="793" t="e">
        <f t="shared" si="21"/>
        <v>#N/A</v>
      </c>
      <c r="Q19" s="709"/>
      <c r="R19" s="792">
        <f t="shared" si="21"/>
        <v>0</v>
      </c>
      <c r="S19" s="793">
        <f t="shared" si="21"/>
        <v>0</v>
      </c>
      <c r="T19" s="794">
        <f t="shared" si="21"/>
        <v>0</v>
      </c>
      <c r="U19" s="793">
        <f t="shared" si="21"/>
        <v>0</v>
      </c>
      <c r="V19" s="794">
        <f t="shared" si="21"/>
        <v>0</v>
      </c>
      <c r="W19" s="793">
        <f t="shared" si="21"/>
        <v>0</v>
      </c>
      <c r="X19" s="794">
        <f t="shared" si="21"/>
        <v>0</v>
      </c>
      <c r="Y19" s="793">
        <f t="shared" si="21"/>
        <v>0</v>
      </c>
      <c r="Z19" s="709"/>
      <c r="AA19" s="792">
        <f t="shared" si="21"/>
        <v>0</v>
      </c>
      <c r="AB19" s="793">
        <f t="shared" si="21"/>
        <v>0</v>
      </c>
      <c r="AC19" s="794">
        <f t="shared" si="21"/>
        <v>0</v>
      </c>
      <c r="AD19" s="793">
        <f t="shared" si="21"/>
        <v>0</v>
      </c>
      <c r="AE19" s="794">
        <f t="shared" si="21"/>
        <v>0</v>
      </c>
      <c r="AF19" s="793">
        <f t="shared" si="21"/>
        <v>0</v>
      </c>
      <c r="AG19" s="794">
        <f t="shared" si="21"/>
        <v>0</v>
      </c>
      <c r="AH19" s="793">
        <f t="shared" si="21"/>
        <v>0</v>
      </c>
      <c r="AI19" s="632"/>
      <c r="AJ19" s="640" t="s">
        <v>694</v>
      </c>
      <c r="AK19" s="640"/>
      <c r="AL19" s="641"/>
      <c r="AM19" s="640" t="s">
        <v>695</v>
      </c>
      <c r="AN19" s="640"/>
      <c r="AO19" s="632"/>
      <c r="AP19" s="632" t="s">
        <v>696</v>
      </c>
      <c r="AQ19" s="783">
        <f>AQ12-AQ7</f>
        <v>0</v>
      </c>
      <c r="AR19" s="632"/>
      <c r="AS19" s="632"/>
      <c r="AT19" s="632"/>
      <c r="AU19" s="803" t="s">
        <v>635</v>
      </c>
      <c r="AV19" s="804" t="s">
        <v>636</v>
      </c>
      <c r="AW19" s="805"/>
      <c r="AX19" s="806" t="s">
        <v>697</v>
      </c>
      <c r="AY19" s="805"/>
      <c r="AZ19" s="807"/>
      <c r="BA19" s="808"/>
      <c r="BB19" s="807"/>
      <c r="BC19" s="808"/>
      <c r="BD19" s="808"/>
      <c r="BE19" s="807"/>
      <c r="BF19" s="807"/>
      <c r="BG19" s="807"/>
      <c r="BH19" s="807"/>
      <c r="BI19" s="27"/>
      <c r="BJ19" s="703" t="s">
        <v>698</v>
      </c>
      <c r="BK19" s="704"/>
      <c r="BL19" s="704"/>
      <c r="BM19" s="704"/>
      <c r="BN19" s="704"/>
      <c r="BO19" s="704"/>
      <c r="BP19" s="705"/>
      <c r="BQ19" s="664"/>
      <c r="BR19" s="706"/>
      <c r="BS19" s="636" t="s">
        <v>699</v>
      </c>
      <c r="BT19" s="707">
        <v>0.0011</v>
      </c>
      <c r="BU19" s="637"/>
      <c r="BZ19" s="708"/>
      <c r="CJ19" s="708"/>
      <c r="CK19" s="708"/>
      <c r="CL19" s="708"/>
      <c r="CM19" s="708"/>
      <c r="CN19" s="708"/>
      <c r="CO19" s="708"/>
      <c r="CP19" s="708"/>
      <c r="CQ19" s="708"/>
      <c r="CR19" s="708"/>
      <c r="CS19" s="708"/>
      <c r="CT19" s="708"/>
      <c r="CU19" s="708"/>
      <c r="CV19" s="708"/>
      <c r="CW19" s="708"/>
      <c r="CX19" s="708"/>
      <c r="CY19" s="708"/>
      <c r="CZ19" s="708"/>
      <c r="DA19" s="625"/>
      <c r="DB19" s="625"/>
      <c r="DC19" s="625"/>
      <c r="DD19" s="625"/>
      <c r="DE19" s="625"/>
      <c r="DF19" s="625"/>
      <c r="DG19" s="625"/>
      <c r="DH19" s="625"/>
      <c r="DI19" s="625"/>
      <c r="DJ19" s="625"/>
      <c r="DK19" s="625"/>
      <c r="DL19" s="625"/>
      <c r="DM19" s="625"/>
      <c r="DN19" s="625"/>
      <c r="DO19" s="625"/>
      <c r="DP19" s="625"/>
      <c r="DQ19" s="625"/>
      <c r="DR19" s="625"/>
      <c r="DS19" s="625"/>
      <c r="DT19" s="625"/>
      <c r="DU19" s="625"/>
      <c r="DV19" s="625"/>
      <c r="DW19" s="625"/>
      <c r="DX19" s="625"/>
      <c r="DY19" s="625"/>
      <c r="DZ19" s="625"/>
      <c r="EA19" s="625"/>
      <c r="EB19" s="625"/>
      <c r="EC19" s="625"/>
      <c r="ED19" s="625"/>
      <c r="EE19" s="625"/>
      <c r="EF19" s="625"/>
      <c r="EG19" s="625"/>
      <c r="EH19" s="625"/>
      <c r="EI19" s="625"/>
      <c r="EJ19" s="625"/>
      <c r="EK19" s="625"/>
      <c r="EL19" s="625"/>
      <c r="EM19" s="625"/>
      <c r="EN19" s="625"/>
      <c r="EO19" s="625"/>
      <c r="EP19" s="625"/>
      <c r="EQ19" s="625"/>
      <c r="ER19" s="625"/>
      <c r="ES19" s="625"/>
      <c r="ET19" s="625"/>
      <c r="EU19" s="625"/>
      <c r="EV19" s="625"/>
      <c r="EW19" s="625"/>
      <c r="EX19" s="625"/>
      <c r="EY19" s="625"/>
      <c r="EZ19" s="625"/>
      <c r="FA19" s="625"/>
      <c r="FB19" s="625"/>
      <c r="FC19" s="625"/>
    </row>
    <row r="20" ht="15" customHeight="1">
      <c r="A20" s="631" t="s">
        <v>700</v>
      </c>
      <c r="B20" s="809" t="s">
        <v>571</v>
      </c>
      <c r="C20" s="631"/>
      <c r="D20" s="810" t="s">
        <v>701</v>
      </c>
      <c r="E20" s="810"/>
      <c r="F20" s="810"/>
      <c r="G20" s="810"/>
      <c r="H20" s="810"/>
      <c r="I20" s="810"/>
      <c r="J20" s="810"/>
      <c r="K20" s="810"/>
      <c r="L20" s="810"/>
      <c r="M20" s="810"/>
      <c r="N20" s="810"/>
      <c r="O20" s="810"/>
      <c r="P20" s="810"/>
      <c r="Q20" s="810"/>
      <c r="R20" s="810"/>
      <c r="S20" s="810"/>
      <c r="T20" s="810"/>
      <c r="U20" s="810"/>
      <c r="V20" s="810"/>
      <c r="W20" s="810"/>
      <c r="X20" s="810"/>
      <c r="Y20" s="810"/>
      <c r="Z20" s="810"/>
      <c r="AA20" s="810"/>
      <c r="AB20" s="810"/>
      <c r="AC20" s="810"/>
      <c r="AD20" s="810"/>
      <c r="AE20" s="810"/>
      <c r="AF20" s="810"/>
      <c r="AG20" s="810"/>
      <c r="AH20" s="810"/>
      <c r="AI20" s="632"/>
      <c r="AJ20" s="653" t="s">
        <v>702</v>
      </c>
      <c r="AK20" s="731" t="s">
        <v>209</v>
      </c>
      <c r="AL20" s="635"/>
      <c r="AM20" s="653" t="s">
        <v>703</v>
      </c>
      <c r="AN20" s="731" t="s">
        <v>209</v>
      </c>
      <c r="AO20" s="632"/>
      <c r="AP20" s="632" t="s">
        <v>704</v>
      </c>
      <c r="AQ20" s="796">
        <f>IF(AQ12&gt;0,AQ19/AQ12,0)</f>
        <v>0</v>
      </c>
      <c r="AR20" s="632"/>
      <c r="AS20" s="632"/>
      <c r="AT20" s="632"/>
      <c r="AU20" s="811">
        <v>5</v>
      </c>
      <c r="AV20" s="762">
        <v>3</v>
      </c>
      <c r="AW20" s="812">
        <f>DailyPricing!E30</f>
        <v>0.0129</v>
      </c>
      <c r="AX20" s="813">
        <f>'SBL Quotes'!$BA$5</f>
        <v>0.044509</v>
      </c>
      <c r="AY20" s="755">
        <v>0.007</v>
      </c>
      <c r="AZ20" s="764">
        <f>DailyPricing!E40</f>
        <v>0.0234</v>
      </c>
      <c r="BA20" s="756">
        <f t="shared" si="10"/>
        <v>0.080809</v>
      </c>
      <c r="BB20" s="764">
        <f>DailyPricing!E123</f>
        <v>0.0196</v>
      </c>
      <c r="BC20" s="756">
        <f t="shared" si="10"/>
        <v>0.077009</v>
      </c>
      <c r="BD20" s="785"/>
      <c r="BE20" s="786"/>
      <c r="BF20" s="787"/>
      <c r="BG20" s="786"/>
      <c r="BH20" s="786"/>
      <c r="BI20" s="688"/>
      <c r="BJ20" s="711" t="s">
        <v>705</v>
      </c>
      <c r="BK20" s="615"/>
      <c r="BL20" s="615"/>
      <c r="BM20" s="615"/>
      <c r="BN20" s="615"/>
      <c r="BO20" s="615"/>
      <c r="BP20" s="814"/>
      <c r="BQ20" s="6"/>
      <c r="BR20" s="714"/>
      <c r="BS20" s="636" t="s">
        <v>706</v>
      </c>
      <c r="BT20" s="815">
        <v>0.001</v>
      </c>
      <c r="BU20" s="786"/>
      <c r="BV20" s="625"/>
      <c r="BW20" s="625"/>
      <c r="BX20" s="625"/>
      <c r="BY20" s="625"/>
      <c r="BZ20" s="625"/>
      <c r="CJ20" s="625"/>
      <c r="CK20" s="625"/>
      <c r="CL20" s="625"/>
      <c r="CM20" s="625"/>
      <c r="CN20" s="625"/>
      <c r="CO20" s="625"/>
      <c r="CP20" s="625"/>
      <c r="CQ20" s="625"/>
      <c r="CR20" s="625"/>
      <c r="CS20" s="625"/>
      <c r="CT20" s="625"/>
      <c r="CU20" s="625"/>
      <c r="CV20" s="625"/>
      <c r="CW20" s="625"/>
      <c r="CX20" s="625"/>
      <c r="CY20" s="625"/>
      <c r="CZ20" s="625"/>
      <c r="DA20" s="625"/>
      <c r="DB20" s="625"/>
      <c r="DC20" s="625"/>
      <c r="DD20" s="625"/>
      <c r="DE20" s="625"/>
      <c r="DF20" s="625"/>
      <c r="DG20" s="625"/>
      <c r="DH20" s="625"/>
      <c r="DI20" s="625"/>
      <c r="DJ20" s="625"/>
      <c r="DK20" s="625"/>
      <c r="DL20" s="625"/>
      <c r="DM20" s="625"/>
      <c r="DN20" s="625"/>
      <c r="DO20" s="625"/>
      <c r="DP20" s="625"/>
      <c r="DQ20" s="625"/>
      <c r="DR20" s="625"/>
      <c r="DS20" s="625"/>
      <c r="DT20" s="625"/>
      <c r="DU20" s="625"/>
      <c r="DV20" s="625"/>
      <c r="DW20" s="625"/>
      <c r="DX20" s="625"/>
      <c r="DY20" s="625"/>
      <c r="DZ20" s="625"/>
      <c r="EA20" s="625"/>
      <c r="EB20" s="625"/>
      <c r="EC20" s="625"/>
      <c r="ED20" s="625"/>
      <c r="EE20" s="625"/>
      <c r="EF20" s="625"/>
      <c r="EG20" s="625"/>
      <c r="EH20" s="625"/>
      <c r="EI20" s="625"/>
      <c r="EJ20" s="625"/>
      <c r="EK20" s="625"/>
      <c r="EL20" s="625"/>
      <c r="EM20" s="625"/>
      <c r="EN20" s="625"/>
      <c r="EO20" s="625"/>
      <c r="EP20" s="625"/>
      <c r="EQ20" s="625"/>
      <c r="ER20" s="625"/>
      <c r="ES20" s="625"/>
      <c r="ET20" s="625"/>
      <c r="EU20" s="625"/>
      <c r="EV20" s="625"/>
      <c r="EW20" s="625"/>
      <c r="EX20" s="625"/>
      <c r="EY20" s="625"/>
      <c r="EZ20" s="625"/>
      <c r="FA20" s="625"/>
      <c r="FB20" s="625"/>
      <c r="FC20" s="625"/>
    </row>
    <row r="21" ht="15" customHeight="1">
      <c r="A21" s="816" t="s">
        <v>707</v>
      </c>
      <c r="B21" s="817" t="s">
        <v>501</v>
      </c>
      <c r="C21" s="631"/>
      <c r="D21" s="810"/>
      <c r="E21" s="810"/>
      <c r="F21" s="810"/>
      <c r="G21" s="810"/>
      <c r="H21" s="810"/>
      <c r="I21" s="810"/>
      <c r="J21" s="810"/>
      <c r="K21" s="810"/>
      <c r="L21" s="810"/>
      <c r="M21" s="810"/>
      <c r="N21" s="810"/>
      <c r="O21" s="810"/>
      <c r="P21" s="810"/>
      <c r="Q21" s="810"/>
      <c r="R21" s="810"/>
      <c r="S21" s="810"/>
      <c r="T21" s="810"/>
      <c r="U21" s="810"/>
      <c r="V21" s="810"/>
      <c r="W21" s="810"/>
      <c r="X21" s="810"/>
      <c r="Y21" s="810"/>
      <c r="Z21" s="810"/>
      <c r="AA21" s="810"/>
      <c r="AB21" s="810"/>
      <c r="AC21" s="810"/>
      <c r="AD21" s="810"/>
      <c r="AE21" s="810"/>
      <c r="AF21" s="810"/>
      <c r="AG21" s="810"/>
      <c r="AH21" s="810"/>
      <c r="AI21" s="632"/>
      <c r="AJ21" s="653" t="s">
        <v>708</v>
      </c>
      <c r="AK21" s="818">
        <f>TODAY()</f>
        <v>45201</v>
      </c>
      <c r="AL21" s="635"/>
      <c r="AM21" s="653" t="s">
        <v>709</v>
      </c>
      <c r="AN21" s="819">
        <f>'Rent Roll'!$D$132</f>
        <v>0</v>
      </c>
      <c r="AO21" s="632"/>
      <c r="AP21" s="632" t="s">
        <v>710</v>
      </c>
      <c r="AQ21" s="783">
        <f>AQ7*3%</f>
        <v>0</v>
      </c>
      <c r="AR21" s="632"/>
      <c r="AS21" s="632"/>
      <c r="AT21" s="632"/>
      <c r="AU21" s="820">
        <v>7</v>
      </c>
      <c r="AV21" s="762">
        <v>5</v>
      </c>
      <c r="AW21" s="821">
        <f>DailyPricing!E31</f>
        <v>0.0129</v>
      </c>
      <c r="AX21" s="822">
        <f>'SBL Quotes'!$BB$5</f>
        <v>0.044065</v>
      </c>
      <c r="AY21" s="755">
        <v>0.008</v>
      </c>
      <c r="AZ21" s="764">
        <f>DailyPricing!E41</f>
        <v>0.0207</v>
      </c>
      <c r="BA21" s="756">
        <f t="shared" si="10"/>
        <v>0.077665</v>
      </c>
      <c r="BB21" s="764">
        <f>DailyPricing!E124</f>
        <v>0.0169</v>
      </c>
      <c r="BC21" s="756">
        <f t="shared" si="10"/>
        <v>0.073865</v>
      </c>
      <c r="BD21" s="785"/>
      <c r="BE21" s="786"/>
      <c r="BF21" s="823"/>
      <c r="BG21" s="786"/>
      <c r="BH21" s="786"/>
      <c r="BI21" s="27"/>
      <c r="BJ21" s="720" t="s">
        <v>711</v>
      </c>
      <c r="BK21" s="721" t="s">
        <v>712</v>
      </c>
      <c r="BL21" s="721" t="s">
        <v>712</v>
      </c>
      <c r="BM21" s="721" t="s">
        <v>712</v>
      </c>
      <c r="BN21" s="721" t="s">
        <v>712</v>
      </c>
      <c r="BO21" s="721" t="s">
        <v>712</v>
      </c>
      <c r="BP21" s="722" t="s">
        <v>712</v>
      </c>
      <c r="BQ21" s="6"/>
      <c r="BR21" s="714"/>
      <c r="BS21" s="636" t="s">
        <v>713</v>
      </c>
      <c r="BT21" s="815">
        <v>0.001</v>
      </c>
      <c r="BU21" s="786"/>
      <c r="BV21" s="625"/>
      <c r="BW21" s="625"/>
      <c r="BX21" s="625"/>
      <c r="BY21" s="625"/>
      <c r="BZ21" s="625"/>
      <c r="CJ21" s="625"/>
      <c r="CK21" s="625"/>
      <c r="CL21" s="625"/>
      <c r="CM21" s="625"/>
      <c r="CN21" s="625"/>
      <c r="CO21" s="625"/>
      <c r="CP21" s="625"/>
      <c r="CQ21" s="625"/>
      <c r="CR21" s="625"/>
      <c r="CS21" s="625"/>
      <c r="CT21" s="625"/>
      <c r="CU21" s="625"/>
      <c r="CV21" s="625"/>
      <c r="CW21" s="625"/>
      <c r="CX21" s="625"/>
      <c r="CY21" s="625"/>
      <c r="CZ21" s="625"/>
      <c r="DA21" s="625"/>
      <c r="DB21" s="625"/>
      <c r="DC21" s="625"/>
      <c r="DD21" s="625"/>
      <c r="DE21" s="625"/>
      <c r="DF21" s="625"/>
      <c r="DG21" s="625"/>
      <c r="DH21" s="625"/>
      <c r="DI21" s="625"/>
      <c r="DJ21" s="625"/>
      <c r="DK21" s="625"/>
      <c r="DL21" s="625"/>
      <c r="DM21" s="625"/>
      <c r="DN21" s="625"/>
      <c r="DO21" s="625"/>
      <c r="DP21" s="625"/>
      <c r="DQ21" s="625"/>
      <c r="DR21" s="625"/>
      <c r="DS21" s="625"/>
      <c r="DT21" s="625"/>
      <c r="DU21" s="625"/>
      <c r="DV21" s="625"/>
      <c r="DW21" s="625"/>
      <c r="DX21" s="625"/>
      <c r="DY21" s="625"/>
      <c r="DZ21" s="625"/>
      <c r="EA21" s="625"/>
      <c r="EB21" s="625"/>
      <c r="EC21" s="625"/>
      <c r="ED21" s="625"/>
      <c r="EE21" s="625"/>
      <c r="EF21" s="625"/>
      <c r="EG21" s="625"/>
      <c r="EH21" s="625"/>
      <c r="EI21" s="625"/>
      <c r="EJ21" s="625"/>
      <c r="EK21" s="625"/>
      <c r="EL21" s="625"/>
      <c r="EM21" s="625"/>
      <c r="EN21" s="625"/>
      <c r="EO21" s="625"/>
      <c r="EP21" s="625"/>
      <c r="EQ21" s="625"/>
      <c r="ER21" s="625"/>
      <c r="ES21" s="625"/>
      <c r="ET21" s="625"/>
      <c r="EU21" s="625"/>
      <c r="EV21" s="625"/>
      <c r="EW21" s="625"/>
      <c r="EX21" s="625"/>
      <c r="EY21" s="625"/>
      <c r="EZ21" s="625"/>
      <c r="FA21" s="625"/>
      <c r="FB21" s="625"/>
      <c r="FC21" s="625"/>
    </row>
    <row r="22" ht="15" customHeight="1">
      <c r="A22" s="824" t="s">
        <v>714</v>
      </c>
      <c r="B22" s="825"/>
      <c r="C22" s="631"/>
      <c r="D22" s="810"/>
      <c r="E22" s="810"/>
      <c r="F22" s="810"/>
      <c r="G22" s="810"/>
      <c r="H22" s="810"/>
      <c r="I22" s="810"/>
      <c r="J22" s="810"/>
      <c r="K22" s="810"/>
      <c r="L22" s="810"/>
      <c r="M22" s="810"/>
      <c r="N22" s="810"/>
      <c r="O22" s="810"/>
      <c r="P22" s="810"/>
      <c r="Q22" s="810"/>
      <c r="R22" s="810"/>
      <c r="S22" s="810"/>
      <c r="T22" s="810"/>
      <c r="U22" s="810"/>
      <c r="V22" s="810"/>
      <c r="W22" s="810"/>
      <c r="X22" s="810"/>
      <c r="Y22" s="810"/>
      <c r="Z22" s="810"/>
      <c r="AA22" s="810"/>
      <c r="AB22" s="810"/>
      <c r="AC22" s="810"/>
      <c r="AD22" s="810"/>
      <c r="AE22" s="810"/>
      <c r="AF22" s="810"/>
      <c r="AG22" s="810"/>
      <c r="AH22" s="810"/>
      <c r="AI22" s="632"/>
      <c r="AJ22" s="653" t="s">
        <v>715</v>
      </c>
      <c r="AK22" s="826">
        <f>IF(B38="Refinance",IF(B53="Freddie Mac SBL",B42,B45),B39)</f>
        <v>-34419044.199999996</v>
      </c>
      <c r="AL22" s="635"/>
      <c r="AM22" s="653" t="s">
        <v>716</v>
      </c>
      <c r="AN22" s="778">
        <v>0.9</v>
      </c>
      <c r="AO22" s="632"/>
      <c r="AP22" s="632"/>
      <c r="AQ22" s="632"/>
      <c r="AR22" s="632"/>
      <c r="AS22" s="632"/>
      <c r="AT22" s="632"/>
      <c r="AU22" s="827">
        <v>10</v>
      </c>
      <c r="AV22" s="762">
        <v>7</v>
      </c>
      <c r="AW22" s="821">
        <f>DailyPricing!E32</f>
        <v>0.0133</v>
      </c>
      <c r="AX22" s="822">
        <f>'SBL Quotes'!$BC$5</f>
        <v>0.043144</v>
      </c>
      <c r="AY22" s="755">
        <v>0.009</v>
      </c>
      <c r="AZ22" s="764">
        <f>DailyPricing!E42</f>
        <v>0.0192</v>
      </c>
      <c r="BA22" s="756">
        <f t="shared" si="10"/>
        <v>0.075644</v>
      </c>
      <c r="BB22" s="764">
        <f>DailyPricing!E125</f>
        <v>0.0153</v>
      </c>
      <c r="BC22" s="756">
        <f t="shared" si="10"/>
        <v>0.071744</v>
      </c>
      <c r="BD22" s="785"/>
      <c r="BE22" s="786"/>
      <c r="BF22" s="787"/>
      <c r="BG22" s="786"/>
      <c r="BH22" s="786"/>
      <c r="BI22" s="27"/>
      <c r="BJ22" s="711" t="s">
        <v>717</v>
      </c>
      <c r="BK22" s="712" t="s">
        <v>712</v>
      </c>
      <c r="BL22" s="712" t="s">
        <v>712</v>
      </c>
      <c r="BM22" s="712" t="s">
        <v>712</v>
      </c>
      <c r="BN22" s="712" t="s">
        <v>712</v>
      </c>
      <c r="BO22" s="712" t="s">
        <v>712</v>
      </c>
      <c r="BP22" s="713" t="s">
        <v>712</v>
      </c>
      <c r="BQ22" s="6"/>
      <c r="BR22" s="714"/>
      <c r="BS22" s="636" t="s">
        <v>718</v>
      </c>
      <c r="BT22" s="815">
        <v>0.001</v>
      </c>
      <c r="BU22" s="786"/>
      <c r="BV22" s="625"/>
      <c r="BW22" s="625"/>
      <c r="BX22" s="625"/>
      <c r="BY22" s="625"/>
      <c r="BZ22" s="625"/>
      <c r="CJ22" s="625"/>
      <c r="CK22" s="625"/>
      <c r="CL22" s="625"/>
      <c r="CM22" s="625"/>
      <c r="CN22" s="625"/>
      <c r="CO22" s="625"/>
      <c r="CP22" s="625"/>
      <c r="CQ22" s="625"/>
      <c r="CR22" s="625"/>
      <c r="CS22" s="625"/>
      <c r="CT22" s="625"/>
      <c r="CU22" s="625"/>
      <c r="CV22" s="625"/>
      <c r="CW22" s="625"/>
      <c r="CX22" s="625"/>
      <c r="CY22" s="625"/>
      <c r="CZ22" s="625"/>
      <c r="DA22" s="625"/>
      <c r="DB22" s="625"/>
      <c r="DC22" s="625"/>
      <c r="DD22" s="625"/>
      <c r="DE22" s="625"/>
      <c r="DF22" s="625"/>
      <c r="DG22" s="625"/>
      <c r="DH22" s="625"/>
      <c r="DI22" s="625"/>
      <c r="DJ22" s="625"/>
      <c r="DK22" s="625"/>
      <c r="DL22" s="625"/>
      <c r="DM22" s="625"/>
      <c r="DN22" s="625"/>
      <c r="DO22" s="625"/>
      <c r="DP22" s="625"/>
      <c r="DQ22" s="625"/>
      <c r="DR22" s="625"/>
      <c r="DS22" s="625"/>
      <c r="DT22" s="625"/>
      <c r="DU22" s="625"/>
      <c r="DV22" s="625"/>
      <c r="DW22" s="625"/>
      <c r="DX22" s="625"/>
      <c r="DY22" s="625"/>
      <c r="DZ22" s="625"/>
      <c r="EA22" s="625"/>
      <c r="EB22" s="625"/>
      <c r="EC22" s="625"/>
      <c r="ED22" s="625"/>
      <c r="EE22" s="625"/>
      <c r="EF22" s="625"/>
      <c r="EG22" s="625"/>
      <c r="EH22" s="625"/>
      <c r="EI22" s="625"/>
      <c r="EJ22" s="625"/>
      <c r="EK22" s="625"/>
      <c r="EL22" s="625"/>
      <c r="EM22" s="625"/>
      <c r="EN22" s="625"/>
      <c r="EO22" s="625"/>
      <c r="EP22" s="625"/>
      <c r="EQ22" s="625"/>
      <c r="ER22" s="625"/>
      <c r="ES22" s="625"/>
      <c r="ET22" s="625"/>
      <c r="EU22" s="625"/>
      <c r="EV22" s="625"/>
      <c r="EW22" s="625"/>
      <c r="EX22" s="625"/>
      <c r="EY22" s="625"/>
      <c r="EZ22" s="625"/>
      <c r="FA22" s="625"/>
      <c r="FB22" s="625"/>
      <c r="FC22" s="625"/>
    </row>
    <row r="23" ht="15" customHeight="1">
      <c r="A23" s="824" t="s">
        <v>719</v>
      </c>
      <c r="B23" s="825">
        <f>IF(OR(B22="Top",B22="Standard"),0,IF(B22="Small",0.1,0.2))</f>
        <v>0.2</v>
      </c>
      <c r="C23" s="631"/>
      <c r="D23" s="631"/>
      <c r="E23" s="651">
        <f t="shared" si="22" ref="E23:P23">IF(AND($B$53="Freddie Mac SBL",$B$54=VALUE(RIGHT(E5,2))),"Selected","")</f>
      </c>
      <c r="F23" s="651">
        <f t="shared" si="22"/>
      </c>
      <c r="G23" s="651">
        <f t="shared" si="22"/>
      </c>
      <c r="H23" s="651">
        <f t="shared" si="22"/>
      </c>
      <c r="I23" s="651">
        <f t="shared" si="22"/>
      </c>
      <c r="J23" s="651">
        <f t="shared" si="22"/>
      </c>
      <c r="K23" s="651">
        <f t="shared" si="22"/>
      </c>
      <c r="L23" s="651">
        <f t="shared" si="22"/>
      </c>
      <c r="M23" s="651">
        <f t="shared" si="22"/>
      </c>
      <c r="N23" s="651">
        <f t="shared" si="22"/>
      </c>
      <c r="O23" s="651">
        <f t="shared" si="22"/>
      </c>
      <c r="P23" s="651">
        <f t="shared" si="22"/>
      </c>
      <c r="Q23" s="651"/>
      <c r="R23" s="651">
        <f t="shared" si="23" ref="R23:Y23">IF(AND($B$53="Fannie Mae SML",$B$54=VALUE(RIGHT(R5,2))),"Selected","")</f>
      </c>
      <c r="S23" s="651">
        <f t="shared" si="23"/>
      </c>
      <c r="T23" s="651">
        <f t="shared" si="23"/>
      </c>
      <c r="U23" s="651">
        <f t="shared" si="23"/>
      </c>
      <c r="V23" s="651">
        <f t="shared" si="23"/>
      </c>
      <c r="W23" s="651">
        <f t="shared" si="23"/>
      </c>
      <c r="X23" s="651">
        <f t="shared" si="23"/>
      </c>
      <c r="Y23" s="651">
        <f t="shared" si="23"/>
      </c>
      <c r="Z23" s="651"/>
      <c r="AA23" s="651">
        <f t="shared" si="24" ref="AA23:AH23">IF(AND($B$53="Proprietary Capital",$B$54=VALUE(RIGHT(AA5,2))),"Selected","")</f>
      </c>
      <c r="AB23" s="651">
        <f t="shared" si="24"/>
      </c>
      <c r="AC23" s="651">
        <f t="shared" si="24"/>
      </c>
      <c r="AD23" s="651">
        <f t="shared" si="24"/>
      </c>
      <c r="AE23" s="651">
        <f t="shared" si="24"/>
      </c>
      <c r="AF23" s="651">
        <f t="shared" si="24"/>
      </c>
      <c r="AG23" s="651">
        <f t="shared" si="24"/>
      </c>
      <c r="AH23" s="651">
        <f t="shared" si="24"/>
      </c>
      <c r="AI23" s="632"/>
      <c r="AJ23" s="653" t="s">
        <v>720</v>
      </c>
      <c r="AK23" s="828">
        <v>0</v>
      </c>
      <c r="AL23" s="635"/>
      <c r="AM23" s="653" t="s">
        <v>721</v>
      </c>
      <c r="AN23" s="672">
        <f>T3_Annualized_NRI</f>
        <v>4904876</v>
      </c>
      <c r="AO23" s="632"/>
      <c r="AP23" s="656" t="s">
        <v>722</v>
      </c>
      <c r="AQ23" s="657"/>
      <c r="AR23" s="657"/>
      <c r="AS23" s="658"/>
      <c r="AT23" s="632"/>
      <c r="AU23" s="829"/>
      <c r="AV23" s="829"/>
      <c r="AW23" s="829"/>
      <c r="AX23" s="829"/>
      <c r="AY23" s="829"/>
      <c r="AZ23" s="829"/>
      <c r="BA23" s="829"/>
      <c r="BB23" s="829"/>
      <c r="BC23" s="829"/>
      <c r="BD23" s="829"/>
      <c r="BE23" s="829"/>
      <c r="BF23" s="830"/>
      <c r="BG23" s="829"/>
      <c r="BH23" s="829"/>
      <c r="BI23" s="688"/>
      <c r="BJ23" s="720"/>
      <c r="BK23" s="721"/>
      <c r="BL23" s="721"/>
      <c r="BM23" s="721"/>
      <c r="BN23" s="721"/>
      <c r="BO23" s="721"/>
      <c r="BP23" s="722"/>
      <c r="BQ23" s="6"/>
      <c r="BR23" s="714"/>
      <c r="BS23" s="714" t="s">
        <v>723</v>
      </c>
      <c r="BT23" s="815">
        <v>0.0425</v>
      </c>
      <c r="BU23" s="786"/>
      <c r="BV23" s="625"/>
      <c r="BW23" s="625"/>
      <c r="BX23" s="625"/>
      <c r="BY23" s="625"/>
      <c r="BZ23" s="625"/>
      <c r="CJ23" s="625"/>
      <c r="CK23" s="625"/>
      <c r="CL23" s="625"/>
      <c r="CM23" s="625"/>
      <c r="CN23" s="625"/>
      <c r="CO23" s="625"/>
      <c r="CP23" s="625"/>
      <c r="CQ23" s="625"/>
      <c r="CR23" s="625"/>
      <c r="CS23" s="625"/>
      <c r="CT23" s="625"/>
      <c r="CU23" s="625"/>
      <c r="CV23" s="625"/>
      <c r="CW23" s="625"/>
      <c r="CX23" s="625"/>
      <c r="CY23" s="625"/>
      <c r="CZ23" s="625"/>
      <c r="DA23" s="625"/>
      <c r="DB23" s="625"/>
      <c r="DC23" s="625"/>
      <c r="DD23" s="625"/>
      <c r="DE23" s="625"/>
      <c r="DF23" s="625"/>
      <c r="DG23" s="625"/>
      <c r="DH23" s="625"/>
      <c r="DI23" s="625"/>
      <c r="DJ23" s="625"/>
      <c r="DK23" s="625"/>
      <c r="DL23" s="625"/>
      <c r="DM23" s="625"/>
      <c r="DN23" s="625"/>
      <c r="DO23" s="625"/>
      <c r="DP23" s="625"/>
      <c r="DQ23" s="625"/>
      <c r="DR23" s="625"/>
      <c r="DS23" s="625"/>
      <c r="DT23" s="625"/>
      <c r="DU23" s="625"/>
      <c r="DV23" s="625"/>
      <c r="DW23" s="625"/>
      <c r="DX23" s="625"/>
      <c r="DY23" s="625"/>
      <c r="DZ23" s="625"/>
      <c r="EA23" s="625"/>
      <c r="EB23" s="625"/>
      <c r="EC23" s="625"/>
      <c r="ED23" s="625"/>
      <c r="EE23" s="625"/>
      <c r="EF23" s="625"/>
      <c r="EG23" s="625"/>
      <c r="EH23" s="625"/>
      <c r="EI23" s="625"/>
      <c r="EJ23" s="625"/>
      <c r="EK23" s="625"/>
      <c r="EL23" s="625"/>
      <c r="EM23" s="625"/>
      <c r="EN23" s="625"/>
      <c r="EO23" s="625"/>
      <c r="EP23" s="625"/>
      <c r="EQ23" s="625"/>
      <c r="ER23" s="625"/>
      <c r="ES23" s="625"/>
      <c r="ET23" s="625"/>
      <c r="EU23" s="625"/>
      <c r="EV23" s="625"/>
      <c r="EW23" s="625"/>
      <c r="EX23" s="625"/>
      <c r="EY23" s="625"/>
      <c r="EZ23" s="625"/>
      <c r="FA23" s="625"/>
      <c r="FB23" s="625"/>
      <c r="FC23" s="625"/>
    </row>
    <row r="24" ht="15" customHeight="1">
      <c r="A24" s="824" t="s">
        <v>724</v>
      </c>
      <c r="B24" s="831" t="s">
        <v>451</v>
      </c>
      <c r="C24" s="631"/>
      <c r="D24" s="832" t="s">
        <v>725</v>
      </c>
      <c r="E24" s="833" t="s">
        <v>726</v>
      </c>
      <c r="F24" s="833"/>
      <c r="G24" s="833"/>
      <c r="H24" s="833"/>
      <c r="I24" s="833"/>
      <c r="J24" s="833"/>
      <c r="K24" s="833"/>
      <c r="L24" s="833"/>
      <c r="M24" s="833"/>
      <c r="N24" s="833"/>
      <c r="O24" s="833"/>
      <c r="P24" s="833"/>
      <c r="Q24" s="631"/>
      <c r="R24" s="639" t="s">
        <v>727</v>
      </c>
      <c r="S24" s="639"/>
      <c r="T24" s="639"/>
      <c r="U24" s="639"/>
      <c r="V24" s="639"/>
      <c r="W24" s="639"/>
      <c r="X24" s="639"/>
      <c r="Y24" s="639"/>
      <c r="Z24" s="631"/>
      <c r="AA24" s="639" t="s">
        <v>525</v>
      </c>
      <c r="AB24" s="639"/>
      <c r="AC24" s="639"/>
      <c r="AD24" s="639"/>
      <c r="AE24" s="639"/>
      <c r="AF24" s="639"/>
      <c r="AG24" s="639"/>
      <c r="AH24" s="639"/>
      <c r="AI24" s="632"/>
      <c r="AJ24" s="653" t="s">
        <v>728</v>
      </c>
      <c r="AK24" s="828">
        <v>0</v>
      </c>
      <c r="AL24" s="635"/>
      <c r="AM24" s="653" t="s">
        <v>729</v>
      </c>
      <c r="AN24" s="672">
        <f>B41</f>
        <v>-1616089.29</v>
      </c>
      <c r="AO24" s="632"/>
      <c r="AP24" s="632" t="s">
        <v>730</v>
      </c>
      <c r="AQ24" s="783">
        <f t="shared" si="25" ref="AQ24:AQ25">AQ8*12</f>
        <v>0</v>
      </c>
      <c r="AR24" s="632"/>
      <c r="AS24" s="632"/>
      <c r="AT24" s="632"/>
      <c r="AU24" s="733" t="s">
        <v>731</v>
      </c>
      <c r="AV24" s="734"/>
      <c r="AW24" s="660" t="s">
        <v>697</v>
      </c>
      <c r="AX24" s="660" t="s">
        <v>697</v>
      </c>
      <c r="AY24" s="660" t="s">
        <v>617</v>
      </c>
      <c r="AZ24" s="736" t="s">
        <v>618</v>
      </c>
      <c r="BA24" s="737"/>
      <c r="BB24" s="660" t="s">
        <v>619</v>
      </c>
      <c r="BC24" s="737"/>
      <c r="BD24" s="660" t="s">
        <v>732</v>
      </c>
      <c r="BE24" s="736"/>
      <c r="BF24" s="736"/>
      <c r="BG24" s="736"/>
      <c r="BH24" s="737"/>
      <c r="BI24" s="27"/>
      <c r="BJ24" s="711" t="s">
        <v>733</v>
      </c>
      <c r="BK24" s="712">
        <v>-10</v>
      </c>
      <c r="BL24" s="712">
        <v>-10</v>
      </c>
      <c r="BM24" s="712">
        <v>-10</v>
      </c>
      <c r="BN24" s="712">
        <v>-10</v>
      </c>
      <c r="BO24" s="712">
        <v>-10</v>
      </c>
      <c r="BP24" s="713">
        <v>-10</v>
      </c>
      <c r="BQ24" s="6"/>
      <c r="BR24" s="714"/>
      <c r="BS24" s="714" t="s">
        <v>734</v>
      </c>
      <c r="BT24" s="815">
        <v>0.0675</v>
      </c>
      <c r="BU24" s="786"/>
      <c r="BV24" s="625"/>
      <c r="BW24" s="625"/>
      <c r="BX24" s="625"/>
      <c r="BY24" s="625"/>
      <c r="BZ24" s="625"/>
      <c r="CJ24" s="625"/>
      <c r="CK24" s="625"/>
      <c r="CL24" s="625"/>
      <c r="CM24" s="625"/>
      <c r="CN24" s="625"/>
      <c r="CO24" s="625"/>
      <c r="CP24" s="625"/>
      <c r="CQ24" s="625"/>
      <c r="CR24" s="625"/>
      <c r="CS24" s="625"/>
      <c r="CT24" s="625"/>
      <c r="CU24" s="625"/>
      <c r="CV24" s="625"/>
      <c r="CW24" s="625"/>
      <c r="CX24" s="625"/>
      <c r="CY24" s="625"/>
      <c r="CZ24" s="625"/>
      <c r="DA24" s="625"/>
      <c r="DB24" s="625"/>
      <c r="DC24" s="625"/>
      <c r="DD24" s="625"/>
      <c r="DE24" s="625"/>
      <c r="DF24" s="625"/>
      <c r="DG24" s="625"/>
      <c r="DH24" s="625"/>
      <c r="DI24" s="625"/>
      <c r="DJ24" s="625"/>
      <c r="DK24" s="625"/>
      <c r="DL24" s="625"/>
      <c r="DM24" s="625"/>
      <c r="DN24" s="625"/>
      <c r="DO24" s="625"/>
      <c r="DP24" s="625"/>
      <c r="DQ24" s="625"/>
      <c r="DR24" s="625"/>
      <c r="DS24" s="625"/>
      <c r="DT24" s="625"/>
      <c r="DU24" s="625"/>
      <c r="DV24" s="625"/>
      <c r="DW24" s="625"/>
      <c r="DX24" s="625"/>
      <c r="DY24" s="625"/>
      <c r="DZ24" s="625"/>
      <c r="EA24" s="625"/>
      <c r="EB24" s="625"/>
      <c r="EC24" s="625"/>
      <c r="ED24" s="625"/>
      <c r="EE24" s="625"/>
      <c r="EF24" s="625"/>
      <c r="EG24" s="625"/>
      <c r="EH24" s="625"/>
      <c r="EI24" s="625"/>
      <c r="EJ24" s="625"/>
      <c r="EK24" s="625"/>
      <c r="EL24" s="625"/>
      <c r="EM24" s="625"/>
      <c r="EN24" s="625"/>
      <c r="EO24" s="625"/>
      <c r="EP24" s="625"/>
      <c r="EQ24" s="625"/>
      <c r="ER24" s="625"/>
      <c r="ES24" s="625"/>
      <c r="ET24" s="625"/>
      <c r="EU24" s="625"/>
      <c r="EV24" s="625"/>
      <c r="EW24" s="625"/>
      <c r="EX24" s="625"/>
      <c r="EY24" s="625"/>
      <c r="EZ24" s="625"/>
      <c r="FA24" s="625"/>
      <c r="FB24" s="625"/>
      <c r="FC24" s="625"/>
    </row>
    <row r="25" ht="15" customHeight="1">
      <c r="A25" s="824" t="str">
        <f>IF(AND(SblQuotes_FreddieMktTier="Top",OR(region="NE",region="WE")),"Affordability Discount &gt;40% Uncapped","Affordability Discount &gt;50% Uncapped")</f>
        <v>Affordability Discount &gt;50% Uncapped</v>
      </c>
      <c r="B25" s="834" t="str">
        <f>IF(IF(AND(SblQuotes_FreddieMktTier="Top",OR(region="NE",region="WE")),AMI_MissionDriven_Discount_Afford40,AMI_MissionDriven_Discount_Afford50),"Yes","No")</f>
        <v>No</v>
      </c>
      <c r="C25" s="631"/>
      <c r="D25" s="835" t="s">
        <v>736</v>
      </c>
      <c r="E25" s="836"/>
      <c r="F25" s="836"/>
      <c r="G25" s="836"/>
      <c r="H25" s="836"/>
      <c r="I25" s="836"/>
      <c r="J25" s="836"/>
      <c r="K25" s="836"/>
      <c r="L25" s="836"/>
      <c r="M25" s="836"/>
      <c r="N25" s="836"/>
      <c r="O25" s="836"/>
      <c r="P25" s="836"/>
      <c r="Q25" s="631"/>
      <c r="R25" s="836"/>
      <c r="S25" s="836"/>
      <c r="T25" s="836"/>
      <c r="U25" s="836"/>
      <c r="V25" s="836"/>
      <c r="W25" s="836"/>
      <c r="X25" s="836"/>
      <c r="Y25" s="836"/>
      <c r="Z25" s="631"/>
      <c r="AA25" s="836"/>
      <c r="AB25" s="836"/>
      <c r="AC25" s="836"/>
      <c r="AD25" s="836"/>
      <c r="AE25" s="836"/>
      <c r="AF25" s="836"/>
      <c r="AG25" s="836"/>
      <c r="AH25" s="836"/>
      <c r="AI25" s="632"/>
      <c r="AJ25" s="653" t="s">
        <v>737</v>
      </c>
      <c r="AK25" s="826">
        <f>SUM(AK22:AK24)</f>
        <v>-34419044.199999996</v>
      </c>
      <c r="AL25" s="635"/>
      <c r="AM25" s="653" t="s">
        <v>738</v>
      </c>
      <c r="AN25" s="715">
        <f>B40</f>
        <v>0.05</v>
      </c>
      <c r="AO25" s="632"/>
      <c r="AP25" s="632" t="s">
        <v>739</v>
      </c>
      <c r="AQ25" s="783">
        <f t="shared" si="25"/>
        <v>0</v>
      </c>
      <c r="AR25" s="632"/>
      <c r="AS25" s="632"/>
      <c r="AT25" s="632"/>
      <c r="AU25" s="743" t="s">
        <v>635</v>
      </c>
      <c r="AV25" s="744" t="s">
        <v>636</v>
      </c>
      <c r="AW25" s="748" t="s">
        <v>453</v>
      </c>
      <c r="AX25" s="746" t="s">
        <v>637</v>
      </c>
      <c r="AY25" s="746" t="s">
        <v>638</v>
      </c>
      <c r="AZ25" s="746" t="s">
        <v>639</v>
      </c>
      <c r="BA25" s="746" t="s">
        <v>640</v>
      </c>
      <c r="BB25" s="746" t="s">
        <v>639</v>
      </c>
      <c r="BC25" s="747" t="s">
        <v>640</v>
      </c>
      <c r="BD25" s="745" t="s">
        <v>510</v>
      </c>
      <c r="BE25" s="745" t="s">
        <v>641</v>
      </c>
      <c r="BF25" s="745" t="s">
        <v>642</v>
      </c>
      <c r="BG25" s="745" t="s">
        <v>643</v>
      </c>
      <c r="BH25" s="745" t="s">
        <v>644</v>
      </c>
      <c r="BI25" s="27"/>
      <c r="BJ25" s="720"/>
      <c r="BK25" s="721"/>
      <c r="BL25" s="721"/>
      <c r="BM25" s="721"/>
      <c r="BN25" s="721"/>
      <c r="BO25" s="721"/>
      <c r="BP25" s="722"/>
      <c r="BQ25" s="6"/>
      <c r="BR25" s="714"/>
      <c r="BS25" s="714" t="s">
        <v>740</v>
      </c>
      <c r="BT25" s="815">
        <v>0.055</v>
      </c>
      <c r="BU25" s="786"/>
      <c r="BV25" s="625"/>
      <c r="BW25" s="625"/>
      <c r="BX25" s="625"/>
      <c r="BY25" s="625"/>
      <c r="BZ25" s="625"/>
      <c r="CJ25" s="625"/>
      <c r="CK25" s="625"/>
      <c r="CL25" s="625"/>
      <c r="CM25" s="625"/>
      <c r="CN25" s="625"/>
      <c r="CO25" s="625"/>
      <c r="CP25" s="625"/>
      <c r="CQ25" s="625"/>
      <c r="CR25" s="625"/>
      <c r="CS25" s="625"/>
      <c r="CT25" s="625"/>
      <c r="CU25" s="625"/>
      <c r="CV25" s="625"/>
      <c r="CW25" s="625"/>
      <c r="CX25" s="625"/>
      <c r="CY25" s="625"/>
      <c r="CZ25" s="625"/>
      <c r="DA25" s="625"/>
      <c r="DB25" s="625"/>
      <c r="DC25" s="625"/>
      <c r="DD25" s="625"/>
      <c r="DE25" s="625"/>
      <c r="DF25" s="625"/>
      <c r="DG25" s="625"/>
      <c r="DH25" s="625"/>
      <c r="DI25" s="625"/>
      <c r="DJ25" s="625"/>
      <c r="DK25" s="625"/>
      <c r="DL25" s="625"/>
      <c r="DM25" s="625"/>
      <c r="DN25" s="625"/>
      <c r="DO25" s="625"/>
      <c r="DP25" s="625"/>
      <c r="DQ25" s="625"/>
      <c r="DR25" s="625"/>
      <c r="DS25" s="625"/>
      <c r="DT25" s="625"/>
      <c r="DU25" s="625"/>
      <c r="DV25" s="625"/>
      <c r="DW25" s="625"/>
      <c r="DX25" s="625"/>
      <c r="DY25" s="625"/>
      <c r="DZ25" s="625"/>
      <c r="EA25" s="625"/>
      <c r="EB25" s="625"/>
      <c r="EC25" s="625"/>
      <c r="ED25" s="625"/>
      <c r="EE25" s="625"/>
      <c r="EF25" s="625"/>
      <c r="EG25" s="625"/>
      <c r="EH25" s="625"/>
      <c r="EI25" s="625"/>
      <c r="EJ25" s="625"/>
      <c r="EK25" s="625"/>
      <c r="EL25" s="625"/>
      <c r="EM25" s="625"/>
      <c r="EN25" s="625"/>
      <c r="EO25" s="625"/>
      <c r="EP25" s="625"/>
      <c r="EQ25" s="625"/>
      <c r="ER25" s="625"/>
      <c r="ES25" s="625"/>
      <c r="ET25" s="625"/>
      <c r="EU25" s="625"/>
      <c r="EV25" s="625"/>
      <c r="EW25" s="625"/>
      <c r="EX25" s="625"/>
      <c r="EY25" s="625"/>
      <c r="EZ25" s="625"/>
      <c r="FA25" s="625"/>
      <c r="FB25" s="625"/>
      <c r="FC25" s="625"/>
    </row>
    <row r="26" ht="15" customHeight="1">
      <c r="A26" s="824" t="s">
        <v>741</v>
      </c>
      <c r="B26" s="834" t="str">
        <f>IF(AMI_MissionDriven_Discount_Afford80,"Yes","No")</f>
        <v>No</v>
      </c>
      <c r="C26" s="631"/>
      <c r="D26" s="835" t="s">
        <v>742</v>
      </c>
      <c r="E26" s="837" t="s">
        <v>533</v>
      </c>
      <c r="F26" s="837" t="s">
        <v>534</v>
      </c>
      <c r="G26" s="837" t="s">
        <v>535</v>
      </c>
      <c r="H26" s="837" t="s">
        <v>533</v>
      </c>
      <c r="I26" s="837" t="s">
        <v>534</v>
      </c>
      <c r="J26" s="837" t="s">
        <v>535</v>
      </c>
      <c r="K26" s="837" t="s">
        <v>530</v>
      </c>
      <c r="L26" s="837" t="s">
        <v>531</v>
      </c>
      <c r="M26" s="837" t="s">
        <v>535</v>
      </c>
      <c r="N26" s="837" t="s">
        <v>530</v>
      </c>
      <c r="O26" s="837" t="s">
        <v>531</v>
      </c>
      <c r="P26" s="837" t="s">
        <v>535</v>
      </c>
      <c r="Q26" s="631"/>
      <c r="R26" s="837" t="s">
        <v>535</v>
      </c>
      <c r="S26" s="837" t="s">
        <v>558</v>
      </c>
      <c r="T26" s="837" t="s">
        <v>559</v>
      </c>
      <c r="U26" s="837" t="s">
        <v>535</v>
      </c>
      <c r="V26" s="837" t="s">
        <v>535</v>
      </c>
      <c r="W26" s="837" t="s">
        <v>533</v>
      </c>
      <c r="X26" s="837" t="s">
        <v>533</v>
      </c>
      <c r="Y26" s="837" t="s">
        <v>560</v>
      </c>
      <c r="Z26" s="631"/>
      <c r="AA26" s="837" t="s">
        <v>561</v>
      </c>
      <c r="AB26" s="837" t="s">
        <v>562</v>
      </c>
      <c r="AC26" s="837" t="s">
        <v>563</v>
      </c>
      <c r="AD26" s="837" t="s">
        <v>561</v>
      </c>
      <c r="AE26" s="837" t="s">
        <v>562</v>
      </c>
      <c r="AF26" s="837" t="s">
        <v>563</v>
      </c>
      <c r="AG26" s="837" t="s">
        <v>561</v>
      </c>
      <c r="AH26" s="837" t="s">
        <v>562</v>
      </c>
      <c r="AI26" s="632"/>
      <c r="AJ26" s="653" t="s">
        <v>689</v>
      </c>
      <c r="AK26" s="715">
        <f>IF(AK25&gt;0,AN4/AK25,0)</f>
        <v>0</v>
      </c>
      <c r="AL26" s="635"/>
      <c r="AM26" s="653" t="str">
        <f>IF($AK$20&lt;&gt;"Acquisition","NRI at Acquisition","N/A")</f>
        <v>NRI at Acquisition</v>
      </c>
      <c r="AN26" s="672">
        <f>'Freddie I&amp;E'!AD23</f>
        <v>1432397</v>
      </c>
      <c r="AO26" s="632"/>
      <c r="AP26" s="632" t="s">
        <v>744</v>
      </c>
      <c r="AQ26" s="783">
        <f>AQ25-AQ24</f>
        <v>0</v>
      </c>
      <c r="AR26" s="632"/>
      <c r="AS26" s="632"/>
      <c r="AT26" s="632"/>
      <c r="AU26" s="751">
        <v>5</v>
      </c>
      <c r="AV26" s="752">
        <v>4.5</v>
      </c>
      <c r="AW26" s="838">
        <f t="shared" si="27" ref="AW26:BH36">AW12</f>
        <v>0.0069</v>
      </c>
      <c r="AX26" s="822">
        <f t="shared" si="26"/>
        <v>0.044509</v>
      </c>
      <c r="AY26" s="755">
        <v>0.007</v>
      </c>
      <c r="AZ26" s="756">
        <f>DailyPricing!E43</f>
        <v>0.018</v>
      </c>
      <c r="BA26" s="756">
        <f t="shared" si="10"/>
        <v>0.069409</v>
      </c>
      <c r="BB26" s="756">
        <f>DailyPricing!E126</f>
        <v>0.0139</v>
      </c>
      <c r="BC26" s="756">
        <f t="shared" si="10"/>
        <v>0.06530899999999999</v>
      </c>
      <c r="BD26" s="822">
        <f t="shared" si="27"/>
        <v>0.00005936</v>
      </c>
      <c r="BE26" s="822">
        <f t="shared" si="27"/>
        <v>0.00001328</v>
      </c>
      <c r="BF26" s="822">
        <f t="shared" si="27"/>
        <v>-0.00001809</v>
      </c>
      <c r="BG26" s="822">
        <f t="shared" si="27"/>
        <v>-0.000036270000000000003</v>
      </c>
      <c r="BH26" s="822">
        <f t="shared" si="27"/>
        <v>-0.000036270000000000003</v>
      </c>
      <c r="BI26" s="688"/>
      <c r="BJ26" s="711" t="s">
        <v>745</v>
      </c>
      <c r="BK26" s="615"/>
      <c r="BL26" s="615"/>
      <c r="BM26" s="615"/>
      <c r="BN26" s="615"/>
      <c r="BO26" s="615"/>
      <c r="BP26" s="814"/>
      <c r="BQ26" s="6"/>
      <c r="BR26" s="714"/>
      <c r="BS26" s="839" t="s">
        <v>746</v>
      </c>
      <c r="BT26" s="840">
        <v>0.05</v>
      </c>
      <c r="BU26" s="786"/>
      <c r="BV26" s="625"/>
      <c r="BW26" s="625"/>
      <c r="BX26" s="625"/>
      <c r="BY26" s="625"/>
      <c r="BZ26" s="625"/>
      <c r="CJ26" s="625"/>
      <c r="CK26" s="625"/>
      <c r="CL26" s="625"/>
      <c r="CM26" s="625"/>
      <c r="CN26" s="625"/>
      <c r="CO26" s="625"/>
      <c r="CP26" s="625"/>
      <c r="CQ26" s="625"/>
      <c r="CR26" s="625"/>
      <c r="CS26" s="625"/>
      <c r="CT26" s="625"/>
      <c r="CU26" s="625"/>
      <c r="CV26" s="625"/>
      <c r="CW26" s="625"/>
      <c r="CX26" s="625"/>
      <c r="CY26" s="625"/>
      <c r="CZ26" s="625"/>
      <c r="DA26" s="625"/>
      <c r="DB26" s="625"/>
      <c r="DC26" s="625"/>
      <c r="DD26" s="625"/>
      <c r="DE26" s="625"/>
      <c r="DF26" s="625"/>
      <c r="DG26" s="625"/>
      <c r="DH26" s="625"/>
      <c r="DI26" s="625"/>
      <c r="DJ26" s="625"/>
      <c r="DK26" s="625"/>
      <c r="DL26" s="625"/>
      <c r="DM26" s="625"/>
      <c r="DN26" s="625"/>
      <c r="DO26" s="625"/>
      <c r="DP26" s="625"/>
      <c r="DQ26" s="625"/>
      <c r="DR26" s="625"/>
      <c r="DS26" s="625"/>
      <c r="DT26" s="625"/>
      <c r="DU26" s="625"/>
      <c r="DV26" s="625"/>
      <c r="DW26" s="625"/>
      <c r="DX26" s="625"/>
      <c r="DY26" s="625"/>
      <c r="DZ26" s="625"/>
      <c r="EA26" s="625"/>
      <c r="EB26" s="625"/>
      <c r="EC26" s="625"/>
      <c r="ED26" s="625"/>
      <c r="EE26" s="625"/>
      <c r="EF26" s="625"/>
      <c r="EG26" s="625"/>
      <c r="EH26" s="625"/>
      <c r="EI26" s="625"/>
      <c r="EJ26" s="625"/>
      <c r="EK26" s="625"/>
      <c r="EL26" s="625"/>
      <c r="EM26" s="625"/>
      <c r="EN26" s="625"/>
      <c r="EO26" s="625"/>
      <c r="EP26" s="625"/>
      <c r="EQ26" s="625"/>
      <c r="ER26" s="625"/>
      <c r="ES26" s="625"/>
      <c r="ET26" s="625"/>
      <c r="EU26" s="625"/>
      <c r="EV26" s="625"/>
      <c r="EW26" s="625"/>
      <c r="EX26" s="625"/>
      <c r="EY26" s="625"/>
      <c r="EZ26" s="625"/>
      <c r="FA26" s="625"/>
      <c r="FB26" s="625"/>
      <c r="FC26" s="625"/>
    </row>
    <row r="27" ht="15" customHeight="1">
      <c r="A27" s="824" t="s">
        <v>733</v>
      </c>
      <c r="B27" s="834" t="str">
        <f>IF(AND(AMI_MissionDriven_Discount_Afford80,number_units&lt;=50),"Yes","No")</f>
        <v>No</v>
      </c>
      <c r="C27" s="631"/>
      <c r="D27" s="841" t="s">
        <v>747</v>
      </c>
      <c r="E27" s="632"/>
      <c r="F27" s="632"/>
      <c r="G27" s="632"/>
      <c r="H27" s="632"/>
      <c r="I27" s="632"/>
      <c r="J27" s="632"/>
      <c r="K27" s="632"/>
      <c r="L27" s="632"/>
      <c r="M27" s="632"/>
      <c r="N27" s="632"/>
      <c r="O27" s="632"/>
      <c r="P27" s="632"/>
      <c r="Q27" s="632"/>
      <c r="R27" s="635">
        <f t="shared" si="28" ref="R27:Y27">_xlfn.LET(_xlpm.Term,R26,IF(NOT(OR(ISNUMBER(SEARCH("Variable",_xlpm.Term)),_xlpm.Term="5 YR Fixed",_xlpm.Term="7 YR Fixed",_xlpm.Term="10 YR Fixed",_xlpm.Term="12 YR Fixed",_xlpm.Term="15 YR Fixed",_xlpm.Term="30 YR Fixed")),"Yes",""))</f>
      </c>
      <c r="S27" s="635">
        <f t="shared" si="28"/>
      </c>
      <c r="T27" s="635">
        <f t="shared" si="28"/>
      </c>
      <c r="U27" s="635">
        <f t="shared" si="28"/>
      </c>
      <c r="V27" s="635">
        <f t="shared" si="28"/>
      </c>
      <c r="W27" s="635">
        <f t="shared" si="28"/>
      </c>
      <c r="X27" s="635">
        <f t="shared" si="28"/>
      </c>
      <c r="Y27" s="635">
        <f t="shared" si="28"/>
      </c>
      <c r="Z27" s="632"/>
      <c r="AA27" s="632"/>
      <c r="AB27" s="632"/>
      <c r="AC27" s="632"/>
      <c r="AD27" s="632"/>
      <c r="AE27" s="632"/>
      <c r="AF27" s="632"/>
      <c r="AG27" s="632"/>
      <c r="AH27" s="632"/>
      <c r="AI27" s="842"/>
      <c r="AJ27" s="653" t="s">
        <v>748</v>
      </c>
      <c r="AK27" s="843">
        <f>IF(AK21="",0,(TODAY()-AK21)/365)</f>
        <v>0</v>
      </c>
      <c r="AL27" s="635"/>
      <c r="AM27" s="653" t="str">
        <f>IF($AK$20&lt;&gt;"Acquisition","Capitalized Income Value Add since Acq.","N/A")</f>
        <v>Capitalized Income Value Add since Acq.</v>
      </c>
      <c r="AN27" s="742">
        <f>IF($AN$25="","",($AN$23-$AN$26)/$AN$25)</f>
        <v>69449580</v>
      </c>
      <c r="AO27" s="632"/>
      <c r="AP27" s="632" t="s">
        <v>750</v>
      </c>
      <c r="AQ27" s="783">
        <f>IF(AQ10=0,0,AQ26/AQ10)</f>
        <v>0</v>
      </c>
      <c r="AR27" s="632"/>
      <c r="AS27" s="632"/>
      <c r="AT27" s="632"/>
      <c r="AU27" s="761">
        <v>7</v>
      </c>
      <c r="AV27" s="762">
        <v>6.5</v>
      </c>
      <c r="AW27" s="838">
        <f t="shared" si="27"/>
        <v>0.0069</v>
      </c>
      <c r="AX27" s="844">
        <f t="shared" si="29"/>
        <v>0.044065</v>
      </c>
      <c r="AY27" s="755">
        <v>0.008</v>
      </c>
      <c r="AZ27" s="756">
        <f>DailyPricing!E44</f>
        <v>0.0176</v>
      </c>
      <c r="BA27" s="756">
        <f t="shared" si="10"/>
        <v>0.068565</v>
      </c>
      <c r="BB27" s="756">
        <f>DailyPricing!E127</f>
        <v>0.0135</v>
      </c>
      <c r="BC27" s="756">
        <f t="shared" si="10"/>
        <v>0.064465</v>
      </c>
      <c r="BD27" s="822">
        <f t="shared" si="27"/>
        <v>0.00007325</v>
      </c>
      <c r="BE27" s="822">
        <f t="shared" si="27"/>
        <v>0.00003449</v>
      </c>
      <c r="BF27" s="822">
        <f t="shared" si="27"/>
        <v>0.000004180000000000001</v>
      </c>
      <c r="BG27" s="822">
        <f t="shared" si="27"/>
        <v>-0.00003359</v>
      </c>
      <c r="BH27" s="822">
        <f t="shared" si="27"/>
        <v>-0.0000409</v>
      </c>
      <c r="BI27" s="27"/>
      <c r="BJ27" s="720" t="s">
        <v>751</v>
      </c>
      <c r="BK27" s="721" t="s">
        <v>630</v>
      </c>
      <c r="BL27" s="721" t="s">
        <v>630</v>
      </c>
      <c r="BM27" s="721" t="s">
        <v>630</v>
      </c>
      <c r="BN27" s="721" t="s">
        <v>629</v>
      </c>
      <c r="BO27" s="721" t="s">
        <v>629</v>
      </c>
      <c r="BP27" s="722" t="s">
        <v>629</v>
      </c>
      <c r="BQ27" s="6"/>
      <c r="BR27" s="714"/>
      <c r="BS27" s="6"/>
      <c r="BT27" s="6"/>
      <c r="BU27" s="786"/>
      <c r="BV27" s="625"/>
      <c r="BW27" s="625"/>
      <c r="BX27" s="625"/>
      <c r="BY27" s="625"/>
      <c r="BZ27" s="625"/>
      <c r="CJ27" s="625"/>
      <c r="CK27" s="625"/>
      <c r="CL27" s="625"/>
      <c r="CM27" s="625"/>
      <c r="CN27" s="625"/>
      <c r="CO27" s="625"/>
      <c r="CP27" s="625"/>
      <c r="CQ27" s="625"/>
      <c r="CR27" s="625"/>
      <c r="CS27" s="625"/>
      <c r="CT27" s="625"/>
      <c r="CU27" s="625"/>
      <c r="CV27" s="625"/>
      <c r="CW27" s="625"/>
      <c r="CX27" s="625"/>
      <c r="CY27" s="625"/>
      <c r="CZ27" s="625"/>
      <c r="DA27" s="625"/>
      <c r="DB27" s="625"/>
      <c r="DC27" s="625"/>
      <c r="DD27" s="625"/>
      <c r="DE27" s="625"/>
      <c r="DF27" s="625"/>
      <c r="DG27" s="625"/>
      <c r="DH27" s="625"/>
      <c r="DI27" s="625"/>
      <c r="DJ27" s="625"/>
      <c r="DK27" s="625"/>
      <c r="DL27" s="625"/>
      <c r="DM27" s="625"/>
      <c r="DN27" s="625"/>
      <c r="DO27" s="625"/>
      <c r="DP27" s="625"/>
      <c r="DQ27" s="625"/>
      <c r="DR27" s="625"/>
      <c r="DS27" s="625"/>
      <c r="DT27" s="625"/>
      <c r="DU27" s="625"/>
      <c r="DV27" s="625"/>
      <c r="DW27" s="625"/>
      <c r="DX27" s="625"/>
      <c r="DY27" s="625"/>
      <c r="DZ27" s="625"/>
      <c r="EA27" s="625"/>
      <c r="EB27" s="625"/>
      <c r="EC27" s="625"/>
      <c r="ED27" s="625"/>
      <c r="EE27" s="625"/>
      <c r="EF27" s="625"/>
      <c r="EG27" s="625"/>
      <c r="EH27" s="625"/>
      <c r="EI27" s="625"/>
      <c r="EJ27" s="625"/>
      <c r="EK27" s="625"/>
      <c r="EL27" s="625"/>
      <c r="EM27" s="625"/>
      <c r="EN27" s="625"/>
      <c r="EO27" s="625"/>
      <c r="EP27" s="625"/>
      <c r="EQ27" s="625"/>
      <c r="ER27" s="625"/>
      <c r="ES27" s="625"/>
      <c r="ET27" s="625"/>
      <c r="EU27" s="625"/>
      <c r="EV27" s="625"/>
      <c r="EW27" s="625"/>
      <c r="EX27" s="625"/>
      <c r="EY27" s="625"/>
      <c r="EZ27" s="625"/>
      <c r="FA27" s="625"/>
      <c r="FB27" s="625"/>
      <c r="FC27" s="625"/>
    </row>
    <row r="28" ht="15" customHeight="1">
      <c r="A28" s="824" t="s">
        <v>752</v>
      </c>
      <c r="B28" s="831" t="s">
        <v>451</v>
      </c>
      <c r="C28" s="631"/>
      <c r="D28" s="845" t="s">
        <v>753</v>
      </c>
      <c r="E28" s="842">
        <f t="shared" si="30" ref="E28:P28">ROUNDDOWN(MIN(E76:E77,E25),-3)</f>
        <v>-22625000</v>
      </c>
      <c r="F28" s="842">
        <f t="shared" si="30"/>
        <v>-22625000</v>
      </c>
      <c r="G28" s="842">
        <f t="shared" si="30"/>
        <v>-22625000</v>
      </c>
      <c r="H28" s="842">
        <f t="shared" si="30"/>
        <v>-22625000</v>
      </c>
      <c r="I28" s="842">
        <f t="shared" si="30"/>
        <v>-22625000</v>
      </c>
      <c r="J28" s="842">
        <f t="shared" si="30"/>
        <v>-22625000</v>
      </c>
      <c r="K28" s="842">
        <f t="shared" si="30"/>
        <v>-22625000</v>
      </c>
      <c r="L28" s="842">
        <f t="shared" si="30"/>
        <v>-22625000</v>
      </c>
      <c r="M28" s="842">
        <f t="shared" si="30"/>
        <v>-22625000</v>
      </c>
      <c r="N28" s="842">
        <f t="shared" si="30"/>
        <v>-22625000</v>
      </c>
      <c r="O28" s="842">
        <f t="shared" si="30"/>
        <v>-22625000</v>
      </c>
      <c r="P28" s="842">
        <f t="shared" si="30"/>
        <v>-22625000</v>
      </c>
      <c r="Q28" s="842"/>
      <c r="R28" s="842">
        <f t="shared" si="31" ref="R28:AH28">ROUNDDOWN(MIN(R76:R78,R25),-3)</f>
        <v>-27535000</v>
      </c>
      <c r="S28" s="842">
        <f t="shared" si="31"/>
        <v>-27535000</v>
      </c>
      <c r="T28" s="842">
        <f t="shared" si="31"/>
        <v>-27535000</v>
      </c>
      <c r="U28" s="842">
        <f t="shared" si="31"/>
        <v>-22372000</v>
      </c>
      <c r="V28" s="842">
        <f t="shared" si="31"/>
        <v>-18930000</v>
      </c>
      <c r="W28" s="842">
        <f t="shared" si="31"/>
        <v>-22372000</v>
      </c>
      <c r="X28" s="842">
        <f t="shared" si="31"/>
        <v>-18930000</v>
      </c>
      <c r="Y28" s="842">
        <f t="shared" si="31"/>
        <v>-27535000</v>
      </c>
      <c r="Z28" s="842"/>
      <c r="AA28" s="842">
        <f t="shared" si="31"/>
        <v>-24093000</v>
      </c>
      <c r="AB28" s="842">
        <f t="shared" si="31"/>
        <v>-24093000</v>
      </c>
      <c r="AC28" s="842">
        <f t="shared" si="31"/>
        <v>-24093000</v>
      </c>
      <c r="AD28" s="842">
        <f t="shared" si="31"/>
        <v>-24093000</v>
      </c>
      <c r="AE28" s="842">
        <f t="shared" si="31"/>
        <v>-24093000</v>
      </c>
      <c r="AF28" s="842">
        <f t="shared" si="31"/>
        <v>-24093000</v>
      </c>
      <c r="AG28" s="842">
        <f t="shared" si="31"/>
        <v>-24093000</v>
      </c>
      <c r="AH28" s="842">
        <f t="shared" si="31"/>
        <v>-24093000</v>
      </c>
      <c r="AI28" s="842"/>
      <c r="AJ28" s="846" t="s">
        <v>754</v>
      </c>
      <c r="AK28" s="847">
        <f>IF(AK20="Acquisition",SUM(AK22:AK23),IF(AK20="Financing within 1 year of acquisition",AK25,AN24/AN25))</f>
        <v>-32321785.8</v>
      </c>
      <c r="AL28" s="635"/>
      <c r="AM28" s="653" t="s">
        <v>755</v>
      </c>
      <c r="AN28" s="742">
        <f>AN27+AK22</f>
        <v>35030535.800000004</v>
      </c>
      <c r="AO28" s="632"/>
      <c r="AP28" s="632" t="s">
        <v>756</v>
      </c>
      <c r="AQ28" s="783">
        <f>AQ5+AQ6+AQ27</f>
        <v>0</v>
      </c>
      <c r="AR28" s="632"/>
      <c r="AS28" s="632"/>
      <c r="AT28" s="632"/>
      <c r="AU28" s="771">
        <v>10</v>
      </c>
      <c r="AV28" s="762">
        <v>9.5</v>
      </c>
      <c r="AW28" s="838">
        <f t="shared" si="27"/>
        <v>0.0073</v>
      </c>
      <c r="AX28" s="822">
        <f t="shared" si="32"/>
        <v>0.043144</v>
      </c>
      <c r="AY28" s="755">
        <v>0.009</v>
      </c>
      <c r="AZ28" s="756">
        <f>DailyPricing!E45</f>
        <v>0.0172</v>
      </c>
      <c r="BA28" s="756">
        <f t="shared" si="10"/>
        <v>0.06764400000000001</v>
      </c>
      <c r="BB28" s="756">
        <f>DailyPricing!E128</f>
        <v>0.0131</v>
      </c>
      <c r="BC28" s="756">
        <f t="shared" si="10"/>
        <v>0.063544</v>
      </c>
      <c r="BD28" s="822">
        <f t="shared" si="27"/>
        <v>0.00009379999999999999</v>
      </c>
      <c r="BE28" s="822">
        <f t="shared" si="27"/>
        <v>0.00007074</v>
      </c>
      <c r="BF28" s="822">
        <f t="shared" si="27"/>
        <v>0.00005143</v>
      </c>
      <c r="BG28" s="822">
        <f t="shared" si="27"/>
        <v>0.00002258</v>
      </c>
      <c r="BH28" s="822">
        <f t="shared" si="27"/>
        <v>-0.00000265</v>
      </c>
      <c r="BI28" s="27"/>
      <c r="BJ28" s="711" t="s">
        <v>757</v>
      </c>
      <c r="BK28" s="712">
        <v>-5</v>
      </c>
      <c r="BL28" s="712">
        <v>-10</v>
      </c>
      <c r="BM28" s="712">
        <v>-10</v>
      </c>
      <c r="BN28" s="712">
        <v>-5</v>
      </c>
      <c r="BO28" s="712">
        <v>-10</v>
      </c>
      <c r="BP28" s="713">
        <v>-10</v>
      </c>
      <c r="BQ28" s="6"/>
      <c r="BR28" s="714"/>
      <c r="BS28" s="6"/>
      <c r="BT28" s="6"/>
      <c r="BU28" s="786"/>
      <c r="BV28" s="625"/>
      <c r="BW28" s="625"/>
      <c r="BX28" s="625"/>
      <c r="BY28" s="625"/>
      <c r="BZ28" s="625"/>
      <c r="CJ28" s="625"/>
      <c r="CK28" s="625"/>
      <c r="CL28" s="625"/>
      <c r="CM28" s="625"/>
      <c r="CN28" s="625"/>
      <c r="CO28" s="625"/>
      <c r="CP28" s="625"/>
      <c r="CQ28" s="625"/>
      <c r="CR28" s="625"/>
      <c r="CS28" s="625"/>
      <c r="CT28" s="625"/>
      <c r="CU28" s="625"/>
      <c r="CV28" s="625"/>
      <c r="CW28" s="625"/>
      <c r="CX28" s="625"/>
      <c r="CY28" s="625"/>
      <c r="CZ28" s="625"/>
      <c r="DA28" s="625"/>
      <c r="DB28" s="625"/>
      <c r="DC28" s="625"/>
      <c r="DD28" s="625"/>
      <c r="DE28" s="625"/>
      <c r="DF28" s="625"/>
      <c r="DG28" s="625"/>
      <c r="DH28" s="625"/>
      <c r="DI28" s="625"/>
      <c r="DJ28" s="625"/>
      <c r="DK28" s="625"/>
      <c r="DL28" s="625"/>
      <c r="DM28" s="625"/>
      <c r="DN28" s="625"/>
      <c r="DO28" s="625"/>
      <c r="DP28" s="625"/>
      <c r="DQ28" s="625"/>
      <c r="DR28" s="625"/>
      <c r="DS28" s="625"/>
      <c r="DT28" s="625"/>
      <c r="DU28" s="625"/>
      <c r="DV28" s="625"/>
      <c r="DW28" s="625"/>
      <c r="DX28" s="625"/>
      <c r="DY28" s="625"/>
      <c r="DZ28" s="625"/>
      <c r="EA28" s="625"/>
      <c r="EB28" s="625"/>
      <c r="EC28" s="625"/>
      <c r="ED28" s="625"/>
      <c r="EE28" s="625"/>
      <c r="EF28" s="625"/>
      <c r="EG28" s="625"/>
      <c r="EH28" s="625"/>
      <c r="EI28" s="625"/>
      <c r="EJ28" s="625"/>
      <c r="EK28" s="625"/>
      <c r="EL28" s="625"/>
      <c r="EM28" s="625"/>
      <c r="EN28" s="625"/>
      <c r="EO28" s="625"/>
      <c r="EP28" s="625"/>
      <c r="EQ28" s="625"/>
      <c r="ER28" s="625"/>
      <c r="ES28" s="625"/>
      <c r="ET28" s="625"/>
      <c r="EU28" s="625"/>
      <c r="EV28" s="625"/>
      <c r="EW28" s="625"/>
      <c r="EX28" s="625"/>
      <c r="EY28" s="625"/>
      <c r="EZ28" s="625"/>
      <c r="FA28" s="625"/>
      <c r="FB28" s="625"/>
      <c r="FC28" s="625"/>
    </row>
    <row r="29" ht="15" customHeight="1">
      <c r="A29" s="824" t="s">
        <v>758</v>
      </c>
      <c r="B29" s="831" t="s">
        <v>451</v>
      </c>
      <c r="C29" s="631"/>
      <c r="D29" s="845" t="s">
        <v>759</v>
      </c>
      <c r="E29" s="842"/>
      <c r="F29" s="842"/>
      <c r="G29" s="842"/>
      <c r="H29" s="842"/>
      <c r="I29" s="842"/>
      <c r="J29" s="842"/>
      <c r="K29" s="842"/>
      <c r="L29" s="842"/>
      <c r="M29" s="842"/>
      <c r="N29" s="842"/>
      <c r="O29" s="842"/>
      <c r="P29" s="842"/>
      <c r="Q29" s="842"/>
      <c r="R29" s="842"/>
      <c r="S29" s="842"/>
      <c r="T29" s="842"/>
      <c r="U29" s="842"/>
      <c r="V29" s="842"/>
      <c r="W29" s="842"/>
      <c r="X29" s="842"/>
      <c r="Y29" s="842"/>
      <c r="Z29" s="842"/>
      <c r="AA29" s="842"/>
      <c r="AB29" s="842"/>
      <c r="AC29" s="842"/>
      <c r="AD29" s="842"/>
      <c r="AE29" s="842"/>
      <c r="AF29" s="842"/>
      <c r="AG29" s="842"/>
      <c r="AH29" s="842"/>
      <c r="AI29" s="632"/>
      <c r="AJ29" s="633"/>
      <c r="AK29" s="632"/>
      <c r="AL29" s="848"/>
      <c r="AM29" s="846" t="s">
        <v>760</v>
      </c>
      <c r="AN29" s="849">
        <f>IF(OR(AN4=0,AK28=0),0,AN4/AK28)</f>
        <v>0</v>
      </c>
      <c r="AO29" s="632"/>
      <c r="AP29" s="632" t="s">
        <v>761</v>
      </c>
      <c r="AQ29" s="783">
        <f>AQ28-AQ11</f>
        <v>0</v>
      </c>
      <c r="AR29" s="632"/>
      <c r="AS29" s="632"/>
      <c r="AT29" s="632"/>
      <c r="AU29" s="775">
        <v>12</v>
      </c>
      <c r="AV29" s="1">
        <v>11.5</v>
      </c>
      <c r="AW29" s="838">
        <f t="shared" si="27"/>
        <v>0.0087</v>
      </c>
      <c r="AX29" s="822">
        <f t="shared" si="18"/>
        <v>0.043144</v>
      </c>
      <c r="AY29" s="755">
        <v>0.009</v>
      </c>
      <c r="AZ29" s="756">
        <f>DailyPricing!E46</f>
        <v>0.0172</v>
      </c>
      <c r="BA29" s="756">
        <f t="shared" si="10"/>
        <v>0.069044</v>
      </c>
      <c r="BB29" s="756">
        <f>DailyPricing!E129</f>
        <v>0.0131</v>
      </c>
      <c r="BC29" s="756">
        <f t="shared" si="10"/>
        <v>0.064944</v>
      </c>
      <c r="BD29" s="822">
        <f t="shared" si="27"/>
        <v>0.0001064</v>
      </c>
      <c r="BE29" s="822">
        <f t="shared" si="27"/>
        <v>0.00009410999999999999</v>
      </c>
      <c r="BF29" s="822">
        <f t="shared" si="27"/>
        <v>0.00008375</v>
      </c>
      <c r="BG29" s="822">
        <f t="shared" si="27"/>
        <v>0.00006768</v>
      </c>
      <c r="BH29" s="822">
        <f t="shared" si="27"/>
        <v>0.000048469999999999995</v>
      </c>
      <c r="BI29" s="688"/>
      <c r="BJ29" s="720"/>
      <c r="BK29" s="721"/>
      <c r="BL29" s="721"/>
      <c r="BM29" s="721"/>
      <c r="BN29" s="721"/>
      <c r="BO29" s="721"/>
      <c r="BP29" s="722"/>
      <c r="BQ29" s="6"/>
      <c r="BR29" s="714"/>
      <c r="BS29" s="6"/>
      <c r="BT29" s="6"/>
      <c r="BU29" s="786"/>
      <c r="BV29" s="625"/>
      <c r="BW29" s="625"/>
      <c r="BX29" s="625"/>
      <c r="BY29" s="625"/>
      <c r="BZ29" s="625"/>
      <c r="CJ29" s="625"/>
      <c r="CK29" s="625"/>
      <c r="CL29" s="625"/>
      <c r="CM29" s="625"/>
      <c r="CN29" s="625"/>
      <c r="CO29" s="625"/>
      <c r="CP29" s="625"/>
      <c r="CQ29" s="625"/>
      <c r="CR29" s="625"/>
      <c r="CS29" s="625"/>
      <c r="CT29" s="625"/>
      <c r="CU29" s="625"/>
      <c r="CV29" s="625"/>
      <c r="CW29" s="625"/>
      <c r="CX29" s="625"/>
      <c r="CY29" s="625"/>
      <c r="CZ29" s="625"/>
      <c r="DA29" s="625"/>
      <c r="DB29" s="625"/>
      <c r="DC29" s="625"/>
      <c r="DD29" s="625"/>
      <c r="DE29" s="625"/>
      <c r="DF29" s="625"/>
      <c r="DG29" s="625"/>
      <c r="DH29" s="625"/>
      <c r="DI29" s="625"/>
      <c r="DJ29" s="625"/>
      <c r="DK29" s="625"/>
      <c r="DL29" s="625"/>
      <c r="DM29" s="625"/>
      <c r="DN29" s="625"/>
      <c r="DO29" s="625"/>
      <c r="DP29" s="625"/>
      <c r="DQ29" s="625"/>
      <c r="DR29" s="625"/>
      <c r="DS29" s="625"/>
      <c r="DT29" s="625"/>
      <c r="DU29" s="625"/>
      <c r="DV29" s="625"/>
      <c r="DW29" s="625"/>
      <c r="DX29" s="625"/>
      <c r="DY29" s="625"/>
      <c r="DZ29" s="625"/>
      <c r="EA29" s="625"/>
      <c r="EB29" s="625"/>
      <c r="EC29" s="625"/>
      <c r="ED29" s="625"/>
      <c r="EE29" s="625"/>
      <c r="EF29" s="625"/>
      <c r="EG29" s="625"/>
      <c r="EH29" s="625"/>
      <c r="EI29" s="625"/>
      <c r="EJ29" s="625"/>
      <c r="EK29" s="625"/>
      <c r="EL29" s="625"/>
      <c r="EM29" s="625"/>
      <c r="EN29" s="625"/>
      <c r="EO29" s="625"/>
      <c r="EP29" s="625"/>
      <c r="EQ29" s="625"/>
      <c r="ER29" s="625"/>
      <c r="ES29" s="625"/>
      <c r="ET29" s="625"/>
      <c r="EU29" s="625"/>
      <c r="EV29" s="625"/>
      <c r="EW29" s="625"/>
      <c r="EX29" s="625"/>
      <c r="EY29" s="625"/>
      <c r="EZ29" s="625"/>
      <c r="FA29" s="625"/>
      <c r="FB29" s="625"/>
      <c r="FC29" s="625"/>
    </row>
    <row r="30" ht="15" customHeight="1">
      <c r="A30" s="850" t="s">
        <v>762</v>
      </c>
      <c r="B30" s="831" t="s">
        <v>451</v>
      </c>
      <c r="C30" s="631"/>
      <c r="D30" s="851" t="s">
        <v>572</v>
      </c>
      <c r="E30" s="852">
        <v>0</v>
      </c>
      <c r="F30" s="852">
        <v>0</v>
      </c>
      <c r="G30" s="852">
        <v>0</v>
      </c>
      <c r="H30" s="852">
        <v>0</v>
      </c>
      <c r="I30" s="852">
        <v>0</v>
      </c>
      <c r="J30" s="852">
        <v>0</v>
      </c>
      <c r="K30" s="852">
        <v>0</v>
      </c>
      <c r="L30" s="852">
        <v>0</v>
      </c>
      <c r="M30" s="852">
        <v>0</v>
      </c>
      <c r="N30" s="852">
        <v>0</v>
      </c>
      <c r="O30" s="852">
        <v>0</v>
      </c>
      <c r="P30" s="852">
        <v>0</v>
      </c>
      <c r="Q30" s="631"/>
      <c r="R30" s="852">
        <v>0</v>
      </c>
      <c r="S30" s="852">
        <v>0</v>
      </c>
      <c r="T30" s="852">
        <v>0</v>
      </c>
      <c r="U30" s="852">
        <v>0</v>
      </c>
      <c r="V30" s="852">
        <v>0</v>
      </c>
      <c r="W30" s="852">
        <v>0</v>
      </c>
      <c r="X30" s="852">
        <v>0</v>
      </c>
      <c r="Y30" s="852">
        <v>0</v>
      </c>
      <c r="Z30" s="631"/>
      <c r="AA30" s="852">
        <v>0</v>
      </c>
      <c r="AB30" s="852">
        <v>0</v>
      </c>
      <c r="AC30" s="852">
        <v>0</v>
      </c>
      <c r="AD30" s="852">
        <v>0</v>
      </c>
      <c r="AE30" s="852">
        <v>0</v>
      </c>
      <c r="AF30" s="852">
        <v>0</v>
      </c>
      <c r="AG30" s="852">
        <v>0</v>
      </c>
      <c r="AH30" s="852">
        <v>0</v>
      </c>
      <c r="AI30" s="632"/>
      <c r="AJ30" s="853" t="str">
        <f>IF(SBL_DealPurpose="Refinance","If Refinance","If Acquisition (within 1 year)")</f>
        <v>If Refinance</v>
      </c>
      <c r="AK30" s="846"/>
      <c r="AL30" s="846"/>
      <c r="AM30" s="846"/>
      <c r="AN30" s="854"/>
      <c r="AO30" s="632"/>
      <c r="AP30" s="632"/>
      <c r="AQ30" s="632"/>
      <c r="AR30" s="632"/>
      <c r="AS30" s="632"/>
      <c r="AT30" s="632"/>
      <c r="AU30" s="780">
        <v>15</v>
      </c>
      <c r="AV30" s="762">
        <v>14.5</v>
      </c>
      <c r="AW30" s="838">
        <f t="shared" si="27"/>
        <v>0.0105</v>
      </c>
      <c r="AX30" s="822">
        <f t="shared" si="18"/>
        <v>0.043144</v>
      </c>
      <c r="AY30" s="755">
        <v>0.009</v>
      </c>
      <c r="AZ30" s="756">
        <f>DailyPricing!E47</f>
        <v>0.0172</v>
      </c>
      <c r="BA30" s="756">
        <f t="shared" si="10"/>
        <v>0.070844</v>
      </c>
      <c r="BB30" s="756">
        <f>DailyPricing!E130</f>
        <v>0.0131</v>
      </c>
      <c r="BC30" s="756">
        <f t="shared" si="10"/>
        <v>0.066744</v>
      </c>
      <c r="BD30" s="822">
        <f t="shared" si="27"/>
        <v>0.00010751</v>
      </c>
      <c r="BE30" s="822">
        <f t="shared" si="27"/>
        <v>0.00009582</v>
      </c>
      <c r="BF30" s="822">
        <f t="shared" si="27"/>
        <v>0.00008586</v>
      </c>
      <c r="BG30" s="822">
        <f t="shared" si="27"/>
        <v>0.00006981</v>
      </c>
      <c r="BH30" s="822">
        <f t="shared" si="27"/>
        <v>0.0000404</v>
      </c>
      <c r="BI30" s="27"/>
      <c r="BJ30" s="711" t="s">
        <v>763</v>
      </c>
      <c r="BK30" s="712" t="s">
        <v>764</v>
      </c>
      <c r="BL30" s="712" t="s">
        <v>765</v>
      </c>
      <c r="BM30" s="712" t="s">
        <v>766</v>
      </c>
      <c r="BN30" s="712" t="s">
        <v>767</v>
      </c>
      <c r="BO30" s="712" t="s">
        <v>768</v>
      </c>
      <c r="BP30" s="713" t="s">
        <v>769</v>
      </c>
      <c r="BQ30" s="6"/>
      <c r="BR30" s="714"/>
      <c r="BS30" s="6"/>
      <c r="BT30" s="6"/>
      <c r="BU30" s="786"/>
      <c r="BV30" s="625"/>
      <c r="BW30" s="625"/>
      <c r="BX30" s="625"/>
      <c r="BY30" s="625"/>
      <c r="BZ30" s="625"/>
      <c r="CJ30" s="625"/>
      <c r="CK30" s="625"/>
      <c r="CL30" s="625"/>
      <c r="CM30" s="625"/>
      <c r="CN30" s="625"/>
      <c r="CO30" s="625"/>
      <c r="CP30" s="625"/>
      <c r="CQ30" s="625"/>
      <c r="CR30" s="625"/>
      <c r="CS30" s="625"/>
      <c r="CT30" s="625"/>
      <c r="CU30" s="625"/>
      <c r="CV30" s="625"/>
      <c r="CW30" s="625"/>
      <c r="CX30" s="625"/>
      <c r="CY30" s="625"/>
      <c r="CZ30" s="625"/>
      <c r="DA30" s="625"/>
      <c r="DB30" s="625"/>
      <c r="DC30" s="625"/>
      <c r="DD30" s="625"/>
      <c r="DE30" s="625"/>
      <c r="DF30" s="625"/>
      <c r="DG30" s="625"/>
      <c r="DH30" s="625"/>
      <c r="DI30" s="625"/>
      <c r="DJ30" s="625"/>
      <c r="DK30" s="625"/>
      <c r="DL30" s="625"/>
      <c r="DM30" s="625"/>
      <c r="DN30" s="625"/>
      <c r="DO30" s="625"/>
      <c r="DP30" s="625"/>
      <c r="DQ30" s="625"/>
      <c r="DR30" s="625"/>
      <c r="DS30" s="625"/>
      <c r="DT30" s="625"/>
      <c r="DU30" s="625"/>
      <c r="DV30" s="625"/>
      <c r="DW30" s="625"/>
      <c r="DX30" s="625"/>
      <c r="DY30" s="625"/>
      <c r="DZ30" s="625"/>
      <c r="EA30" s="625"/>
      <c r="EB30" s="625"/>
      <c r="EC30" s="625"/>
      <c r="ED30" s="625"/>
      <c r="EE30" s="625"/>
      <c r="EF30" s="625"/>
      <c r="EG30" s="625"/>
      <c r="EH30" s="625"/>
      <c r="EI30" s="625"/>
      <c r="EJ30" s="625"/>
      <c r="EK30" s="625"/>
      <c r="EL30" s="625"/>
      <c r="EM30" s="625"/>
      <c r="EN30" s="625"/>
      <c r="EO30" s="625"/>
      <c r="EP30" s="625"/>
      <c r="EQ30" s="625"/>
      <c r="ER30" s="625"/>
      <c r="ES30" s="625"/>
      <c r="ET30" s="625"/>
      <c r="EU30" s="625"/>
      <c r="EV30" s="625"/>
      <c r="EW30" s="625"/>
      <c r="EX30" s="625"/>
      <c r="EY30" s="625"/>
      <c r="EZ30" s="625"/>
      <c r="FA30" s="625"/>
      <c r="FB30" s="625"/>
      <c r="FC30" s="625"/>
    </row>
    <row r="31" ht="15" customHeight="1">
      <c r="A31" s="855" t="s">
        <v>770</v>
      </c>
      <c r="B31" s="856" t="s">
        <v>451</v>
      </c>
      <c r="C31" s="631"/>
      <c r="D31" s="835" t="s">
        <v>771</v>
      </c>
      <c r="E31" s="857">
        <v>0.01</v>
      </c>
      <c r="F31" s="857">
        <v>0.01</v>
      </c>
      <c r="G31" s="857">
        <v>0.01</v>
      </c>
      <c r="H31" s="857">
        <v>0.01</v>
      </c>
      <c r="I31" s="857">
        <v>0.01</v>
      </c>
      <c r="J31" s="857">
        <v>0.01</v>
      </c>
      <c r="K31" s="857">
        <v>0.01</v>
      </c>
      <c r="L31" s="857">
        <v>0.01</v>
      </c>
      <c r="M31" s="857">
        <v>0.01</v>
      </c>
      <c r="N31" s="857">
        <v>0.01</v>
      </c>
      <c r="O31" s="857">
        <v>0.01</v>
      </c>
      <c r="P31" s="857">
        <v>0.01</v>
      </c>
      <c r="Q31" s="631"/>
      <c r="R31" s="857">
        <v>0.01</v>
      </c>
      <c r="S31" s="857">
        <v>0.01</v>
      </c>
      <c r="T31" s="857">
        <v>0.01</v>
      </c>
      <c r="U31" s="857">
        <v>0.005</v>
      </c>
      <c r="V31" s="857">
        <v>0.005</v>
      </c>
      <c r="W31" s="857">
        <v>0.005</v>
      </c>
      <c r="X31" s="857">
        <v>0.005</v>
      </c>
      <c r="Y31" s="857">
        <v>0.01</v>
      </c>
      <c r="Z31" s="631"/>
      <c r="AA31" s="857">
        <v>0.01</v>
      </c>
      <c r="AB31" s="857">
        <v>0.01</v>
      </c>
      <c r="AC31" s="857">
        <v>0.01</v>
      </c>
      <c r="AD31" s="857">
        <v>0.01</v>
      </c>
      <c r="AE31" s="857">
        <v>0.01</v>
      </c>
      <c r="AF31" s="857">
        <v>0.01</v>
      </c>
      <c r="AG31" s="857">
        <v>0.01</v>
      </c>
      <c r="AH31" s="857">
        <v>0.01</v>
      </c>
      <c r="AI31" s="632"/>
      <c r="AJ31" s="633" t="str">
        <f>IF(AJ30="If Refinance","Expected Closing of Refinance","Date of "&amp;IF(AJ30="If Construction","Construction","Acquisition")&amp;" (if within 5 years)")</f>
        <v>Expected Closing of Refinance</v>
      </c>
      <c r="AK31" s="858">
        <f>EOMONTH(TODAY()+32,1)+1</f>
        <v>45292</v>
      </c>
      <c r="AL31" s="632"/>
      <c r="AM31" s="640" t="s">
        <v>578</v>
      </c>
      <c r="AN31" s="640"/>
      <c r="AO31" s="632"/>
      <c r="AP31" s="656" t="s">
        <v>772</v>
      </c>
      <c r="AQ31" s="859" t="s">
        <v>773</v>
      </c>
      <c r="AR31" s="859" t="s">
        <v>774</v>
      </c>
      <c r="AS31" s="860" t="s">
        <v>775</v>
      </c>
      <c r="AT31" s="632"/>
      <c r="AU31" s="784">
        <v>18</v>
      </c>
      <c r="AV31" s="762">
        <v>15</v>
      </c>
      <c r="AW31" s="838">
        <f t="shared" si="27"/>
        <v>0.0121</v>
      </c>
      <c r="AX31" s="822">
        <f t="shared" si="18"/>
        <v>0.043144</v>
      </c>
      <c r="AY31" s="755">
        <v>0.009</v>
      </c>
      <c r="AZ31" s="756">
        <f>DailyPricing!E48</f>
        <v>0.0172</v>
      </c>
      <c r="BA31" s="756">
        <f t="shared" si="10"/>
        <v>0.07244400000000001</v>
      </c>
      <c r="BB31" s="756">
        <f>DailyPricing!E131</f>
        <v>0.0131</v>
      </c>
      <c r="BC31" s="756">
        <f t="shared" si="10"/>
        <v>0.068344</v>
      </c>
      <c r="BD31" s="785"/>
      <c r="BE31" s="786"/>
      <c r="BF31" s="787"/>
      <c r="BG31" s="786"/>
      <c r="BH31" s="788"/>
      <c r="BI31" s="27"/>
      <c r="BJ31" s="720" t="s">
        <v>757</v>
      </c>
      <c r="BK31" s="721">
        <v>5</v>
      </c>
      <c r="BL31" s="721">
        <v>10</v>
      </c>
      <c r="BM31" s="721">
        <v>10</v>
      </c>
      <c r="BN31" s="721">
        <v>5</v>
      </c>
      <c r="BO31" s="721">
        <v>10</v>
      </c>
      <c r="BP31" s="722">
        <v>10</v>
      </c>
      <c r="BQ31" s="6"/>
      <c r="BR31" s="714"/>
      <c r="BS31" s="6"/>
      <c r="BT31" s="6"/>
      <c r="BU31" s="786"/>
      <c r="BV31" s="625"/>
      <c r="BW31" s="625"/>
      <c r="BX31" s="625"/>
      <c r="BY31" s="625"/>
      <c r="BZ31" s="625"/>
      <c r="CJ31" s="625"/>
      <c r="CK31" s="625"/>
      <c r="CL31" s="625"/>
      <c r="CM31" s="625"/>
      <c r="CN31" s="625"/>
      <c r="CO31" s="625"/>
      <c r="CP31" s="625"/>
      <c r="CQ31" s="625"/>
      <c r="CR31" s="625"/>
      <c r="CS31" s="625"/>
      <c r="CT31" s="625"/>
      <c r="CU31" s="625"/>
      <c r="CV31" s="625"/>
      <c r="CW31" s="625"/>
      <c r="CX31" s="625"/>
      <c r="CY31" s="625"/>
      <c r="CZ31" s="625"/>
      <c r="DA31" s="625"/>
      <c r="DB31" s="625"/>
      <c r="DC31" s="625"/>
      <c r="DD31" s="625"/>
      <c r="DE31" s="625"/>
      <c r="DF31" s="625"/>
      <c r="DG31" s="625"/>
      <c r="DH31" s="625"/>
      <c r="DI31" s="625"/>
      <c r="DJ31" s="625"/>
      <c r="DK31" s="625"/>
      <c r="DL31" s="625"/>
      <c r="DM31" s="625"/>
      <c r="DN31" s="625"/>
      <c r="DO31" s="625"/>
      <c r="DP31" s="625"/>
      <c r="DQ31" s="625"/>
      <c r="DR31" s="625"/>
      <c r="DS31" s="625"/>
      <c r="DT31" s="625"/>
      <c r="DU31" s="625"/>
      <c r="DV31" s="625"/>
      <c r="DW31" s="625"/>
      <c r="DX31" s="625"/>
      <c r="DY31" s="625"/>
      <c r="DZ31" s="625"/>
      <c r="EA31" s="625"/>
      <c r="EB31" s="625"/>
      <c r="EC31" s="625"/>
      <c r="ED31" s="625"/>
      <c r="EE31" s="625"/>
      <c r="EF31" s="625"/>
      <c r="EG31" s="625"/>
      <c r="EH31" s="625"/>
      <c r="EI31" s="625"/>
      <c r="EJ31" s="625"/>
      <c r="EK31" s="625"/>
      <c r="EL31" s="625"/>
      <c r="EM31" s="625"/>
      <c r="EN31" s="625"/>
      <c r="EO31" s="625"/>
      <c r="EP31" s="625"/>
      <c r="EQ31" s="625"/>
      <c r="ER31" s="625"/>
      <c r="ES31" s="625"/>
      <c r="ET31" s="625"/>
      <c r="EU31" s="625"/>
      <c r="EV31" s="625"/>
      <c r="EW31" s="625"/>
      <c r="EX31" s="625"/>
      <c r="EY31" s="625"/>
      <c r="EZ31" s="625"/>
      <c r="FA31" s="625"/>
      <c r="FB31" s="625"/>
      <c r="FC31" s="625"/>
    </row>
    <row r="32" ht="15" customHeight="1">
      <c r="A32" s="861" t="s">
        <v>776</v>
      </c>
      <c r="B32" s="862"/>
      <c r="C32" s="631"/>
      <c r="D32" s="835" t="str">
        <f>"Premium Buy-up W&amp;D"&amp;IF(OR(E31+E32&lt;E33,F31+F32&lt;F33,G31+G32&lt;G33,H31+H32&lt;H33,I31+I32&lt;I33,J31+J32&lt;J33,K31+K32&lt;K33,L31+L32&lt;L33,M31+M32&lt;M33,N31+N32&lt;N33,O31+O32&lt;O33,P31+P32&lt;P33,)," (Orig Fee + Buy-up below min)","")</f>
        <v>Premium Buy-up W&amp;D</v>
      </c>
      <c r="E32" s="857">
        <f t="shared" si="33" ref="E32:AM43">E33</f>
        <v>0.015</v>
      </c>
      <c r="F32" s="857">
        <f t="shared" si="33"/>
        <v>0.015</v>
      </c>
      <c r="G32" s="857">
        <f t="shared" si="33"/>
        <v>0.015</v>
      </c>
      <c r="H32" s="857">
        <f t="shared" si="33"/>
        <v>0.015</v>
      </c>
      <c r="I32" s="857">
        <f t="shared" si="33"/>
        <v>0.015</v>
      </c>
      <c r="J32" s="857">
        <f t="shared" si="33"/>
        <v>0.015</v>
      </c>
      <c r="K32" s="857">
        <f t="shared" si="33"/>
        <v>0.015</v>
      </c>
      <c r="L32" s="857">
        <f t="shared" si="33"/>
        <v>0.015</v>
      </c>
      <c r="M32" s="857">
        <f t="shared" si="33"/>
        <v>0.015</v>
      </c>
      <c r="N32" s="857">
        <f t="shared" si="33"/>
        <v>0.015</v>
      </c>
      <c r="O32" s="857">
        <f t="shared" si="33"/>
        <v>0.015</v>
      </c>
      <c r="P32" s="857">
        <f t="shared" si="33"/>
        <v>0.015</v>
      </c>
      <c r="Q32" s="631"/>
      <c r="R32" s="857">
        <v>0.01</v>
      </c>
      <c r="S32" s="857">
        <v>0.01</v>
      </c>
      <c r="T32" s="857">
        <v>0.01</v>
      </c>
      <c r="U32" s="857">
        <v>0.01</v>
      </c>
      <c r="V32" s="857">
        <v>0.01</v>
      </c>
      <c r="W32" s="857">
        <v>0.01</v>
      </c>
      <c r="X32" s="857">
        <v>0.01</v>
      </c>
      <c r="Y32" s="863">
        <v>0.01</v>
      </c>
      <c r="Z32" s="631"/>
      <c r="AA32" s="864">
        <v>0.01</v>
      </c>
      <c r="AB32" s="864">
        <v>0.01</v>
      </c>
      <c r="AC32" s="864">
        <v>0.01</v>
      </c>
      <c r="AD32" s="864">
        <v>0.01</v>
      </c>
      <c r="AE32" s="864">
        <v>0.01</v>
      </c>
      <c r="AF32" s="864">
        <v>0.01</v>
      </c>
      <c r="AG32" s="864">
        <v>0.01</v>
      </c>
      <c r="AH32" s="864">
        <v>0.01</v>
      </c>
      <c r="AI32" s="632"/>
      <c r="AJ32" s="633" t="str">
        <f>IF(AJ30="If Refinance","Existing Mortgage (UPB)",IF(AJ30="If Construction","Construction Cost","Acquisition Price"))</f>
        <v>Existing Mortgage (UPB)</v>
      </c>
      <c r="AK32" s="865">
        <f>AQ7</f>
        <v>0</v>
      </c>
      <c r="AL32" s="632"/>
      <c r="AM32" s="866" t="s">
        <v>552</v>
      </c>
      <c r="AN32" s="867" t="s">
        <v>778</v>
      </c>
      <c r="AO32" s="632"/>
      <c r="AP32" s="632" t="s">
        <v>779</v>
      </c>
      <c r="AQ32" s="685"/>
      <c r="AR32" s="783">
        <f>AQ11</f>
        <v>0</v>
      </c>
      <c r="AS32" s="868">
        <f t="shared" si="36" ref="AS32:AS33">AQ32-AR32</f>
        <v>0</v>
      </c>
      <c r="AT32" s="632"/>
      <c r="AU32" s="797">
        <v>30</v>
      </c>
      <c r="AV32" s="798">
        <v>15</v>
      </c>
      <c r="AW32" s="838">
        <f t="shared" si="27"/>
        <v>0.013</v>
      </c>
      <c r="AX32" s="869">
        <f t="shared" si="34"/>
        <v>0.043957</v>
      </c>
      <c r="AY32" s="755">
        <v>0.013</v>
      </c>
      <c r="AZ32" s="756">
        <f>DailyPricing!E49</f>
        <v>0.0172</v>
      </c>
      <c r="BA32" s="756">
        <f t="shared" si="10"/>
        <v>0.074157</v>
      </c>
      <c r="BB32" s="756">
        <f>DailyPricing!E132</f>
        <v>0.0131</v>
      </c>
      <c r="BC32" s="756">
        <f t="shared" si="10"/>
        <v>0.07005700000000001</v>
      </c>
      <c r="BD32" s="785"/>
      <c r="BE32" s="786"/>
      <c r="BF32" s="787"/>
      <c r="BG32" s="786"/>
      <c r="BH32" s="786"/>
      <c r="BI32" s="688"/>
      <c r="BJ32" s="711"/>
      <c r="BK32" s="712"/>
      <c r="BL32" s="712"/>
      <c r="BM32" s="712"/>
      <c r="BN32" s="712"/>
      <c r="BO32" s="712"/>
      <c r="BP32" s="713"/>
      <c r="BQ32" s="6"/>
      <c r="BR32" s="714"/>
      <c r="BS32" s="6"/>
      <c r="BT32" s="6"/>
      <c r="BU32" s="786"/>
      <c r="BV32" s="625"/>
      <c r="BW32" s="625"/>
      <c r="BX32" s="625"/>
      <c r="BY32" s="625"/>
      <c r="BZ32" s="625"/>
      <c r="CJ32" s="625"/>
      <c r="CK32" s="625"/>
      <c r="CL32" s="625"/>
      <c r="CM32" s="625"/>
      <c r="CN32" s="625"/>
      <c r="CO32" s="625"/>
      <c r="CP32" s="625"/>
      <c r="CQ32" s="625"/>
      <c r="CR32" s="625"/>
      <c r="CS32" s="625"/>
      <c r="CT32" s="625"/>
      <c r="CU32" s="625"/>
      <c r="CV32" s="625"/>
      <c r="CW32" s="625"/>
      <c r="CX32" s="625"/>
      <c r="CY32" s="625"/>
      <c r="CZ32" s="625"/>
      <c r="DA32" s="625"/>
      <c r="DB32" s="625"/>
      <c r="DC32" s="625"/>
      <c r="DD32" s="625"/>
      <c r="DE32" s="625"/>
      <c r="DF32" s="625"/>
      <c r="DG32" s="625"/>
      <c r="DH32" s="625"/>
      <c r="DI32" s="625"/>
      <c r="DJ32" s="625"/>
      <c r="DK32" s="625"/>
      <c r="DL32" s="625"/>
      <c r="DM32" s="625"/>
      <c r="DN32" s="625"/>
      <c r="DO32" s="625"/>
      <c r="DP32" s="625"/>
      <c r="DQ32" s="625"/>
      <c r="DR32" s="625"/>
      <c r="DS32" s="625"/>
      <c r="DT32" s="625"/>
      <c r="DU32" s="625"/>
      <c r="DV32" s="625"/>
      <c r="DW32" s="625"/>
      <c r="DX32" s="625"/>
      <c r="DY32" s="625"/>
      <c r="DZ32" s="625"/>
      <c r="EA32" s="625"/>
      <c r="EB32" s="625"/>
      <c r="EC32" s="625"/>
      <c r="ED32" s="625"/>
      <c r="EE32" s="625"/>
      <c r="EF32" s="625"/>
      <c r="EG32" s="625"/>
      <c r="EH32" s="625"/>
      <c r="EI32" s="625"/>
      <c r="EJ32" s="625"/>
      <c r="EK32" s="625"/>
      <c r="EL32" s="625"/>
      <c r="EM32" s="625"/>
      <c r="EN32" s="625"/>
      <c r="EO32" s="625"/>
      <c r="EP32" s="625"/>
      <c r="EQ32" s="625"/>
      <c r="ER32" s="625"/>
      <c r="ES32" s="625"/>
      <c r="ET32" s="625"/>
      <c r="EU32" s="625"/>
      <c r="EV32" s="625"/>
      <c r="EW32" s="625"/>
      <c r="EX32" s="625"/>
      <c r="EY32" s="625"/>
      <c r="EZ32" s="625"/>
      <c r="FA32" s="625"/>
      <c r="FB32" s="625"/>
      <c r="FC32" s="625"/>
    </row>
    <row r="33" ht="15.75" customHeight="1">
      <c r="A33" s="861" t="s">
        <v>780</v>
      </c>
      <c r="B33" s="831"/>
      <c r="C33" s="631"/>
      <c r="D33" s="845" t="s">
        <v>781</v>
      </c>
      <c r="E33" s="870">
        <f t="shared" si="35" ref="E33:P33">IF(E25&lt;2500000,1.5%,IF(AND(E25&gt;=2500000,E25&lt;5000000),1.25%,IF(AND(E25&gt;=5000000,E25&lt;7500000),1%,0)))</f>
        <v>0.015</v>
      </c>
      <c r="F33" s="870">
        <f t="shared" si="35"/>
        <v>0.015</v>
      </c>
      <c r="G33" s="870">
        <f t="shared" si="35"/>
        <v>0.015</v>
      </c>
      <c r="H33" s="870">
        <f t="shared" si="35"/>
        <v>0.015</v>
      </c>
      <c r="I33" s="870">
        <f t="shared" si="35"/>
        <v>0.015</v>
      </c>
      <c r="J33" s="870">
        <f t="shared" si="35"/>
        <v>0.015</v>
      </c>
      <c r="K33" s="870">
        <f t="shared" si="35"/>
        <v>0.015</v>
      </c>
      <c r="L33" s="870">
        <f t="shared" si="35"/>
        <v>0.015</v>
      </c>
      <c r="M33" s="870">
        <f t="shared" si="35"/>
        <v>0.015</v>
      </c>
      <c r="N33" s="870">
        <f t="shared" si="35"/>
        <v>0.015</v>
      </c>
      <c r="O33" s="870">
        <f t="shared" si="35"/>
        <v>0.015</v>
      </c>
      <c r="P33" s="870">
        <f t="shared" si="35"/>
        <v>0.015</v>
      </c>
      <c r="Q33" s="631"/>
      <c r="R33" s="631"/>
      <c r="S33" s="631"/>
      <c r="T33" s="631"/>
      <c r="U33" s="631"/>
      <c r="V33" s="631"/>
      <c r="W33" s="631"/>
      <c r="X33" s="631"/>
      <c r="Y33" s="631"/>
      <c r="Z33" s="631"/>
      <c r="AA33" s="631"/>
      <c r="AB33" s="631"/>
      <c r="AC33" s="631"/>
      <c r="AD33" s="631"/>
      <c r="AE33" s="631"/>
      <c r="AF33" s="631"/>
      <c r="AG33" s="631"/>
      <c r="AH33" s="631"/>
      <c r="AI33" s="632"/>
      <c r="AJ33" s="633" t="s">
        <v>328</v>
      </c>
      <c r="AK33" s="865">
        <f>AQ21</f>
        <v>0</v>
      </c>
      <c r="AL33" s="632"/>
      <c r="AM33" s="866" t="s">
        <v>782</v>
      </c>
      <c r="AN33" s="867"/>
      <c r="AO33" s="632"/>
      <c r="AP33" s="632" t="s">
        <v>783</v>
      </c>
      <c r="AQ33" s="685"/>
      <c r="AR33" s="783">
        <f>AQ13/12*9</f>
        <v>0</v>
      </c>
      <c r="AS33" s="868">
        <f t="shared" si="36"/>
        <v>0</v>
      </c>
      <c r="AT33" s="632"/>
      <c r="AU33" s="803" t="s">
        <v>635</v>
      </c>
      <c r="AV33" s="804" t="s">
        <v>636</v>
      </c>
      <c r="AW33" s="748"/>
      <c r="AX33" s="871"/>
      <c r="AY33" s="805"/>
      <c r="AZ33" s="807"/>
      <c r="BA33" s="808"/>
      <c r="BB33" s="807"/>
      <c r="BC33" s="808"/>
      <c r="BD33" s="808"/>
      <c r="BE33" s="807"/>
      <c r="BF33" s="807"/>
      <c r="BG33" s="807"/>
      <c r="BH33" s="807"/>
      <c r="BI33" s="27"/>
      <c r="BJ33" s="720" t="s">
        <v>784</v>
      </c>
      <c r="BK33" s="721" t="s">
        <v>785</v>
      </c>
      <c r="BL33" s="721" t="s">
        <v>174</v>
      </c>
      <c r="BM33" s="721" t="s">
        <v>174</v>
      </c>
      <c r="BN33" s="721" t="s">
        <v>786</v>
      </c>
      <c r="BO33" s="721" t="s">
        <v>174</v>
      </c>
      <c r="BP33" s="722" t="s">
        <v>174</v>
      </c>
      <c r="BQ33" s="6"/>
      <c r="BR33" s="714"/>
      <c r="BS33" s="6"/>
      <c r="BT33" s="6"/>
      <c r="BU33" s="786"/>
      <c r="BV33" s="625"/>
      <c r="BW33" s="625"/>
      <c r="BX33" s="625"/>
      <c r="BY33" s="625"/>
      <c r="BZ33" s="625"/>
      <c r="CJ33" s="625"/>
      <c r="CK33" s="625"/>
      <c r="CL33" s="625"/>
      <c r="CM33" s="625"/>
      <c r="CN33" s="625"/>
      <c r="CO33" s="625"/>
      <c r="CP33" s="625"/>
      <c r="CQ33" s="625"/>
      <c r="CR33" s="625"/>
      <c r="CS33" s="625"/>
      <c r="CT33" s="625"/>
      <c r="CU33" s="625"/>
      <c r="CV33" s="625"/>
      <c r="CW33" s="625"/>
      <c r="CX33" s="625"/>
      <c r="CY33" s="625"/>
      <c r="CZ33" s="625"/>
      <c r="DA33" s="625"/>
      <c r="DB33" s="625"/>
      <c r="DC33" s="625"/>
      <c r="DD33" s="625"/>
      <c r="DE33" s="625"/>
      <c r="DF33" s="625"/>
      <c r="DG33" s="625"/>
      <c r="DH33" s="625"/>
      <c r="DI33" s="625"/>
      <c r="DJ33" s="625"/>
      <c r="DK33" s="625"/>
      <c r="DL33" s="625"/>
      <c r="DM33" s="625"/>
      <c r="DN33" s="625"/>
      <c r="DO33" s="625"/>
      <c r="DP33" s="625"/>
      <c r="DQ33" s="625"/>
      <c r="DR33" s="625"/>
      <c r="DS33" s="625"/>
      <c r="DT33" s="625"/>
      <c r="DU33" s="625"/>
      <c r="DV33" s="625"/>
      <c r="DW33" s="625"/>
      <c r="DX33" s="625"/>
      <c r="DY33" s="625"/>
      <c r="DZ33" s="625"/>
      <c r="EA33" s="625"/>
      <c r="EB33" s="625"/>
      <c r="EC33" s="625"/>
      <c r="ED33" s="625"/>
      <c r="EE33" s="625"/>
      <c r="EF33" s="625"/>
      <c r="EG33" s="625"/>
      <c r="EH33" s="625"/>
      <c r="EI33" s="625"/>
      <c r="EJ33" s="625"/>
      <c r="EK33" s="625"/>
      <c r="EL33" s="625"/>
      <c r="EM33" s="625"/>
      <c r="EN33" s="625"/>
      <c r="EO33" s="625"/>
      <c r="EP33" s="625"/>
      <c r="EQ33" s="625"/>
      <c r="ER33" s="625"/>
      <c r="ES33" s="625"/>
      <c r="ET33" s="625"/>
      <c r="EU33" s="625"/>
      <c r="EV33" s="625"/>
      <c r="EW33" s="625"/>
      <c r="EX33" s="625"/>
      <c r="EY33" s="625"/>
      <c r="EZ33" s="625"/>
      <c r="FA33" s="625"/>
      <c r="FB33" s="625"/>
      <c r="FC33" s="625"/>
    </row>
    <row r="34" ht="15" customHeight="1">
      <c r="A34" s="861" t="str">
        <f>"Is Highly Affordable "&amp;IF(number_units&gt;50,"(≥ 75% at ≤ 80% AMI)","(≥ 50% at ≤ 80% AMI)")</f>
        <v>Is Highly Affordable (≥ 75% at ≤ 80% AMI)</v>
      </c>
      <c r="B34" s="834" t="str">
        <f>_xlfn.LET(_xlpm.is_5_50_units,AND(number_units&gt;=5,number_units&lt;=50),_xlpm.is_over_50_units,number_units&gt;50,IF(_xlpm.is_5_50_units,IF('Data Page'!AZ15,"Yes","No"),IF(_xlpm.is_over_50_units,IF('Data Page'!AZ13,"Yes","No"),"No")))</f>
        <v>No</v>
      </c>
      <c r="C34" s="631"/>
      <c r="D34" s="872" t="s">
        <v>788</v>
      </c>
      <c r="E34" s="873">
        <f t="shared" si="37" ref="E34:P34">IF(AND(2500000&lt;=E30,E30&lt;=5000000,E32&gt;0.025),(E32-0.025)/2,IF(AND(E30&gt;5000000,E30&lt;=6000000,E32&gt;0.02),(E32-0.02)/2,IF(AND(E30&gt;6000000,E30&lt;=7500000,E32&gt;0.015),(E32-0.015)/2,IF(E32&gt;0.03,3*((E32-0.03)/4),0))))</f>
        <v>0</v>
      </c>
      <c r="F34" s="873">
        <f t="shared" si="37"/>
        <v>0</v>
      </c>
      <c r="G34" s="873">
        <f t="shared" si="37"/>
        <v>0</v>
      </c>
      <c r="H34" s="873">
        <f t="shared" si="37"/>
        <v>0</v>
      </c>
      <c r="I34" s="873">
        <f t="shared" si="37"/>
        <v>0</v>
      </c>
      <c r="J34" s="873">
        <f t="shared" si="37"/>
        <v>0</v>
      </c>
      <c r="K34" s="873">
        <f t="shared" si="37"/>
        <v>0</v>
      </c>
      <c r="L34" s="873">
        <f t="shared" si="37"/>
        <v>0</v>
      </c>
      <c r="M34" s="873">
        <f t="shared" si="37"/>
        <v>0</v>
      </c>
      <c r="N34" s="873">
        <f t="shared" si="37"/>
        <v>0</v>
      </c>
      <c r="O34" s="873">
        <f t="shared" si="37"/>
        <v>0</v>
      </c>
      <c r="P34" s="873">
        <f t="shared" si="37"/>
        <v>0</v>
      </c>
      <c r="Q34" s="631"/>
      <c r="R34" s="652">
        <f t="shared" si="38" ref="R34:Y34">_xlfn.LET(_xlpm.LoanAmt,R$30,_xlpm.BuyUpPremium,R$32,IF(_xlpm.LoanAmt&lt;1000000,0,IF(_xlpm.LoanAmt&lt;3000000,IF(((_xlpm.BuyUpPremium-2%)*_xlpm.LoanAmt)&lt;0,0,(_xlpm.BuyUpPremium-2%)*_xlpm.LoanAmt)/2,IF(((_xlpm.BuyUpPremium-1%)*_xlpm.LoanAmt)&lt;0,0,(_xlpm.BuyUpPremium-1%)*_xlpm.LoanAmt)/2)))</f>
        <v>0</v>
      </c>
      <c r="S34" s="652">
        <f t="shared" si="38"/>
        <v>0</v>
      </c>
      <c r="T34" s="652">
        <f t="shared" si="38"/>
        <v>0</v>
      </c>
      <c r="U34" s="652">
        <f t="shared" si="38"/>
        <v>0</v>
      </c>
      <c r="V34" s="652">
        <f t="shared" si="38"/>
        <v>0</v>
      </c>
      <c r="W34" s="652">
        <f t="shared" si="38"/>
        <v>0</v>
      </c>
      <c r="X34" s="652">
        <f t="shared" si="38"/>
        <v>0</v>
      </c>
      <c r="Y34" s="652">
        <f t="shared" si="38"/>
        <v>0</v>
      </c>
      <c r="Z34" s="631"/>
      <c r="AA34" s="874"/>
      <c r="AB34" s="874"/>
      <c r="AC34" s="874"/>
      <c r="AD34" s="874"/>
      <c r="AE34" s="874"/>
      <c r="AF34" s="874"/>
      <c r="AG34" s="874"/>
      <c r="AH34" s="874"/>
      <c r="AI34" s="875"/>
      <c r="AJ34" s="633" t="s">
        <v>335</v>
      </c>
      <c r="AK34" s="865">
        <v>0</v>
      </c>
      <c r="AL34" s="632"/>
      <c r="AM34" s="866" t="s">
        <v>789</v>
      </c>
      <c r="AN34" s="867"/>
      <c r="AO34" s="632"/>
      <c r="AP34" s="632"/>
      <c r="AQ34" s="632"/>
      <c r="AR34" s="632"/>
      <c r="AS34" s="632"/>
      <c r="AT34" s="632"/>
      <c r="AU34" s="811">
        <v>5</v>
      </c>
      <c r="AV34" s="762">
        <v>3</v>
      </c>
      <c r="AW34" s="813">
        <f t="shared" si="27"/>
        <v>0.0129</v>
      </c>
      <c r="AX34" s="813">
        <f>'SBL Quotes'!$BA$5</f>
        <v>0.044509</v>
      </c>
      <c r="AY34" s="755">
        <v>0.007</v>
      </c>
      <c r="AZ34" s="787">
        <f>DailyPricing!E50</f>
        <v>0.018</v>
      </c>
      <c r="BA34" s="756">
        <f t="shared" si="10"/>
        <v>0.075409</v>
      </c>
      <c r="BB34" s="787">
        <f>DailyPricing!E133</f>
        <v>0.0139</v>
      </c>
      <c r="BC34" s="756">
        <f t="shared" si="10"/>
        <v>0.071309</v>
      </c>
      <c r="BD34" s="785"/>
      <c r="BE34" s="786"/>
      <c r="BF34" s="787"/>
      <c r="BG34" s="786"/>
      <c r="BH34" s="786"/>
      <c r="BI34" s="27"/>
      <c r="BJ34" s="711" t="s">
        <v>757</v>
      </c>
      <c r="BK34" s="712">
        <v>30</v>
      </c>
      <c r="BL34" s="712">
        <v>0</v>
      </c>
      <c r="BM34" s="712">
        <v>0</v>
      </c>
      <c r="BN34" s="712">
        <v>30</v>
      </c>
      <c r="BO34" s="712">
        <v>0</v>
      </c>
      <c r="BP34" s="713">
        <v>0</v>
      </c>
      <c r="BQ34" s="6"/>
      <c r="BR34" s="714"/>
      <c r="BS34" s="6"/>
      <c r="BT34" s="6"/>
      <c r="BU34" s="786"/>
      <c r="BV34" s="625"/>
      <c r="BW34" s="625"/>
      <c r="BX34" s="625"/>
      <c r="BY34" s="625"/>
      <c r="BZ34" s="625"/>
      <c r="CJ34" s="625"/>
      <c r="CK34" s="625"/>
      <c r="CL34" s="625"/>
      <c r="CM34" s="625"/>
      <c r="CN34" s="625"/>
      <c r="CO34" s="625"/>
      <c r="CP34" s="625"/>
      <c r="CQ34" s="625"/>
      <c r="CR34" s="625"/>
      <c r="CS34" s="625"/>
      <c r="CT34" s="625"/>
      <c r="CU34" s="625"/>
      <c r="CV34" s="625"/>
      <c r="CW34" s="625"/>
      <c r="CX34" s="625"/>
      <c r="CY34" s="625"/>
      <c r="CZ34" s="625"/>
      <c r="DA34" s="625"/>
      <c r="DB34" s="625"/>
      <c r="DC34" s="625"/>
      <c r="DD34" s="625"/>
      <c r="DE34" s="625"/>
      <c r="DF34" s="625"/>
      <c r="DG34" s="625"/>
      <c r="DH34" s="625"/>
      <c r="DI34" s="625"/>
      <c r="DJ34" s="625"/>
      <c r="DK34" s="625"/>
      <c r="DL34" s="625"/>
      <c r="DM34" s="625"/>
      <c r="DN34" s="625"/>
      <c r="DO34" s="625"/>
      <c r="DP34" s="625"/>
      <c r="DQ34" s="625"/>
      <c r="DR34" s="625"/>
      <c r="DS34" s="625"/>
      <c r="DT34" s="625"/>
      <c r="DU34" s="625"/>
      <c r="DV34" s="625"/>
      <c r="DW34" s="625"/>
      <c r="DX34" s="625"/>
      <c r="DY34" s="625"/>
      <c r="DZ34" s="625"/>
      <c r="EA34" s="625"/>
      <c r="EB34" s="625"/>
      <c r="EC34" s="625"/>
      <c r="ED34" s="625"/>
      <c r="EE34" s="625"/>
      <c r="EF34" s="625"/>
      <c r="EG34" s="625"/>
      <c r="EH34" s="625"/>
      <c r="EI34" s="625"/>
      <c r="EJ34" s="625"/>
      <c r="EK34" s="625"/>
      <c r="EL34" s="625"/>
      <c r="EM34" s="625"/>
      <c r="EN34" s="625"/>
      <c r="EO34" s="625"/>
      <c r="EP34" s="625"/>
      <c r="EQ34" s="625"/>
      <c r="ER34" s="625"/>
      <c r="ES34" s="625"/>
      <c r="ET34" s="625"/>
      <c r="EU34" s="625"/>
      <c r="EV34" s="625"/>
      <c r="EW34" s="625"/>
      <c r="EX34" s="625"/>
      <c r="EY34" s="625"/>
      <c r="EZ34" s="625"/>
      <c r="FA34" s="625"/>
      <c r="FB34" s="625"/>
      <c r="FC34" s="625"/>
    </row>
    <row r="35" ht="15" customHeight="1">
      <c r="A35" s="861" t="s">
        <v>790</v>
      </c>
      <c r="B35" s="831" t="str">
        <f>IF('Data Page'!BA13,"Yes","No")</f>
        <v>No</v>
      </c>
      <c r="C35" s="631"/>
      <c r="D35" s="631" t="s">
        <v>791</v>
      </c>
      <c r="E35" s="857">
        <v>0</v>
      </c>
      <c r="F35" s="857">
        <v>0</v>
      </c>
      <c r="G35" s="857">
        <v>0</v>
      </c>
      <c r="H35" s="857">
        <v>0</v>
      </c>
      <c r="I35" s="857">
        <v>0</v>
      </c>
      <c r="J35" s="857">
        <v>0</v>
      </c>
      <c r="K35" s="857">
        <v>0</v>
      </c>
      <c r="L35" s="857">
        <v>0</v>
      </c>
      <c r="M35" s="857">
        <v>0</v>
      </c>
      <c r="N35" s="857">
        <v>0</v>
      </c>
      <c r="O35" s="857">
        <v>0</v>
      </c>
      <c r="P35" s="857">
        <v>0</v>
      </c>
      <c r="Q35" s="632"/>
      <c r="R35" s="632"/>
      <c r="S35" s="632"/>
      <c r="T35" s="632"/>
      <c r="U35" s="632"/>
      <c r="V35" s="632"/>
      <c r="W35" s="632"/>
      <c r="X35" s="632"/>
      <c r="Y35" s="632"/>
      <c r="Z35" s="632"/>
      <c r="AA35" s="857">
        <v>0</v>
      </c>
      <c r="AB35" s="857">
        <v>0</v>
      </c>
      <c r="AC35" s="857">
        <v>0</v>
      </c>
      <c r="AD35" s="857">
        <v>0</v>
      </c>
      <c r="AE35" s="857">
        <v>0</v>
      </c>
      <c r="AF35" s="857">
        <v>0</v>
      </c>
      <c r="AG35" s="857">
        <v>0</v>
      </c>
      <c r="AH35" s="857">
        <v>0</v>
      </c>
      <c r="AI35" s="875"/>
      <c r="AJ35" s="633" t="str">
        <f>IF(AJ30="if Refinance","Prepayment Penalty Amount","N/A")</f>
        <v>Prepayment Penalty Amount</v>
      </c>
      <c r="AK35" s="865">
        <v>0</v>
      </c>
      <c r="AL35" s="632"/>
      <c r="AM35" s="866" t="s">
        <v>792</v>
      </c>
      <c r="AN35" s="867"/>
      <c r="AO35" s="632"/>
      <c r="AP35" s="632"/>
      <c r="AQ35" s="632"/>
      <c r="AR35" s="632"/>
      <c r="AS35" s="632"/>
      <c r="AT35" s="632"/>
      <c r="AU35" s="820">
        <v>7</v>
      </c>
      <c r="AV35" s="762">
        <v>5</v>
      </c>
      <c r="AW35" s="822">
        <f t="shared" si="27"/>
        <v>0.0129</v>
      </c>
      <c r="AX35" s="822">
        <f>'SBL Quotes'!$BB$5</f>
        <v>0.044065</v>
      </c>
      <c r="AY35" s="755">
        <v>0.008</v>
      </c>
      <c r="AZ35" s="787">
        <f>DailyPricing!E51</f>
        <v>0.0176</v>
      </c>
      <c r="BA35" s="756">
        <f t="shared" si="10"/>
        <v>0.074565</v>
      </c>
      <c r="BB35" s="787">
        <f>DailyPricing!E134</f>
        <v>0.0135</v>
      </c>
      <c r="BC35" s="756">
        <f t="shared" si="10"/>
        <v>0.070465</v>
      </c>
      <c r="BD35" s="785"/>
      <c r="BE35" s="786"/>
      <c r="BF35" s="823"/>
      <c r="BG35" s="786"/>
      <c r="BH35" s="786"/>
      <c r="BI35" s="688"/>
      <c r="BJ35" s="720"/>
      <c r="BK35" s="721"/>
      <c r="BL35" s="721"/>
      <c r="BM35" s="721"/>
      <c r="BN35" s="721"/>
      <c r="BO35" s="721"/>
      <c r="BP35" s="722"/>
      <c r="BQ35" s="6"/>
      <c r="BR35" s="714"/>
      <c r="BS35" s="6"/>
      <c r="BT35" s="6"/>
      <c r="BU35" s="786"/>
      <c r="BV35" s="625"/>
      <c r="BW35" s="625"/>
      <c r="BX35" s="625"/>
      <c r="BY35" s="625"/>
      <c r="BZ35" s="625"/>
      <c r="CJ35" s="625"/>
      <c r="CK35" s="625"/>
      <c r="CL35" s="625"/>
      <c r="CM35" s="625"/>
      <c r="CN35" s="625"/>
      <c r="CO35" s="625"/>
      <c r="CP35" s="625"/>
      <c r="CQ35" s="625"/>
      <c r="CR35" s="625"/>
      <c r="CS35" s="625"/>
      <c r="CT35" s="625"/>
      <c r="CU35" s="625"/>
      <c r="CV35" s="625"/>
      <c r="CW35" s="625"/>
      <c r="CX35" s="625"/>
      <c r="CY35" s="625"/>
      <c r="CZ35" s="625"/>
      <c r="DA35" s="625"/>
      <c r="DB35" s="625"/>
      <c r="DC35" s="625"/>
      <c r="DD35" s="625"/>
      <c r="DE35" s="625"/>
      <c r="DF35" s="625"/>
      <c r="DG35" s="625"/>
      <c r="DH35" s="625"/>
      <c r="DI35" s="625"/>
      <c r="DJ35" s="625"/>
      <c r="DK35" s="625"/>
      <c r="DL35" s="625"/>
      <c r="DM35" s="625"/>
      <c r="DN35" s="625"/>
      <c r="DO35" s="625"/>
      <c r="DP35" s="625"/>
      <c r="DQ35" s="625"/>
      <c r="DR35" s="625"/>
      <c r="DS35" s="625"/>
      <c r="DT35" s="625"/>
      <c r="DU35" s="625"/>
      <c r="DV35" s="625"/>
      <c r="DW35" s="625"/>
      <c r="DX35" s="625"/>
      <c r="DY35" s="625"/>
      <c r="DZ35" s="625"/>
      <c r="EA35" s="625"/>
      <c r="EB35" s="625"/>
      <c r="EC35" s="625"/>
      <c r="ED35" s="625"/>
      <c r="EE35" s="625"/>
      <c r="EF35" s="625"/>
      <c r="EG35" s="625"/>
      <c r="EH35" s="625"/>
      <c r="EI35" s="625"/>
      <c r="EJ35" s="625"/>
      <c r="EK35" s="625"/>
      <c r="EL35" s="625"/>
      <c r="EM35" s="625"/>
      <c r="EN35" s="625"/>
      <c r="EO35" s="625"/>
      <c r="EP35" s="625"/>
      <c r="EQ35" s="625"/>
      <c r="ER35" s="625"/>
      <c r="ES35" s="625"/>
      <c r="ET35" s="625"/>
      <c r="EU35" s="625"/>
      <c r="EV35" s="625"/>
      <c r="EW35" s="625"/>
      <c r="EX35" s="625"/>
      <c r="EY35" s="625"/>
      <c r="EZ35" s="625"/>
      <c r="FA35" s="625"/>
      <c r="FB35" s="625"/>
      <c r="FC35" s="625"/>
    </row>
    <row r="36" ht="15" customHeight="1">
      <c r="A36" s="861" t="s">
        <v>793</v>
      </c>
      <c r="B36" s="831" t="s">
        <v>451</v>
      </c>
      <c r="C36" s="631"/>
      <c r="D36" s="876" t="str">
        <f>"Total Origination Fee"</f>
        <v>Total Origination Fee</v>
      </c>
      <c r="E36" s="877">
        <f t="shared" si="39" ref="E36:P36">(E31+E32-E34-E35)*E30</f>
        <v>0</v>
      </c>
      <c r="F36" s="877">
        <f t="shared" si="39"/>
        <v>0</v>
      </c>
      <c r="G36" s="877">
        <f t="shared" si="39"/>
        <v>0</v>
      </c>
      <c r="H36" s="877">
        <f t="shared" si="39"/>
        <v>0</v>
      </c>
      <c r="I36" s="877">
        <f t="shared" si="39"/>
        <v>0</v>
      </c>
      <c r="J36" s="877">
        <f t="shared" si="39"/>
        <v>0</v>
      </c>
      <c r="K36" s="877">
        <f t="shared" si="39"/>
        <v>0</v>
      </c>
      <c r="L36" s="877">
        <f t="shared" si="39"/>
        <v>0</v>
      </c>
      <c r="M36" s="877">
        <f t="shared" si="39"/>
        <v>0</v>
      </c>
      <c r="N36" s="877">
        <f t="shared" si="39"/>
        <v>0</v>
      </c>
      <c r="O36" s="877">
        <f t="shared" si="39"/>
        <v>0</v>
      </c>
      <c r="P36" s="877">
        <f t="shared" si="39"/>
        <v>0</v>
      </c>
      <c r="Q36" s="631"/>
      <c r="R36" s="877">
        <f t="shared" si="40" ref="R36:Y36">(R31+R32)*R30-R34</f>
        <v>0</v>
      </c>
      <c r="S36" s="877">
        <f t="shared" si="40"/>
        <v>0</v>
      </c>
      <c r="T36" s="877">
        <f t="shared" si="40"/>
        <v>0</v>
      </c>
      <c r="U36" s="877">
        <f t="shared" si="40"/>
        <v>0</v>
      </c>
      <c r="V36" s="877">
        <f t="shared" si="40"/>
        <v>0</v>
      </c>
      <c r="W36" s="877">
        <f t="shared" si="40"/>
        <v>0</v>
      </c>
      <c r="X36" s="877">
        <f t="shared" si="40"/>
        <v>0</v>
      </c>
      <c r="Y36" s="877">
        <f t="shared" si="40"/>
        <v>0</v>
      </c>
      <c r="Z36" s="631"/>
      <c r="AA36" s="878" t="str">
        <f t="shared" si="41" ref="AA36:AH36">_xlfn.LET(_xlpm.LoanAmount,AA30,_xlpm.OriginationFeePcnt,AA31,_xlpm.Premium,AA32,_xlpm.BrokerFee,AA35,_xlpm.OriginationFee,_xlpm.LoanAmount*(_xlpm.OriginationFeePcnt+_xlpm.Premium)-_xlpm.BrokerFee,_xlpm.OriginationFeeAsText,TEXT(_xlpm.OriginationFee,"$#,##0"),_xlpm.MinimumFee,25000,_xlpm.OriginationFeeAsText&amp;IF(AND(_xlpm.OriginationFee&gt;0,_xlpm.OriginationFee&lt;_xlpm.MinimumFee)," (&lt; $25k)",""))</f>
        <v>$0</v>
      </c>
      <c r="AB36" s="878" t="str">
        <f t="shared" si="41"/>
        <v>$0</v>
      </c>
      <c r="AC36" s="878" t="str">
        <f t="shared" si="41"/>
        <v>$0</v>
      </c>
      <c r="AD36" s="878" t="str">
        <f t="shared" si="41"/>
        <v>$0</v>
      </c>
      <c r="AE36" s="878" t="str">
        <f t="shared" si="41"/>
        <v>$0</v>
      </c>
      <c r="AF36" s="878" t="str">
        <f t="shared" si="41"/>
        <v>$0</v>
      </c>
      <c r="AG36" s="878" t="str">
        <f t="shared" si="41"/>
        <v>$0</v>
      </c>
      <c r="AH36" s="878" t="str">
        <f t="shared" si="41"/>
        <v>$0</v>
      </c>
      <c r="AI36" s="875"/>
      <c r="AJ36" s="633" t="str">
        <f>"Total "&amp;IF(AJ30="If Construction","Construction",IF(AJ30="If Refinance","Refinance","Acquisition"))&amp;" Cost"</f>
        <v>Total Refinance Cost</v>
      </c>
      <c r="AK36" s="879">
        <f>AK32+AK33+AK34+AK35</f>
        <v>0</v>
      </c>
      <c r="AL36" s="632"/>
      <c r="AM36" s="866" t="s">
        <v>796</v>
      </c>
      <c r="AN36" s="867"/>
      <c r="AO36" s="632"/>
      <c r="AP36" s="632"/>
      <c r="AQ36" s="632"/>
      <c r="AR36" s="632"/>
      <c r="AS36" s="632"/>
      <c r="AT36" s="632"/>
      <c r="AU36" s="880">
        <v>10</v>
      </c>
      <c r="AV36" s="798">
        <v>7</v>
      </c>
      <c r="AW36" s="869">
        <f t="shared" si="27"/>
        <v>0.0133</v>
      </c>
      <c r="AX36" s="869">
        <f>'SBL Quotes'!$BC$5</f>
        <v>0.043144</v>
      </c>
      <c r="AY36" s="881">
        <v>0.009</v>
      </c>
      <c r="AZ36" s="787">
        <f>DailyPricing!E52</f>
        <v>0.0172</v>
      </c>
      <c r="BA36" s="882">
        <f t="shared" si="10"/>
        <v>0.073644</v>
      </c>
      <c r="BB36" s="787">
        <f>DailyPricing!E135</f>
        <v>0.0131</v>
      </c>
      <c r="BC36" s="882">
        <f t="shared" si="10"/>
        <v>0.069544</v>
      </c>
      <c r="BD36" s="883"/>
      <c r="BE36" s="884"/>
      <c r="BF36" s="885"/>
      <c r="BG36" s="884"/>
      <c r="BH36" s="884"/>
      <c r="BI36" s="27"/>
      <c r="BJ36" s="711" t="s">
        <v>797</v>
      </c>
      <c r="BK36" s="712">
        <v>15</v>
      </c>
      <c r="BL36" s="712">
        <v>15</v>
      </c>
      <c r="BM36" s="712">
        <v>15</v>
      </c>
      <c r="BN36" s="712">
        <v>15</v>
      </c>
      <c r="BO36" s="712">
        <v>15</v>
      </c>
      <c r="BP36" s="713">
        <v>15</v>
      </c>
      <c r="BQ36" s="6"/>
      <c r="BR36" s="714"/>
      <c r="BS36" s="6"/>
      <c r="BT36" s="6"/>
      <c r="BU36" s="786"/>
      <c r="BV36" s="625"/>
      <c r="BW36" s="625"/>
      <c r="BX36" s="625"/>
      <c r="BY36" s="625"/>
      <c r="BZ36" s="625"/>
      <c r="CJ36" s="625"/>
      <c r="CK36" s="625"/>
      <c r="CL36" s="625"/>
      <c r="CM36" s="625"/>
      <c r="CN36" s="625"/>
      <c r="CO36" s="625"/>
      <c r="CP36" s="625"/>
      <c r="CQ36" s="625"/>
      <c r="CR36" s="625"/>
      <c r="CS36" s="625"/>
      <c r="CT36" s="625"/>
      <c r="CU36" s="625"/>
      <c r="CV36" s="625"/>
      <c r="CW36" s="625"/>
      <c r="CX36" s="625"/>
      <c r="CY36" s="625"/>
      <c r="CZ36" s="625"/>
      <c r="DA36" s="625"/>
      <c r="DB36" s="625"/>
      <c r="DC36" s="625"/>
      <c r="DD36" s="625"/>
      <c r="DE36" s="625"/>
      <c r="DF36" s="625"/>
      <c r="DG36" s="625"/>
      <c r="DH36" s="625"/>
      <c r="DI36" s="625"/>
      <c r="DJ36" s="625"/>
      <c r="DK36" s="625"/>
      <c r="DL36" s="625"/>
      <c r="DM36" s="625"/>
      <c r="DN36" s="625"/>
      <c r="DO36" s="625"/>
      <c r="DP36" s="625"/>
      <c r="DQ36" s="625"/>
      <c r="DR36" s="625"/>
      <c r="DS36" s="625"/>
      <c r="DT36" s="625"/>
      <c r="DU36" s="625"/>
      <c r="DV36" s="625"/>
      <c r="DW36" s="625"/>
      <c r="DX36" s="625"/>
      <c r="DY36" s="625"/>
      <c r="DZ36" s="625"/>
      <c r="EA36" s="625"/>
      <c r="EB36" s="625"/>
      <c r="EC36" s="625"/>
      <c r="ED36" s="625"/>
      <c r="EE36" s="625"/>
      <c r="EF36" s="625"/>
      <c r="EG36" s="625"/>
      <c r="EH36" s="625"/>
      <c r="EI36" s="625"/>
      <c r="EJ36" s="625"/>
      <c r="EK36" s="625"/>
      <c r="EL36" s="625"/>
      <c r="EM36" s="625"/>
      <c r="EN36" s="625"/>
      <c r="EO36" s="625"/>
      <c r="EP36" s="625"/>
      <c r="EQ36" s="625"/>
      <c r="ER36" s="625"/>
      <c r="ES36" s="625"/>
      <c r="ET36" s="625"/>
      <c r="EU36" s="625"/>
      <c r="EV36" s="625"/>
      <c r="EW36" s="625"/>
      <c r="EX36" s="625"/>
      <c r="EY36" s="625"/>
      <c r="EZ36" s="625"/>
      <c r="FA36" s="625"/>
      <c r="FB36" s="625"/>
      <c r="FC36" s="625"/>
    </row>
    <row r="37" ht="15" customHeight="1">
      <c r="A37" s="886" t="s">
        <v>798</v>
      </c>
      <c r="B37" s="831" t="s">
        <v>451</v>
      </c>
      <c r="C37" s="631"/>
      <c r="D37" s="887" t="s">
        <v>461</v>
      </c>
      <c r="E37" s="877">
        <f t="shared" si="42" ref="E37:Y37">_xlfn.LET(_xlpm.servicing_fee_pcnt,E$104,_xlpm.requested_loan_amount,E$25,_xlpm.loan_amount,E$30,_xlpm.servicing_fee_pcnt*IF(_xlpm.loan_amount&gt;0,_xlpm.loan_amount,_xlpm.requested_loan_amount))</f>
        <v>0</v>
      </c>
      <c r="F37" s="877">
        <f t="shared" si="42"/>
        <v>0</v>
      </c>
      <c r="G37" s="877">
        <f t="shared" si="42"/>
        <v>0</v>
      </c>
      <c r="H37" s="877">
        <f t="shared" si="42"/>
        <v>0</v>
      </c>
      <c r="I37" s="877">
        <f t="shared" si="42"/>
        <v>0</v>
      </c>
      <c r="J37" s="877">
        <f t="shared" si="42"/>
        <v>0</v>
      </c>
      <c r="K37" s="877">
        <f t="shared" si="42"/>
        <v>0</v>
      </c>
      <c r="L37" s="877">
        <f t="shared" si="42"/>
        <v>0</v>
      </c>
      <c r="M37" s="877">
        <f t="shared" si="42"/>
        <v>0</v>
      </c>
      <c r="N37" s="877">
        <f t="shared" si="42"/>
        <v>0</v>
      </c>
      <c r="O37" s="877">
        <f t="shared" si="42"/>
        <v>0</v>
      </c>
      <c r="P37" s="877">
        <f t="shared" si="42"/>
        <v>0</v>
      </c>
      <c r="Q37" s="631"/>
      <c r="R37" s="877">
        <f t="shared" si="42"/>
        <v>0</v>
      </c>
      <c r="S37" s="877">
        <f t="shared" si="42"/>
        <v>0</v>
      </c>
      <c r="T37" s="877">
        <f t="shared" si="42"/>
        <v>0</v>
      </c>
      <c r="U37" s="877">
        <f t="shared" si="42"/>
        <v>0</v>
      </c>
      <c r="V37" s="877">
        <f t="shared" si="42"/>
        <v>0</v>
      </c>
      <c r="W37" s="877">
        <f t="shared" si="42"/>
        <v>0</v>
      </c>
      <c r="X37" s="877">
        <f t="shared" si="42"/>
        <v>0</v>
      </c>
      <c r="Y37" s="877">
        <f t="shared" si="42"/>
        <v>0</v>
      </c>
      <c r="Z37" s="631"/>
      <c r="AA37" s="877">
        <f t="shared" si="43" ref="AA37:AH37">_xlfn.LET(_xlpm.ServicingFeePcnt,AA104,_xlpm.LoanAmt,AA30,_xlpm.ServicingFeePcnt*_xlpm.LoanAmt)</f>
        <v>0</v>
      </c>
      <c r="AB37" s="877">
        <f t="shared" si="43"/>
        <v>0</v>
      </c>
      <c r="AC37" s="877">
        <f t="shared" si="43"/>
        <v>0</v>
      </c>
      <c r="AD37" s="877">
        <f t="shared" si="43"/>
        <v>0</v>
      </c>
      <c r="AE37" s="877">
        <f t="shared" si="43"/>
        <v>0</v>
      </c>
      <c r="AF37" s="877">
        <f t="shared" si="43"/>
        <v>0</v>
      </c>
      <c r="AG37" s="877">
        <f t="shared" si="43"/>
        <v>0</v>
      </c>
      <c r="AH37" s="877">
        <f t="shared" si="43"/>
        <v>0</v>
      </c>
      <c r="AI37" s="875"/>
      <c r="AJ37" s="633" t="str">
        <f>IF(AJ30="If Refinance","% of Loan to Capped Refinance Costs","LTC")</f>
        <v>% of Loan to Capped Refinance Costs</v>
      </c>
      <c r="AK37" s="888">
        <f>_xlfn.IFERROR(IF('SBL Quotes'!AN32="Supplemental","Supplemental",(IF(R$23="Selected",R$25,0)+IF(S$23="Selected",S$25,0)+IF(T$23="Selected",T$25,0))/AK36),0)</f>
        <v>0</v>
      </c>
      <c r="AL37" s="632"/>
      <c r="AM37" s="632"/>
      <c r="AN37" s="632"/>
      <c r="AO37" s="632"/>
      <c r="AP37" s="632"/>
      <c r="AQ37" s="632"/>
      <c r="AR37" s="632"/>
      <c r="AS37" s="632"/>
      <c r="AT37" s="632"/>
      <c r="AU37" s="632"/>
      <c r="AV37" s="632"/>
      <c r="AW37" s="632"/>
      <c r="AX37" s="632"/>
      <c r="AY37" s="632"/>
      <c r="AZ37" s="889"/>
      <c r="BA37" s="632"/>
      <c r="BB37" s="889"/>
      <c r="BC37" s="632"/>
      <c r="BD37" s="632"/>
      <c r="BE37" s="6"/>
      <c r="BF37" s="6"/>
      <c r="BG37" s="6"/>
      <c r="BH37" s="6"/>
      <c r="BI37" s="27"/>
      <c r="BJ37" s="720"/>
      <c r="BK37" s="721"/>
      <c r="BL37" s="721"/>
      <c r="BM37" s="721"/>
      <c r="BN37" s="721"/>
      <c r="BO37" s="721"/>
      <c r="BP37" s="722"/>
      <c r="BQ37" s="6"/>
      <c r="BR37" s="714"/>
      <c r="BS37" s="6"/>
      <c r="BT37" s="6"/>
      <c r="BU37" s="786"/>
      <c r="BV37" s="625"/>
      <c r="BW37" s="625"/>
      <c r="BX37" s="625"/>
      <c r="BY37" s="625"/>
      <c r="BZ37" s="625"/>
      <c r="CA37" s="625"/>
      <c r="CB37" s="625"/>
      <c r="CC37" s="625"/>
      <c r="CD37" s="625"/>
      <c r="CE37" s="625"/>
      <c r="CF37" s="625"/>
      <c r="CG37" s="625"/>
      <c r="CH37" s="625"/>
      <c r="CI37" s="625"/>
      <c r="CJ37" s="625"/>
      <c r="CK37" s="625"/>
      <c r="CL37" s="625"/>
      <c r="CM37" s="625"/>
      <c r="CN37" s="625"/>
      <c r="CO37" s="625"/>
      <c r="CP37" s="625"/>
      <c r="CQ37" s="625"/>
      <c r="CR37" s="625"/>
      <c r="CS37" s="625"/>
      <c r="CT37" s="625"/>
      <c r="CU37" s="625"/>
      <c r="CV37" s="625"/>
      <c r="CW37" s="625"/>
      <c r="CX37" s="625"/>
      <c r="CY37" s="625"/>
      <c r="CZ37" s="625"/>
      <c r="DA37" s="625"/>
      <c r="DB37" s="625"/>
      <c r="DC37" s="625"/>
      <c r="DD37" s="625"/>
      <c r="DE37" s="625"/>
      <c r="DF37" s="625"/>
      <c r="DG37" s="625"/>
      <c r="DH37" s="625"/>
      <c r="DI37" s="625"/>
      <c r="DJ37" s="625"/>
      <c r="DK37" s="625"/>
      <c r="DL37" s="625"/>
      <c r="DM37" s="625"/>
      <c r="DN37" s="625"/>
      <c r="DO37" s="625"/>
      <c r="DP37" s="625"/>
      <c r="DQ37" s="625"/>
      <c r="DR37" s="625"/>
      <c r="DS37" s="625"/>
      <c r="DT37" s="625"/>
      <c r="DU37" s="625"/>
      <c r="DV37" s="625"/>
      <c r="DW37" s="625"/>
      <c r="DX37" s="625"/>
      <c r="DY37" s="625"/>
      <c r="DZ37" s="625"/>
      <c r="EA37" s="625"/>
      <c r="EB37" s="625"/>
      <c r="EC37" s="625"/>
      <c r="ED37" s="625"/>
      <c r="EE37" s="625"/>
      <c r="EF37" s="625"/>
      <c r="EG37" s="625"/>
      <c r="EH37" s="625"/>
      <c r="EI37" s="625"/>
      <c r="EJ37" s="625"/>
      <c r="EK37" s="625"/>
      <c r="EL37" s="625"/>
      <c r="EM37" s="625"/>
      <c r="EN37" s="625"/>
      <c r="EO37" s="625"/>
      <c r="EP37" s="625"/>
      <c r="EQ37" s="625"/>
      <c r="ER37" s="625"/>
      <c r="ES37" s="625"/>
      <c r="ET37" s="625"/>
      <c r="EU37" s="625"/>
      <c r="EV37" s="625"/>
      <c r="EW37" s="625"/>
      <c r="EX37" s="625"/>
      <c r="EY37" s="625"/>
      <c r="EZ37" s="625"/>
      <c r="FA37" s="625"/>
      <c r="FB37" s="625"/>
      <c r="FC37" s="625"/>
    </row>
    <row r="38" ht="15" customHeight="1">
      <c r="A38" s="890" t="s">
        <v>799</v>
      </c>
      <c r="B38" s="856" t="s">
        <v>388</v>
      </c>
      <c r="C38" s="631"/>
      <c r="D38" s="835" t="s">
        <v>800</v>
      </c>
      <c r="E38" s="891" t="s">
        <v>629</v>
      </c>
      <c r="F38" s="891" t="s">
        <v>629</v>
      </c>
      <c r="G38" s="891" t="s">
        <v>629</v>
      </c>
      <c r="H38" s="891" t="s">
        <v>629</v>
      </c>
      <c r="I38" s="891" t="s">
        <v>629</v>
      </c>
      <c r="J38" s="891" t="s">
        <v>629</v>
      </c>
      <c r="K38" s="891" t="s">
        <v>629</v>
      </c>
      <c r="L38" s="891" t="s">
        <v>629</v>
      </c>
      <c r="M38" s="891" t="s">
        <v>629</v>
      </c>
      <c r="N38" s="891" t="s">
        <v>629</v>
      </c>
      <c r="O38" s="891" t="s">
        <v>629</v>
      </c>
      <c r="P38" s="891" t="s">
        <v>629</v>
      </c>
      <c r="Q38" s="631"/>
      <c r="R38" s="892" t="s">
        <v>801</v>
      </c>
      <c r="S38" s="892" t="s">
        <v>801</v>
      </c>
      <c r="T38" s="892" t="s">
        <v>801</v>
      </c>
      <c r="U38" s="892" t="s">
        <v>801</v>
      </c>
      <c r="V38" s="892" t="s">
        <v>801</v>
      </c>
      <c r="W38" s="892" t="s">
        <v>801</v>
      </c>
      <c r="X38" s="892" t="s">
        <v>801</v>
      </c>
      <c r="Y38" s="892" t="s">
        <v>801</v>
      </c>
      <c r="Z38" s="631"/>
      <c r="AA38" s="892" t="s">
        <v>631</v>
      </c>
      <c r="AB38" s="892" t="s">
        <v>631</v>
      </c>
      <c r="AC38" s="892" t="s">
        <v>631</v>
      </c>
      <c r="AD38" s="892" t="s">
        <v>631</v>
      </c>
      <c r="AE38" s="892" t="s">
        <v>631</v>
      </c>
      <c r="AF38" s="892" t="s">
        <v>631</v>
      </c>
      <c r="AG38" s="892" t="s">
        <v>631</v>
      </c>
      <c r="AH38" s="892" t="s">
        <v>631</v>
      </c>
      <c r="AI38" s="875"/>
      <c r="AJ38" s="633" t="e">
        <f>IF(AK38&lt;0,"Cash-In",IF(OR(AK38=0,LoanAmount-(AK32+AK33+AK34+AK35)&lt;0),"Cash-Neutral","Cash-Out"))</f>
        <v>#NAME?</v>
      </c>
      <c r="AK38" s="865">
        <v>0</v>
      </c>
      <c r="AL38" s="632"/>
      <c r="AM38" s="632"/>
      <c r="AN38" s="632"/>
      <c r="AO38" s="632"/>
      <c r="AP38" s="632"/>
      <c r="AQ38" s="632"/>
      <c r="AR38" s="632"/>
      <c r="AS38" s="632"/>
      <c r="AT38" s="632"/>
      <c r="AU38" s="733" t="s">
        <v>802</v>
      </c>
      <c r="AV38" s="734"/>
      <c r="AW38" s="660" t="s">
        <v>697</v>
      </c>
      <c r="AX38" s="660" t="s">
        <v>697</v>
      </c>
      <c r="AY38" s="660" t="s">
        <v>617</v>
      </c>
      <c r="AZ38" s="736" t="s">
        <v>618</v>
      </c>
      <c r="BA38" s="737"/>
      <c r="BB38" s="660" t="s">
        <v>619</v>
      </c>
      <c r="BC38" s="737"/>
      <c r="BD38" s="660" t="s">
        <v>732</v>
      </c>
      <c r="BE38" s="736"/>
      <c r="BF38" s="736"/>
      <c r="BG38" s="736"/>
      <c r="BH38" s="737"/>
      <c r="BI38" s="688"/>
      <c r="BJ38" s="711" t="s">
        <v>803</v>
      </c>
      <c r="BK38" s="712">
        <v>10</v>
      </c>
      <c r="BL38" s="712">
        <v>10</v>
      </c>
      <c r="BM38" s="712">
        <v>10</v>
      </c>
      <c r="BN38" s="712">
        <v>10</v>
      </c>
      <c r="BO38" s="712">
        <v>10</v>
      </c>
      <c r="BP38" s="713">
        <v>10</v>
      </c>
      <c r="BQ38" s="6"/>
      <c r="BR38" s="714"/>
      <c r="BS38" s="6"/>
      <c r="BT38" s="6"/>
      <c r="BU38" s="786"/>
      <c r="BV38" s="625"/>
      <c r="BW38" s="625"/>
      <c r="BX38" s="625"/>
      <c r="BY38" s="625"/>
      <c r="BZ38" s="625"/>
      <c r="CA38" s="625"/>
      <c r="CB38" s="625"/>
      <c r="CC38" s="625"/>
      <c r="CD38" s="625"/>
      <c r="CE38" s="625"/>
      <c r="CF38" s="625"/>
      <c r="CG38" s="625"/>
      <c r="CH38" s="625"/>
      <c r="CI38" s="625"/>
      <c r="CJ38" s="625"/>
      <c r="CK38" s="625"/>
      <c r="CL38" s="625"/>
      <c r="CM38" s="625"/>
      <c r="CN38" s="625"/>
      <c r="CO38" s="625"/>
      <c r="CP38" s="625"/>
      <c r="CQ38" s="625"/>
      <c r="CR38" s="625"/>
      <c r="CS38" s="625"/>
      <c r="CT38" s="625"/>
      <c r="CU38" s="625"/>
      <c r="CV38" s="625"/>
      <c r="CW38" s="625"/>
      <c r="CX38" s="625"/>
      <c r="CY38" s="625"/>
      <c r="CZ38" s="625"/>
      <c r="DA38" s="625"/>
      <c r="DB38" s="625"/>
      <c r="DC38" s="625"/>
      <c r="DD38" s="625"/>
      <c r="DE38" s="625"/>
      <c r="DF38" s="625"/>
      <c r="DG38" s="625"/>
      <c r="DH38" s="625"/>
      <c r="DI38" s="625"/>
      <c r="DJ38" s="625"/>
      <c r="DK38" s="625"/>
      <c r="DL38" s="625"/>
      <c r="DM38" s="625"/>
      <c r="DN38" s="625"/>
      <c r="DO38" s="625"/>
      <c r="DP38" s="625"/>
      <c r="DQ38" s="625"/>
      <c r="DR38" s="625"/>
      <c r="DS38" s="625"/>
      <c r="DT38" s="625"/>
      <c r="DU38" s="625"/>
      <c r="DV38" s="625"/>
      <c r="DW38" s="625"/>
      <c r="DX38" s="625"/>
      <c r="DY38" s="625"/>
      <c r="DZ38" s="625"/>
      <c r="EA38" s="625"/>
      <c r="EB38" s="625"/>
      <c r="EC38" s="625"/>
      <c r="ED38" s="625"/>
      <c r="EE38" s="625"/>
      <c r="EF38" s="625"/>
      <c r="EG38" s="625"/>
      <c r="EH38" s="625"/>
      <c r="EI38" s="625"/>
      <c r="EJ38" s="625"/>
      <c r="EK38" s="625"/>
      <c r="EL38" s="625"/>
      <c r="EM38" s="625"/>
      <c r="EN38" s="625"/>
      <c r="EO38" s="625"/>
      <c r="EP38" s="625"/>
      <c r="EQ38" s="625"/>
      <c r="ER38" s="625"/>
      <c r="ES38" s="625"/>
      <c r="ET38" s="625"/>
      <c r="EU38" s="625"/>
      <c r="EV38" s="625"/>
      <c r="EW38" s="625"/>
      <c r="EX38" s="625"/>
      <c r="EY38" s="625"/>
      <c r="EZ38" s="625"/>
      <c r="FA38" s="625"/>
      <c r="FB38" s="625"/>
      <c r="FC38" s="625"/>
    </row>
    <row r="39" ht="15" customHeight="1">
      <c r="A39" s="893" t="s">
        <v>804</v>
      </c>
      <c r="B39" s="894" t="str">
        <f>IF(B38="Acquisition",AQ5,"-")</f>
        <v>-</v>
      </c>
      <c r="C39" s="631"/>
      <c r="D39" s="895" t="s">
        <v>805</v>
      </c>
      <c r="E39" s="631"/>
      <c r="F39" s="631"/>
      <c r="G39" s="896"/>
      <c r="H39" s="631"/>
      <c r="I39" s="896"/>
      <c r="J39" s="631"/>
      <c r="K39" s="896"/>
      <c r="L39" s="631"/>
      <c r="M39" s="896"/>
      <c r="N39" s="631"/>
      <c r="O39" s="896"/>
      <c r="P39" s="631"/>
      <c r="Q39" s="631"/>
      <c r="R39" s="897">
        <v>2</v>
      </c>
      <c r="S39" s="897">
        <v>2</v>
      </c>
      <c r="T39" s="897">
        <v>2</v>
      </c>
      <c r="U39" s="897">
        <v>3</v>
      </c>
      <c r="V39" s="897">
        <v>4</v>
      </c>
      <c r="W39" s="897">
        <v>3</v>
      </c>
      <c r="X39" s="897">
        <v>4</v>
      </c>
      <c r="Y39" s="897">
        <v>2</v>
      </c>
      <c r="Z39" s="631"/>
      <c r="AA39" s="897" t="s">
        <v>806</v>
      </c>
      <c r="AB39" s="897" t="s">
        <v>806</v>
      </c>
      <c r="AC39" s="897" t="s">
        <v>806</v>
      </c>
      <c r="AD39" s="897" t="s">
        <v>806</v>
      </c>
      <c r="AE39" s="897" t="s">
        <v>806</v>
      </c>
      <c r="AF39" s="897" t="s">
        <v>806</v>
      </c>
      <c r="AG39" s="897" t="s">
        <v>806</v>
      </c>
      <c r="AH39" s="897" t="s">
        <v>806</v>
      </c>
      <c r="AI39" s="898"/>
      <c r="AJ39" s="633"/>
      <c r="AK39" s="632"/>
      <c r="AL39" s="632"/>
      <c r="AM39" s="632"/>
      <c r="AN39" s="632"/>
      <c r="AO39" s="632"/>
      <c r="AP39" s="632"/>
      <c r="AQ39" s="632"/>
      <c r="AR39" s="632"/>
      <c r="AS39" s="632"/>
      <c r="AT39" s="632"/>
      <c r="AU39" s="743" t="s">
        <v>635</v>
      </c>
      <c r="AV39" s="744" t="s">
        <v>636</v>
      </c>
      <c r="AW39" s="748" t="s">
        <v>453</v>
      </c>
      <c r="AX39" s="746" t="s">
        <v>637</v>
      </c>
      <c r="AY39" s="746" t="s">
        <v>638</v>
      </c>
      <c r="AZ39" s="746" t="s">
        <v>639</v>
      </c>
      <c r="BA39" s="746" t="s">
        <v>640</v>
      </c>
      <c r="BB39" s="746" t="s">
        <v>639</v>
      </c>
      <c r="BC39" s="747" t="s">
        <v>640</v>
      </c>
      <c r="BD39" s="745" t="s">
        <v>510</v>
      </c>
      <c r="BE39" s="745" t="s">
        <v>641</v>
      </c>
      <c r="BF39" s="745" t="s">
        <v>642</v>
      </c>
      <c r="BG39" s="745" t="s">
        <v>643</v>
      </c>
      <c r="BH39" s="745" t="s">
        <v>644</v>
      </c>
      <c r="BI39" s="27"/>
      <c r="BJ39" s="720"/>
      <c r="BK39" s="721"/>
      <c r="BL39" s="721"/>
      <c r="BM39" s="721"/>
      <c r="BN39" s="721"/>
      <c r="BO39" s="721"/>
      <c r="BP39" s="722"/>
      <c r="BQ39" s="6"/>
      <c r="BR39" s="714"/>
      <c r="BS39" s="6"/>
      <c r="BT39" s="6"/>
      <c r="BU39" s="786"/>
      <c r="BV39" s="625"/>
      <c r="BW39" s="625"/>
      <c r="BX39" s="625"/>
      <c r="BY39" s="625"/>
      <c r="BZ39" s="625"/>
      <c r="CA39" s="625"/>
      <c r="CB39" s="625"/>
      <c r="CC39" s="625"/>
      <c r="CD39" s="625"/>
      <c r="CE39" s="625"/>
      <c r="CF39" s="625"/>
      <c r="CG39" s="625"/>
      <c r="CH39" s="625"/>
      <c r="CI39" s="625"/>
      <c r="CJ39" s="625"/>
      <c r="CK39" s="625"/>
      <c r="CL39" s="625"/>
      <c r="CM39" s="625"/>
      <c r="CN39" s="625"/>
      <c r="CO39" s="625"/>
      <c r="CP39" s="625"/>
      <c r="CQ39" s="625"/>
      <c r="CR39" s="625"/>
      <c r="CS39" s="625"/>
      <c r="CT39" s="625"/>
      <c r="CU39" s="625"/>
      <c r="CV39" s="625"/>
      <c r="CW39" s="625"/>
      <c r="CX39" s="625"/>
      <c r="CY39" s="625"/>
      <c r="CZ39" s="625"/>
      <c r="DA39" s="625"/>
      <c r="DB39" s="625"/>
      <c r="DC39" s="625"/>
      <c r="DD39" s="625"/>
      <c r="DE39" s="625"/>
      <c r="DF39" s="625"/>
      <c r="DG39" s="625"/>
      <c r="DH39" s="625"/>
      <c r="DI39" s="625"/>
      <c r="DJ39" s="625"/>
      <c r="DK39" s="625"/>
      <c r="DL39" s="625"/>
      <c r="DM39" s="625"/>
      <c r="DN39" s="625"/>
      <c r="DO39" s="625"/>
      <c r="DP39" s="625"/>
      <c r="DQ39" s="625"/>
      <c r="DR39" s="625"/>
      <c r="DS39" s="625"/>
      <c r="DT39" s="625"/>
      <c r="DU39" s="625"/>
      <c r="DV39" s="625"/>
      <c r="DW39" s="625"/>
      <c r="DX39" s="625"/>
      <c r="DY39" s="625"/>
      <c r="DZ39" s="625"/>
      <c r="EA39" s="625"/>
      <c r="EB39" s="625"/>
      <c r="EC39" s="625"/>
      <c r="ED39" s="625"/>
      <c r="EE39" s="625"/>
      <c r="EF39" s="625"/>
      <c r="EG39" s="625"/>
      <c r="EH39" s="625"/>
      <c r="EI39" s="625"/>
      <c r="EJ39" s="625"/>
      <c r="EK39" s="625"/>
      <c r="EL39" s="625"/>
      <c r="EM39" s="625"/>
      <c r="EN39" s="625"/>
      <c r="EO39" s="625"/>
      <c r="EP39" s="625"/>
      <c r="EQ39" s="625"/>
      <c r="ER39" s="625"/>
      <c r="ES39" s="625"/>
      <c r="ET39" s="625"/>
      <c r="EU39" s="625"/>
      <c r="EV39" s="625"/>
      <c r="EW39" s="625"/>
      <c r="EX39" s="625"/>
      <c r="EY39" s="625"/>
      <c r="EZ39" s="625"/>
      <c r="FA39" s="625"/>
      <c r="FB39" s="625"/>
      <c r="FC39" s="625"/>
    </row>
    <row r="40" ht="15" customHeight="1">
      <c r="A40" s="899" t="str">
        <f>_xlfn.IFERROR(IF(B38="Acquisition","Estimated Cap Rate (actual: "&amp;TEXT(B41/B39,"0.00%")&amp;")","Estimated Cap Rate"),"Estimated Cap Rate")</f>
        <v>Estimated Cap Rate</v>
      </c>
      <c r="B40" s="900">
        <v>0.05</v>
      </c>
      <c r="C40" s="631"/>
      <c r="D40" s="895" t="s">
        <v>808</v>
      </c>
      <c r="E40" s="898" t="str">
        <f t="shared" si="44" ref="E40:P40">_xlfn.IFERROR($B$41/E69,"--")</f>
        <v>--</v>
      </c>
      <c r="F40" s="898" t="str">
        <f t="shared" si="44"/>
        <v>--</v>
      </c>
      <c r="G40" s="898" t="str">
        <f t="shared" si="44"/>
        <v>--</v>
      </c>
      <c r="H40" s="898" t="str">
        <f t="shared" si="44"/>
        <v>--</v>
      </c>
      <c r="I40" s="898" t="str">
        <f t="shared" si="44"/>
        <v>--</v>
      </c>
      <c r="J40" s="898" t="str">
        <f t="shared" si="44"/>
        <v>--</v>
      </c>
      <c r="K40" s="898" t="str">
        <f t="shared" si="44"/>
        <v>--</v>
      </c>
      <c r="L40" s="898" t="str">
        <f t="shared" si="44"/>
        <v>--</v>
      </c>
      <c r="M40" s="898" t="str">
        <f t="shared" si="44"/>
        <v>--</v>
      </c>
      <c r="N40" s="898" t="str">
        <f t="shared" si="44"/>
        <v>--</v>
      </c>
      <c r="O40" s="898" t="str">
        <f t="shared" si="44"/>
        <v>--</v>
      </c>
      <c r="P40" s="898" t="str">
        <f t="shared" si="44"/>
        <v>--</v>
      </c>
      <c r="Q40" s="901"/>
      <c r="R40" s="898" t="str">
        <f t="shared" si="45" ref="R40:Y40">_xlfn.IFERROR($B$44/R69,"--")</f>
        <v>--</v>
      </c>
      <c r="S40" s="898" t="str">
        <f t="shared" si="45"/>
        <v>--</v>
      </c>
      <c r="T40" s="898" t="str">
        <f t="shared" si="45"/>
        <v>--</v>
      </c>
      <c r="U40" s="898" t="str">
        <f t="shared" si="45"/>
        <v>--</v>
      </c>
      <c r="V40" s="898" t="str">
        <f t="shared" si="45"/>
        <v>--</v>
      </c>
      <c r="W40" s="898" t="str">
        <f t="shared" si="45"/>
        <v>--</v>
      </c>
      <c r="X40" s="898" t="str">
        <f t="shared" si="45"/>
        <v>--</v>
      </c>
      <c r="Y40" s="898" t="str">
        <f t="shared" si="45"/>
        <v>--</v>
      </c>
      <c r="Z40" s="901"/>
      <c r="AA40" s="898" t="str">
        <f t="shared" si="46" ref="AA40:AH40">_xlfn.IFERROR($B$44/AA70,"--")</f>
        <v>--</v>
      </c>
      <c r="AB40" s="898" t="str">
        <f t="shared" si="46"/>
        <v>--</v>
      </c>
      <c r="AC40" s="898" t="str">
        <f t="shared" si="46"/>
        <v>--</v>
      </c>
      <c r="AD40" s="898" t="str">
        <f t="shared" si="46"/>
        <v>--</v>
      </c>
      <c r="AE40" s="898" t="str">
        <f t="shared" si="46"/>
        <v>--</v>
      </c>
      <c r="AF40" s="898" t="str">
        <f t="shared" si="46"/>
        <v>--</v>
      </c>
      <c r="AG40" s="898" t="str">
        <f t="shared" si="46"/>
        <v>--</v>
      </c>
      <c r="AH40" s="898" t="str">
        <f t="shared" si="46"/>
        <v>--</v>
      </c>
      <c r="AI40" s="902"/>
      <c r="AJ40" s="640" t="s">
        <v>809</v>
      </c>
      <c r="AK40" s="640"/>
      <c r="AL40" s="641"/>
      <c r="AM40" s="640" t="s">
        <v>810</v>
      </c>
      <c r="AN40" s="640"/>
      <c r="AO40" s="632"/>
      <c r="AP40" s="632"/>
      <c r="AQ40" s="632"/>
      <c r="AR40" s="632"/>
      <c r="AS40" s="632"/>
      <c r="AT40" s="632"/>
      <c r="AU40" s="751">
        <v>5</v>
      </c>
      <c r="AV40" s="752">
        <v>4.5</v>
      </c>
      <c r="AW40" s="838">
        <f t="shared" si="47" ref="AW40:BH50">AW12</f>
        <v>0.0069</v>
      </c>
      <c r="AX40" s="822">
        <f t="shared" si="26"/>
        <v>0.044509</v>
      </c>
      <c r="AY40" s="755">
        <v>0.007</v>
      </c>
      <c r="AZ40" s="756">
        <f>DailyPricing!E53</f>
        <v>0.016</v>
      </c>
      <c r="BA40" s="756">
        <f t="shared" si="10"/>
        <v>0.067409</v>
      </c>
      <c r="BB40" s="756">
        <f>DailyPricing!E136</f>
        <v>0.0119</v>
      </c>
      <c r="BC40" s="756">
        <f t="shared" si="10"/>
        <v>0.063309</v>
      </c>
      <c r="BD40" s="822">
        <f t="shared" si="47"/>
        <v>0.00005936</v>
      </c>
      <c r="BE40" s="822">
        <f t="shared" si="47"/>
        <v>0.00001328</v>
      </c>
      <c r="BF40" s="822">
        <f t="shared" si="47"/>
        <v>-0.00001809</v>
      </c>
      <c r="BG40" s="822">
        <f t="shared" si="47"/>
        <v>-0.000036270000000000003</v>
      </c>
      <c r="BH40" s="822">
        <f t="shared" si="47"/>
        <v>-0.000036270000000000003</v>
      </c>
      <c r="BI40" s="27"/>
      <c r="BJ40" s="711" t="s">
        <v>811</v>
      </c>
      <c r="BK40" s="712" t="s">
        <v>812</v>
      </c>
      <c r="BL40" s="712" t="s">
        <v>812</v>
      </c>
      <c r="BM40" s="712" t="s">
        <v>812</v>
      </c>
      <c r="BN40" s="712" t="s">
        <v>812</v>
      </c>
      <c r="BO40" s="712" t="s">
        <v>812</v>
      </c>
      <c r="BP40" s="713" t="s">
        <v>812</v>
      </c>
      <c r="BQ40" s="6"/>
      <c r="BR40" s="714"/>
      <c r="BS40" s="6"/>
      <c r="BT40" s="6"/>
      <c r="BU40" s="786"/>
      <c r="BV40" s="625"/>
      <c r="BW40" s="625"/>
      <c r="BX40" s="625"/>
      <c r="BY40" s="625"/>
      <c r="BZ40" s="625"/>
      <c r="CA40" s="625"/>
      <c r="CB40" s="625"/>
      <c r="CC40" s="625"/>
      <c r="CD40" s="625"/>
      <c r="CE40" s="625"/>
      <c r="CF40" s="625"/>
      <c r="CG40" s="625"/>
      <c r="CH40" s="625"/>
      <c r="CI40" s="625"/>
      <c r="CJ40" s="625"/>
      <c r="CK40" s="625"/>
      <c r="CL40" s="625"/>
      <c r="CM40" s="625"/>
      <c r="CN40" s="625"/>
      <c r="CO40" s="625"/>
      <c r="CP40" s="625"/>
      <c r="CQ40" s="625"/>
      <c r="CR40" s="625"/>
      <c r="CS40" s="625"/>
      <c r="CT40" s="625"/>
      <c r="CU40" s="625"/>
      <c r="CV40" s="625"/>
      <c r="CW40" s="625"/>
      <c r="CX40" s="625"/>
      <c r="CY40" s="625"/>
      <c r="CZ40" s="625"/>
      <c r="DA40" s="625"/>
      <c r="DB40" s="625"/>
      <c r="DC40" s="625"/>
      <c r="DD40" s="625"/>
      <c r="DE40" s="625"/>
      <c r="DF40" s="625"/>
      <c r="DG40" s="625"/>
      <c r="DH40" s="625"/>
      <c r="DI40" s="625"/>
      <c r="DJ40" s="625"/>
      <c r="DK40" s="625"/>
      <c r="DL40" s="625"/>
      <c r="DM40" s="625"/>
      <c r="DN40" s="625"/>
      <c r="DO40" s="625"/>
      <c r="DP40" s="625"/>
      <c r="DQ40" s="625"/>
      <c r="DR40" s="625"/>
      <c r="DS40" s="625"/>
      <c r="DT40" s="625"/>
      <c r="DU40" s="625"/>
      <c r="DV40" s="625"/>
      <c r="DW40" s="625"/>
      <c r="DX40" s="625"/>
      <c r="DY40" s="625"/>
      <c r="DZ40" s="625"/>
      <c r="EA40" s="625"/>
      <c r="EB40" s="625"/>
      <c r="EC40" s="625"/>
      <c r="ED40" s="625"/>
      <c r="EE40" s="625"/>
      <c r="EF40" s="625"/>
      <c r="EG40" s="625"/>
      <c r="EH40" s="625"/>
      <c r="EI40" s="625"/>
      <c r="EJ40" s="625"/>
      <c r="EK40" s="625"/>
      <c r="EL40" s="625"/>
      <c r="EM40" s="625"/>
      <c r="EN40" s="625"/>
      <c r="EO40" s="625"/>
      <c r="EP40" s="625"/>
      <c r="EQ40" s="625"/>
      <c r="ER40" s="625"/>
      <c r="ES40" s="625"/>
      <c r="ET40" s="625"/>
      <c r="EU40" s="625"/>
      <c r="EV40" s="625"/>
      <c r="EW40" s="625"/>
      <c r="EX40" s="625"/>
      <c r="EY40" s="625"/>
      <c r="EZ40" s="625"/>
      <c r="FA40" s="625"/>
      <c r="FB40" s="625"/>
      <c r="FC40" s="625"/>
    </row>
    <row r="41" ht="15" customHeight="1">
      <c r="A41" s="824" t="s">
        <v>813</v>
      </c>
      <c r="B41" s="903">
        <f>'Freddie I&amp;E'!$AD$84</f>
        <v>-1616089.29</v>
      </c>
      <c r="C41" s="631"/>
      <c r="D41" s="895" t="s">
        <v>814</v>
      </c>
      <c r="E41" s="902">
        <f t="shared" si="48" ref="E41:P41">_xlfn.IFERROR(E30/$B$42,"--")</f>
        <v>0</v>
      </c>
      <c r="F41" s="902">
        <f t="shared" si="48"/>
        <v>0</v>
      </c>
      <c r="G41" s="902">
        <f t="shared" si="48"/>
        <v>0</v>
      </c>
      <c r="H41" s="902">
        <f t="shared" si="48"/>
        <v>0</v>
      </c>
      <c r="I41" s="902">
        <f t="shared" si="48"/>
        <v>0</v>
      </c>
      <c r="J41" s="902">
        <f t="shared" si="48"/>
        <v>0</v>
      </c>
      <c r="K41" s="902">
        <f t="shared" si="48"/>
        <v>0</v>
      </c>
      <c r="L41" s="902">
        <f t="shared" si="48"/>
        <v>0</v>
      </c>
      <c r="M41" s="902">
        <f t="shared" si="48"/>
        <v>0</v>
      </c>
      <c r="N41" s="902">
        <f t="shared" si="48"/>
        <v>0</v>
      </c>
      <c r="O41" s="902">
        <f t="shared" si="48"/>
        <v>0</v>
      </c>
      <c r="P41" s="902">
        <f t="shared" si="48"/>
        <v>0</v>
      </c>
      <c r="Q41" s="904"/>
      <c r="R41" s="902">
        <f t="shared" si="49" ref="R41:AH41">_xlfn.IFERROR(R30/$B$45,"--")</f>
        <v>0</v>
      </c>
      <c r="S41" s="902">
        <f t="shared" si="49"/>
        <v>0</v>
      </c>
      <c r="T41" s="902">
        <f t="shared" si="49"/>
        <v>0</v>
      </c>
      <c r="U41" s="902">
        <f t="shared" si="49"/>
        <v>0</v>
      </c>
      <c r="V41" s="902">
        <f t="shared" si="49"/>
        <v>0</v>
      </c>
      <c r="W41" s="902">
        <f t="shared" si="49"/>
        <v>0</v>
      </c>
      <c r="X41" s="902">
        <f t="shared" si="49"/>
        <v>0</v>
      </c>
      <c r="Y41" s="902">
        <f t="shared" si="49"/>
        <v>0</v>
      </c>
      <c r="Z41" s="904"/>
      <c r="AA41" s="902">
        <f t="shared" si="49"/>
        <v>0</v>
      </c>
      <c r="AB41" s="902">
        <f t="shared" si="49"/>
        <v>0</v>
      </c>
      <c r="AC41" s="902">
        <f t="shared" si="49"/>
        <v>0</v>
      </c>
      <c r="AD41" s="902">
        <f t="shared" si="49"/>
        <v>0</v>
      </c>
      <c r="AE41" s="902">
        <f t="shared" si="49"/>
        <v>0</v>
      </c>
      <c r="AF41" s="902">
        <f t="shared" si="49"/>
        <v>0</v>
      </c>
      <c r="AG41" s="902">
        <f t="shared" si="49"/>
        <v>0</v>
      </c>
      <c r="AH41" s="902">
        <f t="shared" si="49"/>
        <v>0</v>
      </c>
      <c r="AI41" s="902"/>
      <c r="AJ41" s="653" t="s">
        <v>815</v>
      </c>
      <c r="AK41" s="760" t="s">
        <v>656</v>
      </c>
      <c r="AL41" s="653"/>
      <c r="AM41" s="653" t="s">
        <v>816</v>
      </c>
      <c r="AN41" s="731" t="s">
        <v>209</v>
      </c>
      <c r="AO41" s="632"/>
      <c r="AP41" s="632"/>
      <c r="AQ41" s="632"/>
      <c r="AR41" s="632"/>
      <c r="AS41" s="632"/>
      <c r="AT41" s="632"/>
      <c r="AU41" s="761">
        <v>7</v>
      </c>
      <c r="AV41" s="762">
        <v>6.5</v>
      </c>
      <c r="AW41" s="838">
        <f t="shared" si="47"/>
        <v>0.0069</v>
      </c>
      <c r="AX41" s="844">
        <f t="shared" si="29"/>
        <v>0.044065</v>
      </c>
      <c r="AY41" s="755">
        <v>0.008</v>
      </c>
      <c r="AZ41" s="756">
        <f>DailyPricing!E54</f>
        <v>0.0156</v>
      </c>
      <c r="BA41" s="756">
        <f t="shared" si="10"/>
        <v>0.066565</v>
      </c>
      <c r="BB41" s="756">
        <f>DailyPricing!E137</f>
        <v>0.0115</v>
      </c>
      <c r="BC41" s="756">
        <f t="shared" si="10"/>
        <v>0.06246499999999999</v>
      </c>
      <c r="BD41" s="822">
        <f t="shared" si="47"/>
        <v>0.00007325</v>
      </c>
      <c r="BE41" s="822">
        <f t="shared" si="47"/>
        <v>0.00003449</v>
      </c>
      <c r="BF41" s="822">
        <f t="shared" si="47"/>
        <v>0.000004180000000000001</v>
      </c>
      <c r="BG41" s="822">
        <f t="shared" si="47"/>
        <v>-0.00003359</v>
      </c>
      <c r="BH41" s="822">
        <f t="shared" si="47"/>
        <v>-0.0000409</v>
      </c>
      <c r="BI41" s="688"/>
      <c r="BJ41" s="720"/>
      <c r="BK41" s="721"/>
      <c r="BL41" s="721"/>
      <c r="BM41" s="721"/>
      <c r="BN41" s="721"/>
      <c r="BO41" s="721"/>
      <c r="BP41" s="722"/>
      <c r="BQ41" s="6"/>
      <c r="BR41" s="714"/>
      <c r="BS41" s="6"/>
      <c r="BT41" s="6"/>
      <c r="BU41" s="786"/>
      <c r="BV41" s="625"/>
      <c r="BW41" s="625"/>
      <c r="BX41" s="625"/>
      <c r="BY41" s="625"/>
      <c r="BZ41" s="625"/>
      <c r="CA41" s="625"/>
      <c r="CB41" s="625"/>
      <c r="CC41" s="625"/>
      <c r="CD41" s="625"/>
      <c r="CE41" s="625"/>
      <c r="CF41" s="625"/>
      <c r="CG41" s="625"/>
      <c r="CH41" s="625"/>
      <c r="CI41" s="625"/>
      <c r="CJ41" s="625"/>
      <c r="CK41" s="625"/>
      <c r="CL41" s="625"/>
      <c r="CM41" s="625"/>
      <c r="CN41" s="625"/>
      <c r="CO41" s="625"/>
      <c r="CP41" s="625"/>
      <c r="CQ41" s="625"/>
      <c r="CR41" s="625"/>
      <c r="CS41" s="625"/>
      <c r="CT41" s="625"/>
      <c r="CU41" s="625"/>
      <c r="CV41" s="625"/>
      <c r="CW41" s="625"/>
      <c r="CX41" s="625"/>
      <c r="CY41" s="625"/>
      <c r="CZ41" s="625"/>
      <c r="DA41" s="625"/>
      <c r="DB41" s="625"/>
      <c r="DC41" s="625"/>
      <c r="DD41" s="625"/>
      <c r="DE41" s="625"/>
      <c r="DF41" s="625"/>
      <c r="DG41" s="625"/>
      <c r="DH41" s="625"/>
      <c r="DI41" s="625"/>
      <c r="DJ41" s="625"/>
      <c r="DK41" s="625"/>
      <c r="DL41" s="625"/>
      <c r="DM41" s="625"/>
      <c r="DN41" s="625"/>
      <c r="DO41" s="625"/>
      <c r="DP41" s="625"/>
      <c r="DQ41" s="625"/>
      <c r="DR41" s="625"/>
      <c r="DS41" s="625"/>
      <c r="DT41" s="625"/>
      <c r="DU41" s="625"/>
      <c r="DV41" s="625"/>
      <c r="DW41" s="625"/>
      <c r="DX41" s="625"/>
      <c r="DY41" s="625"/>
      <c r="DZ41" s="625"/>
      <c r="EA41" s="625"/>
      <c r="EB41" s="625"/>
      <c r="EC41" s="625"/>
      <c r="ED41" s="625"/>
      <c r="EE41" s="625"/>
      <c r="EF41" s="625"/>
      <c r="EG41" s="625"/>
      <c r="EH41" s="625"/>
      <c r="EI41" s="625"/>
      <c r="EJ41" s="625"/>
      <c r="EK41" s="625"/>
      <c r="EL41" s="625"/>
      <c r="EM41" s="625"/>
      <c r="EN41" s="625"/>
      <c r="EO41" s="625"/>
      <c r="EP41" s="625"/>
      <c r="EQ41" s="625"/>
      <c r="ER41" s="625"/>
      <c r="ES41" s="625"/>
      <c r="ET41" s="625"/>
      <c r="EU41" s="625"/>
      <c r="EV41" s="625"/>
      <c r="EW41" s="625"/>
      <c r="EX41" s="625"/>
      <c r="EY41" s="625"/>
      <c r="EZ41" s="625"/>
      <c r="FA41" s="625"/>
      <c r="FB41" s="625"/>
      <c r="FC41" s="625"/>
    </row>
    <row r="42" ht="15" customHeight="1">
      <c r="A42" s="824" t="s">
        <v>817</v>
      </c>
      <c r="B42" s="905">
        <f>_xlfn.IFERROR(IF(B38="Acquisition",B39,B41/B40),0)</f>
        <v>-32321785.8</v>
      </c>
      <c r="C42" s="631"/>
      <c r="D42" s="895" t="s">
        <v>818</v>
      </c>
      <c r="E42" s="902">
        <f t="shared" si="50" ref="E42:P42">IF(E30=0,0,SBL_FreddieNOI/E30)</f>
        <v>0</v>
      </c>
      <c r="F42" s="902">
        <f t="shared" si="50"/>
        <v>0</v>
      </c>
      <c r="G42" s="902">
        <f t="shared" si="50"/>
        <v>0</v>
      </c>
      <c r="H42" s="902">
        <f t="shared" si="50"/>
        <v>0</v>
      </c>
      <c r="I42" s="902">
        <f t="shared" si="50"/>
        <v>0</v>
      </c>
      <c r="J42" s="902">
        <f t="shared" si="50"/>
        <v>0</v>
      </c>
      <c r="K42" s="902">
        <f t="shared" si="50"/>
        <v>0</v>
      </c>
      <c r="L42" s="902">
        <f t="shared" si="50"/>
        <v>0</v>
      </c>
      <c r="M42" s="902">
        <f t="shared" si="50"/>
        <v>0</v>
      </c>
      <c r="N42" s="902">
        <f t="shared" si="50"/>
        <v>0</v>
      </c>
      <c r="O42" s="902">
        <f t="shared" si="50"/>
        <v>0</v>
      </c>
      <c r="P42" s="902">
        <f t="shared" si="50"/>
        <v>0</v>
      </c>
      <c r="Q42" s="902"/>
      <c r="R42" s="902">
        <f t="shared" si="51" ref="R42:AH42">IF(R30=0,0,SBL_FannieNOI/R30)</f>
        <v>0</v>
      </c>
      <c r="S42" s="902">
        <f t="shared" si="51"/>
        <v>0</v>
      </c>
      <c r="T42" s="902">
        <f t="shared" si="51"/>
        <v>0</v>
      </c>
      <c r="U42" s="902">
        <f t="shared" si="51"/>
        <v>0</v>
      </c>
      <c r="V42" s="902">
        <f t="shared" si="51"/>
        <v>0</v>
      </c>
      <c r="W42" s="902">
        <f t="shared" si="51"/>
        <v>0</v>
      </c>
      <c r="X42" s="902">
        <f t="shared" si="51"/>
        <v>0</v>
      </c>
      <c r="Y42" s="902">
        <f t="shared" si="51"/>
        <v>0</v>
      </c>
      <c r="Z42" s="902"/>
      <c r="AA42" s="902">
        <f t="shared" si="51"/>
        <v>0</v>
      </c>
      <c r="AB42" s="902">
        <f t="shared" si="51"/>
        <v>0</v>
      </c>
      <c r="AC42" s="902">
        <f t="shared" si="51"/>
        <v>0</v>
      </c>
      <c r="AD42" s="902">
        <f t="shared" si="51"/>
        <v>0</v>
      </c>
      <c r="AE42" s="902">
        <f t="shared" si="51"/>
        <v>0</v>
      </c>
      <c r="AF42" s="902">
        <f t="shared" si="51"/>
        <v>0</v>
      </c>
      <c r="AG42" s="902">
        <f t="shared" si="51"/>
        <v>0</v>
      </c>
      <c r="AH42" s="902">
        <f t="shared" si="51"/>
        <v>0</v>
      </c>
      <c r="AI42" s="875"/>
      <c r="AJ42" s="653" t="s">
        <v>819</v>
      </c>
      <c r="AK42" s="760" t="s">
        <v>656</v>
      </c>
      <c r="AL42" s="653"/>
      <c r="AM42" s="653" t="s">
        <v>820</v>
      </c>
      <c r="AN42" s="731" t="s">
        <v>209</v>
      </c>
      <c r="AO42" s="632"/>
      <c r="AP42" s="632"/>
      <c r="AQ42" s="632"/>
      <c r="AR42" s="632"/>
      <c r="AS42" s="632"/>
      <c r="AT42" s="632"/>
      <c r="AU42" s="771">
        <v>10</v>
      </c>
      <c r="AV42" s="762">
        <v>9.5</v>
      </c>
      <c r="AW42" s="838">
        <f t="shared" si="47"/>
        <v>0.0073</v>
      </c>
      <c r="AX42" s="822">
        <f t="shared" si="32"/>
        <v>0.043144</v>
      </c>
      <c r="AY42" s="755">
        <v>0.009</v>
      </c>
      <c r="AZ42" s="756">
        <f>DailyPricing!E55</f>
        <v>0.0152</v>
      </c>
      <c r="BA42" s="756">
        <f t="shared" si="10"/>
        <v>0.06564400000000001</v>
      </c>
      <c r="BB42" s="756">
        <f>DailyPricing!E138</f>
        <v>0.0111</v>
      </c>
      <c r="BC42" s="756">
        <f t="shared" si="10"/>
        <v>0.061544</v>
      </c>
      <c r="BD42" s="822">
        <f t="shared" si="47"/>
        <v>0.00009379999999999999</v>
      </c>
      <c r="BE42" s="822">
        <f t="shared" si="47"/>
        <v>0.00007074</v>
      </c>
      <c r="BF42" s="822">
        <f t="shared" si="47"/>
        <v>0.00005143</v>
      </c>
      <c r="BG42" s="822">
        <f t="shared" si="47"/>
        <v>0.00002258</v>
      </c>
      <c r="BH42" s="822">
        <f t="shared" si="47"/>
        <v>-0.00000265</v>
      </c>
      <c r="BI42" s="27"/>
      <c r="BJ42" s="711" t="s">
        <v>821</v>
      </c>
      <c r="BK42" s="712" t="s">
        <v>822</v>
      </c>
      <c r="BL42" s="712" t="s">
        <v>822</v>
      </c>
      <c r="BM42" s="712" t="s">
        <v>822</v>
      </c>
      <c r="BN42" s="712" t="s">
        <v>822</v>
      </c>
      <c r="BO42" s="712" t="s">
        <v>822</v>
      </c>
      <c r="BP42" s="713" t="s">
        <v>822</v>
      </c>
      <c r="BQ42" s="6"/>
      <c r="BR42" s="714"/>
      <c r="BS42" s="6"/>
      <c r="BT42" s="6"/>
      <c r="BU42" s="786"/>
      <c r="BV42" s="625"/>
      <c r="BW42" s="625"/>
      <c r="BX42" s="625"/>
      <c r="BY42" s="625"/>
      <c r="BZ42" s="625"/>
      <c r="CA42" s="625"/>
      <c r="CB42" s="625"/>
      <c r="CC42" s="625"/>
      <c r="CD42" s="625"/>
      <c r="CE42" s="625"/>
      <c r="CF42" s="625"/>
      <c r="CG42" s="625"/>
      <c r="CH42" s="625"/>
      <c r="CI42" s="625"/>
      <c r="CJ42" s="625"/>
      <c r="CK42" s="625"/>
      <c r="CL42" s="625"/>
      <c r="CM42" s="625"/>
      <c r="CN42" s="625"/>
      <c r="CO42" s="625"/>
      <c r="CP42" s="625"/>
      <c r="CQ42" s="625"/>
      <c r="CR42" s="625"/>
      <c r="CS42" s="625"/>
      <c r="CT42" s="625"/>
      <c r="CU42" s="625"/>
      <c r="CV42" s="625"/>
      <c r="CW42" s="625"/>
      <c r="CX42" s="625"/>
      <c r="CY42" s="625"/>
      <c r="CZ42" s="625"/>
      <c r="DA42" s="625"/>
      <c r="DB42" s="625"/>
      <c r="DC42" s="625"/>
      <c r="DD42" s="625"/>
      <c r="DE42" s="625"/>
      <c r="DF42" s="625"/>
      <c r="DG42" s="625"/>
      <c r="DH42" s="625"/>
      <c r="DI42" s="625"/>
      <c r="DJ42" s="625"/>
      <c r="DK42" s="625"/>
      <c r="DL42" s="625"/>
      <c r="DM42" s="625"/>
      <c r="DN42" s="625"/>
      <c r="DO42" s="625"/>
      <c r="DP42" s="625"/>
      <c r="DQ42" s="625"/>
      <c r="DR42" s="625"/>
      <c r="DS42" s="625"/>
      <c r="DT42" s="625"/>
      <c r="DU42" s="625"/>
      <c r="DV42" s="625"/>
      <c r="DW42" s="625"/>
      <c r="DX42" s="625"/>
      <c r="DY42" s="625"/>
      <c r="DZ42" s="625"/>
      <c r="EA42" s="625"/>
      <c r="EB42" s="625"/>
      <c r="EC42" s="625"/>
      <c r="ED42" s="625"/>
      <c r="EE42" s="625"/>
      <c r="EF42" s="625"/>
      <c r="EG42" s="625"/>
      <c r="EH42" s="625"/>
      <c r="EI42" s="625"/>
      <c r="EJ42" s="625"/>
      <c r="EK42" s="625"/>
      <c r="EL42" s="625"/>
      <c r="EM42" s="625"/>
      <c r="EN42" s="625"/>
      <c r="EO42" s="625"/>
      <c r="EP42" s="625"/>
      <c r="EQ42" s="625"/>
      <c r="ER42" s="625"/>
      <c r="ES42" s="625"/>
      <c r="ET42" s="625"/>
      <c r="EU42" s="625"/>
      <c r="EV42" s="625"/>
      <c r="EW42" s="625"/>
      <c r="EX42" s="625"/>
      <c r="EY42" s="625"/>
      <c r="EZ42" s="625"/>
      <c r="FA42" s="625"/>
      <c r="FB42" s="625"/>
      <c r="FC42" s="625"/>
    </row>
    <row r="43" ht="15" customHeight="1">
      <c r="A43" s="906" t="s">
        <v>823</v>
      </c>
      <c r="B43" s="907">
        <f t="shared" si="57" ref="B43:B46">_xlfn.IFERROR(B42/number_units,0)</f>
        <v>-320017.6811881188</v>
      </c>
      <c r="C43" s="631"/>
      <c r="D43" s="835" t="s">
        <v>824</v>
      </c>
      <c r="E43" s="908">
        <f t="shared" si="33"/>
        <v>0</v>
      </c>
      <c r="F43" s="908">
        <f t="shared" si="33"/>
        <v>1</v>
      </c>
      <c r="G43" s="908">
        <f t="shared" si="33"/>
        <v>2</v>
      </c>
      <c r="H43" s="908">
        <f t="shared" si="33"/>
        <v>0</v>
      </c>
      <c r="I43" s="908">
        <f t="shared" si="33"/>
        <v>1</v>
      </c>
      <c r="J43" s="908">
        <f t="shared" si="33"/>
        <v>2</v>
      </c>
      <c r="K43" s="908">
        <f t="shared" si="33"/>
        <v>0</v>
      </c>
      <c r="L43" s="908">
        <f t="shared" si="33"/>
        <v>1</v>
      </c>
      <c r="M43" s="908">
        <f t="shared" si="33"/>
        <v>2</v>
      </c>
      <c r="N43" s="908">
        <f t="shared" si="33"/>
        <v>0</v>
      </c>
      <c r="O43" s="908">
        <f t="shared" si="33"/>
        <v>1</v>
      </c>
      <c r="P43" s="908">
        <f t="shared" si="33"/>
        <v>2</v>
      </c>
      <c r="Q43" s="902"/>
      <c r="R43" s="908">
        <f t="shared" si="33"/>
        <v>0</v>
      </c>
      <c r="S43" s="908">
        <f t="shared" si="33"/>
        <v>0</v>
      </c>
      <c r="T43" s="908">
        <f t="shared" si="33"/>
        <v>0</v>
      </c>
      <c r="U43" s="908">
        <f t="shared" si="33"/>
        <v>5</v>
      </c>
      <c r="V43" s="908">
        <f t="shared" si="33"/>
        <v>10</v>
      </c>
      <c r="W43" s="908">
        <f t="shared" si="33"/>
        <v>2</v>
      </c>
      <c r="X43" s="908">
        <f t="shared" si="33"/>
        <v>5</v>
      </c>
      <c r="Y43" s="908">
        <f t="shared" si="33"/>
        <v>0</v>
      </c>
      <c r="Z43" s="902"/>
      <c r="AA43" s="908">
        <f t="shared" si="33"/>
        <v>3</v>
      </c>
      <c r="AB43" s="908">
        <f t="shared" si="33"/>
        <v>5</v>
      </c>
      <c r="AC43" s="908">
        <f t="shared" si="33"/>
        <v>7</v>
      </c>
      <c r="AD43" s="908">
        <f t="shared" si="33"/>
        <v>3</v>
      </c>
      <c r="AE43" s="908">
        <f t="shared" si="33"/>
        <v>5</v>
      </c>
      <c r="AF43" s="908">
        <f t="shared" si="33"/>
        <v>7</v>
      </c>
      <c r="AG43" s="908">
        <f t="shared" si="33"/>
        <v>3</v>
      </c>
      <c r="AH43" s="908">
        <f t="shared" si="33"/>
        <v>5</v>
      </c>
      <c r="AI43" s="875"/>
      <c r="AJ43" s="908" t="str">
        <f t="shared" si="33"/>
        <v>Repeat Fannie Mae Guarantors / KPs?</v>
      </c>
      <c r="AK43" s="908">
        <v>0</v>
      </c>
      <c r="AL43" s="908">
        <f t="shared" si="33"/>
        <v>0</v>
      </c>
      <c r="AM43" s="908" t="str">
        <f t="shared" si="33"/>
        <v>Headquarters (City/State)</v>
      </c>
      <c r="AN43" s="908" t="s">
        <v>656</v>
      </c>
      <c r="AO43" s="632"/>
      <c r="AP43" s="632"/>
      <c r="AQ43" s="632"/>
      <c r="AR43" s="632"/>
      <c r="AS43" s="632"/>
      <c r="AT43" s="632"/>
      <c r="AU43" s="775">
        <v>12</v>
      </c>
      <c r="AV43" s="1">
        <v>11.5</v>
      </c>
      <c r="AW43" s="838">
        <f t="shared" si="47"/>
        <v>0.0087</v>
      </c>
      <c r="AX43" s="822">
        <f t="shared" si="18"/>
        <v>0.043144</v>
      </c>
      <c r="AY43" s="755">
        <v>0.009</v>
      </c>
      <c r="AZ43" s="756">
        <f>DailyPricing!E56</f>
        <v>0.0152</v>
      </c>
      <c r="BA43" s="756">
        <f t="shared" si="10"/>
        <v>0.067044</v>
      </c>
      <c r="BB43" s="756">
        <f>DailyPricing!E139</f>
        <v>0.0111</v>
      </c>
      <c r="BC43" s="756">
        <f t="shared" si="10"/>
        <v>0.062944</v>
      </c>
      <c r="BD43" s="822">
        <f t="shared" si="47"/>
        <v>0.0001064</v>
      </c>
      <c r="BE43" s="822">
        <f t="shared" si="47"/>
        <v>0.00009410999999999999</v>
      </c>
      <c r="BF43" s="822">
        <f t="shared" si="47"/>
        <v>0.00008375</v>
      </c>
      <c r="BG43" s="822">
        <f t="shared" si="47"/>
        <v>0.00006768</v>
      </c>
      <c r="BH43" s="822">
        <f t="shared" si="47"/>
        <v>0.000048469999999999995</v>
      </c>
      <c r="BI43" s="27"/>
      <c r="BJ43" s="703" t="s">
        <v>827</v>
      </c>
      <c r="BK43" s="704"/>
      <c r="BL43" s="704"/>
      <c r="BM43" s="704"/>
      <c r="BN43" s="704"/>
      <c r="BO43" s="704"/>
      <c r="BP43" s="705"/>
      <c r="BQ43" s="664"/>
      <c r="BR43" s="706"/>
      <c r="BS43" s="664"/>
      <c r="BT43" s="664"/>
      <c r="BU43" s="909"/>
      <c r="BV43" s="708"/>
      <c r="BW43" s="708"/>
      <c r="BX43" s="708"/>
      <c r="BY43" s="708"/>
      <c r="BZ43" s="708"/>
      <c r="CA43" s="708"/>
      <c r="CB43" s="708"/>
      <c r="CC43" s="708"/>
      <c r="CD43" s="708"/>
      <c r="CE43" s="708"/>
      <c r="CF43" s="708"/>
      <c r="CG43" s="708"/>
      <c r="CH43" s="708"/>
      <c r="CI43" s="708"/>
      <c r="CJ43" s="708"/>
      <c r="CK43" s="708"/>
      <c r="CL43" s="708"/>
      <c r="CM43" s="708"/>
      <c r="CN43" s="708"/>
      <c r="CO43" s="708"/>
      <c r="CP43" s="708"/>
      <c r="CQ43" s="708"/>
      <c r="CR43" s="708"/>
      <c r="CS43" s="708"/>
      <c r="CT43" s="708"/>
      <c r="CU43" s="708"/>
      <c r="CV43" s="708"/>
      <c r="CW43" s="708"/>
      <c r="CX43" s="708"/>
      <c r="CY43" s="708"/>
      <c r="CZ43" s="708"/>
      <c r="DA43" s="625"/>
      <c r="DB43" s="625"/>
      <c r="DC43" s="625"/>
      <c r="DD43" s="625"/>
      <c r="DE43" s="625"/>
      <c r="DF43" s="625"/>
      <c r="DG43" s="625"/>
      <c r="DH43" s="625"/>
      <c r="DI43" s="625"/>
      <c r="DJ43" s="625"/>
      <c r="DK43" s="625"/>
      <c r="DL43" s="625"/>
      <c r="DM43" s="625"/>
      <c r="DN43" s="625"/>
      <c r="DO43" s="625"/>
      <c r="DP43" s="625"/>
      <c r="DQ43" s="625"/>
      <c r="DR43" s="625"/>
      <c r="DS43" s="625"/>
      <c r="DT43" s="625"/>
      <c r="DU43" s="625"/>
      <c r="DV43" s="625"/>
      <c r="DW43" s="625"/>
      <c r="DX43" s="625"/>
      <c r="DY43" s="625"/>
      <c r="DZ43" s="625"/>
      <c r="EA43" s="625"/>
      <c r="EB43" s="625"/>
      <c r="EC43" s="625"/>
      <c r="ED43" s="625"/>
      <c r="EE43" s="625"/>
      <c r="EF43" s="625"/>
      <c r="EG43" s="625"/>
      <c r="EH43" s="625"/>
      <c r="EI43" s="625"/>
      <c r="EJ43" s="625"/>
      <c r="EK43" s="625"/>
      <c r="EL43" s="625"/>
      <c r="EM43" s="625"/>
      <c r="EN43" s="625"/>
      <c r="EO43" s="625"/>
      <c r="EP43" s="625"/>
      <c r="EQ43" s="625"/>
      <c r="ER43" s="625"/>
      <c r="ES43" s="625"/>
      <c r="ET43" s="625"/>
      <c r="EU43" s="625"/>
      <c r="EV43" s="625"/>
      <c r="EW43" s="625"/>
      <c r="EX43" s="625"/>
      <c r="EY43" s="625"/>
      <c r="EZ43" s="625"/>
      <c r="FA43" s="625"/>
      <c r="FB43" s="625"/>
      <c r="FC43" s="625"/>
    </row>
    <row r="44" ht="15" customHeight="1">
      <c r="A44" s="910" t="s">
        <v>828</v>
      </c>
      <c r="B44" s="903">
        <f>HOps_NetCashFlow</f>
        <v>-1720952.21</v>
      </c>
      <c r="C44" s="631"/>
      <c r="D44" s="911" t="s">
        <v>829</v>
      </c>
      <c r="E44" s="912">
        <f t="shared" si="52" ref="E44:P44">_xlfn.LET(_xlpm.term_yrs,E$98,_xlpm.market_tier,$B$22,_xlpm.is_feb_2023_special_FRE_terms,AND(MONTH(LastPricingUpdateTimestamp)=2,YEAR(LastPricingUpdateTimestamp)=2023),IF(OR(_xlpm.market_tier="Top",_xlpm.market_tier="Standard"),IF(_xlpm.term_yrs=5,1,IF(_xlpm.term_yrs=7,2,IF(_xlpm.term_yrs=10,3,0))),IF(_xlpm.term_yrs=5,0,IF(_xlpm.term_yrs=7,1,IF(_xlpm.term_yrs=10,2,0))))+IF(_xlpm.is_feb_2023_special_FRE_terms,1,0))</f>
        <v>0</v>
      </c>
      <c r="F44" s="912">
        <f t="shared" si="52"/>
        <v>1</v>
      </c>
      <c r="G44" s="912">
        <f t="shared" si="52"/>
        <v>2</v>
      </c>
      <c r="H44" s="912">
        <f t="shared" si="52"/>
        <v>0</v>
      </c>
      <c r="I44" s="912">
        <f t="shared" si="52"/>
        <v>1</v>
      </c>
      <c r="J44" s="912">
        <f t="shared" si="52"/>
        <v>2</v>
      </c>
      <c r="K44" s="912">
        <f t="shared" si="52"/>
        <v>0</v>
      </c>
      <c r="L44" s="912">
        <f t="shared" si="52"/>
        <v>1</v>
      </c>
      <c r="M44" s="912">
        <f t="shared" si="52"/>
        <v>2</v>
      </c>
      <c r="N44" s="912">
        <f t="shared" si="52"/>
        <v>0</v>
      </c>
      <c r="O44" s="912">
        <f t="shared" si="52"/>
        <v>1</v>
      </c>
      <c r="P44" s="912">
        <f t="shared" si="52"/>
        <v>2</v>
      </c>
      <c r="Q44" s="631"/>
      <c r="R44" s="912">
        <f t="shared" si="53" ref="R44:Y44">_xlfn.LET(_xlpm.Tier,R$39,_xlpm.TermYrs,R$98,_xlpm.TermMonths,_xlpm.TermYrs*12,_xlpm.IsStrongMkt,SblQuotes_FannieMktTier="Strong",_xlpm.IsLosAngeles,MSA="Los Angeles-Long Beach-Anaheim",_xlpm.IsSeniors,SBL_PropertyType="Seniors",_xlpm.IsAcquisition,SBL_DealPurpose="Acquisition",_xlpm.IsStrongNonSeniors,AND(NOT(_xlpm.IsSeniors),OR(_xlpm.IsStrongMkt,_xlpm.IsLosAngeles)),IF(_xlpm.Tier=4,MIN(_xlpm.TermYrs,15),0)+IF(_xlpm.Tier=3,IF(_xlpm.IsStrongNonSeniors,MIN(_xlpm.TermYrs,15),IF(_xlpm.TermMonths&gt;=120,5,IF(_xlpm.TermMonths&gt;=84,3,IF(_xlpm.TermMonths&gt;=60,2,0)))),0)+IF(_xlpm.Tier=2,IF(AND(_xlpm.IsAcquisition,_xlpm.TermMonths&gt;=120),1,0),0))</f>
        <v>0</v>
      </c>
      <c r="S44" s="912">
        <f t="shared" si="53"/>
        <v>0</v>
      </c>
      <c r="T44" s="912">
        <f t="shared" si="53"/>
        <v>0</v>
      </c>
      <c r="U44" s="912">
        <f t="shared" si="53"/>
        <v>5</v>
      </c>
      <c r="V44" s="912">
        <f t="shared" si="53"/>
        <v>10</v>
      </c>
      <c r="W44" s="912">
        <f t="shared" si="53"/>
        <v>2</v>
      </c>
      <c r="X44" s="912">
        <f t="shared" si="53"/>
        <v>5</v>
      </c>
      <c r="Y44" s="912">
        <f t="shared" si="53"/>
        <v>0</v>
      </c>
      <c r="Z44" s="631"/>
      <c r="AA44" s="912">
        <f t="shared" si="54" ref="AA44:AH44">AA$98</f>
        <v>3</v>
      </c>
      <c r="AB44" s="912">
        <f t="shared" si="54"/>
        <v>5</v>
      </c>
      <c r="AC44" s="912">
        <f t="shared" si="54"/>
        <v>7</v>
      </c>
      <c r="AD44" s="912">
        <f t="shared" si="54"/>
        <v>3</v>
      </c>
      <c r="AE44" s="912">
        <f t="shared" si="54"/>
        <v>5</v>
      </c>
      <c r="AF44" s="912">
        <f t="shared" si="54"/>
        <v>7</v>
      </c>
      <c r="AG44" s="912">
        <f t="shared" si="54"/>
        <v>3</v>
      </c>
      <c r="AH44" s="912">
        <f t="shared" si="54"/>
        <v>5</v>
      </c>
      <c r="AI44" s="791"/>
      <c r="AJ44" s="653" t="s">
        <v>825</v>
      </c>
      <c r="AK44" s="731" t="s">
        <v>209</v>
      </c>
      <c r="AL44" s="653"/>
      <c r="AM44" s="653" t="s">
        <v>826</v>
      </c>
      <c r="AN44" s="760" t="s">
        <v>656</v>
      </c>
      <c r="AO44" s="632"/>
      <c r="AP44" s="632"/>
      <c r="AQ44" s="632"/>
      <c r="AR44" s="632"/>
      <c r="AS44" s="632"/>
      <c r="AT44" s="632"/>
      <c r="AU44" s="780">
        <v>15</v>
      </c>
      <c r="AV44" s="762">
        <v>14.5</v>
      </c>
      <c r="AW44" s="838">
        <f t="shared" si="47"/>
        <v>0.0105</v>
      </c>
      <c r="AX44" s="822">
        <f t="shared" si="18"/>
        <v>0.043144</v>
      </c>
      <c r="AY44" s="755">
        <v>0.009</v>
      </c>
      <c r="AZ44" s="756">
        <f>DailyPricing!E57</f>
        <v>0.0152</v>
      </c>
      <c r="BA44" s="756">
        <f t="shared" si="10"/>
        <v>0.068844</v>
      </c>
      <c r="BB44" s="756">
        <f>DailyPricing!E140</f>
        <v>0.0111</v>
      </c>
      <c r="BC44" s="756">
        <f t="shared" si="10"/>
        <v>0.06474400000000001</v>
      </c>
      <c r="BD44" s="822">
        <f t="shared" si="47"/>
        <v>0.00010751</v>
      </c>
      <c r="BE44" s="822">
        <f t="shared" si="47"/>
        <v>0.00009582</v>
      </c>
      <c r="BF44" s="822">
        <f t="shared" si="47"/>
        <v>0.00008586</v>
      </c>
      <c r="BG44" s="822">
        <f t="shared" si="47"/>
        <v>0.00006981</v>
      </c>
      <c r="BH44" s="822">
        <f t="shared" si="47"/>
        <v>0.0000404</v>
      </c>
      <c r="BI44" s="688"/>
      <c r="BJ44" s="711" t="s">
        <v>830</v>
      </c>
      <c r="BK44" s="712">
        <v>25</v>
      </c>
      <c r="BL44" s="712">
        <v>20</v>
      </c>
      <c r="BM44" s="712">
        <v>15</v>
      </c>
      <c r="BN44" s="712">
        <v>25</v>
      </c>
      <c r="BO44" s="712">
        <v>20</v>
      </c>
      <c r="BP44" s="713">
        <v>15</v>
      </c>
      <c r="BQ44" s="6"/>
      <c r="BR44" s="714"/>
      <c r="BS44" s="6"/>
      <c r="BT44" s="6"/>
      <c r="BU44" s="786"/>
      <c r="BV44" s="625"/>
      <c r="BW44" s="625"/>
      <c r="BX44" s="625"/>
      <c r="BY44" s="625"/>
      <c r="BZ44" s="625"/>
      <c r="CA44" s="625"/>
      <c r="CB44" s="625"/>
      <c r="CC44" s="625"/>
      <c r="CD44" s="625"/>
      <c r="CE44" s="625"/>
      <c r="CF44" s="625"/>
      <c r="CG44" s="625"/>
      <c r="CH44" s="625"/>
      <c r="CI44" s="625"/>
      <c r="CJ44" s="625"/>
      <c r="CK44" s="625"/>
      <c r="CL44" s="625"/>
      <c r="CM44" s="625"/>
      <c r="CN44" s="625"/>
      <c r="CO44" s="625"/>
      <c r="CP44" s="625"/>
      <c r="CQ44" s="625"/>
      <c r="CR44" s="625"/>
      <c r="CS44" s="625"/>
      <c r="CT44" s="625"/>
      <c r="CU44" s="625"/>
      <c r="CV44" s="625"/>
      <c r="CW44" s="625"/>
      <c r="CX44" s="625"/>
      <c r="CY44" s="625"/>
      <c r="CZ44" s="625"/>
      <c r="DA44" s="625"/>
      <c r="DB44" s="625"/>
      <c r="DC44" s="625"/>
      <c r="DD44" s="625"/>
      <c r="DE44" s="625"/>
      <c r="DF44" s="625"/>
      <c r="DG44" s="625"/>
      <c r="DH44" s="625"/>
      <c r="DI44" s="625"/>
      <c r="DJ44" s="625"/>
      <c r="DK44" s="625"/>
      <c r="DL44" s="625"/>
      <c r="DM44" s="625"/>
      <c r="DN44" s="625"/>
      <c r="DO44" s="625"/>
      <c r="DP44" s="625"/>
      <c r="DQ44" s="625"/>
      <c r="DR44" s="625"/>
      <c r="DS44" s="625"/>
      <c r="DT44" s="625"/>
      <c r="DU44" s="625"/>
      <c r="DV44" s="625"/>
      <c r="DW44" s="625"/>
      <c r="DX44" s="625"/>
      <c r="DY44" s="625"/>
      <c r="DZ44" s="625"/>
      <c r="EA44" s="625"/>
      <c r="EB44" s="625"/>
      <c r="EC44" s="625"/>
      <c r="ED44" s="625"/>
      <c r="EE44" s="625"/>
      <c r="EF44" s="625"/>
      <c r="EG44" s="625"/>
      <c r="EH44" s="625"/>
      <c r="EI44" s="625"/>
      <c r="EJ44" s="625"/>
      <c r="EK44" s="625"/>
      <c r="EL44" s="625"/>
      <c r="EM44" s="625"/>
      <c r="EN44" s="625"/>
      <c r="EO44" s="625"/>
      <c r="EP44" s="625"/>
      <c r="EQ44" s="625"/>
      <c r="ER44" s="625"/>
      <c r="ES44" s="625"/>
      <c r="ET44" s="625"/>
      <c r="EU44" s="625"/>
      <c r="EV44" s="625"/>
      <c r="EW44" s="625"/>
      <c r="EX44" s="625"/>
      <c r="EY44" s="625"/>
      <c r="EZ44" s="625"/>
      <c r="FA44" s="625"/>
      <c r="FB44" s="625"/>
      <c r="FC44" s="625"/>
    </row>
    <row r="45" ht="15" customHeight="1">
      <c r="A45" s="861" t="s">
        <v>831</v>
      </c>
      <c r="B45" s="905">
        <f>_xlfn.IFERROR(IF(B38="Acquisition",B39,B44/B40),0)</f>
        <v>-34419044.199999996</v>
      </c>
      <c r="C45" s="631"/>
      <c r="D45" s="911" t="s">
        <v>832</v>
      </c>
      <c r="E45" s="791" t="str">
        <f t="shared" si="55" ref="E45:P45">IF(E$98=E$43,"Full Term","--")</f>
        <v>--</v>
      </c>
      <c r="F45" s="791" t="str">
        <f t="shared" si="55"/>
        <v>--</v>
      </c>
      <c r="G45" s="791" t="str">
        <f t="shared" si="55"/>
        <v>--</v>
      </c>
      <c r="H45" s="791" t="str">
        <f t="shared" si="55"/>
        <v>--</v>
      </c>
      <c r="I45" s="791" t="str">
        <f t="shared" si="55"/>
        <v>--</v>
      </c>
      <c r="J45" s="791" t="str">
        <f t="shared" si="55"/>
        <v>--</v>
      </c>
      <c r="K45" s="791" t="str">
        <f t="shared" si="55"/>
        <v>--</v>
      </c>
      <c r="L45" s="791" t="str">
        <f t="shared" si="55"/>
        <v>--</v>
      </c>
      <c r="M45" s="791" t="str">
        <f t="shared" si="55"/>
        <v>--</v>
      </c>
      <c r="N45" s="791" t="str">
        <f t="shared" si="55"/>
        <v>--</v>
      </c>
      <c r="O45" s="791" t="str">
        <f t="shared" si="55"/>
        <v>--</v>
      </c>
      <c r="P45" s="791" t="str">
        <f t="shared" si="55"/>
        <v>--</v>
      </c>
      <c r="Q45" s="791"/>
      <c r="R45" s="791">
        <f t="shared" si="56" ref="R45:AH45">IF(R$98=R$43,"Full Term","")</f>
      </c>
      <c r="S45" s="791">
        <f t="shared" si="56"/>
      </c>
      <c r="T45" s="791">
        <f t="shared" si="56"/>
      </c>
      <c r="U45" s="791">
        <f t="shared" si="56"/>
      </c>
      <c r="V45" s="791" t="str">
        <f t="shared" si="56"/>
        <v>Full Term</v>
      </c>
      <c r="W45" s="791">
        <f t="shared" si="56"/>
      </c>
      <c r="X45" s="791" t="str">
        <f t="shared" si="56"/>
        <v>Full Term</v>
      </c>
      <c r="Y45" s="791">
        <f t="shared" si="56"/>
      </c>
      <c r="Z45" s="791"/>
      <c r="AA45" s="791" t="str">
        <f t="shared" si="56"/>
        <v>Full Term</v>
      </c>
      <c r="AB45" s="791" t="str">
        <f t="shared" si="56"/>
        <v>Full Term</v>
      </c>
      <c r="AC45" s="791" t="str">
        <f t="shared" si="56"/>
        <v>Full Term</v>
      </c>
      <c r="AD45" s="791" t="str">
        <f t="shared" si="56"/>
        <v>Full Term</v>
      </c>
      <c r="AE45" s="791" t="str">
        <f t="shared" si="56"/>
        <v>Full Term</v>
      </c>
      <c r="AF45" s="791" t="str">
        <f t="shared" si="56"/>
        <v>Full Term</v>
      </c>
      <c r="AG45" s="791" t="str">
        <f t="shared" si="56"/>
        <v>Full Term</v>
      </c>
      <c r="AH45" s="791" t="str">
        <f t="shared" si="56"/>
        <v>Full Term</v>
      </c>
      <c r="AI45" s="875"/>
      <c r="AJ45" s="653" t="s">
        <v>833</v>
      </c>
      <c r="AK45" s="731" t="s">
        <v>209</v>
      </c>
      <c r="AL45" s="653"/>
      <c r="AM45" s="653" t="s">
        <v>834</v>
      </c>
      <c r="AN45" s="760" t="s">
        <v>656</v>
      </c>
      <c r="AO45" s="632"/>
      <c r="AP45" s="632"/>
      <c r="AQ45" s="632"/>
      <c r="AR45" s="632"/>
      <c r="AS45" s="632"/>
      <c r="AT45" s="632"/>
      <c r="AU45" s="784">
        <v>18</v>
      </c>
      <c r="AV45" s="762">
        <v>15</v>
      </c>
      <c r="AW45" s="838">
        <f t="shared" si="47"/>
        <v>0.0121</v>
      </c>
      <c r="AX45" s="822">
        <f t="shared" si="18"/>
        <v>0.043144</v>
      </c>
      <c r="AY45" s="755">
        <v>0.009</v>
      </c>
      <c r="AZ45" s="756">
        <f>DailyPricing!E58</f>
        <v>0.0152</v>
      </c>
      <c r="BA45" s="756">
        <f t="shared" si="10"/>
        <v>0.070444</v>
      </c>
      <c r="BB45" s="756">
        <f>DailyPricing!E141</f>
        <v>0.0111</v>
      </c>
      <c r="BC45" s="756">
        <f t="shared" si="10"/>
        <v>0.066344</v>
      </c>
      <c r="BD45" s="785"/>
      <c r="BE45" s="786"/>
      <c r="BF45" s="787"/>
      <c r="BG45" s="786"/>
      <c r="BH45" s="788"/>
      <c r="BI45" s="6"/>
      <c r="BJ45" s="913"/>
      <c r="BK45" s="633"/>
      <c r="BL45" s="633"/>
      <c r="BM45" s="633"/>
      <c r="BN45" s="633"/>
      <c r="BO45" s="633"/>
      <c r="BP45" s="914"/>
      <c r="BQ45" s="632"/>
      <c r="BR45" s="636"/>
      <c r="BS45" s="632"/>
      <c r="BT45" s="632"/>
      <c r="BU45" s="637"/>
    </row>
    <row r="46" ht="15" customHeight="1">
      <c r="A46" s="910" t="s">
        <v>835</v>
      </c>
      <c r="B46" s="842">
        <f t="shared" si="57"/>
        <v>-340782.6158415841</v>
      </c>
      <c r="C46" s="631"/>
      <c r="D46" s="835" t="s">
        <v>220</v>
      </c>
      <c r="E46" s="915">
        <v>30</v>
      </c>
      <c r="F46" s="915">
        <v>30</v>
      </c>
      <c r="G46" s="915">
        <v>30</v>
      </c>
      <c r="H46" s="915">
        <v>30</v>
      </c>
      <c r="I46" s="915">
        <v>30</v>
      </c>
      <c r="J46" s="915">
        <v>30</v>
      </c>
      <c r="K46" s="915">
        <v>30</v>
      </c>
      <c r="L46" s="915">
        <v>30</v>
      </c>
      <c r="M46" s="915">
        <v>30</v>
      </c>
      <c r="N46" s="915">
        <v>30</v>
      </c>
      <c r="O46" s="915">
        <v>30</v>
      </c>
      <c r="P46" s="915">
        <v>30</v>
      </c>
      <c r="Q46" s="631"/>
      <c r="R46" s="915">
        <v>30</v>
      </c>
      <c r="S46" s="915">
        <v>30</v>
      </c>
      <c r="T46" s="915">
        <v>30</v>
      </c>
      <c r="U46" s="915">
        <v>30</v>
      </c>
      <c r="V46" s="915">
        <v>30</v>
      </c>
      <c r="W46" s="915">
        <v>30</v>
      </c>
      <c r="X46" s="915">
        <v>30</v>
      </c>
      <c r="Y46" s="915">
        <v>30</v>
      </c>
      <c r="Z46" s="631"/>
      <c r="AA46" s="916">
        <v>30</v>
      </c>
      <c r="AB46" s="916">
        <v>30</v>
      </c>
      <c r="AC46" s="916">
        <v>30</v>
      </c>
      <c r="AD46" s="916">
        <v>30</v>
      </c>
      <c r="AE46" s="916">
        <v>30</v>
      </c>
      <c r="AF46" s="916">
        <v>30</v>
      </c>
      <c r="AG46" s="916">
        <v>30</v>
      </c>
      <c r="AH46" s="916">
        <v>30</v>
      </c>
      <c r="AI46" s="917"/>
      <c r="AJ46" s="653" t="s">
        <v>836</v>
      </c>
      <c r="AK46" s="731" t="s">
        <v>209</v>
      </c>
      <c r="AL46" s="653"/>
      <c r="AM46" s="653" t="s">
        <v>837</v>
      </c>
      <c r="AN46" s="731" t="s">
        <v>209</v>
      </c>
      <c r="AO46" s="632"/>
      <c r="AP46" s="632"/>
      <c r="AQ46" s="632"/>
      <c r="AR46" s="632"/>
      <c r="AS46" s="632"/>
      <c r="AT46" s="632"/>
      <c r="AU46" s="797">
        <v>30</v>
      </c>
      <c r="AV46" s="798">
        <v>15</v>
      </c>
      <c r="AW46" s="838">
        <f t="shared" si="47"/>
        <v>0.013</v>
      </c>
      <c r="AX46" s="869">
        <f t="shared" si="34"/>
        <v>0.043957</v>
      </c>
      <c r="AY46" s="755">
        <v>0.013</v>
      </c>
      <c r="AZ46" s="756">
        <f>DailyPricing!E59</f>
        <v>0.0152</v>
      </c>
      <c r="BA46" s="756">
        <f t="shared" si="10"/>
        <v>0.072157</v>
      </c>
      <c r="BB46" s="756">
        <f>DailyPricing!E142</f>
        <v>0.0111</v>
      </c>
      <c r="BC46" s="756">
        <f t="shared" si="10"/>
        <v>0.068057</v>
      </c>
      <c r="BD46" s="785"/>
      <c r="BE46" s="786"/>
      <c r="BF46" s="787"/>
      <c r="BG46" s="786"/>
      <c r="BH46" s="786"/>
      <c r="BI46" s="6"/>
      <c r="BJ46" s="918"/>
      <c r="BK46" s="919"/>
      <c r="BL46" s="919"/>
      <c r="BM46" s="919"/>
      <c r="BN46" s="919"/>
      <c r="BO46" s="919"/>
      <c r="BP46" s="920"/>
      <c r="BQ46" s="632"/>
      <c r="BR46" s="636"/>
      <c r="BS46" s="632"/>
      <c r="BT46" s="632"/>
      <c r="BU46" s="637"/>
    </row>
    <row r="47" ht="15" customHeight="1">
      <c r="A47" s="910" t="s">
        <v>838</v>
      </c>
      <c r="B47" s="651" t="b">
        <f>OR(SblQuotes_FannieMktTier="Strong",_xlfn.IFERROR(SEARCH("Chicago-Naperville-Elgin",MSA),0)&gt;0,_xlfn.IFERROR(SEARCH("Los Angeles-Long Beach-Anaheim",MSA),0)&gt;0,_xlfn.IFERROR(SEARCH("Washington-Arlington-Alexandria",MSA),0)&gt;0)</f>
        <v>0</v>
      </c>
      <c r="C47" s="631"/>
      <c r="D47" s="921" t="s">
        <v>839</v>
      </c>
      <c r="E47" s="922" t="s">
        <v>840</v>
      </c>
      <c r="F47" s="922" t="s">
        <v>840</v>
      </c>
      <c r="G47" s="922" t="s">
        <v>840</v>
      </c>
      <c r="H47" s="922" t="s">
        <v>840</v>
      </c>
      <c r="I47" s="922" t="s">
        <v>840</v>
      </c>
      <c r="J47" s="922" t="s">
        <v>840</v>
      </c>
      <c r="K47" s="922" t="s">
        <v>840</v>
      </c>
      <c r="L47" s="922" t="s">
        <v>840</v>
      </c>
      <c r="M47" s="922" t="s">
        <v>840</v>
      </c>
      <c r="N47" s="922" t="s">
        <v>840</v>
      </c>
      <c r="O47" s="922" t="s">
        <v>840</v>
      </c>
      <c r="P47" s="922" t="s">
        <v>840</v>
      </c>
      <c r="Q47" s="631"/>
      <c r="R47" s="923" t="s">
        <v>393</v>
      </c>
      <c r="S47" s="923" t="s">
        <v>393</v>
      </c>
      <c r="T47" s="923" t="s">
        <v>393</v>
      </c>
      <c r="U47" s="923" t="s">
        <v>393</v>
      </c>
      <c r="V47" s="923" t="s">
        <v>393</v>
      </c>
      <c r="W47" s="923" t="s">
        <v>393</v>
      </c>
      <c r="X47" s="923" t="s">
        <v>393</v>
      </c>
      <c r="Y47" s="923" t="s">
        <v>393</v>
      </c>
      <c r="Z47" s="631"/>
      <c r="AA47" s="924" t="s">
        <v>393</v>
      </c>
      <c r="AB47" s="924" t="s">
        <v>393</v>
      </c>
      <c r="AC47" s="924" t="s">
        <v>393</v>
      </c>
      <c r="AD47" s="924" t="s">
        <v>393</v>
      </c>
      <c r="AE47" s="924" t="s">
        <v>393</v>
      </c>
      <c r="AF47" s="924" t="s">
        <v>393</v>
      </c>
      <c r="AG47" s="924" t="s">
        <v>393</v>
      </c>
      <c r="AH47" s="924" t="s">
        <v>393</v>
      </c>
      <c r="AI47" s="875"/>
      <c r="AJ47" s="653" t="s">
        <v>841</v>
      </c>
      <c r="AK47" s="828">
        <v>0</v>
      </c>
      <c r="AL47" s="653"/>
      <c r="AM47" s="653" t="s">
        <v>842</v>
      </c>
      <c r="AN47" s="731" t="s">
        <v>209</v>
      </c>
      <c r="AO47" s="632"/>
      <c r="AP47" s="632"/>
      <c r="AQ47" s="632"/>
      <c r="AR47" s="632"/>
      <c r="AS47" s="632"/>
      <c r="AT47" s="632"/>
      <c r="AU47" s="803" t="s">
        <v>635</v>
      </c>
      <c r="AV47" s="804" t="s">
        <v>636</v>
      </c>
      <c r="AW47" s="748"/>
      <c r="AX47" s="871"/>
      <c r="AY47" s="805"/>
      <c r="AZ47" s="807"/>
      <c r="BA47" s="808"/>
      <c r="BB47" s="807"/>
      <c r="BC47" s="808"/>
      <c r="BD47" s="808"/>
      <c r="BE47" s="807"/>
      <c r="BF47" s="807"/>
      <c r="BG47" s="807"/>
      <c r="BH47" s="807"/>
      <c r="BI47" s="6"/>
      <c r="BJ47" s="925" t="str">
        <f>"SBL - "&amp;$BL$2&amp;" Region Pricing Grid - Small/Very Small Markets   Effective: "&amp;TEXT(SBL_FRE_RegionalPricingGridTimestamp,"dddd  mm/dd/yyyy")</f>
        <v>SBL - Northeast Region Pricing Grid - Small/Very Small Markets   Effective: Tuesday  09/12/2023</v>
      </c>
      <c r="BK47" s="690"/>
      <c r="BL47" s="690"/>
      <c r="BM47" s="690"/>
      <c r="BN47" s="690"/>
      <c r="BO47" s="690"/>
      <c r="BP47" s="691"/>
      <c r="BQ47" s="692"/>
      <c r="BR47" s="693"/>
      <c r="BS47" s="692"/>
      <c r="BT47" s="692"/>
      <c r="BU47" s="926"/>
      <c r="BV47" s="695"/>
      <c r="BW47" s="695"/>
      <c r="BX47" s="695"/>
      <c r="BY47" s="695"/>
      <c r="BZ47" s="695"/>
      <c r="CA47" s="695"/>
      <c r="CB47" s="695"/>
      <c r="CC47" s="695"/>
      <c r="CD47" s="695"/>
      <c r="CE47" s="695"/>
      <c r="CF47" s="695"/>
      <c r="CG47" s="695"/>
      <c r="CH47" s="695"/>
      <c r="CI47" s="695"/>
      <c r="CJ47" s="695"/>
      <c r="CK47" s="695"/>
      <c r="CL47" s="695"/>
      <c r="CM47" s="695"/>
      <c r="CN47" s="695"/>
      <c r="CO47" s="695"/>
      <c r="CP47" s="695"/>
      <c r="CQ47" s="695"/>
      <c r="CR47" s="695"/>
      <c r="CS47" s="695"/>
      <c r="CT47" s="695"/>
      <c r="CU47" s="695"/>
      <c r="CV47" s="695"/>
      <c r="CW47" s="695"/>
      <c r="CX47" s="695"/>
      <c r="CY47" s="695"/>
      <c r="CZ47" s="695"/>
      <c r="DA47" s="695"/>
      <c r="DB47" s="695"/>
      <c r="DC47" s="695"/>
      <c r="DD47" s="695"/>
      <c r="DE47" s="695"/>
      <c r="DF47" s="695"/>
      <c r="DG47" s="695"/>
      <c r="DH47" s="695"/>
      <c r="DI47" s="695"/>
      <c r="DJ47" s="695"/>
      <c r="DK47" s="695"/>
      <c r="DL47" s="695"/>
      <c r="DM47" s="695"/>
      <c r="DN47" s="695"/>
      <c r="DO47" s="695"/>
      <c r="DP47" s="695"/>
      <c r="DQ47" s="695"/>
      <c r="DR47" s="695"/>
      <c r="DS47" s="695"/>
      <c r="DT47" s="695"/>
      <c r="DU47" s="695"/>
      <c r="DV47" s="695"/>
      <c r="DW47" s="695"/>
      <c r="DX47" s="695"/>
      <c r="DY47" s="695"/>
      <c r="DZ47" s="695"/>
      <c r="EA47" s="695"/>
      <c r="EB47" s="695"/>
      <c r="EC47" s="695"/>
      <c r="ED47" s="695"/>
      <c r="EE47" s="695"/>
      <c r="EF47" s="695"/>
      <c r="EG47" s="695"/>
      <c r="EH47" s="695"/>
      <c r="EI47" s="695"/>
      <c r="EJ47" s="695"/>
      <c r="EK47" s="695"/>
      <c r="EL47" s="695"/>
      <c r="EM47" s="695"/>
      <c r="EN47" s="695"/>
      <c r="EO47" s="695"/>
      <c r="EP47" s="695"/>
      <c r="EQ47" s="695"/>
      <c r="ER47" s="695"/>
      <c r="ES47" s="695"/>
      <c r="ET47" s="695"/>
      <c r="EU47" s="695"/>
      <c r="EV47" s="695"/>
      <c r="EW47" s="695"/>
      <c r="EX47" s="695"/>
      <c r="EY47" s="695"/>
      <c r="EZ47" s="695"/>
      <c r="FA47" s="695"/>
      <c r="FB47" s="695"/>
      <c r="FC47" s="695"/>
    </row>
    <row r="48" ht="15" customHeight="1">
      <c r="A48" s="861" t="s">
        <v>372</v>
      </c>
      <c r="B48" s="927" t="s">
        <v>373</v>
      </c>
      <c r="C48" s="631"/>
      <c r="D48" s="631" t="s">
        <v>844</v>
      </c>
      <c r="E48" s="904" t="str">
        <f t="shared" si="58" ref="E48:P48">IF(TRIM(RIGHT(E26,6))="Hybrid","N/A: Hybrid",_xlfn.IFERROR(IF(FV(E68/12,_xlfn.NUMBERVALUE(TRIM(LEFT(E26,2)))*12-(E43*12),E69/12,-E30)/$B$42&lt;=70%,"PASS (","FAIL (")&amp;TEXT(FV(E68/12,_xlfn.NUMBERVALUE(TRIM(LEFT(E26,2)))*12-(E43*12),E69/12,-E30)/$B$42,"0.00%")&amp;")","--"))</f>
        <v>--</v>
      </c>
      <c r="F48" s="904" t="str">
        <f t="shared" si="58"/>
        <v>--</v>
      </c>
      <c r="G48" s="904" t="str">
        <f t="shared" si="58"/>
        <v>--</v>
      </c>
      <c r="H48" s="904" t="str">
        <f t="shared" si="58"/>
        <v>--</v>
      </c>
      <c r="I48" s="904" t="str">
        <f t="shared" si="58"/>
        <v>--</v>
      </c>
      <c r="J48" s="904" t="str">
        <f t="shared" si="58"/>
        <v>--</v>
      </c>
      <c r="K48" s="904" t="str">
        <f t="shared" si="58"/>
        <v>N/A: Hybrid</v>
      </c>
      <c r="L48" s="904" t="str">
        <f t="shared" si="58"/>
        <v>N/A: Hybrid</v>
      </c>
      <c r="M48" s="904" t="str">
        <f t="shared" si="58"/>
        <v>--</v>
      </c>
      <c r="N48" s="904" t="str">
        <f t="shared" si="58"/>
        <v>N/A: Hybrid</v>
      </c>
      <c r="O48" s="904" t="str">
        <f t="shared" si="58"/>
        <v>N/A: Hybrid</v>
      </c>
      <c r="P48" s="904" t="str">
        <f t="shared" si="58"/>
        <v>--</v>
      </c>
      <c r="Q48" s="632"/>
      <c r="R48" s="632"/>
      <c r="S48" s="632"/>
      <c r="T48" s="632"/>
      <c r="U48" s="632"/>
      <c r="V48" s="632"/>
      <c r="W48" s="632"/>
      <c r="X48" s="632"/>
      <c r="Y48" s="632"/>
      <c r="Z48" s="632"/>
      <c r="AA48" s="904"/>
      <c r="AB48" s="632"/>
      <c r="AC48" s="632"/>
      <c r="AD48" s="632"/>
      <c r="AE48" s="632"/>
      <c r="AF48" s="632"/>
      <c r="AG48" s="632"/>
      <c r="AH48" s="632"/>
      <c r="AI48" s="875"/>
      <c r="AJ48" s="653" t="s">
        <v>846</v>
      </c>
      <c r="AK48" s="828">
        <v>0</v>
      </c>
      <c r="AL48" s="653"/>
      <c r="AM48" s="653" t="s">
        <v>847</v>
      </c>
      <c r="AN48" s="731" t="s">
        <v>209</v>
      </c>
      <c r="AO48" s="632"/>
      <c r="AP48" s="632"/>
      <c r="AQ48" s="632"/>
      <c r="AR48" s="632"/>
      <c r="AS48" s="632"/>
      <c r="AT48" s="632"/>
      <c r="AU48" s="811">
        <v>5</v>
      </c>
      <c r="AV48" s="762">
        <v>3</v>
      </c>
      <c r="AW48" s="813">
        <f t="shared" si="47"/>
        <v>0.0129</v>
      </c>
      <c r="AX48" s="813">
        <f>'SBL Quotes'!$BA$5</f>
        <v>0.044509</v>
      </c>
      <c r="AY48" s="755">
        <v>0.007</v>
      </c>
      <c r="AZ48" s="787">
        <f>DailyPricing!E60</f>
        <v>0.016</v>
      </c>
      <c r="BA48" s="756">
        <f t="shared" si="10"/>
        <v>0.073409</v>
      </c>
      <c r="BB48" s="787">
        <f>DailyPricing!E143</f>
        <v>0.0119</v>
      </c>
      <c r="BC48" s="756">
        <f t="shared" si="10"/>
        <v>0.06930900000000001</v>
      </c>
      <c r="BD48" s="785"/>
      <c r="BE48" s="786"/>
      <c r="BF48" s="787"/>
      <c r="BG48" s="786"/>
      <c r="BH48" s="786"/>
      <c r="BI48" s="6"/>
      <c r="BJ48" s="928" t="s">
        <v>568</v>
      </c>
      <c r="BK48" s="929"/>
      <c r="BL48" s="929"/>
      <c r="BM48" s="929"/>
      <c r="BN48" s="929"/>
      <c r="BO48" s="929"/>
      <c r="BP48" s="930"/>
      <c r="BQ48" s="931"/>
      <c r="BR48" s="932"/>
      <c r="BS48" s="931"/>
      <c r="BT48" s="931"/>
      <c r="BU48" s="933"/>
      <c r="BV48" s="934"/>
      <c r="BW48" s="934"/>
      <c r="BX48" s="934"/>
      <c r="BY48" s="934"/>
      <c r="BZ48" s="934"/>
      <c r="CA48" s="934"/>
      <c r="CB48" s="934"/>
      <c r="CC48" s="934"/>
      <c r="CD48" s="934"/>
      <c r="CE48" s="934"/>
      <c r="CF48" s="934"/>
      <c r="CG48" s="934"/>
      <c r="CH48" s="934"/>
      <c r="CI48" s="934"/>
      <c r="CJ48" s="934"/>
      <c r="CK48" s="934"/>
      <c r="CL48" s="934"/>
      <c r="CM48" s="934"/>
      <c r="CN48" s="934"/>
      <c r="CO48" s="934"/>
      <c r="CP48" s="934"/>
      <c r="CQ48" s="934"/>
      <c r="CR48" s="934"/>
      <c r="CS48" s="934"/>
      <c r="CT48" s="934"/>
      <c r="CU48" s="934"/>
      <c r="CV48" s="934"/>
      <c r="CW48" s="934"/>
      <c r="CX48" s="934"/>
      <c r="CY48" s="934"/>
      <c r="CZ48" s="934"/>
      <c r="DA48" s="625"/>
      <c r="DB48" s="625"/>
      <c r="DC48" s="625"/>
      <c r="DD48" s="625"/>
      <c r="DE48" s="625"/>
      <c r="DF48" s="625"/>
      <c r="DG48" s="625"/>
      <c r="DH48" s="625"/>
      <c r="DI48" s="625"/>
      <c r="DJ48" s="625"/>
      <c r="DK48" s="625"/>
      <c r="DL48" s="625"/>
      <c r="DM48" s="625"/>
      <c r="DN48" s="625"/>
      <c r="DO48" s="625"/>
      <c r="DP48" s="625"/>
      <c r="DQ48" s="625"/>
      <c r="DR48" s="625"/>
      <c r="DS48" s="625"/>
      <c r="DT48" s="625"/>
      <c r="DU48" s="625"/>
      <c r="DV48" s="625"/>
      <c r="DW48" s="625"/>
      <c r="DX48" s="625"/>
      <c r="DY48" s="625"/>
      <c r="DZ48" s="625"/>
      <c r="EA48" s="625"/>
      <c r="EB48" s="625"/>
      <c r="EC48" s="625"/>
      <c r="ED48" s="625"/>
      <c r="EE48" s="625"/>
      <c r="EF48" s="625"/>
      <c r="EG48" s="625"/>
      <c r="EH48" s="625"/>
      <c r="EI48" s="625"/>
      <c r="EJ48" s="625"/>
      <c r="EK48" s="625"/>
      <c r="EL48" s="625"/>
      <c r="EM48" s="625"/>
      <c r="EN48" s="625"/>
      <c r="EO48" s="625"/>
      <c r="EP48" s="625"/>
      <c r="EQ48" s="625"/>
      <c r="ER48" s="625"/>
      <c r="ES48" s="625"/>
      <c r="ET48" s="625"/>
      <c r="EU48" s="625"/>
      <c r="EV48" s="625"/>
      <c r="EW48" s="625"/>
      <c r="EX48" s="625"/>
      <c r="EY48" s="625"/>
      <c r="EZ48" s="625"/>
      <c r="FA48" s="625"/>
      <c r="FB48" s="625"/>
      <c r="FC48" s="625"/>
    </row>
    <row r="49" ht="15" customHeight="1">
      <c r="A49" s="935" t="s">
        <v>848</v>
      </c>
      <c r="B49" s="936">
        <f>IF(SBL_DelegatedLevel="Performance Differentiation","All other borrowers","")</f>
      </c>
      <c r="C49" s="631"/>
      <c r="D49" s="937" t="s">
        <v>849</v>
      </c>
      <c r="E49" s="938" t="str">
        <f t="shared" si="59" ref="E49:P49">IF(E30=0,"-",IF(RIGHT(E26,5)="Fixed","N/A: Fixed",IF(AND($B$22="Top",$B$29="No"),"Top Market",_xlfn.LET(_xlpm.NOI\PMTs,_xlfn.IFERROR($B$41/(PMT((E68+2.5%)/12,E46*12,-1)*12*E30),0),IF(_xlpm.NOI\PMTs&gt;=1,"PASS (","FAIL (")&amp;TEXT(ROUNDDOWN(_xlpm.NOI\PMTs,2),"0.00")&amp;"x)"))))</f>
        <v>-</v>
      </c>
      <c r="F49" s="938" t="str">
        <f t="shared" si="59"/>
        <v>-</v>
      </c>
      <c r="G49" s="938" t="str">
        <f t="shared" si="59"/>
        <v>-</v>
      </c>
      <c r="H49" s="938" t="str">
        <f t="shared" si="59"/>
        <v>-</v>
      </c>
      <c r="I49" s="938" t="str">
        <f t="shared" si="59"/>
        <v>-</v>
      </c>
      <c r="J49" s="938" t="str">
        <f t="shared" si="59"/>
        <v>-</v>
      </c>
      <c r="K49" s="938" t="str">
        <f t="shared" si="59"/>
        <v>-</v>
      </c>
      <c r="L49" s="938" t="str">
        <f t="shared" si="59"/>
        <v>-</v>
      </c>
      <c r="M49" s="938" t="str">
        <f t="shared" si="59"/>
        <v>-</v>
      </c>
      <c r="N49" s="938" t="str">
        <f t="shared" si="59"/>
        <v>-</v>
      </c>
      <c r="O49" s="938" t="str">
        <f t="shared" si="59"/>
        <v>-</v>
      </c>
      <c r="P49" s="938" t="str">
        <f t="shared" si="59"/>
        <v>-</v>
      </c>
      <c r="Q49" s="632"/>
      <c r="R49" s="939"/>
      <c r="S49" s="939"/>
      <c r="T49" s="939"/>
      <c r="U49" s="939"/>
      <c r="V49" s="939"/>
      <c r="W49" s="939"/>
      <c r="X49" s="939"/>
      <c r="Y49" s="939"/>
      <c r="Z49" s="632"/>
      <c r="AA49" s="938" t="str">
        <f t="shared" si="60" ref="AA49:AH49">_xlfn.LET(_xlpm.LoanAmt,AA$30,_xlpm.IsFixed,RIGHT(AA$26,5)="Fixed",_xlpm.FannieNOI,$B$44,_xlpm.ActualRate,AA$68,_xlpm.AmortizationMos,AA$46*12,_xlpm.Comment,"EquivFixedRate will eventually be a lookup, but for now requires manual calculation and entry",_xlpm.EquivFixedRate,AA$105,_xlpm.MinDSCR,1.35,_xlpm.Comment2,"IO_PMT is based on 30/365, not Actual/360",_xlpm.IO_PMT,MAX(_xlpm.ActualRate,_xlpm.EquivFixedRate)*_xlpm.LoanAmt*365/360,_xlpm.DSCR,_xlpm.FannieNOI/_xlpm.IO_PMT,_xlpm.DscrAsString,TEXT(ROUNDDOWN(_xlpm.DSCR,2),"0.00")&amp;"x",IF(_xlpm.LoanAmt=0,"-",IF(_xlpm.IsFixed,"N/A: Fixed",IF(_xlpm.EquivFixedRate=0,"See cell "&amp;ADDRESS(ROW(_xlpm.EquivFixedRate),COLUMN(_xlpm.EquivFixedRate)),IF(_xlpm.DSCR&gt;=_xlpm.MinDSCR,"PASS (","FAIL (")&amp;_xlpm.DscrAsString))))</f>
        <v>-</v>
      </c>
      <c r="AB49" s="938" t="str">
        <f t="shared" si="60"/>
        <v>-</v>
      </c>
      <c r="AC49" s="938" t="str">
        <f t="shared" si="60"/>
        <v>-</v>
      </c>
      <c r="AD49" s="938" t="str">
        <f t="shared" si="60"/>
        <v>-</v>
      </c>
      <c r="AE49" s="938" t="str">
        <f t="shared" si="60"/>
        <v>-</v>
      </c>
      <c r="AF49" s="938" t="str">
        <f t="shared" si="60"/>
        <v>-</v>
      </c>
      <c r="AG49" s="938" t="str">
        <f t="shared" si="60"/>
        <v>-</v>
      </c>
      <c r="AH49" s="938" t="str">
        <f t="shared" si="60"/>
        <v>-</v>
      </c>
      <c r="AI49" s="940"/>
      <c r="AJ49" s="633" t="s">
        <v>850</v>
      </c>
      <c r="AK49" s="731">
        <v>1</v>
      </c>
      <c r="AL49" s="653"/>
      <c r="AM49" s="653" t="s">
        <v>851</v>
      </c>
      <c r="AN49" s="760" t="s">
        <v>656</v>
      </c>
      <c r="AO49" s="632"/>
      <c r="AP49" s="632"/>
      <c r="AQ49" s="632"/>
      <c r="AR49" s="632"/>
      <c r="AS49" s="632"/>
      <c r="AT49" s="632"/>
      <c r="AU49" s="820">
        <v>7</v>
      </c>
      <c r="AV49" s="762">
        <v>5</v>
      </c>
      <c r="AW49" s="822">
        <f t="shared" si="47"/>
        <v>0.0129</v>
      </c>
      <c r="AX49" s="822">
        <f>'SBL Quotes'!$BB$5</f>
        <v>0.044065</v>
      </c>
      <c r="AY49" s="755">
        <v>0.008</v>
      </c>
      <c r="AZ49" s="787">
        <f>DailyPricing!E61</f>
        <v>0.0156</v>
      </c>
      <c r="BA49" s="756">
        <f t="shared" si="10"/>
        <v>0.072565</v>
      </c>
      <c r="BB49" s="787">
        <f>DailyPricing!E144</f>
        <v>0.0115</v>
      </c>
      <c r="BC49" s="756">
        <f t="shared" si="10"/>
        <v>0.068465</v>
      </c>
      <c r="BD49" s="785"/>
      <c r="BE49" s="786"/>
      <c r="BF49" s="823"/>
      <c r="BG49" s="786"/>
      <c r="BH49" s="786"/>
      <c r="BI49" s="6"/>
      <c r="BJ49" s="711" t="s">
        <v>578</v>
      </c>
      <c r="BK49" s="712" t="s">
        <v>579</v>
      </c>
      <c r="BL49" s="712" t="s">
        <v>579</v>
      </c>
      <c r="BM49" s="712" t="s">
        <v>579</v>
      </c>
      <c r="BN49" s="712" t="s">
        <v>384</v>
      </c>
      <c r="BO49" s="712" t="s">
        <v>384</v>
      </c>
      <c r="BP49" s="713" t="s">
        <v>384</v>
      </c>
      <c r="BQ49" s="6"/>
      <c r="BR49" s="714"/>
      <c r="BS49" s="6"/>
      <c r="BT49" s="6"/>
      <c r="BU49" s="786"/>
      <c r="BV49" s="625"/>
      <c r="BW49" s="625"/>
      <c r="BX49" s="625"/>
      <c r="BY49" s="625"/>
      <c r="BZ49" s="625"/>
      <c r="CA49" s="625"/>
      <c r="CB49" s="625"/>
      <c r="CC49" s="625"/>
      <c r="CD49" s="625"/>
      <c r="CE49" s="625"/>
      <c r="CF49" s="625"/>
      <c r="CG49" s="625"/>
      <c r="CH49" s="625"/>
      <c r="CI49" s="625"/>
      <c r="CJ49" s="625"/>
      <c r="CK49" s="625"/>
      <c r="CL49" s="625"/>
      <c r="CM49" s="625"/>
      <c r="CN49" s="625"/>
      <c r="CO49" s="625"/>
      <c r="CP49" s="625"/>
      <c r="CQ49" s="625"/>
      <c r="CR49" s="625"/>
      <c r="CS49" s="625"/>
      <c r="CT49" s="625"/>
      <c r="CU49" s="625"/>
      <c r="CV49" s="625"/>
      <c r="CW49" s="625"/>
      <c r="CX49" s="625"/>
      <c r="CY49" s="625"/>
      <c r="CZ49" s="625"/>
      <c r="DA49" s="625"/>
      <c r="DB49" s="625"/>
      <c r="DC49" s="625"/>
      <c r="DD49" s="625"/>
      <c r="DE49" s="625"/>
      <c r="DF49" s="625"/>
      <c r="DG49" s="625"/>
      <c r="DH49" s="625"/>
      <c r="DI49" s="625"/>
      <c r="DJ49" s="625"/>
      <c r="DK49" s="625"/>
      <c r="DL49" s="625"/>
      <c r="DM49" s="625"/>
      <c r="DN49" s="625"/>
      <c r="DO49" s="625"/>
      <c r="DP49" s="625"/>
      <c r="DQ49" s="625"/>
      <c r="DR49" s="625"/>
      <c r="DS49" s="625"/>
      <c r="DT49" s="625"/>
      <c r="DU49" s="625"/>
      <c r="DV49" s="625"/>
      <c r="DW49" s="625"/>
      <c r="DX49" s="625"/>
      <c r="DY49" s="625"/>
      <c r="DZ49" s="625"/>
      <c r="EA49" s="625"/>
      <c r="EB49" s="625"/>
      <c r="EC49" s="625"/>
      <c r="ED49" s="625"/>
      <c r="EE49" s="625"/>
      <c r="EF49" s="625"/>
      <c r="EG49" s="625"/>
      <c r="EH49" s="625"/>
      <c r="EI49" s="625"/>
      <c r="EJ49" s="625"/>
      <c r="EK49" s="625"/>
      <c r="EL49" s="625"/>
      <c r="EM49" s="625"/>
      <c r="EN49" s="625"/>
      <c r="EO49" s="625"/>
      <c r="EP49" s="625"/>
      <c r="EQ49" s="625"/>
      <c r="ER49" s="625"/>
      <c r="ES49" s="625"/>
      <c r="ET49" s="625"/>
      <c r="EU49" s="625"/>
      <c r="EV49" s="625"/>
      <c r="EW49" s="625"/>
      <c r="EX49" s="625"/>
      <c r="EY49" s="625"/>
      <c r="EZ49" s="625"/>
      <c r="FA49" s="625"/>
      <c r="FB49" s="625"/>
      <c r="FC49" s="625"/>
    </row>
    <row r="50" ht="15" customHeight="1">
      <c r="A50" s="941" t="s">
        <v>852</v>
      </c>
      <c r="B50" s="942" t="s">
        <v>451</v>
      </c>
      <c r="C50" s="631"/>
      <c r="D50" s="943" t="s">
        <v>853</v>
      </c>
      <c r="E50" s="944" t="e">
        <f t="shared" si="61" ref="E50:P50">INDEX($BJ$4:$BP$92,MATCH("Fixed Pricing ("&amp;$B$22&amp;" Markets)",$BJ$4:$BJ$92,0),MATCH(E26,$BJ$4:$BP$4,0))+IF(AND(_xlfn.NUMBERVALUE(TRIM(LEFT(E26,2)))=5,$B$22="Top"),0.25%,0.47%)</f>
        <v>#N/A</v>
      </c>
      <c r="F50" s="944" t="e">
        <f t="shared" si="61"/>
        <v>#N/A</v>
      </c>
      <c r="G50" s="944" t="e">
        <f t="shared" si="61"/>
        <v>#N/A</v>
      </c>
      <c r="H50" s="944" t="e">
        <f t="shared" si="61"/>
        <v>#N/A</v>
      </c>
      <c r="I50" s="944" t="e">
        <f t="shared" si="61"/>
        <v>#N/A</v>
      </c>
      <c r="J50" s="944" t="e">
        <f t="shared" si="61"/>
        <v>#N/A</v>
      </c>
      <c r="K50" s="944" t="e">
        <f t="shared" si="61"/>
        <v>#N/A</v>
      </c>
      <c r="L50" s="944" t="e">
        <f t="shared" si="61"/>
        <v>#N/A</v>
      </c>
      <c r="M50" s="944" t="e">
        <f t="shared" si="61"/>
        <v>#N/A</v>
      </c>
      <c r="N50" s="944" t="e">
        <f t="shared" si="61"/>
        <v>#N/A</v>
      </c>
      <c r="O50" s="944" t="e">
        <f t="shared" si="61"/>
        <v>#N/A</v>
      </c>
      <c r="P50" s="944" t="e">
        <f t="shared" si="61"/>
        <v>#N/A</v>
      </c>
      <c r="Q50" s="631"/>
      <c r="R50" s="940">
        <f t="shared" si="62" ref="R50:Y50">_xlfn.LET(_xlpm.term_yrs,R$98,_xlpm.tier,R$39,_xlpm.pricing_table,CHOOSE(_xlpm.tier-1,SBL_PricingTbl_FNM_Tier2,SBL_PricingTbl_FNM_Tier3,SBL_PricingTbl_FNM_Tier4),_xlpm.pricing_table_column_number,4,_xlpm.comment,"assumes Treasury Rate is in column 4 of the table",_xlpm.comment2,"Using TRUE in the VLOOKUP causes the table to use the row above for non-exact matches. So a 14 year Term goes up to the 12 year row.",VLOOKUP(_xlpm.term_yrs,_xlpm.pricing_table,_xlpm.pricing_table_column_number,TRUE))</f>
        <v>0.043144</v>
      </c>
      <c r="S50" s="940">
        <f t="shared" si="62"/>
        <v>0.043144</v>
      </c>
      <c r="T50" s="940">
        <f t="shared" si="62"/>
        <v>0.043144</v>
      </c>
      <c r="U50" s="940">
        <f t="shared" si="62"/>
        <v>0.043144</v>
      </c>
      <c r="V50" s="940">
        <f t="shared" si="62"/>
        <v>0.043144</v>
      </c>
      <c r="W50" s="940">
        <f t="shared" si="62"/>
        <v>0.044509</v>
      </c>
      <c r="X50" s="940">
        <f t="shared" si="62"/>
        <v>0.044509</v>
      </c>
      <c r="Y50" s="940">
        <f t="shared" si="62"/>
        <v>0.043144</v>
      </c>
      <c r="Z50" s="940"/>
      <c r="AA50" s="940">
        <f t="shared" si="63" ref="AA50:AH50">_xlfn.LET(_xlpm.Term,AA$98,_xlpm.IsFloating,RIGHT(AA$26,8)="Floating",_xlpm.SOFR_1mo_Term,$AV$6,_xlpm.TreasRate_5Yr,$BA$4,_xlpm.TreasRate_7Yr,$BB$4,_xlpm.TreasRate_10Yr,$BC$4,_xlpm.TermLookupValue,IF(_xlpm.Term&gt;=10,10,IF(_xlpm.Term&gt;=7,7,5)),IF(_xlpm.IsFloating,_xlpm.SOFR_1mo_Term,IF(_xlpm.TermLookupValue=5,_xlpm.TreasRate_5Yr,0)+IF(_xlpm.TermLookupValue=7,_xlpm.TreasRate_7Yr,0)+IF(_xlpm.TermLookupValue=10,_xlpm.TreasRate_10Yr,0)))</f>
        <v>0.053704</v>
      </c>
      <c r="AB50" s="940">
        <f t="shared" si="63"/>
        <v>0.053704</v>
      </c>
      <c r="AC50" s="940">
        <f t="shared" si="63"/>
        <v>0.053704</v>
      </c>
      <c r="AD50" s="940">
        <f t="shared" si="63"/>
        <v>0.053704</v>
      </c>
      <c r="AE50" s="940">
        <f t="shared" si="63"/>
        <v>0.053704</v>
      </c>
      <c r="AF50" s="940">
        <f t="shared" si="63"/>
        <v>0.053704</v>
      </c>
      <c r="AG50" s="940">
        <f t="shared" si="63"/>
        <v>0.053704</v>
      </c>
      <c r="AH50" s="940">
        <f t="shared" si="63"/>
        <v>0.053704</v>
      </c>
      <c r="AI50" s="940"/>
      <c r="AJ50" s="633" t="s">
        <v>854</v>
      </c>
      <c r="AK50" s="731" t="s">
        <v>209</v>
      </c>
      <c r="AL50" s="653"/>
      <c r="AM50" s="653" t="s">
        <v>855</v>
      </c>
      <c r="AN50" s="760" t="s">
        <v>656</v>
      </c>
      <c r="AO50" s="632"/>
      <c r="AP50" s="632"/>
      <c r="AQ50" s="632"/>
      <c r="AR50" s="632"/>
      <c r="AS50" s="632"/>
      <c r="AT50" s="632"/>
      <c r="AU50" s="880">
        <v>10</v>
      </c>
      <c r="AV50" s="798">
        <v>7</v>
      </c>
      <c r="AW50" s="869">
        <f t="shared" si="47"/>
        <v>0.0133</v>
      </c>
      <c r="AX50" s="869">
        <f>'SBL Quotes'!$BC$5</f>
        <v>0.043144</v>
      </c>
      <c r="AY50" s="881">
        <v>0.009</v>
      </c>
      <c r="AZ50" s="882">
        <f>DailyPricing!E62</f>
        <v>0.0152</v>
      </c>
      <c r="BA50" s="882">
        <f t="shared" si="10"/>
        <v>0.071644</v>
      </c>
      <c r="BB50" s="882">
        <f>DailyPricing!E145</f>
        <v>0.0111</v>
      </c>
      <c r="BC50" s="882">
        <f t="shared" si="10"/>
        <v>0.067544</v>
      </c>
      <c r="BD50" s="883"/>
      <c r="BE50" s="884"/>
      <c r="BF50" s="885"/>
      <c r="BG50" s="884"/>
      <c r="BH50" s="884"/>
      <c r="BI50" s="6"/>
      <c r="BJ50" s="720" t="s">
        <v>599</v>
      </c>
      <c r="BK50" s="721">
        <v>5</v>
      </c>
      <c r="BL50" s="721">
        <v>7</v>
      </c>
      <c r="BM50" s="721">
        <v>10</v>
      </c>
      <c r="BN50" s="721">
        <v>5</v>
      </c>
      <c r="BO50" s="721">
        <v>7</v>
      </c>
      <c r="BP50" s="722">
        <v>10</v>
      </c>
      <c r="BQ50" s="6"/>
      <c r="BR50" s="714"/>
      <c r="BS50" s="6"/>
      <c r="BT50" s="6"/>
      <c r="BU50" s="786"/>
      <c r="BV50" s="625"/>
      <c r="BW50" s="625"/>
      <c r="BX50" s="625"/>
      <c r="BY50" s="625"/>
      <c r="BZ50" s="625"/>
      <c r="CA50" s="625"/>
      <c r="CB50" s="625"/>
      <c r="CC50" s="625"/>
      <c r="CD50" s="625"/>
      <c r="CE50" s="625"/>
      <c r="CF50" s="625"/>
      <c r="CG50" s="625"/>
      <c r="CH50" s="625"/>
      <c r="CI50" s="625"/>
      <c r="CJ50" s="625"/>
      <c r="CK50" s="625"/>
      <c r="CL50" s="625"/>
      <c r="CM50" s="625"/>
      <c r="CN50" s="625"/>
      <c r="CO50" s="625"/>
      <c r="CP50" s="625"/>
      <c r="CQ50" s="625"/>
      <c r="CR50" s="625"/>
      <c r="CS50" s="625"/>
      <c r="CT50" s="625"/>
      <c r="CU50" s="625"/>
      <c r="CV50" s="625"/>
      <c r="CW50" s="625"/>
      <c r="CX50" s="625"/>
      <c r="CY50" s="625"/>
      <c r="CZ50" s="625"/>
      <c r="DA50" s="625"/>
      <c r="DB50" s="625"/>
      <c r="DC50" s="625"/>
      <c r="DD50" s="625"/>
      <c r="DE50" s="625"/>
      <c r="DF50" s="625"/>
      <c r="DG50" s="625"/>
      <c r="DH50" s="625"/>
      <c r="DI50" s="625"/>
      <c r="DJ50" s="625"/>
      <c r="DK50" s="625"/>
      <c r="DL50" s="625"/>
      <c r="DM50" s="625"/>
      <c r="DN50" s="625"/>
      <c r="DO50" s="625"/>
      <c r="DP50" s="625"/>
      <c r="DQ50" s="625"/>
      <c r="DR50" s="625"/>
      <c r="DS50" s="625"/>
      <c r="DT50" s="625"/>
      <c r="DU50" s="625"/>
      <c r="DV50" s="625"/>
      <c r="DW50" s="625"/>
      <c r="DX50" s="625"/>
      <c r="DY50" s="625"/>
      <c r="DZ50" s="625"/>
      <c r="EA50" s="625"/>
      <c r="EB50" s="625"/>
      <c r="EC50" s="625"/>
      <c r="ED50" s="625"/>
      <c r="EE50" s="625"/>
      <c r="EF50" s="625"/>
      <c r="EG50" s="625"/>
      <c r="EH50" s="625"/>
      <c r="EI50" s="625"/>
      <c r="EJ50" s="625"/>
      <c r="EK50" s="625"/>
      <c r="EL50" s="625"/>
      <c r="EM50" s="625"/>
      <c r="EN50" s="625"/>
      <c r="EO50" s="625"/>
      <c r="EP50" s="625"/>
      <c r="EQ50" s="625"/>
      <c r="ER50" s="625"/>
      <c r="ES50" s="625"/>
      <c r="ET50" s="625"/>
      <c r="EU50" s="625"/>
      <c r="EV50" s="625"/>
      <c r="EW50" s="625"/>
      <c r="EX50" s="625"/>
      <c r="EY50" s="625"/>
      <c r="EZ50" s="625"/>
      <c r="FA50" s="625"/>
      <c r="FB50" s="625"/>
      <c r="FC50" s="625"/>
    </row>
    <row r="51" ht="15" customHeight="1">
      <c r="A51" s="945" t="s">
        <v>856</v>
      </c>
      <c r="B51" s="946" t="str">
        <f>_xlfn.IFERROR(IF(('Fannie Historical Ops'!$AK$75/'Fannie Historical Ops'!$AK$30)&lt;=50%,"Yes","No"),"Select")</f>
        <v>No</v>
      </c>
      <c r="C51" s="631"/>
      <c r="D51" s="688" t="s">
        <v>857</v>
      </c>
      <c r="E51" s="670"/>
      <c r="F51" s="670"/>
      <c r="G51" s="670"/>
      <c r="H51" s="670"/>
      <c r="I51" s="670"/>
      <c r="J51" s="670"/>
      <c r="K51" s="670"/>
      <c r="L51" s="670"/>
      <c r="M51" s="670"/>
      <c r="N51" s="670"/>
      <c r="O51" s="670"/>
      <c r="P51" s="670"/>
      <c r="Q51" s="670"/>
      <c r="R51" s="940">
        <f t="shared" si="64" ref="R51:Y51">_xlfn.LET(_xlpm.term_yrs,R$98,_xlpm.tier,R$39,_xlpm.pricing_table,CHOOSE(_xlpm.tier-1,SBL_PricingTbl_FNM_Tier2,SBL_PricingTbl_FNM_Tier3,SBL_PricingTbl_FNM_Tier4),_xlpm.pricing_table_column_number,3,_xlpm.comment,"assumes Investor Spread is in column 3 of the table",_xlpm.comment2,"Using TRUE in the VLOOKUP causes the table to use the row above for non-exact matches. So a 14 year Term goes up to the 12 year row.",VLOOKUP(_xlpm.term_yrs,_xlpm.pricing_table,_xlpm.pricing_table_column_number,TRUE))</f>
        <v>0.0073</v>
      </c>
      <c r="S51" s="940">
        <f t="shared" si="64"/>
        <v>0.0087</v>
      </c>
      <c r="T51" s="940">
        <f t="shared" si="64"/>
        <v>0.0105</v>
      </c>
      <c r="U51" s="940">
        <f t="shared" si="64"/>
        <v>0.0073</v>
      </c>
      <c r="V51" s="940">
        <f t="shared" si="64"/>
        <v>0.0073</v>
      </c>
      <c r="W51" s="940">
        <f t="shared" si="64"/>
        <v>0.0069</v>
      </c>
      <c r="X51" s="940">
        <f t="shared" si="64"/>
        <v>0.0069</v>
      </c>
      <c r="Y51" s="940">
        <f t="shared" si="64"/>
        <v>0.0073</v>
      </c>
      <c r="Z51" s="940"/>
      <c r="AA51" s="947">
        <v>0</v>
      </c>
      <c r="AB51" s="947">
        <v>0</v>
      </c>
      <c r="AC51" s="947">
        <v>0</v>
      </c>
      <c r="AD51" s="947">
        <v>0</v>
      </c>
      <c r="AE51" s="947">
        <v>0</v>
      </c>
      <c r="AF51" s="947">
        <v>0</v>
      </c>
      <c r="AG51" s="947">
        <v>0</v>
      </c>
      <c r="AH51" s="947">
        <v>0</v>
      </c>
      <c r="AI51" s="940"/>
      <c r="AJ51" s="653" t="s">
        <v>858</v>
      </c>
      <c r="AK51" s="731" t="s">
        <v>209</v>
      </c>
      <c r="AL51" s="653"/>
      <c r="AM51" s="653"/>
      <c r="AN51" s="653"/>
      <c r="AO51" s="632"/>
      <c r="AP51" s="632"/>
      <c r="AQ51" s="632"/>
      <c r="AR51" s="632"/>
      <c r="AS51" s="632"/>
      <c r="AT51" s="632"/>
      <c r="AU51" s="632"/>
      <c r="AV51" s="632"/>
      <c r="AW51" s="632"/>
      <c r="AX51" s="632"/>
      <c r="AY51" s="632"/>
      <c r="AZ51" s="632"/>
      <c r="BA51" s="632"/>
      <c r="BB51" s="632"/>
      <c r="BC51" s="632"/>
      <c r="BD51" s="6"/>
      <c r="BE51" s="6"/>
      <c r="BF51" s="6"/>
      <c r="BG51" s="688"/>
      <c r="BH51" s="688"/>
      <c r="BI51" s="6"/>
      <c r="BJ51" s="711" t="s">
        <v>609</v>
      </c>
      <c r="BK51" s="712">
        <v>15</v>
      </c>
      <c r="BL51" s="712">
        <v>13</v>
      </c>
      <c r="BM51" s="712">
        <v>10</v>
      </c>
      <c r="BN51" s="712">
        <v>0</v>
      </c>
      <c r="BO51" s="712">
        <v>0</v>
      </c>
      <c r="BP51" s="713">
        <v>0</v>
      </c>
      <c r="BQ51" s="6"/>
      <c r="BR51" s="714"/>
      <c r="BS51" s="6"/>
      <c r="BT51" s="6"/>
      <c r="BU51" s="786"/>
      <c r="BV51" s="625"/>
      <c r="BW51" s="625"/>
      <c r="BX51" s="625"/>
      <c r="BY51" s="625"/>
      <c r="BZ51" s="625"/>
      <c r="CA51" s="625"/>
      <c r="CB51" s="625"/>
      <c r="CC51" s="625"/>
      <c r="CD51" s="625"/>
      <c r="CE51" s="625"/>
      <c r="CF51" s="625"/>
      <c r="CG51" s="625"/>
      <c r="CH51" s="625"/>
      <c r="CI51" s="625"/>
      <c r="CJ51" s="625"/>
      <c r="CK51" s="625"/>
      <c r="CL51" s="625"/>
      <c r="CM51" s="625"/>
      <c r="CN51" s="625"/>
      <c r="CO51" s="625"/>
      <c r="CP51" s="625"/>
      <c r="CQ51" s="625"/>
      <c r="CR51" s="625"/>
      <c r="CS51" s="625"/>
      <c r="CT51" s="625"/>
      <c r="CU51" s="625"/>
      <c r="CV51" s="625"/>
      <c r="CW51" s="625"/>
      <c r="CX51" s="625"/>
      <c r="CY51" s="625"/>
      <c r="CZ51" s="625"/>
      <c r="DA51" s="625"/>
      <c r="DB51" s="625"/>
      <c r="DC51" s="625"/>
      <c r="DD51" s="625"/>
      <c r="DE51" s="625"/>
      <c r="DF51" s="625"/>
      <c r="DG51" s="625"/>
      <c r="DH51" s="625"/>
      <c r="DI51" s="625"/>
      <c r="DJ51" s="625"/>
      <c r="DK51" s="625"/>
      <c r="DL51" s="625"/>
      <c r="DM51" s="625"/>
      <c r="DN51" s="625"/>
      <c r="DO51" s="625"/>
      <c r="DP51" s="625"/>
      <c r="DQ51" s="625"/>
      <c r="DR51" s="625"/>
      <c r="DS51" s="625"/>
      <c r="DT51" s="625"/>
      <c r="DU51" s="625"/>
      <c r="DV51" s="625"/>
      <c r="DW51" s="625"/>
      <c r="DX51" s="625"/>
      <c r="DY51" s="625"/>
      <c r="DZ51" s="625"/>
      <c r="EA51" s="625"/>
      <c r="EB51" s="625"/>
      <c r="EC51" s="625"/>
      <c r="ED51" s="625"/>
      <c r="EE51" s="625"/>
      <c r="EF51" s="625"/>
      <c r="EG51" s="625"/>
      <c r="EH51" s="625"/>
      <c r="EI51" s="625"/>
      <c r="EJ51" s="625"/>
      <c r="EK51" s="625"/>
      <c r="EL51" s="625"/>
      <c r="EM51" s="625"/>
      <c r="EN51" s="625"/>
      <c r="EO51" s="625"/>
      <c r="EP51" s="625"/>
      <c r="EQ51" s="625"/>
      <c r="ER51" s="625"/>
      <c r="ES51" s="625"/>
      <c r="ET51" s="625"/>
      <c r="EU51" s="625"/>
      <c r="EV51" s="625"/>
      <c r="EW51" s="625"/>
      <c r="EX51" s="625"/>
      <c r="EY51" s="625"/>
      <c r="EZ51" s="625"/>
      <c r="FA51" s="625"/>
      <c r="FB51" s="625"/>
      <c r="FC51" s="625"/>
    </row>
    <row r="52" ht="15" customHeight="1">
      <c r="A52" s="948" t="s">
        <v>859</v>
      </c>
      <c r="B52" s="949"/>
      <c r="C52" s="631"/>
      <c r="D52" s="950" t="s">
        <v>860</v>
      </c>
      <c r="E52" s="950"/>
      <c r="F52" s="950"/>
      <c r="G52" s="950"/>
      <c r="H52" s="950"/>
      <c r="I52" s="950"/>
      <c r="J52" s="950"/>
      <c r="K52" s="950"/>
      <c r="L52" s="950"/>
      <c r="M52" s="950"/>
      <c r="N52" s="950"/>
      <c r="O52" s="950"/>
      <c r="P52" s="950"/>
      <c r="Q52" s="950"/>
      <c r="R52" s="951" cm="1">
        <f t="array" ref="R52">_xlfn.LET(_xlpm.term_yrs,R$98,_xlpm.tier,R$39,_xlpm.loan_amount_6mm_or_less,MIN(R$25,R$30)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0.0192</v>
      </c>
      <c r="S52" s="951" cm="1">
        <f t="array" ref="S52">_xlfn.LET(_xlpm.term_yrs,S$98,_xlpm.tier,S$39,_xlpm.loan_amount_6mm_or_less,MIN(S$25,S$30)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0.0192</v>
      </c>
      <c r="T52" s="951" cm="1">
        <f t="array" ref="T52">_xlfn.LET(_xlpm.term_yrs,T$98,_xlpm.tier,T$39,_xlpm.loan_amount_6mm_or_less,MIN(T$25,T$30)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0.0192</v>
      </c>
      <c r="U52" s="951" cm="1">
        <f t="array" ref="U52">_xlfn.LET(_xlpm.term_yrs,U$98,_xlpm.tier,U$39,_xlpm.loan_amount_6mm_or_less,MIN(U$25,U$30)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0.0172</v>
      </c>
      <c r="V52" s="951" cm="1">
        <f t="array" ref="V52">_xlfn.LET(_xlpm.term_yrs,V$98,_xlpm.tier,V$39,_xlpm.loan_amount_6mm_or_less,MIN(V$25,V$30)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0.0152</v>
      </c>
      <c r="W52" s="951" cm="1">
        <f t="array" ref="W52">_xlfn.LET(_xlpm.term_yrs,W$98,_xlpm.tier,W$39,_xlpm.loan_amount_6mm_or_less,MIN(W$25,W$30)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0.018</v>
      </c>
      <c r="X52" s="951" cm="1">
        <f t="array" ref="X52">_xlfn.LET(_xlpm.term_yrs,X$98,_xlpm.tier,X$39,_xlpm.loan_amount_6mm_or_less,MIN(X$25,X$30)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0.016</v>
      </c>
      <c r="Y52" s="951" cm="1">
        <f t="array" ref="Y52">_xlfn.LET(_xlpm.term_yrs,Y$98,_xlpm.tier,Y$39,_xlpm.loan_amount_6mm_or_less,MIN(Y$25,Y$30)&lt;=6000000,_xlpm.pricing_terms,CHOOSE(_xlpm.tier-1,SBL_PricingTbl_FNM_Term_Tier2,SBL_PricingTbl_FNM_Term_Tier3,SBL_PricingTbl_FNM_Term_Tier4),_xlpm.g_and_s,IF(_xlpm.loan_amount_6mm_or_less,CHOOSE(_xlpm.tier-1,SBL_PricingTbl_FNM_GS_6MM_Tier2,SBL_PricingTbl_FNM_GS_6MM_Tier3,SBL_PricingTbl_FNM_GS_6MM_Tier4),CHOOSE(_xlpm.tier-1,SBL_PricingTbl_FNM_GS_9MM_Tier2,SBL_PricingTbl_FNM_GS_9MM_Tier3,SBL_PricingTbl_FNM_GS_9MM_Tier4)),_xlpm.comment,"Using -1 in the XLOOKUP causes the table to use a row above it for non-exact matches. So a 14 year Term goes up to the 12 year row.",_xlfn.XLOOKUP(_xlpm.term_yrs,_xlpm.pricing_terms,_xlpm.g_and_s,,-1))</f>
        <v>0.0192</v>
      </c>
      <c r="Z52" s="951"/>
      <c r="AA52" s="952"/>
      <c r="AB52" s="952"/>
      <c r="AC52" s="951"/>
      <c r="AD52" s="951"/>
      <c r="AE52" s="951"/>
      <c r="AF52" s="951"/>
      <c r="AG52" s="951"/>
      <c r="AH52" s="951"/>
      <c r="AI52" s="875"/>
      <c r="AJ52" s="653"/>
      <c r="AK52" s="953"/>
      <c r="AL52" s="635"/>
      <c r="AM52" s="632"/>
      <c r="AN52" s="632"/>
      <c r="AO52" s="632"/>
      <c r="AP52" s="632"/>
      <c r="AQ52" s="632"/>
      <c r="AR52" s="632"/>
      <c r="AS52" s="632"/>
      <c r="AT52" s="632"/>
      <c r="AU52" s="733" t="s">
        <v>861</v>
      </c>
      <c r="AV52" s="734"/>
      <c r="AW52" s="632"/>
      <c r="AX52" s="632"/>
      <c r="AY52" s="632"/>
      <c r="AZ52" s="632"/>
      <c r="BA52" s="632"/>
      <c r="BB52" s="632"/>
      <c r="BC52" s="632"/>
      <c r="BD52" s="6"/>
      <c r="BE52" s="954" t="s">
        <v>862</v>
      </c>
      <c r="BF52" s="955"/>
      <c r="BG52" s="688"/>
      <c r="BH52" s="688"/>
      <c r="BI52" s="6"/>
      <c r="BJ52" s="720" t="s">
        <v>621</v>
      </c>
      <c r="BK52" s="721" t="s">
        <v>622</v>
      </c>
      <c r="BL52" s="721" t="s">
        <v>622</v>
      </c>
      <c r="BM52" s="721" t="s">
        <v>622</v>
      </c>
      <c r="BN52" s="956" t="s">
        <v>623</v>
      </c>
      <c r="BO52" s="956" t="s">
        <v>624</v>
      </c>
      <c r="BP52" s="957" t="s">
        <v>625</v>
      </c>
      <c r="BQ52" s="6"/>
      <c r="BR52" s="714"/>
      <c r="BS52" s="6"/>
      <c r="BT52" s="6"/>
      <c r="BU52" s="786"/>
      <c r="BV52" s="625"/>
      <c r="BW52" s="625"/>
      <c r="BX52" s="625"/>
      <c r="BY52" s="625"/>
      <c r="BZ52" s="625"/>
      <c r="CA52" s="625"/>
      <c r="CB52" s="625"/>
      <c r="CC52" s="625"/>
      <c r="CD52" s="625"/>
      <c r="CE52" s="625"/>
      <c r="CF52" s="625"/>
      <c r="CG52" s="625"/>
      <c r="CH52" s="625"/>
      <c r="CI52" s="625"/>
      <c r="CJ52" s="625"/>
      <c r="CK52" s="625"/>
      <c r="CL52" s="625"/>
      <c r="CM52" s="625"/>
      <c r="CN52" s="625"/>
      <c r="CO52" s="625"/>
      <c r="CP52" s="625"/>
      <c r="CQ52" s="625"/>
      <c r="CR52" s="625"/>
      <c r="CS52" s="625"/>
      <c r="CT52" s="625"/>
      <c r="CU52" s="625"/>
      <c r="CV52" s="625"/>
      <c r="CW52" s="625"/>
      <c r="CX52" s="625"/>
      <c r="CY52" s="625"/>
      <c r="CZ52" s="625"/>
      <c r="DA52" s="625"/>
      <c r="DB52" s="625"/>
      <c r="DC52" s="625"/>
      <c r="DD52" s="625"/>
      <c r="DE52" s="625"/>
      <c r="DF52" s="625"/>
      <c r="DG52" s="625"/>
      <c r="DH52" s="625"/>
      <c r="DI52" s="625"/>
      <c r="DJ52" s="625"/>
      <c r="DK52" s="625"/>
      <c r="DL52" s="625"/>
      <c r="DM52" s="625"/>
      <c r="DN52" s="625"/>
      <c r="DO52" s="625"/>
      <c r="DP52" s="625"/>
      <c r="DQ52" s="625"/>
      <c r="DR52" s="625"/>
      <c r="DS52" s="625"/>
      <c r="DT52" s="625"/>
      <c r="DU52" s="625"/>
      <c r="DV52" s="625"/>
      <c r="DW52" s="625"/>
      <c r="DX52" s="625"/>
      <c r="DY52" s="625"/>
      <c r="DZ52" s="625"/>
      <c r="EA52" s="625"/>
      <c r="EB52" s="625"/>
      <c r="EC52" s="625"/>
      <c r="ED52" s="625"/>
      <c r="EE52" s="625"/>
      <c r="EF52" s="625"/>
      <c r="EG52" s="625"/>
      <c r="EH52" s="625"/>
      <c r="EI52" s="625"/>
      <c r="EJ52" s="625"/>
      <c r="EK52" s="625"/>
      <c r="EL52" s="625"/>
      <c r="EM52" s="625"/>
      <c r="EN52" s="625"/>
      <c r="EO52" s="625"/>
      <c r="EP52" s="625"/>
      <c r="EQ52" s="625"/>
      <c r="ER52" s="625"/>
      <c r="ES52" s="625"/>
      <c r="ET52" s="625"/>
      <c r="EU52" s="625"/>
      <c r="EV52" s="625"/>
      <c r="EW52" s="625"/>
      <c r="EX52" s="625"/>
      <c r="EY52" s="625"/>
      <c r="EZ52" s="625"/>
      <c r="FA52" s="625"/>
      <c r="FB52" s="625"/>
      <c r="FC52" s="625"/>
    </row>
    <row r="53" ht="15" customHeight="1">
      <c r="A53" s="714" t="s">
        <v>863</v>
      </c>
      <c r="B53" s="958" t="s">
        <v>864</v>
      </c>
      <c r="C53" s="631"/>
      <c r="D53" s="959" t="s">
        <v>503</v>
      </c>
      <c r="E53" s="960"/>
      <c r="F53" s="960"/>
      <c r="G53" s="960"/>
      <c r="H53" s="960"/>
      <c r="I53" s="960"/>
      <c r="J53" s="960"/>
      <c r="K53" s="960"/>
      <c r="L53" s="960"/>
      <c r="M53" s="960"/>
      <c r="N53" s="960"/>
      <c r="O53" s="960"/>
      <c r="P53" s="960"/>
      <c r="Q53" s="960"/>
      <c r="R53" s="960"/>
      <c r="S53" s="960"/>
      <c r="T53" s="960"/>
      <c r="U53" s="960"/>
      <c r="V53" s="960"/>
      <c r="W53" s="960"/>
      <c r="X53" s="960"/>
      <c r="Y53" s="960"/>
      <c r="Z53" s="960"/>
      <c r="AA53" s="960"/>
      <c r="AB53" s="960"/>
      <c r="AC53" s="960"/>
      <c r="AD53" s="960"/>
      <c r="AE53" s="960"/>
      <c r="AF53" s="960"/>
      <c r="AG53" s="960"/>
      <c r="AH53" s="960"/>
      <c r="AI53" s="961"/>
      <c r="AJ53" s="640" t="s">
        <v>865</v>
      </c>
      <c r="AK53" s="640"/>
      <c r="AL53" s="640"/>
      <c r="AM53" s="640"/>
      <c r="AN53" s="640"/>
      <c r="AO53" s="632"/>
      <c r="AP53" s="632"/>
      <c r="AQ53" s="632"/>
      <c r="AR53" s="632"/>
      <c r="AS53" s="632"/>
      <c r="AT53" s="632"/>
      <c r="AU53" s="962" t="s">
        <v>866</v>
      </c>
      <c r="AV53" s="963">
        <f>DailyPricing!E115</f>
        <v>0.001</v>
      </c>
      <c r="AW53" s="632"/>
      <c r="AX53" s="632"/>
      <c r="AY53" s="632"/>
      <c r="AZ53" s="632"/>
      <c r="BA53" s="632"/>
      <c r="BB53" s="632"/>
      <c r="BC53" s="632"/>
      <c r="BD53" s="6"/>
      <c r="BE53" s="964" t="s">
        <v>867</v>
      </c>
      <c r="BF53" s="965" t="s">
        <v>868</v>
      </c>
      <c r="BG53" s="688"/>
      <c r="BH53" s="688"/>
      <c r="BI53" s="6"/>
      <c r="BJ53" s="711" t="s">
        <v>869</v>
      </c>
      <c r="BK53" s="712">
        <v>0</v>
      </c>
      <c r="BL53" s="712">
        <v>1</v>
      </c>
      <c r="BM53" s="712">
        <v>2</v>
      </c>
      <c r="BN53" s="712">
        <v>0</v>
      </c>
      <c r="BO53" s="712">
        <v>1</v>
      </c>
      <c r="BP53" s="713">
        <v>2</v>
      </c>
      <c r="BQ53" s="6"/>
      <c r="BR53" s="714"/>
      <c r="BS53" s="6"/>
      <c r="BT53" s="6"/>
      <c r="BU53" s="786"/>
      <c r="BV53" s="625"/>
      <c r="BW53" s="625"/>
      <c r="BX53" s="625"/>
      <c r="BY53" s="625"/>
      <c r="BZ53" s="625"/>
      <c r="CA53" s="625"/>
      <c r="CB53" s="625"/>
      <c r="CC53" s="625"/>
      <c r="CD53" s="625"/>
      <c r="CE53" s="625"/>
      <c r="CF53" s="625"/>
      <c r="CG53" s="625"/>
      <c r="CH53" s="625"/>
      <c r="CI53" s="625"/>
      <c r="CJ53" s="625"/>
      <c r="CK53" s="625"/>
      <c r="CL53" s="625"/>
      <c r="CM53" s="625"/>
      <c r="CN53" s="625"/>
      <c r="CO53" s="625"/>
      <c r="CP53" s="625"/>
      <c r="CQ53" s="625"/>
      <c r="CR53" s="625"/>
      <c r="CS53" s="625"/>
      <c r="CT53" s="625"/>
      <c r="CU53" s="625"/>
      <c r="CV53" s="625"/>
      <c r="CW53" s="625"/>
      <c r="CX53" s="625"/>
      <c r="CY53" s="625"/>
      <c r="CZ53" s="625"/>
      <c r="DA53" s="625"/>
      <c r="DB53" s="625"/>
      <c r="DC53" s="625"/>
      <c r="DD53" s="625"/>
      <c r="DE53" s="625"/>
      <c r="DF53" s="625"/>
      <c r="DG53" s="625"/>
      <c r="DH53" s="625"/>
      <c r="DI53" s="625"/>
      <c r="DJ53" s="625"/>
      <c r="DK53" s="625"/>
      <c r="DL53" s="625"/>
      <c r="DM53" s="625"/>
      <c r="DN53" s="625"/>
      <c r="DO53" s="625"/>
      <c r="DP53" s="625"/>
      <c r="DQ53" s="625"/>
      <c r="DR53" s="625"/>
      <c r="DS53" s="625"/>
      <c r="DT53" s="625"/>
      <c r="DU53" s="625"/>
      <c r="DV53" s="625"/>
      <c r="DW53" s="625"/>
      <c r="DX53" s="625"/>
      <c r="DY53" s="625"/>
      <c r="DZ53" s="625"/>
      <c r="EA53" s="625"/>
      <c r="EB53" s="625"/>
      <c r="EC53" s="625"/>
      <c r="ED53" s="625"/>
      <c r="EE53" s="625"/>
      <c r="EF53" s="625"/>
      <c r="EG53" s="625"/>
      <c r="EH53" s="625"/>
      <c r="EI53" s="625"/>
      <c r="EJ53" s="625"/>
      <c r="EK53" s="625"/>
      <c r="EL53" s="625"/>
      <c r="EM53" s="625"/>
      <c r="EN53" s="625"/>
      <c r="EO53" s="625"/>
      <c r="EP53" s="625"/>
      <c r="EQ53" s="625"/>
      <c r="ER53" s="625"/>
      <c r="ES53" s="625"/>
      <c r="ET53" s="625"/>
      <c r="EU53" s="625"/>
      <c r="EV53" s="625"/>
      <c r="EW53" s="625"/>
      <c r="EX53" s="625"/>
      <c r="EY53" s="625"/>
      <c r="EZ53" s="625"/>
      <c r="FA53" s="625"/>
      <c r="FB53" s="625"/>
      <c r="FC53" s="625"/>
    </row>
    <row r="54" ht="15" customHeight="1">
      <c r="A54" s="714" t="s">
        <v>870</v>
      </c>
      <c r="B54" s="958" t="s">
        <v>864</v>
      </c>
      <c r="C54" s="631"/>
      <c r="D54" s="872" t="s">
        <v>871</v>
      </c>
      <c r="E54" s="961">
        <f>INDEX(FRE_PremiumAdjustmentsTable[#All],MATCH(E32,FRE_PremiumAdjustmentsTable[[#All], [Total Premium]],0),MATCH(E26,FRE_PremiumAdjustmentsTable[#Headers],0))</f>
        <v>0.0038</v>
      </c>
      <c r="F54" s="961">
        <f>INDEX(FRE_PremiumAdjustmentsTable[#All],MATCH(F32,FRE_PremiumAdjustmentsTable[[#All], [Total Premium]],0),MATCH(F26,FRE_PremiumAdjustmentsTable[#Headers],0))</f>
        <v>0.003</v>
      </c>
      <c r="G54" s="961">
        <f>INDEX(FRE_PremiumAdjustmentsTable[#All],MATCH(G32,FRE_PremiumAdjustmentsTable[[#All], [Total Premium]],0),MATCH(G26,FRE_PremiumAdjustmentsTable[#Headers],0))</f>
        <v>0.0023</v>
      </c>
      <c r="H54" s="961">
        <f>INDEX(FRE_PremiumAdjustmentsTable[#All],MATCH(H32,FRE_PremiumAdjustmentsTable[[#All], [Total Premium]],0),MATCH(H26,FRE_PremiumAdjustmentsTable[#Headers],0))</f>
        <v>0.0038</v>
      </c>
      <c r="I54" s="961">
        <f>INDEX(FRE_PremiumAdjustmentsTable[#All],MATCH(I32,FRE_PremiumAdjustmentsTable[[#All], [Total Premium]],0),MATCH(I26,FRE_PremiumAdjustmentsTable[#Headers],0))</f>
        <v>0.003</v>
      </c>
      <c r="J54" s="961">
        <f>INDEX(FRE_PremiumAdjustmentsTable[#All],MATCH(J32,FRE_PremiumAdjustmentsTable[[#All], [Total Premium]],0),MATCH(J26,FRE_PremiumAdjustmentsTable[#Headers],0))</f>
        <v>0.0023</v>
      </c>
      <c r="K54" s="961">
        <f>INDEX(FRE_PremiumAdjustmentsTable[#All],MATCH(K32,FRE_PremiumAdjustmentsTable[[#All], [Total Premium]],0),MATCH(K26,FRE_PremiumAdjustmentsTable[#Headers],0))</f>
        <v>0.0038</v>
      </c>
      <c r="L54" s="961">
        <f>INDEX(FRE_PremiumAdjustmentsTable[#All],MATCH(L32,FRE_PremiumAdjustmentsTable[[#All], [Total Premium]],0),MATCH(L26,FRE_PremiumAdjustmentsTable[#Headers],0))</f>
        <v>0.003</v>
      </c>
      <c r="M54" s="961">
        <f>INDEX(FRE_PremiumAdjustmentsTable[#All],MATCH(M32,FRE_PremiumAdjustmentsTable[[#All], [Total Premium]],0),MATCH(M26,FRE_PremiumAdjustmentsTable[#Headers],0))</f>
        <v>0.0023</v>
      </c>
      <c r="N54" s="961">
        <f>INDEX(FRE_PremiumAdjustmentsTable[#All],MATCH(N32,FRE_PremiumAdjustmentsTable[[#All], [Total Premium]],0),MATCH(N26,FRE_PremiumAdjustmentsTable[#Headers],0))</f>
        <v>0.0038</v>
      </c>
      <c r="O54" s="961">
        <f>INDEX(FRE_PremiumAdjustmentsTable[#All],MATCH(O32,FRE_PremiumAdjustmentsTable[[#All], [Total Premium]],0),MATCH(O26,FRE_PremiumAdjustmentsTable[#Headers],0))</f>
        <v>0.003</v>
      </c>
      <c r="P54" s="961">
        <f>INDEX(FRE_PremiumAdjustmentsTable[#All],MATCH(P32,FRE_PremiumAdjustmentsTable[[#All], [Total Premium]],0),MATCH(P26,FRE_PremiumAdjustmentsTable[#Headers],0))</f>
        <v>0.0023</v>
      </c>
      <c r="Q54" s="966"/>
      <c r="R54" s="961">
        <f t="shared" si="65" ref="R54:Y54">_xlfn.LET(_xlpm.Term,R$98,_xlpm.PremiumBuyup,R$32,IF(_xlpm.Term&gt;=12,0.11%,IF(_xlpm.Term=12,0.12%,IF(_xlpm.Term&gt;=10,0.13%,IF(_xlpm.Term&gt;=7,0.17%,IF(_xlpm.Term&gt;=5,0.23%)))))*_xlpm.PremiumBuyup/1%)</f>
        <v>0.0013</v>
      </c>
      <c r="S54" s="961">
        <f t="shared" si="65"/>
        <v>0.0011</v>
      </c>
      <c r="T54" s="961">
        <f t="shared" si="65"/>
        <v>0.0011</v>
      </c>
      <c r="U54" s="961">
        <f t="shared" si="65"/>
        <v>0.0013</v>
      </c>
      <c r="V54" s="961">
        <f t="shared" si="65"/>
        <v>0.0013</v>
      </c>
      <c r="W54" s="961">
        <f t="shared" si="65"/>
        <v>0.0023</v>
      </c>
      <c r="X54" s="961">
        <f t="shared" si="65"/>
        <v>0.0023</v>
      </c>
      <c r="Y54" s="961">
        <f t="shared" si="65"/>
        <v>0.0013</v>
      </c>
      <c r="Z54" s="966"/>
      <c r="AA54" s="961">
        <f t="shared" si="66" ref="AA54:AH54">_xlfn.LET(_xlpm.IsFloating,RIGHT(AA$26,8)="Floating",_xlpm.PremiumBuyupBps,AA$32,_xlpm.Term,AA$98,IF(OR(_xlpm.PremiumBuyupBps=0,_xlpm.IsFloating),0,(IF(_xlpm.PremiumBuyupBps=0.25%,IF(_xlpm.Term=5,0.07%,IF(_xlpm.Term=7,0.05%,IF(_xlpm.Term=10,0.04%,0))),0)+IF(_xlpm.PremiumBuyupBps=0.5%,IF(_xlpm.Term=5,0.13%,IF(_xlpm.Term=7,0.1%,IF(_xlpm.Term=10,0.08%,0))),0)+IF(_xlpm.PremiumBuyupBps=0.75%,IF(_xlpm.Term=5,0.19%,IF(_xlpm.Term=7,0.15%,IF(_xlpm.Term=10,0.12%,0))),0)+IF(_xlpm.PremiumBuyupBps=1%,IF(_xlpm.Term=5,0.25%,IF(_xlpm.Term=7,0.2%,IF(_xlpm.Term=10,0.15%,0))),0))))</f>
        <v>0</v>
      </c>
      <c r="AB54" s="961">
        <f t="shared" si="66"/>
        <v>0</v>
      </c>
      <c r="AC54" s="961">
        <f t="shared" si="66"/>
        <v>0</v>
      </c>
      <c r="AD54" s="961">
        <f t="shared" si="66"/>
        <v>0</v>
      </c>
      <c r="AE54" s="961">
        <f t="shared" si="66"/>
        <v>0</v>
      </c>
      <c r="AF54" s="961">
        <f t="shared" si="66"/>
        <v>0</v>
      </c>
      <c r="AG54" s="961">
        <f t="shared" si="66"/>
        <v>0</v>
      </c>
      <c r="AH54" s="961">
        <f t="shared" si="66"/>
        <v>0</v>
      </c>
      <c r="AI54" s="875"/>
      <c r="AJ54" s="632" t="str">
        <f>INDEX(Boilerplate!$C$20:$C$25,MATCH(AN20,Boilerplate!$B$20:$B$25,0))</f>
        <v>Please select an answer for "Recent NRI/NCF Growth and Physical Occupancy" above.</v>
      </c>
      <c r="AK54" s="632"/>
      <c r="AL54" s="632"/>
      <c r="AM54" s="632"/>
      <c r="AN54" s="632"/>
      <c r="AO54" s="632"/>
      <c r="AP54" s="632"/>
      <c r="AQ54" s="632"/>
      <c r="AR54" s="632"/>
      <c r="AS54" s="632"/>
      <c r="AT54" s="632"/>
      <c r="AU54" s="632"/>
      <c r="AV54" s="632"/>
      <c r="AW54" s="632"/>
      <c r="AX54" s="632"/>
      <c r="AY54" s="632"/>
      <c r="AZ54" s="632"/>
      <c r="BA54" s="632"/>
      <c r="BB54" s="632"/>
      <c r="BC54" s="632"/>
      <c r="BD54" s="6"/>
      <c r="BE54" s="967" t="s">
        <v>873</v>
      </c>
      <c r="BF54" s="968" t="s">
        <v>868</v>
      </c>
      <c r="BG54" s="688"/>
      <c r="BH54" s="688"/>
      <c r="BI54" s="6"/>
      <c r="BJ54" s="720" t="s">
        <v>652</v>
      </c>
      <c r="BK54" s="721">
        <v>54321</v>
      </c>
      <c r="BL54" s="721">
        <v>5544321</v>
      </c>
      <c r="BM54" s="721">
        <v>5544332211</v>
      </c>
      <c r="BN54" s="721">
        <v>54321</v>
      </c>
      <c r="BO54" s="721">
        <v>5544321</v>
      </c>
      <c r="BP54" s="722">
        <v>5544332211</v>
      </c>
      <c r="BQ54" s="6"/>
      <c r="BR54" s="714"/>
      <c r="BS54" s="6"/>
      <c r="BT54" s="6"/>
      <c r="BU54" s="786"/>
      <c r="BV54" s="625"/>
      <c r="BW54" s="625"/>
      <c r="BX54" s="625"/>
      <c r="BY54" s="625"/>
      <c r="BZ54" s="625"/>
      <c r="CA54" s="625"/>
      <c r="CB54" s="625"/>
      <c r="CC54" s="625"/>
      <c r="CD54" s="625"/>
      <c r="CE54" s="625"/>
      <c r="CF54" s="625"/>
      <c r="CG54" s="625"/>
      <c r="CH54" s="625"/>
      <c r="CI54" s="625"/>
      <c r="CJ54" s="625"/>
      <c r="CK54" s="625"/>
      <c r="CL54" s="625"/>
      <c r="CM54" s="625"/>
      <c r="CN54" s="625"/>
      <c r="CO54" s="625"/>
      <c r="CP54" s="625"/>
      <c r="CQ54" s="625"/>
      <c r="CR54" s="625"/>
      <c r="CS54" s="625"/>
      <c r="CT54" s="625"/>
      <c r="CU54" s="625"/>
      <c r="CV54" s="625"/>
      <c r="CW54" s="625"/>
      <c r="CX54" s="625"/>
      <c r="CY54" s="625"/>
      <c r="CZ54" s="625"/>
      <c r="DA54" s="625"/>
      <c r="DB54" s="625"/>
      <c r="DC54" s="625"/>
      <c r="DD54" s="625"/>
      <c r="DE54" s="625"/>
      <c r="DF54" s="625"/>
      <c r="DG54" s="625"/>
      <c r="DH54" s="625"/>
      <c r="DI54" s="625"/>
      <c r="DJ54" s="625"/>
      <c r="DK54" s="625"/>
      <c r="DL54" s="625"/>
      <c r="DM54" s="625"/>
      <c r="DN54" s="625"/>
      <c r="DO54" s="625"/>
      <c r="DP54" s="625"/>
      <c r="DQ54" s="625"/>
      <c r="DR54" s="625"/>
      <c r="DS54" s="625"/>
      <c r="DT54" s="625"/>
      <c r="DU54" s="625"/>
      <c r="DV54" s="625"/>
      <c r="DW54" s="625"/>
      <c r="DX54" s="625"/>
      <c r="DY54" s="625"/>
      <c r="DZ54" s="625"/>
      <c r="EA54" s="625"/>
      <c r="EB54" s="625"/>
      <c r="EC54" s="625"/>
      <c r="ED54" s="625"/>
      <c r="EE54" s="625"/>
      <c r="EF54" s="625"/>
      <c r="EG54" s="625"/>
      <c r="EH54" s="625"/>
      <c r="EI54" s="625"/>
      <c r="EJ54" s="625"/>
      <c r="EK54" s="625"/>
      <c r="EL54" s="625"/>
      <c r="EM54" s="625"/>
      <c r="EN54" s="625"/>
      <c r="EO54" s="625"/>
      <c r="EP54" s="625"/>
      <c r="EQ54" s="625"/>
      <c r="ER54" s="625"/>
      <c r="ES54" s="625"/>
      <c r="ET54" s="625"/>
      <c r="EU54" s="625"/>
      <c r="EV54" s="625"/>
      <c r="EW54" s="625"/>
      <c r="EX54" s="625"/>
      <c r="EY54" s="625"/>
      <c r="EZ54" s="625"/>
      <c r="FA54" s="625"/>
      <c r="FB54" s="625"/>
      <c r="FC54" s="625"/>
    </row>
    <row r="55" ht="15" customHeight="1">
      <c r="A55" s="714" t="s">
        <v>874</v>
      </c>
      <c r="B55" s="958" t="s">
        <v>209</v>
      </c>
      <c r="C55" s="631"/>
      <c r="D55" s="969" t="s">
        <v>875</v>
      </c>
      <c r="E55" s="970">
        <f>INDEX(FRE_PrepayAdjustmentsTable[#All],MATCH(E11,FRE_PrepayAdjustmentsTable[[#All], [Prepay Strings]],0),MATCH(E26,FRE_PrepayAdjustmentsTable[#Headers],0))</f>
        <v>-0.0005</v>
      </c>
      <c r="F55" s="970">
        <f>INDEX(FRE_PrepayAdjustmentsTable[#All],MATCH(F11,FRE_PrepayAdjustmentsTable[[#All], [Prepay Strings]],0),MATCH(F26,FRE_PrepayAdjustmentsTable[#Headers],0))</f>
        <v>-0.001</v>
      </c>
      <c r="G55" s="970">
        <f>INDEX(FRE_PrepayAdjustmentsTable[#All],MATCH(G11,FRE_PrepayAdjustmentsTable[[#All], [Prepay Strings]],0),MATCH(G26,FRE_PrepayAdjustmentsTable[#Headers],0))</f>
        <v>-0.001</v>
      </c>
      <c r="H55" s="970">
        <f>INDEX(FRE_PrepayAdjustmentsTable[#All],MATCH(H11,FRE_PrepayAdjustmentsTable[[#All], [Prepay Strings]],0),MATCH(H26,FRE_PrepayAdjustmentsTable[#Headers],0))</f>
        <v>-0.0005</v>
      </c>
      <c r="I55" s="970">
        <f>INDEX(FRE_PrepayAdjustmentsTable[#All],MATCH(I11,FRE_PrepayAdjustmentsTable[[#All], [Prepay Strings]],0),MATCH(I26,FRE_PrepayAdjustmentsTable[#Headers],0))</f>
        <v>-0.001</v>
      </c>
      <c r="J55" s="970">
        <f>INDEX(FRE_PrepayAdjustmentsTable[#All],MATCH(J11,FRE_PrepayAdjustmentsTable[[#All], [Prepay Strings]],0),MATCH(J26,FRE_PrepayAdjustmentsTable[#Headers],0))</f>
        <v>-0.001</v>
      </c>
      <c r="K55" s="970">
        <f>INDEX(FRE_PrepayAdjustmentsTable[#All],MATCH(K11,FRE_PrepayAdjustmentsTable[[#All], [Prepay Strings]],0),MATCH(K26,FRE_PrepayAdjustmentsTable[#Headers],0))</f>
        <v>-0.0005</v>
      </c>
      <c r="L55" s="970">
        <f>INDEX(FRE_PrepayAdjustmentsTable[#All],MATCH(L11,FRE_PrepayAdjustmentsTable[[#All], [Prepay Strings]],0),MATCH(L26,FRE_PrepayAdjustmentsTable[#Headers],0))</f>
        <v>-0.001</v>
      </c>
      <c r="M55" s="970">
        <f>INDEX(FRE_PrepayAdjustmentsTable[#All],MATCH(M11,FRE_PrepayAdjustmentsTable[[#All], [Prepay Strings]],0),MATCH(M26,FRE_PrepayAdjustmentsTable[#Headers],0))</f>
        <v>-0.001</v>
      </c>
      <c r="N55" s="970">
        <f>INDEX(FRE_PrepayAdjustmentsTable[#All],MATCH(N11,FRE_PrepayAdjustmentsTable[[#All], [Prepay Strings]],0),MATCH(N26,FRE_PrepayAdjustmentsTable[#Headers],0))</f>
        <v>-0.0005</v>
      </c>
      <c r="O55" s="970">
        <f>INDEX(FRE_PrepayAdjustmentsTable[#All],MATCH(O11,FRE_PrepayAdjustmentsTable[[#All], [Prepay Strings]],0),MATCH(O26,FRE_PrepayAdjustmentsTable[#Headers],0))</f>
        <v>-0.001</v>
      </c>
      <c r="P55" s="970">
        <f>INDEX(FRE_PrepayAdjustmentsTable[#All],MATCH(P11,FRE_PrepayAdjustmentsTable[[#All], [Prepay Strings]],0),MATCH(P26,FRE_PrepayAdjustmentsTable[#Headers],0))</f>
        <v>-0.001</v>
      </c>
      <c r="Q55" s="966"/>
      <c r="R55" s="970">
        <f t="shared" si="67" ref="R55:Y55">IF(R$38="Yield Maintenance",0,0.31%)</f>
        <v>0</v>
      </c>
      <c r="S55" s="970">
        <f t="shared" si="67"/>
        <v>0</v>
      </c>
      <c r="T55" s="970">
        <f t="shared" si="67"/>
        <v>0</v>
      </c>
      <c r="U55" s="970">
        <f t="shared" si="67"/>
        <v>0</v>
      </c>
      <c r="V55" s="970">
        <f t="shared" si="67"/>
        <v>0</v>
      </c>
      <c r="W55" s="970">
        <f t="shared" si="67"/>
        <v>0</v>
      </c>
      <c r="X55" s="970">
        <f t="shared" si="67"/>
        <v>0</v>
      </c>
      <c r="Y55" s="970">
        <f t="shared" si="67"/>
        <v>0</v>
      </c>
      <c r="Z55" s="966"/>
      <c r="AA55" s="971">
        <f t="shared" si="68" ref="AA55:AH55">_xlfn.LET(_xlpm.PrepaymentOption,AA$38,IF(OR(_xlpm.PrepaymentOption="1%  Prepayment",_xlpm.PrepaymentOption="YM"),0,0)+IF(_xlpm.PrepaymentOption="54321",0.15%,0)+IF(OR(_xlpm.PrepaymentOption="5544321",_xlpm.PrepaymentOption="5544332211"),0.2%,0)+IF(_xlpm.PrepaymentOption="321(3)",0.25%,0)+IF(_xlpm.PrepaymentOption="3(2),2(2),1(3)",0.4%,0)+IF(_xlpm.PrepaymentOption="3(3),2(3),1(4)",0.35%,0))</f>
        <v>0</v>
      </c>
      <c r="AB55" s="971">
        <f t="shared" si="68"/>
        <v>0</v>
      </c>
      <c r="AC55" s="971">
        <f t="shared" si="68"/>
        <v>0</v>
      </c>
      <c r="AD55" s="971">
        <f t="shared" si="68"/>
        <v>0</v>
      </c>
      <c r="AE55" s="971">
        <f t="shared" si="68"/>
        <v>0</v>
      </c>
      <c r="AF55" s="971">
        <f t="shared" si="68"/>
        <v>0</v>
      </c>
      <c r="AG55" s="971">
        <f t="shared" si="68"/>
        <v>0</v>
      </c>
      <c r="AH55" s="971">
        <f t="shared" si="68"/>
        <v>0</v>
      </c>
      <c r="AI55" s="961"/>
      <c r="AJ55" s="972"/>
      <c r="AK55" s="972"/>
      <c r="AL55" s="972"/>
      <c r="AM55" s="972"/>
      <c r="AN55" s="972"/>
      <c r="AO55" s="632"/>
      <c r="AP55" s="632"/>
      <c r="AQ55" s="632"/>
      <c r="AR55" s="632"/>
      <c r="AS55" s="632"/>
      <c r="AT55" s="632"/>
      <c r="AU55" s="632"/>
      <c r="AV55" s="632"/>
      <c r="AW55" s="632"/>
      <c r="AX55" s="632"/>
      <c r="AY55" s="632"/>
      <c r="AZ55" s="632"/>
      <c r="BA55" s="632"/>
      <c r="BB55" s="632"/>
      <c r="BC55" s="632"/>
      <c r="BD55" s="6"/>
      <c r="BE55" s="973" t="s">
        <v>876</v>
      </c>
      <c r="BF55" s="974">
        <v>0.0425</v>
      </c>
      <c r="BG55" s="688"/>
      <c r="BH55" s="688"/>
      <c r="BI55" s="6"/>
      <c r="BJ55" s="711" t="s">
        <v>658</v>
      </c>
      <c r="BK55" s="766">
        <v>0.01</v>
      </c>
      <c r="BL55" s="766">
        <v>0.01</v>
      </c>
      <c r="BM55" s="766">
        <v>0.01</v>
      </c>
      <c r="BN55" s="712" t="s">
        <v>174</v>
      </c>
      <c r="BO55" s="712" t="s">
        <v>174</v>
      </c>
      <c r="BP55" s="713" t="s">
        <v>174</v>
      </c>
      <c r="BQ55" s="6"/>
      <c r="BR55" s="714"/>
      <c r="BS55" s="6"/>
      <c r="BT55" s="6"/>
      <c r="BU55" s="786"/>
      <c r="BV55" s="625"/>
      <c r="BW55" s="625"/>
      <c r="BX55" s="625"/>
      <c r="BY55" s="625"/>
      <c r="BZ55" s="625"/>
      <c r="CA55" s="625"/>
      <c r="CB55" s="625"/>
      <c r="CC55" s="625"/>
      <c r="CD55" s="625"/>
      <c r="CE55" s="625"/>
      <c r="CF55" s="625"/>
      <c r="CG55" s="625"/>
      <c r="CH55" s="625"/>
      <c r="CI55" s="625"/>
      <c r="CJ55" s="625"/>
      <c r="CK55" s="625"/>
      <c r="CL55" s="625"/>
      <c r="CM55" s="625"/>
      <c r="CN55" s="625"/>
      <c r="CO55" s="625"/>
      <c r="CP55" s="625"/>
      <c r="CQ55" s="625"/>
      <c r="CR55" s="625"/>
      <c r="CS55" s="625"/>
      <c r="CT55" s="625"/>
      <c r="CU55" s="625"/>
      <c r="CV55" s="625"/>
      <c r="CW55" s="625"/>
      <c r="CX55" s="625"/>
      <c r="CY55" s="625"/>
      <c r="CZ55" s="625"/>
      <c r="DA55" s="625"/>
      <c r="DB55" s="625"/>
      <c r="DC55" s="625"/>
      <c r="DD55" s="625"/>
      <c r="DE55" s="625"/>
      <c r="DF55" s="625"/>
      <c r="DG55" s="625"/>
      <c r="DH55" s="625"/>
      <c r="DI55" s="625"/>
      <c r="DJ55" s="625"/>
      <c r="DK55" s="625"/>
      <c r="DL55" s="625"/>
      <c r="DM55" s="625"/>
      <c r="DN55" s="625"/>
      <c r="DO55" s="625"/>
      <c r="DP55" s="625"/>
      <c r="DQ55" s="625"/>
      <c r="DR55" s="625"/>
      <c r="DS55" s="625"/>
      <c r="DT55" s="625"/>
      <c r="DU55" s="625"/>
      <c r="DV55" s="625"/>
      <c r="DW55" s="625"/>
      <c r="DX55" s="625"/>
      <c r="DY55" s="625"/>
      <c r="DZ55" s="625"/>
      <c r="EA55" s="625"/>
      <c r="EB55" s="625"/>
      <c r="EC55" s="625"/>
      <c r="ED55" s="625"/>
      <c r="EE55" s="625"/>
      <c r="EF55" s="625"/>
      <c r="EG55" s="625"/>
      <c r="EH55" s="625"/>
      <c r="EI55" s="625"/>
      <c r="EJ55" s="625"/>
      <c r="EK55" s="625"/>
      <c r="EL55" s="625"/>
      <c r="EM55" s="625"/>
      <c r="EN55" s="625"/>
      <c r="EO55" s="625"/>
      <c r="EP55" s="625"/>
      <c r="EQ55" s="625"/>
      <c r="ER55" s="625"/>
      <c r="ES55" s="625"/>
      <c r="ET55" s="625"/>
      <c r="EU55" s="625"/>
      <c r="EV55" s="625"/>
      <c r="EW55" s="625"/>
      <c r="EX55" s="625"/>
      <c r="EY55" s="625"/>
      <c r="EZ55" s="625"/>
      <c r="FA55" s="625"/>
      <c r="FB55" s="625"/>
      <c r="FC55" s="625"/>
    </row>
    <row r="56" ht="15" customHeight="1">
      <c r="A56" s="714" t="s">
        <v>877</v>
      </c>
      <c r="B56" s="975">
        <f>IF(Loan_Program_Accepted="Proprietary Capital",12500,7500)</f>
        <v>7500</v>
      </c>
      <c r="C56" s="631"/>
      <c r="D56" s="872" t="s">
        <v>878</v>
      </c>
      <c r="E56" s="961">
        <f t="shared" si="69" ref="E56:P56">_xlfn.LET(_xlpm.comment,"Updated Feb-2023: is_feb_2023_special_FRE_terms condition can be deleted once expired",_xlpm.is_feb_2023_special_FRE_terms,AND(MONTH(LastPricingUpdateTimestamp)=2,YEAR(LastPricingUpdateTimestamp)=2023),_xlpm.io_years,E$43,_xlpm.default_io_years,E$44,IF(_xlpm.is_feb_2023_special_FRE_terms,(_xlpm.io_years-_xlpm.default_io_years+1)*0.01%,(_xlpm.io_years-_xlpm.default_io_years)*0.01%))</f>
        <v>0</v>
      </c>
      <c r="F56" s="961">
        <f t="shared" si="69"/>
        <v>0</v>
      </c>
      <c r="G56" s="961">
        <f t="shared" si="69"/>
        <v>0</v>
      </c>
      <c r="H56" s="961">
        <f t="shared" si="69"/>
        <v>0</v>
      </c>
      <c r="I56" s="961">
        <f t="shared" si="69"/>
        <v>0</v>
      </c>
      <c r="J56" s="961">
        <f t="shared" si="69"/>
        <v>0</v>
      </c>
      <c r="K56" s="961">
        <f t="shared" si="69"/>
        <v>0</v>
      </c>
      <c r="L56" s="961">
        <f t="shared" si="69"/>
        <v>0</v>
      </c>
      <c r="M56" s="961">
        <f t="shared" si="69"/>
        <v>0</v>
      </c>
      <c r="N56" s="961">
        <f t="shared" si="69"/>
        <v>0</v>
      </c>
      <c r="O56" s="961">
        <f t="shared" si="69"/>
        <v>0</v>
      </c>
      <c r="P56" s="961">
        <f t="shared" si="69"/>
        <v>0</v>
      </c>
      <c r="Q56" s="966"/>
      <c r="R56" s="961" cm="1">
        <f t="array" ref="R56">_xlfn.LET(_xlpm.yrs_of_io,R$43,_xlpm.term,R$98,_xlpm.is_full_term,R$45="Full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v>
      </c>
      <c r="S56" s="961" cm="1">
        <f t="array" ref="S56">_xlfn.LET(_xlpm.yrs_of_io,S$43,_xlpm.term,S$98,_xlpm.is_full_term,S$45="Full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v>
      </c>
      <c r="T56" s="961" cm="1">
        <f t="array" ref="T56">_xlfn.LET(_xlpm.yrs_of_io,T$43,_xlpm.term,T$98,_xlpm.is_full_term,T$45="Full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v>
      </c>
      <c r="U56" s="961" cm="1">
        <f t="array" ref="U56">_xlfn.LET(_xlpm.yrs_of_io,U$43,_xlpm.term,U$98,_xlpm.is_full_term,U$45="Full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0.00002258</v>
      </c>
      <c r="V56" s="961" cm="1">
        <f t="array" ref="V56">_xlfn.LET(_xlpm.yrs_of_io,V$43,_xlpm.term,V$98,_xlpm.is_full_term,V$45="Full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-0.00000265</v>
      </c>
      <c r="W56" s="961" cm="1">
        <f t="array" ref="W56">_xlfn.LET(_xlpm.yrs_of_io,W$43,_xlpm.term,W$98,_xlpm.is_full_term,W$45="Full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0.00001328</v>
      </c>
      <c r="X56" s="961" cm="1">
        <f t="array" ref="X56">_xlfn.LET(_xlpm.yrs_of_io,X$43,_xlpm.term,X$98,_xlpm.is_full_term,X$45="Full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-0.000036270000000000003</v>
      </c>
      <c r="Y56" s="961" cm="1">
        <f t="array" ref="Y56">_xlfn.LET(_xlpm.yrs_of_io,Y$43,_xlpm.term,Y$98,_xlpm.is_full_term,Y$45="Full Term",_xlpm.lookup_term,IF(_xlpm.term&gt;=15,15,IF(_xlpm.term&gt;=12,12,IF(_xlpm.term&gt;=10,10,IF(_xlpm.term&gt;=7,7,5)))),_xlpm.loan_term_options,$AU$12:$AU$16,_xlpm.io_rates_1_yr,$BD$12:$BD$16,_xlpm.io_rates_2_yrs,$BE$12:$BE$16,_xlpm.io_rates_3_yrs,$BF$12:$BF$16,_xlpm.io_rates_5_yrs,$BG$12:$BG$16,_xlpm.io_rates_full_term,$BH$12:$BH$16,IF(_xlpm.yrs_of_io=0,0,IF(_xlpm.yrs_of_io=4,AVERAGE(_xlfn.XLOOKUP(_xlpm.lookup_term,_xlpm.loan_term_options,_xlpm.io_rates_3_yrs),_xlfn.XLOOKUP(_xlpm.lookup_term,_xlpm.loan_term_options,_xlpm.io_rates_5_yrs)),IF(AND(_xlpm.yrs_of_io&gt;5,_xlpm.yrs_of_io&lt;_xlpm.term),AVERAGE(_xlfn.XLOOKUP(_xlpm.lookup_term,_xlpm.loan_term_options,_xlpm.io_rates_5_yrs),_xlfn.XLOOKUP(_xlpm.lookup_term,_xlpm.loan_term_options,_xlpm.io_rates_full_term)),_xlfn.XLOOKUP(_xlpm.lookup_term,_xlpm.loan_term_options,IF(_xlpm.yrs_of_io=1,_xlpm.io_rates_1_yr,IF(_xlpm.yrs_of_io=2,_xlpm.io_rates_2_yrs,IF(_xlpm.yrs_of_io=3,_xlpm.io_rates_3_yrs,IF(_xlpm.yrs_of_io=5,_xlpm.io_rates_5_yrs,IF(_xlpm.is_full_term,_xlpm.io_rates_full_term,"Look Up"))))))))))</f>
        <v>0</v>
      </c>
      <c r="Z56" s="966"/>
      <c r="AA56" s="976"/>
      <c r="AB56" s="976"/>
      <c r="AC56" s="976"/>
      <c r="AD56" s="976"/>
      <c r="AE56" s="976"/>
      <c r="AF56" s="976"/>
      <c r="AG56" s="976"/>
      <c r="AH56" s="976"/>
      <c r="AI56" s="961"/>
      <c r="AJ56" s="972"/>
      <c r="AK56" s="972"/>
      <c r="AL56" s="972"/>
      <c r="AM56" s="972"/>
      <c r="AN56" s="972"/>
      <c r="AO56" s="632"/>
      <c r="AP56" s="632"/>
      <c r="AQ56" s="632"/>
      <c r="AR56" s="632"/>
      <c r="AS56" s="632"/>
      <c r="AT56" s="632"/>
      <c r="AU56" s="632"/>
      <c r="AV56" s="632"/>
      <c r="AW56" s="632"/>
      <c r="AX56" s="632"/>
      <c r="AY56" s="632"/>
      <c r="AZ56" s="632"/>
      <c r="BA56" s="632"/>
      <c r="BB56" s="632"/>
      <c r="BC56" s="632"/>
      <c r="BD56" s="6"/>
      <c r="BE56" s="973" t="s">
        <v>879</v>
      </c>
      <c r="BF56" s="974">
        <v>0.0675</v>
      </c>
      <c r="BG56" s="688"/>
      <c r="BH56" s="688"/>
      <c r="BI56" s="6"/>
      <c r="BJ56" s="720" t="s">
        <v>880</v>
      </c>
      <c r="BK56" s="721" t="s">
        <v>881</v>
      </c>
      <c r="BL56" s="721" t="s">
        <v>881</v>
      </c>
      <c r="BM56" s="721" t="s">
        <v>881</v>
      </c>
      <c r="BN56" s="721" t="s">
        <v>881</v>
      </c>
      <c r="BO56" s="721" t="s">
        <v>881</v>
      </c>
      <c r="BP56" s="722" t="s">
        <v>881</v>
      </c>
      <c r="BQ56" s="6"/>
      <c r="BR56" s="714"/>
      <c r="BS56" s="6"/>
      <c r="BT56" s="6"/>
      <c r="BU56" s="786"/>
      <c r="BV56" s="625"/>
      <c r="BW56" s="625"/>
      <c r="BX56" s="625"/>
      <c r="BY56" s="625"/>
      <c r="BZ56" s="625"/>
      <c r="CA56" s="625"/>
      <c r="CB56" s="625"/>
      <c r="CC56" s="625"/>
      <c r="CD56" s="625"/>
      <c r="CE56" s="625"/>
      <c r="CF56" s="625"/>
      <c r="CG56" s="625"/>
      <c r="CH56" s="625"/>
      <c r="CI56" s="625"/>
      <c r="CJ56" s="625"/>
      <c r="CK56" s="625"/>
      <c r="CL56" s="625"/>
      <c r="CM56" s="625"/>
      <c r="CN56" s="625"/>
      <c r="CO56" s="625"/>
      <c r="CP56" s="625"/>
      <c r="CQ56" s="625"/>
      <c r="CR56" s="625"/>
      <c r="CS56" s="625"/>
      <c r="CT56" s="625"/>
      <c r="CU56" s="625"/>
      <c r="CV56" s="625"/>
      <c r="CW56" s="625"/>
      <c r="CX56" s="625"/>
      <c r="CY56" s="625"/>
      <c r="CZ56" s="625"/>
      <c r="DA56" s="625"/>
      <c r="DB56" s="625"/>
      <c r="DC56" s="625"/>
      <c r="DD56" s="625"/>
      <c r="DE56" s="625"/>
      <c r="DF56" s="625"/>
      <c r="DG56" s="625"/>
      <c r="DH56" s="625"/>
      <c r="DI56" s="625"/>
      <c r="DJ56" s="625"/>
      <c r="DK56" s="625"/>
      <c r="DL56" s="625"/>
      <c r="DM56" s="625"/>
      <c r="DN56" s="625"/>
      <c r="DO56" s="625"/>
      <c r="DP56" s="625"/>
      <c r="DQ56" s="625"/>
      <c r="DR56" s="625"/>
      <c r="DS56" s="625"/>
      <c r="DT56" s="625"/>
      <c r="DU56" s="625"/>
      <c r="DV56" s="625"/>
      <c r="DW56" s="625"/>
      <c r="DX56" s="625"/>
      <c r="DY56" s="625"/>
      <c r="DZ56" s="625"/>
      <c r="EA56" s="625"/>
      <c r="EB56" s="625"/>
      <c r="EC56" s="625"/>
      <c r="ED56" s="625"/>
      <c r="EE56" s="625"/>
      <c r="EF56" s="625"/>
      <c r="EG56" s="625"/>
      <c r="EH56" s="625"/>
      <c r="EI56" s="625"/>
      <c r="EJ56" s="625"/>
      <c r="EK56" s="625"/>
      <c r="EL56" s="625"/>
      <c r="EM56" s="625"/>
      <c r="EN56" s="625"/>
      <c r="EO56" s="625"/>
      <c r="EP56" s="625"/>
      <c r="EQ56" s="625"/>
      <c r="ER56" s="625"/>
      <c r="ES56" s="625"/>
      <c r="ET56" s="625"/>
      <c r="EU56" s="625"/>
      <c r="EV56" s="625"/>
      <c r="EW56" s="625"/>
      <c r="EX56" s="625"/>
      <c r="EY56" s="625"/>
      <c r="EZ56" s="625"/>
      <c r="FA56" s="625"/>
      <c r="FB56" s="625"/>
      <c r="FC56" s="625"/>
    </row>
    <row r="57" ht="15" customHeight="1">
      <c r="A57" s="977" t="s">
        <v>882</v>
      </c>
      <c r="B57" s="978"/>
      <c r="C57" s="631"/>
      <c r="D57" s="969" t="s">
        <v>883</v>
      </c>
      <c r="E57" s="970" cm="1">
        <f t="array" ref="E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Small",_xlpm.VerySmallMarketTable,#N/A)))),_xlpm.LoanProduct,E$26,_xlpm.LoanProductOptions,$BK$4:$BP$4,_xlpm.discountString,_xlfn.XLOOKUP(_xlpm.LoanProduct,_xlpm.LoanProductOptions,_xlpm.MarketTable,"Not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F57" s="970" cm="1">
        <f t="array" ref="F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Small",_xlpm.VerySmallMarketTable,#N/A)))),_xlpm.LoanProduct,F$26,_xlpm.LoanProductOptions,$BK$4:$BP$4,_xlpm.discountString,_xlfn.XLOOKUP(_xlpm.LoanProduct,_xlpm.LoanProductOptions,_xlpm.MarketTable,"Not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G57" s="970" cm="1">
        <f t="array" ref="G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Small",_xlpm.VerySmallMarketTable,#N/A)))),_xlpm.LoanProduct,G$26,_xlpm.LoanProductOptions,$BK$4:$BP$4,_xlpm.discountString,_xlfn.XLOOKUP(_xlpm.LoanProduct,_xlpm.LoanProductOptions,_xlpm.MarketTable,"Not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H57" s="970" cm="1">
        <f t="array" ref="H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Small",_xlpm.VerySmallMarketTable,#N/A)))),_xlpm.LoanProduct,H$26,_xlpm.LoanProductOptions,$BK$4:$BP$4,_xlpm.discountString,_xlfn.XLOOKUP(_xlpm.LoanProduct,_xlpm.LoanProductOptions,_xlpm.MarketTable,"Not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I57" s="970" cm="1">
        <f t="array" ref="I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Small",_xlpm.VerySmallMarketTable,#N/A)))),_xlpm.LoanProduct,I$26,_xlpm.LoanProductOptions,$BK$4:$BP$4,_xlpm.discountString,_xlfn.XLOOKUP(_xlpm.LoanProduct,_xlpm.LoanProductOptions,_xlpm.MarketTable,"Not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J57" s="970" cm="1">
        <f t="array" ref="J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Small",_xlpm.VerySmallMarketTable,#N/A)))),_xlpm.LoanProduct,J$26,_xlpm.LoanProductOptions,$BK$4:$BP$4,_xlpm.discountString,_xlfn.XLOOKUP(_xlpm.LoanProduct,_xlpm.LoanProductOptions,_xlpm.MarketTable,"Not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K57" s="970" cm="1">
        <f t="array" ref="K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Small",_xlpm.VerySmallMarketTable,#N/A)))),_xlpm.LoanProduct,K$26,_xlpm.LoanProductOptions,$BK$4:$BP$4,_xlpm.discountString,_xlfn.XLOOKUP(_xlpm.LoanProduct,_xlpm.LoanProductOptions,_xlpm.MarketTable,"Not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L57" s="970" cm="1">
        <f t="array" ref="L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Small",_xlpm.VerySmallMarketTable,#N/A)))),_xlpm.LoanProduct,L$26,_xlpm.LoanProductOptions,$BK$4:$BP$4,_xlpm.discountString,_xlfn.XLOOKUP(_xlpm.LoanProduct,_xlpm.LoanProductOptions,_xlpm.MarketTable,"Not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M57" s="970" cm="1">
        <f t="array" ref="M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Small",_xlpm.VerySmallMarketTable,#N/A)))),_xlpm.LoanProduct,M$26,_xlpm.LoanProductOptions,$BK$4:$BP$4,_xlpm.discountString,_xlfn.XLOOKUP(_xlpm.LoanProduct,_xlpm.LoanProductOptions,_xlpm.MarketTable,"Not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N57" s="970" cm="1">
        <f t="array" ref="N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Small",_xlpm.VerySmallMarketTable,#N/A)))),_xlpm.LoanProduct,N$26,_xlpm.LoanProductOptions,$BK$4:$BP$4,_xlpm.discountString,_xlfn.XLOOKUP(_xlpm.LoanProduct,_xlpm.LoanProductOptions,_xlpm.MarketTable,"Not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O57" s="970" cm="1">
        <f t="array" ref="O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Small",_xlpm.VerySmallMarketTable,#N/A)))),_xlpm.LoanProduct,O$26,_xlpm.LoanProductOptions,$BK$4:$BP$4,_xlpm.discountString,_xlfn.XLOOKUP(_xlpm.LoanProduct,_xlpm.LoanProductOptions,_xlpm.MarketTable,"Not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P57" s="970" cm="1">
        <f t="array" ref="P57">_xlfn.LET(_xlpm.IsAffordable,$B$25="Yes",_xlpm.Is80orMore,$B$26="Yes",_xlpm.MarketSize,$B$22,_xlpm.TopMarketTable,$BK$22:$BP$22,_xlpm.StdMarketTable,$BK$21:$BP$21,_xlpm.SmallMarketTable,$BK$64:$BP$64,_xlpm.VerySmallMarketTable,$BK$63:$BP$63,_xlpm.MarketTable,IF(_xlpm.MarketSize="Top",_xlpm.TopMarketTable,IF(_xlpm.MarketSize="Standard",_xlpm.StdMarketTable,IF(_xlpm.MarketSize="Small",_xlpm.SmallMarketTable,IF(_xlpm.MarketSize="Very Small",_xlpm.VerySmallMarketTable,#N/A)))),_xlpm.LoanProduct,P$26,_xlpm.LoanProductOptions,$BK$4:$BP$4,_xlpm.discountString,_xlfn.XLOOKUP(_xlpm.LoanProduct,_xlpm.LoanProductOptions,_xlpm.MarketTable,"Not Found",0),_xlpm.discountStringComment,"Returns a two-value delimited string formatted similar to '0 | -15' which means 0 bps for LessThan80, -15bps for AtOrAbove80",_xlpm.delimiterIndex,FIND("|",_xlpm.discountString),_xlpm.LessThan80Discount,VALUE(TRIM(LEFT(_xlpm.discountString,_xlpm.delimiterIndex-1))),_xlpm.AtOrAbove80Discount,VALUE(TRIM(MID(_xlpm.discountString,_xlpm.delimiterIndex+1,5))),_xlfn.IFERROR(IF(_xlpm.IsAffordable,IF(_xlpm.Is80orMore,_xlpm.AtOrAbove80Discount,_xlpm.LessThan80Discount)/10000,0),"Lookup Failed"))</f>
        <v>0</v>
      </c>
      <c r="Q57" s="961"/>
      <c r="R57" s="970">
        <f t="shared" si="70" ref="R57:Y57">_xlfn.LET(_xlpm.is_highly_affordable,$B$34="Yes",_xlpm.tier,R$39,_xlpm.is_5_50_units,AND(number_units&gt;=5,number_units&lt;=50),_xlpm.is_over_50_units,number_units&gt;50,_xlpm.loan_term_yrs,R$98,_xlpm.tier2_discount,-0.5%,_xlpm.tier3_discount,-0.5%,_xlpm.tier4_discount,-0.5%,_xlpm.is_high_needs_rural,$B$35="Yes",_xlpm.rural_discount,-0.1%,IF(AND(_xlpm.is_over_50_units,_xlpm.is_highly_affordable),IF(_xlpm.tier=2,_xlpm.tier2_discount,IF(_xlpm.tier=3,_xlpm.tier3_discount,_xlpm.tier4_discount)),0)+IF(AND(_xlpm.is_over_50_units,NOT(_xlpm.is_highly_affordable),_xlpm.is_high_needs_rural),_xlpm.rural_discount,0)+IF(AND(_xlpm.is_5_50_units,_xlpm.is_highly_affordable),IF(_xlpm.loan_term_yrs=5,-0.7%,-0.5%),0))</f>
        <v>0</v>
      </c>
      <c r="S57" s="970">
        <f t="shared" si="70"/>
        <v>0</v>
      </c>
      <c r="T57" s="970">
        <f t="shared" si="70"/>
        <v>0</v>
      </c>
      <c r="U57" s="970">
        <f t="shared" si="70"/>
        <v>0</v>
      </c>
      <c r="V57" s="970">
        <f t="shared" si="70"/>
        <v>0</v>
      </c>
      <c r="W57" s="970">
        <f t="shared" si="70"/>
        <v>0</v>
      </c>
      <c r="X57" s="970">
        <f t="shared" si="70"/>
        <v>0</v>
      </c>
      <c r="Y57" s="970">
        <f t="shared" si="70"/>
        <v>0</v>
      </c>
      <c r="Z57" s="966"/>
      <c r="AA57" s="979"/>
      <c r="AB57" s="979"/>
      <c r="AC57" s="979"/>
      <c r="AD57" s="979"/>
      <c r="AE57" s="979"/>
      <c r="AF57" s="979"/>
      <c r="AG57" s="979"/>
      <c r="AH57" s="979"/>
      <c r="AI57" s="961"/>
      <c r="AJ57" s="653" t="str">
        <f>INDEX(Boilerplate!$C$14:$C$18,MATCH(AK20,Boilerplate!$B$14:$B$18,0))</f>
        <v>Please select an answer for "Acquisition or Refinance" above.</v>
      </c>
      <c r="AK57" s="653"/>
      <c r="AL57" s="653"/>
      <c r="AM57" s="653"/>
      <c r="AN57" s="653"/>
      <c r="AO57" s="632"/>
      <c r="AP57" s="632"/>
      <c r="AQ57" s="632"/>
      <c r="AR57" s="632"/>
      <c r="AS57" s="632"/>
      <c r="AT57" s="632"/>
      <c r="AU57" s="632"/>
      <c r="AV57" s="632"/>
      <c r="AW57" s="632"/>
      <c r="AX57" s="632"/>
      <c r="AY57" s="632"/>
      <c r="AZ57" s="632"/>
      <c r="BA57" s="632"/>
      <c r="BB57" s="632"/>
      <c r="BC57" s="632"/>
      <c r="BD57" s="6"/>
      <c r="BE57" s="980" t="s">
        <v>885</v>
      </c>
      <c r="BF57" s="981" t="s">
        <v>868</v>
      </c>
      <c r="BG57" s="688"/>
      <c r="BH57" s="688"/>
      <c r="BI57" s="6"/>
      <c r="BJ57" s="711" t="s">
        <v>886</v>
      </c>
      <c r="BK57" s="712" t="s">
        <v>887</v>
      </c>
      <c r="BL57" s="712" t="s">
        <v>887</v>
      </c>
      <c r="BM57" s="712" t="s">
        <v>887</v>
      </c>
      <c r="BN57" s="712" t="s">
        <v>887</v>
      </c>
      <c r="BO57" s="712" t="s">
        <v>887</v>
      </c>
      <c r="BP57" s="713" t="s">
        <v>887</v>
      </c>
      <c r="BQ57" s="6"/>
      <c r="BR57" s="714"/>
      <c r="BS57" s="6"/>
      <c r="BT57" s="6"/>
      <c r="BU57" s="786"/>
      <c r="BV57" s="625"/>
      <c r="BW57" s="625"/>
      <c r="BX57" s="625"/>
      <c r="BY57" s="625"/>
      <c r="BZ57" s="625"/>
      <c r="CA57" s="625"/>
      <c r="CB57" s="625"/>
      <c r="CC57" s="625"/>
      <c r="CD57" s="625"/>
      <c r="CE57" s="625"/>
      <c r="CF57" s="625"/>
      <c r="CG57" s="625"/>
      <c r="CH57" s="625"/>
      <c r="CI57" s="625"/>
      <c r="CJ57" s="625"/>
      <c r="CK57" s="625"/>
      <c r="CL57" s="625"/>
      <c r="CM57" s="625"/>
      <c r="CN57" s="625"/>
      <c r="CO57" s="625"/>
      <c r="CP57" s="625"/>
      <c r="CQ57" s="625"/>
      <c r="CR57" s="625"/>
      <c r="CS57" s="625"/>
      <c r="CT57" s="625"/>
      <c r="CU57" s="625"/>
      <c r="CV57" s="625"/>
      <c r="CW57" s="625"/>
      <c r="CX57" s="625"/>
      <c r="CY57" s="625"/>
      <c r="CZ57" s="625"/>
      <c r="DA57" s="625"/>
      <c r="DB57" s="625"/>
      <c r="DC57" s="625"/>
      <c r="DD57" s="625"/>
      <c r="DE57" s="625"/>
      <c r="DF57" s="625"/>
      <c r="DG57" s="625"/>
      <c r="DH57" s="625"/>
      <c r="DI57" s="625"/>
      <c r="DJ57" s="625"/>
      <c r="DK57" s="625"/>
      <c r="DL57" s="625"/>
      <c r="DM57" s="625"/>
      <c r="DN57" s="625"/>
      <c r="DO57" s="625"/>
      <c r="DP57" s="625"/>
      <c r="DQ57" s="625"/>
      <c r="DR57" s="625"/>
      <c r="DS57" s="625"/>
      <c r="DT57" s="625"/>
      <c r="DU57" s="625"/>
      <c r="DV57" s="625"/>
      <c r="DW57" s="625"/>
      <c r="DX57" s="625"/>
      <c r="DY57" s="625"/>
      <c r="DZ57" s="625"/>
      <c r="EA57" s="625"/>
      <c r="EB57" s="625"/>
      <c r="EC57" s="625"/>
      <c r="ED57" s="625"/>
      <c r="EE57" s="625"/>
      <c r="EF57" s="625"/>
      <c r="EG57" s="625"/>
      <c r="EH57" s="625"/>
      <c r="EI57" s="625"/>
      <c r="EJ57" s="625"/>
      <c r="EK57" s="625"/>
      <c r="EL57" s="625"/>
      <c r="EM57" s="625"/>
      <c r="EN57" s="625"/>
      <c r="EO57" s="625"/>
      <c r="EP57" s="625"/>
      <c r="EQ57" s="625"/>
      <c r="ER57" s="625"/>
      <c r="ES57" s="625"/>
      <c r="ET57" s="625"/>
      <c r="EU57" s="625"/>
      <c r="EV57" s="625"/>
      <c r="EW57" s="625"/>
      <c r="EX57" s="625"/>
      <c r="EY57" s="625"/>
      <c r="EZ57" s="625"/>
      <c r="FA57" s="625"/>
      <c r="FB57" s="625"/>
      <c r="FC57" s="625"/>
    </row>
    <row r="58" ht="15" customHeight="1">
      <c r="A58" s="670" t="s">
        <v>6</v>
      </c>
      <c r="B58" s="982" t="s">
        <v>209</v>
      </c>
      <c r="C58" s="631"/>
      <c r="D58" s="983" t="s">
        <v>839</v>
      </c>
      <c r="E58" s="961">
        <f t="shared" si="71" ref="E58:P58">IF(E47="Standard Delivery",0,IF(E47="30-Days",0.04%,IF(E47="60-Days",0.08%,IF(E47="90-Days",0.13%,IF(E47="120-Days",0.18%,0.23%)))))</f>
        <v>0</v>
      </c>
      <c r="F58" s="961">
        <f t="shared" si="71"/>
        <v>0</v>
      </c>
      <c r="G58" s="961">
        <f t="shared" si="71"/>
        <v>0</v>
      </c>
      <c r="H58" s="961">
        <f t="shared" si="71"/>
        <v>0</v>
      </c>
      <c r="I58" s="961">
        <f t="shared" si="71"/>
        <v>0</v>
      </c>
      <c r="J58" s="961">
        <f t="shared" si="71"/>
        <v>0</v>
      </c>
      <c r="K58" s="961">
        <f t="shared" si="71"/>
        <v>0</v>
      </c>
      <c r="L58" s="961">
        <f t="shared" si="71"/>
        <v>0</v>
      </c>
      <c r="M58" s="961">
        <f t="shared" si="71"/>
        <v>0</v>
      </c>
      <c r="N58" s="961">
        <f t="shared" si="71"/>
        <v>0</v>
      </c>
      <c r="O58" s="961">
        <f t="shared" si="71"/>
        <v>0</v>
      </c>
      <c r="P58" s="961">
        <f t="shared" si="71"/>
        <v>0</v>
      </c>
      <c r="Q58" s="631"/>
      <c r="R58" s="961">
        <f t="shared" si="72" ref="R58:Y58">IF(OR(R$98=5,R$98=7),IF(R47="90 Days",0.07%,IF(R47="120 Days",0.12%,IF(R47="150 Days",0.18%,IF(R47="180 Days",0.23%,IF(R47="210 Days",0.29%,IF(R47="240 Days",0.31%,IF(R47="270 Days",0.35%,IF(R47="365 Days",0.46%,0)))))))),IF(R47="90 Days",0.04%,IF(R47="120 Days",0.09%,IF(R47="150 Days",0.13%,IF(R47="180 Days",0.18%,IF(R47="210 Days",0.24%,IF(R47="240 Days",0.26%,IF(R47="270 Days",0.3%,IF(R47="365 Days",0.41%,0)))))))))</f>
        <v>0</v>
      </c>
      <c r="S58" s="961">
        <f t="shared" si="72"/>
        <v>0</v>
      </c>
      <c r="T58" s="961">
        <f t="shared" si="72"/>
        <v>0</v>
      </c>
      <c r="U58" s="961">
        <f t="shared" si="72"/>
        <v>0</v>
      </c>
      <c r="V58" s="961">
        <f t="shared" si="72"/>
        <v>0</v>
      </c>
      <c r="W58" s="961">
        <f t="shared" si="72"/>
        <v>0</v>
      </c>
      <c r="X58" s="961">
        <f t="shared" si="72"/>
        <v>0</v>
      </c>
      <c r="Y58" s="961">
        <f t="shared" si="72"/>
        <v>0</v>
      </c>
      <c r="Z58" s="631"/>
      <c r="AA58" s="979"/>
      <c r="AB58" s="979"/>
      <c r="AC58" s="979"/>
      <c r="AD58" s="979"/>
      <c r="AE58" s="979"/>
      <c r="AF58" s="979"/>
      <c r="AG58" s="979"/>
      <c r="AH58" s="979"/>
      <c r="AI58" s="875"/>
      <c r="AJ58" s="972"/>
      <c r="AK58" s="972"/>
      <c r="AL58" s="972"/>
      <c r="AM58" s="972"/>
      <c r="AN58" s="972"/>
      <c r="AO58" s="632"/>
      <c r="AP58" s="632"/>
      <c r="AQ58" s="632"/>
      <c r="AR58" s="632"/>
      <c r="AS58" s="632"/>
      <c r="AT58" s="632"/>
      <c r="AU58" s="632"/>
      <c r="AV58" s="632"/>
      <c r="AW58" s="632"/>
      <c r="AX58" s="632"/>
      <c r="AY58" s="632"/>
      <c r="AZ58" s="632"/>
      <c r="BA58" s="632"/>
      <c r="BB58" s="632"/>
      <c r="BC58" s="632"/>
      <c r="BD58" s="6"/>
      <c r="BE58" s="980" t="s">
        <v>888</v>
      </c>
      <c r="BF58" s="984">
        <v>0.055</v>
      </c>
      <c r="BG58" s="688"/>
      <c r="BH58" s="688"/>
      <c r="BI58" s="6"/>
      <c r="BJ58" s="928" t="s">
        <v>678</v>
      </c>
      <c r="BK58" s="704"/>
      <c r="BL58" s="704"/>
      <c r="BM58" s="704"/>
      <c r="BN58" s="704"/>
      <c r="BO58" s="704"/>
      <c r="BP58" s="705"/>
      <c r="BQ58" s="6"/>
      <c r="BR58" s="714"/>
      <c r="BS58" s="6"/>
      <c r="BT58" s="6"/>
      <c r="BU58" s="786"/>
      <c r="BV58" s="625"/>
      <c r="BW58" s="625"/>
      <c r="BX58" s="625"/>
      <c r="BY58" s="625"/>
      <c r="BZ58" s="625"/>
      <c r="CA58" s="625"/>
      <c r="CB58" s="625"/>
      <c r="CC58" s="625"/>
      <c r="CD58" s="625"/>
      <c r="CE58" s="625"/>
      <c r="CF58" s="625"/>
      <c r="CG58" s="625"/>
      <c r="CH58" s="625"/>
      <c r="CI58" s="625"/>
      <c r="CJ58" s="625"/>
      <c r="CK58" s="625"/>
      <c r="CL58" s="625"/>
      <c r="CM58" s="625"/>
      <c r="CN58" s="625"/>
      <c r="CO58" s="625"/>
      <c r="CP58" s="625"/>
      <c r="CQ58" s="625"/>
      <c r="CR58" s="625"/>
      <c r="CS58" s="625"/>
      <c r="CT58" s="625"/>
      <c r="CU58" s="625"/>
      <c r="CV58" s="625"/>
      <c r="CW58" s="625"/>
      <c r="CX58" s="625"/>
      <c r="CY58" s="625"/>
      <c r="CZ58" s="625"/>
      <c r="DA58" s="625"/>
      <c r="DB58" s="625"/>
      <c r="DC58" s="625"/>
      <c r="DD58" s="625"/>
      <c r="DE58" s="625"/>
      <c r="DF58" s="625"/>
      <c r="DG58" s="625"/>
      <c r="DH58" s="625"/>
      <c r="DI58" s="625"/>
      <c r="DJ58" s="625"/>
      <c r="DK58" s="625"/>
      <c r="DL58" s="625"/>
      <c r="DM58" s="625"/>
      <c r="DN58" s="625"/>
      <c r="DO58" s="625"/>
      <c r="DP58" s="625"/>
      <c r="DQ58" s="625"/>
      <c r="DR58" s="625"/>
      <c r="DS58" s="625"/>
      <c r="DT58" s="625"/>
      <c r="DU58" s="625"/>
      <c r="DV58" s="625"/>
      <c r="DW58" s="625"/>
      <c r="DX58" s="625"/>
      <c r="DY58" s="625"/>
      <c r="DZ58" s="625"/>
      <c r="EA58" s="625"/>
      <c r="EB58" s="625"/>
      <c r="EC58" s="625"/>
      <c r="ED58" s="625"/>
      <c r="EE58" s="625"/>
      <c r="EF58" s="625"/>
      <c r="EG58" s="625"/>
      <c r="EH58" s="625"/>
      <c r="EI58" s="625"/>
      <c r="EJ58" s="625"/>
      <c r="EK58" s="625"/>
      <c r="EL58" s="625"/>
      <c r="EM58" s="625"/>
      <c r="EN58" s="625"/>
      <c r="EO58" s="625"/>
      <c r="EP58" s="625"/>
      <c r="EQ58" s="625"/>
      <c r="ER58" s="625"/>
      <c r="ES58" s="625"/>
      <c r="ET58" s="625"/>
      <c r="EU58" s="625"/>
      <c r="EV58" s="625"/>
      <c r="EW58" s="625"/>
      <c r="EX58" s="625"/>
      <c r="EY58" s="625"/>
      <c r="EZ58" s="625"/>
      <c r="FA58" s="625"/>
      <c r="FB58" s="625"/>
      <c r="FC58" s="625"/>
    </row>
    <row r="59" ht="15" customHeight="1">
      <c r="A59" s="631"/>
      <c r="B59" s="985" t="str">
        <f>_xlfn.XLOOKUP(ProducerName,DropDowns_ProducerNames,Dropdowns_ProducerContactInfo,"Not found")</f>
        <v>Select Producer Above</v>
      </c>
      <c r="C59" s="631"/>
      <c r="D59" s="969" t="s">
        <v>890</v>
      </c>
      <c r="E59" s="970">
        <f t="shared" si="73" ref="E59:P59">IF(E40="--",0,IF(E40&gt;=1.5+$B$23,-0.16%,IF(AND(E40&gt;=1.4+$B$23,E40&lt;1.5+$B$23),-0.12%,IF(AND(E40&gt;=1.3+$B$23,E40&lt;1.4+$B$23),-0.06%,0%))))</f>
        <v>0</v>
      </c>
      <c r="F59" s="970">
        <f t="shared" si="73"/>
        <v>0</v>
      </c>
      <c r="G59" s="970">
        <f t="shared" si="73"/>
        <v>0</v>
      </c>
      <c r="H59" s="970">
        <f t="shared" si="73"/>
        <v>0</v>
      </c>
      <c r="I59" s="970">
        <f t="shared" si="73"/>
        <v>0</v>
      </c>
      <c r="J59" s="970">
        <f t="shared" si="73"/>
        <v>0</v>
      </c>
      <c r="K59" s="970">
        <f t="shared" si="73"/>
        <v>0</v>
      </c>
      <c r="L59" s="970">
        <f t="shared" si="73"/>
        <v>0</v>
      </c>
      <c r="M59" s="970">
        <f t="shared" si="73"/>
        <v>0</v>
      </c>
      <c r="N59" s="970">
        <f t="shared" si="73"/>
        <v>0</v>
      </c>
      <c r="O59" s="970">
        <f t="shared" si="73"/>
        <v>0</v>
      </c>
      <c r="P59" s="970">
        <f t="shared" si="73"/>
        <v>0</v>
      </c>
      <c r="Q59" s="631"/>
      <c r="R59" s="966"/>
      <c r="S59" s="631"/>
      <c r="T59" s="631"/>
      <c r="U59" s="631"/>
      <c r="V59" s="631"/>
      <c r="W59" s="631"/>
      <c r="X59" s="631"/>
      <c r="Y59" s="631"/>
      <c r="Z59" s="631"/>
      <c r="AA59" s="966"/>
      <c r="AB59" s="631"/>
      <c r="AC59" s="631"/>
      <c r="AD59" s="631"/>
      <c r="AE59" s="631"/>
      <c r="AF59" s="631"/>
      <c r="AG59" s="631"/>
      <c r="AH59" s="631"/>
      <c r="AI59" s="875"/>
      <c r="AJ59" s="972"/>
      <c r="AK59" s="972"/>
      <c r="AL59" s="972"/>
      <c r="AM59" s="972"/>
      <c r="AN59" s="972"/>
      <c r="AO59" s="632"/>
      <c r="AP59" s="632"/>
      <c r="AQ59" s="632"/>
      <c r="AR59" s="632"/>
      <c r="AS59" s="632"/>
      <c r="AT59" s="632"/>
      <c r="AU59" s="632"/>
      <c r="AV59" s="632"/>
      <c r="AW59" s="632"/>
      <c r="AX59" s="632"/>
      <c r="AY59" s="632"/>
      <c r="AZ59" s="632"/>
      <c r="BA59" s="632"/>
      <c r="BB59" s="632"/>
      <c r="BC59" s="632"/>
      <c r="BD59" s="6"/>
      <c r="BE59" s="986" t="s">
        <v>891</v>
      </c>
      <c r="BF59" s="987" t="s">
        <v>868</v>
      </c>
      <c r="BG59" s="688"/>
      <c r="BH59" s="688"/>
      <c r="BI59" s="6"/>
      <c r="BJ59" s="720" t="s">
        <v>892</v>
      </c>
      <c r="BK59" s="789">
        <v>0.07</v>
      </c>
      <c r="BL59" s="789">
        <v>0.0685</v>
      </c>
      <c r="BM59" s="789">
        <v>0.0708</v>
      </c>
      <c r="BN59" s="789">
        <v>0.0675</v>
      </c>
      <c r="BO59" s="789">
        <v>0.0685</v>
      </c>
      <c r="BP59" s="790">
        <v>0.0693</v>
      </c>
      <c r="BQ59" s="6"/>
      <c r="BR59" s="714"/>
      <c r="BS59" s="6"/>
      <c r="BT59" s="6"/>
      <c r="BU59" s="786"/>
      <c r="BV59" s="625"/>
      <c r="BW59" s="625"/>
      <c r="BX59" s="625"/>
      <c r="BY59" s="625"/>
      <c r="BZ59" s="625"/>
      <c r="CA59" s="625"/>
      <c r="CB59" s="625"/>
      <c r="CC59" s="625"/>
      <c r="CD59" s="625"/>
      <c r="CE59" s="625"/>
      <c r="CF59" s="625"/>
      <c r="CG59" s="625"/>
      <c r="CH59" s="625"/>
      <c r="CI59" s="625"/>
      <c r="CJ59" s="625"/>
      <c r="CK59" s="625"/>
      <c r="CL59" s="625"/>
      <c r="CM59" s="625"/>
      <c r="CN59" s="625"/>
      <c r="CO59" s="625"/>
      <c r="CP59" s="625"/>
      <c r="CQ59" s="625"/>
      <c r="CR59" s="625"/>
      <c r="CS59" s="625"/>
      <c r="CT59" s="625"/>
      <c r="CU59" s="625"/>
      <c r="CV59" s="625"/>
      <c r="CW59" s="625"/>
      <c r="CX59" s="625"/>
      <c r="CY59" s="625"/>
      <c r="CZ59" s="625"/>
      <c r="DA59" s="625"/>
      <c r="DB59" s="625"/>
      <c r="DC59" s="625"/>
      <c r="DD59" s="625"/>
      <c r="DE59" s="625"/>
      <c r="DF59" s="625"/>
      <c r="DG59" s="625"/>
      <c r="DH59" s="625"/>
      <c r="DI59" s="625"/>
      <c r="DJ59" s="625"/>
      <c r="DK59" s="625"/>
      <c r="DL59" s="625"/>
      <c r="DM59" s="625"/>
      <c r="DN59" s="625"/>
      <c r="DO59" s="625"/>
      <c r="DP59" s="625"/>
      <c r="DQ59" s="625"/>
      <c r="DR59" s="625"/>
      <c r="DS59" s="625"/>
      <c r="DT59" s="625"/>
      <c r="DU59" s="625"/>
      <c r="DV59" s="625"/>
      <c r="DW59" s="625"/>
      <c r="DX59" s="625"/>
      <c r="DY59" s="625"/>
      <c r="DZ59" s="625"/>
      <c r="EA59" s="625"/>
      <c r="EB59" s="625"/>
      <c r="EC59" s="625"/>
      <c r="ED59" s="625"/>
      <c r="EE59" s="625"/>
      <c r="EF59" s="625"/>
      <c r="EG59" s="625"/>
      <c r="EH59" s="625"/>
      <c r="EI59" s="625"/>
      <c r="EJ59" s="625"/>
      <c r="EK59" s="625"/>
      <c r="EL59" s="625"/>
      <c r="EM59" s="625"/>
      <c r="EN59" s="625"/>
      <c r="EO59" s="625"/>
      <c r="EP59" s="625"/>
      <c r="EQ59" s="625"/>
      <c r="ER59" s="625"/>
      <c r="ES59" s="625"/>
      <c r="ET59" s="625"/>
      <c r="EU59" s="625"/>
      <c r="EV59" s="625"/>
      <c r="EW59" s="625"/>
      <c r="EX59" s="625"/>
      <c r="EY59" s="625"/>
      <c r="EZ59" s="625"/>
      <c r="FA59" s="625"/>
      <c r="FB59" s="625"/>
      <c r="FC59" s="625"/>
    </row>
    <row r="60" ht="15" customHeight="1">
      <c r="A60" s="631"/>
      <c r="B60" s="988"/>
      <c r="C60" s="631"/>
      <c r="D60" s="835" t="s">
        <v>893</v>
      </c>
      <c r="E60" s="961">
        <f t="shared" si="74" ref="E60:P60">IF(OR($B$22="Top",$B$22="Standard"),IF(E41&lt;=55%,-0.12%,IF(E41&lt;=65%,-0.08%,IF(E41&lt;=70%,-0.04%,0))),IF(AND(OR($B$22="Small",$B$22="Very Small"),$B$38="Acquisition"),IF(E41&lt;=50%,-0.12%,IF(E41&lt;=60%,-0.08%,IF(E41&lt;=65%,-0.04%,0))),IF(E41&lt;=45%,-0.12%,IF(E41&lt;=55%,-0.08%,IF(E41&lt;=60%,-0.04%,0)))))</f>
        <v>-0.0012</v>
      </c>
      <c r="F60" s="961">
        <f t="shared" si="74"/>
        <v>-0.0012</v>
      </c>
      <c r="G60" s="961">
        <f t="shared" si="74"/>
        <v>-0.0012</v>
      </c>
      <c r="H60" s="961">
        <f t="shared" si="74"/>
        <v>-0.0012</v>
      </c>
      <c r="I60" s="961">
        <f t="shared" si="74"/>
        <v>-0.0012</v>
      </c>
      <c r="J60" s="961">
        <f t="shared" si="74"/>
        <v>-0.0012</v>
      </c>
      <c r="K60" s="961">
        <f t="shared" si="74"/>
        <v>-0.0012</v>
      </c>
      <c r="L60" s="961">
        <f t="shared" si="74"/>
        <v>-0.0012</v>
      </c>
      <c r="M60" s="961">
        <f t="shared" si="74"/>
        <v>-0.0012</v>
      </c>
      <c r="N60" s="961">
        <f t="shared" si="74"/>
        <v>-0.0012</v>
      </c>
      <c r="O60" s="961">
        <f t="shared" si="74"/>
        <v>-0.0012</v>
      </c>
      <c r="P60" s="961">
        <f t="shared" si="74"/>
        <v>-0.0012</v>
      </c>
      <c r="Q60" s="631"/>
      <c r="R60" s="961" cm="1">
        <f t="array" ref="R60">_xlfn.LET(_xlpm.comment,"Tier-2 Fixed over $6MM, 5/7 years, 65% max LTV",_xlpm.term,R$98,_xlpm.is_tier_2,R$39=2,_xlpm.is_fixed_rate,RIGHT(R$26,5)="Fixed",_xlpm.loan_amount,MIN(R$25,R$30),_xlpm.ltv,R$41,IF(NOT(AND(_xlpm.loan_amount&gt;6000000,_xlpm.is_tier_2,_xlpm.is_fixed_rate,_xlpm.ltv&lt;=65%)),0,_xlfn.IFS(AND(_xlpm.term&gt;=7,_xlpm.term&lt;10),-0.11%,AND(_xlpm.term&gt;=5,_xlpm.term&lt;7),-0.34%,TRUE,0)))</f>
        <v>0</v>
      </c>
      <c r="S60" s="961" cm="1">
        <f t="array" ref="S60">_xlfn.LET(_xlpm.comment,"Tier-2 Fixed over $6MM, 5/7 years, 65% max LTV",_xlpm.term,S$98,_xlpm.is_tier_2,S$39=2,_xlpm.is_fixed_rate,RIGHT(S$26,5)="Fixed",_xlpm.loan_amount,MIN(S$25,S$30),_xlpm.ltv,S$41,IF(NOT(AND(_xlpm.loan_amount&gt;6000000,_xlpm.is_tier_2,_xlpm.is_fixed_rate,_xlpm.ltv&lt;=65%)),0,_xlfn.IFS(AND(_xlpm.term&gt;=7,_xlpm.term&lt;10),-0.11%,AND(_xlpm.term&gt;=5,_xlpm.term&lt;7),-0.34%,TRUE,0)))</f>
        <v>0</v>
      </c>
      <c r="T60" s="961" cm="1">
        <f t="array" ref="T60">_xlfn.LET(_xlpm.comment,"Tier-2 Fixed over $6MM, 5/7 years, 65% max LTV",_xlpm.term,T$98,_xlpm.is_tier_2,T$39=2,_xlpm.is_fixed_rate,RIGHT(T$26,5)="Fixed",_xlpm.loan_amount,MIN(T$25,T$30),_xlpm.ltv,T$41,IF(NOT(AND(_xlpm.loan_amount&gt;6000000,_xlpm.is_tier_2,_xlpm.is_fixed_rate,_xlpm.ltv&lt;=65%)),0,_xlfn.IFS(AND(_xlpm.term&gt;=7,_xlpm.term&lt;10),-0.11%,AND(_xlpm.term&gt;=5,_xlpm.term&lt;7),-0.34%,TRUE,0)))</f>
        <v>0</v>
      </c>
      <c r="U60" s="961" cm="1">
        <f t="array" ref="U60">_xlfn.LET(_xlpm.comment,"Tier-2 Fixed over $6MM, 5/7 years, 65% max LTV",_xlpm.term,U$98,_xlpm.is_tier_2,U$39=2,_xlpm.is_fixed_rate,RIGHT(U$26,5)="Fixed",_xlpm.loan_amount,MIN(U$25,U$30),_xlpm.ltv,U$41,IF(NOT(AND(_xlpm.loan_amount&gt;6000000,_xlpm.is_tier_2,_xlpm.is_fixed_rate,_xlpm.ltv&lt;=65%)),0,_xlfn.IFS(AND(_xlpm.term&gt;=7,_xlpm.term&lt;10),-0.11%,AND(_xlpm.term&gt;=5,_xlpm.term&lt;7),-0.34%,TRUE,0)))</f>
        <v>0</v>
      </c>
      <c r="V60" s="961" cm="1">
        <f t="array" ref="V60">_xlfn.LET(_xlpm.comment,"Tier-2 Fixed over $6MM, 5/7 years, 65% max LTV",_xlpm.term,V$98,_xlpm.is_tier_2,V$39=2,_xlpm.is_fixed_rate,RIGHT(V$26,5)="Fixed",_xlpm.loan_amount,MIN(V$25,V$30),_xlpm.ltv,V$41,IF(NOT(AND(_xlpm.loan_amount&gt;6000000,_xlpm.is_tier_2,_xlpm.is_fixed_rate,_xlpm.ltv&lt;=65%)),0,_xlfn.IFS(AND(_xlpm.term&gt;=7,_xlpm.term&lt;10),-0.11%,AND(_xlpm.term&gt;=5,_xlpm.term&lt;7),-0.34%,TRUE,0)))</f>
        <v>0</v>
      </c>
      <c r="W60" s="961" cm="1">
        <f t="array" ref="W60">_xlfn.LET(_xlpm.comment,"Tier-2 Fixed over $6MM, 5/7 years, 65% max LTV",_xlpm.term,W$98,_xlpm.is_tier_2,W$39=2,_xlpm.is_fixed_rate,RIGHT(W$26,5)="Fixed",_xlpm.loan_amount,MIN(W$25,W$30),_xlpm.ltv,W$41,IF(NOT(AND(_xlpm.loan_amount&gt;6000000,_xlpm.is_tier_2,_xlpm.is_fixed_rate,_xlpm.ltv&lt;=65%)),0,_xlfn.IFS(AND(_xlpm.term&gt;=7,_xlpm.term&lt;10),-0.11%,AND(_xlpm.term&gt;=5,_xlpm.term&lt;7),-0.34%,TRUE,0)))</f>
        <v>0</v>
      </c>
      <c r="X60" s="961" cm="1">
        <f t="array" ref="X60">_xlfn.LET(_xlpm.comment,"Tier-2 Fixed over $6MM, 5/7 years, 65% max LTV",_xlpm.term,X$98,_xlpm.is_tier_2,X$39=2,_xlpm.is_fixed_rate,RIGHT(X$26,5)="Fixed",_xlpm.loan_amount,MIN(X$25,X$30),_xlpm.ltv,X$41,IF(NOT(AND(_xlpm.loan_amount&gt;6000000,_xlpm.is_tier_2,_xlpm.is_fixed_rate,_xlpm.ltv&lt;=65%)),0,_xlfn.IFS(AND(_xlpm.term&gt;=7,_xlpm.term&lt;10),-0.11%,AND(_xlpm.term&gt;=5,_xlpm.term&lt;7),-0.34%,TRUE,0)))</f>
        <v>0</v>
      </c>
      <c r="Y60" s="961" cm="1">
        <f t="array" ref="Y60">_xlfn.LET(_xlpm.comment,"Tier-2 Fixed over $6MM, 5/7 years, 65% max LTV",_xlpm.term,Y$98,_xlpm.is_tier_2,Y$39=2,_xlpm.is_fixed_rate,RIGHT(Y$26,5)="Fixed",_xlpm.loan_amount,MIN(Y$25,Y$30),_xlpm.ltv,Y$41,IF(NOT(AND(_xlpm.loan_amount&gt;6000000,_xlpm.is_tier_2,_xlpm.is_fixed_rate,_xlpm.ltv&lt;=65%)),0,_xlfn.IFS(AND(_xlpm.term&gt;=7,_xlpm.term&lt;10),-0.11%,AND(_xlpm.term&gt;=5,_xlpm.term&lt;7),-0.34%,TRUE,0)))</f>
        <v>0</v>
      </c>
      <c r="Z60" s="631"/>
      <c r="AA60" s="966"/>
      <c r="AB60" s="631"/>
      <c r="AC60" s="631"/>
      <c r="AD60" s="631"/>
      <c r="AE60" s="631"/>
      <c r="AF60" s="631"/>
      <c r="AG60" s="631"/>
      <c r="AH60" s="631"/>
      <c r="AI60" s="875"/>
      <c r="AJ60" s="989" t="s">
        <v>894</v>
      </c>
      <c r="AK60" s="989"/>
      <c r="AL60" s="989"/>
      <c r="AM60" s="989"/>
      <c r="AN60" s="989"/>
      <c r="AO60" s="632"/>
      <c r="AP60" s="632"/>
      <c r="AQ60" s="632"/>
      <c r="AR60" s="632"/>
      <c r="AS60" s="632"/>
      <c r="AT60" s="632"/>
      <c r="AU60" s="632"/>
      <c r="AV60" s="632"/>
      <c r="AW60" s="632"/>
      <c r="AX60" s="632"/>
      <c r="AY60" s="632"/>
      <c r="AZ60" s="632"/>
      <c r="BA60" s="632"/>
      <c r="BB60" s="632"/>
      <c r="BC60" s="632"/>
      <c r="BD60" s="6"/>
      <c r="BE60" s="990" t="s">
        <v>895</v>
      </c>
      <c r="BF60" s="991">
        <v>0.05</v>
      </c>
      <c r="BG60" s="688"/>
      <c r="BH60" s="688"/>
      <c r="BI60" s="6"/>
      <c r="BJ60" s="711" t="s">
        <v>896</v>
      </c>
      <c r="BK60" s="801">
        <v>0.0695</v>
      </c>
      <c r="BL60" s="801">
        <v>0.068</v>
      </c>
      <c r="BM60" s="801">
        <v>0.0703</v>
      </c>
      <c r="BN60" s="801">
        <v>0.067</v>
      </c>
      <c r="BO60" s="801">
        <v>0.068</v>
      </c>
      <c r="BP60" s="802">
        <v>0.0688</v>
      </c>
      <c r="BQ60" s="6"/>
      <c r="BR60" s="714"/>
      <c r="BS60" s="6"/>
      <c r="BT60" s="6"/>
      <c r="BU60" s="786"/>
      <c r="BV60" s="625"/>
      <c r="BW60" s="625"/>
      <c r="BX60" s="625"/>
      <c r="BY60" s="625"/>
      <c r="BZ60" s="625"/>
      <c r="CA60" s="625"/>
      <c r="CB60" s="625"/>
      <c r="CC60" s="625"/>
      <c r="CD60" s="625"/>
      <c r="CE60" s="625"/>
      <c r="CF60" s="625"/>
      <c r="CG60" s="625"/>
      <c r="CH60" s="625"/>
      <c r="CI60" s="625"/>
      <c r="CJ60" s="625"/>
      <c r="CK60" s="625"/>
      <c r="CL60" s="625"/>
      <c r="CM60" s="625"/>
      <c r="CN60" s="625"/>
      <c r="CO60" s="625"/>
      <c r="CP60" s="625"/>
      <c r="CQ60" s="625"/>
      <c r="CR60" s="625"/>
      <c r="CS60" s="625"/>
      <c r="CT60" s="625"/>
      <c r="CU60" s="625"/>
      <c r="CV60" s="625"/>
      <c r="CW60" s="625"/>
      <c r="CX60" s="625"/>
      <c r="CY60" s="625"/>
      <c r="CZ60" s="625"/>
      <c r="DA60" s="625"/>
      <c r="DB60" s="625"/>
      <c r="DC60" s="625"/>
      <c r="DD60" s="625"/>
      <c r="DE60" s="625"/>
      <c r="DF60" s="625"/>
      <c r="DG60" s="625"/>
      <c r="DH60" s="625"/>
      <c r="DI60" s="625"/>
      <c r="DJ60" s="625"/>
      <c r="DK60" s="625"/>
      <c r="DL60" s="625"/>
      <c r="DM60" s="625"/>
      <c r="DN60" s="625"/>
      <c r="DO60" s="625"/>
      <c r="DP60" s="625"/>
      <c r="DQ60" s="625"/>
      <c r="DR60" s="625"/>
      <c r="DS60" s="625"/>
      <c r="DT60" s="625"/>
      <c r="DU60" s="625"/>
      <c r="DV60" s="625"/>
      <c r="DW60" s="625"/>
      <c r="DX60" s="625"/>
      <c r="DY60" s="625"/>
      <c r="DZ60" s="625"/>
      <c r="EA60" s="625"/>
      <c r="EB60" s="625"/>
      <c r="EC60" s="625"/>
      <c r="ED60" s="625"/>
      <c r="EE60" s="625"/>
      <c r="EF60" s="625"/>
      <c r="EG60" s="625"/>
      <c r="EH60" s="625"/>
      <c r="EI60" s="625"/>
      <c r="EJ60" s="625"/>
      <c r="EK60" s="625"/>
      <c r="EL60" s="625"/>
      <c r="EM60" s="625"/>
      <c r="EN60" s="625"/>
      <c r="EO60" s="625"/>
      <c r="EP60" s="625"/>
      <c r="EQ60" s="625"/>
      <c r="ER60" s="625"/>
      <c r="ES60" s="625"/>
      <c r="ET60" s="625"/>
      <c r="EU60" s="625"/>
      <c r="EV60" s="625"/>
      <c r="EW60" s="625"/>
      <c r="EX60" s="625"/>
      <c r="EY60" s="625"/>
      <c r="EZ60" s="625"/>
      <c r="FA60" s="625"/>
      <c r="FB60" s="625"/>
      <c r="FC60" s="625"/>
    </row>
    <row r="61" ht="15" customHeight="1">
      <c r="A61" s="670"/>
      <c r="B61" s="988"/>
      <c r="C61" s="631"/>
      <c r="D61" s="992" t="s">
        <v>897</v>
      </c>
      <c r="E61" s="970">
        <f t="shared" si="75" ref="E61:P61">_xlfn.LET(_xlpm.HasRegulatoryAgreement,$B$24="Yes",_xlpm.FreddieMktTier,$B$22,IF(AND(_xlpm.HasRegulatoryAgreement,OR(_xlpm.FreddieMktTier="Top",_xlpm.FreddieMktTier="Standard")),0.1%,IF(AND(_xlpm.HasRegulatoryAgreement,_xlpm.FreddieMktTier="Small"),0.15%,IF(AND(_xlpm.HasRegulatoryAgreement,_xlpm.FreddieMktTier="Very Small"),0.25%,0))))</f>
        <v>0</v>
      </c>
      <c r="F61" s="970">
        <f t="shared" si="75"/>
        <v>0</v>
      </c>
      <c r="G61" s="970">
        <f t="shared" si="75"/>
        <v>0</v>
      </c>
      <c r="H61" s="970">
        <f t="shared" si="75"/>
        <v>0</v>
      </c>
      <c r="I61" s="970">
        <f t="shared" si="75"/>
        <v>0</v>
      </c>
      <c r="J61" s="970">
        <f t="shared" si="75"/>
        <v>0</v>
      </c>
      <c r="K61" s="970">
        <f t="shared" si="75"/>
        <v>0</v>
      </c>
      <c r="L61" s="970">
        <f t="shared" si="75"/>
        <v>0</v>
      </c>
      <c r="M61" s="970">
        <f t="shared" si="75"/>
        <v>0</v>
      </c>
      <c r="N61" s="970">
        <f t="shared" si="75"/>
        <v>0</v>
      </c>
      <c r="O61" s="970">
        <f t="shared" si="75"/>
        <v>0</v>
      </c>
      <c r="P61" s="970">
        <f t="shared" si="75"/>
        <v>0</v>
      </c>
      <c r="Q61" s="631"/>
      <c r="R61" s="631"/>
      <c r="S61" s="993"/>
      <c r="T61" s="631"/>
      <c r="U61" s="993"/>
      <c r="V61" s="631"/>
      <c r="W61" s="993"/>
      <c r="X61" s="631"/>
      <c r="Y61" s="993"/>
      <c r="Z61" s="631"/>
      <c r="AA61" s="631"/>
      <c r="AB61" s="993"/>
      <c r="AC61" s="631"/>
      <c r="AD61" s="993"/>
      <c r="AE61" s="631"/>
      <c r="AF61" s="993"/>
      <c r="AG61" s="631"/>
      <c r="AH61" s="993"/>
      <c r="AI61" s="875"/>
      <c r="AJ61" s="989"/>
      <c r="AK61" s="989"/>
      <c r="AL61" s="989"/>
      <c r="AM61" s="989"/>
      <c r="AN61" s="989"/>
      <c r="AO61" s="632"/>
      <c r="AP61" s="632"/>
      <c r="AQ61" s="632"/>
      <c r="AR61" s="632"/>
      <c r="AS61" s="632"/>
      <c r="AT61" s="632"/>
      <c r="AU61" s="994" t="s">
        <v>898</v>
      </c>
      <c r="AV61" s="995"/>
      <c r="AW61" s="996" t="s">
        <v>453</v>
      </c>
      <c r="AX61" s="996" t="s">
        <v>899</v>
      </c>
      <c r="AY61" s="996"/>
      <c r="AZ61" s="996" t="s">
        <v>639</v>
      </c>
      <c r="BA61" s="996" t="s">
        <v>640</v>
      </c>
      <c r="BB61" s="997"/>
      <c r="BC61" s="997"/>
      <c r="BD61" s="6"/>
      <c r="BE61" s="6"/>
      <c r="BF61" s="6"/>
      <c r="BG61" s="688"/>
      <c r="BH61" s="688"/>
      <c r="BI61" s="6"/>
      <c r="BJ61" s="928" t="s">
        <v>698</v>
      </c>
      <c r="BK61" s="704"/>
      <c r="BL61" s="704"/>
      <c r="BM61" s="704"/>
      <c r="BN61" s="704"/>
      <c r="BO61" s="704"/>
      <c r="BP61" s="705"/>
      <c r="BQ61" s="6"/>
      <c r="BR61" s="714"/>
      <c r="BS61" s="6"/>
      <c r="BT61" s="6"/>
      <c r="BU61" s="786"/>
      <c r="BV61" s="625"/>
      <c r="BW61" s="625"/>
      <c r="BX61" s="625"/>
      <c r="BY61" s="625"/>
      <c r="BZ61" s="625"/>
      <c r="CA61" s="625"/>
      <c r="CB61" s="625"/>
      <c r="CC61" s="625"/>
      <c r="CD61" s="625"/>
      <c r="CE61" s="625"/>
      <c r="CF61" s="625"/>
      <c r="CG61" s="625"/>
      <c r="CH61" s="625"/>
      <c r="CI61" s="625"/>
      <c r="CJ61" s="625"/>
      <c r="CK61" s="625"/>
      <c r="CL61" s="625"/>
      <c r="CM61" s="625"/>
      <c r="CN61" s="625"/>
      <c r="CO61" s="625"/>
      <c r="CP61" s="625"/>
      <c r="CQ61" s="625"/>
      <c r="CR61" s="625"/>
      <c r="CS61" s="625"/>
      <c r="CT61" s="625"/>
      <c r="CU61" s="625"/>
      <c r="CV61" s="625"/>
      <c r="CW61" s="625"/>
      <c r="CX61" s="625"/>
      <c r="CY61" s="625"/>
      <c r="CZ61" s="625"/>
      <c r="DA61" s="625"/>
      <c r="DB61" s="625"/>
      <c r="DC61" s="625"/>
      <c r="DD61" s="625"/>
      <c r="DE61" s="625"/>
      <c r="DF61" s="625"/>
      <c r="DG61" s="625"/>
      <c r="DH61" s="625"/>
      <c r="DI61" s="625"/>
      <c r="DJ61" s="625"/>
      <c r="DK61" s="625"/>
      <c r="DL61" s="625"/>
      <c r="DM61" s="625"/>
      <c r="DN61" s="625"/>
      <c r="DO61" s="625"/>
      <c r="DP61" s="625"/>
      <c r="DQ61" s="625"/>
      <c r="DR61" s="625"/>
      <c r="DS61" s="625"/>
      <c r="DT61" s="625"/>
      <c r="DU61" s="625"/>
      <c r="DV61" s="625"/>
      <c r="DW61" s="625"/>
      <c r="DX61" s="625"/>
      <c r="DY61" s="625"/>
      <c r="DZ61" s="625"/>
      <c r="EA61" s="625"/>
      <c r="EB61" s="625"/>
      <c r="EC61" s="625"/>
      <c r="ED61" s="625"/>
      <c r="EE61" s="625"/>
      <c r="EF61" s="625"/>
      <c r="EG61" s="625"/>
      <c r="EH61" s="625"/>
      <c r="EI61" s="625"/>
      <c r="EJ61" s="625"/>
      <c r="EK61" s="625"/>
      <c r="EL61" s="625"/>
      <c r="EM61" s="625"/>
      <c r="EN61" s="625"/>
      <c r="EO61" s="625"/>
      <c r="EP61" s="625"/>
      <c r="EQ61" s="625"/>
      <c r="ER61" s="625"/>
      <c r="ES61" s="625"/>
      <c r="ET61" s="625"/>
      <c r="EU61" s="625"/>
      <c r="EV61" s="625"/>
      <c r="EW61" s="625"/>
      <c r="EX61" s="625"/>
      <c r="EY61" s="625"/>
      <c r="EZ61" s="625"/>
      <c r="FA61" s="625"/>
      <c r="FB61" s="625"/>
      <c r="FC61" s="625"/>
    </row>
    <row r="62" ht="15" customHeight="1">
      <c r="A62" s="670"/>
      <c r="B62" s="988"/>
      <c r="C62" s="631"/>
      <c r="D62" s="872" t="s">
        <v>900</v>
      </c>
      <c r="E62" s="961" cm="1">
        <f t="array" ref="E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Small"),_xlpm.SmallVerySmallMarketTable,#N/A)),_xlpm.LoanProduct,E$26,_xlpm.LoanProductOptions,$BK$4:$BP$4,_xlpm.DiscountString,_xlfn.XLOOKUP(_xlpm.LoanProduct,_xlpm.LoanProductOptions,_xlpm.MarketTable,"Not Found",0),IF(_xlpm.is_qualified_LI_prop_le_50,VALUE(_xlpm.DiscountString)/10000,0))</f>
        <v>0</v>
      </c>
      <c r="F62" s="961" cm="1">
        <f t="array" ref="F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Small"),_xlpm.SmallVerySmallMarketTable,#N/A)),_xlpm.LoanProduct,F$26,_xlpm.LoanProductOptions,$BK$4:$BP$4,_xlpm.DiscountString,_xlfn.XLOOKUP(_xlpm.LoanProduct,_xlpm.LoanProductOptions,_xlpm.MarketTable,"Not Found",0),IF(_xlpm.is_qualified_LI_prop_le_50,VALUE(_xlpm.DiscountString)/10000,0))</f>
        <v>0</v>
      </c>
      <c r="G62" s="961" cm="1">
        <f t="array" ref="G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Small"),_xlpm.SmallVerySmallMarketTable,#N/A)),_xlpm.LoanProduct,G$26,_xlpm.LoanProductOptions,$BK$4:$BP$4,_xlpm.DiscountString,_xlfn.XLOOKUP(_xlpm.LoanProduct,_xlpm.LoanProductOptions,_xlpm.MarketTable,"Not Found",0),IF(_xlpm.is_qualified_LI_prop_le_50,VALUE(_xlpm.DiscountString)/10000,0))</f>
        <v>0</v>
      </c>
      <c r="H62" s="961" cm="1">
        <f t="array" ref="H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Small"),_xlpm.SmallVerySmallMarketTable,#N/A)),_xlpm.LoanProduct,H$26,_xlpm.LoanProductOptions,$BK$4:$BP$4,_xlpm.DiscountString,_xlfn.XLOOKUP(_xlpm.LoanProduct,_xlpm.LoanProductOptions,_xlpm.MarketTable,"Not Found",0),IF(_xlpm.is_qualified_LI_prop_le_50,VALUE(_xlpm.DiscountString)/10000,0))</f>
        <v>0</v>
      </c>
      <c r="I62" s="961" cm="1">
        <f t="array" ref="I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Small"),_xlpm.SmallVerySmallMarketTable,#N/A)),_xlpm.LoanProduct,I$26,_xlpm.LoanProductOptions,$BK$4:$BP$4,_xlpm.DiscountString,_xlfn.XLOOKUP(_xlpm.LoanProduct,_xlpm.LoanProductOptions,_xlpm.MarketTable,"Not Found",0),IF(_xlpm.is_qualified_LI_prop_le_50,VALUE(_xlpm.DiscountString)/10000,0))</f>
        <v>0</v>
      </c>
      <c r="J62" s="961" cm="1">
        <f t="array" ref="J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Small"),_xlpm.SmallVerySmallMarketTable,#N/A)),_xlpm.LoanProduct,J$26,_xlpm.LoanProductOptions,$BK$4:$BP$4,_xlpm.DiscountString,_xlfn.XLOOKUP(_xlpm.LoanProduct,_xlpm.LoanProductOptions,_xlpm.MarketTable,"Not Found",0),IF(_xlpm.is_qualified_LI_prop_le_50,VALUE(_xlpm.DiscountString)/10000,0))</f>
        <v>0</v>
      </c>
      <c r="K62" s="961" cm="1">
        <f t="array" ref="K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Small"),_xlpm.SmallVerySmallMarketTable,#N/A)),_xlpm.LoanProduct,K$26,_xlpm.LoanProductOptions,$BK$4:$BP$4,_xlpm.DiscountString,_xlfn.XLOOKUP(_xlpm.LoanProduct,_xlpm.LoanProductOptions,_xlpm.MarketTable,"Not Found",0),IF(_xlpm.is_qualified_LI_prop_le_50,VALUE(_xlpm.DiscountString)/10000,0))</f>
        <v>0</v>
      </c>
      <c r="L62" s="961" cm="1">
        <f t="array" ref="L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Small"),_xlpm.SmallVerySmallMarketTable,#N/A)),_xlpm.LoanProduct,L$26,_xlpm.LoanProductOptions,$BK$4:$BP$4,_xlpm.DiscountString,_xlfn.XLOOKUP(_xlpm.LoanProduct,_xlpm.LoanProductOptions,_xlpm.MarketTable,"Not Found",0),IF(_xlpm.is_qualified_LI_prop_le_50,VALUE(_xlpm.DiscountString)/10000,0))</f>
        <v>0</v>
      </c>
      <c r="M62" s="961" cm="1">
        <f t="array" ref="M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Small"),_xlpm.SmallVerySmallMarketTable,#N/A)),_xlpm.LoanProduct,M$26,_xlpm.LoanProductOptions,$BK$4:$BP$4,_xlpm.DiscountString,_xlfn.XLOOKUP(_xlpm.LoanProduct,_xlpm.LoanProductOptions,_xlpm.MarketTable,"Not Found",0),IF(_xlpm.is_qualified_LI_prop_le_50,VALUE(_xlpm.DiscountString)/10000,0))</f>
        <v>0</v>
      </c>
      <c r="N62" s="961" cm="1">
        <f t="array" ref="N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Small"),_xlpm.SmallVerySmallMarketTable,#N/A)),_xlpm.LoanProduct,N$26,_xlpm.LoanProductOptions,$BK$4:$BP$4,_xlpm.DiscountString,_xlfn.XLOOKUP(_xlpm.LoanProduct,_xlpm.LoanProductOptions,_xlpm.MarketTable,"Not Found",0),IF(_xlpm.is_qualified_LI_prop_le_50,VALUE(_xlpm.DiscountString)/10000,0))</f>
        <v>0</v>
      </c>
      <c r="O62" s="961" cm="1">
        <f t="array" ref="O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Small"),_xlpm.SmallVerySmallMarketTable,#N/A)),_xlpm.LoanProduct,O$26,_xlpm.LoanProductOptions,$BK$4:$BP$4,_xlpm.DiscountString,_xlfn.XLOOKUP(_xlpm.LoanProduct,_xlpm.LoanProductOptions,_xlpm.MarketTable,"Not Found",0),IF(_xlpm.is_qualified_LI_prop_le_50,VALUE(_xlpm.DiscountString)/10000,0))</f>
        <v>0</v>
      </c>
      <c r="P62" s="961" cm="1">
        <f t="array" ref="P62">_xlfn.LET(_xlpm.is_qualified_LI_prop_le_50,$B$27="Yes",_xlpm.MarketSize,$B$22,_xlpm.TopStdTable,$BK$24:$BP$24,_xlpm.SmallVerySmallMarketTable,$BK$66:$BP$66,_xlpm.MarketTable,IF(OR(_xlpm.MarketSize="Top",_xlpm.MarketSize="Standard"),_xlpm.TopStdTable,IF(OR(_xlpm.MarketSize="Small",_xlpm.MarketSize="Very Small"),_xlpm.SmallVerySmallMarketTable,#N/A)),_xlpm.LoanProduct,P$26,_xlpm.LoanProductOptions,$BK$4:$BP$4,_xlpm.DiscountString,_xlfn.XLOOKUP(_xlpm.LoanProduct,_xlpm.LoanProductOptions,_xlpm.MarketTable,"Not Found",0),IF(_xlpm.is_qualified_LI_prop_le_50,VALUE(_xlpm.DiscountString)/10000,0))</f>
        <v>0</v>
      </c>
      <c r="Q62" s="961"/>
      <c r="R62" s="872"/>
      <c r="S62" s="631"/>
      <c r="T62" s="631"/>
      <c r="U62" s="631"/>
      <c r="V62" s="631"/>
      <c r="W62" s="631"/>
      <c r="X62" s="631"/>
      <c r="Y62" s="631"/>
      <c r="Z62" s="631"/>
      <c r="AA62" s="961">
        <f t="shared" si="76" ref="AA62:AH62">IF(SBL_PropertyType="Manufactured Housing",0.1%,0)</f>
        <v>0</v>
      </c>
      <c r="AB62" s="961">
        <f t="shared" si="76"/>
        <v>0</v>
      </c>
      <c r="AC62" s="961">
        <f t="shared" si="76"/>
        <v>0</v>
      </c>
      <c r="AD62" s="961">
        <f t="shared" si="76"/>
        <v>0</v>
      </c>
      <c r="AE62" s="961">
        <f t="shared" si="76"/>
        <v>0</v>
      </c>
      <c r="AF62" s="961">
        <f t="shared" si="76"/>
        <v>0</v>
      </c>
      <c r="AG62" s="961">
        <f t="shared" si="76"/>
        <v>0</v>
      </c>
      <c r="AH62" s="961">
        <f t="shared" si="76"/>
        <v>0</v>
      </c>
      <c r="AI62" s="875"/>
      <c r="AJ62" s="972"/>
      <c r="AK62" s="972"/>
      <c r="AL62" s="972"/>
      <c r="AM62" s="972"/>
      <c r="AN62" s="972"/>
      <c r="AO62" s="632"/>
      <c r="AP62" s="632"/>
      <c r="AQ62" s="632"/>
      <c r="AR62" s="632"/>
      <c r="AS62" s="632"/>
      <c r="AT62" s="632"/>
      <c r="AU62" s="998" t="s">
        <v>901</v>
      </c>
      <c r="AV62" s="6"/>
      <c r="AW62" s="753">
        <f t="shared" si="80" ref="AW62:AW73">_xlfn.NUMBERVALUE(TRIM(LEFT(0,3)))/10000</f>
        <v>0</v>
      </c>
      <c r="AX62" s="754">
        <f>DailyPricing!E7</f>
        <v>0.053133</v>
      </c>
      <c r="AY62" s="999"/>
      <c r="AZ62" s="753">
        <f>DailyPricing!E63</f>
        <v>0</v>
      </c>
      <c r="BA62" s="756">
        <f t="shared" si="81" ref="BA62:BA63">SUM(AW62:AZ62)</f>
        <v>0.053133</v>
      </c>
      <c r="BB62" s="873"/>
      <c r="BC62" s="873"/>
      <c r="BD62" s="6"/>
      <c r="BE62" s="6"/>
      <c r="BF62" s="6"/>
      <c r="BG62" s="688"/>
      <c r="BH62" s="688"/>
      <c r="BI62" s="6"/>
      <c r="BJ62" s="711" t="s">
        <v>705</v>
      </c>
      <c r="BK62" s="1000"/>
      <c r="BL62" s="1000"/>
      <c r="BM62" s="1000"/>
      <c r="BN62" s="1000"/>
      <c r="BO62" s="1000"/>
      <c r="BP62" s="1001"/>
      <c r="BQ62" s="931"/>
      <c r="BR62" s="932"/>
      <c r="BS62" s="931"/>
      <c r="BT62" s="931"/>
      <c r="BU62" s="933"/>
      <c r="BV62" s="934"/>
      <c r="BW62" s="934"/>
      <c r="BX62" s="934"/>
      <c r="BY62" s="934"/>
      <c r="BZ62" s="934"/>
      <c r="CA62" s="934"/>
      <c r="CB62" s="934"/>
      <c r="CC62" s="934"/>
      <c r="CD62" s="934"/>
      <c r="CE62" s="934"/>
      <c r="CF62" s="934"/>
      <c r="CG62" s="934"/>
      <c r="CH62" s="934"/>
      <c r="CI62" s="934"/>
      <c r="CJ62" s="934"/>
      <c r="CK62" s="934"/>
      <c r="CL62" s="934"/>
      <c r="CM62" s="934"/>
      <c r="CN62" s="934"/>
      <c r="CO62" s="934"/>
      <c r="CP62" s="934"/>
      <c r="CQ62" s="934"/>
      <c r="CR62" s="934"/>
      <c r="CS62" s="934"/>
      <c r="CT62" s="934"/>
      <c r="CU62" s="934"/>
      <c r="CV62" s="934"/>
      <c r="CW62" s="934"/>
      <c r="CX62" s="934"/>
      <c r="CY62" s="934"/>
      <c r="CZ62" s="934"/>
      <c r="DA62" s="625"/>
      <c r="DB62" s="625"/>
      <c r="DC62" s="625"/>
      <c r="DD62" s="625"/>
      <c r="DE62" s="625"/>
      <c r="DF62" s="625"/>
      <c r="DG62" s="625"/>
      <c r="DH62" s="625"/>
      <c r="DI62" s="625"/>
      <c r="DJ62" s="625"/>
      <c r="DK62" s="625"/>
      <c r="DL62" s="625"/>
      <c r="DM62" s="625"/>
      <c r="DN62" s="625"/>
      <c r="DO62" s="625"/>
      <c r="DP62" s="625"/>
      <c r="DQ62" s="625"/>
      <c r="DR62" s="625"/>
      <c r="DS62" s="625"/>
      <c r="DT62" s="625"/>
      <c r="DU62" s="625"/>
      <c r="DV62" s="625"/>
      <c r="DW62" s="625"/>
      <c r="DX62" s="625"/>
      <c r="DY62" s="625"/>
      <c r="DZ62" s="625"/>
      <c r="EA62" s="625"/>
      <c r="EB62" s="625"/>
      <c r="EC62" s="625"/>
      <c r="ED62" s="625"/>
      <c r="EE62" s="625"/>
      <c r="EF62" s="625"/>
      <c r="EG62" s="625"/>
      <c r="EH62" s="625"/>
      <c r="EI62" s="625"/>
      <c r="EJ62" s="625"/>
      <c r="EK62" s="625"/>
      <c r="EL62" s="625"/>
      <c r="EM62" s="625"/>
      <c r="EN62" s="625"/>
      <c r="EO62" s="625"/>
      <c r="EP62" s="625"/>
      <c r="EQ62" s="625"/>
      <c r="ER62" s="625"/>
      <c r="ES62" s="625"/>
      <c r="ET62" s="625"/>
      <c r="EU62" s="625"/>
      <c r="EV62" s="625"/>
      <c r="EW62" s="625"/>
      <c r="EX62" s="625"/>
      <c r="EY62" s="625"/>
      <c r="EZ62" s="625"/>
      <c r="FA62" s="625"/>
      <c r="FB62" s="625"/>
      <c r="FC62" s="625"/>
    </row>
    <row r="63" ht="15" customHeight="1">
      <c r="A63" s="670"/>
      <c r="B63" s="1002"/>
      <c r="C63" s="631"/>
      <c r="D63" s="1003" t="str">
        <f>IF(AND(B28="Yes",OR($B$22="Small",$B$22="Very Small")),"Link Loan Adder (warning: market size)","Link Loan Adder")&amp;" (FRE/PC) / ≤ $2MM (FNM)"</f>
        <v>Link Loan Adder (FRE/PC) / ≤ $2MM (FNM)</v>
      </c>
      <c r="E63" s="970">
        <f t="shared" si="77" ref="E63:P63">IF($B$28="Yes",0.15%,0)</f>
        <v>0</v>
      </c>
      <c r="F63" s="970">
        <f t="shared" si="77"/>
        <v>0</v>
      </c>
      <c r="G63" s="970">
        <f t="shared" si="77"/>
        <v>0</v>
      </c>
      <c r="H63" s="970">
        <f t="shared" si="77"/>
        <v>0</v>
      </c>
      <c r="I63" s="970">
        <f t="shared" si="77"/>
        <v>0</v>
      </c>
      <c r="J63" s="970">
        <f t="shared" si="77"/>
        <v>0</v>
      </c>
      <c r="K63" s="970">
        <f t="shared" si="77"/>
        <v>0</v>
      </c>
      <c r="L63" s="970">
        <f t="shared" si="77"/>
        <v>0</v>
      </c>
      <c r="M63" s="970">
        <f t="shared" si="77"/>
        <v>0</v>
      </c>
      <c r="N63" s="970">
        <f t="shared" si="77"/>
        <v>0</v>
      </c>
      <c r="O63" s="970">
        <f t="shared" si="77"/>
        <v>0</v>
      </c>
      <c r="P63" s="970">
        <f t="shared" si="77"/>
        <v>0</v>
      </c>
      <c r="Q63" s="631"/>
      <c r="R63" s="970">
        <f t="shared" si="78" ref="R63:Y63">_xlfn.LET(_xlpm.tier,R$39,_xlpm.is_highly_affordable,$B$34,_xlpm.is_5_50,AND(number_units&gt;=5,number_units&lt;=50),_xlpm.requested_loan_amount,R$25,_xlpm.calculated_loan_amount,R$30,_xlpm.loan_amount,IF(_xlpm.calculated_loan_amount&gt;0,_xlpm.calculated_loan_amount,_xlpm.requested_loan_amount),IF(AND(_xlpm.tier=2,_xlpm.loan_amount&gt;0,_xlpm.loan_amount&lt;=2000000),IF(AND(_xlpm.is_highly_affordable,_xlpm.is_5_50),0.41%,0.82%),0))</f>
        <v>0</v>
      </c>
      <c r="S63" s="970">
        <f t="shared" si="78"/>
        <v>0</v>
      </c>
      <c r="T63" s="970">
        <f t="shared" si="78"/>
        <v>0</v>
      </c>
      <c r="U63" s="970">
        <f t="shared" si="78"/>
        <v>0</v>
      </c>
      <c r="V63" s="970">
        <f t="shared" si="78"/>
        <v>0</v>
      </c>
      <c r="W63" s="970">
        <f t="shared" si="78"/>
        <v>0</v>
      </c>
      <c r="X63" s="970">
        <f t="shared" si="78"/>
        <v>0</v>
      </c>
      <c r="Y63" s="970">
        <f t="shared" si="78"/>
        <v>0</v>
      </c>
      <c r="Z63" s="631"/>
      <c r="AA63" s="970">
        <f t="shared" si="79" ref="AA63:AH63">IF($B$28="Yes",0.1%,0)</f>
        <v>0</v>
      </c>
      <c r="AB63" s="970">
        <f t="shared" si="79"/>
        <v>0</v>
      </c>
      <c r="AC63" s="970">
        <f t="shared" si="79"/>
        <v>0</v>
      </c>
      <c r="AD63" s="970">
        <f t="shared" si="79"/>
        <v>0</v>
      </c>
      <c r="AE63" s="970">
        <f t="shared" si="79"/>
        <v>0</v>
      </c>
      <c r="AF63" s="970">
        <f t="shared" si="79"/>
        <v>0</v>
      </c>
      <c r="AG63" s="970">
        <f t="shared" si="79"/>
        <v>0</v>
      </c>
      <c r="AH63" s="970">
        <f t="shared" si="79"/>
        <v>0</v>
      </c>
      <c r="AI63" s="961"/>
      <c r="AJ63" s="972"/>
      <c r="AK63" s="972"/>
      <c r="AL63" s="972"/>
      <c r="AM63" s="972"/>
      <c r="AN63" s="972"/>
      <c r="AO63" s="632"/>
      <c r="AP63" s="632"/>
      <c r="AQ63" s="632"/>
      <c r="AR63" s="632"/>
      <c r="AS63" s="632"/>
      <c r="AT63" s="632"/>
      <c r="AU63" s="1004" t="s">
        <v>903</v>
      </c>
      <c r="AV63" s="9"/>
      <c r="AW63" s="753">
        <f t="shared" si="80"/>
        <v>0</v>
      </c>
      <c r="AX63" s="1005">
        <f>AX62</f>
        <v>0.053133</v>
      </c>
      <c r="AY63" s="1006"/>
      <c r="AZ63" s="799">
        <f>DailyPricing!E64</f>
        <v>0.02</v>
      </c>
      <c r="BA63" s="882">
        <f t="shared" si="81"/>
        <v>0.073133</v>
      </c>
      <c r="BB63" s="873"/>
      <c r="BC63" s="873"/>
      <c r="BD63" s="6"/>
      <c r="BE63" s="6"/>
      <c r="BF63" s="6"/>
      <c r="BG63" s="688"/>
      <c r="BH63" s="688"/>
      <c r="BI63" s="6"/>
      <c r="BJ63" s="720" t="s">
        <v>904</v>
      </c>
      <c r="BK63" s="721" t="s">
        <v>905</v>
      </c>
      <c r="BL63" s="721" t="s">
        <v>712</v>
      </c>
      <c r="BM63" s="721" t="s">
        <v>712</v>
      </c>
      <c r="BN63" s="721" t="s">
        <v>905</v>
      </c>
      <c r="BO63" s="721" t="s">
        <v>712</v>
      </c>
      <c r="BP63" s="722" t="s">
        <v>712</v>
      </c>
      <c r="BQ63" s="6"/>
      <c r="BR63" s="714"/>
      <c r="BS63" s="6"/>
      <c r="BT63" s="6"/>
      <c r="BU63" s="786"/>
      <c r="BV63" s="625"/>
      <c r="BW63" s="625"/>
      <c r="BX63" s="625"/>
      <c r="BY63" s="625"/>
      <c r="BZ63" s="625"/>
      <c r="CA63" s="625"/>
      <c r="CB63" s="625"/>
      <c r="CC63" s="625"/>
      <c r="CD63" s="625"/>
      <c r="CE63" s="625"/>
      <c r="CF63" s="625"/>
      <c r="CG63" s="625"/>
      <c r="CH63" s="625"/>
      <c r="CI63" s="625"/>
      <c r="CJ63" s="625"/>
      <c r="CK63" s="625"/>
      <c r="CL63" s="625"/>
      <c r="CM63" s="625"/>
      <c r="CN63" s="625"/>
      <c r="CO63" s="625"/>
      <c r="CP63" s="625"/>
      <c r="CQ63" s="625"/>
      <c r="CR63" s="625"/>
      <c r="CS63" s="625"/>
      <c r="CT63" s="625"/>
      <c r="CU63" s="625"/>
      <c r="CV63" s="625"/>
      <c r="CW63" s="625"/>
      <c r="CX63" s="625"/>
      <c r="CY63" s="625"/>
      <c r="CZ63" s="625"/>
      <c r="DA63" s="625"/>
      <c r="DB63" s="625"/>
      <c r="DC63" s="625"/>
      <c r="DD63" s="625"/>
      <c r="DE63" s="625"/>
      <c r="DF63" s="625"/>
      <c r="DG63" s="625"/>
      <c r="DH63" s="625"/>
      <c r="DI63" s="625"/>
      <c r="DJ63" s="625"/>
      <c r="DK63" s="625"/>
      <c r="DL63" s="625"/>
      <c r="DM63" s="625"/>
      <c r="DN63" s="625"/>
      <c r="DO63" s="625"/>
      <c r="DP63" s="625"/>
      <c r="DQ63" s="625"/>
      <c r="DR63" s="625"/>
      <c r="DS63" s="625"/>
      <c r="DT63" s="625"/>
      <c r="DU63" s="625"/>
      <c r="DV63" s="625"/>
      <c r="DW63" s="625"/>
      <c r="DX63" s="625"/>
      <c r="DY63" s="625"/>
      <c r="DZ63" s="625"/>
      <c r="EA63" s="625"/>
      <c r="EB63" s="625"/>
      <c r="EC63" s="625"/>
      <c r="ED63" s="625"/>
      <c r="EE63" s="625"/>
      <c r="EF63" s="625"/>
      <c r="EG63" s="625"/>
      <c r="EH63" s="625"/>
      <c r="EI63" s="625"/>
      <c r="EJ63" s="625"/>
      <c r="EK63" s="625"/>
      <c r="EL63" s="625"/>
      <c r="EM63" s="625"/>
      <c r="EN63" s="625"/>
      <c r="EO63" s="625"/>
      <c r="EP63" s="625"/>
      <c r="EQ63" s="625"/>
      <c r="ER63" s="625"/>
      <c r="ES63" s="625"/>
      <c r="ET63" s="625"/>
      <c r="EU63" s="625"/>
      <c r="EV63" s="625"/>
      <c r="EW63" s="625"/>
      <c r="EX63" s="625"/>
      <c r="EY63" s="625"/>
      <c r="EZ63" s="625"/>
      <c r="FA63" s="625"/>
      <c r="FB63" s="625"/>
      <c r="FC63" s="625"/>
    </row>
    <row r="64" ht="15" customHeight="1">
      <c r="A64" s="670" t="s">
        <v>906</v>
      </c>
      <c r="B64" s="1007" t="s">
        <v>188</v>
      </c>
      <c r="C64" s="631"/>
      <c r="D64" s="966" t="s">
        <v>907</v>
      </c>
      <c r="E64" s="961"/>
      <c r="F64" s="961"/>
      <c r="G64" s="961"/>
      <c r="H64" s="961"/>
      <c r="I64" s="961"/>
      <c r="J64" s="961"/>
      <c r="K64" s="961"/>
      <c r="L64" s="961"/>
      <c r="M64" s="961"/>
      <c r="N64" s="961"/>
      <c r="O64" s="961"/>
      <c r="P64" s="961"/>
      <c r="Q64" s="966"/>
      <c r="R64" s="961">
        <f t="shared" si="82" ref="R64:Y64">IF($B$37="Yes",SBL_SmallLoanSpreadAdder,0)</f>
        <v>0</v>
      </c>
      <c r="S64" s="961">
        <f t="shared" si="82"/>
        <v>0</v>
      </c>
      <c r="T64" s="961">
        <f t="shared" si="82"/>
        <v>0</v>
      </c>
      <c r="U64" s="961">
        <f t="shared" si="82"/>
        <v>0</v>
      </c>
      <c r="V64" s="961">
        <f t="shared" si="82"/>
        <v>0</v>
      </c>
      <c r="W64" s="961">
        <f t="shared" si="82"/>
        <v>0</v>
      </c>
      <c r="X64" s="961">
        <f t="shared" si="82"/>
        <v>0</v>
      </c>
      <c r="Y64" s="961">
        <f t="shared" si="82"/>
        <v>0</v>
      </c>
      <c r="Z64" s="966"/>
      <c r="AA64" s="1008"/>
      <c r="AB64" s="1008"/>
      <c r="AC64" s="1009"/>
      <c r="AD64" s="1009"/>
      <c r="AE64" s="1009"/>
      <c r="AF64" s="1009"/>
      <c r="AG64" s="1009"/>
      <c r="AH64" s="1009"/>
      <c r="AI64" s="875"/>
      <c r="AJ64" s="989" t="s">
        <v>908</v>
      </c>
      <c r="AK64" s="989"/>
      <c r="AL64" s="989"/>
      <c r="AM64" s="989"/>
      <c r="AN64" s="989"/>
      <c r="AO64" s="632"/>
      <c r="AP64" s="632"/>
      <c r="AQ64" s="632"/>
      <c r="AR64" s="632"/>
      <c r="AS64" s="632"/>
      <c r="AT64" s="632"/>
      <c r="AU64" s="994" t="s">
        <v>909</v>
      </c>
      <c r="AV64" s="995"/>
      <c r="AW64" s="996" t="s">
        <v>453</v>
      </c>
      <c r="AX64" s="644"/>
      <c r="AY64" s="1010"/>
      <c r="AZ64" s="1"/>
      <c r="BA64" s="6"/>
      <c r="BB64" s="6"/>
      <c r="BC64" s="6"/>
      <c r="BD64" s="6"/>
      <c r="BE64" s="6"/>
      <c r="BF64" s="6"/>
      <c r="BG64" s="688"/>
      <c r="BH64" s="688"/>
      <c r="BI64" s="6"/>
      <c r="BJ64" s="711" t="s">
        <v>910</v>
      </c>
      <c r="BK64" s="712" t="s">
        <v>905</v>
      </c>
      <c r="BL64" s="712" t="s">
        <v>712</v>
      </c>
      <c r="BM64" s="712" t="s">
        <v>712</v>
      </c>
      <c r="BN64" s="712" t="s">
        <v>905</v>
      </c>
      <c r="BO64" s="712" t="s">
        <v>712</v>
      </c>
      <c r="BP64" s="713" t="s">
        <v>712</v>
      </c>
      <c r="BQ64" s="6"/>
      <c r="BR64" s="714"/>
      <c r="BS64" s="6"/>
      <c r="BT64" s="6"/>
      <c r="BU64" s="786"/>
      <c r="BV64" s="625"/>
      <c r="BW64" s="625"/>
      <c r="BX64" s="625"/>
      <c r="BY64" s="625"/>
      <c r="BZ64" s="625"/>
      <c r="CA64" s="625"/>
      <c r="CB64" s="625"/>
      <c r="CC64" s="625"/>
      <c r="CD64" s="625"/>
      <c r="CE64" s="625"/>
      <c r="CF64" s="625"/>
      <c r="CG64" s="625"/>
      <c r="CH64" s="625"/>
      <c r="CI64" s="625"/>
      <c r="CJ64" s="625"/>
      <c r="CK64" s="625"/>
      <c r="CL64" s="625"/>
      <c r="CM64" s="625"/>
      <c r="CN64" s="625"/>
      <c r="CO64" s="625"/>
      <c r="CP64" s="625"/>
      <c r="CQ64" s="625"/>
      <c r="CR64" s="625"/>
      <c r="CS64" s="625"/>
      <c r="CT64" s="625"/>
      <c r="CU64" s="625"/>
      <c r="CV64" s="625"/>
      <c r="CW64" s="625"/>
      <c r="CX64" s="625"/>
      <c r="CY64" s="625"/>
      <c r="CZ64" s="625"/>
      <c r="DA64" s="625"/>
      <c r="DB64" s="625"/>
      <c r="DC64" s="625"/>
      <c r="DD64" s="625"/>
      <c r="DE64" s="625"/>
      <c r="DF64" s="625"/>
      <c r="DG64" s="625"/>
      <c r="DH64" s="625"/>
      <c r="DI64" s="625"/>
      <c r="DJ64" s="625"/>
      <c r="DK64" s="625"/>
      <c r="DL64" s="625"/>
      <c r="DM64" s="625"/>
      <c r="DN64" s="625"/>
      <c r="DO64" s="625"/>
      <c r="DP64" s="625"/>
      <c r="DQ64" s="625"/>
      <c r="DR64" s="625"/>
      <c r="DS64" s="625"/>
      <c r="DT64" s="625"/>
      <c r="DU64" s="625"/>
      <c r="DV64" s="625"/>
      <c r="DW64" s="625"/>
      <c r="DX64" s="625"/>
      <c r="DY64" s="625"/>
      <c r="DZ64" s="625"/>
      <c r="EA64" s="625"/>
      <c r="EB64" s="625"/>
      <c r="EC64" s="625"/>
      <c r="ED64" s="625"/>
      <c r="EE64" s="625"/>
      <c r="EF64" s="625"/>
      <c r="EG64" s="625"/>
      <c r="EH64" s="625"/>
      <c r="EI64" s="625"/>
      <c r="EJ64" s="625"/>
      <c r="EK64" s="625"/>
      <c r="EL64" s="625"/>
      <c r="EM64" s="625"/>
      <c r="EN64" s="625"/>
      <c r="EO64" s="625"/>
      <c r="EP64" s="625"/>
      <c r="EQ64" s="625"/>
      <c r="ER64" s="625"/>
      <c r="ES64" s="625"/>
      <c r="ET64" s="625"/>
      <c r="EU64" s="625"/>
      <c r="EV64" s="625"/>
      <c r="EW64" s="625"/>
      <c r="EX64" s="625"/>
      <c r="EY64" s="625"/>
      <c r="EZ64" s="625"/>
      <c r="FA64" s="625"/>
      <c r="FB64" s="625"/>
      <c r="FC64" s="625"/>
    </row>
    <row r="65" ht="15" customHeight="1">
      <c r="A65" s="631"/>
      <c r="B65" s="631"/>
      <c r="C65" s="631"/>
      <c r="D65" s="969" t="s">
        <v>911</v>
      </c>
      <c r="E65" s="1009"/>
      <c r="F65" s="1009"/>
      <c r="G65" s="1009"/>
      <c r="H65" s="1009"/>
      <c r="I65" s="1009"/>
      <c r="J65" s="1009"/>
      <c r="K65" s="1009"/>
      <c r="L65" s="1009"/>
      <c r="M65" s="1009"/>
      <c r="N65" s="1009"/>
      <c r="O65" s="1009"/>
      <c r="P65" s="1009"/>
      <c r="Q65" s="1011"/>
      <c r="R65" s="857">
        <v>0</v>
      </c>
      <c r="S65" s="857">
        <v>0</v>
      </c>
      <c r="T65" s="857">
        <v>0</v>
      </c>
      <c r="U65" s="857">
        <v>0</v>
      </c>
      <c r="V65" s="857">
        <v>0</v>
      </c>
      <c r="W65" s="857">
        <v>0</v>
      </c>
      <c r="X65" s="857">
        <v>0</v>
      </c>
      <c r="Y65" s="857">
        <v>0</v>
      </c>
      <c r="Z65" s="1011"/>
      <c r="AA65" s="970">
        <f t="shared" si="83" ref="AA65:AH65">IF(SBL_PropertyType="Dedicated Student",0.1%,0)</f>
        <v>0</v>
      </c>
      <c r="AB65" s="970">
        <f t="shared" si="83"/>
        <v>0</v>
      </c>
      <c r="AC65" s="970">
        <f t="shared" si="83"/>
        <v>0</v>
      </c>
      <c r="AD65" s="970">
        <f t="shared" si="83"/>
        <v>0</v>
      </c>
      <c r="AE65" s="970">
        <f t="shared" si="83"/>
        <v>0</v>
      </c>
      <c r="AF65" s="970">
        <f t="shared" si="83"/>
        <v>0</v>
      </c>
      <c r="AG65" s="970">
        <f t="shared" si="83"/>
        <v>0</v>
      </c>
      <c r="AH65" s="970">
        <f t="shared" si="83"/>
        <v>0</v>
      </c>
      <c r="AI65" s="875"/>
      <c r="AJ65" s="989"/>
      <c r="AK65" s="989"/>
      <c r="AL65" s="989"/>
      <c r="AM65" s="989"/>
      <c r="AN65" s="989"/>
      <c r="AO65" s="632"/>
      <c r="AP65" s="632"/>
      <c r="AQ65" s="632"/>
      <c r="AR65" s="632"/>
      <c r="AS65" s="632"/>
      <c r="AT65" s="632"/>
      <c r="AU65" s="714" t="s">
        <v>912</v>
      </c>
      <c r="AV65" s="6"/>
      <c r="AW65" s="753">
        <f t="shared" si="80"/>
        <v>0</v>
      </c>
      <c r="AX65" s="1012"/>
      <c r="AY65" s="1010"/>
      <c r="AZ65" s="1"/>
      <c r="BA65" s="6"/>
      <c r="BB65" s="6"/>
      <c r="BC65" s="6"/>
      <c r="BD65" s="6"/>
      <c r="BE65" s="6"/>
      <c r="BF65" s="6"/>
      <c r="BG65" s="688"/>
      <c r="BH65" s="688"/>
      <c r="BI65" s="6"/>
      <c r="BJ65" s="720"/>
      <c r="BK65" s="721"/>
      <c r="BL65" s="721"/>
      <c r="BM65" s="721"/>
      <c r="BN65" s="721"/>
      <c r="BO65" s="721"/>
      <c r="BP65" s="722"/>
      <c r="BQ65" s="931"/>
      <c r="BR65" s="932"/>
      <c r="BS65" s="931"/>
      <c r="BT65" s="931"/>
      <c r="BU65" s="933"/>
      <c r="BV65" s="934"/>
      <c r="BW65" s="934"/>
      <c r="BX65" s="934"/>
      <c r="BY65" s="934"/>
      <c r="BZ65" s="934"/>
      <c r="CA65" s="934"/>
      <c r="CB65" s="934"/>
      <c r="CC65" s="934"/>
      <c r="CD65" s="934"/>
      <c r="CE65" s="934"/>
      <c r="CF65" s="934"/>
      <c r="CG65" s="934"/>
      <c r="CH65" s="934"/>
      <c r="CI65" s="934"/>
      <c r="CJ65" s="934"/>
      <c r="CK65" s="934"/>
      <c r="CL65" s="934"/>
      <c r="CM65" s="934"/>
      <c r="CN65" s="934"/>
      <c r="CO65" s="934"/>
      <c r="CP65" s="934"/>
      <c r="CQ65" s="934"/>
      <c r="CR65" s="934"/>
      <c r="CS65" s="934"/>
      <c r="CT65" s="934"/>
      <c r="CU65" s="934"/>
      <c r="CV65" s="934"/>
      <c r="CW65" s="934"/>
      <c r="CX65" s="934"/>
      <c r="CY65" s="934"/>
      <c r="CZ65" s="934"/>
      <c r="DA65" s="625"/>
      <c r="DB65" s="625"/>
      <c r="DC65" s="625"/>
      <c r="DD65" s="625"/>
      <c r="DE65" s="625"/>
      <c r="DF65" s="625"/>
      <c r="DG65" s="625"/>
      <c r="DH65" s="625"/>
      <c r="DI65" s="625"/>
      <c r="DJ65" s="625"/>
      <c r="DK65" s="625"/>
      <c r="DL65" s="625"/>
      <c r="DM65" s="625"/>
      <c r="DN65" s="625"/>
      <c r="DO65" s="625"/>
      <c r="DP65" s="625"/>
      <c r="DQ65" s="625"/>
      <c r="DR65" s="625"/>
      <c r="DS65" s="625"/>
      <c r="DT65" s="625"/>
      <c r="DU65" s="625"/>
      <c r="DV65" s="625"/>
      <c r="DW65" s="625"/>
      <c r="DX65" s="625"/>
      <c r="DY65" s="625"/>
      <c r="DZ65" s="625"/>
      <c r="EA65" s="625"/>
      <c r="EB65" s="625"/>
      <c r="EC65" s="625"/>
      <c r="ED65" s="625"/>
      <c r="EE65" s="625"/>
      <c r="EF65" s="625"/>
      <c r="EG65" s="625"/>
      <c r="EH65" s="625"/>
      <c r="EI65" s="625"/>
      <c r="EJ65" s="625"/>
      <c r="EK65" s="625"/>
      <c r="EL65" s="625"/>
      <c r="EM65" s="625"/>
      <c r="EN65" s="625"/>
      <c r="EO65" s="625"/>
      <c r="EP65" s="625"/>
      <c r="EQ65" s="625"/>
      <c r="ER65" s="625"/>
      <c r="ES65" s="625"/>
      <c r="ET65" s="625"/>
      <c r="EU65" s="625"/>
      <c r="EV65" s="625"/>
      <c r="EW65" s="625"/>
      <c r="EX65" s="625"/>
      <c r="EY65" s="625"/>
      <c r="EZ65" s="625"/>
      <c r="FA65" s="625"/>
      <c r="FB65" s="625"/>
      <c r="FC65" s="625"/>
    </row>
    <row r="66" ht="15" customHeight="1">
      <c r="A66" s="631"/>
      <c r="B66" s="631"/>
      <c r="C66" s="631"/>
      <c r="D66" s="1013" t="s">
        <v>913</v>
      </c>
      <c r="E66" s="1014">
        <v>0</v>
      </c>
      <c r="F66" s="1014">
        <v>0</v>
      </c>
      <c r="G66" s="1014">
        <v>0</v>
      </c>
      <c r="H66" s="1014">
        <v>0</v>
      </c>
      <c r="I66" s="1014">
        <v>0</v>
      </c>
      <c r="J66" s="1014">
        <v>0</v>
      </c>
      <c r="K66" s="1014">
        <v>0</v>
      </c>
      <c r="L66" s="1014">
        <v>0</v>
      </c>
      <c r="M66" s="1014">
        <v>0</v>
      </c>
      <c r="N66" s="1014">
        <v>0</v>
      </c>
      <c r="O66" s="1014">
        <v>0</v>
      </c>
      <c r="P66" s="1014">
        <v>0</v>
      </c>
      <c r="Q66" s="1013"/>
      <c r="R66" s="1014">
        <v>0</v>
      </c>
      <c r="S66" s="1014">
        <v>0</v>
      </c>
      <c r="T66" s="1014">
        <v>0</v>
      </c>
      <c r="U66" s="1014">
        <v>0</v>
      </c>
      <c r="V66" s="1014">
        <v>0</v>
      </c>
      <c r="W66" s="1014">
        <v>0</v>
      </c>
      <c r="X66" s="1014">
        <v>0</v>
      </c>
      <c r="Y66" s="1014">
        <v>0</v>
      </c>
      <c r="Z66" s="1013"/>
      <c r="AA66" s="1014">
        <v>0</v>
      </c>
      <c r="AB66" s="1014">
        <v>0</v>
      </c>
      <c r="AC66" s="1014">
        <v>0</v>
      </c>
      <c r="AD66" s="1014">
        <v>0</v>
      </c>
      <c r="AE66" s="1014">
        <v>0</v>
      </c>
      <c r="AF66" s="1014">
        <v>0</v>
      </c>
      <c r="AG66" s="1014">
        <v>0</v>
      </c>
      <c r="AH66" s="1014">
        <v>0</v>
      </c>
      <c r="AI66" s="632"/>
      <c r="AJ66" s="972"/>
      <c r="AK66" s="972"/>
      <c r="AL66" s="972"/>
      <c r="AM66" s="972"/>
      <c r="AN66" s="972"/>
      <c r="AO66" s="632"/>
      <c r="AP66" s="632"/>
      <c r="AQ66" s="632"/>
      <c r="AR66" s="632"/>
      <c r="AS66" s="632"/>
      <c r="AT66" s="632"/>
      <c r="AU66" s="714" t="s">
        <v>914</v>
      </c>
      <c r="AV66" s="6"/>
      <c r="AW66" s="753">
        <f t="shared" si="80"/>
        <v>0</v>
      </c>
      <c r="AX66" s="1012"/>
      <c r="AY66" s="1010"/>
      <c r="AZ66" s="1"/>
      <c r="BA66" s="6"/>
      <c r="BB66" s="6"/>
      <c r="BC66" s="6"/>
      <c r="BD66" s="6"/>
      <c r="BE66" s="6"/>
      <c r="BF66" s="6"/>
      <c r="BG66" s="688"/>
      <c r="BH66" s="688"/>
      <c r="BI66" s="6"/>
      <c r="BJ66" s="711" t="s">
        <v>733</v>
      </c>
      <c r="BK66" s="712">
        <v>-10</v>
      </c>
      <c r="BL66" s="712">
        <v>-10</v>
      </c>
      <c r="BM66" s="712">
        <v>-10</v>
      </c>
      <c r="BN66" s="712">
        <v>-10</v>
      </c>
      <c r="BO66" s="712">
        <v>-10</v>
      </c>
      <c r="BP66" s="713">
        <v>-10</v>
      </c>
      <c r="BQ66" s="6"/>
      <c r="BR66" s="714"/>
      <c r="BS66" s="6"/>
      <c r="BT66" s="6"/>
      <c r="BU66" s="786"/>
      <c r="BV66" s="625"/>
      <c r="BW66" s="625"/>
      <c r="BX66" s="625"/>
      <c r="BY66" s="625"/>
      <c r="BZ66" s="625"/>
      <c r="CA66" s="625"/>
      <c r="CB66" s="625"/>
      <c r="CC66" s="625"/>
      <c r="CD66" s="625"/>
      <c r="CE66" s="625"/>
      <c r="CF66" s="625"/>
      <c r="CG66" s="625"/>
      <c r="CH66" s="625"/>
      <c r="CI66" s="625"/>
      <c r="CJ66" s="625"/>
      <c r="CK66" s="625"/>
      <c r="CL66" s="625"/>
      <c r="CM66" s="625"/>
      <c r="CN66" s="625"/>
      <c r="CO66" s="625"/>
      <c r="CP66" s="625"/>
      <c r="CQ66" s="625"/>
      <c r="CR66" s="625"/>
      <c r="CS66" s="625"/>
      <c r="CT66" s="625"/>
      <c r="CU66" s="625"/>
      <c r="CV66" s="625"/>
      <c r="CW66" s="625"/>
      <c r="CX66" s="625"/>
      <c r="CY66" s="625"/>
      <c r="CZ66" s="625"/>
      <c r="DA66" s="625"/>
      <c r="DB66" s="625"/>
      <c r="DC66" s="625"/>
      <c r="DD66" s="625"/>
      <c r="DE66" s="625"/>
      <c r="DF66" s="625"/>
      <c r="DG66" s="625"/>
      <c r="DH66" s="625"/>
      <c r="DI66" s="625"/>
      <c r="DJ66" s="625"/>
      <c r="DK66" s="625"/>
      <c r="DL66" s="625"/>
      <c r="DM66" s="625"/>
      <c r="DN66" s="625"/>
      <c r="DO66" s="625"/>
      <c r="DP66" s="625"/>
      <c r="DQ66" s="625"/>
      <c r="DR66" s="625"/>
      <c r="DS66" s="625"/>
      <c r="DT66" s="625"/>
      <c r="DU66" s="625"/>
      <c r="DV66" s="625"/>
      <c r="DW66" s="625"/>
      <c r="DX66" s="625"/>
      <c r="DY66" s="625"/>
      <c r="DZ66" s="625"/>
      <c r="EA66" s="625"/>
      <c r="EB66" s="625"/>
      <c r="EC66" s="625"/>
      <c r="ED66" s="625"/>
      <c r="EE66" s="625"/>
      <c r="EF66" s="625"/>
      <c r="EG66" s="625"/>
      <c r="EH66" s="625"/>
      <c r="EI66" s="625"/>
      <c r="EJ66" s="625"/>
      <c r="EK66" s="625"/>
      <c r="EL66" s="625"/>
      <c r="EM66" s="625"/>
      <c r="EN66" s="625"/>
      <c r="EO66" s="625"/>
      <c r="EP66" s="625"/>
      <c r="EQ66" s="625"/>
      <c r="ER66" s="625"/>
      <c r="ES66" s="625"/>
      <c r="ET66" s="625"/>
      <c r="EU66" s="625"/>
      <c r="EV66" s="625"/>
      <c r="EW66" s="625"/>
      <c r="EX66" s="625"/>
      <c r="EY66" s="625"/>
      <c r="EZ66" s="625"/>
      <c r="FA66" s="625"/>
      <c r="FB66" s="625"/>
      <c r="FC66" s="625"/>
    </row>
    <row r="67" ht="15" customHeight="1">
      <c r="A67" s="631"/>
      <c r="B67" s="631"/>
      <c r="C67" s="631"/>
      <c r="D67" s="1015" t="s">
        <v>468</v>
      </c>
      <c r="E67" s="940">
        <f t="shared" si="84" ref="E67:Y67">SUM(E54:E66)</f>
        <v>0.0021000000000000003</v>
      </c>
      <c r="F67" s="940">
        <f t="shared" si="84"/>
        <v>0.0008000000000000001</v>
      </c>
      <c r="G67" s="940">
        <f t="shared" si="84"/>
        <v>0.00010000000000000005</v>
      </c>
      <c r="H67" s="940">
        <f t="shared" si="84"/>
        <v>0.0021000000000000003</v>
      </c>
      <c r="I67" s="940">
        <f t="shared" si="84"/>
        <v>0.0008000000000000001</v>
      </c>
      <c r="J67" s="940">
        <f t="shared" si="84"/>
        <v>0.00010000000000000005</v>
      </c>
      <c r="K67" s="940">
        <f t="shared" si="84"/>
        <v>0.0021000000000000003</v>
      </c>
      <c r="L67" s="940">
        <f t="shared" si="84"/>
        <v>0.0008000000000000001</v>
      </c>
      <c r="M67" s="940">
        <f t="shared" si="84"/>
        <v>0.00010000000000000005</v>
      </c>
      <c r="N67" s="940">
        <f t="shared" si="84"/>
        <v>0.0021000000000000003</v>
      </c>
      <c r="O67" s="940">
        <f t="shared" si="84"/>
        <v>0.0008000000000000001</v>
      </c>
      <c r="P67" s="940">
        <f t="shared" si="84"/>
        <v>0.00010000000000000005</v>
      </c>
      <c r="Q67" s="940"/>
      <c r="R67" s="940">
        <f t="shared" si="84"/>
        <v>0.0013</v>
      </c>
      <c r="S67" s="940">
        <f t="shared" si="84"/>
        <v>0.0011</v>
      </c>
      <c r="T67" s="940">
        <f t="shared" si="84"/>
        <v>0.0011</v>
      </c>
      <c r="U67" s="940">
        <f t="shared" si="84"/>
        <v>0.0013225799999999998</v>
      </c>
      <c r="V67" s="940">
        <f t="shared" si="84"/>
        <v>0.0012973499999999998</v>
      </c>
      <c r="W67" s="940">
        <f t="shared" si="84"/>
        <v>0.00231328</v>
      </c>
      <c r="X67" s="940">
        <f t="shared" si="84"/>
        <v>0.00226373</v>
      </c>
      <c r="Y67" s="940">
        <f t="shared" si="84"/>
        <v>0.0013</v>
      </c>
      <c r="Z67" s="940"/>
      <c r="AA67" s="940">
        <f t="shared" si="85" ref="AA67:AH67">SUM(AA$51,AA$54:AA$66)</f>
        <v>0</v>
      </c>
      <c r="AB67" s="940">
        <f t="shared" si="85"/>
        <v>0</v>
      </c>
      <c r="AC67" s="940">
        <f t="shared" si="85"/>
        <v>0</v>
      </c>
      <c r="AD67" s="940">
        <f t="shared" si="85"/>
        <v>0</v>
      </c>
      <c r="AE67" s="940">
        <f t="shared" si="85"/>
        <v>0</v>
      </c>
      <c r="AF67" s="940">
        <f t="shared" si="85"/>
        <v>0</v>
      </c>
      <c r="AG67" s="940">
        <f t="shared" si="85"/>
        <v>0</v>
      </c>
      <c r="AH67" s="940">
        <f t="shared" si="85"/>
        <v>0</v>
      </c>
      <c r="AI67" s="632"/>
      <c r="AJ67" s="972"/>
      <c r="AK67" s="972"/>
      <c r="AL67" s="972"/>
      <c r="AM67" s="972"/>
      <c r="AN67" s="972"/>
      <c r="AO67" s="632"/>
      <c r="AP67" s="632"/>
      <c r="AQ67" s="632"/>
      <c r="AR67" s="632"/>
      <c r="AS67" s="632"/>
      <c r="AT67" s="632"/>
      <c r="AU67" s="1016" t="s">
        <v>915</v>
      </c>
      <c r="AV67" s="1017"/>
      <c r="AW67" s="1018">
        <f t="shared" si="80"/>
        <v>0</v>
      </c>
      <c r="AX67" s="1012"/>
      <c r="AY67" s="1010"/>
      <c r="AZ67" s="1"/>
      <c r="BA67" s="6"/>
      <c r="BB67" s="6"/>
      <c r="BC67" s="6"/>
      <c r="BD67" s="6"/>
      <c r="BE67" s="6"/>
      <c r="BF67" s="6"/>
      <c r="BG67" s="688"/>
      <c r="BH67" s="688"/>
      <c r="BI67" s="6"/>
      <c r="BJ67" s="720"/>
      <c r="BK67" s="721"/>
      <c r="BL67" s="721"/>
      <c r="BM67" s="721"/>
      <c r="BN67" s="721"/>
      <c r="BO67" s="721"/>
      <c r="BP67" s="722"/>
      <c r="BQ67" s="6"/>
      <c r="BR67" s="714"/>
      <c r="BS67" s="6"/>
      <c r="BT67" s="6"/>
      <c r="BU67" s="786"/>
      <c r="BV67" s="625"/>
      <c r="BW67" s="625"/>
      <c r="BX67" s="625"/>
      <c r="BY67" s="625"/>
      <c r="BZ67" s="625"/>
      <c r="CA67" s="625"/>
      <c r="CB67" s="625"/>
      <c r="CC67" s="625"/>
      <c r="CD67" s="625"/>
      <c r="CE67" s="625"/>
      <c r="CF67" s="625"/>
      <c r="CG67" s="625"/>
      <c r="CH67" s="625"/>
      <c r="CI67" s="625"/>
      <c r="CJ67" s="625"/>
      <c r="CK67" s="625"/>
      <c r="CL67" s="625"/>
      <c r="CM67" s="625"/>
      <c r="CN67" s="625"/>
      <c r="CO67" s="625"/>
      <c r="CP67" s="625"/>
      <c r="CQ67" s="625"/>
      <c r="CR67" s="625"/>
      <c r="CS67" s="625"/>
      <c r="CT67" s="625"/>
      <c r="CU67" s="625"/>
      <c r="CV67" s="625"/>
      <c r="CW67" s="625"/>
      <c r="CX67" s="625"/>
      <c r="CY67" s="625"/>
      <c r="CZ67" s="625"/>
      <c r="DA67" s="625"/>
      <c r="DB67" s="625"/>
      <c r="DC67" s="625"/>
      <c r="DD67" s="625"/>
      <c r="DE67" s="625"/>
      <c r="DF67" s="625"/>
      <c r="DG67" s="625"/>
      <c r="DH67" s="625"/>
      <c r="DI67" s="625"/>
      <c r="DJ67" s="625"/>
      <c r="DK67" s="625"/>
      <c r="DL67" s="625"/>
      <c r="DM67" s="625"/>
      <c r="DN67" s="625"/>
      <c r="DO67" s="625"/>
      <c r="DP67" s="625"/>
      <c r="DQ67" s="625"/>
      <c r="DR67" s="625"/>
      <c r="DS67" s="625"/>
      <c r="DT67" s="625"/>
      <c r="DU67" s="625"/>
      <c r="DV67" s="625"/>
      <c r="DW67" s="625"/>
      <c r="DX67" s="625"/>
      <c r="DY67" s="625"/>
      <c r="DZ67" s="625"/>
      <c r="EA67" s="625"/>
      <c r="EB67" s="625"/>
      <c r="EC67" s="625"/>
      <c r="ED67" s="625"/>
      <c r="EE67" s="625"/>
      <c r="EF67" s="625"/>
      <c r="EG67" s="625"/>
      <c r="EH67" s="625"/>
      <c r="EI67" s="625"/>
      <c r="EJ67" s="625"/>
      <c r="EK67" s="625"/>
      <c r="EL67" s="625"/>
      <c r="EM67" s="625"/>
      <c r="EN67" s="625"/>
      <c r="EO67" s="625"/>
      <c r="EP67" s="625"/>
      <c r="EQ67" s="625"/>
      <c r="ER67" s="625"/>
      <c r="ES67" s="625"/>
      <c r="ET67" s="625"/>
      <c r="EU67" s="625"/>
      <c r="EV67" s="625"/>
      <c r="EW67" s="625"/>
      <c r="EX67" s="625"/>
      <c r="EY67" s="625"/>
      <c r="EZ67" s="625"/>
      <c r="FA67" s="625"/>
      <c r="FB67" s="625"/>
      <c r="FC67" s="625"/>
    </row>
    <row r="68" ht="15" customHeight="1">
      <c r="A68" s="631"/>
      <c r="B68" s="631"/>
      <c r="C68" s="631"/>
      <c r="D68" s="1019" t="s">
        <v>681</v>
      </c>
      <c r="E68" s="1020" t="e">
        <f t="shared" si="86" ref="E68:P68">E50+E67</f>
        <v>#N/A</v>
      </c>
      <c r="F68" s="1020" t="e">
        <f t="shared" si="86"/>
        <v>#N/A</v>
      </c>
      <c r="G68" s="1020" t="e">
        <f t="shared" si="86"/>
        <v>#N/A</v>
      </c>
      <c r="H68" s="1020" t="e">
        <f t="shared" si="86"/>
        <v>#N/A</v>
      </c>
      <c r="I68" s="1020" t="e">
        <f t="shared" si="86"/>
        <v>#N/A</v>
      </c>
      <c r="J68" s="1020" t="e">
        <f t="shared" si="86"/>
        <v>#N/A</v>
      </c>
      <c r="K68" s="1020" t="e">
        <f t="shared" si="86"/>
        <v>#N/A</v>
      </c>
      <c r="L68" s="1020" t="e">
        <f t="shared" si="86"/>
        <v>#N/A</v>
      </c>
      <c r="M68" s="1020" t="e">
        <f t="shared" si="86"/>
        <v>#N/A</v>
      </c>
      <c r="N68" s="1020" t="e">
        <f t="shared" si="86"/>
        <v>#N/A</v>
      </c>
      <c r="O68" s="1020" t="e">
        <f t="shared" si="86"/>
        <v>#N/A</v>
      </c>
      <c r="P68" s="1020" t="e">
        <f t="shared" si="86"/>
        <v>#N/A</v>
      </c>
      <c r="Q68" s="1020"/>
      <c r="R68" s="1020">
        <f t="shared" si="87" ref="R68:Y68">SUM(R50:R52)+R67</f>
        <v>0.070944</v>
      </c>
      <c r="S68" s="1020">
        <f t="shared" si="87"/>
        <v>0.072144</v>
      </c>
      <c r="T68" s="1020">
        <f t="shared" si="87"/>
        <v>0.07394400000000001</v>
      </c>
      <c r="U68" s="1020">
        <f t="shared" si="87"/>
        <v>0.06896658000000001</v>
      </c>
      <c r="V68" s="1020">
        <f t="shared" si="87"/>
        <v>0.06694135000000001</v>
      </c>
      <c r="W68" s="1020">
        <f t="shared" si="87"/>
        <v>0.07172228</v>
      </c>
      <c r="X68" s="1020">
        <f t="shared" si="87"/>
        <v>0.06967273</v>
      </c>
      <c r="Y68" s="1020">
        <f t="shared" si="87"/>
        <v>0.070944</v>
      </c>
      <c r="Z68" s="1021"/>
      <c r="AA68" s="947">
        <f t="shared" si="88" ref="AA68:AH68">AA$50+AA$67</f>
        <v>0.053704</v>
      </c>
      <c r="AB68" s="947">
        <f t="shared" si="88"/>
        <v>0.053704</v>
      </c>
      <c r="AC68" s="947">
        <f t="shared" si="88"/>
        <v>0.053704</v>
      </c>
      <c r="AD68" s="947">
        <f t="shared" si="88"/>
        <v>0.053704</v>
      </c>
      <c r="AE68" s="947">
        <f t="shared" si="88"/>
        <v>0.053704</v>
      </c>
      <c r="AF68" s="947">
        <f t="shared" si="88"/>
        <v>0.053704</v>
      </c>
      <c r="AG68" s="947">
        <f t="shared" si="88"/>
        <v>0.053704</v>
      </c>
      <c r="AH68" s="947">
        <f t="shared" si="88"/>
        <v>0.053704</v>
      </c>
      <c r="AI68" s="632"/>
      <c r="AJ68" s="1022"/>
      <c r="AK68" s="1022"/>
      <c r="AL68" s="1022"/>
      <c r="AM68" s="1022"/>
      <c r="AN68" s="1022"/>
      <c r="AO68" s="632"/>
      <c r="AP68" s="632"/>
      <c r="AQ68" s="632"/>
      <c r="AR68" s="632"/>
      <c r="AS68" s="632"/>
      <c r="AT68" s="632"/>
      <c r="AU68" s="714" t="s">
        <v>916</v>
      </c>
      <c r="AV68" s="6"/>
      <c r="AW68" s="1023">
        <f t="shared" si="80"/>
        <v>0</v>
      </c>
      <c r="AX68" s="1012"/>
      <c r="AY68" s="1010"/>
      <c r="AZ68" s="1"/>
      <c r="BA68" s="6"/>
      <c r="BB68" s="6"/>
      <c r="BC68" s="6"/>
      <c r="BD68" s="6"/>
      <c r="BE68" s="632"/>
      <c r="BF68" s="632"/>
      <c r="BG68" s="688"/>
      <c r="BH68" s="688"/>
      <c r="BI68" s="632"/>
      <c r="BJ68" s="711" t="s">
        <v>745</v>
      </c>
      <c r="BK68" s="1000"/>
      <c r="BL68" s="1000"/>
      <c r="BM68" s="1000"/>
      <c r="BN68" s="1000"/>
      <c r="BO68" s="1000"/>
      <c r="BP68" s="1001"/>
      <c r="BQ68" s="6"/>
      <c r="BR68" s="714"/>
      <c r="BS68" s="6"/>
      <c r="BT68" s="6"/>
      <c r="BU68" s="786"/>
      <c r="BV68" s="625"/>
      <c r="BW68" s="625"/>
      <c r="BX68" s="625"/>
      <c r="BY68" s="625"/>
      <c r="BZ68" s="625"/>
      <c r="CA68" s="625"/>
      <c r="CB68" s="625"/>
      <c r="CC68" s="625"/>
      <c r="CD68" s="625"/>
      <c r="CE68" s="625"/>
      <c r="CF68" s="625"/>
      <c r="CG68" s="625"/>
      <c r="CH68" s="625"/>
      <c r="CI68" s="625"/>
      <c r="CJ68" s="625"/>
      <c r="CK68" s="625"/>
      <c r="CL68" s="625"/>
      <c r="CM68" s="625"/>
      <c r="CN68" s="625"/>
      <c r="CO68" s="625"/>
      <c r="CP68" s="625"/>
      <c r="CQ68" s="625"/>
      <c r="CR68" s="625"/>
      <c r="CS68" s="625"/>
      <c r="CT68" s="625"/>
      <c r="CU68" s="625"/>
      <c r="CV68" s="625"/>
      <c r="CW68" s="625"/>
      <c r="CX68" s="625"/>
      <c r="CY68" s="625"/>
      <c r="CZ68" s="625"/>
      <c r="DA68" s="625"/>
      <c r="DB68" s="625"/>
      <c r="DC68" s="625"/>
      <c r="DD68" s="625"/>
      <c r="DE68" s="625"/>
      <c r="DF68" s="625"/>
      <c r="DG68" s="625"/>
      <c r="DH68" s="625"/>
      <c r="DI68" s="625"/>
      <c r="DJ68" s="625"/>
      <c r="DK68" s="625"/>
      <c r="DL68" s="625"/>
      <c r="DM68" s="625"/>
      <c r="DN68" s="625"/>
      <c r="DO68" s="625"/>
      <c r="DP68" s="625"/>
      <c r="DQ68" s="625"/>
      <c r="DR68" s="625"/>
      <c r="DS68" s="625"/>
      <c r="DT68" s="625"/>
      <c r="DU68" s="625"/>
      <c r="DV68" s="625"/>
      <c r="DW68" s="625"/>
      <c r="DX68" s="625"/>
      <c r="DY68" s="625"/>
      <c r="DZ68" s="625"/>
      <c r="EA68" s="625"/>
      <c r="EB68" s="625"/>
      <c r="EC68" s="625"/>
      <c r="ED68" s="625"/>
      <c r="EE68" s="625"/>
      <c r="EF68" s="625"/>
      <c r="EG68" s="625"/>
      <c r="EH68" s="625"/>
      <c r="EI68" s="625"/>
      <c r="EJ68" s="625"/>
      <c r="EK68" s="625"/>
      <c r="EL68" s="625"/>
      <c r="EM68" s="625"/>
      <c r="EN68" s="625"/>
      <c r="EO68" s="625"/>
      <c r="EP68" s="625"/>
      <c r="EQ68" s="625"/>
      <c r="ER68" s="625"/>
      <c r="ES68" s="625"/>
      <c r="ET68" s="625"/>
      <c r="EU68" s="625"/>
      <c r="EV68" s="625"/>
      <c r="EW68" s="625"/>
      <c r="EX68" s="625"/>
      <c r="EY68" s="625"/>
      <c r="EZ68" s="625"/>
      <c r="FA68" s="625"/>
      <c r="FB68" s="625"/>
      <c r="FC68" s="625"/>
    </row>
    <row r="69" ht="15" customHeight="1">
      <c r="A69" s="631"/>
      <c r="B69" s="631"/>
      <c r="C69" s="631"/>
      <c r="D69" s="872" t="s">
        <v>917</v>
      </c>
      <c r="E69" s="652" t="e">
        <f t="shared" si="89" ref="E69:AH69">PMT(E68/12,E46*12,-1)*12*E30</f>
        <v>#N/A</v>
      </c>
      <c r="F69" s="652" t="e">
        <f t="shared" si="89"/>
        <v>#N/A</v>
      </c>
      <c r="G69" s="652" t="e">
        <f t="shared" si="89"/>
        <v>#N/A</v>
      </c>
      <c r="H69" s="652" t="e">
        <f t="shared" si="89"/>
        <v>#N/A</v>
      </c>
      <c r="I69" s="652" t="e">
        <f t="shared" si="89"/>
        <v>#N/A</v>
      </c>
      <c r="J69" s="652" t="e">
        <f t="shared" si="89"/>
        <v>#N/A</v>
      </c>
      <c r="K69" s="652" t="e">
        <f t="shared" si="89"/>
        <v>#N/A</v>
      </c>
      <c r="L69" s="652" t="e">
        <f t="shared" si="89"/>
        <v>#N/A</v>
      </c>
      <c r="M69" s="652" t="e">
        <f t="shared" si="89"/>
        <v>#N/A</v>
      </c>
      <c r="N69" s="652" t="e">
        <f t="shared" si="89"/>
        <v>#N/A</v>
      </c>
      <c r="O69" s="652" t="e">
        <f t="shared" si="89"/>
        <v>#N/A</v>
      </c>
      <c r="P69" s="652" t="e">
        <f t="shared" si="89"/>
        <v>#N/A</v>
      </c>
      <c r="Q69" s="966"/>
      <c r="R69" s="652">
        <f t="shared" si="89"/>
        <v>0</v>
      </c>
      <c r="S69" s="652">
        <f t="shared" si="89"/>
        <v>0</v>
      </c>
      <c r="T69" s="652">
        <f t="shared" si="89"/>
        <v>0</v>
      </c>
      <c r="U69" s="652">
        <f t="shared" si="89"/>
        <v>0</v>
      </c>
      <c r="V69" s="652">
        <f t="shared" si="89"/>
        <v>0</v>
      </c>
      <c r="W69" s="652">
        <f t="shared" si="89"/>
        <v>0</v>
      </c>
      <c r="X69" s="652">
        <f t="shared" si="89"/>
        <v>0</v>
      </c>
      <c r="Y69" s="652">
        <f t="shared" si="89"/>
        <v>0</v>
      </c>
      <c r="Z69" s="966"/>
      <c r="AA69" s="652">
        <f t="shared" si="89"/>
        <v>0</v>
      </c>
      <c r="AB69" s="652">
        <f t="shared" si="89"/>
        <v>0</v>
      </c>
      <c r="AC69" s="652">
        <f t="shared" si="89"/>
        <v>0</v>
      </c>
      <c r="AD69" s="652">
        <f t="shared" si="89"/>
        <v>0</v>
      </c>
      <c r="AE69" s="652">
        <f t="shared" si="89"/>
        <v>0</v>
      </c>
      <c r="AF69" s="652">
        <f t="shared" si="89"/>
        <v>0</v>
      </c>
      <c r="AG69" s="652">
        <f t="shared" si="89"/>
        <v>0</v>
      </c>
      <c r="AH69" s="652">
        <f t="shared" si="89"/>
        <v>0</v>
      </c>
      <c r="AI69" s="632"/>
      <c r="AJ69" s="640" t="s">
        <v>918</v>
      </c>
      <c r="AK69" s="640"/>
      <c r="AL69" s="640"/>
      <c r="AM69" s="640"/>
      <c r="AN69" s="640"/>
      <c r="AO69" s="632"/>
      <c r="AP69" s="632"/>
      <c r="AQ69" s="632"/>
      <c r="AR69" s="632"/>
      <c r="AS69" s="632"/>
      <c r="AT69" s="632"/>
      <c r="AU69" s="714" t="s">
        <v>919</v>
      </c>
      <c r="AV69" s="6"/>
      <c r="AW69" s="753">
        <f t="shared" si="80"/>
        <v>0</v>
      </c>
      <c r="AX69" s="1012"/>
      <c r="AY69" s="1010"/>
      <c r="AZ69" s="1"/>
      <c r="BA69" s="6"/>
      <c r="BB69" s="6"/>
      <c r="BC69" s="6"/>
      <c r="BD69" s="6"/>
      <c r="BE69" s="632"/>
      <c r="BF69" s="632"/>
      <c r="BG69" s="688"/>
      <c r="BH69" s="688"/>
      <c r="BJ69" s="720" t="s">
        <v>751</v>
      </c>
      <c r="BK69" s="721" t="s">
        <v>630</v>
      </c>
      <c r="BL69" s="721" t="s">
        <v>630</v>
      </c>
      <c r="BM69" s="721" t="s">
        <v>630</v>
      </c>
      <c r="BN69" s="721" t="s">
        <v>629</v>
      </c>
      <c r="BO69" s="721" t="s">
        <v>629</v>
      </c>
      <c r="BP69" s="722" t="s">
        <v>629</v>
      </c>
      <c r="BQ69" s="6"/>
      <c r="BR69" s="714"/>
      <c r="BS69" s="6"/>
      <c r="BT69" s="6"/>
      <c r="BU69" s="786"/>
      <c r="BV69" s="625"/>
      <c r="BW69" s="625"/>
      <c r="BX69" s="625"/>
      <c r="BY69" s="625"/>
      <c r="BZ69" s="625"/>
      <c r="CA69" s="625"/>
      <c r="CB69" s="625"/>
      <c r="CC69" s="625"/>
      <c r="CD69" s="625"/>
      <c r="CE69" s="625"/>
      <c r="CF69" s="625"/>
      <c r="CG69" s="625"/>
      <c r="CH69" s="625"/>
      <c r="CI69" s="625"/>
      <c r="CJ69" s="625"/>
      <c r="CK69" s="625"/>
      <c r="CL69" s="625"/>
      <c r="CM69" s="625"/>
      <c r="CN69" s="625"/>
      <c r="CO69" s="625"/>
      <c r="CP69" s="625"/>
      <c r="CQ69" s="625"/>
      <c r="CR69" s="625"/>
      <c r="CS69" s="625"/>
      <c r="CT69" s="625"/>
      <c r="CU69" s="625"/>
      <c r="CV69" s="625"/>
      <c r="CW69" s="625"/>
      <c r="CX69" s="625"/>
      <c r="CY69" s="625"/>
      <c r="CZ69" s="625"/>
      <c r="DA69" s="625"/>
      <c r="DB69" s="625"/>
      <c r="DC69" s="625"/>
      <c r="DD69" s="625"/>
      <c r="DE69" s="625"/>
      <c r="DF69" s="625"/>
      <c r="DG69" s="625"/>
      <c r="DH69" s="625"/>
      <c r="DI69" s="625"/>
      <c r="DJ69" s="625"/>
      <c r="DK69" s="625"/>
      <c r="DL69" s="625"/>
      <c r="DM69" s="625"/>
      <c r="DN69" s="625"/>
      <c r="DO69" s="625"/>
      <c r="DP69" s="625"/>
      <c r="DQ69" s="625"/>
      <c r="DR69" s="625"/>
      <c r="DS69" s="625"/>
      <c r="DT69" s="625"/>
      <c r="DU69" s="625"/>
      <c r="DV69" s="625"/>
      <c r="DW69" s="625"/>
      <c r="DX69" s="625"/>
      <c r="DY69" s="625"/>
      <c r="DZ69" s="625"/>
      <c r="EA69" s="625"/>
      <c r="EB69" s="625"/>
      <c r="EC69" s="625"/>
      <c r="ED69" s="625"/>
      <c r="EE69" s="625"/>
      <c r="EF69" s="625"/>
      <c r="EG69" s="625"/>
      <c r="EH69" s="625"/>
      <c r="EI69" s="625"/>
      <c r="EJ69" s="625"/>
      <c r="EK69" s="625"/>
      <c r="EL69" s="625"/>
      <c r="EM69" s="625"/>
      <c r="EN69" s="625"/>
      <c r="EO69" s="625"/>
      <c r="EP69" s="625"/>
      <c r="EQ69" s="625"/>
      <c r="ER69" s="625"/>
      <c r="ES69" s="625"/>
      <c r="ET69" s="625"/>
      <c r="EU69" s="625"/>
      <c r="EV69" s="625"/>
      <c r="EW69" s="625"/>
      <c r="EX69" s="625"/>
      <c r="EY69" s="625"/>
      <c r="EZ69" s="625"/>
      <c r="FA69" s="625"/>
      <c r="FB69" s="625"/>
      <c r="FC69" s="625"/>
    </row>
    <row r="70" ht="15" customHeight="1">
      <c r="A70" s="631"/>
      <c r="B70" s="631"/>
      <c r="C70" s="631"/>
      <c r="D70" s="872" t="s">
        <v>650</v>
      </c>
      <c r="E70" s="652" t="e">
        <f t="shared" si="90" ref="E70:AH70">(E30*E68*365)/360</f>
        <v>#N/A</v>
      </c>
      <c r="F70" s="652" t="e">
        <f t="shared" si="90"/>
        <v>#N/A</v>
      </c>
      <c r="G70" s="652" t="e">
        <f t="shared" si="90"/>
        <v>#N/A</v>
      </c>
      <c r="H70" s="652" t="e">
        <f t="shared" si="90"/>
        <v>#N/A</v>
      </c>
      <c r="I70" s="652" t="e">
        <f t="shared" si="90"/>
        <v>#N/A</v>
      </c>
      <c r="J70" s="652" t="e">
        <f t="shared" si="90"/>
        <v>#N/A</v>
      </c>
      <c r="K70" s="652" t="e">
        <f t="shared" si="90"/>
        <v>#N/A</v>
      </c>
      <c r="L70" s="652" t="e">
        <f t="shared" si="90"/>
        <v>#N/A</v>
      </c>
      <c r="M70" s="652" t="e">
        <f t="shared" si="90"/>
        <v>#N/A</v>
      </c>
      <c r="N70" s="652" t="e">
        <f t="shared" si="90"/>
        <v>#N/A</v>
      </c>
      <c r="O70" s="652" t="e">
        <f t="shared" si="90"/>
        <v>#N/A</v>
      </c>
      <c r="P70" s="652" t="e">
        <f t="shared" si="90"/>
        <v>#N/A</v>
      </c>
      <c r="Q70" s="966"/>
      <c r="R70" s="652">
        <f t="shared" si="90"/>
        <v>0</v>
      </c>
      <c r="S70" s="652">
        <f t="shared" si="90"/>
        <v>0</v>
      </c>
      <c r="T70" s="652">
        <f t="shared" si="90"/>
        <v>0</v>
      </c>
      <c r="U70" s="652">
        <f t="shared" si="90"/>
        <v>0</v>
      </c>
      <c r="V70" s="652">
        <f t="shared" si="90"/>
        <v>0</v>
      </c>
      <c r="W70" s="652">
        <f t="shared" si="90"/>
        <v>0</v>
      </c>
      <c r="X70" s="652">
        <f t="shared" si="90"/>
        <v>0</v>
      </c>
      <c r="Y70" s="652">
        <f t="shared" si="90"/>
        <v>0</v>
      </c>
      <c r="Z70" s="966"/>
      <c r="AA70" s="652">
        <f t="shared" si="90"/>
        <v>0</v>
      </c>
      <c r="AB70" s="652">
        <f t="shared" si="90"/>
        <v>0</v>
      </c>
      <c r="AC70" s="652">
        <f t="shared" si="90"/>
        <v>0</v>
      </c>
      <c r="AD70" s="652">
        <f t="shared" si="90"/>
        <v>0</v>
      </c>
      <c r="AE70" s="652">
        <f t="shared" si="90"/>
        <v>0</v>
      </c>
      <c r="AF70" s="652">
        <f t="shared" si="90"/>
        <v>0</v>
      </c>
      <c r="AG70" s="652">
        <f t="shared" si="90"/>
        <v>0</v>
      </c>
      <c r="AH70" s="652">
        <f t="shared" si="90"/>
        <v>0</v>
      </c>
      <c r="AI70" s="632"/>
      <c r="AJ70" s="1024"/>
      <c r="AK70" s="1024" t="s">
        <v>209</v>
      </c>
      <c r="AL70" s="1024"/>
      <c r="AM70" s="1024"/>
      <c r="AN70" s="1024">
        <v>0</v>
      </c>
      <c r="AO70" s="632"/>
      <c r="AP70" s="632"/>
      <c r="AQ70" s="632"/>
      <c r="AR70" s="632"/>
      <c r="AS70" s="632"/>
      <c r="AT70" s="632"/>
      <c r="AU70" s="1016" t="s">
        <v>920</v>
      </c>
      <c r="AV70" s="1017"/>
      <c r="AW70" s="1018">
        <f t="shared" si="80"/>
        <v>0</v>
      </c>
      <c r="AX70" s="1012"/>
      <c r="AY70" s="944"/>
      <c r="AZ70" s="1"/>
      <c r="BA70" s="6"/>
      <c r="BB70" s="6"/>
      <c r="BC70" s="6"/>
      <c r="BD70" s="6"/>
      <c r="BE70" s="632"/>
      <c r="BF70" s="632"/>
      <c r="BG70" s="688"/>
      <c r="BH70" s="688"/>
      <c r="BI70" s="632"/>
      <c r="BJ70" s="711" t="s">
        <v>757</v>
      </c>
      <c r="BK70" s="712">
        <v>-5</v>
      </c>
      <c r="BL70" s="712">
        <v>-10</v>
      </c>
      <c r="BM70" s="712">
        <v>-10</v>
      </c>
      <c r="BN70" s="712">
        <v>-5</v>
      </c>
      <c r="BO70" s="712">
        <v>-10</v>
      </c>
      <c r="BP70" s="713">
        <v>-10</v>
      </c>
      <c r="BQ70" s="6"/>
      <c r="BR70" s="714"/>
      <c r="BS70" s="6"/>
      <c r="BT70" s="6"/>
      <c r="BU70" s="786"/>
      <c r="BV70" s="625"/>
      <c r="BW70" s="625"/>
      <c r="BX70" s="625"/>
      <c r="BY70" s="625"/>
      <c r="BZ70" s="625"/>
      <c r="CA70" s="625"/>
      <c r="CB70" s="625"/>
      <c r="CC70" s="625"/>
      <c r="CD70" s="625"/>
      <c r="CE70" s="625"/>
      <c r="CF70" s="625"/>
      <c r="CG70" s="625"/>
      <c r="CH70" s="625"/>
      <c r="CI70" s="625"/>
      <c r="CJ70" s="625"/>
      <c r="CK70" s="625"/>
      <c r="CL70" s="625"/>
      <c r="CM70" s="625"/>
      <c r="CN70" s="625"/>
      <c r="CO70" s="625"/>
      <c r="CP70" s="625"/>
      <c r="CQ70" s="625"/>
      <c r="CR70" s="625"/>
      <c r="CS70" s="625"/>
      <c r="CT70" s="625"/>
      <c r="CU70" s="625"/>
      <c r="CV70" s="625"/>
      <c r="CW70" s="625"/>
      <c r="CX70" s="625"/>
      <c r="CY70" s="625"/>
      <c r="CZ70" s="625"/>
      <c r="DA70" s="625"/>
      <c r="DB70" s="625"/>
      <c r="DC70" s="625"/>
      <c r="DD70" s="625"/>
      <c r="DE70" s="625"/>
      <c r="DF70" s="625"/>
      <c r="DG70" s="625"/>
      <c r="DH70" s="625"/>
      <c r="DI70" s="625"/>
      <c r="DJ70" s="625"/>
      <c r="DK70" s="625"/>
      <c r="DL70" s="625"/>
      <c r="DM70" s="625"/>
      <c r="DN70" s="625"/>
      <c r="DO70" s="625"/>
      <c r="DP70" s="625"/>
      <c r="DQ70" s="625"/>
      <c r="DR70" s="625"/>
      <c r="DS70" s="625"/>
      <c r="DT70" s="625"/>
      <c r="DU70" s="625"/>
      <c r="DV70" s="625"/>
      <c r="DW70" s="625"/>
      <c r="DX70" s="625"/>
      <c r="DY70" s="625"/>
      <c r="DZ70" s="625"/>
      <c r="EA70" s="625"/>
      <c r="EB70" s="625"/>
      <c r="EC70" s="625"/>
      <c r="ED70" s="625"/>
      <c r="EE70" s="625"/>
      <c r="EF70" s="625"/>
      <c r="EG70" s="625"/>
      <c r="EH70" s="625"/>
      <c r="EI70" s="625"/>
      <c r="EJ70" s="625"/>
      <c r="EK70" s="625"/>
      <c r="EL70" s="625"/>
      <c r="EM70" s="625"/>
      <c r="EN70" s="625"/>
      <c r="EO70" s="625"/>
      <c r="EP70" s="625"/>
      <c r="EQ70" s="625"/>
      <c r="ER70" s="625"/>
      <c r="ES70" s="625"/>
      <c r="ET70" s="625"/>
      <c r="EU70" s="625"/>
      <c r="EV70" s="625"/>
      <c r="EW70" s="625"/>
      <c r="EX70" s="625"/>
      <c r="EY70" s="625"/>
      <c r="EZ70" s="625"/>
      <c r="FA70" s="625"/>
      <c r="FB70" s="625"/>
      <c r="FC70" s="625"/>
    </row>
    <row r="71" ht="15" customHeight="1">
      <c r="A71" s="631"/>
      <c r="B71" s="631"/>
      <c r="C71" s="631"/>
      <c r="D71" s="1019" t="s">
        <v>921</v>
      </c>
      <c r="E71" s="1025"/>
      <c r="F71" s="1025"/>
      <c r="G71" s="1025"/>
      <c r="H71" s="1025"/>
      <c r="I71" s="1025"/>
      <c r="J71" s="1025"/>
      <c r="K71" s="1025"/>
      <c r="L71" s="1025"/>
      <c r="M71" s="1025"/>
      <c r="N71" s="1025"/>
      <c r="O71" s="1025"/>
      <c r="P71" s="1025"/>
      <c r="Q71" s="1020"/>
      <c r="R71" s="1025"/>
      <c r="S71" s="1025"/>
      <c r="T71" s="1025"/>
      <c r="U71" s="1025"/>
      <c r="V71" s="1025"/>
      <c r="W71" s="1025"/>
      <c r="X71" s="1025"/>
      <c r="Y71" s="1025"/>
      <c r="Z71" s="1020"/>
      <c r="AA71" s="1025"/>
      <c r="AB71" s="1025"/>
      <c r="AC71" s="1025"/>
      <c r="AD71" s="1025"/>
      <c r="AE71" s="1025"/>
      <c r="AF71" s="1025"/>
      <c r="AG71" s="1025"/>
      <c r="AH71" s="1025"/>
      <c r="AI71" s="1026"/>
      <c r="AJ71" s="651"/>
      <c r="AK71" s="651" t="s">
        <v>209</v>
      </c>
      <c r="AL71" s="651"/>
      <c r="AM71" s="651"/>
      <c r="AN71" s="651">
        <v>0</v>
      </c>
      <c r="AO71" s="632"/>
      <c r="AP71" s="632"/>
      <c r="AQ71" s="632"/>
      <c r="AR71" s="632"/>
      <c r="AS71" s="632"/>
      <c r="AT71" s="632"/>
      <c r="AU71" s="714" t="s">
        <v>922</v>
      </c>
      <c r="AV71" s="6"/>
      <c r="AW71" s="1023">
        <f t="shared" si="80"/>
        <v>0</v>
      </c>
      <c r="AX71" s="1012"/>
      <c r="AY71" s="1010"/>
      <c r="AZ71" s="1"/>
      <c r="BA71" s="6"/>
      <c r="BB71" s="6"/>
      <c r="BC71" s="6"/>
      <c r="BD71" s="1027"/>
      <c r="BE71" s="632"/>
      <c r="BF71" s="632"/>
      <c r="BG71" s="688"/>
      <c r="BH71" s="688"/>
      <c r="BI71" s="632"/>
      <c r="BJ71" s="720"/>
      <c r="BK71" s="721"/>
      <c r="BL71" s="721"/>
      <c r="BM71" s="721"/>
      <c r="BN71" s="721"/>
      <c r="BO71" s="721"/>
      <c r="BP71" s="722"/>
      <c r="BQ71" s="6"/>
      <c r="BR71" s="714"/>
      <c r="BS71" s="6"/>
      <c r="BT71" s="6"/>
      <c r="BU71" s="786"/>
      <c r="BV71" s="625"/>
      <c r="BW71" s="625"/>
      <c r="BX71" s="625"/>
      <c r="BY71" s="625"/>
      <c r="BZ71" s="625"/>
      <c r="CA71" s="625"/>
      <c r="CB71" s="625"/>
      <c r="CC71" s="625"/>
      <c r="CD71" s="625"/>
      <c r="CE71" s="625"/>
      <c r="CF71" s="625"/>
      <c r="CG71" s="625"/>
      <c r="CH71" s="625"/>
      <c r="CI71" s="625"/>
      <c r="CJ71" s="625"/>
      <c r="CK71" s="625"/>
      <c r="CL71" s="625"/>
      <c r="CM71" s="625"/>
      <c r="CN71" s="625"/>
      <c r="CO71" s="625"/>
      <c r="CP71" s="625"/>
      <c r="CQ71" s="625"/>
      <c r="CR71" s="625"/>
      <c r="CS71" s="625"/>
      <c r="CT71" s="625"/>
      <c r="CU71" s="625"/>
      <c r="CV71" s="625"/>
      <c r="CW71" s="625"/>
      <c r="CX71" s="625"/>
      <c r="CY71" s="625"/>
      <c r="CZ71" s="625"/>
      <c r="DA71" s="625"/>
      <c r="DB71" s="625"/>
      <c r="DC71" s="625"/>
      <c r="DD71" s="625"/>
      <c r="DE71" s="625"/>
      <c r="DF71" s="625"/>
      <c r="DG71" s="625"/>
      <c r="DH71" s="625"/>
      <c r="DI71" s="625"/>
      <c r="DJ71" s="625"/>
      <c r="DK71" s="625"/>
      <c r="DL71" s="625"/>
      <c r="DM71" s="625"/>
      <c r="DN71" s="625"/>
      <c r="DO71" s="625"/>
      <c r="DP71" s="625"/>
      <c r="DQ71" s="625"/>
      <c r="DR71" s="625"/>
      <c r="DS71" s="625"/>
      <c r="DT71" s="625"/>
      <c r="DU71" s="625"/>
      <c r="DV71" s="625"/>
      <c r="DW71" s="625"/>
      <c r="DX71" s="625"/>
      <c r="DY71" s="625"/>
      <c r="DZ71" s="625"/>
      <c r="EA71" s="625"/>
      <c r="EB71" s="625"/>
      <c r="EC71" s="625"/>
      <c r="ED71" s="625"/>
      <c r="EE71" s="625"/>
      <c r="EF71" s="625"/>
      <c r="EG71" s="625"/>
      <c r="EH71" s="625"/>
      <c r="EI71" s="625"/>
      <c r="EJ71" s="625"/>
      <c r="EK71" s="625"/>
      <c r="EL71" s="625"/>
      <c r="EM71" s="625"/>
      <c r="EN71" s="625"/>
      <c r="EO71" s="625"/>
      <c r="EP71" s="625"/>
      <c r="EQ71" s="625"/>
      <c r="ER71" s="625"/>
      <c r="ES71" s="625"/>
      <c r="ET71" s="625"/>
      <c r="EU71" s="625"/>
      <c r="EV71" s="625"/>
      <c r="EW71" s="625"/>
      <c r="EX71" s="625"/>
      <c r="EY71" s="625"/>
      <c r="EZ71" s="625"/>
      <c r="FA71" s="625"/>
      <c r="FB71" s="625"/>
      <c r="FC71" s="625"/>
    </row>
    <row r="72" ht="15" customHeight="1">
      <c r="A72" s="631"/>
      <c r="B72" s="631"/>
      <c r="C72" s="631"/>
      <c r="D72" s="872" t="s">
        <v>923</v>
      </c>
      <c r="E72" s="1026">
        <f t="shared" si="91" ref="E72:P72">_xlfn.LET(_xlpm.market_tier,$B$22,_xlpm.requested_loan_amount,E$25,_xlpm.is_linked_loan_or_scattered_site,$B$28="Yes",_xlpm.borrower_is_inexperienced,$B$30="Yes",_xlpm.yrs_of_io,E$43,_xlpm.default_yrs_of_io,E$44,MAX(IF(_xlpm.is_linked_loan_or_scattered_site,IF(_xlpm.market_tier="Top",1.25,1.3),1.2),IF(_xlpm.market_tier="Top",1.2,IF(_xlpm.market_tier="Standard",1.25,IF(_xlpm.market_tier="Small",1.3,1.4))),IF(_xlpm.requested_loan_amount&gt;=6000000,1.2,1.2))+IF(_xlpm.yrs_of_io&gt;_xlpm.default_yrs_of_io,IF(OR(_xlpm.market_tier="Top",_xlpm.market_tier="Standard"),0.15,0.1),0)+IF(_xlpm.borrower_is_inexperienced,0.05,0))</f>
        <v>1.4</v>
      </c>
      <c r="F72" s="1026">
        <f t="shared" si="91"/>
        <v>1.4</v>
      </c>
      <c r="G72" s="1026">
        <f t="shared" si="91"/>
        <v>1.4</v>
      </c>
      <c r="H72" s="1026">
        <f t="shared" si="91"/>
        <v>1.4</v>
      </c>
      <c r="I72" s="1026">
        <f t="shared" si="91"/>
        <v>1.4</v>
      </c>
      <c r="J72" s="1026">
        <f t="shared" si="91"/>
        <v>1.4</v>
      </c>
      <c r="K72" s="1026">
        <f t="shared" si="91"/>
        <v>1.4</v>
      </c>
      <c r="L72" s="1026">
        <f t="shared" si="91"/>
        <v>1.4</v>
      </c>
      <c r="M72" s="1026">
        <f t="shared" si="91"/>
        <v>1.4</v>
      </c>
      <c r="N72" s="1026">
        <f t="shared" si="91"/>
        <v>1.4</v>
      </c>
      <c r="O72" s="1026">
        <f t="shared" si="91"/>
        <v>1.4</v>
      </c>
      <c r="P72" s="1026">
        <f t="shared" si="91"/>
        <v>1.4</v>
      </c>
      <c r="Q72" s="1026"/>
      <c r="R72" s="1026">
        <f t="shared" si="92" ref="R72:Y72">_xlfn.LET(_xlpm.Tier,R$39,IF(_xlpm.Tier=4,1.55,IF(_xlpm.Tier=3,1.35,IF(_xlpm.Tier=2,1.25,1.25))))</f>
        <v>1.25</v>
      </c>
      <c r="S72" s="1026">
        <f t="shared" si="92"/>
        <v>1.25</v>
      </c>
      <c r="T72" s="1026">
        <f t="shared" si="92"/>
        <v>1.25</v>
      </c>
      <c r="U72" s="1026">
        <f t="shared" si="92"/>
        <v>1.35</v>
      </c>
      <c r="V72" s="1026">
        <f t="shared" si="92"/>
        <v>1.55</v>
      </c>
      <c r="W72" s="1026">
        <f t="shared" si="92"/>
        <v>1.35</v>
      </c>
      <c r="X72" s="1026">
        <f t="shared" si="92"/>
        <v>1.55</v>
      </c>
      <c r="Y72" s="1026">
        <f t="shared" si="92"/>
        <v>1.25</v>
      </c>
      <c r="Z72" s="1026"/>
      <c r="AA72" s="1026">
        <v>1.35</v>
      </c>
      <c r="AB72" s="1026">
        <v>1.35</v>
      </c>
      <c r="AC72" s="1026">
        <v>1.35</v>
      </c>
      <c r="AD72" s="1026">
        <v>1.35</v>
      </c>
      <c r="AE72" s="1026">
        <v>1.35</v>
      </c>
      <c r="AF72" s="1026">
        <v>1.35</v>
      </c>
      <c r="AG72" s="1026">
        <v>1.35</v>
      </c>
      <c r="AH72" s="1026">
        <v>1.35</v>
      </c>
      <c r="AI72" s="1026"/>
      <c r="AJ72" s="653" t="s">
        <v>924</v>
      </c>
      <c r="AK72" s="731" t="s">
        <v>209</v>
      </c>
      <c r="AL72" s="635"/>
      <c r="AM72" s="653" t="s">
        <v>925</v>
      </c>
      <c r="AN72" s="778">
        <v>0</v>
      </c>
      <c r="AO72" s="632"/>
      <c r="AP72" s="632"/>
      <c r="AQ72" s="632"/>
      <c r="AR72" s="632"/>
      <c r="AS72" s="632"/>
      <c r="AT72" s="632"/>
      <c r="AU72" s="714" t="s">
        <v>926</v>
      </c>
      <c r="AV72" s="6"/>
      <c r="AW72" s="1023">
        <f t="shared" si="80"/>
        <v>0</v>
      </c>
      <c r="AX72" s="1012"/>
      <c r="AY72" s="1010"/>
      <c r="AZ72" s="1"/>
      <c r="BA72" s="6"/>
      <c r="BB72" s="6"/>
      <c r="BC72" s="6"/>
      <c r="BD72" s="1028"/>
      <c r="BE72" s="632"/>
      <c r="BF72" s="632"/>
      <c r="BG72" s="688"/>
      <c r="BH72" s="1029"/>
      <c r="BI72" s="632"/>
      <c r="BJ72" s="711" t="s">
        <v>927</v>
      </c>
      <c r="BK72" s="712" t="s">
        <v>764</v>
      </c>
      <c r="BL72" s="712" t="s">
        <v>765</v>
      </c>
      <c r="BM72" s="712" t="s">
        <v>766</v>
      </c>
      <c r="BN72" s="712" t="s">
        <v>767</v>
      </c>
      <c r="BO72" s="712" t="s">
        <v>768</v>
      </c>
      <c r="BP72" s="713" t="s">
        <v>769</v>
      </c>
      <c r="BQ72" s="6"/>
      <c r="BR72" s="714"/>
      <c r="BS72" s="6"/>
      <c r="BT72" s="6"/>
      <c r="BU72" s="786"/>
      <c r="BV72" s="625"/>
      <c r="BW72" s="625"/>
      <c r="BX72" s="625"/>
      <c r="BY72" s="625"/>
      <c r="BZ72" s="625"/>
      <c r="CA72" s="625"/>
      <c r="CB72" s="625"/>
      <c r="CC72" s="625"/>
      <c r="CD72" s="625"/>
      <c r="CE72" s="625"/>
      <c r="CF72" s="625"/>
      <c r="CG72" s="625"/>
      <c r="CH72" s="625"/>
      <c r="CI72" s="625"/>
      <c r="CJ72" s="625"/>
      <c r="CK72" s="625"/>
      <c r="CL72" s="625"/>
      <c r="CM72" s="625"/>
      <c r="CN72" s="625"/>
      <c r="CO72" s="625"/>
      <c r="CP72" s="625"/>
      <c r="CQ72" s="625"/>
      <c r="CR72" s="625"/>
      <c r="CS72" s="625"/>
      <c r="CT72" s="625"/>
      <c r="CU72" s="625"/>
      <c r="CV72" s="625"/>
      <c r="CW72" s="625"/>
      <c r="CX72" s="625"/>
      <c r="CY72" s="625"/>
      <c r="CZ72" s="625"/>
      <c r="DA72" s="625"/>
      <c r="DB72" s="625"/>
      <c r="DC72" s="625"/>
      <c r="DD72" s="625"/>
      <c r="DE72" s="625"/>
      <c r="DF72" s="625"/>
      <c r="DG72" s="625"/>
      <c r="DH72" s="625"/>
      <c r="DI72" s="625"/>
      <c r="DJ72" s="625"/>
      <c r="DK72" s="625"/>
      <c r="DL72" s="625"/>
      <c r="DM72" s="625"/>
      <c r="DN72" s="625"/>
      <c r="DO72" s="625"/>
      <c r="DP72" s="625"/>
      <c r="DQ72" s="625"/>
      <c r="DR72" s="625"/>
      <c r="DS72" s="625"/>
      <c r="DT72" s="625"/>
      <c r="DU72" s="625"/>
      <c r="DV72" s="625"/>
      <c r="DW72" s="625"/>
      <c r="DX72" s="625"/>
      <c r="DY72" s="625"/>
      <c r="DZ72" s="625"/>
      <c r="EA72" s="625"/>
      <c r="EB72" s="625"/>
      <c r="EC72" s="625"/>
      <c r="ED72" s="625"/>
      <c r="EE72" s="625"/>
      <c r="EF72" s="625"/>
      <c r="EG72" s="625"/>
      <c r="EH72" s="625"/>
      <c r="EI72" s="625"/>
      <c r="EJ72" s="625"/>
      <c r="EK72" s="625"/>
      <c r="EL72" s="625"/>
      <c r="EM72" s="625"/>
      <c r="EN72" s="625"/>
      <c r="EO72" s="625"/>
      <c r="EP72" s="625"/>
      <c r="EQ72" s="625"/>
      <c r="ER72" s="625"/>
      <c r="ES72" s="625"/>
      <c r="ET72" s="625"/>
      <c r="EU72" s="625"/>
      <c r="EV72" s="625"/>
      <c r="EW72" s="625"/>
      <c r="EX72" s="625"/>
      <c r="EY72" s="625"/>
      <c r="EZ72" s="625"/>
      <c r="FA72" s="625"/>
      <c r="FB72" s="625"/>
      <c r="FC72" s="625"/>
    </row>
    <row r="73" ht="15" customHeight="1">
      <c r="A73" s="631"/>
      <c r="B73" s="631"/>
      <c r="C73" s="631"/>
      <c r="D73" s="1030" t="s">
        <v>928</v>
      </c>
      <c r="E73" s="1031">
        <f t="shared" si="93" ref="E73:AH73">E72</f>
        <v>1.4</v>
      </c>
      <c r="F73" s="1031">
        <f t="shared" si="93"/>
        <v>1.4</v>
      </c>
      <c r="G73" s="1031">
        <f t="shared" si="93"/>
        <v>1.4</v>
      </c>
      <c r="H73" s="1031">
        <f t="shared" si="93"/>
        <v>1.4</v>
      </c>
      <c r="I73" s="1031">
        <f t="shared" si="93"/>
        <v>1.4</v>
      </c>
      <c r="J73" s="1031">
        <f t="shared" si="93"/>
        <v>1.4</v>
      </c>
      <c r="K73" s="1031">
        <f t="shared" si="93"/>
        <v>1.4</v>
      </c>
      <c r="L73" s="1031">
        <f t="shared" si="93"/>
        <v>1.4</v>
      </c>
      <c r="M73" s="1031">
        <f t="shared" si="93"/>
        <v>1.4</v>
      </c>
      <c r="N73" s="1031">
        <f t="shared" si="93"/>
        <v>1.4</v>
      </c>
      <c r="O73" s="1031">
        <f t="shared" si="93"/>
        <v>1.4</v>
      </c>
      <c r="P73" s="1031">
        <f t="shared" si="93"/>
        <v>1.4</v>
      </c>
      <c r="Q73" s="1026"/>
      <c r="R73" s="1031">
        <f t="shared" si="93"/>
        <v>1.25</v>
      </c>
      <c r="S73" s="1031">
        <f t="shared" si="93"/>
        <v>1.25</v>
      </c>
      <c r="T73" s="1031">
        <f t="shared" si="93"/>
        <v>1.25</v>
      </c>
      <c r="U73" s="1031">
        <f t="shared" si="93"/>
        <v>1.35</v>
      </c>
      <c r="V73" s="1031">
        <f t="shared" si="93"/>
        <v>1.55</v>
      </c>
      <c r="W73" s="1031">
        <f t="shared" si="93"/>
        <v>1.35</v>
      </c>
      <c r="X73" s="1031">
        <f t="shared" si="93"/>
        <v>1.55</v>
      </c>
      <c r="Y73" s="1031">
        <f t="shared" si="93"/>
        <v>1.25</v>
      </c>
      <c r="Z73" s="1026"/>
      <c r="AA73" s="1031">
        <f t="shared" si="93"/>
        <v>1.35</v>
      </c>
      <c r="AB73" s="1031">
        <f t="shared" si="93"/>
        <v>1.35</v>
      </c>
      <c r="AC73" s="1031">
        <f t="shared" si="93"/>
        <v>1.35</v>
      </c>
      <c r="AD73" s="1031">
        <f t="shared" si="93"/>
        <v>1.35</v>
      </c>
      <c r="AE73" s="1031">
        <f t="shared" si="93"/>
        <v>1.35</v>
      </c>
      <c r="AF73" s="1031">
        <f t="shared" si="93"/>
        <v>1.35</v>
      </c>
      <c r="AG73" s="1031">
        <f t="shared" si="93"/>
        <v>1.35</v>
      </c>
      <c r="AH73" s="1031">
        <f t="shared" si="93"/>
        <v>1.35</v>
      </c>
      <c r="AI73" s="1024"/>
      <c r="AJ73" s="653" t="s">
        <v>929</v>
      </c>
      <c r="AK73" s="731" t="s">
        <v>209</v>
      </c>
      <c r="AL73" s="635"/>
      <c r="AM73" s="653" t="s">
        <v>930</v>
      </c>
      <c r="AN73" s="778">
        <v>0</v>
      </c>
      <c r="AO73" s="632"/>
      <c r="AP73" s="632"/>
      <c r="AQ73" s="632"/>
      <c r="AR73" s="632"/>
      <c r="AS73" s="632"/>
      <c r="AT73" s="632"/>
      <c r="AU73" s="839" t="s">
        <v>931</v>
      </c>
      <c r="AV73" s="9"/>
      <c r="AW73" s="1032">
        <f t="shared" si="80"/>
        <v>0</v>
      </c>
      <c r="AX73" s="1012"/>
      <c r="AY73" s="1010"/>
      <c r="AZ73" s="1"/>
      <c r="BA73" s="6"/>
      <c r="BB73" s="6"/>
      <c r="BC73" s="6"/>
      <c r="BD73" s="1028"/>
      <c r="BE73" s="632"/>
      <c r="BF73" s="632"/>
      <c r="BG73" s="27"/>
      <c r="BH73" s="1029"/>
      <c r="BI73" s="632"/>
      <c r="BJ73" s="720" t="s">
        <v>757</v>
      </c>
      <c r="BK73" s="721">
        <v>5</v>
      </c>
      <c r="BL73" s="721">
        <v>10</v>
      </c>
      <c r="BM73" s="721">
        <v>10</v>
      </c>
      <c r="BN73" s="721">
        <v>5</v>
      </c>
      <c r="BO73" s="721">
        <v>10</v>
      </c>
      <c r="BP73" s="722">
        <v>10</v>
      </c>
      <c r="BQ73" s="6"/>
      <c r="BR73" s="714"/>
      <c r="BS73" s="6"/>
      <c r="BT73" s="6"/>
      <c r="BU73" s="786"/>
      <c r="BV73" s="625"/>
      <c r="BW73" s="625"/>
      <c r="BX73" s="625"/>
      <c r="BY73" s="625"/>
      <c r="BZ73" s="625"/>
      <c r="CA73" s="625"/>
      <c r="CB73" s="625"/>
      <c r="CC73" s="625"/>
      <c r="CD73" s="625"/>
      <c r="CE73" s="625"/>
      <c r="CF73" s="625"/>
      <c r="CG73" s="625"/>
      <c r="CH73" s="625"/>
      <c r="CI73" s="625"/>
      <c r="CJ73" s="625"/>
      <c r="CK73" s="625"/>
      <c r="CL73" s="625"/>
      <c r="CM73" s="625"/>
      <c r="CN73" s="625"/>
      <c r="CO73" s="625"/>
      <c r="CP73" s="625"/>
      <c r="CQ73" s="625"/>
      <c r="CR73" s="625"/>
      <c r="CS73" s="625"/>
      <c r="CT73" s="625"/>
      <c r="CU73" s="625"/>
      <c r="CV73" s="625"/>
      <c r="CW73" s="625"/>
      <c r="CX73" s="625"/>
      <c r="CY73" s="625"/>
      <c r="CZ73" s="625"/>
      <c r="DA73" s="625"/>
      <c r="DB73" s="625"/>
      <c r="DC73" s="625"/>
      <c r="DD73" s="625"/>
      <c r="DE73" s="625"/>
      <c r="DF73" s="625"/>
      <c r="DG73" s="625"/>
      <c r="DH73" s="625"/>
      <c r="DI73" s="625"/>
      <c r="DJ73" s="625"/>
      <c r="DK73" s="625"/>
      <c r="DL73" s="625"/>
      <c r="DM73" s="625"/>
      <c r="DN73" s="625"/>
      <c r="DO73" s="625"/>
      <c r="DP73" s="625"/>
      <c r="DQ73" s="625"/>
      <c r="DR73" s="625"/>
      <c r="DS73" s="625"/>
      <c r="DT73" s="625"/>
      <c r="DU73" s="625"/>
      <c r="DV73" s="625"/>
      <c r="DW73" s="625"/>
      <c r="DX73" s="625"/>
      <c r="DY73" s="625"/>
      <c r="DZ73" s="625"/>
      <c r="EA73" s="625"/>
      <c r="EB73" s="625"/>
      <c r="EC73" s="625"/>
      <c r="ED73" s="625"/>
      <c r="EE73" s="625"/>
      <c r="EF73" s="625"/>
      <c r="EG73" s="625"/>
      <c r="EH73" s="625"/>
      <c r="EI73" s="625"/>
      <c r="EJ73" s="625"/>
      <c r="EK73" s="625"/>
      <c r="EL73" s="625"/>
      <c r="EM73" s="625"/>
      <c r="EN73" s="625"/>
      <c r="EO73" s="625"/>
      <c r="EP73" s="625"/>
      <c r="EQ73" s="625"/>
      <c r="ER73" s="625"/>
      <c r="ES73" s="625"/>
      <c r="ET73" s="625"/>
      <c r="EU73" s="625"/>
      <c r="EV73" s="625"/>
      <c r="EW73" s="625"/>
      <c r="EX73" s="625"/>
      <c r="EY73" s="625"/>
      <c r="EZ73" s="625"/>
      <c r="FA73" s="625"/>
      <c r="FB73" s="625"/>
      <c r="FC73" s="625"/>
    </row>
    <row r="74" ht="15" customHeight="1">
      <c r="A74" s="631"/>
      <c r="B74" s="631"/>
      <c r="C74" s="631"/>
      <c r="D74" s="872" t="s">
        <v>932</v>
      </c>
      <c r="E74" s="1024">
        <f t="shared" si="94" ref="E74:P74">_xlfn.LET(_xlpm.comment,"Updated Feb-2023: is_feb_2023_special_FRE_terms condition can be deleted once expired",_xlpm.is_feb_2023_special_FRE_terms,AND(MONTH(LastPricingUpdateTimestamp)=2,YEAR(LastPricingUpdateTimestamp)=2023),_xlpm.is_feb_2023_extra_yr_of_io,AND(_xlpm.is_feb_2023_special_FRE_terms,E$43=E$44),_xlpm.is_linkedloan_scattered_site,$B$28="Yes",_xlpm.is_acquisition,$B$38="Acquisition",_xlpm.io_is_longer_than_default,E$43&gt;E$44,_xlpm.market_tier,$B22,_xlpm.is_top_or_std_mkt,OR(_xlpm.market_tier="Top",_xlpm.market_tier="Standard"),_xlpm.is_acquisition_and_small_or_verysmall_mkt,AND(_xlpm.is_acquisition,OR(_xlpm.market_tier="Small",_xlpm.market_tier="Very Small")),MIN(IF(_xlpm.is_linkedloan_scattered_site,75%,80%),IF(_xlpm.is_top_or_std_mkt,80%,IF(_xlpm.is_acquisition_and_small_or_verysmall_mkt,75%,70%))-IF(_xlpm.io_is_longer_than_default,IF(_xlpm.is_top_or_std_mkt,15%,10%),0),IF(_xlpm.is_feb_2023_extra_yr_of_io,75%,80%)))</f>
        <v>0.7</v>
      </c>
      <c r="F74" s="1024">
        <f t="shared" si="94"/>
        <v>0.7</v>
      </c>
      <c r="G74" s="1024">
        <f t="shared" si="94"/>
        <v>0.7</v>
      </c>
      <c r="H74" s="1024">
        <f t="shared" si="94"/>
        <v>0.7</v>
      </c>
      <c r="I74" s="1024">
        <f t="shared" si="94"/>
        <v>0.7</v>
      </c>
      <c r="J74" s="1024">
        <f t="shared" si="94"/>
        <v>0.7</v>
      </c>
      <c r="K74" s="1024">
        <f t="shared" si="94"/>
        <v>0.7</v>
      </c>
      <c r="L74" s="1024">
        <f t="shared" si="94"/>
        <v>0.7</v>
      </c>
      <c r="M74" s="1024">
        <f t="shared" si="94"/>
        <v>0.7</v>
      </c>
      <c r="N74" s="1024">
        <f t="shared" si="94"/>
        <v>0.7</v>
      </c>
      <c r="O74" s="1024">
        <f t="shared" si="94"/>
        <v>0.7</v>
      </c>
      <c r="P74" s="1024">
        <f t="shared" si="94"/>
        <v>0.7</v>
      </c>
      <c r="Q74" s="1026"/>
      <c r="R74" s="1024">
        <f t="shared" si="95" ref="R74:Y74">_xlfn.LET(_xlpm.Tier,R$39,IF(_xlpm.Tier=4,55%,IF(_xlpm.Tier=3,65%,IF(_xlpm.Tier=2,IF(AND(IsCashOutRefinance="Yes",NOT(IsFannieStrongOrSelectEligibleMkt)),75%,80%)))))</f>
        <v>0.8</v>
      </c>
      <c r="S74" s="1024">
        <f t="shared" si="95"/>
        <v>0.8</v>
      </c>
      <c r="T74" s="1024">
        <f t="shared" si="95"/>
        <v>0.8</v>
      </c>
      <c r="U74" s="1024">
        <f t="shared" si="95"/>
        <v>0.65</v>
      </c>
      <c r="V74" s="1024">
        <f t="shared" si="95"/>
        <v>0.55</v>
      </c>
      <c r="W74" s="1024">
        <f t="shared" si="95"/>
        <v>0.65</v>
      </c>
      <c r="X74" s="1024">
        <f t="shared" si="95"/>
        <v>0.55</v>
      </c>
      <c r="Y74" s="1024">
        <f t="shared" si="95"/>
        <v>0.8</v>
      </c>
      <c r="Z74" s="1024"/>
      <c r="AA74" s="1024">
        <f t="shared" si="96" ref="AA74:AH74">_xlfn.LET(_xlpm.Term,AA$98,_xlpm.Tier,MID(AA$39,6,1),IF(_xlpm.Tier="2",70%,0)+IF(_xlpm.Tier="3",65%,0)+IF(_xlpm.Tier="4",60%,0))</f>
        <v>0.7</v>
      </c>
      <c r="AB74" s="1024">
        <f t="shared" si="96"/>
        <v>0.7</v>
      </c>
      <c r="AC74" s="1024">
        <f t="shared" si="96"/>
        <v>0.7</v>
      </c>
      <c r="AD74" s="1024">
        <f t="shared" si="96"/>
        <v>0.7</v>
      </c>
      <c r="AE74" s="1024">
        <f t="shared" si="96"/>
        <v>0.7</v>
      </c>
      <c r="AF74" s="1024">
        <f t="shared" si="96"/>
        <v>0.7</v>
      </c>
      <c r="AG74" s="1024">
        <f t="shared" si="96"/>
        <v>0.7</v>
      </c>
      <c r="AH74" s="1024">
        <f t="shared" si="96"/>
        <v>0.7</v>
      </c>
      <c r="AI74" s="1024"/>
      <c r="AJ74" s="653" t="s">
        <v>933</v>
      </c>
      <c r="AK74" s="731" t="s">
        <v>209</v>
      </c>
      <c r="AL74" s="635"/>
      <c r="AM74" s="653" t="s">
        <v>934</v>
      </c>
      <c r="AN74" s="778">
        <v>0</v>
      </c>
      <c r="AO74" s="632"/>
      <c r="AP74" s="632"/>
      <c r="AQ74" s="632"/>
      <c r="AR74" s="632"/>
      <c r="AS74" s="632"/>
      <c r="AT74" s="632"/>
      <c r="AU74" s="625"/>
      <c r="AV74" s="6"/>
      <c r="AW74" s="6"/>
      <c r="AX74" s="6"/>
      <c r="AY74" s="6"/>
      <c r="AZ74" s="6"/>
      <c r="BA74" s="6"/>
      <c r="BB74" s="6"/>
      <c r="BC74" s="6"/>
      <c r="BD74" s="1028"/>
      <c r="BE74" s="632"/>
      <c r="BF74" s="632"/>
      <c r="BG74" s="27"/>
      <c r="BH74" s="1029"/>
      <c r="BI74" s="632"/>
      <c r="BJ74" s="711"/>
      <c r="BK74" s="712"/>
      <c r="BL74" s="712"/>
      <c r="BM74" s="712"/>
      <c r="BN74" s="712"/>
      <c r="BO74" s="712"/>
      <c r="BP74" s="713"/>
      <c r="BQ74" s="6"/>
      <c r="BR74" s="714"/>
      <c r="BS74" s="6"/>
      <c r="BT74" s="6"/>
      <c r="BU74" s="786"/>
      <c r="BV74" s="625"/>
      <c r="BW74" s="625"/>
      <c r="BX74" s="625"/>
      <c r="BY74" s="625"/>
      <c r="BZ74" s="625"/>
      <c r="CA74" s="625"/>
      <c r="CB74" s="625"/>
      <c r="CC74" s="625"/>
      <c r="CD74" s="625"/>
      <c r="CE74" s="625"/>
      <c r="CF74" s="625"/>
      <c r="CG74" s="625"/>
      <c r="CH74" s="625"/>
      <c r="CI74" s="625"/>
      <c r="CJ74" s="625"/>
      <c r="CK74" s="625"/>
      <c r="CL74" s="625"/>
      <c r="CM74" s="625"/>
      <c r="CN74" s="625"/>
      <c r="CO74" s="625"/>
      <c r="CP74" s="625"/>
      <c r="CQ74" s="625"/>
      <c r="CR74" s="625"/>
      <c r="CS74" s="625"/>
      <c r="CT74" s="625"/>
      <c r="CU74" s="625"/>
      <c r="CV74" s="625"/>
      <c r="CW74" s="625"/>
      <c r="CX74" s="625"/>
      <c r="CY74" s="625"/>
      <c r="CZ74" s="625"/>
      <c r="DA74" s="625"/>
      <c r="DB74" s="625"/>
      <c r="DC74" s="625"/>
      <c r="DD74" s="625"/>
      <c r="DE74" s="625"/>
      <c r="DF74" s="625"/>
      <c r="DG74" s="625"/>
      <c r="DH74" s="625"/>
      <c r="DI74" s="625"/>
      <c r="DJ74" s="625"/>
      <c r="DK74" s="625"/>
      <c r="DL74" s="625"/>
      <c r="DM74" s="625"/>
      <c r="DN74" s="625"/>
      <c r="DO74" s="625"/>
      <c r="DP74" s="625"/>
      <c r="DQ74" s="625"/>
      <c r="DR74" s="625"/>
      <c r="DS74" s="625"/>
      <c r="DT74" s="625"/>
      <c r="DU74" s="625"/>
      <c r="DV74" s="625"/>
      <c r="DW74" s="625"/>
      <c r="DX74" s="625"/>
      <c r="DY74" s="625"/>
      <c r="DZ74" s="625"/>
      <c r="EA74" s="625"/>
      <c r="EB74" s="625"/>
      <c r="EC74" s="625"/>
      <c r="ED74" s="625"/>
      <c r="EE74" s="625"/>
      <c r="EF74" s="625"/>
      <c r="EG74" s="625"/>
      <c r="EH74" s="625"/>
      <c r="EI74" s="625"/>
      <c r="EJ74" s="625"/>
      <c r="EK74" s="625"/>
      <c r="EL74" s="625"/>
      <c r="EM74" s="625"/>
      <c r="EN74" s="625"/>
      <c r="EO74" s="625"/>
      <c r="EP74" s="625"/>
      <c r="EQ74" s="625"/>
      <c r="ER74" s="625"/>
      <c r="ES74" s="625"/>
      <c r="ET74" s="625"/>
      <c r="EU74" s="625"/>
      <c r="EV74" s="625"/>
      <c r="EW74" s="625"/>
      <c r="EX74" s="625"/>
      <c r="EY74" s="625"/>
      <c r="EZ74" s="625"/>
      <c r="FA74" s="625"/>
      <c r="FB74" s="625"/>
      <c r="FC74" s="625"/>
    </row>
    <row r="75" ht="15" customHeight="1">
      <c r="A75" s="631"/>
      <c r="B75" s="631"/>
      <c r="C75" s="631"/>
      <c r="D75" s="1033" t="s">
        <v>935</v>
      </c>
      <c r="E75" s="741" t="str">
        <f t="shared" si="97" ref="E75:P75">IF(E76&lt;E77,"DSCR","LTV")</f>
        <v>LTV</v>
      </c>
      <c r="F75" s="741" t="str">
        <f t="shared" si="97"/>
        <v>LTV</v>
      </c>
      <c r="G75" s="741" t="str">
        <f t="shared" si="97"/>
        <v>LTV</v>
      </c>
      <c r="H75" s="741" t="str">
        <f t="shared" si="97"/>
        <v>LTV</v>
      </c>
      <c r="I75" s="741" t="str">
        <f t="shared" si="97"/>
        <v>LTV</v>
      </c>
      <c r="J75" s="741" t="str">
        <f t="shared" si="97"/>
        <v>LTV</v>
      </c>
      <c r="K75" s="741" t="str">
        <f t="shared" si="97"/>
        <v>LTV</v>
      </c>
      <c r="L75" s="741" t="str">
        <f t="shared" si="97"/>
        <v>LTV</v>
      </c>
      <c r="M75" s="741" t="str">
        <f t="shared" si="97"/>
        <v>LTV</v>
      </c>
      <c r="N75" s="741" t="str">
        <f t="shared" si="97"/>
        <v>LTV</v>
      </c>
      <c r="O75" s="741" t="str">
        <f t="shared" si="97"/>
        <v>LTV</v>
      </c>
      <c r="P75" s="741" t="str">
        <f t="shared" si="97"/>
        <v>LTV</v>
      </c>
      <c r="Q75" s="966"/>
      <c r="R75" s="741" t="str">
        <f t="shared" si="98" ref="R75:Y75">IF(R78&lt;MIN(R76,R77),"Floor Rate",IF(R76&lt;R77,"DSCR","LTV"))</f>
        <v>LTV</v>
      </c>
      <c r="S75" s="741" t="str">
        <f t="shared" si="98"/>
        <v>LTV</v>
      </c>
      <c r="T75" s="741" t="str">
        <f t="shared" si="98"/>
        <v>LTV</v>
      </c>
      <c r="U75" s="741" t="str">
        <f t="shared" si="98"/>
        <v>LTV</v>
      </c>
      <c r="V75" s="741" t="str">
        <f t="shared" si="98"/>
        <v>LTV</v>
      </c>
      <c r="W75" s="741" t="str">
        <f t="shared" si="98"/>
        <v>LTV</v>
      </c>
      <c r="X75" s="741" t="str">
        <f t="shared" si="98"/>
        <v>LTV</v>
      </c>
      <c r="Y75" s="741" t="str">
        <f t="shared" si="98"/>
        <v>LTV</v>
      </c>
      <c r="Z75" s="966"/>
      <c r="AA75" s="741" t="str">
        <f t="shared" si="99" ref="AA75:AH75">IF(AA78&lt;MIN(AA76,AA77),"Debt Yield",IF(AA76&lt;AA77,"DSCR","LTV"))</f>
        <v>LTV</v>
      </c>
      <c r="AB75" s="741" t="str">
        <f t="shared" si="99"/>
        <v>LTV</v>
      </c>
      <c r="AC75" s="741" t="str">
        <f t="shared" si="99"/>
        <v>LTV</v>
      </c>
      <c r="AD75" s="741" t="str">
        <f t="shared" si="99"/>
        <v>LTV</v>
      </c>
      <c r="AE75" s="741" t="str">
        <f t="shared" si="99"/>
        <v>LTV</v>
      </c>
      <c r="AF75" s="741" t="str">
        <f t="shared" si="99"/>
        <v>LTV</v>
      </c>
      <c r="AG75" s="741" t="str">
        <f t="shared" si="99"/>
        <v>LTV</v>
      </c>
      <c r="AH75" s="741" t="str">
        <f t="shared" si="99"/>
        <v>LTV</v>
      </c>
      <c r="AI75" s="651"/>
      <c r="AJ75" s="653" t="s">
        <v>936</v>
      </c>
      <c r="AK75" s="731" t="s">
        <v>209</v>
      </c>
      <c r="AL75" s="635"/>
      <c r="AM75" s="653" t="s">
        <v>937</v>
      </c>
      <c r="AN75" s="778">
        <v>0</v>
      </c>
      <c r="AO75" s="632"/>
      <c r="AP75" s="632"/>
      <c r="AQ75" s="632"/>
      <c r="AR75" s="632"/>
      <c r="AS75" s="632"/>
      <c r="AT75" s="632"/>
      <c r="AU75" s="1034" t="s">
        <v>938</v>
      </c>
      <c r="AV75" s="1035"/>
      <c r="AW75" s="1036" t="s">
        <v>640</v>
      </c>
      <c r="AX75" s="1036" t="s">
        <v>629</v>
      </c>
      <c r="AY75" s="714"/>
      <c r="AZ75" s="6"/>
      <c r="BA75" s="6"/>
      <c r="BB75" s="6"/>
      <c r="BC75" s="6"/>
      <c r="BD75" s="1028"/>
      <c r="BE75" s="632"/>
      <c r="BF75" s="632"/>
      <c r="BG75" s="688"/>
      <c r="BH75" s="1029"/>
      <c r="BI75" s="632"/>
      <c r="BJ75" s="720" t="s">
        <v>939</v>
      </c>
      <c r="BK75" s="721" t="s">
        <v>785</v>
      </c>
      <c r="BL75" s="721" t="s">
        <v>174</v>
      </c>
      <c r="BM75" s="721" t="s">
        <v>174</v>
      </c>
      <c r="BN75" s="721" t="s">
        <v>786</v>
      </c>
      <c r="BO75" s="721" t="s">
        <v>174</v>
      </c>
      <c r="BP75" s="722" t="s">
        <v>174</v>
      </c>
      <c r="BQ75" s="6"/>
      <c r="BR75" s="714"/>
      <c r="BS75" s="6"/>
      <c r="BT75" s="6"/>
      <c r="BU75" s="786"/>
      <c r="BV75" s="625"/>
      <c r="BW75" s="625"/>
      <c r="BX75" s="625"/>
      <c r="BY75" s="625"/>
      <c r="BZ75" s="625"/>
      <c r="CA75" s="625"/>
      <c r="CB75" s="625"/>
      <c r="CC75" s="625"/>
      <c r="CD75" s="625"/>
      <c r="CE75" s="625"/>
      <c r="CF75" s="625"/>
      <c r="CG75" s="625"/>
      <c r="CH75" s="625"/>
      <c r="CI75" s="625"/>
      <c r="CJ75" s="625"/>
      <c r="CK75" s="625"/>
      <c r="CL75" s="625"/>
      <c r="CM75" s="625"/>
      <c r="CN75" s="625"/>
      <c r="CO75" s="625"/>
      <c r="CP75" s="625"/>
      <c r="CQ75" s="625"/>
      <c r="CR75" s="625"/>
      <c r="CS75" s="625"/>
      <c r="CT75" s="625"/>
      <c r="CU75" s="625"/>
      <c r="CV75" s="625"/>
      <c r="CW75" s="625"/>
      <c r="CX75" s="625"/>
      <c r="CY75" s="625"/>
      <c r="CZ75" s="625"/>
      <c r="DA75" s="625"/>
      <c r="DB75" s="625"/>
      <c r="DC75" s="625"/>
      <c r="DD75" s="625"/>
      <c r="DE75" s="625"/>
      <c r="DF75" s="625"/>
      <c r="DG75" s="625"/>
      <c r="DH75" s="625"/>
      <c r="DI75" s="625"/>
      <c r="DJ75" s="625"/>
      <c r="DK75" s="625"/>
      <c r="DL75" s="625"/>
      <c r="DM75" s="625"/>
      <c r="DN75" s="625"/>
      <c r="DO75" s="625"/>
      <c r="DP75" s="625"/>
      <c r="DQ75" s="625"/>
      <c r="DR75" s="625"/>
      <c r="DS75" s="625"/>
      <c r="DT75" s="625"/>
      <c r="DU75" s="625"/>
      <c r="DV75" s="625"/>
      <c r="DW75" s="625"/>
      <c r="DX75" s="625"/>
      <c r="DY75" s="625"/>
      <c r="DZ75" s="625"/>
      <c r="EA75" s="625"/>
      <c r="EB75" s="625"/>
      <c r="EC75" s="625"/>
      <c r="ED75" s="625"/>
      <c r="EE75" s="625"/>
      <c r="EF75" s="625"/>
      <c r="EG75" s="625"/>
      <c r="EH75" s="625"/>
      <c r="EI75" s="625"/>
      <c r="EJ75" s="625"/>
      <c r="EK75" s="625"/>
      <c r="EL75" s="625"/>
      <c r="EM75" s="625"/>
      <c r="EN75" s="625"/>
      <c r="EO75" s="625"/>
      <c r="EP75" s="625"/>
      <c r="EQ75" s="625"/>
      <c r="ER75" s="625"/>
      <c r="ES75" s="625"/>
      <c r="ET75" s="625"/>
      <c r="EU75" s="625"/>
      <c r="EV75" s="625"/>
      <c r="EW75" s="625"/>
      <c r="EX75" s="625"/>
      <c r="EY75" s="625"/>
      <c r="EZ75" s="625"/>
      <c r="FA75" s="625"/>
      <c r="FB75" s="625"/>
      <c r="FC75" s="625"/>
    </row>
    <row r="76" ht="15" customHeight="1">
      <c r="A76" s="632"/>
      <c r="B76" s="632"/>
      <c r="C76" s="632"/>
      <c r="D76" s="872" t="s">
        <v>940</v>
      </c>
      <c r="E76" s="842">
        <f t="shared" si="100" ref="E76:P76">IF(E30=0,0,-PV(E68/12,E46*12,$B$41/E73/12,0))</f>
        <v>0</v>
      </c>
      <c r="F76" s="842">
        <f t="shared" si="100"/>
        <v>0</v>
      </c>
      <c r="G76" s="842">
        <f t="shared" si="100"/>
        <v>0</v>
      </c>
      <c r="H76" s="842">
        <f t="shared" si="100"/>
        <v>0</v>
      </c>
      <c r="I76" s="842">
        <f t="shared" si="100"/>
        <v>0</v>
      </c>
      <c r="J76" s="842">
        <f t="shared" si="100"/>
        <v>0</v>
      </c>
      <c r="K76" s="842">
        <f t="shared" si="100"/>
        <v>0</v>
      </c>
      <c r="L76" s="842">
        <f t="shared" si="100"/>
        <v>0</v>
      </c>
      <c r="M76" s="842">
        <f t="shared" si="100"/>
        <v>0</v>
      </c>
      <c r="N76" s="842">
        <f t="shared" si="100"/>
        <v>0</v>
      </c>
      <c r="O76" s="842">
        <f t="shared" si="100"/>
        <v>0</v>
      </c>
      <c r="P76" s="842">
        <f t="shared" si="100"/>
        <v>0</v>
      </c>
      <c r="Q76" s="966"/>
      <c r="R76" s="842">
        <f t="shared" si="101" ref="R76:Y76">-PV(R68/12,R46*12,$B$44/R72/12,0)</f>
        <v>-17081723.51155998</v>
      </c>
      <c r="S76" s="842">
        <f t="shared" si="101"/>
        <v>-16877955.580361508</v>
      </c>
      <c r="T76" s="842">
        <f t="shared" si="101"/>
        <v>-16579553.352712335</v>
      </c>
      <c r="U76" s="842">
        <f t="shared" si="101"/>
        <v>-16135387.568689754</v>
      </c>
      <c r="V76" s="842">
        <f t="shared" si="101"/>
        <v>-14347323.995971369</v>
      </c>
      <c r="W76" s="842">
        <f t="shared" si="101"/>
        <v>-15693629.013439042</v>
      </c>
      <c r="X76" s="842">
        <f t="shared" si="101"/>
        <v>-13953170.44231928</v>
      </c>
      <c r="Y76" s="842">
        <f t="shared" si="101"/>
        <v>-17081723.51155998</v>
      </c>
      <c r="Z76" s="966"/>
      <c r="AA76" s="905">
        <f t="shared" si="102" ref="AA76:AH76">$B$44/AA$73/(AA$68/360*365)</f>
        <v>-23411974.584854435</v>
      </c>
      <c r="AB76" s="905">
        <f t="shared" si="102"/>
        <v>-23411974.584854435</v>
      </c>
      <c r="AC76" s="905">
        <f t="shared" si="102"/>
        <v>-23411974.584854435</v>
      </c>
      <c r="AD76" s="905">
        <f t="shared" si="102"/>
        <v>-23411974.584854435</v>
      </c>
      <c r="AE76" s="905">
        <f t="shared" si="102"/>
        <v>-23411974.584854435</v>
      </c>
      <c r="AF76" s="905">
        <f t="shared" si="102"/>
        <v>-23411974.584854435</v>
      </c>
      <c r="AG76" s="905">
        <f t="shared" si="102"/>
        <v>-23411974.584854435</v>
      </c>
      <c r="AH76" s="905">
        <f t="shared" si="102"/>
        <v>-23411974.584854435</v>
      </c>
      <c r="AI76" s="905"/>
      <c r="AJ76" s="1037"/>
      <c r="AK76" s="1037" t="s">
        <v>209</v>
      </c>
      <c r="AL76" s="1037"/>
      <c r="AM76" s="1037"/>
      <c r="AN76" s="1037">
        <v>0</v>
      </c>
      <c r="AO76" s="632"/>
      <c r="AP76" s="632"/>
      <c r="AQ76" s="632"/>
      <c r="AR76" s="632"/>
      <c r="AS76" s="632"/>
      <c r="AT76" s="632"/>
      <c r="AU76" s="1038" t="s">
        <v>941</v>
      </c>
      <c r="AV76" s="1">
        <v>5</v>
      </c>
      <c r="AW76" s="1010">
        <f t="shared" si="105" ref="AW76:AW82">BA12</f>
        <v>0.074809</v>
      </c>
      <c r="AX76" s="1039">
        <v>4.5</v>
      </c>
      <c r="AY76" s="714"/>
      <c r="AZ76" s="6"/>
      <c r="BA76" s="6"/>
      <c r="BB76" s="6"/>
      <c r="BC76" s="6"/>
      <c r="BD76" s="1028"/>
      <c r="BE76" s="632"/>
      <c r="BF76" s="632"/>
      <c r="BG76" s="27"/>
      <c r="BH76" s="1029"/>
      <c r="BI76" s="632"/>
      <c r="BJ76" s="711" t="s">
        <v>757</v>
      </c>
      <c r="BK76" s="712">
        <v>30</v>
      </c>
      <c r="BL76" s="712">
        <v>0</v>
      </c>
      <c r="BM76" s="712">
        <v>0</v>
      </c>
      <c r="BN76" s="712">
        <v>30</v>
      </c>
      <c r="BO76" s="712">
        <v>0</v>
      </c>
      <c r="BP76" s="713">
        <v>0</v>
      </c>
      <c r="BQ76" s="6"/>
      <c r="BR76" s="714"/>
      <c r="BS76" s="6"/>
      <c r="BT76" s="6"/>
      <c r="BU76" s="786"/>
      <c r="BV76" s="625"/>
      <c r="BW76" s="625"/>
      <c r="BX76" s="625"/>
      <c r="BY76" s="625"/>
      <c r="BZ76" s="625"/>
      <c r="CA76" s="625"/>
      <c r="CB76" s="625"/>
      <c r="CC76" s="625"/>
      <c r="CD76" s="625"/>
      <c r="CE76" s="625"/>
      <c r="CF76" s="625"/>
      <c r="CG76" s="625"/>
      <c r="CH76" s="625"/>
      <c r="CI76" s="625"/>
      <c r="CJ76" s="625"/>
      <c r="CK76" s="625"/>
      <c r="CL76" s="625"/>
      <c r="CM76" s="625"/>
      <c r="CN76" s="625"/>
      <c r="CO76" s="625"/>
      <c r="CP76" s="625"/>
      <c r="CQ76" s="625"/>
      <c r="CR76" s="625"/>
      <c r="CS76" s="625"/>
      <c r="CT76" s="625"/>
      <c r="CU76" s="625"/>
      <c r="CV76" s="625"/>
      <c r="CW76" s="625"/>
      <c r="CX76" s="625"/>
      <c r="CY76" s="625"/>
      <c r="CZ76" s="625"/>
      <c r="DA76" s="625"/>
      <c r="DB76" s="625"/>
      <c r="DC76" s="625"/>
      <c r="DD76" s="625"/>
      <c r="DE76" s="625"/>
      <c r="DF76" s="625"/>
      <c r="DG76" s="625"/>
      <c r="DH76" s="625"/>
      <c r="DI76" s="625"/>
      <c r="DJ76" s="625"/>
      <c r="DK76" s="625"/>
      <c r="DL76" s="625"/>
      <c r="DM76" s="625"/>
      <c r="DN76" s="625"/>
      <c r="DO76" s="625"/>
      <c r="DP76" s="625"/>
      <c r="DQ76" s="625"/>
      <c r="DR76" s="625"/>
      <c r="DS76" s="625"/>
      <c r="DT76" s="625"/>
      <c r="DU76" s="625"/>
      <c r="DV76" s="625"/>
      <c r="DW76" s="625"/>
      <c r="DX76" s="625"/>
      <c r="DY76" s="625"/>
      <c r="DZ76" s="625"/>
      <c r="EA76" s="625"/>
      <c r="EB76" s="625"/>
      <c r="EC76" s="625"/>
      <c r="ED76" s="625"/>
      <c r="EE76" s="625"/>
      <c r="EF76" s="625"/>
      <c r="EG76" s="625"/>
      <c r="EH76" s="625"/>
      <c r="EI76" s="625"/>
      <c r="EJ76" s="625"/>
      <c r="EK76" s="625"/>
      <c r="EL76" s="625"/>
      <c r="EM76" s="625"/>
      <c r="EN76" s="625"/>
      <c r="EO76" s="625"/>
      <c r="EP76" s="625"/>
      <c r="EQ76" s="625"/>
      <c r="ER76" s="625"/>
      <c r="ES76" s="625"/>
      <c r="ET76" s="625"/>
      <c r="EU76" s="625"/>
      <c r="EV76" s="625"/>
      <c r="EW76" s="625"/>
      <c r="EX76" s="625"/>
      <c r="EY76" s="625"/>
      <c r="EZ76" s="625"/>
      <c r="FA76" s="625"/>
      <c r="FB76" s="625"/>
      <c r="FC76" s="625"/>
    </row>
    <row r="77" ht="15" customHeight="1">
      <c r="A77" s="632"/>
      <c r="B77" s="632"/>
      <c r="C77" s="632"/>
      <c r="D77" s="992" t="s">
        <v>942</v>
      </c>
      <c r="E77" s="1040">
        <f t="shared" si="103" ref="E77:P77">E74*$B$42</f>
        <v>-22625250.06</v>
      </c>
      <c r="F77" s="1040">
        <f t="shared" si="103"/>
        <v>-22625250.06</v>
      </c>
      <c r="G77" s="1040">
        <f t="shared" si="103"/>
        <v>-22625250.06</v>
      </c>
      <c r="H77" s="1040">
        <f t="shared" si="103"/>
        <v>-22625250.06</v>
      </c>
      <c r="I77" s="1040">
        <f t="shared" si="103"/>
        <v>-22625250.06</v>
      </c>
      <c r="J77" s="1040">
        <f t="shared" si="103"/>
        <v>-22625250.06</v>
      </c>
      <c r="K77" s="1040">
        <f t="shared" si="103"/>
        <v>-22625250.06</v>
      </c>
      <c r="L77" s="1040">
        <f t="shared" si="103"/>
        <v>-22625250.06</v>
      </c>
      <c r="M77" s="1040">
        <f t="shared" si="103"/>
        <v>-22625250.06</v>
      </c>
      <c r="N77" s="1040">
        <f t="shared" si="103"/>
        <v>-22625250.06</v>
      </c>
      <c r="O77" s="1040">
        <f t="shared" si="103"/>
        <v>-22625250.06</v>
      </c>
      <c r="P77" s="1040">
        <f t="shared" si="103"/>
        <v>-22625250.06</v>
      </c>
      <c r="Q77" s="966"/>
      <c r="R77" s="1040">
        <f t="shared" si="104" ref="R77:AH77">R74*$B$45</f>
        <v>-27535235.36</v>
      </c>
      <c r="S77" s="1040">
        <f t="shared" si="104"/>
        <v>-27535235.36</v>
      </c>
      <c r="T77" s="1040">
        <f t="shared" si="104"/>
        <v>-27535235.36</v>
      </c>
      <c r="U77" s="1040">
        <f t="shared" si="104"/>
        <v>-22372378.729999997</v>
      </c>
      <c r="V77" s="1040">
        <f t="shared" si="104"/>
        <v>-18930474.31</v>
      </c>
      <c r="W77" s="1040">
        <f t="shared" si="104"/>
        <v>-22372378.729999997</v>
      </c>
      <c r="X77" s="1040">
        <f t="shared" si="104"/>
        <v>-18930474.31</v>
      </c>
      <c r="Y77" s="1040">
        <f t="shared" si="104"/>
        <v>-27535235.36</v>
      </c>
      <c r="Z77" s="966"/>
      <c r="AA77" s="1041">
        <f t="shared" si="104"/>
        <v>-24093330.939999994</v>
      </c>
      <c r="AB77" s="1041">
        <f t="shared" si="104"/>
        <v>-24093330.939999994</v>
      </c>
      <c r="AC77" s="1041">
        <f t="shared" si="104"/>
        <v>-24093330.939999994</v>
      </c>
      <c r="AD77" s="1041">
        <f t="shared" si="104"/>
        <v>-24093330.939999994</v>
      </c>
      <c r="AE77" s="1041">
        <f t="shared" si="104"/>
        <v>-24093330.939999994</v>
      </c>
      <c r="AF77" s="1041">
        <f t="shared" si="104"/>
        <v>-24093330.939999994</v>
      </c>
      <c r="AG77" s="1041">
        <f t="shared" si="104"/>
        <v>-24093330.939999994</v>
      </c>
      <c r="AH77" s="1041">
        <f t="shared" si="104"/>
        <v>-24093330.939999994</v>
      </c>
      <c r="AI77" s="651"/>
      <c r="AJ77" s="1037"/>
      <c r="AK77" s="1037"/>
      <c r="AL77" s="1037"/>
      <c r="AM77" s="1037"/>
      <c r="AN77" s="1037"/>
      <c r="AO77" s="632"/>
      <c r="AP77" s="632"/>
      <c r="AQ77" s="632"/>
      <c r="AR77" s="632"/>
      <c r="AS77" s="632"/>
      <c r="AT77" s="632"/>
      <c r="AU77" s="1038" t="s">
        <v>943</v>
      </c>
      <c r="AV77" s="1042">
        <v>7</v>
      </c>
      <c r="AW77" s="1010">
        <f t="shared" si="105"/>
        <v>0.07166499999999999</v>
      </c>
      <c r="AX77" s="1043">
        <v>6.5</v>
      </c>
      <c r="AY77" s="714"/>
      <c r="AZ77" s="1027"/>
      <c r="BA77" s="1027"/>
      <c r="BB77" s="1027"/>
      <c r="BC77" s="1027"/>
      <c r="BD77" s="1028"/>
      <c r="BE77" s="632"/>
      <c r="BF77" s="632"/>
      <c r="BG77" s="27"/>
      <c r="BH77" s="1029"/>
      <c r="BI77" s="632"/>
      <c r="BJ77" s="720" t="s">
        <v>944</v>
      </c>
      <c r="BK77" s="721">
        <v>25</v>
      </c>
      <c r="BL77" s="721">
        <v>25</v>
      </c>
      <c r="BM77" s="721">
        <v>25</v>
      </c>
      <c r="BN77" s="721">
        <v>25</v>
      </c>
      <c r="BO77" s="721">
        <v>25</v>
      </c>
      <c r="BP77" s="722">
        <v>25</v>
      </c>
      <c r="BQ77" s="6"/>
      <c r="BR77" s="714"/>
      <c r="BS77" s="6"/>
      <c r="BT77" s="6"/>
      <c r="BU77" s="786"/>
      <c r="BV77" s="625"/>
      <c r="BW77" s="625"/>
      <c r="BX77" s="625"/>
      <c r="BY77" s="625"/>
      <c r="BZ77" s="625"/>
      <c r="CA77" s="625"/>
      <c r="CB77" s="625"/>
      <c r="CC77" s="625"/>
      <c r="CD77" s="625"/>
      <c r="CE77" s="625"/>
      <c r="CF77" s="625"/>
      <c r="CG77" s="625"/>
      <c r="CH77" s="625"/>
      <c r="CI77" s="625"/>
      <c r="CJ77" s="625"/>
      <c r="CK77" s="625"/>
      <c r="CL77" s="625"/>
      <c r="CM77" s="625"/>
      <c r="CN77" s="625"/>
      <c r="CO77" s="625"/>
      <c r="CP77" s="625"/>
      <c r="CQ77" s="625"/>
      <c r="CR77" s="625"/>
      <c r="CS77" s="625"/>
      <c r="CT77" s="625"/>
      <c r="CU77" s="625"/>
      <c r="CV77" s="625"/>
      <c r="CW77" s="625"/>
      <c r="CX77" s="625"/>
      <c r="CY77" s="625"/>
      <c r="CZ77" s="625"/>
      <c r="DA77" s="625"/>
      <c r="DB77" s="625"/>
      <c r="DC77" s="625"/>
      <c r="DD77" s="625"/>
      <c r="DE77" s="625"/>
      <c r="DF77" s="625"/>
      <c r="DG77" s="625"/>
      <c r="DH77" s="625"/>
      <c r="DI77" s="625"/>
      <c r="DJ77" s="625"/>
      <c r="DK77" s="625"/>
      <c r="DL77" s="625"/>
      <c r="DM77" s="625"/>
      <c r="DN77" s="625"/>
      <c r="DO77" s="625"/>
      <c r="DP77" s="625"/>
      <c r="DQ77" s="625"/>
      <c r="DR77" s="625"/>
      <c r="DS77" s="625"/>
      <c r="DT77" s="625"/>
      <c r="DU77" s="625"/>
      <c r="DV77" s="625"/>
      <c r="DW77" s="625"/>
      <c r="DX77" s="625"/>
      <c r="DY77" s="625"/>
      <c r="DZ77" s="625"/>
      <c r="EA77" s="625"/>
      <c r="EB77" s="625"/>
      <c r="EC77" s="625"/>
      <c r="ED77" s="625"/>
      <c r="EE77" s="625"/>
      <c r="EF77" s="625"/>
      <c r="EG77" s="625"/>
      <c r="EH77" s="625"/>
      <c r="EI77" s="625"/>
      <c r="EJ77" s="625"/>
      <c r="EK77" s="625"/>
      <c r="EL77" s="625"/>
      <c r="EM77" s="625"/>
      <c r="EN77" s="625"/>
      <c r="EO77" s="625"/>
      <c r="EP77" s="625"/>
      <c r="EQ77" s="625"/>
      <c r="ER77" s="625"/>
      <c r="ES77" s="625"/>
      <c r="ET77" s="625"/>
      <c r="EU77" s="625"/>
      <c r="EV77" s="625"/>
      <c r="EW77" s="625"/>
      <c r="EX77" s="625"/>
      <c r="EY77" s="625"/>
      <c r="EZ77" s="625"/>
      <c r="FA77" s="625"/>
      <c r="FB77" s="625"/>
      <c r="FC77" s="625"/>
    </row>
    <row r="78" ht="15" customHeight="1">
      <c r="A78" s="632"/>
      <c r="B78" s="632"/>
      <c r="C78" s="632"/>
      <c r="D78" s="835" t="s">
        <v>945</v>
      </c>
      <c r="E78" s="842"/>
      <c r="F78" s="842"/>
      <c r="G78" s="842"/>
      <c r="H78" s="842"/>
      <c r="I78" s="842"/>
      <c r="J78" s="842"/>
      <c r="K78" s="842"/>
      <c r="L78" s="842"/>
      <c r="M78" s="842"/>
      <c r="N78" s="842"/>
      <c r="O78" s="842"/>
      <c r="P78" s="842"/>
      <c r="Q78" s="966"/>
      <c r="R78" s="842">
        <f t="shared" si="106" ref="R78:Y78">_xlfn.LET(_xlpm.floor_rate,R$79,_xlpm.yrs_of_amortization,R$46,_xlpm.requested_min_dscr,R$73,IF(ISNUMBER(_xlpm.floor_rate),-PV(_xlpm.floor_rate/12,_xlpm.yrs_of_amortization*12,SBL_FannieNOI/IF(SBL_DelegatedLevel="Performance Differentiation",1.1,_xlpm.requested_min_dscr)/12,0),""))</f>
        <v>-21372117.369187858</v>
      </c>
      <c r="S78" s="842">
        <f t="shared" si="106"/>
      </c>
      <c r="T78" s="842">
        <f t="shared" si="106"/>
      </c>
      <c r="U78" s="842">
        <f t="shared" si="106"/>
      </c>
      <c r="V78" s="842">
        <f t="shared" si="106"/>
      </c>
      <c r="W78" s="842">
        <f t="shared" si="106"/>
      </c>
      <c r="X78" s="842">
        <f t="shared" si="106"/>
      </c>
      <c r="Y78" s="842">
        <f t="shared" si="106"/>
        <v>-21372117.369187858</v>
      </c>
      <c r="Z78" s="966"/>
      <c r="AA78" s="842">
        <f t="shared" si="107" ref="AA78:AH78">_xlfn.IFERROR(SBL_FannieNOI/AA$80,0)</f>
        <v>-23737271.862068966</v>
      </c>
      <c r="AB78" s="842">
        <f t="shared" si="107"/>
        <v>-23737271.862068966</v>
      </c>
      <c r="AC78" s="842">
        <f t="shared" si="107"/>
        <v>-23737271.862068966</v>
      </c>
      <c r="AD78" s="842">
        <f t="shared" si="107"/>
        <v>-23737271.862068966</v>
      </c>
      <c r="AE78" s="842">
        <f t="shared" si="107"/>
        <v>-23737271.862068966</v>
      </c>
      <c r="AF78" s="842">
        <f t="shared" si="107"/>
        <v>-23737271.862068966</v>
      </c>
      <c r="AG78" s="842">
        <f t="shared" si="107"/>
        <v>-23737271.862068966</v>
      </c>
      <c r="AH78" s="842">
        <f t="shared" si="107"/>
        <v>-23737271.862068966</v>
      </c>
      <c r="AI78" s="651"/>
      <c r="AJ78" s="653" t="s">
        <v>946</v>
      </c>
      <c r="AK78" s="731" t="str">
        <f>IF(AK77="No","No","Select")</f>
        <v>Select</v>
      </c>
      <c r="AL78" s="654"/>
      <c r="AM78" s="653" t="s">
        <v>947</v>
      </c>
      <c r="AN78" s="731">
        <v>1</v>
      </c>
      <c r="AO78" s="632"/>
      <c r="AP78" s="632"/>
      <c r="AQ78" s="632"/>
      <c r="AR78" s="632"/>
      <c r="AS78" s="632"/>
      <c r="AT78" s="632"/>
      <c r="AU78" s="1038" t="s">
        <v>948</v>
      </c>
      <c r="AV78" s="1042">
        <v>10</v>
      </c>
      <c r="AW78" s="1010">
        <f t="shared" si="105"/>
        <v>0.069644</v>
      </c>
      <c r="AX78" s="1039">
        <v>9.5</v>
      </c>
      <c r="AY78" s="714"/>
      <c r="AZ78" s="1028"/>
      <c r="BA78" s="1028"/>
      <c r="BB78" s="1028"/>
      <c r="BC78" s="1028"/>
      <c r="BD78" s="1028"/>
      <c r="BE78" s="632"/>
      <c r="BF78" s="632"/>
      <c r="BG78" s="688"/>
      <c r="BH78" s="1029"/>
      <c r="BI78" s="632"/>
      <c r="BJ78" s="711" t="s">
        <v>949</v>
      </c>
      <c r="BK78" s="712">
        <v>25</v>
      </c>
      <c r="BL78" s="712">
        <v>25</v>
      </c>
      <c r="BM78" s="712">
        <v>25</v>
      </c>
      <c r="BN78" s="712">
        <v>25</v>
      </c>
      <c r="BO78" s="712">
        <v>25</v>
      </c>
      <c r="BP78" s="713">
        <v>25</v>
      </c>
      <c r="BQ78" s="6"/>
      <c r="BR78" s="714"/>
      <c r="BS78" s="6"/>
      <c r="BT78" s="6"/>
      <c r="BU78" s="786"/>
      <c r="BV78" s="625"/>
      <c r="BW78" s="625"/>
      <c r="BX78" s="625"/>
      <c r="BY78" s="625"/>
      <c r="BZ78" s="625"/>
      <c r="CA78" s="625"/>
      <c r="CB78" s="625"/>
      <c r="CC78" s="625"/>
      <c r="CD78" s="625"/>
      <c r="CE78" s="625"/>
      <c r="CF78" s="625"/>
      <c r="CG78" s="625"/>
      <c r="CH78" s="625"/>
      <c r="CI78" s="625"/>
      <c r="CJ78" s="625"/>
      <c r="CK78" s="625"/>
      <c r="CL78" s="625"/>
      <c r="CM78" s="625"/>
      <c r="CN78" s="625"/>
      <c r="CO78" s="625"/>
      <c r="CP78" s="625"/>
      <c r="CQ78" s="625"/>
      <c r="CR78" s="625"/>
      <c r="CS78" s="625"/>
      <c r="CT78" s="625"/>
      <c r="CU78" s="625"/>
      <c r="CV78" s="625"/>
      <c r="CW78" s="625"/>
      <c r="CX78" s="625"/>
      <c r="CY78" s="625"/>
      <c r="CZ78" s="625"/>
      <c r="DA78" s="625"/>
      <c r="DB78" s="625"/>
      <c r="DC78" s="625"/>
      <c r="DD78" s="625"/>
      <c r="DE78" s="625"/>
      <c r="DF78" s="625"/>
      <c r="DG78" s="625"/>
      <c r="DH78" s="625"/>
      <c r="DI78" s="625"/>
      <c r="DJ78" s="625"/>
      <c r="DK78" s="625"/>
      <c r="DL78" s="625"/>
      <c r="DM78" s="625"/>
      <c r="DN78" s="625"/>
      <c r="DO78" s="625"/>
      <c r="DP78" s="625"/>
      <c r="DQ78" s="625"/>
      <c r="DR78" s="625"/>
      <c r="DS78" s="625"/>
      <c r="DT78" s="625"/>
      <c r="DU78" s="625"/>
      <c r="DV78" s="625"/>
      <c r="DW78" s="625"/>
      <c r="DX78" s="625"/>
      <c r="DY78" s="625"/>
      <c r="DZ78" s="625"/>
      <c r="EA78" s="625"/>
      <c r="EB78" s="625"/>
      <c r="EC78" s="625"/>
      <c r="ED78" s="625"/>
      <c r="EE78" s="625"/>
      <c r="EF78" s="625"/>
      <c r="EG78" s="625"/>
      <c r="EH78" s="625"/>
      <c r="EI78" s="625"/>
      <c r="EJ78" s="625"/>
      <c r="EK78" s="625"/>
      <c r="EL78" s="625"/>
      <c r="EM78" s="625"/>
      <c r="EN78" s="625"/>
      <c r="EO78" s="625"/>
      <c r="EP78" s="625"/>
      <c r="EQ78" s="625"/>
      <c r="ER78" s="625"/>
      <c r="ES78" s="625"/>
      <c r="ET78" s="625"/>
      <c r="EU78" s="625"/>
      <c r="EV78" s="625"/>
      <c r="EW78" s="625"/>
      <c r="EX78" s="625"/>
      <c r="EY78" s="625"/>
      <c r="EZ78" s="625"/>
      <c r="FA78" s="625"/>
      <c r="FB78" s="625"/>
      <c r="FC78" s="625"/>
    </row>
    <row r="79" ht="15" customHeight="1">
      <c r="A79" s="632"/>
      <c r="B79" s="632"/>
      <c r="C79" s="632"/>
      <c r="D79" s="709" t="s">
        <v>950</v>
      </c>
      <c r="E79" s="709"/>
      <c r="F79" s="709"/>
      <c r="G79" s="709"/>
      <c r="H79" s="709"/>
      <c r="I79" s="709"/>
      <c r="J79" s="709"/>
      <c r="K79" s="709"/>
      <c r="L79" s="709"/>
      <c r="M79" s="709"/>
      <c r="N79" s="709"/>
      <c r="O79" s="709"/>
      <c r="P79" s="709"/>
      <c r="Q79" s="966"/>
      <c r="R79" s="1044">
        <f t="shared" si="108" ref="R79:Y79">_xlfn.IFERROR(VLOOKUP(R$101,FNM_TierTbl,2,FALSE),"N/A")</f>
        <v>0.05</v>
      </c>
      <c r="S79" s="1044" t="str">
        <f t="shared" si="108"/>
        <v>N/A</v>
      </c>
      <c r="T79" s="1044" t="str">
        <f t="shared" si="108"/>
        <v>N/A</v>
      </c>
      <c r="U79" s="1044" t="str">
        <f t="shared" si="108"/>
        <v>No Floor</v>
      </c>
      <c r="V79" s="1044" t="str">
        <f t="shared" si="108"/>
        <v>No Floor</v>
      </c>
      <c r="W79" s="1044" t="str">
        <f t="shared" si="108"/>
        <v>No Floor</v>
      </c>
      <c r="X79" s="1044" t="str">
        <f t="shared" si="108"/>
        <v>No Floor</v>
      </c>
      <c r="Y79" s="1044">
        <f t="shared" si="108"/>
        <v>0.05</v>
      </c>
      <c r="Z79" s="966"/>
      <c r="AA79" s="1045"/>
      <c r="AB79" s="1045"/>
      <c r="AC79" s="1045"/>
      <c r="AD79" s="1045"/>
      <c r="AE79" s="1045"/>
      <c r="AF79" s="1045"/>
      <c r="AG79" s="1045"/>
      <c r="AH79" s="1045"/>
      <c r="AI79" s="632"/>
      <c r="AJ79" s="653" t="s">
        <v>951</v>
      </c>
      <c r="AK79" s="731" t="str">
        <f>IF(AK77="No","No","Select")</f>
        <v>Select</v>
      </c>
      <c r="AL79" s="654"/>
      <c r="AM79" s="653" t="s">
        <v>952</v>
      </c>
      <c r="AN79" s="731" t="s">
        <v>209</v>
      </c>
      <c r="AO79" s="632"/>
      <c r="AP79" s="632"/>
      <c r="AQ79" s="632"/>
      <c r="AR79" s="632"/>
      <c r="AS79" s="632"/>
      <c r="AT79" s="632"/>
      <c r="AU79" s="1046" t="s">
        <v>953</v>
      </c>
      <c r="AV79" s="1042">
        <v>12</v>
      </c>
      <c r="AW79" s="1010">
        <f t="shared" si="105"/>
        <v>0.071044</v>
      </c>
      <c r="AX79" s="1039">
        <v>11.5</v>
      </c>
      <c r="AY79" s="714"/>
      <c r="AZ79" s="1028"/>
      <c r="BA79" s="1028"/>
      <c r="BB79" s="1028"/>
      <c r="BC79" s="1028"/>
      <c r="BD79" s="1028"/>
      <c r="BE79" s="632"/>
      <c r="BF79" s="632"/>
      <c r="BG79" s="27"/>
      <c r="BH79" s="1029"/>
      <c r="BI79" s="632"/>
      <c r="BJ79" s="720"/>
      <c r="BK79" s="721"/>
      <c r="BL79" s="721"/>
      <c r="BM79" s="721"/>
      <c r="BN79" s="721"/>
      <c r="BO79" s="721"/>
      <c r="BP79" s="722"/>
      <c r="BQ79" s="6"/>
      <c r="BR79" s="714"/>
      <c r="BS79" s="6"/>
      <c r="BT79" s="6"/>
      <c r="BU79" s="786"/>
      <c r="BV79" s="625"/>
      <c r="BW79" s="625"/>
      <c r="BX79" s="625"/>
      <c r="BY79" s="625"/>
      <c r="BZ79" s="625"/>
      <c r="CA79" s="625"/>
      <c r="CB79" s="625"/>
      <c r="CC79" s="625"/>
      <c r="CD79" s="625"/>
      <c r="CE79" s="625"/>
      <c r="CF79" s="625"/>
      <c r="CG79" s="625"/>
      <c r="CH79" s="625"/>
      <c r="CI79" s="625"/>
      <c r="CJ79" s="625"/>
      <c r="CK79" s="625"/>
      <c r="CL79" s="625"/>
      <c r="CM79" s="625"/>
      <c r="CN79" s="625"/>
      <c r="CO79" s="625"/>
      <c r="CP79" s="625"/>
      <c r="CQ79" s="625"/>
      <c r="CR79" s="625"/>
      <c r="CS79" s="625"/>
      <c r="CT79" s="625"/>
      <c r="CU79" s="625"/>
      <c r="CV79" s="625"/>
      <c r="CW79" s="625"/>
      <c r="CX79" s="625"/>
      <c r="CY79" s="625"/>
      <c r="CZ79" s="625"/>
      <c r="DA79" s="625"/>
      <c r="DB79" s="625"/>
      <c r="DC79" s="625"/>
      <c r="DD79" s="625"/>
      <c r="DE79" s="625"/>
      <c r="DF79" s="625"/>
      <c r="DG79" s="625"/>
      <c r="DH79" s="625"/>
      <c r="DI79" s="625"/>
      <c r="DJ79" s="625"/>
      <c r="DK79" s="625"/>
      <c r="DL79" s="625"/>
      <c r="DM79" s="625"/>
      <c r="DN79" s="625"/>
      <c r="DO79" s="625"/>
      <c r="DP79" s="625"/>
      <c r="DQ79" s="625"/>
      <c r="DR79" s="625"/>
      <c r="DS79" s="625"/>
      <c r="DT79" s="625"/>
      <c r="DU79" s="625"/>
      <c r="DV79" s="625"/>
      <c r="DW79" s="625"/>
      <c r="DX79" s="625"/>
      <c r="DY79" s="625"/>
      <c r="DZ79" s="625"/>
      <c r="EA79" s="625"/>
      <c r="EB79" s="625"/>
      <c r="EC79" s="625"/>
      <c r="ED79" s="625"/>
      <c r="EE79" s="625"/>
      <c r="EF79" s="625"/>
      <c r="EG79" s="625"/>
      <c r="EH79" s="625"/>
      <c r="EI79" s="625"/>
      <c r="EJ79" s="625"/>
      <c r="EK79" s="625"/>
      <c r="EL79" s="625"/>
      <c r="EM79" s="625"/>
      <c r="EN79" s="625"/>
      <c r="EO79" s="625"/>
      <c r="EP79" s="625"/>
      <c r="EQ79" s="625"/>
      <c r="ER79" s="625"/>
      <c r="ES79" s="625"/>
      <c r="ET79" s="625"/>
      <c r="EU79" s="625"/>
      <c r="EV79" s="625"/>
      <c r="EW79" s="625"/>
      <c r="EX79" s="625"/>
      <c r="EY79" s="625"/>
      <c r="EZ79" s="625"/>
      <c r="FA79" s="625"/>
      <c r="FB79" s="625"/>
      <c r="FC79" s="625"/>
    </row>
    <row r="80" ht="15.75" customHeight="1">
      <c r="A80" s="632"/>
      <c r="B80" s="632"/>
      <c r="C80" s="632"/>
      <c r="D80" s="631" t="s">
        <v>954</v>
      </c>
      <c r="E80" s="632"/>
      <c r="F80" s="632"/>
      <c r="G80" s="632"/>
      <c r="H80" s="632"/>
      <c r="I80" s="632"/>
      <c r="J80" s="632"/>
      <c r="K80" s="632"/>
      <c r="L80" s="632"/>
      <c r="M80" s="632"/>
      <c r="N80" s="632"/>
      <c r="O80" s="632"/>
      <c r="P80" s="632"/>
      <c r="Q80" s="632"/>
      <c r="R80" s="632"/>
      <c r="S80" s="632"/>
      <c r="T80" s="632"/>
      <c r="U80" s="632"/>
      <c r="V80" s="632"/>
      <c r="W80" s="632"/>
      <c r="X80" s="632"/>
      <c r="Y80" s="632"/>
      <c r="Z80" s="632"/>
      <c r="AA80" s="1037">
        <v>0.0725</v>
      </c>
      <c r="AB80" s="1037">
        <v>0.0725</v>
      </c>
      <c r="AC80" s="1037">
        <v>0.0725</v>
      </c>
      <c r="AD80" s="1037">
        <v>0.0725</v>
      </c>
      <c r="AE80" s="1037">
        <v>0.0725</v>
      </c>
      <c r="AF80" s="1037">
        <v>0.0725</v>
      </c>
      <c r="AG80" s="1037">
        <v>0.0725</v>
      </c>
      <c r="AH80" s="1037">
        <v>0.0725</v>
      </c>
      <c r="AI80" s="651"/>
      <c r="AJ80" s="653" t="s">
        <v>955</v>
      </c>
      <c r="AK80" s="731" t="s">
        <v>209</v>
      </c>
      <c r="AL80" s="1047"/>
      <c r="AM80" s="846" t="s">
        <v>956</v>
      </c>
      <c r="AN80" s="731" t="s">
        <v>209</v>
      </c>
      <c r="AO80" s="632"/>
      <c r="AP80" s="632"/>
      <c r="AQ80" s="632"/>
      <c r="AR80" s="632"/>
      <c r="AS80" s="632"/>
      <c r="AT80" s="632"/>
      <c r="AU80" s="1038" t="s">
        <v>957</v>
      </c>
      <c r="AV80" s="1042">
        <v>15</v>
      </c>
      <c r="AW80" s="1010">
        <f t="shared" si="105"/>
        <v>0.072844</v>
      </c>
      <c r="AX80" s="1039">
        <v>14.5</v>
      </c>
      <c r="AY80" s="714"/>
      <c r="AZ80" s="1028"/>
      <c r="BA80" s="1028"/>
      <c r="BB80" s="1028"/>
      <c r="BC80" s="1028"/>
      <c r="BD80" s="1028"/>
      <c r="BE80" s="632"/>
      <c r="BF80" s="632"/>
      <c r="BG80" s="27"/>
      <c r="BH80" s="1029"/>
      <c r="BI80" s="632"/>
      <c r="BJ80" s="711" t="s">
        <v>958</v>
      </c>
      <c r="BK80" s="712">
        <v>25</v>
      </c>
      <c r="BL80" s="712">
        <v>25</v>
      </c>
      <c r="BM80" s="712">
        <v>25</v>
      </c>
      <c r="BN80" s="712">
        <v>25</v>
      </c>
      <c r="BO80" s="712">
        <v>25</v>
      </c>
      <c r="BP80" s="713">
        <v>25</v>
      </c>
      <c r="BQ80" s="6"/>
      <c r="BR80" s="714"/>
      <c r="BS80" s="6"/>
      <c r="BT80" s="6"/>
      <c r="BU80" s="786"/>
      <c r="BV80" s="625"/>
      <c r="BW80" s="625"/>
      <c r="BX80" s="625"/>
      <c r="BY80" s="625"/>
      <c r="BZ80" s="625"/>
      <c r="CA80" s="625"/>
      <c r="CB80" s="625"/>
      <c r="CC80" s="625"/>
      <c r="CD80" s="625"/>
      <c r="CE80" s="625"/>
      <c r="CF80" s="625"/>
      <c r="CG80" s="625"/>
      <c r="CH80" s="625"/>
      <c r="CI80" s="625"/>
      <c r="CJ80" s="625"/>
      <c r="CK80" s="625"/>
      <c r="CL80" s="625"/>
      <c r="CM80" s="625"/>
      <c r="CN80" s="625"/>
      <c r="CO80" s="625"/>
      <c r="CP80" s="625"/>
      <c r="CQ80" s="625"/>
      <c r="CR80" s="625"/>
      <c r="CS80" s="625"/>
      <c r="CT80" s="625"/>
      <c r="CU80" s="625"/>
      <c r="CV80" s="625"/>
      <c r="CW80" s="625"/>
      <c r="CX80" s="625"/>
      <c r="CY80" s="625"/>
      <c r="CZ80" s="625"/>
      <c r="DA80" s="625"/>
      <c r="DB80" s="625"/>
      <c r="DC80" s="625"/>
      <c r="DD80" s="625"/>
      <c r="DE80" s="625"/>
      <c r="DF80" s="625"/>
      <c r="DG80" s="625"/>
      <c r="DH80" s="625"/>
      <c r="DI80" s="625"/>
      <c r="DJ80" s="625"/>
      <c r="DK80" s="625"/>
      <c r="DL80" s="625"/>
      <c r="DM80" s="625"/>
      <c r="DN80" s="625"/>
      <c r="DO80" s="625"/>
      <c r="DP80" s="625"/>
      <c r="DQ80" s="625"/>
      <c r="DR80" s="625"/>
      <c r="DS80" s="625"/>
      <c r="DT80" s="625"/>
      <c r="DU80" s="625"/>
      <c r="DV80" s="625"/>
      <c r="DW80" s="625"/>
      <c r="DX80" s="625"/>
      <c r="DY80" s="625"/>
      <c r="DZ80" s="625"/>
      <c r="EA80" s="625"/>
      <c r="EB80" s="625"/>
      <c r="EC80" s="625"/>
      <c r="ED80" s="625"/>
      <c r="EE80" s="625"/>
      <c r="EF80" s="625"/>
      <c r="EG80" s="625"/>
      <c r="EH80" s="625"/>
      <c r="EI80" s="625"/>
      <c r="EJ80" s="625"/>
      <c r="EK80" s="625"/>
      <c r="EL80" s="625"/>
      <c r="EM80" s="625"/>
      <c r="EN80" s="625"/>
      <c r="EO80" s="625"/>
      <c r="EP80" s="625"/>
      <c r="EQ80" s="625"/>
      <c r="ER80" s="625"/>
      <c r="ES80" s="625"/>
      <c r="ET80" s="625"/>
      <c r="EU80" s="625"/>
      <c r="EV80" s="625"/>
      <c r="EW80" s="625"/>
      <c r="EX80" s="625"/>
      <c r="EY80" s="625"/>
      <c r="EZ80" s="625"/>
      <c r="FA80" s="625"/>
      <c r="FB80" s="625"/>
      <c r="FC80" s="625"/>
    </row>
    <row r="81" ht="15.75" customHeight="1">
      <c r="A81" s="632"/>
      <c r="B81" s="632"/>
      <c r="C81" s="632"/>
      <c r="D81" s="709" t="s">
        <v>959</v>
      </c>
      <c r="E81" s="1048"/>
      <c r="F81" s="1048"/>
      <c r="G81" s="1048"/>
      <c r="H81" s="1048"/>
      <c r="I81" s="1048"/>
      <c r="J81" s="1048"/>
      <c r="K81" s="1048"/>
      <c r="L81" s="1048"/>
      <c r="M81" s="1048"/>
      <c r="N81" s="1048"/>
      <c r="O81" s="1048"/>
      <c r="P81" s="1048"/>
      <c r="Q81" s="632"/>
      <c r="R81" s="1049"/>
      <c r="S81" s="1049"/>
      <c r="T81" s="1049"/>
      <c r="U81" s="1049"/>
      <c r="V81" s="1049"/>
      <c r="W81" s="1049"/>
      <c r="X81" s="1049"/>
      <c r="Y81" s="1049"/>
      <c r="Z81" s="632"/>
      <c r="AA81" s="1050"/>
      <c r="AB81" s="1045"/>
      <c r="AC81" s="1049"/>
      <c r="AD81" s="1049"/>
      <c r="AE81" s="1049"/>
      <c r="AF81" s="1049"/>
      <c r="AG81" s="1049"/>
      <c r="AH81" s="1049"/>
      <c r="AI81" s="1037"/>
      <c r="AJ81" s="846" t="s">
        <v>960</v>
      </c>
      <c r="AK81" s="731" t="s">
        <v>209</v>
      </c>
      <c r="AL81" s="632"/>
      <c r="AM81" s="653" t="s">
        <v>961</v>
      </c>
      <c r="AN81" s="731" t="s">
        <v>209</v>
      </c>
      <c r="AO81" s="632"/>
      <c r="AP81" s="632"/>
      <c r="AQ81" s="632"/>
      <c r="AR81" s="632"/>
      <c r="AS81" s="632"/>
      <c r="AT81" s="632"/>
      <c r="AU81" s="1038" t="s">
        <v>962</v>
      </c>
      <c r="AV81" s="1042">
        <v>18</v>
      </c>
      <c r="AW81" s="1010">
        <f t="shared" si="105"/>
        <v>0.074444</v>
      </c>
      <c r="AX81" s="1039">
        <v>15</v>
      </c>
      <c r="AY81" s="714"/>
      <c r="AZ81" s="1028"/>
      <c r="BA81" s="1028"/>
      <c r="BB81" s="1028"/>
      <c r="BC81" s="1028"/>
      <c r="BD81" s="1028"/>
      <c r="BE81" s="632"/>
      <c r="BF81" s="632"/>
      <c r="BG81" s="688"/>
      <c r="BH81" s="1029"/>
      <c r="BI81" s="632"/>
      <c r="BJ81" s="720" t="s">
        <v>963</v>
      </c>
      <c r="BK81" s="721">
        <v>25</v>
      </c>
      <c r="BL81" s="721">
        <v>25</v>
      </c>
      <c r="BM81" s="721">
        <v>25</v>
      </c>
      <c r="BN81" s="721">
        <v>25</v>
      </c>
      <c r="BO81" s="721">
        <v>25</v>
      </c>
      <c r="BP81" s="722">
        <v>25</v>
      </c>
      <c r="BQ81" s="6"/>
      <c r="BR81" s="714"/>
      <c r="BS81" s="6"/>
      <c r="BT81" s="6"/>
      <c r="BU81" s="786"/>
      <c r="BV81" s="625"/>
      <c r="BW81" s="625"/>
      <c r="BX81" s="625"/>
      <c r="BY81" s="625"/>
      <c r="BZ81" s="625"/>
      <c r="CA81" s="625"/>
      <c r="CB81" s="625"/>
      <c r="CC81" s="625"/>
      <c r="CD81" s="625"/>
      <c r="CE81" s="625"/>
      <c r="CF81" s="625"/>
      <c r="CG81" s="625"/>
      <c r="CH81" s="625"/>
      <c r="CI81" s="625"/>
      <c r="CJ81" s="625"/>
      <c r="CK81" s="625"/>
      <c r="CL81" s="625"/>
      <c r="CM81" s="625"/>
      <c r="CN81" s="625"/>
      <c r="CO81" s="625"/>
      <c r="CP81" s="625"/>
      <c r="CQ81" s="625"/>
      <c r="CR81" s="625"/>
      <c r="CS81" s="625"/>
      <c r="CT81" s="625"/>
      <c r="CU81" s="625"/>
      <c r="CV81" s="625"/>
      <c r="CW81" s="625"/>
      <c r="CX81" s="625"/>
      <c r="CY81" s="625"/>
      <c r="CZ81" s="625"/>
      <c r="DA81" s="625"/>
      <c r="DB81" s="625"/>
      <c r="DC81" s="625"/>
      <c r="DD81" s="625"/>
      <c r="DE81" s="625"/>
      <c r="DF81" s="625"/>
      <c r="DG81" s="625"/>
      <c r="DH81" s="625"/>
      <c r="DI81" s="625"/>
      <c r="DJ81" s="625"/>
      <c r="DK81" s="625"/>
      <c r="DL81" s="625"/>
      <c r="DM81" s="625"/>
      <c r="DN81" s="625"/>
      <c r="DO81" s="625"/>
      <c r="DP81" s="625"/>
      <c r="DQ81" s="625"/>
      <c r="DR81" s="625"/>
      <c r="DS81" s="625"/>
      <c r="DT81" s="625"/>
      <c r="DU81" s="625"/>
      <c r="DV81" s="625"/>
      <c r="DW81" s="625"/>
      <c r="DX81" s="625"/>
      <c r="DY81" s="625"/>
      <c r="DZ81" s="625"/>
      <c r="EA81" s="625"/>
      <c r="EB81" s="625"/>
      <c r="EC81" s="625"/>
      <c r="ED81" s="625"/>
      <c r="EE81" s="625"/>
      <c r="EF81" s="625"/>
      <c r="EG81" s="625"/>
      <c r="EH81" s="625"/>
      <c r="EI81" s="625"/>
      <c r="EJ81" s="625"/>
      <c r="EK81" s="625"/>
      <c r="EL81" s="625"/>
      <c r="EM81" s="625"/>
      <c r="EN81" s="625"/>
      <c r="EO81" s="625"/>
      <c r="EP81" s="625"/>
      <c r="EQ81" s="625"/>
      <c r="ER81" s="625"/>
      <c r="ES81" s="625"/>
      <c r="ET81" s="625"/>
      <c r="EU81" s="625"/>
      <c r="EV81" s="625"/>
      <c r="EW81" s="625"/>
      <c r="EX81" s="625"/>
      <c r="EY81" s="625"/>
      <c r="EZ81" s="625"/>
      <c r="FA81" s="625"/>
      <c r="FB81" s="625"/>
      <c r="FC81" s="625"/>
    </row>
    <row r="82" ht="15" customHeight="1">
      <c r="A82" s="632"/>
      <c r="B82" s="632"/>
      <c r="C82" s="632"/>
      <c r="D82" s="1051" t="s">
        <v>964</v>
      </c>
      <c r="E82" s="631"/>
      <c r="F82" s="631"/>
      <c r="G82" s="631"/>
      <c r="H82" s="631"/>
      <c r="I82" s="631"/>
      <c r="J82" s="631"/>
      <c r="K82" s="631"/>
      <c r="L82" s="631"/>
      <c r="M82" s="631"/>
      <c r="N82" s="631"/>
      <c r="O82" s="631"/>
      <c r="P82" s="631"/>
      <c r="Q82" s="966"/>
      <c r="R82" s="1037" t="str">
        <f>PD!AH$2</f>
        <v>NA</v>
      </c>
      <c r="S82" s="1037" t="str">
        <f>PD!AI$2</f>
        <v>NA</v>
      </c>
      <c r="T82" s="1037" t="str">
        <f>PD!AJ$2</f>
        <v>NA</v>
      </c>
      <c r="U82" s="1037" t="str">
        <f>PD!AK$2</f>
        <v>NA</v>
      </c>
      <c r="V82" s="1037" t="str">
        <f>PD!AL$2</f>
        <v>NA</v>
      </c>
      <c r="W82" s="1037" t="str">
        <f>PD!AM$2</f>
        <v>NA</v>
      </c>
      <c r="X82" s="1037" t="str">
        <f>PD!AN$2</f>
        <v>NA</v>
      </c>
      <c r="Y82" s="1037" t="str">
        <f>PD!AO$2</f>
        <v>NA</v>
      </c>
      <c r="Z82" s="632"/>
      <c r="AA82" s="632"/>
      <c r="AB82" s="632"/>
      <c r="AC82" s="632"/>
      <c r="AD82" s="632"/>
      <c r="AE82" s="632"/>
      <c r="AF82" s="632"/>
      <c r="AG82" s="632"/>
      <c r="AH82" s="632"/>
      <c r="AI82" s="1037"/>
      <c r="AJ82" s="653" t="s">
        <v>965</v>
      </c>
      <c r="AK82" s="731" t="s">
        <v>209</v>
      </c>
      <c r="AL82" s="632"/>
      <c r="AM82" s="653" t="s">
        <v>966</v>
      </c>
      <c r="AN82" s="731" t="s">
        <v>209</v>
      </c>
      <c r="AO82" s="632"/>
      <c r="AP82" s="632"/>
      <c r="AQ82" s="632"/>
      <c r="AR82" s="632"/>
      <c r="AS82" s="632"/>
      <c r="AT82" s="632"/>
      <c r="AU82" s="1052" t="s">
        <v>967</v>
      </c>
      <c r="AV82" s="1042">
        <v>30</v>
      </c>
      <c r="AW82" s="1010">
        <f t="shared" si="105"/>
        <v>0.076157</v>
      </c>
      <c r="AX82" s="1039">
        <v>15</v>
      </c>
      <c r="AY82" s="714"/>
      <c r="AZ82" s="1028"/>
      <c r="BA82" s="1028"/>
      <c r="BB82" s="1028"/>
      <c r="BC82" s="1028"/>
      <c r="BD82" s="1028"/>
      <c r="BE82" s="632"/>
      <c r="BF82" s="632"/>
      <c r="BG82" s="27"/>
      <c r="BH82" s="1029"/>
      <c r="BI82" s="632"/>
      <c r="BJ82" s="711"/>
      <c r="BK82" s="712"/>
      <c r="BL82" s="712"/>
      <c r="BM82" s="712"/>
      <c r="BN82" s="712"/>
      <c r="BO82" s="712"/>
      <c r="BP82" s="713"/>
      <c r="BQ82" s="6"/>
      <c r="BR82" s="714"/>
      <c r="BS82" s="6"/>
      <c r="BT82" s="6"/>
      <c r="BU82" s="786"/>
      <c r="BV82" s="625"/>
      <c r="BW82" s="625"/>
      <c r="BX82" s="625"/>
      <c r="BY82" s="625"/>
      <c r="BZ82" s="625"/>
      <c r="CA82" s="625"/>
      <c r="CB82" s="625"/>
      <c r="CC82" s="625"/>
      <c r="CD82" s="625"/>
      <c r="CE82" s="625"/>
      <c r="CF82" s="625"/>
      <c r="CG82" s="625"/>
      <c r="CH82" s="625"/>
      <c r="CI82" s="625"/>
      <c r="CJ82" s="625"/>
      <c r="CK82" s="625"/>
      <c r="CL82" s="625"/>
      <c r="CM82" s="625"/>
      <c r="CN82" s="625"/>
      <c r="CO82" s="625"/>
      <c r="CP82" s="625"/>
      <c r="CQ82" s="625"/>
      <c r="CR82" s="625"/>
      <c r="CS82" s="625"/>
      <c r="CT82" s="625"/>
      <c r="CU82" s="625"/>
      <c r="CV82" s="625"/>
      <c r="CW82" s="625"/>
      <c r="CX82" s="625"/>
      <c r="CY82" s="625"/>
      <c r="CZ82" s="625"/>
      <c r="DA82" s="625"/>
      <c r="DB82" s="625"/>
      <c r="DC82" s="625"/>
      <c r="DD82" s="625"/>
      <c r="DE82" s="625"/>
      <c r="DF82" s="625"/>
      <c r="DG82" s="625"/>
      <c r="DH82" s="625"/>
      <c r="DI82" s="625"/>
      <c r="DJ82" s="625"/>
      <c r="DK82" s="625"/>
      <c r="DL82" s="625"/>
      <c r="DM82" s="625"/>
      <c r="DN82" s="625"/>
      <c r="DO82" s="625"/>
      <c r="DP82" s="625"/>
      <c r="DQ82" s="625"/>
      <c r="DR82" s="625"/>
      <c r="DS82" s="625"/>
      <c r="DT82" s="625"/>
      <c r="DU82" s="625"/>
      <c r="DV82" s="625"/>
      <c r="DW82" s="625"/>
      <c r="DX82" s="625"/>
      <c r="DY82" s="625"/>
      <c r="DZ82" s="625"/>
      <c r="EA82" s="625"/>
      <c r="EB82" s="625"/>
      <c r="EC82" s="625"/>
      <c r="ED82" s="625"/>
      <c r="EE82" s="625"/>
      <c r="EF82" s="625"/>
      <c r="EG82" s="625"/>
      <c r="EH82" s="625"/>
      <c r="EI82" s="625"/>
      <c r="EJ82" s="625"/>
      <c r="EK82" s="625"/>
      <c r="EL82" s="625"/>
      <c r="EM82" s="625"/>
      <c r="EN82" s="625"/>
      <c r="EO82" s="625"/>
      <c r="EP82" s="625"/>
      <c r="EQ82" s="625"/>
      <c r="ER82" s="625"/>
      <c r="ES82" s="625"/>
      <c r="ET82" s="625"/>
      <c r="EU82" s="625"/>
      <c r="EV82" s="625"/>
      <c r="EW82" s="625"/>
      <c r="EX82" s="625"/>
      <c r="EY82" s="625"/>
      <c r="EZ82" s="625"/>
      <c r="FA82" s="625"/>
      <c r="FB82" s="625"/>
      <c r="FC82" s="625"/>
    </row>
    <row r="83" ht="15" customHeight="1">
      <c r="A83" s="632"/>
      <c r="B83" s="632"/>
      <c r="C83" s="632"/>
      <c r="D83" s="1053" t="s">
        <v>968</v>
      </c>
      <c r="E83" s="1054">
        <f t="shared" si="109" ref="E83:P83">MIN(E76:E77,IF(AND(E$73&gt;=1.25,number_units&lt;=300),7500000,6000000))</f>
        <v>-22625250.06</v>
      </c>
      <c r="F83" s="1054">
        <f t="shared" si="109"/>
        <v>-22625250.06</v>
      </c>
      <c r="G83" s="1054">
        <f t="shared" si="109"/>
        <v>-22625250.06</v>
      </c>
      <c r="H83" s="1054">
        <f t="shared" si="109"/>
        <v>-22625250.06</v>
      </c>
      <c r="I83" s="1054">
        <f t="shared" si="109"/>
        <v>-22625250.06</v>
      </c>
      <c r="J83" s="1054">
        <f t="shared" si="109"/>
        <v>-22625250.06</v>
      </c>
      <c r="K83" s="1054">
        <f t="shared" si="109"/>
        <v>-22625250.06</v>
      </c>
      <c r="L83" s="1054">
        <f t="shared" si="109"/>
        <v>-22625250.06</v>
      </c>
      <c r="M83" s="1054">
        <f t="shared" si="109"/>
        <v>-22625250.06</v>
      </c>
      <c r="N83" s="1054">
        <f t="shared" si="109"/>
        <v>-22625250.06</v>
      </c>
      <c r="O83" s="1054">
        <f t="shared" si="109"/>
        <v>-22625250.06</v>
      </c>
      <c r="P83" s="1054">
        <f t="shared" si="109"/>
        <v>-22625250.06</v>
      </c>
      <c r="Q83" s="1055"/>
      <c r="R83" s="1054">
        <f t="shared" si="110" ref="R83:Y83">MIN(R76:R78,9000000)</f>
        <v>-27535235.36</v>
      </c>
      <c r="S83" s="1054">
        <f t="shared" si="110"/>
        <v>-27535235.36</v>
      </c>
      <c r="T83" s="1054">
        <f t="shared" si="110"/>
        <v>-27535235.36</v>
      </c>
      <c r="U83" s="1054">
        <f t="shared" si="110"/>
        <v>-22372378.729999997</v>
      </c>
      <c r="V83" s="1054">
        <f t="shared" si="110"/>
        <v>-18930474.31</v>
      </c>
      <c r="W83" s="1054">
        <f t="shared" si="110"/>
        <v>-22372378.729999997</v>
      </c>
      <c r="X83" s="1054">
        <f t="shared" si="110"/>
        <v>-18930474.31</v>
      </c>
      <c r="Y83" s="1054">
        <f t="shared" si="110"/>
        <v>-27535235.36</v>
      </c>
      <c r="Z83" s="1055"/>
      <c r="AA83" s="1054">
        <f t="shared" si="111" ref="AA83:AH83">MIN(AA76:AA78,15000000)</f>
        <v>-24093330.939999994</v>
      </c>
      <c r="AB83" s="1054">
        <f t="shared" si="111"/>
        <v>-24093330.939999994</v>
      </c>
      <c r="AC83" s="1054">
        <f t="shared" si="111"/>
        <v>-24093330.939999994</v>
      </c>
      <c r="AD83" s="1054">
        <f t="shared" si="111"/>
        <v>-24093330.939999994</v>
      </c>
      <c r="AE83" s="1054">
        <f t="shared" si="111"/>
        <v>-24093330.939999994</v>
      </c>
      <c r="AF83" s="1054">
        <f t="shared" si="111"/>
        <v>-24093330.939999994</v>
      </c>
      <c r="AG83" s="1054">
        <f t="shared" si="111"/>
        <v>-24093330.939999994</v>
      </c>
      <c r="AH83" s="1054">
        <f t="shared" si="111"/>
        <v>-24093330.939999994</v>
      </c>
      <c r="AI83" s="1056"/>
      <c r="AJ83" s="653" t="s">
        <v>969</v>
      </c>
      <c r="AK83" s="731" t="s">
        <v>209</v>
      </c>
      <c r="AL83" s="632"/>
      <c r="AM83" s="1057" t="s">
        <v>970</v>
      </c>
      <c r="AN83" s="731" t="s">
        <v>209</v>
      </c>
      <c r="AO83" s="632"/>
      <c r="AP83" s="632"/>
      <c r="AQ83" s="632"/>
      <c r="AR83" s="632"/>
      <c r="AS83" s="632"/>
      <c r="AT83" s="632"/>
      <c r="AU83" s="1058" t="s">
        <v>635</v>
      </c>
      <c r="AV83" s="1036"/>
      <c r="AW83" s="1036"/>
      <c r="AX83" s="1036"/>
      <c r="AY83" s="714"/>
      <c r="AZ83" s="1028"/>
      <c r="BA83" s="1028"/>
      <c r="BB83" s="1028"/>
      <c r="BC83" s="1028"/>
      <c r="BD83" s="1028"/>
      <c r="BE83" s="632"/>
      <c r="BF83" s="632"/>
      <c r="BG83" s="27"/>
      <c r="BH83" s="1029"/>
      <c r="BI83" s="632"/>
      <c r="BJ83" s="720" t="s">
        <v>971</v>
      </c>
      <c r="BK83" s="721" t="s">
        <v>812</v>
      </c>
      <c r="BL83" s="721" t="s">
        <v>812</v>
      </c>
      <c r="BM83" s="721" t="s">
        <v>812</v>
      </c>
      <c r="BN83" s="721" t="s">
        <v>812</v>
      </c>
      <c r="BO83" s="721" t="s">
        <v>812</v>
      </c>
      <c r="BP83" s="722" t="s">
        <v>812</v>
      </c>
      <c r="BQ83" s="6"/>
      <c r="BR83" s="714"/>
      <c r="BS83" s="6"/>
      <c r="BT83" s="6"/>
      <c r="BU83" s="786"/>
      <c r="BV83" s="625"/>
      <c r="BW83" s="625"/>
      <c r="BX83" s="625"/>
      <c r="BY83" s="625"/>
      <c r="BZ83" s="625"/>
      <c r="CA83" s="625"/>
      <c r="CB83" s="625"/>
      <c r="CC83" s="625"/>
      <c r="CD83" s="625"/>
      <c r="CE83" s="625"/>
      <c r="CF83" s="625"/>
      <c r="CG83" s="625"/>
      <c r="CH83" s="625"/>
      <c r="CI83" s="625"/>
      <c r="CJ83" s="625"/>
      <c r="CK83" s="625"/>
      <c r="CL83" s="625"/>
      <c r="CM83" s="625"/>
      <c r="CN83" s="625"/>
      <c r="CO83" s="625"/>
      <c r="CP83" s="625"/>
      <c r="CQ83" s="625"/>
      <c r="CR83" s="625"/>
      <c r="CS83" s="625"/>
      <c r="CT83" s="625"/>
      <c r="CU83" s="625"/>
      <c r="CV83" s="625"/>
      <c r="CW83" s="625"/>
      <c r="CX83" s="625"/>
      <c r="CY83" s="625"/>
      <c r="CZ83" s="625"/>
      <c r="DA83" s="625"/>
      <c r="DB83" s="625"/>
      <c r="DC83" s="625"/>
      <c r="DD83" s="625"/>
      <c r="DE83" s="625"/>
      <c r="DF83" s="625"/>
      <c r="DG83" s="625"/>
      <c r="DH83" s="625"/>
      <c r="DI83" s="625"/>
      <c r="DJ83" s="625"/>
      <c r="DK83" s="625"/>
      <c r="DL83" s="625"/>
      <c r="DM83" s="625"/>
      <c r="DN83" s="625"/>
      <c r="DO83" s="625"/>
      <c r="DP83" s="625"/>
      <c r="DQ83" s="625"/>
      <c r="DR83" s="625"/>
      <c r="DS83" s="625"/>
      <c r="DT83" s="625"/>
      <c r="DU83" s="625"/>
      <c r="DV83" s="625"/>
      <c r="DW83" s="625"/>
      <c r="DX83" s="625"/>
      <c r="DY83" s="625"/>
      <c r="DZ83" s="625"/>
      <c r="EA83" s="625"/>
      <c r="EB83" s="625"/>
      <c r="EC83" s="625"/>
      <c r="ED83" s="625"/>
      <c r="EE83" s="625"/>
      <c r="EF83" s="625"/>
      <c r="EG83" s="625"/>
      <c r="EH83" s="625"/>
      <c r="EI83" s="625"/>
      <c r="EJ83" s="625"/>
      <c r="EK83" s="625"/>
      <c r="EL83" s="625"/>
      <c r="EM83" s="625"/>
      <c r="EN83" s="625"/>
      <c r="EO83" s="625"/>
      <c r="EP83" s="625"/>
      <c r="EQ83" s="625"/>
      <c r="ER83" s="625"/>
      <c r="ES83" s="625"/>
      <c r="ET83" s="625"/>
      <c r="EU83" s="625"/>
      <c r="EV83" s="625"/>
      <c r="EW83" s="625"/>
      <c r="EX83" s="625"/>
      <c r="EY83" s="625"/>
      <c r="EZ83" s="625"/>
      <c r="FA83" s="625"/>
      <c r="FB83" s="625"/>
      <c r="FC83" s="625"/>
    </row>
    <row r="84" ht="15" customHeight="1">
      <c r="A84" s="632"/>
      <c r="B84" s="632"/>
      <c r="C84" s="632"/>
      <c r="D84" s="835" t="s">
        <v>736</v>
      </c>
      <c r="E84" s="842">
        <f t="shared" si="112" ref="E84:AH84">E25</f>
        <v>0</v>
      </c>
      <c r="F84" s="842">
        <f t="shared" si="112"/>
        <v>0</v>
      </c>
      <c r="G84" s="842">
        <f t="shared" si="112"/>
        <v>0</v>
      </c>
      <c r="H84" s="842">
        <f t="shared" si="112"/>
        <v>0</v>
      </c>
      <c r="I84" s="842">
        <f t="shared" si="112"/>
        <v>0</v>
      </c>
      <c r="J84" s="842">
        <f t="shared" si="112"/>
        <v>0</v>
      </c>
      <c r="K84" s="842">
        <f t="shared" si="112"/>
        <v>0</v>
      </c>
      <c r="L84" s="842">
        <f t="shared" si="112"/>
        <v>0</v>
      </c>
      <c r="M84" s="842">
        <f t="shared" si="112"/>
        <v>0</v>
      </c>
      <c r="N84" s="842">
        <f t="shared" si="112"/>
        <v>0</v>
      </c>
      <c r="O84" s="842">
        <f t="shared" si="112"/>
        <v>0</v>
      </c>
      <c r="P84" s="842">
        <f t="shared" si="112"/>
        <v>0</v>
      </c>
      <c r="Q84" s="1059"/>
      <c r="R84" s="842">
        <f t="shared" si="112"/>
        <v>0</v>
      </c>
      <c r="S84" s="842">
        <f t="shared" si="112"/>
        <v>0</v>
      </c>
      <c r="T84" s="842">
        <f t="shared" si="112"/>
        <v>0</v>
      </c>
      <c r="U84" s="842">
        <f t="shared" si="112"/>
        <v>0</v>
      </c>
      <c r="V84" s="842">
        <f t="shared" si="112"/>
        <v>0</v>
      </c>
      <c r="W84" s="842">
        <f t="shared" si="112"/>
        <v>0</v>
      </c>
      <c r="X84" s="842">
        <f t="shared" si="112"/>
        <v>0</v>
      </c>
      <c r="Y84" s="842">
        <f t="shared" si="112"/>
        <v>0</v>
      </c>
      <c r="Z84" s="1059"/>
      <c r="AA84" s="842">
        <f t="shared" si="112"/>
        <v>0</v>
      </c>
      <c r="AB84" s="842">
        <f t="shared" si="112"/>
        <v>0</v>
      </c>
      <c r="AC84" s="842">
        <f t="shared" si="112"/>
        <v>0</v>
      </c>
      <c r="AD84" s="842">
        <f t="shared" si="112"/>
        <v>0</v>
      </c>
      <c r="AE84" s="842">
        <f t="shared" si="112"/>
        <v>0</v>
      </c>
      <c r="AF84" s="842">
        <f t="shared" si="112"/>
        <v>0</v>
      </c>
      <c r="AG84" s="842">
        <f t="shared" si="112"/>
        <v>0</v>
      </c>
      <c r="AH84" s="842">
        <f t="shared" si="112"/>
        <v>0</v>
      </c>
      <c r="AI84" s="842"/>
      <c r="AJ84" s="1057" t="s">
        <v>972</v>
      </c>
      <c r="AK84" s="731" t="s">
        <v>209</v>
      </c>
      <c r="AL84" s="632"/>
      <c r="AM84" s="1057"/>
      <c r="AN84" s="1060"/>
      <c r="AO84" s="632"/>
      <c r="AP84" s="632"/>
      <c r="AQ84" s="632"/>
      <c r="AR84" s="632"/>
      <c r="AS84" s="632"/>
      <c r="AT84" s="632"/>
      <c r="AU84" s="1038" t="s">
        <v>973</v>
      </c>
      <c r="AV84" s="1042">
        <v>5</v>
      </c>
      <c r="AW84" s="1028"/>
      <c r="AX84" s="1028"/>
      <c r="AY84" s="714"/>
      <c r="AZ84" s="1028"/>
      <c r="BA84" s="1028"/>
      <c r="BB84" s="1028"/>
      <c r="BC84" s="1028"/>
      <c r="BD84" s="1028"/>
      <c r="BE84" s="632"/>
      <c r="BF84" s="632"/>
      <c r="BG84" s="688"/>
      <c r="BH84" s="1029"/>
      <c r="BI84" s="632"/>
      <c r="BJ84" s="711" t="s">
        <v>974</v>
      </c>
      <c r="BK84" s="712" t="s">
        <v>812</v>
      </c>
      <c r="BL84" s="712" t="s">
        <v>812</v>
      </c>
      <c r="BM84" s="712" t="s">
        <v>812</v>
      </c>
      <c r="BN84" s="712" t="s">
        <v>812</v>
      </c>
      <c r="BO84" s="712" t="s">
        <v>812</v>
      </c>
      <c r="BP84" s="713" t="s">
        <v>812</v>
      </c>
      <c r="BQ84" s="6"/>
      <c r="BR84" s="714"/>
      <c r="BS84" s="6"/>
      <c r="BT84" s="6"/>
      <c r="BU84" s="786"/>
      <c r="BV84" s="625"/>
      <c r="BW84" s="625"/>
      <c r="BX84" s="625"/>
      <c r="BY84" s="625"/>
      <c r="BZ84" s="625"/>
      <c r="CA84" s="625"/>
      <c r="CB84" s="625"/>
      <c r="CC84" s="625"/>
      <c r="CD84" s="625"/>
      <c r="CE84" s="625"/>
      <c r="CF84" s="625"/>
      <c r="CG84" s="625"/>
      <c r="CH84" s="625"/>
      <c r="CI84" s="625"/>
      <c r="CJ84" s="625"/>
      <c r="CK84" s="625"/>
      <c r="CL84" s="625"/>
      <c r="CM84" s="625"/>
      <c r="CN84" s="625"/>
      <c r="CO84" s="625"/>
      <c r="CP84" s="625"/>
      <c r="CQ84" s="625"/>
      <c r="CR84" s="625"/>
      <c r="CS84" s="625"/>
      <c r="CT84" s="625"/>
      <c r="CU84" s="625"/>
      <c r="CV84" s="625"/>
      <c r="CW84" s="625"/>
      <c r="CX84" s="625"/>
      <c r="CY84" s="625"/>
      <c r="CZ84" s="625"/>
      <c r="DA84" s="625"/>
      <c r="DB84" s="625"/>
      <c r="DC84" s="625"/>
      <c r="DD84" s="625"/>
      <c r="DE84" s="625"/>
      <c r="DF84" s="625"/>
      <c r="DG84" s="625"/>
      <c r="DH84" s="625"/>
      <c r="DI84" s="625"/>
      <c r="DJ84" s="625"/>
      <c r="DK84" s="625"/>
      <c r="DL84" s="625"/>
      <c r="DM84" s="625"/>
      <c r="DN84" s="625"/>
      <c r="DO84" s="625"/>
      <c r="DP84" s="625"/>
      <c r="DQ84" s="625"/>
      <c r="DR84" s="625"/>
      <c r="DS84" s="625"/>
      <c r="DT84" s="625"/>
      <c r="DU84" s="625"/>
      <c r="DV84" s="625"/>
      <c r="DW84" s="625"/>
      <c r="DX84" s="625"/>
      <c r="DY84" s="625"/>
      <c r="DZ84" s="625"/>
      <c r="EA84" s="625"/>
      <c r="EB84" s="625"/>
      <c r="EC84" s="625"/>
      <c r="ED84" s="625"/>
      <c r="EE84" s="625"/>
      <c r="EF84" s="625"/>
      <c r="EG84" s="625"/>
      <c r="EH84" s="625"/>
      <c r="EI84" s="625"/>
      <c r="EJ84" s="625"/>
      <c r="EK84" s="625"/>
      <c r="EL84" s="625"/>
      <c r="EM84" s="625"/>
      <c r="EN84" s="625"/>
      <c r="EO84" s="625"/>
      <c r="EP84" s="625"/>
      <c r="EQ84" s="625"/>
      <c r="ER84" s="625"/>
      <c r="ES84" s="625"/>
      <c r="ET84" s="625"/>
      <c r="EU84" s="625"/>
      <c r="EV84" s="625"/>
      <c r="EW84" s="625"/>
      <c r="EX84" s="625"/>
      <c r="EY84" s="625"/>
      <c r="EZ84" s="625"/>
      <c r="FA84" s="625"/>
      <c r="FB84" s="625"/>
      <c r="FC84" s="625"/>
    </row>
    <row r="85" ht="15" customHeight="1">
      <c r="A85" s="632"/>
      <c r="B85" s="632"/>
      <c r="C85" s="632"/>
      <c r="D85" s="887" t="s">
        <v>975</v>
      </c>
      <c r="E85" s="1061">
        <f t="shared" si="113" ref="E85:P85">+E83-E84</f>
        <v>-22625250.06</v>
      </c>
      <c r="F85" s="1061">
        <f t="shared" si="113"/>
        <v>-22625250.06</v>
      </c>
      <c r="G85" s="1061">
        <f t="shared" si="113"/>
        <v>-22625250.06</v>
      </c>
      <c r="H85" s="1061">
        <f t="shared" si="113"/>
        <v>-22625250.06</v>
      </c>
      <c r="I85" s="1061">
        <f t="shared" si="113"/>
        <v>-22625250.06</v>
      </c>
      <c r="J85" s="1061">
        <f t="shared" si="113"/>
        <v>-22625250.06</v>
      </c>
      <c r="K85" s="1061">
        <f t="shared" si="113"/>
        <v>-22625250.06</v>
      </c>
      <c r="L85" s="1061">
        <f t="shared" si="113"/>
        <v>-22625250.06</v>
      </c>
      <c r="M85" s="1061">
        <f t="shared" si="113"/>
        <v>-22625250.06</v>
      </c>
      <c r="N85" s="1061">
        <f t="shared" si="113"/>
        <v>-22625250.06</v>
      </c>
      <c r="O85" s="1061">
        <f t="shared" si="113"/>
        <v>-22625250.06</v>
      </c>
      <c r="P85" s="1061">
        <f t="shared" si="113"/>
        <v>-22625250.06</v>
      </c>
      <c r="Q85" s="1055"/>
      <c r="R85" s="1061">
        <f t="shared" si="114" ref="R85:AH85">R83-R84</f>
        <v>-27535235.36</v>
      </c>
      <c r="S85" s="1061">
        <f t="shared" si="114"/>
        <v>-27535235.36</v>
      </c>
      <c r="T85" s="1061">
        <f t="shared" si="114"/>
        <v>-27535235.36</v>
      </c>
      <c r="U85" s="1061">
        <f t="shared" si="114"/>
        <v>-22372378.729999997</v>
      </c>
      <c r="V85" s="1061">
        <f t="shared" si="114"/>
        <v>-18930474.31</v>
      </c>
      <c r="W85" s="1061">
        <f t="shared" si="114"/>
        <v>-22372378.729999997</v>
      </c>
      <c r="X85" s="1061">
        <f t="shared" si="114"/>
        <v>-18930474.31</v>
      </c>
      <c r="Y85" s="1061">
        <f t="shared" si="114"/>
        <v>-27535235.36</v>
      </c>
      <c r="Z85" s="1055"/>
      <c r="AA85" s="1061">
        <f t="shared" si="114"/>
        <v>-24093330.939999994</v>
      </c>
      <c r="AB85" s="1061">
        <f t="shared" si="114"/>
        <v>-24093330.939999994</v>
      </c>
      <c r="AC85" s="1061">
        <f t="shared" si="114"/>
        <v>-24093330.939999994</v>
      </c>
      <c r="AD85" s="1061">
        <f t="shared" si="114"/>
        <v>-24093330.939999994</v>
      </c>
      <c r="AE85" s="1061">
        <f t="shared" si="114"/>
        <v>-24093330.939999994</v>
      </c>
      <c r="AF85" s="1061">
        <f t="shared" si="114"/>
        <v>-24093330.939999994</v>
      </c>
      <c r="AG85" s="1061">
        <f t="shared" si="114"/>
        <v>-24093330.939999994</v>
      </c>
      <c r="AH85" s="1061">
        <f t="shared" si="114"/>
        <v>-24093330.939999994</v>
      </c>
      <c r="AI85" s="842"/>
      <c r="AJ85" s="1057"/>
      <c r="AK85" s="1062"/>
      <c r="AL85" s="1062"/>
      <c r="AM85" s="1057"/>
      <c r="AN85" s="1062"/>
      <c r="AO85" s="632"/>
      <c r="AP85" s="632"/>
      <c r="AQ85" s="632"/>
      <c r="AR85" s="632"/>
      <c r="AS85" s="632"/>
      <c r="AT85" s="632"/>
      <c r="AU85" s="1038" t="s">
        <v>976</v>
      </c>
      <c r="AV85" s="1042">
        <v>7</v>
      </c>
      <c r="AW85" s="1028"/>
      <c r="AX85" s="1028"/>
      <c r="AY85" s="714"/>
      <c r="AZ85" s="1028"/>
      <c r="BA85" s="1028"/>
      <c r="BB85" s="1028"/>
      <c r="BC85" s="1028"/>
      <c r="BD85" s="1028"/>
      <c r="BE85" s="632"/>
      <c r="BF85" s="632"/>
      <c r="BG85" s="27"/>
      <c r="BH85" s="1029"/>
      <c r="BI85" s="632"/>
      <c r="BJ85" s="720"/>
      <c r="BK85" s="721"/>
      <c r="BL85" s="721"/>
      <c r="BM85" s="721"/>
      <c r="BN85" s="721"/>
      <c r="BO85" s="721"/>
      <c r="BP85" s="722"/>
      <c r="BQ85" s="6"/>
      <c r="BR85" s="714"/>
      <c r="BS85" s="6"/>
      <c r="BT85" s="6"/>
      <c r="BU85" s="786"/>
      <c r="BV85" s="625"/>
      <c r="BW85" s="625"/>
      <c r="BX85" s="625"/>
      <c r="BY85" s="625"/>
      <c r="BZ85" s="625"/>
      <c r="CA85" s="625"/>
      <c r="CB85" s="625"/>
      <c r="CC85" s="625"/>
      <c r="CD85" s="625"/>
      <c r="CE85" s="625"/>
      <c r="CF85" s="625"/>
      <c r="CG85" s="625"/>
      <c r="CH85" s="625"/>
      <c r="CI85" s="625"/>
      <c r="CJ85" s="625"/>
      <c r="CK85" s="625"/>
      <c r="CL85" s="625"/>
      <c r="CM85" s="625"/>
      <c r="CN85" s="625"/>
      <c r="CO85" s="625"/>
      <c r="CP85" s="625"/>
      <c r="CQ85" s="625"/>
      <c r="CR85" s="625"/>
      <c r="CS85" s="625"/>
      <c r="CT85" s="625"/>
      <c r="CU85" s="625"/>
      <c r="CV85" s="625"/>
      <c r="CW85" s="625"/>
      <c r="CX85" s="625"/>
      <c r="CY85" s="625"/>
      <c r="CZ85" s="625"/>
      <c r="DA85" s="625"/>
      <c r="DB85" s="625"/>
      <c r="DC85" s="625"/>
      <c r="DD85" s="625"/>
      <c r="DE85" s="625"/>
      <c r="DF85" s="625"/>
      <c r="DG85" s="625"/>
      <c r="DH85" s="625"/>
      <c r="DI85" s="625"/>
      <c r="DJ85" s="625"/>
      <c r="DK85" s="625"/>
      <c r="DL85" s="625"/>
      <c r="DM85" s="625"/>
      <c r="DN85" s="625"/>
      <c r="DO85" s="625"/>
      <c r="DP85" s="625"/>
      <c r="DQ85" s="625"/>
      <c r="DR85" s="625"/>
      <c r="DS85" s="625"/>
      <c r="DT85" s="625"/>
      <c r="DU85" s="625"/>
      <c r="DV85" s="625"/>
      <c r="DW85" s="625"/>
      <c r="DX85" s="625"/>
      <c r="DY85" s="625"/>
      <c r="DZ85" s="625"/>
      <c r="EA85" s="625"/>
      <c r="EB85" s="625"/>
      <c r="EC85" s="625"/>
      <c r="ED85" s="625"/>
      <c r="EE85" s="625"/>
      <c r="EF85" s="625"/>
      <c r="EG85" s="625"/>
      <c r="EH85" s="625"/>
      <c r="EI85" s="625"/>
      <c r="EJ85" s="625"/>
      <c r="EK85" s="625"/>
      <c r="EL85" s="625"/>
      <c r="EM85" s="625"/>
      <c r="EN85" s="625"/>
      <c r="EO85" s="625"/>
      <c r="EP85" s="625"/>
      <c r="EQ85" s="625"/>
      <c r="ER85" s="625"/>
      <c r="ES85" s="625"/>
      <c r="ET85" s="625"/>
      <c r="EU85" s="625"/>
      <c r="EV85" s="625"/>
      <c r="EW85" s="625"/>
      <c r="EX85" s="625"/>
      <c r="EY85" s="625"/>
      <c r="EZ85" s="625"/>
      <c r="FA85" s="625"/>
      <c r="FB85" s="625"/>
      <c r="FC85" s="625"/>
    </row>
    <row r="86" ht="15" customHeight="1">
      <c r="A86" s="632"/>
      <c r="B86" s="632"/>
      <c r="C86" s="632"/>
      <c r="D86" s="631" t="str">
        <f>IF(COUNTBLANK('FNM Exit Strategy'!E7:I7)=0,"Base Exit NCF at Maturity +1 Yr from Exit Strategy tab","Est. Base Exit NCF at Maturity +1 Yr @"&amp;Q86*100&amp;"% Rent Growth")</f>
        <v>Est. Base Exit NCF at Maturity +1 Yr @3.2% Rent Growth</v>
      </c>
      <c r="E86" s="1063"/>
      <c r="F86" s="1063"/>
      <c r="G86" s="1063"/>
      <c r="H86" s="1063"/>
      <c r="I86" s="1063"/>
      <c r="J86" s="1063"/>
      <c r="K86" s="1063"/>
      <c r="L86" s="1063"/>
      <c r="M86" s="1063"/>
      <c r="N86" s="1063"/>
      <c r="O86" s="1063"/>
      <c r="P86" s="1063"/>
      <c r="Q86" s="732">
        <v>0.032</v>
      </c>
      <c r="R86" s="842" cm="1">
        <f t="array" ref="R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Strategy'!$D$29:$AH$29,_xlpm.term,R$98,_xlpm.term_plus_1,_xlpm.term+1,_xlpm.estimated_rent_growth_factor,(1+$Q$86)^_xlpm.term,_xlpm.expense_growth_factor,1.03^_xlpm.term,_xlpm.egi,'Fannie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-2277314.0883136215</v>
      </c>
      <c r="S86" s="842" cm="1">
        <f t="array" ref="S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Strategy'!$D$29:$AH$29,_xlpm.term,S$98,_xlpm.term_plus_1,_xlpm.term+1,_xlpm.estimated_rent_growth_factor,(1+$Q$86)^_xlpm.term,_xlpm.expense_growth_factor,1.03^_xlpm.term,_xlpm.egi,'Fannie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-2408656.340927534</v>
      </c>
      <c r="T86" s="842" cm="1">
        <f t="array" ref="T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Strategy'!$D$29:$AH$29,_xlpm.term,T$98,_xlpm.term_plus_1,_xlpm.term+1,_xlpm.estimated_rent_growth_factor,(1+$Q$86)^_xlpm.term,_xlpm.expense_growth_factor,1.03^_xlpm.term,_xlpm.egi,'Fannie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-2620065.277827656</v>
      </c>
      <c r="U86" s="842" cm="1">
        <f t="array" ref="U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Strategy'!$D$29:$AH$29,_xlpm.term,U$98,_xlpm.term_plus_1,_xlpm.term+1,_xlpm.estimated_rent_growth_factor,(1+$Q$86)^_xlpm.term,_xlpm.expense_growth_factor,1.03^_xlpm.term,_xlpm.egi,'Fannie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-2277314.0883136215</v>
      </c>
      <c r="V86" s="842" cm="1">
        <f t="array" ref="V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Strategy'!$D$29:$AH$29,_xlpm.term,V$98,_xlpm.term_plus_1,_xlpm.term+1,_xlpm.estimated_rent_growth_factor,(1+$Q$86)^_xlpm.term,_xlpm.expense_growth_factor,1.03^_xlpm.term,_xlpm.egi,'Fannie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-2277314.0883136215</v>
      </c>
      <c r="W86" s="842" cm="1">
        <f t="array" ref="W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Strategy'!$D$29:$AH$29,_xlpm.term,W$98,_xlpm.term_plus_1,_xlpm.term+1,_xlpm.estimated_rent_growth_factor,(1+$Q$86)^_xlpm.term,_xlpm.expense_growth_factor,1.03^_xlpm.term,_xlpm.egi,'Fannie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-1979569.6748393609</v>
      </c>
      <c r="X86" s="842" cm="1">
        <f t="array" ref="X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Strategy'!$D$29:$AH$29,_xlpm.term,X$98,_xlpm.term_plus_1,_xlpm.term+1,_xlpm.estimated_rent_growth_factor,(1+$Q$86)^_xlpm.term,_xlpm.expense_growth_factor,1.03^_xlpm.term,_xlpm.egi,'Fannie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-1979569.6748393609</v>
      </c>
      <c r="Y86" s="842" cm="1">
        <f t="array" ref="Y86">_xlfn.LET(_xlpm.comment,"Uses FNM Exit Strategy NCF if DUS Gateway Rent Growth Rate data has been entered, otherwise this equation estimates the NCF.",_xlpm.comment1,"Estimates BASE exit, not ALT exit; because Base Exit has Yr1 Rent Growth of '0', use 'term' instead of 'term + 1'",_xlpm.comment2,"Expense Growth also uses 'term' instead of 'term + 1' because for both Base and Alt exit, Yr1 growth is already part of Hist Ops expense data",_xlpm.use_NCF_from_FNM_exit_tab,COUNTBLANK('FNM Exit Strategy'!$E$7:$I$7)=0,_xlpm.yearly_NCFs_from_FNM_exit_tab,'FNM Exit Strategy'!$D$29:$AH$29,_xlpm.term,Y$98,_xlpm.term_plus_1,_xlpm.term+1,_xlpm.estimated_rent_growth_factor,(1+$Q$86)^_xlpm.term,_xlpm.expense_growth_factor,1.03^_xlpm.term,_xlpm.egi,'Fannie Historical Ops'!$AK$30,_xlpm.management_fee_pcnt,'Fannie Historical Ops'!$AL$51,_xlpm.management_fee,'Fannie Historical Ops'!$AK$51,_xlpm.capital_expenditures,'Fannie Historical Ops'!$AK$73,_xlpm.total_expenses,'Fannie Historical Ops'!$AK$71,IF(_xlpm.use_NCF_from_FNM_exit_tab,INDEX(_xlpm.yearly_NCFs_from_FNM_exit_tab,1,_xlpm.term_plus_1),_xlpm.egi*(1-_xlpm.management_fee_pcnt)*_xlpm.estimated_rent_growth_factor-_xlpm.capital_expenditures-(_xlpm.total_expenses-_xlpm.management_fee)*_xlpm.expense_growth_factor))</f>
        <v>-2277314.0883136215</v>
      </c>
      <c r="Z86" s="842"/>
      <c r="AA86" s="842">
        <f>'Fannie Historical Ops'!$AK$30*1.02^AA$98-'Fannie Historical Ops'!$AL$51*('Fannie Historical Ops'!$AK$30*1.02^AA$98)-'Fannie Historical Ops'!$AK$73-('Fannie Historical Ops'!$AK$71-'Fannie Historical Ops'!$AK$51)*1.03^AA$98</f>
        <v>-1912317.1463114</v>
      </c>
      <c r="AB86" s="842">
        <f>'Fannie Historical Ops'!$AK$30*1.02^AB$98-'Fannie Historical Ops'!$AL$51*('Fannie Historical Ops'!$AK$30*1.02^AB$98)-'Fannie Historical Ops'!$AK$73-('Fannie Historical Ops'!$AK$71-'Fannie Historical Ops'!$AK$51)*1.03^AB$98</f>
        <v>-2050782.3500581076</v>
      </c>
      <c r="AC86" s="842">
        <f>'Fannie Historical Ops'!$AK$30*1.02^AC$98-'Fannie Historical Ops'!$AL$51*('Fannie Historical Ops'!$AK$30*1.02^AC$98)-'Fannie Historical Ops'!$AK$73-('Fannie Historical Ops'!$AK$71-'Fannie Historical Ops'!$AK$51)*1.03^AC$98</f>
        <v>-2198621.3729802594</v>
      </c>
      <c r="AD86" s="842">
        <f>'Fannie Historical Ops'!$AK$30*1.02^AD$98-'Fannie Historical Ops'!$AL$51*('Fannie Historical Ops'!$AK$30*1.02^AD$98)-'Fannie Historical Ops'!$AK$73-('Fannie Historical Ops'!$AK$71-'Fannie Historical Ops'!$AK$51)*1.03^AD$98</f>
        <v>-1912317.1463114</v>
      </c>
      <c r="AE86" s="842">
        <f>'Fannie Historical Ops'!$AK$30*1.02^AE$98-'Fannie Historical Ops'!$AL$51*('Fannie Historical Ops'!$AK$30*1.02^AE$98)-'Fannie Historical Ops'!$AK$73-('Fannie Historical Ops'!$AK$71-'Fannie Historical Ops'!$AK$51)*1.03^AE$98</f>
        <v>-2050782.3500581076</v>
      </c>
      <c r="AF86" s="842">
        <f>'Fannie Historical Ops'!$AK$30*1.02^AF$98-'Fannie Historical Ops'!$AL$51*('Fannie Historical Ops'!$AK$30*1.02^AF$98)-'Fannie Historical Ops'!$AK$73-('Fannie Historical Ops'!$AK$71-'Fannie Historical Ops'!$AK$51)*1.03^AF$98</f>
        <v>-2198621.3729802594</v>
      </c>
      <c r="AG86" s="842">
        <f>'Fannie Historical Ops'!$AK$30*1.02^AG$98-'Fannie Historical Ops'!$AL$51*('Fannie Historical Ops'!$AK$30*1.02^AG$98)-'Fannie Historical Ops'!$AK$73-('Fannie Historical Ops'!$AK$71-'Fannie Historical Ops'!$AK$51)*1.03^AG$98</f>
        <v>-1912317.1463114</v>
      </c>
      <c r="AH86" s="842">
        <f>'Fannie Historical Ops'!$AK$30*1.02^AH$98-'Fannie Historical Ops'!$AL$51*('Fannie Historical Ops'!$AK$30*1.02^AH$98)-'Fannie Historical Ops'!$AK$73-('Fannie Historical Ops'!$AK$71-'Fannie Historical Ops'!$AK$51)*1.03^AH$98</f>
        <v>-2050782.3500581076</v>
      </c>
      <c r="AI86" s="842"/>
      <c r="AJ86" s="1057"/>
      <c r="AK86" s="1062"/>
      <c r="AL86" s="1062"/>
      <c r="AM86" s="1062"/>
      <c r="AN86" s="1062"/>
      <c r="AO86" s="632"/>
      <c r="AP86" s="632"/>
      <c r="AQ86" s="632"/>
      <c r="AR86" s="632"/>
      <c r="AS86" s="632"/>
      <c r="AT86" s="632"/>
      <c r="AU86" s="1052" t="s">
        <v>978</v>
      </c>
      <c r="AV86" s="1064">
        <v>10</v>
      </c>
      <c r="AW86" s="1065"/>
      <c r="AX86" s="1065"/>
      <c r="AY86" s="714"/>
      <c r="AZ86" s="1028"/>
      <c r="BA86" s="1028"/>
      <c r="BB86" s="1028"/>
      <c r="BC86" s="1028"/>
      <c r="BD86" s="1028"/>
      <c r="BE86" s="632"/>
      <c r="BF86" s="632"/>
      <c r="BG86" s="27"/>
      <c r="BH86" s="1029"/>
      <c r="BI86" s="632"/>
      <c r="BJ86" s="711" t="s">
        <v>979</v>
      </c>
      <c r="BK86" s="712"/>
      <c r="BL86" s="712"/>
      <c r="BM86" s="712"/>
      <c r="BN86" s="712"/>
      <c r="BO86" s="712"/>
      <c r="BP86" s="713"/>
      <c r="BQ86" s="6"/>
      <c r="BR86" s="714"/>
      <c r="BS86" s="6"/>
      <c r="BT86" s="6"/>
      <c r="BU86" s="786"/>
      <c r="BV86" s="625"/>
      <c r="BW86" s="625"/>
      <c r="BX86" s="625"/>
      <c r="BY86" s="625"/>
      <c r="BZ86" s="625"/>
      <c r="CA86" s="625"/>
      <c r="CB86" s="625"/>
      <c r="CC86" s="625"/>
      <c r="CD86" s="625"/>
      <c r="CE86" s="625"/>
      <c r="CF86" s="625"/>
      <c r="CG86" s="625"/>
      <c r="CH86" s="625"/>
      <c r="CI86" s="625"/>
      <c r="CJ86" s="625"/>
      <c r="CK86" s="625"/>
      <c r="CL86" s="625"/>
      <c r="CM86" s="625"/>
      <c r="CN86" s="625"/>
      <c r="CO86" s="625"/>
      <c r="CP86" s="625"/>
      <c r="CQ86" s="625"/>
      <c r="CR86" s="625"/>
      <c r="CS86" s="625"/>
      <c r="CT86" s="625"/>
      <c r="CU86" s="625"/>
      <c r="CV86" s="625"/>
      <c r="CW86" s="625"/>
      <c r="CX86" s="625"/>
      <c r="CY86" s="625"/>
      <c r="CZ86" s="625"/>
      <c r="DA86" s="625"/>
      <c r="DB86" s="625"/>
      <c r="DC86" s="625"/>
      <c r="DD86" s="625"/>
      <c r="DE86" s="625"/>
      <c r="DF86" s="625"/>
      <c r="DG86" s="625"/>
      <c r="DH86" s="625"/>
      <c r="DI86" s="625"/>
      <c r="DJ86" s="625"/>
      <c r="DK86" s="625"/>
      <c r="DL86" s="625"/>
      <c r="DM86" s="625"/>
      <c r="DN86" s="625"/>
      <c r="DO86" s="625"/>
      <c r="DP86" s="625"/>
      <c r="DQ86" s="625"/>
      <c r="DR86" s="625"/>
      <c r="DS86" s="625"/>
      <c r="DT86" s="625"/>
      <c r="DU86" s="625"/>
      <c r="DV86" s="625"/>
      <c r="DW86" s="625"/>
      <c r="DX86" s="625"/>
      <c r="DY86" s="625"/>
      <c r="DZ86" s="625"/>
      <c r="EA86" s="625"/>
      <c r="EB86" s="625"/>
      <c r="EC86" s="625"/>
      <c r="ED86" s="625"/>
      <c r="EE86" s="625"/>
      <c r="EF86" s="625"/>
      <c r="EG86" s="625"/>
      <c r="EH86" s="625"/>
      <c r="EI86" s="625"/>
      <c r="EJ86" s="625"/>
      <c r="EK86" s="625"/>
      <c r="EL86" s="625"/>
      <c r="EM86" s="625"/>
      <c r="EN86" s="625"/>
      <c r="EO86" s="625"/>
      <c r="EP86" s="625"/>
      <c r="EQ86" s="625"/>
      <c r="ER86" s="625"/>
      <c r="ES86" s="625"/>
      <c r="ET86" s="625"/>
      <c r="EU86" s="625"/>
      <c r="EV86" s="625"/>
      <c r="EW86" s="625"/>
      <c r="EX86" s="625"/>
      <c r="EY86" s="625"/>
      <c r="EZ86" s="625"/>
      <c r="FA86" s="625"/>
      <c r="FB86" s="625"/>
      <c r="FC86" s="625"/>
    </row>
    <row r="87" ht="15" customHeight="1">
      <c r="A87" s="632"/>
      <c r="B87" s="632"/>
      <c r="C87" s="632"/>
      <c r="D87" s="709" t="s">
        <v>980</v>
      </c>
      <c r="E87" s="1063"/>
      <c r="F87" s="1063"/>
      <c r="G87" s="1063"/>
      <c r="H87" s="1063"/>
      <c r="I87" s="1063"/>
      <c r="J87" s="1063"/>
      <c r="K87" s="1063"/>
      <c r="L87" s="1063"/>
      <c r="M87" s="1063"/>
      <c r="N87" s="1063"/>
      <c r="O87" s="1063"/>
      <c r="P87" s="1063"/>
      <c r="Q87" s="1063"/>
      <c r="R87" s="1040" cm="1" t="e">
        <f t="array" ref="R87">_xlfn.LET(_xlpm.term_yrs,R$98,_xlpm.yrs_of_io,R$43,_xlpm.amortization_basis,R$9*12,_xlpm.amortization_months,(_xlpm.term_yrs-_xlpm.yrs_of_io)*12,_xlpm.loan_amount,R$30,_xlpm.note_rate,R$68,_xlpm.loan_start_date,TODAY()+60,IF(_xlpm.amortization_months&lt;=0,_xlpm.loan_amount,ACTUAL360UPB(_xlpm.note_rate,_xlpm.loan_amount,_xlpm.loan_start_date,_xlpm.amortization_months,_xlpm.amortization_basis)))</f>
        <v>#NAME?</v>
      </c>
      <c r="S87" s="1040" cm="1" t="e">
        <f t="array" ref="S87">_xlfn.LET(_xlpm.term_yrs,S$98,_xlpm.yrs_of_io,S$43,_xlpm.amortization_basis,S$9*12,_xlpm.amortization_months,(_xlpm.term_yrs-_xlpm.yrs_of_io)*12,_xlpm.loan_amount,S$30,_xlpm.note_rate,S$68,_xlpm.loan_start_date,TODAY()+60,IF(_xlpm.amortization_months&lt;=0,_xlpm.loan_amount,ACTUAL360UPB(_xlpm.note_rate,_xlpm.loan_amount,_xlpm.loan_start_date,_xlpm.amortization_months,_xlpm.amortization_basis)))</f>
        <v>#NAME?</v>
      </c>
      <c r="T87" s="1040" cm="1" t="e">
        <f t="array" ref="T87">_xlfn.LET(_xlpm.term_yrs,T$98,_xlpm.yrs_of_io,T$43,_xlpm.amortization_basis,T$9*12,_xlpm.amortization_months,(_xlpm.term_yrs-_xlpm.yrs_of_io)*12,_xlpm.loan_amount,T$30,_xlpm.note_rate,T$68,_xlpm.loan_start_date,TODAY()+60,IF(_xlpm.amortization_months&lt;=0,_xlpm.loan_amount,ACTUAL360UPB(_xlpm.note_rate,_xlpm.loan_amount,_xlpm.loan_start_date,_xlpm.amortization_months,_xlpm.amortization_basis)))</f>
        <v>#NAME?</v>
      </c>
      <c r="U87" s="1040" cm="1" t="e">
        <f t="array" ref="U87">_xlfn.LET(_xlpm.term_yrs,U$98,_xlpm.yrs_of_io,U$43,_xlpm.amortization_basis,U$9*12,_xlpm.amortization_months,(_xlpm.term_yrs-_xlpm.yrs_of_io)*12,_xlpm.loan_amount,U$30,_xlpm.note_rate,U$68,_xlpm.loan_start_date,TODAY()+60,IF(_xlpm.amortization_months&lt;=0,_xlpm.loan_amount,ACTUAL360UPB(_xlpm.note_rate,_xlpm.loan_amount,_xlpm.loan_start_date,_xlpm.amortization_months,_xlpm.amortization_basis)))</f>
        <v>#NAME?</v>
      </c>
      <c r="V87" s="1040" cm="1">
        <f t="array" ref="V87">_xlfn.LET(_xlpm.term_yrs,V$98,_xlpm.yrs_of_io,V$43,_xlpm.amortization_basis,V$9*12,_xlpm.amortization_months,(_xlpm.term_yrs-_xlpm.yrs_of_io)*12,_xlpm.loan_amount,V$30,_xlpm.note_rate,V$68,_xlpm.loan_start_date,TODAY()+60,IF(_xlpm.amortization_months&lt;=0,_xlpm.loan_amount,ACTUAL360UPB(_xlpm.note_rate,_xlpm.loan_amount,_xlpm.loan_start_date,_xlpm.amortization_months,_xlpm.amortization_basis)))</f>
        <v>0</v>
      </c>
      <c r="W87" s="1040" cm="1" t="e">
        <f t="array" ref="W87">_xlfn.LET(_xlpm.term_yrs,W$98,_xlpm.yrs_of_io,W$43,_xlpm.amortization_basis,W$9*12,_xlpm.amortization_months,(_xlpm.term_yrs-_xlpm.yrs_of_io)*12,_xlpm.loan_amount,W$30,_xlpm.note_rate,W$68,_xlpm.loan_start_date,TODAY()+60,IF(_xlpm.amortization_months&lt;=0,_xlpm.loan_amount,ACTUAL360UPB(_xlpm.note_rate,_xlpm.loan_amount,_xlpm.loan_start_date,_xlpm.amortization_months,_xlpm.amortization_basis)))</f>
        <v>#NAME?</v>
      </c>
      <c r="X87" s="1040" cm="1">
        <f t="array" ref="X87">_xlfn.LET(_xlpm.term_yrs,X$98,_xlpm.yrs_of_io,X$43,_xlpm.amortization_basis,X$9*12,_xlpm.amortization_months,(_xlpm.term_yrs-_xlpm.yrs_of_io)*12,_xlpm.loan_amount,X$30,_xlpm.note_rate,X$68,_xlpm.loan_start_date,TODAY()+60,IF(_xlpm.amortization_months&lt;=0,_xlpm.loan_amount,ACTUAL360UPB(_xlpm.note_rate,_xlpm.loan_amount,_xlpm.loan_start_date,_xlpm.amortization_months,_xlpm.amortization_basis)))</f>
        <v>0</v>
      </c>
      <c r="Y87" s="1040" cm="1" t="e">
        <f t="array" ref="Y87">_xlfn.LET(_xlpm.term_yrs,Y$98,_xlpm.yrs_of_io,Y$43,_xlpm.amortization_basis,Y$9*12,_xlpm.amortization_months,(_xlpm.term_yrs-_xlpm.yrs_of_io)*12,_xlpm.loan_amount,Y$30,_xlpm.note_rate,Y$68,_xlpm.loan_start_date,TODAY()+60,IF(_xlpm.amortization_months&lt;=0,_xlpm.loan_amount,ACTUAL360UPB(_xlpm.note_rate,_xlpm.loan_amount,_xlpm.loan_start_date,_xlpm.amortization_months,_xlpm.amortization_basis)))</f>
        <v>#NAME?</v>
      </c>
      <c r="Z87" s="842"/>
      <c r="AA87" s="1040">
        <f t="shared" si="115" ref="AA87:AH87">AA$30</f>
        <v>0</v>
      </c>
      <c r="AB87" s="1040">
        <f t="shared" si="115"/>
        <v>0</v>
      </c>
      <c r="AC87" s="1040">
        <f t="shared" si="115"/>
        <v>0</v>
      </c>
      <c r="AD87" s="1040">
        <f t="shared" si="115"/>
        <v>0</v>
      </c>
      <c r="AE87" s="1040">
        <f t="shared" si="115"/>
        <v>0</v>
      </c>
      <c r="AF87" s="1040">
        <f t="shared" si="115"/>
        <v>0</v>
      </c>
      <c r="AG87" s="1040">
        <f t="shared" si="115"/>
        <v>0</v>
      </c>
      <c r="AH87" s="1040">
        <f t="shared" si="115"/>
        <v>0</v>
      </c>
      <c r="AI87" s="842"/>
      <c r="AJ87" s="1040" cm="1" t="e">
        <f t="array" ref="AJ87">_xlfn.LET(_xlpm.term,AJ98,_xlpm.yrs_of_io,AJ43,_xlpm.amortization_basis,AJ9*12,_xlpm.amortization_months,(_xlpm.term-_xlpm.yrs_of_io)*12,_xlpm.loan_amount,AJ30,_xlpm.note_rate,AJ68,_xlpm.loan_start_date,TODAY()+60,_xlpm.loan_option_nmbr,RIGHT(AJ5,1)+8,IF(_xlpm.amortization_months&lt;=0,_xlpm.loan_amount,ACTUAL360UPB(_xlpm.note_rate,_xlpm.loan_amount,_xlpm.amortization_basis,_xlpm.loan_start_date,_xlpm.amortization_months,_xlpm.loan_option_nmbr)))</f>
        <v>#VALUE!</v>
      </c>
      <c r="AK87" s="1040" cm="1">
        <f t="array" ref="AK87">_xlfn.LET(_xlpm.term,AK98,_xlpm.yrs_of_io,AK43,_xlpm.amortization_basis,AK9*12,_xlpm.amortization_months,(_xlpm.term-_xlpm.yrs_of_io)*12,_xlpm.loan_amount,AK30,_xlpm.note_rate,AK68,_xlpm.loan_start_date,TODAY()+60,_xlpm.loan_option_nmbr,RIGHT(AK5,1)+8,IF(_xlpm.amortization_months&lt;=0,_xlpm.loan_amount,ACTUAL360UPB(_xlpm.note_rate,_xlpm.loan_amount,_xlpm.amortization_basis,_xlpm.loan_start_date,_xlpm.amortization_months,_xlpm.loan_option_nmbr)))</f>
        <v>0</v>
      </c>
      <c r="AL87" s="1040" cm="1">
        <f t="array" ref="AL87">_xlfn.LET(_xlpm.term,AL98,_xlpm.yrs_of_io,AL43,_xlpm.amortization_basis,AL9*12,_xlpm.amortization_months,(_xlpm.term-_xlpm.yrs_of_io)*12,_xlpm.loan_amount,AL30,_xlpm.note_rate,AL68,_xlpm.loan_start_date,TODAY()+60,_xlpm.loan_option_nmbr,RIGHT(AL5,1)+8,IF(_xlpm.amortization_months&lt;=0,_xlpm.loan_amount,ACTUAL360UPB(_xlpm.note_rate,_xlpm.loan_amount,_xlpm.amortization_basis,_xlpm.loan_start_date,_xlpm.amortization_months,_xlpm.loan_option_nmbr)))</f>
        <v>0</v>
      </c>
      <c r="AM87" s="1040" cm="1" t="e">
        <f t="array" ref="AM87">_xlfn.LET(_xlpm.term,AM98,_xlpm.yrs_of_io,AM43,_xlpm.amortization_basis,AM9*12,_xlpm.amortization_months,(_xlpm.term-_xlpm.yrs_of_io)*12,_xlpm.loan_amount,AM30,_xlpm.note_rate,AM68,_xlpm.loan_start_date,TODAY()+60,_xlpm.loan_option_nmbr,RIGHT(AM5,1)+8,IF(_xlpm.amortization_months&lt;=0,_xlpm.loan_amount,ACTUAL360UPB(_xlpm.note_rate,_xlpm.loan_amount,_xlpm.amortization_basis,_xlpm.loan_start_date,_xlpm.amortization_months,_xlpm.loan_option_nmbr)))</f>
        <v>#VALUE!</v>
      </c>
      <c r="AN87" s="1040" cm="1" t="e">
        <f t="array" ref="AN87">_xlfn.LET(_xlpm.term,AN98,_xlpm.yrs_of_io,AN43,_xlpm.amortization_basis,AN9*12,_xlpm.amortization_months,(_xlpm.term-_xlpm.yrs_of_io)*12,_xlpm.loan_amount,AN30,_xlpm.note_rate,AN68,_xlpm.loan_start_date,TODAY()+60,_xlpm.loan_option_nmbr,RIGHT(AN5,1)+8,IF(_xlpm.amortization_months&lt;=0,_xlpm.loan_amount,ACTUAL360UPB(_xlpm.note_rate,_xlpm.loan_amount,_xlpm.amortization_basis,_xlpm.loan_start_date,_xlpm.amortization_months,_xlpm.loan_option_nmbr)))</f>
        <v>#VALUE!</v>
      </c>
      <c r="AO87" s="632"/>
      <c r="AP87" s="632"/>
      <c r="AQ87" s="632"/>
      <c r="AR87" s="632"/>
      <c r="AS87" s="632"/>
      <c r="AT87" s="632"/>
      <c r="AU87" s="625"/>
      <c r="AV87" s="1042"/>
      <c r="AW87" s="1028"/>
      <c r="AX87" s="1028"/>
      <c r="AY87" s="1028"/>
      <c r="AZ87" s="1028"/>
      <c r="BA87" s="1028"/>
      <c r="BB87" s="1028"/>
      <c r="BC87" s="1028"/>
      <c r="BD87" s="1028"/>
      <c r="BE87" s="632"/>
      <c r="BF87" s="632"/>
      <c r="BG87" s="688"/>
      <c r="BH87" s="1029"/>
      <c r="BI87" s="632"/>
      <c r="BJ87" s="720" t="s">
        <v>981</v>
      </c>
      <c r="BK87" s="721"/>
      <c r="BL87" s="721"/>
      <c r="BM87" s="721"/>
      <c r="BN87" s="721"/>
      <c r="BO87" s="721"/>
      <c r="BP87" s="722"/>
      <c r="BQ87" s="6"/>
      <c r="BR87" s="714"/>
      <c r="BS87" s="6"/>
      <c r="BT87" s="6"/>
      <c r="BU87" s="786"/>
      <c r="BV87" s="625"/>
      <c r="BW87" s="625"/>
      <c r="BX87" s="625"/>
      <c r="BY87" s="625"/>
      <c r="BZ87" s="625"/>
      <c r="CA87" s="625"/>
      <c r="CB87" s="625"/>
      <c r="CC87" s="625"/>
      <c r="CD87" s="625"/>
      <c r="CE87" s="625"/>
      <c r="CF87" s="625"/>
      <c r="CG87" s="625"/>
      <c r="CH87" s="625"/>
      <c r="CI87" s="625"/>
      <c r="CJ87" s="625"/>
      <c r="CK87" s="625"/>
      <c r="CL87" s="625"/>
      <c r="CM87" s="625"/>
      <c r="CN87" s="625"/>
      <c r="CO87" s="625"/>
      <c r="CP87" s="625"/>
      <c r="CQ87" s="625"/>
      <c r="CR87" s="625"/>
      <c r="CS87" s="625"/>
      <c r="CT87" s="625"/>
      <c r="CU87" s="625"/>
      <c r="CV87" s="625"/>
      <c r="CW87" s="625"/>
      <c r="CX87" s="625"/>
      <c r="CY87" s="625"/>
      <c r="CZ87" s="625"/>
      <c r="DA87" s="625"/>
      <c r="DB87" s="625"/>
      <c r="DC87" s="625"/>
      <c r="DD87" s="625"/>
      <c r="DE87" s="625"/>
      <c r="DF87" s="625"/>
      <c r="DG87" s="625"/>
      <c r="DH87" s="625"/>
      <c r="DI87" s="625"/>
      <c r="DJ87" s="625"/>
      <c r="DK87" s="625"/>
      <c r="DL87" s="625"/>
      <c r="DM87" s="625"/>
      <c r="DN87" s="625"/>
      <c r="DO87" s="625"/>
      <c r="DP87" s="625"/>
      <c r="DQ87" s="625"/>
      <c r="DR87" s="625"/>
      <c r="DS87" s="625"/>
      <c r="DT87" s="625"/>
      <c r="DU87" s="625"/>
      <c r="DV87" s="625"/>
      <c r="DW87" s="625"/>
      <c r="DX87" s="625"/>
      <c r="DY87" s="625"/>
      <c r="DZ87" s="625"/>
      <c r="EA87" s="625"/>
      <c r="EB87" s="625"/>
      <c r="EC87" s="625"/>
      <c r="ED87" s="625"/>
      <c r="EE87" s="625"/>
      <c r="EF87" s="625"/>
      <c r="EG87" s="625"/>
      <c r="EH87" s="625"/>
      <c r="EI87" s="625"/>
      <c r="EJ87" s="625"/>
      <c r="EK87" s="625"/>
      <c r="EL87" s="625"/>
      <c r="EM87" s="625"/>
      <c r="EN87" s="625"/>
      <c r="EO87" s="625"/>
      <c r="EP87" s="625"/>
      <c r="EQ87" s="625"/>
      <c r="ER87" s="625"/>
      <c r="ES87" s="625"/>
      <c r="ET87" s="625"/>
      <c r="EU87" s="625"/>
      <c r="EV87" s="625"/>
      <c r="EW87" s="625"/>
      <c r="EX87" s="625"/>
      <c r="EY87" s="625"/>
      <c r="EZ87" s="625"/>
      <c r="FA87" s="625"/>
      <c r="FB87" s="625"/>
      <c r="FC87" s="625"/>
    </row>
    <row r="88" ht="15" customHeight="1">
      <c r="A88" s="632"/>
      <c r="B88" s="632"/>
      <c r="C88" s="632"/>
      <c r="D88" s="631" t="s">
        <v>982</v>
      </c>
      <c r="E88" s="1063"/>
      <c r="F88" s="1063"/>
      <c r="G88" s="1063"/>
      <c r="H88" s="1063"/>
      <c r="I88" s="1063"/>
      <c r="J88" s="1063"/>
      <c r="K88" s="1063"/>
      <c r="L88" s="1063"/>
      <c r="M88" s="1063"/>
      <c r="N88" s="1063"/>
      <c r="O88" s="1063"/>
      <c r="P88" s="1063"/>
      <c r="Q88" s="631"/>
      <c r="R88" s="842">
        <f>_xlfn.LET(_xlpm.base_exit_ncf,R$86,_xlpm.base_terminal_cap_rate,'FNM Exit Strategy'!$AL$20,_xlpm.base_exit_ncf/_xlpm.base_terminal_cap_rate)</f>
        <v>-32533058.404480305</v>
      </c>
      <c r="S88" s="842">
        <f>_xlfn.LET(_xlpm.base_exit_ncf,S$86,_xlpm.base_terminal_cap_rate,'FNM Exit Strategy'!$AL$20,_xlpm.base_exit_ncf/_xlpm.base_terminal_cap_rate)</f>
        <v>-34409376.29896477</v>
      </c>
      <c r="T88" s="842">
        <f>_xlfn.LET(_xlpm.base_exit_ncf,T$86,_xlpm.base_terminal_cap_rate,'FNM Exit Strategy'!$AL$20,_xlpm.base_exit_ncf/_xlpm.base_terminal_cap_rate)</f>
        <v>-37429503.96896651</v>
      </c>
      <c r="U88" s="842">
        <f>_xlfn.LET(_xlpm.base_exit_ncf,U$86,_xlpm.base_terminal_cap_rate,'FNM Exit Strategy'!$AL$20,_xlpm.base_exit_ncf/_xlpm.base_terminal_cap_rate)</f>
        <v>-32533058.404480305</v>
      </c>
      <c r="V88" s="842">
        <f>_xlfn.LET(_xlpm.base_exit_ncf,V$86,_xlpm.base_terminal_cap_rate,'FNM Exit Strategy'!$AL$20,_xlpm.base_exit_ncf/_xlpm.base_terminal_cap_rate)</f>
        <v>-32533058.404480305</v>
      </c>
      <c r="W88" s="842">
        <f>_xlfn.LET(_xlpm.base_exit_ncf,W$86,_xlpm.base_terminal_cap_rate,'FNM Exit Strategy'!$AL$20,_xlpm.base_exit_ncf/_xlpm.base_terminal_cap_rate)</f>
        <v>-28279566.783419438</v>
      </c>
      <c r="X88" s="842">
        <f>_xlfn.LET(_xlpm.base_exit_ncf,X$86,_xlpm.base_terminal_cap_rate,'FNM Exit Strategy'!$AL$20,_xlpm.base_exit_ncf/_xlpm.base_terminal_cap_rate)</f>
        <v>-28279566.783419438</v>
      </c>
      <c r="Y88" s="842">
        <f>_xlfn.LET(_xlpm.base_exit_ncf,Y$86,_xlpm.base_terminal_cap_rate,'FNM Exit Strategy'!$AL$20,_xlpm.base_exit_ncf/_xlpm.base_terminal_cap_rate)</f>
        <v>-32533058.404480305</v>
      </c>
      <c r="Z88" s="842"/>
      <c r="AA88" s="842">
        <f t="shared" si="116" ref="AA88:AH88">AA86/7.5%</f>
        <v>-25497561.95081867</v>
      </c>
      <c r="AB88" s="842">
        <f t="shared" si="116"/>
        <v>-27343764.667441435</v>
      </c>
      <c r="AC88" s="842">
        <f t="shared" si="116"/>
        <v>-29314951.639736794</v>
      </c>
      <c r="AD88" s="842">
        <f t="shared" si="116"/>
        <v>-25497561.95081867</v>
      </c>
      <c r="AE88" s="842">
        <f t="shared" si="116"/>
        <v>-27343764.667441435</v>
      </c>
      <c r="AF88" s="842">
        <f t="shared" si="116"/>
        <v>-29314951.639736794</v>
      </c>
      <c r="AG88" s="842">
        <f t="shared" si="116"/>
        <v>-25497561.95081867</v>
      </c>
      <c r="AH88" s="842">
        <f t="shared" si="116"/>
        <v>-27343764.667441435</v>
      </c>
      <c r="AI88" s="842"/>
      <c r="AJ88" s="972"/>
      <c r="AK88" s="972"/>
      <c r="AL88" s="972"/>
      <c r="AM88" s="972"/>
      <c r="AN88" s="972"/>
      <c r="AO88" s="632"/>
      <c r="AP88" s="632"/>
      <c r="AQ88" s="632"/>
      <c r="AR88" s="632"/>
      <c r="AS88" s="632"/>
      <c r="AT88" s="632"/>
      <c r="AU88" s="994" t="s">
        <v>983</v>
      </c>
      <c r="AV88" s="1036"/>
      <c r="AW88" s="714"/>
      <c r="AX88" s="1028"/>
      <c r="AY88" s="1028"/>
      <c r="AZ88" s="1028"/>
      <c r="BA88" s="1028"/>
      <c r="BB88" s="1028"/>
      <c r="BC88" s="1028"/>
      <c r="BD88" s="1028"/>
      <c r="BE88" s="632"/>
      <c r="BF88" s="632"/>
      <c r="BG88" s="27"/>
      <c r="BH88" s="1029"/>
      <c r="BI88" s="632"/>
      <c r="BJ88" s="711" t="s">
        <v>984</v>
      </c>
      <c r="BK88" s="712" t="s">
        <v>822</v>
      </c>
      <c r="BL88" s="712" t="s">
        <v>822</v>
      </c>
      <c r="BM88" s="712" t="s">
        <v>822</v>
      </c>
      <c r="BN88" s="712" t="s">
        <v>822</v>
      </c>
      <c r="BO88" s="712" t="s">
        <v>822</v>
      </c>
      <c r="BP88" s="713" t="s">
        <v>822</v>
      </c>
      <c r="BQ88" s="6"/>
      <c r="BR88" s="714"/>
      <c r="BS88" s="6"/>
      <c r="BT88" s="6"/>
      <c r="BU88" s="786"/>
      <c r="BV88" s="625"/>
      <c r="BW88" s="625"/>
      <c r="BX88" s="625"/>
      <c r="BY88" s="625"/>
      <c r="BZ88" s="625"/>
      <c r="CA88" s="625"/>
      <c r="CB88" s="625"/>
      <c r="CC88" s="625"/>
      <c r="CD88" s="625"/>
      <c r="CE88" s="625"/>
      <c r="CF88" s="625"/>
      <c r="CG88" s="625"/>
      <c r="CH88" s="625"/>
      <c r="CI88" s="625"/>
      <c r="CJ88" s="625"/>
      <c r="CK88" s="625"/>
      <c r="CL88" s="625"/>
      <c r="CM88" s="625"/>
      <c r="CN88" s="625"/>
      <c r="CO88" s="625"/>
      <c r="CP88" s="625"/>
      <c r="CQ88" s="625"/>
      <c r="CR88" s="625"/>
      <c r="CS88" s="625"/>
      <c r="CT88" s="625"/>
      <c r="CU88" s="625"/>
      <c r="CV88" s="625"/>
      <c r="CW88" s="625"/>
      <c r="CX88" s="625"/>
      <c r="CY88" s="625"/>
      <c r="CZ88" s="625"/>
      <c r="DA88" s="625"/>
      <c r="DB88" s="625"/>
      <c r="DC88" s="625"/>
      <c r="DD88" s="625"/>
      <c r="DE88" s="625"/>
      <c r="DF88" s="625"/>
      <c r="DG88" s="625"/>
      <c r="DH88" s="625"/>
      <c r="DI88" s="625"/>
      <c r="DJ88" s="625"/>
      <c r="DK88" s="625"/>
      <c r="DL88" s="625"/>
      <c r="DM88" s="625"/>
      <c r="DN88" s="625"/>
      <c r="DO88" s="625"/>
      <c r="DP88" s="625"/>
      <c r="DQ88" s="625"/>
      <c r="DR88" s="625"/>
      <c r="DS88" s="625"/>
      <c r="DT88" s="625"/>
      <c r="DU88" s="625"/>
      <c r="DV88" s="625"/>
      <c r="DW88" s="625"/>
      <c r="DX88" s="625"/>
      <c r="DY88" s="625"/>
      <c r="DZ88" s="625"/>
      <c r="EA88" s="625"/>
      <c r="EB88" s="625"/>
      <c r="EC88" s="625"/>
      <c r="ED88" s="625"/>
      <c r="EE88" s="625"/>
      <c r="EF88" s="625"/>
      <c r="EG88" s="625"/>
      <c r="EH88" s="625"/>
      <c r="EI88" s="625"/>
      <c r="EJ88" s="625"/>
      <c r="EK88" s="625"/>
      <c r="EL88" s="625"/>
      <c r="EM88" s="625"/>
      <c r="EN88" s="625"/>
      <c r="EO88" s="625"/>
      <c r="EP88" s="625"/>
      <c r="EQ88" s="625"/>
      <c r="ER88" s="625"/>
      <c r="ES88" s="625"/>
      <c r="ET88" s="625"/>
      <c r="EU88" s="625"/>
      <c r="EV88" s="625"/>
      <c r="EW88" s="625"/>
      <c r="EX88" s="625"/>
      <c r="EY88" s="625"/>
      <c r="EZ88" s="625"/>
      <c r="FA88" s="625"/>
      <c r="FB88" s="625"/>
      <c r="FC88" s="625"/>
    </row>
    <row r="89" ht="15" customHeight="1">
      <c r="A89" s="632"/>
      <c r="B89" s="632"/>
      <c r="C89" s="632"/>
      <c r="D89" s="709" t="s">
        <v>985</v>
      </c>
      <c r="E89" s="631"/>
      <c r="F89" s="631"/>
      <c r="G89" s="631"/>
      <c r="H89" s="631"/>
      <c r="I89" s="631"/>
      <c r="J89" s="631"/>
      <c r="K89" s="631"/>
      <c r="L89" s="631"/>
      <c r="M89" s="631"/>
      <c r="N89" s="631"/>
      <c r="O89" s="631"/>
      <c r="P89" s="631"/>
      <c r="Q89" s="631"/>
      <c r="R89" s="1066">
        <f t="shared" si="117" ref="R89:Y89">_xlfn.LET(_xlpm.yr1_noi,-SBL_FannieNOI,_xlpm.term_yrs,R$98,_xlpm.base_exit_noi,R$86,_xlfn.IFERROR(RATE(_xlpm.term_yrs,0,_xlpm.yr1_noi,_xlpm.base_exit_noi,1),0))</f>
        <v>0.028407919214384413</v>
      </c>
      <c r="S89" s="1066">
        <f t="shared" si="117"/>
        <v>0.028412079667409208</v>
      </c>
      <c r="T89" s="1066">
        <f t="shared" si="117"/>
        <v>0.028417725546511872</v>
      </c>
      <c r="U89" s="1066">
        <f t="shared" si="117"/>
        <v>0.028407919214384413</v>
      </c>
      <c r="V89" s="1066">
        <f t="shared" si="117"/>
        <v>0.028407919214384413</v>
      </c>
      <c r="W89" s="1066">
        <f t="shared" si="117"/>
        <v>0.02839604169460341</v>
      </c>
      <c r="X89" s="1066">
        <f t="shared" si="117"/>
        <v>0.02839604169460341</v>
      </c>
      <c r="Y89" s="1066">
        <f t="shared" si="117"/>
        <v>0.028407919214384413</v>
      </c>
      <c r="Z89" s="842"/>
      <c r="AA89" s="1066">
        <f>_xlfn.IFERROR(RATE(AA$98,0,-'Fannie Historical Ops'!$AK$77,AA86,1),0)</f>
        <v>0.03577089416934716</v>
      </c>
      <c r="AB89" s="1066">
        <f>_xlfn.IFERROR(RATE(AB$98,0,-'Fannie Historical Ops'!$AK$77,AB86,1),0)</f>
        <v>0.035690880360488016</v>
      </c>
      <c r="AC89" s="1066">
        <f>_xlfn.IFERROR(RATE(AC$98,0,-'Fannie Historical Ops'!$AK$77,AC86,1),0)</f>
        <v>0.035612720933035136</v>
      </c>
      <c r="AD89" s="1066">
        <f>_xlfn.IFERROR(RATE(AD$98,0,-'Fannie Historical Ops'!$AK$77,AD86,1),0)</f>
        <v>0.03577089416934716</v>
      </c>
      <c r="AE89" s="1066">
        <f>_xlfn.IFERROR(RATE(AE$98,0,-'Fannie Historical Ops'!$AK$77,AE86,1),0)</f>
        <v>0.035690880360488016</v>
      </c>
      <c r="AF89" s="1066">
        <f>_xlfn.IFERROR(RATE(AF$98,0,-'Fannie Historical Ops'!$AK$77,AF86,1),0)</f>
        <v>0.035612720933035136</v>
      </c>
      <c r="AG89" s="1066">
        <f>_xlfn.IFERROR(RATE(AG$98,0,-'Fannie Historical Ops'!$AK$77,AG86,1),0)</f>
        <v>0.03577089416934716</v>
      </c>
      <c r="AH89" s="1066">
        <f>_xlfn.IFERROR(RATE(AH$98,0,-'Fannie Historical Ops'!$AK$77,AH86,1),0)</f>
        <v>0.035690880360488016</v>
      </c>
      <c r="AI89" s="1067"/>
      <c r="AJ89" s="972"/>
      <c r="AK89" s="972"/>
      <c r="AL89" s="972"/>
      <c r="AM89" s="972"/>
      <c r="AN89" s="972"/>
      <c r="AO89" s="632"/>
      <c r="AP89" s="632"/>
      <c r="AQ89" s="632"/>
      <c r="AR89" s="632"/>
      <c r="AS89" s="632"/>
      <c r="AT89" s="632"/>
      <c r="AU89" s="998" t="s">
        <v>901</v>
      </c>
      <c r="AV89" s="1042">
        <v>7</v>
      </c>
      <c r="AW89" s="714"/>
      <c r="AX89" s="1028"/>
      <c r="AY89" s="1028"/>
      <c r="AZ89" s="1028"/>
      <c r="BA89" s="1028"/>
      <c r="BB89" s="1028"/>
      <c r="BC89" s="1028"/>
      <c r="BD89" s="1028"/>
      <c r="BE89" s="632"/>
      <c r="BF89" s="632"/>
      <c r="BG89" s="27"/>
      <c r="BH89" s="1029"/>
      <c r="BI89" s="632"/>
      <c r="BJ89" s="720" t="s">
        <v>986</v>
      </c>
      <c r="BK89" s="721"/>
      <c r="BL89" s="721"/>
      <c r="BM89" s="721"/>
      <c r="BN89" s="721"/>
      <c r="BO89" s="721"/>
      <c r="BP89" s="722"/>
      <c r="BQ89" s="6"/>
      <c r="BR89" s="714"/>
      <c r="BS89" s="6"/>
      <c r="BT89" s="6"/>
      <c r="BU89" s="786"/>
      <c r="BV89" s="625"/>
      <c r="BW89" s="625"/>
      <c r="BX89" s="625"/>
      <c r="BY89" s="625"/>
      <c r="BZ89" s="625"/>
      <c r="CA89" s="625"/>
      <c r="CB89" s="625"/>
      <c r="CC89" s="625"/>
      <c r="CD89" s="625"/>
      <c r="CE89" s="625"/>
      <c r="CF89" s="625"/>
      <c r="CG89" s="625"/>
      <c r="CH89" s="625"/>
      <c r="CI89" s="625"/>
      <c r="CJ89" s="625"/>
      <c r="CK89" s="625"/>
      <c r="CL89" s="625"/>
      <c r="CM89" s="625"/>
      <c r="CN89" s="625"/>
      <c r="CO89" s="625"/>
      <c r="CP89" s="625"/>
      <c r="CQ89" s="625"/>
      <c r="CR89" s="625"/>
      <c r="CS89" s="625"/>
      <c r="CT89" s="625"/>
      <c r="CU89" s="625"/>
      <c r="CV89" s="625"/>
      <c r="CW89" s="625"/>
      <c r="CX89" s="625"/>
      <c r="CY89" s="625"/>
      <c r="CZ89" s="625"/>
      <c r="DA89" s="625"/>
      <c r="DB89" s="625"/>
      <c r="DC89" s="625"/>
      <c r="DD89" s="625"/>
      <c r="DE89" s="625"/>
      <c r="DF89" s="625"/>
      <c r="DG89" s="625"/>
      <c r="DH89" s="625"/>
      <c r="DI89" s="625"/>
      <c r="DJ89" s="625"/>
      <c r="DK89" s="625"/>
      <c r="DL89" s="625"/>
      <c r="DM89" s="625"/>
      <c r="DN89" s="625"/>
      <c r="DO89" s="625"/>
      <c r="DP89" s="625"/>
      <c r="DQ89" s="625"/>
      <c r="DR89" s="625"/>
      <c r="DS89" s="625"/>
      <c r="DT89" s="625"/>
      <c r="DU89" s="625"/>
      <c r="DV89" s="625"/>
      <c r="DW89" s="625"/>
      <c r="DX89" s="625"/>
      <c r="DY89" s="625"/>
      <c r="DZ89" s="625"/>
      <c r="EA89" s="625"/>
      <c r="EB89" s="625"/>
      <c r="EC89" s="625"/>
      <c r="ED89" s="625"/>
      <c r="EE89" s="625"/>
      <c r="EF89" s="625"/>
      <c r="EG89" s="625"/>
      <c r="EH89" s="625"/>
      <c r="EI89" s="625"/>
      <c r="EJ89" s="625"/>
      <c r="EK89" s="625"/>
      <c r="EL89" s="625"/>
      <c r="EM89" s="625"/>
      <c r="EN89" s="625"/>
      <c r="EO89" s="625"/>
      <c r="EP89" s="625"/>
      <c r="EQ89" s="625"/>
      <c r="ER89" s="625"/>
      <c r="ES89" s="625"/>
      <c r="ET89" s="625"/>
      <c r="EU89" s="625"/>
      <c r="EV89" s="625"/>
      <c r="EW89" s="625"/>
      <c r="EX89" s="625"/>
      <c r="EY89" s="625"/>
      <c r="EZ89" s="625"/>
      <c r="FA89" s="625"/>
      <c r="FB89" s="625"/>
      <c r="FC89" s="625"/>
    </row>
    <row r="90" ht="15" customHeight="1">
      <c r="A90" s="632"/>
      <c r="B90" s="632"/>
      <c r="C90" s="632"/>
      <c r="D90" s="631" t="s">
        <v>417</v>
      </c>
      <c r="E90" s="631"/>
      <c r="F90" s="631"/>
      <c r="G90" s="631"/>
      <c r="H90" s="631"/>
      <c r="I90" s="631"/>
      <c r="J90" s="631"/>
      <c r="K90" s="631"/>
      <c r="L90" s="631"/>
      <c r="M90" s="631"/>
      <c r="N90" s="631"/>
      <c r="O90" s="631"/>
      <c r="P90" s="631"/>
      <c r="Q90" s="631"/>
      <c r="R90" s="777">
        <f t="shared" si="118" ref="R90:Y90">_xlfn.LET(_xlpm.base_exit_ncf,R$86,_xlpm.upb_at_maturity,R$87,_xlfn.IFERROR(_xlpm.base_exit_ncf/_xlpm.upb_at_maturity,0))</f>
        <v>0</v>
      </c>
      <c r="S90" s="777">
        <f t="shared" si="118"/>
        <v>0</v>
      </c>
      <c r="T90" s="777">
        <f t="shared" si="118"/>
        <v>0</v>
      </c>
      <c r="U90" s="777">
        <f t="shared" si="118"/>
        <v>0</v>
      </c>
      <c r="V90" s="777">
        <f t="shared" si="118"/>
        <v>0</v>
      </c>
      <c r="W90" s="777">
        <f t="shared" si="118"/>
        <v>0</v>
      </c>
      <c r="X90" s="777">
        <f t="shared" si="118"/>
        <v>0</v>
      </c>
      <c r="Y90" s="777">
        <f t="shared" si="118"/>
        <v>0</v>
      </c>
      <c r="Z90" s="842"/>
      <c r="AA90" s="777">
        <f t="shared" si="119" ref="AA90:AH90">_xlfn.IFERROR(AA86/AA87,0)</f>
        <v>0</v>
      </c>
      <c r="AB90" s="777">
        <f t="shared" si="119"/>
        <v>0</v>
      </c>
      <c r="AC90" s="777">
        <f t="shared" si="119"/>
        <v>0</v>
      </c>
      <c r="AD90" s="777">
        <f t="shared" si="119"/>
        <v>0</v>
      </c>
      <c r="AE90" s="777">
        <f t="shared" si="119"/>
        <v>0</v>
      </c>
      <c r="AF90" s="777">
        <f t="shared" si="119"/>
        <v>0</v>
      </c>
      <c r="AG90" s="777">
        <f t="shared" si="119"/>
        <v>0</v>
      </c>
      <c r="AH90" s="777">
        <f t="shared" si="119"/>
        <v>0</v>
      </c>
      <c r="AI90" s="1067"/>
      <c r="AJ90" s="633"/>
      <c r="AK90" s="632"/>
      <c r="AL90" s="632"/>
      <c r="AM90" s="632"/>
      <c r="AN90" s="632"/>
      <c r="AO90" s="632"/>
      <c r="AP90" s="632"/>
      <c r="AQ90" s="632"/>
      <c r="AR90" s="632"/>
      <c r="AS90" s="632"/>
      <c r="AT90" s="632"/>
      <c r="AU90" s="1004" t="s">
        <v>903</v>
      </c>
      <c r="AV90" s="1042"/>
      <c r="AW90" s="714"/>
      <c r="AX90" s="1028"/>
      <c r="AY90" s="1028"/>
      <c r="AZ90" s="1028"/>
      <c r="BA90" s="1028"/>
      <c r="BB90" s="1028"/>
      <c r="BC90" s="1028"/>
      <c r="BD90" s="1028"/>
      <c r="BE90" s="632"/>
      <c r="BF90" s="632"/>
      <c r="BG90" s="688"/>
      <c r="BH90" s="1029"/>
      <c r="BI90" s="632"/>
      <c r="BJ90" s="711" t="s">
        <v>987</v>
      </c>
      <c r="BK90" s="712" t="s">
        <v>822</v>
      </c>
      <c r="BL90" s="712" t="s">
        <v>822</v>
      </c>
      <c r="BM90" s="712" t="s">
        <v>822</v>
      </c>
      <c r="BN90" s="712" t="s">
        <v>822</v>
      </c>
      <c r="BO90" s="712" t="s">
        <v>822</v>
      </c>
      <c r="BP90" s="713" t="s">
        <v>822</v>
      </c>
      <c r="BQ90" s="6"/>
      <c r="BR90" s="714"/>
      <c r="BS90" s="6"/>
      <c r="BT90" s="6"/>
      <c r="BU90" s="786"/>
      <c r="BV90" s="625"/>
      <c r="BW90" s="625"/>
      <c r="BX90" s="625"/>
      <c r="BY90" s="625"/>
      <c r="BZ90" s="625"/>
      <c r="CA90" s="625"/>
      <c r="CB90" s="625"/>
      <c r="CC90" s="625"/>
      <c r="CD90" s="625"/>
      <c r="CE90" s="625"/>
      <c r="CF90" s="625"/>
      <c r="CG90" s="625"/>
      <c r="CH90" s="625"/>
      <c r="CI90" s="625"/>
      <c r="CJ90" s="625"/>
      <c r="CK90" s="625"/>
      <c r="CL90" s="625"/>
      <c r="CM90" s="625"/>
      <c r="CN90" s="625"/>
      <c r="CO90" s="625"/>
      <c r="CP90" s="625"/>
      <c r="CQ90" s="625"/>
      <c r="CR90" s="625"/>
      <c r="CS90" s="625"/>
      <c r="CT90" s="625"/>
      <c r="CU90" s="625"/>
      <c r="CV90" s="625"/>
      <c r="CW90" s="625"/>
      <c r="CX90" s="625"/>
      <c r="CY90" s="625"/>
      <c r="CZ90" s="625"/>
      <c r="DA90" s="625"/>
      <c r="DB90" s="625"/>
      <c r="DC90" s="625"/>
      <c r="DD90" s="625"/>
      <c r="DE90" s="625"/>
      <c r="DF90" s="625"/>
      <c r="DG90" s="625"/>
      <c r="DH90" s="625"/>
      <c r="DI90" s="625"/>
      <c r="DJ90" s="625"/>
      <c r="DK90" s="625"/>
      <c r="DL90" s="625"/>
      <c r="DM90" s="625"/>
      <c r="DN90" s="625"/>
      <c r="DO90" s="625"/>
      <c r="DP90" s="625"/>
      <c r="DQ90" s="625"/>
      <c r="DR90" s="625"/>
      <c r="DS90" s="625"/>
      <c r="DT90" s="625"/>
      <c r="DU90" s="625"/>
      <c r="DV90" s="625"/>
      <c r="DW90" s="625"/>
      <c r="DX90" s="625"/>
      <c r="DY90" s="625"/>
      <c r="DZ90" s="625"/>
      <c r="EA90" s="625"/>
      <c r="EB90" s="625"/>
      <c r="EC90" s="625"/>
      <c r="ED90" s="625"/>
      <c r="EE90" s="625"/>
      <c r="EF90" s="625"/>
      <c r="EG90" s="625"/>
      <c r="EH90" s="625"/>
      <c r="EI90" s="625"/>
      <c r="EJ90" s="625"/>
      <c r="EK90" s="625"/>
      <c r="EL90" s="625"/>
      <c r="EM90" s="625"/>
      <c r="EN90" s="625"/>
      <c r="EO90" s="625"/>
      <c r="EP90" s="625"/>
      <c r="EQ90" s="625"/>
      <c r="ER90" s="625"/>
      <c r="ES90" s="625"/>
      <c r="ET90" s="625"/>
      <c r="EU90" s="625"/>
      <c r="EV90" s="625"/>
      <c r="EW90" s="625"/>
      <c r="EX90" s="625"/>
      <c r="EY90" s="625"/>
      <c r="EZ90" s="625"/>
      <c r="FA90" s="625"/>
      <c r="FB90" s="625"/>
      <c r="FC90" s="625"/>
    </row>
    <row r="91" ht="15" customHeight="1">
      <c r="A91" s="632"/>
      <c r="B91" s="632"/>
      <c r="C91" s="632"/>
      <c r="D91" s="709" t="s">
        <v>988</v>
      </c>
      <c r="E91" s="631"/>
      <c r="F91" s="631"/>
      <c r="G91" s="631"/>
      <c r="H91" s="631"/>
      <c r="I91" s="631"/>
      <c r="J91" s="631"/>
      <c r="K91" s="631"/>
      <c r="L91" s="631"/>
      <c r="M91" s="631"/>
      <c r="N91" s="631"/>
      <c r="O91" s="631"/>
      <c r="P91" s="631"/>
      <c r="Q91" s="631"/>
      <c r="R91" s="1068">
        <f t="shared" si="120" ref="R91:Y91">_xlfn.LET(_xlpm.exit_value,R$88,_xlpm.refi_loan_amount,R$87,_xlfn.IFERROR(_xlpm.refi_loan_amount/_xlpm.exit_value,0))</f>
        <v>0</v>
      </c>
      <c r="S91" s="1068">
        <f t="shared" si="120"/>
        <v>0</v>
      </c>
      <c r="T91" s="1068">
        <f t="shared" si="120"/>
        <v>0</v>
      </c>
      <c r="U91" s="1068">
        <f t="shared" si="120"/>
        <v>0</v>
      </c>
      <c r="V91" s="1068">
        <f t="shared" si="120"/>
        <v>0</v>
      </c>
      <c r="W91" s="1068">
        <f t="shared" si="120"/>
        <v>0</v>
      </c>
      <c r="X91" s="1068">
        <f t="shared" si="120"/>
        <v>0</v>
      </c>
      <c r="Y91" s="1068">
        <f t="shared" si="120"/>
        <v>0</v>
      </c>
      <c r="Z91" s="842"/>
      <c r="AA91" s="1068">
        <f t="shared" si="121" ref="AA91:AH91">_xlfn.IFERROR(AA87/(AA86/7.5%),0)</f>
        <v>0</v>
      </c>
      <c r="AB91" s="1068">
        <f t="shared" si="121"/>
        <v>0</v>
      </c>
      <c r="AC91" s="1068">
        <f t="shared" si="121"/>
        <v>0</v>
      </c>
      <c r="AD91" s="1068">
        <f t="shared" si="121"/>
        <v>0</v>
      </c>
      <c r="AE91" s="1068">
        <f t="shared" si="121"/>
        <v>0</v>
      </c>
      <c r="AF91" s="1068">
        <f t="shared" si="121"/>
        <v>0</v>
      </c>
      <c r="AG91" s="1068">
        <f t="shared" si="121"/>
        <v>0</v>
      </c>
      <c r="AH91" s="1068">
        <f t="shared" si="121"/>
        <v>0</v>
      </c>
      <c r="AI91" s="1067"/>
      <c r="AJ91" s="640" t="s">
        <v>989</v>
      </c>
      <c r="AK91" s="640"/>
      <c r="AL91" s="640"/>
      <c r="AM91" s="640"/>
      <c r="AN91" s="640"/>
      <c r="AO91" s="632"/>
      <c r="AP91" s="632"/>
      <c r="AQ91" s="632"/>
      <c r="AR91" s="632"/>
      <c r="AS91" s="632"/>
      <c r="AT91" s="632"/>
      <c r="AU91" s="994" t="s">
        <v>909</v>
      </c>
      <c r="AV91" s="1036"/>
      <c r="AW91" s="714"/>
      <c r="AX91" s="1028"/>
      <c r="AY91" s="1028"/>
      <c r="AZ91" s="1028"/>
      <c r="BA91" s="1028"/>
      <c r="BB91" s="1028"/>
      <c r="BC91" s="1028"/>
      <c r="BD91" s="1028"/>
      <c r="BE91" s="632"/>
      <c r="BF91" s="632"/>
      <c r="BG91" s="27"/>
      <c r="BH91" s="653"/>
      <c r="BI91" s="632"/>
      <c r="BJ91" s="928" t="s">
        <v>827</v>
      </c>
      <c r="BK91" s="704"/>
      <c r="BL91" s="704"/>
      <c r="BM91" s="704"/>
      <c r="BN91" s="704"/>
      <c r="BO91" s="704"/>
      <c r="BP91" s="705"/>
      <c r="BQ91" s="6"/>
      <c r="BR91" s="714"/>
      <c r="BS91" s="6"/>
      <c r="BT91" s="6"/>
      <c r="BU91" s="786"/>
      <c r="BV91" s="625"/>
      <c r="BW91" s="625"/>
      <c r="BX91" s="625"/>
      <c r="BY91" s="625"/>
      <c r="BZ91" s="625"/>
      <c r="CA91" s="625"/>
      <c r="CB91" s="625"/>
      <c r="CC91" s="625"/>
      <c r="CD91" s="625"/>
      <c r="CE91" s="625"/>
      <c r="CF91" s="625"/>
      <c r="CG91" s="625"/>
      <c r="CH91" s="625"/>
      <c r="CI91" s="625"/>
      <c r="CJ91" s="625"/>
      <c r="CK91" s="625"/>
      <c r="CL91" s="625"/>
      <c r="CM91" s="625"/>
      <c r="CN91" s="625"/>
      <c r="CO91" s="625"/>
      <c r="CP91" s="625"/>
      <c r="CQ91" s="625"/>
      <c r="CR91" s="625"/>
      <c r="CS91" s="625"/>
      <c r="CT91" s="625"/>
      <c r="CU91" s="625"/>
      <c r="CV91" s="625"/>
      <c r="CW91" s="625"/>
      <c r="CX91" s="625"/>
      <c r="CY91" s="625"/>
      <c r="CZ91" s="625"/>
      <c r="DA91" s="625"/>
      <c r="DB91" s="625"/>
      <c r="DC91" s="625"/>
      <c r="DD91" s="625"/>
      <c r="DE91" s="625"/>
      <c r="DF91" s="625"/>
      <c r="DG91" s="625"/>
      <c r="DH91" s="625"/>
      <c r="DI91" s="625"/>
      <c r="DJ91" s="625"/>
      <c r="DK91" s="625"/>
      <c r="DL91" s="625"/>
      <c r="DM91" s="625"/>
      <c r="DN91" s="625"/>
      <c r="DO91" s="625"/>
      <c r="DP91" s="625"/>
      <c r="DQ91" s="625"/>
      <c r="DR91" s="625"/>
      <c r="DS91" s="625"/>
      <c r="DT91" s="625"/>
      <c r="DU91" s="625"/>
      <c r="DV91" s="625"/>
      <c r="DW91" s="625"/>
      <c r="DX91" s="625"/>
      <c r="DY91" s="625"/>
      <c r="DZ91" s="625"/>
      <c r="EA91" s="625"/>
      <c r="EB91" s="625"/>
      <c r="EC91" s="625"/>
      <c r="ED91" s="625"/>
      <c r="EE91" s="625"/>
      <c r="EF91" s="625"/>
      <c r="EG91" s="625"/>
      <c r="EH91" s="625"/>
      <c r="EI91" s="625"/>
      <c r="EJ91" s="625"/>
      <c r="EK91" s="625"/>
      <c r="EL91" s="625"/>
      <c r="EM91" s="625"/>
      <c r="EN91" s="625"/>
      <c r="EO91" s="625"/>
      <c r="EP91" s="625"/>
      <c r="EQ91" s="625"/>
      <c r="ER91" s="625"/>
      <c r="ES91" s="625"/>
      <c r="ET91" s="625"/>
      <c r="EU91" s="625"/>
      <c r="EV91" s="625"/>
      <c r="EW91" s="625"/>
      <c r="EX91" s="625"/>
      <c r="EY91" s="625"/>
      <c r="EZ91" s="625"/>
      <c r="FA91" s="625"/>
      <c r="FB91" s="625"/>
      <c r="FC91" s="625"/>
    </row>
    <row r="92" ht="15" customHeight="1">
      <c r="A92" s="632"/>
      <c r="B92" s="632"/>
      <c r="C92" s="632"/>
      <c r="D92" s="631" t="s">
        <v>990</v>
      </c>
      <c r="E92" s="651"/>
      <c r="F92" s="651"/>
      <c r="G92" s="651"/>
      <c r="H92" s="651"/>
      <c r="I92" s="651"/>
      <c r="J92" s="651"/>
      <c r="K92" s="651"/>
      <c r="L92" s="651"/>
      <c r="M92" s="651"/>
      <c r="N92" s="651"/>
      <c r="O92" s="651"/>
      <c r="P92" s="651"/>
      <c r="Q92" s="631"/>
      <c r="R92" s="777">
        <f t="shared" si="122" ref="R92:Y92">_xlfn.LET(_xlpm.base_exit_ncf,R$86,_xlpm.refi_loan_amount,R$87,_xlfn.IFERROR(_xlpm.base_exit_ncf/(_xlpm.refi_loan_amount/80%),0))</f>
        <v>0</v>
      </c>
      <c r="S92" s="777">
        <f t="shared" si="122"/>
        <v>0</v>
      </c>
      <c r="T92" s="777">
        <f t="shared" si="122"/>
        <v>0</v>
      </c>
      <c r="U92" s="777">
        <f t="shared" si="122"/>
        <v>0</v>
      </c>
      <c r="V92" s="777">
        <f t="shared" si="122"/>
        <v>0</v>
      </c>
      <c r="W92" s="777">
        <f t="shared" si="122"/>
        <v>0</v>
      </c>
      <c r="X92" s="777">
        <f t="shared" si="122"/>
        <v>0</v>
      </c>
      <c r="Y92" s="777">
        <f t="shared" si="122"/>
        <v>0</v>
      </c>
      <c r="Z92" s="842"/>
      <c r="AA92" s="777">
        <f t="shared" si="123" ref="AA92:AH92">_xlfn.IFERROR(AA86/(AA87/80%),0)</f>
        <v>0</v>
      </c>
      <c r="AB92" s="777">
        <f t="shared" si="123"/>
        <v>0</v>
      </c>
      <c r="AC92" s="777">
        <f t="shared" si="123"/>
        <v>0</v>
      </c>
      <c r="AD92" s="777">
        <f t="shared" si="123"/>
        <v>0</v>
      </c>
      <c r="AE92" s="777">
        <f t="shared" si="123"/>
        <v>0</v>
      </c>
      <c r="AF92" s="777">
        <f t="shared" si="123"/>
        <v>0</v>
      </c>
      <c r="AG92" s="777">
        <f t="shared" si="123"/>
        <v>0</v>
      </c>
      <c r="AH92" s="777">
        <f t="shared" si="123"/>
        <v>0</v>
      </c>
      <c r="AI92" s="1067"/>
      <c r="AJ92" s="1069" t="s">
        <v>991</v>
      </c>
      <c r="AK92" s="1069"/>
      <c r="AL92" s="1069"/>
      <c r="AM92" s="1069" t="s">
        <v>992</v>
      </c>
      <c r="AN92" s="1069"/>
      <c r="AO92" s="632"/>
      <c r="AP92" s="632"/>
      <c r="AQ92" s="632"/>
      <c r="AR92" s="632"/>
      <c r="AS92" s="632"/>
      <c r="AT92" s="632"/>
      <c r="AU92" s="714" t="s">
        <v>912</v>
      </c>
      <c r="AV92" s="1042">
        <v>10</v>
      </c>
      <c r="AW92" s="714"/>
      <c r="AX92" s="1028"/>
      <c r="AY92" s="1028"/>
      <c r="AZ92" s="1028"/>
      <c r="BA92" s="1028"/>
      <c r="BB92" s="1028"/>
      <c r="BC92" s="1028"/>
      <c r="BD92" s="6"/>
      <c r="BE92" s="632"/>
      <c r="BF92" s="632"/>
      <c r="BG92" s="27"/>
      <c r="BH92" s="653"/>
      <c r="BI92" s="632"/>
      <c r="BJ92" s="711" t="s">
        <v>830</v>
      </c>
      <c r="BK92" s="712">
        <v>25</v>
      </c>
      <c r="BL92" s="712">
        <v>20</v>
      </c>
      <c r="BM92" s="712">
        <v>15</v>
      </c>
      <c r="BN92" s="712">
        <v>25</v>
      </c>
      <c r="BO92" s="712">
        <v>20</v>
      </c>
      <c r="BP92" s="713">
        <v>15</v>
      </c>
      <c r="BQ92" s="6"/>
      <c r="BR92" s="714"/>
      <c r="BS92" s="6"/>
      <c r="BT92" s="6"/>
      <c r="BU92" s="786"/>
      <c r="BV92" s="625"/>
      <c r="BW92" s="625"/>
      <c r="BX92" s="625"/>
      <c r="BY92" s="625"/>
      <c r="BZ92" s="625"/>
      <c r="CA92" s="625"/>
      <c r="CB92" s="625"/>
      <c r="CC92" s="625"/>
      <c r="CD92" s="625"/>
      <c r="CE92" s="625"/>
      <c r="CF92" s="625"/>
      <c r="CG92" s="625"/>
      <c r="CH92" s="625"/>
      <c r="CI92" s="625"/>
      <c r="CJ92" s="625"/>
      <c r="CK92" s="625"/>
      <c r="CL92" s="625"/>
      <c r="CM92" s="625"/>
      <c r="CN92" s="625"/>
      <c r="CO92" s="625"/>
      <c r="CP92" s="625"/>
      <c r="CQ92" s="625"/>
      <c r="CR92" s="625"/>
      <c r="CS92" s="625"/>
      <c r="CT92" s="625"/>
      <c r="CU92" s="625"/>
      <c r="CV92" s="625"/>
      <c r="CW92" s="625"/>
      <c r="CX92" s="625"/>
      <c r="CY92" s="625"/>
      <c r="CZ92" s="625"/>
      <c r="DA92" s="625"/>
      <c r="DB92" s="625"/>
      <c r="DC92" s="625"/>
      <c r="DD92" s="625"/>
      <c r="DE92" s="625"/>
      <c r="DF92" s="625"/>
      <c r="DG92" s="625"/>
      <c r="DH92" s="625"/>
      <c r="DI92" s="625"/>
      <c r="DJ92" s="625"/>
      <c r="DK92" s="625"/>
      <c r="DL92" s="625"/>
      <c r="DM92" s="625"/>
      <c r="DN92" s="625"/>
      <c r="DO92" s="625"/>
      <c r="DP92" s="625"/>
      <c r="DQ92" s="625"/>
      <c r="DR92" s="625"/>
      <c r="DS92" s="625"/>
      <c r="DT92" s="625"/>
      <c r="DU92" s="625"/>
      <c r="DV92" s="625"/>
      <c r="DW92" s="625"/>
      <c r="DX92" s="625"/>
      <c r="DY92" s="625"/>
      <c r="DZ92" s="625"/>
      <c r="EA92" s="625"/>
      <c r="EB92" s="625"/>
      <c r="EC92" s="625"/>
      <c r="ED92" s="625"/>
      <c r="EE92" s="625"/>
      <c r="EF92" s="625"/>
      <c r="EG92" s="625"/>
      <c r="EH92" s="625"/>
      <c r="EI92" s="625"/>
      <c r="EJ92" s="625"/>
      <c r="EK92" s="625"/>
      <c r="EL92" s="625"/>
      <c r="EM92" s="625"/>
      <c r="EN92" s="625"/>
      <c r="EO92" s="625"/>
      <c r="EP92" s="625"/>
      <c r="EQ92" s="625"/>
      <c r="ER92" s="625"/>
      <c r="ES92" s="625"/>
      <c r="ET92" s="625"/>
      <c r="EU92" s="625"/>
      <c r="EV92" s="625"/>
      <c r="EW92" s="625"/>
      <c r="EX92" s="625"/>
      <c r="EY92" s="625"/>
      <c r="EZ92" s="625"/>
      <c r="FA92" s="625"/>
      <c r="FB92" s="625"/>
      <c r="FC92" s="625"/>
    </row>
    <row r="93" ht="15" customHeight="1">
      <c r="A93" s="632"/>
      <c r="B93" s="632"/>
      <c r="C93" s="632"/>
      <c r="D93" s="709" t="s">
        <v>993</v>
      </c>
      <c r="E93" s="631"/>
      <c r="F93" s="631"/>
      <c r="G93" s="631"/>
      <c r="H93" s="631"/>
      <c r="I93" s="631"/>
      <c r="J93" s="631"/>
      <c r="K93" s="631"/>
      <c r="L93" s="631"/>
      <c r="M93" s="631"/>
      <c r="N93" s="631"/>
      <c r="O93" s="631"/>
      <c r="P93" s="631"/>
      <c r="Q93" s="631"/>
      <c r="R93" s="1070">
        <f t="shared" si="124" ref="R93:Y93">_xlfn.LET(_xlpm.base_exit_ncf,R$86,_xlpm.refi_loan_amount,R$87,_xlfn.IFERROR(RATE(360,-_xlpm.base_exit_ncf/1.25/12,_xlpm.refi_loan_amount)*12,0))</f>
        <v>0</v>
      </c>
      <c r="S93" s="1070">
        <f t="shared" si="124"/>
        <v>0</v>
      </c>
      <c r="T93" s="1070">
        <f t="shared" si="124"/>
        <v>0</v>
      </c>
      <c r="U93" s="1070">
        <f t="shared" si="124"/>
        <v>0</v>
      </c>
      <c r="V93" s="1070">
        <f t="shared" si="124"/>
        <v>0</v>
      </c>
      <c r="W93" s="1070">
        <f t="shared" si="124"/>
        <v>0</v>
      </c>
      <c r="X93" s="1070">
        <f t="shared" si="124"/>
        <v>0</v>
      </c>
      <c r="Y93" s="1070">
        <f t="shared" si="124"/>
        <v>0</v>
      </c>
      <c r="Z93" s="842"/>
      <c r="AA93" s="1070">
        <f t="shared" si="125" ref="AA93:AH93">_xlfn.IFERROR(RATE(360,-AA86/1.25/12,AA87)*12,0)</f>
        <v>0</v>
      </c>
      <c r="AB93" s="1070">
        <f t="shared" si="125"/>
        <v>0</v>
      </c>
      <c r="AC93" s="1070">
        <f t="shared" si="125"/>
        <v>0</v>
      </c>
      <c r="AD93" s="1070">
        <f t="shared" si="125"/>
        <v>0</v>
      </c>
      <c r="AE93" s="1070">
        <f t="shared" si="125"/>
        <v>0</v>
      </c>
      <c r="AF93" s="1070">
        <f t="shared" si="125"/>
        <v>0</v>
      </c>
      <c r="AG93" s="1070">
        <f t="shared" si="125"/>
        <v>0</v>
      </c>
      <c r="AH93" s="1070">
        <f t="shared" si="125"/>
        <v>0</v>
      </c>
      <c r="AI93" s="1067"/>
      <c r="AJ93" s="972"/>
      <c r="AK93" s="972"/>
      <c r="AL93" s="1071"/>
      <c r="AM93" s="972"/>
      <c r="AN93" s="972"/>
      <c r="AO93" s="632"/>
      <c r="AP93" s="632"/>
      <c r="AQ93" s="632"/>
      <c r="AR93" s="632"/>
      <c r="AS93" s="632"/>
      <c r="AT93" s="632"/>
      <c r="AU93" s="714" t="s">
        <v>914</v>
      </c>
      <c r="AV93" s="1042">
        <v>10</v>
      </c>
      <c r="AW93" s="714"/>
      <c r="AX93" s="1028"/>
      <c r="AY93" s="1028"/>
      <c r="AZ93" s="1028"/>
      <c r="BA93" s="1028"/>
      <c r="BB93" s="1028"/>
      <c r="BC93" s="1028"/>
      <c r="BD93" s="6"/>
      <c r="BE93" s="632"/>
      <c r="BF93" s="632"/>
      <c r="BG93" s="688"/>
      <c r="BH93" s="653"/>
      <c r="BI93" s="632"/>
      <c r="BJ93" s="1072"/>
      <c r="BK93" s="1073"/>
      <c r="BL93" s="1073"/>
      <c r="BM93" s="1073"/>
      <c r="BN93" s="1073"/>
      <c r="BO93" s="1073"/>
      <c r="BP93" s="1074"/>
      <c r="BQ93" s="6"/>
      <c r="BR93" s="714"/>
      <c r="BS93" s="6"/>
      <c r="BT93" s="6"/>
      <c r="BU93" s="786"/>
      <c r="BV93" s="625"/>
      <c r="BW93" s="625"/>
      <c r="BX93" s="625"/>
      <c r="BY93" s="625"/>
      <c r="BZ93" s="625"/>
      <c r="CA93" s="625"/>
      <c r="CB93" s="625"/>
      <c r="CC93" s="625"/>
      <c r="CD93" s="625"/>
      <c r="CE93" s="625"/>
      <c r="CF93" s="625"/>
      <c r="CG93" s="625"/>
      <c r="CH93" s="625"/>
      <c r="CI93" s="625"/>
      <c r="CJ93" s="625"/>
      <c r="CK93" s="625"/>
      <c r="CL93" s="625"/>
      <c r="CM93" s="625"/>
      <c r="CN93" s="625"/>
      <c r="CO93" s="625"/>
      <c r="CP93" s="625"/>
      <c r="CQ93" s="625"/>
      <c r="CR93" s="625"/>
      <c r="CS93" s="625"/>
      <c r="CT93" s="625"/>
      <c r="CU93" s="625"/>
      <c r="CV93" s="625"/>
      <c r="CW93" s="625"/>
      <c r="CX93" s="625"/>
      <c r="CY93" s="625"/>
      <c r="CZ93" s="625"/>
      <c r="DA93" s="625"/>
      <c r="DB93" s="625"/>
      <c r="DC93" s="625"/>
      <c r="DD93" s="625"/>
      <c r="DE93" s="625"/>
      <c r="DF93" s="625"/>
      <c r="DG93" s="625"/>
      <c r="DH93" s="625"/>
      <c r="DI93" s="625"/>
      <c r="DJ93" s="625"/>
      <c r="DK93" s="625"/>
      <c r="DL93" s="625"/>
      <c r="DM93" s="625"/>
      <c r="DN93" s="625"/>
      <c r="DO93" s="625"/>
      <c r="DP93" s="625"/>
      <c r="DQ93" s="625"/>
      <c r="DR93" s="625"/>
      <c r="DS93" s="625"/>
      <c r="DT93" s="625"/>
      <c r="DU93" s="625"/>
      <c r="DV93" s="625"/>
      <c r="DW93" s="625"/>
      <c r="DX93" s="625"/>
      <c r="DY93" s="625"/>
      <c r="DZ93" s="625"/>
      <c r="EA93" s="625"/>
      <c r="EB93" s="625"/>
      <c r="EC93" s="625"/>
      <c r="ED93" s="625"/>
      <c r="EE93" s="625"/>
      <c r="EF93" s="625"/>
      <c r="EG93" s="625"/>
      <c r="EH93" s="625"/>
      <c r="EI93" s="625"/>
      <c r="EJ93" s="625"/>
      <c r="EK93" s="625"/>
      <c r="EL93" s="625"/>
      <c r="EM93" s="625"/>
      <c r="EN93" s="625"/>
      <c r="EO93" s="625"/>
      <c r="EP93" s="625"/>
      <c r="EQ93" s="625"/>
      <c r="ER93" s="625"/>
      <c r="ES93" s="625"/>
      <c r="ET93" s="625"/>
      <c r="EU93" s="625"/>
      <c r="EV93" s="625"/>
      <c r="EW93" s="625"/>
      <c r="EX93" s="625"/>
      <c r="EY93" s="625"/>
      <c r="EZ93" s="625"/>
      <c r="FA93" s="625"/>
      <c r="FB93" s="625"/>
      <c r="FC93" s="625"/>
    </row>
    <row r="94" ht="15" customHeight="1">
      <c r="A94" s="632"/>
      <c r="B94" s="1075"/>
      <c r="C94" s="632"/>
      <c r="D94" s="631" t="s">
        <v>994</v>
      </c>
      <c r="E94" s="631"/>
      <c r="F94" s="631"/>
      <c r="G94" s="631"/>
      <c r="H94" s="631"/>
      <c r="I94" s="631"/>
      <c r="J94" s="631"/>
      <c r="K94" s="631"/>
      <c r="L94" s="631"/>
      <c r="M94" s="631"/>
      <c r="N94" s="631"/>
      <c r="O94" s="631"/>
      <c r="P94" s="631"/>
      <c r="Q94" s="796">
        <v>0.075</v>
      </c>
      <c r="R94" s="1026">
        <f t="shared" si="126" ref="R94:Y94">_xlfn.LET(_xlpm.base_exit_noi,R$86,_xlpm.refi_loan_amount,R$87,_xlpm.interest_rate_at_refi,$Q$94,_xlfn.IFERROR(_xlpm.base_exit_noi/(_xlpm.refi_loan_amount*PMT(_xlpm.interest_rate_at_refi/12,360,-1)*12),0))</f>
        <v>0</v>
      </c>
      <c r="S94" s="1026">
        <f t="shared" si="126"/>
        <v>0</v>
      </c>
      <c r="T94" s="1026">
        <f t="shared" si="126"/>
        <v>0</v>
      </c>
      <c r="U94" s="1026">
        <f t="shared" si="126"/>
        <v>0</v>
      </c>
      <c r="V94" s="1026">
        <f t="shared" si="126"/>
        <v>0</v>
      </c>
      <c r="W94" s="1026">
        <f t="shared" si="126"/>
        <v>0</v>
      </c>
      <c r="X94" s="1026">
        <f t="shared" si="126"/>
        <v>0</v>
      </c>
      <c r="Y94" s="1026">
        <f t="shared" si="126"/>
        <v>0</v>
      </c>
      <c r="Z94" s="842"/>
      <c r="AA94" s="1026">
        <f t="shared" si="127" ref="AA94:AH94">_xlfn.LET(_xlpm.Term,AA$98,_xlpm.Rate,IF(_xlpm.Term=10,6%,5.5%),_xlfn.IFERROR(AA86/(AA87*PMT(_xlpm.Rate/12,360,-1)*12),0))</f>
        <v>0</v>
      </c>
      <c r="AB94" s="1026">
        <f t="shared" si="127"/>
        <v>0</v>
      </c>
      <c r="AC94" s="1026">
        <f t="shared" si="127"/>
        <v>0</v>
      </c>
      <c r="AD94" s="1026">
        <f t="shared" si="127"/>
        <v>0</v>
      </c>
      <c r="AE94" s="1026">
        <f t="shared" si="127"/>
        <v>0</v>
      </c>
      <c r="AF94" s="1026">
        <f t="shared" si="127"/>
        <v>0</v>
      </c>
      <c r="AG94" s="1026">
        <f t="shared" si="127"/>
        <v>0</v>
      </c>
      <c r="AH94" s="1026">
        <f t="shared" si="127"/>
        <v>0</v>
      </c>
      <c r="AI94" s="1067"/>
      <c r="AJ94" s="972"/>
      <c r="AK94" s="972"/>
      <c r="AL94" s="1071"/>
      <c r="AM94" s="972"/>
      <c r="AN94" s="972"/>
      <c r="AO94" s="632"/>
      <c r="AP94" s="632"/>
      <c r="AQ94" s="632"/>
      <c r="AR94" s="632"/>
      <c r="AS94" s="632"/>
      <c r="AT94" s="632"/>
      <c r="AU94" s="1016" t="s">
        <v>915</v>
      </c>
      <c r="AV94" s="1042">
        <v>10</v>
      </c>
      <c r="AW94" s="714"/>
      <c r="AX94" s="1028"/>
      <c r="AY94" s="1028"/>
      <c r="BA94" s="1028"/>
      <c r="BB94" s="1028"/>
      <c r="BC94" s="1028"/>
      <c r="BD94" s="6"/>
      <c r="BE94" s="632"/>
      <c r="BF94" s="632"/>
      <c r="BG94" s="27"/>
      <c r="BH94" s="653"/>
      <c r="BI94" s="632"/>
      <c r="BJ94" s="1076"/>
      <c r="BK94" s="1077"/>
      <c r="BL94" s="1077"/>
      <c r="BM94" s="1077"/>
      <c r="BN94" s="1077"/>
      <c r="BO94" s="1077"/>
      <c r="BP94" s="1078"/>
      <c r="BQ94" s="6"/>
      <c r="BR94" s="714"/>
      <c r="BS94" s="6"/>
      <c r="BT94" s="6"/>
      <c r="BU94" s="786"/>
      <c r="BV94" s="625"/>
      <c r="BW94" s="625"/>
      <c r="BX94" s="625"/>
      <c r="BY94" s="625"/>
      <c r="BZ94" s="625"/>
      <c r="CA94" s="625"/>
      <c r="CB94" s="625"/>
      <c r="CC94" s="625"/>
      <c r="CD94" s="625"/>
      <c r="CE94" s="625"/>
      <c r="CF94" s="625"/>
      <c r="CG94" s="625"/>
      <c r="CH94" s="625"/>
      <c r="CI94" s="625"/>
      <c r="CJ94" s="625"/>
      <c r="CK94" s="625"/>
      <c r="CL94" s="625"/>
      <c r="CM94" s="625"/>
      <c r="CN94" s="625"/>
      <c r="CO94" s="625"/>
      <c r="CP94" s="625"/>
      <c r="CQ94" s="625"/>
      <c r="CR94" s="625"/>
      <c r="CS94" s="625"/>
      <c r="CT94" s="625"/>
      <c r="CU94" s="625"/>
      <c r="CV94" s="625"/>
      <c r="CW94" s="625"/>
      <c r="CX94" s="625"/>
      <c r="CY94" s="625"/>
      <c r="CZ94" s="625"/>
      <c r="DA94" s="625"/>
      <c r="DB94" s="625"/>
      <c r="DC94" s="625"/>
      <c r="DD94" s="625"/>
      <c r="DE94" s="625"/>
      <c r="DF94" s="625"/>
      <c r="DG94" s="625"/>
      <c r="DH94" s="625"/>
      <c r="DI94" s="625"/>
      <c r="DJ94" s="625"/>
      <c r="DK94" s="625"/>
      <c r="DL94" s="625"/>
      <c r="DM94" s="625"/>
      <c r="DN94" s="625"/>
      <c r="DO94" s="625"/>
      <c r="DP94" s="625"/>
      <c r="DQ94" s="625"/>
      <c r="DR94" s="625"/>
      <c r="DS94" s="625"/>
      <c r="DT94" s="625"/>
      <c r="DU94" s="625"/>
      <c r="DV94" s="625"/>
      <c r="DW94" s="625"/>
      <c r="DX94" s="625"/>
      <c r="DY94" s="625"/>
      <c r="DZ94" s="625"/>
      <c r="EA94" s="625"/>
      <c r="EB94" s="625"/>
      <c r="EC94" s="625"/>
      <c r="ED94" s="625"/>
      <c r="EE94" s="625"/>
      <c r="EF94" s="625"/>
      <c r="EG94" s="625"/>
      <c r="EH94" s="625"/>
      <c r="EI94" s="625"/>
      <c r="EJ94" s="625"/>
      <c r="EK94" s="625"/>
      <c r="EL94" s="625"/>
      <c r="EM94" s="625"/>
      <c r="EN94" s="625"/>
      <c r="EO94" s="625"/>
      <c r="EP94" s="625"/>
      <c r="EQ94" s="625"/>
      <c r="ER94" s="625"/>
      <c r="ES94" s="625"/>
      <c r="ET94" s="625"/>
      <c r="EU94" s="625"/>
      <c r="EV94" s="625"/>
      <c r="EW94" s="625"/>
      <c r="EX94" s="625"/>
      <c r="EY94" s="625"/>
      <c r="EZ94" s="625"/>
      <c r="FA94" s="625"/>
      <c r="FB94" s="625"/>
      <c r="FC94" s="625"/>
    </row>
    <row r="95" ht="12.75" customHeight="1">
      <c r="A95" s="632"/>
      <c r="B95" s="632"/>
      <c r="C95" s="632"/>
      <c r="D95" s="709" t="s">
        <v>995</v>
      </c>
      <c r="E95" s="631"/>
      <c r="F95" s="631"/>
      <c r="G95" s="631"/>
      <c r="H95" s="631"/>
      <c r="I95" s="631"/>
      <c r="J95" s="631"/>
      <c r="K95" s="631"/>
      <c r="L95" s="631"/>
      <c r="M95" s="631"/>
      <c r="N95" s="631"/>
      <c r="O95" s="631"/>
      <c r="P95" s="631"/>
      <c r="Q95" s="796">
        <v>0.02</v>
      </c>
      <c r="R95" s="1068">
        <f t="shared" si="128" ref="R95:Y95">_xlfn.LET(_xlpm.base_exit_ncf,R$86,_xlpm.refi_loan_amount,R$87,_xlfn.IFERROR(_xlpm.refi_loan_amount/(_xlpm.base_exit_ncf/2%),0))</f>
        <v>0</v>
      </c>
      <c r="S95" s="1068">
        <f t="shared" si="128"/>
        <v>0</v>
      </c>
      <c r="T95" s="1068">
        <f t="shared" si="128"/>
        <v>0</v>
      </c>
      <c r="U95" s="1068">
        <f t="shared" si="128"/>
        <v>0</v>
      </c>
      <c r="V95" s="1068">
        <f t="shared" si="128"/>
        <v>0</v>
      </c>
      <c r="W95" s="1068">
        <f t="shared" si="128"/>
        <v>0</v>
      </c>
      <c r="X95" s="1068">
        <f t="shared" si="128"/>
        <v>0</v>
      </c>
      <c r="Y95" s="1068">
        <f t="shared" si="128"/>
        <v>0</v>
      </c>
      <c r="Z95" s="842"/>
      <c r="AA95" s="1068">
        <f t="shared" si="129" ref="AA95:AH95">_xlfn.IFERROR(AA87/(AA86/2%),0)</f>
        <v>0</v>
      </c>
      <c r="AB95" s="1068">
        <f t="shared" si="129"/>
        <v>0</v>
      </c>
      <c r="AC95" s="1068">
        <f t="shared" si="129"/>
        <v>0</v>
      </c>
      <c r="AD95" s="1068">
        <f t="shared" si="129"/>
        <v>0</v>
      </c>
      <c r="AE95" s="1068">
        <f t="shared" si="129"/>
        <v>0</v>
      </c>
      <c r="AF95" s="1068">
        <f t="shared" si="129"/>
        <v>0</v>
      </c>
      <c r="AG95" s="1068">
        <f t="shared" si="129"/>
        <v>0</v>
      </c>
      <c r="AH95" s="1068">
        <f t="shared" si="129"/>
        <v>0</v>
      </c>
      <c r="AI95" s="632"/>
      <c r="AJ95" s="972"/>
      <c r="AK95" s="972"/>
      <c r="AL95" s="1071"/>
      <c r="AM95" s="972"/>
      <c r="AN95" s="972"/>
      <c r="AO95" s="632"/>
      <c r="AP95" s="632"/>
      <c r="AQ95" s="632"/>
      <c r="AR95" s="632"/>
      <c r="AS95" s="632"/>
      <c r="AT95" s="632"/>
      <c r="AU95" s="714" t="s">
        <v>916</v>
      </c>
      <c r="AV95" s="1042">
        <v>5</v>
      </c>
      <c r="AW95" s="714"/>
      <c r="AX95" s="1028"/>
      <c r="AY95" s="1028"/>
      <c r="BA95" s="1028"/>
      <c r="BB95" s="1028"/>
      <c r="BC95" s="1028"/>
      <c r="BD95" s="632"/>
      <c r="BE95" s="632"/>
      <c r="BF95" s="632"/>
      <c r="BG95" s="27"/>
      <c r="BH95" s="653"/>
      <c r="BI95" s="632"/>
      <c r="BJ95" s="632"/>
      <c r="BK95" s="635"/>
      <c r="BL95" s="635"/>
      <c r="BM95" s="635"/>
      <c r="BN95" s="635"/>
      <c r="BO95" s="635"/>
      <c r="BP95" s="635"/>
      <c r="BQ95" s="931"/>
      <c r="BR95" s="932"/>
      <c r="BS95" s="931"/>
      <c r="BT95" s="931"/>
      <c r="BU95" s="933"/>
      <c r="BV95" s="934"/>
      <c r="BW95" s="934"/>
      <c r="BX95" s="934"/>
      <c r="BY95" s="934"/>
      <c r="BZ95" s="934"/>
      <c r="CA95" s="934"/>
      <c r="CB95" s="934"/>
      <c r="CC95" s="934"/>
      <c r="CD95" s="934"/>
      <c r="CE95" s="934"/>
      <c r="CF95" s="934"/>
      <c r="CG95" s="934"/>
      <c r="CH95" s="934"/>
      <c r="CI95" s="934"/>
      <c r="CJ95" s="934"/>
      <c r="CK95" s="934"/>
      <c r="CL95" s="934"/>
      <c r="CM95" s="934"/>
      <c r="CN95" s="934"/>
      <c r="CO95" s="934"/>
      <c r="CP95" s="934"/>
      <c r="CQ95" s="934"/>
      <c r="CR95" s="934"/>
      <c r="CS95" s="934"/>
      <c r="CT95" s="934"/>
      <c r="CU95" s="934"/>
      <c r="CV95" s="934"/>
      <c r="CW95" s="934"/>
      <c r="CX95" s="934"/>
      <c r="CY95" s="934"/>
      <c r="CZ95" s="934"/>
      <c r="DA95" s="625"/>
      <c r="DB95" s="625"/>
      <c r="DC95" s="625"/>
      <c r="DD95" s="625"/>
      <c r="DE95" s="625"/>
      <c r="DF95" s="625"/>
      <c r="DG95" s="625"/>
      <c r="DH95" s="625"/>
      <c r="DI95" s="625"/>
      <c r="DJ95" s="625"/>
      <c r="DK95" s="625"/>
      <c r="DL95" s="625"/>
      <c r="DM95" s="625"/>
      <c r="DN95" s="625"/>
      <c r="DO95" s="625"/>
      <c r="DP95" s="625"/>
      <c r="DQ95" s="625"/>
      <c r="DR95" s="625"/>
      <c r="DS95" s="625"/>
      <c r="DT95" s="625"/>
      <c r="DU95" s="625"/>
      <c r="DV95" s="625"/>
      <c r="DW95" s="625"/>
      <c r="DX95" s="625"/>
      <c r="DY95" s="625"/>
      <c r="DZ95" s="625"/>
      <c r="EA95" s="625"/>
      <c r="EB95" s="625"/>
      <c r="EC95" s="625"/>
      <c r="ED95" s="625"/>
      <c r="EE95" s="625"/>
      <c r="EF95" s="625"/>
      <c r="EG95" s="625"/>
      <c r="EH95" s="625"/>
      <c r="EI95" s="625"/>
      <c r="EJ95" s="625"/>
      <c r="EK95" s="625"/>
      <c r="EL95" s="625"/>
      <c r="EM95" s="625"/>
      <c r="EN95" s="625"/>
      <c r="EO95" s="625"/>
      <c r="EP95" s="625"/>
      <c r="EQ95" s="625"/>
      <c r="ER95" s="625"/>
      <c r="ES95" s="625"/>
      <c r="ET95" s="625"/>
      <c r="EU95" s="625"/>
      <c r="EV95" s="625"/>
      <c r="EW95" s="625"/>
      <c r="EX95" s="625"/>
      <c r="EY95" s="625"/>
      <c r="EZ95" s="625"/>
      <c r="FA95" s="625"/>
      <c r="FB95" s="625"/>
      <c r="FC95" s="625"/>
    </row>
    <row r="96" ht="15" customHeight="1">
      <c r="A96" s="632"/>
      <c r="B96" s="632"/>
      <c r="C96" s="632"/>
      <c r="D96" s="632"/>
      <c r="E96" s="632"/>
      <c r="F96" s="632"/>
      <c r="G96" s="632"/>
      <c r="H96" s="632"/>
      <c r="I96" s="632"/>
      <c r="J96" s="632"/>
      <c r="K96" s="632"/>
      <c r="L96" s="632"/>
      <c r="M96" s="632"/>
      <c r="N96" s="632"/>
      <c r="O96" s="632"/>
      <c r="P96" s="632"/>
      <c r="Q96" s="632"/>
      <c r="R96" s="632"/>
      <c r="S96" s="632"/>
      <c r="T96" s="632"/>
      <c r="U96" s="632"/>
      <c r="V96" s="632"/>
      <c r="W96" s="632"/>
      <c r="X96" s="632"/>
      <c r="Y96" s="632"/>
      <c r="Z96" s="632"/>
      <c r="AA96" s="632"/>
      <c r="AB96" s="632"/>
      <c r="AC96" s="632"/>
      <c r="AD96" s="632"/>
      <c r="AE96" s="632"/>
      <c r="AF96" s="632"/>
      <c r="AG96" s="632"/>
      <c r="AH96" s="632"/>
      <c r="AI96" s="651"/>
      <c r="AJ96" s="1069" t="s">
        <v>991</v>
      </c>
      <c r="AK96" s="651"/>
      <c r="AL96" s="651"/>
      <c r="AM96" s="1069" t="s">
        <v>992</v>
      </c>
      <c r="AN96" s="651"/>
      <c r="AO96" s="632"/>
      <c r="AP96" s="632"/>
      <c r="AQ96" s="632"/>
      <c r="AR96" s="632"/>
      <c r="AS96" s="632"/>
      <c r="AT96" s="632"/>
      <c r="AU96" s="714" t="s">
        <v>919</v>
      </c>
      <c r="AV96" s="1042">
        <v>5</v>
      </c>
      <c r="AW96" s="714"/>
      <c r="AX96" s="1028"/>
      <c r="AY96" s="1028"/>
      <c r="BA96" s="1028"/>
      <c r="BB96" s="1028"/>
      <c r="BC96" s="1028"/>
      <c r="BD96" s="632"/>
      <c r="BE96" s="632"/>
      <c r="BF96" s="632"/>
      <c r="BG96" s="688"/>
      <c r="BH96" s="653"/>
      <c r="BI96" s="632"/>
      <c r="BJ96" s="632"/>
      <c r="BK96" s="635"/>
      <c r="BL96" s="635"/>
      <c r="BM96" s="635"/>
      <c r="BN96" s="635"/>
      <c r="BO96" s="635"/>
      <c r="BP96" s="635"/>
      <c r="BQ96" s="6"/>
      <c r="BR96" s="714"/>
      <c r="BS96" s="6"/>
      <c r="BT96" s="6"/>
      <c r="BU96" s="786"/>
      <c r="BV96" s="625"/>
      <c r="BW96" s="625"/>
      <c r="BX96" s="625"/>
      <c r="BY96" s="625"/>
      <c r="BZ96" s="625"/>
      <c r="CA96" s="625"/>
      <c r="CB96" s="625"/>
      <c r="CC96" s="625"/>
      <c r="CD96" s="625"/>
      <c r="CE96" s="625"/>
      <c r="CF96" s="625"/>
      <c r="CG96" s="625"/>
      <c r="CH96" s="625"/>
      <c r="CI96" s="625"/>
      <c r="CJ96" s="625"/>
      <c r="CK96" s="625"/>
      <c r="CL96" s="625"/>
      <c r="CM96" s="625"/>
      <c r="CN96" s="625"/>
      <c r="CO96" s="625"/>
      <c r="CP96" s="625"/>
      <c r="CQ96" s="625"/>
      <c r="CR96" s="625"/>
      <c r="CS96" s="625"/>
      <c r="CT96" s="625"/>
      <c r="CU96" s="625"/>
      <c r="CV96" s="625"/>
      <c r="CW96" s="625"/>
      <c r="CX96" s="625"/>
      <c r="CY96" s="625"/>
      <c r="CZ96" s="625"/>
      <c r="DA96" s="625"/>
      <c r="DB96" s="625"/>
      <c r="DC96" s="625"/>
      <c r="DD96" s="625"/>
      <c r="DE96" s="625"/>
      <c r="DF96" s="625"/>
      <c r="DG96" s="625"/>
      <c r="DH96" s="625"/>
      <c r="DI96" s="625"/>
      <c r="DJ96" s="625"/>
      <c r="DK96" s="625"/>
      <c r="DL96" s="625"/>
      <c r="DM96" s="625"/>
      <c r="DN96" s="625"/>
      <c r="DO96" s="625"/>
      <c r="DP96" s="625"/>
      <c r="DQ96" s="625"/>
      <c r="DR96" s="625"/>
      <c r="DS96" s="625"/>
      <c r="DT96" s="625"/>
      <c r="DU96" s="625"/>
      <c r="DV96" s="625"/>
      <c r="DW96" s="625"/>
      <c r="DX96" s="625"/>
      <c r="DY96" s="625"/>
      <c r="DZ96" s="625"/>
      <c r="EA96" s="625"/>
      <c r="EB96" s="625"/>
      <c r="EC96" s="625"/>
      <c r="ED96" s="625"/>
      <c r="EE96" s="625"/>
      <c r="EF96" s="625"/>
      <c r="EG96" s="625"/>
      <c r="EH96" s="625"/>
      <c r="EI96" s="625"/>
      <c r="EJ96" s="625"/>
      <c r="EK96" s="625"/>
      <c r="EL96" s="625"/>
      <c r="EM96" s="625"/>
      <c r="EN96" s="625"/>
      <c r="EO96" s="625"/>
      <c r="EP96" s="625"/>
      <c r="EQ96" s="625"/>
      <c r="ER96" s="625"/>
      <c r="ES96" s="625"/>
      <c r="ET96" s="625"/>
      <c r="EU96" s="625"/>
      <c r="EV96" s="625"/>
      <c r="EW96" s="625"/>
      <c r="EX96" s="625"/>
      <c r="EY96" s="625"/>
      <c r="EZ96" s="625"/>
      <c r="FA96" s="625"/>
      <c r="FB96" s="625"/>
      <c r="FC96" s="625"/>
    </row>
    <row r="97" ht="15" customHeight="1">
      <c r="A97" s="632"/>
      <c r="B97" s="632"/>
      <c r="C97" s="632"/>
      <c r="D97" s="1079" t="s">
        <v>996</v>
      </c>
      <c r="E97" s="1080"/>
      <c r="F97" s="1080"/>
      <c r="G97" s="1080"/>
      <c r="H97" s="1080"/>
      <c r="I97" s="1080"/>
      <c r="J97" s="1080"/>
      <c r="K97" s="1080"/>
      <c r="L97" s="1080"/>
      <c r="M97" s="1080"/>
      <c r="N97" s="1080"/>
      <c r="O97" s="1080"/>
      <c r="P97" s="1080"/>
      <c r="Q97" s="1080"/>
      <c r="R97" s="1080"/>
      <c r="S97" s="1080"/>
      <c r="T97" s="1080"/>
      <c r="U97" s="1080"/>
      <c r="V97" s="1080"/>
      <c r="W97" s="1080"/>
      <c r="X97" s="1080"/>
      <c r="Y97" s="1080"/>
      <c r="Z97" s="1080"/>
      <c r="AA97" s="1080"/>
      <c r="AB97" s="1080"/>
      <c r="AC97" s="1080"/>
      <c r="AD97" s="1080"/>
      <c r="AE97" s="1080"/>
      <c r="AF97" s="1080"/>
      <c r="AG97" s="1080"/>
      <c r="AH97" s="1080"/>
      <c r="AI97" s="791"/>
      <c r="AJ97" s="972"/>
      <c r="AK97" s="972"/>
      <c r="AL97" s="1071"/>
      <c r="AM97" s="972"/>
      <c r="AN97" s="972"/>
      <c r="AO97" s="632"/>
      <c r="AP97" s="632"/>
      <c r="AQ97" s="632"/>
      <c r="AR97" s="632"/>
      <c r="AS97" s="632"/>
      <c r="AT97" s="632"/>
      <c r="AU97" s="1016" t="s">
        <v>920</v>
      </c>
      <c r="AV97" s="1042">
        <v>5</v>
      </c>
      <c r="AW97" s="714"/>
      <c r="AX97" s="1028"/>
      <c r="AY97" s="1028"/>
      <c r="BA97" s="1028"/>
      <c r="BB97" s="1028"/>
      <c r="BC97" s="1028"/>
      <c r="BD97" s="632"/>
      <c r="BE97" s="632"/>
      <c r="BF97" s="632"/>
      <c r="BG97" s="27"/>
      <c r="BH97" s="653"/>
      <c r="BI97" s="632"/>
      <c r="BJ97" s="632"/>
      <c r="BK97" s="635"/>
      <c r="BL97" s="635"/>
      <c r="BM97" s="635"/>
      <c r="BN97" s="635"/>
      <c r="BO97" s="635"/>
      <c r="BP97" s="635"/>
      <c r="BQ97" s="6"/>
      <c r="BR97" s="714"/>
      <c r="BS97" s="6"/>
      <c r="BT97" s="6"/>
      <c r="BU97" s="786"/>
      <c r="BV97" s="625"/>
      <c r="BW97" s="625"/>
      <c r="BX97" s="625"/>
      <c r="BY97" s="625"/>
      <c r="BZ97" s="625"/>
      <c r="CA97" s="625"/>
      <c r="CB97" s="625"/>
      <c r="CC97" s="625"/>
      <c r="CD97" s="625"/>
      <c r="CE97" s="625"/>
      <c r="CF97" s="625"/>
      <c r="CG97" s="625"/>
      <c r="CH97" s="625"/>
      <c r="CI97" s="625"/>
      <c r="CJ97" s="625"/>
      <c r="CK97" s="625"/>
      <c r="CL97" s="625"/>
      <c r="CM97" s="625"/>
      <c r="CN97" s="625"/>
      <c r="CO97" s="625"/>
      <c r="CP97" s="625"/>
      <c r="CQ97" s="625"/>
      <c r="CR97" s="625"/>
      <c r="CS97" s="625"/>
      <c r="CT97" s="625"/>
      <c r="CU97" s="625"/>
      <c r="CV97" s="625"/>
      <c r="CW97" s="625"/>
      <c r="CX97" s="625"/>
      <c r="CY97" s="625"/>
      <c r="CZ97" s="625"/>
      <c r="DA97" s="625"/>
      <c r="DB97" s="625"/>
      <c r="DC97" s="625"/>
      <c r="DD97" s="625"/>
      <c r="DE97" s="625"/>
      <c r="DF97" s="625"/>
      <c r="DG97" s="625"/>
      <c r="DH97" s="625"/>
      <c r="DI97" s="625"/>
      <c r="DJ97" s="625"/>
      <c r="DK97" s="625"/>
      <c r="DL97" s="625"/>
      <c r="DM97" s="625"/>
      <c r="DN97" s="625"/>
      <c r="DO97" s="625"/>
      <c r="DP97" s="625"/>
      <c r="DQ97" s="625"/>
      <c r="DR97" s="625"/>
      <c r="DS97" s="625"/>
      <c r="DT97" s="625"/>
      <c r="DU97" s="625"/>
      <c r="DV97" s="625"/>
      <c r="DW97" s="625"/>
      <c r="DX97" s="625"/>
      <c r="DY97" s="625"/>
      <c r="DZ97" s="625"/>
      <c r="EA97" s="625"/>
      <c r="EB97" s="625"/>
      <c r="EC97" s="625"/>
      <c r="ED97" s="625"/>
      <c r="EE97" s="625"/>
      <c r="EF97" s="625"/>
      <c r="EG97" s="625"/>
      <c r="EH97" s="625"/>
      <c r="EI97" s="625"/>
      <c r="EJ97" s="625"/>
      <c r="EK97" s="625"/>
      <c r="EL97" s="625"/>
      <c r="EM97" s="625"/>
      <c r="EN97" s="625"/>
      <c r="EO97" s="625"/>
      <c r="EP97" s="625"/>
      <c r="EQ97" s="625"/>
      <c r="ER97" s="625"/>
      <c r="ES97" s="625"/>
      <c r="ET97" s="625"/>
      <c r="EU97" s="625"/>
      <c r="EV97" s="625"/>
      <c r="EW97" s="625"/>
      <c r="EX97" s="625"/>
      <c r="EY97" s="625"/>
      <c r="EZ97" s="625"/>
      <c r="FA97" s="625"/>
      <c r="FB97" s="625"/>
      <c r="FC97" s="625"/>
    </row>
    <row r="98" ht="15" customHeight="1">
      <c r="A98" s="1081"/>
      <c r="B98" s="632"/>
      <c r="C98" s="632"/>
      <c r="D98" s="631" t="s">
        <v>997</v>
      </c>
      <c r="E98" s="651">
        <f t="shared" si="130" ref="E98:AH98">VALUE(TRIM(LEFT(E$26,2)))</f>
        <v>5</v>
      </c>
      <c r="F98" s="651">
        <f t="shared" si="130"/>
        <v>7</v>
      </c>
      <c r="G98" s="651">
        <f t="shared" si="130"/>
        <v>10</v>
      </c>
      <c r="H98" s="651">
        <f t="shared" si="130"/>
        <v>5</v>
      </c>
      <c r="I98" s="651">
        <f t="shared" si="130"/>
        <v>7</v>
      </c>
      <c r="J98" s="651">
        <f t="shared" si="130"/>
        <v>10</v>
      </c>
      <c r="K98" s="651">
        <f t="shared" si="130"/>
        <v>5</v>
      </c>
      <c r="L98" s="651">
        <f t="shared" si="130"/>
        <v>7</v>
      </c>
      <c r="M98" s="651">
        <f t="shared" si="130"/>
        <v>10</v>
      </c>
      <c r="N98" s="651">
        <f t="shared" si="130"/>
        <v>5</v>
      </c>
      <c r="O98" s="651">
        <f t="shared" si="130"/>
        <v>7</v>
      </c>
      <c r="P98" s="651">
        <f t="shared" si="130"/>
        <v>10</v>
      </c>
      <c r="Q98" s="651"/>
      <c r="R98" s="651">
        <f t="shared" si="130"/>
        <v>10</v>
      </c>
      <c r="S98" s="651">
        <f t="shared" si="130"/>
        <v>12</v>
      </c>
      <c r="T98" s="651">
        <f t="shared" si="130"/>
        <v>15</v>
      </c>
      <c r="U98" s="651">
        <f t="shared" si="130"/>
        <v>10</v>
      </c>
      <c r="V98" s="651">
        <f t="shared" si="130"/>
        <v>10</v>
      </c>
      <c r="W98" s="651">
        <f t="shared" si="130"/>
        <v>5</v>
      </c>
      <c r="X98" s="651">
        <f t="shared" si="130"/>
        <v>5</v>
      </c>
      <c r="Y98" s="651">
        <f t="shared" si="130"/>
        <v>10</v>
      </c>
      <c r="Z98" s="651"/>
      <c r="AA98" s="651">
        <f t="shared" si="130"/>
        <v>3</v>
      </c>
      <c r="AB98" s="651">
        <f t="shared" si="130"/>
        <v>5</v>
      </c>
      <c r="AC98" s="651">
        <f t="shared" si="130"/>
        <v>7</v>
      </c>
      <c r="AD98" s="651">
        <f t="shared" si="130"/>
        <v>3</v>
      </c>
      <c r="AE98" s="651">
        <f t="shared" si="130"/>
        <v>5</v>
      </c>
      <c r="AF98" s="651">
        <f t="shared" si="130"/>
        <v>7</v>
      </c>
      <c r="AG98" s="651">
        <f t="shared" si="130"/>
        <v>3</v>
      </c>
      <c r="AH98" s="651">
        <f t="shared" si="130"/>
        <v>5</v>
      </c>
      <c r="AI98" s="632"/>
      <c r="AJ98" s="972"/>
      <c r="AK98" s="972"/>
      <c r="AL98" s="1071"/>
      <c r="AM98" s="972"/>
      <c r="AN98" s="972"/>
      <c r="AO98" s="632"/>
      <c r="AP98" s="632"/>
      <c r="AQ98" s="632"/>
      <c r="AR98" s="632"/>
      <c r="AS98" s="632"/>
      <c r="AT98" s="632"/>
      <c r="AU98" s="714" t="s">
        <v>922</v>
      </c>
      <c r="AV98" s="1042">
        <v>7</v>
      </c>
      <c r="AW98" s="714"/>
      <c r="AX98" s="6"/>
      <c r="AY98" s="6"/>
      <c r="BA98" s="6"/>
      <c r="BB98" s="6"/>
      <c r="BC98" s="6"/>
      <c r="BD98" s="632"/>
      <c r="BE98" s="632"/>
      <c r="BF98" s="632"/>
      <c r="BG98" s="27"/>
      <c r="BH98" s="653"/>
      <c r="BI98" s="632"/>
      <c r="BJ98" s="632"/>
      <c r="BK98" s="635"/>
      <c r="BL98" s="635"/>
      <c r="BM98" s="635"/>
      <c r="BN98" s="635"/>
      <c r="BO98" s="635"/>
      <c r="BP98" s="635"/>
      <c r="BQ98" s="632"/>
      <c r="BR98" s="636"/>
      <c r="BS98" s="632"/>
      <c r="BT98" s="632"/>
      <c r="BU98" s="637"/>
    </row>
    <row r="99" ht="15" customHeight="1">
      <c r="A99" s="632"/>
      <c r="B99" s="632"/>
      <c r="C99" s="632"/>
      <c r="D99" s="709" t="s">
        <v>998</v>
      </c>
      <c r="E99" s="631"/>
      <c r="F99" s="631"/>
      <c r="G99" s="652"/>
      <c r="H99" s="652"/>
      <c r="I99" s="652"/>
      <c r="J99" s="652"/>
      <c r="K99" s="652"/>
      <c r="L99" s="652"/>
      <c r="M99" s="652"/>
      <c r="N99" s="652"/>
      <c r="O99" s="652"/>
      <c r="P99" s="652"/>
      <c r="Q99" s="652"/>
      <c r="R99" s="1082" t="str">
        <f t="shared" si="131" ref="R99:Y99">IF(R$98&lt;7,"1-83mo",IF(R$98&lt;10,"84-119mo",IF(R$98&lt;12,"120-143mo","144+mo")))</f>
        <v>120-143mo</v>
      </c>
      <c r="S99" s="1082" t="str">
        <f t="shared" si="131"/>
        <v>144+mo</v>
      </c>
      <c r="T99" s="1082" t="str">
        <f t="shared" si="131"/>
        <v>144+mo</v>
      </c>
      <c r="U99" s="1082" t="str">
        <f t="shared" si="131"/>
        <v>120-143mo</v>
      </c>
      <c r="V99" s="1082" t="str">
        <f t="shared" si="131"/>
        <v>120-143mo</v>
      </c>
      <c r="W99" s="1082" t="str">
        <f t="shared" si="131"/>
        <v>1-83mo</v>
      </c>
      <c r="X99" s="1082" t="str">
        <f t="shared" si="131"/>
        <v>1-83mo</v>
      </c>
      <c r="Y99" s="1082" t="str">
        <f t="shared" si="131"/>
        <v>120-143mo</v>
      </c>
      <c r="Z99" s="652"/>
      <c r="AA99" s="1082"/>
      <c r="AB99" s="1082"/>
      <c r="AC99" s="1082"/>
      <c r="AD99" s="1082"/>
      <c r="AE99" s="1082"/>
      <c r="AF99" s="1082"/>
      <c r="AG99" s="1082"/>
      <c r="AH99" s="1082"/>
      <c r="AI99" s="631"/>
      <c r="AJ99" s="972"/>
      <c r="AK99" s="972"/>
      <c r="AL99" s="1071"/>
      <c r="AM99" s="972"/>
      <c r="AN99" s="972"/>
      <c r="AO99" s="632"/>
      <c r="AP99" s="632"/>
      <c r="AQ99" s="632"/>
      <c r="AR99" s="632"/>
      <c r="AS99" s="632"/>
      <c r="AT99" s="632"/>
      <c r="AU99" s="714" t="s">
        <v>926</v>
      </c>
      <c r="AV99" s="1042">
        <v>7</v>
      </c>
      <c r="AW99" s="714"/>
      <c r="AX99" s="6"/>
      <c r="AY99" s="6"/>
      <c r="BA99" s="6"/>
      <c r="BB99" s="6"/>
      <c r="BC99" s="6"/>
      <c r="BD99" s="632"/>
      <c r="BE99" s="632"/>
      <c r="BF99" s="632"/>
      <c r="BG99" s="688"/>
      <c r="BH99" s="653"/>
      <c r="BI99" s="632"/>
      <c r="BJ99" s="1083"/>
      <c r="BK99" s="633"/>
      <c r="BL99" s="633"/>
      <c r="BM99" s="633"/>
      <c r="BN99" s="633"/>
      <c r="BO99" s="633"/>
      <c r="BP99" s="633"/>
      <c r="BQ99" s="632"/>
      <c r="BR99" s="636"/>
      <c r="BS99" s="632"/>
      <c r="BT99" s="632"/>
      <c r="BU99" s="637"/>
    </row>
    <row r="100" ht="17.25" customHeight="1">
      <c r="A100" s="632"/>
      <c r="B100" s="632"/>
      <c r="C100" s="632"/>
      <c r="D100" s="631" t="s">
        <v>1002</v>
      </c>
      <c r="E100" s="696"/>
      <c r="F100" s="631"/>
      <c r="G100" s="652"/>
      <c r="H100" s="652"/>
      <c r="I100" s="652"/>
      <c r="J100" s="652"/>
      <c r="K100" s="652"/>
      <c r="L100" s="652"/>
      <c r="M100" s="652"/>
      <c r="N100" s="652"/>
      <c r="O100" s="652"/>
      <c r="P100" s="652"/>
      <c r="Q100" s="652"/>
      <c r="R100" s="631" t="b">
        <f t="shared" si="132" ref="R100:Y100">AND(R$39=2,$B$50="No",$B$51="Yes",IsFannieStrongOrSelectEligibleMkt)</f>
        <v>0</v>
      </c>
      <c r="S100" s="631" t="b">
        <f t="shared" si="132"/>
        <v>0</v>
      </c>
      <c r="T100" s="631" t="b">
        <f t="shared" si="132"/>
        <v>0</v>
      </c>
      <c r="U100" s="631" t="b">
        <f t="shared" si="132"/>
        <v>0</v>
      </c>
      <c r="V100" s="631" t="b">
        <f t="shared" si="132"/>
        <v>0</v>
      </c>
      <c r="W100" s="631" t="b">
        <f t="shared" si="132"/>
        <v>0</v>
      </c>
      <c r="X100" s="631" t="b">
        <f t="shared" si="132"/>
        <v>0</v>
      </c>
      <c r="Y100" s="631" t="b">
        <f t="shared" si="132"/>
        <v>0</v>
      </c>
      <c r="Z100" s="652"/>
      <c r="AA100" s="631"/>
      <c r="AB100" s="631"/>
      <c r="AC100" s="631"/>
      <c r="AD100" s="631"/>
      <c r="AE100" s="631"/>
      <c r="AF100" s="631"/>
      <c r="AG100" s="631"/>
      <c r="AH100" s="631"/>
      <c r="AI100" s="651"/>
      <c r="AJ100" s="1069" t="s">
        <v>991</v>
      </c>
      <c r="AK100" s="1069"/>
      <c r="AL100" s="1069"/>
      <c r="AM100" s="1069" t="s">
        <v>992</v>
      </c>
      <c r="AN100" s="1069"/>
      <c r="AO100" s="632"/>
      <c r="AP100" s="632"/>
      <c r="AQ100" s="632"/>
      <c r="AR100" s="632"/>
      <c r="AS100" s="632"/>
      <c r="AT100" s="632"/>
      <c r="AU100" s="714" t="s">
        <v>931</v>
      </c>
      <c r="AV100" s="1042">
        <v>7</v>
      </c>
      <c r="AW100" s="714"/>
      <c r="AX100" s="6"/>
      <c r="AY100" s="6"/>
      <c r="BA100" s="6"/>
      <c r="BB100" s="6"/>
      <c r="BC100" s="6"/>
      <c r="BD100" s="632"/>
      <c r="BE100" s="632"/>
      <c r="BF100" s="632"/>
      <c r="BG100" s="27"/>
      <c r="BH100" s="653"/>
      <c r="BI100" s="632"/>
      <c r="BJ100" s="1083"/>
      <c r="BK100" s="1083"/>
      <c r="BL100" s="1083"/>
      <c r="BM100" s="1083"/>
      <c r="BN100" s="1083"/>
      <c r="BO100" s="1083"/>
      <c r="BP100" s="1083"/>
      <c r="BQ100" s="632"/>
      <c r="BR100" s="636"/>
      <c r="BS100" s="632"/>
      <c r="BT100" s="632"/>
      <c r="BU100" s="637"/>
    </row>
    <row r="101" ht="15" customHeight="1">
      <c r="A101" s="632"/>
      <c r="B101" s="632"/>
      <c r="C101" s="632"/>
      <c r="D101" s="631" t="s">
        <v>1003</v>
      </c>
      <c r="E101" s="644"/>
      <c r="F101" s="631"/>
      <c r="G101" s="652"/>
      <c r="H101" s="652"/>
      <c r="I101" s="652"/>
      <c r="J101" s="652"/>
      <c r="K101" s="652"/>
      <c r="L101" s="652"/>
      <c r="M101" s="652"/>
      <c r="N101" s="652"/>
      <c r="O101" s="652"/>
      <c r="P101" s="652"/>
      <c r="Q101" s="652"/>
      <c r="R101" s="651" t="str">
        <f t="shared" si="133" ref="R101:Y101">IF(R100,"Tier 21","Tier "&amp;R39)&amp;IF(R39&lt;&gt;2,"",", "&amp;R99)</f>
        <v>Tier 2, 120-143mo</v>
      </c>
      <c r="S101" s="651" t="str">
        <f t="shared" si="133"/>
        <v>Tier 2, 144+mo</v>
      </c>
      <c r="T101" s="651" t="str">
        <f t="shared" si="133"/>
        <v>Tier 2, 144+mo</v>
      </c>
      <c r="U101" s="651" t="str">
        <f t="shared" si="133"/>
        <v>Tier 3</v>
      </c>
      <c r="V101" s="651" t="str">
        <f t="shared" si="133"/>
        <v>Tier 4</v>
      </c>
      <c r="W101" s="651" t="str">
        <f t="shared" si="133"/>
        <v>Tier 3</v>
      </c>
      <c r="X101" s="651" t="str">
        <f t="shared" si="133"/>
        <v>Tier 4</v>
      </c>
      <c r="Y101" s="651" t="str">
        <f t="shared" si="133"/>
        <v>Tier 2, 120-143mo</v>
      </c>
      <c r="Z101" s="652"/>
      <c r="AA101" s="651"/>
      <c r="AB101" s="651"/>
      <c r="AC101" s="651"/>
      <c r="AD101" s="651"/>
      <c r="AE101" s="651"/>
      <c r="AF101" s="651"/>
      <c r="AG101" s="651"/>
      <c r="AH101" s="651"/>
      <c r="AI101" s="632"/>
      <c r="AJ101" s="972"/>
      <c r="AK101" s="972"/>
      <c r="AL101" s="1071"/>
      <c r="AM101" s="972"/>
      <c r="AN101" s="972"/>
      <c r="AO101" s="632"/>
      <c r="AP101" s="632"/>
      <c r="AQ101" s="632"/>
      <c r="AR101" s="632"/>
      <c r="AS101" s="632"/>
      <c r="AT101" s="632"/>
      <c r="AU101" s="1084"/>
      <c r="AV101" s="1084"/>
      <c r="AW101" s="632"/>
      <c r="AX101" s="632"/>
      <c r="AY101" s="632"/>
      <c r="BA101" s="632"/>
      <c r="BB101" s="632"/>
      <c r="BC101" s="632"/>
      <c r="BD101" s="632"/>
      <c r="BE101" s="632"/>
      <c r="BF101" s="632"/>
      <c r="BG101" s="27"/>
      <c r="BH101" s="653"/>
      <c r="BI101" s="632"/>
      <c r="BJ101" s="1083"/>
      <c r="BK101" s="1083"/>
      <c r="BL101" s="1083"/>
      <c r="BM101" s="1083"/>
      <c r="BN101" s="1083"/>
      <c r="BO101" s="1083"/>
      <c r="BP101" s="1083"/>
      <c r="BQ101" s="632"/>
      <c r="BR101" s="636"/>
      <c r="BS101" s="632"/>
      <c r="BT101" s="632"/>
      <c r="BU101" s="637"/>
    </row>
    <row r="102" ht="15" customHeight="1">
      <c r="A102" s="1085"/>
      <c r="B102" s="1086"/>
      <c r="C102" s="632"/>
      <c r="D102" s="1087" t="s">
        <v>1005</v>
      </c>
      <c r="E102" s="1088" t="b">
        <v>1</v>
      </c>
      <c r="F102" s="1088" t="b">
        <v>1</v>
      </c>
      <c r="G102" s="1088" t="b">
        <v>1</v>
      </c>
      <c r="H102" s="1088" t="b">
        <v>1</v>
      </c>
      <c r="I102" s="1088" t="b">
        <v>1</v>
      </c>
      <c r="J102" s="1088" t="b">
        <v>1</v>
      </c>
      <c r="K102" s="1088" t="b">
        <v>1</v>
      </c>
      <c r="L102" s="1088" t="b">
        <v>1</v>
      </c>
      <c r="M102" s="1088" t="b">
        <v>1</v>
      </c>
      <c r="N102" s="1088" t="b">
        <v>1</v>
      </c>
      <c r="O102" s="1088" t="b">
        <v>1</v>
      </c>
      <c r="P102" s="1088" t="b">
        <v>1</v>
      </c>
      <c r="Q102" s="1089"/>
      <c r="R102" s="1088" t="b">
        <v>1</v>
      </c>
      <c r="S102" s="1088" t="b">
        <v>1</v>
      </c>
      <c r="T102" s="1088" t="b">
        <v>1</v>
      </c>
      <c r="U102" s="1088" t="b">
        <v>1</v>
      </c>
      <c r="V102" s="1088" t="b">
        <v>1</v>
      </c>
      <c r="W102" s="1088" t="b">
        <v>1</v>
      </c>
      <c r="X102" s="1088" t="b">
        <v>1</v>
      </c>
      <c r="Y102" s="1088" t="b">
        <v>1</v>
      </c>
      <c r="Z102" s="1089"/>
      <c r="AA102" s="1088" t="b">
        <v>1</v>
      </c>
      <c r="AB102" s="1088" t="b">
        <v>1</v>
      </c>
      <c r="AC102" s="1088" t="b">
        <v>1</v>
      </c>
      <c r="AD102" s="1088" t="b">
        <v>1</v>
      </c>
      <c r="AE102" s="1088" t="b">
        <v>1</v>
      </c>
      <c r="AF102" s="1088" t="b">
        <v>1</v>
      </c>
      <c r="AG102" s="1088" t="b">
        <v>1</v>
      </c>
      <c r="AH102" s="1088" t="b">
        <v>1</v>
      </c>
      <c r="AI102" s="632"/>
      <c r="AJ102" s="972"/>
      <c r="AK102" s="972"/>
      <c r="AL102" s="1071"/>
      <c r="AM102" s="972"/>
      <c r="AN102" s="972"/>
      <c r="AO102" s="632"/>
      <c r="AP102" s="632"/>
      <c r="AQ102" s="632"/>
      <c r="AR102" s="632"/>
      <c r="AS102" s="632"/>
      <c r="AT102" s="632"/>
      <c r="AU102" s="632"/>
      <c r="AV102" s="632"/>
      <c r="AW102" s="632"/>
      <c r="AX102" s="632"/>
      <c r="AY102" s="632"/>
      <c r="BA102" s="632"/>
      <c r="BB102" s="632"/>
      <c r="BC102" s="632"/>
      <c r="BD102" s="632"/>
      <c r="BE102" s="632"/>
      <c r="BF102" s="632"/>
      <c r="BG102" s="688"/>
      <c r="BH102" s="653"/>
      <c r="BI102" s="632"/>
      <c r="BJ102" s="1083"/>
      <c r="BK102" s="1083"/>
      <c r="BL102" s="1083"/>
      <c r="BM102" s="1083"/>
      <c r="BN102" s="1083"/>
      <c r="BO102" s="1083"/>
      <c r="BP102" s="1083"/>
      <c r="BQ102" s="632"/>
      <c r="BR102" s="636"/>
      <c r="BS102" s="632"/>
      <c r="BT102" s="632"/>
      <c r="BU102" s="637"/>
    </row>
    <row r="103" ht="15" customHeight="1">
      <c r="A103" s="779"/>
      <c r="B103" s="633"/>
      <c r="C103" s="632"/>
      <c r="D103" s="632" t="s">
        <v>1006</v>
      </c>
      <c r="E103" s="632"/>
      <c r="F103" s="632"/>
      <c r="G103" s="1090"/>
      <c r="H103" s="1090"/>
      <c r="I103" s="1090"/>
      <c r="J103" s="1090"/>
      <c r="K103" s="1090"/>
      <c r="L103" s="1090"/>
      <c r="M103" s="1090"/>
      <c r="N103" s="1090"/>
      <c r="O103" s="1090"/>
      <c r="P103" s="1090"/>
      <c r="Q103" s="1090"/>
      <c r="R103" s="1091">
        <f t="shared" si="134" ref="R103:Y103">R39-1</f>
        <v>1</v>
      </c>
      <c r="S103" s="1091">
        <f t="shared" si="134"/>
        <v>1</v>
      </c>
      <c r="T103" s="1091">
        <f t="shared" si="134"/>
        <v>1</v>
      </c>
      <c r="U103" s="1091">
        <f t="shared" si="134"/>
        <v>2</v>
      </c>
      <c r="V103" s="1091">
        <f t="shared" si="134"/>
        <v>3</v>
      </c>
      <c r="W103" s="1091">
        <f t="shared" si="134"/>
        <v>2</v>
      </c>
      <c r="X103" s="1091">
        <f t="shared" si="134"/>
        <v>3</v>
      </c>
      <c r="Y103" s="1091">
        <f t="shared" si="134"/>
        <v>1</v>
      </c>
      <c r="Z103" s="1090"/>
      <c r="AA103" s="1091"/>
      <c r="AB103" s="1091"/>
      <c r="AC103" s="1091"/>
      <c r="AD103" s="1091"/>
      <c r="AE103" s="1091"/>
      <c r="AF103" s="1091"/>
      <c r="AG103" s="1091"/>
      <c r="AH103" s="1091"/>
      <c r="AI103" s="1091"/>
      <c r="AJ103" s="972"/>
      <c r="AK103" s="972"/>
      <c r="AL103" s="1071"/>
      <c r="AM103" s="972"/>
      <c r="AN103" s="972"/>
      <c r="AO103" s="632"/>
      <c r="AP103" s="632"/>
      <c r="AQ103" s="632"/>
      <c r="AR103" s="632"/>
      <c r="AS103" s="632"/>
      <c r="AT103" s="632"/>
      <c r="AU103" s="632"/>
      <c r="AV103" s="632"/>
      <c r="AW103" s="632"/>
      <c r="AX103" s="632"/>
      <c r="AY103" s="632"/>
      <c r="BA103" s="632"/>
      <c r="BB103" s="632"/>
      <c r="BC103" s="632"/>
      <c r="BD103" s="632"/>
      <c r="BE103" s="632"/>
      <c r="BF103" s="632"/>
      <c r="BG103" s="27"/>
      <c r="BH103" s="653"/>
      <c r="BI103" s="632"/>
      <c r="BJ103" s="1083"/>
      <c r="BK103" s="1083"/>
      <c r="BL103" s="1083"/>
      <c r="BM103" s="1083"/>
      <c r="BN103" s="1083"/>
      <c r="BO103" s="1083"/>
      <c r="BP103" s="1083"/>
      <c r="BQ103" s="632"/>
      <c r="BR103" s="636"/>
      <c r="BS103" s="632"/>
      <c r="BT103" s="632"/>
      <c r="BU103" s="637"/>
    </row>
    <row r="104" ht="15" customHeight="1">
      <c r="A104" s="779"/>
      <c r="B104" s="632"/>
      <c r="C104" s="632"/>
      <c r="D104" s="1048" t="s">
        <v>1007</v>
      </c>
      <c r="E104" s="1092">
        <f t="shared" si="135" ref="E104:P104">_xlfn.LET(_xlpm.term_yrs,E$98,_xlpm.is_top_mkt_tier,SblQuotes_FreddieMktTier="Top",IF(AND(_xlpm.is_top_mkt_tier,_xlpm.term_yrs=5),0.25%,0.47%))</f>
        <v>0.004699999999999999</v>
      </c>
      <c r="F104" s="1092">
        <f t="shared" si="135"/>
        <v>0.004699999999999999</v>
      </c>
      <c r="G104" s="1092">
        <f t="shared" si="135"/>
        <v>0.004699999999999999</v>
      </c>
      <c r="H104" s="1092">
        <f t="shared" si="135"/>
        <v>0.004699999999999999</v>
      </c>
      <c r="I104" s="1092">
        <f t="shared" si="135"/>
        <v>0.004699999999999999</v>
      </c>
      <c r="J104" s="1092">
        <f t="shared" si="135"/>
        <v>0.004699999999999999</v>
      </c>
      <c r="K104" s="1092">
        <f t="shared" si="135"/>
        <v>0.004699999999999999</v>
      </c>
      <c r="L104" s="1092">
        <f t="shared" si="135"/>
        <v>0.004699999999999999</v>
      </c>
      <c r="M104" s="1092">
        <f t="shared" si="135"/>
        <v>0.004699999999999999</v>
      </c>
      <c r="N104" s="1092">
        <f t="shared" si="135"/>
        <v>0.004699999999999999</v>
      </c>
      <c r="O104" s="1092">
        <f t="shared" si="135"/>
        <v>0.004699999999999999</v>
      </c>
      <c r="P104" s="1092">
        <f t="shared" si="135"/>
        <v>0.004699999999999999</v>
      </c>
      <c r="Q104" s="1093"/>
      <c r="R104" s="1094">
        <f t="shared" si="136" ref="R104:Y104">_xlfn.LET(_xlpm.fnm_credit_fees,R$52,_xlpm.affordability_adjustment,R$57,_xlpm.small_loan_le_2million_adjustment,R$63,_xlpm.g_and_s_adjustment,R$65,(_xlpm.fnm_credit_fees+_xlpm.affordability_adjustment+_xlpm.small_loan_le_2million_adjustment+_xlpm.g_and_s_adjustment)*40%)</f>
        <v>0.007679999999999999</v>
      </c>
      <c r="S104" s="1094">
        <f t="shared" si="136"/>
        <v>0.007679999999999999</v>
      </c>
      <c r="T104" s="1094">
        <f t="shared" si="136"/>
        <v>0.007679999999999999</v>
      </c>
      <c r="U104" s="1094">
        <f t="shared" si="136"/>
        <v>0.006880000000000001</v>
      </c>
      <c r="V104" s="1094">
        <f t="shared" si="136"/>
        <v>0.00608</v>
      </c>
      <c r="W104" s="1094">
        <f t="shared" si="136"/>
        <v>0.0072</v>
      </c>
      <c r="X104" s="1094">
        <f t="shared" si="136"/>
        <v>0.0064</v>
      </c>
      <c r="Y104" s="1094">
        <f t="shared" si="136"/>
        <v>0.007679999999999999</v>
      </c>
      <c r="Z104" s="1090"/>
      <c r="AA104" s="1092">
        <f t="shared" si="137" ref="AA104:AH104">_xlfn.LET(_xlpm.LoanAmt,AA30,_xlpm.LoanAsMM,_xlpm.LoanAmt/1000000,IF(_xlpm.LoanAsMM&lt;2.5,0.35%,0)+IF(AND(_xlpm.LoanAsMM&gt;=2.5,_xlpm.LoanAsMM&lt;5),0.3%,0)+IF(AND(_xlpm.LoanAsMM&gt;=5,_xlpm.LoanAsMM&lt;7.5),0.25%,0)+IF(_xlpm.LoanAsMM&gt;=7.5,0.2%,0))</f>
        <v>0.0034999999999999996</v>
      </c>
      <c r="AB104" s="1092">
        <f t="shared" si="137"/>
        <v>0.0034999999999999996</v>
      </c>
      <c r="AC104" s="1092">
        <f t="shared" si="137"/>
        <v>0.0034999999999999996</v>
      </c>
      <c r="AD104" s="1092">
        <f t="shared" si="137"/>
        <v>0.0034999999999999996</v>
      </c>
      <c r="AE104" s="1092">
        <f t="shared" si="137"/>
        <v>0.0034999999999999996</v>
      </c>
      <c r="AF104" s="1092">
        <f t="shared" si="137"/>
        <v>0.0034999999999999996</v>
      </c>
      <c r="AG104" s="1092">
        <f t="shared" si="137"/>
        <v>0.0034999999999999996</v>
      </c>
      <c r="AH104" s="1092">
        <f t="shared" si="137"/>
        <v>0.0034999999999999996</v>
      </c>
      <c r="AJ104" s="1069" t="s">
        <v>991</v>
      </c>
      <c r="AK104" s="1069"/>
      <c r="AL104" s="1069"/>
      <c r="AM104" s="1069" t="s">
        <v>992</v>
      </c>
      <c r="AN104" s="1069"/>
      <c r="AO104" s="633"/>
      <c r="AP104" s="633"/>
      <c r="AQ104" s="633"/>
      <c r="AR104" s="633"/>
      <c r="AS104" s="632"/>
      <c r="AT104" s="632"/>
      <c r="AU104" s="632"/>
      <c r="AV104" s="632"/>
      <c r="AW104" s="632"/>
      <c r="AX104" s="632"/>
      <c r="AY104" s="632"/>
      <c r="BA104" s="632"/>
      <c r="BB104" s="632"/>
      <c r="BC104" s="632"/>
      <c r="BD104" s="632"/>
      <c r="BE104" s="632"/>
      <c r="BF104" s="632"/>
      <c r="BG104" s="27"/>
      <c r="BH104" s="653"/>
      <c r="BI104" s="632"/>
      <c r="BJ104" s="1083"/>
      <c r="BK104" s="633"/>
      <c r="BL104" s="633"/>
      <c r="BM104" s="633"/>
      <c r="BN104" s="633"/>
      <c r="BO104" s="633"/>
      <c r="BP104" s="633"/>
      <c r="BQ104" s="632"/>
      <c r="BR104" s="636"/>
      <c r="BS104" s="632"/>
      <c r="BT104" s="632"/>
      <c r="BU104" s="637"/>
    </row>
    <row r="105" ht="12.75" customHeight="1">
      <c r="A105" s="779"/>
      <c r="B105" s="632"/>
      <c r="C105" s="632"/>
      <c r="D105" s="632" t="s">
        <v>1008</v>
      </c>
      <c r="E105" s="632"/>
      <c r="F105" s="632"/>
      <c r="G105" s="1093"/>
      <c r="H105" s="1093"/>
      <c r="I105" s="1093"/>
      <c r="J105" s="1093"/>
      <c r="K105" s="1093"/>
      <c r="L105" s="1093"/>
      <c r="M105" s="1093"/>
      <c r="N105" s="1093"/>
      <c r="O105" s="1093"/>
      <c r="P105" s="1093"/>
      <c r="Q105" s="1093"/>
      <c r="R105" s="1091"/>
      <c r="S105" s="1093"/>
      <c r="T105" s="1093"/>
      <c r="U105" s="1093"/>
      <c r="V105" s="1093"/>
      <c r="W105" s="1093"/>
      <c r="X105" s="1093"/>
      <c r="Y105" s="1093"/>
      <c r="Z105" s="1093"/>
      <c r="AA105" s="1095">
        <v>0</v>
      </c>
      <c r="AB105" s="1095">
        <v>0</v>
      </c>
      <c r="AC105" s="1095">
        <v>0</v>
      </c>
      <c r="AD105" s="1095">
        <v>0</v>
      </c>
      <c r="AE105" s="1095">
        <v>0</v>
      </c>
      <c r="AF105" s="1095">
        <v>0</v>
      </c>
      <c r="AG105" s="1095">
        <v>0</v>
      </c>
      <c r="AH105" s="1095">
        <v>0</v>
      </c>
      <c r="AI105" s="632"/>
      <c r="AJ105" s="972"/>
      <c r="AK105" s="972"/>
      <c r="AL105" s="1071"/>
      <c r="AM105" s="972"/>
      <c r="AN105" s="972"/>
      <c r="AO105" s="633"/>
      <c r="AP105" s="633"/>
      <c r="AQ105" s="633"/>
      <c r="AR105" s="633"/>
      <c r="AS105" s="632"/>
      <c r="AT105" s="632"/>
      <c r="AU105" s="632"/>
      <c r="AV105" s="632"/>
      <c r="AW105" s="632"/>
      <c r="AX105" s="632"/>
      <c r="AY105" s="632"/>
      <c r="BA105" s="632"/>
      <c r="BB105" s="632"/>
      <c r="BC105" s="632"/>
      <c r="BD105" s="632"/>
      <c r="BE105" s="632"/>
      <c r="BF105" s="632"/>
      <c r="BG105" s="688"/>
      <c r="BH105" s="653"/>
      <c r="BI105" s="632"/>
      <c r="BJ105" s="1083"/>
      <c r="BK105" s="1083"/>
      <c r="BL105" s="1083"/>
      <c r="BM105" s="1083"/>
      <c r="BN105" s="1083"/>
      <c r="BO105" s="1083"/>
      <c r="BP105" s="1083"/>
      <c r="BQ105" s="632"/>
      <c r="BR105" s="636"/>
      <c r="BS105" s="632"/>
      <c r="BT105" s="632"/>
      <c r="BU105" s="637"/>
    </row>
    <row r="106" ht="15" customHeight="1">
      <c r="A106" s="632"/>
      <c r="B106" s="632"/>
      <c r="C106" s="632"/>
      <c r="D106" s="632"/>
      <c r="E106" s="632"/>
      <c r="F106" s="632"/>
      <c r="G106" s="632"/>
      <c r="H106" s="632"/>
      <c r="I106" s="632"/>
      <c r="J106" s="632"/>
      <c r="K106" s="632"/>
      <c r="L106" s="632"/>
      <c r="M106" s="632"/>
      <c r="N106" s="632"/>
      <c r="O106" s="632"/>
      <c r="P106" s="632"/>
      <c r="Q106" s="632"/>
      <c r="R106" s="632"/>
      <c r="S106" s="632"/>
      <c r="T106" s="632"/>
      <c r="U106" s="632"/>
      <c r="V106" s="632"/>
      <c r="W106" s="632"/>
      <c r="X106" s="632"/>
      <c r="Y106" s="632"/>
      <c r="Z106" s="632"/>
      <c r="AA106" s="632"/>
      <c r="AB106" s="632"/>
      <c r="AC106" s="632"/>
      <c r="AD106" s="632"/>
      <c r="AE106" s="632"/>
      <c r="AF106" s="632"/>
      <c r="AG106" s="632"/>
      <c r="AH106" s="632"/>
      <c r="AI106" s="632"/>
      <c r="AJ106" s="972"/>
      <c r="AK106" s="972"/>
      <c r="AL106" s="1071"/>
      <c r="AM106" s="972"/>
      <c r="AN106" s="972"/>
      <c r="AO106" s="633"/>
      <c r="AP106" s="633"/>
      <c r="AQ106" s="633"/>
      <c r="AR106" s="633"/>
      <c r="AS106" s="632"/>
      <c r="AT106" s="632"/>
      <c r="AU106" s="632"/>
      <c r="AV106" s="632"/>
      <c r="AW106" s="632"/>
      <c r="AX106" s="632"/>
      <c r="AY106" s="632"/>
      <c r="BA106" s="632"/>
      <c r="BB106" s="632"/>
      <c r="BC106" s="632"/>
      <c r="BD106" s="632"/>
      <c r="BE106" s="632"/>
      <c r="BF106" s="632"/>
      <c r="BG106" s="27"/>
      <c r="BH106" s="653"/>
      <c r="BI106" s="632"/>
      <c r="BJ106" s="1083"/>
      <c r="BK106" s="1083"/>
      <c r="BL106" s="1083"/>
      <c r="BM106" s="1083"/>
      <c r="BN106" s="1083"/>
      <c r="BO106" s="1083"/>
      <c r="BP106" s="1083"/>
      <c r="BQ106" s="632"/>
      <c r="BR106" s="636"/>
      <c r="BS106" s="632"/>
      <c r="BT106" s="632"/>
      <c r="BU106" s="637"/>
    </row>
    <row r="107" ht="14.25" customHeight="1">
      <c r="A107" s="632"/>
      <c r="B107" s="632"/>
      <c r="C107" s="632"/>
      <c r="D107" s="632"/>
      <c r="E107" s="632"/>
      <c r="F107" s="632"/>
      <c r="G107" s="632"/>
      <c r="H107" s="632"/>
      <c r="I107" s="632"/>
      <c r="J107" s="632"/>
      <c r="K107" s="632"/>
      <c r="L107" s="632"/>
      <c r="M107" s="632"/>
      <c r="N107" s="632"/>
      <c r="O107" s="632"/>
      <c r="P107" s="632"/>
      <c r="Q107" s="632"/>
      <c r="R107" s="632"/>
      <c r="S107" s="632"/>
      <c r="T107" s="632"/>
      <c r="U107" s="632"/>
      <c r="V107" s="632"/>
      <c r="W107" s="632"/>
      <c r="X107" s="632"/>
      <c r="Y107" s="632"/>
      <c r="Z107" s="632"/>
      <c r="AA107" s="632"/>
      <c r="AB107" s="632"/>
      <c r="AC107" s="632"/>
      <c r="AD107" s="632"/>
      <c r="AE107" s="632"/>
      <c r="AF107" s="632"/>
      <c r="AG107" s="632"/>
      <c r="AH107" s="632"/>
      <c r="AI107" s="632"/>
      <c r="AJ107" s="972"/>
      <c r="AK107" s="972"/>
      <c r="AL107" s="1071"/>
      <c r="AM107" s="972"/>
      <c r="AN107" s="972"/>
      <c r="AO107" s="1093"/>
      <c r="AP107" s="1093"/>
      <c r="AQ107" s="1093"/>
      <c r="AR107" s="1093"/>
      <c r="AS107" s="632"/>
      <c r="AT107" s="632"/>
      <c r="AU107" s="632"/>
      <c r="AV107" s="632"/>
      <c r="AW107" s="632"/>
      <c r="AX107" s="632"/>
      <c r="AY107" s="632"/>
      <c r="BA107" s="632"/>
      <c r="BB107" s="632"/>
      <c r="BC107" s="632"/>
      <c r="BD107" s="632"/>
      <c r="BE107" s="632"/>
      <c r="BF107" s="632"/>
      <c r="BG107" s="653"/>
      <c r="BH107" s="653"/>
      <c r="BI107" s="632"/>
      <c r="BJ107" s="1083"/>
      <c r="BK107" s="633"/>
      <c r="BL107" s="633"/>
      <c r="BM107" s="633"/>
      <c r="BN107" s="633"/>
      <c r="BO107" s="633"/>
      <c r="BP107" s="633"/>
      <c r="BQ107" s="632"/>
      <c r="BR107" s="636"/>
      <c r="BS107" s="632"/>
      <c r="BT107" s="632"/>
      <c r="BU107" s="637"/>
    </row>
    <row r="108" ht="14.25" customHeight="1">
      <c r="A108" s="632"/>
      <c r="B108" s="632"/>
      <c r="C108" s="632"/>
      <c r="D108" s="632"/>
      <c r="E108" s="632"/>
      <c r="F108" s="632"/>
      <c r="G108" s="632"/>
      <c r="H108" s="632"/>
      <c r="I108" s="632"/>
      <c r="J108" s="632"/>
      <c r="K108" s="632"/>
      <c r="L108" s="632"/>
      <c r="M108" s="632"/>
      <c r="N108" s="632"/>
      <c r="O108" s="632"/>
      <c r="P108" s="632"/>
      <c r="Q108" s="632"/>
      <c r="R108" s="632"/>
      <c r="S108" s="632"/>
      <c r="T108" s="632"/>
      <c r="U108" s="632"/>
      <c r="V108" s="632"/>
      <c r="W108" s="632"/>
      <c r="X108" s="632"/>
      <c r="Y108" s="632"/>
      <c r="Z108" s="632"/>
      <c r="AA108" s="632"/>
      <c r="AB108" s="632"/>
      <c r="AC108" s="632"/>
      <c r="AD108" s="632"/>
      <c r="AE108" s="632"/>
      <c r="AF108" s="632"/>
      <c r="AG108" s="632"/>
      <c r="AH108" s="632"/>
      <c r="AI108" s="632"/>
      <c r="AJ108" s="632"/>
      <c r="AK108" s="632"/>
      <c r="AL108" s="632"/>
      <c r="AM108" s="632"/>
      <c r="AN108" s="632"/>
      <c r="AO108" s="1093"/>
      <c r="AP108" s="1093"/>
      <c r="AQ108" s="1093"/>
      <c r="AR108" s="1093"/>
      <c r="AS108" s="633"/>
      <c r="AT108" s="633"/>
      <c r="AU108" s="632"/>
      <c r="AV108" s="632"/>
      <c r="AW108" s="632"/>
      <c r="AX108" s="632"/>
      <c r="AY108" s="632"/>
      <c r="BA108" s="632"/>
      <c r="BB108" s="632"/>
      <c r="BC108" s="632"/>
      <c r="BD108" s="632"/>
      <c r="BE108" s="632"/>
      <c r="BF108" s="632"/>
      <c r="BG108" s="632"/>
      <c r="BH108" s="632"/>
      <c r="BI108" s="632"/>
      <c r="BJ108" s="1083"/>
      <c r="BK108" s="633"/>
      <c r="BL108" s="633"/>
      <c r="BM108" s="633"/>
      <c r="BN108" s="633"/>
      <c r="BO108" s="633"/>
      <c r="BP108" s="633"/>
      <c r="BQ108" s="632"/>
      <c r="BR108" s="636"/>
      <c r="BS108" s="632"/>
      <c r="BT108" s="632"/>
      <c r="BU108" s="637"/>
    </row>
    <row r="109" ht="12.75" customHeight="1">
      <c r="A109" s="632"/>
      <c r="B109" s="632"/>
      <c r="C109" s="632"/>
      <c r="D109" s="632"/>
      <c r="E109" s="632"/>
      <c r="F109" s="632"/>
      <c r="G109" s="632"/>
      <c r="H109" s="632"/>
      <c r="I109" s="632"/>
      <c r="J109" s="632"/>
      <c r="K109" s="632"/>
      <c r="L109" s="632"/>
      <c r="M109" s="632"/>
      <c r="N109" s="632"/>
      <c r="O109" s="632"/>
      <c r="P109" s="632"/>
      <c r="Q109" s="632"/>
      <c r="R109" s="632"/>
      <c r="S109" s="632"/>
      <c r="T109" s="632"/>
      <c r="U109" s="632"/>
      <c r="V109" s="632"/>
      <c r="W109" s="632"/>
      <c r="X109" s="632"/>
      <c r="Y109" s="632"/>
      <c r="Z109" s="632"/>
      <c r="AA109" s="1096"/>
      <c r="AB109" s="632"/>
      <c r="AC109" s="632"/>
      <c r="AD109" s="632"/>
      <c r="AE109" s="632"/>
      <c r="AF109" s="632"/>
      <c r="AG109" s="632"/>
      <c r="AH109" s="632"/>
      <c r="AI109" s="632"/>
      <c r="AJ109" s="640" t="s">
        <v>1009</v>
      </c>
      <c r="AK109" s="640"/>
      <c r="AL109" s="1097"/>
      <c r="AM109" s="640"/>
      <c r="AN109" s="640"/>
      <c r="AO109" s="1093"/>
      <c r="AP109" s="1093"/>
      <c r="AQ109" s="1093"/>
      <c r="AR109" s="1093"/>
      <c r="AS109" s="633"/>
      <c r="AT109" s="633"/>
      <c r="AU109" s="632"/>
      <c r="AV109" s="632"/>
      <c r="AW109" s="632"/>
      <c r="AX109" s="632"/>
      <c r="AY109" s="632"/>
      <c r="BA109" s="632"/>
      <c r="BB109" s="632"/>
      <c r="BC109" s="632"/>
      <c r="BD109" s="632"/>
      <c r="BE109" s="632"/>
      <c r="BF109" s="632"/>
      <c r="BG109" s="632"/>
      <c r="BH109" s="632"/>
      <c r="BI109" s="632"/>
      <c r="BJ109" s="1083"/>
      <c r="BK109" s="633"/>
      <c r="BL109" s="633"/>
      <c r="BM109" s="633"/>
      <c r="BN109" s="633"/>
      <c r="BO109" s="633"/>
      <c r="BP109" s="633"/>
      <c r="BQ109" s="632"/>
      <c r="BR109" s="636"/>
      <c r="BS109" s="632"/>
      <c r="BT109" s="632"/>
      <c r="BU109" s="637"/>
    </row>
    <row r="110" ht="12.75" customHeight="1">
      <c r="A110" s="632"/>
      <c r="B110" s="632"/>
      <c r="C110" s="632"/>
      <c r="D110" s="632"/>
      <c r="E110" s="1098"/>
      <c r="F110" s="1098"/>
      <c r="G110" s="1098"/>
      <c r="H110" s="1098"/>
      <c r="I110" s="1098"/>
      <c r="J110" s="1098"/>
      <c r="K110" s="1098"/>
      <c r="L110" s="1098"/>
      <c r="M110" s="1098"/>
      <c r="N110" s="1098"/>
      <c r="O110" s="1098"/>
      <c r="P110" s="1099"/>
      <c r="Q110" s="632"/>
      <c r="R110" s="632"/>
      <c r="S110" s="632"/>
      <c r="T110" s="632"/>
      <c r="U110" s="632"/>
      <c r="V110" s="632"/>
      <c r="W110" s="632"/>
      <c r="X110" s="632"/>
      <c r="Y110" s="632"/>
      <c r="Z110" s="632"/>
      <c r="AA110" s="632"/>
      <c r="AB110" s="632"/>
      <c r="AC110" s="632"/>
      <c r="AD110" s="632"/>
      <c r="AE110" s="632"/>
      <c r="AF110" s="632"/>
      <c r="AG110" s="632"/>
      <c r="AH110" s="632"/>
      <c r="AI110" s="632"/>
      <c r="AJ110" s="989" t="s">
        <v>1010</v>
      </c>
      <c r="AK110" s="989"/>
      <c r="AL110" s="989"/>
      <c r="AM110" s="989"/>
      <c r="AN110" s="989"/>
      <c r="AO110" s="1093"/>
      <c r="AP110" s="1093"/>
      <c r="AQ110" s="1093"/>
      <c r="AR110" s="1093"/>
      <c r="AS110" s="633"/>
      <c r="AT110" s="633"/>
      <c r="AU110" s="632"/>
      <c r="AV110" s="632"/>
      <c r="AW110" s="632"/>
      <c r="AX110" s="632"/>
      <c r="AY110" s="632"/>
      <c r="BA110" s="632"/>
      <c r="BB110" s="632"/>
      <c r="BC110" s="632"/>
      <c r="BD110" s="632"/>
      <c r="BE110" s="632"/>
      <c r="BF110" s="632"/>
      <c r="BG110" s="632"/>
      <c r="BH110" s="632"/>
      <c r="BI110" s="632"/>
      <c r="BJ110" s="632"/>
      <c r="BK110" s="635"/>
      <c r="BL110" s="635"/>
      <c r="BM110" s="635"/>
      <c r="BN110" s="635"/>
      <c r="BO110" s="635"/>
      <c r="BP110" s="635"/>
      <c r="BQ110" s="632"/>
      <c r="BR110" s="636"/>
      <c r="BS110" s="632"/>
      <c r="BT110" s="632"/>
      <c r="BU110" s="637"/>
    </row>
    <row r="111" ht="15" customHeight="1">
      <c r="A111" s="632"/>
      <c r="B111" s="632"/>
      <c r="C111" s="632"/>
      <c r="D111" s="632"/>
      <c r="E111" s="632"/>
      <c r="F111" s="632"/>
      <c r="G111" s="632"/>
      <c r="H111" s="632"/>
      <c r="I111" s="632"/>
      <c r="J111" s="632"/>
      <c r="K111" s="632"/>
      <c r="L111" s="632"/>
      <c r="M111" s="632"/>
      <c r="N111" s="632"/>
      <c r="O111" s="632"/>
      <c r="P111" s="632"/>
      <c r="Q111" s="632"/>
      <c r="R111" s="632"/>
      <c r="S111" s="632"/>
      <c r="T111" s="632"/>
      <c r="U111" s="632"/>
      <c r="V111" s="632"/>
      <c r="W111" s="632"/>
      <c r="X111" s="632"/>
      <c r="Y111" s="632"/>
      <c r="Z111" s="632"/>
      <c r="AA111" s="632"/>
      <c r="AB111" s="632"/>
      <c r="AC111" s="632"/>
      <c r="AD111" s="632"/>
      <c r="AE111" s="632"/>
      <c r="AF111" s="632"/>
      <c r="AG111" s="632"/>
      <c r="AH111" s="632"/>
      <c r="AI111" s="632"/>
      <c r="AJ111" s="989"/>
      <c r="AK111" s="989"/>
      <c r="AL111" s="989"/>
      <c r="AM111" s="989"/>
      <c r="AN111" s="989"/>
      <c r="AO111" s="1093"/>
      <c r="AP111" s="1093"/>
      <c r="AQ111" s="1093"/>
      <c r="AR111" s="1093"/>
      <c r="AS111" s="1093"/>
      <c r="AT111" s="1093"/>
      <c r="AU111" s="632"/>
      <c r="AV111" s="632"/>
      <c r="AW111" s="632"/>
      <c r="AX111" s="632"/>
      <c r="AY111" s="632"/>
      <c r="BA111" s="632"/>
      <c r="BB111" s="632"/>
      <c r="BC111" s="632"/>
      <c r="BD111" s="632"/>
      <c r="BE111" s="632"/>
      <c r="BF111" s="632"/>
      <c r="BG111" s="632"/>
      <c r="BH111" s="632"/>
      <c r="BI111" s="632"/>
      <c r="BJ111" s="632"/>
      <c r="BK111" s="635"/>
      <c r="BL111" s="635"/>
      <c r="BM111" s="635"/>
      <c r="BN111" s="635"/>
      <c r="BO111" s="635"/>
      <c r="BP111" s="635"/>
      <c r="BQ111" s="632"/>
      <c r="BR111" s="636"/>
      <c r="BS111" s="632"/>
      <c r="BT111" s="632"/>
      <c r="BU111" s="637"/>
    </row>
    <row r="112" ht="14.25" customHeight="1">
      <c r="A112" s="632"/>
      <c r="B112" s="632"/>
      <c r="C112" s="632"/>
      <c r="D112" s="632"/>
      <c r="E112" s="632"/>
      <c r="F112" s="632"/>
      <c r="G112" s="632"/>
      <c r="H112" s="632"/>
      <c r="I112" s="632"/>
      <c r="J112" s="632"/>
      <c r="K112" s="632"/>
      <c r="L112" s="632"/>
      <c r="M112" s="632"/>
      <c r="N112" s="632"/>
      <c r="O112" s="632"/>
      <c r="P112" s="632"/>
      <c r="Q112" s="632"/>
      <c r="R112" s="632"/>
      <c r="S112" s="632"/>
      <c r="T112" s="632"/>
      <c r="U112" s="632"/>
      <c r="V112" s="632"/>
      <c r="W112" s="632"/>
      <c r="X112" s="632"/>
      <c r="Y112" s="632"/>
      <c r="Z112" s="632"/>
      <c r="AA112" s="632"/>
      <c r="AB112" s="632"/>
      <c r="AC112" s="632"/>
      <c r="AD112" s="632"/>
      <c r="AE112" s="632"/>
      <c r="AF112" s="632"/>
      <c r="AG112" s="632"/>
      <c r="AH112" s="632"/>
      <c r="AI112" s="632"/>
      <c r="AJ112" s="972"/>
      <c r="AK112" s="972"/>
      <c r="AL112" s="972"/>
      <c r="AM112" s="972"/>
      <c r="AN112" s="972"/>
      <c r="AO112" s="1093"/>
      <c r="AP112" s="1093"/>
      <c r="AQ112" s="1093"/>
      <c r="AR112" s="1093"/>
      <c r="AS112" s="1093"/>
      <c r="AT112" s="1093"/>
      <c r="AU112" s="632"/>
      <c r="AV112" s="632"/>
      <c r="AW112" s="632"/>
      <c r="AX112" s="632"/>
      <c r="AY112" s="632"/>
      <c r="BA112" s="632"/>
      <c r="BB112" s="632"/>
      <c r="BC112" s="632"/>
      <c r="BD112" s="632"/>
      <c r="BE112" s="632"/>
      <c r="BF112" s="632"/>
      <c r="BG112" s="632"/>
      <c r="BH112" s="632"/>
      <c r="BI112" s="632"/>
      <c r="BJ112" s="632"/>
      <c r="BK112" s="635"/>
      <c r="BL112" s="635"/>
      <c r="BM112" s="635"/>
      <c r="BN112" s="635"/>
      <c r="BO112" s="635"/>
      <c r="BP112" s="635"/>
      <c r="BQ112" s="632"/>
      <c r="BR112" s="636"/>
      <c r="BS112" s="632"/>
      <c r="BT112" s="632"/>
      <c r="BU112" s="637"/>
    </row>
    <row r="113" ht="14.25" customHeight="1">
      <c r="A113" s="632"/>
      <c r="B113" s="632"/>
      <c r="C113" s="632"/>
      <c r="D113" s="632"/>
      <c r="E113" s="632"/>
      <c r="F113" s="632"/>
      <c r="G113" s="632"/>
      <c r="H113" s="632"/>
      <c r="I113" s="632"/>
      <c r="J113" s="632"/>
      <c r="K113" s="632"/>
      <c r="L113" s="632"/>
      <c r="M113" s="632"/>
      <c r="N113" s="632"/>
      <c r="O113" s="632"/>
      <c r="P113" s="632"/>
      <c r="Q113" s="632"/>
      <c r="S113" s="632"/>
      <c r="T113" s="632"/>
      <c r="U113" s="632"/>
      <c r="V113" s="632"/>
      <c r="W113" s="632"/>
      <c r="X113" s="632"/>
      <c r="Y113" s="632"/>
      <c r="Z113" s="632"/>
      <c r="AB113" s="632"/>
      <c r="AC113" s="632"/>
      <c r="AD113" s="632"/>
      <c r="AE113" s="632"/>
      <c r="AF113" s="632"/>
      <c r="AG113" s="632"/>
      <c r="AH113" s="632"/>
      <c r="AI113" s="632"/>
      <c r="AJ113" s="972"/>
      <c r="AK113" s="972"/>
      <c r="AL113" s="972"/>
      <c r="AM113" s="972"/>
      <c r="AN113" s="972"/>
      <c r="AO113" s="1093"/>
      <c r="AP113" s="1093"/>
      <c r="AQ113" s="1093"/>
      <c r="AR113" s="1093"/>
      <c r="AS113" s="1093"/>
      <c r="AT113" s="1093"/>
      <c r="AU113" s="632"/>
      <c r="AV113" s="632"/>
      <c r="AW113" s="632"/>
      <c r="AX113" s="632"/>
      <c r="AY113" s="632"/>
      <c r="BA113" s="632"/>
      <c r="BB113" s="632"/>
      <c r="BC113" s="632"/>
      <c r="BD113" s="632"/>
      <c r="BE113" s="632"/>
      <c r="BF113" s="632"/>
      <c r="BG113" s="632"/>
      <c r="BH113" s="632"/>
      <c r="BI113" s="632"/>
      <c r="BJ113" s="632"/>
      <c r="BK113" s="635"/>
      <c r="BL113" s="635"/>
      <c r="BM113" s="635"/>
      <c r="BN113" s="635"/>
      <c r="BO113" s="635"/>
      <c r="BP113" s="635"/>
      <c r="BQ113" s="632"/>
      <c r="BR113" s="636"/>
      <c r="BS113" s="632"/>
      <c r="BT113" s="632"/>
      <c r="BU113" s="637"/>
    </row>
    <row r="114" ht="12.75" customHeight="1">
      <c r="A114" s="632"/>
      <c r="B114" s="632"/>
      <c r="C114" s="632"/>
      <c r="D114" s="632"/>
      <c r="E114" s="632"/>
      <c r="F114" s="632"/>
      <c r="G114" s="632"/>
      <c r="H114" s="632"/>
      <c r="I114" s="632"/>
      <c r="J114" s="632"/>
      <c r="K114" s="632"/>
      <c r="L114" s="632"/>
      <c r="M114" s="632"/>
      <c r="N114" s="632"/>
      <c r="O114" s="632"/>
      <c r="P114" s="632"/>
      <c r="Q114" s="632"/>
      <c r="R114" s="1100"/>
      <c r="S114" s="632"/>
      <c r="T114" s="632"/>
      <c r="U114" s="632"/>
      <c r="V114" s="632"/>
      <c r="W114" s="632"/>
      <c r="X114" s="632"/>
      <c r="Y114" s="632"/>
      <c r="Z114" s="632"/>
      <c r="AA114" s="1100"/>
      <c r="AB114" s="632"/>
      <c r="AC114" s="632"/>
      <c r="AD114" s="632"/>
      <c r="AE114" s="632"/>
      <c r="AF114" s="632"/>
      <c r="AG114" s="632"/>
      <c r="AH114" s="632"/>
      <c r="AI114" s="632"/>
      <c r="AJ114" s="1062" t="str">
        <f>IF(OR(AK9=1,AK9=2,AK9=3),"Tertiary or poor performing market - N/A","Tertiary or poor performing market: Please provide a current description of the Subject's apartment housing market including current and future projections for employment, rent growth, vacancy, construction, and absorbtion.")</f>
        <v>Tertiary or poor performing market: Please provide a current description of the Subject's apartment housing market including current and future projections for employment, rent growth, vacancy, construction, and absorbtion.</v>
      </c>
      <c r="AK114" s="1062"/>
      <c r="AL114" s="1062"/>
      <c r="AM114" s="1062"/>
      <c r="AN114" s="1062"/>
      <c r="AO114" s="632"/>
      <c r="AP114" s="632"/>
      <c r="AQ114" s="632"/>
      <c r="AR114" s="632"/>
      <c r="AS114" s="1093"/>
      <c r="AT114" s="1093"/>
      <c r="AU114" s="632"/>
      <c r="AV114" s="632"/>
      <c r="AW114" s="632"/>
      <c r="AX114" s="632"/>
      <c r="AY114" s="632"/>
      <c r="BA114" s="632"/>
      <c r="BB114" s="632"/>
      <c r="BC114" s="632"/>
      <c r="BD114" s="632"/>
      <c r="BE114" s="632"/>
      <c r="BF114" s="632"/>
      <c r="BG114" s="632"/>
      <c r="BH114" s="632"/>
      <c r="BI114" s="632"/>
      <c r="BJ114" s="632"/>
      <c r="BK114" s="635"/>
      <c r="BL114" s="635"/>
      <c r="BM114" s="635"/>
      <c r="BN114" s="635"/>
      <c r="BO114" s="635"/>
      <c r="BP114" s="635"/>
      <c r="BQ114" s="632"/>
      <c r="BR114" s="636"/>
      <c r="BS114" s="632"/>
      <c r="BT114" s="632"/>
      <c r="BU114" s="637"/>
    </row>
    <row r="115" ht="12.75" customHeight="1">
      <c r="A115" s="632"/>
      <c r="B115" s="632"/>
      <c r="C115" s="632"/>
      <c r="D115" s="632"/>
      <c r="E115" s="632"/>
      <c r="F115" s="632"/>
      <c r="G115" s="632"/>
      <c r="H115" s="632"/>
      <c r="I115" s="632"/>
      <c r="J115" s="632"/>
      <c r="K115" s="632"/>
      <c r="L115" s="632"/>
      <c r="M115" s="632"/>
      <c r="N115" s="632"/>
      <c r="O115" s="632"/>
      <c r="P115" s="632"/>
      <c r="Q115" s="632"/>
      <c r="R115" s="1100"/>
      <c r="S115" s="632"/>
      <c r="T115" s="632"/>
      <c r="U115" s="632"/>
      <c r="V115" s="632"/>
      <c r="W115" s="632"/>
      <c r="X115" s="632"/>
      <c r="Y115" s="632"/>
      <c r="Z115" s="632"/>
      <c r="AA115" s="1100"/>
      <c r="AB115" s="632"/>
      <c r="AC115" s="632"/>
      <c r="AD115" s="632"/>
      <c r="AE115" s="632"/>
      <c r="AF115" s="632"/>
      <c r="AG115" s="632"/>
      <c r="AH115" s="632"/>
      <c r="AI115" s="632"/>
      <c r="AJ115" s="1062"/>
      <c r="AK115" s="1062"/>
      <c r="AL115" s="1062"/>
      <c r="AM115" s="1062"/>
      <c r="AN115" s="1062"/>
      <c r="AO115" s="632"/>
      <c r="AP115" s="632"/>
      <c r="AQ115" s="632"/>
      <c r="AR115" s="632"/>
      <c r="AS115" s="1093"/>
      <c r="AT115" s="1093"/>
      <c r="AU115" s="632"/>
      <c r="AV115" s="632"/>
      <c r="AW115" s="632"/>
      <c r="AX115" s="632"/>
      <c r="AY115" s="632"/>
      <c r="BA115" s="632"/>
      <c r="BB115" s="632"/>
      <c r="BC115" s="632"/>
      <c r="BD115" s="632"/>
      <c r="BE115" s="632"/>
      <c r="BF115" s="632"/>
      <c r="BG115" s="632"/>
      <c r="BH115" s="632"/>
      <c r="BI115" s="632"/>
      <c r="BJ115" s="632"/>
      <c r="BK115" s="635"/>
      <c r="BL115" s="635"/>
      <c r="BM115" s="635"/>
      <c r="BN115" s="635"/>
      <c r="BO115" s="635"/>
      <c r="BP115" s="635"/>
      <c r="BQ115" s="632"/>
      <c r="BR115" s="636"/>
      <c r="BS115" s="632"/>
      <c r="BT115" s="632"/>
      <c r="BU115" s="637"/>
    </row>
    <row r="116" ht="14.25" customHeight="1">
      <c r="A116" s="632"/>
      <c r="B116" s="632"/>
      <c r="C116" s="632"/>
      <c r="D116" s="632"/>
      <c r="E116" s="632"/>
      <c r="F116" s="632"/>
      <c r="G116" s="632"/>
      <c r="H116" s="632"/>
      <c r="I116" s="632"/>
      <c r="J116" s="632"/>
      <c r="K116" s="632"/>
      <c r="L116" s="632"/>
      <c r="M116" s="632"/>
      <c r="N116" s="632"/>
      <c r="O116" s="632"/>
      <c r="P116" s="632"/>
      <c r="Q116" s="632"/>
      <c r="R116" s="1100"/>
      <c r="S116" s="632"/>
      <c r="T116" s="632"/>
      <c r="U116" s="632"/>
      <c r="V116" s="632"/>
      <c r="W116" s="632"/>
      <c r="X116" s="632"/>
      <c r="Y116" s="632"/>
      <c r="Z116" s="632"/>
      <c r="AA116" s="1100"/>
      <c r="AB116" s="632"/>
      <c r="AC116" s="632"/>
      <c r="AD116" s="632"/>
      <c r="AE116" s="632"/>
      <c r="AF116" s="632"/>
      <c r="AG116" s="632"/>
      <c r="AH116" s="632"/>
      <c r="AI116" s="632"/>
      <c r="AJ116" s="972"/>
      <c r="AK116" s="972"/>
      <c r="AL116" s="972"/>
      <c r="AM116" s="972"/>
      <c r="AN116" s="972"/>
      <c r="AO116" s="632"/>
      <c r="AP116" s="632"/>
      <c r="AQ116" s="632"/>
      <c r="AR116" s="632"/>
      <c r="AS116" s="1093"/>
      <c r="AT116" s="1093"/>
      <c r="AU116" s="632"/>
      <c r="AV116" s="632"/>
      <c r="AW116" s="632"/>
      <c r="AX116" s="632"/>
      <c r="AY116" s="632"/>
      <c r="BA116" s="632"/>
      <c r="BB116" s="632"/>
      <c r="BC116" s="632"/>
      <c r="BD116" s="632"/>
      <c r="BE116" s="632"/>
      <c r="BF116" s="632"/>
      <c r="BG116" s="632"/>
      <c r="BH116" s="632"/>
      <c r="BI116" s="632"/>
      <c r="BJ116" s="632"/>
      <c r="BK116" s="635"/>
      <c r="BL116" s="635"/>
      <c r="BM116" s="635"/>
      <c r="BN116" s="635"/>
      <c r="BO116" s="635"/>
      <c r="BP116" s="635"/>
      <c r="BQ116" s="632"/>
      <c r="BR116" s="636"/>
      <c r="BS116" s="632"/>
      <c r="BT116" s="632"/>
      <c r="BU116" s="637"/>
    </row>
    <row r="117" ht="14.25" customHeight="1">
      <c r="A117" s="632"/>
      <c r="B117" s="632"/>
      <c r="C117" s="632"/>
      <c r="D117" s="632"/>
      <c r="E117" s="632"/>
      <c r="F117" s="632"/>
      <c r="G117" s="632"/>
      <c r="H117" s="632"/>
      <c r="I117" s="632"/>
      <c r="J117" s="632"/>
      <c r="K117" s="632"/>
      <c r="L117" s="632"/>
      <c r="M117" s="632"/>
      <c r="N117" s="632"/>
      <c r="O117" s="632"/>
      <c r="P117" s="632"/>
      <c r="Q117" s="632"/>
      <c r="R117" s="632"/>
      <c r="S117" s="632"/>
      <c r="T117" s="632"/>
      <c r="U117" s="632"/>
      <c r="V117" s="632"/>
      <c r="W117" s="632"/>
      <c r="X117" s="632"/>
      <c r="Y117" s="632"/>
      <c r="Z117" s="632"/>
      <c r="AA117" s="632"/>
      <c r="AB117" s="632"/>
      <c r="AC117" s="632"/>
      <c r="AD117" s="632"/>
      <c r="AE117" s="632"/>
      <c r="AF117" s="632"/>
      <c r="AG117" s="632"/>
      <c r="AH117" s="632"/>
      <c r="AI117" s="632"/>
      <c r="AJ117" s="972"/>
      <c r="AK117" s="972"/>
      <c r="AL117" s="972"/>
      <c r="AM117" s="972"/>
      <c r="AN117" s="972"/>
      <c r="AO117" s="632"/>
      <c r="AP117" s="632"/>
      <c r="AQ117" s="632"/>
      <c r="AR117" s="632"/>
      <c r="AS117" s="1093"/>
      <c r="AT117" s="1093"/>
      <c r="AU117" s="632"/>
      <c r="AV117" s="632"/>
      <c r="AW117" s="632"/>
      <c r="AX117" s="632"/>
      <c r="AY117" s="632"/>
      <c r="BA117" s="632"/>
      <c r="BB117" s="632"/>
      <c r="BC117" s="632"/>
      <c r="BD117" s="632"/>
      <c r="BE117" s="632"/>
      <c r="BF117" s="632"/>
      <c r="BG117" s="632"/>
      <c r="BH117" s="632"/>
      <c r="BI117" s="632"/>
      <c r="BJ117" s="632"/>
      <c r="BK117" s="635"/>
      <c r="BL117" s="635"/>
      <c r="BM117" s="635"/>
      <c r="BN117" s="635"/>
      <c r="BO117" s="635"/>
      <c r="BP117" s="635"/>
      <c r="BQ117" s="632"/>
      <c r="BR117" s="636"/>
      <c r="BS117" s="632"/>
      <c r="BT117" s="632"/>
      <c r="BU117" s="637"/>
    </row>
    <row r="118" ht="12.75" customHeight="1">
      <c r="A118" s="632"/>
      <c r="B118" s="632"/>
      <c r="C118" s="632"/>
      <c r="D118" s="632"/>
      <c r="E118" s="632"/>
      <c r="F118" s="632"/>
      <c r="G118" s="632"/>
      <c r="H118" s="632"/>
      <c r="I118" s="632"/>
      <c r="J118" s="632"/>
      <c r="K118" s="632"/>
      <c r="L118" s="632"/>
      <c r="M118" s="632"/>
      <c r="N118" s="632"/>
      <c r="O118" s="632"/>
      <c r="P118" s="632"/>
      <c r="Q118" s="632"/>
      <c r="R118" s="632"/>
      <c r="S118" s="632"/>
      <c r="T118" s="632"/>
      <c r="U118" s="632"/>
      <c r="V118" s="632"/>
      <c r="W118" s="632"/>
      <c r="X118" s="632"/>
      <c r="Y118" s="632"/>
      <c r="Z118" s="632"/>
      <c r="AA118" s="632"/>
      <c r="AB118" s="632"/>
      <c r="AC118" s="632"/>
      <c r="AD118" s="632"/>
      <c r="AE118" s="632"/>
      <c r="AF118" s="632"/>
      <c r="AG118" s="632"/>
      <c r="AH118" s="632"/>
      <c r="AI118" s="632"/>
      <c r="AJ118" s="632" t="str">
        <f>IF(AN20="New Construction w/ Lease Up over T12","New Competition: Please describe the construction / delivery pipeline for new multifamily assets in the submarket.  Describe recent lease-ups of recently delivered similar assets.","New Competition - N/A")</f>
        <v>New Competition - N/A</v>
      </c>
      <c r="AK118" s="632"/>
      <c r="AL118" s="632"/>
      <c r="AM118" s="632"/>
      <c r="AN118" s="632"/>
      <c r="AO118" s="632"/>
      <c r="AP118" s="632"/>
      <c r="AQ118" s="632"/>
      <c r="AR118" s="632"/>
      <c r="AS118" s="632"/>
      <c r="AT118" s="632"/>
      <c r="AU118" s="632"/>
      <c r="AV118" s="632"/>
      <c r="AW118" s="632"/>
      <c r="AX118" s="632"/>
      <c r="AY118" s="632"/>
      <c r="BA118" s="632"/>
      <c r="BB118" s="632"/>
      <c r="BC118" s="632"/>
      <c r="BD118" s="632"/>
      <c r="BE118" s="632"/>
      <c r="BF118" s="632"/>
      <c r="BG118" s="632"/>
      <c r="BH118" s="632"/>
      <c r="BI118" s="632"/>
      <c r="BJ118" s="632"/>
      <c r="BK118" s="635"/>
      <c r="BL118" s="635"/>
      <c r="BM118" s="635"/>
      <c r="BN118" s="635"/>
      <c r="BO118" s="635"/>
      <c r="BP118" s="635"/>
      <c r="BQ118" s="632"/>
      <c r="BR118" s="636"/>
      <c r="BS118" s="632"/>
      <c r="BT118" s="632"/>
      <c r="BU118" s="637"/>
    </row>
    <row r="119" ht="12.75" customHeight="1">
      <c r="A119" s="632"/>
      <c r="B119" s="632"/>
      <c r="C119" s="632"/>
      <c r="D119" s="632"/>
      <c r="E119" s="632"/>
      <c r="F119" s="632"/>
      <c r="G119" s="632"/>
      <c r="H119" s="632"/>
      <c r="I119" s="632"/>
      <c r="J119" s="632"/>
      <c r="K119" s="632"/>
      <c r="L119" s="632"/>
      <c r="M119" s="632"/>
      <c r="N119" s="632"/>
      <c r="O119" s="632"/>
      <c r="P119" s="632"/>
      <c r="Q119" s="632"/>
      <c r="R119" s="632"/>
      <c r="S119" s="632"/>
      <c r="T119" s="632"/>
      <c r="U119" s="632"/>
      <c r="V119" s="632"/>
      <c r="W119" s="632"/>
      <c r="X119" s="632"/>
      <c r="Y119" s="632"/>
      <c r="Z119" s="632"/>
      <c r="AA119" s="632"/>
      <c r="AB119" s="632"/>
      <c r="AC119" s="632"/>
      <c r="AD119" s="632"/>
      <c r="AE119" s="632"/>
      <c r="AF119" s="632"/>
      <c r="AG119" s="632"/>
      <c r="AH119" s="632"/>
      <c r="AI119" s="632"/>
      <c r="AJ119" s="972"/>
      <c r="AK119" s="972"/>
      <c r="AL119" s="972"/>
      <c r="AM119" s="972"/>
      <c r="AN119" s="972"/>
      <c r="AO119" s="632"/>
      <c r="AP119" s="632"/>
      <c r="AQ119" s="632"/>
      <c r="AR119" s="632"/>
      <c r="AS119" s="632"/>
      <c r="AT119" s="632"/>
      <c r="AU119" s="632"/>
      <c r="AV119" s="632"/>
      <c r="AW119" s="632"/>
      <c r="AX119" s="632"/>
      <c r="AY119" s="632"/>
      <c r="BA119" s="632"/>
      <c r="BB119" s="632"/>
      <c r="BC119" s="632"/>
      <c r="BD119" s="632"/>
      <c r="BE119" s="632"/>
      <c r="BF119" s="632"/>
      <c r="BG119" s="632"/>
      <c r="BH119" s="632"/>
      <c r="BI119" s="632"/>
      <c r="BJ119" s="632"/>
      <c r="BK119" s="635"/>
      <c r="BL119" s="635"/>
      <c r="BM119" s="635"/>
      <c r="BN119" s="635"/>
      <c r="BO119" s="635"/>
      <c r="BP119" s="635"/>
      <c r="BQ119" s="632"/>
      <c r="BR119" s="636"/>
      <c r="BS119" s="632"/>
      <c r="BT119" s="632"/>
      <c r="BU119" s="637"/>
    </row>
    <row r="120" ht="14.25" customHeight="1">
      <c r="A120" s="632"/>
      <c r="B120" s="632"/>
      <c r="C120" s="632"/>
      <c r="D120" s="632"/>
      <c r="E120" s="632"/>
      <c r="F120" s="632"/>
      <c r="G120" s="632"/>
      <c r="H120" s="632"/>
      <c r="I120" s="632"/>
      <c r="J120" s="632"/>
      <c r="K120" s="632"/>
      <c r="L120" s="632"/>
      <c r="M120" s="632"/>
      <c r="N120" s="632"/>
      <c r="O120" s="632"/>
      <c r="P120" s="632"/>
      <c r="Q120" s="632"/>
      <c r="R120" s="632"/>
      <c r="S120" s="632"/>
      <c r="T120" s="632"/>
      <c r="U120" s="632"/>
      <c r="V120" s="632"/>
      <c r="W120" s="632"/>
      <c r="X120" s="632"/>
      <c r="Y120" s="632"/>
      <c r="Z120" s="632"/>
      <c r="AA120" s="632"/>
      <c r="AB120" s="632"/>
      <c r="AC120" s="632"/>
      <c r="AD120" s="632"/>
      <c r="AE120" s="632"/>
      <c r="AF120" s="632"/>
      <c r="AG120" s="632"/>
      <c r="AH120" s="632"/>
      <c r="AI120" s="632"/>
      <c r="AJ120" s="972"/>
      <c r="AK120" s="972"/>
      <c r="AL120" s="972"/>
      <c r="AM120" s="972"/>
      <c r="AN120" s="972"/>
      <c r="AO120" s="632"/>
      <c r="AP120" s="632"/>
      <c r="AQ120" s="632"/>
      <c r="AR120" s="632"/>
      <c r="AS120" s="632"/>
      <c r="AT120" s="632"/>
      <c r="AU120" s="632"/>
      <c r="AV120" s="632"/>
      <c r="AW120" s="632"/>
      <c r="AX120" s="632"/>
      <c r="AY120" s="632"/>
      <c r="BA120" s="632"/>
      <c r="BB120" s="632"/>
      <c r="BC120" s="632"/>
      <c r="BD120" s="632"/>
      <c r="BE120" s="632"/>
      <c r="BF120" s="632"/>
      <c r="BG120" s="632"/>
      <c r="BH120" s="632"/>
      <c r="BI120" s="632"/>
      <c r="BJ120" s="632"/>
      <c r="BK120" s="635"/>
      <c r="BL120" s="635"/>
      <c r="BM120" s="635"/>
      <c r="BN120" s="635"/>
      <c r="BO120" s="635"/>
      <c r="BP120" s="635"/>
      <c r="BQ120" s="632"/>
      <c r="BR120" s="636"/>
      <c r="BS120" s="632"/>
      <c r="BT120" s="632"/>
      <c r="BU120" s="637"/>
    </row>
    <row r="121" ht="14.25" customHeight="1">
      <c r="A121" s="632"/>
      <c r="B121" s="632"/>
      <c r="C121" s="632"/>
      <c r="D121" s="632"/>
      <c r="E121" s="632"/>
      <c r="F121" s="632"/>
      <c r="G121" s="632"/>
      <c r="H121" s="632"/>
      <c r="I121" s="632"/>
      <c r="J121" s="632"/>
      <c r="K121" s="632"/>
      <c r="L121" s="632"/>
      <c r="M121" s="632"/>
      <c r="N121" s="632"/>
      <c r="O121" s="632"/>
      <c r="P121" s="632"/>
      <c r="Q121" s="632"/>
      <c r="R121" s="632"/>
      <c r="S121" s="632"/>
      <c r="T121" s="632"/>
      <c r="U121" s="632"/>
      <c r="V121" s="632"/>
      <c r="W121" s="632"/>
      <c r="X121" s="632"/>
      <c r="Y121" s="632"/>
      <c r="Z121" s="632"/>
      <c r="AA121" s="632"/>
      <c r="AB121" s="632"/>
      <c r="AC121" s="632"/>
      <c r="AD121" s="632"/>
      <c r="AE121" s="632"/>
      <c r="AF121" s="632"/>
      <c r="AG121" s="632"/>
      <c r="AH121" s="632"/>
      <c r="AI121" s="632"/>
      <c r="AJ121" s="632"/>
      <c r="AK121" s="632"/>
      <c r="AL121" s="632"/>
      <c r="AM121" s="632"/>
      <c r="AN121" s="632"/>
      <c r="AO121" s="632"/>
      <c r="AP121" s="632"/>
      <c r="AQ121" s="632"/>
      <c r="AR121" s="632"/>
      <c r="AS121" s="632"/>
      <c r="AT121" s="632"/>
      <c r="AU121" s="632"/>
      <c r="AV121" s="632"/>
      <c r="AW121" s="632"/>
      <c r="AX121" s="632"/>
      <c r="AY121" s="632"/>
      <c r="BA121" s="632"/>
      <c r="BB121" s="632"/>
      <c r="BC121" s="632"/>
      <c r="BD121" s="632"/>
      <c r="BE121" s="632"/>
      <c r="BF121" s="632"/>
      <c r="BG121" s="632"/>
      <c r="BH121" s="632"/>
      <c r="BI121" s="632"/>
      <c r="BJ121" s="632"/>
      <c r="BK121" s="635"/>
      <c r="BL121" s="635"/>
      <c r="BM121" s="635"/>
      <c r="BN121" s="635"/>
      <c r="BO121" s="635"/>
      <c r="BP121" s="635"/>
      <c r="BQ121" s="632"/>
      <c r="BR121" s="636"/>
      <c r="BS121" s="632"/>
      <c r="BT121" s="632"/>
      <c r="BU121" s="637"/>
    </row>
    <row r="122" ht="14.25" customHeight="1">
      <c r="A122" s="632"/>
      <c r="B122" s="632"/>
      <c r="C122" s="632"/>
      <c r="D122" s="632"/>
      <c r="E122" s="632"/>
      <c r="F122" s="632"/>
      <c r="G122" s="632"/>
      <c r="H122" s="632"/>
      <c r="I122" s="632"/>
      <c r="J122" s="632"/>
      <c r="K122" s="632"/>
      <c r="L122" s="632"/>
      <c r="M122" s="632"/>
      <c r="N122" s="632"/>
      <c r="O122" s="632"/>
      <c r="P122" s="632"/>
      <c r="Q122" s="632"/>
      <c r="R122" s="632"/>
      <c r="S122" s="632"/>
      <c r="T122" s="632"/>
      <c r="U122" s="632"/>
      <c r="V122" s="632"/>
      <c r="W122" s="632"/>
      <c r="X122" s="632"/>
      <c r="Y122" s="632"/>
      <c r="Z122" s="632"/>
      <c r="AA122" s="632"/>
      <c r="AB122" s="632"/>
      <c r="AC122" s="632"/>
      <c r="AD122" s="632"/>
      <c r="AE122" s="632"/>
      <c r="AF122" s="632"/>
      <c r="AG122" s="632"/>
      <c r="AH122" s="632"/>
      <c r="AI122" s="632"/>
      <c r="AJ122" s="640" t="s">
        <v>1013</v>
      </c>
      <c r="AK122" s="640"/>
      <c r="AL122" s="1097"/>
      <c r="AM122" s="640"/>
      <c r="AN122" s="640"/>
      <c r="AO122" s="632"/>
      <c r="AP122" s="632"/>
      <c r="AQ122" s="632"/>
      <c r="AR122" s="632"/>
      <c r="AS122" s="632"/>
      <c r="AT122" s="632"/>
      <c r="AU122" s="632"/>
      <c r="AV122" s="632"/>
      <c r="AW122" s="632"/>
      <c r="AX122" s="632"/>
      <c r="AY122" s="632"/>
      <c r="BA122" s="632"/>
      <c r="BB122" s="632"/>
      <c r="BC122" s="632"/>
      <c r="BD122" s="632"/>
      <c r="BE122" s="632"/>
      <c r="BF122" s="632"/>
      <c r="BG122" s="632"/>
      <c r="BH122" s="632"/>
      <c r="BI122" s="632"/>
      <c r="BJ122" s="632"/>
      <c r="BK122" s="635"/>
      <c r="BL122" s="635"/>
      <c r="BM122" s="635"/>
      <c r="BN122" s="635"/>
      <c r="BO122" s="635"/>
      <c r="BP122" s="635"/>
      <c r="BQ122" s="632"/>
      <c r="BR122" s="636"/>
      <c r="BS122" s="632"/>
      <c r="BT122" s="632"/>
      <c r="BU122" s="637"/>
    </row>
    <row r="123" ht="14.25" customHeight="1">
      <c r="A123" s="632"/>
      <c r="B123" s="632"/>
      <c r="C123" s="632"/>
      <c r="D123" s="632"/>
      <c r="E123" s="632"/>
      <c r="F123" s="632"/>
      <c r="G123" s="632"/>
      <c r="H123" s="632"/>
      <c r="I123" s="632"/>
      <c r="J123" s="632"/>
      <c r="K123" s="632"/>
      <c r="L123" s="632"/>
      <c r="M123" s="632"/>
      <c r="N123" s="632"/>
      <c r="O123" s="632"/>
      <c r="P123" s="632"/>
      <c r="Q123" s="632"/>
      <c r="R123" s="632"/>
      <c r="S123" s="632"/>
      <c r="T123" s="632"/>
      <c r="U123" s="632"/>
      <c r="V123" s="632"/>
      <c r="W123" s="632"/>
      <c r="X123" s="632"/>
      <c r="Y123" s="632"/>
      <c r="Z123" s="632"/>
      <c r="AA123" s="632"/>
      <c r="AB123" s="632"/>
      <c r="AC123" s="632"/>
      <c r="AD123" s="632"/>
      <c r="AE123" s="632"/>
      <c r="AF123" s="632"/>
      <c r="AG123" s="632"/>
      <c r="AH123" s="632"/>
      <c r="AI123" s="632"/>
      <c r="AJ123" s="989" t="s">
        <v>1014</v>
      </c>
      <c r="AK123" s="989"/>
      <c r="AL123" s="989"/>
      <c r="AM123" s="989"/>
      <c r="AN123" s="989"/>
      <c r="AO123" s="632"/>
      <c r="AP123" s="632"/>
      <c r="AQ123" s="632"/>
      <c r="AR123" s="632"/>
      <c r="AS123" s="632"/>
      <c r="AT123" s="632"/>
      <c r="AU123" s="632"/>
      <c r="AV123" s="632"/>
      <c r="AW123" s="632"/>
      <c r="AX123" s="632"/>
      <c r="AY123" s="632"/>
      <c r="BA123" s="632"/>
      <c r="BB123" s="632"/>
      <c r="BC123" s="632"/>
      <c r="BD123" s="632"/>
      <c r="BE123" s="632"/>
      <c r="BF123" s="632"/>
      <c r="BG123" s="632"/>
      <c r="BH123" s="632"/>
      <c r="BI123" s="632"/>
      <c r="BJ123" s="632"/>
      <c r="BK123" s="635"/>
      <c r="BL123" s="635"/>
      <c r="BM123" s="635"/>
      <c r="BN123" s="635"/>
      <c r="BO123" s="635"/>
      <c r="BP123" s="635"/>
      <c r="BQ123" s="632"/>
      <c r="BR123" s="636"/>
      <c r="BS123" s="632"/>
      <c r="BT123" s="632"/>
      <c r="BU123" s="637"/>
    </row>
    <row r="124" ht="14.25" customHeight="1">
      <c r="A124" s="632"/>
      <c r="B124" s="632"/>
      <c r="C124" s="632"/>
      <c r="D124" s="632"/>
      <c r="E124" s="632"/>
      <c r="F124" s="632"/>
      <c r="G124" s="632"/>
      <c r="H124" s="632"/>
      <c r="I124" s="632"/>
      <c r="J124" s="632"/>
      <c r="K124" s="632"/>
      <c r="L124" s="632"/>
      <c r="M124" s="632"/>
      <c r="N124" s="632"/>
      <c r="O124" s="632"/>
      <c r="P124" s="632"/>
      <c r="Q124" s="632"/>
      <c r="R124" s="632"/>
      <c r="S124" s="632"/>
      <c r="T124" s="632"/>
      <c r="U124" s="632"/>
      <c r="V124" s="632"/>
      <c r="W124" s="632"/>
      <c r="X124" s="632"/>
      <c r="Y124" s="632"/>
      <c r="Z124" s="632"/>
      <c r="AA124" s="632"/>
      <c r="AB124" s="632"/>
      <c r="AC124" s="632"/>
      <c r="AD124" s="632"/>
      <c r="AE124" s="632"/>
      <c r="AF124" s="632"/>
      <c r="AG124" s="632"/>
      <c r="AH124" s="632"/>
      <c r="AI124" s="632"/>
      <c r="AJ124" s="989"/>
      <c r="AK124" s="989"/>
      <c r="AL124" s="989"/>
      <c r="AM124" s="989"/>
      <c r="AN124" s="989"/>
      <c r="AO124" s="632"/>
      <c r="AP124" s="632"/>
      <c r="AQ124" s="632"/>
      <c r="AR124" s="632"/>
      <c r="AS124" s="632"/>
      <c r="AT124" s="632"/>
      <c r="AU124" s="632"/>
      <c r="AV124" s="632"/>
      <c r="AW124" s="632"/>
      <c r="AX124" s="632"/>
      <c r="AY124" s="632"/>
      <c r="BA124" s="632"/>
      <c r="BB124" s="632"/>
      <c r="BC124" s="632"/>
      <c r="BD124" s="632"/>
      <c r="BE124" s="632"/>
      <c r="BF124" s="632"/>
      <c r="BG124" s="632"/>
      <c r="BH124" s="632"/>
      <c r="BI124" s="632"/>
      <c r="BJ124" s="632"/>
      <c r="BK124" s="635"/>
      <c r="BL124" s="635"/>
      <c r="BM124" s="635"/>
      <c r="BN124" s="635"/>
      <c r="BO124" s="635"/>
      <c r="BP124" s="635"/>
      <c r="BQ124" s="632"/>
      <c r="BR124" s="636"/>
      <c r="BS124" s="632"/>
      <c r="BT124" s="632"/>
      <c r="BU124" s="637"/>
    </row>
    <row r="125" ht="14.25" customHeight="1">
      <c r="A125" s="632"/>
      <c r="B125" s="632"/>
      <c r="C125" s="632"/>
      <c r="D125" s="632"/>
      <c r="E125" s="632"/>
      <c r="F125" s="632"/>
      <c r="G125" s="632"/>
      <c r="H125" s="632"/>
      <c r="I125" s="632"/>
      <c r="J125" s="632"/>
      <c r="K125" s="632"/>
      <c r="L125" s="632"/>
      <c r="M125" s="632"/>
      <c r="N125" s="632"/>
      <c r="O125" s="632"/>
      <c r="P125" s="632"/>
      <c r="Q125" s="632"/>
      <c r="R125" s="632"/>
      <c r="S125" s="632"/>
      <c r="T125" s="632"/>
      <c r="U125" s="632"/>
      <c r="V125" s="632"/>
      <c r="W125" s="632"/>
      <c r="X125" s="632"/>
      <c r="Y125" s="632"/>
      <c r="Z125" s="632"/>
      <c r="AA125" s="632"/>
      <c r="AB125" s="632"/>
      <c r="AC125" s="632"/>
      <c r="AD125" s="632"/>
      <c r="AE125" s="632"/>
      <c r="AF125" s="632"/>
      <c r="AG125" s="632"/>
      <c r="AH125" s="632"/>
      <c r="AI125" s="632"/>
      <c r="AJ125" s="972"/>
      <c r="AK125" s="972"/>
      <c r="AL125" s="972"/>
      <c r="AM125" s="972"/>
      <c r="AN125" s="972"/>
      <c r="AO125" s="632"/>
      <c r="AP125" s="632"/>
      <c r="AQ125" s="632"/>
      <c r="AR125" s="632"/>
      <c r="AS125" s="632"/>
      <c r="AT125" s="632"/>
      <c r="AU125" s="632"/>
      <c r="AV125" s="632"/>
      <c r="AW125" s="632"/>
      <c r="AX125" s="632"/>
      <c r="AY125" s="632"/>
      <c r="BA125" s="632"/>
      <c r="BB125" s="632"/>
      <c r="BC125" s="632"/>
      <c r="BD125" s="632"/>
      <c r="BE125" s="632"/>
      <c r="BF125" s="632"/>
      <c r="BG125" s="632"/>
      <c r="BH125" s="632"/>
      <c r="BI125" s="632"/>
      <c r="BJ125" s="632"/>
      <c r="BK125" s="635"/>
      <c r="BL125" s="635"/>
      <c r="BM125" s="635"/>
      <c r="BN125" s="635"/>
      <c r="BO125" s="635"/>
      <c r="BP125" s="635"/>
      <c r="BQ125" s="632"/>
      <c r="BR125" s="636"/>
      <c r="BS125" s="632"/>
      <c r="BT125" s="632"/>
      <c r="BU125" s="637"/>
    </row>
    <row r="126" ht="14.25" customHeight="1">
      <c r="A126" s="632"/>
      <c r="B126" s="632"/>
      <c r="C126" s="632"/>
      <c r="D126" s="632"/>
      <c r="E126" s="632"/>
      <c r="F126" s="632"/>
      <c r="G126" s="632"/>
      <c r="H126" s="632"/>
      <c r="I126" s="632"/>
      <c r="J126" s="632"/>
      <c r="K126" s="632"/>
      <c r="L126" s="632"/>
      <c r="M126" s="632"/>
      <c r="N126" s="632"/>
      <c r="O126" s="632"/>
      <c r="P126" s="632"/>
      <c r="Q126" s="632"/>
      <c r="R126" s="632"/>
      <c r="S126" s="632"/>
      <c r="T126" s="632"/>
      <c r="U126" s="632"/>
      <c r="V126" s="632"/>
      <c r="W126" s="632"/>
      <c r="X126" s="632"/>
      <c r="Y126" s="632"/>
      <c r="Z126" s="632"/>
      <c r="AA126" s="632"/>
      <c r="AB126" s="632"/>
      <c r="AC126" s="632"/>
      <c r="AD126" s="632"/>
      <c r="AE126" s="632"/>
      <c r="AF126" s="632"/>
      <c r="AG126" s="632"/>
      <c r="AH126" s="632"/>
      <c r="AI126" s="632"/>
      <c r="AJ126" s="972"/>
      <c r="AK126" s="972"/>
      <c r="AL126" s="972"/>
      <c r="AM126" s="972"/>
      <c r="AN126" s="972"/>
      <c r="AO126" s="632"/>
      <c r="AP126" s="632"/>
      <c r="AQ126" s="632"/>
      <c r="AR126" s="632"/>
      <c r="AS126" s="632"/>
      <c r="AT126" s="632"/>
      <c r="AU126" s="632"/>
      <c r="AV126" s="632"/>
      <c r="AW126" s="632"/>
      <c r="AX126" s="632"/>
      <c r="AY126" s="632"/>
      <c r="BA126" s="632"/>
      <c r="BB126" s="632"/>
      <c r="BC126" s="632"/>
      <c r="BD126" s="632"/>
      <c r="BE126" s="632"/>
      <c r="BF126" s="632"/>
      <c r="BG126" s="632"/>
      <c r="BH126" s="632"/>
      <c r="BI126" s="632"/>
      <c r="BJ126" s="632"/>
      <c r="BK126" s="635"/>
      <c r="BL126" s="635"/>
      <c r="BM126" s="635"/>
      <c r="BN126" s="635"/>
      <c r="BO126" s="635"/>
      <c r="BP126" s="635"/>
      <c r="BQ126" s="632"/>
      <c r="BR126" s="636"/>
      <c r="BS126" s="632"/>
      <c r="BT126" s="632"/>
      <c r="BU126" s="637"/>
    </row>
    <row r="127" ht="15" customHeight="1">
      <c r="A127" s="632"/>
      <c r="B127" s="632"/>
      <c r="C127" s="632"/>
      <c r="D127" s="632"/>
      <c r="E127" s="632"/>
      <c r="F127" s="632"/>
      <c r="G127" s="632"/>
      <c r="H127" s="632"/>
      <c r="I127" s="632"/>
      <c r="J127" s="632"/>
      <c r="K127" s="632"/>
      <c r="L127" s="632"/>
      <c r="M127" s="632"/>
      <c r="N127" s="632"/>
      <c r="O127" s="632"/>
      <c r="P127" s="632"/>
      <c r="Q127" s="632"/>
      <c r="R127" s="632"/>
      <c r="S127" s="632"/>
      <c r="T127" s="632"/>
      <c r="U127" s="632"/>
      <c r="V127" s="632"/>
      <c r="W127" s="632"/>
      <c r="X127" s="632"/>
      <c r="Y127" s="632"/>
      <c r="Z127" s="632"/>
      <c r="AA127" s="632"/>
      <c r="AB127" s="632"/>
      <c r="AC127" s="632"/>
      <c r="AD127" s="632"/>
      <c r="AE127" s="632"/>
      <c r="AF127" s="632"/>
      <c r="AG127" s="632"/>
      <c r="AH127" s="632"/>
      <c r="AI127" s="632"/>
      <c r="AJ127" s="632"/>
      <c r="AL127" s="654"/>
      <c r="AM127" s="632"/>
      <c r="AN127" s="632"/>
      <c r="AO127" s="632"/>
      <c r="AP127" s="632"/>
      <c r="AQ127" s="632"/>
      <c r="AR127" s="632"/>
      <c r="AS127" s="632"/>
      <c r="AT127" s="632"/>
      <c r="AU127" s="632"/>
      <c r="AV127" s="632"/>
      <c r="AW127" s="632"/>
      <c r="AX127" s="632"/>
      <c r="AY127" s="632"/>
      <c r="BA127" s="632"/>
      <c r="BB127" s="632"/>
      <c r="BC127" s="632"/>
      <c r="BD127" s="632"/>
      <c r="BE127" s="632"/>
      <c r="BF127" s="632"/>
      <c r="BG127" s="632"/>
      <c r="BH127" s="632"/>
      <c r="BI127" s="632"/>
      <c r="BJ127" s="632"/>
      <c r="BK127" s="635"/>
      <c r="BL127" s="635"/>
      <c r="BM127" s="635"/>
      <c r="BN127" s="635"/>
      <c r="BO127" s="635"/>
      <c r="BP127" s="635"/>
      <c r="BQ127" s="632"/>
      <c r="BR127" s="636"/>
      <c r="BS127" s="632"/>
      <c r="BT127" s="632"/>
      <c r="BU127" s="637"/>
    </row>
    <row r="128" ht="12.75" customHeight="1">
      <c r="A128" s="632"/>
      <c r="B128" s="632"/>
      <c r="C128" s="632"/>
      <c r="D128" s="632"/>
      <c r="E128" s="632"/>
      <c r="F128" s="632"/>
      <c r="G128" s="632"/>
      <c r="H128" s="632"/>
      <c r="I128" s="632"/>
      <c r="J128" s="632"/>
      <c r="K128" s="632"/>
      <c r="L128" s="632"/>
      <c r="M128" s="632"/>
      <c r="N128" s="632"/>
      <c r="O128" s="632"/>
      <c r="P128" s="632"/>
      <c r="Q128" s="632"/>
      <c r="R128" s="632"/>
      <c r="S128" s="632"/>
      <c r="T128" s="632"/>
      <c r="U128" s="632"/>
      <c r="V128" s="632"/>
      <c r="W128" s="632"/>
      <c r="X128" s="632"/>
      <c r="Y128" s="632"/>
      <c r="Z128" s="632"/>
      <c r="AA128" s="632"/>
      <c r="AB128" s="632"/>
      <c r="AC128" s="632"/>
      <c r="AD128" s="632"/>
      <c r="AE128" s="632"/>
      <c r="AF128" s="632"/>
      <c r="AG128" s="632"/>
      <c r="AH128" s="632"/>
      <c r="AI128" s="632"/>
      <c r="AJ128" s="653" t="s">
        <v>1015</v>
      </c>
      <c r="AK128" s="731" t="s">
        <v>209</v>
      </c>
      <c r="AL128" s="654"/>
      <c r="AM128" s="653" t="s">
        <v>1016</v>
      </c>
      <c r="AN128" s="828">
        <v>1000000</v>
      </c>
      <c r="AO128" s="632"/>
      <c r="AP128" s="632"/>
      <c r="AQ128" s="632"/>
      <c r="AR128" s="632"/>
      <c r="AS128" s="632"/>
      <c r="AT128" s="632"/>
      <c r="AU128" s="632"/>
      <c r="AV128" s="632"/>
      <c r="AW128" s="632"/>
      <c r="AX128" s="632"/>
      <c r="AY128" s="632"/>
      <c r="BA128" s="632"/>
      <c r="BB128" s="632"/>
      <c r="BC128" s="632"/>
      <c r="BD128" s="632"/>
      <c r="BE128" s="632"/>
      <c r="BF128" s="632"/>
      <c r="BG128" s="632"/>
      <c r="BH128" s="632"/>
      <c r="BI128" s="632"/>
      <c r="BJ128" s="632"/>
      <c r="BK128" s="635"/>
      <c r="BL128" s="635"/>
      <c r="BM128" s="635"/>
      <c r="BN128" s="635"/>
      <c r="BO128" s="635"/>
      <c r="BP128" s="635"/>
      <c r="BQ128" s="632"/>
      <c r="BR128" s="636"/>
      <c r="BS128" s="632"/>
      <c r="BT128" s="632"/>
      <c r="BU128" s="637"/>
    </row>
    <row r="129" ht="14.25" customHeight="1">
      <c r="A129" s="632"/>
      <c r="B129" s="632"/>
      <c r="C129" s="632"/>
      <c r="D129" s="632"/>
      <c r="E129" s="632"/>
      <c r="F129" s="632"/>
      <c r="G129" s="632"/>
      <c r="H129" s="632"/>
      <c r="I129" s="632"/>
      <c r="J129" s="632"/>
      <c r="K129" s="632"/>
      <c r="L129" s="632"/>
      <c r="M129" s="632"/>
      <c r="N129" s="632"/>
      <c r="O129" s="632"/>
      <c r="P129" s="632"/>
      <c r="Q129" s="632"/>
      <c r="R129" s="632"/>
      <c r="S129" s="632"/>
      <c r="T129" s="632"/>
      <c r="U129" s="632"/>
      <c r="V129" s="632"/>
      <c r="W129" s="632"/>
      <c r="X129" s="632"/>
      <c r="Y129" s="632"/>
      <c r="Z129" s="632"/>
      <c r="AA129" s="632"/>
      <c r="AB129" s="632"/>
      <c r="AC129" s="632"/>
      <c r="AD129" s="632"/>
      <c r="AE129" s="632"/>
      <c r="AF129" s="632"/>
      <c r="AG129" s="632"/>
      <c r="AH129" s="632"/>
      <c r="AI129" s="632"/>
      <c r="AJ129" s="653" t="s">
        <v>1017</v>
      </c>
      <c r="AK129" s="731" t="s">
        <v>209</v>
      </c>
      <c r="AL129" s="654"/>
      <c r="AM129" s="653" t="s">
        <v>1018</v>
      </c>
      <c r="AN129" s="828">
        <v>0</v>
      </c>
      <c r="AO129" s="632"/>
      <c r="AP129" s="632"/>
      <c r="AQ129" s="632"/>
      <c r="AR129" s="632"/>
      <c r="AS129" s="632"/>
      <c r="AT129" s="632"/>
      <c r="AU129" s="632"/>
      <c r="AV129" s="632"/>
      <c r="AW129" s="632"/>
      <c r="AX129" s="632"/>
      <c r="AY129" s="632"/>
      <c r="BA129" s="632"/>
      <c r="BB129" s="632"/>
      <c r="BC129" s="632"/>
      <c r="BD129" s="632"/>
      <c r="BE129" s="632"/>
      <c r="BF129" s="632"/>
      <c r="BG129" s="632"/>
      <c r="BH129" s="632"/>
      <c r="BI129" s="632"/>
      <c r="BJ129" s="632"/>
      <c r="BK129" s="635"/>
      <c r="BL129" s="635"/>
      <c r="BM129" s="635"/>
      <c r="BN129" s="635"/>
      <c r="BO129" s="635"/>
      <c r="BP129" s="635"/>
      <c r="BQ129" s="632"/>
      <c r="BR129" s="636"/>
      <c r="BS129" s="632"/>
      <c r="BT129" s="632"/>
      <c r="BU129" s="637"/>
    </row>
    <row r="130" ht="14.25" customHeight="1">
      <c r="A130" s="632"/>
      <c r="B130" s="632"/>
      <c r="C130" s="632"/>
      <c r="D130" s="632"/>
      <c r="E130" s="632"/>
      <c r="F130" s="632"/>
      <c r="G130" s="632"/>
      <c r="H130" s="632"/>
      <c r="I130" s="632"/>
      <c r="J130" s="632"/>
      <c r="K130" s="632"/>
      <c r="L130" s="632"/>
      <c r="M130" s="632"/>
      <c r="N130" s="632"/>
      <c r="O130" s="632"/>
      <c r="P130" s="632"/>
      <c r="Q130" s="632"/>
      <c r="R130" s="632"/>
      <c r="S130" s="632"/>
      <c r="T130" s="632"/>
      <c r="U130" s="632"/>
      <c r="V130" s="632"/>
      <c r="W130" s="632"/>
      <c r="X130" s="632"/>
      <c r="Y130" s="632"/>
      <c r="Z130" s="632"/>
      <c r="AA130" s="632"/>
      <c r="AB130" s="632"/>
      <c r="AC130" s="632"/>
      <c r="AD130" s="632"/>
      <c r="AE130" s="632"/>
      <c r="AF130" s="632"/>
      <c r="AG130" s="632"/>
      <c r="AH130" s="632"/>
      <c r="AI130" s="632"/>
      <c r="AJ130" s="653" t="s">
        <v>1019</v>
      </c>
      <c r="AK130" s="731" t="s">
        <v>209</v>
      </c>
      <c r="AL130" s="654"/>
      <c r="AM130" s="653" t="s">
        <v>1020</v>
      </c>
      <c r="AN130" s="828">
        <v>1000000</v>
      </c>
      <c r="AO130" s="632"/>
      <c r="AP130" s="632"/>
      <c r="AQ130" s="632"/>
      <c r="AR130" s="632"/>
      <c r="AS130" s="632"/>
      <c r="AT130" s="632"/>
      <c r="AU130" s="632"/>
      <c r="AV130" s="632"/>
      <c r="AW130" s="632"/>
      <c r="AX130" s="632"/>
      <c r="AY130" s="632"/>
      <c r="BA130" s="632"/>
      <c r="BB130" s="632"/>
      <c r="BC130" s="632"/>
      <c r="BD130" s="632"/>
      <c r="BE130" s="632"/>
      <c r="BF130" s="632"/>
      <c r="BG130" s="632"/>
      <c r="BH130" s="632"/>
      <c r="BI130" s="632"/>
      <c r="BJ130" s="632"/>
      <c r="BK130" s="635"/>
      <c r="BL130" s="635"/>
      <c r="BM130" s="635"/>
      <c r="BN130" s="635"/>
      <c r="BO130" s="635"/>
      <c r="BP130" s="635"/>
      <c r="BQ130" s="632"/>
      <c r="BR130" s="636"/>
      <c r="BS130" s="632"/>
      <c r="BT130" s="632"/>
      <c r="BU130" s="637"/>
    </row>
    <row r="131" ht="14.25" customHeight="1">
      <c r="A131" s="632"/>
      <c r="B131" s="632"/>
      <c r="C131" s="632"/>
      <c r="D131" s="632"/>
      <c r="E131" s="632"/>
      <c r="F131" s="632"/>
      <c r="G131" s="632"/>
      <c r="H131" s="632"/>
      <c r="I131" s="632"/>
      <c r="J131" s="632"/>
      <c r="K131" s="632"/>
      <c r="L131" s="632"/>
      <c r="M131" s="632"/>
      <c r="N131" s="632"/>
      <c r="O131" s="632"/>
      <c r="P131" s="632"/>
      <c r="Q131" s="632"/>
      <c r="R131" s="632"/>
      <c r="S131" s="632"/>
      <c r="T131" s="632"/>
      <c r="U131" s="632"/>
      <c r="V131" s="632"/>
      <c r="W131" s="632"/>
      <c r="X131" s="632"/>
      <c r="Y131" s="632"/>
      <c r="Z131" s="632"/>
      <c r="AA131" s="632"/>
      <c r="AB131" s="632"/>
      <c r="AC131" s="632"/>
      <c r="AD131" s="632"/>
      <c r="AE131" s="632"/>
      <c r="AF131" s="632"/>
      <c r="AG131" s="632"/>
      <c r="AH131" s="632"/>
      <c r="AI131" s="632"/>
      <c r="AJ131" s="653" t="s">
        <v>850</v>
      </c>
      <c r="AK131" s="731">
        <v>1</v>
      </c>
      <c r="AL131" s="654"/>
      <c r="AM131" s="653" t="s">
        <v>1021</v>
      </c>
      <c r="AN131" s="731">
        <v>1</v>
      </c>
      <c r="AO131" s="632"/>
      <c r="AP131" s="632"/>
      <c r="AQ131" s="632"/>
      <c r="AR131" s="632"/>
      <c r="AS131" s="632"/>
      <c r="AT131" s="632"/>
      <c r="AU131" s="632"/>
      <c r="AV131" s="632"/>
      <c r="AW131" s="632"/>
      <c r="AX131" s="632"/>
      <c r="AY131" s="632"/>
      <c r="BA131" s="632"/>
      <c r="BB131" s="632"/>
      <c r="BC131" s="632"/>
      <c r="BD131" s="632"/>
      <c r="BE131" s="632"/>
      <c r="BF131" s="632"/>
      <c r="BG131" s="632"/>
      <c r="BH131" s="632"/>
      <c r="BI131" s="632"/>
      <c r="BJ131" s="632"/>
      <c r="BK131" s="635"/>
      <c r="BL131" s="635"/>
      <c r="BM131" s="635"/>
      <c r="BN131" s="635"/>
      <c r="BO131" s="635"/>
      <c r="BP131" s="635"/>
      <c r="BQ131" s="632"/>
      <c r="BR131" s="636"/>
      <c r="BS131" s="632"/>
      <c r="BT131" s="632"/>
      <c r="BU131" s="637"/>
    </row>
    <row r="132" ht="14.25" customHeight="1">
      <c r="A132" s="632"/>
      <c r="B132" s="632"/>
      <c r="C132" s="632"/>
      <c r="D132" s="632"/>
      <c r="E132" s="632"/>
      <c r="F132" s="632"/>
      <c r="G132" s="632"/>
      <c r="H132" s="632"/>
      <c r="I132" s="632"/>
      <c r="J132" s="632"/>
      <c r="K132" s="632"/>
      <c r="L132" s="632"/>
      <c r="M132" s="632"/>
      <c r="N132" s="632"/>
      <c r="O132" s="632"/>
      <c r="P132" s="632"/>
      <c r="Q132" s="632"/>
      <c r="R132" s="632"/>
      <c r="S132" s="632"/>
      <c r="T132" s="632"/>
      <c r="U132" s="632"/>
      <c r="V132" s="632"/>
      <c r="W132" s="632"/>
      <c r="X132" s="632"/>
      <c r="Y132" s="632"/>
      <c r="Z132" s="632"/>
      <c r="AA132" s="632"/>
      <c r="AB132" s="632"/>
      <c r="AC132" s="632"/>
      <c r="AD132" s="632"/>
      <c r="AE132" s="632"/>
      <c r="AF132" s="632"/>
      <c r="AG132" s="632"/>
      <c r="AH132" s="632"/>
      <c r="AI132" s="632"/>
      <c r="AJ132" s="653" t="s">
        <v>1022</v>
      </c>
      <c r="AK132" s="731">
        <v>1</v>
      </c>
      <c r="AL132" s="654"/>
      <c r="AM132" s="671" t="s">
        <v>1023</v>
      </c>
      <c r="AN132" s="731" t="s">
        <v>209</v>
      </c>
      <c r="AO132" s="632"/>
      <c r="AP132" s="632"/>
      <c r="AQ132" s="632"/>
      <c r="AR132" s="632"/>
      <c r="AS132" s="632"/>
      <c r="AT132" s="632"/>
      <c r="AU132" s="632"/>
      <c r="AV132" s="632"/>
      <c r="AW132" s="632"/>
      <c r="AX132" s="632"/>
      <c r="AY132" s="632"/>
      <c r="BA132" s="632"/>
      <c r="BB132" s="632"/>
      <c r="BC132" s="632"/>
      <c r="BD132" s="632"/>
      <c r="BE132" s="632"/>
      <c r="BF132" s="632"/>
      <c r="BG132" s="632"/>
      <c r="BH132" s="632"/>
      <c r="BI132" s="632"/>
      <c r="BJ132" s="632"/>
      <c r="BK132" s="635"/>
      <c r="BL132" s="635"/>
      <c r="BM132" s="635"/>
      <c r="BN132" s="635"/>
      <c r="BO132" s="635"/>
      <c r="BP132" s="635"/>
      <c r="BQ132" s="632"/>
      <c r="BR132" s="636"/>
      <c r="BS132" s="632"/>
      <c r="BT132" s="632"/>
      <c r="BU132" s="637"/>
    </row>
    <row r="133" ht="14.25" customHeight="1">
      <c r="A133" s="632"/>
      <c r="B133" s="632"/>
      <c r="C133" s="632"/>
      <c r="D133" s="632"/>
      <c r="E133" s="632"/>
      <c r="F133" s="632"/>
      <c r="G133" s="632"/>
      <c r="H133" s="632"/>
      <c r="I133" s="632"/>
      <c r="J133" s="632"/>
      <c r="K133" s="632"/>
      <c r="L133" s="632"/>
      <c r="M133" s="632"/>
      <c r="N133" s="632"/>
      <c r="O133" s="632"/>
      <c r="P133" s="632"/>
      <c r="Q133" s="632"/>
      <c r="R133" s="632"/>
      <c r="S133" s="632"/>
      <c r="T133" s="632"/>
      <c r="U133" s="632"/>
      <c r="V133" s="632"/>
      <c r="W133" s="632"/>
      <c r="X133" s="632"/>
      <c r="Y133" s="632"/>
      <c r="Z133" s="632"/>
      <c r="AA133" s="632"/>
      <c r="AB133" s="632"/>
      <c r="AC133" s="632"/>
      <c r="AD133" s="632"/>
      <c r="AE133" s="632"/>
      <c r="AF133" s="632"/>
      <c r="AG133" s="632"/>
      <c r="AH133" s="632"/>
      <c r="AI133" s="632"/>
      <c r="AJ133" s="653" t="s">
        <v>1024</v>
      </c>
      <c r="AK133" s="731">
        <v>1</v>
      </c>
      <c r="AL133" s="654"/>
      <c r="AM133" s="671" t="s">
        <v>1025</v>
      </c>
      <c r="AN133" s="731" t="s">
        <v>209</v>
      </c>
      <c r="AO133" s="632"/>
      <c r="AP133" s="632"/>
      <c r="AQ133" s="632"/>
      <c r="AR133" s="632"/>
      <c r="AS133" s="632"/>
      <c r="AT133" s="632"/>
      <c r="AU133" s="632"/>
      <c r="AV133" s="632"/>
      <c r="AW133" s="632"/>
      <c r="AX133" s="632"/>
      <c r="AY133" s="632"/>
      <c r="BA133" s="632"/>
      <c r="BB133" s="632"/>
      <c r="BC133" s="632"/>
      <c r="BD133" s="632"/>
      <c r="BE133" s="632"/>
      <c r="BF133" s="632"/>
      <c r="BG133" s="632"/>
      <c r="BH133" s="632"/>
      <c r="BI133" s="632"/>
      <c r="BJ133" s="632"/>
      <c r="BK133" s="635"/>
      <c r="BL133" s="635"/>
      <c r="BM133" s="635"/>
      <c r="BN133" s="635"/>
      <c r="BO133" s="635"/>
      <c r="BP133" s="635"/>
      <c r="BQ133" s="632"/>
      <c r="BR133" s="636"/>
      <c r="BS133" s="632"/>
      <c r="BT133" s="632"/>
      <c r="BU133" s="637"/>
    </row>
    <row r="134" ht="12.75" customHeight="1">
      <c r="A134" s="632"/>
      <c r="B134" s="632"/>
      <c r="C134" s="632"/>
      <c r="D134" s="632"/>
      <c r="E134" s="632"/>
      <c r="F134" s="632"/>
      <c r="G134" s="632"/>
      <c r="H134" s="632"/>
      <c r="I134" s="632"/>
      <c r="J134" s="632"/>
      <c r="K134" s="632"/>
      <c r="L134" s="632"/>
      <c r="M134" s="632"/>
      <c r="N134" s="632"/>
      <c r="O134" s="632"/>
      <c r="P134" s="632"/>
      <c r="Q134" s="632"/>
      <c r="R134" s="632"/>
      <c r="S134" s="632"/>
      <c r="T134" s="632"/>
      <c r="U134" s="632"/>
      <c r="V134" s="632"/>
      <c r="W134" s="632"/>
      <c r="X134" s="632"/>
      <c r="Y134" s="632"/>
      <c r="Z134" s="632"/>
      <c r="AA134" s="632"/>
      <c r="AB134" s="632"/>
      <c r="AC134" s="632"/>
      <c r="AD134" s="632"/>
      <c r="AE134" s="632"/>
      <c r="AF134" s="632"/>
      <c r="AG134" s="632"/>
      <c r="AH134" s="632"/>
      <c r="AI134" s="632"/>
      <c r="AJ134" s="653" t="s">
        <v>1026</v>
      </c>
      <c r="AK134" s="731">
        <v>1</v>
      </c>
      <c r="AL134" s="654"/>
      <c r="AM134" s="653" t="s">
        <v>1027</v>
      </c>
      <c r="AN134" s="731" t="s">
        <v>209</v>
      </c>
      <c r="AO134" s="632"/>
      <c r="AP134" s="632"/>
      <c r="AQ134" s="632"/>
      <c r="AR134" s="632"/>
      <c r="AS134" s="632"/>
      <c r="AT134" s="632"/>
      <c r="AU134" s="632"/>
      <c r="AV134" s="632"/>
      <c r="AW134" s="632"/>
      <c r="AX134" s="632"/>
      <c r="AY134" s="632"/>
      <c r="AZ134" s="632"/>
      <c r="BA134" s="632"/>
      <c r="BB134" s="632"/>
      <c r="BC134" s="632"/>
      <c r="BD134" s="632"/>
      <c r="BE134" s="632"/>
      <c r="BF134" s="632"/>
      <c r="BG134" s="632"/>
      <c r="BH134" s="632"/>
      <c r="BI134" s="632"/>
      <c r="BJ134" s="632"/>
      <c r="BK134" s="635"/>
      <c r="BL134" s="635"/>
      <c r="BM134" s="635"/>
      <c r="BN134" s="635"/>
      <c r="BO134" s="635"/>
      <c r="BP134" s="635"/>
      <c r="BQ134" s="632"/>
      <c r="BR134" s="636"/>
      <c r="BS134" s="632"/>
      <c r="BT134" s="632"/>
      <c r="BU134" s="637"/>
    </row>
    <row r="135" ht="14.25" customHeight="1">
      <c r="A135" s="632"/>
      <c r="B135" s="632"/>
      <c r="C135" s="632"/>
      <c r="D135" s="632"/>
      <c r="E135" s="632"/>
      <c r="F135" s="632"/>
      <c r="G135" s="632"/>
      <c r="H135" s="632"/>
      <c r="I135" s="632"/>
      <c r="J135" s="632"/>
      <c r="K135" s="632"/>
      <c r="L135" s="632"/>
      <c r="M135" s="632"/>
      <c r="N135" s="632"/>
      <c r="O135" s="632"/>
      <c r="P135" s="632"/>
      <c r="Q135" s="632"/>
      <c r="R135" s="632"/>
      <c r="S135" s="632"/>
      <c r="T135" s="632"/>
      <c r="U135" s="632"/>
      <c r="V135" s="632"/>
      <c r="W135" s="632"/>
      <c r="X135" s="632"/>
      <c r="Y135" s="632"/>
      <c r="Z135" s="632"/>
      <c r="AA135" s="632"/>
      <c r="AB135" s="632"/>
      <c r="AC135" s="632"/>
      <c r="AD135" s="632"/>
      <c r="AE135" s="632"/>
      <c r="AF135" s="632"/>
      <c r="AG135" s="632"/>
      <c r="AH135" s="632"/>
      <c r="AI135" s="632"/>
      <c r="AJ135" s="653" t="str">
        <f>IF(AK134&gt;0,"Does at least one Foreign Guarantor Reside in US?","N/A")</f>
        <v>Does at least one Foreign Guarantor Reside in US?</v>
      </c>
      <c r="AK135" s="731" t="s">
        <v>209</v>
      </c>
      <c r="AL135" s="654"/>
      <c r="AM135" s="653" t="s">
        <v>1029</v>
      </c>
      <c r="AN135" s="731" t="s">
        <v>209</v>
      </c>
      <c r="AO135" s="632"/>
      <c r="AP135" s="632"/>
      <c r="AQ135" s="632"/>
      <c r="AR135" s="632"/>
      <c r="AS135" s="632"/>
      <c r="AT135" s="632"/>
      <c r="AU135" s="632"/>
      <c r="AV135" s="632"/>
      <c r="AW135" s="632"/>
      <c r="AX135" s="632"/>
      <c r="AY135" s="632"/>
      <c r="AZ135" s="632"/>
      <c r="BA135" s="632"/>
      <c r="BB135" s="632"/>
      <c r="BC135" s="632"/>
      <c r="BD135" s="632"/>
      <c r="BE135" s="632"/>
      <c r="BF135" s="632"/>
      <c r="BG135" s="632"/>
      <c r="BH135" s="632"/>
      <c r="BI135" s="632"/>
      <c r="BJ135" s="632"/>
      <c r="BK135" s="635"/>
      <c r="BL135" s="635"/>
      <c r="BM135" s="635"/>
      <c r="BN135" s="635"/>
      <c r="BO135" s="635"/>
      <c r="BP135" s="635"/>
      <c r="BQ135" s="632"/>
      <c r="BR135" s="636"/>
      <c r="BS135" s="632"/>
      <c r="BT135" s="632"/>
      <c r="BU135" s="637"/>
    </row>
    <row r="136" ht="14.25" customHeight="1">
      <c r="A136" s="632"/>
      <c r="B136" s="632"/>
      <c r="C136" s="632"/>
      <c r="D136" s="632"/>
      <c r="E136" s="632"/>
      <c r="F136" s="632"/>
      <c r="G136" s="632"/>
      <c r="H136" s="632"/>
      <c r="I136" s="632"/>
      <c r="J136" s="632"/>
      <c r="K136" s="632"/>
      <c r="L136" s="632"/>
      <c r="M136" s="632"/>
      <c r="N136" s="632"/>
      <c r="O136" s="632"/>
      <c r="P136" s="632"/>
      <c r="Q136" s="632"/>
      <c r="R136" s="632"/>
      <c r="S136" s="632"/>
      <c r="T136" s="632"/>
      <c r="U136" s="632"/>
      <c r="V136" s="632"/>
      <c r="W136" s="632"/>
      <c r="X136" s="632"/>
      <c r="Y136" s="632"/>
      <c r="Z136" s="632"/>
      <c r="AA136" s="632"/>
      <c r="AB136" s="632"/>
      <c r="AC136" s="632"/>
      <c r="AD136" s="632"/>
      <c r="AE136" s="632"/>
      <c r="AF136" s="632"/>
      <c r="AG136" s="632"/>
      <c r="AH136" s="632"/>
      <c r="AI136" s="632"/>
      <c r="AJ136" s="653" t="str">
        <f>IF(AK134&gt;0,"Does Foreign Guarantor have US MF Experience?","N/A")</f>
        <v>Does Foreign Guarantor have US MF Experience?</v>
      </c>
      <c r="AK136" s="731" t="s">
        <v>209</v>
      </c>
      <c r="AL136" s="654"/>
      <c r="AM136" s="653" t="s">
        <v>1031</v>
      </c>
      <c r="AN136" s="731" t="s">
        <v>209</v>
      </c>
      <c r="AO136" s="632"/>
      <c r="AP136" s="632"/>
      <c r="AQ136" s="632"/>
      <c r="AR136" s="632"/>
      <c r="AS136" s="632"/>
      <c r="AT136" s="632"/>
      <c r="AU136" s="632"/>
      <c r="AV136" s="632"/>
      <c r="AW136" s="632"/>
      <c r="AX136" s="632"/>
      <c r="AY136" s="632"/>
      <c r="AZ136" s="632"/>
      <c r="BA136" s="632"/>
      <c r="BB136" s="632"/>
      <c r="BC136" s="632"/>
      <c r="BD136" s="632"/>
      <c r="BE136" s="632"/>
      <c r="BF136" s="632"/>
      <c r="BG136" s="632"/>
      <c r="BH136" s="632"/>
      <c r="BI136" s="632"/>
      <c r="BJ136" s="632"/>
      <c r="BK136" s="635"/>
      <c r="BL136" s="635"/>
      <c r="BM136" s="635"/>
      <c r="BN136" s="635"/>
      <c r="BO136" s="635"/>
      <c r="BP136" s="635"/>
      <c r="BQ136" s="632"/>
      <c r="BR136" s="636"/>
      <c r="BS136" s="632"/>
      <c r="BT136" s="632"/>
      <c r="BU136" s="637"/>
    </row>
    <row r="137" ht="14.25" customHeight="1">
      <c r="A137" s="632"/>
      <c r="B137" s="632"/>
      <c r="C137" s="632"/>
      <c r="D137" s="632"/>
      <c r="E137" s="632"/>
      <c r="F137" s="632"/>
      <c r="G137" s="632"/>
      <c r="H137" s="632"/>
      <c r="I137" s="632"/>
      <c r="J137" s="632"/>
      <c r="K137" s="632"/>
      <c r="L137" s="632"/>
      <c r="M137" s="632"/>
      <c r="N137" s="632"/>
      <c r="O137" s="632"/>
      <c r="P137" s="632"/>
      <c r="Q137" s="632"/>
      <c r="R137" s="632"/>
      <c r="S137" s="632"/>
      <c r="T137" s="632"/>
      <c r="U137" s="632"/>
      <c r="V137" s="632"/>
      <c r="W137" s="632"/>
      <c r="X137" s="632"/>
      <c r="Y137" s="632"/>
      <c r="Z137" s="632"/>
      <c r="AA137" s="632"/>
      <c r="AB137" s="632"/>
      <c r="AC137" s="632"/>
      <c r="AD137" s="632"/>
      <c r="AE137" s="632"/>
      <c r="AF137" s="632"/>
      <c r="AG137" s="632"/>
      <c r="AH137" s="632"/>
      <c r="AI137" s="632"/>
      <c r="AJ137" s="653" t="s">
        <v>1032</v>
      </c>
      <c r="AK137" s="731">
        <v>0</v>
      </c>
      <c r="AL137" s="654"/>
      <c r="AM137" s="632"/>
      <c r="AN137" s="632"/>
      <c r="AO137" s="632"/>
      <c r="AP137" s="632"/>
      <c r="AQ137" s="632"/>
      <c r="AR137" s="632"/>
      <c r="AS137" s="632"/>
      <c r="AT137" s="632"/>
      <c r="AU137" s="632"/>
      <c r="AV137" s="632"/>
      <c r="AW137" s="632"/>
      <c r="AX137" s="632"/>
      <c r="AY137" s="632"/>
      <c r="AZ137" s="632"/>
      <c r="BA137" s="632"/>
      <c r="BB137" s="632"/>
      <c r="BC137" s="632"/>
      <c r="BD137" s="632"/>
      <c r="BE137" s="632"/>
      <c r="BF137" s="632"/>
      <c r="BG137" s="632"/>
      <c r="BH137" s="632"/>
      <c r="BI137" s="632"/>
      <c r="BJ137" s="632"/>
      <c r="BK137" s="635"/>
      <c r="BL137" s="635"/>
      <c r="BM137" s="635"/>
      <c r="BN137" s="635"/>
      <c r="BO137" s="635"/>
      <c r="BP137" s="635"/>
      <c r="BQ137" s="632"/>
      <c r="BR137" s="636"/>
      <c r="BS137" s="632"/>
      <c r="BT137" s="632"/>
      <c r="BU137" s="637"/>
    </row>
    <row r="138" ht="14.25" customHeight="1">
      <c r="A138" s="632"/>
      <c r="B138" s="632"/>
      <c r="C138" s="632"/>
      <c r="D138" s="632"/>
      <c r="E138" s="632"/>
      <c r="F138" s="632"/>
      <c r="G138" s="632"/>
      <c r="H138" s="632"/>
      <c r="I138" s="632"/>
      <c r="J138" s="632"/>
      <c r="K138" s="632"/>
      <c r="L138" s="632"/>
      <c r="M138" s="632"/>
      <c r="N138" s="632"/>
      <c r="O138" s="632"/>
      <c r="P138" s="632"/>
      <c r="Q138" s="632"/>
      <c r="R138" s="632"/>
      <c r="S138" s="632"/>
      <c r="T138" s="632"/>
      <c r="U138" s="632"/>
      <c r="V138" s="632"/>
      <c r="W138" s="632"/>
      <c r="X138" s="632"/>
      <c r="Y138" s="632"/>
      <c r="Z138" s="632"/>
      <c r="AA138" s="632"/>
      <c r="AB138" s="632"/>
      <c r="AC138" s="632"/>
      <c r="AD138" s="632"/>
      <c r="AE138" s="632"/>
      <c r="AF138" s="632"/>
      <c r="AG138" s="632"/>
      <c r="AH138" s="632"/>
      <c r="AI138" s="632"/>
      <c r="AJ138" s="632"/>
      <c r="AK138" s="632"/>
      <c r="AL138" s="654"/>
      <c r="AM138" s="632"/>
      <c r="AN138" s="632"/>
      <c r="AO138" s="632"/>
      <c r="AP138" s="632"/>
      <c r="AQ138" s="632"/>
      <c r="AR138" s="632"/>
      <c r="AS138" s="632"/>
      <c r="AT138" s="632"/>
      <c r="AU138" s="632"/>
      <c r="AV138" s="632"/>
      <c r="AW138" s="632"/>
      <c r="AX138" s="632"/>
      <c r="AY138" s="632"/>
      <c r="AZ138" s="632"/>
      <c r="BA138" s="632"/>
      <c r="BB138" s="632"/>
      <c r="BC138" s="632"/>
      <c r="BD138" s="632"/>
      <c r="BE138" s="632"/>
      <c r="BF138" s="632"/>
      <c r="BG138" s="632"/>
      <c r="BH138" s="632"/>
      <c r="BI138" s="632"/>
      <c r="BJ138" s="632"/>
      <c r="BK138" s="635"/>
      <c r="BL138" s="635"/>
      <c r="BM138" s="635"/>
      <c r="BN138" s="635"/>
      <c r="BO138" s="635"/>
      <c r="BP138" s="635"/>
      <c r="BQ138" s="632"/>
      <c r="BR138" s="636"/>
      <c r="BS138" s="632"/>
      <c r="BT138" s="632"/>
      <c r="BU138" s="637"/>
    </row>
    <row r="139" ht="14.25" customHeight="1">
      <c r="A139" s="632"/>
      <c r="B139" s="632"/>
      <c r="C139" s="632"/>
      <c r="D139" s="632"/>
      <c r="E139" s="632"/>
      <c r="F139" s="632"/>
      <c r="G139" s="632"/>
      <c r="H139" s="632"/>
      <c r="I139" s="632"/>
      <c r="J139" s="632"/>
      <c r="K139" s="632"/>
      <c r="L139" s="632"/>
      <c r="M139" s="632"/>
      <c r="N139" s="632"/>
      <c r="O139" s="632"/>
      <c r="P139" s="632"/>
      <c r="Q139" s="632"/>
      <c r="R139" s="632"/>
      <c r="S139" s="632"/>
      <c r="T139" s="632"/>
      <c r="U139" s="632"/>
      <c r="V139" s="632"/>
      <c r="W139" s="632"/>
      <c r="X139" s="632"/>
      <c r="Y139" s="632"/>
      <c r="Z139" s="632"/>
      <c r="AA139" s="632"/>
      <c r="AB139" s="632"/>
      <c r="AC139" s="632"/>
      <c r="AD139" s="632"/>
      <c r="AE139" s="632"/>
      <c r="AF139" s="632"/>
      <c r="AG139" s="632"/>
      <c r="AH139" s="632"/>
      <c r="AI139" s="632"/>
      <c r="AJ139" s="989" t="s">
        <v>1033</v>
      </c>
      <c r="AK139" s="989"/>
      <c r="AL139" s="989"/>
      <c r="AM139" s="989"/>
      <c r="AN139" s="989"/>
      <c r="AO139" s="632"/>
      <c r="AP139" s="632"/>
      <c r="AQ139" s="632"/>
      <c r="AR139" s="632"/>
      <c r="AS139" s="632"/>
      <c r="AT139" s="632"/>
      <c r="AU139" s="632"/>
      <c r="AV139" s="632"/>
      <c r="AW139" s="632"/>
      <c r="AX139" s="632"/>
      <c r="AY139" s="632"/>
      <c r="AZ139" s="632"/>
      <c r="BA139" s="632"/>
      <c r="BB139" s="632"/>
      <c r="BC139" s="632"/>
      <c r="BD139" s="632"/>
      <c r="BE139" s="632"/>
      <c r="BF139" s="632"/>
      <c r="BG139" s="632"/>
      <c r="BH139" s="632"/>
      <c r="BI139" s="632"/>
      <c r="BJ139" s="632"/>
      <c r="BK139" s="635"/>
      <c r="BL139" s="635"/>
      <c r="BM139" s="635"/>
      <c r="BN139" s="635"/>
      <c r="BO139" s="635"/>
      <c r="BP139" s="635"/>
      <c r="BQ139" s="632"/>
      <c r="BR139" s="636"/>
      <c r="BS139" s="632"/>
      <c r="BT139" s="632"/>
      <c r="BU139" s="637"/>
    </row>
    <row r="140" ht="14.25" customHeight="1">
      <c r="A140" s="632"/>
      <c r="B140" s="632"/>
      <c r="C140" s="632"/>
      <c r="D140" s="632"/>
      <c r="E140" s="632"/>
      <c r="F140" s="632"/>
      <c r="G140" s="632"/>
      <c r="H140" s="632"/>
      <c r="I140" s="632"/>
      <c r="J140" s="632"/>
      <c r="K140" s="632"/>
      <c r="L140" s="632"/>
      <c r="M140" s="632"/>
      <c r="N140" s="632"/>
      <c r="O140" s="632"/>
      <c r="P140" s="632"/>
      <c r="Q140" s="632"/>
      <c r="R140" s="632"/>
      <c r="S140" s="632"/>
      <c r="T140" s="632"/>
      <c r="U140" s="632"/>
      <c r="V140" s="632"/>
      <c r="W140" s="632"/>
      <c r="X140" s="632"/>
      <c r="Y140" s="632"/>
      <c r="Z140" s="632"/>
      <c r="AA140" s="632"/>
      <c r="AB140" s="632"/>
      <c r="AC140" s="632"/>
      <c r="AD140" s="632"/>
      <c r="AE140" s="632"/>
      <c r="AF140" s="632"/>
      <c r="AG140" s="632"/>
      <c r="AH140" s="632"/>
      <c r="AI140" s="632"/>
      <c r="AJ140" s="989"/>
      <c r="AK140" s="989"/>
      <c r="AL140" s="989"/>
      <c r="AM140" s="989"/>
      <c r="AN140" s="989"/>
      <c r="AO140" s="632"/>
      <c r="AP140" s="632"/>
      <c r="AQ140" s="632"/>
      <c r="AR140" s="632"/>
      <c r="AS140" s="632"/>
      <c r="AT140" s="632"/>
      <c r="AU140" s="632"/>
      <c r="AV140" s="632"/>
      <c r="AW140" s="632"/>
      <c r="AX140" s="632"/>
      <c r="AY140" s="632"/>
      <c r="AZ140" s="632"/>
      <c r="BA140" s="632"/>
      <c r="BB140" s="632"/>
      <c r="BC140" s="632"/>
      <c r="BD140" s="632"/>
      <c r="BE140" s="632"/>
      <c r="BF140" s="632"/>
      <c r="BG140" s="632"/>
      <c r="BH140" s="632"/>
      <c r="BI140" s="632"/>
      <c r="BJ140" s="632"/>
      <c r="BK140" s="635"/>
      <c r="BL140" s="635"/>
      <c r="BM140" s="635"/>
      <c r="BN140" s="635"/>
      <c r="BO140" s="635"/>
      <c r="BP140" s="635"/>
      <c r="BQ140" s="632"/>
      <c r="BR140" s="636"/>
      <c r="BS140" s="632"/>
      <c r="BT140" s="632"/>
      <c r="BU140" s="637"/>
    </row>
    <row r="141" ht="12.75" customHeight="1">
      <c r="A141" s="632"/>
      <c r="B141" s="632"/>
      <c r="C141" s="632"/>
      <c r="D141" s="632"/>
      <c r="E141" s="632"/>
      <c r="F141" s="632"/>
      <c r="G141" s="632"/>
      <c r="H141" s="632"/>
      <c r="I141" s="632"/>
      <c r="J141" s="632"/>
      <c r="K141" s="632"/>
      <c r="L141" s="632"/>
      <c r="M141" s="632"/>
      <c r="N141" s="632"/>
      <c r="O141" s="632"/>
      <c r="P141" s="632"/>
      <c r="Q141" s="632"/>
      <c r="R141" s="632"/>
      <c r="S141" s="632"/>
      <c r="T141" s="632"/>
      <c r="U141" s="632"/>
      <c r="V141" s="632"/>
      <c r="W141" s="632"/>
      <c r="X141" s="632"/>
      <c r="Y141" s="632"/>
      <c r="Z141" s="632"/>
      <c r="AA141" s="632"/>
      <c r="AB141" s="632"/>
      <c r="AC141" s="632"/>
      <c r="AD141" s="632"/>
      <c r="AE141" s="632"/>
      <c r="AF141" s="632"/>
      <c r="AG141" s="632"/>
      <c r="AH141" s="632"/>
      <c r="AI141" s="632"/>
      <c r="AJ141" s="989"/>
      <c r="AK141" s="989"/>
      <c r="AL141" s="989"/>
      <c r="AM141" s="989"/>
      <c r="AN141" s="989"/>
      <c r="AO141" s="632"/>
      <c r="AP141" s="632"/>
      <c r="AQ141" s="632"/>
      <c r="AR141" s="632"/>
      <c r="AS141" s="632"/>
      <c r="AT141" s="632"/>
      <c r="AU141" s="632"/>
      <c r="AV141" s="632"/>
      <c r="AW141" s="632"/>
      <c r="AX141" s="632"/>
      <c r="AY141" s="632"/>
      <c r="AZ141" s="632"/>
      <c r="BA141" s="632"/>
      <c r="BB141" s="632"/>
      <c r="BC141" s="632"/>
      <c r="BD141" s="632"/>
      <c r="BE141" s="632"/>
      <c r="BF141" s="632"/>
      <c r="BG141" s="632"/>
      <c r="BH141" s="632"/>
      <c r="BI141" s="632"/>
      <c r="BJ141" s="632"/>
      <c r="BK141" s="635"/>
      <c r="BL141" s="635"/>
      <c r="BM141" s="635"/>
      <c r="BN141" s="635"/>
      <c r="BO141" s="635"/>
      <c r="BP141" s="635"/>
      <c r="BQ141" s="632"/>
      <c r="BR141" s="636"/>
      <c r="BS141" s="632"/>
      <c r="BT141" s="632"/>
      <c r="BU141" s="637"/>
    </row>
    <row r="142" ht="14.25" customHeight="1">
      <c r="A142" s="632"/>
      <c r="B142" s="632"/>
      <c r="C142" s="632"/>
      <c r="D142" s="632"/>
      <c r="E142" s="632"/>
      <c r="F142" s="632"/>
      <c r="G142" s="632"/>
      <c r="H142" s="632"/>
      <c r="I142" s="632"/>
      <c r="J142" s="632"/>
      <c r="K142" s="632"/>
      <c r="L142" s="632"/>
      <c r="M142" s="632"/>
      <c r="N142" s="632"/>
      <c r="O142" s="632"/>
      <c r="P142" s="632"/>
      <c r="Q142" s="632"/>
      <c r="R142" s="632"/>
      <c r="S142" s="632"/>
      <c r="T142" s="632"/>
      <c r="U142" s="632"/>
      <c r="V142" s="632"/>
      <c r="W142" s="632"/>
      <c r="X142" s="632"/>
      <c r="Y142" s="632"/>
      <c r="Z142" s="632"/>
      <c r="AA142" s="632"/>
      <c r="AB142" s="632"/>
      <c r="AC142" s="632"/>
      <c r="AD142" s="632"/>
      <c r="AE142" s="632"/>
      <c r="AF142" s="632"/>
      <c r="AG142" s="632"/>
      <c r="AH142" s="632"/>
      <c r="AI142" s="632"/>
      <c r="AJ142" s="972"/>
      <c r="AK142" s="972"/>
      <c r="AL142" s="972"/>
      <c r="AM142" s="972"/>
      <c r="AN142" s="972"/>
      <c r="AO142" s="632"/>
      <c r="AP142" s="632"/>
      <c r="AQ142" s="632"/>
      <c r="AR142" s="632"/>
      <c r="AS142" s="632"/>
      <c r="AT142" s="632"/>
      <c r="AU142" s="632"/>
      <c r="AV142" s="632"/>
      <c r="AW142" s="632"/>
      <c r="AX142" s="632"/>
      <c r="AY142" s="632"/>
      <c r="AZ142" s="632"/>
      <c r="BA142" s="632"/>
      <c r="BB142" s="632"/>
      <c r="BC142" s="632"/>
      <c r="BD142" s="632"/>
      <c r="BE142" s="632"/>
      <c r="BF142" s="632"/>
      <c r="BG142" s="632"/>
      <c r="BH142" s="632"/>
      <c r="BI142" s="632"/>
      <c r="BJ142" s="632"/>
      <c r="BK142" s="635"/>
      <c r="BL142" s="635"/>
      <c r="BM142" s="635"/>
      <c r="BN142" s="635"/>
      <c r="BO142" s="635"/>
      <c r="BP142" s="635"/>
      <c r="BQ142" s="632"/>
      <c r="BR142" s="636"/>
      <c r="BS142" s="632"/>
      <c r="BT142" s="632"/>
      <c r="BU142" s="637"/>
    </row>
    <row r="143" ht="12.75" customHeight="1">
      <c r="A143" s="632"/>
      <c r="B143" s="632"/>
      <c r="C143" s="632"/>
      <c r="D143" s="632"/>
      <c r="E143" s="632"/>
      <c r="F143" s="632"/>
      <c r="G143" s="632"/>
      <c r="H143" s="632"/>
      <c r="I143" s="632"/>
      <c r="J143" s="632"/>
      <c r="K143" s="632"/>
      <c r="L143" s="632"/>
      <c r="M143" s="632"/>
      <c r="N143" s="632"/>
      <c r="O143" s="632"/>
      <c r="P143" s="632"/>
      <c r="Q143" s="632"/>
      <c r="R143" s="632"/>
      <c r="S143" s="632"/>
      <c r="T143" s="632"/>
      <c r="U143" s="632"/>
      <c r="V143" s="632"/>
      <c r="W143" s="632"/>
      <c r="X143" s="632"/>
      <c r="Y143" s="632"/>
      <c r="Z143" s="632"/>
      <c r="AA143" s="632"/>
      <c r="AB143" s="632"/>
      <c r="AC143" s="632"/>
      <c r="AD143" s="632"/>
      <c r="AE143" s="632"/>
      <c r="AF143" s="632"/>
      <c r="AG143" s="632"/>
      <c r="AH143" s="632"/>
      <c r="AI143" s="632"/>
      <c r="AJ143" s="972"/>
      <c r="AK143" s="972"/>
      <c r="AL143" s="972"/>
      <c r="AM143" s="972"/>
      <c r="AN143" s="972"/>
      <c r="AO143" s="632"/>
      <c r="AP143" s="632"/>
      <c r="AQ143" s="632"/>
      <c r="AR143" s="632"/>
      <c r="AS143" s="632"/>
      <c r="AT143" s="632"/>
      <c r="AU143" s="632"/>
      <c r="AV143" s="632"/>
      <c r="AW143" s="632"/>
      <c r="AX143" s="632"/>
      <c r="AY143" s="632"/>
      <c r="AZ143" s="632"/>
      <c r="BA143" s="632"/>
      <c r="BB143" s="632"/>
      <c r="BC143" s="632"/>
      <c r="BD143" s="632"/>
      <c r="BE143" s="632"/>
      <c r="BF143" s="632"/>
      <c r="BG143" s="632"/>
      <c r="BH143" s="632"/>
      <c r="BI143" s="632"/>
      <c r="BJ143" s="632"/>
      <c r="BK143" s="635"/>
      <c r="BL143" s="635"/>
      <c r="BM143" s="635"/>
      <c r="BN143" s="635"/>
      <c r="BO143" s="635"/>
      <c r="BP143" s="635"/>
      <c r="BQ143" s="632"/>
      <c r="BR143" s="636"/>
      <c r="BS143" s="632"/>
      <c r="BT143" s="632"/>
      <c r="BU143" s="637"/>
    </row>
    <row r="144" ht="12.75" customHeight="1">
      <c r="A144" s="632"/>
      <c r="B144" s="632"/>
      <c r="C144" s="632"/>
      <c r="D144" s="632"/>
      <c r="E144" s="632"/>
      <c r="F144" s="632"/>
      <c r="G144" s="632"/>
      <c r="H144" s="632"/>
      <c r="I144" s="632"/>
      <c r="J144" s="632"/>
      <c r="K144" s="632"/>
      <c r="L144" s="632"/>
      <c r="M144" s="632"/>
      <c r="N144" s="632"/>
      <c r="O144" s="632"/>
      <c r="P144" s="632"/>
      <c r="Q144" s="632"/>
      <c r="R144" s="632"/>
      <c r="S144" s="632"/>
      <c r="T144" s="632"/>
      <c r="U144" s="632"/>
      <c r="V144" s="632"/>
      <c r="W144" s="632"/>
      <c r="X144" s="632"/>
      <c r="Y144" s="632"/>
      <c r="Z144" s="632"/>
      <c r="AA144" s="632"/>
      <c r="AB144" s="632"/>
      <c r="AC144" s="632"/>
      <c r="AD144" s="632"/>
      <c r="AE144" s="632"/>
      <c r="AF144" s="632"/>
      <c r="AG144" s="632"/>
      <c r="AH144" s="632"/>
      <c r="AI144" s="632"/>
      <c r="AJ144" s="632"/>
      <c r="AK144" s="632"/>
      <c r="AL144" s="654"/>
      <c r="AM144" s="632"/>
      <c r="AN144" s="632"/>
      <c r="AO144" s="632"/>
      <c r="AP144" s="632"/>
      <c r="AQ144" s="632"/>
      <c r="AR144" s="632"/>
      <c r="AS144" s="632"/>
      <c r="AT144" s="632"/>
      <c r="AU144" s="632"/>
      <c r="AV144" s="632"/>
      <c r="AW144" s="632"/>
      <c r="AX144" s="632"/>
      <c r="AY144" s="632"/>
      <c r="AZ144" s="632"/>
      <c r="BA144" s="632"/>
      <c r="BB144" s="632"/>
      <c r="BC144" s="632"/>
      <c r="BD144" s="632"/>
      <c r="BE144" s="632"/>
      <c r="BF144" s="632"/>
      <c r="BG144" s="632"/>
      <c r="BH144" s="632"/>
      <c r="BI144" s="632"/>
      <c r="BJ144" s="632"/>
      <c r="BK144" s="635"/>
      <c r="BL144" s="635"/>
      <c r="BM144" s="635"/>
      <c r="BN144" s="635"/>
      <c r="BO144" s="635"/>
      <c r="BP144" s="635"/>
      <c r="BQ144" s="632"/>
      <c r="BR144" s="636"/>
      <c r="BS144" s="632"/>
      <c r="BT144" s="632"/>
      <c r="BU144" s="637"/>
    </row>
    <row r="145" ht="12.75" customHeight="1">
      <c r="A145" s="632"/>
      <c r="B145" s="632"/>
      <c r="C145" s="632"/>
      <c r="D145" s="632"/>
      <c r="E145" s="632"/>
      <c r="F145" s="632"/>
      <c r="G145" s="632"/>
      <c r="H145" s="632"/>
      <c r="I145" s="632"/>
      <c r="J145" s="632"/>
      <c r="K145" s="632"/>
      <c r="L145" s="632"/>
      <c r="M145" s="632"/>
      <c r="N145" s="632"/>
      <c r="O145" s="632"/>
      <c r="P145" s="632"/>
      <c r="Q145" s="632"/>
      <c r="R145" s="632"/>
      <c r="S145" s="632"/>
      <c r="T145" s="632"/>
      <c r="U145" s="632"/>
      <c r="V145" s="632"/>
      <c r="W145" s="632"/>
      <c r="X145" s="632"/>
      <c r="Y145" s="632"/>
      <c r="Z145" s="632"/>
      <c r="AA145" s="632"/>
      <c r="AB145" s="632"/>
      <c r="AC145" s="632"/>
      <c r="AD145" s="632"/>
      <c r="AE145" s="632"/>
      <c r="AF145" s="632"/>
      <c r="AG145" s="632"/>
      <c r="AH145" s="632"/>
      <c r="AI145" s="632"/>
      <c r="AJ145" s="640" t="s">
        <v>1034</v>
      </c>
      <c r="AK145" s="640"/>
      <c r="AL145" s="640"/>
      <c r="AM145" s="640"/>
      <c r="AN145" s="640"/>
      <c r="AO145" s="632"/>
      <c r="AP145" s="632"/>
      <c r="AQ145" s="632"/>
      <c r="AR145" s="632"/>
      <c r="AS145" s="632"/>
      <c r="AT145" s="632"/>
      <c r="AU145" s="632"/>
      <c r="AV145" s="632"/>
      <c r="AW145" s="632"/>
      <c r="AX145" s="632"/>
      <c r="AY145" s="632"/>
      <c r="AZ145" s="632"/>
      <c r="BA145" s="632"/>
      <c r="BB145" s="632"/>
      <c r="BC145" s="632"/>
      <c r="BD145" s="632"/>
      <c r="BE145" s="632"/>
      <c r="BF145" s="632"/>
      <c r="BG145" s="632"/>
      <c r="BH145" s="632"/>
      <c r="BI145" s="632"/>
      <c r="BJ145" s="632"/>
      <c r="BK145" s="635"/>
      <c r="BL145" s="635"/>
      <c r="BM145" s="635"/>
      <c r="BN145" s="635"/>
      <c r="BO145" s="635"/>
      <c r="BP145" s="635"/>
      <c r="BQ145" s="632"/>
      <c r="BR145" s="636"/>
      <c r="BS145" s="632"/>
      <c r="BT145" s="632"/>
      <c r="BU145" s="637"/>
    </row>
    <row r="146" ht="14.25" customHeight="1">
      <c r="A146" s="632"/>
      <c r="B146" s="632"/>
      <c r="C146" s="632"/>
      <c r="D146" s="632"/>
      <c r="E146" s="632"/>
      <c r="F146" s="632"/>
      <c r="G146" s="632"/>
      <c r="H146" s="632"/>
      <c r="I146" s="632"/>
      <c r="J146" s="632"/>
      <c r="K146" s="632"/>
      <c r="L146" s="632"/>
      <c r="M146" s="632"/>
      <c r="N146" s="632"/>
      <c r="O146" s="632"/>
      <c r="P146" s="632"/>
      <c r="Q146" s="632"/>
      <c r="R146" s="632"/>
      <c r="S146" s="632"/>
      <c r="T146" s="632"/>
      <c r="U146" s="632"/>
      <c r="V146" s="632"/>
      <c r="W146" s="632"/>
      <c r="X146" s="632"/>
      <c r="Y146" s="632"/>
      <c r="Z146" s="632"/>
      <c r="AA146" s="632"/>
      <c r="AB146" s="632"/>
      <c r="AC146" s="632"/>
      <c r="AD146" s="632"/>
      <c r="AE146" s="632"/>
      <c r="AF146" s="632"/>
      <c r="AG146" s="632"/>
      <c r="AH146" s="632"/>
      <c r="AI146" s="632"/>
      <c r="AJ146" s="989" t="s">
        <v>1035</v>
      </c>
      <c r="AK146" s="989"/>
      <c r="AL146" s="989"/>
      <c r="AM146" s="989"/>
      <c r="AN146" s="989"/>
      <c r="AO146" s="632"/>
      <c r="AP146" s="632"/>
      <c r="AQ146" s="632"/>
      <c r="AR146" s="632"/>
      <c r="AS146" s="632"/>
      <c r="AT146" s="632"/>
      <c r="AU146" s="632"/>
      <c r="AV146" s="632"/>
      <c r="AW146" s="632"/>
      <c r="AX146" s="632"/>
      <c r="AY146" s="632"/>
      <c r="AZ146" s="632"/>
      <c r="BA146" s="632"/>
      <c r="BB146" s="632"/>
      <c r="BC146" s="632"/>
      <c r="BD146" s="632"/>
      <c r="BE146" s="632"/>
      <c r="BF146" s="632"/>
      <c r="BG146" s="632"/>
      <c r="BH146" s="632"/>
      <c r="BI146" s="632"/>
      <c r="BJ146" s="632"/>
      <c r="BK146" s="635"/>
      <c r="BL146" s="635"/>
      <c r="BM146" s="635"/>
      <c r="BN146" s="635"/>
      <c r="BO146" s="635"/>
      <c r="BP146" s="635"/>
      <c r="BQ146" s="632"/>
      <c r="BR146" s="636"/>
      <c r="BS146" s="632"/>
      <c r="BT146" s="632"/>
      <c r="BU146" s="637"/>
    </row>
    <row r="147" ht="14.25" customHeight="1">
      <c r="A147" s="632"/>
      <c r="B147" s="632"/>
      <c r="C147" s="632"/>
      <c r="D147" s="632"/>
      <c r="E147" s="632"/>
      <c r="F147" s="632"/>
      <c r="G147" s="632"/>
      <c r="H147" s="632"/>
      <c r="I147" s="632"/>
      <c r="J147" s="632"/>
      <c r="K147" s="632"/>
      <c r="L147" s="632"/>
      <c r="M147" s="632"/>
      <c r="N147" s="632"/>
      <c r="O147" s="632"/>
      <c r="P147" s="632"/>
      <c r="Q147" s="632"/>
      <c r="R147" s="632"/>
      <c r="S147" s="632"/>
      <c r="T147" s="632"/>
      <c r="U147" s="632"/>
      <c r="V147" s="632"/>
      <c r="W147" s="632"/>
      <c r="X147" s="632"/>
      <c r="Y147" s="632"/>
      <c r="Z147" s="632"/>
      <c r="AA147" s="632"/>
      <c r="AB147" s="632"/>
      <c r="AC147" s="632"/>
      <c r="AD147" s="632"/>
      <c r="AE147" s="632"/>
      <c r="AF147" s="632"/>
      <c r="AG147" s="632"/>
      <c r="AH147" s="632"/>
      <c r="AI147" s="632"/>
      <c r="AJ147" s="989"/>
      <c r="AK147" s="989"/>
      <c r="AL147" s="989"/>
      <c r="AM147" s="989"/>
      <c r="AN147" s="989"/>
      <c r="AO147" s="632"/>
      <c r="AP147" s="632"/>
      <c r="AQ147" s="632"/>
      <c r="AR147" s="632"/>
      <c r="AS147" s="632"/>
      <c r="AT147" s="632"/>
      <c r="AU147" s="632"/>
      <c r="AV147" s="632"/>
      <c r="AW147" s="632"/>
      <c r="AX147" s="632"/>
      <c r="AY147" s="632"/>
      <c r="AZ147" s="632"/>
      <c r="BA147" s="632"/>
      <c r="BB147" s="632"/>
      <c r="BC147" s="632"/>
      <c r="BD147" s="632"/>
      <c r="BE147" s="632"/>
      <c r="BF147" s="632"/>
      <c r="BG147" s="632"/>
      <c r="BH147" s="632"/>
      <c r="BI147" s="632"/>
      <c r="BJ147" s="632"/>
      <c r="BK147" s="635"/>
      <c r="BL147" s="635"/>
      <c r="BM147" s="635"/>
      <c r="BN147" s="635"/>
      <c r="BO147" s="635"/>
      <c r="BP147" s="635"/>
      <c r="BQ147" s="632"/>
      <c r="BR147" s="636"/>
      <c r="BS147" s="632"/>
      <c r="BT147" s="632"/>
      <c r="BU147" s="637"/>
    </row>
    <row r="148" ht="14.25" customHeight="1">
      <c r="A148" s="632"/>
      <c r="B148" s="632"/>
      <c r="C148" s="632"/>
      <c r="D148" s="632"/>
      <c r="E148" s="632"/>
      <c r="F148" s="632"/>
      <c r="G148" s="632"/>
      <c r="H148" s="632"/>
      <c r="I148" s="632"/>
      <c r="J148" s="632"/>
      <c r="K148" s="632"/>
      <c r="L148" s="632"/>
      <c r="M148" s="632"/>
      <c r="N148" s="632"/>
      <c r="O148" s="632"/>
      <c r="P148" s="632"/>
      <c r="Q148" s="632"/>
      <c r="R148" s="632"/>
      <c r="S148" s="632"/>
      <c r="T148" s="632"/>
      <c r="U148" s="632"/>
      <c r="V148" s="632"/>
      <c r="W148" s="632"/>
      <c r="X148" s="632"/>
      <c r="Y148" s="632"/>
      <c r="Z148" s="632"/>
      <c r="AA148" s="632"/>
      <c r="AB148" s="632"/>
      <c r="AC148" s="632"/>
      <c r="AD148" s="632"/>
      <c r="AE148" s="632"/>
      <c r="AF148" s="632"/>
      <c r="AG148" s="632"/>
      <c r="AH148" s="632"/>
      <c r="AI148" s="632"/>
      <c r="AJ148" s="972"/>
      <c r="AK148" s="972"/>
      <c r="AL148" s="972"/>
      <c r="AM148" s="972"/>
      <c r="AN148" s="972"/>
      <c r="AO148" s="632"/>
      <c r="AP148" s="632"/>
      <c r="AQ148" s="632"/>
      <c r="AR148" s="632"/>
      <c r="AS148" s="632"/>
      <c r="AT148" s="632"/>
      <c r="AU148" s="632"/>
      <c r="AV148" s="632"/>
      <c r="AW148" s="632"/>
      <c r="AX148" s="632"/>
      <c r="AY148" s="632"/>
      <c r="AZ148" s="632"/>
      <c r="BA148" s="632"/>
      <c r="BB148" s="632"/>
      <c r="BC148" s="632"/>
      <c r="BD148" s="632"/>
      <c r="BE148" s="632"/>
      <c r="BF148" s="632"/>
      <c r="BG148" s="632"/>
      <c r="BH148" s="632"/>
      <c r="BI148" s="632"/>
      <c r="BJ148" s="632"/>
      <c r="BK148" s="635"/>
      <c r="BL148" s="635"/>
      <c r="BM148" s="635"/>
      <c r="BN148" s="635"/>
      <c r="BO148" s="635"/>
      <c r="BP148" s="635"/>
      <c r="BQ148" s="632"/>
      <c r="BR148" s="636"/>
      <c r="BS148" s="632"/>
      <c r="BT148" s="632"/>
      <c r="BU148" s="637"/>
    </row>
    <row r="149" ht="14.25" customHeight="1">
      <c r="A149" s="632"/>
      <c r="B149" s="632"/>
      <c r="C149" s="632"/>
      <c r="D149" s="632"/>
      <c r="E149" s="632"/>
      <c r="F149" s="632"/>
      <c r="G149" s="632"/>
      <c r="H149" s="632"/>
      <c r="I149" s="632"/>
      <c r="J149" s="632"/>
      <c r="K149" s="632"/>
      <c r="L149" s="632"/>
      <c r="M149" s="632"/>
      <c r="N149" s="632"/>
      <c r="O149" s="632"/>
      <c r="P149" s="632"/>
      <c r="Q149" s="632"/>
      <c r="R149" s="632"/>
      <c r="S149" s="632"/>
      <c r="T149" s="632"/>
      <c r="U149" s="632"/>
      <c r="V149" s="632"/>
      <c r="W149" s="632"/>
      <c r="X149" s="632"/>
      <c r="Y149" s="632"/>
      <c r="Z149" s="632"/>
      <c r="AA149" s="632"/>
      <c r="AB149" s="632"/>
      <c r="AC149" s="632"/>
      <c r="AD149" s="632"/>
      <c r="AE149" s="632"/>
      <c r="AF149" s="632"/>
      <c r="AG149" s="632"/>
      <c r="AH149" s="632"/>
      <c r="AI149" s="632"/>
      <c r="AJ149" s="972"/>
      <c r="AK149" s="972"/>
      <c r="AL149" s="972"/>
      <c r="AM149" s="972"/>
      <c r="AN149" s="972"/>
      <c r="AO149" s="632"/>
      <c r="AP149" s="632"/>
      <c r="AQ149" s="632"/>
      <c r="AR149" s="632"/>
      <c r="AS149" s="632"/>
      <c r="AT149" s="632"/>
      <c r="AU149" s="632"/>
      <c r="AV149" s="632"/>
      <c r="AW149" s="632"/>
      <c r="AX149" s="632"/>
      <c r="AY149" s="632"/>
      <c r="AZ149" s="632"/>
      <c r="BA149" s="632"/>
      <c r="BB149" s="632"/>
      <c r="BC149" s="632"/>
      <c r="BD149" s="632"/>
      <c r="BE149" s="632"/>
      <c r="BF149" s="632"/>
      <c r="BG149" s="632"/>
      <c r="BH149" s="632"/>
      <c r="BI149" s="632"/>
      <c r="BJ149" s="632"/>
      <c r="BK149" s="635"/>
      <c r="BL149" s="635"/>
      <c r="BM149" s="635"/>
      <c r="BN149" s="635"/>
      <c r="BO149" s="635"/>
      <c r="BP149" s="635"/>
      <c r="BQ149" s="632"/>
      <c r="BR149" s="636"/>
      <c r="BS149" s="632"/>
      <c r="BT149" s="632"/>
      <c r="BU149" s="637"/>
    </row>
    <row r="150" ht="12.75" customHeight="1">
      <c r="A150" s="632"/>
      <c r="B150" s="632"/>
      <c r="C150" s="632"/>
      <c r="D150" s="632"/>
      <c r="E150" s="632"/>
      <c r="F150" s="632"/>
      <c r="G150" s="632"/>
      <c r="H150" s="632"/>
      <c r="I150" s="632"/>
      <c r="J150" s="632"/>
      <c r="K150" s="632"/>
      <c r="L150" s="632"/>
      <c r="M150" s="632"/>
      <c r="N150" s="632"/>
      <c r="O150" s="632"/>
      <c r="P150" s="632"/>
      <c r="Q150" s="632"/>
      <c r="R150" s="632"/>
      <c r="S150" s="632"/>
      <c r="T150" s="632"/>
      <c r="U150" s="632"/>
      <c r="V150" s="632"/>
      <c r="W150" s="632"/>
      <c r="X150" s="632"/>
      <c r="Y150" s="632"/>
      <c r="Z150" s="632"/>
      <c r="AA150" s="632"/>
      <c r="AB150" s="632"/>
      <c r="AC150" s="632"/>
      <c r="AD150" s="632"/>
      <c r="AE150" s="632"/>
      <c r="AF150" s="632"/>
      <c r="AG150" s="632"/>
      <c r="AH150" s="632"/>
      <c r="AI150" s="632"/>
      <c r="AJ150" s="632" t="s">
        <v>1036</v>
      </c>
      <c r="AK150" s="632"/>
      <c r="AL150" s="632"/>
      <c r="AM150" s="632"/>
      <c r="AN150" s="632"/>
      <c r="AO150" s="632"/>
      <c r="AP150" s="632"/>
      <c r="AQ150" s="632"/>
      <c r="AR150" s="632"/>
      <c r="AS150" s="632"/>
      <c r="AT150" s="632"/>
      <c r="AU150" s="632"/>
      <c r="AV150" s="632"/>
      <c r="AW150" s="632"/>
      <c r="AX150" s="632"/>
      <c r="AY150" s="632"/>
      <c r="AZ150" s="632"/>
      <c r="BA150" s="632"/>
      <c r="BB150" s="632"/>
      <c r="BC150" s="632"/>
      <c r="BD150" s="632"/>
      <c r="BE150" s="632"/>
      <c r="BF150" s="632"/>
      <c r="BG150" s="632"/>
      <c r="BH150" s="632"/>
      <c r="BI150" s="632"/>
      <c r="BJ150" s="632"/>
      <c r="BK150" s="635"/>
      <c r="BL150" s="635"/>
      <c r="BM150" s="635"/>
      <c r="BN150" s="635"/>
      <c r="BO150" s="635"/>
      <c r="BP150" s="635"/>
      <c r="BQ150" s="632"/>
      <c r="BR150" s="636"/>
      <c r="BS150" s="632"/>
      <c r="BT150" s="632"/>
      <c r="BU150" s="637"/>
    </row>
    <row r="151" ht="12.75" customHeight="1">
      <c r="A151" s="632"/>
      <c r="B151" s="632"/>
      <c r="C151" s="632"/>
      <c r="D151" s="632"/>
      <c r="E151" s="632"/>
      <c r="F151" s="632"/>
      <c r="G151" s="632"/>
      <c r="H151" s="632"/>
      <c r="I151" s="632"/>
      <c r="J151" s="632"/>
      <c r="K151" s="632"/>
      <c r="L151" s="632"/>
      <c r="M151" s="632"/>
      <c r="N151" s="632"/>
      <c r="O151" s="632"/>
      <c r="P151" s="632"/>
      <c r="Q151" s="632"/>
      <c r="R151" s="632"/>
      <c r="S151" s="632"/>
      <c r="T151" s="632"/>
      <c r="U151" s="632"/>
      <c r="V151" s="632"/>
      <c r="W151" s="632"/>
      <c r="X151" s="632"/>
      <c r="Y151" s="632"/>
      <c r="Z151" s="632"/>
      <c r="AA151" s="632"/>
      <c r="AB151" s="632"/>
      <c r="AC151" s="632"/>
      <c r="AD151" s="632"/>
      <c r="AE151" s="632"/>
      <c r="AF151" s="632"/>
      <c r="AG151" s="632"/>
      <c r="AH151" s="632"/>
      <c r="AI151" s="632"/>
      <c r="AJ151" s="972"/>
      <c r="AK151" s="972"/>
      <c r="AL151" s="972"/>
      <c r="AM151" s="972"/>
      <c r="AN151" s="972"/>
      <c r="AO151" s="632"/>
      <c r="AP151" s="632"/>
      <c r="AQ151" s="632"/>
      <c r="AR151" s="632"/>
      <c r="AS151" s="632"/>
      <c r="AT151" s="632"/>
      <c r="AU151" s="632"/>
      <c r="AV151" s="632"/>
      <c r="AW151" s="632"/>
      <c r="AX151" s="632"/>
      <c r="AY151" s="632"/>
      <c r="AZ151" s="632"/>
      <c r="BA151" s="632"/>
      <c r="BB151" s="632"/>
      <c r="BC151" s="632"/>
      <c r="BD151" s="632"/>
      <c r="BE151" s="632"/>
      <c r="BF151" s="632"/>
      <c r="BG151" s="632"/>
      <c r="BH151" s="632"/>
      <c r="BI151" s="632"/>
      <c r="BJ151" s="632"/>
      <c r="BK151" s="635"/>
      <c r="BL151" s="635"/>
      <c r="BM151" s="635"/>
      <c r="BN151" s="635"/>
      <c r="BO151" s="635"/>
      <c r="BP151" s="635"/>
      <c r="BQ151" s="632"/>
      <c r="BR151" s="636"/>
      <c r="BS151" s="632"/>
      <c r="BT151" s="632"/>
      <c r="BU151" s="637"/>
    </row>
    <row r="152" ht="14.25" customHeight="1">
      <c r="A152" s="632"/>
      <c r="B152" s="632"/>
      <c r="C152" s="632"/>
      <c r="D152" s="632"/>
      <c r="E152" s="632"/>
      <c r="F152" s="632"/>
      <c r="G152" s="632"/>
      <c r="H152" s="632"/>
      <c r="I152" s="632"/>
      <c r="J152" s="632"/>
      <c r="K152" s="632"/>
      <c r="L152" s="632"/>
      <c r="M152" s="632"/>
      <c r="N152" s="632"/>
      <c r="O152" s="632"/>
      <c r="P152" s="632"/>
      <c r="Q152" s="632"/>
      <c r="R152" s="632"/>
      <c r="S152" s="632"/>
      <c r="T152" s="632"/>
      <c r="U152" s="632"/>
      <c r="V152" s="632"/>
      <c r="W152" s="632"/>
      <c r="X152" s="632"/>
      <c r="Y152" s="632"/>
      <c r="Z152" s="632"/>
      <c r="AA152" s="632"/>
      <c r="AB152" s="632"/>
      <c r="AC152" s="632"/>
      <c r="AD152" s="632"/>
      <c r="AE152" s="632"/>
      <c r="AF152" s="632"/>
      <c r="AG152" s="632"/>
      <c r="AH152" s="632"/>
      <c r="AI152" s="632"/>
      <c r="AJ152" s="972"/>
      <c r="AK152" s="972"/>
      <c r="AL152" s="972"/>
      <c r="AM152" s="972"/>
      <c r="AN152" s="972"/>
      <c r="AO152" s="632"/>
      <c r="AP152" s="632"/>
      <c r="AQ152" s="632"/>
      <c r="AR152" s="632"/>
      <c r="AS152" s="632"/>
      <c r="AT152" s="632"/>
      <c r="AU152" s="632"/>
      <c r="AV152" s="632"/>
      <c r="AW152" s="632"/>
      <c r="AX152" s="632"/>
      <c r="AY152" s="632"/>
      <c r="AZ152" s="632"/>
      <c r="BA152" s="632"/>
      <c r="BB152" s="632"/>
      <c r="BC152" s="632"/>
      <c r="BD152" s="632"/>
      <c r="BE152" s="632"/>
      <c r="BF152" s="632"/>
      <c r="BG152" s="632"/>
      <c r="BH152" s="632"/>
      <c r="BI152" s="632"/>
      <c r="BJ152" s="632"/>
      <c r="BK152" s="635"/>
      <c r="BL152" s="635"/>
      <c r="BM152" s="635"/>
      <c r="BN152" s="635"/>
      <c r="BO152" s="635"/>
      <c r="BP152" s="635"/>
      <c r="BQ152" s="632"/>
      <c r="BR152" s="636"/>
      <c r="BS152" s="632"/>
      <c r="BT152" s="632"/>
      <c r="BU152" s="637"/>
    </row>
    <row r="153" ht="14.25" customHeight="1">
      <c r="A153" s="632"/>
      <c r="B153" s="632"/>
      <c r="C153" s="632"/>
      <c r="D153" s="632"/>
      <c r="E153" s="632"/>
      <c r="F153" s="632"/>
      <c r="G153" s="632"/>
      <c r="H153" s="632"/>
      <c r="I153" s="632"/>
      <c r="J153" s="632"/>
      <c r="K153" s="632"/>
      <c r="L153" s="632"/>
      <c r="M153" s="632"/>
      <c r="N153" s="632"/>
      <c r="O153" s="632"/>
      <c r="P153" s="632"/>
      <c r="Q153" s="632"/>
      <c r="R153" s="632"/>
      <c r="S153" s="632"/>
      <c r="T153" s="632"/>
      <c r="U153" s="632"/>
      <c r="V153" s="632"/>
      <c r="W153" s="632"/>
      <c r="X153" s="632"/>
      <c r="Y153" s="632"/>
      <c r="Z153" s="632"/>
      <c r="AA153" s="632"/>
      <c r="AB153" s="632"/>
      <c r="AC153" s="632"/>
      <c r="AD153" s="632"/>
      <c r="AE153" s="632"/>
      <c r="AF153" s="632"/>
      <c r="AG153" s="632"/>
      <c r="AH153" s="632"/>
      <c r="AI153" s="632"/>
      <c r="AJ153" s="632" t="s">
        <v>1037</v>
      </c>
      <c r="AK153" s="632"/>
      <c r="AL153" s="632"/>
      <c r="AM153" s="632"/>
      <c r="AN153" s="632"/>
      <c r="AO153" s="632"/>
      <c r="AP153" s="632"/>
      <c r="AQ153" s="632"/>
      <c r="AR153" s="632"/>
      <c r="AS153" s="632"/>
      <c r="AT153" s="632"/>
      <c r="AU153" s="632"/>
      <c r="AV153" s="632"/>
      <c r="AW153" s="632"/>
      <c r="AX153" s="632"/>
      <c r="AY153" s="632"/>
      <c r="AZ153" s="632"/>
      <c r="BA153" s="632"/>
      <c r="BB153" s="632"/>
      <c r="BC153" s="632"/>
      <c r="BD153" s="632"/>
      <c r="BE153" s="632"/>
      <c r="BF153" s="632"/>
      <c r="BG153" s="632"/>
      <c r="BH153" s="632"/>
      <c r="BI153" s="632"/>
      <c r="BJ153" s="632"/>
      <c r="BK153" s="635"/>
      <c r="BL153" s="635"/>
      <c r="BM153" s="635"/>
      <c r="BN153" s="635"/>
      <c r="BO153" s="635"/>
      <c r="BP153" s="635"/>
      <c r="BQ153" s="632"/>
      <c r="BR153" s="636"/>
      <c r="BS153" s="632"/>
      <c r="BT153" s="632"/>
      <c r="BU153" s="637"/>
    </row>
    <row r="154" ht="14.25" customHeight="1">
      <c r="A154" s="632"/>
      <c r="B154" s="632"/>
      <c r="C154" s="632"/>
      <c r="D154" s="632"/>
      <c r="E154" s="632"/>
      <c r="F154" s="632"/>
      <c r="G154" s="632"/>
      <c r="H154" s="632"/>
      <c r="I154" s="632"/>
      <c r="J154" s="632"/>
      <c r="K154" s="632"/>
      <c r="L154" s="632"/>
      <c r="M154" s="632"/>
      <c r="N154" s="632"/>
      <c r="O154" s="632"/>
      <c r="P154" s="632"/>
      <c r="Q154" s="632"/>
      <c r="R154" s="632"/>
      <c r="S154" s="632"/>
      <c r="T154" s="632"/>
      <c r="U154" s="632"/>
      <c r="V154" s="632"/>
      <c r="W154" s="632"/>
      <c r="X154" s="632"/>
      <c r="Y154" s="632"/>
      <c r="Z154" s="632"/>
      <c r="AA154" s="632"/>
      <c r="AB154" s="632"/>
      <c r="AC154" s="632"/>
      <c r="AD154" s="632"/>
      <c r="AE154" s="632"/>
      <c r="AF154" s="632"/>
      <c r="AG154" s="632"/>
      <c r="AH154" s="632"/>
      <c r="AI154" s="632"/>
      <c r="AJ154" s="972"/>
      <c r="AK154" s="972"/>
      <c r="AL154" s="972"/>
      <c r="AM154" s="972"/>
      <c r="AN154" s="972"/>
      <c r="AO154" s="632"/>
      <c r="AP154" s="632"/>
      <c r="AQ154" s="632"/>
      <c r="AR154" s="632"/>
      <c r="AS154" s="632"/>
      <c r="AT154" s="632"/>
      <c r="AU154" s="632"/>
      <c r="AV154" s="632"/>
      <c r="AW154" s="632"/>
      <c r="AX154" s="632"/>
      <c r="AY154" s="632"/>
      <c r="AZ154" s="632"/>
      <c r="BA154" s="632"/>
      <c r="BB154" s="632"/>
      <c r="BC154" s="632"/>
      <c r="BD154" s="632"/>
      <c r="BE154" s="632"/>
      <c r="BF154" s="632"/>
      <c r="BG154" s="632"/>
      <c r="BH154" s="632"/>
      <c r="BI154" s="632"/>
      <c r="BJ154" s="632"/>
      <c r="BK154" s="635"/>
      <c r="BL154" s="635"/>
      <c r="BM154" s="635"/>
      <c r="BN154" s="635"/>
      <c r="BO154" s="635"/>
      <c r="BP154" s="635"/>
      <c r="BQ154" s="632"/>
      <c r="BR154" s="636"/>
      <c r="BS154" s="632"/>
      <c r="BT154" s="632"/>
      <c r="BU154" s="637"/>
    </row>
    <row r="155" ht="14.25" customHeight="1">
      <c r="A155" s="632"/>
      <c r="B155" s="632"/>
      <c r="C155" s="632"/>
      <c r="D155" s="632"/>
      <c r="E155" s="632"/>
      <c r="F155" s="632"/>
      <c r="G155" s="632"/>
      <c r="H155" s="632"/>
      <c r="I155" s="632"/>
      <c r="J155" s="632"/>
      <c r="K155" s="632"/>
      <c r="L155" s="632"/>
      <c r="M155" s="632"/>
      <c r="N155" s="632"/>
      <c r="O155" s="632"/>
      <c r="P155" s="632"/>
      <c r="Q155" s="632"/>
      <c r="R155" s="632"/>
      <c r="S155" s="632"/>
      <c r="T155" s="632"/>
      <c r="U155" s="632"/>
      <c r="V155" s="632"/>
      <c r="W155" s="632"/>
      <c r="X155" s="632"/>
      <c r="Y155" s="632"/>
      <c r="Z155" s="632"/>
      <c r="AA155" s="632"/>
      <c r="AB155" s="632"/>
      <c r="AC155" s="632"/>
      <c r="AD155" s="632"/>
      <c r="AE155" s="632"/>
      <c r="AF155" s="632"/>
      <c r="AG155" s="632"/>
      <c r="AH155" s="632"/>
      <c r="AI155" s="632"/>
      <c r="AJ155" s="972"/>
      <c r="AK155" s="972"/>
      <c r="AL155" s="972"/>
      <c r="AM155" s="972"/>
      <c r="AN155" s="972"/>
      <c r="AO155" s="632"/>
      <c r="AP155" s="632"/>
      <c r="AQ155" s="632"/>
      <c r="AR155" s="632"/>
      <c r="AS155" s="632"/>
      <c r="AT155" s="632"/>
      <c r="AU155" s="632"/>
      <c r="AV155" s="632"/>
      <c r="AW155" s="632"/>
      <c r="AX155" s="632"/>
      <c r="AY155" s="632"/>
      <c r="AZ155" s="632"/>
      <c r="BA155" s="632"/>
      <c r="BB155" s="632"/>
      <c r="BC155" s="632"/>
      <c r="BD155" s="632"/>
      <c r="BE155" s="632"/>
      <c r="BF155" s="632"/>
      <c r="BG155" s="632"/>
      <c r="BH155" s="632"/>
      <c r="BI155" s="632"/>
      <c r="BJ155" s="632"/>
      <c r="BK155" s="635"/>
      <c r="BL155" s="635"/>
      <c r="BM155" s="635"/>
      <c r="BN155" s="635"/>
      <c r="BO155" s="635"/>
      <c r="BP155" s="635"/>
      <c r="BQ155" s="632"/>
      <c r="BR155" s="636"/>
      <c r="BS155" s="632"/>
      <c r="BT155" s="632"/>
      <c r="BU155" s="637"/>
    </row>
    <row r="156" ht="14.25" customHeight="1">
      <c r="A156" s="632"/>
      <c r="B156" s="632"/>
      <c r="C156" s="632"/>
      <c r="D156" s="632"/>
      <c r="E156" s="632"/>
      <c r="F156" s="632"/>
      <c r="G156" s="632"/>
      <c r="H156" s="632"/>
      <c r="I156" s="632"/>
      <c r="J156" s="632"/>
      <c r="K156" s="632"/>
      <c r="L156" s="632"/>
      <c r="M156" s="632"/>
      <c r="N156" s="632"/>
      <c r="O156" s="632"/>
      <c r="P156" s="632"/>
      <c r="Q156" s="632"/>
      <c r="R156" s="632"/>
      <c r="S156" s="632"/>
      <c r="T156" s="632"/>
      <c r="U156" s="632"/>
      <c r="V156" s="632"/>
      <c r="W156" s="632"/>
      <c r="X156" s="632"/>
      <c r="Y156" s="632"/>
      <c r="Z156" s="632"/>
      <c r="AA156" s="632"/>
      <c r="AB156" s="632"/>
      <c r="AC156" s="632"/>
      <c r="AD156" s="632"/>
      <c r="AE156" s="632"/>
      <c r="AF156" s="632"/>
      <c r="AG156" s="632"/>
      <c r="AH156" s="632"/>
      <c r="AI156" s="632"/>
      <c r="AJ156" s="632" t="s">
        <v>1038</v>
      </c>
      <c r="AK156" s="632"/>
      <c r="AL156" s="632"/>
      <c r="AM156" s="632"/>
      <c r="AN156" s="632"/>
      <c r="AO156" s="632"/>
      <c r="AP156" s="632"/>
      <c r="AQ156" s="632"/>
      <c r="AR156" s="632"/>
      <c r="AS156" s="632"/>
      <c r="AT156" s="632"/>
      <c r="AU156" s="632"/>
      <c r="AV156" s="632"/>
      <c r="AW156" s="632"/>
      <c r="AX156" s="632"/>
      <c r="AY156" s="632"/>
      <c r="AZ156" s="632"/>
      <c r="BA156" s="632"/>
      <c r="BB156" s="632"/>
      <c r="BC156" s="632"/>
      <c r="BD156" s="632"/>
      <c r="BE156" s="632"/>
      <c r="BF156" s="632"/>
      <c r="BG156" s="632"/>
      <c r="BH156" s="632"/>
      <c r="BI156" s="632"/>
      <c r="BJ156" s="632"/>
      <c r="BK156" s="635"/>
      <c r="BL156" s="635"/>
      <c r="BM156" s="635"/>
      <c r="BN156" s="635"/>
      <c r="BO156" s="635"/>
      <c r="BP156" s="635"/>
      <c r="BQ156" s="632"/>
      <c r="BR156" s="636"/>
      <c r="BS156" s="632"/>
      <c r="BT156" s="632"/>
      <c r="BU156" s="637"/>
    </row>
    <row r="157" ht="14.25" customHeight="1">
      <c r="A157" s="632"/>
      <c r="B157" s="632"/>
      <c r="C157" s="632"/>
      <c r="D157" s="632"/>
      <c r="E157" s="632"/>
      <c r="F157" s="632"/>
      <c r="G157" s="632"/>
      <c r="H157" s="632"/>
      <c r="I157" s="632"/>
      <c r="J157" s="632"/>
      <c r="K157" s="632"/>
      <c r="L157" s="632"/>
      <c r="M157" s="632"/>
      <c r="N157" s="632"/>
      <c r="O157" s="632"/>
      <c r="P157" s="632"/>
      <c r="Q157" s="632"/>
      <c r="R157" s="632"/>
      <c r="S157" s="632"/>
      <c r="T157" s="632"/>
      <c r="U157" s="632"/>
      <c r="V157" s="632"/>
      <c r="W157" s="632"/>
      <c r="X157" s="632"/>
      <c r="Y157" s="632"/>
      <c r="Z157" s="632"/>
      <c r="AA157" s="632"/>
      <c r="AB157" s="632"/>
      <c r="AC157" s="632"/>
      <c r="AD157" s="632"/>
      <c r="AE157" s="632"/>
      <c r="AF157" s="632"/>
      <c r="AG157" s="632"/>
      <c r="AH157" s="632"/>
      <c r="AI157" s="632"/>
      <c r="AJ157" s="972"/>
      <c r="AK157" s="972"/>
      <c r="AL157" s="972"/>
      <c r="AM157" s="972"/>
      <c r="AN157" s="972"/>
      <c r="AO157" s="632"/>
      <c r="AP157" s="632"/>
      <c r="AQ157" s="632"/>
      <c r="AR157" s="632"/>
      <c r="AS157" s="632"/>
      <c r="AT157" s="632"/>
      <c r="AU157" s="632"/>
      <c r="AV157" s="632"/>
      <c r="AW157" s="632"/>
      <c r="AX157" s="632"/>
      <c r="AY157" s="632"/>
      <c r="AZ157" s="632"/>
      <c r="BA157" s="632"/>
      <c r="BB157" s="632"/>
      <c r="BC157" s="632"/>
      <c r="BD157" s="632"/>
      <c r="BE157" s="632"/>
      <c r="BF157" s="632"/>
      <c r="BG157" s="632"/>
      <c r="BH157" s="632"/>
      <c r="BI157" s="632"/>
      <c r="BJ157" s="632"/>
      <c r="BK157" s="635"/>
      <c r="BL157" s="635"/>
      <c r="BM157" s="635"/>
      <c r="BN157" s="635"/>
      <c r="BO157" s="635"/>
      <c r="BP157" s="635"/>
      <c r="BQ157" s="632"/>
      <c r="BR157" s="636"/>
      <c r="BS157" s="632"/>
      <c r="BT157" s="632"/>
      <c r="BU157" s="637"/>
    </row>
    <row r="158" ht="14.25" customHeight="1">
      <c r="A158" s="632"/>
      <c r="B158" s="632"/>
      <c r="C158" s="632"/>
      <c r="D158" s="632"/>
      <c r="E158" s="632"/>
      <c r="F158" s="632"/>
      <c r="G158" s="632"/>
      <c r="H158" s="632"/>
      <c r="I158" s="632"/>
      <c r="J158" s="632"/>
      <c r="K158" s="632"/>
      <c r="L158" s="632"/>
      <c r="M158" s="632"/>
      <c r="N158" s="632"/>
      <c r="O158" s="632"/>
      <c r="P158" s="632"/>
      <c r="Q158" s="632"/>
      <c r="R158" s="632"/>
      <c r="S158" s="632"/>
      <c r="T158" s="632"/>
      <c r="U158" s="632"/>
      <c r="V158" s="632"/>
      <c r="W158" s="632"/>
      <c r="X158" s="632"/>
      <c r="Y158" s="632"/>
      <c r="Z158" s="632"/>
      <c r="AA158" s="632"/>
      <c r="AB158" s="632"/>
      <c r="AC158" s="632"/>
      <c r="AD158" s="632"/>
      <c r="AE158" s="632"/>
      <c r="AF158" s="632"/>
      <c r="AG158" s="632"/>
      <c r="AH158" s="632"/>
      <c r="AI158" s="632"/>
      <c r="AJ158" s="972"/>
      <c r="AK158" s="972"/>
      <c r="AL158" s="972"/>
      <c r="AM158" s="972"/>
      <c r="AN158" s="972"/>
      <c r="AO158" s="632"/>
      <c r="AP158" s="632"/>
      <c r="AQ158" s="632"/>
      <c r="AR158" s="632"/>
      <c r="AS158" s="632"/>
      <c r="AT158" s="632"/>
      <c r="AU158" s="632"/>
      <c r="AV158" s="632"/>
      <c r="AW158" s="632"/>
      <c r="AX158" s="632"/>
      <c r="AY158" s="632"/>
      <c r="AZ158" s="632"/>
      <c r="BA158" s="632"/>
      <c r="BB158" s="632"/>
      <c r="BC158" s="632"/>
      <c r="BD158" s="632"/>
      <c r="BE158" s="632"/>
      <c r="BF158" s="632"/>
      <c r="BG158" s="632"/>
      <c r="BH158" s="632"/>
      <c r="BI158" s="632"/>
      <c r="BJ158" s="632"/>
      <c r="BK158" s="635"/>
      <c r="BL158" s="635"/>
      <c r="BM158" s="635"/>
      <c r="BN158" s="635"/>
      <c r="BO158" s="635"/>
      <c r="BP158" s="635"/>
      <c r="BQ158" s="632"/>
      <c r="BR158" s="636"/>
      <c r="BS158" s="632"/>
      <c r="BT158" s="632"/>
      <c r="BU158" s="637"/>
    </row>
    <row r="159" ht="14.25" customHeight="1">
      <c r="A159" s="632"/>
      <c r="B159" s="632"/>
      <c r="C159" s="632"/>
      <c r="D159" s="632"/>
      <c r="E159" s="632"/>
      <c r="F159" s="632"/>
      <c r="G159" s="632"/>
      <c r="H159" s="632"/>
      <c r="I159" s="632"/>
      <c r="J159" s="632"/>
      <c r="K159" s="632"/>
      <c r="L159" s="632"/>
      <c r="M159" s="632"/>
      <c r="N159" s="632"/>
      <c r="O159" s="632"/>
      <c r="P159" s="632"/>
      <c r="Q159" s="632"/>
      <c r="R159" s="632"/>
      <c r="S159" s="632"/>
      <c r="T159" s="632"/>
      <c r="U159" s="632"/>
      <c r="V159" s="632"/>
      <c r="W159" s="632"/>
      <c r="X159" s="632"/>
      <c r="Y159" s="632"/>
      <c r="Z159" s="632"/>
      <c r="AA159" s="632"/>
      <c r="AB159" s="632"/>
      <c r="AC159" s="632"/>
      <c r="AD159" s="632"/>
      <c r="AE159" s="632"/>
      <c r="AF159" s="632"/>
      <c r="AG159" s="632"/>
      <c r="AH159" s="632"/>
      <c r="AI159" s="632"/>
      <c r="AJ159" s="632" t="s">
        <v>1039</v>
      </c>
      <c r="AK159" s="632"/>
      <c r="AL159" s="632"/>
      <c r="AM159" s="632"/>
      <c r="AN159" s="632"/>
      <c r="AP159" s="632"/>
      <c r="AQ159" s="632"/>
      <c r="AR159" s="632"/>
      <c r="AS159" s="632"/>
      <c r="AT159" s="632"/>
      <c r="AU159" s="632"/>
      <c r="AV159" s="632"/>
      <c r="AW159" s="632"/>
      <c r="AX159" s="632"/>
      <c r="AY159" s="632"/>
      <c r="AZ159" s="632"/>
      <c r="BA159" s="632"/>
      <c r="BB159" s="632"/>
      <c r="BC159" s="632"/>
      <c r="BD159" s="632"/>
      <c r="BE159" s="632"/>
      <c r="BF159" s="632"/>
      <c r="BG159" s="632"/>
      <c r="BH159" s="632"/>
      <c r="BI159" s="632"/>
      <c r="BJ159" s="632"/>
      <c r="BK159" s="635"/>
      <c r="BL159" s="635"/>
      <c r="BM159" s="635"/>
      <c r="BN159" s="635"/>
      <c r="BO159" s="635"/>
      <c r="BP159" s="635"/>
      <c r="BQ159" s="632"/>
      <c r="BR159" s="636"/>
      <c r="BS159" s="632"/>
      <c r="BT159" s="632"/>
      <c r="BU159" s="637"/>
    </row>
    <row r="160" ht="14.25" customHeight="1">
      <c r="A160" s="632"/>
      <c r="B160" s="632"/>
      <c r="C160" s="632"/>
      <c r="D160" s="632"/>
      <c r="E160" s="632"/>
      <c r="F160" s="632"/>
      <c r="G160" s="632"/>
      <c r="H160" s="632"/>
      <c r="I160" s="632"/>
      <c r="J160" s="632"/>
      <c r="K160" s="632"/>
      <c r="L160" s="632"/>
      <c r="M160" s="632"/>
      <c r="N160" s="632"/>
      <c r="O160" s="632"/>
      <c r="P160" s="632"/>
      <c r="Q160" s="632"/>
      <c r="R160" s="632"/>
      <c r="S160" s="632"/>
      <c r="T160" s="632"/>
      <c r="U160" s="632"/>
      <c r="V160" s="632"/>
      <c r="W160" s="632"/>
      <c r="X160" s="632"/>
      <c r="Y160" s="632"/>
      <c r="Z160" s="632"/>
      <c r="AA160" s="632"/>
      <c r="AB160" s="632"/>
      <c r="AC160" s="632"/>
      <c r="AD160" s="632"/>
      <c r="AE160" s="632"/>
      <c r="AF160" s="632"/>
      <c r="AG160" s="632"/>
      <c r="AH160" s="632"/>
      <c r="AI160" s="632"/>
      <c r="AJ160" s="972"/>
      <c r="AK160" s="972"/>
      <c r="AL160" s="972"/>
      <c r="AM160" s="972"/>
      <c r="AN160" s="972"/>
      <c r="AO160" s="632"/>
      <c r="AP160" s="632"/>
      <c r="AQ160" s="632"/>
      <c r="AR160" s="632"/>
      <c r="AS160" s="632"/>
      <c r="AT160" s="632"/>
      <c r="AU160" s="632"/>
      <c r="AV160" s="632"/>
      <c r="AW160" s="632"/>
      <c r="AX160" s="632"/>
      <c r="AY160" s="632"/>
      <c r="AZ160" s="632"/>
      <c r="BA160" s="632"/>
      <c r="BB160" s="632"/>
      <c r="BC160" s="632"/>
      <c r="BD160" s="632"/>
      <c r="BE160" s="632"/>
      <c r="BF160" s="632"/>
      <c r="BG160" s="632"/>
      <c r="BH160" s="632"/>
      <c r="BI160" s="632"/>
      <c r="BJ160" s="632"/>
      <c r="BK160" s="635"/>
      <c r="BL160" s="635"/>
      <c r="BM160" s="635"/>
      <c r="BN160" s="635"/>
      <c r="BO160" s="635"/>
      <c r="BP160" s="635"/>
      <c r="BQ160" s="632"/>
      <c r="BR160" s="636"/>
      <c r="BS160" s="632"/>
      <c r="BT160" s="632"/>
      <c r="BU160" s="637"/>
    </row>
    <row r="161" ht="14.25" customHeight="1">
      <c r="A161" s="632"/>
      <c r="B161" s="632"/>
      <c r="C161" s="632"/>
      <c r="D161" s="632"/>
      <c r="E161" s="632"/>
      <c r="F161" s="632"/>
      <c r="G161" s="632"/>
      <c r="H161" s="632"/>
      <c r="I161" s="632"/>
      <c r="J161" s="632"/>
      <c r="K161" s="632"/>
      <c r="L161" s="632"/>
      <c r="M161" s="632"/>
      <c r="N161" s="632"/>
      <c r="O161" s="632"/>
      <c r="P161" s="632"/>
      <c r="Q161" s="632"/>
      <c r="R161" s="632"/>
      <c r="S161" s="632"/>
      <c r="T161" s="632"/>
      <c r="U161" s="632"/>
      <c r="V161" s="632"/>
      <c r="W161" s="632"/>
      <c r="X161" s="632"/>
      <c r="Y161" s="632"/>
      <c r="Z161" s="632"/>
      <c r="AA161" s="632"/>
      <c r="AB161" s="632"/>
      <c r="AC161" s="632"/>
      <c r="AD161" s="632"/>
      <c r="AE161" s="632"/>
      <c r="AF161" s="632"/>
      <c r="AG161" s="632"/>
      <c r="AH161" s="632"/>
      <c r="AI161" s="632"/>
      <c r="AJ161" s="972"/>
      <c r="AK161" s="972"/>
      <c r="AL161" s="972"/>
      <c r="AM161" s="972"/>
      <c r="AN161" s="972"/>
      <c r="AO161" s="632"/>
      <c r="AP161" s="632"/>
      <c r="AQ161" s="632"/>
      <c r="AR161" s="632"/>
      <c r="AS161" s="632"/>
      <c r="AT161" s="632"/>
      <c r="AU161" s="632"/>
      <c r="AV161" s="632"/>
      <c r="AW161" s="632"/>
      <c r="AX161" s="632"/>
      <c r="AY161" s="632"/>
      <c r="AZ161" s="632"/>
      <c r="BA161" s="632"/>
      <c r="BB161" s="632"/>
      <c r="BC161" s="632"/>
      <c r="BD161" s="632"/>
      <c r="BE161" s="632"/>
      <c r="BF161" s="632"/>
      <c r="BG161" s="632"/>
      <c r="BH161" s="632"/>
      <c r="BI161" s="632"/>
      <c r="BJ161" s="632"/>
      <c r="BK161" s="635"/>
      <c r="BL161" s="635"/>
      <c r="BM161" s="635"/>
      <c r="BN161" s="635"/>
      <c r="BO161" s="635"/>
      <c r="BP161" s="635"/>
      <c r="BQ161" s="632"/>
      <c r="BR161" s="636"/>
      <c r="BS161" s="632"/>
      <c r="BT161" s="632"/>
      <c r="BU161" s="637"/>
    </row>
    <row r="162" ht="14.25" customHeight="1">
      <c r="A162" s="1101"/>
      <c r="B162" s="1101"/>
      <c r="C162" s="1101"/>
      <c r="D162" s="1101"/>
      <c r="E162" s="1101"/>
      <c r="F162" s="1101"/>
      <c r="G162" s="1101"/>
      <c r="H162" s="1101"/>
      <c r="I162" s="1101"/>
      <c r="J162" s="1101"/>
      <c r="K162" s="1101"/>
      <c r="L162" s="1101"/>
      <c r="M162" s="1101"/>
      <c r="N162" s="1101"/>
      <c r="O162" s="1101"/>
      <c r="P162" s="1101"/>
      <c r="Q162" s="1101"/>
      <c r="R162" s="1101"/>
      <c r="S162" s="1101"/>
      <c r="T162" s="1101"/>
      <c r="U162" s="1101"/>
      <c r="V162" s="1101"/>
      <c r="W162" s="1101"/>
      <c r="X162" s="1101"/>
      <c r="Y162" s="1101"/>
      <c r="Z162" s="1101"/>
      <c r="AA162" s="1101"/>
      <c r="AB162" s="1101"/>
      <c r="AC162" s="1101"/>
      <c r="AD162" s="1101"/>
      <c r="AE162" s="1101"/>
      <c r="AF162" s="1101"/>
      <c r="AG162" s="1101"/>
      <c r="AH162" s="1101"/>
      <c r="AI162" s="1101"/>
      <c r="AJ162" s="1101"/>
      <c r="AK162" s="1101"/>
      <c r="AL162" s="1101"/>
      <c r="AM162" s="1101"/>
      <c r="AN162" s="1101"/>
      <c r="AO162" s="1101"/>
      <c r="AP162" s="1101"/>
      <c r="AQ162" s="1101"/>
      <c r="AR162" s="1101"/>
      <c r="AS162" s="1101"/>
      <c r="AT162" s="1101"/>
      <c r="AU162" s="1101"/>
      <c r="AV162" s="1101"/>
      <c r="AW162" s="1101"/>
      <c r="AX162" s="1101"/>
      <c r="AY162" s="1101"/>
      <c r="AZ162" s="1101"/>
      <c r="BA162" s="1101"/>
      <c r="BB162" s="1101"/>
      <c r="BC162" s="1101"/>
      <c r="BD162" s="1101"/>
      <c r="BE162" s="1101"/>
      <c r="BF162" s="1101"/>
      <c r="BG162" s="1101"/>
      <c r="BH162" s="1101"/>
      <c r="BI162" s="1101"/>
      <c r="BJ162" s="1101"/>
      <c r="BK162" s="1102"/>
      <c r="BL162" s="1102"/>
      <c r="BM162" s="1102"/>
      <c r="BN162" s="1102"/>
      <c r="BO162" s="1102"/>
      <c r="BP162" s="1102"/>
      <c r="BQ162" s="1101"/>
      <c r="BR162" s="1101"/>
      <c r="BS162" s="1101"/>
      <c r="BT162" s="1101"/>
      <c r="BU162" s="1101"/>
    </row>
    <row r="163" ht="14.25" customHeight="1">
      <c r="AJ163" s="716"/>
    </row>
    <row r="164" ht="14.25" customHeight="1">
      <c r="A164" s="740"/>
    </row>
    <row r="165" ht="14.25" customHeight="1">
      <c r="A165" s="740"/>
    </row>
    <row r="166" ht="14.25" customHeight="1">
      <c r="A166" s="740"/>
    </row>
    <row r="167" ht="14.25" customHeight="1">
      <c r="A167" s="740"/>
    </row>
    <row r="168" ht="14.25" customHeight="1">
      <c r="A168" s="740"/>
    </row>
    <row r="169" ht="14.25" customHeight="1">
      <c r="A169" s="740"/>
    </row>
    <row r="170" ht="14.25" customHeight="1">
      <c r="A170" s="740"/>
    </row>
    <row r="171" ht="14.25" customHeight="1">
      <c r="A171" s="740"/>
    </row>
    <row r="172" ht="14.25" customHeight="1">
      <c r="A172" s="740"/>
    </row>
    <row r="173" ht="14.25" customHeight="1">
      <c r="A173" s="740"/>
    </row>
    <row r="174" ht="14.25" customHeight="1">
      <c r="A174" s="740"/>
    </row>
    <row r="175" ht="14.25" customHeight="1">
      <c r="A175" s="740"/>
    </row>
    <row r="176" ht="14.25" customHeight="1">
      <c r="A176" s="740"/>
    </row>
    <row r="177" ht="14.25" customHeight="1">
      <c r="A177" s="740"/>
    </row>
    <row r="178" ht="14.25" customHeight="1">
      <c r="A178" s="740"/>
    </row>
    <row r="179" ht="14.25" customHeight="1">
      <c r="A179" s="740"/>
    </row>
    <row r="180" ht="14.25" customHeight="1">
      <c r="A180" s="740"/>
    </row>
    <row r="181" ht="14.25" customHeight="1">
      <c r="A181" s="740"/>
    </row>
    <row r="182" ht="14.25" customHeight="1">
      <c r="A182" s="740"/>
    </row>
    <row r="183" ht="14.25" customHeight="1">
      <c r="A183" s="740"/>
    </row>
    <row r="184" ht="14.25" customHeight="1">
      <c r="A184" s="740"/>
    </row>
    <row r="185" ht="14.25" customHeight="1">
      <c r="A185" s="740"/>
    </row>
    <row r="186" ht="14.25" customHeight="1">
      <c r="A186" s="740"/>
    </row>
    <row r="187" ht="14.25" customHeight="1">
      <c r="A187" s="740"/>
    </row>
    <row r="188" ht="14.25" customHeight="1">
      <c r="A188" s="740"/>
    </row>
    <row r="189" ht="14.25" customHeight="1">
      <c r="A189" s="740"/>
    </row>
    <row r="190" ht="14.25" customHeight="1">
      <c r="A190" s="740"/>
    </row>
    <row r="191" ht="14.25" customHeight="1">
      <c r="A191" s="740"/>
    </row>
    <row r="192" ht="14.25" customHeight="1">
      <c r="A192" s="740"/>
    </row>
    <row r="193" ht="14.25" customHeight="1">
      <c r="A193" s="740"/>
    </row>
    <row r="194" ht="14.25" customHeight="1">
      <c r="A194" s="740"/>
    </row>
    <row r="195" ht="14.25" customHeight="1">
      <c r="A195" s="740"/>
    </row>
    <row r="196" ht="14.25" customHeight="1">
      <c r="A196" s="740"/>
    </row>
    <row r="197" ht="14.25" customHeight="1">
      <c r="A197" s="740"/>
    </row>
    <row r="198" ht="14.25" customHeight="1">
      <c r="A198" s="740"/>
    </row>
    <row r="199" ht="14.25" customHeight="1">
      <c r="A199" s="740"/>
    </row>
    <row r="200" ht="14.25" customHeight="1">
      <c r="A200" s="740"/>
    </row>
    <row r="201" ht="14.25" customHeight="1">
      <c r="A201" s="740"/>
    </row>
    <row r="202" ht="14.25" customHeight="1">
      <c r="A202" s="740"/>
    </row>
    <row r="203" ht="14.25" customHeight="1">
      <c r="A203" s="740"/>
    </row>
    <row r="204" ht="14.25" customHeight="1">
      <c r="A204" s="740"/>
    </row>
    <row r="205" ht="14.25" customHeight="1">
      <c r="A205" s="740"/>
    </row>
    <row r="206" ht="14.25" customHeight="1">
      <c r="A206" s="740"/>
    </row>
    <row r="207" ht="14.25" customHeight="1">
      <c r="A207" s="740"/>
    </row>
    <row r="208" ht="14.25" customHeight="1">
      <c r="A208" s="740"/>
    </row>
    <row r="209" ht="14.25" customHeight="1">
      <c r="A209" s="740"/>
    </row>
    <row r="210" ht="14.25" customHeight="1">
      <c r="A210" s="740"/>
    </row>
    <row r="211" ht="14.25" customHeight="1">
      <c r="A211" s="740"/>
    </row>
    <row r="212" ht="14.25" customHeight="1">
      <c r="A212" s="740"/>
    </row>
    <row r="213" ht="14.25" customHeight="1">
      <c r="A213" s="740"/>
    </row>
    <row r="214" ht="14.25" customHeight="1">
      <c r="A214" s="740"/>
    </row>
    <row r="215" ht="14.25" customHeight="1">
      <c r="A215" s="740"/>
    </row>
    <row r="216" ht="14.25" customHeight="1">
      <c r="A216" s="740"/>
    </row>
    <row r="217" ht="14.25" customHeight="1">
      <c r="A217" s="740"/>
    </row>
    <row r="218" ht="14.25" customHeight="1">
      <c r="A218" s="740"/>
    </row>
    <row r="219" ht="14.25" customHeight="1">
      <c r="A219" s="740"/>
    </row>
    <row r="220" ht="14.25" customHeight="1">
      <c r="A220" s="740"/>
    </row>
    <row r="221" ht="14.25" customHeight="1">
      <c r="A221" s="740"/>
    </row>
    <row r="222" ht="14.25" customHeight="1">
      <c r="A222" s="740"/>
    </row>
    <row r="223" ht="14.25" customHeight="1">
      <c r="A223" s="740"/>
    </row>
    <row r="224" ht="14.25" customHeight="1">
      <c r="A224" s="740"/>
    </row>
    <row r="225" ht="14.25" customHeight="1">
      <c r="A225" s="740"/>
    </row>
    <row r="226" ht="14.25" customHeight="1">
      <c r="A226" s="740"/>
    </row>
    <row r="227" ht="14.25" customHeight="1">
      <c r="A227" s="740"/>
    </row>
    <row r="228" ht="14.25" customHeight="1">
      <c r="A228" s="740"/>
    </row>
    <row r="229" ht="14.25" customHeight="1">
      <c r="A229" s="740"/>
    </row>
    <row r="230" ht="14.25" customHeight="1">
      <c r="A230" s="740"/>
    </row>
    <row r="231" ht="14.25" customHeight="1">
      <c r="A231" s="740"/>
    </row>
    <row r="232" ht="14.25" customHeight="1">
      <c r="A232" s="740"/>
    </row>
    <row r="233" ht="14.25" customHeight="1">
      <c r="A233" s="740"/>
    </row>
    <row r="234" ht="14.25" customHeight="1">
      <c r="A234" s="740"/>
    </row>
    <row r="235" ht="14.25" customHeight="1">
      <c r="A235" s="740"/>
    </row>
    <row r="236" ht="14.25" customHeight="1">
      <c r="A236" s="740"/>
    </row>
    <row r="237" ht="14.25" customHeight="1">
      <c r="A237" s="740"/>
    </row>
    <row r="238" ht="14.25" customHeight="1">
      <c r="A238" s="740"/>
    </row>
    <row r="239" ht="14.25" customHeight="1">
      <c r="A239" s="740"/>
    </row>
    <row r="240" ht="14.25" customHeight="1">
      <c r="A240" s="740"/>
    </row>
    <row r="241" ht="14.25" customHeight="1">
      <c r="A241" s="740"/>
    </row>
    <row r="242" ht="14.25" customHeight="1">
      <c r="A242" s="740"/>
    </row>
    <row r="243" ht="14.25" customHeight="1">
      <c r="A243" s="740"/>
    </row>
    <row r="244" ht="14.25" customHeight="1">
      <c r="A244" s="740"/>
    </row>
    <row r="245" ht="14.25" customHeight="1">
      <c r="A245" s="740"/>
    </row>
    <row r="246" ht="14.25" customHeight="1">
      <c r="A246" s="740"/>
    </row>
    <row r="247" ht="14.25" customHeight="1">
      <c r="A247" s="740"/>
    </row>
    <row r="248" ht="14.25" customHeight="1">
      <c r="A248" s="740"/>
    </row>
    <row r="249" ht="14.25" customHeight="1">
      <c r="A249" s="740"/>
    </row>
    <row r="250" ht="14.25" customHeight="1">
      <c r="A250" s="740"/>
    </row>
    <row r="251" ht="14.25" customHeight="1">
      <c r="A251" s="740"/>
    </row>
    <row r="252" ht="14.25" customHeight="1">
      <c r="A252" s="740"/>
    </row>
    <row r="253" ht="14.25" customHeight="1">
      <c r="A253" s="740"/>
    </row>
    <row r="254" ht="14.25" customHeight="1">
      <c r="A254" s="740"/>
    </row>
    <row r="255" ht="14.25" customHeight="1">
      <c r="A255" s="740"/>
    </row>
    <row r="256" ht="14.25" customHeight="1">
      <c r="A256" s="740"/>
    </row>
    <row r="257" ht="14.25" customHeight="1">
      <c r="A257" s="740"/>
    </row>
    <row r="258" ht="14.25" customHeight="1">
      <c r="A258" s="740"/>
    </row>
    <row r="259" ht="14.25" customHeight="1">
      <c r="A259" s="740"/>
    </row>
    <row r="260" ht="14.25" customHeight="1">
      <c r="A260" s="740"/>
    </row>
    <row r="261" ht="14.25" customHeight="1">
      <c r="A261" s="740"/>
    </row>
    <row r="262" ht="14.25" customHeight="1">
      <c r="A262" s="740"/>
    </row>
    <row r="263" ht="14.25" customHeight="1">
      <c r="A263" s="740"/>
    </row>
    <row r="264" ht="14.25" customHeight="1">
      <c r="A264" s="740"/>
    </row>
    <row r="265" ht="14.25" customHeight="1">
      <c r="A265" s="740"/>
    </row>
    <row r="266" ht="14.25" customHeight="1">
      <c r="A266" s="740"/>
    </row>
    <row r="267" ht="14.25" customHeight="1">
      <c r="A267" s="740"/>
    </row>
    <row r="268" ht="14.25" customHeight="1">
      <c r="A268" s="740"/>
    </row>
    <row r="269" ht="14.25" customHeight="1">
      <c r="A269" s="740"/>
    </row>
    <row r="270" ht="14.25" customHeight="1">
      <c r="A270" s="740"/>
    </row>
    <row r="271" ht="14.25" customHeight="1">
      <c r="A271" s="740"/>
    </row>
    <row r="272" ht="14.25" customHeight="1">
      <c r="A272" s="740"/>
    </row>
    <row r="273" ht="14.25" customHeight="1">
      <c r="A273" s="740"/>
    </row>
    <row r="274" ht="14.25" customHeight="1">
      <c r="A274" s="740"/>
    </row>
    <row r="275" ht="14.25" customHeight="1">
      <c r="A275" s="740"/>
    </row>
    <row r="276" ht="14.25" customHeight="1">
      <c r="A276" s="740"/>
    </row>
    <row r="277" ht="14.25" customHeight="1">
      <c r="A277" s="740"/>
    </row>
    <row r="278" ht="14.25" customHeight="1">
      <c r="A278" s="740"/>
    </row>
    <row r="279" ht="14.25" customHeight="1">
      <c r="A279" s="740"/>
    </row>
    <row r="280" ht="14.25" customHeight="1">
      <c r="A280" s="740"/>
    </row>
    <row r="281" ht="14.25" customHeight="1">
      <c r="A281" s="740"/>
    </row>
    <row r="282" ht="14.25" customHeight="1">
      <c r="A282" s="740"/>
    </row>
    <row r="283" ht="14.25" customHeight="1">
      <c r="A283" s="740"/>
    </row>
    <row r="284" ht="14.25" customHeight="1">
      <c r="A284" s="740"/>
    </row>
    <row r="285" ht="14.25" customHeight="1">
      <c r="A285" s="740"/>
    </row>
    <row r="286" ht="14.25" customHeight="1">
      <c r="A286" s="740"/>
    </row>
    <row r="287" ht="14.25" customHeight="1">
      <c r="A287" s="740"/>
    </row>
    <row r="288" ht="14.25" customHeight="1">
      <c r="A288" s="740"/>
    </row>
    <row r="289" ht="14.25" customHeight="1">
      <c r="A289" s="740"/>
    </row>
    <row r="290" ht="14.25" customHeight="1">
      <c r="A290" s="740"/>
    </row>
    <row r="291" ht="14.25" customHeight="1">
      <c r="A291" s="740"/>
    </row>
    <row r="292" ht="14.25" customHeight="1">
      <c r="A292" s="740"/>
    </row>
    <row r="293" ht="14.25" customHeight="1">
      <c r="A293" s="740"/>
    </row>
    <row r="294" ht="14.25" customHeight="1">
      <c r="A294" s="740"/>
    </row>
    <row r="295" ht="14.25" customHeight="1">
      <c r="A295" s="740"/>
    </row>
    <row r="296" ht="14.25" customHeight="1">
      <c r="A296" s="740"/>
    </row>
    <row r="297" ht="14.25" customHeight="1">
      <c r="A297" s="740"/>
    </row>
    <row r="298" ht="14.25" customHeight="1">
      <c r="A298" s="740"/>
    </row>
    <row r="299" ht="14.25" customHeight="1">
      <c r="A299" s="740"/>
    </row>
    <row r="300" ht="14.25" customHeight="1">
      <c r="A300" s="740"/>
    </row>
    <row r="301" ht="14.25" customHeight="1">
      <c r="A301" s="740"/>
    </row>
    <row r="302" ht="14.25" customHeight="1">
      <c r="A302" s="740"/>
    </row>
    <row r="303" ht="14.25" customHeight="1">
      <c r="A303" s="740"/>
    </row>
    <row r="304" ht="14.25" customHeight="1">
      <c r="A304" s="740"/>
    </row>
    <row r="305" ht="14.25" customHeight="1">
      <c r="A305" s="740"/>
    </row>
    <row r="306" ht="14.25" customHeight="1">
      <c r="A306" s="740"/>
    </row>
    <row r="307" ht="14.25" customHeight="1">
      <c r="A307" s="740"/>
    </row>
    <row r="308" ht="14.25" customHeight="1">
      <c r="A308" s="740"/>
    </row>
    <row r="309" ht="14.25" customHeight="1">
      <c r="A309" s="740"/>
    </row>
    <row r="310" ht="14.25" customHeight="1">
      <c r="A310" s="740"/>
    </row>
    <row r="311" ht="14.25" customHeight="1">
      <c r="A311" s="740"/>
    </row>
    <row r="312" ht="14.25" customHeight="1">
      <c r="A312" s="740"/>
    </row>
    <row r="313" ht="14.25" customHeight="1">
      <c r="A313" s="740"/>
    </row>
    <row r="314" ht="14.25" customHeight="1">
      <c r="A314" s="740"/>
    </row>
    <row r="315" ht="14.25" customHeight="1">
      <c r="A315" s="740"/>
    </row>
    <row r="316" ht="14.25" customHeight="1">
      <c r="A316" s="740"/>
    </row>
    <row r="317" ht="14.25" customHeight="1">
      <c r="A317" s="740"/>
    </row>
    <row r="318" ht="14.25" customHeight="1">
      <c r="A318" s="740"/>
    </row>
    <row r="319" ht="14.25" customHeight="1">
      <c r="A319" s="740"/>
    </row>
    <row r="320" ht="14.25" customHeight="1">
      <c r="A320" s="740"/>
    </row>
    <row r="321" ht="14.25" customHeight="1">
      <c r="A321" s="740"/>
    </row>
    <row r="322" ht="14.25" customHeight="1">
      <c r="A322" s="740"/>
    </row>
    <row r="323" ht="14.25" customHeight="1">
      <c r="A323" s="740"/>
    </row>
    <row r="324" ht="14.25" customHeight="1">
      <c r="A324" s="740"/>
    </row>
    <row r="325" ht="14.25" customHeight="1">
      <c r="A325" s="740"/>
    </row>
    <row r="326" ht="14.25" customHeight="1">
      <c r="A326" s="740"/>
    </row>
    <row r="327" ht="14.25" customHeight="1">
      <c r="A327" s="740"/>
    </row>
    <row r="328" ht="14.25" customHeight="1">
      <c r="A328" s="740"/>
    </row>
    <row r="329" ht="14.25" customHeight="1">
      <c r="A329" s="740"/>
    </row>
    <row r="330" ht="14.25" customHeight="1">
      <c r="A330" s="740"/>
    </row>
    <row r="331" ht="14.25" customHeight="1">
      <c r="A331" s="740"/>
    </row>
    <row r="332" ht="14.25" customHeight="1">
      <c r="A332" s="740"/>
    </row>
    <row r="333" ht="14.25" customHeight="1">
      <c r="A333" s="740"/>
    </row>
    <row r="334" ht="14.25" customHeight="1">
      <c r="A334" s="740"/>
    </row>
    <row r="335" ht="14.25" customHeight="1">
      <c r="A335" s="740"/>
    </row>
    <row r="336" ht="14.25" customHeight="1">
      <c r="A336" s="740"/>
    </row>
    <row r="337" ht="14.25" customHeight="1">
      <c r="A337" s="740"/>
    </row>
    <row r="338" ht="14.25" customHeight="1">
      <c r="A338" s="740"/>
    </row>
    <row r="339" ht="14.25" customHeight="1">
      <c r="A339" s="740"/>
    </row>
    <row r="340" ht="14.25" customHeight="1">
      <c r="A340" s="740"/>
    </row>
    <row r="341" ht="14.25" customHeight="1">
      <c r="A341" s="740"/>
    </row>
    <row r="342" ht="14.25" customHeight="1">
      <c r="A342" s="740"/>
    </row>
    <row r="343" ht="14.25" customHeight="1">
      <c r="A343" s="740"/>
    </row>
    <row r="344" ht="14.25" customHeight="1">
      <c r="A344" s="740"/>
    </row>
    <row r="345" ht="14.25" customHeight="1">
      <c r="A345" s="740"/>
    </row>
    <row r="346" ht="14.25" customHeight="1">
      <c r="A346" s="740"/>
    </row>
    <row r="347" ht="14.25" customHeight="1">
      <c r="A347" s="740"/>
    </row>
    <row r="348" ht="14.25" customHeight="1">
      <c r="A348" s="740"/>
    </row>
    <row r="349" ht="14.25" customHeight="1">
      <c r="A349" s="740"/>
    </row>
    <row r="350" ht="14.25" customHeight="1">
      <c r="A350" s="740"/>
    </row>
    <row r="351" ht="14.25" customHeight="1">
      <c r="A351" s="740"/>
    </row>
    <row r="352" ht="14.25" customHeight="1">
      <c r="A352" s="740"/>
    </row>
    <row r="353" ht="14.25" customHeight="1">
      <c r="A353" s="740"/>
    </row>
    <row r="354" ht="14.25" customHeight="1">
      <c r="A354" s="740"/>
    </row>
    <row r="355" ht="14.25" customHeight="1">
      <c r="A355" s="740"/>
    </row>
    <row r="356" ht="14.25" customHeight="1">
      <c r="A356" s="740"/>
    </row>
    <row r="357" ht="14.25" customHeight="1">
      <c r="A357" s="740"/>
    </row>
    <row r="358" ht="14.25" customHeight="1">
      <c r="A358" s="740"/>
    </row>
    <row r="359" ht="14.25" customHeight="1">
      <c r="A359" s="740"/>
    </row>
    <row r="360" ht="14.25" customHeight="1">
      <c r="A360" s="740"/>
    </row>
    <row r="361" ht="14.25" customHeight="1">
      <c r="A361" s="740"/>
    </row>
    <row r="362" ht="14.25" customHeight="1">
      <c r="A362" s="740"/>
    </row>
    <row r="363" ht="14.25" customHeight="1">
      <c r="A363" s="740"/>
    </row>
    <row r="364" ht="14.25" customHeight="1">
      <c r="A364" s="740"/>
    </row>
    <row r="365" ht="14.25" customHeight="1">
      <c r="A365" s="740"/>
    </row>
    <row r="366" ht="14.25" customHeight="1">
      <c r="A366" s="740"/>
    </row>
    <row r="367" ht="14.25" customHeight="1">
      <c r="A367" s="740"/>
    </row>
    <row r="368" ht="14.25" customHeight="1">
      <c r="A368" s="740"/>
    </row>
    <row r="369" ht="14.25" customHeight="1">
      <c r="A369" s="740"/>
    </row>
    <row r="370" ht="14.25" customHeight="1">
      <c r="A370" s="740"/>
    </row>
    <row r="371" ht="14.25" customHeight="1">
      <c r="A371" s="740"/>
    </row>
    <row r="372" ht="14.25" customHeight="1">
      <c r="A372" s="740"/>
    </row>
    <row r="373" ht="14.25" customHeight="1">
      <c r="A373" s="740"/>
    </row>
    <row r="374" ht="14.25" customHeight="1">
      <c r="A374" s="740"/>
    </row>
    <row r="375" ht="14.25" customHeight="1">
      <c r="A375" s="740"/>
    </row>
    <row r="376" ht="14.25" customHeight="1">
      <c r="A376" s="740"/>
    </row>
    <row r="377" ht="14.25" customHeight="1">
      <c r="A377" s="740"/>
    </row>
    <row r="378" ht="14.25" customHeight="1">
      <c r="A378" s="740"/>
    </row>
    <row r="379" ht="14.25" customHeight="1">
      <c r="A379" s="740"/>
    </row>
    <row r="380" ht="14.25" customHeight="1">
      <c r="A380" s="740"/>
    </row>
    <row r="381" ht="14.25" customHeight="1">
      <c r="A381" s="740"/>
    </row>
    <row r="382" ht="14.25" customHeight="1">
      <c r="A382" s="740"/>
    </row>
    <row r="383" ht="14.25" customHeight="1">
      <c r="A383" s="740"/>
    </row>
    <row r="384" ht="14.25" customHeight="1">
      <c r="A384" s="740"/>
    </row>
    <row r="385" ht="14.25" customHeight="1">
      <c r="A385" s="740"/>
    </row>
    <row r="386" ht="14.25" customHeight="1">
      <c r="A386" s="740"/>
    </row>
    <row r="387" ht="14.25" customHeight="1">
      <c r="A387" s="740"/>
    </row>
    <row r="388" ht="14.25" customHeight="1">
      <c r="A388" s="740"/>
    </row>
    <row r="389" ht="14.25" customHeight="1">
      <c r="A389" s="740"/>
    </row>
    <row r="390" ht="14.25" customHeight="1">
      <c r="A390" s="740"/>
    </row>
    <row r="391" ht="14.25" customHeight="1">
      <c r="A391" s="740"/>
    </row>
    <row r="392" ht="14.25" customHeight="1">
      <c r="A392" s="740"/>
    </row>
    <row r="393" ht="14.25" customHeight="1">
      <c r="A393" s="740"/>
    </row>
    <row r="394" ht="14.25" customHeight="1">
      <c r="A394" s="740"/>
    </row>
    <row r="395" ht="14.25" customHeight="1">
      <c r="A395" s="740"/>
    </row>
    <row r="396" ht="14.25" customHeight="1">
      <c r="A396" s="740"/>
    </row>
    <row r="397" ht="14.25" customHeight="1">
      <c r="A397" s="740"/>
    </row>
    <row r="398" ht="14.25" customHeight="1">
      <c r="A398" s="740"/>
    </row>
    <row r="399" ht="14.25" customHeight="1">
      <c r="A399" s="740"/>
    </row>
    <row r="400" ht="14.25" customHeight="1">
      <c r="A400" s="740"/>
    </row>
    <row r="401" ht="14.25" customHeight="1">
      <c r="A401" s="740"/>
    </row>
    <row r="402" ht="14.25" customHeight="1">
      <c r="A402" s="740"/>
    </row>
    <row r="403" ht="14.25" customHeight="1">
      <c r="A403" s="740"/>
    </row>
    <row r="404" ht="14.25" customHeight="1">
      <c r="A404" s="740"/>
    </row>
    <row r="405" ht="14.25" customHeight="1">
      <c r="A405" s="740"/>
    </row>
    <row r="406" ht="14.25" customHeight="1">
      <c r="A406" s="740"/>
    </row>
    <row r="407" ht="14.25" customHeight="1">
      <c r="A407" s="740"/>
    </row>
    <row r="408" ht="14.25" customHeight="1">
      <c r="A408" s="740"/>
    </row>
    <row r="409" ht="14.25" customHeight="1">
      <c r="A409" s="740"/>
    </row>
    <row r="410" ht="14.25" customHeight="1">
      <c r="A410" s="740"/>
    </row>
    <row r="411" ht="14.25" customHeight="1">
      <c r="A411" s="740"/>
    </row>
    <row r="412" ht="14.25" customHeight="1">
      <c r="A412" s="740"/>
    </row>
    <row r="413" ht="14.25" customHeight="1">
      <c r="A413" s="740"/>
    </row>
    <row r="414" ht="14.25" customHeight="1">
      <c r="A414" s="740"/>
    </row>
    <row r="415" ht="14.25" customHeight="1">
      <c r="A415" s="740"/>
    </row>
    <row r="416" ht="14.25" customHeight="1">
      <c r="A416" s="740"/>
    </row>
    <row r="417" ht="14.25" customHeight="1">
      <c r="A417" s="740"/>
    </row>
    <row r="418" ht="14.25" customHeight="1">
      <c r="A418" s="740"/>
    </row>
    <row r="419" ht="14.25" customHeight="1">
      <c r="A419" s="740"/>
    </row>
    <row r="420" ht="14.25" customHeight="1">
      <c r="A420" s="740"/>
    </row>
    <row r="421" ht="14.25" customHeight="1">
      <c r="A421" s="740"/>
    </row>
    <row r="422" ht="14.25" customHeight="1">
      <c r="A422" s="740"/>
    </row>
    <row r="423" ht="14.25" customHeight="1">
      <c r="A423" s="740"/>
    </row>
    <row r="424" ht="14.25" customHeight="1">
      <c r="A424" s="740"/>
    </row>
    <row r="425" ht="14.25" customHeight="1">
      <c r="A425" s="740"/>
    </row>
    <row r="426" ht="14.25" customHeight="1">
      <c r="A426" s="740"/>
    </row>
    <row r="427" ht="14.25" customHeight="1">
      <c r="A427" s="740"/>
    </row>
    <row r="428" ht="14.25" customHeight="1">
      <c r="A428" s="740"/>
    </row>
    <row r="429" ht="14.25" customHeight="1">
      <c r="A429" s="740"/>
    </row>
    <row r="430" ht="14.25" customHeight="1">
      <c r="A430" s="740"/>
    </row>
    <row r="431" ht="14.25" customHeight="1">
      <c r="A431" s="740"/>
    </row>
    <row r="432" ht="14.25" customHeight="1">
      <c r="A432" s="740"/>
    </row>
    <row r="433" ht="14.25" customHeight="1">
      <c r="A433" s="740"/>
    </row>
    <row r="434" ht="14.25" customHeight="1">
      <c r="A434" s="740"/>
    </row>
    <row r="435" ht="14.25" customHeight="1">
      <c r="A435" s="740"/>
    </row>
    <row r="436" ht="14.25" customHeight="1">
      <c r="A436" s="740"/>
    </row>
    <row r="437" ht="14.25" customHeight="1">
      <c r="A437" s="740"/>
    </row>
    <row r="438" ht="14.25" customHeight="1">
      <c r="A438" s="740"/>
    </row>
    <row r="439" ht="14.25" customHeight="1">
      <c r="A439" s="740"/>
    </row>
    <row r="440" ht="14.25" customHeight="1">
      <c r="A440" s="740"/>
    </row>
    <row r="441" ht="14.25" customHeight="1">
      <c r="A441" s="740"/>
    </row>
    <row r="442" ht="14.25" customHeight="1">
      <c r="A442" s="740"/>
    </row>
    <row r="443" ht="14.25" customHeight="1">
      <c r="A443" s="740"/>
    </row>
    <row r="444" ht="14.25" customHeight="1">
      <c r="A444" s="740"/>
    </row>
    <row r="445" ht="14.25" customHeight="1">
      <c r="A445" s="740"/>
    </row>
    <row r="446" ht="14.25" customHeight="1">
      <c r="A446" s="740"/>
    </row>
    <row r="447" ht="14.25" customHeight="1">
      <c r="A447" s="740"/>
    </row>
    <row r="448" ht="14.25" customHeight="1">
      <c r="A448" s="740"/>
    </row>
    <row r="449" ht="14.25" customHeight="1">
      <c r="A449" s="740"/>
    </row>
    <row r="450" ht="14.25" customHeight="1">
      <c r="A450" s="740"/>
    </row>
    <row r="451" ht="14.25" customHeight="1">
      <c r="A451" s="740"/>
    </row>
    <row r="452" ht="14.25" customHeight="1">
      <c r="A452" s="740"/>
    </row>
    <row r="453" ht="14.25" customHeight="1">
      <c r="A453" s="740"/>
    </row>
    <row r="454" ht="14.25" customHeight="1">
      <c r="A454" s="740"/>
    </row>
    <row r="455" ht="14.25" customHeight="1">
      <c r="A455" s="740"/>
    </row>
    <row r="456" ht="14.25" customHeight="1">
      <c r="A456" s="740"/>
    </row>
    <row r="457" ht="14.25" customHeight="1">
      <c r="A457" s="740"/>
    </row>
    <row r="458" ht="14.25" customHeight="1">
      <c r="A458" s="740"/>
    </row>
    <row r="459" ht="14.25" customHeight="1">
      <c r="A459" s="740"/>
    </row>
    <row r="460" ht="14.25" customHeight="1">
      <c r="A460" s="740"/>
    </row>
    <row r="461" ht="14.25" customHeight="1">
      <c r="A461" s="740"/>
    </row>
    <row r="462" ht="14.25" customHeight="1">
      <c r="A462" s="740"/>
    </row>
    <row r="463" ht="14.25" customHeight="1">
      <c r="A463" s="740"/>
    </row>
    <row r="464" ht="14.25" customHeight="1">
      <c r="A464" s="740"/>
    </row>
    <row r="465" ht="14.25" customHeight="1">
      <c r="A465" s="740"/>
    </row>
    <row r="466" ht="14.25" customHeight="1">
      <c r="A466" s="740"/>
    </row>
    <row r="467" ht="14.25" customHeight="1">
      <c r="A467" s="740"/>
    </row>
    <row r="468" ht="14.25" customHeight="1">
      <c r="A468" s="740"/>
    </row>
    <row r="469" ht="14.25" customHeight="1">
      <c r="A469" s="740"/>
    </row>
    <row r="470" ht="14.25" customHeight="1">
      <c r="A470" s="740"/>
    </row>
    <row r="471" ht="14.25" customHeight="1">
      <c r="A471" s="740"/>
    </row>
    <row r="472" ht="14.25" customHeight="1">
      <c r="A472" s="740"/>
    </row>
    <row r="473" ht="14.25" customHeight="1">
      <c r="A473" s="740"/>
    </row>
    <row r="474" ht="14.25" customHeight="1">
      <c r="A474" s="740"/>
    </row>
    <row r="475" ht="14.25" customHeight="1">
      <c r="A475" s="740"/>
    </row>
    <row r="476" ht="14.25" customHeight="1">
      <c r="A476" s="740"/>
    </row>
    <row r="477" ht="14.25" customHeight="1">
      <c r="A477" s="740"/>
    </row>
    <row r="478" ht="14.25" customHeight="1">
      <c r="A478" s="740"/>
    </row>
    <row r="479" ht="14.25" customHeight="1">
      <c r="A479" s="740"/>
    </row>
    <row r="480" ht="14.25" customHeight="1">
      <c r="A480" s="740"/>
    </row>
    <row r="481" ht="14.25" customHeight="1">
      <c r="A481" s="740"/>
    </row>
    <row r="482" ht="14.25" customHeight="1">
      <c r="A482" s="740"/>
    </row>
    <row r="483" ht="14.25" customHeight="1">
      <c r="A483" s="740"/>
    </row>
    <row r="484" ht="14.25" customHeight="1">
      <c r="A484" s="740"/>
    </row>
    <row r="485" ht="14.25" customHeight="1">
      <c r="A485" s="740"/>
    </row>
    <row r="486" ht="14.25" customHeight="1">
      <c r="A486" s="740"/>
    </row>
    <row r="487" ht="14.25" customHeight="1">
      <c r="A487" s="740"/>
    </row>
    <row r="488" ht="14.25" customHeight="1">
      <c r="A488" s="740"/>
    </row>
    <row r="489" ht="14.25" customHeight="1">
      <c r="A489" s="740"/>
    </row>
    <row r="490" ht="14.25" customHeight="1">
      <c r="A490" s="740"/>
    </row>
    <row r="491" ht="14.25" customHeight="1">
      <c r="A491" s="740"/>
    </row>
    <row r="492" ht="14.25" customHeight="1">
      <c r="A492" s="740"/>
    </row>
    <row r="493" ht="14.25" customHeight="1">
      <c r="A493" s="740"/>
    </row>
    <row r="494" ht="14.25" customHeight="1">
      <c r="A494" s="740"/>
    </row>
    <row r="495" ht="14.25" customHeight="1">
      <c r="A495" s="740"/>
    </row>
    <row r="496" ht="14.25" customHeight="1">
      <c r="A496" s="740"/>
    </row>
    <row r="497" ht="14.25" customHeight="1">
      <c r="A497" s="740"/>
    </row>
    <row r="498" ht="14.25" customHeight="1">
      <c r="A498" s="740"/>
    </row>
    <row r="499" ht="14.25" customHeight="1">
      <c r="A499" s="740"/>
    </row>
    <row r="500" ht="14.25" customHeight="1">
      <c r="A500" s="740"/>
    </row>
    <row r="501" ht="14.25" customHeight="1">
      <c r="A501" s="740"/>
    </row>
    <row r="502" ht="14.25" customHeight="1">
      <c r="A502" s="740"/>
    </row>
    <row r="503" ht="14.25" customHeight="1">
      <c r="A503" s="740"/>
    </row>
    <row r="504" ht="14.25" customHeight="1">
      <c r="A504" s="740"/>
    </row>
    <row r="505" ht="14.25" customHeight="1">
      <c r="A505" s="740"/>
    </row>
    <row r="506" ht="14.25" customHeight="1">
      <c r="A506" s="740"/>
    </row>
    <row r="507" ht="14.25" customHeight="1">
      <c r="A507" s="740"/>
    </row>
    <row r="508" ht="14.25" customHeight="1">
      <c r="A508" s="740"/>
    </row>
    <row r="509" ht="14.25" customHeight="1">
      <c r="A509" s="740"/>
    </row>
    <row r="510" ht="14.25" customHeight="1">
      <c r="A510" s="740"/>
    </row>
    <row r="511" ht="14.25" customHeight="1">
      <c r="A511" s="740"/>
    </row>
    <row r="512" ht="14.25" customHeight="1">
      <c r="A512" s="740"/>
    </row>
    <row r="513" ht="14.25" customHeight="1">
      <c r="A513" s="740"/>
    </row>
    <row r="514" ht="14.25" customHeight="1">
      <c r="A514" s="740"/>
    </row>
    <row r="515" ht="14.25" customHeight="1">
      <c r="A515" s="740"/>
    </row>
    <row r="516" ht="14.25" customHeight="1">
      <c r="A516" s="740"/>
    </row>
    <row r="517" ht="14.25" customHeight="1">
      <c r="A517" s="740"/>
    </row>
    <row r="518" ht="14.25" customHeight="1">
      <c r="A518" s="740"/>
    </row>
    <row r="519" ht="14.25" customHeight="1">
      <c r="A519" s="740"/>
    </row>
    <row r="520" ht="14.25" customHeight="1">
      <c r="A520" s="740"/>
    </row>
    <row r="521" ht="14.25" customHeight="1">
      <c r="A521" s="740"/>
    </row>
    <row r="522" ht="14.25" customHeight="1">
      <c r="A522" s="740"/>
    </row>
    <row r="523" ht="14.25" customHeight="1">
      <c r="A523" s="740"/>
    </row>
    <row r="524" ht="14.25" customHeight="1">
      <c r="A524" s="740"/>
    </row>
    <row r="525" ht="14.25" customHeight="1">
      <c r="A525" s="740"/>
    </row>
    <row r="526" ht="14.25" customHeight="1">
      <c r="A526" s="740"/>
    </row>
    <row r="527" ht="14.25" customHeight="1">
      <c r="A527" s="740"/>
    </row>
    <row r="528" ht="14.25" customHeight="1">
      <c r="A528" s="740"/>
    </row>
    <row r="529" ht="14.25" customHeight="1">
      <c r="A529" s="740"/>
    </row>
    <row r="530" ht="14.25" customHeight="1">
      <c r="A530" s="740"/>
    </row>
    <row r="531" ht="14.25" customHeight="1">
      <c r="A531" s="740"/>
    </row>
    <row r="532" ht="14.25" customHeight="1">
      <c r="A532" s="740"/>
    </row>
    <row r="533" ht="14.25" customHeight="1">
      <c r="A533" s="740"/>
    </row>
    <row r="534" ht="14.25" customHeight="1">
      <c r="A534" s="740"/>
    </row>
    <row r="535" ht="14.25" customHeight="1">
      <c r="A535" s="740"/>
    </row>
    <row r="536" ht="14.25" customHeight="1">
      <c r="A536" s="740"/>
    </row>
    <row r="537" ht="14.25" customHeight="1">
      <c r="A537" s="740"/>
    </row>
    <row r="538" ht="14.25" customHeight="1">
      <c r="A538" s="740"/>
    </row>
    <row r="539" ht="14.25" customHeight="1">
      <c r="A539" s="740"/>
    </row>
    <row r="540" ht="14.25" customHeight="1">
      <c r="A540" s="740"/>
    </row>
    <row r="541" ht="14.25" customHeight="1">
      <c r="A541" s="740"/>
    </row>
    <row r="542" ht="14.25" customHeight="1">
      <c r="A542" s="740"/>
    </row>
    <row r="543" ht="14.25" customHeight="1">
      <c r="A543" s="740"/>
    </row>
    <row r="544" ht="14.25" customHeight="1">
      <c r="A544" s="740"/>
    </row>
    <row r="545" ht="14.25" customHeight="1">
      <c r="A545" s="740"/>
    </row>
    <row r="546" ht="14.25" customHeight="1">
      <c r="A546" s="740"/>
    </row>
    <row r="547" ht="14.25" customHeight="1">
      <c r="A547" s="740"/>
    </row>
    <row r="548" ht="14.25" customHeight="1">
      <c r="A548" s="740"/>
    </row>
    <row r="549" ht="14.25" customHeight="1">
      <c r="A549" s="740"/>
    </row>
    <row r="550" ht="14.25" customHeight="1">
      <c r="A550" s="740"/>
    </row>
    <row r="551" ht="14.25" customHeight="1">
      <c r="A551" s="740"/>
    </row>
    <row r="552" ht="14.25" customHeight="1">
      <c r="A552" s="740"/>
    </row>
    <row r="553" ht="14.25" customHeight="1">
      <c r="A553" s="740"/>
    </row>
    <row r="554" ht="14.25" customHeight="1">
      <c r="A554" s="740"/>
    </row>
    <row r="555" ht="14.25" customHeight="1">
      <c r="A555" s="740"/>
    </row>
    <row r="556" ht="14.25" customHeight="1">
      <c r="A556" s="740"/>
    </row>
    <row r="557" ht="14.25" customHeight="1">
      <c r="A557" s="740"/>
    </row>
    <row r="558" ht="14.25" customHeight="1">
      <c r="A558" s="740"/>
    </row>
    <row r="559" ht="14.25" customHeight="1">
      <c r="A559" s="740"/>
    </row>
    <row r="560" ht="14.25" customHeight="1">
      <c r="A560" s="740"/>
    </row>
    <row r="561" ht="14.25" customHeight="1">
      <c r="A561" s="740"/>
    </row>
    <row r="562" ht="14.25" customHeight="1">
      <c r="A562" s="740"/>
    </row>
    <row r="563" ht="14.25" customHeight="1">
      <c r="A563" s="740"/>
    </row>
    <row r="564" ht="14.25" customHeight="1">
      <c r="A564" s="740"/>
    </row>
    <row r="565" ht="14.25" customHeight="1">
      <c r="A565" s="740"/>
    </row>
    <row r="566" ht="14.25" customHeight="1">
      <c r="A566" s="740"/>
    </row>
    <row r="567" ht="14.25" customHeight="1">
      <c r="A567" s="740"/>
    </row>
    <row r="568" ht="14.25" customHeight="1">
      <c r="A568" s="740"/>
    </row>
    <row r="569" ht="14.25" customHeight="1">
      <c r="A569" s="740"/>
    </row>
    <row r="570" ht="14.25" customHeight="1">
      <c r="A570" s="740"/>
    </row>
    <row r="571" ht="14.25" customHeight="1">
      <c r="A571" s="740"/>
    </row>
    <row r="572" ht="14.25" customHeight="1">
      <c r="A572" s="740"/>
    </row>
    <row r="573" ht="14.25" customHeight="1">
      <c r="A573" s="740"/>
    </row>
    <row r="574" ht="14.25" customHeight="1">
      <c r="A574" s="740"/>
    </row>
    <row r="575" ht="14.25" customHeight="1">
      <c r="A575" s="740"/>
    </row>
    <row r="576" ht="14.25" customHeight="1">
      <c r="A576" s="740"/>
    </row>
    <row r="577" ht="14.25" customHeight="1">
      <c r="A577" s="740"/>
    </row>
    <row r="578" ht="14.25" customHeight="1">
      <c r="A578" s="740"/>
    </row>
    <row r="579" ht="14.25" customHeight="1">
      <c r="A579" s="740"/>
    </row>
    <row r="580" ht="14.25" customHeight="1">
      <c r="A580" s="740"/>
    </row>
    <row r="581" ht="14.25" customHeight="1">
      <c r="A581" s="740"/>
    </row>
    <row r="582" ht="14.25" customHeight="1">
      <c r="A582" s="740"/>
    </row>
    <row r="583" ht="14.25" customHeight="1">
      <c r="A583" s="740"/>
    </row>
    <row r="584" ht="14.25" customHeight="1">
      <c r="A584" s="740"/>
    </row>
    <row r="585" ht="14.25" customHeight="1">
      <c r="A585" s="740"/>
    </row>
    <row r="586" ht="14.25" customHeight="1">
      <c r="A586" s="740"/>
    </row>
    <row r="587" ht="14.25" customHeight="1">
      <c r="A587" s="740"/>
    </row>
    <row r="588" ht="14.25" customHeight="1">
      <c r="A588" s="740"/>
    </row>
    <row r="589" ht="14.25" customHeight="1">
      <c r="A589" s="740"/>
    </row>
    <row r="590" ht="14.25" customHeight="1">
      <c r="A590" s="740"/>
    </row>
    <row r="591" ht="14.25" customHeight="1">
      <c r="A591" s="740"/>
    </row>
    <row r="592" ht="14.25" customHeight="1">
      <c r="A592" s="740"/>
    </row>
    <row r="593" ht="14.25" customHeight="1">
      <c r="A593" s="740"/>
    </row>
    <row r="594" ht="14.25" customHeight="1">
      <c r="A594" s="740"/>
    </row>
    <row r="595" ht="14.25" customHeight="1">
      <c r="A595" s="740"/>
    </row>
    <row r="596" ht="14.25" customHeight="1">
      <c r="A596" s="740"/>
    </row>
    <row r="597" ht="14.25" customHeight="1">
      <c r="A597" s="740"/>
    </row>
    <row r="598" ht="14.25" customHeight="1">
      <c r="A598" s="740"/>
    </row>
    <row r="599" ht="14.25" customHeight="1">
      <c r="A599" s="740"/>
    </row>
    <row r="600" ht="14.25" customHeight="1">
      <c r="A600" s="740"/>
    </row>
    <row r="601" ht="14.25" customHeight="1">
      <c r="A601" s="740"/>
    </row>
    <row r="602" ht="14.25" customHeight="1">
      <c r="A602" s="740"/>
    </row>
    <row r="603" ht="14.25" customHeight="1">
      <c r="A603" s="740"/>
    </row>
    <row r="604" ht="14.25" customHeight="1">
      <c r="A604" s="740"/>
    </row>
    <row r="605" ht="14.25" customHeight="1">
      <c r="A605" s="740"/>
    </row>
    <row r="606" ht="14.25" customHeight="1">
      <c r="A606" s="740"/>
    </row>
    <row r="607" ht="14.25" customHeight="1">
      <c r="A607" s="740"/>
    </row>
    <row r="608" ht="14.25" customHeight="1">
      <c r="A608" s="740"/>
    </row>
    <row r="609" ht="14.25" customHeight="1">
      <c r="A609" s="740"/>
    </row>
    <row r="610" ht="14.25" customHeight="1">
      <c r="A610" s="740"/>
    </row>
    <row r="611" ht="14.25" customHeight="1">
      <c r="A611" s="740"/>
    </row>
    <row r="612" ht="14.25" customHeight="1">
      <c r="A612" s="740"/>
    </row>
    <row r="613" ht="14.25" customHeight="1">
      <c r="A613" s="740"/>
    </row>
    <row r="614" ht="14.25" customHeight="1">
      <c r="A614" s="740"/>
    </row>
    <row r="615" ht="14.25" customHeight="1">
      <c r="A615" s="740"/>
    </row>
    <row r="616" ht="14.25" customHeight="1">
      <c r="A616" s="740"/>
    </row>
    <row r="617" ht="14.25" customHeight="1">
      <c r="A617" s="740"/>
    </row>
    <row r="618" ht="14.25" customHeight="1">
      <c r="A618" s="740"/>
    </row>
    <row r="619" ht="14.25" customHeight="1">
      <c r="A619" s="740"/>
    </row>
    <row r="620" ht="14.25" customHeight="1">
      <c r="A620" s="740"/>
    </row>
    <row r="621" ht="14.25" customHeight="1">
      <c r="A621" s="740"/>
    </row>
    <row r="622" ht="14.25" customHeight="1">
      <c r="A622" s="740"/>
    </row>
    <row r="623" ht="14.25" customHeight="1">
      <c r="A623" s="740"/>
    </row>
    <row r="624" ht="14.25" customHeight="1">
      <c r="A624" s="740"/>
    </row>
    <row r="625" ht="14.25" customHeight="1">
      <c r="A625" s="740"/>
    </row>
    <row r="626" ht="14.25" customHeight="1">
      <c r="A626" s="740"/>
    </row>
    <row r="627" ht="14.25" customHeight="1">
      <c r="A627" s="740"/>
    </row>
    <row r="628" ht="14.25" customHeight="1">
      <c r="A628" s="740"/>
    </row>
    <row r="629" ht="14.25" customHeight="1">
      <c r="A629" s="740"/>
    </row>
    <row r="630" ht="14.25" customHeight="1">
      <c r="A630" s="740"/>
    </row>
    <row r="631" ht="14.25" customHeight="1">
      <c r="A631" s="740"/>
    </row>
    <row r="632" ht="14.25" customHeight="1">
      <c r="A632" s="740"/>
    </row>
    <row r="633" ht="14.25" customHeight="1">
      <c r="A633" s="740"/>
    </row>
    <row r="634" ht="14.25" customHeight="1">
      <c r="A634" s="740"/>
    </row>
    <row r="635" ht="14.25" customHeight="1">
      <c r="A635" s="740"/>
    </row>
    <row r="636" ht="14.25" customHeight="1">
      <c r="A636" s="740"/>
    </row>
    <row r="637" ht="14.25" customHeight="1">
      <c r="A637" s="740"/>
    </row>
    <row r="638" ht="14.25" customHeight="1">
      <c r="A638" s="740"/>
    </row>
    <row r="639" ht="14.25" customHeight="1">
      <c r="A639" s="740"/>
    </row>
    <row r="640" ht="14.25" customHeight="1">
      <c r="A640" s="740"/>
    </row>
    <row r="641" ht="14.25" customHeight="1">
      <c r="A641" s="740"/>
    </row>
    <row r="642" ht="14.25" customHeight="1">
      <c r="A642" s="740"/>
    </row>
    <row r="643" ht="14.25" customHeight="1">
      <c r="A643" s="740"/>
    </row>
    <row r="644" ht="14.25" customHeight="1">
      <c r="A644" s="740"/>
    </row>
    <row r="645" ht="14.25" customHeight="1">
      <c r="A645" s="740"/>
    </row>
    <row r="646" ht="14.25" customHeight="1">
      <c r="A646" s="740"/>
    </row>
    <row r="647" ht="14.25" customHeight="1">
      <c r="A647" s="740"/>
    </row>
    <row r="648" ht="14.25" customHeight="1">
      <c r="A648" s="740"/>
    </row>
    <row r="649" ht="14.25" customHeight="1">
      <c r="A649" s="740"/>
    </row>
    <row r="650" ht="14.25" customHeight="1">
      <c r="A650" s="740"/>
    </row>
    <row r="651" ht="14.25" customHeight="1">
      <c r="A651" s="740"/>
    </row>
    <row r="652" ht="14.25" customHeight="1">
      <c r="A652" s="740"/>
    </row>
    <row r="653" ht="14.25" customHeight="1">
      <c r="A653" s="740"/>
    </row>
    <row r="654" ht="14.25" customHeight="1">
      <c r="A654" s="740"/>
    </row>
    <row r="655" ht="14.25" customHeight="1">
      <c r="A655" s="740"/>
    </row>
    <row r="656" ht="14.25" customHeight="1">
      <c r="A656" s="740"/>
    </row>
    <row r="657" ht="14.25" customHeight="1">
      <c r="A657" s="740"/>
    </row>
    <row r="658" ht="14.25" customHeight="1">
      <c r="A658" s="740"/>
    </row>
    <row r="659" ht="14.25" customHeight="1">
      <c r="A659" s="740"/>
    </row>
    <row r="660" ht="14.25" customHeight="1">
      <c r="A660" s="740"/>
    </row>
    <row r="661" ht="14.25" customHeight="1">
      <c r="A661" s="740"/>
    </row>
    <row r="662" ht="14.25" customHeight="1">
      <c r="A662" s="740"/>
    </row>
    <row r="663" ht="14.25" customHeight="1">
      <c r="A663" s="740"/>
    </row>
    <row r="664" ht="14.25" customHeight="1">
      <c r="A664" s="740"/>
    </row>
    <row r="665" ht="14.25" customHeight="1">
      <c r="A665" s="740"/>
    </row>
    <row r="666" ht="14.25" customHeight="1">
      <c r="A666" s="740"/>
    </row>
    <row r="667" ht="14.25" customHeight="1">
      <c r="A667" s="740"/>
    </row>
    <row r="668" ht="14.25" customHeight="1">
      <c r="A668" s="740"/>
    </row>
    <row r="669" ht="14.25" customHeight="1">
      <c r="A669" s="740"/>
    </row>
    <row r="670" ht="14.25" customHeight="1">
      <c r="A670" s="740"/>
    </row>
    <row r="671" ht="14.25" customHeight="1">
      <c r="A671" s="740"/>
    </row>
    <row r="672" ht="14.25" customHeight="1">
      <c r="A672" s="740"/>
    </row>
    <row r="673" ht="14.25" customHeight="1">
      <c r="A673" s="740"/>
    </row>
    <row r="674" ht="14.25" customHeight="1">
      <c r="A674" s="740"/>
    </row>
    <row r="675" ht="14.25" customHeight="1">
      <c r="A675" s="740"/>
    </row>
    <row r="676" ht="14.25" customHeight="1">
      <c r="A676" s="740"/>
    </row>
    <row r="677" ht="14.25" customHeight="1">
      <c r="A677" s="740"/>
    </row>
    <row r="678" ht="14.25" customHeight="1">
      <c r="A678" s="740"/>
    </row>
    <row r="679" ht="14.25" customHeight="1">
      <c r="A679" s="740"/>
    </row>
    <row r="680" ht="14.25" customHeight="1">
      <c r="A680" s="740"/>
    </row>
    <row r="681" ht="14.25" customHeight="1">
      <c r="A681" s="740"/>
    </row>
    <row r="682" ht="14.25" customHeight="1">
      <c r="A682" s="740"/>
    </row>
    <row r="683" ht="14.25" customHeight="1">
      <c r="A683" s="740"/>
    </row>
    <row r="684" ht="14.25" customHeight="1">
      <c r="A684" s="740"/>
    </row>
    <row r="685" ht="14.25" customHeight="1">
      <c r="A685" s="740"/>
    </row>
    <row r="686" ht="14.25" customHeight="1">
      <c r="A686" s="740"/>
    </row>
    <row r="687" ht="14.25" customHeight="1">
      <c r="A687" s="740"/>
    </row>
    <row r="688" ht="14.25" customHeight="1">
      <c r="A688" s="740"/>
    </row>
    <row r="689" ht="14.25" customHeight="1">
      <c r="A689" s="740"/>
    </row>
    <row r="690" ht="14.25" customHeight="1">
      <c r="A690" s="740"/>
    </row>
    <row r="691" ht="14.25" customHeight="1">
      <c r="A691" s="740"/>
    </row>
    <row r="692" ht="14.25" customHeight="1">
      <c r="A692" s="740"/>
    </row>
    <row r="693" ht="14.25" customHeight="1">
      <c r="A693" s="740"/>
    </row>
    <row r="694" ht="14.25" customHeight="1">
      <c r="A694" s="740"/>
    </row>
    <row r="695" ht="14.25" customHeight="1">
      <c r="A695" s="740"/>
    </row>
    <row r="696" ht="14.25" customHeight="1">
      <c r="A696" s="740"/>
    </row>
    <row r="697" ht="14.25" customHeight="1">
      <c r="A697" s="740"/>
    </row>
    <row r="698" ht="14.25" customHeight="1">
      <c r="A698" s="740"/>
    </row>
    <row r="699" ht="14.25" customHeight="1">
      <c r="A699" s="740"/>
    </row>
    <row r="700" ht="14.25" customHeight="1">
      <c r="A700" s="740"/>
    </row>
    <row r="701" ht="14.25" customHeight="1">
      <c r="A701" s="740"/>
    </row>
    <row r="702" ht="14.25" customHeight="1">
      <c r="A702" s="740"/>
    </row>
    <row r="703" ht="14.25" customHeight="1">
      <c r="A703" s="740"/>
    </row>
    <row r="704" ht="14.25" customHeight="1">
      <c r="A704" s="740"/>
    </row>
    <row r="705" ht="14.25" customHeight="1">
      <c r="A705" s="740"/>
    </row>
    <row r="706" ht="14.25" customHeight="1">
      <c r="A706" s="740"/>
    </row>
    <row r="707" ht="14.25" customHeight="1">
      <c r="A707" s="740"/>
    </row>
    <row r="708" ht="14.25" customHeight="1">
      <c r="A708" s="740"/>
    </row>
    <row r="709" ht="14.25" customHeight="1">
      <c r="A709" s="740"/>
    </row>
    <row r="710" ht="14.25" customHeight="1">
      <c r="A710" s="740"/>
    </row>
    <row r="711" ht="14.25" customHeight="1">
      <c r="A711" s="740"/>
    </row>
    <row r="712" ht="14.25" customHeight="1">
      <c r="A712" s="740"/>
    </row>
    <row r="713" ht="14.25" customHeight="1">
      <c r="A713" s="740"/>
    </row>
    <row r="714" ht="14.25" customHeight="1">
      <c r="A714" s="740"/>
    </row>
    <row r="715" ht="14.25" customHeight="1">
      <c r="A715" s="740"/>
    </row>
    <row r="716" ht="14.25" customHeight="1">
      <c r="A716" s="740"/>
    </row>
    <row r="717" ht="14.25" customHeight="1">
      <c r="A717" s="740"/>
    </row>
    <row r="718" ht="14.25" customHeight="1">
      <c r="A718" s="740"/>
    </row>
    <row r="719" ht="14.25" customHeight="1">
      <c r="A719" s="740"/>
    </row>
    <row r="720" ht="14.25" customHeight="1">
      <c r="A720" s="740"/>
    </row>
    <row r="721" ht="14.25" customHeight="1">
      <c r="A721" s="740"/>
    </row>
    <row r="722" ht="14.25" customHeight="1">
      <c r="A722" s="740"/>
    </row>
    <row r="723" ht="14.25" customHeight="1">
      <c r="A723" s="740"/>
    </row>
    <row r="724" ht="14.25" customHeight="1">
      <c r="A724" s="740"/>
    </row>
    <row r="725" ht="14.25" customHeight="1">
      <c r="A725" s="740"/>
    </row>
    <row r="726" ht="14.25" customHeight="1">
      <c r="A726" s="740"/>
    </row>
    <row r="727" ht="14.25" customHeight="1">
      <c r="A727" s="740"/>
    </row>
    <row r="728" ht="14.25" customHeight="1">
      <c r="A728" s="740"/>
    </row>
    <row r="729" ht="14.25" customHeight="1">
      <c r="A729" s="740"/>
    </row>
    <row r="730" ht="14.25" customHeight="1">
      <c r="A730" s="740"/>
    </row>
    <row r="731" ht="14.25" customHeight="1">
      <c r="A731" s="740"/>
    </row>
    <row r="732" ht="14.25" customHeight="1">
      <c r="A732" s="740"/>
    </row>
    <row r="733" ht="14.25" customHeight="1">
      <c r="A733" s="740"/>
    </row>
    <row r="734" ht="14.25" customHeight="1">
      <c r="A734" s="740"/>
    </row>
    <row r="735" ht="14.25" customHeight="1">
      <c r="A735" s="740"/>
    </row>
    <row r="736" ht="14.25" customHeight="1">
      <c r="A736" s="740"/>
    </row>
    <row r="737" ht="14.25" customHeight="1">
      <c r="A737" s="740"/>
    </row>
    <row r="738" ht="14.25" customHeight="1">
      <c r="A738" s="740"/>
    </row>
    <row r="739" ht="14.25" customHeight="1">
      <c r="A739" s="740"/>
    </row>
    <row r="740" ht="14.25" customHeight="1">
      <c r="A740" s="740"/>
    </row>
    <row r="741" ht="14.25" customHeight="1">
      <c r="A741" s="740"/>
    </row>
    <row r="742" ht="14.25" customHeight="1">
      <c r="A742" s="740"/>
    </row>
    <row r="743" ht="14.25" customHeight="1">
      <c r="A743" s="740"/>
    </row>
    <row r="744" ht="14.25" customHeight="1">
      <c r="A744" s="740"/>
    </row>
    <row r="745" ht="14.25" customHeight="1">
      <c r="A745" s="740"/>
    </row>
    <row r="746" ht="14.25" customHeight="1">
      <c r="A746" s="740"/>
    </row>
    <row r="747" ht="14.25" customHeight="1">
      <c r="A747" s="740"/>
    </row>
    <row r="748" ht="14.25" customHeight="1">
      <c r="A748" s="740"/>
    </row>
    <row r="749" ht="14.25" customHeight="1">
      <c r="A749" s="740"/>
    </row>
    <row r="750" ht="14.25" customHeight="1">
      <c r="A750" s="740"/>
    </row>
    <row r="751" ht="14.25" customHeight="1">
      <c r="A751" s="740"/>
    </row>
    <row r="752" ht="14.25" customHeight="1">
      <c r="A752" s="740"/>
    </row>
    <row r="753" ht="14.25" customHeight="1">
      <c r="A753" s="740"/>
    </row>
    <row r="754" ht="14.25" customHeight="1">
      <c r="A754" s="740"/>
    </row>
    <row r="755" ht="14.25" customHeight="1">
      <c r="A755" s="740"/>
    </row>
    <row r="756" ht="14.25" customHeight="1">
      <c r="A756" s="740"/>
    </row>
    <row r="757" ht="14.25" customHeight="1">
      <c r="A757" s="740"/>
    </row>
    <row r="758" ht="14.25" customHeight="1">
      <c r="A758" s="740"/>
    </row>
    <row r="759" ht="14.25" customHeight="1">
      <c r="A759" s="740"/>
    </row>
    <row r="760" ht="14.25" customHeight="1">
      <c r="A760" s="740"/>
    </row>
    <row r="761" ht="14.25" customHeight="1">
      <c r="A761" s="740"/>
    </row>
    <row r="762" ht="14.25" customHeight="1">
      <c r="A762" s="740"/>
    </row>
    <row r="763" ht="14.25" customHeight="1">
      <c r="A763" s="740"/>
    </row>
    <row r="764" ht="14.25" customHeight="1">
      <c r="A764" s="740"/>
    </row>
    <row r="765" ht="14.25" customHeight="1">
      <c r="A765" s="740"/>
    </row>
    <row r="766" ht="14.25" customHeight="1">
      <c r="A766" s="740"/>
    </row>
    <row r="767" ht="14.25" customHeight="1">
      <c r="A767" s="740"/>
    </row>
    <row r="768" ht="14.25" customHeight="1">
      <c r="A768" s="740"/>
    </row>
    <row r="769" ht="14.25" customHeight="1">
      <c r="A769" s="740"/>
    </row>
    <row r="770" ht="14.25" customHeight="1">
      <c r="A770" s="740"/>
    </row>
    <row r="771" ht="14.25" customHeight="1">
      <c r="A771" s="740"/>
    </row>
    <row r="772" ht="14.25" customHeight="1">
      <c r="A772" s="740"/>
    </row>
    <row r="773" ht="14.25" customHeight="1">
      <c r="A773" s="740"/>
    </row>
    <row r="774" ht="14.25" customHeight="1">
      <c r="A774" s="740"/>
    </row>
    <row r="775" ht="14.25" customHeight="1">
      <c r="A775" s="740"/>
    </row>
    <row r="776" ht="14.25" customHeight="1">
      <c r="A776" s="740"/>
    </row>
    <row r="777" ht="14.25" customHeight="1">
      <c r="A777" s="740"/>
    </row>
    <row r="778" ht="14.25" customHeight="1">
      <c r="A778" s="740"/>
    </row>
    <row r="779" ht="14.25" customHeight="1">
      <c r="A779" s="740"/>
    </row>
    <row r="780" ht="14.25" customHeight="1">
      <c r="A780" s="740"/>
    </row>
    <row r="781" ht="14.25" customHeight="1">
      <c r="A781" s="740"/>
    </row>
    <row r="782" ht="14.25" customHeight="1">
      <c r="A782" s="740"/>
    </row>
    <row r="783" ht="14.25" customHeight="1">
      <c r="A783" s="740"/>
    </row>
    <row r="784" ht="14.25" customHeight="1">
      <c r="A784" s="740"/>
    </row>
    <row r="785" ht="14.25" customHeight="1">
      <c r="A785" s="740"/>
    </row>
    <row r="786" ht="14.25" customHeight="1">
      <c r="A786" s="740"/>
    </row>
    <row r="787" ht="14.25" customHeight="1">
      <c r="A787" s="740"/>
    </row>
    <row r="788" ht="14.25" customHeight="1">
      <c r="A788" s="740"/>
    </row>
    <row r="789" ht="14.25" customHeight="1">
      <c r="A789" s="740"/>
    </row>
    <row r="790" ht="14.25" customHeight="1">
      <c r="A790" s="740"/>
    </row>
    <row r="791" ht="14.25" customHeight="1">
      <c r="A791" s="740"/>
    </row>
    <row r="792" ht="14.25" customHeight="1">
      <c r="A792" s="740"/>
    </row>
    <row r="793" ht="14.25" customHeight="1">
      <c r="A793" s="740"/>
    </row>
    <row r="794" ht="14.25" customHeight="1">
      <c r="A794" s="740"/>
    </row>
    <row r="795" ht="14.25" customHeight="1">
      <c r="A795" s="740"/>
    </row>
    <row r="796" ht="14.25" customHeight="1">
      <c r="A796" s="740"/>
    </row>
    <row r="797" ht="14.25" customHeight="1">
      <c r="A797" s="740"/>
    </row>
    <row r="798" ht="14.25" customHeight="1">
      <c r="A798" s="740"/>
    </row>
    <row r="799" ht="14.25" customHeight="1">
      <c r="A799" s="740"/>
    </row>
    <row r="800" ht="14.25" customHeight="1">
      <c r="A800" s="740"/>
    </row>
    <row r="801" ht="14.25" customHeight="1">
      <c r="A801" s="740"/>
    </row>
    <row r="802" ht="14.25" customHeight="1">
      <c r="A802" s="740"/>
    </row>
    <row r="803" ht="14.25" customHeight="1">
      <c r="A803" s="740"/>
    </row>
    <row r="804" ht="14.25" customHeight="1">
      <c r="A804" s="740"/>
    </row>
    <row r="805" ht="14.25" customHeight="1">
      <c r="A805" s="740"/>
    </row>
    <row r="806" ht="14.25" customHeight="1">
      <c r="A806" s="740"/>
    </row>
    <row r="807" ht="14.25" customHeight="1">
      <c r="A807" s="740"/>
    </row>
    <row r="808" ht="14.25" customHeight="1">
      <c r="A808" s="740"/>
    </row>
    <row r="809" ht="14.25" customHeight="1">
      <c r="A809" s="740"/>
    </row>
    <row r="810" ht="14.25" customHeight="1">
      <c r="A810" s="740"/>
    </row>
    <row r="811" ht="14.25" customHeight="1">
      <c r="A811" s="740"/>
    </row>
    <row r="812" ht="14.25" customHeight="1">
      <c r="A812" s="740"/>
    </row>
    <row r="813" ht="14.25" customHeight="1">
      <c r="A813" s="740"/>
    </row>
    <row r="814" ht="14.25" customHeight="1">
      <c r="A814" s="740"/>
    </row>
    <row r="815" ht="14.25" customHeight="1">
      <c r="A815" s="740"/>
    </row>
    <row r="816" ht="14.25" customHeight="1">
      <c r="A816" s="740"/>
    </row>
    <row r="817" ht="14.25" customHeight="1">
      <c r="A817" s="740"/>
    </row>
    <row r="818" ht="14.25" customHeight="1">
      <c r="A818" s="740"/>
    </row>
    <row r="819" ht="14.25" customHeight="1">
      <c r="A819" s="740"/>
    </row>
    <row r="820" ht="14.25" customHeight="1">
      <c r="A820" s="740"/>
    </row>
    <row r="821" ht="14.25" customHeight="1">
      <c r="A821" s="740"/>
    </row>
    <row r="822" ht="14.25" customHeight="1">
      <c r="A822" s="740"/>
    </row>
    <row r="823" ht="14.25" customHeight="1">
      <c r="A823" s="740"/>
    </row>
    <row r="824" ht="14.25" customHeight="1">
      <c r="A824" s="740"/>
    </row>
    <row r="825" ht="14.25" customHeight="1">
      <c r="A825" s="740"/>
    </row>
    <row r="826" ht="14.25" customHeight="1">
      <c r="A826" s="740"/>
    </row>
    <row r="827" ht="14.25" customHeight="1">
      <c r="A827" s="740"/>
    </row>
    <row r="828" ht="14.25" customHeight="1">
      <c r="A828" s="740"/>
    </row>
    <row r="829" ht="14.25" customHeight="1">
      <c r="A829" s="740"/>
    </row>
    <row r="830" ht="14.25" customHeight="1">
      <c r="A830" s="740"/>
    </row>
    <row r="831" ht="14.25" customHeight="1">
      <c r="A831" s="740"/>
    </row>
    <row r="832" ht="14.25" customHeight="1">
      <c r="A832" s="740"/>
    </row>
    <row r="833" ht="14.25" customHeight="1">
      <c r="A833" s="740"/>
    </row>
    <row r="834" ht="14.25" customHeight="1">
      <c r="A834" s="740"/>
    </row>
    <row r="835" ht="14.25" customHeight="1">
      <c r="A835" s="740"/>
    </row>
    <row r="836" ht="14.25" customHeight="1">
      <c r="A836" s="740"/>
    </row>
    <row r="837" ht="14.25" customHeight="1">
      <c r="A837" s="740"/>
    </row>
    <row r="838" ht="14.25" customHeight="1">
      <c r="A838" s="740"/>
    </row>
    <row r="839" ht="14.25" customHeight="1">
      <c r="A839" s="740"/>
    </row>
    <row r="840" ht="14.25" customHeight="1">
      <c r="A840" s="740"/>
    </row>
    <row r="841" ht="14.25" customHeight="1">
      <c r="A841" s="740"/>
    </row>
    <row r="842" ht="14.25" customHeight="1">
      <c r="A842" s="740"/>
    </row>
    <row r="843" ht="14.25" customHeight="1">
      <c r="A843" s="740"/>
    </row>
    <row r="844" ht="14.25" customHeight="1">
      <c r="A844" s="740"/>
    </row>
    <row r="845" ht="14.25" customHeight="1">
      <c r="A845" s="740"/>
    </row>
    <row r="846" ht="14.25" customHeight="1">
      <c r="A846" s="740"/>
    </row>
    <row r="847" ht="14.25" customHeight="1">
      <c r="A847" s="740"/>
    </row>
    <row r="848" ht="14.25" customHeight="1">
      <c r="A848" s="740"/>
    </row>
    <row r="849" ht="14.25" customHeight="1">
      <c r="A849" s="740"/>
    </row>
    <row r="850" ht="14.25" customHeight="1">
      <c r="A850" s="740"/>
    </row>
    <row r="851" ht="14.25" customHeight="1">
      <c r="A851" s="740"/>
    </row>
    <row r="852" ht="14.25" customHeight="1">
      <c r="A852" s="740"/>
    </row>
    <row r="853" ht="14.25" customHeight="1">
      <c r="A853" s="740"/>
    </row>
    <row r="854" ht="14.25" customHeight="1">
      <c r="A854" s="740"/>
    </row>
    <row r="855" ht="14.25" customHeight="1">
      <c r="A855" s="740"/>
    </row>
    <row r="856" ht="14.25" customHeight="1">
      <c r="A856" s="740"/>
    </row>
    <row r="857" ht="14.25" customHeight="1">
      <c r="A857" s="740"/>
    </row>
    <row r="858" ht="14.25" customHeight="1">
      <c r="A858" s="740"/>
    </row>
    <row r="859" ht="14.25" customHeight="1">
      <c r="A859" s="740"/>
    </row>
    <row r="860" ht="14.25" customHeight="1">
      <c r="A860" s="740"/>
    </row>
    <row r="861" ht="14.25" customHeight="1">
      <c r="A861" s="740"/>
    </row>
    <row r="862" ht="14.25" customHeight="1">
      <c r="A862" s="740"/>
    </row>
    <row r="863" ht="14.25" customHeight="1">
      <c r="A863" s="740"/>
    </row>
    <row r="864" ht="14.25" customHeight="1">
      <c r="A864" s="740"/>
    </row>
    <row r="865" ht="14.25" customHeight="1">
      <c r="A865" s="740"/>
    </row>
    <row r="866" ht="14.25" customHeight="1">
      <c r="A866" s="740"/>
    </row>
    <row r="867" ht="14.25" customHeight="1">
      <c r="A867" s="740"/>
    </row>
    <row r="868" ht="14.25" customHeight="1">
      <c r="A868" s="740"/>
    </row>
    <row r="869" ht="14.25" customHeight="1">
      <c r="A869" s="740"/>
    </row>
    <row r="870" ht="14.25" customHeight="1">
      <c r="A870" s="740"/>
    </row>
    <row r="871" ht="14.25" customHeight="1">
      <c r="A871" s="740"/>
    </row>
    <row r="872" ht="14.25" customHeight="1">
      <c r="A872" s="740"/>
    </row>
    <row r="873" ht="14.25" customHeight="1">
      <c r="A873" s="740"/>
    </row>
    <row r="874" ht="14.25" customHeight="1">
      <c r="A874" s="740"/>
    </row>
    <row r="875" ht="14.25" customHeight="1">
      <c r="A875" s="740"/>
    </row>
    <row r="876" ht="14.25" customHeight="1">
      <c r="A876" s="740"/>
    </row>
    <row r="877" ht="14.25" customHeight="1">
      <c r="A877" s="740"/>
    </row>
    <row r="878" ht="14.25" customHeight="1">
      <c r="A878" s="740"/>
    </row>
    <row r="879" ht="14.25" customHeight="1">
      <c r="A879" s="740"/>
    </row>
    <row r="880" ht="14.25" customHeight="1">
      <c r="A880" s="740"/>
    </row>
    <row r="881" ht="14.25" customHeight="1">
      <c r="A881" s="740"/>
    </row>
    <row r="882" ht="14.25" customHeight="1">
      <c r="A882" s="740"/>
    </row>
    <row r="883" ht="14.25" customHeight="1">
      <c r="A883" s="740"/>
    </row>
    <row r="884" ht="14.25" customHeight="1">
      <c r="A884" s="740"/>
    </row>
    <row r="885" ht="14.25" customHeight="1">
      <c r="A885" s="740"/>
    </row>
    <row r="886" ht="14.25" customHeight="1">
      <c r="A886" s="740"/>
    </row>
    <row r="887" ht="14.25" customHeight="1">
      <c r="A887" s="740"/>
    </row>
    <row r="888" ht="14.25" customHeight="1">
      <c r="A888" s="740"/>
    </row>
    <row r="889" ht="14.25" customHeight="1">
      <c r="A889" s="740"/>
    </row>
    <row r="890" ht="14.25" customHeight="1">
      <c r="A890" s="740"/>
    </row>
    <row r="891" ht="14.25" customHeight="1">
      <c r="A891" s="740"/>
    </row>
    <row r="892" ht="14.25" customHeight="1">
      <c r="A892" s="740"/>
    </row>
    <row r="893" ht="14.25" customHeight="1">
      <c r="A893" s="740"/>
    </row>
    <row r="894" ht="14.25" customHeight="1">
      <c r="A894" s="740"/>
    </row>
    <row r="895" ht="14.25" customHeight="1">
      <c r="A895" s="740"/>
    </row>
    <row r="896" ht="14.25" customHeight="1">
      <c r="A896" s="740"/>
    </row>
    <row r="897" ht="14.25" customHeight="1">
      <c r="A897" s="740"/>
    </row>
    <row r="898" ht="14.25" customHeight="1">
      <c r="A898" s="740"/>
    </row>
    <row r="899" ht="14.25" customHeight="1">
      <c r="A899" s="740"/>
    </row>
    <row r="900" ht="14.25" customHeight="1">
      <c r="A900" s="740"/>
    </row>
    <row r="901" ht="14.25" customHeight="1">
      <c r="A901" s="740"/>
    </row>
    <row r="902" ht="14.25" customHeight="1">
      <c r="A902" s="740"/>
    </row>
    <row r="903" ht="14.25" customHeight="1">
      <c r="A903" s="740"/>
    </row>
    <row r="904" ht="14.25" customHeight="1">
      <c r="A904" s="740"/>
    </row>
    <row r="905" ht="14.25" customHeight="1">
      <c r="A905" s="740"/>
    </row>
    <row r="906" ht="14.25" customHeight="1">
      <c r="A906" s="740"/>
    </row>
    <row r="907" ht="14.25" customHeight="1">
      <c r="A907" s="740"/>
    </row>
    <row r="908" ht="14.25" customHeight="1">
      <c r="A908" s="740"/>
    </row>
    <row r="909" ht="14.25" customHeight="1">
      <c r="A909" s="740"/>
    </row>
    <row r="910" ht="14.25" customHeight="1">
      <c r="A910" s="740"/>
    </row>
    <row r="911" ht="14.25" customHeight="1">
      <c r="A911" s="740"/>
    </row>
    <row r="912" ht="14.25" customHeight="1">
      <c r="A912" s="740"/>
    </row>
    <row r="913" ht="14.25" customHeight="1">
      <c r="A913" s="740"/>
    </row>
    <row r="914" ht="14.25" customHeight="1">
      <c r="A914" s="740"/>
    </row>
    <row r="915" ht="14.25" customHeight="1">
      <c r="A915" s="740"/>
    </row>
    <row r="916" ht="14.25" customHeight="1">
      <c r="A916" s="740"/>
    </row>
    <row r="917" ht="14.25" customHeight="1">
      <c r="A917" s="740"/>
    </row>
    <row r="918" ht="14.25" customHeight="1">
      <c r="A918" s="740"/>
    </row>
    <row r="919" ht="14.25" customHeight="1">
      <c r="A919" s="740"/>
    </row>
    <row r="920" ht="14.25" customHeight="1">
      <c r="A920" s="740"/>
    </row>
    <row r="921" ht="14.25" customHeight="1">
      <c r="A921" s="740"/>
    </row>
    <row r="922" ht="14.25" customHeight="1">
      <c r="A922" s="740"/>
    </row>
    <row r="923" ht="14.25" customHeight="1">
      <c r="A923" s="740"/>
    </row>
    <row r="924" ht="14.25" customHeight="1">
      <c r="A924" s="740"/>
    </row>
    <row r="925" ht="14.25" customHeight="1">
      <c r="A925" s="740"/>
    </row>
    <row r="926" ht="14.25" customHeight="1">
      <c r="A926" s="740"/>
    </row>
    <row r="927" ht="14.25" customHeight="1">
      <c r="A927" s="740"/>
    </row>
    <row r="928" ht="14.25" customHeight="1">
      <c r="A928" s="740"/>
    </row>
    <row r="929" ht="14.25" customHeight="1">
      <c r="A929" s="740"/>
    </row>
    <row r="930" ht="14.25" customHeight="1">
      <c r="A930" s="740"/>
    </row>
    <row r="931" ht="14.25" customHeight="1">
      <c r="A931" s="740"/>
    </row>
    <row r="932" ht="14.25" customHeight="1">
      <c r="A932" s="740"/>
    </row>
    <row r="933" ht="14.25" customHeight="1">
      <c r="A933" s="740"/>
    </row>
    <row r="934" ht="14.25" customHeight="1">
      <c r="A934" s="740"/>
    </row>
    <row r="935" ht="14.25" customHeight="1">
      <c r="A935" s="740"/>
    </row>
    <row r="936" ht="14.25" customHeight="1">
      <c r="A936" s="740"/>
    </row>
    <row r="937" ht="14.25" customHeight="1">
      <c r="A937" s="740"/>
    </row>
    <row r="938" ht="14.25" customHeight="1">
      <c r="A938" s="740"/>
    </row>
    <row r="939" ht="14.25" customHeight="1">
      <c r="A939" s="740"/>
    </row>
    <row r="940" ht="14.25" customHeight="1">
      <c r="A940" s="740"/>
    </row>
    <row r="941" ht="14.25" customHeight="1">
      <c r="A941" s="740"/>
    </row>
    <row r="942" ht="14.25" customHeight="1">
      <c r="A942" s="740"/>
    </row>
    <row r="943" ht="14.25" customHeight="1">
      <c r="A943" s="740"/>
    </row>
    <row r="944" ht="14.25" customHeight="1">
      <c r="A944" s="740"/>
    </row>
    <row r="945" ht="14.25" customHeight="1">
      <c r="A945" s="740"/>
    </row>
    <row r="946" ht="14.25" customHeight="1">
      <c r="A946" s="740"/>
    </row>
    <row r="947" ht="14.25" customHeight="1">
      <c r="A947" s="740"/>
    </row>
    <row r="948" ht="14.25" customHeight="1">
      <c r="A948" s="740"/>
    </row>
    <row r="949" ht="14.25" customHeight="1">
      <c r="A949" s="740"/>
    </row>
    <row r="950" ht="14.25" customHeight="1">
      <c r="A950" s="740"/>
    </row>
    <row r="951" ht="14.25" customHeight="1">
      <c r="A951" s="740"/>
    </row>
    <row r="952" ht="14.25" customHeight="1">
      <c r="A952" s="740"/>
    </row>
    <row r="953" ht="14.25" customHeight="1">
      <c r="A953" s="740"/>
    </row>
    <row r="954" ht="14.25" customHeight="1">
      <c r="A954" s="740"/>
    </row>
    <row r="955" ht="14.25" customHeight="1">
      <c r="A955" s="740"/>
    </row>
    <row r="956" ht="14.25" customHeight="1">
      <c r="A956" s="740"/>
    </row>
    <row r="957" ht="14.25" customHeight="1">
      <c r="A957" s="740"/>
    </row>
    <row r="958" ht="14.25" customHeight="1">
      <c r="A958" s="740"/>
    </row>
    <row r="959" ht="14.25" customHeight="1">
      <c r="A959" s="740"/>
    </row>
    <row r="960" ht="14.25" customHeight="1">
      <c r="A960" s="740"/>
    </row>
    <row r="961" ht="14.25" customHeight="1">
      <c r="A961" s="740"/>
    </row>
    <row r="962" ht="14.25" customHeight="1">
      <c r="A962" s="740"/>
    </row>
    <row r="963" ht="14.25" customHeight="1">
      <c r="A963" s="740"/>
    </row>
    <row r="964" ht="14.25" customHeight="1">
      <c r="A964" s="740"/>
    </row>
    <row r="965" ht="14.25" customHeight="1">
      <c r="A965" s="740"/>
    </row>
    <row r="966" ht="14.25" customHeight="1">
      <c r="A966" s="740"/>
    </row>
    <row r="967" ht="14.25" customHeight="1">
      <c r="A967" s="740"/>
    </row>
    <row r="968" ht="14.25" customHeight="1">
      <c r="A968" s="740"/>
    </row>
    <row r="969" ht="14.25" customHeight="1">
      <c r="A969" s="740"/>
    </row>
    <row r="970" ht="14.25" customHeight="1">
      <c r="A970" s="740"/>
    </row>
    <row r="971" ht="14.25" customHeight="1">
      <c r="A971" s="740"/>
    </row>
    <row r="972" ht="14.25" customHeight="1">
      <c r="A972" s="740"/>
    </row>
    <row r="973" ht="14.25" customHeight="1">
      <c r="A973" s="740"/>
    </row>
    <row r="974" ht="14.25" customHeight="1">
      <c r="A974" s="740"/>
    </row>
    <row r="975" ht="14.25" customHeight="1">
      <c r="A975" s="740"/>
    </row>
    <row r="976" ht="14.25" customHeight="1">
      <c r="A976" s="740"/>
    </row>
    <row r="977" ht="14.25" customHeight="1">
      <c r="A977" s="740"/>
    </row>
    <row r="978" ht="14.25" customHeight="1">
      <c r="A978" s="740"/>
    </row>
    <row r="979" ht="14.25" customHeight="1">
      <c r="A979" s="740"/>
    </row>
    <row r="980" ht="14.25" customHeight="1">
      <c r="A980" s="740"/>
    </row>
    <row r="981" ht="14.25" customHeight="1">
      <c r="A981" s="740"/>
    </row>
    <row r="982" ht="14.25" customHeight="1">
      <c r="A982" s="740"/>
    </row>
    <row r="983" ht="14.25" customHeight="1">
      <c r="A983" s="740"/>
    </row>
    <row r="984" ht="14.25" customHeight="1">
      <c r="A984" s="740"/>
    </row>
    <row r="985" ht="14.25" customHeight="1">
      <c r="A985" s="740"/>
    </row>
    <row r="986" ht="14.25" customHeight="1">
      <c r="A986" s="740"/>
    </row>
    <row r="987" ht="14.25" customHeight="1">
      <c r="A987" s="740"/>
    </row>
    <row r="988" ht="14.25" customHeight="1">
      <c r="A988" s="740"/>
    </row>
    <row r="989" ht="14.25" customHeight="1">
      <c r="A989" s="740"/>
    </row>
    <row r="990" ht="14.25" customHeight="1">
      <c r="A990" s="740"/>
    </row>
    <row r="991" ht="14.25" customHeight="1">
      <c r="A991" s="740"/>
    </row>
    <row r="992" ht="14.25" customHeight="1">
      <c r="A992" s="740"/>
    </row>
    <row r="993" ht="14.25" customHeight="1">
      <c r="A993" s="740"/>
    </row>
    <row r="994" ht="14.25" customHeight="1">
      <c r="A994" s="740"/>
    </row>
    <row r="995" ht="14.25" customHeight="1">
      <c r="A995" s="740"/>
    </row>
    <row r="996" ht="14.25" customHeight="1">
      <c r="A996" s="740"/>
    </row>
    <row r="997" ht="14.25" customHeight="1">
      <c r="A997" s="740"/>
    </row>
    <row r="998" ht="14.25" customHeight="1">
      <c r="A998" s="740"/>
    </row>
    <row r="999" ht="14.25" customHeight="1">
      <c r="A999" s="740"/>
    </row>
    <row r="1000" ht="14.25" customHeight="1">
      <c r="A1000" s="740"/>
    </row>
    <row r="1001" ht="14.25" customHeight="1">
      <c r="A1001" s="740"/>
    </row>
    <row r="1002" ht="14.25" customHeight="1">
      <c r="A1002" s="740"/>
    </row>
    <row r="1003" ht="14.25" customHeight="1">
      <c r="A1003" s="740"/>
    </row>
    <row r="1004" ht="14.25" customHeight="1">
      <c r="A1004" s="740"/>
    </row>
    <row r="1005" ht="14.25" customHeight="1">
      <c r="A1005" s="740"/>
    </row>
    <row r="1006" ht="14.25" customHeight="1">
      <c r="A1006" s="740"/>
    </row>
    <row r="1007" ht="14.25" customHeight="1">
      <c r="A1007" s="740"/>
    </row>
    <row r="1008" ht="14.25" customHeight="1">
      <c r="A1008" s="740"/>
    </row>
    <row r="1009" ht="14.25" customHeight="1">
      <c r="A1009" s="740"/>
    </row>
    <row r="1010" ht="14.25" customHeight="1">
      <c r="A1010" s="740"/>
    </row>
    <row r="1011" ht="14.25" customHeight="1">
      <c r="A1011" s="740"/>
    </row>
    <row r="1012" ht="14.25" customHeight="1">
      <c r="A1012" s="740"/>
    </row>
    <row r="1013" ht="14.25" customHeight="1">
      <c r="A1013" s="740"/>
    </row>
    <row r="1014" ht="14.25" customHeight="1">
      <c r="A1014" s="740"/>
    </row>
    <row r="1015" ht="14.25" customHeight="1">
      <c r="A1015" s="740"/>
    </row>
    <row r="1016" ht="14.25" customHeight="1">
      <c r="A1016" s="740"/>
    </row>
    <row r="1017" ht="14.25" customHeight="1">
      <c r="A1017" s="740"/>
    </row>
    <row r="1018" ht="14.25" customHeight="1">
      <c r="A1018" s="740"/>
    </row>
    <row r="1019" ht="14.25" customHeight="1">
      <c r="A1019" s="740"/>
    </row>
    <row r="1020" ht="14.25" customHeight="1">
      <c r="A1020" s="740"/>
    </row>
    <row r="1021" ht="14.25" customHeight="1">
      <c r="A1021" s="740"/>
    </row>
    <row r="1022" ht="14.25" customHeight="1">
      <c r="A1022" s="740"/>
    </row>
    <row r="1023" ht="14.25" customHeight="1">
      <c r="A1023" s="740"/>
    </row>
    <row r="1024" ht="14.25" customHeight="1">
      <c r="A1024" s="740"/>
    </row>
    <row r="1025" ht="14.25" customHeight="1">
      <c r="A1025" s="740"/>
    </row>
    <row r="1026" ht="14.25" customHeight="1">
      <c r="A1026" s="740"/>
    </row>
    <row r="1027" ht="14.25" customHeight="1">
      <c r="A1027" s="740"/>
    </row>
    <row r="1028" ht="14.25" customHeight="1">
      <c r="A1028" s="740"/>
    </row>
    <row r="1029" ht="14.25" customHeight="1">
      <c r="A1029" s="740"/>
    </row>
    <row r="1030" ht="14.25" customHeight="1">
      <c r="A1030" s="740"/>
    </row>
    <row r="1031" ht="14.25" customHeight="1">
      <c r="A1031" s="740"/>
    </row>
    <row r="1032" ht="14.25" customHeight="1">
      <c r="A1032" s="740"/>
    </row>
    <row r="1033" ht="14.25" customHeight="1">
      <c r="A1033" s="740"/>
    </row>
    <row r="1034" ht="14.25" customHeight="1">
      <c r="A1034" s="740"/>
    </row>
    <row r="1035" ht="14.25" customHeight="1">
      <c r="A1035" s="740"/>
    </row>
    <row r="1036" ht="14.25" customHeight="1">
      <c r="A1036" s="740"/>
    </row>
    <row r="1037" ht="14.25" customHeight="1">
      <c r="A1037" s="740"/>
    </row>
    <row r="1038" ht="14.25" customHeight="1">
      <c r="A1038" s="740"/>
    </row>
    <row r="1039" ht="14.25" customHeight="1">
      <c r="A1039" s="740"/>
    </row>
    <row r="1040" ht="14.25" customHeight="1">
      <c r="A1040" s="740"/>
    </row>
    <row r="1041" ht="14.25" customHeight="1">
      <c r="A1041" s="740"/>
    </row>
    <row r="1042" ht="14.25" customHeight="1">
      <c r="A1042" s="740"/>
    </row>
    <row r="1043" ht="14.25" customHeight="1">
      <c r="A1043" s="740"/>
    </row>
    <row r="1044" ht="14.25" customHeight="1">
      <c r="A1044" s="740"/>
    </row>
    <row r="1045" ht="14.25" customHeight="1">
      <c r="A1045" s="740"/>
    </row>
    <row r="1046" ht="14.25" customHeight="1">
      <c r="A1046" s="740"/>
    </row>
    <row r="1047" ht="14.25" customHeight="1">
      <c r="A1047" s="740"/>
    </row>
    <row r="1048" ht="14.25" customHeight="1">
      <c r="A1048" s="740"/>
    </row>
    <row r="1049" ht="14.25" customHeight="1">
      <c r="A1049" s="740"/>
    </row>
    <row r="1050" ht="14.25" customHeight="1">
      <c r="A1050" s="740"/>
    </row>
    <row r="1051" ht="14.25" customHeight="1">
      <c r="A1051" s="740"/>
    </row>
    <row r="1052" ht="14.25" customHeight="1">
      <c r="A1052" s="740"/>
    </row>
    <row r="1053" ht="14.25" customHeight="1">
      <c r="A1053" s="740"/>
    </row>
    <row r="1054" ht="14.25" customHeight="1">
      <c r="A1054" s="740"/>
    </row>
    <row r="1055" ht="14.25" customHeight="1">
      <c r="A1055" s="740"/>
    </row>
    <row r="1056" ht="14.25" customHeight="1">
      <c r="A1056" s="740"/>
    </row>
    <row r="1057" ht="14.25" customHeight="1">
      <c r="A1057" s="740"/>
    </row>
    <row r="1058" ht="14.25" customHeight="1">
      <c r="A1058" s="740"/>
    </row>
    <row r="1059" ht="14.25" customHeight="1">
      <c r="A1059" s="740"/>
    </row>
    <row r="1060" ht="14.25" customHeight="1">
      <c r="A1060" s="740"/>
    </row>
    <row r="1061" ht="14.25" customHeight="1">
      <c r="A1061" s="740"/>
    </row>
    <row r="1062" ht="14.25" customHeight="1">
      <c r="A1062" s="740"/>
    </row>
    <row r="1063" ht="14.25" customHeight="1">
      <c r="A1063" s="740"/>
    </row>
    <row r="1064" ht="14.25" customHeight="1">
      <c r="A1064" s="740"/>
    </row>
    <row r="1065" ht="14.25" customHeight="1">
      <c r="A1065" s="740"/>
    </row>
    <row r="1066" ht="14.25" customHeight="1">
      <c r="A1066" s="740"/>
    </row>
    <row r="1067" ht="14.25" customHeight="1">
      <c r="A1067" s="740"/>
    </row>
    <row r="1068" ht="14.25" customHeight="1">
      <c r="A1068" s="740"/>
    </row>
    <row r="1069" ht="14.25" customHeight="1">
      <c r="A1069" s="740"/>
    </row>
    <row r="1070" ht="14.25" customHeight="1">
      <c r="A1070" s="740"/>
    </row>
    <row r="1071" ht="14.25" customHeight="1">
      <c r="A1071" s="740"/>
    </row>
    <row r="1072" ht="14.25" customHeight="1">
      <c r="A1072" s="740"/>
    </row>
    <row r="1073" ht="14.25" customHeight="1">
      <c r="A1073" s="740"/>
    </row>
    <row r="1074" ht="14.25" customHeight="1">
      <c r="A1074" s="740"/>
    </row>
    <row r="1075" ht="14.25" customHeight="1">
      <c r="A1075" s="740"/>
    </row>
    <row r="1076" ht="14.25" customHeight="1">
      <c r="A1076" s="740"/>
    </row>
    <row r="1077" ht="14.25" customHeight="1">
      <c r="A1077" s="740"/>
    </row>
    <row r="1078" ht="14.25" customHeight="1">
      <c r="A1078" s="740"/>
    </row>
    <row r="1079" ht="14.25" customHeight="1">
      <c r="A1079" s="740"/>
    </row>
    <row r="1080" ht="14.25" customHeight="1">
      <c r="A1080" s="740"/>
    </row>
    <row r="1081" ht="14.25" customHeight="1">
      <c r="A1081" s="740"/>
    </row>
    <row r="1082" ht="14.25" customHeight="1">
      <c r="A1082" s="740"/>
    </row>
    <row r="1083" ht="14.25" customHeight="1">
      <c r="A1083" s="740"/>
    </row>
    <row r="1084" ht="14.25" customHeight="1">
      <c r="A1084" s="740"/>
    </row>
    <row r="1085" ht="14.25" customHeight="1">
      <c r="A1085" s="740"/>
    </row>
    <row r="1086" ht="14.25" customHeight="1">
      <c r="A1086" s="740"/>
    </row>
    <row r="1087" ht="14.25" customHeight="1">
      <c r="A1087" s="740"/>
    </row>
    <row r="1088" ht="14.25" customHeight="1">
      <c r="A1088" s="740"/>
    </row>
    <row r="1089" ht="14.25" customHeight="1">
      <c r="A1089" s="740"/>
    </row>
    <row r="1090" ht="14.25" customHeight="1">
      <c r="A1090" s="740"/>
    </row>
    <row r="1091" ht="14.25" customHeight="1">
      <c r="A1091" s="740"/>
    </row>
    <row r="1092" ht="14.25" customHeight="1">
      <c r="A1092" s="740"/>
    </row>
    <row r="1093" ht="14.25" customHeight="1">
      <c r="A1093" s="740"/>
    </row>
    <row r="1094" ht="14.25" customHeight="1">
      <c r="A1094" s="740"/>
    </row>
    <row r="1095" ht="14.25" customHeight="1">
      <c r="A1095" s="740"/>
    </row>
    <row r="1096" ht="14.25" customHeight="1">
      <c r="A1096" s="740"/>
    </row>
    <row r="1097" ht="14.25" customHeight="1">
      <c r="A1097" s="740"/>
    </row>
    <row r="1098" ht="14.25" customHeight="1">
      <c r="A1098" s="740"/>
    </row>
    <row r="1099" ht="14.25" customHeight="1">
      <c r="A1099" s="740"/>
    </row>
    <row r="1100" ht="14.25" customHeight="1">
      <c r="A1100" s="740"/>
    </row>
    <row r="1101" ht="14.25" customHeight="1">
      <c r="A1101" s="740"/>
    </row>
    <row r="1102" ht="14.25" customHeight="1">
      <c r="A1102" s="740"/>
    </row>
    <row r="1103" ht="14.25" customHeight="1">
      <c r="A1103" s="740"/>
    </row>
    <row r="1104" ht="14.25" customHeight="1">
      <c r="A1104" s="740"/>
    </row>
    <row r="1105" ht="14.25" customHeight="1">
      <c r="A1105" s="740"/>
    </row>
    <row r="1106" ht="14.25" customHeight="1">
      <c r="A1106" s="740"/>
    </row>
    <row r="1107" ht="14.25" customHeight="1">
      <c r="A1107" s="740"/>
    </row>
    <row r="1108" ht="14.25" customHeight="1">
      <c r="A1108" s="740"/>
    </row>
    <row r="1109" ht="14.25" customHeight="1">
      <c r="A1109" s="740"/>
    </row>
    <row r="1110" ht="14.25" customHeight="1">
      <c r="A1110" s="740"/>
    </row>
    <row r="1111" ht="14.25" customHeight="1">
      <c r="A1111" s="740"/>
    </row>
    <row r="1112" ht="14.25" customHeight="1">
      <c r="A1112" s="740"/>
    </row>
    <row r="1113" ht="14.25" customHeight="1">
      <c r="A1113" s="740"/>
    </row>
    <row r="1114" ht="14.25" customHeight="1">
      <c r="A1114" s="740"/>
    </row>
    <row r="1115" ht="14.25" customHeight="1">
      <c r="A1115" s="740"/>
    </row>
    <row r="1116" ht="14.25" customHeight="1">
      <c r="A1116" s="740"/>
    </row>
    <row r="1117" ht="14.25" customHeight="1">
      <c r="A1117" s="740"/>
    </row>
    <row r="1118" ht="14.25" customHeight="1">
      <c r="A1118" s="740"/>
    </row>
    <row r="1119" ht="14.25" customHeight="1">
      <c r="A1119" s="740"/>
    </row>
    <row r="1120" ht="14.25" customHeight="1">
      <c r="A1120" s="740"/>
    </row>
    <row r="1121" ht="14.25" customHeight="1">
      <c r="A1121" s="740"/>
    </row>
    <row r="1122" ht="14.25" customHeight="1">
      <c r="A1122" s="740"/>
    </row>
    <row r="1123" ht="14.25" customHeight="1">
      <c r="A1123" s="740"/>
    </row>
    <row r="1124" ht="14.25" customHeight="1">
      <c r="A1124" s="740"/>
    </row>
    <row r="1125" ht="14.25" customHeight="1">
      <c r="A1125" s="740"/>
    </row>
    <row r="1126" ht="14.25" customHeight="1">
      <c r="A1126" s="740"/>
    </row>
    <row r="1127" ht="14.25" customHeight="1">
      <c r="A1127" s="740"/>
    </row>
    <row r="1128" ht="14.25" customHeight="1">
      <c r="A1128" s="740"/>
    </row>
    <row r="1129" ht="14.25" customHeight="1">
      <c r="A1129" s="740"/>
    </row>
    <row r="1130" ht="14.25" customHeight="1">
      <c r="A1130" s="740"/>
    </row>
    <row r="1131" ht="14.25" customHeight="1">
      <c r="A1131" s="740"/>
    </row>
    <row r="1132" ht="14.25" customHeight="1">
      <c r="A1132" s="740"/>
    </row>
    <row r="1133" ht="14.25" customHeight="1">
      <c r="A1133" s="740"/>
    </row>
    <row r="1134" ht="14.25" customHeight="1">
      <c r="A1134" s="740"/>
    </row>
    <row r="1135" ht="14.25" customHeight="1">
      <c r="A1135" s="740"/>
    </row>
    <row r="1136" ht="14.25" customHeight="1">
      <c r="A1136" s="740"/>
    </row>
    <row r="1137" ht="14.25" customHeight="1">
      <c r="A1137" s="740"/>
    </row>
    <row r="1138" ht="14.25" customHeight="1">
      <c r="A1138" s="740"/>
    </row>
    <row r="1139" ht="14.25" customHeight="1">
      <c r="A1139" s="740"/>
    </row>
    <row r="1140" ht="14.25" customHeight="1">
      <c r="A1140" s="740"/>
    </row>
    <row r="1141" ht="14.25" customHeight="1">
      <c r="A1141" s="740"/>
    </row>
    <row r="1142" ht="14.25" customHeight="1">
      <c r="A1142" s="740"/>
    </row>
    <row r="1143" ht="14.25" customHeight="1">
      <c r="A1143" s="740"/>
    </row>
    <row r="1144" ht="14.25" customHeight="1">
      <c r="A1144" s="740"/>
    </row>
    <row r="1145" ht="14.25" customHeight="1">
      <c r="A1145" s="740"/>
    </row>
    <row r="1146" ht="14.25" customHeight="1">
      <c r="A1146" s="740"/>
    </row>
    <row r="1147" ht="14.25" customHeight="1">
      <c r="A1147" s="740"/>
    </row>
    <row r="1148" ht="14.25" customHeight="1">
      <c r="A1148" s="740"/>
    </row>
    <row r="1149" ht="14.25" customHeight="1">
      <c r="A1149" s="740"/>
    </row>
    <row r="1150" ht="14.25" customHeight="1">
      <c r="A1150" s="740"/>
    </row>
    <row r="1151" ht="14.25" customHeight="1">
      <c r="A1151" s="740"/>
    </row>
    <row r="1152" ht="14.25" customHeight="1">
      <c r="A1152" s="740"/>
    </row>
    <row r="1153" ht="14.25" customHeight="1">
      <c r="A1153" s="740"/>
    </row>
    <row r="1154" ht="14.25" customHeight="1">
      <c r="A1154" s="740"/>
    </row>
    <row r="1155" ht="14.25" customHeight="1">
      <c r="A1155" s="740"/>
    </row>
    <row r="1156" ht="14.25" customHeight="1">
      <c r="A1156" s="740"/>
    </row>
    <row r="1157" ht="14.25" customHeight="1">
      <c r="A1157" s="740"/>
    </row>
    <row r="1158" ht="14.25" customHeight="1">
      <c r="A1158" s="740"/>
    </row>
    <row r="1159" ht="14.25" customHeight="1">
      <c r="A1159" s="740"/>
    </row>
    <row r="1160" ht="14.25" customHeight="1">
      <c r="A1160" s="740"/>
    </row>
    <row r="1161" ht="14.25" customHeight="1">
      <c r="A1161" s="740"/>
    </row>
    <row r="1162" ht="14.25" customHeight="1">
      <c r="A1162" s="740"/>
    </row>
    <row r="1163" ht="14.25" customHeight="1">
      <c r="A1163" s="740"/>
    </row>
    <row r="1164" ht="14.25" customHeight="1">
      <c r="A1164" s="740"/>
    </row>
    <row r="1165" ht="14.25" customHeight="1">
      <c r="A1165" s="740"/>
    </row>
    <row r="1166" ht="14.25" customHeight="1">
      <c r="A1166" s="740"/>
    </row>
    <row r="1167" ht="14.25" customHeight="1">
      <c r="A1167" s="740"/>
    </row>
    <row r="1168" ht="14.25" customHeight="1">
      <c r="A1168" s="740"/>
    </row>
    <row r="1169" ht="14.25" customHeight="1">
      <c r="A1169" s="740"/>
    </row>
    <row r="1170" ht="14.25" customHeight="1">
      <c r="A1170" s="740"/>
    </row>
    <row r="1171" ht="14.25" customHeight="1">
      <c r="A1171" s="740"/>
    </row>
    <row r="1172" ht="14.25" customHeight="1">
      <c r="A1172" s="740"/>
    </row>
    <row r="1173" ht="14.25" customHeight="1">
      <c r="A1173" s="740"/>
    </row>
    <row r="1174" ht="14.25" customHeight="1">
      <c r="A1174" s="740"/>
    </row>
    <row r="1175" ht="14.25" customHeight="1">
      <c r="A1175" s="740"/>
    </row>
    <row r="1176" ht="14.25" customHeight="1">
      <c r="A1176" s="740"/>
    </row>
    <row r="1177" ht="14.25" customHeight="1">
      <c r="A1177" s="740"/>
    </row>
    <row r="1178" ht="14.25" customHeight="1">
      <c r="A1178" s="740"/>
    </row>
    <row r="1179" ht="14.25" customHeight="1">
      <c r="A1179" s="740"/>
    </row>
    <row r="1180" ht="14.25" customHeight="1">
      <c r="A1180" s="740"/>
    </row>
    <row r="1181" ht="14.25" customHeight="1">
      <c r="A1181" s="740"/>
    </row>
    <row r="1182" ht="14.25" customHeight="1">
      <c r="A1182" s="740"/>
    </row>
    <row r="1183" ht="14.25" customHeight="1">
      <c r="A1183" s="740"/>
    </row>
    <row r="1184" ht="14.25" customHeight="1">
      <c r="A1184" s="740"/>
    </row>
    <row r="1185" ht="14.25" customHeight="1">
      <c r="A1185" s="740"/>
    </row>
    <row r="1186" ht="14.25" customHeight="1">
      <c r="A1186" s="740"/>
    </row>
    <row r="1187" ht="14.25" customHeight="1">
      <c r="A1187" s="740"/>
    </row>
    <row r="1188" ht="14.25" customHeight="1">
      <c r="A1188" s="740"/>
    </row>
    <row r="1189" ht="14.25" customHeight="1">
      <c r="A1189" s="740"/>
    </row>
    <row r="1190" ht="14.25" customHeight="1">
      <c r="A1190" s="740"/>
    </row>
    <row r="1191" ht="14.25" customHeight="1">
      <c r="A1191" s="740"/>
    </row>
    <row r="1192" ht="14.25" customHeight="1">
      <c r="A1192" s="740"/>
    </row>
    <row r="1193" ht="14.25" customHeight="1">
      <c r="A1193" s="740"/>
    </row>
    <row r="1194" ht="14.25" customHeight="1">
      <c r="A1194" s="740"/>
    </row>
    <row r="1195" ht="14.25" customHeight="1">
      <c r="A1195" s="740"/>
    </row>
    <row r="1196" ht="14.25" customHeight="1">
      <c r="A1196" s="740"/>
    </row>
    <row r="1197" ht="14.25" customHeight="1">
      <c r="A1197" s="740"/>
    </row>
    <row r="1198" ht="14.25" customHeight="1">
      <c r="A1198" s="740"/>
    </row>
    <row r="1199" ht="14.25" customHeight="1">
      <c r="A1199" s="740"/>
    </row>
    <row r="1200" ht="14.25" customHeight="1">
      <c r="A1200" s="740"/>
    </row>
    <row r="1201" ht="14.25" customHeight="1">
      <c r="A1201" s="740"/>
    </row>
    <row r="1202" ht="14.25" customHeight="1">
      <c r="A1202" s="740"/>
    </row>
    <row r="1203" ht="14.25" customHeight="1">
      <c r="A1203" s="740"/>
    </row>
    <row r="1204" ht="14.25" customHeight="1">
      <c r="A1204" s="740"/>
    </row>
    <row r="1205" ht="14.25" customHeight="1">
      <c r="A1205" s="740"/>
    </row>
    <row r="1206" ht="14.25" customHeight="1">
      <c r="A1206" s="740"/>
    </row>
    <row r="1207" ht="14.25" customHeight="1">
      <c r="A1207" s="740"/>
    </row>
    <row r="1208" ht="14.25" customHeight="1">
      <c r="A1208" s="740"/>
    </row>
    <row r="1209" ht="14.25" customHeight="1">
      <c r="A1209" s="740"/>
    </row>
    <row r="1210" ht="14.25" customHeight="1">
      <c r="A1210" s="740"/>
    </row>
    <row r="1211" ht="14.25" customHeight="1">
      <c r="A1211" s="740"/>
    </row>
    <row r="1212" ht="14.25" customHeight="1">
      <c r="A1212" s="740"/>
    </row>
    <row r="1213" ht="14.25" customHeight="1">
      <c r="A1213" s="740"/>
    </row>
    <row r="1214" ht="14.25" customHeight="1">
      <c r="A1214" s="740"/>
    </row>
    <row r="1215" ht="14.25" customHeight="1">
      <c r="A1215" s="740"/>
    </row>
    <row r="1216" ht="14.25" customHeight="1">
      <c r="A1216" s="740"/>
    </row>
    <row r="1217" ht="14.25" customHeight="1">
      <c r="A1217" s="740"/>
    </row>
    <row r="1218" ht="14.25" customHeight="1">
      <c r="A1218" s="740"/>
    </row>
    <row r="1219" ht="14.25" customHeight="1">
      <c r="A1219" s="740"/>
    </row>
    <row r="1220" ht="14.25" customHeight="1">
      <c r="A1220" s="740"/>
    </row>
    <row r="1221" ht="14.25" customHeight="1">
      <c r="A1221" s="740"/>
    </row>
    <row r="1222" ht="14.25" customHeight="1">
      <c r="A1222" s="740"/>
    </row>
    <row r="1223" ht="14.25" customHeight="1">
      <c r="A1223" s="740"/>
    </row>
    <row r="1224" ht="14.25" customHeight="1">
      <c r="A1224" s="740"/>
    </row>
    <row r="1225" ht="14.25" customHeight="1">
      <c r="A1225" s="740"/>
    </row>
    <row r="1226" ht="14.25" customHeight="1">
      <c r="A1226" s="740"/>
    </row>
    <row r="1227" ht="14.25" customHeight="1">
      <c r="A1227" s="740"/>
    </row>
    <row r="1228" ht="14.25" customHeight="1">
      <c r="A1228" s="740"/>
    </row>
    <row r="1229" ht="14.25" customHeight="1">
      <c r="A1229" s="740"/>
    </row>
    <row r="1230" ht="14.25" customHeight="1">
      <c r="A1230" s="740"/>
    </row>
    <row r="1231" ht="14.25" customHeight="1">
      <c r="A1231" s="740"/>
    </row>
    <row r="1232" ht="14.25" customHeight="1">
      <c r="A1232" s="740"/>
    </row>
    <row r="1233" ht="14.25" customHeight="1">
      <c r="A1233" s="740"/>
    </row>
    <row r="1234" ht="14.25" customHeight="1">
      <c r="A1234" s="740"/>
    </row>
    <row r="1235" ht="14.25" customHeight="1">
      <c r="A1235" s="740"/>
    </row>
    <row r="1236" ht="14.25" customHeight="1">
      <c r="A1236" s="740"/>
    </row>
    <row r="1237" ht="14.25" customHeight="1">
      <c r="A1237" s="740"/>
    </row>
    <row r="1238" ht="14.25" customHeight="1">
      <c r="A1238" s="740"/>
    </row>
    <row r="1239" ht="14.25" customHeight="1">
      <c r="A1239" s="740"/>
    </row>
    <row r="1240" ht="14.25" customHeight="1">
      <c r="A1240" s="740"/>
    </row>
    <row r="1241" ht="14.25" customHeight="1">
      <c r="A1241" s="740"/>
    </row>
    <row r="1242" ht="14.25" customHeight="1">
      <c r="A1242" s="740"/>
    </row>
    <row r="1243" ht="14.25" customHeight="1">
      <c r="A1243" s="740"/>
    </row>
    <row r="1244" ht="14.25" customHeight="1">
      <c r="A1244" s="740"/>
    </row>
    <row r="1245" ht="14.25" customHeight="1">
      <c r="A1245" s="740"/>
    </row>
    <row r="1246" ht="14.25" customHeight="1">
      <c r="A1246" s="740"/>
    </row>
    <row r="1247" ht="14.25" customHeight="1">
      <c r="A1247" s="740"/>
    </row>
    <row r="1248" ht="14.25" customHeight="1">
      <c r="A1248" s="740"/>
    </row>
    <row r="1249" ht="14.25" customHeight="1">
      <c r="A1249" s="740"/>
    </row>
    <row r="1250" ht="14.25" customHeight="1">
      <c r="A1250" s="740"/>
    </row>
    <row r="1251" ht="14.25" customHeight="1">
      <c r="A1251" s="740"/>
    </row>
    <row r="1252" ht="14.25" customHeight="1">
      <c r="A1252" s="740"/>
    </row>
    <row r="1253" ht="14.25" customHeight="1">
      <c r="A1253" s="740"/>
    </row>
    <row r="1254" ht="14.25" customHeight="1">
      <c r="A1254" s="740"/>
    </row>
    <row r="1255" ht="14.25" customHeight="1">
      <c r="A1255" s="740"/>
    </row>
    <row r="1256" ht="14.25" customHeight="1">
      <c r="A1256" s="740"/>
    </row>
    <row r="1257" ht="14.25" customHeight="1">
      <c r="A1257" s="740"/>
    </row>
    <row r="1258" ht="14.25" customHeight="1">
      <c r="A1258" s="740"/>
    </row>
    <row r="1259" ht="14.25" customHeight="1">
      <c r="A1259" s="740"/>
    </row>
    <row r="1260" ht="14.25" customHeight="1">
      <c r="A1260" s="740"/>
    </row>
    <row r="1261" ht="14.25" customHeight="1">
      <c r="A1261" s="740"/>
    </row>
    <row r="1262" ht="14.25" customHeight="1">
      <c r="A1262" s="740"/>
    </row>
    <row r="1263" ht="14.25" customHeight="1">
      <c r="A1263" s="740"/>
    </row>
    <row r="1264" ht="14.25" customHeight="1">
      <c r="A1264" s="740"/>
    </row>
    <row r="1265" ht="14.25" customHeight="1">
      <c r="A1265" s="740"/>
    </row>
    <row r="1266" ht="14.25" customHeight="1">
      <c r="A1266" s="740"/>
    </row>
    <row r="1267" ht="14.25" customHeight="1">
      <c r="A1267" s="740"/>
    </row>
    <row r="1268" ht="14.25" customHeight="1">
      <c r="A1268" s="740"/>
    </row>
    <row r="1269" ht="14.25" customHeight="1">
      <c r="A1269" s="740"/>
    </row>
    <row r="1270" ht="14.25" customHeight="1">
      <c r="A1270" s="740"/>
    </row>
    <row r="1271" ht="14.25" customHeight="1">
      <c r="A1271" s="740"/>
    </row>
    <row r="1272" ht="14.25" customHeight="1">
      <c r="A1272" s="740"/>
    </row>
    <row r="1273" ht="14.25" customHeight="1">
      <c r="A1273" s="740"/>
    </row>
    <row r="1274" ht="14.25" customHeight="1">
      <c r="A1274" s="740"/>
    </row>
    <row r="1275" ht="14.25" customHeight="1">
      <c r="A1275" s="740"/>
    </row>
    <row r="1276" ht="14.25" customHeight="1">
      <c r="A1276" s="740"/>
    </row>
    <row r="1277" ht="14.25" customHeight="1">
      <c r="A1277" s="740"/>
    </row>
    <row r="1278" ht="14.25" customHeight="1">
      <c r="A1278" s="740"/>
    </row>
    <row r="1279" ht="14.25" customHeight="1">
      <c r="A1279" s="740"/>
    </row>
    <row r="1280" ht="14.25" customHeight="1">
      <c r="A1280" s="740"/>
    </row>
    <row r="1281" ht="14.25" customHeight="1">
      <c r="A1281" s="740"/>
    </row>
    <row r="1282" ht="14.25" customHeight="1">
      <c r="A1282" s="740"/>
    </row>
    <row r="1283" ht="14.25" customHeight="1">
      <c r="A1283" s="740"/>
    </row>
    <row r="1284" ht="14.25" customHeight="1">
      <c r="A1284" s="740"/>
    </row>
    <row r="1285" ht="14.25" customHeight="1">
      <c r="A1285" s="740"/>
    </row>
    <row r="1286" ht="14.25" customHeight="1">
      <c r="A1286" s="740"/>
    </row>
    <row r="1287" ht="14.25" customHeight="1">
      <c r="A1287" s="740"/>
    </row>
    <row r="1288" ht="14.25" customHeight="1">
      <c r="A1288" s="740"/>
    </row>
    <row r="1289" ht="14.25" customHeight="1">
      <c r="A1289" s="740"/>
    </row>
    <row r="1290" ht="14.25" customHeight="1">
      <c r="A1290" s="740"/>
    </row>
    <row r="1291" ht="14.25" customHeight="1">
      <c r="A1291" s="740"/>
    </row>
    <row r="1292" ht="14.25" customHeight="1">
      <c r="A1292" s="740"/>
    </row>
    <row r="1293" ht="14.25" customHeight="1">
      <c r="A1293" s="740"/>
    </row>
    <row r="1294" ht="14.25" customHeight="1">
      <c r="A1294" s="740"/>
    </row>
    <row r="1295" ht="14.25" customHeight="1">
      <c r="A1295" s="740"/>
    </row>
    <row r="1296" ht="14.25" customHeight="1">
      <c r="A1296" s="740"/>
    </row>
    <row r="1297" ht="14.25" customHeight="1">
      <c r="A1297" s="740"/>
    </row>
    <row r="1298" ht="14.25" customHeight="1">
      <c r="A1298" s="740"/>
    </row>
    <row r="1299" ht="14.25" customHeight="1">
      <c r="A1299" s="740"/>
    </row>
    <row r="1300" ht="14.25" customHeight="1">
      <c r="A1300" s="740"/>
    </row>
    <row r="1301" ht="14.25" customHeight="1">
      <c r="A1301" s="740"/>
    </row>
    <row r="1302" ht="14.25" customHeight="1">
      <c r="A1302" s="740"/>
    </row>
    <row r="1303" ht="14.25" customHeight="1">
      <c r="A1303" s="740"/>
    </row>
    <row r="1304" ht="14.25" customHeight="1">
      <c r="A1304" s="740"/>
    </row>
    <row r="1305" ht="14.25" customHeight="1">
      <c r="A1305" s="740"/>
    </row>
    <row r="1306" ht="14.25" customHeight="1">
      <c r="A1306" s="740"/>
    </row>
    <row r="1307" ht="14.25" customHeight="1">
      <c r="A1307" s="740"/>
    </row>
    <row r="1308" ht="14.25" customHeight="1">
      <c r="A1308" s="740"/>
    </row>
    <row r="1309" ht="14.25" customHeight="1">
      <c r="A1309" s="740"/>
    </row>
    <row r="1310" ht="14.25" customHeight="1">
      <c r="A1310" s="740"/>
    </row>
    <row r="1311" ht="14.25" customHeight="1">
      <c r="A1311" s="740"/>
    </row>
    <row r="1312" ht="14.25" customHeight="1">
      <c r="A1312" s="740"/>
    </row>
    <row r="1313" ht="14.25" customHeight="1">
      <c r="A1313" s="740"/>
    </row>
    <row r="1314" ht="14.25" customHeight="1">
      <c r="A1314" s="740"/>
    </row>
    <row r="1315" ht="14.25" customHeight="1">
      <c r="A1315" s="740"/>
    </row>
    <row r="1316" ht="14.25" customHeight="1">
      <c r="A1316" s="740"/>
    </row>
    <row r="1317" ht="14.25" customHeight="1">
      <c r="A1317" s="740"/>
    </row>
    <row r="1318" ht="14.25" customHeight="1">
      <c r="A1318" s="740"/>
    </row>
    <row r="1319" ht="14.25" customHeight="1">
      <c r="A1319" s="740"/>
    </row>
    <row r="1320" ht="14.25" customHeight="1">
      <c r="A1320" s="740"/>
    </row>
    <row r="1321" ht="14.25" customHeight="1">
      <c r="A1321" s="740"/>
    </row>
    <row r="1322" ht="14.25" customHeight="1">
      <c r="A1322" s="740"/>
    </row>
    <row r="1323" ht="14.25" customHeight="1">
      <c r="A1323" s="740"/>
    </row>
    <row r="1324" ht="14.25" customHeight="1">
      <c r="A1324" s="740"/>
    </row>
    <row r="1325" ht="14.25" customHeight="1">
      <c r="A1325" s="740"/>
    </row>
    <row r="1326" ht="14.25" customHeight="1">
      <c r="A1326" s="740"/>
    </row>
    <row r="1327" ht="14.25" customHeight="1">
      <c r="A1327" s="740"/>
    </row>
    <row r="1328" ht="14.25" customHeight="1">
      <c r="A1328" s="740"/>
    </row>
    <row r="1329" ht="14.25" customHeight="1">
      <c r="A1329" s="740"/>
    </row>
    <row r="1330" ht="14.25" customHeight="1">
      <c r="A1330" s="740"/>
    </row>
    <row r="1331" ht="14.25" customHeight="1">
      <c r="A1331" s="740"/>
    </row>
    <row r="1332" ht="14.25" customHeight="1">
      <c r="A1332" s="740"/>
    </row>
    <row r="1333" ht="14.25" customHeight="1">
      <c r="A1333" s="740"/>
    </row>
    <row r="1334" ht="14.25" customHeight="1">
      <c r="A1334" s="740"/>
    </row>
    <row r="1335" ht="14.25" customHeight="1">
      <c r="A1335" s="740"/>
    </row>
    <row r="1336" ht="14.25" customHeight="1">
      <c r="A1336" s="740"/>
    </row>
    <row r="1337" ht="14.25" customHeight="1">
      <c r="A1337" s="740"/>
    </row>
    <row r="1338" ht="14.25" customHeight="1">
      <c r="A1338" s="740"/>
    </row>
    <row r="1339" ht="14.25" customHeight="1">
      <c r="A1339" s="740"/>
    </row>
    <row r="1340" ht="14.25" customHeight="1">
      <c r="A1340" s="740"/>
    </row>
    <row r="1341" ht="14.25" customHeight="1">
      <c r="A1341" s="740"/>
    </row>
    <row r="1342" ht="14.25" customHeight="1">
      <c r="A1342" s="740"/>
    </row>
    <row r="1343" ht="14.25" customHeight="1">
      <c r="A1343" s="740"/>
    </row>
    <row r="1344" ht="14.25" customHeight="1">
      <c r="A1344" s="740"/>
    </row>
    <row r="1345" ht="14.25" customHeight="1">
      <c r="A1345" s="740"/>
    </row>
    <row r="1346" ht="14.25" customHeight="1">
      <c r="A1346" s="740"/>
    </row>
    <row r="1347" ht="14.25" customHeight="1">
      <c r="A1347" s="740"/>
    </row>
    <row r="1348" ht="14.25" customHeight="1">
      <c r="A1348" s="740"/>
    </row>
    <row r="1349" ht="14.25" customHeight="1">
      <c r="A1349" s="740"/>
    </row>
    <row r="1350" ht="14.25" customHeight="1">
      <c r="A1350" s="740"/>
    </row>
    <row r="1351" ht="14.25" customHeight="1">
      <c r="A1351" s="740"/>
    </row>
    <row r="1352" ht="14.25" customHeight="1">
      <c r="A1352" s="740"/>
    </row>
    <row r="1353" ht="14.25" customHeight="1">
      <c r="A1353" s="740"/>
    </row>
    <row r="1354" ht="14.25" customHeight="1">
      <c r="A1354" s="740"/>
    </row>
    <row r="1355" ht="14.25" customHeight="1">
      <c r="A1355" s="740"/>
    </row>
    <row r="1356" ht="14.25" customHeight="1">
      <c r="A1356" s="740"/>
    </row>
    <row r="1357" ht="14.25" customHeight="1">
      <c r="A1357" s="740"/>
    </row>
    <row r="1358" ht="14.25" customHeight="1">
      <c r="A1358" s="740"/>
    </row>
    <row r="1359" ht="14.25" customHeight="1">
      <c r="A1359" s="740"/>
    </row>
    <row r="1360" ht="14.25" customHeight="1">
      <c r="A1360" s="740"/>
    </row>
    <row r="1361" ht="14.25" customHeight="1">
      <c r="A1361" s="740"/>
    </row>
    <row r="1362" ht="14.25" customHeight="1">
      <c r="A1362" s="740"/>
    </row>
    <row r="1363" ht="14.25" customHeight="1">
      <c r="A1363" s="740"/>
    </row>
    <row r="1364" ht="14.25" customHeight="1">
      <c r="A1364" s="740"/>
    </row>
    <row r="1365" ht="14.25" customHeight="1">
      <c r="A1365" s="740"/>
    </row>
    <row r="1366" ht="14.25" customHeight="1">
      <c r="A1366" s="740"/>
    </row>
    <row r="1367" ht="14.25" customHeight="1">
      <c r="A1367" s="740"/>
    </row>
    <row r="1368" ht="14.25" customHeight="1">
      <c r="A1368" s="740"/>
    </row>
    <row r="1369" ht="14.25" customHeight="1">
      <c r="A1369" s="740"/>
    </row>
    <row r="1370" ht="14.25" customHeight="1">
      <c r="A1370" s="740"/>
    </row>
    <row r="1371" ht="14.25" customHeight="1">
      <c r="A1371" s="740"/>
    </row>
    <row r="1372" ht="14.25" customHeight="1">
      <c r="A1372" s="740"/>
    </row>
    <row r="1373" ht="14.25" customHeight="1">
      <c r="A1373" s="740"/>
    </row>
    <row r="1374" ht="14.25" customHeight="1">
      <c r="A1374" s="740"/>
    </row>
    <row r="1375" ht="14.25" customHeight="1">
      <c r="A1375" s="740"/>
    </row>
    <row r="1376" ht="14.25" customHeight="1">
      <c r="A1376" s="740"/>
    </row>
    <row r="1377" ht="14.25" customHeight="1">
      <c r="A1377" s="740"/>
    </row>
    <row r="1378" ht="14.25" customHeight="1">
      <c r="A1378" s="740"/>
    </row>
    <row r="1379" ht="14.25" customHeight="1">
      <c r="A1379" s="740"/>
    </row>
    <row r="1380" ht="14.25" customHeight="1">
      <c r="A1380" s="740"/>
    </row>
    <row r="1381" ht="14.25" customHeight="1">
      <c r="A1381" s="740"/>
    </row>
    <row r="1382" ht="14.25" customHeight="1">
      <c r="A1382" s="740"/>
    </row>
    <row r="1383" ht="14.25" customHeight="1">
      <c r="A1383" s="740"/>
    </row>
    <row r="1384" ht="14.25" customHeight="1">
      <c r="A1384" s="740"/>
    </row>
    <row r="1385" ht="14.25" customHeight="1">
      <c r="A1385" s="740"/>
    </row>
    <row r="1386" ht="14.25" customHeight="1">
      <c r="A1386" s="740"/>
    </row>
    <row r="1387" ht="14.25" customHeight="1">
      <c r="A1387" s="740"/>
    </row>
    <row r="1388" ht="14.25" customHeight="1">
      <c r="A1388" s="740"/>
    </row>
    <row r="1389" ht="14.25" customHeight="1">
      <c r="A1389" s="740"/>
    </row>
    <row r="1390" ht="14.25" customHeight="1">
      <c r="A1390" s="740"/>
    </row>
    <row r="1391" ht="14.25" customHeight="1">
      <c r="A1391" s="740"/>
    </row>
    <row r="1392" ht="14.25" customHeight="1">
      <c r="A1392" s="740"/>
    </row>
    <row r="1393" ht="14.25" customHeight="1">
      <c r="A1393" s="740"/>
    </row>
    <row r="1394" ht="14.25" customHeight="1">
      <c r="A1394" s="740"/>
    </row>
    <row r="1395" ht="14.25" customHeight="1">
      <c r="A1395" s="740"/>
    </row>
    <row r="1396" ht="14.25" customHeight="1">
      <c r="A1396" s="740"/>
    </row>
    <row r="1397" ht="14.25" customHeight="1">
      <c r="A1397" s="740"/>
    </row>
    <row r="1398" ht="14.25" customHeight="1">
      <c r="A1398" s="740"/>
    </row>
    <row r="1399" ht="14.25" customHeight="1">
      <c r="A1399" s="740"/>
    </row>
    <row r="1400" ht="14.25" customHeight="1">
      <c r="A1400" s="740"/>
    </row>
    <row r="1401" ht="14.25" customHeight="1">
      <c r="A1401" s="740"/>
    </row>
    <row r="1402" ht="14.25" customHeight="1">
      <c r="A1402" s="740"/>
    </row>
    <row r="1403" ht="14.25" customHeight="1">
      <c r="A1403" s="740"/>
    </row>
    <row r="1404" ht="14.25" customHeight="1">
      <c r="A1404" s="740"/>
    </row>
    <row r="1405" ht="14.25" customHeight="1">
      <c r="A1405" s="740"/>
    </row>
    <row r="1406" ht="14.25" customHeight="1">
      <c r="A1406" s="740"/>
    </row>
    <row r="1407" ht="14.25" customHeight="1">
      <c r="A1407" s="740"/>
    </row>
    <row r="1408" ht="14.25" customHeight="1">
      <c r="A1408" s="740"/>
    </row>
    <row r="1409" ht="14.25" customHeight="1">
      <c r="A1409" s="740"/>
    </row>
    <row r="1410" ht="14.25" customHeight="1">
      <c r="A1410" s="740"/>
    </row>
    <row r="1411" ht="14.25" customHeight="1">
      <c r="A1411" s="740"/>
    </row>
    <row r="1412" ht="14.25" customHeight="1">
      <c r="A1412" s="740"/>
    </row>
    <row r="1413" ht="14.25" customHeight="1">
      <c r="A1413" s="740"/>
    </row>
    <row r="1414" ht="14.25" customHeight="1">
      <c r="A1414" s="740"/>
    </row>
    <row r="1415" ht="14.25" customHeight="1">
      <c r="A1415" s="740"/>
    </row>
    <row r="1416" ht="14.25" customHeight="1">
      <c r="A1416" s="740"/>
    </row>
    <row r="1417" ht="14.25" customHeight="1">
      <c r="A1417" s="740"/>
    </row>
    <row r="1418" ht="14.25" customHeight="1">
      <c r="A1418" s="740"/>
    </row>
    <row r="1419" ht="14.25" customHeight="1">
      <c r="A1419" s="740"/>
    </row>
    <row r="1420" ht="14.25" customHeight="1">
      <c r="A1420" s="740"/>
    </row>
    <row r="1421" ht="14.25" customHeight="1">
      <c r="A1421" s="740"/>
    </row>
    <row r="1422" ht="14.25" customHeight="1">
      <c r="A1422" s="740"/>
    </row>
    <row r="1423" ht="14.25" customHeight="1">
      <c r="A1423" s="740"/>
    </row>
    <row r="1424" ht="14.25" customHeight="1">
      <c r="A1424" s="740"/>
    </row>
    <row r="1425" ht="14.25" customHeight="1">
      <c r="A1425" s="740"/>
    </row>
    <row r="1426" ht="14.25" customHeight="1">
      <c r="A1426" s="740"/>
    </row>
    <row r="1427" ht="14.25" customHeight="1">
      <c r="A1427" s="740"/>
    </row>
    <row r="1428" ht="14.25" customHeight="1">
      <c r="A1428" s="740"/>
    </row>
    <row r="1429" ht="14.25" customHeight="1">
      <c r="A1429" s="740"/>
    </row>
    <row r="1430" ht="14.25" customHeight="1">
      <c r="A1430" s="740"/>
    </row>
    <row r="1431" ht="14.25" customHeight="1">
      <c r="A1431" s="740"/>
    </row>
    <row r="1432" ht="14.25" customHeight="1">
      <c r="A1432" s="740"/>
    </row>
    <row r="1433" ht="14.25" customHeight="1">
      <c r="A1433" s="740"/>
    </row>
    <row r="1434" ht="14.25" customHeight="1">
      <c r="A1434" s="740"/>
    </row>
    <row r="1435" ht="14.25" customHeight="1">
      <c r="A1435" s="740"/>
    </row>
    <row r="1436" ht="14.25" customHeight="1">
      <c r="A1436" s="740"/>
    </row>
    <row r="1437" ht="14.25" customHeight="1">
      <c r="A1437" s="740"/>
    </row>
    <row r="1438" ht="14.25" customHeight="1">
      <c r="A1438" s="740"/>
    </row>
    <row r="1439" ht="14.25" customHeight="1">
      <c r="A1439" s="740"/>
    </row>
    <row r="1440" ht="14.25" customHeight="1">
      <c r="A1440" s="740"/>
    </row>
    <row r="1441" ht="14.25" customHeight="1">
      <c r="A1441" s="740"/>
    </row>
    <row r="1442" ht="14.25" customHeight="1">
      <c r="A1442" s="740"/>
    </row>
    <row r="1443" ht="14.25" customHeight="1">
      <c r="A1443" s="740"/>
    </row>
    <row r="1444" ht="14.25" customHeight="1">
      <c r="A1444" s="740"/>
    </row>
    <row r="1445" ht="14.25" customHeight="1">
      <c r="A1445" s="740"/>
    </row>
    <row r="1446" ht="14.25" customHeight="1">
      <c r="A1446" s="740"/>
    </row>
    <row r="1447" ht="14.25" customHeight="1">
      <c r="A1447" s="740"/>
    </row>
    <row r="1448" ht="14.25" customHeight="1">
      <c r="A1448" s="740"/>
    </row>
    <row r="1449" ht="14.25" customHeight="1">
      <c r="A1449" s="740"/>
    </row>
    <row r="1450" ht="14.25" customHeight="1">
      <c r="A1450" s="740"/>
    </row>
    <row r="1451" ht="14.25" customHeight="1">
      <c r="A1451" s="740"/>
    </row>
    <row r="1452" ht="14.25" customHeight="1">
      <c r="A1452" s="740"/>
    </row>
    <row r="1453" ht="14.25" customHeight="1">
      <c r="A1453" s="740"/>
    </row>
    <row r="1454" ht="14.25" customHeight="1">
      <c r="A1454" s="740"/>
    </row>
    <row r="1455" ht="14.25" customHeight="1">
      <c r="A1455" s="740"/>
    </row>
    <row r="1456" ht="14.25" customHeight="1">
      <c r="A1456" s="740"/>
    </row>
    <row r="1457" ht="14.25" customHeight="1">
      <c r="A1457" s="740"/>
    </row>
    <row r="1458" ht="14.25" customHeight="1">
      <c r="A1458" s="740"/>
    </row>
    <row r="1459" ht="14.25" customHeight="1">
      <c r="A1459" s="740"/>
    </row>
    <row r="1460" ht="14.25" customHeight="1">
      <c r="A1460" s="740"/>
    </row>
    <row r="1461" ht="14.25" customHeight="1">
      <c r="A1461" s="740"/>
    </row>
    <row r="1462" ht="14.25" customHeight="1">
      <c r="A1462" s="740"/>
    </row>
    <row r="1463" ht="14.25" customHeight="1">
      <c r="A1463" s="740"/>
    </row>
    <row r="1464" ht="14.25" customHeight="1">
      <c r="A1464" s="740"/>
    </row>
    <row r="1465" ht="14.25" customHeight="1">
      <c r="A1465" s="740"/>
    </row>
    <row r="1466" ht="14.25" customHeight="1">
      <c r="A1466" s="740"/>
    </row>
    <row r="1467" ht="14.25" customHeight="1">
      <c r="A1467" s="740"/>
    </row>
    <row r="1468" ht="14.25" customHeight="1">
      <c r="A1468" s="740"/>
    </row>
    <row r="1469" ht="14.25" customHeight="1">
      <c r="A1469" s="740"/>
    </row>
    <row r="1470" ht="14.25" customHeight="1">
      <c r="A1470" s="740"/>
    </row>
    <row r="1471" ht="14.25" customHeight="1">
      <c r="A1471" s="740"/>
    </row>
    <row r="1472" ht="14.25" customHeight="1">
      <c r="A1472" s="740"/>
    </row>
    <row r="1473" ht="14.25" customHeight="1">
      <c r="A1473" s="740"/>
    </row>
    <row r="1474" ht="14.25" customHeight="1">
      <c r="A1474" s="740"/>
    </row>
    <row r="1475" ht="14.25" customHeight="1">
      <c r="A1475" s="740"/>
    </row>
    <row r="1476" ht="14.25" customHeight="1">
      <c r="A1476" s="740"/>
    </row>
    <row r="1477" ht="14.25" customHeight="1">
      <c r="A1477" s="740"/>
    </row>
    <row r="1478" ht="14.25" customHeight="1">
      <c r="A1478" s="740"/>
    </row>
    <row r="1479" ht="14.25" customHeight="1">
      <c r="A1479" s="740"/>
    </row>
    <row r="1480" ht="14.25" customHeight="1">
      <c r="A1480" s="740"/>
    </row>
    <row r="1481" ht="14.25" customHeight="1">
      <c r="A1481" s="740"/>
    </row>
    <row r="1482" ht="14.25" customHeight="1">
      <c r="A1482" s="740"/>
    </row>
    <row r="1483" ht="14.25" customHeight="1">
      <c r="A1483" s="740"/>
    </row>
    <row r="1484" ht="14.25" customHeight="1">
      <c r="A1484" s="740"/>
    </row>
    <row r="1485" ht="14.25" customHeight="1">
      <c r="A1485" s="740"/>
    </row>
    <row r="1486" ht="14.25" customHeight="1">
      <c r="A1486" s="740"/>
    </row>
    <row r="1487" ht="14.25" customHeight="1">
      <c r="A1487" s="740"/>
    </row>
    <row r="1488" ht="14.25" customHeight="1">
      <c r="A1488" s="740"/>
    </row>
    <row r="1489" ht="14.25" customHeight="1">
      <c r="A1489" s="740"/>
    </row>
    <row r="1490" ht="14.25" customHeight="1">
      <c r="A1490" s="740"/>
    </row>
    <row r="1491" ht="14.25" customHeight="1">
      <c r="A1491" s="740"/>
    </row>
    <row r="1492" ht="14.25" customHeight="1">
      <c r="A1492" s="740"/>
    </row>
    <row r="1493" ht="14.25" customHeight="1">
      <c r="A1493" s="740"/>
    </row>
    <row r="1494" ht="14.25" customHeight="1">
      <c r="A1494" s="740"/>
    </row>
    <row r="1495" ht="14.25" customHeight="1">
      <c r="A1495" s="740"/>
    </row>
    <row r="1496" ht="14.25" customHeight="1">
      <c r="A1496" s="740"/>
    </row>
    <row r="1497" ht="14.25" customHeight="1">
      <c r="A1497" s="740"/>
    </row>
    <row r="1498" ht="14.25" customHeight="1">
      <c r="A1498" s="740"/>
    </row>
    <row r="1499" ht="14.25" customHeight="1">
      <c r="A1499" s="740"/>
    </row>
    <row r="1500" ht="14.25" customHeight="1">
      <c r="A1500" s="740"/>
    </row>
    <row r="1501" ht="14.25" customHeight="1">
      <c r="A1501" s="740"/>
    </row>
    <row r="1502" ht="14.25" customHeight="1">
      <c r="A1502" s="740"/>
    </row>
    <row r="1503" ht="14.25" customHeight="1">
      <c r="A1503" s="740"/>
    </row>
    <row r="1504" ht="14.25" customHeight="1">
      <c r="A1504" s="740"/>
    </row>
    <row r="1505" ht="14.25" customHeight="1">
      <c r="A1505" s="740"/>
    </row>
    <row r="1506" ht="14.25" customHeight="1">
      <c r="A1506" s="740"/>
    </row>
    <row r="1507" ht="14.25" customHeight="1">
      <c r="A1507" s="740"/>
    </row>
    <row r="1508" ht="14.25" customHeight="1">
      <c r="A1508" s="740"/>
    </row>
    <row r="1509" ht="14.25" customHeight="1">
      <c r="A1509" s="740"/>
    </row>
    <row r="1510" ht="14.25" customHeight="1">
      <c r="A1510" s="740"/>
    </row>
    <row r="1511" ht="14.25" customHeight="1">
      <c r="A1511" s="740"/>
    </row>
    <row r="1512" ht="14.25" customHeight="1">
      <c r="A1512" s="740"/>
    </row>
    <row r="1513" ht="14.25" customHeight="1">
      <c r="A1513" s="740"/>
    </row>
    <row r="1514" ht="14.25" customHeight="1">
      <c r="A1514" s="740"/>
    </row>
    <row r="1515" ht="14.25" customHeight="1">
      <c r="A1515" s="740"/>
    </row>
    <row r="1516" ht="14.25" customHeight="1">
      <c r="A1516" s="740"/>
    </row>
    <row r="1517" ht="14.25" customHeight="1">
      <c r="A1517" s="740"/>
    </row>
    <row r="1518" ht="14.25" customHeight="1">
      <c r="A1518" s="740"/>
    </row>
    <row r="1519" ht="14.25" customHeight="1">
      <c r="A1519" s="740"/>
    </row>
    <row r="1520" ht="14.25" customHeight="1">
      <c r="A1520" s="740"/>
    </row>
    <row r="1521" ht="14.25" customHeight="1">
      <c r="A1521" s="740"/>
    </row>
    <row r="1522" ht="14.25" customHeight="1">
      <c r="A1522" s="740"/>
    </row>
    <row r="1523" ht="14.25" customHeight="1">
      <c r="A1523" s="740"/>
    </row>
    <row r="1524" ht="14.25" customHeight="1">
      <c r="A1524" s="740"/>
    </row>
    <row r="1525" ht="14.25" customHeight="1">
      <c r="A1525" s="740"/>
    </row>
    <row r="1526" ht="14.25" customHeight="1">
      <c r="A1526" s="740"/>
    </row>
    <row r="1527" ht="14.25" customHeight="1">
      <c r="A1527" s="740"/>
    </row>
    <row r="1528" ht="14.25" customHeight="1">
      <c r="A1528" s="740"/>
    </row>
    <row r="1529" ht="14.25" customHeight="1">
      <c r="A1529" s="740"/>
    </row>
    <row r="1530" ht="14.25" customHeight="1">
      <c r="A1530" s="740"/>
    </row>
    <row r="1531" ht="14.25" customHeight="1">
      <c r="A1531" s="740"/>
    </row>
    <row r="1532" ht="14.25" customHeight="1">
      <c r="A1532" s="740"/>
    </row>
    <row r="1533" ht="14.25" customHeight="1">
      <c r="A1533" s="740"/>
    </row>
    <row r="1534" ht="14.25" customHeight="1">
      <c r="A1534" s="740"/>
    </row>
    <row r="1535" ht="14.25" customHeight="1">
      <c r="A1535" s="740"/>
    </row>
    <row r="1536" ht="14.25" customHeight="1">
      <c r="A1536" s="740"/>
    </row>
    <row r="1537" ht="14.25" customHeight="1">
      <c r="A1537" s="740"/>
    </row>
    <row r="1538" ht="14.25" customHeight="1">
      <c r="A1538" s="740"/>
    </row>
    <row r="1539" ht="14.25" customHeight="1">
      <c r="A1539" s="740"/>
    </row>
    <row r="1540" ht="14.25" customHeight="1">
      <c r="A1540" s="740"/>
    </row>
    <row r="1541" ht="14.25" customHeight="1">
      <c r="A1541" s="740"/>
    </row>
    <row r="1542" ht="14.25" customHeight="1">
      <c r="A1542" s="740"/>
    </row>
    <row r="1543" ht="14.25" customHeight="1">
      <c r="A1543" s="740"/>
    </row>
    <row r="1544" ht="14.25" customHeight="1">
      <c r="A1544" s="740"/>
    </row>
    <row r="1545" ht="14.25" customHeight="1">
      <c r="A1545" s="740"/>
    </row>
    <row r="1546" ht="14.25" customHeight="1">
      <c r="A1546" s="740"/>
    </row>
    <row r="1547" ht="14.25" customHeight="1">
      <c r="A1547" s="740"/>
    </row>
    <row r="1548" ht="14.25" customHeight="1">
      <c r="A1548" s="740"/>
    </row>
    <row r="1549" ht="14.25" customHeight="1">
      <c r="A1549" s="740"/>
    </row>
    <row r="1550" ht="14.25" customHeight="1">
      <c r="A1550" s="740"/>
    </row>
    <row r="1551" ht="14.25" customHeight="1">
      <c r="A1551" s="740"/>
    </row>
    <row r="1552" ht="14.25" customHeight="1">
      <c r="A1552" s="740"/>
    </row>
    <row r="1553" ht="14.25" customHeight="1">
      <c r="A1553" s="740"/>
    </row>
    <row r="1554" ht="14.25" customHeight="1">
      <c r="A1554" s="740"/>
    </row>
    <row r="1555" ht="14.25" customHeight="1">
      <c r="A1555" s="740"/>
    </row>
    <row r="1556" ht="14.25" customHeight="1">
      <c r="A1556" s="740"/>
    </row>
    <row r="1557" ht="14.25" customHeight="1">
      <c r="A1557" s="740"/>
    </row>
    <row r="1558" ht="14.25" customHeight="1">
      <c r="A1558" s="740"/>
    </row>
    <row r="1559" ht="14.25" customHeight="1">
      <c r="A1559" s="740"/>
    </row>
    <row r="1560" ht="14.25" customHeight="1">
      <c r="A1560" s="740"/>
    </row>
    <row r="1561" ht="14.25" customHeight="1">
      <c r="A1561" s="740"/>
    </row>
    <row r="1562" ht="14.25" customHeight="1">
      <c r="A1562" s="740"/>
    </row>
    <row r="1563" ht="14.25" customHeight="1">
      <c r="A1563" s="740"/>
    </row>
    <row r="1564" ht="14.25" customHeight="1">
      <c r="A1564" s="740"/>
    </row>
    <row r="1565" ht="14.25" customHeight="1">
      <c r="A1565" s="740"/>
    </row>
    <row r="1566" ht="14.25" customHeight="1">
      <c r="A1566" s="740"/>
    </row>
    <row r="1567" ht="14.25" customHeight="1">
      <c r="A1567" s="740"/>
    </row>
    <row r="1568" ht="14.25" customHeight="1">
      <c r="A1568" s="740"/>
    </row>
    <row r="1569" ht="14.25" customHeight="1">
      <c r="A1569" s="740"/>
    </row>
    <row r="1570" ht="14.25" customHeight="1">
      <c r="A1570" s="740"/>
    </row>
    <row r="1571" ht="14.25" customHeight="1">
      <c r="A1571" s="740"/>
    </row>
    <row r="1572" ht="14.25" customHeight="1">
      <c r="A1572" s="740"/>
    </row>
    <row r="1573" ht="14.25" customHeight="1">
      <c r="A1573" s="740"/>
    </row>
    <row r="1574" ht="14.25" customHeight="1">
      <c r="A1574" s="740"/>
    </row>
    <row r="1575" ht="14.25" customHeight="1">
      <c r="A1575" s="740"/>
    </row>
    <row r="1576" ht="14.25" customHeight="1">
      <c r="A1576" s="740"/>
    </row>
    <row r="1577" ht="14.25" customHeight="1">
      <c r="A1577" s="740"/>
    </row>
    <row r="1578" ht="14.25" customHeight="1">
      <c r="A1578" s="740"/>
    </row>
    <row r="1579" ht="14.25" customHeight="1">
      <c r="A1579" s="740"/>
    </row>
    <row r="1580" ht="14.25" customHeight="1">
      <c r="A1580" s="740"/>
    </row>
    <row r="1581" ht="14.25" customHeight="1">
      <c r="A1581" s="740"/>
    </row>
    <row r="1582" ht="14.25" customHeight="1">
      <c r="A1582" s="740"/>
    </row>
    <row r="1583" ht="14.25" customHeight="1">
      <c r="A1583" s="740"/>
    </row>
    <row r="1584" ht="14.25" customHeight="1">
      <c r="A1584" s="740"/>
    </row>
    <row r="1585" ht="14.25" customHeight="1">
      <c r="A1585" s="740"/>
    </row>
    <row r="1586" ht="14.25" customHeight="1">
      <c r="A1586" s="740"/>
    </row>
    <row r="1587" ht="14.25" customHeight="1">
      <c r="A1587" s="740"/>
    </row>
    <row r="1588" ht="14.25" customHeight="1">
      <c r="A1588" s="740"/>
    </row>
    <row r="1589" ht="14.25" customHeight="1">
      <c r="A1589" s="740"/>
    </row>
    <row r="1590" ht="14.25" customHeight="1">
      <c r="A1590" s="740"/>
    </row>
    <row r="1591" ht="14.25" customHeight="1">
      <c r="A1591" s="740"/>
    </row>
    <row r="1592" ht="14.25" customHeight="1">
      <c r="A1592" s="740"/>
    </row>
    <row r="1593" ht="14.25" customHeight="1">
      <c r="A1593" s="740"/>
    </row>
    <row r="1594" ht="14.25" customHeight="1">
      <c r="A1594" s="740"/>
    </row>
    <row r="1595" ht="14.25" customHeight="1">
      <c r="A1595" s="740"/>
    </row>
    <row r="1596" ht="14.25" customHeight="1">
      <c r="A1596" s="740"/>
    </row>
    <row r="1597" ht="14.25" customHeight="1">
      <c r="A1597" s="740"/>
    </row>
    <row r="1598" ht="14.25" customHeight="1">
      <c r="A1598" s="740"/>
    </row>
    <row r="1599" ht="14.25" customHeight="1">
      <c r="A1599" s="740"/>
    </row>
    <row r="1600" ht="14.25" customHeight="1">
      <c r="A1600" s="740"/>
    </row>
    <row r="1601" ht="14.25" customHeight="1">
      <c r="A1601" s="740"/>
    </row>
    <row r="1602" ht="14.25" customHeight="1">
      <c r="A1602" s="740"/>
    </row>
    <row r="1603" ht="14.25" customHeight="1">
      <c r="A1603" s="740"/>
    </row>
    <row r="1604" ht="14.25" customHeight="1">
      <c r="A1604" s="740"/>
    </row>
    <row r="1605" ht="14.25" customHeight="1">
      <c r="A1605" s="740"/>
    </row>
    <row r="1606" ht="14.25" customHeight="1">
      <c r="A1606" s="740"/>
    </row>
    <row r="1607" ht="14.25" customHeight="1">
      <c r="A1607" s="740"/>
    </row>
    <row r="1608" ht="14.25" customHeight="1">
      <c r="A1608" s="740"/>
    </row>
    <row r="1609" ht="14.25" customHeight="1">
      <c r="A1609" s="740"/>
    </row>
    <row r="1610" ht="14.25" customHeight="1">
      <c r="A1610" s="740"/>
    </row>
    <row r="1611" ht="14.25" customHeight="1">
      <c r="A1611" s="740"/>
    </row>
    <row r="1612" ht="14.25" customHeight="1">
      <c r="A1612" s="740"/>
    </row>
    <row r="1613" ht="14.25" customHeight="1">
      <c r="A1613" s="740"/>
    </row>
    <row r="1614" ht="14.25" customHeight="1">
      <c r="A1614" s="740"/>
    </row>
    <row r="1615" ht="14.25" customHeight="1">
      <c r="A1615" s="740"/>
    </row>
    <row r="1616" ht="14.25" customHeight="1">
      <c r="A1616" s="740"/>
    </row>
    <row r="1617" ht="14.25" customHeight="1">
      <c r="A1617" s="740"/>
    </row>
    <row r="1618" ht="14.25" customHeight="1">
      <c r="A1618" s="740"/>
    </row>
    <row r="1619" ht="14.25" customHeight="1">
      <c r="A1619" s="740"/>
    </row>
    <row r="1620" ht="14.25" customHeight="1">
      <c r="A1620" s="740"/>
    </row>
    <row r="1621" ht="14.25" customHeight="1">
      <c r="A1621" s="740"/>
    </row>
    <row r="1622" ht="14.25" customHeight="1">
      <c r="A1622" s="740"/>
    </row>
    <row r="1623" ht="14.25" customHeight="1">
      <c r="A1623" s="740"/>
    </row>
    <row r="1624" ht="14.25" customHeight="1">
      <c r="A1624" s="740"/>
    </row>
    <row r="1625" ht="14.25" customHeight="1">
      <c r="A1625" s="740"/>
    </row>
    <row r="1626" ht="14.25" customHeight="1">
      <c r="A1626" s="740"/>
    </row>
    <row r="1627" ht="14.25" customHeight="1">
      <c r="A1627" s="740"/>
    </row>
    <row r="1628" ht="14.25" customHeight="1">
      <c r="A1628" s="740"/>
    </row>
    <row r="1629" ht="14.25" customHeight="1">
      <c r="A1629" s="740"/>
    </row>
    <row r="1630" ht="14.25" customHeight="1">
      <c r="A1630" s="740"/>
    </row>
    <row r="1631" ht="14.25" customHeight="1">
      <c r="A1631" s="740"/>
    </row>
    <row r="1632" ht="14.25" customHeight="1">
      <c r="A1632" s="740"/>
    </row>
    <row r="1633" ht="14.25" customHeight="1">
      <c r="A1633" s="740"/>
    </row>
    <row r="1634" ht="14.25" customHeight="1">
      <c r="A1634" s="740"/>
    </row>
    <row r="1635" ht="14.25" customHeight="1">
      <c r="A1635" s="740"/>
    </row>
    <row r="1636" ht="14.25" customHeight="1">
      <c r="A1636" s="740"/>
    </row>
    <row r="1637" ht="14.25" customHeight="1">
      <c r="A1637" s="740"/>
    </row>
    <row r="1638" ht="14.25" customHeight="1">
      <c r="A1638" s="740"/>
    </row>
    <row r="1639" ht="14.25" customHeight="1">
      <c r="A1639" s="740"/>
    </row>
    <row r="1640" ht="14.25" customHeight="1">
      <c r="A1640" s="740"/>
    </row>
    <row r="1641" ht="14.25" customHeight="1">
      <c r="A1641" s="740"/>
    </row>
    <row r="1642" ht="14.25" customHeight="1">
      <c r="A1642" s="740"/>
    </row>
    <row r="1643" ht="14.25" customHeight="1">
      <c r="A1643" s="740"/>
    </row>
    <row r="1644" ht="14.25" customHeight="1">
      <c r="A1644" s="740"/>
    </row>
    <row r="1645" ht="14.25" customHeight="1">
      <c r="A1645" s="740"/>
    </row>
    <row r="1646" ht="14.25" customHeight="1">
      <c r="A1646" s="740"/>
    </row>
    <row r="1647" ht="14.25" customHeight="1">
      <c r="A1647" s="740"/>
    </row>
    <row r="1648" ht="14.25" customHeight="1">
      <c r="A1648" s="740"/>
    </row>
    <row r="1649" ht="14.25" customHeight="1">
      <c r="A1649" s="740"/>
    </row>
    <row r="1650" ht="14.25" customHeight="1">
      <c r="A1650" s="740"/>
    </row>
    <row r="1651" ht="14.25" customHeight="1">
      <c r="A1651" s="740"/>
    </row>
    <row r="1652" ht="14.25" customHeight="1">
      <c r="A1652" s="740"/>
    </row>
    <row r="1653" ht="14.25" customHeight="1">
      <c r="A1653" s="740"/>
    </row>
    <row r="1654" ht="14.25" customHeight="1">
      <c r="A1654" s="740"/>
    </row>
    <row r="1655" ht="14.25" customHeight="1">
      <c r="A1655" s="740"/>
    </row>
    <row r="1656" ht="14.25" customHeight="1">
      <c r="A1656" s="740"/>
    </row>
    <row r="1657" ht="14.25" customHeight="1">
      <c r="A1657" s="740"/>
    </row>
    <row r="1658" ht="14.25" customHeight="1">
      <c r="A1658" s="740"/>
    </row>
    <row r="1659" ht="14.25" customHeight="1">
      <c r="A1659" s="740"/>
    </row>
    <row r="1660" ht="14.25" customHeight="1">
      <c r="A1660" s="740"/>
    </row>
    <row r="1661" ht="14.25" customHeight="1">
      <c r="A1661" s="740"/>
    </row>
    <row r="1662" ht="14.25" customHeight="1">
      <c r="A1662" s="740"/>
    </row>
    <row r="1663" ht="14.25" customHeight="1">
      <c r="A1663" s="740"/>
    </row>
    <row r="1664" ht="14.25" customHeight="1">
      <c r="A1664" s="740"/>
    </row>
    <row r="1665" ht="14.25" customHeight="1">
      <c r="A1665" s="740"/>
    </row>
    <row r="1666" ht="14.25" customHeight="1">
      <c r="A1666" s="740"/>
    </row>
    <row r="1667" ht="14.25" customHeight="1">
      <c r="A1667" s="740"/>
    </row>
    <row r="1668" ht="14.25" customHeight="1">
      <c r="A1668" s="740"/>
    </row>
    <row r="1669" ht="14.25" customHeight="1">
      <c r="A1669" s="740"/>
    </row>
    <row r="1670" ht="14.25" customHeight="1">
      <c r="A1670" s="740"/>
    </row>
    <row r="1671" ht="14.25" customHeight="1">
      <c r="A1671" s="740"/>
    </row>
    <row r="1672" ht="14.25" customHeight="1">
      <c r="A1672" s="740"/>
    </row>
    <row r="1673" ht="14.25" customHeight="1">
      <c r="A1673" s="740"/>
    </row>
    <row r="1674" ht="14.25" customHeight="1">
      <c r="A1674" s="740"/>
    </row>
    <row r="1675" ht="14.25" customHeight="1">
      <c r="A1675" s="740"/>
    </row>
    <row r="1676" ht="14.25" customHeight="1">
      <c r="A1676" s="740"/>
    </row>
    <row r="1677" ht="14.25" customHeight="1">
      <c r="A1677" s="740"/>
    </row>
    <row r="1678" ht="14.25" customHeight="1">
      <c r="A1678" s="740"/>
    </row>
    <row r="1679" ht="14.25" customHeight="1">
      <c r="A1679" s="740"/>
    </row>
    <row r="1680" ht="14.25" customHeight="1">
      <c r="A1680" s="740"/>
    </row>
    <row r="1681" ht="14.25" customHeight="1">
      <c r="A1681" s="740"/>
    </row>
    <row r="1682" ht="14.25" customHeight="1">
      <c r="A1682" s="740"/>
    </row>
    <row r="1683" ht="14.25" customHeight="1">
      <c r="A1683" s="740"/>
    </row>
    <row r="1684" ht="14.25" customHeight="1">
      <c r="A1684" s="740"/>
    </row>
    <row r="1685" ht="14.25" customHeight="1">
      <c r="A1685" s="740"/>
    </row>
    <row r="1686" ht="14.25" customHeight="1">
      <c r="A1686" s="740"/>
    </row>
    <row r="1687" ht="14.25" customHeight="1">
      <c r="A1687" s="740"/>
    </row>
    <row r="1688" ht="14.25" customHeight="1">
      <c r="A1688" s="740"/>
    </row>
    <row r="1689" ht="14.25" customHeight="1">
      <c r="A1689" s="740"/>
    </row>
    <row r="1690" ht="14.25" customHeight="1">
      <c r="A1690" s="740"/>
    </row>
    <row r="1691" ht="14.25" customHeight="1">
      <c r="A1691" s="740"/>
    </row>
    <row r="1692" ht="14.25" customHeight="1">
      <c r="A1692" s="740"/>
    </row>
    <row r="1693" ht="14.25" customHeight="1">
      <c r="A1693" s="740"/>
    </row>
    <row r="1694" ht="14.25" customHeight="1">
      <c r="A1694" s="740"/>
    </row>
    <row r="1695" ht="14.25" customHeight="1">
      <c r="A1695" s="740"/>
    </row>
    <row r="1696" ht="14.25" customHeight="1">
      <c r="A1696" s="740"/>
    </row>
    <row r="1697" ht="14.25" customHeight="1">
      <c r="A1697" s="740"/>
    </row>
    <row r="1698" ht="14.25" customHeight="1">
      <c r="A1698" s="740"/>
    </row>
    <row r="1699" ht="14.25" customHeight="1">
      <c r="A1699" s="740"/>
    </row>
    <row r="1700" ht="14.25" customHeight="1">
      <c r="A1700" s="740"/>
    </row>
    <row r="1701" ht="14.25" customHeight="1">
      <c r="A1701" s="740"/>
    </row>
    <row r="1702" ht="14.25" customHeight="1">
      <c r="A1702" s="740"/>
    </row>
    <row r="1703" ht="14.25" customHeight="1">
      <c r="A1703" s="740"/>
    </row>
    <row r="1704" ht="14.25" customHeight="1">
      <c r="A1704" s="740"/>
    </row>
    <row r="1705" ht="14.25" customHeight="1">
      <c r="A1705" s="740"/>
    </row>
    <row r="1706" ht="14.25" customHeight="1">
      <c r="A1706" s="740"/>
    </row>
    <row r="1707" ht="14.25" customHeight="1">
      <c r="A1707" s="740"/>
    </row>
    <row r="1708" ht="14.25" customHeight="1">
      <c r="A1708" s="740"/>
    </row>
    <row r="1709" ht="14.25" customHeight="1">
      <c r="A1709" s="740"/>
    </row>
    <row r="1710" ht="14.25" customHeight="1">
      <c r="A1710" s="740"/>
    </row>
    <row r="1711" ht="14.25" customHeight="1">
      <c r="A1711" s="740"/>
    </row>
    <row r="1712" ht="14.25" customHeight="1">
      <c r="A1712" s="740"/>
    </row>
    <row r="1713" ht="14.25" customHeight="1">
      <c r="A1713" s="740"/>
    </row>
    <row r="1714" ht="14.25" customHeight="1">
      <c r="A1714" s="740"/>
    </row>
    <row r="1715" ht="14.25" customHeight="1">
      <c r="A1715" s="740"/>
    </row>
    <row r="1716" ht="14.25" customHeight="1">
      <c r="A1716" s="740"/>
    </row>
    <row r="1717" ht="14.25" customHeight="1">
      <c r="A1717" s="740"/>
    </row>
    <row r="1718" ht="14.25" customHeight="1">
      <c r="A1718" s="740"/>
    </row>
    <row r="1719" ht="14.25" customHeight="1">
      <c r="A1719" s="740"/>
    </row>
    <row r="1720" ht="14.25" customHeight="1">
      <c r="A1720" s="740"/>
    </row>
    <row r="1721" ht="14.25" customHeight="1">
      <c r="A1721" s="740"/>
    </row>
    <row r="1722" ht="14.25" customHeight="1">
      <c r="A1722" s="740"/>
    </row>
    <row r="1723" ht="14.25" customHeight="1">
      <c r="A1723" s="740"/>
    </row>
    <row r="1724" ht="14.25" customHeight="1">
      <c r="A1724" s="740"/>
    </row>
    <row r="1725" ht="14.25" customHeight="1">
      <c r="A1725" s="740"/>
    </row>
    <row r="1726" ht="14.25" customHeight="1">
      <c r="A1726" s="740"/>
    </row>
    <row r="1727" ht="14.25" customHeight="1">
      <c r="A1727" s="740"/>
    </row>
    <row r="1728" ht="14.25" customHeight="1">
      <c r="A1728" s="740"/>
    </row>
    <row r="1729" ht="14.25" customHeight="1">
      <c r="A1729" s="740"/>
    </row>
    <row r="1730" ht="14.25" customHeight="1">
      <c r="A1730" s="740"/>
    </row>
    <row r="1731" ht="14.25" customHeight="1">
      <c r="A1731" s="740"/>
    </row>
    <row r="1732" ht="14.25" customHeight="1">
      <c r="A1732" s="740"/>
    </row>
    <row r="1733" ht="14.25" customHeight="1">
      <c r="A1733" s="740"/>
    </row>
    <row r="1734" ht="14.25" customHeight="1">
      <c r="A1734" s="740"/>
    </row>
    <row r="1735" ht="14.25" customHeight="1">
      <c r="A1735" s="740"/>
    </row>
    <row r="1736" ht="14.25" customHeight="1">
      <c r="A1736" s="740"/>
    </row>
    <row r="1737" ht="14.25" customHeight="1">
      <c r="A1737" s="740"/>
    </row>
    <row r="1738" ht="14.25" customHeight="1">
      <c r="A1738" s="740"/>
    </row>
    <row r="1739" ht="14.25" customHeight="1">
      <c r="A1739" s="740"/>
    </row>
    <row r="1740" ht="14.25" customHeight="1">
      <c r="A1740" s="740"/>
    </row>
    <row r="1741" ht="14.25" customHeight="1">
      <c r="A1741" s="740"/>
    </row>
    <row r="1742" ht="14.25" customHeight="1">
      <c r="A1742" s="740"/>
    </row>
    <row r="1743" ht="14.25" customHeight="1">
      <c r="A1743" s="740"/>
    </row>
    <row r="1744" ht="14.25" customHeight="1">
      <c r="A1744" s="740"/>
    </row>
    <row r="1745" ht="14.25" customHeight="1">
      <c r="A1745" s="740"/>
    </row>
    <row r="1746" ht="14.25" customHeight="1">
      <c r="A1746" s="740"/>
    </row>
    <row r="1747" ht="14.25" customHeight="1">
      <c r="A1747" s="740"/>
    </row>
    <row r="1748" ht="14.25" customHeight="1">
      <c r="A1748" s="740"/>
    </row>
    <row r="1749" ht="14.25" customHeight="1">
      <c r="A1749" s="740"/>
    </row>
    <row r="1750" ht="14.25" customHeight="1">
      <c r="A1750" s="740"/>
    </row>
    <row r="1751" ht="14.25" customHeight="1">
      <c r="A1751" s="740"/>
    </row>
    <row r="1752" ht="14.25" customHeight="1">
      <c r="A1752" s="740"/>
    </row>
    <row r="1753" ht="14.25" customHeight="1">
      <c r="A1753" s="740"/>
    </row>
    <row r="1754" ht="14.25" customHeight="1">
      <c r="A1754" s="740"/>
    </row>
    <row r="1755" ht="14.25" customHeight="1">
      <c r="A1755" s="740"/>
    </row>
    <row r="1756" ht="14.25" customHeight="1">
      <c r="A1756" s="740"/>
    </row>
    <row r="1757" ht="14.25" customHeight="1">
      <c r="A1757" s="740"/>
    </row>
    <row r="1758" ht="14.25" customHeight="1">
      <c r="A1758" s="740"/>
    </row>
    <row r="1759" ht="14.25" customHeight="1">
      <c r="A1759" s="740"/>
    </row>
    <row r="1760" ht="14.25" customHeight="1">
      <c r="A1760" s="740"/>
    </row>
    <row r="1761" ht="14.25" customHeight="1">
      <c r="A1761" s="740"/>
    </row>
    <row r="1762" ht="14.25" customHeight="1">
      <c r="A1762" s="740"/>
    </row>
    <row r="1763" ht="14.25" customHeight="1">
      <c r="A1763" s="740"/>
    </row>
    <row r="1764" ht="14.25" customHeight="1">
      <c r="A1764" s="740"/>
    </row>
    <row r="1765" ht="14.25" customHeight="1">
      <c r="A1765" s="740"/>
    </row>
    <row r="1766" ht="14.25" customHeight="1">
      <c r="A1766" s="740"/>
    </row>
    <row r="1767" ht="14.25" customHeight="1">
      <c r="A1767" s="740"/>
    </row>
    <row r="1768" ht="14.25" customHeight="1">
      <c r="A1768" s="740"/>
    </row>
    <row r="1769" ht="14.25" customHeight="1">
      <c r="A1769" s="740"/>
    </row>
    <row r="1770" ht="14.25" customHeight="1">
      <c r="A1770" s="740"/>
    </row>
    <row r="1771" ht="14.25" customHeight="1">
      <c r="A1771" s="740"/>
    </row>
    <row r="1772" ht="14.25" customHeight="1">
      <c r="A1772" s="740"/>
    </row>
    <row r="1773" ht="14.25" customHeight="1">
      <c r="A1773" s="740"/>
    </row>
    <row r="1774" ht="14.25" customHeight="1">
      <c r="A1774" s="740"/>
    </row>
    <row r="1775" ht="14.25" customHeight="1">
      <c r="A1775" s="740"/>
    </row>
    <row r="1776" ht="14.25" customHeight="1">
      <c r="A1776" s="740"/>
    </row>
    <row r="1777" ht="14.25" customHeight="1">
      <c r="A1777" s="740"/>
    </row>
    <row r="1778" ht="14.25" customHeight="1">
      <c r="A1778" s="740"/>
    </row>
    <row r="1779" ht="14.25" customHeight="1">
      <c r="A1779" s="740"/>
    </row>
    <row r="1780" ht="14.25" customHeight="1">
      <c r="A1780" s="740"/>
    </row>
    <row r="1781" ht="14.25" customHeight="1">
      <c r="A1781" s="740"/>
    </row>
    <row r="1782" ht="14.25" customHeight="1">
      <c r="A1782" s="740"/>
    </row>
    <row r="1783" ht="14.25" customHeight="1">
      <c r="A1783" s="740"/>
    </row>
    <row r="1784" ht="14.25" customHeight="1">
      <c r="A1784" s="740"/>
    </row>
    <row r="1785" ht="14.25" customHeight="1">
      <c r="A1785" s="740"/>
    </row>
    <row r="1786" ht="14.25" customHeight="1">
      <c r="A1786" s="740"/>
    </row>
    <row r="1787" ht="14.25" customHeight="1">
      <c r="A1787" s="740"/>
    </row>
    <row r="1788" ht="14.25" customHeight="1">
      <c r="A1788" s="740"/>
    </row>
    <row r="1789" ht="14.25" customHeight="1">
      <c r="A1789" s="740"/>
    </row>
    <row r="1790" ht="14.25" customHeight="1">
      <c r="A1790" s="740"/>
    </row>
    <row r="1791" ht="14.25" customHeight="1">
      <c r="A1791" s="740"/>
    </row>
    <row r="1792" ht="14.25" customHeight="1">
      <c r="A1792" s="740"/>
    </row>
    <row r="1793" ht="14.25" customHeight="1">
      <c r="A1793" s="740"/>
    </row>
    <row r="1794" ht="14.25" customHeight="1">
      <c r="A1794" s="740"/>
    </row>
    <row r="1795" ht="14.25" customHeight="1">
      <c r="A1795" s="740"/>
    </row>
    <row r="1796" ht="14.25" customHeight="1">
      <c r="A1796" s="740"/>
    </row>
    <row r="1797" ht="14.25" customHeight="1">
      <c r="A1797" s="740"/>
    </row>
    <row r="1798" ht="14.25" customHeight="1">
      <c r="A1798" s="740"/>
    </row>
    <row r="1799" ht="14.25" customHeight="1">
      <c r="A1799" s="740"/>
    </row>
    <row r="1800" ht="14.25" customHeight="1">
      <c r="A1800" s="740"/>
    </row>
    <row r="1801" ht="14.25" customHeight="1">
      <c r="A1801" s="740"/>
    </row>
    <row r="1802" ht="14.25" customHeight="1">
      <c r="A1802" s="740"/>
    </row>
    <row r="1803" ht="14.25" customHeight="1">
      <c r="A1803" s="740"/>
    </row>
    <row r="1804" ht="14.25" customHeight="1">
      <c r="A1804" s="740"/>
    </row>
    <row r="1805" ht="14.25" customHeight="1">
      <c r="A1805" s="740"/>
    </row>
    <row r="1806" ht="14.25" customHeight="1">
      <c r="A1806" s="740"/>
    </row>
    <row r="1807" ht="14.25" customHeight="1">
      <c r="A1807" s="740"/>
    </row>
    <row r="1808" ht="14.25" customHeight="1">
      <c r="A1808" s="740"/>
    </row>
    <row r="1809" ht="14.25" customHeight="1">
      <c r="A1809" s="740"/>
    </row>
    <row r="1810" ht="14.25" customHeight="1">
      <c r="A1810" s="740"/>
    </row>
    <row r="1811" ht="14.25" customHeight="1">
      <c r="A1811" s="740"/>
    </row>
    <row r="1812" ht="14.25" customHeight="1">
      <c r="A1812" s="740"/>
    </row>
    <row r="1813" ht="14.25" customHeight="1">
      <c r="A1813" s="740"/>
    </row>
    <row r="1814" ht="14.25" customHeight="1">
      <c r="A1814" s="740"/>
    </row>
    <row r="1815" ht="14.25" customHeight="1">
      <c r="A1815" s="740"/>
    </row>
    <row r="1816" ht="14.25" customHeight="1">
      <c r="A1816" s="740"/>
    </row>
    <row r="1817" ht="14.25" customHeight="1">
      <c r="A1817" s="740"/>
    </row>
    <row r="1818" ht="14.25" customHeight="1">
      <c r="A1818" s="740"/>
    </row>
    <row r="1819" ht="14.25" customHeight="1">
      <c r="A1819" s="740"/>
    </row>
    <row r="1820" ht="14.25" customHeight="1">
      <c r="A1820" s="740"/>
    </row>
    <row r="1821" ht="14.25" customHeight="1">
      <c r="A1821" s="740"/>
    </row>
    <row r="1822" ht="14.25" customHeight="1">
      <c r="A1822" s="740"/>
    </row>
    <row r="1823" ht="14.25" customHeight="1">
      <c r="A1823" s="740"/>
    </row>
    <row r="1824" ht="14.25" customHeight="1">
      <c r="A1824" s="740"/>
    </row>
    <row r="1825" ht="14.25" customHeight="1">
      <c r="A1825" s="740"/>
    </row>
    <row r="1826" ht="14.25" customHeight="1">
      <c r="A1826" s="740"/>
    </row>
    <row r="1827" ht="14.25" customHeight="1">
      <c r="A1827" s="740"/>
    </row>
    <row r="1828" ht="14.25" customHeight="1">
      <c r="A1828" s="740"/>
    </row>
    <row r="1829" ht="14.25" customHeight="1">
      <c r="A1829" s="740"/>
    </row>
    <row r="1830" ht="14.25" customHeight="1">
      <c r="A1830" s="740"/>
    </row>
    <row r="1831" ht="14.25" customHeight="1">
      <c r="A1831" s="740"/>
    </row>
    <row r="1832" ht="14.25" customHeight="1">
      <c r="A1832" s="740"/>
    </row>
    <row r="1833" ht="14.25" customHeight="1">
      <c r="A1833" s="740"/>
    </row>
    <row r="1834" ht="14.25" customHeight="1">
      <c r="A1834" s="740"/>
    </row>
    <row r="1835" ht="14.25" customHeight="1">
      <c r="A1835" s="740"/>
    </row>
    <row r="1836" ht="14.25" customHeight="1">
      <c r="A1836" s="740"/>
    </row>
    <row r="1837" ht="14.25" customHeight="1">
      <c r="A1837" s="740"/>
    </row>
    <row r="1838" ht="14.25" customHeight="1">
      <c r="A1838" s="740"/>
    </row>
    <row r="1839" ht="14.25" customHeight="1">
      <c r="A1839" s="740"/>
    </row>
    <row r="1840" ht="14.25" customHeight="1">
      <c r="A1840" s="740"/>
    </row>
    <row r="1841" ht="14.25" customHeight="1">
      <c r="A1841" s="740"/>
    </row>
    <row r="1842" ht="14.25" customHeight="1">
      <c r="A1842" s="740"/>
    </row>
    <row r="1843" ht="14.25" customHeight="1">
      <c r="A1843" s="740"/>
    </row>
    <row r="1844" ht="14.25" customHeight="1">
      <c r="A1844" s="740"/>
    </row>
    <row r="1845" ht="14.25" customHeight="1">
      <c r="A1845" s="740"/>
    </row>
    <row r="1846" ht="14.25" customHeight="1">
      <c r="A1846" s="740"/>
    </row>
    <row r="1847" ht="14.25" customHeight="1">
      <c r="A1847" s="740"/>
    </row>
    <row r="1848" ht="14.25" customHeight="1">
      <c r="A1848" s="740"/>
    </row>
    <row r="1849" ht="14.25" customHeight="1">
      <c r="A1849" s="740"/>
    </row>
    <row r="1850" ht="14.25" customHeight="1">
      <c r="A1850" s="740"/>
    </row>
    <row r="1851" ht="14.25" customHeight="1">
      <c r="A1851" s="740"/>
    </row>
    <row r="1852" ht="14.25" customHeight="1">
      <c r="A1852" s="740"/>
    </row>
    <row r="1853" ht="14.25" customHeight="1">
      <c r="A1853" s="740"/>
    </row>
    <row r="1854" ht="14.25" customHeight="1">
      <c r="A1854" s="740"/>
    </row>
    <row r="1855" ht="14.25" customHeight="1">
      <c r="A1855" s="740"/>
    </row>
    <row r="1856" ht="14.25" customHeight="1">
      <c r="A1856" s="740"/>
    </row>
    <row r="1857" ht="14.25" customHeight="1">
      <c r="A1857" s="740"/>
    </row>
    <row r="1858" ht="14.25" customHeight="1">
      <c r="A1858" s="740"/>
    </row>
    <row r="1859" ht="14.25" customHeight="1">
      <c r="A1859" s="740"/>
    </row>
    <row r="1860" ht="14.25" customHeight="1">
      <c r="A1860" s="740"/>
    </row>
    <row r="1861" ht="14.25" customHeight="1">
      <c r="A1861" s="740"/>
    </row>
    <row r="1862" ht="14.25" customHeight="1">
      <c r="A1862" s="740"/>
    </row>
    <row r="1863" ht="14.25" customHeight="1">
      <c r="A1863" s="740"/>
    </row>
    <row r="1864" ht="14.25" customHeight="1">
      <c r="A1864" s="740"/>
    </row>
    <row r="1865" ht="14.25" customHeight="1">
      <c r="A1865" s="740"/>
    </row>
    <row r="1866" ht="14.25" customHeight="1">
      <c r="A1866" s="740"/>
    </row>
    <row r="1867" ht="14.25" customHeight="1">
      <c r="A1867" s="740"/>
    </row>
    <row r="1868" ht="14.25" customHeight="1">
      <c r="A1868" s="740"/>
    </row>
    <row r="1869" ht="14.25" customHeight="1">
      <c r="A1869" s="740"/>
    </row>
    <row r="1870" ht="14.25" customHeight="1">
      <c r="A1870" s="740"/>
    </row>
    <row r="1871" ht="14.25" customHeight="1">
      <c r="A1871" s="740"/>
    </row>
    <row r="1872" ht="14.25" customHeight="1">
      <c r="A1872" s="740"/>
    </row>
    <row r="1873" ht="14.25" customHeight="1">
      <c r="A1873" s="740"/>
    </row>
    <row r="1874" ht="14.25" customHeight="1">
      <c r="A1874" s="740"/>
    </row>
    <row r="1875" ht="14.25" customHeight="1">
      <c r="A1875" s="740"/>
    </row>
    <row r="1876" ht="14.25" customHeight="1">
      <c r="A1876" s="740"/>
    </row>
    <row r="1877" ht="14.25" customHeight="1">
      <c r="A1877" s="740"/>
    </row>
    <row r="1878" ht="14.25" customHeight="1">
      <c r="A1878" s="740"/>
    </row>
    <row r="1879" ht="14.25" customHeight="1">
      <c r="A1879" s="740"/>
    </row>
    <row r="1880" ht="14.25" customHeight="1">
      <c r="A1880" s="740"/>
    </row>
    <row r="1881" ht="14.25" customHeight="1">
      <c r="A1881" s="740"/>
    </row>
    <row r="1882" ht="14.25" customHeight="1">
      <c r="A1882" s="740"/>
    </row>
    <row r="1883" ht="14.25" customHeight="1">
      <c r="A1883" s="740"/>
    </row>
    <row r="1884" ht="14.25" customHeight="1">
      <c r="A1884" s="740"/>
    </row>
    <row r="1885" ht="14.25" customHeight="1">
      <c r="A1885" s="740"/>
    </row>
    <row r="1886" ht="14.25" customHeight="1">
      <c r="A1886" s="740"/>
    </row>
    <row r="1887" ht="14.25" customHeight="1">
      <c r="A1887" s="740"/>
    </row>
    <row r="1888" ht="14.25" customHeight="1">
      <c r="A1888" s="740"/>
    </row>
    <row r="1889" ht="14.25" customHeight="1">
      <c r="A1889" s="740"/>
    </row>
    <row r="1890" ht="14.25" customHeight="1">
      <c r="A1890" s="740"/>
    </row>
    <row r="1891" ht="14.25" customHeight="1">
      <c r="A1891" s="740"/>
    </row>
    <row r="1892" ht="14.25" customHeight="1">
      <c r="A1892" s="740"/>
    </row>
    <row r="1893" ht="14.25" customHeight="1">
      <c r="A1893" s="740"/>
    </row>
    <row r="1894" ht="14.25" customHeight="1">
      <c r="A1894" s="740"/>
    </row>
    <row r="1895" ht="14.25" customHeight="1">
      <c r="A1895" s="740"/>
    </row>
    <row r="1896" ht="14.25" customHeight="1">
      <c r="A1896" s="740"/>
    </row>
    <row r="1897" ht="14.25" customHeight="1">
      <c r="A1897" s="740"/>
    </row>
    <row r="1898" ht="14.25" customHeight="1">
      <c r="A1898" s="740"/>
    </row>
    <row r="1899" ht="14.25" customHeight="1">
      <c r="A1899" s="740"/>
    </row>
    <row r="1900" ht="14.25" customHeight="1">
      <c r="A1900" s="740"/>
    </row>
    <row r="1901" ht="14.25" customHeight="1">
      <c r="A1901" s="740"/>
    </row>
    <row r="1902" ht="14.25" customHeight="1">
      <c r="A1902" s="740"/>
    </row>
    <row r="1903" ht="14.25" customHeight="1">
      <c r="A1903" s="740"/>
    </row>
    <row r="1904" ht="14.25" customHeight="1">
      <c r="A1904" s="740"/>
    </row>
    <row r="1905" ht="14.25" customHeight="1">
      <c r="A1905" s="740"/>
    </row>
    <row r="1906" ht="14.25" customHeight="1">
      <c r="A1906" s="740"/>
    </row>
    <row r="1907" ht="14.25" customHeight="1">
      <c r="A1907" s="740"/>
    </row>
    <row r="1908" ht="14.25" customHeight="1">
      <c r="A1908" s="740"/>
    </row>
    <row r="1909" ht="14.25" customHeight="1">
      <c r="A1909" s="740"/>
    </row>
    <row r="1910" ht="14.25" customHeight="1">
      <c r="A1910" s="740"/>
    </row>
    <row r="1911" ht="14.25" customHeight="1">
      <c r="A1911" s="740"/>
    </row>
    <row r="1912" ht="14.25" customHeight="1">
      <c r="A1912" s="740"/>
    </row>
    <row r="1913" ht="14.25" customHeight="1">
      <c r="A1913" s="740"/>
    </row>
    <row r="1914" ht="14.25" customHeight="1">
      <c r="A1914" s="740"/>
    </row>
    <row r="1915" ht="14.25" customHeight="1">
      <c r="A1915" s="740"/>
    </row>
    <row r="1916" ht="14.25" customHeight="1">
      <c r="A1916" s="740"/>
    </row>
    <row r="1917" ht="14.25" customHeight="1">
      <c r="A1917" s="740"/>
    </row>
    <row r="1918" ht="14.25" customHeight="1">
      <c r="A1918" s="740"/>
    </row>
    <row r="1919" ht="14.25" customHeight="1">
      <c r="A1919" s="740"/>
    </row>
    <row r="1920" ht="14.25" customHeight="1">
      <c r="A1920" s="740"/>
    </row>
    <row r="1921" ht="14.25" customHeight="1">
      <c r="A1921" s="740"/>
    </row>
    <row r="1922" ht="14.25" customHeight="1">
      <c r="A1922" s="740"/>
    </row>
    <row r="1923" ht="14.25" customHeight="1">
      <c r="A1923" s="740"/>
    </row>
    <row r="1924" ht="14.25" customHeight="1">
      <c r="A1924" s="740"/>
    </row>
    <row r="1925" ht="14.25" customHeight="1">
      <c r="A1925" s="740"/>
    </row>
    <row r="1926" ht="14.25" customHeight="1">
      <c r="A1926" s="740"/>
    </row>
    <row r="1927" ht="14.25" customHeight="1">
      <c r="A1927" s="740"/>
    </row>
    <row r="1928" ht="14.25" customHeight="1">
      <c r="A1928" s="740"/>
    </row>
    <row r="1929" ht="14.25" customHeight="1">
      <c r="A1929" s="740"/>
    </row>
    <row r="1930" ht="14.25" customHeight="1">
      <c r="A1930" s="740"/>
    </row>
    <row r="1931" ht="14.25" customHeight="1">
      <c r="A1931" s="740"/>
    </row>
    <row r="1932" ht="14.25" customHeight="1">
      <c r="A1932" s="740"/>
    </row>
    <row r="1933" ht="14.25" customHeight="1">
      <c r="A1933" s="740"/>
    </row>
    <row r="1934" ht="14.25" customHeight="1">
      <c r="A1934" s="740"/>
    </row>
    <row r="1935" ht="14.25" customHeight="1">
      <c r="A1935" s="740"/>
    </row>
    <row r="1936" ht="14.25" customHeight="1">
      <c r="A1936" s="740"/>
    </row>
    <row r="1937" ht="14.25" customHeight="1">
      <c r="A1937" s="740"/>
    </row>
    <row r="1938" ht="14.25" customHeight="1">
      <c r="A1938" s="740"/>
    </row>
    <row r="1939" ht="14.25" customHeight="1">
      <c r="A1939" s="740"/>
    </row>
    <row r="1940" ht="14.25" customHeight="1">
      <c r="A1940" s="740"/>
    </row>
    <row r="1941" ht="14.25" customHeight="1">
      <c r="A1941" s="740"/>
    </row>
    <row r="1942" ht="14.25" customHeight="1">
      <c r="A1942" s="740"/>
    </row>
    <row r="1943" ht="14.25" customHeight="1">
      <c r="A1943" s="740"/>
    </row>
    <row r="1944" ht="14.25" customHeight="1">
      <c r="A1944" s="740"/>
    </row>
    <row r="1945" ht="14.25" customHeight="1">
      <c r="A1945" s="740"/>
    </row>
    <row r="1946" ht="14.25" customHeight="1">
      <c r="A1946" s="740"/>
    </row>
    <row r="1947" ht="14.25" customHeight="1">
      <c r="A1947" s="740"/>
    </row>
    <row r="1948" ht="14.25" customHeight="1">
      <c r="A1948" s="740"/>
    </row>
    <row r="1949" ht="14.25" customHeight="1">
      <c r="A1949" s="740"/>
    </row>
    <row r="1950" ht="14.25" customHeight="1">
      <c r="A1950" s="740"/>
    </row>
    <row r="1951" ht="14.25" customHeight="1">
      <c r="A1951" s="740"/>
    </row>
    <row r="1952" ht="14.25" customHeight="1">
      <c r="A1952" s="740"/>
    </row>
    <row r="1953" ht="14.25" customHeight="1">
      <c r="A1953" s="740"/>
    </row>
    <row r="1954" ht="14.25" customHeight="1">
      <c r="A1954" s="740"/>
    </row>
    <row r="1955" ht="14.25" customHeight="1">
      <c r="A1955" s="740"/>
    </row>
    <row r="1956" ht="14.25" customHeight="1">
      <c r="A1956" s="740"/>
    </row>
    <row r="1957" ht="14.25" customHeight="1">
      <c r="A1957" s="740"/>
    </row>
    <row r="1958" ht="14.25" customHeight="1">
      <c r="A1958" s="740"/>
    </row>
    <row r="1959" ht="14.25" customHeight="1">
      <c r="A1959" s="740"/>
    </row>
    <row r="1960" ht="14.25" customHeight="1">
      <c r="A1960" s="740"/>
    </row>
    <row r="1961" ht="14.25" customHeight="1">
      <c r="A1961" s="740"/>
    </row>
    <row r="1962" ht="14.25" customHeight="1">
      <c r="A1962" s="740"/>
    </row>
    <row r="1963" ht="14.25" customHeight="1">
      <c r="A1963" s="740"/>
    </row>
    <row r="1964" ht="14.25" customHeight="1">
      <c r="A1964" s="740"/>
    </row>
    <row r="1965" ht="14.25" customHeight="1">
      <c r="A1965" s="740"/>
    </row>
    <row r="1966" ht="14.25" customHeight="1">
      <c r="A1966" s="740"/>
    </row>
    <row r="1967" ht="14.25" customHeight="1">
      <c r="A1967" s="740"/>
    </row>
    <row r="1968" ht="14.25" customHeight="1">
      <c r="A1968" s="740"/>
    </row>
    <row r="1969" ht="14.25" customHeight="1">
      <c r="A1969" s="740"/>
    </row>
    <row r="1970" ht="14.25" customHeight="1">
      <c r="A1970" s="740"/>
    </row>
    <row r="1971" ht="14.25" customHeight="1">
      <c r="A1971" s="740"/>
    </row>
    <row r="1972" ht="14.25" customHeight="1">
      <c r="A1972" s="740"/>
    </row>
    <row r="1973" ht="14.25" customHeight="1">
      <c r="A1973" s="740"/>
    </row>
    <row r="1974" ht="14.25" customHeight="1">
      <c r="A1974" s="740"/>
    </row>
    <row r="1975" ht="14.25" customHeight="1">
      <c r="A1975" s="740"/>
    </row>
    <row r="1976" ht="14.25" customHeight="1">
      <c r="A1976" s="740"/>
    </row>
    <row r="1977" ht="14.25" customHeight="1">
      <c r="A1977" s="740"/>
    </row>
    <row r="1978" ht="14.25" customHeight="1">
      <c r="A1978" s="740"/>
    </row>
    <row r="1979" ht="14.25" customHeight="1">
      <c r="A1979" s="740"/>
    </row>
    <row r="1980" ht="14.25" customHeight="1">
      <c r="A1980" s="740"/>
    </row>
    <row r="1981" ht="14.25" customHeight="1">
      <c r="A1981" s="740"/>
    </row>
    <row r="1982" ht="14.25" customHeight="1">
      <c r="A1982" s="740"/>
    </row>
    <row r="1983" ht="14.25" customHeight="1">
      <c r="A1983" s="740"/>
    </row>
    <row r="1984" ht="14.25" customHeight="1">
      <c r="A1984" s="740"/>
    </row>
    <row r="1985" ht="14.25" customHeight="1">
      <c r="A1985" s="740"/>
    </row>
    <row r="1986" ht="14.25" customHeight="1">
      <c r="A1986" s="740"/>
    </row>
    <row r="1987" ht="14.25" customHeight="1">
      <c r="A1987" s="740"/>
    </row>
    <row r="1988" ht="14.25" customHeight="1">
      <c r="A1988" s="740"/>
    </row>
    <row r="1989" ht="14.25" customHeight="1">
      <c r="A1989" s="740"/>
    </row>
    <row r="1990" ht="14.25" customHeight="1">
      <c r="A1990" s="740"/>
    </row>
    <row r="1991" ht="14.25" customHeight="1">
      <c r="A1991" s="740"/>
    </row>
    <row r="1992" ht="14.25" customHeight="1">
      <c r="A1992" s="740"/>
    </row>
    <row r="1993" ht="14.25" customHeight="1">
      <c r="A1993" s="740"/>
    </row>
    <row r="1994" ht="14.25" customHeight="1">
      <c r="A1994" s="740"/>
    </row>
    <row r="1995" ht="14.25" customHeight="1">
      <c r="A1995" s="740"/>
    </row>
    <row r="1996" ht="14.25" customHeight="1">
      <c r="A1996" s="740"/>
    </row>
    <row r="1997" ht="14.25" customHeight="1">
      <c r="A1997" s="740"/>
    </row>
    <row r="1998" ht="14.25" customHeight="1">
      <c r="A1998" s="740"/>
    </row>
    <row r="1999" ht="14.25" customHeight="1">
      <c r="A1999" s="740"/>
    </row>
    <row r="2000" ht="14.25" customHeight="1">
      <c r="A2000" s="740"/>
    </row>
    <row r="2001" ht="14.25" customHeight="1">
      <c r="A2001" s="740"/>
    </row>
    <row r="2002" ht="14.25" customHeight="1">
      <c r="A2002" s="740"/>
    </row>
    <row r="2003" ht="14.25" customHeight="1">
      <c r="A2003" s="740"/>
    </row>
    <row r="2004" ht="14.25" customHeight="1">
      <c r="A2004" s="740"/>
    </row>
    <row r="2005" ht="14.25" customHeight="1">
      <c r="A2005" s="740"/>
    </row>
    <row r="2006" ht="14.25" customHeight="1">
      <c r="A2006" s="740"/>
    </row>
    <row r="2007" ht="14.25" customHeight="1">
      <c r="A2007" s="740"/>
    </row>
    <row r="2008" ht="14.25" customHeight="1">
      <c r="A2008" s="740"/>
    </row>
    <row r="2009" ht="14.25" customHeight="1">
      <c r="A2009" s="740"/>
    </row>
    <row r="2010" ht="14.25" customHeight="1">
      <c r="A2010" s="740"/>
    </row>
    <row r="2011" ht="14.25" customHeight="1">
      <c r="A2011" s="740"/>
    </row>
    <row r="2012" ht="14.25" customHeight="1">
      <c r="A2012" s="740"/>
    </row>
    <row r="2013" ht="14.25" customHeight="1">
      <c r="A2013" s="740"/>
    </row>
    <row r="2014" ht="14.25" customHeight="1">
      <c r="A2014" s="740"/>
    </row>
    <row r="2015" ht="14.25" customHeight="1">
      <c r="A2015" s="740"/>
    </row>
    <row r="2016" ht="14.25" customHeight="1">
      <c r="A2016" s="740"/>
    </row>
    <row r="2017" ht="14.25" customHeight="1">
      <c r="A2017" s="740"/>
    </row>
    <row r="2018" ht="14.25" customHeight="1">
      <c r="A2018" s="740"/>
    </row>
    <row r="2019" ht="14.25" customHeight="1">
      <c r="A2019" s="740"/>
    </row>
    <row r="2020" ht="14.25" customHeight="1">
      <c r="A2020" s="740"/>
    </row>
    <row r="2021" ht="14.25" customHeight="1">
      <c r="A2021" s="740"/>
    </row>
    <row r="2022" ht="14.25" customHeight="1">
      <c r="A2022" s="740"/>
    </row>
    <row r="2023" ht="14.25" customHeight="1">
      <c r="A2023" s="740"/>
    </row>
    <row r="2024" ht="14.25" customHeight="1">
      <c r="A2024" s="740"/>
    </row>
    <row r="2025" ht="14.25" customHeight="1">
      <c r="A2025" s="740"/>
    </row>
    <row r="2026" ht="14.25" customHeight="1">
      <c r="A2026" s="740"/>
    </row>
    <row r="2027" ht="14.25" customHeight="1">
      <c r="A2027" s="740"/>
    </row>
    <row r="2028" ht="14.25" customHeight="1">
      <c r="A2028" s="740"/>
    </row>
    <row r="2029" ht="14.25" customHeight="1">
      <c r="A2029" s="740"/>
    </row>
    <row r="2030" ht="14.25" customHeight="1">
      <c r="A2030" s="740"/>
    </row>
    <row r="2031" ht="14.25" customHeight="1">
      <c r="A2031" s="740"/>
    </row>
    <row r="2032" ht="14.25" customHeight="1">
      <c r="A2032" s="740"/>
    </row>
    <row r="2033" ht="14.25" customHeight="1">
      <c r="A2033" s="740"/>
    </row>
    <row r="2034" ht="14.25" customHeight="1">
      <c r="A2034" s="740"/>
    </row>
    <row r="2035" ht="14.25" customHeight="1">
      <c r="A2035" s="740"/>
    </row>
    <row r="2036" ht="14.25" customHeight="1">
      <c r="A2036" s="740"/>
    </row>
    <row r="2037" ht="14.25" customHeight="1">
      <c r="A2037" s="740"/>
    </row>
    <row r="2038" ht="14.25" customHeight="1">
      <c r="A2038" s="740"/>
    </row>
    <row r="2039" ht="14.25" customHeight="1">
      <c r="A2039" s="740"/>
    </row>
    <row r="2040" ht="14.25" customHeight="1">
      <c r="A2040" s="740"/>
    </row>
    <row r="2041" ht="14.25" customHeight="1">
      <c r="A2041" s="740"/>
    </row>
    <row r="2042" ht="14.25" customHeight="1">
      <c r="A2042" s="740"/>
    </row>
    <row r="2043" ht="14.25" customHeight="1">
      <c r="A2043" s="740"/>
    </row>
    <row r="2044" ht="14.25" customHeight="1">
      <c r="A2044" s="740"/>
    </row>
    <row r="2045" ht="14.25" customHeight="1">
      <c r="A2045" s="740"/>
    </row>
    <row r="2046" ht="14.25" customHeight="1">
      <c r="A2046" s="740"/>
    </row>
    <row r="2047" ht="14.25" customHeight="1">
      <c r="A2047" s="740"/>
    </row>
    <row r="2048" ht="14.25" customHeight="1">
      <c r="A2048" s="740"/>
    </row>
    <row r="2049" ht="14.25" customHeight="1">
      <c r="A2049" s="740"/>
    </row>
    <row r="2050" ht="14.25" customHeight="1">
      <c r="A2050" s="740"/>
    </row>
    <row r="2051" ht="14.25" customHeight="1">
      <c r="A2051" s="740"/>
    </row>
    <row r="2052" ht="14.25" customHeight="1">
      <c r="A2052" s="740"/>
    </row>
    <row r="2053" ht="14.25" customHeight="1">
      <c r="A2053" s="740"/>
    </row>
    <row r="2054" ht="14.25" customHeight="1">
      <c r="A2054" s="740"/>
    </row>
    <row r="2055" ht="14.25" customHeight="1">
      <c r="A2055" s="740"/>
    </row>
    <row r="2056" ht="14.25" customHeight="1">
      <c r="A2056" s="740"/>
    </row>
    <row r="2057" ht="14.25" customHeight="1">
      <c r="A2057" s="740"/>
    </row>
    <row r="2058" ht="14.25" customHeight="1">
      <c r="A2058" s="740"/>
    </row>
    <row r="2059" ht="14.25" customHeight="1">
      <c r="A2059" s="740"/>
    </row>
    <row r="2060" ht="14.25" customHeight="1">
      <c r="A2060" s="740"/>
    </row>
    <row r="2061" ht="14.25" customHeight="1">
      <c r="A2061" s="740"/>
    </row>
    <row r="2062" ht="14.25" customHeight="1">
      <c r="A2062" s="740"/>
    </row>
    <row r="2063" ht="14.25" customHeight="1">
      <c r="A2063" s="740"/>
    </row>
    <row r="2064" ht="14.25" customHeight="1">
      <c r="A2064" s="740"/>
    </row>
    <row r="2065" ht="14.25" customHeight="1">
      <c r="A2065" s="740"/>
    </row>
    <row r="2066" ht="14.25" customHeight="1">
      <c r="A2066" s="740"/>
    </row>
    <row r="2067" ht="14.25" customHeight="1">
      <c r="A2067" s="740"/>
    </row>
    <row r="2068" ht="14.25" customHeight="1">
      <c r="A2068" s="740"/>
    </row>
    <row r="2069" ht="14.25" customHeight="1">
      <c r="A2069" s="740"/>
    </row>
    <row r="2070" ht="14.25" customHeight="1">
      <c r="A2070" s="740"/>
    </row>
    <row r="2071" ht="14.25" customHeight="1">
      <c r="A2071" s="740"/>
    </row>
    <row r="2072" ht="14.25" customHeight="1">
      <c r="A2072" s="740"/>
    </row>
    <row r="2073" ht="14.25" customHeight="1">
      <c r="A2073" s="740"/>
    </row>
    <row r="2074" ht="14.25" customHeight="1">
      <c r="A2074" s="740"/>
    </row>
    <row r="2075" ht="14.25" customHeight="1">
      <c r="A2075" s="740"/>
    </row>
    <row r="2076" ht="14.25" customHeight="1">
      <c r="A2076" s="740"/>
    </row>
    <row r="2077" ht="14.25" customHeight="1">
      <c r="A2077" s="740"/>
    </row>
    <row r="2078" ht="14.25" customHeight="1">
      <c r="A2078" s="740"/>
    </row>
    <row r="2079" ht="14.25" customHeight="1">
      <c r="A2079" s="740"/>
    </row>
    <row r="2080" ht="14.25" customHeight="1">
      <c r="A2080" s="740"/>
    </row>
    <row r="2081" ht="14.25" customHeight="1">
      <c r="A2081" s="740"/>
    </row>
    <row r="2082" ht="14.25" customHeight="1">
      <c r="A2082" s="740"/>
    </row>
    <row r="2083" ht="14.25" customHeight="1">
      <c r="A2083" s="740"/>
    </row>
    <row r="2084" ht="14.25" customHeight="1">
      <c r="A2084" s="740"/>
    </row>
    <row r="2085" ht="14.25" customHeight="1">
      <c r="A2085" s="740"/>
    </row>
    <row r="2086" ht="14.25" customHeight="1">
      <c r="A2086" s="740"/>
    </row>
    <row r="2087" ht="14.25" customHeight="1">
      <c r="A2087" s="740"/>
    </row>
    <row r="2088" ht="14.25" customHeight="1">
      <c r="A2088" s="740"/>
    </row>
    <row r="2089" ht="14.25" customHeight="1">
      <c r="A2089" s="740"/>
    </row>
    <row r="2090" ht="14.25" customHeight="1">
      <c r="A2090" s="740"/>
    </row>
    <row r="2091" ht="14.25" customHeight="1">
      <c r="A2091" s="740"/>
    </row>
    <row r="2092" ht="14.25" customHeight="1">
      <c r="A2092" s="740"/>
    </row>
    <row r="2093" ht="14.25" customHeight="1">
      <c r="A2093" s="740"/>
    </row>
    <row r="2094" ht="14.25" customHeight="1">
      <c r="A2094" s="740"/>
    </row>
    <row r="2095" ht="14.25" customHeight="1">
      <c r="A2095" s="740"/>
    </row>
    <row r="2096" ht="14.25" customHeight="1">
      <c r="A2096" s="740"/>
    </row>
    <row r="2097" ht="14.25" customHeight="1">
      <c r="A2097" s="740"/>
    </row>
    <row r="2098" ht="14.25" customHeight="1">
      <c r="A2098" s="740"/>
    </row>
    <row r="2099" ht="14.25" customHeight="1">
      <c r="A2099" s="740"/>
    </row>
    <row r="2100" ht="14.25" customHeight="1">
      <c r="A2100" s="740"/>
    </row>
    <row r="2101" ht="14.25" customHeight="1">
      <c r="A2101" s="740"/>
    </row>
    <row r="2102" ht="14.25" customHeight="1">
      <c r="A2102" s="740"/>
    </row>
    <row r="2103" ht="14.25" customHeight="1">
      <c r="A2103" s="740"/>
    </row>
    <row r="2104" ht="14.25" customHeight="1">
      <c r="A2104" s="740"/>
    </row>
    <row r="2105" ht="14.25" customHeight="1">
      <c r="A2105" s="740"/>
    </row>
    <row r="2106" ht="14.25" customHeight="1">
      <c r="A2106" s="740"/>
    </row>
    <row r="2107" ht="14.25" customHeight="1">
      <c r="A2107" s="740"/>
    </row>
    <row r="2108" ht="14.25" customHeight="1">
      <c r="A2108" s="740"/>
    </row>
    <row r="2109" ht="14.25" customHeight="1">
      <c r="A2109" s="740"/>
    </row>
    <row r="2110" ht="14.25" customHeight="1">
      <c r="A2110" s="740"/>
    </row>
    <row r="2111" ht="14.25" customHeight="1">
      <c r="A2111" s="740"/>
    </row>
    <row r="2112" ht="14.25" customHeight="1">
      <c r="A2112" s="740"/>
    </row>
    <row r="2113" ht="14.25" customHeight="1">
      <c r="A2113" s="740"/>
    </row>
    <row r="2114" ht="14.25" customHeight="1">
      <c r="A2114" s="740"/>
    </row>
    <row r="2115" ht="14.25" customHeight="1">
      <c r="A2115" s="740"/>
    </row>
    <row r="2116" ht="14.25" customHeight="1">
      <c r="A2116" s="740"/>
    </row>
    <row r="2117" ht="14.25" customHeight="1">
      <c r="A2117" s="740"/>
    </row>
    <row r="2118" ht="14.25" customHeight="1">
      <c r="A2118" s="740"/>
    </row>
    <row r="2119" ht="14.25" customHeight="1">
      <c r="A2119" s="740"/>
    </row>
    <row r="2120" ht="14.25" customHeight="1">
      <c r="A2120" s="740"/>
    </row>
    <row r="2121" ht="14.25" customHeight="1">
      <c r="A2121" s="740"/>
    </row>
    <row r="2122" ht="14.25" customHeight="1">
      <c r="A2122" s="740"/>
    </row>
    <row r="2123" ht="14.25" customHeight="1">
      <c r="A2123" s="740"/>
    </row>
    <row r="2124" ht="14.25" customHeight="1">
      <c r="A2124" s="740"/>
    </row>
    <row r="2125" ht="14.25" customHeight="1">
      <c r="A2125" s="740"/>
    </row>
    <row r="2126" ht="14.25" customHeight="1">
      <c r="A2126" s="740"/>
    </row>
    <row r="2127" ht="14.25" customHeight="1">
      <c r="A2127" s="740"/>
    </row>
    <row r="2128" ht="14.25" customHeight="1">
      <c r="A2128" s="740"/>
    </row>
    <row r="2129" ht="14.25" customHeight="1">
      <c r="A2129" s="740"/>
    </row>
    <row r="2130" ht="14.25" customHeight="1">
      <c r="A2130" s="740"/>
    </row>
    <row r="2131" ht="14.25" customHeight="1">
      <c r="A2131" s="740"/>
    </row>
    <row r="2132" ht="14.25" customHeight="1">
      <c r="A2132" s="740"/>
    </row>
    <row r="2133" ht="14.25" customHeight="1">
      <c r="A2133" s="740"/>
    </row>
    <row r="2134" ht="14.25" customHeight="1">
      <c r="A2134" s="740"/>
    </row>
    <row r="2135" ht="14.25" customHeight="1">
      <c r="A2135" s="740"/>
    </row>
    <row r="2136" ht="14.25" customHeight="1">
      <c r="A2136" s="740"/>
    </row>
    <row r="2137" ht="14.25" customHeight="1">
      <c r="A2137" s="740"/>
    </row>
    <row r="2138" ht="14.25" customHeight="1">
      <c r="A2138" s="740"/>
    </row>
    <row r="2139" ht="14.25" customHeight="1">
      <c r="A2139" s="740"/>
    </row>
    <row r="2140" ht="14.25" customHeight="1">
      <c r="A2140" s="740"/>
    </row>
    <row r="2141" ht="14.25" customHeight="1">
      <c r="A2141" s="740"/>
    </row>
    <row r="2142" ht="14.25" customHeight="1">
      <c r="A2142" s="740"/>
    </row>
    <row r="2143" ht="14.25" customHeight="1">
      <c r="A2143" s="740"/>
    </row>
    <row r="2144" ht="14.25" customHeight="1">
      <c r="A2144" s="740"/>
    </row>
    <row r="2145" ht="14.25" customHeight="1">
      <c r="A2145" s="740"/>
    </row>
    <row r="2146" ht="14.25" customHeight="1">
      <c r="A2146" s="740"/>
    </row>
    <row r="2147" ht="14.25" customHeight="1">
      <c r="A2147" s="740"/>
    </row>
    <row r="2148" ht="14.25" customHeight="1">
      <c r="A2148" s="740"/>
    </row>
    <row r="2149" ht="14.25" customHeight="1">
      <c r="A2149" s="740"/>
    </row>
    <row r="2150" ht="14.25" customHeight="1">
      <c r="A2150" s="740"/>
    </row>
    <row r="2151" ht="14.25" customHeight="1">
      <c r="A2151" s="740"/>
    </row>
    <row r="2152" ht="14.25" customHeight="1">
      <c r="A2152" s="740"/>
    </row>
    <row r="2153" ht="14.25" customHeight="1">
      <c r="A2153" s="740"/>
    </row>
    <row r="2154" ht="14.25" customHeight="1">
      <c r="A2154" s="740"/>
    </row>
    <row r="2155" ht="14.25" customHeight="1">
      <c r="A2155" s="740"/>
    </row>
    <row r="2156" ht="14.25" customHeight="1">
      <c r="A2156" s="740"/>
    </row>
    <row r="2157" ht="14.25" customHeight="1">
      <c r="A2157" s="740"/>
    </row>
    <row r="2158" ht="14.25" customHeight="1">
      <c r="A2158" s="740"/>
    </row>
    <row r="2159" ht="14.25" customHeight="1">
      <c r="A2159" s="740"/>
    </row>
    <row r="2160" ht="14.25" customHeight="1">
      <c r="A2160" s="740"/>
    </row>
    <row r="2161" ht="14.25" customHeight="1">
      <c r="A2161" s="740"/>
    </row>
    <row r="2162" ht="14.25" customHeight="1">
      <c r="A2162" s="740"/>
    </row>
    <row r="2163" ht="14.25" customHeight="1">
      <c r="A2163" s="740"/>
    </row>
    <row r="2164" ht="14.25" customHeight="1">
      <c r="A2164" s="740"/>
    </row>
    <row r="2165" ht="14.25" customHeight="1">
      <c r="A2165" s="740"/>
    </row>
    <row r="2166" ht="14.25" customHeight="1">
      <c r="A2166" s="740"/>
    </row>
    <row r="2167" ht="14.25" customHeight="1">
      <c r="A2167" s="740"/>
    </row>
    <row r="2168" ht="14.25" customHeight="1">
      <c r="A2168" s="740"/>
    </row>
    <row r="2169" ht="14.25" customHeight="1">
      <c r="A2169" s="740"/>
    </row>
    <row r="2170" ht="14.25" customHeight="1">
      <c r="A2170" s="740"/>
    </row>
    <row r="2171" ht="14.25" customHeight="1">
      <c r="A2171" s="740"/>
    </row>
    <row r="2172" ht="14.25" customHeight="1">
      <c r="A2172" s="740"/>
    </row>
    <row r="2173" ht="14.25" customHeight="1">
      <c r="A2173" s="740"/>
    </row>
    <row r="2174" ht="14.25" customHeight="1">
      <c r="A2174" s="740"/>
    </row>
    <row r="2175" ht="14.25" customHeight="1">
      <c r="A2175" s="740"/>
    </row>
    <row r="2176" ht="14.25" customHeight="1">
      <c r="A2176" s="740"/>
    </row>
    <row r="2177" ht="14.25" customHeight="1">
      <c r="A2177" s="740"/>
    </row>
    <row r="2178" ht="14.25" customHeight="1">
      <c r="A2178" s="740"/>
    </row>
    <row r="2179" ht="14.25" customHeight="1">
      <c r="A2179" s="740"/>
    </row>
    <row r="2180" ht="14.25" customHeight="1">
      <c r="A2180" s="740"/>
    </row>
    <row r="2181" ht="14.25" customHeight="1">
      <c r="A2181" s="740"/>
    </row>
    <row r="2182" ht="14.25" customHeight="1">
      <c r="A2182" s="740"/>
    </row>
    <row r="2183" ht="14.25" customHeight="1">
      <c r="A2183" s="740"/>
    </row>
    <row r="2184" ht="14.25" customHeight="1">
      <c r="A2184" s="740"/>
    </row>
    <row r="2185" ht="14.25" customHeight="1">
      <c r="A2185" s="740"/>
    </row>
    <row r="2186" ht="14.25" customHeight="1">
      <c r="A2186" s="740"/>
    </row>
    <row r="2187" ht="14.25" customHeight="1">
      <c r="A2187" s="740"/>
    </row>
    <row r="2188" ht="14.25" customHeight="1">
      <c r="A2188" s="740"/>
    </row>
    <row r="2189" ht="14.25" customHeight="1">
      <c r="A2189" s="740"/>
    </row>
    <row r="2190" ht="14.25" customHeight="1">
      <c r="A2190" s="740"/>
    </row>
    <row r="2191" ht="14.25" customHeight="1">
      <c r="A2191" s="740"/>
    </row>
    <row r="2192" ht="14.25" customHeight="1">
      <c r="A2192" s="740"/>
    </row>
    <row r="2193" ht="14.25" customHeight="1">
      <c r="A2193" s="740"/>
    </row>
    <row r="2194" ht="14.25" customHeight="1">
      <c r="A2194" s="740"/>
    </row>
    <row r="2195" ht="14.25" customHeight="1">
      <c r="A2195" s="740"/>
    </row>
    <row r="2196" ht="14.25" customHeight="1">
      <c r="A2196" s="740"/>
    </row>
    <row r="2197" ht="14.25" customHeight="1">
      <c r="A2197" s="740"/>
    </row>
    <row r="2198" ht="14.25" customHeight="1">
      <c r="A2198" s="740"/>
    </row>
    <row r="2199" ht="14.25" customHeight="1">
      <c r="A2199" s="740"/>
    </row>
    <row r="2200" ht="14.25" customHeight="1">
      <c r="A2200" s="740"/>
    </row>
    <row r="2201" ht="14.25" customHeight="1">
      <c r="A2201" s="740"/>
    </row>
    <row r="2202" ht="14.25" customHeight="1">
      <c r="A2202" s="740"/>
    </row>
    <row r="2203" ht="14.25" customHeight="1">
      <c r="A2203" s="740"/>
    </row>
    <row r="2204" ht="14.25" customHeight="1">
      <c r="A2204" s="740"/>
    </row>
    <row r="2205" ht="14.25" customHeight="1">
      <c r="A2205" s="740"/>
    </row>
    <row r="2206" ht="14.25" customHeight="1">
      <c r="A2206" s="740"/>
    </row>
    <row r="2207" ht="14.25" customHeight="1">
      <c r="A2207" s="740"/>
    </row>
    <row r="2208" ht="14.25" customHeight="1">
      <c r="A2208" s="740"/>
    </row>
    <row r="2209" ht="14.25" customHeight="1">
      <c r="A2209" s="740"/>
    </row>
    <row r="2210" ht="14.25" customHeight="1">
      <c r="A2210" s="740"/>
    </row>
    <row r="2211" ht="14.25" customHeight="1">
      <c r="A2211" s="740"/>
    </row>
    <row r="2212" ht="14.25" customHeight="1">
      <c r="A2212" s="740"/>
    </row>
    <row r="2213" ht="14.25" customHeight="1">
      <c r="A2213" s="740"/>
    </row>
    <row r="2214" ht="14.25" customHeight="1">
      <c r="A2214" s="740"/>
    </row>
    <row r="2215" ht="14.25" customHeight="1">
      <c r="A2215" s="740"/>
    </row>
    <row r="2216" ht="14.25" customHeight="1">
      <c r="A2216" s="740"/>
    </row>
    <row r="2217" ht="14.25" customHeight="1">
      <c r="A2217" s="740"/>
    </row>
    <row r="2218" ht="14.25" customHeight="1">
      <c r="A2218" s="740"/>
    </row>
    <row r="2219" ht="14.25" customHeight="1">
      <c r="A2219" s="740"/>
    </row>
    <row r="2220" ht="14.25" customHeight="1">
      <c r="A2220" s="740"/>
    </row>
    <row r="2221" ht="14.25" customHeight="1">
      <c r="A2221" s="740"/>
    </row>
    <row r="2222" ht="14.25" customHeight="1">
      <c r="A2222" s="740"/>
    </row>
    <row r="2223" ht="14.25" customHeight="1">
      <c r="A2223" s="740"/>
    </row>
    <row r="2224" ht="14.25" customHeight="1">
      <c r="A2224" s="740"/>
    </row>
    <row r="2225" ht="14.25" customHeight="1">
      <c r="A2225" s="740"/>
    </row>
    <row r="2226" ht="14.25" customHeight="1">
      <c r="A2226" s="740"/>
    </row>
    <row r="2227" ht="14.25" customHeight="1">
      <c r="A2227" s="740"/>
    </row>
    <row r="2228" ht="14.25" customHeight="1">
      <c r="A2228" s="740"/>
    </row>
    <row r="2229" ht="14.25" customHeight="1">
      <c r="A2229" s="740"/>
    </row>
    <row r="2230" ht="14.25" customHeight="1">
      <c r="A2230" s="740"/>
    </row>
    <row r="2231" ht="14.25" customHeight="1">
      <c r="A2231" s="740"/>
    </row>
    <row r="2232" ht="14.25" customHeight="1">
      <c r="A2232" s="740"/>
    </row>
    <row r="2233" ht="14.25" customHeight="1">
      <c r="A2233" s="740"/>
    </row>
    <row r="2234" ht="14.25" customHeight="1">
      <c r="A2234" s="740"/>
    </row>
    <row r="2235" ht="14.25" customHeight="1">
      <c r="A2235" s="740"/>
    </row>
    <row r="2236" ht="14.25" customHeight="1">
      <c r="A2236" s="740"/>
    </row>
    <row r="2237" ht="14.25" customHeight="1">
      <c r="A2237" s="740"/>
    </row>
    <row r="2238" ht="14.25" customHeight="1">
      <c r="A2238" s="740"/>
    </row>
    <row r="2239" ht="14.25" customHeight="1">
      <c r="A2239" s="740"/>
    </row>
    <row r="2240" ht="14.25" customHeight="1">
      <c r="A2240" s="740"/>
    </row>
    <row r="2241" ht="14.25" customHeight="1">
      <c r="A2241" s="740"/>
    </row>
    <row r="2242" ht="14.25" customHeight="1">
      <c r="A2242" s="740"/>
    </row>
    <row r="2243" ht="14.25" customHeight="1">
      <c r="A2243" s="740"/>
    </row>
    <row r="2244" ht="14.25" customHeight="1">
      <c r="A2244" s="740"/>
    </row>
    <row r="2245" ht="14.25" customHeight="1">
      <c r="A2245" s="740"/>
    </row>
    <row r="2246" ht="14.25" customHeight="1">
      <c r="A2246" s="740"/>
    </row>
    <row r="2247" ht="14.25" customHeight="1">
      <c r="A2247" s="740"/>
    </row>
    <row r="2248" ht="14.25" customHeight="1">
      <c r="A2248" s="740"/>
    </row>
    <row r="2249" ht="14.25" customHeight="1">
      <c r="A2249" s="740"/>
    </row>
    <row r="2250" ht="14.25" customHeight="1">
      <c r="A2250" s="740"/>
    </row>
    <row r="2251" ht="14.25" customHeight="1">
      <c r="A2251" s="740"/>
    </row>
    <row r="2252" ht="14.25" customHeight="1">
      <c r="A2252" s="740"/>
    </row>
    <row r="2253" ht="14.25" customHeight="1">
      <c r="A2253" s="740"/>
    </row>
    <row r="2254" ht="14.25" customHeight="1">
      <c r="A2254" s="740"/>
    </row>
    <row r="2255" ht="14.25" customHeight="1">
      <c r="A2255" s="740"/>
    </row>
    <row r="2256" ht="14.25" customHeight="1">
      <c r="A2256" s="740"/>
    </row>
    <row r="2257" ht="14.25" customHeight="1">
      <c r="A2257" s="740"/>
    </row>
    <row r="2258" ht="14.25" customHeight="1">
      <c r="A2258" s="740"/>
    </row>
    <row r="2259" ht="14.25" customHeight="1">
      <c r="A2259" s="740"/>
    </row>
    <row r="2260" ht="14.25" customHeight="1">
      <c r="A2260" s="740"/>
    </row>
    <row r="2261" ht="14.25" customHeight="1">
      <c r="A2261" s="740"/>
    </row>
    <row r="2262" ht="14.25" customHeight="1">
      <c r="A2262" s="740"/>
    </row>
    <row r="2263" ht="14.25" customHeight="1">
      <c r="A2263" s="740"/>
    </row>
    <row r="2264" ht="14.25" customHeight="1">
      <c r="A2264" s="740"/>
    </row>
    <row r="2265" ht="14.25" customHeight="1">
      <c r="A2265" s="740"/>
    </row>
    <row r="2266" ht="14.25" customHeight="1">
      <c r="A2266" s="740"/>
    </row>
    <row r="2267" ht="14.25" customHeight="1">
      <c r="A2267" s="740"/>
    </row>
    <row r="2268" ht="14.25" customHeight="1">
      <c r="A2268" s="740"/>
    </row>
    <row r="2269" ht="14.25" customHeight="1">
      <c r="A2269" s="740"/>
    </row>
    <row r="2270" ht="14.25" customHeight="1">
      <c r="A2270" s="740"/>
    </row>
    <row r="2271" ht="14.25" customHeight="1">
      <c r="A2271" s="740"/>
    </row>
    <row r="2272" ht="14.25" customHeight="1">
      <c r="A2272" s="740"/>
    </row>
    <row r="2273" ht="14.25" customHeight="1">
      <c r="A2273" s="740"/>
    </row>
    <row r="2274" ht="14.25" customHeight="1">
      <c r="A2274" s="740"/>
    </row>
    <row r="2275" ht="14.25" customHeight="1">
      <c r="A2275" s="740"/>
    </row>
    <row r="2276" ht="14.25" customHeight="1">
      <c r="A2276" s="740"/>
    </row>
    <row r="2277" ht="14.25" customHeight="1">
      <c r="A2277" s="740"/>
    </row>
    <row r="2278" ht="14.25" customHeight="1">
      <c r="A2278" s="740"/>
    </row>
    <row r="2279" ht="14.25" customHeight="1">
      <c r="A2279" s="740"/>
    </row>
    <row r="2280" ht="14.25" customHeight="1">
      <c r="A2280" s="740"/>
    </row>
    <row r="2281" ht="14.25" customHeight="1">
      <c r="A2281" s="740"/>
    </row>
    <row r="2282" ht="14.25" customHeight="1">
      <c r="A2282" s="740"/>
    </row>
    <row r="2283" ht="14.25" customHeight="1">
      <c r="A2283" s="740"/>
    </row>
    <row r="2284" ht="14.25" customHeight="1">
      <c r="A2284" s="740"/>
    </row>
    <row r="2285" ht="14.25" customHeight="1">
      <c r="A2285" s="740"/>
    </row>
    <row r="2286" ht="14.25" customHeight="1">
      <c r="A2286" s="740"/>
    </row>
    <row r="2287" ht="14.25" customHeight="1">
      <c r="A2287" s="740"/>
    </row>
    <row r="2288" ht="14.25" customHeight="1">
      <c r="A2288" s="740"/>
    </row>
    <row r="2289" ht="14.25" customHeight="1">
      <c r="A2289" s="740"/>
    </row>
    <row r="2290" ht="14.25" customHeight="1">
      <c r="A2290" s="740"/>
    </row>
    <row r="2291" ht="14.25" customHeight="1">
      <c r="A2291" s="740"/>
    </row>
    <row r="2292" ht="14.25" customHeight="1">
      <c r="A2292" s="740"/>
    </row>
    <row r="2293" ht="14.25" customHeight="1">
      <c r="A2293" s="740"/>
    </row>
    <row r="2294" ht="14.25" customHeight="1">
      <c r="A2294" s="740"/>
    </row>
    <row r="2295" ht="14.25" customHeight="1">
      <c r="A2295" s="740"/>
    </row>
    <row r="2296" ht="14.25" customHeight="1">
      <c r="A2296" s="740"/>
    </row>
    <row r="2297" ht="14.25" customHeight="1">
      <c r="A2297" s="740"/>
    </row>
    <row r="2298" ht="14.25" customHeight="1">
      <c r="A2298" s="740"/>
    </row>
    <row r="2299" ht="14.25" customHeight="1">
      <c r="A2299" s="740"/>
    </row>
    <row r="2300" ht="14.25" customHeight="1">
      <c r="A2300" s="740"/>
    </row>
    <row r="2301" ht="14.25" customHeight="1">
      <c r="A2301" s="740"/>
    </row>
    <row r="2302" ht="14.25" customHeight="1">
      <c r="A2302" s="740"/>
    </row>
    <row r="2303" ht="14.25" customHeight="1">
      <c r="A2303" s="740"/>
    </row>
    <row r="2304" ht="14.25" customHeight="1">
      <c r="A2304" s="740"/>
    </row>
    <row r="2305" ht="14.25" customHeight="1">
      <c r="A2305" s="740"/>
    </row>
    <row r="2306" ht="14.25" customHeight="1">
      <c r="A2306" s="740"/>
    </row>
    <row r="2307" ht="14.25" customHeight="1">
      <c r="A2307" s="740"/>
    </row>
    <row r="2308" ht="14.25" customHeight="1">
      <c r="A2308" s="740"/>
    </row>
    <row r="2309" ht="14.25" customHeight="1">
      <c r="A2309" s="740"/>
    </row>
    <row r="2310" ht="14.25" customHeight="1">
      <c r="A2310" s="740"/>
    </row>
    <row r="2311" ht="14.25" customHeight="1">
      <c r="A2311" s="740"/>
    </row>
    <row r="2312" ht="14.25" customHeight="1">
      <c r="A2312" s="740"/>
    </row>
    <row r="2313" ht="14.25" customHeight="1">
      <c r="A2313" s="740"/>
    </row>
    <row r="2314" ht="14.25" customHeight="1">
      <c r="A2314" s="740"/>
    </row>
    <row r="2315" ht="14.25" customHeight="1">
      <c r="A2315" s="740"/>
    </row>
    <row r="2316" ht="14.25" customHeight="1">
      <c r="A2316" s="740"/>
    </row>
    <row r="2317" ht="14.25" customHeight="1">
      <c r="A2317" s="740"/>
    </row>
    <row r="2318" ht="14.25" customHeight="1">
      <c r="A2318" s="740"/>
    </row>
    <row r="2319" ht="14.25" customHeight="1">
      <c r="A2319" s="740"/>
    </row>
    <row r="2320" ht="14.25" customHeight="1">
      <c r="A2320" s="740"/>
    </row>
    <row r="2321" ht="14.25" customHeight="1">
      <c r="A2321" s="740"/>
    </row>
    <row r="2322" ht="14.25" customHeight="1">
      <c r="A2322" s="740"/>
    </row>
    <row r="2323" ht="14.25" customHeight="1">
      <c r="A2323" s="740"/>
    </row>
    <row r="2324" ht="14.25" customHeight="1">
      <c r="A2324" s="740"/>
    </row>
    <row r="2325" ht="14.25" customHeight="1">
      <c r="A2325" s="740"/>
    </row>
    <row r="2326" ht="14.25" customHeight="1">
      <c r="A2326" s="740"/>
    </row>
    <row r="2327" ht="14.25" customHeight="1">
      <c r="A2327" s="740"/>
    </row>
    <row r="2328" ht="14.25" customHeight="1">
      <c r="A2328" s="740"/>
    </row>
    <row r="2329" ht="14.25" customHeight="1">
      <c r="A2329" s="740"/>
    </row>
    <row r="2330" ht="14.25" customHeight="1">
      <c r="A2330" s="740"/>
    </row>
    <row r="2331" ht="14.25" customHeight="1">
      <c r="A2331" s="740"/>
    </row>
    <row r="2332" ht="14.25" customHeight="1">
      <c r="A2332" s="740"/>
    </row>
    <row r="2333" ht="14.25" customHeight="1">
      <c r="A2333" s="740"/>
    </row>
    <row r="2334" ht="14.25" customHeight="1">
      <c r="A2334" s="740"/>
    </row>
    <row r="2335" ht="14.25" customHeight="1">
      <c r="A2335" s="740"/>
    </row>
    <row r="2336" ht="14.25" customHeight="1">
      <c r="A2336" s="740"/>
    </row>
    <row r="2337" ht="14.25" customHeight="1">
      <c r="A2337" s="740"/>
    </row>
    <row r="2338" ht="14.25" customHeight="1">
      <c r="A2338" s="740"/>
    </row>
    <row r="2339" ht="14.25" customHeight="1">
      <c r="A2339" s="740"/>
    </row>
    <row r="2340" ht="14.25" customHeight="1">
      <c r="A2340" s="740"/>
    </row>
    <row r="2341" ht="14.25" customHeight="1">
      <c r="A2341" s="740"/>
    </row>
    <row r="2342" ht="14.25" customHeight="1">
      <c r="A2342" s="740"/>
    </row>
    <row r="2343" ht="14.25" customHeight="1">
      <c r="A2343" s="740"/>
    </row>
    <row r="2344" ht="14.25" customHeight="1">
      <c r="A2344" s="740"/>
    </row>
    <row r="2345" ht="14.25" customHeight="1">
      <c r="A2345" s="740"/>
    </row>
    <row r="2346" ht="14.25" customHeight="1">
      <c r="A2346" s="740"/>
    </row>
    <row r="2347" ht="14.25" customHeight="1">
      <c r="A2347" s="740"/>
    </row>
    <row r="2348" ht="14.25" customHeight="1">
      <c r="A2348" s="740"/>
    </row>
    <row r="2349" ht="14.25" customHeight="1">
      <c r="A2349" s="740"/>
    </row>
    <row r="2350" ht="14.25" customHeight="1">
      <c r="A2350" s="740"/>
    </row>
    <row r="2351" ht="14.25" customHeight="1">
      <c r="A2351" s="740"/>
    </row>
    <row r="2352" ht="14.25" customHeight="1">
      <c r="A2352" s="740"/>
    </row>
    <row r="2353" ht="14.25" customHeight="1">
      <c r="A2353" s="740"/>
    </row>
    <row r="2354" ht="14.25" customHeight="1">
      <c r="A2354" s="740"/>
    </row>
    <row r="2355" ht="14.25" customHeight="1">
      <c r="A2355" s="740"/>
    </row>
    <row r="2356" ht="14.25" customHeight="1">
      <c r="A2356" s="740"/>
    </row>
    <row r="2357" ht="14.25" customHeight="1">
      <c r="A2357" s="740"/>
    </row>
    <row r="2358" ht="14.25" customHeight="1">
      <c r="A2358" s="740"/>
    </row>
    <row r="2359" ht="14.25" customHeight="1">
      <c r="A2359" s="740"/>
    </row>
    <row r="2360" ht="14.25" customHeight="1">
      <c r="A2360" s="740"/>
    </row>
    <row r="2361" ht="14.25" customHeight="1">
      <c r="A2361" s="740"/>
    </row>
    <row r="2362" ht="14.25" customHeight="1">
      <c r="A2362" s="740"/>
    </row>
    <row r="2363" ht="14.25" customHeight="1">
      <c r="A2363" s="740"/>
    </row>
    <row r="2364" ht="14.25" customHeight="1">
      <c r="A2364" s="740"/>
    </row>
    <row r="2365" ht="14.25" customHeight="1">
      <c r="A2365" s="740"/>
    </row>
    <row r="2366" ht="14.25" customHeight="1">
      <c r="A2366" s="740"/>
    </row>
    <row r="2367" ht="14.25" customHeight="1">
      <c r="A2367" s="740"/>
    </row>
    <row r="2368" ht="14.25" customHeight="1">
      <c r="A2368" s="740"/>
    </row>
    <row r="2369" ht="14.25" customHeight="1">
      <c r="A2369" s="740"/>
    </row>
    <row r="2370" ht="14.25" customHeight="1">
      <c r="A2370" s="740"/>
    </row>
    <row r="2371" ht="14.25" customHeight="1">
      <c r="A2371" s="740"/>
    </row>
    <row r="2372" ht="14.25" customHeight="1">
      <c r="A2372" s="740"/>
    </row>
    <row r="2373" ht="14.25" customHeight="1">
      <c r="A2373" s="740"/>
    </row>
    <row r="2374" ht="14.25" customHeight="1">
      <c r="A2374" s="740"/>
    </row>
    <row r="2375" ht="14.25" customHeight="1">
      <c r="A2375" s="740"/>
    </row>
    <row r="2376" ht="14.25" customHeight="1">
      <c r="A2376" s="740"/>
    </row>
    <row r="2377" ht="14.25" customHeight="1">
      <c r="A2377" s="740"/>
    </row>
    <row r="2378" ht="14.25" customHeight="1">
      <c r="A2378" s="740"/>
    </row>
    <row r="2379" ht="14.25" customHeight="1">
      <c r="A2379" s="740"/>
    </row>
    <row r="2380" ht="14.25" customHeight="1">
      <c r="A2380" s="740"/>
    </row>
    <row r="2381" ht="14.25" customHeight="1">
      <c r="A2381" s="740"/>
    </row>
    <row r="2382" ht="14.25" customHeight="1">
      <c r="A2382" s="740"/>
    </row>
    <row r="2383" ht="14.25" customHeight="1">
      <c r="A2383" s="740"/>
    </row>
    <row r="2384" ht="14.25" customHeight="1">
      <c r="A2384" s="740"/>
    </row>
    <row r="2385" ht="14.25" customHeight="1">
      <c r="A2385" s="740"/>
    </row>
    <row r="2386" ht="14.25" customHeight="1">
      <c r="A2386" s="740"/>
    </row>
    <row r="2387" ht="14.25" customHeight="1">
      <c r="A2387" s="740"/>
    </row>
    <row r="2388" ht="14.25" customHeight="1">
      <c r="A2388" s="740"/>
    </row>
    <row r="2389" ht="14.25" customHeight="1">
      <c r="A2389" s="740"/>
    </row>
    <row r="2390" ht="14.25" customHeight="1">
      <c r="A2390" s="740"/>
    </row>
    <row r="2391" ht="14.25" customHeight="1">
      <c r="A2391" s="740"/>
    </row>
    <row r="2392" ht="14.25" customHeight="1">
      <c r="A2392" s="740"/>
    </row>
    <row r="2393" ht="14.25" customHeight="1">
      <c r="A2393" s="740"/>
    </row>
    <row r="2394" ht="14.25" customHeight="1">
      <c r="A2394" s="740"/>
    </row>
    <row r="2395" ht="14.25" customHeight="1">
      <c r="A2395" s="740"/>
    </row>
    <row r="2396" ht="14.25" customHeight="1">
      <c r="A2396" s="740"/>
    </row>
    <row r="2397" ht="14.25" customHeight="1">
      <c r="A2397" s="740"/>
    </row>
    <row r="2398" ht="14.25" customHeight="1">
      <c r="A2398" s="740"/>
    </row>
    <row r="2399" ht="14.25" customHeight="1">
      <c r="A2399" s="740"/>
    </row>
    <row r="2400" ht="14.25" customHeight="1">
      <c r="A2400" s="740"/>
    </row>
    <row r="2401" ht="14.25" customHeight="1">
      <c r="A2401" s="740"/>
    </row>
    <row r="2402" ht="14.25" customHeight="1">
      <c r="A2402" s="740"/>
    </row>
    <row r="2403" ht="14.25" customHeight="1">
      <c r="A2403" s="740"/>
    </row>
    <row r="2404" ht="14.25" customHeight="1">
      <c r="A2404" s="740"/>
    </row>
    <row r="2405" ht="14.25" customHeight="1">
      <c r="A2405" s="740"/>
    </row>
    <row r="2406" ht="14.25" customHeight="1">
      <c r="A2406" s="740"/>
    </row>
    <row r="2407" ht="14.25" customHeight="1">
      <c r="A2407" s="740"/>
    </row>
    <row r="2408" ht="14.25" customHeight="1">
      <c r="A2408" s="740"/>
    </row>
    <row r="2409" ht="14.25" customHeight="1">
      <c r="A2409" s="740"/>
    </row>
    <row r="2410" ht="14.25" customHeight="1">
      <c r="A2410" s="740"/>
    </row>
    <row r="2411" ht="14.25" customHeight="1">
      <c r="A2411" s="740"/>
    </row>
    <row r="2412" ht="14.25" customHeight="1">
      <c r="A2412" s="740"/>
    </row>
    <row r="2413" ht="14.25" customHeight="1">
      <c r="A2413" s="740"/>
    </row>
    <row r="2414" ht="14.25" customHeight="1">
      <c r="A2414" s="740"/>
    </row>
    <row r="2415" ht="14.25" customHeight="1">
      <c r="A2415" s="740"/>
    </row>
    <row r="2416" ht="14.25" customHeight="1">
      <c r="A2416" s="740"/>
    </row>
    <row r="2417" ht="14.25" customHeight="1">
      <c r="A2417" s="740"/>
    </row>
    <row r="2418" ht="14.25" customHeight="1">
      <c r="A2418" s="740"/>
    </row>
    <row r="2419" ht="14.25" customHeight="1">
      <c r="A2419" s="740"/>
    </row>
    <row r="2420" ht="14.25" customHeight="1">
      <c r="A2420" s="740"/>
    </row>
    <row r="2421" ht="14.25" customHeight="1">
      <c r="A2421" s="740"/>
    </row>
    <row r="2422" ht="14.25" customHeight="1">
      <c r="A2422" s="740"/>
    </row>
    <row r="2423" ht="14.25" customHeight="1">
      <c r="A2423" s="740"/>
    </row>
    <row r="2424" ht="14.25" customHeight="1">
      <c r="A2424" s="740"/>
    </row>
    <row r="2425" ht="14.25" customHeight="1">
      <c r="A2425" s="740"/>
    </row>
    <row r="2426" ht="14.25" customHeight="1">
      <c r="A2426" s="740"/>
    </row>
    <row r="2427" ht="14.25" customHeight="1">
      <c r="A2427" s="740"/>
    </row>
    <row r="2428" ht="14.25" customHeight="1">
      <c r="A2428" s="740"/>
    </row>
    <row r="2429" ht="14.25" customHeight="1">
      <c r="A2429" s="740"/>
    </row>
    <row r="2430" ht="14.25" customHeight="1">
      <c r="A2430" s="740"/>
    </row>
    <row r="2431" ht="14.25" customHeight="1">
      <c r="A2431" s="740"/>
    </row>
    <row r="2432" ht="14.25" customHeight="1">
      <c r="A2432" s="740"/>
    </row>
    <row r="2433" ht="14.25" customHeight="1">
      <c r="A2433" s="740"/>
    </row>
    <row r="2434" ht="14.25" customHeight="1">
      <c r="A2434" s="740"/>
    </row>
    <row r="2435" ht="14.25" customHeight="1">
      <c r="A2435" s="740"/>
    </row>
    <row r="2436" ht="14.25" customHeight="1">
      <c r="A2436" s="740"/>
    </row>
    <row r="2437" ht="14.25" customHeight="1">
      <c r="A2437" s="740"/>
    </row>
    <row r="2438" ht="14.25" customHeight="1">
      <c r="A2438" s="740"/>
    </row>
    <row r="2439" ht="14.25" customHeight="1">
      <c r="A2439" s="740"/>
    </row>
    <row r="2440" ht="14.25" customHeight="1">
      <c r="A2440" s="740"/>
    </row>
    <row r="2441" ht="14.25" customHeight="1">
      <c r="A2441" s="740"/>
    </row>
    <row r="2442" ht="14.25" customHeight="1">
      <c r="A2442" s="740"/>
    </row>
    <row r="2443" ht="14.25" customHeight="1">
      <c r="A2443" s="740"/>
    </row>
    <row r="2444" ht="14.25" customHeight="1">
      <c r="A2444" s="740"/>
    </row>
    <row r="2445" ht="14.25" customHeight="1">
      <c r="A2445" s="740"/>
    </row>
    <row r="2446" ht="14.25" customHeight="1">
      <c r="A2446" s="740"/>
    </row>
    <row r="2447" ht="14.25" customHeight="1">
      <c r="A2447" s="740"/>
    </row>
    <row r="2448" ht="14.25" customHeight="1">
      <c r="A2448" s="740"/>
    </row>
    <row r="2449" ht="14.25" customHeight="1">
      <c r="A2449" s="740"/>
    </row>
    <row r="2450" ht="14.25" customHeight="1">
      <c r="A2450" s="740"/>
    </row>
    <row r="2451" ht="14.25" customHeight="1">
      <c r="A2451" s="740"/>
    </row>
    <row r="2452" ht="14.25" customHeight="1">
      <c r="A2452" s="740"/>
    </row>
    <row r="2453" ht="14.25" customHeight="1">
      <c r="A2453" s="740"/>
    </row>
    <row r="2454" ht="14.25" customHeight="1">
      <c r="A2454" s="740"/>
    </row>
    <row r="2455" ht="14.25" customHeight="1">
      <c r="A2455" s="740"/>
    </row>
    <row r="2456" ht="14.25" customHeight="1">
      <c r="A2456" s="740"/>
    </row>
    <row r="2457" ht="14.25" customHeight="1">
      <c r="A2457" s="740"/>
    </row>
    <row r="2458" ht="14.25" customHeight="1">
      <c r="A2458" s="740"/>
    </row>
    <row r="2459" ht="14.25" customHeight="1">
      <c r="A2459" s="740"/>
    </row>
    <row r="2460" ht="14.25" customHeight="1">
      <c r="A2460" s="740"/>
    </row>
    <row r="2461" ht="14.25" customHeight="1">
      <c r="A2461" s="740"/>
    </row>
    <row r="2462" ht="14.25" customHeight="1">
      <c r="A2462" s="740"/>
    </row>
    <row r="2463" ht="14.25" customHeight="1">
      <c r="A2463" s="740"/>
    </row>
    <row r="2464" ht="14.25" customHeight="1">
      <c r="A2464" s="740"/>
    </row>
    <row r="2465" ht="14.25" customHeight="1">
      <c r="A2465" s="740"/>
    </row>
    <row r="2466" ht="14.25" customHeight="1">
      <c r="A2466" s="740"/>
    </row>
    <row r="2467" ht="14.25" customHeight="1">
      <c r="A2467" s="740"/>
    </row>
    <row r="2468" ht="14.25" customHeight="1">
      <c r="A2468" s="740"/>
    </row>
    <row r="2469" ht="14.25" customHeight="1">
      <c r="A2469" s="740"/>
    </row>
    <row r="2470" ht="14.25" customHeight="1">
      <c r="A2470" s="740"/>
    </row>
    <row r="2471" ht="14.25" customHeight="1">
      <c r="A2471" s="740"/>
    </row>
    <row r="2472" ht="14.25" customHeight="1">
      <c r="A2472" s="740"/>
    </row>
    <row r="2473" ht="14.25" customHeight="1">
      <c r="A2473" s="740"/>
    </row>
    <row r="2474" ht="14.25" customHeight="1">
      <c r="A2474" s="740"/>
    </row>
    <row r="2475" ht="14.25" customHeight="1">
      <c r="A2475" s="740"/>
    </row>
    <row r="2476" ht="14.25" customHeight="1">
      <c r="A2476" s="740"/>
    </row>
    <row r="2477" ht="14.25" customHeight="1">
      <c r="A2477" s="740"/>
    </row>
    <row r="2478" ht="14.25" customHeight="1">
      <c r="A2478" s="740"/>
    </row>
    <row r="2479" ht="14.25" customHeight="1">
      <c r="A2479" s="740"/>
    </row>
    <row r="2480" ht="14.25" customHeight="1">
      <c r="A2480" s="740"/>
    </row>
    <row r="2481" ht="14.25" customHeight="1">
      <c r="A2481" s="740"/>
    </row>
    <row r="2482" ht="14.25" customHeight="1">
      <c r="A2482" s="740"/>
    </row>
    <row r="2483" ht="14.25" customHeight="1">
      <c r="A2483" s="740"/>
    </row>
    <row r="2484" ht="14.25" customHeight="1">
      <c r="A2484" s="740"/>
    </row>
    <row r="2485" ht="14.25" customHeight="1">
      <c r="A2485" s="740"/>
    </row>
    <row r="2486" ht="14.25" customHeight="1">
      <c r="A2486" s="740"/>
    </row>
    <row r="2487" ht="14.25" customHeight="1">
      <c r="A2487" s="740"/>
    </row>
    <row r="2488" ht="14.25" customHeight="1">
      <c r="A2488" s="740"/>
    </row>
    <row r="2489" ht="14.25" customHeight="1">
      <c r="A2489" s="740"/>
    </row>
    <row r="2490" ht="14.25" customHeight="1">
      <c r="A2490" s="740"/>
    </row>
    <row r="2491" ht="14.25" customHeight="1">
      <c r="A2491" s="740"/>
    </row>
    <row r="2492" ht="14.25" customHeight="1">
      <c r="A2492" s="740"/>
    </row>
    <row r="2493" ht="14.25" customHeight="1">
      <c r="A2493" s="740"/>
    </row>
    <row r="2494" ht="14.25" customHeight="1">
      <c r="A2494" s="740"/>
    </row>
    <row r="2495" ht="14.25" customHeight="1">
      <c r="A2495" s="740"/>
    </row>
    <row r="2496" ht="14.25" customHeight="1">
      <c r="A2496" s="740"/>
    </row>
    <row r="2497" ht="14.25" customHeight="1">
      <c r="A2497" s="740"/>
    </row>
    <row r="2498" ht="14.25" customHeight="1">
      <c r="A2498" s="740"/>
    </row>
    <row r="2499" ht="14.25" customHeight="1">
      <c r="A2499" s="740"/>
    </row>
    <row r="2500" ht="14.25" customHeight="1">
      <c r="A2500" s="740"/>
    </row>
    <row r="2501" ht="14.25" customHeight="1">
      <c r="A2501" s="740"/>
    </row>
    <row r="2502" ht="14.25" customHeight="1">
      <c r="A2502" s="740"/>
    </row>
    <row r="2503" ht="14.25" customHeight="1">
      <c r="A2503" s="740"/>
    </row>
    <row r="2504" ht="14.25" customHeight="1">
      <c r="A2504" s="740"/>
    </row>
    <row r="2505" ht="14.25" customHeight="1">
      <c r="A2505" s="740"/>
    </row>
    <row r="2506" ht="14.25" customHeight="1">
      <c r="A2506" s="740"/>
    </row>
    <row r="2507" ht="14.25" customHeight="1">
      <c r="A2507" s="740"/>
    </row>
    <row r="2508" ht="14.25" customHeight="1">
      <c r="A2508" s="740"/>
    </row>
    <row r="2509" ht="14.25" customHeight="1">
      <c r="A2509" s="740"/>
    </row>
    <row r="2510" ht="14.25" customHeight="1">
      <c r="A2510" s="740"/>
    </row>
    <row r="2511" ht="14.25" customHeight="1">
      <c r="A2511" s="740"/>
    </row>
    <row r="2512" ht="14.25" customHeight="1">
      <c r="A2512" s="740"/>
    </row>
    <row r="2513" ht="14.25" customHeight="1">
      <c r="A2513" s="740"/>
    </row>
    <row r="2514" ht="14.25" customHeight="1">
      <c r="A2514" s="740"/>
    </row>
    <row r="2515" ht="14.25" customHeight="1">
      <c r="A2515" s="740"/>
    </row>
    <row r="2516" ht="14.25" customHeight="1">
      <c r="A2516" s="740"/>
    </row>
    <row r="2517" ht="14.25" customHeight="1">
      <c r="A2517" s="740"/>
    </row>
    <row r="2518" ht="14.25" customHeight="1">
      <c r="A2518" s="740"/>
    </row>
    <row r="2519" ht="14.25" customHeight="1">
      <c r="A2519" s="740"/>
    </row>
    <row r="2520" ht="14.25" customHeight="1">
      <c r="A2520" s="740"/>
    </row>
    <row r="2521" ht="14.25" customHeight="1">
      <c r="A2521" s="740"/>
    </row>
    <row r="2522" ht="14.25" customHeight="1">
      <c r="A2522" s="740"/>
    </row>
    <row r="2523" ht="14.25" customHeight="1">
      <c r="A2523" s="740"/>
    </row>
    <row r="2524" ht="14.25" customHeight="1">
      <c r="A2524" s="740"/>
    </row>
    <row r="2525" ht="14.25" customHeight="1">
      <c r="A2525" s="740"/>
    </row>
    <row r="2526" ht="14.25" customHeight="1">
      <c r="A2526" s="740"/>
    </row>
    <row r="2527" ht="14.25" customHeight="1">
      <c r="A2527" s="740"/>
    </row>
    <row r="2528" ht="14.25" customHeight="1">
      <c r="A2528" s="740"/>
    </row>
    <row r="2529" ht="14.25" customHeight="1">
      <c r="A2529" s="740"/>
    </row>
    <row r="2530" ht="14.25" customHeight="1">
      <c r="A2530" s="740"/>
    </row>
    <row r="2531" ht="14.25" customHeight="1">
      <c r="A2531" s="740"/>
    </row>
    <row r="2532" ht="14.25" customHeight="1">
      <c r="A2532" s="740"/>
    </row>
    <row r="2533" ht="14.25" customHeight="1">
      <c r="A2533" s="740"/>
    </row>
    <row r="2534" ht="14.25" customHeight="1">
      <c r="A2534" s="740"/>
    </row>
    <row r="2535" ht="14.25" customHeight="1">
      <c r="A2535" s="740"/>
    </row>
    <row r="2536" ht="14.25" customHeight="1">
      <c r="A2536" s="740"/>
    </row>
    <row r="2537" ht="14.25" customHeight="1">
      <c r="A2537" s="740"/>
    </row>
    <row r="2538" ht="14.25" customHeight="1">
      <c r="A2538" s="740"/>
    </row>
    <row r="2539" ht="14.25" customHeight="1">
      <c r="A2539" s="740"/>
    </row>
    <row r="2540" ht="14.25" customHeight="1">
      <c r="A2540" s="740"/>
    </row>
    <row r="2541" ht="14.25" customHeight="1">
      <c r="A2541" s="740"/>
    </row>
    <row r="2542" ht="14.25" customHeight="1">
      <c r="A2542" s="740"/>
    </row>
    <row r="2543" ht="14.25" customHeight="1">
      <c r="A2543" s="740"/>
    </row>
    <row r="2544" ht="14.25" customHeight="1">
      <c r="A2544" s="740"/>
    </row>
    <row r="2545" ht="14.25" customHeight="1">
      <c r="A2545" s="740"/>
    </row>
    <row r="2546" ht="14.25" customHeight="1">
      <c r="A2546" s="740"/>
    </row>
    <row r="2547" ht="14.25" customHeight="1">
      <c r="A2547" s="740"/>
    </row>
    <row r="2548" ht="14.25" customHeight="1">
      <c r="A2548" s="740"/>
    </row>
    <row r="2549" ht="14.25" customHeight="1">
      <c r="A2549" s="740"/>
    </row>
    <row r="2550" ht="14.25" customHeight="1">
      <c r="A2550" s="740"/>
    </row>
    <row r="2551" ht="14.25" customHeight="1">
      <c r="A2551" s="740"/>
    </row>
    <row r="2552" ht="14.25" customHeight="1">
      <c r="A2552" s="740"/>
    </row>
    <row r="2553" ht="14.25" customHeight="1">
      <c r="A2553" s="740"/>
    </row>
    <row r="2554" ht="14.25" customHeight="1">
      <c r="A2554" s="740"/>
    </row>
    <row r="2555" ht="14.25" customHeight="1">
      <c r="A2555" s="740"/>
    </row>
    <row r="2556" ht="14.25" customHeight="1">
      <c r="A2556" s="740"/>
    </row>
    <row r="2557" ht="14.25" customHeight="1">
      <c r="A2557" s="740"/>
    </row>
    <row r="2558" ht="14.25" customHeight="1">
      <c r="A2558" s="740"/>
    </row>
    <row r="2559" ht="14.25" customHeight="1">
      <c r="A2559" s="740"/>
    </row>
    <row r="2560" ht="14.25" customHeight="1">
      <c r="A2560" s="740"/>
    </row>
    <row r="2561" ht="14.25" customHeight="1">
      <c r="A2561" s="740"/>
    </row>
    <row r="2562" ht="14.25" customHeight="1">
      <c r="A2562" s="740"/>
    </row>
    <row r="2563" ht="14.25" customHeight="1">
      <c r="A2563" s="740"/>
    </row>
    <row r="2564" ht="14.25" customHeight="1">
      <c r="A2564" s="740"/>
    </row>
    <row r="2565" ht="14.25" customHeight="1">
      <c r="A2565" s="740"/>
    </row>
    <row r="2566" ht="14.25" customHeight="1">
      <c r="A2566" s="740"/>
    </row>
    <row r="2567" ht="14.25" customHeight="1">
      <c r="A2567" s="740"/>
    </row>
    <row r="2568" ht="14.25" customHeight="1">
      <c r="A2568" s="740"/>
    </row>
    <row r="2569" ht="14.25" customHeight="1">
      <c r="A2569" s="740"/>
    </row>
    <row r="2570" ht="14.25" customHeight="1">
      <c r="A2570" s="740"/>
    </row>
    <row r="2571" ht="14.25" customHeight="1">
      <c r="A2571" s="740"/>
    </row>
    <row r="2572" ht="14.25" customHeight="1">
      <c r="A2572" s="740"/>
    </row>
    <row r="2573" ht="14.25" customHeight="1">
      <c r="A2573" s="740"/>
    </row>
    <row r="2574" ht="14.25" customHeight="1">
      <c r="A2574" s="740"/>
    </row>
    <row r="2575" ht="14.25" customHeight="1">
      <c r="A2575" s="740"/>
    </row>
    <row r="2576" ht="14.25" customHeight="1">
      <c r="A2576" s="740"/>
    </row>
    <row r="2577" ht="14.25" customHeight="1">
      <c r="A2577" s="740"/>
    </row>
    <row r="2578" ht="14.25" customHeight="1">
      <c r="A2578" s="740"/>
    </row>
    <row r="2579" ht="14.25" customHeight="1">
      <c r="A2579" s="740"/>
    </row>
    <row r="2580" ht="14.25" customHeight="1">
      <c r="A2580" s="740"/>
    </row>
    <row r="2581" ht="14.25" customHeight="1">
      <c r="A2581" s="740"/>
    </row>
    <row r="2582" ht="14.25" customHeight="1">
      <c r="A2582" s="740"/>
    </row>
    <row r="2583" ht="14.25" customHeight="1">
      <c r="A2583" s="740"/>
    </row>
    <row r="2584" ht="14.25" customHeight="1">
      <c r="A2584" s="740"/>
    </row>
    <row r="2585" ht="14.25" customHeight="1">
      <c r="A2585" s="740"/>
    </row>
    <row r="2586" ht="14.25" customHeight="1">
      <c r="A2586" s="740"/>
    </row>
    <row r="2587" ht="14.25" customHeight="1">
      <c r="A2587" s="740"/>
    </row>
    <row r="2588" ht="14.25" customHeight="1">
      <c r="A2588" s="740"/>
    </row>
    <row r="2589" ht="14.25" customHeight="1">
      <c r="A2589" s="740"/>
    </row>
    <row r="2590" ht="14.25" customHeight="1">
      <c r="A2590" s="740"/>
    </row>
    <row r="2591" ht="14.25" customHeight="1">
      <c r="A2591" s="740"/>
    </row>
    <row r="2592" ht="14.25" customHeight="1">
      <c r="A2592" s="740"/>
    </row>
    <row r="2593" ht="14.25" customHeight="1">
      <c r="A2593" s="740"/>
    </row>
    <row r="2594" ht="14.25" customHeight="1">
      <c r="A2594" s="740"/>
    </row>
    <row r="2595" ht="14.25" customHeight="1">
      <c r="A2595" s="740"/>
    </row>
    <row r="2596" ht="14.25" customHeight="1">
      <c r="A2596" s="740"/>
    </row>
    <row r="2597" ht="14.25" customHeight="1">
      <c r="A2597" s="740"/>
    </row>
    <row r="2598" ht="14.25" customHeight="1">
      <c r="A2598" s="740"/>
    </row>
    <row r="2599" ht="14.25" customHeight="1">
      <c r="A2599" s="740"/>
    </row>
    <row r="2600" ht="14.25" customHeight="1">
      <c r="A2600" s="740"/>
    </row>
    <row r="2601" ht="14.25" customHeight="1">
      <c r="A2601" s="740"/>
    </row>
    <row r="2602" ht="14.25" customHeight="1">
      <c r="A2602" s="740"/>
    </row>
    <row r="2603" ht="14.25" customHeight="1">
      <c r="A2603" s="740"/>
    </row>
    <row r="2604" ht="14.25" customHeight="1">
      <c r="A2604" s="740"/>
    </row>
    <row r="2605" ht="14.25" customHeight="1">
      <c r="A2605" s="740"/>
    </row>
    <row r="2606" ht="14.25" customHeight="1">
      <c r="A2606" s="740"/>
    </row>
    <row r="2607" ht="14.25" customHeight="1">
      <c r="A2607" s="740"/>
    </row>
    <row r="2608" ht="14.25" customHeight="1">
      <c r="A2608" s="740"/>
    </row>
    <row r="2609" ht="14.25" customHeight="1">
      <c r="A2609" s="740"/>
    </row>
    <row r="2610" ht="14.25" customHeight="1">
      <c r="A2610" s="740"/>
    </row>
    <row r="2611" ht="14.25" customHeight="1">
      <c r="A2611" s="740"/>
    </row>
    <row r="2612" ht="14.25" customHeight="1">
      <c r="A2612" s="740"/>
    </row>
    <row r="2613" ht="14.25" customHeight="1">
      <c r="A2613" s="740"/>
    </row>
    <row r="2614" ht="14.25" customHeight="1">
      <c r="A2614" s="740"/>
    </row>
    <row r="2615" ht="14.25" customHeight="1">
      <c r="A2615" s="740"/>
    </row>
    <row r="2616" ht="14.25" customHeight="1">
      <c r="A2616" s="740"/>
    </row>
    <row r="2617" ht="14.25" customHeight="1">
      <c r="A2617" s="740"/>
    </row>
    <row r="2618" ht="14.25" customHeight="1">
      <c r="A2618" s="740"/>
    </row>
    <row r="2619" ht="14.25" customHeight="1">
      <c r="A2619" s="740"/>
    </row>
    <row r="2620" ht="14.25" customHeight="1">
      <c r="A2620" s="740"/>
    </row>
    <row r="2621" ht="14.25" customHeight="1">
      <c r="A2621" s="740"/>
    </row>
    <row r="2622" ht="14.25" customHeight="1">
      <c r="A2622" s="740"/>
    </row>
    <row r="2623" ht="14.25" customHeight="1">
      <c r="A2623" s="740"/>
    </row>
    <row r="2624" ht="14.25" customHeight="1">
      <c r="A2624" s="740"/>
    </row>
    <row r="2625" ht="14.25" customHeight="1">
      <c r="A2625" s="740"/>
    </row>
    <row r="2626" ht="14.25" customHeight="1">
      <c r="A2626" s="740"/>
    </row>
    <row r="2627" ht="14.25" customHeight="1">
      <c r="A2627" s="740"/>
    </row>
    <row r="2628" ht="14.25" customHeight="1">
      <c r="A2628" s="740"/>
    </row>
    <row r="2629" ht="14.25" customHeight="1">
      <c r="A2629" s="740"/>
    </row>
    <row r="2630" ht="14.25" customHeight="1">
      <c r="A2630" s="740"/>
    </row>
    <row r="2631" ht="14.25" customHeight="1">
      <c r="A2631" s="740"/>
    </row>
    <row r="2632" ht="14.25" customHeight="1">
      <c r="A2632" s="740"/>
    </row>
    <row r="2633" ht="14.25" customHeight="1">
      <c r="A2633" s="740"/>
    </row>
    <row r="2634" ht="14.25" customHeight="1">
      <c r="A2634" s="740"/>
    </row>
    <row r="2635" ht="14.25" customHeight="1">
      <c r="A2635" s="740"/>
    </row>
    <row r="2636" ht="14.25" customHeight="1">
      <c r="A2636" s="740"/>
    </row>
    <row r="2637" ht="14.25" customHeight="1">
      <c r="A2637" s="740"/>
    </row>
    <row r="2638" ht="14.25" customHeight="1">
      <c r="A2638" s="740"/>
    </row>
    <row r="2639" ht="14.25" customHeight="1">
      <c r="A2639" s="740"/>
    </row>
    <row r="2640" ht="14.25" customHeight="1">
      <c r="A2640" s="740"/>
    </row>
    <row r="2641" ht="14.25" customHeight="1">
      <c r="A2641" s="740"/>
    </row>
    <row r="2642" ht="14.25" customHeight="1">
      <c r="A2642" s="740"/>
    </row>
    <row r="2643" ht="14.25" customHeight="1">
      <c r="A2643" s="740"/>
    </row>
    <row r="2644" ht="14.25" customHeight="1">
      <c r="A2644" s="740"/>
    </row>
    <row r="2645" ht="14.25" customHeight="1">
      <c r="A2645" s="740"/>
    </row>
    <row r="2646" ht="14.25" customHeight="1">
      <c r="A2646" s="740"/>
    </row>
    <row r="2647" ht="14.25" customHeight="1">
      <c r="A2647" s="740"/>
    </row>
    <row r="2648" ht="14.25" customHeight="1">
      <c r="A2648" s="740"/>
    </row>
    <row r="2649" ht="14.25" customHeight="1">
      <c r="A2649" s="740"/>
    </row>
    <row r="2650" ht="14.25" customHeight="1">
      <c r="A2650" s="740"/>
    </row>
    <row r="2651" ht="14.25" customHeight="1">
      <c r="A2651" s="740"/>
    </row>
    <row r="2652" ht="14.25" customHeight="1">
      <c r="A2652" s="740"/>
    </row>
    <row r="2653" ht="14.25" customHeight="1">
      <c r="A2653" s="740"/>
    </row>
    <row r="2654" ht="14.25" customHeight="1">
      <c r="A2654" s="740"/>
    </row>
    <row r="2655" ht="14.25" customHeight="1">
      <c r="A2655" s="740"/>
    </row>
    <row r="2656" ht="14.25" customHeight="1">
      <c r="A2656" s="740"/>
    </row>
    <row r="2657" ht="14.25" customHeight="1">
      <c r="A2657" s="740"/>
    </row>
    <row r="2658" ht="14.25" customHeight="1">
      <c r="A2658" s="740"/>
    </row>
    <row r="2659" ht="14.25" customHeight="1">
      <c r="A2659" s="740"/>
    </row>
    <row r="2660" ht="14.25" customHeight="1">
      <c r="A2660" s="740"/>
    </row>
    <row r="2661" ht="14.25" customHeight="1">
      <c r="A2661" s="740"/>
    </row>
    <row r="2662" ht="14.25" customHeight="1">
      <c r="A2662" s="740"/>
    </row>
    <row r="2663" ht="14.25" customHeight="1">
      <c r="A2663" s="740"/>
    </row>
    <row r="2664" ht="14.25" customHeight="1">
      <c r="A2664" s="740"/>
    </row>
    <row r="2665" ht="14.25" customHeight="1">
      <c r="A2665" s="740"/>
    </row>
    <row r="2666" ht="14.25" customHeight="1">
      <c r="A2666" s="740"/>
    </row>
    <row r="2667" ht="14.25" customHeight="1">
      <c r="A2667" s="740"/>
    </row>
    <row r="2668" ht="14.25" customHeight="1">
      <c r="A2668" s="740"/>
    </row>
    <row r="2669" ht="14.25" customHeight="1">
      <c r="A2669" s="740"/>
    </row>
    <row r="2670" ht="14.25" customHeight="1">
      <c r="A2670" s="740"/>
    </row>
    <row r="2671" ht="14.25" customHeight="1">
      <c r="A2671" s="740"/>
    </row>
    <row r="2672" ht="14.25" customHeight="1">
      <c r="A2672" s="740"/>
    </row>
    <row r="2673" ht="14.25" customHeight="1">
      <c r="A2673" s="740"/>
    </row>
    <row r="2674" ht="14.25" customHeight="1">
      <c r="A2674" s="740"/>
    </row>
    <row r="2675" ht="14.25" customHeight="1">
      <c r="A2675" s="740"/>
    </row>
    <row r="2676" ht="14.25" customHeight="1">
      <c r="A2676" s="740"/>
    </row>
    <row r="2677" ht="14.25" customHeight="1">
      <c r="A2677" s="740"/>
    </row>
    <row r="2678" ht="14.25" customHeight="1">
      <c r="A2678" s="740"/>
    </row>
    <row r="2679" ht="14.25" customHeight="1">
      <c r="A2679" s="740"/>
    </row>
    <row r="2680" ht="14.25" customHeight="1">
      <c r="A2680" s="740"/>
    </row>
    <row r="2681" ht="14.25" customHeight="1">
      <c r="A2681" s="740"/>
    </row>
    <row r="2682" ht="14.25" customHeight="1">
      <c r="A2682" s="740"/>
    </row>
    <row r="2683" ht="14.25" customHeight="1">
      <c r="A2683" s="740"/>
    </row>
    <row r="2684" ht="14.25" customHeight="1">
      <c r="A2684" s="740"/>
    </row>
    <row r="2685" ht="14.25" customHeight="1">
      <c r="A2685" s="740"/>
    </row>
    <row r="2686" ht="14.25" customHeight="1">
      <c r="A2686" s="740"/>
    </row>
    <row r="2687" ht="14.25" customHeight="1">
      <c r="A2687" s="740"/>
    </row>
    <row r="2688" ht="14.25" customHeight="1">
      <c r="A2688" s="740"/>
    </row>
    <row r="2689" ht="14.25" customHeight="1">
      <c r="A2689" s="740"/>
    </row>
    <row r="2690" ht="14.25" customHeight="1">
      <c r="A2690" s="740"/>
    </row>
    <row r="2691" ht="14.25" customHeight="1">
      <c r="A2691" s="740"/>
    </row>
    <row r="2692" ht="14.25" customHeight="1">
      <c r="A2692" s="740"/>
    </row>
    <row r="2693" ht="14.25" customHeight="1">
      <c r="A2693" s="740"/>
    </row>
    <row r="2694" ht="14.25" customHeight="1">
      <c r="A2694" s="740"/>
    </row>
    <row r="2695" ht="14.25" customHeight="1">
      <c r="A2695" s="740"/>
    </row>
    <row r="2696" ht="14.25" customHeight="1">
      <c r="A2696" s="740"/>
    </row>
    <row r="2697" ht="14.25" customHeight="1">
      <c r="A2697" s="740"/>
    </row>
    <row r="2698" ht="14.25" customHeight="1">
      <c r="A2698" s="740"/>
    </row>
    <row r="2699" ht="14.25" customHeight="1">
      <c r="A2699" s="740"/>
    </row>
    <row r="2700" ht="14.25" customHeight="1">
      <c r="A2700" s="740"/>
    </row>
    <row r="2701" ht="14.25" customHeight="1">
      <c r="A2701" s="740"/>
    </row>
    <row r="2702" ht="14.25" customHeight="1">
      <c r="A2702" s="740"/>
    </row>
    <row r="2703" ht="14.25" customHeight="1">
      <c r="A2703" s="740"/>
    </row>
    <row r="2704" ht="14.25" customHeight="1">
      <c r="A2704" s="740"/>
    </row>
    <row r="2705" ht="14.25" customHeight="1">
      <c r="A2705" s="740"/>
    </row>
    <row r="2706" ht="14.25" customHeight="1">
      <c r="A2706" s="740"/>
    </row>
    <row r="2707" ht="14.25" customHeight="1">
      <c r="A2707" s="740"/>
    </row>
    <row r="2708" ht="14.25" customHeight="1">
      <c r="A2708" s="740"/>
    </row>
    <row r="2709" ht="14.25" customHeight="1">
      <c r="A2709" s="740"/>
    </row>
    <row r="2710" ht="14.25" customHeight="1">
      <c r="A2710" s="740"/>
    </row>
    <row r="2711" ht="14.25" customHeight="1">
      <c r="A2711" s="740"/>
    </row>
    <row r="2712" ht="14.25" customHeight="1">
      <c r="A2712" s="740"/>
    </row>
    <row r="2713" ht="14.25" customHeight="1">
      <c r="A2713" s="740"/>
    </row>
    <row r="2714" ht="14.25" customHeight="1">
      <c r="A2714" s="740"/>
    </row>
    <row r="2715" ht="14.25" customHeight="1">
      <c r="A2715" s="740"/>
    </row>
    <row r="2716" ht="14.25" customHeight="1">
      <c r="A2716" s="740"/>
    </row>
    <row r="2717" ht="14.25" customHeight="1">
      <c r="A2717" s="740"/>
    </row>
    <row r="2718" ht="14.25" customHeight="1">
      <c r="A2718" s="740"/>
    </row>
    <row r="2719" ht="14.25" customHeight="1">
      <c r="A2719" s="740"/>
    </row>
    <row r="2720" ht="14.25" customHeight="1">
      <c r="A2720" s="740"/>
    </row>
    <row r="2721" ht="14.25" customHeight="1">
      <c r="A2721" s="740"/>
    </row>
    <row r="2722" ht="14.25" customHeight="1">
      <c r="A2722" s="740"/>
    </row>
    <row r="2723" ht="14.25" customHeight="1">
      <c r="A2723" s="740"/>
    </row>
    <row r="2724" ht="14.25" customHeight="1">
      <c r="A2724" s="740"/>
    </row>
    <row r="2725" ht="14.25" customHeight="1">
      <c r="A2725" s="740"/>
    </row>
    <row r="2726" ht="14.25" customHeight="1">
      <c r="A2726" s="740"/>
    </row>
    <row r="2727" ht="14.25" customHeight="1">
      <c r="A2727" s="740"/>
    </row>
    <row r="2728" ht="14.25" customHeight="1">
      <c r="A2728" s="740"/>
    </row>
    <row r="2729" ht="14.25" customHeight="1">
      <c r="A2729" s="740"/>
    </row>
    <row r="2730" ht="14.25" customHeight="1">
      <c r="A2730" s="740"/>
    </row>
    <row r="2731" ht="14.25" customHeight="1">
      <c r="A2731" s="740"/>
    </row>
    <row r="2732" ht="14.25" customHeight="1">
      <c r="A2732" s="740"/>
    </row>
    <row r="2733" ht="14.25" customHeight="1">
      <c r="A2733" s="740"/>
    </row>
    <row r="2734" ht="14.25" customHeight="1">
      <c r="A2734" s="740"/>
    </row>
    <row r="2735" ht="14.25" customHeight="1">
      <c r="A2735" s="740"/>
    </row>
    <row r="2736" ht="14.25" customHeight="1">
      <c r="A2736" s="740"/>
    </row>
    <row r="2737" ht="14.25" customHeight="1">
      <c r="A2737" s="740"/>
    </row>
    <row r="2738" ht="14.25" customHeight="1">
      <c r="A2738" s="740"/>
    </row>
    <row r="2739" ht="14.25" customHeight="1">
      <c r="A2739" s="740"/>
    </row>
    <row r="2740" ht="14.25" customHeight="1">
      <c r="A2740" s="740"/>
    </row>
    <row r="2741" ht="14.25" customHeight="1">
      <c r="A2741" s="740"/>
    </row>
    <row r="2742" ht="14.25" customHeight="1">
      <c r="A2742" s="740"/>
    </row>
    <row r="2743" ht="14.25" customHeight="1">
      <c r="A2743" s="740"/>
    </row>
    <row r="2744" ht="14.25" customHeight="1">
      <c r="A2744" s="740"/>
    </row>
    <row r="2745" ht="14.25" customHeight="1">
      <c r="A2745" s="740"/>
    </row>
    <row r="2746" ht="14.25" customHeight="1">
      <c r="A2746" s="740"/>
    </row>
    <row r="2747" ht="14.25" customHeight="1">
      <c r="A2747" s="740"/>
    </row>
    <row r="2748" ht="14.25" customHeight="1">
      <c r="A2748" s="740"/>
    </row>
    <row r="2749" ht="14.25" customHeight="1">
      <c r="A2749" s="740"/>
    </row>
    <row r="2750" ht="14.25" customHeight="1">
      <c r="A2750" s="740"/>
    </row>
    <row r="2751" ht="14.25" customHeight="1">
      <c r="A2751" s="740"/>
    </row>
    <row r="2752" ht="14.25" customHeight="1">
      <c r="A2752" s="740"/>
    </row>
    <row r="2753" ht="14.25" customHeight="1">
      <c r="A2753" s="740"/>
    </row>
    <row r="2754" ht="14.25" customHeight="1">
      <c r="A2754" s="740"/>
    </row>
    <row r="2755" ht="14.25" customHeight="1">
      <c r="A2755" s="740"/>
    </row>
    <row r="2756" ht="14.25" customHeight="1">
      <c r="A2756" s="740"/>
    </row>
    <row r="2757" ht="14.25" customHeight="1">
      <c r="A2757" s="740"/>
    </row>
    <row r="2758" ht="14.25" customHeight="1">
      <c r="A2758" s="740"/>
    </row>
    <row r="2759" ht="14.25" customHeight="1">
      <c r="A2759" s="740"/>
    </row>
    <row r="2760" ht="14.25" customHeight="1">
      <c r="A2760" s="740"/>
    </row>
    <row r="2761" ht="14.25" customHeight="1">
      <c r="A2761" s="740"/>
    </row>
    <row r="2762" ht="14.25" customHeight="1">
      <c r="A2762" s="740"/>
    </row>
    <row r="2763" ht="14.25" customHeight="1">
      <c r="A2763" s="740"/>
    </row>
    <row r="2764" ht="14.25" customHeight="1">
      <c r="A2764" s="740"/>
    </row>
    <row r="2765" ht="14.25" customHeight="1">
      <c r="A2765" s="740"/>
    </row>
    <row r="2766" ht="14.25" customHeight="1">
      <c r="A2766" s="740"/>
    </row>
    <row r="2767" ht="14.25" customHeight="1">
      <c r="A2767" s="740"/>
    </row>
    <row r="2768" ht="14.25" customHeight="1">
      <c r="A2768" s="740"/>
    </row>
    <row r="2769" ht="14.25" customHeight="1">
      <c r="A2769" s="740"/>
    </row>
    <row r="2770" ht="14.25" customHeight="1">
      <c r="A2770" s="740"/>
    </row>
    <row r="2771" ht="14.25" customHeight="1">
      <c r="A2771" s="740"/>
    </row>
    <row r="2772" ht="14.25" customHeight="1">
      <c r="A2772" s="740"/>
    </row>
    <row r="2773" ht="14.25" customHeight="1">
      <c r="A2773" s="740"/>
    </row>
    <row r="2774" ht="14.25" customHeight="1">
      <c r="A2774" s="740"/>
    </row>
    <row r="2775" ht="14.25" customHeight="1">
      <c r="A2775" s="740"/>
    </row>
    <row r="2776" ht="14.25" customHeight="1">
      <c r="A2776" s="740"/>
    </row>
    <row r="2777" ht="14.25" customHeight="1">
      <c r="A2777" s="740"/>
    </row>
    <row r="2778" ht="14.25" customHeight="1">
      <c r="A2778" s="740"/>
    </row>
    <row r="2779" ht="14.25" customHeight="1">
      <c r="A2779" s="740"/>
    </row>
    <row r="2780" ht="14.25" customHeight="1">
      <c r="A2780" s="740"/>
    </row>
    <row r="2781" ht="14.25" customHeight="1">
      <c r="A2781" s="740"/>
    </row>
    <row r="2782" ht="14.25" customHeight="1">
      <c r="A2782" s="740"/>
    </row>
    <row r="2783" ht="14.25" customHeight="1">
      <c r="A2783" s="740"/>
    </row>
    <row r="2784" ht="14.25" customHeight="1">
      <c r="A2784" s="740"/>
    </row>
    <row r="2785" ht="14.25" customHeight="1">
      <c r="A2785" s="740"/>
    </row>
    <row r="2786" ht="14.25" customHeight="1">
      <c r="A2786" s="740"/>
    </row>
    <row r="2787" ht="14.25" customHeight="1">
      <c r="A2787" s="740"/>
    </row>
    <row r="2788" ht="14.25" customHeight="1">
      <c r="A2788" s="740"/>
    </row>
    <row r="2789" ht="14.25" customHeight="1">
      <c r="A2789" s="740"/>
    </row>
    <row r="2790" ht="14.25" customHeight="1">
      <c r="A2790" s="740"/>
    </row>
    <row r="2791" ht="14.25" customHeight="1">
      <c r="A2791" s="740"/>
    </row>
    <row r="2792" ht="14.25" customHeight="1">
      <c r="A2792" s="740"/>
    </row>
    <row r="2793" ht="14.25" customHeight="1">
      <c r="A2793" s="740"/>
    </row>
    <row r="2794" ht="14.25" customHeight="1">
      <c r="A2794" s="740"/>
    </row>
    <row r="2795" ht="14.25" customHeight="1">
      <c r="A2795" s="740"/>
    </row>
    <row r="2796" ht="14.25" customHeight="1">
      <c r="A2796" s="740"/>
    </row>
    <row r="2797" ht="14.25" customHeight="1">
      <c r="A2797" s="740"/>
    </row>
    <row r="2798" ht="14.25" customHeight="1">
      <c r="A2798" s="740"/>
    </row>
    <row r="2799" ht="14.25" customHeight="1">
      <c r="A2799" s="740"/>
    </row>
    <row r="2800" ht="14.25" customHeight="1">
      <c r="A2800" s="740"/>
    </row>
    <row r="2801" ht="14.25" customHeight="1">
      <c r="A2801" s="740"/>
    </row>
    <row r="2802" ht="14.25" customHeight="1">
      <c r="A2802" s="740"/>
    </row>
    <row r="2803" ht="14.25" customHeight="1">
      <c r="A2803" s="740"/>
    </row>
    <row r="2804" ht="14.25" customHeight="1">
      <c r="A2804" s="740"/>
    </row>
    <row r="2805" ht="14.25" customHeight="1">
      <c r="A2805" s="740"/>
    </row>
    <row r="2806" ht="14.25" customHeight="1">
      <c r="A2806" s="740"/>
    </row>
    <row r="2807" ht="14.25" customHeight="1">
      <c r="A2807" s="740"/>
    </row>
    <row r="2808" ht="14.25" customHeight="1">
      <c r="A2808" s="740"/>
    </row>
    <row r="2809" ht="14.25" customHeight="1">
      <c r="A2809" s="740"/>
    </row>
    <row r="2810" ht="14.25" customHeight="1">
      <c r="A2810" s="740"/>
    </row>
    <row r="2811" ht="14.25" customHeight="1">
      <c r="A2811" s="740"/>
    </row>
    <row r="2812" ht="14.25" customHeight="1">
      <c r="A2812" s="740"/>
    </row>
    <row r="2813" ht="14.25" customHeight="1">
      <c r="A2813" s="740"/>
    </row>
    <row r="2814" ht="14.25" customHeight="1">
      <c r="A2814" s="740"/>
    </row>
    <row r="2815" ht="14.25" customHeight="1">
      <c r="A2815" s="740"/>
    </row>
    <row r="2816" ht="14.25" customHeight="1">
      <c r="A2816" s="740"/>
    </row>
    <row r="2817" ht="14.25" customHeight="1">
      <c r="A2817" s="740"/>
    </row>
    <row r="2818" ht="14.25" customHeight="1">
      <c r="A2818" s="740"/>
    </row>
    <row r="2819" ht="14.25" customHeight="1">
      <c r="A2819" s="740"/>
    </row>
    <row r="2820" ht="14.25" customHeight="1">
      <c r="A2820" s="740"/>
    </row>
    <row r="2821" ht="14.25" customHeight="1">
      <c r="A2821" s="740"/>
    </row>
    <row r="2822" ht="14.25" customHeight="1">
      <c r="A2822" s="740"/>
    </row>
    <row r="2823" ht="14.25" customHeight="1">
      <c r="A2823" s="740"/>
    </row>
    <row r="2824" ht="14.25" customHeight="1">
      <c r="A2824" s="740"/>
    </row>
    <row r="2825" ht="14.25" customHeight="1">
      <c r="A2825" s="740"/>
    </row>
    <row r="2826" ht="14.25" customHeight="1">
      <c r="A2826" s="740"/>
    </row>
    <row r="2827" ht="14.25" customHeight="1">
      <c r="A2827" s="740"/>
    </row>
    <row r="2828" ht="14.25" customHeight="1">
      <c r="A2828" s="740"/>
    </row>
    <row r="2829" ht="14.25" customHeight="1">
      <c r="A2829" s="740"/>
    </row>
    <row r="2830" ht="14.25" customHeight="1">
      <c r="A2830" s="740"/>
    </row>
    <row r="2831" ht="14.25" customHeight="1">
      <c r="A2831" s="740"/>
    </row>
    <row r="2832" ht="14.25" customHeight="1">
      <c r="A2832" s="740"/>
    </row>
    <row r="2833" ht="14.25" customHeight="1">
      <c r="A2833" s="740"/>
    </row>
    <row r="2834" ht="14.25" customHeight="1">
      <c r="A2834" s="740"/>
    </row>
    <row r="2835" ht="14.25" customHeight="1">
      <c r="A2835" s="740"/>
    </row>
    <row r="2836" ht="14.25" customHeight="1">
      <c r="A2836" s="740"/>
    </row>
    <row r="2837" ht="14.25" customHeight="1">
      <c r="A2837" s="740"/>
    </row>
    <row r="2838" ht="14.25" customHeight="1">
      <c r="A2838" s="740"/>
    </row>
    <row r="2839" ht="14.25" customHeight="1">
      <c r="A2839" s="740"/>
    </row>
    <row r="2840" ht="14.25" customHeight="1">
      <c r="A2840" s="740"/>
    </row>
    <row r="2841" ht="14.25" customHeight="1">
      <c r="A2841" s="740"/>
    </row>
    <row r="2842" ht="14.25" customHeight="1">
      <c r="A2842" s="740"/>
    </row>
    <row r="2843" ht="14.25" customHeight="1">
      <c r="A2843" s="740"/>
    </row>
    <row r="2844" ht="14.25" customHeight="1">
      <c r="A2844" s="740"/>
    </row>
    <row r="2845" ht="14.25" customHeight="1">
      <c r="A2845" s="740"/>
    </row>
    <row r="2846" ht="14.25" customHeight="1">
      <c r="A2846" s="740"/>
    </row>
    <row r="2847" ht="14.25" customHeight="1">
      <c r="A2847" s="740"/>
    </row>
    <row r="2848" ht="14.25" customHeight="1">
      <c r="A2848" s="740"/>
    </row>
    <row r="2849" ht="14.25" customHeight="1">
      <c r="A2849" s="740"/>
    </row>
    <row r="2850" ht="14.25" customHeight="1">
      <c r="A2850" s="740"/>
    </row>
    <row r="2851" ht="14.25" customHeight="1">
      <c r="A2851" s="740"/>
    </row>
    <row r="2852" ht="14.25" customHeight="1">
      <c r="A2852" s="740"/>
    </row>
    <row r="2853" ht="14.25" customHeight="1">
      <c r="A2853" s="740"/>
    </row>
    <row r="2854" ht="14.25" customHeight="1">
      <c r="A2854" s="740"/>
    </row>
    <row r="2855" ht="14.25" customHeight="1">
      <c r="A2855" s="740"/>
    </row>
    <row r="2856" ht="14.25" customHeight="1">
      <c r="A2856" s="740"/>
    </row>
    <row r="2857" ht="14.25" customHeight="1">
      <c r="A2857" s="740"/>
    </row>
    <row r="2858" ht="14.25" customHeight="1">
      <c r="A2858" s="740"/>
    </row>
    <row r="2859" ht="14.25" customHeight="1">
      <c r="A2859" s="740"/>
    </row>
    <row r="2860" ht="14.25" customHeight="1">
      <c r="A2860" s="740"/>
    </row>
    <row r="2861" ht="14.25" customHeight="1">
      <c r="A2861" s="740"/>
    </row>
    <row r="2862" ht="14.25" customHeight="1">
      <c r="A2862" s="740"/>
    </row>
    <row r="2863" ht="14.25" customHeight="1">
      <c r="A2863" s="740"/>
    </row>
    <row r="2864" ht="14.25" customHeight="1">
      <c r="A2864" s="740"/>
    </row>
    <row r="2865" ht="14.25" customHeight="1">
      <c r="A2865" s="740"/>
    </row>
    <row r="2866" ht="14.25" customHeight="1">
      <c r="A2866" s="740"/>
    </row>
    <row r="2867" ht="14.25" customHeight="1">
      <c r="A2867" s="740"/>
    </row>
    <row r="2868" ht="14.25" customHeight="1">
      <c r="A2868" s="740"/>
    </row>
    <row r="2869" ht="14.25" customHeight="1">
      <c r="A2869" s="740"/>
    </row>
    <row r="2870" ht="14.25" customHeight="1">
      <c r="A2870" s="740"/>
    </row>
    <row r="2871" ht="14.25" customHeight="1">
      <c r="A2871" s="740"/>
    </row>
    <row r="2872" ht="14.25" customHeight="1">
      <c r="A2872" s="740"/>
    </row>
    <row r="2873" ht="14.25" customHeight="1">
      <c r="A2873" s="740"/>
    </row>
    <row r="2874" ht="14.25" customHeight="1">
      <c r="A2874" s="740"/>
    </row>
    <row r="2875" ht="14.25" customHeight="1">
      <c r="A2875" s="740"/>
    </row>
    <row r="2876" ht="14.25" customHeight="1">
      <c r="A2876" s="740"/>
    </row>
    <row r="2877" ht="14.25" customHeight="1">
      <c r="A2877" s="740"/>
    </row>
    <row r="2878" ht="14.25" customHeight="1">
      <c r="A2878" s="740"/>
    </row>
    <row r="2879" ht="14.25" customHeight="1">
      <c r="A2879" s="740"/>
    </row>
    <row r="2880" ht="14.25" customHeight="1">
      <c r="A2880" s="740"/>
    </row>
    <row r="2881" ht="14.25" customHeight="1">
      <c r="A2881" s="740"/>
    </row>
    <row r="2882" ht="14.25" customHeight="1">
      <c r="A2882" s="740"/>
    </row>
    <row r="2883" ht="14.25" customHeight="1">
      <c r="A2883" s="740"/>
    </row>
    <row r="2884" ht="14.25" customHeight="1">
      <c r="A2884" s="740"/>
    </row>
    <row r="2885" ht="14.25" customHeight="1">
      <c r="A2885" s="740"/>
    </row>
    <row r="2886" ht="14.25" customHeight="1">
      <c r="A2886" s="740"/>
    </row>
    <row r="2887" ht="14.25" customHeight="1">
      <c r="A2887" s="740"/>
    </row>
    <row r="2888" ht="14.25" customHeight="1">
      <c r="A2888" s="740"/>
    </row>
    <row r="2889" ht="14.25" customHeight="1">
      <c r="A2889" s="740"/>
    </row>
    <row r="2890" ht="14.25" customHeight="1">
      <c r="A2890" s="740"/>
    </row>
    <row r="2891" ht="14.25" customHeight="1">
      <c r="A2891" s="740"/>
    </row>
    <row r="2892" ht="14.25" customHeight="1">
      <c r="A2892" s="740"/>
    </row>
    <row r="2893" ht="14.25" customHeight="1">
      <c r="A2893" s="740"/>
    </row>
    <row r="2894" ht="14.25" customHeight="1">
      <c r="A2894" s="740"/>
    </row>
    <row r="2895" ht="14.25" customHeight="1">
      <c r="A2895" s="740"/>
    </row>
    <row r="2896" ht="14.25" customHeight="1">
      <c r="A2896" s="740"/>
    </row>
    <row r="2897" ht="14.25" customHeight="1">
      <c r="A2897" s="740"/>
    </row>
    <row r="2898" ht="14.25" customHeight="1">
      <c r="A2898" s="740"/>
    </row>
    <row r="2899" ht="14.25" customHeight="1">
      <c r="A2899" s="740"/>
    </row>
    <row r="2900" ht="14.25" customHeight="1">
      <c r="A2900" s="740"/>
    </row>
    <row r="2901" ht="14.25" customHeight="1">
      <c r="A2901" s="740"/>
    </row>
    <row r="2902" ht="14.25" customHeight="1">
      <c r="A2902" s="740"/>
    </row>
    <row r="2903" ht="14.25" customHeight="1">
      <c r="A2903" s="740"/>
    </row>
    <row r="2904" ht="14.25" customHeight="1">
      <c r="A2904" s="740"/>
    </row>
    <row r="2905" ht="14.25" customHeight="1">
      <c r="A2905" s="740"/>
    </row>
    <row r="2906" ht="14.25" customHeight="1">
      <c r="A2906" s="740"/>
    </row>
    <row r="2907" ht="14.25" customHeight="1">
      <c r="A2907" s="740"/>
    </row>
    <row r="2908" ht="14.25" customHeight="1">
      <c r="A2908" s="740"/>
    </row>
    <row r="2909" ht="14.25" customHeight="1">
      <c r="A2909" s="740"/>
    </row>
    <row r="2910" ht="14.25" customHeight="1">
      <c r="A2910" s="740"/>
    </row>
    <row r="2911" ht="14.25" customHeight="1">
      <c r="A2911" s="740"/>
    </row>
    <row r="2912" ht="14.25" customHeight="1">
      <c r="A2912" s="740"/>
    </row>
    <row r="2913" ht="14.25" customHeight="1">
      <c r="A2913" s="740"/>
    </row>
    <row r="2914" ht="14.25" customHeight="1">
      <c r="A2914" s="740"/>
    </row>
    <row r="2915" ht="14.25" customHeight="1">
      <c r="A2915" s="740"/>
    </row>
    <row r="2916" ht="14.25" customHeight="1">
      <c r="A2916" s="740"/>
    </row>
    <row r="2917" ht="14.25" customHeight="1">
      <c r="A2917" s="740"/>
    </row>
    <row r="2918" ht="14.25" customHeight="1">
      <c r="A2918" s="740"/>
    </row>
    <row r="2919" ht="14.25" customHeight="1">
      <c r="A2919" s="740"/>
    </row>
    <row r="2920" ht="14.25" customHeight="1">
      <c r="A2920" s="740"/>
    </row>
    <row r="2921" ht="14.25" customHeight="1">
      <c r="A2921" s="740"/>
    </row>
    <row r="2922" ht="14.25" customHeight="1">
      <c r="A2922" s="740"/>
    </row>
    <row r="2923" ht="14.25" customHeight="1">
      <c r="A2923" s="740"/>
    </row>
    <row r="2924" ht="14.25" customHeight="1">
      <c r="A2924" s="740"/>
    </row>
    <row r="2925" ht="14.25" customHeight="1">
      <c r="A2925" s="740"/>
    </row>
    <row r="2926" ht="14.25" customHeight="1">
      <c r="A2926" s="740"/>
    </row>
    <row r="2927" ht="14.25" customHeight="1">
      <c r="A2927" s="740"/>
    </row>
    <row r="2928" ht="14.25" customHeight="1">
      <c r="A2928" s="740"/>
    </row>
    <row r="2929" ht="14.25" customHeight="1">
      <c r="A2929" s="740"/>
    </row>
    <row r="2930" ht="14.25" customHeight="1">
      <c r="A2930" s="740"/>
    </row>
    <row r="2931" ht="14.25" customHeight="1">
      <c r="A2931" s="740"/>
    </row>
    <row r="2932" ht="14.25" customHeight="1">
      <c r="A2932" s="740"/>
    </row>
    <row r="2933" ht="14.25" customHeight="1">
      <c r="A2933" s="740"/>
    </row>
    <row r="2934" ht="14.25" customHeight="1">
      <c r="A2934" s="740"/>
    </row>
    <row r="2935" ht="14.25" customHeight="1">
      <c r="A2935" s="740"/>
    </row>
    <row r="2936" ht="14.25" customHeight="1">
      <c r="A2936" s="740"/>
    </row>
    <row r="2937" ht="14.25" customHeight="1">
      <c r="A2937" s="740"/>
    </row>
    <row r="2938" ht="14.25" customHeight="1">
      <c r="A2938" s="740"/>
    </row>
    <row r="2939" ht="14.25" customHeight="1">
      <c r="A2939" s="740"/>
    </row>
    <row r="2940" ht="14.25" customHeight="1">
      <c r="A2940" s="740"/>
    </row>
    <row r="2941" ht="14.25" customHeight="1">
      <c r="A2941" s="740"/>
    </row>
    <row r="2942" ht="14.25" customHeight="1">
      <c r="A2942" s="740"/>
    </row>
    <row r="2943" ht="14.25" customHeight="1">
      <c r="A2943" s="740"/>
    </row>
    <row r="2944" ht="14.25" customHeight="1">
      <c r="A2944" s="740"/>
    </row>
    <row r="2945" ht="14.25" customHeight="1">
      <c r="A2945" s="740"/>
    </row>
    <row r="2946" ht="14.25" customHeight="1">
      <c r="A2946" s="740"/>
    </row>
    <row r="2947" ht="14.25" customHeight="1">
      <c r="A2947" s="740"/>
    </row>
    <row r="2948" ht="14.25" customHeight="1">
      <c r="A2948" s="740"/>
    </row>
    <row r="2949" ht="14.25" customHeight="1">
      <c r="A2949" s="740"/>
    </row>
    <row r="2950" ht="14.25" customHeight="1">
      <c r="A2950" s="740"/>
    </row>
    <row r="2951" ht="14.25" customHeight="1">
      <c r="A2951" s="740"/>
    </row>
    <row r="2952" ht="14.25" customHeight="1">
      <c r="A2952" s="740"/>
    </row>
    <row r="2953" ht="14.25" customHeight="1">
      <c r="A2953" s="740"/>
    </row>
    <row r="2954" ht="14.25" customHeight="1">
      <c r="A2954" s="740"/>
    </row>
    <row r="2955" ht="14.25" customHeight="1">
      <c r="A2955" s="740"/>
    </row>
    <row r="2956" ht="14.25" customHeight="1">
      <c r="A2956" s="740"/>
    </row>
    <row r="2957" ht="14.25" customHeight="1">
      <c r="A2957" s="740"/>
    </row>
    <row r="2958" ht="14.25" customHeight="1">
      <c r="A2958" s="740"/>
    </row>
    <row r="2959" ht="14.25" customHeight="1">
      <c r="A2959" s="740"/>
    </row>
    <row r="2960" ht="14.25" customHeight="1">
      <c r="A2960" s="740"/>
    </row>
    <row r="2961" ht="14.25" customHeight="1">
      <c r="A2961" s="740"/>
    </row>
    <row r="2962" ht="14.25" customHeight="1">
      <c r="A2962" s="740"/>
    </row>
    <row r="2963" ht="14.25" customHeight="1">
      <c r="A2963" s="740"/>
    </row>
    <row r="2964" ht="14.25" customHeight="1">
      <c r="A2964" s="740"/>
    </row>
    <row r="2965" ht="14.25" customHeight="1">
      <c r="A2965" s="740"/>
    </row>
    <row r="2966" ht="14.25" customHeight="1">
      <c r="A2966" s="740"/>
    </row>
    <row r="2967" ht="14.25" customHeight="1">
      <c r="A2967" s="740"/>
    </row>
    <row r="2968" ht="14.25" customHeight="1">
      <c r="A2968" s="740"/>
    </row>
    <row r="2969" ht="14.25" customHeight="1">
      <c r="A2969" s="740"/>
    </row>
    <row r="2970" ht="14.25" customHeight="1">
      <c r="A2970" s="740"/>
    </row>
    <row r="2971" ht="14.25" customHeight="1">
      <c r="A2971" s="740"/>
    </row>
    <row r="2972" ht="14.25" customHeight="1">
      <c r="A2972" s="740"/>
    </row>
    <row r="2973" ht="14.25" customHeight="1">
      <c r="A2973" s="740"/>
    </row>
    <row r="2974" ht="14.25" customHeight="1">
      <c r="A2974" s="740"/>
    </row>
    <row r="2975" ht="14.25" customHeight="1">
      <c r="A2975" s="740"/>
    </row>
    <row r="2976" ht="14.25" customHeight="1">
      <c r="A2976" s="740"/>
    </row>
    <row r="2977" ht="14.25" customHeight="1">
      <c r="A2977" s="740"/>
    </row>
    <row r="2978" ht="14.25" customHeight="1">
      <c r="A2978" s="740"/>
    </row>
    <row r="2979" ht="14.25" customHeight="1">
      <c r="A2979" s="740"/>
    </row>
    <row r="2980" ht="14.25" customHeight="1">
      <c r="A2980" s="740"/>
    </row>
    <row r="2981" ht="14.25" customHeight="1">
      <c r="A2981" s="740"/>
    </row>
    <row r="2982" ht="14.25" customHeight="1">
      <c r="A2982" s="740"/>
    </row>
    <row r="2983" ht="14.25" customHeight="1">
      <c r="A2983" s="740"/>
    </row>
    <row r="2984" ht="14.25" customHeight="1">
      <c r="A2984" s="740"/>
    </row>
    <row r="2985" ht="14.25" customHeight="1">
      <c r="A2985" s="740"/>
    </row>
    <row r="2986" ht="14.25" customHeight="1">
      <c r="A2986" s="740"/>
    </row>
    <row r="2987" ht="14.25" customHeight="1">
      <c r="A2987" s="740"/>
    </row>
    <row r="2988" ht="14.25" customHeight="1">
      <c r="A2988" s="740"/>
    </row>
    <row r="2989" ht="14.25" customHeight="1">
      <c r="A2989" s="740"/>
    </row>
    <row r="2990" ht="14.25" customHeight="1">
      <c r="A2990" s="740"/>
    </row>
    <row r="2991" ht="14.25" customHeight="1">
      <c r="A2991" s="740"/>
    </row>
    <row r="2992" ht="14.25" customHeight="1">
      <c r="A2992" s="740"/>
    </row>
    <row r="2993" ht="14.25" customHeight="1">
      <c r="A2993" s="740"/>
    </row>
    <row r="2994" ht="14.25" customHeight="1">
      <c r="A2994" s="740"/>
    </row>
    <row r="2995" ht="14.25" customHeight="1">
      <c r="A2995" s="740"/>
    </row>
    <row r="2996" ht="14.25" customHeight="1">
      <c r="A2996" s="740"/>
    </row>
    <row r="2997" ht="14.25" customHeight="1">
      <c r="A2997" s="740"/>
    </row>
    <row r="2998" ht="14.25" customHeight="1">
      <c r="A2998" s="740"/>
    </row>
    <row r="2999" ht="14.25" customHeight="1">
      <c r="A2999" s="740"/>
    </row>
    <row r="3000" ht="14.25" customHeight="1">
      <c r="A3000" s="740"/>
    </row>
    <row r="3001" ht="14.25" customHeight="1">
      <c r="A3001" s="740"/>
    </row>
    <row r="3002" ht="14.25" customHeight="1">
      <c r="A3002" s="740"/>
    </row>
    <row r="3003" ht="14.25" customHeight="1">
      <c r="A3003" s="740"/>
    </row>
    <row r="3004" ht="14.25" customHeight="1">
      <c r="A3004" s="740"/>
    </row>
    <row r="3005" ht="14.25" customHeight="1">
      <c r="A3005" s="740"/>
    </row>
    <row r="3006" ht="14.25" customHeight="1">
      <c r="A3006" s="740"/>
    </row>
    <row r="3007" ht="14.25" customHeight="1">
      <c r="A3007" s="740"/>
    </row>
    <row r="3008" ht="14.25" customHeight="1">
      <c r="A3008" s="740"/>
    </row>
    <row r="3009" ht="14.25" customHeight="1">
      <c r="A3009" s="740"/>
    </row>
    <row r="3010" ht="14.25" customHeight="1">
      <c r="A3010" s="740"/>
    </row>
    <row r="3011" ht="14.25" customHeight="1">
      <c r="A3011" s="740"/>
    </row>
    <row r="3012" ht="14.25" customHeight="1">
      <c r="A3012" s="740"/>
    </row>
    <row r="3013" ht="14.25" customHeight="1">
      <c r="A3013" s="740"/>
    </row>
    <row r="3014" ht="14.25" customHeight="1">
      <c r="A3014" s="740"/>
    </row>
    <row r="3015" ht="14.25" customHeight="1">
      <c r="A3015" s="740"/>
    </row>
    <row r="3016" ht="14.25" customHeight="1">
      <c r="A3016" s="740"/>
    </row>
    <row r="3017" ht="14.25" customHeight="1">
      <c r="A3017" s="740"/>
    </row>
    <row r="3018" ht="14.25" customHeight="1">
      <c r="A3018" s="740"/>
    </row>
    <row r="3019" ht="14.25" customHeight="1">
      <c r="A3019" s="740"/>
    </row>
    <row r="3020" ht="14.25" customHeight="1">
      <c r="A3020" s="740"/>
    </row>
    <row r="3021" ht="14.25" customHeight="1">
      <c r="A3021" s="740"/>
    </row>
    <row r="3022" ht="14.25" customHeight="1">
      <c r="A3022" s="740"/>
    </row>
    <row r="3023" ht="14.25" customHeight="1">
      <c r="A3023" s="740"/>
    </row>
    <row r="3024" ht="14.25" customHeight="1">
      <c r="A3024" s="740"/>
    </row>
    <row r="3025" ht="14.25" customHeight="1">
      <c r="A3025" s="740"/>
    </row>
    <row r="3026" ht="14.25" customHeight="1">
      <c r="A3026" s="740"/>
    </row>
    <row r="3027" ht="14.25" customHeight="1">
      <c r="A3027" s="740"/>
    </row>
    <row r="3028" ht="14.25" customHeight="1">
      <c r="A3028" s="740"/>
    </row>
    <row r="3029" ht="14.25" customHeight="1">
      <c r="A3029" s="740"/>
    </row>
    <row r="3030" ht="14.25" customHeight="1">
      <c r="A3030" s="740"/>
    </row>
    <row r="3031" ht="14.25" customHeight="1">
      <c r="A3031" s="740"/>
    </row>
    <row r="3032" ht="14.25" customHeight="1">
      <c r="A3032" s="740"/>
    </row>
    <row r="3033" ht="14.25" customHeight="1">
      <c r="A3033" s="740"/>
    </row>
    <row r="3034" ht="14.25" customHeight="1">
      <c r="A3034" s="740"/>
    </row>
    <row r="3035" ht="14.25" customHeight="1">
      <c r="A3035" s="740"/>
    </row>
    <row r="3036" ht="14.25" customHeight="1">
      <c r="A3036" s="740"/>
    </row>
    <row r="3037" ht="14.25" customHeight="1">
      <c r="A3037" s="740"/>
    </row>
    <row r="3038" ht="14.25" customHeight="1">
      <c r="A3038" s="740"/>
    </row>
    <row r="3039" ht="14.25" customHeight="1">
      <c r="A3039" s="740"/>
    </row>
    <row r="3040" ht="14.25" customHeight="1">
      <c r="A3040" s="740"/>
    </row>
    <row r="3041" ht="14.25" customHeight="1">
      <c r="A3041" s="740"/>
    </row>
    <row r="3042" ht="14.25" customHeight="1">
      <c r="A3042" s="740"/>
    </row>
    <row r="3043" ht="14.25" customHeight="1">
      <c r="A3043" s="740"/>
    </row>
    <row r="3044" ht="14.25" customHeight="1">
      <c r="A3044" s="740"/>
    </row>
    <row r="3045" ht="14.25" customHeight="1">
      <c r="A3045" s="740"/>
    </row>
    <row r="3046" ht="14.25" customHeight="1">
      <c r="A3046" s="740"/>
    </row>
    <row r="3047" ht="14.25" customHeight="1">
      <c r="A3047" s="740"/>
    </row>
    <row r="3048" ht="14.25" customHeight="1">
      <c r="A3048" s="740"/>
    </row>
    <row r="3049" ht="14.25" customHeight="1">
      <c r="A3049" s="740"/>
    </row>
    <row r="3050" ht="14.25" customHeight="1">
      <c r="A3050" s="740"/>
    </row>
    <row r="3051" ht="14.25" customHeight="1">
      <c r="A3051" s="740"/>
    </row>
    <row r="3052" ht="14.25" customHeight="1">
      <c r="A3052" s="740"/>
    </row>
    <row r="3053" ht="14.25" customHeight="1">
      <c r="A3053" s="740"/>
    </row>
    <row r="3054" ht="14.25" customHeight="1">
      <c r="A3054" s="740"/>
    </row>
    <row r="3055" ht="14.25" customHeight="1">
      <c r="A3055" s="740"/>
    </row>
    <row r="3056" ht="14.25" customHeight="1">
      <c r="A3056" s="740"/>
    </row>
    <row r="3057" ht="14.25" customHeight="1">
      <c r="A3057" s="740"/>
    </row>
    <row r="3058" ht="14.25" customHeight="1">
      <c r="A3058" s="740"/>
    </row>
    <row r="3059" ht="14.25" customHeight="1">
      <c r="A3059" s="740"/>
    </row>
    <row r="3060" ht="14.25" customHeight="1">
      <c r="A3060" s="740"/>
    </row>
    <row r="3061" ht="14.25" customHeight="1">
      <c r="A3061" s="740"/>
    </row>
    <row r="3062" ht="14.25" customHeight="1">
      <c r="A3062" s="740"/>
    </row>
    <row r="3063" ht="14.25" customHeight="1">
      <c r="A3063" s="740"/>
    </row>
    <row r="3064" ht="14.25" customHeight="1">
      <c r="A3064" s="740"/>
    </row>
    <row r="3065" ht="14.25" customHeight="1">
      <c r="A3065" s="740"/>
    </row>
    <row r="3066" ht="14.25" customHeight="1">
      <c r="A3066" s="740"/>
    </row>
    <row r="3067" ht="14.25" customHeight="1">
      <c r="A3067" s="740"/>
    </row>
    <row r="3068" ht="14.25" customHeight="1">
      <c r="A3068" s="740"/>
    </row>
    <row r="3069" ht="14.25" customHeight="1">
      <c r="A3069" s="740"/>
    </row>
    <row r="3070" ht="14.25" customHeight="1">
      <c r="A3070" s="740"/>
    </row>
    <row r="3071" ht="14.25" customHeight="1">
      <c r="A3071" s="740"/>
    </row>
    <row r="3072" ht="14.25" customHeight="1">
      <c r="A3072" s="740"/>
    </row>
    <row r="3073" ht="14.25" customHeight="1">
      <c r="A3073" s="740"/>
    </row>
    <row r="3074" ht="14.25" customHeight="1">
      <c r="A3074" s="740"/>
    </row>
    <row r="3075" ht="14.25" customHeight="1">
      <c r="A3075" s="740"/>
    </row>
    <row r="3076" ht="14.25" customHeight="1">
      <c r="A3076" s="740"/>
    </row>
    <row r="3077" ht="14.25" customHeight="1">
      <c r="A3077" s="740"/>
    </row>
    <row r="3078" ht="14.25" customHeight="1">
      <c r="A3078" s="740"/>
    </row>
    <row r="3079" ht="14.25" customHeight="1">
      <c r="A3079" s="740"/>
    </row>
    <row r="3080" ht="14.25" customHeight="1">
      <c r="A3080" s="740"/>
    </row>
    <row r="3081" ht="14.25" customHeight="1">
      <c r="A3081" s="740"/>
    </row>
    <row r="3082" ht="14.25" customHeight="1">
      <c r="A3082" s="740"/>
    </row>
    <row r="3083" ht="14.25" customHeight="1">
      <c r="A3083" s="740"/>
    </row>
    <row r="3084" ht="14.25" customHeight="1">
      <c r="A3084" s="740"/>
    </row>
    <row r="3085" ht="14.25" customHeight="1">
      <c r="A3085" s="740"/>
    </row>
    <row r="3086" ht="14.25" customHeight="1">
      <c r="A3086" s="740"/>
    </row>
    <row r="3087" ht="14.25" customHeight="1">
      <c r="A3087" s="740"/>
    </row>
    <row r="3088" ht="14.25" customHeight="1">
      <c r="A3088" s="740"/>
    </row>
    <row r="3089" ht="14.25" customHeight="1">
      <c r="A3089" s="740"/>
    </row>
    <row r="3090" ht="14.25" customHeight="1">
      <c r="A3090" s="740"/>
    </row>
    <row r="3091" ht="14.25" customHeight="1">
      <c r="A3091" s="740"/>
    </row>
    <row r="3092" ht="14.25" customHeight="1">
      <c r="A3092" s="740"/>
    </row>
    <row r="3093" ht="14.25" customHeight="1">
      <c r="A3093" s="740"/>
    </row>
    <row r="3094" ht="14.25" customHeight="1">
      <c r="A3094" s="740"/>
    </row>
    <row r="3095" ht="14.25" customHeight="1">
      <c r="A3095" s="740"/>
    </row>
    <row r="3096" ht="14.25" customHeight="1">
      <c r="A3096" s="740"/>
    </row>
    <row r="3097" ht="14.25" customHeight="1">
      <c r="A3097" s="740"/>
    </row>
    <row r="3098" ht="14.25" customHeight="1">
      <c r="A3098" s="740"/>
    </row>
    <row r="3099" ht="14.25" customHeight="1">
      <c r="A3099" s="740"/>
    </row>
    <row r="3100" ht="14.25" customHeight="1">
      <c r="A3100" s="740"/>
    </row>
    <row r="3101" ht="14.25" customHeight="1">
      <c r="A3101" s="740"/>
    </row>
    <row r="3102" ht="14.25" customHeight="1">
      <c r="A3102" s="740"/>
    </row>
    <row r="3103" ht="14.25" customHeight="1">
      <c r="A3103" s="740"/>
    </row>
    <row r="3104" ht="14.25" customHeight="1">
      <c r="A3104" s="740"/>
    </row>
    <row r="3105" ht="14.25" customHeight="1">
      <c r="A3105" s="740"/>
    </row>
    <row r="3106" ht="14.25" customHeight="1">
      <c r="A3106" s="740"/>
    </row>
    <row r="3107" ht="14.25" customHeight="1">
      <c r="A3107" s="740"/>
    </row>
    <row r="3108" ht="14.25" customHeight="1">
      <c r="A3108" s="740"/>
    </row>
    <row r="3109" ht="14.25" customHeight="1">
      <c r="A3109" s="740"/>
    </row>
    <row r="3110" ht="14.25" customHeight="1">
      <c r="A3110" s="740"/>
    </row>
    <row r="3111" ht="14.25" customHeight="1">
      <c r="A3111" s="740"/>
    </row>
    <row r="3112" ht="14.25" customHeight="1">
      <c r="A3112" s="740"/>
    </row>
    <row r="3113" ht="14.25" customHeight="1">
      <c r="A3113" s="740"/>
    </row>
    <row r="3114" ht="14.25" customHeight="1">
      <c r="A3114" s="740"/>
    </row>
    <row r="3115" ht="14.25" customHeight="1">
      <c r="A3115" s="740"/>
    </row>
    <row r="3116" ht="14.25" customHeight="1">
      <c r="A3116" s="740"/>
    </row>
    <row r="3117" ht="14.25" customHeight="1">
      <c r="A3117" s="740"/>
    </row>
    <row r="3118" ht="14.25" customHeight="1">
      <c r="A3118" s="740"/>
    </row>
    <row r="3119" ht="14.25" customHeight="1">
      <c r="A3119" s="740"/>
    </row>
    <row r="3120" ht="14.25" customHeight="1">
      <c r="A3120" s="740"/>
    </row>
    <row r="3121" ht="14.25" customHeight="1">
      <c r="A3121" s="740"/>
    </row>
    <row r="3122" ht="14.25" customHeight="1">
      <c r="A3122" s="740"/>
    </row>
    <row r="3123" ht="14.25" customHeight="1">
      <c r="A3123" s="740"/>
    </row>
    <row r="3124" ht="14.25" customHeight="1">
      <c r="A3124" s="740"/>
    </row>
    <row r="3125" ht="14.25" customHeight="1">
      <c r="A3125" s="740"/>
    </row>
    <row r="3126" ht="14.25" customHeight="1">
      <c r="A3126" s="740"/>
    </row>
    <row r="3127" ht="14.25" customHeight="1">
      <c r="A3127" s="740"/>
    </row>
    <row r="3128" ht="14.25" customHeight="1">
      <c r="A3128" s="740"/>
    </row>
    <row r="3129" ht="14.25" customHeight="1">
      <c r="A3129" s="740"/>
    </row>
    <row r="3130" ht="14.25" customHeight="1">
      <c r="A3130" s="740"/>
    </row>
    <row r="3131" ht="14.25" customHeight="1">
      <c r="A3131" s="740"/>
    </row>
    <row r="3132" ht="14.25" customHeight="1">
      <c r="A3132" s="740"/>
    </row>
    <row r="3133" ht="14.25" customHeight="1">
      <c r="A3133" s="740"/>
    </row>
    <row r="3134" ht="14.25" customHeight="1">
      <c r="A3134" s="740"/>
    </row>
    <row r="3135" ht="14.25" customHeight="1">
      <c r="A3135" s="740"/>
    </row>
    <row r="3136" ht="14.25" customHeight="1">
      <c r="A3136" s="740"/>
    </row>
    <row r="3137" ht="14.25" customHeight="1">
      <c r="A3137" s="740"/>
    </row>
    <row r="3138" ht="14.25" customHeight="1">
      <c r="A3138" s="740"/>
    </row>
    <row r="3139" ht="14.25" customHeight="1">
      <c r="A3139" s="740"/>
    </row>
    <row r="3140" ht="14.25" customHeight="1">
      <c r="A3140" s="740"/>
    </row>
    <row r="3141" ht="14.25" customHeight="1">
      <c r="A3141" s="740"/>
    </row>
    <row r="3142" ht="14.25" customHeight="1">
      <c r="A3142" s="740"/>
    </row>
    <row r="3143" ht="14.25" customHeight="1">
      <c r="A3143" s="740"/>
    </row>
    <row r="3144" ht="14.25" customHeight="1">
      <c r="A3144" s="740"/>
    </row>
    <row r="3145" ht="14.25" customHeight="1">
      <c r="A3145" s="740"/>
    </row>
    <row r="3146" ht="14.25" customHeight="1">
      <c r="A3146" s="740"/>
    </row>
    <row r="3147" ht="14.25" customHeight="1">
      <c r="A3147" s="740"/>
    </row>
    <row r="3148" ht="14.25" customHeight="1">
      <c r="A3148" s="740"/>
    </row>
    <row r="3149" ht="14.25" customHeight="1">
      <c r="A3149" s="740"/>
    </row>
    <row r="3150" ht="14.25" customHeight="1">
      <c r="A3150" s="740"/>
    </row>
    <row r="3151" ht="14.25" customHeight="1">
      <c r="A3151" s="740"/>
    </row>
    <row r="3152" ht="14.25" customHeight="1">
      <c r="A3152" s="740"/>
    </row>
    <row r="3153" ht="14.25" customHeight="1">
      <c r="A3153" s="740"/>
    </row>
    <row r="3154" ht="14.25" customHeight="1">
      <c r="A3154" s="740"/>
    </row>
    <row r="3155" ht="14.25" customHeight="1">
      <c r="A3155" s="740"/>
    </row>
    <row r="3156" ht="14.25" customHeight="1">
      <c r="A3156" s="740"/>
    </row>
    <row r="3157" ht="14.25" customHeight="1">
      <c r="A3157" s="740"/>
    </row>
    <row r="3158" ht="14.25" customHeight="1">
      <c r="A3158" s="740"/>
    </row>
    <row r="3159" ht="14.25" customHeight="1">
      <c r="A3159" s="740"/>
    </row>
    <row r="3160" ht="14.25" customHeight="1">
      <c r="A3160" s="740"/>
    </row>
    <row r="3161" ht="14.25" customHeight="1">
      <c r="A3161" s="740"/>
    </row>
    <row r="3162" ht="14.25" customHeight="1">
      <c r="A3162" s="740"/>
    </row>
    <row r="3163" ht="14.25" customHeight="1">
      <c r="A3163" s="740"/>
    </row>
    <row r="3164" ht="14.25" customHeight="1">
      <c r="A3164" s="740"/>
    </row>
    <row r="3165" ht="14.25" customHeight="1">
      <c r="A3165" s="740"/>
    </row>
    <row r="3166" ht="14.25" customHeight="1">
      <c r="A3166" s="740"/>
    </row>
    <row r="3167" ht="14.25" customHeight="1">
      <c r="A3167" s="740"/>
    </row>
    <row r="3168" ht="14.25" customHeight="1">
      <c r="A3168" s="740"/>
    </row>
    <row r="3169" ht="14.25" customHeight="1">
      <c r="A3169" s="740"/>
    </row>
    <row r="3170" ht="14.25" customHeight="1">
      <c r="A3170" s="740"/>
    </row>
    <row r="3171" ht="14.25" customHeight="1">
      <c r="A3171" s="740"/>
    </row>
    <row r="3172" ht="14.25" customHeight="1">
      <c r="A3172" s="740"/>
    </row>
    <row r="3173" ht="14.25" customHeight="1">
      <c r="A3173" s="740"/>
    </row>
    <row r="3174" ht="14.25" customHeight="1">
      <c r="A3174" s="740"/>
    </row>
    <row r="3175" ht="14.25" customHeight="1">
      <c r="A3175" s="740"/>
    </row>
    <row r="3176" ht="14.25" customHeight="1">
      <c r="A3176" s="740"/>
    </row>
    <row r="3177" ht="14.25" customHeight="1">
      <c r="A3177" s="740"/>
    </row>
    <row r="3178" ht="14.25" customHeight="1">
      <c r="A3178" s="740"/>
    </row>
    <row r="3179" ht="14.25" customHeight="1">
      <c r="A3179" s="740"/>
    </row>
    <row r="3180" ht="14.25" customHeight="1">
      <c r="A3180" s="740"/>
    </row>
    <row r="3181" ht="14.25" customHeight="1">
      <c r="A3181" s="740"/>
    </row>
    <row r="3182" ht="14.25" customHeight="1">
      <c r="A3182" s="740"/>
    </row>
    <row r="3183" ht="14.25" customHeight="1">
      <c r="A3183" s="740"/>
    </row>
    <row r="3184" ht="14.25" customHeight="1">
      <c r="A3184" s="740"/>
    </row>
    <row r="3185" ht="14.25" customHeight="1">
      <c r="A3185" s="740"/>
    </row>
    <row r="3186" ht="14.25" customHeight="1">
      <c r="A3186" s="740"/>
    </row>
    <row r="3187" ht="14.25" customHeight="1">
      <c r="A3187" s="740"/>
    </row>
    <row r="3188" ht="14.25" customHeight="1">
      <c r="A3188" s="740"/>
    </row>
    <row r="3189" ht="14.25" customHeight="1">
      <c r="A3189" s="740"/>
    </row>
    <row r="3190" ht="14.25" customHeight="1">
      <c r="A3190" s="740"/>
    </row>
    <row r="3191" ht="14.25" customHeight="1">
      <c r="A3191" s="740"/>
    </row>
    <row r="3192" ht="14.25" customHeight="1">
      <c r="A3192" s="740"/>
    </row>
    <row r="3193" ht="14.25" customHeight="1">
      <c r="A3193" s="740"/>
    </row>
    <row r="3194" ht="14.25" customHeight="1">
      <c r="A3194" s="740"/>
    </row>
    <row r="3195" ht="14.25" customHeight="1">
      <c r="A3195" s="740"/>
    </row>
    <row r="3196" ht="14.25" customHeight="1">
      <c r="A3196" s="740"/>
    </row>
    <row r="3197" ht="14.25" customHeight="1">
      <c r="A3197" s="740"/>
    </row>
    <row r="3198" ht="14.25" customHeight="1">
      <c r="A3198" s="740"/>
    </row>
    <row r="3199" ht="14.25" customHeight="1">
      <c r="A3199" s="740"/>
    </row>
    <row r="3200" ht="14.25" customHeight="1">
      <c r="A3200" s="740"/>
    </row>
    <row r="3201" ht="14.25" customHeight="1">
      <c r="A3201" s="740"/>
    </row>
    <row r="3202" ht="14.25" customHeight="1">
      <c r="A3202" s="740"/>
    </row>
    <row r="3203" ht="14.25" customHeight="1">
      <c r="A3203" s="740"/>
    </row>
    <row r="3204" ht="14.25" customHeight="1">
      <c r="A3204" s="740"/>
    </row>
    <row r="3205" ht="14.25" customHeight="1">
      <c r="A3205" s="740"/>
    </row>
    <row r="3206" ht="14.25" customHeight="1">
      <c r="A3206" s="740"/>
    </row>
    <row r="3207" ht="14.25" customHeight="1">
      <c r="A3207" s="740"/>
    </row>
    <row r="3208" ht="14.25" customHeight="1">
      <c r="A3208" s="740"/>
    </row>
    <row r="3209" ht="14.25" customHeight="1">
      <c r="A3209" s="740"/>
    </row>
    <row r="3210" ht="14.25" customHeight="1">
      <c r="A3210" s="740"/>
    </row>
    <row r="3211" ht="14.25" customHeight="1">
      <c r="A3211" s="740"/>
    </row>
    <row r="3212" ht="14.25" customHeight="1">
      <c r="A3212" s="740"/>
    </row>
    <row r="3213" ht="14.25" customHeight="1">
      <c r="A3213" s="740"/>
    </row>
    <row r="3214" ht="14.25" customHeight="1">
      <c r="A3214" s="740"/>
    </row>
    <row r="3215" ht="14.25" customHeight="1">
      <c r="A3215" s="740"/>
    </row>
    <row r="3216" ht="14.25" customHeight="1">
      <c r="A3216" s="740"/>
    </row>
    <row r="3217" ht="14.25" customHeight="1">
      <c r="A3217" s="740"/>
    </row>
    <row r="3218" ht="14.25" customHeight="1">
      <c r="A3218" s="740"/>
    </row>
    <row r="3219" ht="14.25" customHeight="1">
      <c r="A3219" s="740"/>
    </row>
    <row r="3220" ht="14.25" customHeight="1">
      <c r="A3220" s="740"/>
    </row>
    <row r="3221" ht="14.25" customHeight="1">
      <c r="A3221" s="740"/>
    </row>
    <row r="3222" ht="14.25" customHeight="1">
      <c r="A3222" s="740"/>
    </row>
    <row r="3223" ht="14.25" customHeight="1">
      <c r="A3223" s="740"/>
    </row>
    <row r="3224" ht="14.25" customHeight="1">
      <c r="A3224" s="740"/>
    </row>
    <row r="3225" ht="14.25" customHeight="1">
      <c r="A3225" s="740"/>
    </row>
    <row r="3226" ht="14.25" customHeight="1">
      <c r="A3226" s="740"/>
    </row>
    <row r="3227" ht="14.25" customHeight="1">
      <c r="A3227" s="740"/>
    </row>
    <row r="3228" ht="14.25" customHeight="1">
      <c r="A3228" s="740"/>
    </row>
    <row r="3229" ht="14.25" customHeight="1">
      <c r="A3229" s="740"/>
    </row>
    <row r="3230" ht="14.25" customHeight="1">
      <c r="A3230" s="740"/>
    </row>
    <row r="3231" ht="14.25" customHeight="1">
      <c r="A3231" s="740"/>
    </row>
    <row r="3232" ht="14.25" customHeight="1">
      <c r="A3232" s="740"/>
    </row>
    <row r="3233" ht="14.25" customHeight="1">
      <c r="A3233" s="740"/>
    </row>
    <row r="3234" ht="14.25" customHeight="1">
      <c r="A3234" s="740"/>
    </row>
    <row r="3235" ht="14.25" customHeight="1">
      <c r="A3235" s="740"/>
    </row>
    <row r="3236" ht="14.25" customHeight="1">
      <c r="A3236" s="740"/>
    </row>
    <row r="3237" ht="14.25" customHeight="1">
      <c r="A3237" s="740"/>
    </row>
    <row r="3238" ht="14.25" customHeight="1">
      <c r="A3238" s="740"/>
    </row>
    <row r="3239" ht="14.25" customHeight="1">
      <c r="A3239" s="740"/>
    </row>
    <row r="3240" ht="14.25" customHeight="1">
      <c r="A3240" s="740"/>
    </row>
    <row r="3241" ht="14.25" customHeight="1">
      <c r="A3241" s="740"/>
    </row>
    <row r="3242" ht="14.25" customHeight="1">
      <c r="A3242" s="740"/>
    </row>
    <row r="3243" ht="14.25" customHeight="1">
      <c r="A3243" s="740"/>
    </row>
    <row r="3244" ht="14.25" customHeight="1">
      <c r="A3244" s="740"/>
    </row>
    <row r="3245" ht="14.25" customHeight="1">
      <c r="A3245" s="740"/>
    </row>
    <row r="3246" ht="14.25" customHeight="1">
      <c r="A3246" s="740"/>
    </row>
    <row r="3247" ht="14.25" customHeight="1">
      <c r="A3247" s="740"/>
    </row>
    <row r="3248" ht="14.25" customHeight="1">
      <c r="A3248" s="740"/>
    </row>
    <row r="3249" ht="14.25" customHeight="1">
      <c r="A3249" s="740"/>
    </row>
    <row r="3250" ht="14.25" customHeight="1">
      <c r="A3250" s="740"/>
    </row>
    <row r="3251" ht="14.25" customHeight="1">
      <c r="A3251" s="740"/>
    </row>
    <row r="3252" ht="14.25" customHeight="1">
      <c r="A3252" s="740"/>
    </row>
    <row r="3253" ht="14.25" customHeight="1">
      <c r="A3253" s="740"/>
    </row>
    <row r="3254" ht="14.25" customHeight="1">
      <c r="A3254" s="740"/>
    </row>
    <row r="3255" ht="14.25" customHeight="1">
      <c r="A3255" s="740"/>
    </row>
    <row r="3256" ht="14.25" customHeight="1">
      <c r="A3256" s="740"/>
    </row>
    <row r="3257" ht="14.25" customHeight="1">
      <c r="A3257" s="740"/>
    </row>
    <row r="3258" ht="14.25" customHeight="1">
      <c r="A3258" s="740"/>
    </row>
    <row r="3259" ht="14.25" customHeight="1">
      <c r="A3259" s="740"/>
    </row>
    <row r="3260" ht="14.25" customHeight="1">
      <c r="A3260" s="740"/>
    </row>
    <row r="3261" ht="14.25" customHeight="1">
      <c r="A3261" s="740"/>
    </row>
    <row r="3262" ht="14.25" customHeight="1">
      <c r="A3262" s="740"/>
    </row>
    <row r="3263" ht="14.25" customHeight="1">
      <c r="A3263" s="740"/>
    </row>
    <row r="3264" ht="14.25" customHeight="1">
      <c r="A3264" s="740"/>
    </row>
    <row r="3265" ht="14.25" customHeight="1">
      <c r="A3265" s="740"/>
    </row>
    <row r="3266" ht="14.25" customHeight="1">
      <c r="A3266" s="740"/>
    </row>
    <row r="3267" ht="14.25" customHeight="1">
      <c r="A3267" s="740"/>
    </row>
    <row r="3268" ht="14.25" customHeight="1">
      <c r="A3268" s="740"/>
    </row>
    <row r="3269" ht="14.25" customHeight="1">
      <c r="A3269" s="740"/>
    </row>
    <row r="3270" ht="14.25" customHeight="1">
      <c r="A3270" s="740"/>
    </row>
    <row r="3271" ht="14.25" customHeight="1">
      <c r="A3271" s="740"/>
    </row>
    <row r="3272" ht="14.25" customHeight="1">
      <c r="A3272" s="740"/>
    </row>
    <row r="3273" ht="14.25" customHeight="1">
      <c r="A3273" s="740"/>
    </row>
    <row r="3274" ht="14.25" customHeight="1">
      <c r="A3274" s="740"/>
    </row>
    <row r="3275" ht="14.25" customHeight="1">
      <c r="A3275" s="740"/>
    </row>
    <row r="3276" ht="14.25" customHeight="1">
      <c r="A3276" s="740"/>
    </row>
    <row r="3277" ht="14.25" customHeight="1">
      <c r="A3277" s="740"/>
    </row>
    <row r="3278" ht="14.25" customHeight="1">
      <c r="A3278" s="740"/>
    </row>
    <row r="3279" ht="14.25" customHeight="1">
      <c r="A3279" s="740"/>
    </row>
    <row r="3280" ht="14.25" customHeight="1">
      <c r="A3280" s="740"/>
    </row>
    <row r="3281" ht="14.25" customHeight="1">
      <c r="A3281" s="740"/>
    </row>
    <row r="3282" ht="14.25" customHeight="1">
      <c r="A3282" s="740"/>
    </row>
    <row r="3283" ht="14.25" customHeight="1">
      <c r="A3283" s="740"/>
    </row>
    <row r="3284" ht="14.25" customHeight="1">
      <c r="A3284" s="740"/>
    </row>
    <row r="3285" ht="14.25" customHeight="1">
      <c r="A3285" s="740"/>
    </row>
    <row r="3286" ht="14.25" customHeight="1">
      <c r="A3286" s="740"/>
    </row>
    <row r="3287" ht="14.25" customHeight="1">
      <c r="A3287" s="740"/>
    </row>
    <row r="3288" ht="14.25" customHeight="1">
      <c r="A3288" s="740"/>
    </row>
    <row r="3289" ht="14.25" customHeight="1">
      <c r="A3289" s="740"/>
    </row>
    <row r="3290" ht="14.25" customHeight="1">
      <c r="A3290" s="740"/>
    </row>
    <row r="3291" ht="14.25" customHeight="1">
      <c r="A3291" s="740"/>
    </row>
    <row r="3292" ht="14.25" customHeight="1">
      <c r="A3292" s="740"/>
    </row>
    <row r="3293" ht="14.25" customHeight="1">
      <c r="A3293" s="740"/>
    </row>
    <row r="3294" ht="14.25" customHeight="1">
      <c r="A3294" s="740"/>
    </row>
    <row r="3295" ht="14.25" customHeight="1">
      <c r="A3295" s="740"/>
    </row>
    <row r="3296" ht="14.25" customHeight="1">
      <c r="A3296" s="740"/>
    </row>
    <row r="3297" ht="14.25" customHeight="1">
      <c r="A3297" s="740"/>
    </row>
    <row r="3298" ht="14.25" customHeight="1">
      <c r="A3298" s="740"/>
    </row>
    <row r="3299" ht="14.25" customHeight="1">
      <c r="A3299" s="740"/>
    </row>
    <row r="3300" ht="14.25" customHeight="1">
      <c r="A3300" s="740"/>
    </row>
    <row r="3301" ht="14.25" customHeight="1">
      <c r="A3301" s="740"/>
    </row>
    <row r="3302" ht="14.25" customHeight="1">
      <c r="A3302" s="740"/>
    </row>
    <row r="3303" ht="14.25" customHeight="1">
      <c r="A3303" s="740"/>
    </row>
    <row r="3304" ht="14.25" customHeight="1">
      <c r="A3304" s="740"/>
    </row>
    <row r="3305" ht="14.25" customHeight="1">
      <c r="A3305" s="740"/>
    </row>
    <row r="3306" ht="14.25" customHeight="1">
      <c r="A3306" s="740"/>
    </row>
    <row r="3307" ht="14.25" customHeight="1">
      <c r="A3307" s="740"/>
    </row>
    <row r="3308" ht="14.25" customHeight="1">
      <c r="A3308" s="740"/>
    </row>
    <row r="3309" ht="14.25" customHeight="1">
      <c r="A3309" s="740"/>
    </row>
    <row r="3310" ht="14.25" customHeight="1">
      <c r="A3310" s="740"/>
    </row>
    <row r="3311" ht="14.25" customHeight="1">
      <c r="A3311" s="740"/>
    </row>
    <row r="3312" ht="14.25" customHeight="1">
      <c r="A3312" s="740"/>
    </row>
    <row r="3313" ht="14.25" customHeight="1">
      <c r="A3313" s="740"/>
    </row>
    <row r="3314" ht="14.25" customHeight="1">
      <c r="A3314" s="740"/>
    </row>
    <row r="3315" ht="14.25" customHeight="1">
      <c r="A3315" s="740"/>
    </row>
    <row r="3316" ht="14.25" customHeight="1">
      <c r="A3316" s="740"/>
    </row>
    <row r="3317" ht="14.25" customHeight="1">
      <c r="A3317" s="740"/>
    </row>
    <row r="3318" ht="14.25" customHeight="1">
      <c r="A3318" s="740"/>
    </row>
    <row r="3319" ht="14.25" customHeight="1">
      <c r="A3319" s="740"/>
    </row>
    <row r="3320" ht="14.25" customHeight="1">
      <c r="A3320" s="740"/>
    </row>
    <row r="3321" ht="14.25" customHeight="1">
      <c r="A3321" s="740"/>
    </row>
    <row r="3322" ht="14.25" customHeight="1">
      <c r="A3322" s="740"/>
    </row>
    <row r="3323" ht="14.25" customHeight="1">
      <c r="A3323" s="740"/>
    </row>
    <row r="3324" ht="14.25" customHeight="1">
      <c r="A3324" s="740"/>
    </row>
    <row r="3325" ht="14.25" customHeight="1">
      <c r="A3325" s="740"/>
    </row>
    <row r="3326" ht="14.25" customHeight="1">
      <c r="A3326" s="740"/>
    </row>
    <row r="3327" ht="14.25" customHeight="1">
      <c r="A3327" s="740"/>
    </row>
    <row r="3328" ht="14.25" customHeight="1">
      <c r="A3328" s="740"/>
    </row>
    <row r="3329" ht="14.25" customHeight="1">
      <c r="A3329" s="740"/>
    </row>
    <row r="3330" ht="14.25" customHeight="1">
      <c r="A3330" s="740"/>
    </row>
    <row r="3331" ht="14.25" customHeight="1">
      <c r="A3331" s="740"/>
    </row>
    <row r="3332" ht="14.25" customHeight="1">
      <c r="A3332" s="740"/>
    </row>
    <row r="3333" ht="14.25" customHeight="1">
      <c r="A3333" s="740"/>
    </row>
    <row r="3334" ht="14.25" customHeight="1">
      <c r="A3334" s="740"/>
    </row>
    <row r="3335" ht="14.25" customHeight="1">
      <c r="A3335" s="740"/>
    </row>
    <row r="3336" ht="14.25" customHeight="1">
      <c r="A3336" s="740"/>
    </row>
    <row r="3337" ht="14.25" customHeight="1">
      <c r="A3337" s="740"/>
    </row>
    <row r="3338" ht="14.25" customHeight="1">
      <c r="A3338" s="740"/>
    </row>
    <row r="3339" ht="14.25" customHeight="1">
      <c r="A3339" s="740"/>
    </row>
    <row r="3340" ht="14.25" customHeight="1">
      <c r="A3340" s="740"/>
    </row>
    <row r="3341" ht="14.25" customHeight="1">
      <c r="A3341" s="740"/>
    </row>
    <row r="3342" ht="14.25" customHeight="1">
      <c r="A3342" s="740"/>
    </row>
    <row r="3343" ht="14.25" customHeight="1">
      <c r="A3343" s="740"/>
    </row>
    <row r="3344" ht="14.25" customHeight="1">
      <c r="A3344" s="740"/>
    </row>
    <row r="3345" ht="14.25" customHeight="1">
      <c r="A3345" s="740"/>
    </row>
    <row r="3346" ht="14.25" customHeight="1">
      <c r="A3346" s="740"/>
    </row>
    <row r="3347" ht="14.25" customHeight="1">
      <c r="A3347" s="740"/>
    </row>
    <row r="3348" ht="14.25" customHeight="1">
      <c r="A3348" s="740"/>
    </row>
    <row r="3349" ht="14.25" customHeight="1">
      <c r="A3349" s="740"/>
    </row>
    <row r="3350" ht="14.25" customHeight="1">
      <c r="A3350" s="740"/>
    </row>
    <row r="3351" ht="14.25" customHeight="1">
      <c r="A3351" s="740"/>
    </row>
    <row r="3352" ht="14.25" customHeight="1">
      <c r="A3352" s="740"/>
    </row>
    <row r="3353" ht="14.25" customHeight="1">
      <c r="A3353" s="740"/>
    </row>
    <row r="3354" ht="14.25" customHeight="1">
      <c r="A3354" s="740"/>
    </row>
    <row r="3355" ht="14.25" customHeight="1">
      <c r="A3355" s="740"/>
    </row>
    <row r="3356" ht="14.25" customHeight="1">
      <c r="A3356" s="740"/>
    </row>
    <row r="3357" ht="14.25" customHeight="1">
      <c r="A3357" s="740"/>
    </row>
    <row r="3358" ht="14.25" customHeight="1">
      <c r="A3358" s="740"/>
    </row>
    <row r="3359" ht="14.25" customHeight="1">
      <c r="A3359" s="740"/>
    </row>
    <row r="3360" ht="14.25" customHeight="1">
      <c r="A3360" s="740"/>
    </row>
    <row r="3361" ht="14.25" customHeight="1">
      <c r="A3361" s="740"/>
    </row>
    <row r="3362" ht="14.25" customHeight="1">
      <c r="A3362" s="740"/>
    </row>
    <row r="3363" ht="14.25" customHeight="1">
      <c r="A3363" s="740"/>
    </row>
    <row r="3364" ht="14.25" customHeight="1">
      <c r="A3364" s="740"/>
    </row>
    <row r="3365" ht="14.25" customHeight="1">
      <c r="A3365" s="740"/>
    </row>
    <row r="3366" ht="14.25" customHeight="1">
      <c r="A3366" s="740"/>
    </row>
    <row r="3367" ht="14.25" customHeight="1">
      <c r="A3367" s="740"/>
    </row>
    <row r="3368" ht="14.25" customHeight="1">
      <c r="A3368" s="740"/>
    </row>
    <row r="3369" ht="14.25" customHeight="1">
      <c r="A3369" s="740"/>
    </row>
    <row r="3370" ht="14.25" customHeight="1">
      <c r="A3370" s="740"/>
    </row>
    <row r="3371" ht="14.25" customHeight="1">
      <c r="A3371" s="740"/>
    </row>
    <row r="3372" ht="14.25" customHeight="1">
      <c r="A3372" s="740"/>
    </row>
    <row r="3373" ht="14.25" customHeight="1">
      <c r="A3373" s="740"/>
    </row>
    <row r="3374" ht="14.25" customHeight="1">
      <c r="A3374" s="740"/>
    </row>
    <row r="3375" ht="14.25" customHeight="1">
      <c r="A3375" s="740"/>
    </row>
    <row r="3376" ht="14.25" customHeight="1">
      <c r="A3376" s="740"/>
    </row>
    <row r="3377" ht="14.25" customHeight="1">
      <c r="A3377" s="740"/>
    </row>
    <row r="3378" ht="14.25" customHeight="1">
      <c r="A3378" s="740"/>
    </row>
    <row r="3379" ht="14.25" customHeight="1">
      <c r="A3379" s="740"/>
    </row>
    <row r="3380" ht="14.25" customHeight="1">
      <c r="A3380" s="740"/>
    </row>
    <row r="3381" ht="14.25" customHeight="1">
      <c r="A3381" s="740"/>
    </row>
    <row r="3382" ht="14.25" customHeight="1">
      <c r="A3382" s="740"/>
    </row>
    <row r="3383" ht="14.25" customHeight="1">
      <c r="A3383" s="740"/>
    </row>
    <row r="3384" ht="14.25" customHeight="1">
      <c r="A3384" s="740"/>
    </row>
    <row r="3385" ht="14.25" customHeight="1">
      <c r="A3385" s="740"/>
    </row>
    <row r="3386" ht="14.25" customHeight="1">
      <c r="A3386" s="740"/>
    </row>
    <row r="3387" ht="14.25" customHeight="1">
      <c r="A3387" s="740"/>
    </row>
    <row r="3388" ht="14.25" customHeight="1">
      <c r="A3388" s="740"/>
    </row>
    <row r="3389" ht="14.25" customHeight="1">
      <c r="A3389" s="740"/>
    </row>
    <row r="3390" ht="14.25" customHeight="1">
      <c r="A3390" s="740"/>
    </row>
    <row r="3391" ht="14.25" customHeight="1">
      <c r="A3391" s="740"/>
    </row>
    <row r="3392" ht="14.25" customHeight="1">
      <c r="A3392" s="740"/>
    </row>
    <row r="3393" ht="14.25" customHeight="1">
      <c r="A3393" s="740"/>
    </row>
    <row r="3394" ht="14.25" customHeight="1">
      <c r="A3394" s="740"/>
    </row>
    <row r="3395" ht="14.25" customHeight="1">
      <c r="A3395" s="740"/>
    </row>
    <row r="3396" ht="14.25" customHeight="1">
      <c r="A3396" s="740"/>
    </row>
    <row r="3397" ht="14.25" customHeight="1">
      <c r="A3397" s="740"/>
    </row>
    <row r="3398" ht="14.25" customHeight="1">
      <c r="A3398" s="740"/>
    </row>
    <row r="3399" ht="14.25" customHeight="1">
      <c r="A3399" s="740"/>
    </row>
    <row r="3400" ht="14.25" customHeight="1">
      <c r="A3400" s="740"/>
    </row>
    <row r="3401" ht="14.25" customHeight="1">
      <c r="A3401" s="740"/>
    </row>
    <row r="3402" ht="14.25" customHeight="1">
      <c r="A3402" s="740"/>
    </row>
    <row r="3403" ht="14.25" customHeight="1">
      <c r="A3403" s="740"/>
    </row>
    <row r="3404" ht="14.25" customHeight="1">
      <c r="A3404" s="740"/>
    </row>
    <row r="3405" ht="14.25" customHeight="1">
      <c r="A3405" s="740"/>
    </row>
    <row r="3406" ht="14.25" customHeight="1">
      <c r="A3406" s="740"/>
    </row>
    <row r="3407" ht="14.25" customHeight="1">
      <c r="A3407" s="740"/>
    </row>
    <row r="3408" ht="14.25" customHeight="1">
      <c r="A3408" s="740"/>
    </row>
    <row r="3409" ht="14.25" customHeight="1">
      <c r="A3409" s="740"/>
    </row>
    <row r="3410" ht="14.25" customHeight="1">
      <c r="A3410" s="740"/>
    </row>
    <row r="3411" ht="14.25" customHeight="1">
      <c r="A3411" s="740"/>
    </row>
    <row r="3412" ht="14.25" customHeight="1">
      <c r="A3412" s="740"/>
    </row>
    <row r="3413" ht="14.25" customHeight="1">
      <c r="A3413" s="740"/>
    </row>
    <row r="3414" ht="14.25" customHeight="1">
      <c r="A3414" s="740"/>
    </row>
    <row r="3415" ht="14.25" customHeight="1">
      <c r="A3415" s="740"/>
    </row>
    <row r="3416" ht="14.25" customHeight="1">
      <c r="A3416" s="740"/>
    </row>
    <row r="3417" ht="14.25" customHeight="1">
      <c r="A3417" s="740"/>
    </row>
    <row r="3418" ht="14.25" customHeight="1">
      <c r="A3418" s="740"/>
    </row>
    <row r="3419" ht="14.25" customHeight="1">
      <c r="A3419" s="740"/>
    </row>
    <row r="3420" ht="14.25" customHeight="1">
      <c r="A3420" s="740"/>
    </row>
    <row r="3421" ht="14.25" customHeight="1">
      <c r="A3421" s="740"/>
    </row>
    <row r="3422" ht="14.25" customHeight="1">
      <c r="A3422" s="740"/>
    </row>
    <row r="3423" ht="14.25" customHeight="1">
      <c r="A3423" s="740"/>
    </row>
    <row r="3424" ht="14.25" customHeight="1">
      <c r="A3424" s="740"/>
    </row>
    <row r="3425" ht="14.25" customHeight="1">
      <c r="A3425" s="740"/>
    </row>
    <row r="3426" ht="14.25" customHeight="1">
      <c r="A3426" s="740"/>
    </row>
    <row r="3427" ht="14.25" customHeight="1">
      <c r="A3427" s="740"/>
    </row>
    <row r="3428" ht="14.25" customHeight="1">
      <c r="A3428" s="740"/>
    </row>
    <row r="3429" ht="14.25" customHeight="1">
      <c r="A3429" s="740"/>
    </row>
    <row r="3430" ht="14.25" customHeight="1">
      <c r="A3430" s="740"/>
    </row>
    <row r="3431" ht="14.25" customHeight="1">
      <c r="A3431" s="740"/>
    </row>
    <row r="3432" ht="14.25" customHeight="1">
      <c r="A3432" s="740"/>
    </row>
    <row r="3433" ht="14.25" customHeight="1">
      <c r="A3433" s="740"/>
    </row>
    <row r="3434" ht="14.25" customHeight="1">
      <c r="A3434" s="740"/>
    </row>
    <row r="3435" ht="14.25" customHeight="1">
      <c r="A3435" s="740"/>
    </row>
    <row r="3436" ht="14.25" customHeight="1">
      <c r="A3436" s="740"/>
    </row>
    <row r="3437" ht="14.25" customHeight="1">
      <c r="A3437" s="740"/>
    </row>
    <row r="3438" ht="14.25" customHeight="1">
      <c r="A3438" s="740"/>
    </row>
    <row r="3439" ht="14.25" customHeight="1">
      <c r="A3439" s="740"/>
    </row>
    <row r="3440" ht="14.25" customHeight="1">
      <c r="A3440" s="740"/>
    </row>
    <row r="3441" ht="14.25" customHeight="1">
      <c r="A3441" s="740"/>
    </row>
    <row r="3442" ht="14.25" customHeight="1">
      <c r="A3442" s="740"/>
    </row>
    <row r="3443" ht="14.25" customHeight="1">
      <c r="A3443" s="740"/>
    </row>
    <row r="3444" ht="14.25" customHeight="1">
      <c r="A3444" s="740"/>
    </row>
    <row r="3445" ht="14.25" customHeight="1">
      <c r="A3445" s="740"/>
    </row>
    <row r="3446" ht="14.25" customHeight="1">
      <c r="A3446" s="740"/>
    </row>
    <row r="3447" ht="14.25" customHeight="1">
      <c r="A3447" s="740"/>
    </row>
    <row r="3448" ht="14.25" customHeight="1">
      <c r="A3448" s="740"/>
    </row>
    <row r="3449" ht="14.25" customHeight="1">
      <c r="A3449" s="740"/>
    </row>
    <row r="3450" ht="14.25" customHeight="1">
      <c r="A3450" s="740"/>
    </row>
    <row r="3451" ht="14.25" customHeight="1">
      <c r="A3451" s="740"/>
    </row>
    <row r="3452" ht="14.25" customHeight="1">
      <c r="A3452" s="740"/>
    </row>
    <row r="3453" ht="14.25" customHeight="1">
      <c r="A3453" s="740"/>
    </row>
    <row r="3454" ht="14.25" customHeight="1">
      <c r="A3454" s="740"/>
    </row>
    <row r="3455" ht="14.25" customHeight="1">
      <c r="A3455" s="740"/>
    </row>
    <row r="3456" ht="14.25" customHeight="1">
      <c r="A3456" s="740"/>
    </row>
    <row r="3457" ht="14.25" customHeight="1">
      <c r="A3457" s="740"/>
    </row>
    <row r="3458" ht="14.25" customHeight="1">
      <c r="A3458" s="740"/>
    </row>
    <row r="3459" ht="14.25" customHeight="1">
      <c r="A3459" s="740"/>
    </row>
    <row r="3460" ht="14.25" customHeight="1">
      <c r="A3460" s="740"/>
    </row>
    <row r="3461" ht="14.25" customHeight="1">
      <c r="A3461" s="740"/>
    </row>
    <row r="3462" ht="14.25" customHeight="1">
      <c r="A3462" s="740"/>
    </row>
    <row r="3463" ht="14.25" customHeight="1">
      <c r="A3463" s="740"/>
    </row>
    <row r="3464" ht="14.25" customHeight="1">
      <c r="A3464" s="740"/>
    </row>
    <row r="3465" ht="14.25" customHeight="1">
      <c r="A3465" s="740"/>
    </row>
    <row r="3466" ht="14.25" customHeight="1">
      <c r="A3466" s="740"/>
    </row>
    <row r="3467" ht="14.25" customHeight="1">
      <c r="A3467" s="740"/>
    </row>
    <row r="3468" ht="14.25" customHeight="1">
      <c r="A3468" s="740"/>
    </row>
    <row r="3469" ht="14.25" customHeight="1">
      <c r="A3469" s="740"/>
    </row>
    <row r="3470" ht="14.25" customHeight="1">
      <c r="A3470" s="740"/>
    </row>
    <row r="3471" ht="14.25" customHeight="1">
      <c r="A3471" s="740"/>
    </row>
    <row r="3472" ht="14.25" customHeight="1">
      <c r="A3472" s="740"/>
    </row>
    <row r="3473" ht="14.25" customHeight="1">
      <c r="A3473" s="740"/>
    </row>
    <row r="3474" ht="14.25" customHeight="1">
      <c r="A3474" s="740"/>
    </row>
    <row r="3475" ht="14.25" customHeight="1">
      <c r="A3475" s="740"/>
    </row>
    <row r="3476" ht="14.25" customHeight="1">
      <c r="A3476" s="740"/>
    </row>
    <row r="3477" ht="14.25" customHeight="1">
      <c r="A3477" s="740"/>
    </row>
    <row r="3478" ht="14.25" customHeight="1">
      <c r="A3478" s="740"/>
    </row>
    <row r="3479" ht="14.25" customHeight="1">
      <c r="A3479" s="740"/>
    </row>
    <row r="3480" ht="14.25" customHeight="1">
      <c r="A3480" s="740"/>
    </row>
    <row r="3481" ht="14.25" customHeight="1">
      <c r="A3481" s="740"/>
    </row>
    <row r="3482" ht="14.25" customHeight="1">
      <c r="A3482" s="740"/>
    </row>
    <row r="3483" ht="14.25" customHeight="1">
      <c r="A3483" s="740"/>
    </row>
    <row r="3484" ht="14.25" customHeight="1">
      <c r="A3484" s="740"/>
    </row>
    <row r="3485" ht="14.25" customHeight="1">
      <c r="A3485" s="740"/>
    </row>
    <row r="3486" ht="14.25" customHeight="1">
      <c r="A3486" s="740"/>
    </row>
    <row r="3487" ht="14.25" customHeight="1">
      <c r="A3487" s="740"/>
    </row>
    <row r="3488" ht="14.25" customHeight="1">
      <c r="A3488" s="740"/>
    </row>
    <row r="3489" ht="14.25" customHeight="1">
      <c r="A3489" s="740"/>
    </row>
    <row r="3490" ht="14.25" customHeight="1">
      <c r="A3490" s="740"/>
    </row>
    <row r="3491" ht="14.25" customHeight="1">
      <c r="A3491" s="740"/>
    </row>
    <row r="3492" ht="14.25" customHeight="1">
      <c r="A3492" s="740"/>
    </row>
    <row r="3493" ht="14.25" customHeight="1">
      <c r="A3493" s="740"/>
    </row>
    <row r="3494" ht="14.25" customHeight="1">
      <c r="A3494" s="740"/>
    </row>
    <row r="3495" ht="14.25" customHeight="1">
      <c r="A3495" s="740"/>
    </row>
    <row r="3496" ht="14.25" customHeight="1">
      <c r="A3496" s="740"/>
    </row>
    <row r="3497" ht="14.25" customHeight="1">
      <c r="A3497" s="740"/>
    </row>
    <row r="3498" ht="14.25" customHeight="1">
      <c r="A3498" s="740"/>
    </row>
    <row r="3499" ht="14.25" customHeight="1">
      <c r="A3499" s="740"/>
    </row>
    <row r="3500" ht="14.25" customHeight="1">
      <c r="A3500" s="740"/>
    </row>
    <row r="3501" ht="14.25" customHeight="1">
      <c r="A3501" s="740"/>
    </row>
    <row r="3502" ht="14.25" customHeight="1">
      <c r="A3502" s="740"/>
    </row>
    <row r="3503" ht="14.25" customHeight="1">
      <c r="A3503" s="740"/>
    </row>
    <row r="3504" ht="14.25" customHeight="1">
      <c r="A3504" s="740"/>
    </row>
    <row r="3505" ht="14.25" customHeight="1">
      <c r="A3505" s="740"/>
    </row>
    <row r="3506" ht="14.25" customHeight="1">
      <c r="A3506" s="740"/>
    </row>
    <row r="3507" ht="14.25" customHeight="1">
      <c r="A3507" s="740"/>
    </row>
    <row r="3508" ht="14.25" customHeight="1">
      <c r="A3508" s="740"/>
    </row>
    <row r="3509" ht="14.25" customHeight="1">
      <c r="A3509" s="740"/>
    </row>
    <row r="3510" ht="14.25" customHeight="1">
      <c r="A3510" s="740"/>
    </row>
    <row r="3511" ht="14.25" customHeight="1">
      <c r="A3511" s="740"/>
    </row>
    <row r="3512" ht="14.25" customHeight="1">
      <c r="A3512" s="740"/>
    </row>
    <row r="3513" ht="14.25" customHeight="1">
      <c r="A3513" s="740"/>
    </row>
    <row r="3514" ht="14.25" customHeight="1">
      <c r="A3514" s="740"/>
    </row>
    <row r="3515" ht="14.25" customHeight="1">
      <c r="A3515" s="740"/>
    </row>
    <row r="3516" ht="14.25" customHeight="1">
      <c r="A3516" s="740"/>
    </row>
    <row r="3517" ht="14.25" customHeight="1">
      <c r="A3517" s="740"/>
    </row>
    <row r="3518" ht="14.25" customHeight="1">
      <c r="A3518" s="740"/>
    </row>
    <row r="3519" ht="14.25" customHeight="1">
      <c r="A3519" s="740"/>
    </row>
    <row r="3520" ht="14.25" customHeight="1">
      <c r="A3520" s="740"/>
    </row>
    <row r="3521" ht="14.25" customHeight="1">
      <c r="A3521" s="740"/>
    </row>
    <row r="3522" ht="14.25" customHeight="1">
      <c r="A3522" s="740"/>
    </row>
    <row r="3523" ht="14.25" customHeight="1">
      <c r="A3523" s="740"/>
    </row>
    <row r="3524" ht="14.25" customHeight="1">
      <c r="A3524" s="740"/>
    </row>
    <row r="3525" ht="14.25" customHeight="1">
      <c r="A3525" s="740"/>
    </row>
    <row r="3526" ht="14.25" customHeight="1">
      <c r="A3526" s="740"/>
    </row>
    <row r="3527" ht="14.25" customHeight="1">
      <c r="A3527" s="740"/>
    </row>
    <row r="3528" ht="14.25" customHeight="1">
      <c r="A3528" s="740"/>
    </row>
    <row r="3529" ht="14.25" customHeight="1">
      <c r="A3529" s="740"/>
    </row>
    <row r="3530" ht="14.25" customHeight="1">
      <c r="A3530" s="740"/>
    </row>
    <row r="3531" ht="14.25" customHeight="1">
      <c r="A3531" s="740"/>
    </row>
    <row r="3532" ht="14.25" customHeight="1">
      <c r="A3532" s="740"/>
    </row>
    <row r="3533" ht="14.25" customHeight="1">
      <c r="A3533" s="740"/>
    </row>
    <row r="3534" ht="14.25" customHeight="1">
      <c r="A3534" s="740"/>
    </row>
    <row r="3535" ht="14.25" customHeight="1">
      <c r="A3535" s="740"/>
    </row>
    <row r="3536" ht="14.25" customHeight="1">
      <c r="A3536" s="740"/>
    </row>
    <row r="3537" ht="14.25" customHeight="1">
      <c r="A3537" s="740"/>
    </row>
    <row r="3538" ht="14.25" customHeight="1">
      <c r="A3538" s="740"/>
    </row>
    <row r="3539" ht="14.25" customHeight="1">
      <c r="A3539" s="740"/>
    </row>
    <row r="3540" ht="14.25" customHeight="1">
      <c r="A3540" s="740"/>
    </row>
    <row r="3541" ht="14.25" customHeight="1">
      <c r="A3541" s="740"/>
    </row>
    <row r="3542" ht="14.25" customHeight="1">
      <c r="A3542" s="740"/>
    </row>
    <row r="3543" ht="14.25" customHeight="1">
      <c r="A3543" s="740"/>
    </row>
    <row r="3544" ht="14.25" customHeight="1">
      <c r="A3544" s="740"/>
    </row>
    <row r="3545" ht="14.25" customHeight="1">
      <c r="A3545" s="740"/>
    </row>
    <row r="3546" ht="14.25" customHeight="1">
      <c r="A3546" s="740"/>
    </row>
    <row r="3547" ht="14.25" customHeight="1">
      <c r="A3547" s="740"/>
    </row>
    <row r="3548" ht="14.25" customHeight="1">
      <c r="A3548" s="740"/>
    </row>
    <row r="3549" ht="14.25" customHeight="1">
      <c r="A3549" s="740"/>
    </row>
    <row r="3550" ht="14.25" customHeight="1">
      <c r="A3550" s="740"/>
    </row>
    <row r="3551" ht="14.25" customHeight="1">
      <c r="A3551" s="740"/>
    </row>
    <row r="3552" ht="14.25" customHeight="1">
      <c r="A3552" s="740"/>
    </row>
    <row r="3553" ht="14.25" customHeight="1">
      <c r="A3553" s="740"/>
    </row>
    <row r="3554" ht="14.25" customHeight="1">
      <c r="A3554" s="740"/>
    </row>
    <row r="3555" ht="14.25" customHeight="1">
      <c r="A3555" s="740"/>
    </row>
    <row r="3556" ht="14.25" customHeight="1">
      <c r="A3556" s="740"/>
    </row>
    <row r="3557" ht="14.25" customHeight="1">
      <c r="A3557" s="740"/>
    </row>
    <row r="3558" ht="14.25" customHeight="1">
      <c r="A3558" s="740"/>
    </row>
    <row r="3559" ht="14.25" customHeight="1">
      <c r="A3559" s="740"/>
    </row>
    <row r="3560" ht="14.25" customHeight="1">
      <c r="A3560" s="740"/>
    </row>
    <row r="3561" ht="14.25" customHeight="1">
      <c r="A3561" s="740"/>
    </row>
    <row r="3562" ht="14.25" customHeight="1">
      <c r="A3562" s="740"/>
    </row>
    <row r="3563" ht="14.25" customHeight="1">
      <c r="A3563" s="740"/>
    </row>
    <row r="3564" ht="14.25" customHeight="1">
      <c r="A3564" s="740"/>
    </row>
    <row r="3565" ht="14.25" customHeight="1">
      <c r="A3565" s="740"/>
    </row>
    <row r="3566" ht="14.25" customHeight="1">
      <c r="A3566" s="740"/>
    </row>
    <row r="3567" ht="14.25" customHeight="1">
      <c r="A3567" s="740"/>
    </row>
    <row r="3568" ht="14.25" customHeight="1">
      <c r="A3568" s="740"/>
    </row>
    <row r="3569" ht="14.25" customHeight="1">
      <c r="A3569" s="740"/>
    </row>
    <row r="3570" ht="14.25" customHeight="1">
      <c r="A3570" s="740"/>
    </row>
    <row r="3571" ht="14.25" customHeight="1">
      <c r="A3571" s="740"/>
    </row>
    <row r="3572" ht="14.25" customHeight="1">
      <c r="A3572" s="740"/>
    </row>
    <row r="3573" ht="14.25" customHeight="1">
      <c r="A3573" s="740"/>
    </row>
    <row r="3574" ht="14.25" customHeight="1">
      <c r="A3574" s="740"/>
    </row>
    <row r="3575" ht="14.25" customHeight="1">
      <c r="A3575" s="740"/>
    </row>
    <row r="3576" ht="14.25" customHeight="1">
      <c r="A3576" s="740"/>
    </row>
    <row r="3577" ht="14.25" customHeight="1">
      <c r="A3577" s="740"/>
    </row>
    <row r="3578" ht="14.25" customHeight="1">
      <c r="A3578" s="740"/>
    </row>
    <row r="3579" ht="14.25" customHeight="1">
      <c r="A3579" s="740"/>
    </row>
    <row r="3580" ht="14.25" customHeight="1">
      <c r="A3580" s="740"/>
    </row>
    <row r="3581" ht="14.25" customHeight="1">
      <c r="A3581" s="740"/>
    </row>
    <row r="3582" ht="14.25" customHeight="1">
      <c r="A3582" s="740"/>
    </row>
    <row r="3583" ht="14.25" customHeight="1">
      <c r="A3583" s="740"/>
    </row>
    <row r="3584" ht="14.25" customHeight="1">
      <c r="A3584" s="740"/>
    </row>
    <row r="3585" ht="14.25" customHeight="1">
      <c r="A3585" s="740"/>
    </row>
    <row r="3586" ht="14.25" customHeight="1">
      <c r="A3586" s="740"/>
    </row>
    <row r="3587" ht="14.25" customHeight="1">
      <c r="A3587" s="740"/>
    </row>
    <row r="3588" ht="14.25" customHeight="1">
      <c r="A3588" s="740"/>
    </row>
    <row r="3589" ht="14.25" customHeight="1">
      <c r="A3589" s="740"/>
    </row>
    <row r="3590" ht="14.25" customHeight="1">
      <c r="A3590" s="740"/>
    </row>
    <row r="3591" ht="14.25" customHeight="1">
      <c r="A3591" s="740"/>
    </row>
    <row r="3592" ht="14.25" customHeight="1">
      <c r="A3592" s="740"/>
    </row>
    <row r="3593" ht="14.25" customHeight="1">
      <c r="A3593" s="740"/>
    </row>
    <row r="3594" ht="14.25" customHeight="1">
      <c r="A3594" s="740"/>
    </row>
    <row r="3595" ht="14.25" customHeight="1">
      <c r="A3595" s="740"/>
    </row>
    <row r="3596" ht="14.25" customHeight="1">
      <c r="A3596" s="740"/>
    </row>
    <row r="3597" ht="14.25" customHeight="1">
      <c r="A3597" s="740"/>
    </row>
    <row r="3598" ht="14.25" customHeight="1">
      <c r="A3598" s="740"/>
    </row>
    <row r="3599" ht="14.25" customHeight="1">
      <c r="A3599" s="740"/>
    </row>
    <row r="3600" ht="14.25" customHeight="1">
      <c r="A3600" s="740"/>
    </row>
    <row r="3601" ht="14.25" customHeight="1">
      <c r="A3601" s="740"/>
    </row>
    <row r="3602" ht="14.25" customHeight="1">
      <c r="A3602" s="740"/>
    </row>
    <row r="3603" ht="14.25" customHeight="1">
      <c r="A3603" s="740"/>
    </row>
    <row r="3604" ht="14.25" customHeight="1">
      <c r="A3604" s="740"/>
    </row>
    <row r="3605" ht="14.25" customHeight="1">
      <c r="A3605" s="740"/>
    </row>
    <row r="3606" ht="14.25" customHeight="1">
      <c r="A3606" s="740"/>
    </row>
    <row r="3607" ht="14.25" customHeight="1">
      <c r="A3607" s="740"/>
    </row>
    <row r="3608" ht="14.25" customHeight="1">
      <c r="A3608" s="740"/>
    </row>
    <row r="3609" ht="14.25" customHeight="1">
      <c r="A3609" s="740"/>
    </row>
    <row r="3610" ht="14.25" customHeight="1">
      <c r="A3610" s="740"/>
    </row>
    <row r="3611" ht="14.25" customHeight="1">
      <c r="A3611" s="740"/>
    </row>
    <row r="3612" ht="14.25" customHeight="1">
      <c r="A3612" s="740"/>
    </row>
    <row r="3613" ht="14.25" customHeight="1">
      <c r="A3613" s="740"/>
    </row>
    <row r="3614" ht="14.25" customHeight="1">
      <c r="A3614" s="740"/>
    </row>
    <row r="3615" ht="14.25" customHeight="1">
      <c r="A3615" s="740"/>
    </row>
    <row r="3616" ht="14.25" customHeight="1">
      <c r="A3616" s="740"/>
    </row>
    <row r="3617" ht="14.25" customHeight="1">
      <c r="A3617" s="740"/>
    </row>
    <row r="3618" ht="14.25" customHeight="1">
      <c r="A3618" s="740"/>
    </row>
    <row r="3619" ht="14.25" customHeight="1">
      <c r="A3619" s="740"/>
    </row>
    <row r="3620" ht="14.25" customHeight="1">
      <c r="A3620" s="740"/>
    </row>
    <row r="3621" ht="14.25" customHeight="1">
      <c r="A3621" s="740"/>
    </row>
    <row r="3622" ht="14.25" customHeight="1">
      <c r="A3622" s="740"/>
    </row>
    <row r="3623" ht="14.25" customHeight="1">
      <c r="A3623" s="740"/>
    </row>
    <row r="3624" ht="14.25" customHeight="1">
      <c r="A3624" s="740"/>
    </row>
    <row r="3625" ht="14.25" customHeight="1">
      <c r="A3625" s="740"/>
    </row>
    <row r="3626" ht="14.25" customHeight="1">
      <c r="A3626" s="740"/>
    </row>
    <row r="3627" ht="14.25" customHeight="1">
      <c r="A3627" s="740"/>
    </row>
    <row r="3628" ht="14.25" customHeight="1">
      <c r="A3628" s="740"/>
    </row>
    <row r="3629" ht="14.25" customHeight="1">
      <c r="A3629" s="740"/>
    </row>
    <row r="3630" ht="14.25" customHeight="1">
      <c r="A3630" s="740"/>
    </row>
    <row r="3631" ht="14.25" customHeight="1">
      <c r="A3631" s="740"/>
    </row>
    <row r="3632" ht="14.25" customHeight="1">
      <c r="A3632" s="740"/>
    </row>
    <row r="3633" ht="14.25" customHeight="1">
      <c r="A3633" s="740"/>
    </row>
    <row r="3634" ht="14.25" customHeight="1">
      <c r="A3634" s="740"/>
    </row>
    <row r="3635" ht="14.25" customHeight="1">
      <c r="A3635" s="740"/>
    </row>
    <row r="3636" ht="14.25" customHeight="1">
      <c r="A3636" s="740"/>
    </row>
    <row r="3637" ht="14.25" customHeight="1">
      <c r="A3637" s="740"/>
    </row>
    <row r="3638" ht="14.25" customHeight="1">
      <c r="A3638" s="740"/>
    </row>
    <row r="3639" ht="14.25" customHeight="1">
      <c r="A3639" s="740"/>
    </row>
    <row r="3640" ht="14.25" customHeight="1">
      <c r="A3640" s="740"/>
    </row>
    <row r="3641" ht="14.25" customHeight="1">
      <c r="A3641" s="740"/>
    </row>
    <row r="3642" ht="14.25" customHeight="1">
      <c r="A3642" s="740"/>
    </row>
    <row r="3643" ht="14.25" customHeight="1">
      <c r="A3643" s="740"/>
    </row>
    <row r="3644" ht="14.25" customHeight="1">
      <c r="A3644" s="740"/>
    </row>
    <row r="3645" ht="14.25" customHeight="1">
      <c r="A3645" s="740"/>
    </row>
    <row r="3646" ht="14.25" customHeight="1">
      <c r="A3646" s="740"/>
    </row>
    <row r="3647" ht="14.25" customHeight="1">
      <c r="A3647" s="740"/>
    </row>
    <row r="3648" ht="14.25" customHeight="1">
      <c r="A3648" s="740"/>
    </row>
    <row r="3649" ht="14.25" customHeight="1">
      <c r="A3649" s="740"/>
    </row>
    <row r="3650" ht="14.25" customHeight="1">
      <c r="A3650" s="740"/>
    </row>
    <row r="3651" ht="14.25" customHeight="1">
      <c r="A3651" s="740"/>
    </row>
    <row r="3652" ht="14.25" customHeight="1">
      <c r="A3652" s="740"/>
    </row>
    <row r="3653" ht="14.25" customHeight="1">
      <c r="A3653" s="740"/>
    </row>
    <row r="3654" ht="14.25" customHeight="1">
      <c r="A3654" s="740"/>
    </row>
    <row r="3655" ht="14.25" customHeight="1">
      <c r="A3655" s="740"/>
    </row>
    <row r="3656" ht="14.25" customHeight="1">
      <c r="A3656" s="740"/>
    </row>
    <row r="3657" ht="14.25" customHeight="1">
      <c r="A3657" s="740"/>
    </row>
    <row r="3658" ht="14.25" customHeight="1">
      <c r="A3658" s="740"/>
    </row>
    <row r="3659" ht="14.25" customHeight="1">
      <c r="A3659" s="740"/>
    </row>
    <row r="3660" ht="14.25" customHeight="1">
      <c r="A3660" s="740"/>
    </row>
    <row r="3661" ht="14.25" customHeight="1">
      <c r="A3661" s="740"/>
    </row>
    <row r="3662" ht="14.25" customHeight="1">
      <c r="A3662" s="740"/>
    </row>
    <row r="3663" ht="14.25" customHeight="1">
      <c r="A3663" s="740"/>
    </row>
    <row r="3664" ht="14.25" customHeight="1">
      <c r="A3664" s="740"/>
    </row>
    <row r="3665" ht="14.25" customHeight="1">
      <c r="A3665" s="740"/>
    </row>
    <row r="3666" ht="14.25" customHeight="1">
      <c r="A3666" s="740"/>
    </row>
    <row r="3667" ht="14.25" customHeight="1">
      <c r="A3667" s="740"/>
    </row>
    <row r="3668" ht="14.25" customHeight="1">
      <c r="A3668" s="740"/>
    </row>
    <row r="3669" ht="14.25" customHeight="1">
      <c r="A3669" s="740"/>
    </row>
    <row r="3670" ht="14.25" customHeight="1">
      <c r="A3670" s="740"/>
    </row>
    <row r="3671" ht="14.25" customHeight="1">
      <c r="A3671" s="740"/>
    </row>
    <row r="3672" ht="14.25" customHeight="1">
      <c r="A3672" s="740"/>
    </row>
    <row r="3673" ht="14.25" customHeight="1">
      <c r="A3673" s="740"/>
    </row>
    <row r="3674" ht="14.25" customHeight="1">
      <c r="A3674" s="740"/>
    </row>
    <row r="3675" ht="14.25" customHeight="1">
      <c r="A3675" s="740"/>
    </row>
    <row r="3676" ht="14.25" customHeight="1">
      <c r="A3676" s="740"/>
    </row>
    <row r="3677" ht="14.25" customHeight="1">
      <c r="A3677" s="740"/>
    </row>
    <row r="3678" ht="14.25" customHeight="1">
      <c r="A3678" s="740"/>
    </row>
    <row r="3679" ht="14.25" customHeight="1">
      <c r="A3679" s="740"/>
    </row>
    <row r="3680" ht="14.25" customHeight="1">
      <c r="A3680" s="740"/>
    </row>
    <row r="3681" ht="14.25" customHeight="1">
      <c r="A3681" s="740"/>
    </row>
    <row r="3682" ht="14.25" customHeight="1">
      <c r="A3682" s="740"/>
    </row>
    <row r="3683" ht="14.25" customHeight="1">
      <c r="A3683" s="740"/>
    </row>
    <row r="3684" ht="14.25" customHeight="1">
      <c r="A3684" s="740"/>
    </row>
    <row r="3685" ht="14.25" customHeight="1">
      <c r="A3685" s="740"/>
    </row>
    <row r="3686" ht="14.25" customHeight="1">
      <c r="A3686" s="740"/>
    </row>
    <row r="3687" ht="14.25" customHeight="1">
      <c r="A3687" s="740"/>
    </row>
    <row r="3688" ht="14.25" customHeight="1">
      <c r="A3688" s="740"/>
    </row>
    <row r="3689" ht="14.25" customHeight="1">
      <c r="A3689" s="740"/>
    </row>
    <row r="3690" ht="14.25" customHeight="1">
      <c r="A3690" s="740"/>
    </row>
    <row r="3691" ht="14.25" customHeight="1">
      <c r="A3691" s="740"/>
    </row>
    <row r="3692" ht="14.25" customHeight="1">
      <c r="A3692" s="740"/>
    </row>
    <row r="3693" ht="14.25" customHeight="1">
      <c r="A3693" s="740"/>
    </row>
    <row r="3694" ht="14.25" customHeight="1">
      <c r="A3694" s="740"/>
    </row>
    <row r="3695" ht="14.25" customHeight="1">
      <c r="A3695" s="740"/>
    </row>
    <row r="3696" ht="14.25" customHeight="1">
      <c r="A3696" s="740"/>
    </row>
    <row r="3697" ht="14.25" customHeight="1">
      <c r="A3697" s="740"/>
    </row>
    <row r="3698" ht="14.25" customHeight="1">
      <c r="A3698" s="740"/>
    </row>
    <row r="3699" ht="14.25" customHeight="1">
      <c r="A3699" s="740"/>
    </row>
    <row r="3700" ht="14.25" customHeight="1">
      <c r="A3700" s="740"/>
    </row>
    <row r="3701" ht="14.25" customHeight="1">
      <c r="A3701" s="740"/>
    </row>
    <row r="3702" ht="14.25" customHeight="1">
      <c r="A3702" s="740"/>
    </row>
    <row r="3703" ht="14.25" customHeight="1">
      <c r="A3703" s="740"/>
    </row>
    <row r="3704" ht="14.25" customHeight="1">
      <c r="A3704" s="740"/>
    </row>
    <row r="3705" ht="14.25" customHeight="1">
      <c r="A3705" s="740"/>
    </row>
    <row r="3706" ht="14.25" customHeight="1">
      <c r="A3706" s="740"/>
    </row>
    <row r="3707" ht="14.25" customHeight="1">
      <c r="A3707" s="740"/>
    </row>
    <row r="3708" ht="14.25" customHeight="1">
      <c r="A3708" s="740"/>
    </row>
    <row r="3709" ht="14.25" customHeight="1">
      <c r="A3709" s="740"/>
    </row>
    <row r="3710" ht="14.25" customHeight="1">
      <c r="A3710" s="740"/>
    </row>
    <row r="3711" ht="14.25" customHeight="1">
      <c r="A3711" s="740"/>
    </row>
    <row r="3712" ht="14.25" customHeight="1">
      <c r="A3712" s="740"/>
    </row>
    <row r="3713" ht="14.25" customHeight="1">
      <c r="A3713" s="740"/>
    </row>
    <row r="3714" ht="14.25" customHeight="1">
      <c r="A3714" s="740"/>
    </row>
    <row r="3715" ht="14.25" customHeight="1">
      <c r="A3715" s="740"/>
    </row>
    <row r="3716" ht="14.25" customHeight="1">
      <c r="A3716" s="740"/>
    </row>
    <row r="3717" ht="14.25" customHeight="1">
      <c r="A3717" s="740"/>
    </row>
    <row r="3718" ht="14.25" customHeight="1">
      <c r="A3718" s="740"/>
    </row>
    <row r="3719" ht="14.25" customHeight="1">
      <c r="A3719" s="740"/>
    </row>
    <row r="3720" ht="14.25" customHeight="1">
      <c r="A3720" s="740"/>
    </row>
    <row r="3721" ht="14.25" customHeight="1">
      <c r="A3721" s="740"/>
    </row>
    <row r="3722" ht="14.25" customHeight="1">
      <c r="A3722" s="740"/>
    </row>
    <row r="3723" ht="14.25" customHeight="1">
      <c r="A3723" s="740"/>
    </row>
    <row r="3724" ht="14.25" customHeight="1">
      <c r="A3724" s="740"/>
    </row>
    <row r="3725" ht="14.25" customHeight="1">
      <c r="A3725" s="740"/>
    </row>
    <row r="3726" ht="14.25" customHeight="1">
      <c r="A3726" s="740"/>
    </row>
    <row r="3727" ht="14.25" customHeight="1">
      <c r="A3727" s="740"/>
    </row>
    <row r="3728" ht="14.25" customHeight="1">
      <c r="A3728" s="740"/>
    </row>
    <row r="3729" ht="14.25" customHeight="1">
      <c r="A3729" s="740"/>
    </row>
    <row r="3730" ht="14.25" customHeight="1">
      <c r="A3730" s="740"/>
    </row>
    <row r="3731" ht="14.25" customHeight="1">
      <c r="A3731" s="740"/>
    </row>
    <row r="3732" ht="14.25" customHeight="1">
      <c r="A3732" s="740"/>
    </row>
    <row r="3733" ht="14.25" customHeight="1">
      <c r="A3733" s="740"/>
    </row>
    <row r="3734" ht="14.25" customHeight="1">
      <c r="A3734" s="740"/>
    </row>
    <row r="3735" ht="14.25" customHeight="1">
      <c r="A3735" s="740"/>
    </row>
    <row r="3736" ht="14.25" customHeight="1">
      <c r="A3736" s="740"/>
    </row>
    <row r="3737" ht="14.25" customHeight="1">
      <c r="A3737" s="740"/>
    </row>
    <row r="3738" ht="14.25" customHeight="1">
      <c r="A3738" s="740"/>
    </row>
    <row r="3739" ht="14.25" customHeight="1">
      <c r="A3739" s="740"/>
    </row>
    <row r="3740" ht="14.25" customHeight="1">
      <c r="A3740" s="740"/>
    </row>
    <row r="3741" ht="14.25" customHeight="1">
      <c r="A3741" s="740"/>
    </row>
    <row r="3742" ht="14.25" customHeight="1">
      <c r="A3742" s="740"/>
    </row>
    <row r="3743" ht="14.25" customHeight="1">
      <c r="A3743" s="740"/>
    </row>
    <row r="3744" ht="14.25" customHeight="1">
      <c r="A3744" s="740"/>
    </row>
    <row r="3745" ht="14.25" customHeight="1">
      <c r="A3745" s="740"/>
    </row>
    <row r="3746" ht="14.25" customHeight="1">
      <c r="A3746" s="740"/>
    </row>
    <row r="3747" ht="14.25" customHeight="1">
      <c r="A3747" s="740"/>
    </row>
    <row r="3748" ht="14.25" customHeight="1">
      <c r="A3748" s="740"/>
    </row>
    <row r="3749" ht="14.25" customHeight="1">
      <c r="A3749" s="740"/>
    </row>
    <row r="3750" ht="14.25" customHeight="1">
      <c r="A3750" s="740"/>
    </row>
    <row r="3751" ht="14.25" customHeight="1">
      <c r="A3751" s="740"/>
    </row>
    <row r="3752" ht="14.25" customHeight="1">
      <c r="A3752" s="740"/>
    </row>
    <row r="3753" ht="14.25" customHeight="1">
      <c r="A3753" s="740"/>
    </row>
    <row r="3754" ht="14.25" customHeight="1">
      <c r="A3754" s="740"/>
    </row>
    <row r="3755" ht="14.25" customHeight="1">
      <c r="A3755" s="740"/>
    </row>
    <row r="3756" ht="14.25" customHeight="1">
      <c r="A3756" s="740"/>
    </row>
    <row r="3757" ht="14.25" customHeight="1">
      <c r="A3757" s="740"/>
    </row>
    <row r="3758" ht="14.25" customHeight="1">
      <c r="A3758" s="740"/>
    </row>
    <row r="3759" ht="14.25" customHeight="1">
      <c r="A3759" s="740"/>
    </row>
    <row r="3760" ht="14.25" customHeight="1">
      <c r="A3760" s="740"/>
    </row>
    <row r="3761" ht="14.25" customHeight="1">
      <c r="A3761" s="740"/>
    </row>
    <row r="3762" ht="14.25" customHeight="1">
      <c r="A3762" s="740"/>
    </row>
    <row r="3763" ht="14.25" customHeight="1">
      <c r="A3763" s="740"/>
    </row>
    <row r="3764" ht="14.25" customHeight="1">
      <c r="A3764" s="740"/>
    </row>
    <row r="3765" ht="14.25" customHeight="1">
      <c r="A3765" s="740"/>
    </row>
    <row r="3766" ht="14.25" customHeight="1">
      <c r="A3766" s="740"/>
    </row>
    <row r="3767" ht="14.25" customHeight="1">
      <c r="A3767" s="740"/>
    </row>
    <row r="3768" ht="14.25" customHeight="1">
      <c r="A3768" s="740"/>
    </row>
    <row r="3769" ht="14.25" customHeight="1">
      <c r="A3769" s="740"/>
    </row>
    <row r="3770" ht="14.25" customHeight="1">
      <c r="A3770" s="740"/>
    </row>
    <row r="3771" ht="14.25" customHeight="1">
      <c r="A3771" s="740"/>
    </row>
    <row r="3772" ht="14.25" customHeight="1">
      <c r="A3772" s="740"/>
    </row>
    <row r="3773" ht="14.25" customHeight="1">
      <c r="A3773" s="740"/>
    </row>
    <row r="3774" ht="14.25" customHeight="1">
      <c r="A3774" s="740"/>
    </row>
    <row r="3775" ht="14.25" customHeight="1">
      <c r="A3775" s="740"/>
    </row>
    <row r="3776" ht="14.25" customHeight="1">
      <c r="A3776" s="740"/>
    </row>
    <row r="3777" ht="14.25" customHeight="1">
      <c r="A3777" s="740"/>
    </row>
    <row r="3778" ht="14.25" customHeight="1">
      <c r="A3778" s="740"/>
    </row>
    <row r="3779" ht="14.25" customHeight="1">
      <c r="A3779" s="740"/>
    </row>
    <row r="3780" ht="14.25" customHeight="1">
      <c r="A3780" s="740"/>
    </row>
    <row r="3781" ht="14.25" customHeight="1">
      <c r="A3781" s="740"/>
    </row>
    <row r="3782" ht="14.25" customHeight="1">
      <c r="A3782" s="740"/>
    </row>
    <row r="3783" ht="14.25" customHeight="1">
      <c r="A3783" s="740"/>
    </row>
    <row r="3784" ht="14.25" customHeight="1">
      <c r="A3784" s="740"/>
    </row>
    <row r="3785" ht="14.25" customHeight="1">
      <c r="A3785" s="740"/>
    </row>
    <row r="3786" ht="14.25" customHeight="1">
      <c r="A3786" s="740"/>
    </row>
    <row r="3787" ht="14.25" customHeight="1">
      <c r="A3787" s="740"/>
    </row>
    <row r="3788" ht="14.25" customHeight="1">
      <c r="A3788" s="740"/>
    </row>
    <row r="3789" ht="14.25" customHeight="1">
      <c r="A3789" s="740"/>
    </row>
    <row r="3790" ht="14.25" customHeight="1">
      <c r="A3790" s="740"/>
    </row>
    <row r="3791" ht="14.25" customHeight="1">
      <c r="A3791" s="740"/>
    </row>
    <row r="3792" ht="14.25" customHeight="1">
      <c r="A3792" s="740"/>
    </row>
    <row r="3793" ht="14.25" customHeight="1">
      <c r="A3793" s="740"/>
    </row>
    <row r="3794" ht="14.25" customHeight="1">
      <c r="A3794" s="740"/>
    </row>
    <row r="3795" ht="14.25" customHeight="1">
      <c r="A3795" s="740"/>
    </row>
    <row r="3796" ht="14.25" customHeight="1">
      <c r="A3796" s="740"/>
    </row>
    <row r="3797" ht="14.25" customHeight="1">
      <c r="A3797" s="740"/>
    </row>
    <row r="3798" ht="14.25" customHeight="1">
      <c r="A3798" s="740"/>
    </row>
    <row r="3799" ht="14.25" customHeight="1">
      <c r="A3799" s="740"/>
    </row>
    <row r="3800" ht="14.25" customHeight="1">
      <c r="A3800" s="740"/>
    </row>
    <row r="3801" ht="14.25" customHeight="1">
      <c r="A3801" s="740"/>
    </row>
    <row r="3802" ht="14.25" customHeight="1">
      <c r="A3802" s="740"/>
    </row>
    <row r="3803" ht="14.25" customHeight="1">
      <c r="A3803" s="740"/>
    </row>
    <row r="3804" ht="14.25" customHeight="1">
      <c r="A3804" s="740"/>
    </row>
    <row r="3805" ht="14.25" customHeight="1">
      <c r="A3805" s="740"/>
    </row>
    <row r="3806" ht="14.25" customHeight="1">
      <c r="A3806" s="740"/>
    </row>
    <row r="3807" ht="14.25" customHeight="1">
      <c r="A3807" s="740"/>
    </row>
    <row r="3808" ht="14.25" customHeight="1">
      <c r="A3808" s="740"/>
    </row>
    <row r="3809" ht="14.25" customHeight="1">
      <c r="A3809" s="740"/>
    </row>
    <row r="3810" ht="14.25" customHeight="1">
      <c r="A3810" s="740"/>
    </row>
    <row r="3811" ht="14.25" customHeight="1">
      <c r="A3811" s="740"/>
    </row>
    <row r="3812" ht="14.25" customHeight="1">
      <c r="A3812" s="740"/>
    </row>
    <row r="3813" ht="14.25" customHeight="1">
      <c r="A3813" s="740"/>
    </row>
    <row r="3814" ht="14.25" customHeight="1">
      <c r="A3814" s="740"/>
    </row>
    <row r="3815" ht="14.25" customHeight="1">
      <c r="A3815" s="740"/>
    </row>
    <row r="3816" ht="14.25" customHeight="1">
      <c r="A3816" s="740"/>
    </row>
    <row r="3817" ht="14.25" customHeight="1">
      <c r="A3817" s="740"/>
    </row>
    <row r="3818" ht="14.25" customHeight="1">
      <c r="A3818" s="740"/>
    </row>
    <row r="3819" ht="14.25" customHeight="1">
      <c r="A3819" s="740"/>
    </row>
    <row r="3820" ht="14.25" customHeight="1">
      <c r="A3820" s="740"/>
    </row>
    <row r="3821" ht="14.25" customHeight="1">
      <c r="A3821" s="740"/>
    </row>
    <row r="3822" ht="14.25" customHeight="1">
      <c r="A3822" s="740"/>
    </row>
    <row r="3823" ht="14.25" customHeight="1">
      <c r="A3823" s="740"/>
    </row>
    <row r="3824" ht="14.25" customHeight="1">
      <c r="A3824" s="740"/>
    </row>
    <row r="3825" ht="14.25" customHeight="1">
      <c r="A3825" s="740"/>
    </row>
    <row r="3826" ht="14.25" customHeight="1">
      <c r="A3826" s="740"/>
    </row>
    <row r="3827" ht="14.25" customHeight="1">
      <c r="A3827" s="740"/>
    </row>
    <row r="3828" ht="14.25" customHeight="1">
      <c r="A3828" s="740"/>
    </row>
    <row r="3829" ht="14.25" customHeight="1">
      <c r="A3829" s="740"/>
    </row>
    <row r="3830" ht="14.25" customHeight="1">
      <c r="A3830" s="740"/>
    </row>
    <row r="3831" ht="14.25" customHeight="1">
      <c r="A3831" s="740"/>
    </row>
    <row r="3832" ht="14.25" customHeight="1">
      <c r="A3832" s="740"/>
    </row>
    <row r="3833" ht="14.25" customHeight="1">
      <c r="A3833" s="740"/>
    </row>
    <row r="3834" ht="14.25" customHeight="1">
      <c r="A3834" s="740"/>
    </row>
    <row r="3835" ht="14.25" customHeight="1">
      <c r="A3835" s="740"/>
    </row>
    <row r="3836" ht="14.25" customHeight="1">
      <c r="A3836" s="740"/>
    </row>
    <row r="3837" ht="14.25" customHeight="1">
      <c r="A3837" s="740"/>
    </row>
    <row r="3838" ht="14.25" customHeight="1">
      <c r="A3838" s="740"/>
    </row>
    <row r="3839" ht="14.25" customHeight="1">
      <c r="A3839" s="740"/>
    </row>
    <row r="3840" ht="14.25" customHeight="1">
      <c r="A3840" s="740"/>
    </row>
    <row r="3841" ht="14.25" customHeight="1">
      <c r="A3841" s="740"/>
    </row>
    <row r="3842" ht="14.25" customHeight="1">
      <c r="A3842" s="740"/>
    </row>
    <row r="3843" ht="14.25" customHeight="1">
      <c r="A3843" s="740"/>
    </row>
    <row r="3844" ht="14.25" customHeight="1">
      <c r="A3844" s="740"/>
    </row>
    <row r="3845" ht="14.25" customHeight="1">
      <c r="A3845" s="740"/>
    </row>
    <row r="3846" ht="14.25" customHeight="1">
      <c r="A3846" s="740"/>
    </row>
    <row r="3847" ht="14.25" customHeight="1">
      <c r="A3847" s="740"/>
    </row>
    <row r="3848" ht="14.25" customHeight="1">
      <c r="A3848" s="740"/>
    </row>
    <row r="3849" ht="14.25" customHeight="1">
      <c r="A3849" s="740"/>
    </row>
    <row r="3850" ht="14.25" customHeight="1">
      <c r="A3850" s="740"/>
    </row>
    <row r="3851" ht="14.25" customHeight="1">
      <c r="A3851" s="740"/>
    </row>
    <row r="3852" ht="14.25" customHeight="1">
      <c r="A3852" s="740"/>
    </row>
    <row r="3853" ht="14.25" customHeight="1">
      <c r="A3853" s="740"/>
    </row>
    <row r="3854" ht="14.25" customHeight="1">
      <c r="A3854" s="740"/>
    </row>
    <row r="3855" ht="14.25" customHeight="1">
      <c r="A3855" s="740"/>
    </row>
    <row r="3856" ht="14.25" customHeight="1">
      <c r="A3856" s="740"/>
    </row>
    <row r="3857" ht="14.25" customHeight="1">
      <c r="A3857" s="740"/>
    </row>
    <row r="3858" ht="14.25" customHeight="1">
      <c r="A3858" s="740"/>
    </row>
    <row r="3859" ht="14.25" customHeight="1">
      <c r="A3859" s="740"/>
    </row>
    <row r="3860" ht="14.25" customHeight="1">
      <c r="A3860" s="740"/>
    </row>
    <row r="3861" ht="14.25" customHeight="1">
      <c r="A3861" s="740"/>
    </row>
    <row r="3862" ht="14.25" customHeight="1">
      <c r="A3862" s="740"/>
    </row>
    <row r="3863" ht="14.25" customHeight="1">
      <c r="A3863" s="740"/>
    </row>
    <row r="3864" ht="14.25" customHeight="1">
      <c r="A3864" s="740"/>
    </row>
    <row r="3865" ht="14.25" customHeight="1">
      <c r="A3865" s="740"/>
    </row>
    <row r="3866" ht="14.25" customHeight="1">
      <c r="A3866" s="740"/>
    </row>
    <row r="3867" ht="14.25" customHeight="1">
      <c r="A3867" s="740"/>
    </row>
    <row r="3868" ht="14.25" customHeight="1">
      <c r="A3868" s="740"/>
    </row>
    <row r="3869" ht="14.25" customHeight="1">
      <c r="A3869" s="740"/>
    </row>
    <row r="3870" ht="14.25" customHeight="1">
      <c r="A3870" s="740"/>
    </row>
    <row r="3871" ht="14.25" customHeight="1">
      <c r="A3871" s="740"/>
    </row>
    <row r="3872" ht="14.25" customHeight="1">
      <c r="A3872" s="740"/>
    </row>
    <row r="3873" ht="14.25" customHeight="1">
      <c r="A3873" s="740"/>
    </row>
    <row r="3874" ht="14.25" customHeight="1">
      <c r="A3874" s="740"/>
    </row>
    <row r="3875" ht="14.25" customHeight="1">
      <c r="A3875" s="740"/>
    </row>
    <row r="3876" ht="14.25" customHeight="1">
      <c r="A3876" s="740"/>
    </row>
    <row r="3877" ht="14.25" customHeight="1">
      <c r="A3877" s="740"/>
    </row>
    <row r="3878" ht="14.25" customHeight="1">
      <c r="A3878" s="740"/>
    </row>
    <row r="3879" ht="14.25" customHeight="1">
      <c r="A3879" s="740"/>
    </row>
    <row r="3880" ht="14.25" customHeight="1">
      <c r="A3880" s="740"/>
    </row>
    <row r="3881" ht="14.25" customHeight="1">
      <c r="A3881" s="740"/>
    </row>
    <row r="3882" ht="14.25" customHeight="1">
      <c r="A3882" s="740"/>
    </row>
    <row r="3883" ht="14.25" customHeight="1">
      <c r="A3883" s="740"/>
    </row>
    <row r="3884" ht="14.25" customHeight="1">
      <c r="A3884" s="740"/>
    </row>
    <row r="3885" ht="14.25" customHeight="1">
      <c r="A3885" s="740"/>
    </row>
    <row r="3886" ht="14.25" customHeight="1">
      <c r="A3886" s="740"/>
    </row>
    <row r="3887" ht="14.25" customHeight="1">
      <c r="A3887" s="740"/>
    </row>
    <row r="3888" ht="14.25" customHeight="1">
      <c r="A3888" s="740"/>
    </row>
    <row r="3889" ht="14.25" customHeight="1">
      <c r="A3889" s="740"/>
    </row>
    <row r="3890" ht="14.25" customHeight="1">
      <c r="A3890" s="740"/>
    </row>
    <row r="3891" ht="14.25" customHeight="1">
      <c r="A3891" s="740"/>
    </row>
    <row r="3892" ht="14.25" customHeight="1">
      <c r="A3892" s="740"/>
    </row>
    <row r="3893" ht="14.25" customHeight="1">
      <c r="A3893" s="740"/>
    </row>
    <row r="3894" ht="14.25" customHeight="1">
      <c r="A3894" s="740"/>
    </row>
    <row r="3895" ht="14.25" customHeight="1">
      <c r="A3895" s="740"/>
    </row>
    <row r="3896" ht="14.25" customHeight="1">
      <c r="A3896" s="740"/>
    </row>
    <row r="3897" ht="14.25" customHeight="1">
      <c r="A3897" s="740"/>
    </row>
    <row r="3898" ht="14.25" customHeight="1">
      <c r="A3898" s="740"/>
    </row>
    <row r="3899" ht="14.25" customHeight="1">
      <c r="A3899" s="740"/>
    </row>
    <row r="3900" ht="14.25" customHeight="1">
      <c r="A3900" s="740"/>
    </row>
    <row r="3901" ht="14.25" customHeight="1">
      <c r="A3901" s="740"/>
    </row>
    <row r="3902" ht="14.25" customHeight="1">
      <c r="A3902" s="740"/>
    </row>
    <row r="3903" ht="14.25" customHeight="1">
      <c r="A3903" s="740"/>
    </row>
    <row r="3904" ht="14.25" customHeight="1">
      <c r="A3904" s="740"/>
    </row>
    <row r="3905" ht="14.25" customHeight="1">
      <c r="A3905" s="740"/>
    </row>
    <row r="3906" ht="14.25" customHeight="1">
      <c r="A3906" s="740"/>
    </row>
    <row r="3907" ht="14.25" customHeight="1">
      <c r="A3907" s="740"/>
    </row>
    <row r="3908" ht="14.25" customHeight="1">
      <c r="A3908" s="740"/>
    </row>
    <row r="3909" ht="14.25" customHeight="1">
      <c r="A3909" s="740"/>
    </row>
    <row r="3910" ht="14.25" customHeight="1">
      <c r="A3910" s="740"/>
    </row>
    <row r="3911" ht="14.25" customHeight="1">
      <c r="A3911" s="740"/>
    </row>
    <row r="3912" ht="14.25" customHeight="1">
      <c r="A3912" s="740"/>
    </row>
    <row r="3913" ht="14.25" customHeight="1">
      <c r="A3913" s="740"/>
    </row>
    <row r="3914" ht="14.25" customHeight="1">
      <c r="A3914" s="740"/>
    </row>
    <row r="3915" ht="14.25" customHeight="1">
      <c r="A3915" s="740"/>
    </row>
    <row r="3916" ht="14.25" customHeight="1">
      <c r="A3916" s="740"/>
    </row>
    <row r="3917" ht="14.25" customHeight="1">
      <c r="A3917" s="740"/>
    </row>
    <row r="3918" ht="14.25" customHeight="1">
      <c r="A3918" s="740"/>
    </row>
    <row r="3919" ht="14.25" customHeight="1">
      <c r="A3919" s="740"/>
    </row>
    <row r="3920" ht="14.25" customHeight="1">
      <c r="A3920" s="740"/>
    </row>
    <row r="3921" ht="14.25" customHeight="1">
      <c r="A3921" s="740"/>
    </row>
    <row r="3922" ht="14.25" customHeight="1">
      <c r="A3922" s="740"/>
    </row>
    <row r="3923" ht="14.25" customHeight="1">
      <c r="A3923" s="740"/>
    </row>
    <row r="3924" ht="14.25" customHeight="1">
      <c r="A3924" s="740"/>
    </row>
    <row r="3925" ht="14.25" customHeight="1">
      <c r="A3925" s="740"/>
    </row>
    <row r="3926" ht="14.25" customHeight="1">
      <c r="A3926" s="740"/>
    </row>
    <row r="3927" ht="14.25" customHeight="1">
      <c r="A3927" s="740"/>
    </row>
    <row r="3928" ht="14.25" customHeight="1">
      <c r="A3928" s="740"/>
    </row>
    <row r="3929" ht="14.25" customHeight="1">
      <c r="A3929" s="740"/>
    </row>
    <row r="3930" ht="14.25" customHeight="1">
      <c r="A3930" s="740"/>
    </row>
    <row r="3931" ht="14.25" customHeight="1">
      <c r="A3931" s="740"/>
    </row>
    <row r="3932" ht="14.25" customHeight="1">
      <c r="A3932" s="740"/>
    </row>
    <row r="3933" ht="14.25" customHeight="1">
      <c r="A3933" s="740"/>
    </row>
    <row r="3934" ht="14.25" customHeight="1">
      <c r="A3934" s="740"/>
    </row>
    <row r="3935" ht="14.25" customHeight="1">
      <c r="A3935" s="740"/>
    </row>
    <row r="3936" ht="14.25" customHeight="1">
      <c r="A3936" s="740"/>
    </row>
    <row r="3937" ht="14.25" customHeight="1">
      <c r="A3937" s="740"/>
    </row>
    <row r="3938" ht="14.25" customHeight="1">
      <c r="A3938" s="740"/>
    </row>
    <row r="3939" ht="14.25" customHeight="1">
      <c r="A3939" s="740"/>
    </row>
    <row r="3940" ht="14.25" customHeight="1">
      <c r="A3940" s="740"/>
    </row>
    <row r="3941" ht="14.25" customHeight="1">
      <c r="A3941" s="740"/>
    </row>
    <row r="3942" ht="14.25" customHeight="1">
      <c r="A3942" s="740"/>
    </row>
    <row r="3943" ht="14.25" customHeight="1">
      <c r="A3943" s="740"/>
    </row>
    <row r="3944" ht="14.25" customHeight="1">
      <c r="A3944" s="740"/>
    </row>
    <row r="3945" ht="14.25" customHeight="1">
      <c r="A3945" s="740"/>
    </row>
    <row r="3946" ht="14.25" customHeight="1">
      <c r="A3946" s="740"/>
    </row>
    <row r="3947" ht="14.25" customHeight="1">
      <c r="A3947" s="740"/>
    </row>
    <row r="3948" ht="14.25" customHeight="1">
      <c r="A3948" s="740"/>
    </row>
    <row r="3949" ht="14.25" customHeight="1">
      <c r="A3949" s="740"/>
    </row>
    <row r="3950" ht="14.25" customHeight="1">
      <c r="A3950" s="740"/>
    </row>
    <row r="3951" ht="14.25" customHeight="1">
      <c r="A3951" s="740"/>
    </row>
    <row r="3952" ht="14.25" customHeight="1">
      <c r="A3952" s="740"/>
    </row>
    <row r="3953" ht="14.25" customHeight="1">
      <c r="A3953" s="740"/>
    </row>
    <row r="3954" ht="14.25" customHeight="1">
      <c r="A3954" s="740"/>
    </row>
    <row r="3955" ht="14.25" customHeight="1">
      <c r="A3955" s="740"/>
    </row>
    <row r="3956" ht="14.25" customHeight="1">
      <c r="A3956" s="740"/>
    </row>
    <row r="3957" ht="14.25" customHeight="1">
      <c r="A3957" s="740"/>
    </row>
    <row r="3958" ht="14.25" customHeight="1">
      <c r="A3958" s="740"/>
    </row>
    <row r="3959" ht="14.25" customHeight="1">
      <c r="A3959" s="740"/>
    </row>
    <row r="3960" ht="14.25" customHeight="1">
      <c r="A3960" s="740"/>
    </row>
    <row r="3961" ht="14.25" customHeight="1">
      <c r="A3961" s="740"/>
    </row>
    <row r="3962" ht="14.25" customHeight="1">
      <c r="A3962" s="740"/>
    </row>
    <row r="3963" ht="14.25" customHeight="1">
      <c r="A3963" s="740"/>
    </row>
    <row r="3964" ht="14.25" customHeight="1">
      <c r="A3964" s="740"/>
    </row>
    <row r="3965" ht="14.25" customHeight="1">
      <c r="A3965" s="740"/>
    </row>
    <row r="3966" ht="14.25" customHeight="1">
      <c r="A3966" s="740"/>
    </row>
    <row r="3967" ht="14.25" customHeight="1">
      <c r="A3967" s="740"/>
    </row>
    <row r="3968" ht="14.25" customHeight="1">
      <c r="A3968" s="740"/>
    </row>
    <row r="3969" ht="14.25" customHeight="1">
      <c r="A3969" s="740"/>
    </row>
    <row r="3970" ht="14.25" customHeight="1">
      <c r="A3970" s="740"/>
    </row>
    <row r="3971" ht="14.25" customHeight="1">
      <c r="A3971" s="740"/>
    </row>
    <row r="3972" ht="14.25" customHeight="1">
      <c r="A3972" s="740"/>
    </row>
    <row r="3973" ht="14.25" customHeight="1">
      <c r="A3973" s="740"/>
    </row>
    <row r="3974" ht="14.25" customHeight="1">
      <c r="A3974" s="740"/>
    </row>
    <row r="3975" ht="14.25" customHeight="1">
      <c r="A3975" s="740"/>
    </row>
    <row r="3976" ht="14.25" customHeight="1">
      <c r="A3976" s="740"/>
    </row>
    <row r="3977" ht="14.25" customHeight="1">
      <c r="A3977" s="740"/>
    </row>
    <row r="3978" ht="14.25" customHeight="1">
      <c r="A3978" s="740"/>
    </row>
    <row r="3979" ht="14.25" customHeight="1">
      <c r="A3979" s="740"/>
    </row>
    <row r="3980" ht="14.25" customHeight="1">
      <c r="A3980" s="740"/>
    </row>
    <row r="3981" ht="14.25" customHeight="1">
      <c r="A3981" s="740"/>
    </row>
    <row r="3982" ht="14.25" customHeight="1">
      <c r="A3982" s="740"/>
    </row>
    <row r="3983" ht="14.25" customHeight="1">
      <c r="A3983" s="740"/>
    </row>
    <row r="3984" ht="14.25" customHeight="1">
      <c r="A3984" s="740"/>
    </row>
    <row r="3985" ht="14.25" customHeight="1">
      <c r="A3985" s="740"/>
    </row>
    <row r="3986" ht="14.25" customHeight="1">
      <c r="A3986" s="740"/>
    </row>
    <row r="3987" ht="14.25" customHeight="1">
      <c r="A3987" s="740"/>
    </row>
    <row r="3988" ht="14.25" customHeight="1">
      <c r="A3988" s="740"/>
    </row>
    <row r="3989" ht="14.25" customHeight="1">
      <c r="A3989" s="740"/>
    </row>
    <row r="3990" ht="14.25" customHeight="1">
      <c r="A3990" s="740"/>
    </row>
    <row r="3991" ht="14.25" customHeight="1">
      <c r="A3991" s="740"/>
    </row>
    <row r="3992" ht="14.25" customHeight="1">
      <c r="A3992" s="740"/>
    </row>
    <row r="3993" ht="14.25" customHeight="1">
      <c r="A3993" s="740"/>
    </row>
    <row r="3994" ht="14.25" customHeight="1">
      <c r="A3994" s="740"/>
    </row>
    <row r="3995" ht="14.25" customHeight="1">
      <c r="A3995" s="740"/>
    </row>
    <row r="3996" ht="14.25" customHeight="1">
      <c r="A3996" s="740"/>
    </row>
    <row r="3997" ht="14.25" customHeight="1">
      <c r="A3997" s="740"/>
    </row>
    <row r="3998" ht="14.25" customHeight="1">
      <c r="A3998" s="740"/>
    </row>
    <row r="3999" ht="14.25" customHeight="1">
      <c r="A3999" s="740"/>
    </row>
    <row r="4000" ht="14.25" customHeight="1">
      <c r="A4000" s="740"/>
    </row>
    <row r="4001" ht="14.25" customHeight="1">
      <c r="A4001" s="740"/>
    </row>
    <row r="4002" ht="14.25" customHeight="1">
      <c r="A4002" s="740"/>
    </row>
    <row r="4003" ht="14.25" customHeight="1">
      <c r="A4003" s="740"/>
    </row>
    <row r="4004" ht="14.25" customHeight="1">
      <c r="A4004" s="740"/>
    </row>
    <row r="4005" ht="14.25" customHeight="1">
      <c r="A4005" s="740"/>
    </row>
    <row r="4006" ht="14.25" customHeight="1">
      <c r="A4006" s="740"/>
    </row>
    <row r="4007" ht="14.25" customHeight="1">
      <c r="A4007" s="740"/>
    </row>
    <row r="4008" ht="14.25" customHeight="1">
      <c r="A4008" s="740"/>
    </row>
    <row r="4009" ht="14.25" customHeight="1">
      <c r="A4009" s="740"/>
    </row>
    <row r="4010" ht="14.25" customHeight="1">
      <c r="A4010" s="740"/>
    </row>
    <row r="4011" ht="14.25" customHeight="1">
      <c r="A4011" s="740"/>
    </row>
    <row r="4012" ht="14.25" customHeight="1">
      <c r="A4012" s="740"/>
    </row>
    <row r="4013" ht="14.25" customHeight="1">
      <c r="A4013" s="740"/>
    </row>
    <row r="4014" ht="14.25" customHeight="1">
      <c r="A4014" s="740"/>
    </row>
    <row r="4015" ht="14.25" customHeight="1">
      <c r="A4015" s="740"/>
    </row>
    <row r="4016" ht="14.25" customHeight="1">
      <c r="A4016" s="740"/>
    </row>
    <row r="4017" ht="14.25" customHeight="1">
      <c r="A4017" s="740"/>
    </row>
    <row r="4018" ht="14.25" customHeight="1">
      <c r="A4018" s="740"/>
    </row>
    <row r="4019" ht="14.25" customHeight="1">
      <c r="A4019" s="740"/>
    </row>
    <row r="4020" ht="14.25" customHeight="1">
      <c r="A4020" s="740"/>
    </row>
    <row r="4021" ht="14.25" customHeight="1">
      <c r="A4021" s="740"/>
    </row>
    <row r="4022" ht="14.25" customHeight="1">
      <c r="A4022" s="740"/>
    </row>
    <row r="4023" ht="14.25" customHeight="1">
      <c r="A4023" s="740"/>
    </row>
    <row r="4024" ht="14.25" customHeight="1">
      <c r="A4024" s="740"/>
    </row>
    <row r="4025" ht="14.25" customHeight="1">
      <c r="A4025" s="740"/>
    </row>
    <row r="4026" ht="14.25" customHeight="1">
      <c r="A4026" s="740"/>
    </row>
    <row r="4027" ht="14.25" customHeight="1">
      <c r="A4027" s="740"/>
    </row>
    <row r="4028" ht="14.25" customHeight="1">
      <c r="A4028" s="740"/>
    </row>
    <row r="4029" ht="14.25" customHeight="1">
      <c r="A4029" s="740"/>
    </row>
    <row r="4030" ht="14.25" customHeight="1">
      <c r="A4030" s="740"/>
    </row>
    <row r="4031" ht="14.25" customHeight="1">
      <c r="A4031" s="740"/>
    </row>
    <row r="4032" ht="14.25" customHeight="1">
      <c r="A4032" s="740"/>
    </row>
    <row r="4033" ht="14.25" customHeight="1">
      <c r="A4033" s="740"/>
    </row>
    <row r="4034" ht="14.25" customHeight="1">
      <c r="A4034" s="740"/>
    </row>
    <row r="4035" ht="14.25" customHeight="1">
      <c r="A4035" s="740"/>
    </row>
    <row r="4036" ht="14.25" customHeight="1">
      <c r="A4036" s="740"/>
    </row>
    <row r="4037" ht="14.25" customHeight="1">
      <c r="A4037" s="740"/>
    </row>
    <row r="4038" ht="14.25" customHeight="1">
      <c r="A4038" s="740"/>
    </row>
    <row r="4039" ht="14.25" customHeight="1">
      <c r="A4039" s="740"/>
    </row>
    <row r="4040" ht="14.25" customHeight="1">
      <c r="A4040" s="740"/>
    </row>
    <row r="4041" ht="14.25" customHeight="1">
      <c r="A4041" s="740"/>
    </row>
    <row r="4042" ht="14.25" customHeight="1">
      <c r="A4042" s="740"/>
    </row>
    <row r="4043" ht="14.25" customHeight="1">
      <c r="A4043" s="740"/>
    </row>
    <row r="4044" ht="14.25" customHeight="1">
      <c r="A4044" s="740"/>
    </row>
    <row r="4045" ht="14.25" customHeight="1">
      <c r="A4045" s="740"/>
    </row>
    <row r="4046" ht="14.25" customHeight="1">
      <c r="A4046" s="740"/>
    </row>
    <row r="4047" ht="14.25" customHeight="1">
      <c r="A4047" s="740"/>
    </row>
    <row r="4048" ht="14.25" customHeight="1">
      <c r="A4048" s="740"/>
    </row>
    <row r="4049" ht="14.25" customHeight="1">
      <c r="A4049" s="740"/>
    </row>
    <row r="4050" ht="14.25" customHeight="1">
      <c r="A4050" s="740"/>
    </row>
    <row r="4051" ht="14.25" customHeight="1">
      <c r="A4051" s="740"/>
    </row>
    <row r="4052" ht="14.25" customHeight="1">
      <c r="A4052" s="740"/>
    </row>
    <row r="4053" ht="14.25" customHeight="1">
      <c r="A4053" s="740"/>
    </row>
    <row r="4054" ht="14.25" customHeight="1">
      <c r="A4054" s="740"/>
    </row>
    <row r="4055" ht="14.25" customHeight="1">
      <c r="A4055" s="740"/>
    </row>
    <row r="4056" ht="14.25" customHeight="1">
      <c r="A4056" s="740"/>
    </row>
    <row r="4057" ht="14.25" customHeight="1">
      <c r="A4057" s="740"/>
    </row>
    <row r="4058" ht="14.25" customHeight="1">
      <c r="A4058" s="740"/>
    </row>
    <row r="4059" ht="14.25" customHeight="1">
      <c r="A4059" s="740"/>
    </row>
    <row r="4060" ht="14.25" customHeight="1">
      <c r="A4060" s="740"/>
    </row>
    <row r="4061" ht="14.25" customHeight="1">
      <c r="A4061" s="740"/>
    </row>
    <row r="4062" ht="14.25" customHeight="1">
      <c r="A4062" s="740"/>
    </row>
    <row r="4063" ht="14.25" customHeight="1">
      <c r="A4063" s="740"/>
    </row>
    <row r="4064" ht="14.25" customHeight="1">
      <c r="A4064" s="740"/>
    </row>
    <row r="4065" ht="14.25" customHeight="1">
      <c r="A4065" s="740"/>
    </row>
    <row r="4066" ht="14.25" customHeight="1">
      <c r="A4066" s="740"/>
    </row>
    <row r="4067" ht="14.25" customHeight="1">
      <c r="A4067" s="740"/>
    </row>
    <row r="4068" ht="14.25" customHeight="1">
      <c r="A4068" s="740"/>
    </row>
    <row r="4069" ht="14.25" customHeight="1">
      <c r="A4069" s="740"/>
    </row>
    <row r="4070" ht="14.25" customHeight="1">
      <c r="A4070" s="740"/>
    </row>
    <row r="4071" ht="14.25" customHeight="1">
      <c r="A4071" s="740"/>
    </row>
    <row r="4072" ht="14.25" customHeight="1">
      <c r="A4072" s="740"/>
    </row>
    <row r="4073" ht="14.25" customHeight="1">
      <c r="A4073" s="740"/>
    </row>
    <row r="4074" ht="14.25" customHeight="1">
      <c r="A4074" s="740"/>
    </row>
    <row r="4075" ht="14.25" customHeight="1">
      <c r="A4075" s="740"/>
    </row>
    <row r="4076" ht="14.25" customHeight="1">
      <c r="A4076" s="740"/>
    </row>
    <row r="4077" ht="14.25" customHeight="1">
      <c r="A4077" s="740"/>
    </row>
    <row r="4078" ht="14.25" customHeight="1">
      <c r="A4078" s="740"/>
    </row>
    <row r="4079" ht="14.25" customHeight="1">
      <c r="A4079" s="740"/>
    </row>
    <row r="4080" ht="14.25" customHeight="1">
      <c r="A4080" s="740"/>
    </row>
    <row r="4081" ht="14.25" customHeight="1">
      <c r="A4081" s="740"/>
    </row>
    <row r="4082" ht="14.25" customHeight="1">
      <c r="A4082" s="740"/>
    </row>
    <row r="4083" ht="14.25" customHeight="1">
      <c r="A4083" s="740"/>
    </row>
    <row r="4084" ht="14.25" customHeight="1">
      <c r="A4084" s="740"/>
    </row>
    <row r="4085" ht="14.25" customHeight="1">
      <c r="A4085" s="740"/>
    </row>
    <row r="4086" ht="14.25" customHeight="1">
      <c r="A4086" s="740"/>
    </row>
    <row r="4087" ht="14.25" customHeight="1">
      <c r="A4087" s="740"/>
    </row>
    <row r="4088" ht="14.25" customHeight="1">
      <c r="A4088" s="740"/>
    </row>
    <row r="4089" ht="14.25" customHeight="1">
      <c r="A4089" s="740"/>
    </row>
    <row r="4090" ht="14.25" customHeight="1">
      <c r="A4090" s="740"/>
    </row>
    <row r="4091" ht="14.25" customHeight="1">
      <c r="A4091" s="740"/>
    </row>
    <row r="4092" ht="14.25" customHeight="1">
      <c r="A4092" s="740"/>
    </row>
    <row r="4093" ht="14.25" customHeight="1">
      <c r="A4093" s="740"/>
    </row>
    <row r="4094" ht="14.25" customHeight="1">
      <c r="A4094" s="740"/>
    </row>
    <row r="4095" ht="14.25" customHeight="1">
      <c r="A4095" s="740"/>
    </row>
    <row r="4096" ht="14.25" customHeight="1">
      <c r="A4096" s="740"/>
    </row>
    <row r="4097" ht="14.25" customHeight="1">
      <c r="A4097" s="740"/>
    </row>
    <row r="4098" ht="14.25" customHeight="1">
      <c r="A4098" s="740"/>
    </row>
    <row r="4099" ht="14.25" customHeight="1">
      <c r="A4099" s="740"/>
    </row>
    <row r="4100" ht="14.25" customHeight="1">
      <c r="A4100" s="740"/>
    </row>
    <row r="4101" ht="14.25" customHeight="1">
      <c r="A4101" s="740"/>
    </row>
    <row r="4102" ht="14.25" customHeight="1">
      <c r="A4102" s="740"/>
    </row>
    <row r="4103" ht="14.25" customHeight="1">
      <c r="A4103" s="740"/>
    </row>
    <row r="4104" ht="14.25" customHeight="1">
      <c r="A4104" s="740"/>
    </row>
    <row r="4105" ht="14.25" customHeight="1">
      <c r="A4105" s="740"/>
    </row>
    <row r="4106" ht="14.25" customHeight="1">
      <c r="A4106" s="740"/>
    </row>
    <row r="4107" ht="14.25" customHeight="1">
      <c r="A4107" s="740"/>
    </row>
    <row r="4108" ht="14.25" customHeight="1">
      <c r="A4108" s="740"/>
    </row>
    <row r="4109" ht="14.25" customHeight="1">
      <c r="A4109" s="740"/>
    </row>
    <row r="4110" ht="14.25" customHeight="1">
      <c r="A4110" s="740"/>
    </row>
    <row r="4111" ht="14.25" customHeight="1">
      <c r="A4111" s="740"/>
    </row>
    <row r="4112" ht="14.25" customHeight="1">
      <c r="A4112" s="740"/>
    </row>
    <row r="4113" ht="14.25" customHeight="1">
      <c r="A4113" s="740"/>
    </row>
    <row r="4114" ht="14.25" customHeight="1">
      <c r="A4114" s="740"/>
    </row>
    <row r="4115" ht="14.25" customHeight="1">
      <c r="A4115" s="740"/>
    </row>
    <row r="4116" ht="14.25" customHeight="1">
      <c r="A4116" s="740"/>
    </row>
    <row r="4117" ht="14.25" customHeight="1">
      <c r="A4117" s="740"/>
    </row>
    <row r="4118" ht="14.25" customHeight="1">
      <c r="A4118" s="740"/>
    </row>
    <row r="4119" ht="14.25" customHeight="1">
      <c r="A4119" s="740"/>
    </row>
    <row r="4120" ht="14.25" customHeight="1">
      <c r="A4120" s="740"/>
    </row>
    <row r="4121" ht="14.25" customHeight="1">
      <c r="A4121" s="740"/>
    </row>
    <row r="4122" ht="14.25" customHeight="1">
      <c r="A4122" s="740"/>
    </row>
    <row r="4123" ht="14.25" customHeight="1">
      <c r="A4123" s="740"/>
    </row>
    <row r="4124" ht="14.25" customHeight="1">
      <c r="A4124" s="740"/>
    </row>
    <row r="4125" ht="14.25" customHeight="1">
      <c r="A4125" s="740"/>
    </row>
    <row r="4126" ht="14.25" customHeight="1">
      <c r="A4126" s="740"/>
    </row>
    <row r="4127" ht="14.25" customHeight="1">
      <c r="A4127" s="740"/>
    </row>
    <row r="4128" ht="14.25" customHeight="1">
      <c r="A4128" s="740"/>
    </row>
    <row r="4129" ht="14.25" customHeight="1">
      <c r="A4129" s="740"/>
    </row>
    <row r="4130" ht="14.25" customHeight="1">
      <c r="A4130" s="740"/>
    </row>
    <row r="4131" ht="14.25" customHeight="1">
      <c r="A4131" s="740"/>
    </row>
    <row r="4132" ht="14.25" customHeight="1">
      <c r="A4132" s="740"/>
    </row>
    <row r="4133" ht="14.25" customHeight="1">
      <c r="A4133" s="740"/>
    </row>
    <row r="4134" ht="14.25" customHeight="1">
      <c r="A4134" s="740"/>
    </row>
    <row r="4135" ht="14.25" customHeight="1">
      <c r="A4135" s="740"/>
    </row>
    <row r="4136" ht="14.25" customHeight="1">
      <c r="A4136" s="740"/>
    </row>
    <row r="4137" ht="14.25" customHeight="1">
      <c r="A4137" s="740"/>
    </row>
    <row r="4138" ht="14.25" customHeight="1">
      <c r="A4138" s="740"/>
    </row>
    <row r="4139" ht="14.25" customHeight="1">
      <c r="A4139" s="740"/>
    </row>
    <row r="4140" ht="14.25" customHeight="1">
      <c r="A4140" s="740"/>
    </row>
    <row r="4141" ht="14.25" customHeight="1">
      <c r="A4141" s="740"/>
    </row>
    <row r="4142" ht="14.25" customHeight="1">
      <c r="A4142" s="740"/>
    </row>
    <row r="4143" ht="14.25" customHeight="1">
      <c r="A4143" s="740"/>
    </row>
    <row r="4144" ht="14.25" customHeight="1">
      <c r="A4144" s="740"/>
    </row>
    <row r="4145" ht="14.25" customHeight="1">
      <c r="A4145" s="740"/>
    </row>
    <row r="4146" ht="14.25" customHeight="1">
      <c r="A4146" s="740"/>
    </row>
    <row r="4147" ht="14.25" customHeight="1">
      <c r="A4147" s="740"/>
    </row>
    <row r="4148" ht="14.25" customHeight="1">
      <c r="A4148" s="740"/>
    </row>
    <row r="4149" ht="14.25" customHeight="1">
      <c r="A4149" s="740"/>
    </row>
    <row r="4150" ht="14.25" customHeight="1">
      <c r="A4150" s="740"/>
    </row>
    <row r="4151" ht="14.25" customHeight="1">
      <c r="A4151" s="740"/>
    </row>
    <row r="4152" ht="14.25" customHeight="1">
      <c r="A4152" s="740"/>
    </row>
    <row r="4153" ht="14.25" customHeight="1">
      <c r="A4153" s="740"/>
    </row>
    <row r="4154" ht="14.25" customHeight="1">
      <c r="A4154" s="740"/>
    </row>
    <row r="4155" ht="14.25" customHeight="1">
      <c r="A4155" s="740"/>
    </row>
    <row r="4156" ht="14.25" customHeight="1">
      <c r="A4156" s="740"/>
    </row>
    <row r="4157" ht="14.25" customHeight="1">
      <c r="A4157" s="740"/>
    </row>
    <row r="4158" ht="14.25" customHeight="1">
      <c r="A4158" s="740"/>
    </row>
    <row r="4159" ht="14.25" customHeight="1">
      <c r="A4159" s="740"/>
    </row>
    <row r="4160" ht="14.25" customHeight="1">
      <c r="A4160" s="740"/>
    </row>
    <row r="4161" ht="14.25" customHeight="1">
      <c r="A4161" s="740"/>
    </row>
    <row r="4162" ht="14.25" customHeight="1">
      <c r="A4162" s="740"/>
    </row>
    <row r="4163" ht="14.25" customHeight="1">
      <c r="A4163" s="740"/>
    </row>
    <row r="4164" ht="14.25" customHeight="1">
      <c r="A4164" s="740"/>
    </row>
    <row r="4165" ht="14.25" customHeight="1">
      <c r="A4165" s="740"/>
    </row>
    <row r="4166" ht="14.25" customHeight="1">
      <c r="A4166" s="740"/>
    </row>
    <row r="4167" ht="14.25" customHeight="1">
      <c r="A4167" s="740"/>
    </row>
    <row r="4168" ht="14.25" customHeight="1">
      <c r="A4168" s="740"/>
    </row>
    <row r="4169" ht="14.25" customHeight="1">
      <c r="A4169" s="740"/>
    </row>
    <row r="4170" ht="14.25" customHeight="1">
      <c r="A4170" s="740"/>
    </row>
    <row r="4171" ht="14.25" customHeight="1">
      <c r="A4171" s="740"/>
    </row>
    <row r="4172" ht="14.25" customHeight="1">
      <c r="A4172" s="740"/>
    </row>
    <row r="4173" ht="14.25" customHeight="1">
      <c r="A4173" s="740"/>
    </row>
    <row r="4174" ht="14.25" customHeight="1">
      <c r="A4174" s="740"/>
    </row>
    <row r="4175" ht="14.25" customHeight="1">
      <c r="A4175" s="740"/>
    </row>
    <row r="4176" ht="14.25" customHeight="1">
      <c r="A4176" s="740"/>
    </row>
    <row r="4177" ht="14.25" customHeight="1">
      <c r="A4177" s="740"/>
    </row>
    <row r="4178" ht="14.25" customHeight="1">
      <c r="A4178" s="740"/>
    </row>
    <row r="4179" ht="14.25" customHeight="1">
      <c r="A4179" s="740"/>
    </row>
    <row r="4180" ht="14.25" customHeight="1">
      <c r="A4180" s="740"/>
    </row>
    <row r="4181" ht="14.25" customHeight="1">
      <c r="A4181" s="740"/>
    </row>
    <row r="4182" ht="14.25" customHeight="1">
      <c r="A4182" s="740"/>
    </row>
    <row r="4183" ht="14.25" customHeight="1">
      <c r="A4183" s="740"/>
    </row>
    <row r="4184" ht="14.25" customHeight="1">
      <c r="A4184" s="740"/>
    </row>
    <row r="4185" ht="14.25" customHeight="1">
      <c r="A4185" s="740"/>
    </row>
    <row r="4186" ht="14.25" customHeight="1">
      <c r="A4186" s="740"/>
    </row>
    <row r="4187" ht="14.25" customHeight="1">
      <c r="A4187" s="740"/>
    </row>
    <row r="4188" ht="14.25" customHeight="1">
      <c r="A4188" s="740"/>
    </row>
    <row r="4189" ht="14.25" customHeight="1">
      <c r="A4189" s="740"/>
    </row>
    <row r="4190" ht="14.25" customHeight="1">
      <c r="A4190" s="740"/>
    </row>
    <row r="4191" ht="14.25" customHeight="1">
      <c r="A4191" s="740"/>
    </row>
    <row r="4192" ht="14.25" customHeight="1">
      <c r="A4192" s="740"/>
    </row>
    <row r="4193" ht="14.25" customHeight="1">
      <c r="A4193" s="740"/>
    </row>
    <row r="4194" ht="14.25" customHeight="1">
      <c r="A4194" s="740"/>
    </row>
    <row r="4195" ht="14.25" customHeight="1">
      <c r="A4195" s="740"/>
    </row>
    <row r="4196" ht="14.25" customHeight="1">
      <c r="A4196" s="740"/>
    </row>
    <row r="4197" ht="14.25" customHeight="1">
      <c r="A4197" s="740"/>
    </row>
    <row r="4198" ht="14.25" customHeight="1">
      <c r="A4198" s="740"/>
    </row>
    <row r="4199" ht="14.25" customHeight="1">
      <c r="A4199" s="740"/>
    </row>
    <row r="4200" ht="14.25" customHeight="1">
      <c r="A4200" s="740"/>
    </row>
    <row r="4201" ht="14.25" customHeight="1">
      <c r="A4201" s="740"/>
    </row>
    <row r="4202" ht="14.25" customHeight="1">
      <c r="A4202" s="740"/>
    </row>
    <row r="4203" ht="14.25" customHeight="1">
      <c r="A4203" s="740"/>
    </row>
    <row r="4204" ht="14.25" customHeight="1">
      <c r="A4204" s="740"/>
    </row>
    <row r="4205" ht="14.25" customHeight="1">
      <c r="A4205" s="740"/>
    </row>
    <row r="4206" ht="14.25" customHeight="1">
      <c r="A4206" s="740"/>
    </row>
    <row r="4207" ht="14.25" customHeight="1">
      <c r="A4207" s="740"/>
    </row>
    <row r="4208" ht="14.25" customHeight="1">
      <c r="A4208" s="740"/>
    </row>
    <row r="4209" ht="14.25" customHeight="1">
      <c r="A4209" s="740"/>
    </row>
    <row r="4210" ht="14.25" customHeight="1">
      <c r="A4210" s="740"/>
    </row>
    <row r="4211" ht="14.25" customHeight="1">
      <c r="A4211" s="740"/>
    </row>
    <row r="4212" ht="14.25" customHeight="1">
      <c r="A4212" s="740"/>
    </row>
    <row r="4213" ht="14.25" customHeight="1">
      <c r="A4213" s="740"/>
    </row>
    <row r="4214" ht="14.25" customHeight="1">
      <c r="A4214" s="740"/>
    </row>
    <row r="4215" ht="14.25" customHeight="1">
      <c r="A4215" s="740"/>
    </row>
    <row r="4216" ht="14.25" customHeight="1">
      <c r="A4216" s="740"/>
    </row>
    <row r="4217" ht="14.25" customHeight="1">
      <c r="A4217" s="740"/>
    </row>
    <row r="4218" ht="14.25" customHeight="1">
      <c r="A4218" s="740"/>
    </row>
    <row r="4219" ht="14.25" customHeight="1">
      <c r="A4219" s="740"/>
    </row>
    <row r="4220" ht="14.25" customHeight="1">
      <c r="A4220" s="740"/>
    </row>
    <row r="4221" ht="14.25" customHeight="1">
      <c r="A4221" s="740"/>
    </row>
    <row r="4222" ht="14.25" customHeight="1">
      <c r="A4222" s="740"/>
    </row>
    <row r="4223" ht="14.25" customHeight="1">
      <c r="A4223" s="740"/>
    </row>
    <row r="4224" ht="14.25" customHeight="1">
      <c r="A4224" s="740"/>
    </row>
    <row r="4225" ht="14.25" customHeight="1">
      <c r="A4225" s="740"/>
    </row>
    <row r="4226" ht="14.25" customHeight="1">
      <c r="A4226" s="740"/>
    </row>
    <row r="4227" ht="14.25" customHeight="1">
      <c r="A4227" s="740"/>
    </row>
    <row r="4228" ht="14.25" customHeight="1">
      <c r="A4228" s="740"/>
    </row>
    <row r="4229" ht="14.25" customHeight="1">
      <c r="A4229" s="740"/>
    </row>
    <row r="4230" ht="14.25" customHeight="1">
      <c r="A4230" s="740"/>
    </row>
    <row r="4231" ht="14.25" customHeight="1">
      <c r="A4231" s="740"/>
    </row>
    <row r="4232" ht="14.25" customHeight="1">
      <c r="A4232" s="740"/>
    </row>
    <row r="4233" ht="14.25" customHeight="1">
      <c r="A4233" s="740"/>
    </row>
    <row r="4234" ht="14.25" customHeight="1">
      <c r="A4234" s="740"/>
    </row>
    <row r="4235" ht="14.25" customHeight="1">
      <c r="A4235" s="740"/>
    </row>
    <row r="4236" ht="14.25" customHeight="1">
      <c r="A4236" s="740"/>
    </row>
    <row r="4237" ht="14.25" customHeight="1">
      <c r="A4237" s="740"/>
    </row>
    <row r="4238" ht="14.25" customHeight="1">
      <c r="A4238" s="740"/>
    </row>
    <row r="4239" ht="14.25" customHeight="1">
      <c r="A4239" s="740"/>
    </row>
    <row r="4240" ht="14.25" customHeight="1">
      <c r="A4240" s="740"/>
    </row>
    <row r="4241" ht="14.25" customHeight="1">
      <c r="A4241" s="740"/>
    </row>
    <row r="4242" ht="14.25" customHeight="1">
      <c r="A4242" s="740"/>
    </row>
    <row r="4243" ht="14.25" customHeight="1">
      <c r="A4243" s="740"/>
    </row>
    <row r="4244" ht="14.25" customHeight="1">
      <c r="A4244" s="740"/>
    </row>
    <row r="4245" ht="14.25" customHeight="1">
      <c r="A4245" s="740"/>
    </row>
    <row r="4246" ht="14.25" customHeight="1">
      <c r="A4246" s="740"/>
    </row>
    <row r="4247" ht="14.25" customHeight="1">
      <c r="A4247" s="740"/>
    </row>
    <row r="4248" ht="14.25" customHeight="1">
      <c r="A4248" s="740"/>
    </row>
    <row r="4249" ht="14.25" customHeight="1">
      <c r="A4249" s="740"/>
    </row>
    <row r="4250" ht="14.25" customHeight="1">
      <c r="A4250" s="740"/>
    </row>
    <row r="4251" ht="14.25" customHeight="1">
      <c r="A4251" s="740"/>
    </row>
    <row r="4252" ht="14.25" customHeight="1">
      <c r="A4252" s="740"/>
    </row>
    <row r="4253" ht="14.25" customHeight="1">
      <c r="A4253" s="740"/>
    </row>
    <row r="4254" ht="14.25" customHeight="1">
      <c r="A4254" s="740"/>
    </row>
    <row r="4255" ht="14.25" customHeight="1">
      <c r="A4255" s="740"/>
    </row>
    <row r="4256" ht="14.25" customHeight="1">
      <c r="A4256" s="740"/>
    </row>
    <row r="4257" ht="14.25" customHeight="1">
      <c r="A4257" s="740"/>
    </row>
    <row r="4258" ht="14.25" customHeight="1">
      <c r="A4258" s="740"/>
    </row>
    <row r="4259" ht="14.25" customHeight="1">
      <c r="A4259" s="740"/>
    </row>
    <row r="4260" ht="14.25" customHeight="1">
      <c r="A4260" s="740"/>
    </row>
    <row r="4261" ht="14.25" customHeight="1">
      <c r="A4261" s="740"/>
    </row>
    <row r="4262" ht="14.25" customHeight="1">
      <c r="A4262" s="740"/>
    </row>
    <row r="4263" ht="14.25" customHeight="1">
      <c r="A4263" s="740"/>
    </row>
    <row r="4264" ht="14.25" customHeight="1">
      <c r="A4264" s="740"/>
    </row>
    <row r="4265" ht="14.25" customHeight="1">
      <c r="A4265" s="740"/>
    </row>
    <row r="4266" ht="14.25" customHeight="1">
      <c r="A4266" s="740"/>
    </row>
    <row r="4267" ht="14.25" customHeight="1">
      <c r="A4267" s="740"/>
    </row>
    <row r="4268" ht="14.25" customHeight="1">
      <c r="A4268" s="740"/>
    </row>
    <row r="4269" ht="14.25" customHeight="1">
      <c r="A4269" s="740"/>
    </row>
    <row r="4270" ht="14.25" customHeight="1">
      <c r="A4270" s="740"/>
    </row>
    <row r="4271" ht="14.25" customHeight="1">
      <c r="A4271" s="740"/>
    </row>
    <row r="4272" ht="14.25" customHeight="1">
      <c r="A4272" s="740"/>
    </row>
    <row r="4273" ht="14.25" customHeight="1">
      <c r="A4273" s="740"/>
    </row>
    <row r="4274" ht="14.25" customHeight="1">
      <c r="A4274" s="740"/>
    </row>
    <row r="4275" ht="14.25" customHeight="1">
      <c r="A4275" s="740"/>
    </row>
    <row r="4276" ht="14.25" customHeight="1">
      <c r="A4276" s="740"/>
    </row>
    <row r="4277" ht="14.25" customHeight="1">
      <c r="A4277" s="740"/>
    </row>
    <row r="4278" ht="14.25" customHeight="1">
      <c r="A4278" s="740"/>
    </row>
    <row r="4279" ht="14.25" customHeight="1">
      <c r="A4279" s="740"/>
    </row>
    <row r="4280" ht="14.25" customHeight="1">
      <c r="A4280" s="740"/>
    </row>
    <row r="4281" ht="14.25" customHeight="1">
      <c r="A4281" s="740"/>
    </row>
    <row r="4282" ht="14.25" customHeight="1">
      <c r="A4282" s="740"/>
    </row>
    <row r="4283" ht="14.25" customHeight="1">
      <c r="A4283" s="740"/>
    </row>
    <row r="4284" ht="14.25" customHeight="1">
      <c r="A4284" s="740"/>
    </row>
    <row r="4285" ht="14.25" customHeight="1">
      <c r="A4285" s="740"/>
    </row>
    <row r="4286" ht="14.25" customHeight="1">
      <c r="A4286" s="740"/>
    </row>
    <row r="4287" ht="14.25" customHeight="1">
      <c r="A4287" s="740"/>
    </row>
    <row r="4288" ht="14.25" customHeight="1">
      <c r="A4288" s="740"/>
    </row>
    <row r="4289" ht="14.25" customHeight="1">
      <c r="A4289" s="740"/>
    </row>
    <row r="4290" ht="14.25" customHeight="1">
      <c r="A4290" s="740"/>
    </row>
    <row r="4291" ht="14.25" customHeight="1">
      <c r="A4291" s="740"/>
    </row>
    <row r="4292" ht="14.25" customHeight="1">
      <c r="A4292" s="740"/>
    </row>
    <row r="4293" ht="14.25" customHeight="1">
      <c r="A4293" s="740"/>
    </row>
    <row r="4294" ht="14.25" customHeight="1">
      <c r="A4294" s="740"/>
    </row>
    <row r="4295" ht="14.25" customHeight="1">
      <c r="A4295" s="740"/>
    </row>
    <row r="4296" ht="14.25" customHeight="1">
      <c r="A4296" s="740"/>
    </row>
    <row r="4297" ht="14.25" customHeight="1">
      <c r="A4297" s="740"/>
    </row>
    <row r="4298" ht="14.25" customHeight="1">
      <c r="A4298" s="740"/>
    </row>
    <row r="4299" ht="14.25" customHeight="1">
      <c r="A4299" s="740"/>
    </row>
    <row r="4300" ht="14.25" customHeight="1">
      <c r="A4300" s="740"/>
    </row>
    <row r="4301" ht="14.25" customHeight="1">
      <c r="A4301" s="740"/>
    </row>
    <row r="4302" ht="14.25" customHeight="1">
      <c r="A4302" s="740"/>
    </row>
    <row r="4303" ht="14.25" customHeight="1">
      <c r="A4303" s="740"/>
    </row>
    <row r="4304" ht="14.25" customHeight="1">
      <c r="A4304" s="740"/>
    </row>
    <row r="4305" ht="14.25" customHeight="1">
      <c r="A4305" s="740"/>
    </row>
    <row r="4306" ht="14.25" customHeight="1">
      <c r="A4306" s="740"/>
    </row>
    <row r="4307" ht="14.25" customHeight="1">
      <c r="A4307" s="740"/>
    </row>
    <row r="4308" ht="14.25" customHeight="1">
      <c r="A4308" s="740"/>
    </row>
    <row r="4309" ht="14.25" customHeight="1">
      <c r="A4309" s="740"/>
    </row>
    <row r="4310" ht="14.25" customHeight="1">
      <c r="A4310" s="740"/>
    </row>
    <row r="4311" ht="14.25" customHeight="1">
      <c r="A4311" s="740"/>
    </row>
    <row r="4312" ht="14.25" customHeight="1">
      <c r="A4312" s="740"/>
    </row>
    <row r="4313" ht="14.25" customHeight="1">
      <c r="A4313" s="740"/>
    </row>
    <row r="4314" ht="14.25" customHeight="1">
      <c r="A4314" s="740"/>
    </row>
    <row r="4315" ht="14.25" customHeight="1">
      <c r="A4315" s="740"/>
    </row>
    <row r="4316" ht="14.25" customHeight="1">
      <c r="A4316" s="740"/>
    </row>
    <row r="4317" ht="14.25" customHeight="1">
      <c r="A4317" s="740"/>
    </row>
    <row r="4318" ht="14.25" customHeight="1">
      <c r="A4318" s="740"/>
    </row>
    <row r="4319" ht="14.25" customHeight="1">
      <c r="A4319" s="740"/>
    </row>
    <row r="4320" ht="14.25" customHeight="1">
      <c r="A4320" s="740"/>
    </row>
    <row r="4321" ht="14.25" customHeight="1">
      <c r="A4321" s="740"/>
    </row>
    <row r="4322" ht="14.25" customHeight="1">
      <c r="A4322" s="740"/>
    </row>
    <row r="4323" ht="14.25" customHeight="1">
      <c r="A4323" s="740"/>
    </row>
    <row r="4324" ht="14.25" customHeight="1">
      <c r="A4324" s="740"/>
    </row>
    <row r="4325" ht="14.25" customHeight="1">
      <c r="A4325" s="740"/>
    </row>
    <row r="4326" ht="14.25" customHeight="1">
      <c r="A4326" s="740"/>
    </row>
    <row r="4327" ht="14.25" customHeight="1">
      <c r="A4327" s="740"/>
    </row>
    <row r="4328" ht="14.25" customHeight="1">
      <c r="A4328" s="740"/>
    </row>
    <row r="4329" ht="14.25" customHeight="1">
      <c r="A4329" s="740"/>
    </row>
    <row r="4330" ht="14.25" customHeight="1">
      <c r="A4330" s="740"/>
    </row>
    <row r="4331" ht="14.25" customHeight="1">
      <c r="A4331" s="740"/>
    </row>
    <row r="4332" ht="14.25" customHeight="1">
      <c r="A4332" s="740"/>
    </row>
    <row r="4333" ht="14.25" customHeight="1">
      <c r="A4333" s="740"/>
    </row>
    <row r="4334" ht="14.25" customHeight="1">
      <c r="A4334" s="740"/>
    </row>
    <row r="4335" ht="14.25" customHeight="1">
      <c r="A4335" s="740"/>
    </row>
    <row r="4336" ht="14.25" customHeight="1">
      <c r="A4336" s="740"/>
    </row>
    <row r="4337" ht="14.25" customHeight="1">
      <c r="A4337" s="740"/>
    </row>
    <row r="4338" ht="14.25" customHeight="1">
      <c r="A4338" s="740"/>
    </row>
    <row r="4339" ht="14.25" customHeight="1">
      <c r="A4339" s="740"/>
    </row>
    <row r="4340" ht="14.25" customHeight="1">
      <c r="A4340" s="740"/>
    </row>
    <row r="4341" ht="14.25" customHeight="1">
      <c r="A4341" s="740"/>
    </row>
    <row r="4342" ht="14.25" customHeight="1">
      <c r="A4342" s="740"/>
    </row>
    <row r="4343" ht="14.25" customHeight="1">
      <c r="A4343" s="740"/>
    </row>
    <row r="4344" ht="14.25" customHeight="1">
      <c r="A4344" s="740"/>
    </row>
    <row r="4345" ht="14.25" customHeight="1">
      <c r="A4345" s="740"/>
    </row>
    <row r="4346" ht="14.25" customHeight="1">
      <c r="A4346" s="740"/>
    </row>
    <row r="4347" ht="14.25" customHeight="1">
      <c r="A4347" s="740"/>
    </row>
    <row r="4348" ht="14.25" customHeight="1">
      <c r="A4348" s="740"/>
    </row>
    <row r="4349" ht="14.25" customHeight="1">
      <c r="A4349" s="740"/>
    </row>
    <row r="4350" ht="14.25" customHeight="1">
      <c r="A4350" s="740"/>
    </row>
    <row r="4351" ht="14.25" customHeight="1">
      <c r="A4351" s="740"/>
    </row>
    <row r="4352" ht="14.25" customHeight="1">
      <c r="A4352" s="740"/>
    </row>
    <row r="4353" ht="14.25" customHeight="1">
      <c r="A4353" s="740"/>
    </row>
    <row r="4354" ht="14.25" customHeight="1">
      <c r="A4354" s="740"/>
    </row>
    <row r="4355" ht="14.25" customHeight="1">
      <c r="A4355" s="740"/>
    </row>
    <row r="4356" ht="14.25" customHeight="1">
      <c r="A4356" s="740"/>
    </row>
    <row r="4357" ht="14.25" customHeight="1">
      <c r="A4357" s="740"/>
    </row>
    <row r="4358" ht="14.25" customHeight="1">
      <c r="A4358" s="740"/>
    </row>
    <row r="4359" ht="14.25" customHeight="1">
      <c r="A4359" s="740"/>
    </row>
    <row r="4360" ht="14.25" customHeight="1">
      <c r="A4360" s="740"/>
    </row>
    <row r="4361" ht="14.25" customHeight="1">
      <c r="A4361" s="740"/>
    </row>
    <row r="4362" ht="14.25" customHeight="1">
      <c r="A4362" s="740"/>
    </row>
    <row r="4363" ht="14.25" customHeight="1">
      <c r="A4363" s="740"/>
    </row>
    <row r="4364" ht="14.25" customHeight="1">
      <c r="A4364" s="740"/>
    </row>
    <row r="4365" ht="14.25" customHeight="1">
      <c r="A4365" s="740"/>
    </row>
    <row r="4366" ht="14.25" customHeight="1">
      <c r="A4366" s="740"/>
    </row>
    <row r="4367" ht="14.25" customHeight="1">
      <c r="A4367" s="740"/>
    </row>
    <row r="4368" ht="14.25" customHeight="1">
      <c r="A4368" s="740"/>
    </row>
    <row r="4369" ht="14.25" customHeight="1">
      <c r="A4369" s="740"/>
    </row>
    <row r="4370" ht="14.25" customHeight="1">
      <c r="A4370" s="740"/>
    </row>
    <row r="4371" ht="14.25" customHeight="1">
      <c r="A4371" s="740"/>
    </row>
    <row r="4372" ht="14.25" customHeight="1">
      <c r="A4372" s="740"/>
    </row>
    <row r="4373" ht="14.25" customHeight="1">
      <c r="A4373" s="740"/>
    </row>
    <row r="4374" ht="14.25" customHeight="1">
      <c r="A4374" s="740"/>
    </row>
    <row r="4375" ht="14.25" customHeight="1">
      <c r="A4375" s="740"/>
    </row>
    <row r="4376" ht="14.25" customHeight="1">
      <c r="A4376" s="740"/>
    </row>
    <row r="4377" ht="14.25" customHeight="1">
      <c r="A4377" s="740"/>
    </row>
    <row r="4378" ht="14.25" customHeight="1">
      <c r="A4378" s="740"/>
    </row>
    <row r="4379" ht="14.25" customHeight="1">
      <c r="A4379" s="740"/>
    </row>
    <row r="4380" ht="14.25" customHeight="1">
      <c r="A4380" s="740"/>
    </row>
    <row r="4381" ht="14.25" customHeight="1">
      <c r="A4381" s="740"/>
    </row>
    <row r="4382" ht="14.25" customHeight="1">
      <c r="A4382" s="740"/>
    </row>
    <row r="4383" ht="14.25" customHeight="1">
      <c r="A4383" s="740"/>
    </row>
    <row r="4384" ht="14.25" customHeight="1">
      <c r="A4384" s="740"/>
    </row>
    <row r="4385" ht="14.25" customHeight="1">
      <c r="A4385" s="740"/>
    </row>
    <row r="4386" ht="14.25" customHeight="1">
      <c r="A4386" s="740"/>
    </row>
    <row r="4387" ht="14.25" customHeight="1">
      <c r="A4387" s="740"/>
    </row>
    <row r="4388" ht="14.25" customHeight="1">
      <c r="A4388" s="740"/>
    </row>
    <row r="4389" ht="14.25" customHeight="1">
      <c r="A4389" s="740"/>
    </row>
    <row r="4390" ht="14.25" customHeight="1">
      <c r="A4390" s="740"/>
    </row>
    <row r="4391" ht="14.25" customHeight="1">
      <c r="A4391" s="740"/>
    </row>
    <row r="4392" ht="14.25" customHeight="1">
      <c r="A4392" s="740"/>
    </row>
    <row r="4393" ht="14.25" customHeight="1">
      <c r="A4393" s="740"/>
    </row>
    <row r="4394" ht="14.25" customHeight="1">
      <c r="A4394" s="740"/>
    </row>
    <row r="4395" ht="14.25" customHeight="1">
      <c r="A4395" s="740"/>
    </row>
    <row r="4396" ht="14.25" customHeight="1">
      <c r="A4396" s="740"/>
    </row>
    <row r="4397" ht="14.25" customHeight="1">
      <c r="A4397" s="740"/>
    </row>
    <row r="4398" ht="14.25" customHeight="1">
      <c r="A4398" s="740"/>
    </row>
    <row r="4399" ht="14.25" customHeight="1">
      <c r="A4399" s="740"/>
    </row>
    <row r="4400" ht="14.25" customHeight="1">
      <c r="A4400" s="740"/>
    </row>
    <row r="4401" ht="14.25" customHeight="1">
      <c r="A4401" s="740"/>
    </row>
    <row r="4402" ht="14.25" customHeight="1">
      <c r="A4402" s="740"/>
    </row>
    <row r="4403" ht="14.25" customHeight="1">
      <c r="A4403" s="740"/>
    </row>
    <row r="4404" ht="14.25" customHeight="1">
      <c r="A4404" s="740"/>
    </row>
    <row r="4405" ht="14.25" customHeight="1">
      <c r="A4405" s="740"/>
    </row>
    <row r="4406" ht="14.25" customHeight="1">
      <c r="A4406" s="740"/>
    </row>
    <row r="4407" ht="14.25" customHeight="1">
      <c r="A4407" s="740"/>
    </row>
    <row r="4408" ht="14.25" customHeight="1">
      <c r="A4408" s="740"/>
    </row>
    <row r="4409" ht="14.25" customHeight="1">
      <c r="A4409" s="740"/>
    </row>
    <row r="4410" ht="14.25" customHeight="1">
      <c r="A4410" s="740"/>
    </row>
    <row r="4411" ht="14.25" customHeight="1">
      <c r="A4411" s="740"/>
    </row>
    <row r="4412" ht="14.25" customHeight="1">
      <c r="A4412" s="740"/>
    </row>
    <row r="4413" ht="14.25" customHeight="1">
      <c r="A4413" s="740"/>
    </row>
    <row r="4414" ht="14.25" customHeight="1">
      <c r="A4414" s="740"/>
    </row>
    <row r="4415" ht="14.25" customHeight="1">
      <c r="A4415" s="740"/>
    </row>
    <row r="4416" ht="14.25" customHeight="1">
      <c r="A4416" s="740"/>
    </row>
    <row r="4417" ht="14.25" customHeight="1">
      <c r="A4417" s="740"/>
    </row>
    <row r="4418" ht="14.25" customHeight="1">
      <c r="A4418" s="740"/>
    </row>
    <row r="4419" ht="14.25" customHeight="1">
      <c r="A4419" s="740"/>
    </row>
    <row r="4420" ht="14.25" customHeight="1">
      <c r="A4420" s="740"/>
    </row>
    <row r="4421" ht="14.25" customHeight="1">
      <c r="A4421" s="740"/>
    </row>
    <row r="4422" ht="14.25" customHeight="1">
      <c r="A4422" s="740"/>
    </row>
    <row r="4423" ht="14.25" customHeight="1">
      <c r="A4423" s="740"/>
    </row>
    <row r="4424" ht="14.25" customHeight="1">
      <c r="A4424" s="740"/>
    </row>
    <row r="4425" ht="14.25" customHeight="1">
      <c r="A4425" s="740"/>
    </row>
    <row r="4426" ht="14.25" customHeight="1">
      <c r="A4426" s="740"/>
    </row>
    <row r="4427" ht="14.25" customHeight="1">
      <c r="A4427" s="740"/>
    </row>
    <row r="4428" ht="14.25" customHeight="1">
      <c r="A4428" s="740"/>
    </row>
    <row r="4429" ht="14.25" customHeight="1">
      <c r="A4429" s="740"/>
    </row>
    <row r="4430" ht="14.25" customHeight="1">
      <c r="A4430" s="740"/>
    </row>
    <row r="4431" ht="14.25" customHeight="1">
      <c r="A4431" s="740"/>
    </row>
    <row r="4432" ht="14.25" customHeight="1">
      <c r="A4432" s="740"/>
    </row>
    <row r="4433" ht="14.25" customHeight="1">
      <c r="A4433" s="740"/>
    </row>
    <row r="4434" ht="14.25" customHeight="1">
      <c r="A4434" s="740"/>
    </row>
    <row r="4435" ht="14.25" customHeight="1">
      <c r="A4435" s="740"/>
    </row>
    <row r="4436" ht="14.25" customHeight="1">
      <c r="A4436" s="740"/>
    </row>
    <row r="4437" ht="14.25" customHeight="1">
      <c r="A4437" s="740"/>
    </row>
    <row r="4438" ht="14.25" customHeight="1">
      <c r="A4438" s="740"/>
    </row>
    <row r="4439" ht="14.25" customHeight="1">
      <c r="A4439" s="740"/>
    </row>
    <row r="4440" ht="14.25" customHeight="1">
      <c r="A4440" s="740"/>
    </row>
    <row r="4441" ht="14.25" customHeight="1">
      <c r="A4441" s="740"/>
    </row>
    <row r="4442" ht="14.25" customHeight="1">
      <c r="A4442" s="740"/>
    </row>
    <row r="4443" ht="14.25" customHeight="1">
      <c r="A4443" s="740"/>
    </row>
    <row r="4444" ht="14.25" customHeight="1">
      <c r="A4444" s="740"/>
    </row>
    <row r="4445" ht="14.25" customHeight="1">
      <c r="A4445" s="740"/>
    </row>
    <row r="4446" ht="14.25" customHeight="1">
      <c r="A4446" s="740"/>
    </row>
    <row r="4447" ht="14.25" customHeight="1">
      <c r="A4447" s="740"/>
    </row>
    <row r="4448" ht="14.25" customHeight="1">
      <c r="A4448" s="740"/>
    </row>
    <row r="4449" ht="14.25" customHeight="1">
      <c r="A4449" s="740"/>
    </row>
    <row r="4450" ht="14.25" customHeight="1">
      <c r="A4450" s="740"/>
    </row>
    <row r="4451" ht="14.25" customHeight="1">
      <c r="A4451" s="740"/>
    </row>
    <row r="4452" ht="14.25" customHeight="1">
      <c r="A4452" s="740"/>
    </row>
    <row r="4453" ht="14.25" customHeight="1">
      <c r="A4453" s="740"/>
    </row>
    <row r="4454" ht="14.25" customHeight="1">
      <c r="A4454" s="740"/>
    </row>
    <row r="4455" ht="14.25" customHeight="1">
      <c r="A4455" s="740"/>
    </row>
    <row r="4456" ht="14.25" customHeight="1">
      <c r="A4456" s="740"/>
    </row>
    <row r="4457" ht="14.25" customHeight="1">
      <c r="A4457" s="740"/>
    </row>
    <row r="4458" ht="14.25" customHeight="1">
      <c r="A4458" s="740"/>
    </row>
    <row r="4459" ht="14.25" customHeight="1">
      <c r="A4459" s="740"/>
    </row>
    <row r="4460" ht="14.25" customHeight="1">
      <c r="A4460" s="740"/>
    </row>
    <row r="4461" ht="14.25" customHeight="1">
      <c r="A4461" s="740"/>
    </row>
    <row r="4462" ht="14.25" customHeight="1">
      <c r="A4462" s="740"/>
    </row>
    <row r="4463" ht="14.25" customHeight="1">
      <c r="A4463" s="740"/>
    </row>
    <row r="4464" ht="14.25" customHeight="1">
      <c r="A4464" s="740"/>
    </row>
    <row r="4465" ht="14.25" customHeight="1">
      <c r="A4465" s="740"/>
    </row>
    <row r="4466" ht="14.25" customHeight="1">
      <c r="A4466" s="740"/>
    </row>
    <row r="4467" ht="14.25" customHeight="1">
      <c r="A4467" s="740"/>
    </row>
    <row r="4468" ht="14.25" customHeight="1">
      <c r="A4468" s="740"/>
    </row>
    <row r="4469" ht="14.25" customHeight="1">
      <c r="A4469" s="740"/>
    </row>
    <row r="4470" ht="14.25" customHeight="1">
      <c r="A4470" s="740"/>
    </row>
    <row r="4471" ht="14.25" customHeight="1">
      <c r="A4471" s="740"/>
    </row>
    <row r="4472" ht="14.25" customHeight="1">
      <c r="A4472" s="740"/>
    </row>
    <row r="4473" ht="14.25" customHeight="1">
      <c r="A4473" s="740"/>
    </row>
    <row r="4474" ht="14.25" customHeight="1">
      <c r="A4474" s="740"/>
    </row>
    <row r="4475" ht="14.25" customHeight="1">
      <c r="A4475" s="740"/>
    </row>
    <row r="4476" ht="14.25" customHeight="1">
      <c r="A4476" s="740"/>
    </row>
    <row r="4477" ht="14.25" customHeight="1">
      <c r="A4477" s="740"/>
    </row>
    <row r="4478" ht="14.25" customHeight="1">
      <c r="A4478" s="740"/>
    </row>
    <row r="4479" ht="14.25" customHeight="1">
      <c r="A4479" s="740"/>
    </row>
    <row r="4480" ht="14.25" customHeight="1">
      <c r="A4480" s="740"/>
    </row>
    <row r="4481" ht="14.25" customHeight="1">
      <c r="A4481" s="740"/>
    </row>
    <row r="4482" ht="14.25" customHeight="1">
      <c r="A4482" s="740"/>
    </row>
    <row r="4483" ht="14.25" customHeight="1">
      <c r="A4483" s="740"/>
    </row>
    <row r="4484" ht="14.25" customHeight="1">
      <c r="A4484" s="740"/>
    </row>
    <row r="4485" ht="14.25" customHeight="1">
      <c r="A4485" s="740"/>
    </row>
    <row r="4486" ht="14.25" customHeight="1">
      <c r="A4486" s="740"/>
    </row>
    <row r="4487" ht="14.25" customHeight="1">
      <c r="A4487" s="740"/>
    </row>
    <row r="4488" ht="14.25" customHeight="1">
      <c r="A4488" s="740"/>
    </row>
    <row r="4489" ht="14.25" customHeight="1">
      <c r="A4489" s="740"/>
    </row>
    <row r="4490" ht="14.25" customHeight="1">
      <c r="A4490" s="740"/>
    </row>
    <row r="4491" ht="14.25" customHeight="1">
      <c r="A4491" s="740"/>
    </row>
    <row r="4492" ht="14.25" customHeight="1">
      <c r="A4492" s="740"/>
    </row>
    <row r="4493" ht="14.25" customHeight="1">
      <c r="A4493" s="740"/>
    </row>
    <row r="4494" ht="14.25" customHeight="1">
      <c r="A4494" s="740"/>
    </row>
    <row r="4495" ht="14.25" customHeight="1">
      <c r="A4495" s="740"/>
    </row>
    <row r="4496" ht="14.25" customHeight="1">
      <c r="A4496" s="740"/>
    </row>
    <row r="4497" ht="14.25" customHeight="1">
      <c r="A4497" s="740"/>
    </row>
    <row r="4498" ht="14.25" customHeight="1">
      <c r="A4498" s="740"/>
    </row>
    <row r="4499" ht="14.25" customHeight="1">
      <c r="A4499" s="740"/>
    </row>
    <row r="4500" ht="14.25" customHeight="1">
      <c r="A4500" s="740"/>
    </row>
    <row r="4501" ht="14.25" customHeight="1">
      <c r="A4501" s="740"/>
    </row>
    <row r="4502" ht="14.25" customHeight="1">
      <c r="A4502" s="740"/>
    </row>
    <row r="4503" ht="14.25" customHeight="1">
      <c r="A4503" s="740"/>
    </row>
    <row r="4504" ht="14.25" customHeight="1">
      <c r="A4504" s="740"/>
    </row>
    <row r="4505" ht="14.25" customHeight="1">
      <c r="A4505" s="740"/>
    </row>
    <row r="4506" ht="14.25" customHeight="1">
      <c r="A4506" s="740"/>
    </row>
    <row r="4507" ht="14.25" customHeight="1">
      <c r="A4507" s="740"/>
    </row>
    <row r="4508" ht="14.25" customHeight="1">
      <c r="A4508" s="740"/>
    </row>
    <row r="4509" ht="14.25" customHeight="1">
      <c r="A4509" s="740"/>
    </row>
    <row r="4510" ht="14.25" customHeight="1">
      <c r="A4510" s="740"/>
    </row>
    <row r="4511" ht="14.25" customHeight="1">
      <c r="A4511" s="740"/>
    </row>
    <row r="4512" ht="14.25" customHeight="1">
      <c r="A4512" s="740"/>
    </row>
    <row r="4513" ht="14.25" customHeight="1">
      <c r="A4513" s="740"/>
    </row>
    <row r="4514" ht="14.25" customHeight="1">
      <c r="A4514" s="740"/>
    </row>
    <row r="4515" ht="14.25" customHeight="1">
      <c r="A4515" s="740"/>
    </row>
    <row r="4516" ht="14.25" customHeight="1">
      <c r="A4516" s="740"/>
    </row>
    <row r="4517" ht="14.25" customHeight="1">
      <c r="A4517" s="740"/>
    </row>
    <row r="4518" ht="14.25" customHeight="1">
      <c r="A4518" s="740"/>
    </row>
    <row r="4519" ht="14.25" customHeight="1">
      <c r="A4519" s="740"/>
    </row>
    <row r="4520" ht="14.25" customHeight="1">
      <c r="A4520" s="740"/>
    </row>
    <row r="4521" ht="14.25" customHeight="1">
      <c r="A4521" s="740"/>
    </row>
    <row r="4522" ht="14.25" customHeight="1">
      <c r="A4522" s="740"/>
    </row>
    <row r="4523" ht="14.25" customHeight="1">
      <c r="A4523" s="740"/>
    </row>
    <row r="4524" ht="14.25" customHeight="1">
      <c r="A4524" s="740"/>
    </row>
    <row r="4525" ht="14.25" customHeight="1">
      <c r="A4525" s="740"/>
    </row>
    <row r="4526" ht="14.25" customHeight="1">
      <c r="A4526" s="740"/>
    </row>
    <row r="4527" ht="14.25" customHeight="1">
      <c r="A4527" s="740"/>
    </row>
    <row r="4528" ht="14.25" customHeight="1">
      <c r="A4528" s="740"/>
    </row>
    <row r="4529" ht="14.25" customHeight="1">
      <c r="A4529" s="740"/>
    </row>
    <row r="4530" ht="14.25" customHeight="1">
      <c r="A4530" s="740"/>
    </row>
    <row r="4531" ht="14.25" customHeight="1">
      <c r="A4531" s="740"/>
    </row>
    <row r="4532" ht="14.25" customHeight="1">
      <c r="A4532" s="740"/>
    </row>
    <row r="4533" ht="14.25" customHeight="1">
      <c r="A4533" s="740"/>
    </row>
    <row r="4534" ht="14.25" customHeight="1">
      <c r="A4534" s="740"/>
    </row>
    <row r="4535" ht="14.25" customHeight="1">
      <c r="A4535" s="740"/>
    </row>
    <row r="4536" ht="14.25" customHeight="1">
      <c r="A4536" s="740"/>
    </row>
    <row r="4537" ht="14.25" customHeight="1">
      <c r="A4537" s="740"/>
    </row>
    <row r="4538" ht="14.25" customHeight="1">
      <c r="A4538" s="740"/>
    </row>
    <row r="4539" ht="14.25" customHeight="1">
      <c r="A4539" s="740"/>
    </row>
    <row r="4540" ht="14.25" customHeight="1">
      <c r="A4540" s="740"/>
    </row>
    <row r="4541" ht="14.25" customHeight="1">
      <c r="A4541" s="740"/>
    </row>
    <row r="4542" ht="14.25" customHeight="1">
      <c r="A4542" s="740"/>
    </row>
    <row r="4543" ht="14.25" customHeight="1">
      <c r="A4543" s="740"/>
    </row>
    <row r="4544" ht="14.25" customHeight="1">
      <c r="A4544" s="740"/>
    </row>
    <row r="4545" ht="14.25" customHeight="1">
      <c r="A4545" s="740"/>
    </row>
    <row r="4546" ht="14.25" customHeight="1">
      <c r="A4546" s="740"/>
    </row>
    <row r="4547" ht="14.25" customHeight="1">
      <c r="A4547" s="740"/>
    </row>
    <row r="4548" ht="14.25" customHeight="1">
      <c r="A4548" s="740"/>
    </row>
    <row r="4549" ht="14.25" customHeight="1">
      <c r="A4549" s="740"/>
    </row>
    <row r="4550" ht="14.25" customHeight="1">
      <c r="A4550" s="740"/>
    </row>
    <row r="4551" ht="14.25" customHeight="1">
      <c r="A4551" s="740"/>
    </row>
    <row r="4552" ht="14.25" customHeight="1">
      <c r="A4552" s="740"/>
    </row>
    <row r="4553" ht="14.25" customHeight="1">
      <c r="A4553" s="740"/>
    </row>
    <row r="4554" ht="14.25" customHeight="1">
      <c r="A4554" s="740"/>
    </row>
    <row r="4555" ht="14.25" customHeight="1">
      <c r="A4555" s="740"/>
    </row>
    <row r="4556" ht="14.25" customHeight="1">
      <c r="A4556" s="740"/>
    </row>
    <row r="4557" ht="14.25" customHeight="1">
      <c r="A4557" s="740"/>
    </row>
    <row r="4558" ht="14.25" customHeight="1">
      <c r="A4558" s="740"/>
    </row>
    <row r="4559" ht="14.25" customHeight="1">
      <c r="A4559" s="740"/>
    </row>
    <row r="4560" ht="14.25" customHeight="1">
      <c r="A4560" s="740"/>
    </row>
    <row r="4561" ht="14.25" customHeight="1">
      <c r="A4561" s="740"/>
    </row>
    <row r="4562" ht="14.25" customHeight="1">
      <c r="A4562" s="740"/>
    </row>
    <row r="4563" ht="14.25" customHeight="1">
      <c r="A4563" s="740"/>
    </row>
    <row r="4564" ht="14.25" customHeight="1">
      <c r="A4564" s="740"/>
    </row>
    <row r="4565" ht="14.25" customHeight="1">
      <c r="A4565" s="740"/>
    </row>
    <row r="4566" ht="14.25" customHeight="1">
      <c r="A4566" s="740"/>
    </row>
    <row r="4567" ht="14.25" customHeight="1">
      <c r="A4567" s="740"/>
    </row>
    <row r="4568" ht="14.25" customHeight="1">
      <c r="A4568" s="740"/>
    </row>
    <row r="4569" ht="14.25" customHeight="1">
      <c r="A4569" s="740"/>
    </row>
    <row r="4570" ht="14.25" customHeight="1">
      <c r="A4570" s="740"/>
    </row>
    <row r="4571" ht="14.25" customHeight="1">
      <c r="A4571" s="740"/>
    </row>
    <row r="4572" ht="14.25" customHeight="1">
      <c r="A4572" s="740"/>
    </row>
    <row r="4573" ht="14.25" customHeight="1">
      <c r="A4573" s="740"/>
    </row>
    <row r="4574" ht="14.25" customHeight="1">
      <c r="A4574" s="740"/>
    </row>
    <row r="4575" ht="14.25" customHeight="1">
      <c r="A4575" s="740"/>
    </row>
    <row r="4576" ht="14.25" customHeight="1">
      <c r="A4576" s="740"/>
    </row>
    <row r="4577" ht="14.25" customHeight="1">
      <c r="A4577" s="740"/>
    </row>
    <row r="4578" ht="14.25" customHeight="1">
      <c r="A4578" s="740"/>
    </row>
    <row r="4579" ht="14.25" customHeight="1">
      <c r="A4579" s="740"/>
    </row>
    <row r="4580" ht="14.25" customHeight="1">
      <c r="A4580" s="740"/>
    </row>
    <row r="4581" ht="14.25" customHeight="1">
      <c r="A4581" s="740"/>
    </row>
    <row r="4582" ht="14.25" customHeight="1">
      <c r="A4582" s="740"/>
    </row>
    <row r="4583" ht="14.25" customHeight="1">
      <c r="A4583" s="740"/>
    </row>
    <row r="4584" ht="14.25" customHeight="1">
      <c r="A4584" s="740"/>
    </row>
    <row r="4585" ht="14.25" customHeight="1">
      <c r="A4585" s="740"/>
    </row>
    <row r="4586" ht="14.25" customHeight="1">
      <c r="A4586" s="740"/>
    </row>
    <row r="4587" ht="14.25" customHeight="1">
      <c r="A4587" s="740"/>
    </row>
    <row r="4588" ht="14.25" customHeight="1">
      <c r="A4588" s="740"/>
    </row>
    <row r="4589" ht="14.25" customHeight="1">
      <c r="A4589" s="740"/>
    </row>
    <row r="4590" ht="14.25" customHeight="1">
      <c r="A4590" s="740"/>
    </row>
    <row r="4591" ht="14.25" customHeight="1">
      <c r="A4591" s="740"/>
    </row>
    <row r="4592" ht="14.25" customHeight="1">
      <c r="A4592" s="740"/>
    </row>
    <row r="4593" ht="14.25" customHeight="1">
      <c r="A4593" s="740"/>
    </row>
    <row r="4594" ht="14.25" customHeight="1">
      <c r="A4594" s="740"/>
    </row>
    <row r="4595" ht="14.25" customHeight="1">
      <c r="A4595" s="740"/>
    </row>
    <row r="4596" ht="14.25" customHeight="1">
      <c r="A4596" s="740"/>
    </row>
    <row r="4597" ht="14.25" customHeight="1">
      <c r="A4597" s="740"/>
    </row>
    <row r="4598" ht="14.25" customHeight="1">
      <c r="A4598" s="740"/>
    </row>
    <row r="4599" ht="14.25" customHeight="1">
      <c r="A4599" s="740"/>
    </row>
    <row r="4600" ht="14.25" customHeight="1">
      <c r="A4600" s="740"/>
    </row>
    <row r="4601" ht="14.25" customHeight="1">
      <c r="A4601" s="740"/>
    </row>
    <row r="4602" ht="14.25" customHeight="1">
      <c r="A4602" s="740"/>
    </row>
    <row r="4603" ht="14.25" customHeight="1">
      <c r="A4603" s="740"/>
    </row>
    <row r="4604" ht="14.25" customHeight="1">
      <c r="A4604" s="740"/>
    </row>
    <row r="4605" ht="14.25" customHeight="1">
      <c r="A4605" s="740"/>
    </row>
    <row r="4606" ht="14.25" customHeight="1">
      <c r="A4606" s="740"/>
    </row>
    <row r="4607" ht="14.25" customHeight="1">
      <c r="A4607" s="740"/>
    </row>
    <row r="4608" ht="14.25" customHeight="1">
      <c r="A4608" s="740"/>
    </row>
    <row r="4609" ht="14.25" customHeight="1">
      <c r="A4609" s="740"/>
    </row>
    <row r="4610" ht="14.25" customHeight="1">
      <c r="A4610" s="740"/>
    </row>
    <row r="4611" ht="14.25" customHeight="1">
      <c r="A4611" s="740"/>
    </row>
    <row r="4612" ht="14.25" customHeight="1">
      <c r="A4612" s="740"/>
    </row>
    <row r="4613" ht="14.25" customHeight="1">
      <c r="A4613" s="740"/>
    </row>
    <row r="4614" ht="14.25" customHeight="1">
      <c r="A4614" s="740"/>
    </row>
    <row r="4615" ht="14.25" customHeight="1">
      <c r="A4615" s="740"/>
    </row>
    <row r="4616" ht="14.25" customHeight="1">
      <c r="A4616" s="740"/>
    </row>
    <row r="4617" ht="14.25" customHeight="1">
      <c r="A4617" s="740"/>
    </row>
    <row r="4618" ht="14.25" customHeight="1">
      <c r="A4618" s="740"/>
    </row>
    <row r="4619" ht="14.25" customHeight="1">
      <c r="A4619" s="740"/>
    </row>
    <row r="4620" ht="14.25" customHeight="1">
      <c r="A4620" s="740"/>
    </row>
    <row r="4621" ht="14.25" customHeight="1">
      <c r="A4621" s="740"/>
    </row>
    <row r="4622" ht="14.25" customHeight="1">
      <c r="A4622" s="740"/>
    </row>
    <row r="4623" ht="14.25" customHeight="1">
      <c r="A4623" s="740"/>
    </row>
    <row r="4624" ht="14.25" customHeight="1">
      <c r="A4624" s="740"/>
    </row>
    <row r="4625" ht="14.25" customHeight="1">
      <c r="A4625" s="740"/>
    </row>
    <row r="4626" ht="14.25" customHeight="1">
      <c r="A4626" s="740"/>
    </row>
    <row r="4627" ht="14.25" customHeight="1">
      <c r="A4627" s="740"/>
    </row>
    <row r="4628" ht="14.25" customHeight="1">
      <c r="A4628" s="740"/>
    </row>
    <row r="4629" ht="14.25" customHeight="1">
      <c r="A4629" s="740"/>
    </row>
    <row r="4630" ht="14.25" customHeight="1">
      <c r="A4630" s="740"/>
    </row>
    <row r="4631" ht="14.25" customHeight="1">
      <c r="A4631" s="740"/>
    </row>
    <row r="4632" ht="14.25" customHeight="1">
      <c r="A4632" s="740"/>
    </row>
    <row r="4633" ht="14.25" customHeight="1">
      <c r="A4633" s="740"/>
    </row>
    <row r="4634" ht="14.25" customHeight="1">
      <c r="A4634" s="740"/>
    </row>
    <row r="4635" ht="14.25" customHeight="1">
      <c r="A4635" s="740"/>
    </row>
    <row r="4636" ht="14.25" customHeight="1">
      <c r="A4636" s="740"/>
    </row>
    <row r="4637" ht="14.25" customHeight="1">
      <c r="A4637" s="740"/>
    </row>
    <row r="4638" ht="14.25" customHeight="1">
      <c r="A4638" s="740"/>
    </row>
    <row r="4639" ht="14.25" customHeight="1">
      <c r="A4639" s="740"/>
    </row>
    <row r="4640" ht="14.25" customHeight="1">
      <c r="A4640" s="740"/>
    </row>
    <row r="4641" ht="14.25" customHeight="1">
      <c r="A4641" s="740"/>
    </row>
    <row r="4642" ht="14.25" customHeight="1">
      <c r="A4642" s="740"/>
    </row>
    <row r="4643" ht="14.25" customHeight="1">
      <c r="A4643" s="740"/>
    </row>
    <row r="4644" ht="14.25" customHeight="1">
      <c r="A4644" s="740"/>
    </row>
    <row r="4645" ht="14.25" customHeight="1">
      <c r="A4645" s="740"/>
    </row>
    <row r="4646" ht="14.25" customHeight="1">
      <c r="A4646" s="740"/>
    </row>
    <row r="4647" ht="14.25" customHeight="1">
      <c r="A4647" s="740"/>
    </row>
    <row r="4648" ht="14.25" customHeight="1">
      <c r="A4648" s="740"/>
    </row>
    <row r="4649" ht="14.25" customHeight="1">
      <c r="A4649" s="740"/>
    </row>
    <row r="4650" ht="14.25" customHeight="1">
      <c r="A4650" s="740"/>
    </row>
    <row r="4651" ht="14.25" customHeight="1">
      <c r="A4651" s="740"/>
    </row>
    <row r="4652" ht="14.25" customHeight="1">
      <c r="A4652" s="740"/>
    </row>
    <row r="4653" ht="14.25" customHeight="1">
      <c r="A4653" s="740"/>
    </row>
    <row r="4654" ht="14.25" customHeight="1">
      <c r="A4654" s="740"/>
    </row>
    <row r="4655" ht="14.25" customHeight="1">
      <c r="A4655" s="740"/>
    </row>
    <row r="4656" ht="14.25" customHeight="1">
      <c r="A4656" s="740"/>
    </row>
    <row r="4657" ht="14.25" customHeight="1">
      <c r="A4657" s="740"/>
    </row>
    <row r="4658" ht="14.25" customHeight="1">
      <c r="A4658" s="740"/>
    </row>
    <row r="4659" ht="14.25" customHeight="1">
      <c r="A4659" s="740"/>
    </row>
    <row r="4660" ht="14.25" customHeight="1">
      <c r="A4660" s="740"/>
    </row>
    <row r="4661" ht="14.25" customHeight="1">
      <c r="A4661" s="740"/>
    </row>
    <row r="4662" ht="14.25" customHeight="1">
      <c r="A4662" s="740"/>
    </row>
    <row r="4663" ht="14.25" customHeight="1">
      <c r="A4663" s="740"/>
    </row>
    <row r="4664" ht="14.25" customHeight="1">
      <c r="A4664" s="740"/>
    </row>
    <row r="4665" ht="14.25" customHeight="1">
      <c r="A4665" s="740"/>
    </row>
    <row r="4666" ht="14.25" customHeight="1">
      <c r="A4666" s="740"/>
    </row>
    <row r="4667" ht="14.25" customHeight="1">
      <c r="A4667" s="740"/>
    </row>
    <row r="4668" ht="14.25" customHeight="1">
      <c r="A4668" s="740"/>
    </row>
    <row r="4669" ht="14.25" customHeight="1">
      <c r="A4669" s="740"/>
    </row>
    <row r="4670" ht="14.25" customHeight="1">
      <c r="A4670" s="740"/>
    </row>
    <row r="4671" ht="14.25" customHeight="1">
      <c r="A4671" s="740"/>
    </row>
    <row r="4672" ht="14.25" customHeight="1">
      <c r="A4672" s="740"/>
    </row>
    <row r="4673" ht="14.25" customHeight="1">
      <c r="A4673" s="740"/>
    </row>
    <row r="4674" ht="14.25" customHeight="1">
      <c r="A4674" s="740"/>
    </row>
    <row r="4675" ht="14.25" customHeight="1">
      <c r="A4675" s="740"/>
    </row>
    <row r="4676" ht="14.25" customHeight="1">
      <c r="A4676" s="740"/>
    </row>
    <row r="4677" ht="14.25" customHeight="1">
      <c r="A4677" s="740"/>
    </row>
    <row r="4678" ht="14.25" customHeight="1">
      <c r="A4678" s="740"/>
    </row>
    <row r="4679" ht="14.25" customHeight="1">
      <c r="A4679" s="740"/>
    </row>
    <row r="4680" ht="14.25" customHeight="1">
      <c r="A4680" s="740"/>
    </row>
    <row r="4681" ht="14.25" customHeight="1">
      <c r="A4681" s="740"/>
    </row>
    <row r="4682" ht="14.25" customHeight="1">
      <c r="A4682" s="740"/>
    </row>
    <row r="4683" ht="14.25" customHeight="1">
      <c r="A4683" s="740"/>
    </row>
    <row r="4684" ht="14.25" customHeight="1">
      <c r="A4684" s="740"/>
    </row>
    <row r="4685" ht="14.25" customHeight="1">
      <c r="A4685" s="740"/>
    </row>
    <row r="4686" ht="14.25" customHeight="1">
      <c r="A4686" s="740"/>
    </row>
    <row r="4687" ht="14.25" customHeight="1">
      <c r="A4687" s="740"/>
    </row>
    <row r="4688" ht="14.25" customHeight="1">
      <c r="A4688" s="740"/>
    </row>
    <row r="4689" ht="14.25" customHeight="1">
      <c r="A4689" s="740"/>
    </row>
    <row r="4690" ht="14.25" customHeight="1">
      <c r="A4690" s="740"/>
    </row>
    <row r="4691" ht="14.25" customHeight="1">
      <c r="A4691" s="740"/>
    </row>
    <row r="4692" ht="14.25" customHeight="1">
      <c r="A4692" s="740"/>
    </row>
    <row r="4693" ht="14.25" customHeight="1">
      <c r="A4693" s="740"/>
    </row>
    <row r="4694" ht="14.25" customHeight="1">
      <c r="A4694" s="740"/>
    </row>
    <row r="4695" ht="14.25" customHeight="1">
      <c r="A4695" s="740"/>
    </row>
    <row r="4696" ht="14.25" customHeight="1">
      <c r="A4696" s="740"/>
    </row>
    <row r="4697" ht="14.25" customHeight="1">
      <c r="A4697" s="740"/>
    </row>
    <row r="4698" ht="14.25" customHeight="1">
      <c r="A4698" s="740"/>
    </row>
    <row r="4699" ht="14.25" customHeight="1">
      <c r="A4699" s="740"/>
    </row>
    <row r="4700" ht="14.25" customHeight="1">
      <c r="A4700" s="740"/>
    </row>
    <row r="4701" ht="14.25" customHeight="1">
      <c r="A4701" s="740"/>
    </row>
    <row r="4702" ht="14.25" customHeight="1">
      <c r="A4702" s="740"/>
    </row>
    <row r="4703" ht="14.25" customHeight="1">
      <c r="A4703" s="740"/>
    </row>
    <row r="4704" ht="14.25" customHeight="1">
      <c r="A4704" s="740"/>
    </row>
    <row r="4705" ht="14.25" customHeight="1">
      <c r="A4705" s="740"/>
    </row>
    <row r="4706" ht="14.25" customHeight="1">
      <c r="A4706" s="740"/>
    </row>
    <row r="4707" ht="14.25" customHeight="1">
      <c r="A4707" s="740"/>
    </row>
    <row r="4708" ht="14.25" customHeight="1">
      <c r="A4708" s="740"/>
    </row>
    <row r="4709" ht="14.25" customHeight="1">
      <c r="A4709" s="740"/>
    </row>
    <row r="4710" ht="14.25" customHeight="1">
      <c r="A4710" s="740"/>
    </row>
    <row r="4711" ht="14.25" customHeight="1">
      <c r="A4711" s="740"/>
    </row>
    <row r="4712" ht="14.25" customHeight="1">
      <c r="A4712" s="740"/>
    </row>
    <row r="4713" ht="14.25" customHeight="1">
      <c r="A4713" s="740"/>
    </row>
    <row r="4714" ht="14.25" customHeight="1">
      <c r="A4714" s="740"/>
    </row>
    <row r="4715" ht="14.25" customHeight="1">
      <c r="A4715" s="740"/>
    </row>
    <row r="4716" ht="14.25" customHeight="1">
      <c r="A4716" s="740"/>
    </row>
    <row r="4717" ht="14.25" customHeight="1">
      <c r="A4717" s="740"/>
    </row>
    <row r="4718" ht="14.25" customHeight="1">
      <c r="A4718" s="740"/>
    </row>
    <row r="4719" ht="14.25" customHeight="1">
      <c r="A4719" s="740"/>
    </row>
    <row r="4720" ht="14.25" customHeight="1">
      <c r="A4720" s="740"/>
    </row>
    <row r="4721" ht="14.25" customHeight="1">
      <c r="A4721" s="740"/>
    </row>
    <row r="4722" ht="14.25" customHeight="1">
      <c r="A4722" s="740"/>
    </row>
    <row r="4723" ht="14.25" customHeight="1">
      <c r="A4723" s="740"/>
    </row>
    <row r="4724" ht="14.25" customHeight="1">
      <c r="A4724" s="740"/>
    </row>
    <row r="4725" ht="14.25" customHeight="1">
      <c r="A4725" s="740"/>
    </row>
    <row r="4726" ht="14.25" customHeight="1">
      <c r="A4726" s="740"/>
    </row>
    <row r="4727" ht="14.25" customHeight="1">
      <c r="A4727" s="740"/>
    </row>
    <row r="4728" ht="14.25" customHeight="1">
      <c r="A4728" s="740"/>
    </row>
    <row r="4729" ht="14.25" customHeight="1">
      <c r="A4729" s="740"/>
    </row>
    <row r="4730" ht="14.25" customHeight="1">
      <c r="A4730" s="740"/>
    </row>
    <row r="4731" ht="14.25" customHeight="1">
      <c r="A4731" s="740"/>
    </row>
    <row r="4732" ht="14.25" customHeight="1">
      <c r="A4732" s="740"/>
    </row>
    <row r="4733" ht="14.25" customHeight="1">
      <c r="A4733" s="740"/>
    </row>
    <row r="4734" ht="14.25" customHeight="1">
      <c r="A4734" s="740"/>
    </row>
    <row r="4735" ht="14.25" customHeight="1">
      <c r="A4735" s="740"/>
    </row>
    <row r="4736" ht="14.25" customHeight="1">
      <c r="A4736" s="740"/>
    </row>
    <row r="4737" ht="14.25" customHeight="1">
      <c r="A4737" s="740"/>
    </row>
    <row r="4738" ht="14.25" customHeight="1">
      <c r="A4738" s="740"/>
    </row>
    <row r="4739" ht="14.25" customHeight="1">
      <c r="A4739" s="740"/>
    </row>
    <row r="4740" ht="14.25" customHeight="1">
      <c r="A4740" s="740"/>
    </row>
    <row r="4741" ht="14.25" customHeight="1">
      <c r="A4741" s="740"/>
    </row>
    <row r="4742" ht="14.25" customHeight="1">
      <c r="A4742" s="740"/>
    </row>
    <row r="4743" ht="14.25" customHeight="1">
      <c r="A4743" s="740"/>
    </row>
    <row r="4744" ht="14.25" customHeight="1">
      <c r="A4744" s="740"/>
    </row>
    <row r="4745" ht="14.25" customHeight="1">
      <c r="A4745" s="740"/>
    </row>
    <row r="4746" ht="14.25" customHeight="1">
      <c r="A4746" s="740"/>
    </row>
    <row r="4747" ht="14.25" customHeight="1">
      <c r="A4747" s="740"/>
    </row>
    <row r="4748" ht="14.25" customHeight="1">
      <c r="A4748" s="740"/>
    </row>
    <row r="4749" ht="14.25" customHeight="1">
      <c r="A4749" s="740"/>
    </row>
    <row r="4750" ht="14.25" customHeight="1">
      <c r="A4750" s="740"/>
    </row>
    <row r="4751" ht="14.25" customHeight="1">
      <c r="A4751" s="740"/>
    </row>
    <row r="4752" ht="14.25" customHeight="1">
      <c r="A4752" s="740"/>
    </row>
    <row r="4753" ht="14.25" customHeight="1">
      <c r="A4753" s="740"/>
    </row>
    <row r="4754" ht="14.25" customHeight="1">
      <c r="A4754" s="740"/>
    </row>
    <row r="4755" ht="14.25" customHeight="1">
      <c r="A4755" s="740"/>
    </row>
    <row r="4756" ht="14.25" customHeight="1">
      <c r="A4756" s="740"/>
    </row>
    <row r="4757" ht="14.25" customHeight="1">
      <c r="A4757" s="740"/>
    </row>
    <row r="4758" ht="14.25" customHeight="1">
      <c r="A4758" s="740"/>
    </row>
    <row r="4759" ht="14.25" customHeight="1">
      <c r="A4759" s="740"/>
    </row>
    <row r="4760" ht="14.25" customHeight="1">
      <c r="A4760" s="740"/>
    </row>
    <row r="4761" ht="14.25" customHeight="1">
      <c r="A4761" s="740"/>
    </row>
    <row r="4762" ht="14.25" customHeight="1">
      <c r="A4762" s="740"/>
    </row>
    <row r="4763" ht="14.25" customHeight="1">
      <c r="A4763" s="740"/>
    </row>
    <row r="4764" ht="14.25" customHeight="1">
      <c r="A4764" s="740"/>
    </row>
    <row r="4765" ht="14.25" customHeight="1">
      <c r="A4765" s="740"/>
    </row>
    <row r="4766" ht="14.25" customHeight="1">
      <c r="A4766" s="740"/>
    </row>
    <row r="4767" ht="14.25" customHeight="1">
      <c r="A4767" s="740"/>
    </row>
    <row r="4768" ht="14.25" customHeight="1">
      <c r="A4768" s="740"/>
    </row>
    <row r="4769" ht="14.25" customHeight="1">
      <c r="A4769" s="740"/>
    </row>
    <row r="4770" ht="14.25" customHeight="1">
      <c r="A4770" s="740"/>
    </row>
    <row r="4771" ht="14.25" customHeight="1">
      <c r="A4771" s="740"/>
    </row>
    <row r="4772" ht="14.25" customHeight="1">
      <c r="A4772" s="740"/>
    </row>
    <row r="4773" ht="14.25" customHeight="1">
      <c r="A4773" s="740"/>
    </row>
    <row r="4774" ht="14.25" customHeight="1">
      <c r="A4774" s="740"/>
    </row>
    <row r="4775" ht="14.25" customHeight="1">
      <c r="A4775" s="740"/>
    </row>
    <row r="4776" ht="14.25" customHeight="1">
      <c r="A4776" s="740"/>
    </row>
    <row r="4777" ht="14.25" customHeight="1">
      <c r="A4777" s="740"/>
    </row>
    <row r="4778" ht="14.25" customHeight="1">
      <c r="A4778" s="740"/>
    </row>
    <row r="4779" ht="14.25" customHeight="1">
      <c r="A4779" s="740"/>
    </row>
    <row r="4780" ht="14.25" customHeight="1">
      <c r="A4780" s="740"/>
    </row>
    <row r="4781" ht="14.25" customHeight="1">
      <c r="A4781" s="740"/>
    </row>
    <row r="4782" ht="14.25" customHeight="1">
      <c r="A4782" s="740"/>
    </row>
    <row r="4783" ht="14.25" customHeight="1">
      <c r="A4783" s="740"/>
    </row>
    <row r="4784" ht="14.25" customHeight="1">
      <c r="A4784" s="740"/>
    </row>
    <row r="4785" ht="14.25" customHeight="1">
      <c r="A4785" s="740"/>
    </row>
    <row r="4786" ht="14.25" customHeight="1">
      <c r="A4786" s="740"/>
    </row>
    <row r="4787" ht="14.25" customHeight="1">
      <c r="A4787" s="740"/>
    </row>
    <row r="4788" ht="14.25" customHeight="1">
      <c r="A4788" s="740"/>
    </row>
    <row r="4789" ht="14.25" customHeight="1">
      <c r="A4789" s="740"/>
    </row>
    <row r="4790" ht="14.25" customHeight="1">
      <c r="A4790" s="740"/>
    </row>
    <row r="4791" ht="14.25" customHeight="1">
      <c r="A4791" s="740"/>
    </row>
    <row r="4792" ht="14.25" customHeight="1">
      <c r="A4792" s="740"/>
    </row>
    <row r="4793" ht="14.25" customHeight="1">
      <c r="A4793" s="740"/>
    </row>
    <row r="4794" ht="14.25" customHeight="1">
      <c r="A4794" s="740"/>
    </row>
    <row r="4795" ht="14.25" customHeight="1">
      <c r="A4795" s="740"/>
    </row>
    <row r="4796" ht="14.25" customHeight="1">
      <c r="A4796" s="740"/>
    </row>
    <row r="4797" ht="14.25" customHeight="1">
      <c r="A4797" s="740"/>
    </row>
    <row r="4798" ht="14.25" customHeight="1">
      <c r="A4798" s="740"/>
    </row>
    <row r="4799" ht="14.25" customHeight="1">
      <c r="A4799" s="740"/>
    </row>
    <row r="4800" ht="14.25" customHeight="1">
      <c r="A4800" s="740"/>
    </row>
    <row r="4801" ht="14.25" customHeight="1">
      <c r="A4801" s="740"/>
    </row>
    <row r="4802" ht="14.25" customHeight="1">
      <c r="A4802" s="740"/>
    </row>
    <row r="4803" ht="14.25" customHeight="1">
      <c r="A4803" s="740"/>
    </row>
    <row r="4804" ht="14.25" customHeight="1">
      <c r="A4804" s="740"/>
    </row>
    <row r="4805" ht="14.25" customHeight="1">
      <c r="A4805" s="740"/>
    </row>
    <row r="4806" ht="14.25" customHeight="1">
      <c r="A4806" s="740"/>
    </row>
    <row r="4807" ht="14.25" customHeight="1">
      <c r="A4807" s="740"/>
    </row>
    <row r="4808" ht="14.25" customHeight="1">
      <c r="A4808" s="740"/>
    </row>
    <row r="4809" ht="14.25" customHeight="1">
      <c r="A4809" s="740"/>
    </row>
    <row r="4810" ht="14.25" customHeight="1">
      <c r="A4810" s="740"/>
    </row>
    <row r="4811" ht="14.25" customHeight="1">
      <c r="A4811" s="740"/>
    </row>
    <row r="4812" ht="14.25" customHeight="1">
      <c r="A4812" s="740"/>
    </row>
    <row r="4813" ht="14.25" customHeight="1">
      <c r="A4813" s="740"/>
    </row>
    <row r="4814" ht="14.25" customHeight="1">
      <c r="A4814" s="740"/>
    </row>
    <row r="4815" ht="14.25" customHeight="1">
      <c r="A4815" s="740"/>
    </row>
    <row r="4816" ht="14.25" customHeight="1">
      <c r="A4816" s="740"/>
    </row>
    <row r="4817" ht="14.25" customHeight="1">
      <c r="A4817" s="740"/>
    </row>
    <row r="4818" ht="14.25" customHeight="1">
      <c r="A4818" s="740"/>
    </row>
    <row r="4819" ht="14.25" customHeight="1">
      <c r="A4819" s="740"/>
    </row>
    <row r="4820" ht="14.25" customHeight="1">
      <c r="A4820" s="740"/>
    </row>
    <row r="4821" ht="14.25" customHeight="1">
      <c r="A4821" s="740"/>
    </row>
    <row r="4822" ht="14.25" customHeight="1">
      <c r="A4822" s="740"/>
    </row>
    <row r="4823" ht="14.25" customHeight="1">
      <c r="A4823" s="740"/>
    </row>
    <row r="4824" ht="14.25" customHeight="1">
      <c r="A4824" s="740"/>
    </row>
    <row r="4825" ht="14.25" customHeight="1">
      <c r="A4825" s="740"/>
    </row>
    <row r="4826" ht="14.25" customHeight="1">
      <c r="A4826" s="740"/>
    </row>
    <row r="4827" ht="14.25" customHeight="1">
      <c r="A4827" s="740"/>
    </row>
    <row r="4828" ht="14.25" customHeight="1">
      <c r="A4828" s="740"/>
    </row>
    <row r="4829" ht="14.25" customHeight="1">
      <c r="A4829" s="740"/>
    </row>
    <row r="4830" ht="14.25" customHeight="1">
      <c r="A4830" s="740"/>
    </row>
    <row r="4831" ht="14.25" customHeight="1">
      <c r="A4831" s="740"/>
    </row>
    <row r="4832" ht="14.25" customHeight="1">
      <c r="A4832" s="740"/>
    </row>
    <row r="4833" ht="14.25" customHeight="1">
      <c r="A4833" s="740"/>
    </row>
    <row r="4834" ht="14.25" customHeight="1">
      <c r="A4834" s="740"/>
    </row>
    <row r="4835" ht="14.25" customHeight="1">
      <c r="A4835" s="740"/>
    </row>
    <row r="4836" ht="14.25" customHeight="1">
      <c r="A4836" s="740"/>
    </row>
    <row r="4837" ht="14.25" customHeight="1">
      <c r="A4837" s="740"/>
    </row>
    <row r="4838" ht="14.25" customHeight="1">
      <c r="A4838" s="740"/>
    </row>
    <row r="4839" ht="14.25" customHeight="1">
      <c r="A4839" s="740"/>
    </row>
    <row r="4840" ht="14.25" customHeight="1">
      <c r="A4840" s="740"/>
    </row>
    <row r="4841" ht="14.25" customHeight="1">
      <c r="A4841" s="740"/>
    </row>
    <row r="4842" ht="14.25" customHeight="1">
      <c r="A4842" s="740"/>
    </row>
    <row r="4843" ht="14.25" customHeight="1">
      <c r="A4843" s="740"/>
    </row>
    <row r="4844" ht="14.25" customHeight="1">
      <c r="A4844" s="740"/>
    </row>
    <row r="4845" ht="14.25" customHeight="1">
      <c r="A4845" s="740"/>
    </row>
    <row r="4846" ht="14.25" customHeight="1">
      <c r="A4846" s="740"/>
    </row>
    <row r="4847" ht="14.25" customHeight="1">
      <c r="A4847" s="740"/>
    </row>
    <row r="4848" ht="14.25" customHeight="1">
      <c r="A4848" s="740"/>
    </row>
    <row r="4849" ht="14.25" customHeight="1">
      <c r="A4849" s="740"/>
    </row>
    <row r="4850" ht="14.25" customHeight="1">
      <c r="A4850" s="740"/>
    </row>
    <row r="4851" ht="14.25" customHeight="1">
      <c r="A4851" s="740"/>
    </row>
    <row r="4852" ht="14.25" customHeight="1">
      <c r="A4852" s="740"/>
    </row>
    <row r="4853" ht="14.25" customHeight="1">
      <c r="A4853" s="740"/>
    </row>
    <row r="4854" ht="14.25" customHeight="1">
      <c r="A4854" s="740"/>
    </row>
    <row r="4855" ht="14.25" customHeight="1">
      <c r="A4855" s="740"/>
    </row>
    <row r="4856" ht="14.25" customHeight="1">
      <c r="A4856" s="740"/>
    </row>
    <row r="4857" ht="14.25" customHeight="1">
      <c r="A4857" s="740"/>
    </row>
    <row r="4858" ht="14.25" customHeight="1">
      <c r="A4858" s="740"/>
    </row>
    <row r="4859" ht="14.25" customHeight="1">
      <c r="A4859" s="740"/>
    </row>
    <row r="4860" ht="14.25" customHeight="1">
      <c r="A4860" s="740"/>
    </row>
    <row r="4861" ht="14.25" customHeight="1">
      <c r="A4861" s="740"/>
    </row>
    <row r="4862" ht="14.25" customHeight="1">
      <c r="A4862" s="740"/>
    </row>
    <row r="4863" ht="14.25" customHeight="1">
      <c r="A4863" s="740"/>
    </row>
    <row r="4864" ht="14.25" customHeight="1">
      <c r="A4864" s="740"/>
    </row>
    <row r="4865" ht="14.25" customHeight="1">
      <c r="A4865" s="740"/>
    </row>
    <row r="4866" ht="14.25" customHeight="1">
      <c r="A4866" s="740"/>
    </row>
    <row r="4867" ht="14.25" customHeight="1">
      <c r="A4867" s="740"/>
    </row>
    <row r="4868" ht="14.25" customHeight="1">
      <c r="A4868" s="740"/>
    </row>
    <row r="4869" ht="14.25" customHeight="1">
      <c r="A4869" s="740"/>
    </row>
    <row r="4870" ht="14.25" customHeight="1">
      <c r="A4870" s="740"/>
    </row>
    <row r="4871" ht="14.25" customHeight="1">
      <c r="A4871" s="740"/>
    </row>
    <row r="4872" ht="14.25" customHeight="1">
      <c r="A4872" s="740"/>
    </row>
    <row r="4873" ht="14.25" customHeight="1">
      <c r="A4873" s="740"/>
    </row>
    <row r="4874" ht="14.25" customHeight="1">
      <c r="A4874" s="740"/>
    </row>
    <row r="4875" ht="14.25" customHeight="1">
      <c r="A4875" s="740"/>
    </row>
    <row r="4876" ht="14.25" customHeight="1">
      <c r="A4876" s="740"/>
    </row>
    <row r="4877" ht="14.25" customHeight="1">
      <c r="A4877" s="740"/>
    </row>
    <row r="4878" ht="14.25" customHeight="1">
      <c r="A4878" s="740"/>
    </row>
    <row r="4879" ht="14.25" customHeight="1">
      <c r="A4879" s="740"/>
    </row>
    <row r="4880" ht="14.25" customHeight="1">
      <c r="A4880" s="740"/>
    </row>
    <row r="4881" ht="14.25" customHeight="1">
      <c r="A4881" s="740"/>
    </row>
    <row r="4882" ht="14.25" customHeight="1">
      <c r="A4882" s="740"/>
    </row>
    <row r="4883" ht="14.25" customHeight="1">
      <c r="A4883" s="740"/>
    </row>
    <row r="4884" ht="14.25" customHeight="1">
      <c r="A4884" s="740"/>
    </row>
    <row r="4885" ht="14.25" customHeight="1">
      <c r="A4885" s="740"/>
    </row>
    <row r="4886" ht="14.25" customHeight="1">
      <c r="A4886" s="740"/>
    </row>
    <row r="4887" ht="14.25" customHeight="1">
      <c r="A4887" s="740"/>
    </row>
    <row r="4888" ht="14.25" customHeight="1">
      <c r="A4888" s="740"/>
    </row>
    <row r="4889" ht="14.25" customHeight="1">
      <c r="A4889" s="740"/>
    </row>
    <row r="4890" ht="14.25" customHeight="1">
      <c r="A4890" s="740"/>
    </row>
    <row r="4891" ht="14.25" customHeight="1">
      <c r="A4891" s="740"/>
    </row>
    <row r="4892" ht="14.25" customHeight="1">
      <c r="A4892" s="740"/>
    </row>
    <row r="4893" ht="14.25" customHeight="1">
      <c r="A4893" s="740"/>
    </row>
    <row r="4894" ht="14.25" customHeight="1">
      <c r="A4894" s="740"/>
    </row>
    <row r="4895" ht="14.25" customHeight="1">
      <c r="A4895" s="740"/>
    </row>
    <row r="4896" ht="14.25" customHeight="1">
      <c r="A4896" s="740"/>
    </row>
    <row r="4897" ht="14.25" customHeight="1">
      <c r="A4897" s="740"/>
    </row>
    <row r="4898" ht="14.25" customHeight="1">
      <c r="A4898" s="740"/>
    </row>
    <row r="4899" ht="14.25" customHeight="1">
      <c r="A4899" s="740"/>
    </row>
    <row r="4900" ht="14.25" customHeight="1">
      <c r="A4900" s="740"/>
    </row>
    <row r="4901" ht="14.25" customHeight="1">
      <c r="A4901" s="740"/>
    </row>
    <row r="4902" ht="14.25" customHeight="1">
      <c r="A4902" s="740"/>
    </row>
    <row r="4903" ht="14.25" customHeight="1">
      <c r="A4903" s="740"/>
    </row>
    <row r="4904" ht="14.25" customHeight="1">
      <c r="A4904" s="740"/>
    </row>
    <row r="4905" ht="14.25" customHeight="1">
      <c r="A4905" s="740"/>
    </row>
    <row r="4906" ht="14.25" customHeight="1">
      <c r="A4906" s="740"/>
    </row>
    <row r="4907" ht="14.25" customHeight="1">
      <c r="A4907" s="740"/>
    </row>
    <row r="4908" ht="14.25" customHeight="1">
      <c r="A4908" s="740"/>
    </row>
    <row r="4909" ht="14.25" customHeight="1">
      <c r="A4909" s="740"/>
    </row>
    <row r="4910" ht="14.25" customHeight="1">
      <c r="A4910" s="740"/>
    </row>
    <row r="4911" ht="14.25" customHeight="1">
      <c r="A4911" s="740"/>
    </row>
    <row r="4912" ht="14.25" customHeight="1">
      <c r="A4912" s="740"/>
    </row>
    <row r="4913" ht="14.25" customHeight="1">
      <c r="A4913" s="740"/>
    </row>
    <row r="4914" ht="14.25" customHeight="1">
      <c r="A4914" s="740"/>
    </row>
    <row r="4915" ht="14.25" customHeight="1">
      <c r="A4915" s="740"/>
    </row>
    <row r="4916" ht="14.25" customHeight="1">
      <c r="A4916" s="740"/>
    </row>
    <row r="4917" ht="14.25" customHeight="1">
      <c r="A4917" s="740"/>
    </row>
    <row r="4918" ht="14.25" customHeight="1">
      <c r="A4918" s="740"/>
    </row>
    <row r="4919" ht="14.25" customHeight="1">
      <c r="A4919" s="740"/>
    </row>
    <row r="4920" ht="14.25" customHeight="1">
      <c r="A4920" s="740"/>
    </row>
    <row r="4921" ht="14.25" customHeight="1">
      <c r="A4921" s="740"/>
    </row>
    <row r="4922" ht="14.25" customHeight="1">
      <c r="A4922" s="740"/>
    </row>
    <row r="4923" ht="14.25" customHeight="1">
      <c r="A4923" s="740"/>
    </row>
    <row r="4924" ht="14.25" customHeight="1">
      <c r="A4924" s="740"/>
    </row>
    <row r="4925" ht="14.25" customHeight="1">
      <c r="A4925" s="740"/>
    </row>
    <row r="4926" ht="14.25" customHeight="1">
      <c r="A4926" s="740"/>
    </row>
    <row r="4927" ht="14.25" customHeight="1">
      <c r="A4927" s="740"/>
    </row>
    <row r="4928" ht="14.25" customHeight="1">
      <c r="A4928" s="740"/>
    </row>
    <row r="4929" ht="14.25" customHeight="1">
      <c r="A4929" s="740"/>
    </row>
    <row r="4930" ht="14.25" customHeight="1">
      <c r="A4930" s="740"/>
    </row>
    <row r="4931" ht="14.25" customHeight="1">
      <c r="A4931" s="740"/>
    </row>
    <row r="4932" ht="14.25" customHeight="1">
      <c r="A4932" s="740"/>
    </row>
    <row r="4933" ht="14.25" customHeight="1">
      <c r="A4933" s="740"/>
    </row>
    <row r="4934" ht="14.25" customHeight="1">
      <c r="A4934" s="740"/>
    </row>
    <row r="4935" ht="14.25" customHeight="1">
      <c r="A4935" s="740"/>
    </row>
    <row r="4936" ht="14.25" customHeight="1">
      <c r="A4936" s="740"/>
    </row>
    <row r="4937" ht="14.25" customHeight="1">
      <c r="A4937" s="740"/>
    </row>
    <row r="4938" ht="14.25" customHeight="1">
      <c r="A4938" s="740"/>
    </row>
    <row r="4939" ht="14.25" customHeight="1">
      <c r="A4939" s="740"/>
    </row>
    <row r="4940" ht="14.25" customHeight="1">
      <c r="A4940" s="740"/>
    </row>
    <row r="4941" ht="14.25" customHeight="1">
      <c r="A4941" s="740"/>
    </row>
    <row r="4942" ht="14.25" customHeight="1">
      <c r="A4942" s="740"/>
    </row>
    <row r="4943" ht="14.25" customHeight="1">
      <c r="A4943" s="740"/>
    </row>
    <row r="4944" ht="14.25" customHeight="1">
      <c r="A4944" s="740"/>
    </row>
    <row r="4945" ht="14.25" customHeight="1">
      <c r="A4945" s="740"/>
    </row>
    <row r="4946" ht="14.25" customHeight="1">
      <c r="A4946" s="740"/>
    </row>
    <row r="4947" ht="14.25" customHeight="1">
      <c r="A4947" s="740"/>
    </row>
    <row r="4948" ht="14.25" customHeight="1">
      <c r="A4948" s="740"/>
    </row>
    <row r="4949" ht="14.25" customHeight="1">
      <c r="A4949" s="740"/>
    </row>
    <row r="4950" ht="14.25" customHeight="1">
      <c r="A4950" s="740"/>
    </row>
    <row r="4951" ht="14.25" customHeight="1">
      <c r="A4951" s="740"/>
    </row>
    <row r="4952" ht="14.25" customHeight="1">
      <c r="A4952" s="740"/>
    </row>
    <row r="4953" ht="14.25" customHeight="1">
      <c r="A4953" s="740"/>
    </row>
    <row r="4954" ht="14.25" customHeight="1">
      <c r="A4954" s="740"/>
    </row>
    <row r="4955" ht="14.25" customHeight="1">
      <c r="A4955" s="740"/>
    </row>
    <row r="4956" ht="14.25" customHeight="1">
      <c r="A4956" s="740"/>
    </row>
    <row r="4957" ht="14.25" customHeight="1">
      <c r="A4957" s="740"/>
    </row>
    <row r="4958" ht="14.25" customHeight="1">
      <c r="A4958" s="740"/>
    </row>
    <row r="4959" ht="14.25" customHeight="1">
      <c r="A4959" s="740"/>
    </row>
    <row r="4960" ht="14.25" customHeight="1">
      <c r="A4960" s="740"/>
    </row>
    <row r="4961" ht="14.25" customHeight="1">
      <c r="A4961" s="740"/>
    </row>
    <row r="4962" ht="14.25" customHeight="1">
      <c r="A4962" s="740"/>
    </row>
    <row r="4963" ht="14.25" customHeight="1">
      <c r="A4963" s="740"/>
    </row>
    <row r="4964" ht="14.25" customHeight="1">
      <c r="A4964" s="740"/>
    </row>
    <row r="4965" ht="14.25" customHeight="1">
      <c r="A4965" s="740"/>
    </row>
    <row r="4966" ht="14.25" customHeight="1">
      <c r="A4966" s="740"/>
    </row>
    <row r="4967" ht="14.25" customHeight="1">
      <c r="A4967" s="740"/>
    </row>
    <row r="4968" ht="14.25" customHeight="1">
      <c r="A4968" s="740"/>
    </row>
    <row r="4969" ht="14.25" customHeight="1">
      <c r="A4969" s="740"/>
    </row>
    <row r="4970" ht="14.25" customHeight="1">
      <c r="A4970" s="740"/>
    </row>
    <row r="4971" ht="14.25" customHeight="1">
      <c r="A4971" s="740"/>
    </row>
    <row r="4972" ht="14.25" customHeight="1">
      <c r="A4972" s="740"/>
    </row>
    <row r="4973" ht="14.25" customHeight="1">
      <c r="A4973" s="740"/>
    </row>
    <row r="4974" ht="14.25" customHeight="1">
      <c r="A4974" s="740"/>
    </row>
    <row r="4975" ht="14.25" customHeight="1">
      <c r="A4975" s="740"/>
    </row>
    <row r="4976" ht="14.25" customHeight="1">
      <c r="A4976" s="740"/>
    </row>
    <row r="4977" ht="14.25" customHeight="1">
      <c r="A4977" s="740"/>
    </row>
    <row r="4978" ht="14.25" customHeight="1">
      <c r="A4978" s="740"/>
    </row>
    <row r="4979" ht="14.25" customHeight="1">
      <c r="A4979" s="740"/>
    </row>
    <row r="4980" ht="14.25" customHeight="1">
      <c r="A4980" s="740"/>
    </row>
    <row r="4981" ht="14.25" customHeight="1">
      <c r="A4981" s="740"/>
    </row>
    <row r="4982" ht="14.25" customHeight="1">
      <c r="A4982" s="740"/>
    </row>
    <row r="4983" ht="14.25" customHeight="1">
      <c r="A4983" s="740"/>
    </row>
    <row r="4984" ht="14.25" customHeight="1">
      <c r="A4984" s="740"/>
    </row>
    <row r="4985" ht="14.25" customHeight="1">
      <c r="A4985" s="740"/>
    </row>
    <row r="4986" ht="14.25" customHeight="1">
      <c r="A4986" s="740"/>
    </row>
    <row r="4987" ht="14.25" customHeight="1">
      <c r="A4987" s="740"/>
    </row>
    <row r="4988" ht="14.25" customHeight="1">
      <c r="A4988" s="740"/>
    </row>
    <row r="4989" ht="14.25" customHeight="1">
      <c r="A4989" s="740"/>
    </row>
    <row r="4990" ht="14.25" customHeight="1">
      <c r="A4990" s="740"/>
    </row>
    <row r="4991" ht="14.25" customHeight="1">
      <c r="A4991" s="740"/>
    </row>
    <row r="4992" ht="14.25" customHeight="1">
      <c r="A4992" s="740"/>
    </row>
    <row r="4993" ht="14.25" customHeight="1">
      <c r="A4993" s="740"/>
    </row>
    <row r="4994" ht="14.25" customHeight="1">
      <c r="A4994" s="740"/>
    </row>
    <row r="4995" ht="14.25" customHeight="1">
      <c r="A4995" s="740"/>
    </row>
    <row r="4996" ht="14.25" customHeight="1">
      <c r="A4996" s="740"/>
    </row>
    <row r="4997" ht="14.25" customHeight="1">
      <c r="A4997" s="740"/>
    </row>
    <row r="4998" ht="14.25" customHeight="1">
      <c r="A4998" s="740"/>
    </row>
    <row r="4999" ht="14.25" customHeight="1">
      <c r="A4999" s="740"/>
    </row>
    <row r="5000" ht="14.25" customHeight="1">
      <c r="A5000" s="740"/>
    </row>
    <row r="5001" ht="14.25" customHeight="1">
      <c r="A5001" s="740"/>
    </row>
    <row r="5002" ht="14.25" customHeight="1">
      <c r="A5002" s="740"/>
    </row>
    <row r="5003" ht="14.25" customHeight="1">
      <c r="A5003" s="740"/>
    </row>
    <row r="5004" ht="14.25" customHeight="1">
      <c r="A5004" s="740"/>
    </row>
    <row r="5005" ht="14.25" customHeight="1">
      <c r="A5005" s="740"/>
    </row>
    <row r="5006" ht="14.25" customHeight="1">
      <c r="A5006" s="740"/>
    </row>
    <row r="5007" ht="14.25" customHeight="1">
      <c r="A5007" s="740"/>
    </row>
    <row r="5008" ht="14.25" customHeight="1">
      <c r="A5008" s="740"/>
    </row>
    <row r="5009" ht="14.25" customHeight="1">
      <c r="A5009" s="740"/>
    </row>
    <row r="5010" ht="14.25" customHeight="1">
      <c r="A5010" s="740"/>
    </row>
    <row r="5011" ht="14.25" customHeight="1">
      <c r="A5011" s="740"/>
    </row>
    <row r="5012" ht="14.25" customHeight="1">
      <c r="A5012" s="740"/>
    </row>
    <row r="5013" ht="14.25" customHeight="1">
      <c r="A5013" s="740"/>
    </row>
    <row r="5014" ht="14.25" customHeight="1">
      <c r="A5014" s="740"/>
    </row>
    <row r="5015" ht="14.25" customHeight="1">
      <c r="A5015" s="740"/>
    </row>
    <row r="5016" ht="14.25" customHeight="1">
      <c r="A5016" s="740"/>
    </row>
    <row r="5017" ht="14.25" customHeight="1">
      <c r="A5017" s="740"/>
    </row>
    <row r="5018" ht="14.25" customHeight="1">
      <c r="A5018" s="740"/>
    </row>
    <row r="5019" ht="14.25" customHeight="1">
      <c r="A5019" s="740"/>
    </row>
    <row r="5020" ht="14.25" customHeight="1">
      <c r="A5020" s="740"/>
    </row>
    <row r="5021" ht="14.25" customHeight="1">
      <c r="A5021" s="740"/>
    </row>
    <row r="5022" ht="14.25" customHeight="1">
      <c r="A5022" s="740"/>
    </row>
    <row r="5023" ht="14.25" customHeight="1">
      <c r="A5023" s="740"/>
    </row>
    <row r="5024" ht="14.25" customHeight="1">
      <c r="A5024" s="740"/>
    </row>
    <row r="5025" ht="14.25" customHeight="1">
      <c r="A5025" s="740"/>
    </row>
    <row r="5026" ht="14.25" customHeight="1">
      <c r="A5026" s="740"/>
    </row>
    <row r="5027" ht="14.25" customHeight="1">
      <c r="A5027" s="740"/>
    </row>
    <row r="5028" ht="14.25" customHeight="1">
      <c r="A5028" s="740"/>
    </row>
    <row r="5029" ht="14.25" customHeight="1">
      <c r="A5029" s="740"/>
    </row>
    <row r="5030" ht="14.25" customHeight="1">
      <c r="A5030" s="740"/>
    </row>
    <row r="5031" ht="14.25" customHeight="1">
      <c r="A5031" s="740"/>
    </row>
    <row r="5032" ht="14.25" customHeight="1">
      <c r="A5032" s="740"/>
    </row>
    <row r="5033" ht="14.25" customHeight="1">
      <c r="A5033" s="740"/>
    </row>
    <row r="5034" ht="14.25" customHeight="1">
      <c r="A5034" s="740"/>
    </row>
    <row r="5035" ht="14.25" customHeight="1">
      <c r="A5035" s="740"/>
    </row>
    <row r="5036" ht="14.25" customHeight="1">
      <c r="A5036" s="740"/>
    </row>
    <row r="5037" ht="14.25" customHeight="1">
      <c r="A5037" s="740"/>
    </row>
    <row r="5038" ht="14.25" customHeight="1">
      <c r="A5038" s="740"/>
    </row>
    <row r="5039" ht="14.25" customHeight="1">
      <c r="A5039" s="740"/>
    </row>
    <row r="5040" ht="14.25" customHeight="1">
      <c r="A5040" s="740"/>
    </row>
    <row r="5041" ht="14.25" customHeight="1">
      <c r="A5041" s="740"/>
    </row>
    <row r="5042" ht="14.25" customHeight="1">
      <c r="A5042" s="740"/>
    </row>
    <row r="5043" ht="14.25" customHeight="1">
      <c r="A5043" s="740"/>
    </row>
    <row r="5044" ht="14.25" customHeight="1">
      <c r="A5044" s="740"/>
    </row>
    <row r="5045" ht="14.25" customHeight="1">
      <c r="A5045" s="740"/>
    </row>
    <row r="5046" ht="14.25" customHeight="1">
      <c r="A5046" s="740"/>
    </row>
    <row r="5047" ht="14.25" customHeight="1">
      <c r="A5047" s="740"/>
    </row>
    <row r="5048" ht="14.25" customHeight="1">
      <c r="A5048" s="740"/>
    </row>
    <row r="5049" ht="14.25" customHeight="1">
      <c r="A5049" s="740"/>
    </row>
    <row r="5050" ht="14.25" customHeight="1">
      <c r="A5050" s="740"/>
    </row>
    <row r="5051" ht="14.25" customHeight="1">
      <c r="A5051" s="740"/>
    </row>
    <row r="5052" ht="14.25" customHeight="1">
      <c r="A5052" s="740"/>
    </row>
    <row r="5053" ht="14.25" customHeight="1">
      <c r="A5053" s="740"/>
    </row>
    <row r="5054" ht="14.25" customHeight="1">
      <c r="A5054" s="740"/>
    </row>
    <row r="5055" ht="14.25" customHeight="1">
      <c r="A5055" s="740"/>
    </row>
    <row r="5056" ht="14.25" customHeight="1">
      <c r="A5056" s="740"/>
    </row>
    <row r="5057" ht="14.25" customHeight="1">
      <c r="A5057" s="740"/>
    </row>
    <row r="5058" ht="14.25" customHeight="1">
      <c r="A5058" s="740"/>
    </row>
    <row r="5059" ht="14.25" customHeight="1">
      <c r="A5059" s="740"/>
    </row>
    <row r="5060" ht="14.25" customHeight="1">
      <c r="A5060" s="740"/>
    </row>
    <row r="5061" ht="14.25" customHeight="1">
      <c r="A5061" s="740"/>
    </row>
    <row r="5062" ht="14.25" customHeight="1">
      <c r="A5062" s="740"/>
    </row>
    <row r="5063" ht="14.25" customHeight="1">
      <c r="A5063" s="740"/>
    </row>
    <row r="5064" ht="14.25" customHeight="1">
      <c r="A5064" s="740"/>
    </row>
    <row r="5065" ht="14.25" customHeight="1">
      <c r="A5065" s="740"/>
    </row>
    <row r="5066" ht="14.25" customHeight="1">
      <c r="A5066" s="740"/>
    </row>
    <row r="5067" ht="14.25" customHeight="1">
      <c r="A5067" s="740"/>
    </row>
    <row r="5068" ht="14.25" customHeight="1">
      <c r="A5068" s="740"/>
    </row>
    <row r="5069" ht="14.25" customHeight="1">
      <c r="A5069" s="740"/>
    </row>
    <row r="5070" ht="14.25" customHeight="1">
      <c r="A5070" s="740"/>
    </row>
    <row r="5071" ht="14.25" customHeight="1">
      <c r="A5071" s="740"/>
    </row>
    <row r="5072" ht="14.25" customHeight="1">
      <c r="A5072" s="740"/>
    </row>
    <row r="5073" ht="14.25" customHeight="1">
      <c r="A5073" s="740"/>
    </row>
    <row r="5074" ht="14.25" customHeight="1">
      <c r="A5074" s="740"/>
    </row>
    <row r="5075" ht="14.25" customHeight="1">
      <c r="A5075" s="740"/>
    </row>
    <row r="5076" ht="14.25" customHeight="1">
      <c r="A5076" s="740"/>
    </row>
    <row r="5077" ht="14.25" customHeight="1">
      <c r="A5077" s="740"/>
    </row>
    <row r="5078" ht="14.25" customHeight="1">
      <c r="A5078" s="740"/>
    </row>
    <row r="5079" ht="14.25" customHeight="1">
      <c r="A5079" s="740"/>
    </row>
    <row r="5080" ht="14.25" customHeight="1">
      <c r="A5080" s="740"/>
    </row>
    <row r="5081" ht="14.25" customHeight="1">
      <c r="A5081" s="740"/>
    </row>
    <row r="5082" ht="14.25" customHeight="1">
      <c r="A5082" s="740"/>
    </row>
    <row r="5083" ht="14.25" customHeight="1">
      <c r="A5083" s="740"/>
    </row>
    <row r="5084" ht="14.25" customHeight="1">
      <c r="A5084" s="740"/>
    </row>
    <row r="5085" ht="14.25" customHeight="1">
      <c r="A5085" s="740"/>
    </row>
    <row r="5086" ht="14.25" customHeight="1">
      <c r="A5086" s="740"/>
    </row>
    <row r="5087" ht="14.25" customHeight="1">
      <c r="A5087" s="740"/>
    </row>
    <row r="5088" ht="14.25" customHeight="1">
      <c r="A5088" s="740"/>
    </row>
    <row r="5089" ht="14.25" customHeight="1">
      <c r="A5089" s="740"/>
    </row>
    <row r="5090" ht="14.25" customHeight="1">
      <c r="A5090" s="740"/>
    </row>
    <row r="5091" ht="14.25" customHeight="1">
      <c r="A5091" s="740"/>
    </row>
    <row r="5092" ht="14.25" customHeight="1">
      <c r="A5092" s="740"/>
    </row>
    <row r="5093" ht="14.25" customHeight="1">
      <c r="A5093" s="740"/>
    </row>
    <row r="5094" ht="14.25" customHeight="1">
      <c r="A5094" s="740"/>
    </row>
    <row r="5095" ht="14.25" customHeight="1">
      <c r="A5095" s="740"/>
    </row>
    <row r="5096" ht="14.25" customHeight="1">
      <c r="A5096" s="740"/>
    </row>
    <row r="5097" ht="14.25" customHeight="1">
      <c r="A5097" s="740"/>
    </row>
    <row r="5098" ht="14.25" customHeight="1">
      <c r="A5098" s="740"/>
    </row>
    <row r="5099" ht="14.25" customHeight="1">
      <c r="A5099" s="740"/>
    </row>
    <row r="5100" ht="14.25" customHeight="1">
      <c r="A5100" s="740"/>
    </row>
    <row r="5101" ht="14.25" customHeight="1">
      <c r="A5101" s="740"/>
    </row>
    <row r="5102" ht="14.25" customHeight="1">
      <c r="A5102" s="740"/>
    </row>
    <row r="5103" ht="14.25" customHeight="1">
      <c r="A5103" s="740"/>
    </row>
    <row r="5104" ht="14.25" customHeight="1">
      <c r="A5104" s="740"/>
    </row>
    <row r="5105" ht="14.25" customHeight="1">
      <c r="A5105" s="740"/>
    </row>
    <row r="5106" ht="14.25" customHeight="1">
      <c r="A5106" s="740"/>
    </row>
    <row r="5107" ht="14.25" customHeight="1">
      <c r="A5107" s="740"/>
    </row>
    <row r="5108" ht="14.25" customHeight="1">
      <c r="A5108" s="740"/>
    </row>
    <row r="5109" ht="14.25" customHeight="1">
      <c r="A5109" s="740"/>
    </row>
    <row r="5110" ht="14.25" customHeight="1">
      <c r="A5110" s="740"/>
    </row>
    <row r="5111" ht="14.25" customHeight="1">
      <c r="A5111" s="740"/>
    </row>
    <row r="5112" ht="14.25" customHeight="1">
      <c r="A5112" s="740"/>
    </row>
    <row r="5113" ht="14.25" customHeight="1">
      <c r="A5113" s="740"/>
    </row>
    <row r="5114" ht="14.25" customHeight="1">
      <c r="A5114" s="740"/>
    </row>
    <row r="5115" ht="14.25" customHeight="1">
      <c r="A5115" s="740"/>
    </row>
    <row r="5116" ht="14.25" customHeight="1">
      <c r="A5116" s="740"/>
    </row>
    <row r="5117" ht="14.25" customHeight="1">
      <c r="A5117" s="740"/>
    </row>
    <row r="5118" ht="14.25" customHeight="1">
      <c r="A5118" s="740"/>
    </row>
    <row r="5119" ht="14.25" customHeight="1">
      <c r="A5119" s="740"/>
    </row>
    <row r="5120" ht="14.25" customHeight="1">
      <c r="A5120" s="740"/>
    </row>
    <row r="5121" ht="14.25" customHeight="1">
      <c r="A5121" s="740"/>
    </row>
    <row r="5122" ht="14.25" customHeight="1">
      <c r="A5122" s="740"/>
    </row>
    <row r="5123" ht="14.25" customHeight="1">
      <c r="A5123" s="740"/>
    </row>
    <row r="5124" ht="14.25" customHeight="1">
      <c r="A5124" s="740"/>
    </row>
    <row r="5125" ht="14.25" customHeight="1">
      <c r="A5125" s="740"/>
    </row>
    <row r="5126" ht="14.25" customHeight="1">
      <c r="A5126" s="740"/>
    </row>
    <row r="5127" ht="14.25" customHeight="1">
      <c r="A5127" s="740"/>
    </row>
    <row r="5128" ht="14.25" customHeight="1">
      <c r="A5128" s="740"/>
    </row>
    <row r="5129" ht="14.25" customHeight="1">
      <c r="A5129" s="740"/>
    </row>
    <row r="5130" ht="14.25" customHeight="1">
      <c r="A5130" s="740"/>
    </row>
    <row r="5131" ht="14.25" customHeight="1">
      <c r="A5131" s="740"/>
    </row>
    <row r="5132" ht="14.25" customHeight="1">
      <c r="A5132" s="740"/>
    </row>
    <row r="5133" ht="14.25" customHeight="1">
      <c r="A5133" s="740"/>
    </row>
    <row r="5134" ht="14.25" customHeight="1">
      <c r="A5134" s="740"/>
    </row>
    <row r="5135" ht="14.25" customHeight="1">
      <c r="A5135" s="740"/>
    </row>
    <row r="5136" ht="14.25" customHeight="1">
      <c r="A5136" s="740"/>
    </row>
    <row r="5137" ht="14.25" customHeight="1">
      <c r="A5137" s="740"/>
    </row>
    <row r="5138" ht="14.25" customHeight="1">
      <c r="A5138" s="740"/>
    </row>
    <row r="5139" ht="14.25" customHeight="1">
      <c r="A5139" s="740"/>
    </row>
    <row r="5140" ht="14.25" customHeight="1">
      <c r="A5140" s="740"/>
    </row>
    <row r="5141" ht="14.25" customHeight="1">
      <c r="A5141" s="740"/>
    </row>
    <row r="5142" ht="14.25" customHeight="1">
      <c r="A5142" s="740"/>
    </row>
    <row r="5143" ht="14.25" customHeight="1">
      <c r="A5143" s="740"/>
    </row>
    <row r="5144" ht="14.25" customHeight="1">
      <c r="A5144" s="740"/>
    </row>
    <row r="5145" ht="14.25" customHeight="1">
      <c r="A5145" s="740"/>
    </row>
    <row r="5146" ht="14.25" customHeight="1">
      <c r="A5146" s="740"/>
    </row>
    <row r="5147" ht="14.25" customHeight="1">
      <c r="A5147" s="740"/>
    </row>
    <row r="5148" ht="14.25" customHeight="1">
      <c r="A5148" s="740"/>
    </row>
    <row r="5149" ht="14.25" customHeight="1">
      <c r="A5149" s="740"/>
    </row>
    <row r="5150" ht="14.25" customHeight="1">
      <c r="A5150" s="740"/>
    </row>
    <row r="5151" ht="14.25" customHeight="1">
      <c r="A5151" s="740"/>
    </row>
    <row r="5152" ht="14.25" customHeight="1">
      <c r="A5152" s="740"/>
    </row>
    <row r="5153" ht="14.25" customHeight="1">
      <c r="A5153" s="740"/>
    </row>
    <row r="5154" ht="14.25" customHeight="1">
      <c r="A5154" s="740"/>
    </row>
    <row r="5155" ht="14.25" customHeight="1">
      <c r="A5155" s="740"/>
    </row>
    <row r="5156" ht="14.25" customHeight="1">
      <c r="A5156" s="740"/>
    </row>
    <row r="5157" ht="14.25" customHeight="1">
      <c r="A5157" s="740"/>
    </row>
    <row r="5158" ht="14.25" customHeight="1">
      <c r="A5158" s="740"/>
    </row>
    <row r="5159" ht="14.25" customHeight="1">
      <c r="A5159" s="740"/>
    </row>
    <row r="5160" ht="14.25" customHeight="1">
      <c r="A5160" s="740"/>
    </row>
    <row r="5161" ht="14.25" customHeight="1">
      <c r="A5161" s="740"/>
    </row>
    <row r="5162" ht="14.25" customHeight="1">
      <c r="A5162" s="740"/>
    </row>
    <row r="5163" ht="14.25" customHeight="1">
      <c r="A5163" s="740"/>
    </row>
    <row r="5164" ht="14.25" customHeight="1">
      <c r="A5164" s="740"/>
    </row>
    <row r="5165" ht="14.25" customHeight="1">
      <c r="A5165" s="740"/>
    </row>
    <row r="5166" ht="14.25" customHeight="1">
      <c r="A5166" s="740"/>
    </row>
    <row r="5167" ht="14.25" customHeight="1">
      <c r="A5167" s="740"/>
    </row>
    <row r="5168" ht="14.25" customHeight="1">
      <c r="A5168" s="740"/>
    </row>
    <row r="5169" ht="14.25" customHeight="1">
      <c r="A5169" s="740"/>
    </row>
    <row r="5170" ht="14.25" customHeight="1">
      <c r="A5170" s="740"/>
    </row>
    <row r="5171" ht="14.25" customHeight="1">
      <c r="A5171" s="740"/>
    </row>
    <row r="5172" ht="14.25" customHeight="1">
      <c r="A5172" s="740"/>
    </row>
    <row r="5173" ht="14.25" customHeight="1">
      <c r="A5173" s="740"/>
    </row>
    <row r="5174" ht="14.25" customHeight="1">
      <c r="A5174" s="740"/>
    </row>
    <row r="5175" ht="14.25" customHeight="1">
      <c r="A5175" s="740"/>
    </row>
    <row r="5176" ht="14.25" customHeight="1">
      <c r="A5176" s="740"/>
    </row>
    <row r="5177" ht="14.25" customHeight="1">
      <c r="A5177" s="740"/>
    </row>
    <row r="5178" ht="14.25" customHeight="1">
      <c r="A5178" s="740"/>
    </row>
    <row r="5179" ht="14.25" customHeight="1">
      <c r="A5179" s="740"/>
    </row>
    <row r="5180" ht="14.25" customHeight="1">
      <c r="A5180" s="740"/>
    </row>
    <row r="5181" ht="14.25" customHeight="1">
      <c r="A5181" s="740"/>
    </row>
    <row r="5182" ht="14.25" customHeight="1">
      <c r="A5182" s="740"/>
    </row>
    <row r="5183" ht="14.25" customHeight="1">
      <c r="A5183" s="740"/>
    </row>
    <row r="5184" ht="14.25" customHeight="1">
      <c r="A5184" s="740"/>
    </row>
    <row r="5185" ht="14.25" customHeight="1">
      <c r="A5185" s="740"/>
    </row>
    <row r="5186" ht="14.25" customHeight="1">
      <c r="A5186" s="740"/>
    </row>
    <row r="5187" ht="14.25" customHeight="1">
      <c r="A5187" s="740"/>
    </row>
    <row r="5188" ht="14.25" customHeight="1">
      <c r="A5188" s="740"/>
    </row>
    <row r="5189" ht="14.25" customHeight="1">
      <c r="A5189" s="740"/>
    </row>
    <row r="5190" ht="14.25" customHeight="1">
      <c r="A5190" s="740"/>
    </row>
    <row r="5191" ht="14.25" customHeight="1">
      <c r="A5191" s="740"/>
    </row>
    <row r="5192" ht="14.25" customHeight="1">
      <c r="A5192" s="740"/>
    </row>
    <row r="5193" ht="14.25" customHeight="1">
      <c r="A5193" s="740"/>
    </row>
    <row r="5194" ht="14.25" customHeight="1">
      <c r="A5194" s="740"/>
    </row>
    <row r="5195" ht="14.25" customHeight="1">
      <c r="A5195" s="740"/>
    </row>
    <row r="5196" ht="14.25" customHeight="1">
      <c r="A5196" s="740"/>
    </row>
    <row r="5197" ht="14.25" customHeight="1">
      <c r="A5197" s="740"/>
    </row>
    <row r="5198" ht="14.25" customHeight="1">
      <c r="A5198" s="740"/>
    </row>
    <row r="5199" ht="14.25" customHeight="1">
      <c r="A5199" s="740"/>
    </row>
    <row r="5200" ht="14.25" customHeight="1">
      <c r="A5200" s="740"/>
    </row>
    <row r="5201" ht="14.25" customHeight="1">
      <c r="A5201" s="740"/>
    </row>
    <row r="5202" ht="14.25" customHeight="1">
      <c r="A5202" s="740"/>
    </row>
    <row r="5203" ht="14.25" customHeight="1">
      <c r="A5203" s="740"/>
    </row>
    <row r="5204" ht="14.25" customHeight="1">
      <c r="A5204" s="740"/>
    </row>
    <row r="5205" ht="14.25" customHeight="1">
      <c r="A5205" s="740"/>
    </row>
    <row r="5206" ht="14.25" customHeight="1">
      <c r="A5206" s="740"/>
    </row>
    <row r="5207" ht="14.25" customHeight="1">
      <c r="A5207" s="740"/>
    </row>
    <row r="5208" ht="14.25" customHeight="1">
      <c r="A5208" s="740"/>
    </row>
    <row r="5209" ht="14.25" customHeight="1">
      <c r="A5209" s="740"/>
    </row>
    <row r="5210" ht="14.25" customHeight="1">
      <c r="A5210" s="740"/>
    </row>
    <row r="5211" ht="14.25" customHeight="1">
      <c r="A5211" s="740"/>
    </row>
    <row r="5212" ht="14.25" customHeight="1">
      <c r="A5212" s="740"/>
    </row>
    <row r="5213" ht="14.25" customHeight="1">
      <c r="A5213" s="740"/>
    </row>
    <row r="5214" ht="14.25" customHeight="1">
      <c r="A5214" s="740"/>
    </row>
    <row r="5215" ht="14.25" customHeight="1">
      <c r="A5215" s="740"/>
    </row>
    <row r="5216" ht="14.25" customHeight="1">
      <c r="A5216" s="740"/>
    </row>
    <row r="5217" ht="14.25" customHeight="1">
      <c r="A5217" s="740"/>
    </row>
    <row r="5218" ht="14.25" customHeight="1">
      <c r="A5218" s="740"/>
    </row>
    <row r="5219" ht="14.25" customHeight="1">
      <c r="A5219" s="740"/>
    </row>
    <row r="5220" ht="14.25" customHeight="1">
      <c r="A5220" s="740"/>
    </row>
    <row r="5221" ht="14.25" customHeight="1">
      <c r="A5221" s="740"/>
    </row>
    <row r="5222" ht="14.25" customHeight="1">
      <c r="A5222" s="740"/>
    </row>
    <row r="5223" ht="14.25" customHeight="1">
      <c r="A5223" s="740"/>
    </row>
    <row r="5224" ht="14.25" customHeight="1">
      <c r="A5224" s="740"/>
    </row>
    <row r="5225" ht="14.25" customHeight="1">
      <c r="A5225" s="740"/>
    </row>
    <row r="5226" ht="14.25" customHeight="1">
      <c r="A5226" s="740"/>
    </row>
    <row r="5227" ht="14.25" customHeight="1">
      <c r="A5227" s="740"/>
    </row>
    <row r="5228" ht="14.25" customHeight="1">
      <c r="A5228" s="740"/>
    </row>
    <row r="5229" ht="14.25" customHeight="1">
      <c r="A5229" s="740"/>
    </row>
    <row r="5230" ht="14.25" customHeight="1">
      <c r="A5230" s="740"/>
    </row>
    <row r="5231" ht="14.25" customHeight="1">
      <c r="A5231" s="740"/>
    </row>
    <row r="5232" ht="14.25" customHeight="1">
      <c r="A5232" s="740"/>
    </row>
    <row r="5233" ht="14.25" customHeight="1">
      <c r="A5233" s="740"/>
    </row>
    <row r="5234" ht="14.25" customHeight="1">
      <c r="A5234" s="740"/>
    </row>
    <row r="5235" ht="14.25" customHeight="1">
      <c r="A5235" s="740"/>
    </row>
    <row r="5236" ht="14.25" customHeight="1">
      <c r="A5236" s="740"/>
    </row>
    <row r="5237" ht="14.25" customHeight="1">
      <c r="A5237" s="740"/>
    </row>
    <row r="5238" ht="14.25" customHeight="1">
      <c r="A5238" s="740"/>
    </row>
    <row r="5239" ht="14.25" customHeight="1">
      <c r="A5239" s="740"/>
    </row>
    <row r="5240" ht="14.25" customHeight="1">
      <c r="A5240" s="740"/>
    </row>
    <row r="5241" ht="14.25" customHeight="1">
      <c r="A5241" s="740"/>
    </row>
    <row r="5242" ht="14.25" customHeight="1">
      <c r="A5242" s="740"/>
    </row>
    <row r="5243" ht="14.25" customHeight="1">
      <c r="A5243" s="740"/>
    </row>
    <row r="5244" ht="14.25" customHeight="1">
      <c r="A5244" s="740"/>
    </row>
    <row r="5245" ht="14.25" customHeight="1">
      <c r="A5245" s="740"/>
    </row>
    <row r="5246" ht="14.25" customHeight="1">
      <c r="A5246" s="740"/>
    </row>
    <row r="5247" ht="14.25" customHeight="1">
      <c r="A5247" s="740"/>
    </row>
    <row r="5248" ht="14.25" customHeight="1">
      <c r="A5248" s="740"/>
    </row>
    <row r="5249" ht="14.25" customHeight="1">
      <c r="A5249" s="740"/>
    </row>
    <row r="5250" ht="14.25" customHeight="1">
      <c r="A5250" s="740"/>
    </row>
    <row r="5251" ht="14.25" customHeight="1">
      <c r="A5251" s="740"/>
    </row>
    <row r="5252" ht="14.25" customHeight="1">
      <c r="A5252" s="740"/>
    </row>
    <row r="5253" ht="14.25" customHeight="1">
      <c r="A5253" s="740"/>
    </row>
    <row r="5254" ht="14.25" customHeight="1">
      <c r="A5254" s="740"/>
    </row>
    <row r="5255" ht="14.25" customHeight="1">
      <c r="A5255" s="740"/>
    </row>
    <row r="5256" ht="14.25" customHeight="1">
      <c r="A5256" s="740"/>
    </row>
    <row r="5257" ht="14.25" customHeight="1">
      <c r="A5257" s="740"/>
    </row>
    <row r="5258" ht="14.25" customHeight="1">
      <c r="A5258" s="740"/>
    </row>
    <row r="5259" ht="14.25" customHeight="1">
      <c r="A5259" s="740"/>
    </row>
    <row r="5260" ht="14.25" customHeight="1">
      <c r="A5260" s="740"/>
    </row>
    <row r="5261" ht="14.25" customHeight="1">
      <c r="A5261" s="740"/>
    </row>
    <row r="5262" ht="14.25" customHeight="1">
      <c r="A5262" s="740"/>
    </row>
    <row r="5263" ht="14.25" customHeight="1">
      <c r="A5263" s="740"/>
    </row>
    <row r="5264" ht="14.25" customHeight="1">
      <c r="A5264" s="740"/>
    </row>
    <row r="5265" ht="14.25" customHeight="1">
      <c r="A5265" s="740"/>
    </row>
    <row r="5266" ht="14.25" customHeight="1">
      <c r="A5266" s="740"/>
    </row>
    <row r="5267" ht="14.25" customHeight="1">
      <c r="A5267" s="740"/>
    </row>
    <row r="5268" ht="14.25" customHeight="1">
      <c r="A5268" s="740"/>
    </row>
    <row r="5269" ht="14.25" customHeight="1">
      <c r="A5269" s="740"/>
    </row>
    <row r="5270" ht="14.25" customHeight="1">
      <c r="A5270" s="740"/>
    </row>
    <row r="5271" ht="14.25" customHeight="1">
      <c r="A5271" s="740"/>
    </row>
    <row r="5272" ht="14.25" customHeight="1">
      <c r="A5272" s="740"/>
    </row>
    <row r="5273" ht="14.25" customHeight="1">
      <c r="A5273" s="740"/>
    </row>
    <row r="5274" ht="14.25" customHeight="1">
      <c r="A5274" s="740"/>
    </row>
    <row r="5275" ht="14.25" customHeight="1">
      <c r="A5275" s="740"/>
    </row>
    <row r="5276" ht="14.25" customHeight="1">
      <c r="A5276" s="740"/>
    </row>
    <row r="5277" ht="14.25" customHeight="1">
      <c r="A5277" s="740"/>
    </row>
    <row r="5278" ht="14.25" customHeight="1">
      <c r="A5278" s="740"/>
    </row>
    <row r="5279" ht="14.25" customHeight="1">
      <c r="A5279" s="740"/>
    </row>
    <row r="5280" ht="14.25" customHeight="1">
      <c r="A5280" s="740"/>
    </row>
    <row r="5281" ht="14.25" customHeight="1">
      <c r="A5281" s="740"/>
    </row>
    <row r="5282" ht="14.25" customHeight="1">
      <c r="A5282" s="740"/>
    </row>
    <row r="5283" ht="14.25" customHeight="1">
      <c r="A5283" s="740"/>
    </row>
    <row r="5284" ht="14.25" customHeight="1">
      <c r="A5284" s="740"/>
    </row>
    <row r="5285" ht="14.25" customHeight="1">
      <c r="A5285" s="740"/>
    </row>
    <row r="5286" ht="14.25" customHeight="1">
      <c r="A5286" s="740"/>
    </row>
    <row r="5287" ht="14.25" customHeight="1">
      <c r="A5287" s="740"/>
    </row>
    <row r="5288" ht="14.25" customHeight="1">
      <c r="A5288" s="740"/>
    </row>
    <row r="5289" ht="14.25" customHeight="1">
      <c r="A5289" s="740"/>
    </row>
    <row r="5290" ht="14.25" customHeight="1">
      <c r="A5290" s="740"/>
    </row>
    <row r="5291" ht="14.25" customHeight="1">
      <c r="A5291" s="740"/>
    </row>
    <row r="5292" ht="14.25" customHeight="1">
      <c r="A5292" s="740"/>
    </row>
    <row r="5293" ht="14.25" customHeight="1">
      <c r="A5293" s="740"/>
    </row>
    <row r="5294" ht="14.25" customHeight="1">
      <c r="A5294" s="740"/>
    </row>
    <row r="5295" ht="14.25" customHeight="1">
      <c r="A5295" s="740"/>
    </row>
    <row r="5296" ht="14.25" customHeight="1">
      <c r="A5296" s="740"/>
    </row>
    <row r="5297" ht="14.25" customHeight="1">
      <c r="A5297" s="740"/>
    </row>
    <row r="5298" ht="14.25" customHeight="1">
      <c r="A5298" s="740"/>
    </row>
    <row r="5299" ht="14.25" customHeight="1">
      <c r="A5299" s="740"/>
    </row>
    <row r="5300" ht="14.25" customHeight="1">
      <c r="A5300" s="740"/>
    </row>
    <row r="5301" ht="14.25" customHeight="1">
      <c r="A5301" s="740"/>
    </row>
    <row r="5302" ht="14.25" customHeight="1">
      <c r="A5302" s="740"/>
    </row>
    <row r="5303" ht="14.25" customHeight="1">
      <c r="A5303" s="740"/>
    </row>
    <row r="5304" ht="14.25" customHeight="1">
      <c r="A5304" s="740"/>
    </row>
    <row r="5305" ht="14.25" customHeight="1">
      <c r="A5305" s="740"/>
    </row>
    <row r="5306" ht="14.25" customHeight="1">
      <c r="A5306" s="740"/>
    </row>
    <row r="5307" ht="14.25" customHeight="1">
      <c r="A5307" s="740"/>
    </row>
    <row r="5308" ht="14.25" customHeight="1">
      <c r="A5308" s="740"/>
    </row>
    <row r="5309" ht="14.25" customHeight="1">
      <c r="A5309" s="740"/>
    </row>
    <row r="5310" ht="14.25" customHeight="1">
      <c r="A5310" s="740"/>
    </row>
    <row r="5311" ht="14.25" customHeight="1">
      <c r="A5311" s="740"/>
    </row>
    <row r="5312" ht="14.25" customHeight="1">
      <c r="A5312" s="740"/>
    </row>
    <row r="5313" ht="14.25" customHeight="1">
      <c r="A5313" s="740"/>
    </row>
    <row r="5314" ht="14.25" customHeight="1">
      <c r="A5314" s="740"/>
    </row>
    <row r="5315" ht="14.25" customHeight="1">
      <c r="A5315" s="740"/>
    </row>
    <row r="5316" ht="14.25" customHeight="1">
      <c r="A5316" s="740"/>
    </row>
    <row r="5317" ht="14.25" customHeight="1">
      <c r="A5317" s="740"/>
    </row>
    <row r="5318" ht="14.25" customHeight="1">
      <c r="A5318" s="740"/>
    </row>
    <row r="5319" ht="14.25" customHeight="1">
      <c r="A5319" s="740"/>
    </row>
    <row r="5320" ht="14.25" customHeight="1">
      <c r="A5320" s="740"/>
    </row>
    <row r="5321" ht="14.25" customHeight="1">
      <c r="A5321" s="740"/>
    </row>
    <row r="5322" ht="14.25" customHeight="1">
      <c r="A5322" s="740"/>
    </row>
    <row r="5323" ht="14.25" customHeight="1">
      <c r="A5323" s="740"/>
    </row>
    <row r="5324" ht="14.25" customHeight="1">
      <c r="A5324" s="740"/>
    </row>
    <row r="5325" ht="14.25" customHeight="1">
      <c r="A5325" s="740"/>
    </row>
    <row r="5326" ht="14.25" customHeight="1">
      <c r="A5326" s="740"/>
    </row>
    <row r="5327" ht="14.25" customHeight="1">
      <c r="A5327" s="740"/>
    </row>
    <row r="5328" ht="14.25" customHeight="1">
      <c r="A5328" s="740"/>
    </row>
    <row r="5329" ht="14.25" customHeight="1">
      <c r="A5329" s="740"/>
    </row>
    <row r="5330" ht="14.25" customHeight="1">
      <c r="A5330" s="740"/>
    </row>
    <row r="5331" ht="14.25" customHeight="1">
      <c r="A5331" s="740"/>
    </row>
    <row r="5332" ht="14.25" customHeight="1">
      <c r="A5332" s="740"/>
    </row>
    <row r="5333" ht="14.25" customHeight="1">
      <c r="A5333" s="740"/>
    </row>
    <row r="5334" ht="14.25" customHeight="1">
      <c r="A5334" s="740"/>
    </row>
    <row r="5335" ht="14.25" customHeight="1">
      <c r="A5335" s="740"/>
    </row>
    <row r="5336" ht="14.25" customHeight="1">
      <c r="A5336" s="740"/>
    </row>
    <row r="5337" ht="14.25" customHeight="1">
      <c r="A5337" s="740"/>
    </row>
    <row r="5338" ht="14.25" customHeight="1">
      <c r="A5338" s="740"/>
    </row>
    <row r="5339" ht="14.25" customHeight="1">
      <c r="A5339" s="740"/>
    </row>
    <row r="5340" ht="14.25" customHeight="1">
      <c r="A5340" s="740"/>
    </row>
    <row r="5341" ht="14.25" customHeight="1">
      <c r="A5341" s="740"/>
    </row>
    <row r="5342" ht="14.25" customHeight="1">
      <c r="A5342" s="740"/>
    </row>
    <row r="5343" ht="14.25" customHeight="1">
      <c r="A5343" s="740"/>
    </row>
    <row r="5344" ht="14.25" customHeight="1">
      <c r="A5344" s="740"/>
    </row>
    <row r="5345" ht="14.25" customHeight="1">
      <c r="A5345" s="740"/>
    </row>
    <row r="5346" ht="14.25" customHeight="1">
      <c r="A5346" s="740"/>
    </row>
    <row r="5347" ht="14.25" customHeight="1">
      <c r="A5347" s="740"/>
    </row>
    <row r="5348" ht="14.25" customHeight="1">
      <c r="A5348" s="740"/>
    </row>
    <row r="5349" ht="14.25" customHeight="1">
      <c r="A5349" s="740"/>
    </row>
    <row r="5350" ht="14.25" customHeight="1">
      <c r="A5350" s="740"/>
    </row>
    <row r="5351" ht="14.25" customHeight="1">
      <c r="A5351" s="740"/>
    </row>
    <row r="5352" ht="14.25" customHeight="1">
      <c r="A5352" s="740"/>
    </row>
    <row r="5353" ht="14.25" customHeight="1">
      <c r="A5353" s="740"/>
    </row>
    <row r="5354" ht="14.25" customHeight="1">
      <c r="A5354" s="740"/>
    </row>
    <row r="5355" ht="14.25" customHeight="1">
      <c r="A5355" s="740"/>
    </row>
    <row r="5356" ht="14.25" customHeight="1">
      <c r="A5356" s="740"/>
    </row>
    <row r="5357" ht="14.25" customHeight="1">
      <c r="A5357" s="740"/>
    </row>
    <row r="5358" ht="14.25" customHeight="1">
      <c r="A5358" s="740"/>
    </row>
    <row r="5359" ht="14.25" customHeight="1">
      <c r="A5359" s="740"/>
    </row>
    <row r="5360" ht="14.25" customHeight="1">
      <c r="A5360" s="740"/>
    </row>
    <row r="5361" ht="14.25" customHeight="1">
      <c r="A5361" s="740"/>
    </row>
    <row r="5362" ht="14.25" customHeight="1">
      <c r="A5362" s="740"/>
    </row>
    <row r="5363" ht="14.25" customHeight="1">
      <c r="A5363" s="740"/>
    </row>
    <row r="5364" ht="14.25" customHeight="1">
      <c r="A5364" s="740"/>
    </row>
    <row r="5365" ht="14.25" customHeight="1">
      <c r="A5365" s="740"/>
    </row>
    <row r="5366" ht="14.25" customHeight="1">
      <c r="A5366" s="740"/>
    </row>
    <row r="5367" ht="14.25" customHeight="1">
      <c r="A5367" s="740"/>
    </row>
    <row r="5368" ht="14.25" customHeight="1">
      <c r="A5368" s="740"/>
    </row>
    <row r="5369" ht="14.25" customHeight="1">
      <c r="A5369" s="740"/>
    </row>
    <row r="5370" ht="14.25" customHeight="1">
      <c r="A5370" s="740"/>
    </row>
    <row r="5371" ht="14.25" customHeight="1">
      <c r="A5371" s="740"/>
    </row>
    <row r="5372" ht="14.25" customHeight="1">
      <c r="A5372" s="740"/>
    </row>
    <row r="5373" ht="14.25" customHeight="1">
      <c r="A5373" s="740"/>
    </row>
    <row r="5374" ht="14.25" customHeight="1">
      <c r="A5374" s="740"/>
    </row>
    <row r="5375" ht="14.25" customHeight="1">
      <c r="A5375" s="740"/>
    </row>
    <row r="5376" ht="14.25" customHeight="1">
      <c r="A5376" s="740"/>
    </row>
    <row r="5377" ht="14.25" customHeight="1">
      <c r="A5377" s="740"/>
    </row>
    <row r="5378" ht="14.25" customHeight="1">
      <c r="A5378" s="740"/>
    </row>
    <row r="5379" ht="14.25" customHeight="1">
      <c r="A5379" s="740"/>
    </row>
    <row r="5380" ht="14.25" customHeight="1">
      <c r="A5380" s="740"/>
    </row>
    <row r="5381" ht="14.25" customHeight="1">
      <c r="A5381" s="740"/>
    </row>
    <row r="5382" ht="14.25" customHeight="1">
      <c r="A5382" s="740"/>
    </row>
    <row r="5383" ht="14.25" customHeight="1">
      <c r="A5383" s="740"/>
    </row>
    <row r="5384" ht="14.25" customHeight="1">
      <c r="A5384" s="740"/>
    </row>
    <row r="5385" ht="14.25" customHeight="1">
      <c r="A5385" s="740"/>
    </row>
    <row r="5386" ht="14.25" customHeight="1">
      <c r="A5386" s="740"/>
    </row>
    <row r="5387" ht="14.25" customHeight="1">
      <c r="A5387" s="740"/>
    </row>
    <row r="5388" ht="14.25" customHeight="1">
      <c r="A5388" s="740"/>
    </row>
    <row r="5389" ht="14.25" customHeight="1">
      <c r="A5389" s="740"/>
    </row>
    <row r="5390" ht="14.25" customHeight="1">
      <c r="A5390" s="740"/>
    </row>
    <row r="5391" ht="14.25" customHeight="1">
      <c r="A5391" s="740"/>
    </row>
    <row r="5392" ht="14.25" customHeight="1">
      <c r="A5392" s="740"/>
    </row>
    <row r="5393" ht="14.25" customHeight="1">
      <c r="A5393" s="740"/>
    </row>
    <row r="5394" ht="14.25" customHeight="1">
      <c r="A5394" s="740"/>
    </row>
    <row r="5395" ht="14.25" customHeight="1">
      <c r="A5395" s="740"/>
    </row>
    <row r="5396" ht="14.25" customHeight="1">
      <c r="A5396" s="740"/>
    </row>
    <row r="5397" ht="14.25" customHeight="1">
      <c r="A5397" s="740"/>
    </row>
    <row r="5398" ht="14.25" customHeight="1">
      <c r="A5398" s="740"/>
    </row>
    <row r="5399" ht="14.25" customHeight="1">
      <c r="A5399" s="740"/>
    </row>
    <row r="5400" ht="14.25" customHeight="1">
      <c r="A5400" s="740"/>
    </row>
    <row r="5401" ht="14.25" customHeight="1">
      <c r="A5401" s="740"/>
    </row>
    <row r="5402" ht="14.25" customHeight="1">
      <c r="A5402" s="740"/>
    </row>
    <row r="5403" ht="14.25" customHeight="1">
      <c r="A5403" s="740"/>
    </row>
    <row r="5404" ht="14.25" customHeight="1">
      <c r="A5404" s="740"/>
    </row>
    <row r="5405" ht="14.25" customHeight="1">
      <c r="A5405" s="740"/>
    </row>
    <row r="5406" ht="14.25" customHeight="1">
      <c r="A5406" s="740"/>
    </row>
    <row r="5407" ht="14.25" customHeight="1">
      <c r="A5407" s="740"/>
    </row>
    <row r="5408" ht="14.25" customHeight="1">
      <c r="A5408" s="740"/>
    </row>
    <row r="5409" ht="14.25" customHeight="1">
      <c r="A5409" s="740"/>
    </row>
    <row r="5410" ht="14.25" customHeight="1">
      <c r="A5410" s="740"/>
    </row>
    <row r="5411" ht="14.25" customHeight="1">
      <c r="A5411" s="740"/>
    </row>
    <row r="5412" ht="14.25" customHeight="1">
      <c r="A5412" s="740"/>
    </row>
    <row r="5413" ht="14.25" customHeight="1">
      <c r="A5413" s="740"/>
    </row>
    <row r="5414" ht="14.25" customHeight="1">
      <c r="A5414" s="740"/>
    </row>
    <row r="5415" ht="14.25" customHeight="1">
      <c r="A5415" s="740"/>
    </row>
    <row r="5416" ht="14.25" customHeight="1">
      <c r="A5416" s="740"/>
    </row>
    <row r="5417" ht="14.25" customHeight="1">
      <c r="A5417" s="740"/>
    </row>
    <row r="5418" ht="14.25" customHeight="1">
      <c r="A5418" s="740"/>
    </row>
    <row r="5419" ht="14.25" customHeight="1">
      <c r="A5419" s="740"/>
    </row>
    <row r="5420" ht="14.25" customHeight="1">
      <c r="A5420" s="740"/>
    </row>
    <row r="5421" ht="14.25" customHeight="1">
      <c r="A5421" s="740"/>
    </row>
    <row r="5422" ht="14.25" customHeight="1">
      <c r="A5422" s="740"/>
    </row>
    <row r="5423" ht="14.25" customHeight="1">
      <c r="A5423" s="740"/>
    </row>
    <row r="5424" ht="14.25" customHeight="1">
      <c r="A5424" s="740"/>
    </row>
    <row r="5425" ht="14.25" customHeight="1">
      <c r="A5425" s="740"/>
    </row>
    <row r="5426" ht="14.25" customHeight="1">
      <c r="A5426" s="740"/>
    </row>
    <row r="5427" ht="14.25" customHeight="1">
      <c r="A5427" s="740"/>
    </row>
    <row r="5428" ht="14.25" customHeight="1">
      <c r="A5428" s="740"/>
    </row>
    <row r="5429" ht="14.25" customHeight="1">
      <c r="A5429" s="740"/>
    </row>
    <row r="5430" ht="14.25" customHeight="1">
      <c r="A5430" s="740"/>
    </row>
    <row r="5431" ht="14.25" customHeight="1">
      <c r="A5431" s="740"/>
    </row>
    <row r="5432" ht="14.25" customHeight="1">
      <c r="A5432" s="740"/>
    </row>
    <row r="5433" ht="14.25" customHeight="1">
      <c r="A5433" s="740"/>
    </row>
    <row r="5434" ht="14.25" customHeight="1">
      <c r="A5434" s="740"/>
    </row>
    <row r="5435" ht="14.25" customHeight="1">
      <c r="A5435" s="740"/>
    </row>
    <row r="5436" ht="14.25" customHeight="1">
      <c r="A5436" s="740"/>
    </row>
    <row r="5437" ht="14.25" customHeight="1">
      <c r="A5437" s="740"/>
    </row>
    <row r="5438" ht="14.25" customHeight="1">
      <c r="A5438" s="740"/>
    </row>
    <row r="5439" ht="14.25" customHeight="1">
      <c r="A5439" s="740"/>
    </row>
    <row r="5440" ht="14.25" customHeight="1">
      <c r="A5440" s="740"/>
    </row>
    <row r="5441" ht="14.25" customHeight="1">
      <c r="A5441" s="740"/>
    </row>
    <row r="5442" ht="14.25" customHeight="1">
      <c r="A5442" s="740"/>
    </row>
    <row r="5443" ht="14.25" customHeight="1">
      <c r="A5443" s="740"/>
    </row>
    <row r="5444" ht="14.25" customHeight="1">
      <c r="A5444" s="740"/>
    </row>
    <row r="5445" ht="14.25" customHeight="1">
      <c r="A5445" s="740"/>
    </row>
    <row r="5446" ht="14.25" customHeight="1">
      <c r="A5446" s="740"/>
    </row>
    <row r="5447" ht="14.25" customHeight="1">
      <c r="A5447" s="740"/>
    </row>
    <row r="5448" ht="14.25" customHeight="1">
      <c r="A5448" s="740"/>
    </row>
    <row r="5449" ht="14.25" customHeight="1">
      <c r="A5449" s="740"/>
    </row>
    <row r="5450" ht="14.25" customHeight="1">
      <c r="A5450" s="740"/>
    </row>
    <row r="5451" ht="14.25" customHeight="1">
      <c r="A5451" s="740"/>
    </row>
    <row r="5452" ht="14.25" customHeight="1">
      <c r="A5452" s="740"/>
    </row>
    <row r="5453" ht="14.25" customHeight="1">
      <c r="A5453" s="740"/>
    </row>
    <row r="5454" ht="14.25" customHeight="1">
      <c r="A5454" s="740"/>
    </row>
    <row r="5455" ht="14.25" customHeight="1">
      <c r="A5455" s="740"/>
    </row>
    <row r="5456" ht="14.25" customHeight="1">
      <c r="A5456" s="740"/>
    </row>
    <row r="5457" ht="14.25" customHeight="1">
      <c r="A5457" s="740"/>
    </row>
    <row r="5458" ht="14.25" customHeight="1">
      <c r="A5458" s="740"/>
    </row>
    <row r="5459" ht="14.25" customHeight="1">
      <c r="A5459" s="740"/>
    </row>
    <row r="5460" ht="14.25" customHeight="1">
      <c r="A5460" s="740"/>
    </row>
    <row r="5461" ht="14.25" customHeight="1">
      <c r="A5461" s="740"/>
    </row>
    <row r="5462" ht="14.25" customHeight="1">
      <c r="A5462" s="740"/>
    </row>
    <row r="5463" ht="14.25" customHeight="1">
      <c r="A5463" s="740"/>
    </row>
    <row r="5464" ht="14.25" customHeight="1">
      <c r="A5464" s="740"/>
    </row>
    <row r="5465" ht="14.25" customHeight="1">
      <c r="A5465" s="740"/>
    </row>
    <row r="5466" ht="14.25" customHeight="1">
      <c r="A5466" s="740"/>
    </row>
    <row r="5467" ht="14.25" customHeight="1">
      <c r="A5467" s="740"/>
    </row>
    <row r="5468" ht="14.25" customHeight="1">
      <c r="A5468" s="740"/>
    </row>
    <row r="5469" ht="14.25" customHeight="1">
      <c r="A5469" s="740"/>
    </row>
    <row r="5470" ht="14.25" customHeight="1">
      <c r="A5470" s="740"/>
    </row>
    <row r="5471" ht="14.25" customHeight="1">
      <c r="A5471" s="740"/>
    </row>
    <row r="5472" ht="14.25" customHeight="1">
      <c r="A5472" s="740"/>
    </row>
    <row r="5473" ht="14.25" customHeight="1">
      <c r="A5473" s="740"/>
    </row>
    <row r="5474" ht="14.25" customHeight="1">
      <c r="A5474" s="740"/>
    </row>
    <row r="5475" ht="14.25" customHeight="1">
      <c r="A5475" s="740"/>
    </row>
    <row r="5476" ht="14.25" customHeight="1">
      <c r="A5476" s="740"/>
    </row>
    <row r="5477" ht="14.25" customHeight="1">
      <c r="A5477" s="740"/>
    </row>
    <row r="5478" ht="14.25" customHeight="1">
      <c r="A5478" s="740"/>
    </row>
    <row r="5479" ht="14.25" customHeight="1">
      <c r="A5479" s="740"/>
    </row>
    <row r="5480" ht="14.25" customHeight="1">
      <c r="A5480" s="740"/>
    </row>
    <row r="5481" ht="14.25" customHeight="1">
      <c r="A5481" s="740"/>
    </row>
    <row r="5482" ht="14.25" customHeight="1">
      <c r="A5482" s="740"/>
    </row>
    <row r="5483" ht="14.25" customHeight="1">
      <c r="A5483" s="740"/>
    </row>
    <row r="5484" ht="14.25" customHeight="1">
      <c r="A5484" s="740"/>
    </row>
    <row r="5485" ht="14.25" customHeight="1">
      <c r="A5485" s="740"/>
    </row>
    <row r="5486" ht="14.25" customHeight="1">
      <c r="A5486" s="740"/>
    </row>
    <row r="5487" ht="14.25" customHeight="1">
      <c r="A5487" s="740"/>
    </row>
    <row r="5488" ht="14.25" customHeight="1">
      <c r="A5488" s="740"/>
    </row>
    <row r="5489" ht="14.25" customHeight="1">
      <c r="A5489" s="740"/>
    </row>
    <row r="5490" ht="14.25" customHeight="1">
      <c r="A5490" s="740"/>
    </row>
    <row r="5491" ht="14.25" customHeight="1">
      <c r="A5491" s="740"/>
    </row>
    <row r="5492" ht="14.25" customHeight="1">
      <c r="A5492" s="740"/>
    </row>
    <row r="5493" ht="14.25" customHeight="1">
      <c r="A5493" s="740"/>
    </row>
    <row r="5494" ht="14.25" customHeight="1">
      <c r="A5494" s="740"/>
    </row>
    <row r="5495" ht="14.25" customHeight="1">
      <c r="A5495" s="740"/>
    </row>
    <row r="5496" ht="14.25" customHeight="1">
      <c r="A5496" s="740"/>
    </row>
    <row r="5497" ht="14.25" customHeight="1">
      <c r="A5497" s="740"/>
    </row>
    <row r="5498" ht="14.25" customHeight="1">
      <c r="A5498" s="740"/>
    </row>
    <row r="5499" ht="14.25" customHeight="1">
      <c r="A5499" s="740"/>
    </row>
    <row r="5500" ht="14.25" customHeight="1">
      <c r="A5500" s="740"/>
    </row>
    <row r="5501" ht="14.25" customHeight="1">
      <c r="A5501" s="740"/>
    </row>
    <row r="5502" ht="14.25" customHeight="1">
      <c r="A5502" s="740"/>
    </row>
    <row r="5503" ht="14.25" customHeight="1">
      <c r="A5503" s="740"/>
    </row>
    <row r="5504" ht="14.25" customHeight="1">
      <c r="A5504" s="740"/>
    </row>
    <row r="5505" ht="14.25" customHeight="1">
      <c r="A5505" s="740"/>
    </row>
    <row r="5506" ht="14.25" customHeight="1">
      <c r="A5506" s="740"/>
    </row>
    <row r="5507" ht="14.25" customHeight="1">
      <c r="A5507" s="740"/>
    </row>
    <row r="5508" ht="14.25" customHeight="1">
      <c r="A5508" s="740"/>
    </row>
    <row r="5509" ht="14.25" customHeight="1">
      <c r="A5509" s="740"/>
    </row>
    <row r="5510" ht="14.25" customHeight="1">
      <c r="A5510" s="740"/>
    </row>
    <row r="5511" ht="14.25" customHeight="1">
      <c r="A5511" s="740"/>
    </row>
    <row r="5512" ht="14.25" customHeight="1">
      <c r="A5512" s="740"/>
    </row>
    <row r="5513" ht="14.25" customHeight="1">
      <c r="A5513" s="740"/>
    </row>
    <row r="5514" ht="14.25" customHeight="1">
      <c r="A5514" s="740"/>
    </row>
    <row r="5515" ht="14.25" customHeight="1">
      <c r="A5515" s="740"/>
    </row>
    <row r="5516" ht="14.25" customHeight="1">
      <c r="A5516" s="740"/>
    </row>
    <row r="5517" ht="14.25" customHeight="1">
      <c r="A5517" s="740"/>
    </row>
    <row r="5518" ht="14.25" customHeight="1">
      <c r="A5518" s="740"/>
    </row>
    <row r="5519" ht="14.25" customHeight="1">
      <c r="A5519" s="740"/>
    </row>
    <row r="5520" ht="14.25" customHeight="1">
      <c r="A5520" s="740"/>
    </row>
    <row r="5521" ht="14.25" customHeight="1">
      <c r="A5521" s="740"/>
    </row>
    <row r="5522" ht="14.25" customHeight="1">
      <c r="A5522" s="740"/>
    </row>
    <row r="5523" ht="14.25" customHeight="1">
      <c r="A5523" s="740"/>
    </row>
    <row r="5524" ht="14.25" customHeight="1">
      <c r="A5524" s="740"/>
    </row>
    <row r="5525" ht="14.25" customHeight="1">
      <c r="A5525" s="740"/>
    </row>
    <row r="5526" ht="14.25" customHeight="1">
      <c r="A5526" s="740"/>
    </row>
    <row r="5527" ht="14.25" customHeight="1">
      <c r="A5527" s="740"/>
    </row>
    <row r="5528" ht="14.25" customHeight="1">
      <c r="A5528" s="740"/>
    </row>
    <row r="5529" ht="14.25" customHeight="1">
      <c r="A5529" s="740"/>
    </row>
    <row r="5530" ht="14.25" customHeight="1">
      <c r="A5530" s="740"/>
    </row>
    <row r="5531" ht="14.25" customHeight="1">
      <c r="A5531" s="740"/>
    </row>
    <row r="5532" ht="14.25" customHeight="1">
      <c r="A5532" s="740"/>
    </row>
    <row r="5533" ht="14.25" customHeight="1">
      <c r="A5533" s="740"/>
    </row>
    <row r="5534" ht="14.25" customHeight="1">
      <c r="A5534" s="740"/>
    </row>
    <row r="5535" ht="14.25" customHeight="1">
      <c r="A5535" s="740"/>
    </row>
    <row r="5536" ht="14.25" customHeight="1">
      <c r="A5536" s="740"/>
    </row>
    <row r="5537" ht="14.25" customHeight="1">
      <c r="A5537" s="740"/>
    </row>
    <row r="5538" ht="14.25" customHeight="1">
      <c r="A5538" s="740"/>
    </row>
    <row r="5539" ht="14.25" customHeight="1">
      <c r="A5539" s="740"/>
    </row>
    <row r="5540" ht="14.25" customHeight="1">
      <c r="A5540" s="740"/>
    </row>
    <row r="5541" ht="14.25" customHeight="1">
      <c r="A5541" s="740"/>
    </row>
    <row r="5542" ht="14.25" customHeight="1">
      <c r="A5542" s="740"/>
    </row>
    <row r="5543" ht="14.25" customHeight="1">
      <c r="A5543" s="740"/>
    </row>
    <row r="5544" ht="14.25" customHeight="1">
      <c r="A5544" s="740"/>
    </row>
    <row r="5545" ht="14.25" customHeight="1">
      <c r="A5545" s="740"/>
    </row>
    <row r="5546" ht="14.25" customHeight="1">
      <c r="A5546" s="740"/>
    </row>
    <row r="5547" ht="14.25" customHeight="1">
      <c r="A5547" s="740"/>
    </row>
    <row r="5548" ht="14.25" customHeight="1">
      <c r="A5548" s="740"/>
    </row>
    <row r="5549" ht="14.25" customHeight="1">
      <c r="A5549" s="740"/>
    </row>
    <row r="5550" ht="14.25" customHeight="1">
      <c r="A5550" s="740"/>
    </row>
    <row r="5551" ht="14.25" customHeight="1">
      <c r="A5551" s="740"/>
    </row>
    <row r="5552" ht="14.25" customHeight="1">
      <c r="A5552" s="740"/>
    </row>
    <row r="5553" ht="14.25" customHeight="1">
      <c r="A5553" s="740"/>
    </row>
    <row r="5554" ht="14.25" customHeight="1">
      <c r="A5554" s="740"/>
    </row>
    <row r="5555" ht="14.25" customHeight="1">
      <c r="A5555" s="740"/>
    </row>
    <row r="5556" ht="14.25" customHeight="1">
      <c r="A5556" s="740"/>
    </row>
    <row r="5557" ht="14.25" customHeight="1">
      <c r="A5557" s="740"/>
    </row>
    <row r="5558" ht="14.25" customHeight="1">
      <c r="A5558" s="740"/>
    </row>
    <row r="5559" ht="14.25" customHeight="1">
      <c r="A5559" s="740"/>
    </row>
    <row r="5560" ht="14.25" customHeight="1">
      <c r="A5560" s="740"/>
    </row>
    <row r="5561" ht="14.25" customHeight="1">
      <c r="A5561" s="740"/>
    </row>
    <row r="5562" ht="14.25" customHeight="1">
      <c r="A5562" s="740"/>
    </row>
    <row r="5563" ht="14.25" customHeight="1">
      <c r="A5563" s="740"/>
    </row>
    <row r="5564" ht="14.25" customHeight="1">
      <c r="A5564" s="740"/>
    </row>
    <row r="5565" ht="14.25" customHeight="1">
      <c r="A5565" s="740"/>
    </row>
    <row r="5566" ht="14.25" customHeight="1">
      <c r="A5566" s="740"/>
    </row>
    <row r="5567" ht="14.25" customHeight="1">
      <c r="A5567" s="740"/>
    </row>
    <row r="5568" ht="14.25" customHeight="1">
      <c r="A5568" s="740"/>
    </row>
    <row r="5569" ht="14.25" customHeight="1">
      <c r="A5569" s="740"/>
    </row>
    <row r="5570" ht="14.25" customHeight="1">
      <c r="A5570" s="740"/>
    </row>
    <row r="5571" ht="14.25" customHeight="1">
      <c r="A5571" s="740"/>
    </row>
    <row r="5572" ht="14.25" customHeight="1">
      <c r="A5572" s="740"/>
    </row>
    <row r="5573" ht="14.25" customHeight="1">
      <c r="A5573" s="740"/>
    </row>
    <row r="5574" ht="14.25" customHeight="1">
      <c r="A5574" s="740"/>
    </row>
    <row r="5575" ht="14.25" customHeight="1">
      <c r="A5575" s="740"/>
    </row>
    <row r="5576" ht="14.25" customHeight="1">
      <c r="A5576" s="740"/>
    </row>
    <row r="5577" ht="14.25" customHeight="1">
      <c r="A5577" s="740"/>
    </row>
    <row r="5578" ht="14.25" customHeight="1">
      <c r="A5578" s="740"/>
    </row>
    <row r="5579" ht="14.25" customHeight="1">
      <c r="A5579" s="740"/>
    </row>
    <row r="5580" ht="14.25" customHeight="1">
      <c r="A5580" s="740"/>
    </row>
    <row r="5581" ht="14.25" customHeight="1">
      <c r="A5581" s="740"/>
    </row>
    <row r="5582" ht="14.25" customHeight="1">
      <c r="A5582" s="740"/>
    </row>
    <row r="5583" ht="14.25" customHeight="1">
      <c r="A5583" s="740"/>
    </row>
    <row r="5584" ht="14.25" customHeight="1">
      <c r="A5584" s="740"/>
    </row>
    <row r="5585" ht="14.25" customHeight="1">
      <c r="A5585" s="740"/>
    </row>
    <row r="5586" ht="14.25" customHeight="1">
      <c r="A5586" s="740"/>
    </row>
    <row r="5587" ht="14.25" customHeight="1">
      <c r="A5587" s="740"/>
    </row>
    <row r="5588" ht="14.25" customHeight="1">
      <c r="A5588" s="740"/>
    </row>
    <row r="5589" ht="14.25" customHeight="1">
      <c r="A5589" s="740"/>
    </row>
    <row r="5590" ht="14.25" customHeight="1">
      <c r="A5590" s="740"/>
    </row>
    <row r="5591" ht="14.25" customHeight="1">
      <c r="A5591" s="740"/>
    </row>
    <row r="5592" ht="14.25" customHeight="1">
      <c r="A5592" s="740"/>
    </row>
    <row r="5593" ht="14.25" customHeight="1">
      <c r="A5593" s="740"/>
    </row>
    <row r="5594" ht="14.25" customHeight="1">
      <c r="A5594" s="740"/>
    </row>
    <row r="5595" ht="14.25" customHeight="1">
      <c r="A5595" s="740"/>
    </row>
    <row r="5596" ht="14.25" customHeight="1">
      <c r="A5596" s="740"/>
    </row>
    <row r="5597" ht="14.25" customHeight="1">
      <c r="A5597" s="740"/>
    </row>
    <row r="5598" ht="14.25" customHeight="1">
      <c r="A5598" s="740"/>
    </row>
    <row r="5599" ht="14.25" customHeight="1">
      <c r="A5599" s="740"/>
    </row>
    <row r="5600" ht="14.25" customHeight="1">
      <c r="A5600" s="740"/>
    </row>
    <row r="5601" ht="14.25" customHeight="1">
      <c r="A5601" s="740"/>
    </row>
    <row r="5602" ht="14.25" customHeight="1">
      <c r="A5602" s="740"/>
    </row>
    <row r="5603" ht="14.25" customHeight="1">
      <c r="A5603" s="740"/>
    </row>
    <row r="5604" ht="14.25" customHeight="1">
      <c r="A5604" s="740"/>
    </row>
    <row r="5605" ht="14.25" customHeight="1">
      <c r="A5605" s="740"/>
    </row>
    <row r="5606" ht="14.25" customHeight="1">
      <c r="A5606" s="740"/>
    </row>
    <row r="5607" ht="14.25" customHeight="1">
      <c r="A5607" s="740"/>
    </row>
    <row r="5608" ht="14.25" customHeight="1">
      <c r="A5608" s="740"/>
    </row>
    <row r="5609" ht="14.25" customHeight="1">
      <c r="A5609" s="740"/>
    </row>
    <row r="5610" ht="14.25" customHeight="1">
      <c r="A5610" s="740"/>
    </row>
    <row r="5611" ht="14.25" customHeight="1">
      <c r="A5611" s="740"/>
    </row>
    <row r="5612" ht="14.25" customHeight="1">
      <c r="A5612" s="740"/>
    </row>
    <row r="5613" ht="14.25" customHeight="1">
      <c r="A5613" s="740"/>
    </row>
    <row r="5614" ht="14.25" customHeight="1">
      <c r="A5614" s="740"/>
    </row>
    <row r="5615" ht="14.25" customHeight="1">
      <c r="A5615" s="740"/>
    </row>
    <row r="5616" ht="14.25" customHeight="1">
      <c r="A5616" s="740"/>
    </row>
    <row r="5617" ht="14.25" customHeight="1">
      <c r="A5617" s="740"/>
    </row>
    <row r="5618" ht="14.25" customHeight="1">
      <c r="A5618" s="740"/>
    </row>
    <row r="5619" ht="14.25" customHeight="1">
      <c r="A5619" s="740"/>
    </row>
    <row r="5620" ht="14.25" customHeight="1">
      <c r="A5620" s="740"/>
    </row>
    <row r="5621" ht="14.25" customHeight="1">
      <c r="A5621" s="740"/>
    </row>
    <row r="5622" ht="14.25" customHeight="1">
      <c r="A5622" s="740"/>
    </row>
    <row r="5623" ht="14.25" customHeight="1">
      <c r="A5623" s="740"/>
    </row>
    <row r="5624" ht="14.25" customHeight="1">
      <c r="A5624" s="740"/>
    </row>
    <row r="5625" ht="14.25" customHeight="1">
      <c r="A5625" s="740"/>
    </row>
    <row r="5626" ht="14.25" customHeight="1">
      <c r="A5626" s="740"/>
    </row>
    <row r="5627" ht="14.25" customHeight="1">
      <c r="A5627" s="740"/>
    </row>
    <row r="5628" ht="14.25" customHeight="1">
      <c r="A5628" s="740"/>
    </row>
    <row r="5629" ht="14.25" customHeight="1">
      <c r="A5629" s="740"/>
    </row>
    <row r="5630" ht="14.25" customHeight="1">
      <c r="A5630" s="740"/>
    </row>
    <row r="5631" ht="14.25" customHeight="1">
      <c r="A5631" s="740"/>
    </row>
    <row r="5632" ht="14.25" customHeight="1">
      <c r="A5632" s="740"/>
    </row>
    <row r="5633" ht="14.25" customHeight="1">
      <c r="A5633" s="740"/>
    </row>
    <row r="5634" ht="14.25" customHeight="1">
      <c r="A5634" s="740"/>
    </row>
    <row r="5635" ht="14.25" customHeight="1">
      <c r="A5635" s="740"/>
    </row>
    <row r="5636" ht="14.25" customHeight="1">
      <c r="A5636" s="740"/>
    </row>
    <row r="5637" ht="14.25" customHeight="1">
      <c r="A5637" s="740"/>
    </row>
    <row r="5638" ht="14.25" customHeight="1">
      <c r="A5638" s="740"/>
    </row>
    <row r="5639" ht="14.25" customHeight="1">
      <c r="A5639" s="740"/>
    </row>
    <row r="5640" ht="14.25" customHeight="1">
      <c r="A5640" s="740"/>
    </row>
    <row r="5641" ht="14.25" customHeight="1">
      <c r="A5641" s="740"/>
    </row>
    <row r="5642" ht="14.25" customHeight="1">
      <c r="A5642" s="740"/>
    </row>
    <row r="5643" ht="14.25" customHeight="1">
      <c r="A5643" s="740"/>
    </row>
    <row r="5644" ht="14.25" customHeight="1">
      <c r="A5644" s="740"/>
    </row>
    <row r="5645" ht="14.25" customHeight="1">
      <c r="A5645" s="740"/>
    </row>
    <row r="5646" ht="14.25" customHeight="1">
      <c r="A5646" s="740"/>
    </row>
    <row r="5647" ht="14.25" customHeight="1">
      <c r="A5647" s="740"/>
    </row>
    <row r="5648" ht="14.25" customHeight="1">
      <c r="A5648" s="740"/>
    </row>
    <row r="5649" ht="14.25" customHeight="1">
      <c r="A5649" s="740"/>
    </row>
    <row r="5650" ht="14.25" customHeight="1">
      <c r="A5650" s="740"/>
    </row>
    <row r="5651" ht="14.25" customHeight="1">
      <c r="A5651" s="740"/>
    </row>
    <row r="5652" ht="14.25" customHeight="1">
      <c r="A5652" s="740"/>
    </row>
    <row r="5653" ht="14.25" customHeight="1">
      <c r="A5653" s="740"/>
    </row>
    <row r="5654" ht="14.25" customHeight="1">
      <c r="A5654" s="740"/>
    </row>
    <row r="5655" ht="14.25" customHeight="1">
      <c r="A5655" s="740"/>
    </row>
    <row r="5656" ht="14.25" customHeight="1">
      <c r="A5656" s="740"/>
    </row>
    <row r="5657" ht="14.25" customHeight="1">
      <c r="A5657" s="740"/>
    </row>
    <row r="5658" ht="14.25" customHeight="1">
      <c r="A5658" s="740"/>
    </row>
    <row r="5659" ht="14.25" customHeight="1">
      <c r="A5659" s="740"/>
    </row>
    <row r="5660" ht="14.25" customHeight="1">
      <c r="A5660" s="740"/>
    </row>
    <row r="5661" ht="14.25" customHeight="1">
      <c r="A5661" s="740"/>
    </row>
    <row r="5662" ht="14.25" customHeight="1">
      <c r="A5662" s="740"/>
    </row>
    <row r="5663" ht="14.25" customHeight="1">
      <c r="A5663" s="740"/>
    </row>
    <row r="5664" ht="14.25" customHeight="1">
      <c r="A5664" s="740"/>
    </row>
    <row r="5665" ht="14.25" customHeight="1">
      <c r="A5665" s="740"/>
    </row>
    <row r="5666" ht="14.25" customHeight="1">
      <c r="A5666" s="740"/>
    </row>
    <row r="5667" ht="14.25" customHeight="1">
      <c r="A5667" s="740"/>
    </row>
    <row r="5668" ht="14.25" customHeight="1">
      <c r="A5668" s="740"/>
    </row>
    <row r="5669" ht="14.25" customHeight="1">
      <c r="A5669" s="740"/>
    </row>
    <row r="5670" ht="14.25" customHeight="1">
      <c r="A5670" s="740"/>
    </row>
    <row r="5671" ht="14.25" customHeight="1">
      <c r="A5671" s="740"/>
    </row>
    <row r="5672" ht="14.25" customHeight="1">
      <c r="A5672" s="740"/>
    </row>
    <row r="5673" ht="14.25" customHeight="1">
      <c r="A5673" s="740"/>
    </row>
    <row r="5674" ht="14.25" customHeight="1">
      <c r="A5674" s="740"/>
    </row>
    <row r="5675" ht="14.25" customHeight="1">
      <c r="A5675" s="740"/>
    </row>
    <row r="5676" ht="14.25" customHeight="1">
      <c r="A5676" s="740"/>
    </row>
    <row r="5677" ht="14.25" customHeight="1">
      <c r="A5677" s="740"/>
    </row>
    <row r="5678" ht="14.25" customHeight="1">
      <c r="A5678" s="740"/>
    </row>
    <row r="5679" ht="14.25" customHeight="1">
      <c r="A5679" s="740"/>
    </row>
    <row r="5680" ht="14.25" customHeight="1">
      <c r="A5680" s="740"/>
    </row>
    <row r="5681" ht="14.25" customHeight="1">
      <c r="A5681" s="740"/>
    </row>
    <row r="5682" ht="14.25" customHeight="1">
      <c r="A5682" s="740"/>
    </row>
    <row r="5683" ht="14.25" customHeight="1">
      <c r="A5683" s="740"/>
    </row>
    <row r="5684" ht="14.25" customHeight="1">
      <c r="A5684" s="740"/>
    </row>
    <row r="5685" ht="14.25" customHeight="1">
      <c r="A5685" s="740"/>
    </row>
    <row r="5686" ht="14.25" customHeight="1">
      <c r="A5686" s="740"/>
    </row>
    <row r="5687" ht="14.25" customHeight="1">
      <c r="A5687" s="740"/>
    </row>
    <row r="5688" ht="14.25" customHeight="1">
      <c r="A5688" s="740"/>
    </row>
    <row r="5689" ht="14.25" customHeight="1">
      <c r="A5689" s="740"/>
    </row>
    <row r="5690" ht="14.25" customHeight="1">
      <c r="A5690" s="740"/>
    </row>
    <row r="5691" ht="14.25" customHeight="1">
      <c r="A5691" s="740"/>
    </row>
    <row r="5692" ht="14.25" customHeight="1">
      <c r="A5692" s="740"/>
    </row>
    <row r="5693" ht="14.25" customHeight="1">
      <c r="A5693" s="740"/>
    </row>
    <row r="5694" ht="14.25" customHeight="1">
      <c r="A5694" s="740"/>
    </row>
    <row r="5695" ht="14.25" customHeight="1">
      <c r="A5695" s="740"/>
    </row>
    <row r="5696" ht="14.25" customHeight="1">
      <c r="A5696" s="740"/>
    </row>
    <row r="5697" ht="14.25" customHeight="1">
      <c r="A5697" s="740"/>
    </row>
    <row r="5698" ht="14.25" customHeight="1">
      <c r="A5698" s="740"/>
    </row>
    <row r="5699" ht="14.25" customHeight="1">
      <c r="A5699" s="740"/>
    </row>
    <row r="5700" ht="14.25" customHeight="1">
      <c r="A5700" s="740"/>
    </row>
    <row r="5701" ht="14.25" customHeight="1">
      <c r="A5701" s="740"/>
    </row>
    <row r="5702" ht="14.25" customHeight="1">
      <c r="A5702" s="740"/>
    </row>
    <row r="5703" ht="14.25" customHeight="1">
      <c r="A5703" s="740"/>
    </row>
    <row r="5704" ht="14.25" customHeight="1">
      <c r="A5704" s="740"/>
    </row>
    <row r="5705" ht="14.25" customHeight="1">
      <c r="A5705" s="740"/>
    </row>
    <row r="5706" ht="14.25" customHeight="1">
      <c r="A5706" s="740"/>
    </row>
    <row r="5707" ht="14.25" customHeight="1">
      <c r="A5707" s="740"/>
    </row>
    <row r="5708" ht="14.25" customHeight="1">
      <c r="A5708" s="740"/>
    </row>
    <row r="5709" ht="14.25" customHeight="1">
      <c r="A5709" s="740"/>
    </row>
    <row r="5710" ht="14.25" customHeight="1">
      <c r="A5710" s="740"/>
    </row>
    <row r="5711" ht="14.25" customHeight="1">
      <c r="A5711" s="740"/>
    </row>
    <row r="5712" ht="14.25" customHeight="1">
      <c r="A5712" s="740"/>
    </row>
    <row r="5713" ht="14.25" customHeight="1">
      <c r="A5713" s="740"/>
    </row>
    <row r="5714" ht="14.25" customHeight="1">
      <c r="A5714" s="740"/>
    </row>
    <row r="5715" ht="14.25" customHeight="1">
      <c r="A5715" s="740"/>
    </row>
    <row r="5716" ht="14.25" customHeight="1">
      <c r="A5716" s="740"/>
    </row>
    <row r="5717" ht="14.25" customHeight="1">
      <c r="A5717" s="740"/>
    </row>
    <row r="5718" ht="14.25" customHeight="1">
      <c r="A5718" s="740"/>
    </row>
    <row r="5719" ht="14.25" customHeight="1">
      <c r="A5719" s="740"/>
    </row>
    <row r="5720" ht="14.25" customHeight="1">
      <c r="A5720" s="740"/>
    </row>
    <row r="5721" ht="14.25" customHeight="1">
      <c r="A5721" s="740"/>
    </row>
    <row r="5722" ht="14.25" customHeight="1">
      <c r="A5722" s="740"/>
    </row>
    <row r="5723" ht="14.25" customHeight="1">
      <c r="A5723" s="740"/>
    </row>
    <row r="5724" ht="14.25" customHeight="1">
      <c r="A5724" s="740"/>
    </row>
    <row r="5725" ht="14.25" customHeight="1">
      <c r="A5725" s="740"/>
    </row>
    <row r="5726" ht="14.25" customHeight="1">
      <c r="A5726" s="740"/>
    </row>
    <row r="5727" ht="14.25" customHeight="1">
      <c r="A5727" s="740"/>
    </row>
    <row r="5728" ht="14.25" customHeight="1">
      <c r="A5728" s="740"/>
    </row>
    <row r="5729" ht="14.25" customHeight="1">
      <c r="A5729" s="740"/>
    </row>
    <row r="5730" ht="14.25" customHeight="1">
      <c r="A5730" s="740"/>
    </row>
    <row r="5731" ht="14.25" customHeight="1">
      <c r="A5731" s="740"/>
    </row>
    <row r="5732" ht="14.25" customHeight="1">
      <c r="A5732" s="740"/>
    </row>
    <row r="5733" ht="14.25" customHeight="1">
      <c r="A5733" s="740"/>
    </row>
    <row r="5734" ht="14.25" customHeight="1">
      <c r="A5734" s="740"/>
    </row>
    <row r="5735" ht="14.25" customHeight="1">
      <c r="A5735" s="740"/>
    </row>
    <row r="5736" ht="14.25" customHeight="1">
      <c r="A5736" s="740"/>
    </row>
    <row r="5737" ht="14.25" customHeight="1">
      <c r="A5737" s="740"/>
    </row>
    <row r="5738" ht="14.25" customHeight="1">
      <c r="A5738" s="740"/>
    </row>
    <row r="5739" ht="14.25" customHeight="1">
      <c r="A5739" s="740"/>
    </row>
    <row r="5740" ht="14.25" customHeight="1">
      <c r="A5740" s="740"/>
    </row>
    <row r="5741" ht="14.25" customHeight="1">
      <c r="A5741" s="740"/>
    </row>
    <row r="5742" ht="14.25" customHeight="1">
      <c r="A5742" s="740"/>
    </row>
    <row r="5743" ht="14.25" customHeight="1">
      <c r="A5743" s="740"/>
    </row>
    <row r="5744" ht="14.25" customHeight="1">
      <c r="A5744" s="740"/>
    </row>
    <row r="5745" ht="14.25" customHeight="1">
      <c r="A5745" s="740"/>
    </row>
    <row r="5746" ht="14.25" customHeight="1">
      <c r="A5746" s="740"/>
    </row>
    <row r="5747" ht="14.25" customHeight="1">
      <c r="A5747" s="740"/>
    </row>
    <row r="5748" ht="14.25" customHeight="1">
      <c r="A5748" s="740"/>
    </row>
    <row r="5749" ht="14.25" customHeight="1">
      <c r="A5749" s="740"/>
    </row>
    <row r="5750" ht="14.25" customHeight="1">
      <c r="A5750" s="740"/>
    </row>
    <row r="5751" ht="14.25" customHeight="1">
      <c r="A5751" s="740"/>
    </row>
    <row r="5752" ht="14.25" customHeight="1">
      <c r="A5752" s="740"/>
    </row>
    <row r="5753" ht="14.25" customHeight="1">
      <c r="A5753" s="740"/>
    </row>
    <row r="5754" ht="14.25" customHeight="1">
      <c r="A5754" s="740"/>
    </row>
    <row r="5755" ht="14.25" customHeight="1">
      <c r="A5755" s="740"/>
    </row>
    <row r="5756" ht="14.25" customHeight="1">
      <c r="A5756" s="740"/>
    </row>
    <row r="5757" ht="14.25" customHeight="1">
      <c r="A5757" s="740"/>
    </row>
    <row r="5758" ht="14.25" customHeight="1">
      <c r="A5758" s="740"/>
    </row>
    <row r="5759" ht="14.25" customHeight="1">
      <c r="A5759" s="740"/>
    </row>
    <row r="5760" ht="14.25" customHeight="1">
      <c r="A5760" s="740"/>
    </row>
    <row r="5761" ht="14.25" customHeight="1">
      <c r="A5761" s="740"/>
    </row>
    <row r="5762" ht="14.25" customHeight="1">
      <c r="A5762" s="740"/>
    </row>
    <row r="5763" ht="14.25" customHeight="1">
      <c r="A5763" s="740"/>
    </row>
    <row r="5764" ht="14.25" customHeight="1">
      <c r="A5764" s="740"/>
    </row>
    <row r="5765" ht="14.25" customHeight="1">
      <c r="A5765" s="740"/>
    </row>
    <row r="5766" ht="14.25" customHeight="1">
      <c r="A5766" s="740"/>
    </row>
    <row r="5767" ht="14.25" customHeight="1">
      <c r="A5767" s="740"/>
    </row>
    <row r="5768" ht="14.25" customHeight="1">
      <c r="A5768" s="740"/>
    </row>
    <row r="5769" ht="14.25" customHeight="1">
      <c r="A5769" s="740"/>
    </row>
    <row r="5770" ht="14.25" customHeight="1">
      <c r="A5770" s="740"/>
    </row>
    <row r="5771" ht="14.25" customHeight="1">
      <c r="A5771" s="740"/>
    </row>
    <row r="5772" ht="14.25" customHeight="1">
      <c r="A5772" s="740"/>
    </row>
    <row r="5773" ht="14.25" customHeight="1">
      <c r="A5773" s="740"/>
    </row>
    <row r="5774" ht="14.25" customHeight="1">
      <c r="A5774" s="740"/>
    </row>
    <row r="5775" ht="14.25" customHeight="1">
      <c r="A5775" s="740"/>
    </row>
    <row r="5776" ht="14.25" customHeight="1">
      <c r="A5776" s="740"/>
    </row>
    <row r="5777" ht="14.25" customHeight="1">
      <c r="A5777" s="740"/>
    </row>
    <row r="5778" ht="14.25" customHeight="1">
      <c r="A5778" s="740"/>
    </row>
    <row r="5779" ht="14.25" customHeight="1">
      <c r="A5779" s="740"/>
    </row>
    <row r="5780" ht="14.25" customHeight="1">
      <c r="A5780" s="740"/>
    </row>
    <row r="5781" ht="14.25" customHeight="1">
      <c r="A5781" s="740"/>
    </row>
    <row r="5782" ht="14.25" customHeight="1">
      <c r="A5782" s="740"/>
    </row>
    <row r="5783" ht="14.25" customHeight="1">
      <c r="A5783" s="740"/>
    </row>
    <row r="5784" ht="14.25" customHeight="1">
      <c r="A5784" s="740"/>
    </row>
    <row r="5785" ht="14.25" customHeight="1">
      <c r="A5785" s="740"/>
    </row>
    <row r="5786" ht="14.25" customHeight="1">
      <c r="A5786" s="740"/>
    </row>
    <row r="5787" ht="14.25" customHeight="1">
      <c r="A5787" s="740"/>
    </row>
    <row r="5788" ht="14.25" customHeight="1">
      <c r="A5788" s="740"/>
    </row>
    <row r="5789" ht="14.25" customHeight="1">
      <c r="A5789" s="740"/>
    </row>
    <row r="5790" ht="14.25" customHeight="1">
      <c r="A5790" s="740"/>
    </row>
    <row r="5791" ht="14.25" customHeight="1">
      <c r="A5791" s="740"/>
    </row>
    <row r="5792" ht="14.25" customHeight="1">
      <c r="A5792" s="740"/>
    </row>
    <row r="5793" ht="14.25" customHeight="1">
      <c r="A5793" s="740"/>
    </row>
    <row r="5794" ht="14.25" customHeight="1">
      <c r="A5794" s="740"/>
    </row>
    <row r="5795" ht="14.25" customHeight="1">
      <c r="A5795" s="740"/>
    </row>
    <row r="5796" ht="14.25" customHeight="1">
      <c r="A5796" s="740"/>
    </row>
    <row r="5797" ht="14.25" customHeight="1">
      <c r="A5797" s="740"/>
    </row>
    <row r="5798" ht="14.25" customHeight="1">
      <c r="A5798" s="740"/>
    </row>
    <row r="5799" ht="14.25" customHeight="1">
      <c r="A5799" s="740"/>
    </row>
    <row r="5800" ht="14.25" customHeight="1">
      <c r="A5800" s="740"/>
    </row>
    <row r="5801" ht="14.25" customHeight="1">
      <c r="A5801" s="740"/>
    </row>
    <row r="5802" ht="14.25" customHeight="1">
      <c r="A5802" s="740"/>
    </row>
    <row r="5803" ht="14.25" customHeight="1">
      <c r="A5803" s="740"/>
    </row>
    <row r="5804" ht="14.25" customHeight="1">
      <c r="A5804" s="740"/>
    </row>
    <row r="5805" ht="14.25" customHeight="1">
      <c r="A5805" s="740"/>
    </row>
    <row r="5806" ht="14.25" customHeight="1">
      <c r="A5806" s="740"/>
    </row>
    <row r="5807" ht="14.25" customHeight="1">
      <c r="A5807" s="740"/>
    </row>
    <row r="5808" ht="14.25" customHeight="1">
      <c r="A5808" s="740"/>
    </row>
    <row r="5809" ht="14.25" customHeight="1">
      <c r="A5809" s="740"/>
    </row>
    <row r="5810" ht="14.25" customHeight="1">
      <c r="A5810" s="740"/>
    </row>
    <row r="5811" ht="14.25" customHeight="1">
      <c r="A5811" s="740"/>
    </row>
    <row r="5812" ht="14.25" customHeight="1">
      <c r="A5812" s="740"/>
    </row>
    <row r="5813" ht="14.25" customHeight="1">
      <c r="A5813" s="740"/>
    </row>
    <row r="5814" ht="14.25" customHeight="1">
      <c r="A5814" s="740"/>
    </row>
    <row r="5815" ht="14.25" customHeight="1">
      <c r="A5815" s="740"/>
    </row>
    <row r="5816" ht="14.25" customHeight="1">
      <c r="A5816" s="740"/>
    </row>
    <row r="5817" ht="14.25" customHeight="1">
      <c r="A5817" s="740"/>
    </row>
    <row r="5818" ht="14.25" customHeight="1">
      <c r="A5818" s="740"/>
    </row>
    <row r="5819" ht="14.25" customHeight="1">
      <c r="A5819" s="740"/>
    </row>
    <row r="5820" ht="14.25" customHeight="1">
      <c r="A5820" s="740"/>
    </row>
    <row r="5821" ht="14.25" customHeight="1">
      <c r="A5821" s="740"/>
    </row>
    <row r="5822" ht="14.25" customHeight="1">
      <c r="A5822" s="740"/>
    </row>
    <row r="5823" ht="14.25" customHeight="1">
      <c r="A5823" s="740"/>
    </row>
    <row r="5824" ht="14.25" customHeight="1">
      <c r="A5824" s="740"/>
    </row>
    <row r="5825" ht="14.25" customHeight="1">
      <c r="A5825" s="740"/>
    </row>
    <row r="5826" ht="14.25" customHeight="1">
      <c r="A5826" s="740"/>
    </row>
    <row r="5827" ht="14.25" customHeight="1">
      <c r="A5827" s="740"/>
    </row>
    <row r="5828" ht="14.25" customHeight="1">
      <c r="A5828" s="740"/>
    </row>
    <row r="5829" ht="14.25" customHeight="1">
      <c r="A5829" s="740"/>
    </row>
    <row r="5830" ht="14.25" customHeight="1">
      <c r="A5830" s="740"/>
    </row>
    <row r="5831" ht="14.25" customHeight="1">
      <c r="A5831" s="740"/>
    </row>
    <row r="5832" ht="14.25" customHeight="1">
      <c r="A5832" s="740"/>
    </row>
    <row r="5833" ht="14.25" customHeight="1">
      <c r="A5833" s="740"/>
    </row>
    <row r="5834" ht="14.25" customHeight="1">
      <c r="A5834" s="740"/>
    </row>
    <row r="5835" ht="14.25" customHeight="1">
      <c r="A5835" s="740"/>
    </row>
    <row r="5836" ht="14.25" customHeight="1">
      <c r="A5836" s="740"/>
    </row>
    <row r="5837" ht="14.25" customHeight="1">
      <c r="A5837" s="740"/>
    </row>
    <row r="5838" ht="14.25" customHeight="1">
      <c r="A5838" s="740"/>
    </row>
    <row r="5839" ht="14.25" customHeight="1">
      <c r="A5839" s="740"/>
    </row>
    <row r="5840" ht="14.25" customHeight="1">
      <c r="A5840" s="740"/>
    </row>
    <row r="5841" ht="14.25" customHeight="1">
      <c r="A5841" s="740"/>
    </row>
    <row r="5842" ht="14.25" customHeight="1">
      <c r="A5842" s="740"/>
    </row>
    <row r="5843" ht="14.25" customHeight="1">
      <c r="A5843" s="740"/>
    </row>
    <row r="5844" ht="14.25" customHeight="1">
      <c r="A5844" s="740"/>
    </row>
    <row r="5845" ht="14.25" customHeight="1">
      <c r="A5845" s="740"/>
    </row>
    <row r="5846" ht="14.25" customHeight="1">
      <c r="A5846" s="740"/>
    </row>
    <row r="5847" ht="14.25" customHeight="1">
      <c r="A5847" s="740"/>
    </row>
    <row r="5848" ht="14.25" customHeight="1">
      <c r="A5848" s="740"/>
    </row>
    <row r="5849" ht="14.25" customHeight="1">
      <c r="A5849" s="740"/>
    </row>
    <row r="5850" ht="14.25" customHeight="1">
      <c r="A5850" s="740"/>
    </row>
    <row r="5851" ht="14.25" customHeight="1">
      <c r="A5851" s="740"/>
    </row>
    <row r="5852" ht="14.25" customHeight="1">
      <c r="A5852" s="740"/>
    </row>
    <row r="5853" ht="14.25" customHeight="1">
      <c r="A5853" s="740"/>
    </row>
    <row r="5854" ht="14.25" customHeight="1">
      <c r="A5854" s="740"/>
    </row>
    <row r="5855" ht="14.25" customHeight="1">
      <c r="A5855" s="740"/>
    </row>
    <row r="5856" ht="14.25" customHeight="1">
      <c r="A5856" s="740"/>
    </row>
    <row r="5857" ht="14.25" customHeight="1">
      <c r="A5857" s="740"/>
    </row>
    <row r="5858" ht="14.25" customHeight="1">
      <c r="A5858" s="740"/>
    </row>
    <row r="5859" ht="14.25" customHeight="1">
      <c r="A5859" s="740"/>
    </row>
    <row r="5860" ht="14.25" customHeight="1">
      <c r="A5860" s="740"/>
    </row>
    <row r="5861" ht="14.25" customHeight="1">
      <c r="A5861" s="740"/>
    </row>
    <row r="5862" ht="14.25" customHeight="1">
      <c r="A5862" s="740"/>
    </row>
    <row r="5863" ht="14.25" customHeight="1">
      <c r="A5863" s="740"/>
    </row>
    <row r="5864" ht="14.25" customHeight="1">
      <c r="A5864" s="740"/>
    </row>
    <row r="5865" ht="14.25" customHeight="1">
      <c r="A5865" s="740"/>
    </row>
    <row r="5866" ht="14.25" customHeight="1">
      <c r="A5866" s="740"/>
    </row>
    <row r="5867" ht="14.25" customHeight="1">
      <c r="A5867" s="740"/>
    </row>
    <row r="5868" ht="14.25" customHeight="1">
      <c r="A5868" s="740"/>
    </row>
    <row r="5869" ht="14.25" customHeight="1">
      <c r="A5869" s="740"/>
    </row>
    <row r="5870" ht="14.25" customHeight="1">
      <c r="A5870" s="740"/>
    </row>
    <row r="5871" ht="14.25" customHeight="1">
      <c r="A5871" s="740"/>
    </row>
    <row r="5872" ht="14.25" customHeight="1">
      <c r="A5872" s="740"/>
    </row>
    <row r="5873" ht="14.25" customHeight="1">
      <c r="A5873" s="740"/>
    </row>
    <row r="5874" ht="14.25" customHeight="1">
      <c r="A5874" s="740"/>
    </row>
    <row r="5875" ht="14.25" customHeight="1">
      <c r="A5875" s="740"/>
    </row>
    <row r="5876" ht="14.25" customHeight="1">
      <c r="A5876" s="740"/>
    </row>
    <row r="5877" ht="14.25" customHeight="1">
      <c r="A5877" s="740"/>
    </row>
    <row r="5878" ht="14.25" customHeight="1">
      <c r="A5878" s="740"/>
    </row>
    <row r="5879" ht="14.25" customHeight="1">
      <c r="A5879" s="740"/>
    </row>
    <row r="5880" ht="14.25" customHeight="1">
      <c r="A5880" s="740"/>
    </row>
    <row r="5881" ht="14.25" customHeight="1">
      <c r="A5881" s="740"/>
    </row>
    <row r="5882" ht="14.25" customHeight="1">
      <c r="A5882" s="740"/>
    </row>
    <row r="5883" ht="14.25" customHeight="1">
      <c r="A5883" s="740"/>
    </row>
    <row r="5884" ht="14.25" customHeight="1">
      <c r="A5884" s="740"/>
    </row>
    <row r="5885" ht="14.25" customHeight="1">
      <c r="A5885" s="740"/>
    </row>
    <row r="5886" ht="14.25" customHeight="1">
      <c r="A5886" s="740"/>
    </row>
    <row r="5887" ht="14.25" customHeight="1">
      <c r="A5887" s="740"/>
    </row>
    <row r="5888" ht="14.25" customHeight="1">
      <c r="A5888" s="740"/>
    </row>
    <row r="5889" ht="14.25" customHeight="1">
      <c r="A5889" s="740"/>
    </row>
    <row r="5890" ht="14.25" customHeight="1">
      <c r="A5890" s="740"/>
    </row>
    <row r="5891" ht="14.25" customHeight="1">
      <c r="A5891" s="740"/>
    </row>
    <row r="5892" ht="14.25" customHeight="1">
      <c r="A5892" s="740"/>
    </row>
    <row r="5893" ht="14.25" customHeight="1">
      <c r="A5893" s="740"/>
    </row>
    <row r="5894" ht="14.25" customHeight="1">
      <c r="A5894" s="740"/>
    </row>
    <row r="5895" ht="14.25" customHeight="1">
      <c r="A5895" s="740"/>
    </row>
    <row r="5896" ht="14.25" customHeight="1">
      <c r="A5896" s="740"/>
    </row>
    <row r="5897" ht="14.25" customHeight="1">
      <c r="A5897" s="740"/>
    </row>
    <row r="5898" ht="14.25" customHeight="1">
      <c r="A5898" s="740"/>
    </row>
    <row r="5899" ht="14.25" customHeight="1">
      <c r="A5899" s="740"/>
    </row>
    <row r="5900" ht="14.25" customHeight="1">
      <c r="A5900" s="740"/>
    </row>
    <row r="5901" ht="14.25" customHeight="1">
      <c r="A5901" s="740"/>
    </row>
    <row r="5902" ht="14.25" customHeight="1">
      <c r="A5902" s="740"/>
    </row>
    <row r="5903" ht="14.25" customHeight="1">
      <c r="A5903" s="740"/>
    </row>
    <row r="5904" ht="14.25" customHeight="1">
      <c r="A5904" s="740"/>
    </row>
    <row r="5905" ht="14.25" customHeight="1">
      <c r="A5905" s="740"/>
    </row>
    <row r="5906" ht="14.25" customHeight="1">
      <c r="A5906" s="740"/>
    </row>
    <row r="5907" ht="14.25" customHeight="1">
      <c r="A5907" s="740"/>
    </row>
    <row r="5908" ht="14.25" customHeight="1">
      <c r="A5908" s="740"/>
    </row>
    <row r="5909" ht="14.25" customHeight="1">
      <c r="A5909" s="740"/>
    </row>
    <row r="5910" ht="14.25" customHeight="1">
      <c r="A5910" s="740"/>
    </row>
    <row r="5911" ht="14.25" customHeight="1">
      <c r="A5911" s="740"/>
    </row>
    <row r="5912" ht="14.25" customHeight="1">
      <c r="A5912" s="740"/>
    </row>
    <row r="5913" ht="14.25" customHeight="1">
      <c r="A5913" s="740"/>
    </row>
    <row r="5914" ht="14.25" customHeight="1">
      <c r="A5914" s="740"/>
    </row>
    <row r="5915" ht="14.25" customHeight="1">
      <c r="A5915" s="740"/>
    </row>
    <row r="5916" ht="14.25" customHeight="1">
      <c r="A5916" s="740"/>
    </row>
    <row r="5917" ht="14.25" customHeight="1">
      <c r="A5917" s="740"/>
    </row>
    <row r="5918" ht="14.25" customHeight="1">
      <c r="A5918" s="740"/>
    </row>
    <row r="5919" ht="14.25" customHeight="1">
      <c r="A5919" s="740"/>
    </row>
    <row r="5920" ht="14.25" customHeight="1">
      <c r="A5920" s="740"/>
    </row>
    <row r="5921" ht="14.25" customHeight="1">
      <c r="A5921" s="740"/>
    </row>
    <row r="5922" ht="14.25" customHeight="1">
      <c r="A5922" s="740"/>
    </row>
    <row r="5923" ht="14.25" customHeight="1">
      <c r="A5923" s="740"/>
    </row>
    <row r="5924" ht="14.25" customHeight="1">
      <c r="A5924" s="740"/>
    </row>
    <row r="5925" ht="14.25" customHeight="1">
      <c r="A5925" s="740"/>
    </row>
    <row r="5926" ht="14.25" customHeight="1">
      <c r="A5926" s="740"/>
    </row>
    <row r="5927" ht="14.25" customHeight="1">
      <c r="A5927" s="740"/>
    </row>
    <row r="5928" ht="14.25" customHeight="1">
      <c r="A5928" s="740"/>
    </row>
    <row r="5929" ht="14.25" customHeight="1">
      <c r="A5929" s="740"/>
    </row>
    <row r="5930" ht="14.25" customHeight="1">
      <c r="A5930" s="740"/>
    </row>
    <row r="5931" ht="14.25" customHeight="1">
      <c r="A5931" s="740"/>
    </row>
    <row r="5932" ht="14.25" customHeight="1">
      <c r="A5932" s="740"/>
    </row>
    <row r="5933" ht="14.25" customHeight="1">
      <c r="A5933" s="740"/>
    </row>
    <row r="5934" ht="14.25" customHeight="1">
      <c r="A5934" s="740"/>
    </row>
    <row r="5935" ht="14.25" customHeight="1">
      <c r="A5935" s="740"/>
    </row>
    <row r="5936" ht="14.25" customHeight="1">
      <c r="A5936" s="740"/>
    </row>
    <row r="5937" ht="14.25" customHeight="1">
      <c r="A5937" s="740"/>
    </row>
    <row r="5938" ht="14.25" customHeight="1">
      <c r="A5938" s="740"/>
    </row>
    <row r="5939" ht="14.25" customHeight="1">
      <c r="A5939" s="740"/>
    </row>
    <row r="5940" ht="14.25" customHeight="1">
      <c r="A5940" s="740"/>
    </row>
    <row r="5941" ht="14.25" customHeight="1">
      <c r="A5941" s="740"/>
    </row>
    <row r="5942" ht="14.25" customHeight="1">
      <c r="A5942" s="740"/>
    </row>
    <row r="5943" ht="14.25" customHeight="1">
      <c r="A5943" s="740"/>
    </row>
    <row r="5944" ht="14.25" customHeight="1">
      <c r="A5944" s="740"/>
    </row>
    <row r="5945" ht="14.25" customHeight="1">
      <c r="A5945" s="740"/>
    </row>
    <row r="5946" ht="14.25" customHeight="1">
      <c r="A5946" s="740"/>
    </row>
    <row r="5947" ht="14.25" customHeight="1">
      <c r="A5947" s="740"/>
    </row>
    <row r="5948" ht="14.25" customHeight="1">
      <c r="A5948" s="740"/>
    </row>
    <row r="5949" ht="14.25" customHeight="1">
      <c r="A5949" s="740"/>
    </row>
    <row r="5950" ht="14.25" customHeight="1">
      <c r="A5950" s="740"/>
    </row>
    <row r="5951" ht="14.25" customHeight="1">
      <c r="A5951" s="740"/>
    </row>
    <row r="5952" ht="14.25" customHeight="1">
      <c r="A5952" s="740"/>
    </row>
    <row r="5953" ht="14.25" customHeight="1">
      <c r="A5953" s="740"/>
    </row>
    <row r="5954" ht="14.25" customHeight="1">
      <c r="A5954" s="740"/>
    </row>
    <row r="5955" ht="14.25" customHeight="1">
      <c r="A5955" s="740"/>
    </row>
    <row r="5956" ht="14.25" customHeight="1">
      <c r="A5956" s="740"/>
    </row>
    <row r="5957" ht="14.25" customHeight="1">
      <c r="A5957" s="740"/>
    </row>
    <row r="5958" ht="14.25" customHeight="1">
      <c r="A5958" s="740"/>
    </row>
    <row r="5959" ht="14.25" customHeight="1">
      <c r="A5959" s="740"/>
    </row>
    <row r="5960" ht="14.25" customHeight="1">
      <c r="A5960" s="740"/>
    </row>
    <row r="5961" ht="14.25" customHeight="1">
      <c r="A5961" s="740"/>
    </row>
    <row r="5962" ht="14.25" customHeight="1">
      <c r="A5962" s="740"/>
    </row>
    <row r="5963" ht="14.25" customHeight="1">
      <c r="A5963" s="740"/>
    </row>
    <row r="5964" ht="14.25" customHeight="1">
      <c r="A5964" s="740"/>
    </row>
    <row r="5965" ht="14.25" customHeight="1">
      <c r="A5965" s="740"/>
    </row>
    <row r="5966" ht="14.25" customHeight="1">
      <c r="A5966" s="740"/>
    </row>
    <row r="5967" ht="14.25" customHeight="1">
      <c r="A5967" s="740"/>
    </row>
    <row r="5968" ht="14.25" customHeight="1">
      <c r="A5968" s="740"/>
    </row>
    <row r="5969" ht="14.25" customHeight="1">
      <c r="A5969" s="740"/>
    </row>
    <row r="5970" ht="14.25" customHeight="1">
      <c r="A5970" s="740"/>
    </row>
    <row r="5971" ht="14.25" customHeight="1">
      <c r="A5971" s="740"/>
    </row>
    <row r="5972" ht="14.25" customHeight="1">
      <c r="A5972" s="740"/>
    </row>
    <row r="5973" ht="14.25" customHeight="1">
      <c r="A5973" s="740"/>
    </row>
    <row r="5974" ht="14.25" customHeight="1">
      <c r="A5974" s="740"/>
    </row>
    <row r="5975" ht="14.25" customHeight="1">
      <c r="A5975" s="740"/>
    </row>
    <row r="5976" ht="14.25" customHeight="1">
      <c r="A5976" s="740"/>
    </row>
    <row r="5977" ht="14.25" customHeight="1">
      <c r="A5977" s="740"/>
    </row>
    <row r="5978" ht="14.25" customHeight="1">
      <c r="A5978" s="740"/>
    </row>
    <row r="5979" ht="14.25" customHeight="1">
      <c r="A5979" s="740"/>
    </row>
    <row r="5980" ht="14.25" customHeight="1">
      <c r="A5980" s="740"/>
    </row>
    <row r="5981" ht="14.25" customHeight="1">
      <c r="A5981" s="740"/>
    </row>
    <row r="5982" ht="14.25" customHeight="1">
      <c r="A5982" s="740"/>
    </row>
    <row r="5983" ht="14.25" customHeight="1">
      <c r="A5983" s="740"/>
    </row>
    <row r="5984" ht="14.25" customHeight="1">
      <c r="A5984" s="740"/>
    </row>
    <row r="5985" ht="14.25" customHeight="1">
      <c r="A5985" s="740"/>
    </row>
    <row r="5986" ht="14.25" customHeight="1">
      <c r="A5986" s="740"/>
    </row>
    <row r="5987" ht="14.25" customHeight="1">
      <c r="A5987" s="740"/>
    </row>
    <row r="5988" ht="14.25" customHeight="1">
      <c r="A5988" s="740"/>
    </row>
    <row r="5989" ht="14.25" customHeight="1">
      <c r="A5989" s="740"/>
    </row>
    <row r="5990" ht="14.25" customHeight="1">
      <c r="A5990" s="740"/>
    </row>
    <row r="5991" ht="14.25" customHeight="1">
      <c r="A5991" s="740"/>
    </row>
    <row r="5992" ht="14.25" customHeight="1">
      <c r="A5992" s="740"/>
    </row>
    <row r="5993" ht="14.25" customHeight="1">
      <c r="A5993" s="740"/>
    </row>
    <row r="5994" ht="14.25" customHeight="1">
      <c r="A5994" s="740"/>
    </row>
    <row r="5995" ht="14.25" customHeight="1">
      <c r="A5995" s="740"/>
    </row>
    <row r="5996" ht="14.25" customHeight="1">
      <c r="A5996" s="740"/>
    </row>
    <row r="5997" ht="14.25" customHeight="1">
      <c r="A5997" s="740"/>
    </row>
    <row r="5998" ht="14.25" customHeight="1">
      <c r="A5998" s="740"/>
    </row>
    <row r="5999" ht="14.25" customHeight="1">
      <c r="A5999" s="740"/>
    </row>
    <row r="6000" ht="14.25" customHeight="1">
      <c r="A6000" s="740"/>
    </row>
    <row r="6001" ht="14.25" customHeight="1">
      <c r="A6001" s="740"/>
    </row>
    <row r="6002" ht="14.25" customHeight="1">
      <c r="A6002" s="740"/>
    </row>
    <row r="6003" ht="14.25" customHeight="1">
      <c r="A6003" s="740"/>
    </row>
    <row r="6004" ht="14.25" customHeight="1">
      <c r="A6004" s="740"/>
    </row>
    <row r="6005" ht="14.25" customHeight="1">
      <c r="A6005" s="740"/>
    </row>
    <row r="6006" ht="14.25" customHeight="1">
      <c r="A6006" s="740"/>
    </row>
    <row r="6007" ht="14.25" customHeight="1">
      <c r="A6007" s="740"/>
    </row>
    <row r="6008" ht="14.25" customHeight="1">
      <c r="A6008" s="740"/>
    </row>
    <row r="6009" ht="14.25" customHeight="1">
      <c r="A6009" s="740"/>
    </row>
    <row r="6010" ht="14.25" customHeight="1">
      <c r="A6010" s="740"/>
    </row>
    <row r="6011" ht="14.25" customHeight="1">
      <c r="A6011" s="740"/>
    </row>
    <row r="6012" ht="14.25" customHeight="1">
      <c r="A6012" s="740"/>
    </row>
    <row r="6013" ht="14.25" customHeight="1">
      <c r="A6013" s="740"/>
    </row>
    <row r="6014" ht="14.25" customHeight="1">
      <c r="A6014" s="740"/>
    </row>
    <row r="6015" ht="14.25" customHeight="1">
      <c r="A6015" s="740"/>
    </row>
    <row r="6016" ht="14.25" customHeight="1">
      <c r="A6016" s="740"/>
    </row>
    <row r="6017" ht="14.25" customHeight="1">
      <c r="A6017" s="740"/>
    </row>
    <row r="6018" ht="14.25" customHeight="1">
      <c r="A6018" s="740"/>
    </row>
    <row r="6019" ht="14.25" customHeight="1">
      <c r="A6019" s="740"/>
    </row>
    <row r="6020" ht="14.25" customHeight="1">
      <c r="A6020" s="740"/>
    </row>
    <row r="6021" ht="14.25" customHeight="1">
      <c r="A6021" s="740"/>
    </row>
    <row r="6022" ht="14.25" customHeight="1">
      <c r="A6022" s="740"/>
    </row>
    <row r="6023" ht="14.25" customHeight="1">
      <c r="A6023" s="740"/>
    </row>
    <row r="6024" ht="14.25" customHeight="1">
      <c r="A6024" s="740"/>
    </row>
    <row r="6025" ht="14.25" customHeight="1">
      <c r="A6025" s="740"/>
    </row>
    <row r="6026" ht="14.25" customHeight="1">
      <c r="A6026" s="740"/>
    </row>
    <row r="6027" ht="14.25" customHeight="1">
      <c r="A6027" s="740"/>
    </row>
    <row r="6028" ht="14.25" customHeight="1">
      <c r="A6028" s="740"/>
    </row>
    <row r="6029" ht="14.25" customHeight="1">
      <c r="A6029" s="740"/>
    </row>
    <row r="6030" ht="14.25" customHeight="1">
      <c r="A6030" s="740"/>
    </row>
    <row r="6031" ht="14.25" customHeight="1">
      <c r="A6031" s="740"/>
    </row>
    <row r="6032" ht="14.25" customHeight="1">
      <c r="A6032" s="740"/>
    </row>
    <row r="6033" ht="14.25" customHeight="1">
      <c r="A6033" s="740"/>
    </row>
    <row r="6034" ht="14.25" customHeight="1">
      <c r="A6034" s="740"/>
    </row>
    <row r="6035" ht="14.25" customHeight="1">
      <c r="A6035" s="740"/>
    </row>
    <row r="6036" ht="14.25" customHeight="1">
      <c r="A6036" s="740"/>
    </row>
    <row r="6037" ht="14.25" customHeight="1">
      <c r="A6037" s="740"/>
    </row>
    <row r="6038" ht="14.25" customHeight="1">
      <c r="A6038" s="740"/>
    </row>
    <row r="6039" ht="14.25" customHeight="1">
      <c r="A6039" s="740"/>
    </row>
    <row r="6040" ht="14.25" customHeight="1">
      <c r="A6040" s="740"/>
    </row>
    <row r="6041" ht="14.25" customHeight="1">
      <c r="A6041" s="740"/>
    </row>
    <row r="6042" ht="14.25" customHeight="1">
      <c r="A6042" s="740"/>
    </row>
    <row r="6043" ht="14.25" customHeight="1">
      <c r="A6043" s="740"/>
    </row>
    <row r="6044" ht="14.25" customHeight="1">
      <c r="A6044" s="740"/>
    </row>
    <row r="6045" ht="14.25" customHeight="1">
      <c r="A6045" s="740"/>
    </row>
    <row r="6046" ht="14.25" customHeight="1">
      <c r="A6046" s="740"/>
    </row>
    <row r="6047" ht="14.25" customHeight="1">
      <c r="A6047" s="740"/>
    </row>
    <row r="6048" ht="14.25" customHeight="1">
      <c r="A6048" s="740"/>
    </row>
    <row r="6049" ht="14.25" customHeight="1">
      <c r="A6049" s="740"/>
    </row>
    <row r="6050" ht="14.25" customHeight="1">
      <c r="A6050" s="740"/>
    </row>
    <row r="6051" ht="14.25" customHeight="1">
      <c r="A6051" s="740"/>
    </row>
    <row r="6052" ht="14.25" customHeight="1">
      <c r="A6052" s="740"/>
    </row>
    <row r="6053" ht="14.25" customHeight="1">
      <c r="A6053" s="740"/>
    </row>
    <row r="6054" ht="14.25" customHeight="1">
      <c r="A6054" s="740"/>
    </row>
    <row r="6055" ht="14.25" customHeight="1">
      <c r="A6055" s="740"/>
    </row>
    <row r="6056" ht="14.25" customHeight="1">
      <c r="A6056" s="740"/>
    </row>
    <row r="6057" ht="14.25" customHeight="1">
      <c r="A6057" s="740"/>
    </row>
    <row r="6058" ht="14.25" customHeight="1">
      <c r="A6058" s="740"/>
    </row>
    <row r="6059" ht="14.25" customHeight="1">
      <c r="A6059" s="740"/>
    </row>
    <row r="6060" ht="14.25" customHeight="1">
      <c r="A6060" s="740"/>
    </row>
    <row r="6061" ht="14.25" customHeight="1">
      <c r="A6061" s="740"/>
    </row>
    <row r="6062" ht="14.25" customHeight="1">
      <c r="A6062" s="740"/>
    </row>
    <row r="6063" ht="14.25" customHeight="1">
      <c r="A6063" s="740"/>
    </row>
    <row r="6064" ht="14.25" customHeight="1">
      <c r="A6064" s="740"/>
    </row>
    <row r="6065" ht="14.25" customHeight="1">
      <c r="A6065" s="740"/>
    </row>
    <row r="6066" ht="14.25" customHeight="1">
      <c r="A6066" s="740"/>
    </row>
    <row r="6067" ht="14.25" customHeight="1">
      <c r="A6067" s="740"/>
    </row>
    <row r="6068" ht="14.25" customHeight="1">
      <c r="A6068" s="740"/>
    </row>
    <row r="6069" ht="14.25" customHeight="1">
      <c r="A6069" s="740"/>
    </row>
    <row r="6070" ht="14.25" customHeight="1">
      <c r="A6070" s="740"/>
    </row>
    <row r="6071" ht="14.25" customHeight="1">
      <c r="A6071" s="740"/>
    </row>
    <row r="6072" ht="14.25" customHeight="1">
      <c r="A6072" s="740"/>
    </row>
    <row r="6073" ht="14.25" customHeight="1">
      <c r="A6073" s="740"/>
    </row>
    <row r="6074" ht="14.25" customHeight="1">
      <c r="A6074" s="740"/>
    </row>
    <row r="6075" ht="14.25" customHeight="1">
      <c r="A6075" s="740"/>
    </row>
    <row r="6076" ht="14.25" customHeight="1">
      <c r="A6076" s="740"/>
    </row>
    <row r="6077" ht="14.25" customHeight="1">
      <c r="A6077" s="740"/>
    </row>
    <row r="6078" ht="14.25" customHeight="1">
      <c r="A6078" s="740"/>
    </row>
    <row r="6079" ht="14.25" customHeight="1">
      <c r="A6079" s="740"/>
    </row>
    <row r="6080" ht="14.25" customHeight="1">
      <c r="A6080" s="740"/>
    </row>
    <row r="6081" ht="14.25" customHeight="1">
      <c r="A6081" s="740"/>
    </row>
    <row r="6082" ht="14.25" customHeight="1">
      <c r="A6082" s="740"/>
    </row>
    <row r="6083" ht="14.25" customHeight="1">
      <c r="A6083" s="740"/>
    </row>
    <row r="6084" ht="14.25" customHeight="1">
      <c r="A6084" s="740"/>
    </row>
    <row r="6085" ht="14.25" customHeight="1">
      <c r="A6085" s="740"/>
    </row>
    <row r="6086" ht="14.25" customHeight="1">
      <c r="A6086" s="740"/>
    </row>
    <row r="6087" ht="14.25" customHeight="1">
      <c r="A6087" s="740"/>
    </row>
    <row r="6088" ht="14.25" customHeight="1">
      <c r="A6088" s="740"/>
    </row>
    <row r="6089" ht="14.25" customHeight="1">
      <c r="A6089" s="740"/>
    </row>
    <row r="6090" ht="14.25" customHeight="1">
      <c r="A6090" s="740"/>
    </row>
    <row r="6091" ht="14.25" customHeight="1">
      <c r="A6091" s="740"/>
    </row>
    <row r="6092" ht="14.25" customHeight="1">
      <c r="A6092" s="740"/>
    </row>
    <row r="6093" ht="14.25" customHeight="1">
      <c r="A6093" s="740"/>
    </row>
    <row r="6094" ht="14.25" customHeight="1">
      <c r="A6094" s="740"/>
    </row>
    <row r="6095" ht="14.25" customHeight="1">
      <c r="A6095" s="740"/>
    </row>
    <row r="6096" ht="14.25" customHeight="1">
      <c r="A6096" s="740"/>
    </row>
    <row r="6097" ht="14.25" customHeight="1">
      <c r="A6097" s="740"/>
    </row>
    <row r="6098" ht="14.25" customHeight="1">
      <c r="A6098" s="740"/>
    </row>
    <row r="6099" ht="14.25" customHeight="1">
      <c r="A6099" s="740"/>
    </row>
    <row r="6100" ht="14.25" customHeight="1">
      <c r="A6100" s="740"/>
    </row>
    <row r="6101" ht="14.25" customHeight="1">
      <c r="A6101" s="740"/>
    </row>
    <row r="6102" ht="14.25" customHeight="1">
      <c r="A6102" s="740"/>
    </row>
    <row r="6103" ht="14.25" customHeight="1">
      <c r="A6103" s="740"/>
    </row>
    <row r="6104" ht="14.25" customHeight="1">
      <c r="A6104" s="740"/>
    </row>
    <row r="6105" ht="14.25" customHeight="1">
      <c r="A6105" s="740"/>
    </row>
    <row r="6106" ht="14.25" customHeight="1">
      <c r="A6106" s="740"/>
    </row>
    <row r="6107" ht="14.25" customHeight="1">
      <c r="A6107" s="740"/>
    </row>
    <row r="6108" ht="14.25" customHeight="1">
      <c r="A6108" s="740"/>
    </row>
    <row r="6109" ht="14.25" customHeight="1">
      <c r="A6109" s="740"/>
    </row>
    <row r="6110" ht="14.25" customHeight="1">
      <c r="A6110" s="740"/>
    </row>
    <row r="6111" ht="14.25" customHeight="1">
      <c r="A6111" s="740"/>
    </row>
    <row r="6112" ht="14.25" customHeight="1">
      <c r="A6112" s="740"/>
    </row>
    <row r="6113" ht="14.25" customHeight="1">
      <c r="A6113" s="740"/>
    </row>
    <row r="6114" ht="14.25" customHeight="1">
      <c r="A6114" s="740"/>
    </row>
    <row r="6115" ht="14.25" customHeight="1">
      <c r="A6115" s="740"/>
    </row>
    <row r="6116" ht="14.25" customHeight="1">
      <c r="A6116" s="740"/>
    </row>
    <row r="6117" ht="14.25" customHeight="1">
      <c r="A6117" s="740"/>
    </row>
    <row r="6118" ht="14.25" customHeight="1">
      <c r="A6118" s="740"/>
    </row>
    <row r="6119" ht="14.25" customHeight="1">
      <c r="A6119" s="740"/>
    </row>
    <row r="6120" ht="14.25" customHeight="1">
      <c r="A6120" s="740"/>
    </row>
    <row r="6121" ht="14.25" customHeight="1">
      <c r="A6121" s="740"/>
    </row>
    <row r="6122" ht="14.25" customHeight="1">
      <c r="A6122" s="740"/>
    </row>
    <row r="6123" ht="14.25" customHeight="1">
      <c r="A6123" s="740"/>
    </row>
    <row r="6124" ht="14.25" customHeight="1">
      <c r="A6124" s="740"/>
    </row>
    <row r="6125" ht="14.25" customHeight="1">
      <c r="A6125" s="740"/>
    </row>
    <row r="6126" ht="14.25" customHeight="1">
      <c r="A6126" s="740"/>
    </row>
    <row r="6127" ht="14.25" customHeight="1">
      <c r="A6127" s="740"/>
    </row>
    <row r="6128" ht="14.25" customHeight="1">
      <c r="A6128" s="740"/>
    </row>
    <row r="6129" ht="14.25" customHeight="1">
      <c r="A6129" s="740"/>
    </row>
    <row r="6130" ht="14.25" customHeight="1">
      <c r="A6130" s="740"/>
    </row>
    <row r="6131" ht="14.25" customHeight="1">
      <c r="A6131" s="740"/>
    </row>
    <row r="6132" ht="14.25" customHeight="1">
      <c r="A6132" s="740"/>
    </row>
    <row r="6133" ht="14.25" customHeight="1">
      <c r="A6133" s="740"/>
    </row>
    <row r="6134" ht="14.25" customHeight="1">
      <c r="A6134" s="740"/>
    </row>
    <row r="6135" ht="14.25" customHeight="1">
      <c r="A6135" s="740"/>
    </row>
    <row r="6136" ht="14.25" customHeight="1">
      <c r="A6136" s="740"/>
    </row>
    <row r="6137" ht="14.25" customHeight="1">
      <c r="A6137" s="740"/>
    </row>
    <row r="6138" ht="14.25" customHeight="1">
      <c r="A6138" s="740"/>
    </row>
    <row r="6139" ht="14.25" customHeight="1">
      <c r="A6139" s="740"/>
    </row>
    <row r="6140" ht="14.25" customHeight="1">
      <c r="A6140" s="740"/>
    </row>
    <row r="6141" ht="14.25" customHeight="1">
      <c r="A6141" s="740"/>
    </row>
    <row r="6142" ht="14.25" customHeight="1">
      <c r="A6142" s="740"/>
    </row>
    <row r="6143" ht="14.25" customHeight="1">
      <c r="A6143" s="740"/>
    </row>
    <row r="6144" ht="14.25" customHeight="1">
      <c r="A6144" s="740"/>
    </row>
    <row r="6145" ht="14.25" customHeight="1">
      <c r="A6145" s="740"/>
    </row>
    <row r="6146" ht="14.25" customHeight="1">
      <c r="A6146" s="740"/>
    </row>
    <row r="6147" ht="14.25" customHeight="1">
      <c r="A6147" s="740"/>
    </row>
    <row r="6148" ht="14.25" customHeight="1">
      <c r="A6148" s="740"/>
    </row>
    <row r="6149" ht="14.25" customHeight="1">
      <c r="A6149" s="740"/>
    </row>
    <row r="6150" ht="14.25" customHeight="1">
      <c r="A6150" s="740"/>
    </row>
    <row r="6151" ht="14.25" customHeight="1">
      <c r="A6151" s="740"/>
    </row>
    <row r="6152" ht="14.25" customHeight="1">
      <c r="A6152" s="740"/>
    </row>
    <row r="6153" ht="14.25" customHeight="1">
      <c r="A6153" s="740"/>
    </row>
    <row r="6154" ht="14.25" customHeight="1">
      <c r="A6154" s="740"/>
    </row>
    <row r="6155" ht="14.25" customHeight="1">
      <c r="A6155" s="740"/>
    </row>
    <row r="6156" ht="14.25" customHeight="1">
      <c r="A6156" s="740"/>
    </row>
    <row r="6157" ht="14.25" customHeight="1">
      <c r="A6157" s="740"/>
    </row>
    <row r="6158" ht="14.25" customHeight="1">
      <c r="A6158" s="740"/>
    </row>
    <row r="6159" ht="14.25" customHeight="1">
      <c r="A6159" s="740"/>
    </row>
    <row r="6160" ht="14.25" customHeight="1">
      <c r="A6160" s="740"/>
    </row>
    <row r="6161" ht="14.25" customHeight="1">
      <c r="A6161" s="740"/>
    </row>
    <row r="6162" ht="14.25" customHeight="1">
      <c r="A6162" s="740"/>
    </row>
    <row r="6163" ht="14.25" customHeight="1">
      <c r="A6163" s="740"/>
    </row>
    <row r="6164" ht="14.25" customHeight="1">
      <c r="A6164" s="740"/>
    </row>
    <row r="6165" ht="14.25" customHeight="1">
      <c r="A6165" s="740"/>
    </row>
    <row r="6166" ht="14.25" customHeight="1">
      <c r="A6166" s="740"/>
    </row>
    <row r="6167" ht="14.25" customHeight="1">
      <c r="A6167" s="740"/>
    </row>
    <row r="6168" ht="14.25" customHeight="1">
      <c r="A6168" s="740"/>
    </row>
    <row r="6169" ht="14.25" customHeight="1">
      <c r="A6169" s="740"/>
    </row>
    <row r="6170" ht="14.25" customHeight="1">
      <c r="A6170" s="740"/>
    </row>
    <row r="6171" ht="14.25" customHeight="1">
      <c r="A6171" s="740"/>
    </row>
    <row r="6172" ht="14.25" customHeight="1">
      <c r="A6172" s="740"/>
    </row>
    <row r="6173" ht="14.25" customHeight="1">
      <c r="A6173" s="740"/>
    </row>
    <row r="6174" ht="14.25" customHeight="1">
      <c r="A6174" s="740"/>
    </row>
    <row r="6175" ht="14.25" customHeight="1">
      <c r="A6175" s="740"/>
    </row>
    <row r="6176" ht="14.25" customHeight="1">
      <c r="A6176" s="740"/>
    </row>
    <row r="6177" ht="14.25" customHeight="1">
      <c r="A6177" s="740"/>
    </row>
    <row r="6178" ht="14.25" customHeight="1">
      <c r="A6178" s="740"/>
    </row>
    <row r="6179" ht="14.25" customHeight="1">
      <c r="A6179" s="740"/>
    </row>
    <row r="6180" ht="14.25" customHeight="1">
      <c r="A6180" s="740"/>
    </row>
    <row r="6181" ht="14.25" customHeight="1">
      <c r="A6181" s="740"/>
    </row>
    <row r="6182" ht="14.25" customHeight="1">
      <c r="A6182" s="740"/>
    </row>
    <row r="6183" ht="14.25" customHeight="1">
      <c r="A6183" s="740"/>
    </row>
    <row r="6184" ht="14.25" customHeight="1">
      <c r="A6184" s="740"/>
    </row>
    <row r="6185" ht="14.25" customHeight="1">
      <c r="A6185" s="740"/>
    </row>
    <row r="6186" ht="14.25" customHeight="1">
      <c r="A6186" s="740"/>
    </row>
    <row r="6187" ht="14.25" customHeight="1">
      <c r="A6187" s="740"/>
    </row>
    <row r="6188" ht="14.25" customHeight="1">
      <c r="A6188" s="740"/>
    </row>
    <row r="6189" ht="14.25" customHeight="1">
      <c r="A6189" s="740"/>
    </row>
    <row r="6190" ht="14.25" customHeight="1">
      <c r="A6190" s="740"/>
    </row>
    <row r="6191" ht="14.25" customHeight="1">
      <c r="A6191" s="740"/>
    </row>
    <row r="6192" ht="14.25" customHeight="1">
      <c r="A6192" s="740"/>
    </row>
    <row r="6193" ht="14.25" customHeight="1">
      <c r="A6193" s="740"/>
    </row>
    <row r="6194" ht="14.25" customHeight="1">
      <c r="A6194" s="740"/>
    </row>
    <row r="6195" ht="14.25" customHeight="1">
      <c r="A6195" s="740"/>
    </row>
    <row r="6196" ht="14.25" customHeight="1">
      <c r="A6196" s="740"/>
    </row>
    <row r="6197" ht="14.25" customHeight="1">
      <c r="A6197" s="740"/>
    </row>
    <row r="6198" ht="14.25" customHeight="1">
      <c r="A6198" s="740"/>
    </row>
    <row r="6199" ht="14.25" customHeight="1">
      <c r="A6199" s="740"/>
    </row>
    <row r="6200" ht="14.25" customHeight="1">
      <c r="A6200" s="740"/>
    </row>
    <row r="6201" ht="14.25" customHeight="1">
      <c r="A6201" s="740"/>
    </row>
    <row r="6202" ht="14.25" customHeight="1">
      <c r="A6202" s="740"/>
    </row>
    <row r="6203" ht="14.25" customHeight="1">
      <c r="A6203" s="740"/>
    </row>
    <row r="6204" ht="14.25" customHeight="1">
      <c r="A6204" s="740"/>
    </row>
    <row r="6205" ht="14.25" customHeight="1">
      <c r="A6205" s="740"/>
    </row>
    <row r="6206" ht="14.25" customHeight="1">
      <c r="A6206" s="740"/>
    </row>
    <row r="6207" ht="14.25" customHeight="1">
      <c r="A6207" s="740"/>
    </row>
    <row r="6208" ht="14.25" customHeight="1">
      <c r="A6208" s="740"/>
    </row>
    <row r="6209" ht="14.25" customHeight="1">
      <c r="A6209" s="740"/>
    </row>
    <row r="6210" ht="14.25" customHeight="1">
      <c r="A6210" s="740"/>
    </row>
    <row r="6211" ht="14.25" customHeight="1">
      <c r="A6211" s="740"/>
    </row>
    <row r="6212" ht="14.25" customHeight="1">
      <c r="A6212" s="740"/>
    </row>
    <row r="6213" ht="14.25" customHeight="1">
      <c r="A6213" s="740"/>
    </row>
    <row r="6214" ht="14.25" customHeight="1">
      <c r="A6214" s="740"/>
    </row>
    <row r="6215" ht="14.25" customHeight="1">
      <c r="A6215" s="740"/>
    </row>
    <row r="6216" ht="14.25" customHeight="1">
      <c r="A6216" s="740"/>
    </row>
    <row r="6217" ht="14.25" customHeight="1">
      <c r="A6217" s="740"/>
    </row>
    <row r="6218" ht="14.25" customHeight="1">
      <c r="A6218" s="740"/>
    </row>
    <row r="6219" ht="14.25" customHeight="1">
      <c r="A6219" s="740"/>
    </row>
    <row r="6220" ht="14.25" customHeight="1">
      <c r="A6220" s="740"/>
    </row>
    <row r="6221" ht="14.25" customHeight="1">
      <c r="A6221" s="740"/>
    </row>
    <row r="6222" ht="14.25" customHeight="1">
      <c r="A6222" s="740"/>
    </row>
    <row r="6223" ht="14.25" customHeight="1">
      <c r="A6223" s="740"/>
    </row>
    <row r="6224" ht="14.25" customHeight="1">
      <c r="A6224" s="740"/>
    </row>
    <row r="6225" ht="14.25" customHeight="1">
      <c r="A6225" s="740"/>
    </row>
    <row r="6226" ht="14.25" customHeight="1">
      <c r="A6226" s="740"/>
    </row>
    <row r="6227" ht="14.25" customHeight="1">
      <c r="A6227" s="740"/>
    </row>
    <row r="6228" ht="14.25" customHeight="1">
      <c r="A6228" s="740"/>
    </row>
    <row r="6229" ht="14.25" customHeight="1">
      <c r="A6229" s="740"/>
    </row>
    <row r="6230" ht="14.25" customHeight="1">
      <c r="A6230" s="740"/>
    </row>
    <row r="6231" ht="14.25" customHeight="1">
      <c r="A6231" s="740"/>
    </row>
    <row r="6232" ht="14.25" customHeight="1">
      <c r="A6232" s="740"/>
    </row>
    <row r="6233" ht="14.25" customHeight="1">
      <c r="A6233" s="740"/>
    </row>
    <row r="6234" ht="14.25" customHeight="1">
      <c r="A6234" s="740"/>
    </row>
    <row r="6235" ht="14.25" customHeight="1">
      <c r="A6235" s="740"/>
    </row>
    <row r="6236" ht="14.25" customHeight="1">
      <c r="A6236" s="740"/>
    </row>
    <row r="6237" ht="14.25" customHeight="1">
      <c r="A6237" s="740"/>
    </row>
    <row r="6238" ht="14.25" customHeight="1">
      <c r="A6238" s="740"/>
    </row>
    <row r="6239" ht="14.25" customHeight="1">
      <c r="A6239" s="740"/>
    </row>
    <row r="6240" ht="14.25" customHeight="1">
      <c r="A6240" s="740"/>
    </row>
    <row r="6241" ht="14.25" customHeight="1">
      <c r="A6241" s="740"/>
    </row>
    <row r="6242" ht="14.25" customHeight="1">
      <c r="A6242" s="740"/>
    </row>
    <row r="6243" ht="14.25" customHeight="1">
      <c r="A6243" s="740"/>
    </row>
    <row r="6244" ht="14.25" customHeight="1">
      <c r="A6244" s="740"/>
    </row>
    <row r="6245" ht="14.25" customHeight="1">
      <c r="A6245" s="740"/>
    </row>
    <row r="6246" ht="14.25" customHeight="1">
      <c r="A6246" s="740"/>
    </row>
    <row r="6247" ht="14.25" customHeight="1">
      <c r="A6247" s="740"/>
    </row>
    <row r="6248" ht="14.25" customHeight="1">
      <c r="A6248" s="740"/>
    </row>
    <row r="6249" ht="14.25" customHeight="1">
      <c r="A6249" s="740"/>
    </row>
    <row r="6250" ht="14.25" customHeight="1">
      <c r="A6250" s="740"/>
    </row>
    <row r="6251" ht="14.25" customHeight="1">
      <c r="A6251" s="740"/>
    </row>
    <row r="6252" ht="14.25" customHeight="1">
      <c r="A6252" s="740"/>
    </row>
    <row r="6253" ht="14.25" customHeight="1">
      <c r="A6253" s="740"/>
    </row>
    <row r="6254" ht="14.25" customHeight="1">
      <c r="A6254" s="740"/>
    </row>
    <row r="6255" ht="14.25" customHeight="1">
      <c r="A6255" s="740"/>
    </row>
    <row r="6256" ht="14.25" customHeight="1">
      <c r="A6256" s="740"/>
    </row>
    <row r="6257" ht="14.25" customHeight="1">
      <c r="A6257" s="740"/>
    </row>
    <row r="6258" ht="14.25" customHeight="1">
      <c r="A6258" s="740"/>
    </row>
    <row r="6259" ht="14.25" customHeight="1">
      <c r="A6259" s="740"/>
    </row>
    <row r="6260" ht="14.25" customHeight="1">
      <c r="A6260" s="740"/>
    </row>
    <row r="6261" ht="14.25" customHeight="1">
      <c r="A6261" s="740"/>
    </row>
    <row r="6262" ht="14.25" customHeight="1">
      <c r="A6262" s="740"/>
    </row>
    <row r="6263" ht="14.25" customHeight="1">
      <c r="A6263" s="740"/>
    </row>
    <row r="6264" ht="14.25" customHeight="1">
      <c r="A6264" s="740"/>
    </row>
    <row r="6265" ht="14.25" customHeight="1">
      <c r="A6265" s="740"/>
    </row>
    <row r="6266" ht="14.25" customHeight="1">
      <c r="A6266" s="740"/>
    </row>
    <row r="6267" ht="14.25" customHeight="1">
      <c r="A6267" s="740"/>
    </row>
    <row r="6268" ht="14.25" customHeight="1">
      <c r="A6268" s="740"/>
    </row>
    <row r="6269" ht="14.25" customHeight="1">
      <c r="A6269" s="740"/>
    </row>
    <row r="6270" ht="14.25" customHeight="1">
      <c r="A6270" s="740"/>
    </row>
    <row r="6271" ht="14.25" customHeight="1">
      <c r="A6271" s="740"/>
    </row>
    <row r="6272" ht="14.25" customHeight="1">
      <c r="A6272" s="740"/>
    </row>
    <row r="6273" ht="14.25" customHeight="1">
      <c r="A6273" s="740"/>
    </row>
    <row r="6274" ht="14.25" customHeight="1">
      <c r="A6274" s="740"/>
    </row>
    <row r="6275" ht="14.25" customHeight="1">
      <c r="A6275" s="740"/>
    </row>
    <row r="6276" ht="14.25" customHeight="1">
      <c r="A6276" s="740"/>
    </row>
    <row r="6277" ht="14.25" customHeight="1">
      <c r="A6277" s="740"/>
    </row>
    <row r="6278" ht="14.25" customHeight="1">
      <c r="A6278" s="740"/>
    </row>
    <row r="6279" ht="14.25" customHeight="1">
      <c r="A6279" s="740"/>
    </row>
    <row r="6280" ht="14.25" customHeight="1">
      <c r="A6280" s="740"/>
    </row>
    <row r="6281" ht="14.25" customHeight="1">
      <c r="A6281" s="740"/>
    </row>
    <row r="6282" ht="14.25" customHeight="1">
      <c r="A6282" s="740"/>
    </row>
    <row r="6283" ht="14.25" customHeight="1">
      <c r="A6283" s="740"/>
    </row>
    <row r="6284" ht="14.25" customHeight="1">
      <c r="A6284" s="740"/>
    </row>
    <row r="6285" ht="14.25" customHeight="1">
      <c r="A6285" s="740"/>
    </row>
    <row r="6286" ht="14.25" customHeight="1">
      <c r="A6286" s="740"/>
    </row>
    <row r="6287" ht="14.25" customHeight="1">
      <c r="A6287" s="740"/>
    </row>
    <row r="6288" ht="14.25" customHeight="1">
      <c r="A6288" s="740"/>
    </row>
    <row r="6289" ht="14.25" customHeight="1">
      <c r="A6289" s="740"/>
    </row>
    <row r="6290" ht="14.25" customHeight="1">
      <c r="A6290" s="740"/>
    </row>
    <row r="6291" ht="14.25" customHeight="1">
      <c r="A6291" s="740"/>
    </row>
    <row r="6292" ht="14.25" customHeight="1">
      <c r="A6292" s="740"/>
    </row>
    <row r="6293" ht="14.25" customHeight="1">
      <c r="A6293" s="740"/>
    </row>
    <row r="6294" ht="14.25" customHeight="1">
      <c r="A6294" s="740"/>
    </row>
    <row r="6295" ht="14.25" customHeight="1">
      <c r="A6295" s="740"/>
    </row>
    <row r="6296" ht="14.25" customHeight="1">
      <c r="A6296" s="740"/>
    </row>
    <row r="6297" ht="14.25" customHeight="1">
      <c r="A6297" s="740"/>
    </row>
    <row r="6298" ht="14.25" customHeight="1">
      <c r="A6298" s="740"/>
    </row>
    <row r="6299" ht="14.25" customHeight="1">
      <c r="A6299" s="740"/>
    </row>
    <row r="6300" ht="14.25" customHeight="1">
      <c r="A6300" s="740"/>
    </row>
    <row r="6301" ht="14.25" customHeight="1">
      <c r="A6301" s="740"/>
    </row>
    <row r="6302" ht="14.25" customHeight="1">
      <c r="A6302" s="740"/>
    </row>
    <row r="6303" ht="14.25" customHeight="1">
      <c r="A6303" s="740"/>
    </row>
    <row r="6304" ht="14.25" customHeight="1">
      <c r="A6304" s="740"/>
    </row>
    <row r="6305" ht="14.25" customHeight="1">
      <c r="A6305" s="740"/>
    </row>
    <row r="6306" ht="14.25" customHeight="1">
      <c r="A6306" s="740"/>
    </row>
    <row r="6307" ht="14.25" customHeight="1">
      <c r="A6307" s="740"/>
    </row>
    <row r="6308" ht="14.25" customHeight="1">
      <c r="A6308" s="740"/>
    </row>
    <row r="6309" ht="14.25" customHeight="1">
      <c r="A6309" s="740"/>
    </row>
    <row r="6310" ht="14.25" customHeight="1">
      <c r="A6310" s="740"/>
    </row>
    <row r="6311" ht="14.25" customHeight="1">
      <c r="A6311" s="740"/>
    </row>
    <row r="6312" ht="14.25" customHeight="1">
      <c r="A6312" s="740"/>
    </row>
    <row r="6313" ht="14.25" customHeight="1">
      <c r="A6313" s="740"/>
    </row>
    <row r="6314" ht="14.25" customHeight="1">
      <c r="A6314" s="740"/>
    </row>
    <row r="6315" ht="14.25" customHeight="1">
      <c r="A6315" s="740"/>
    </row>
    <row r="6316" ht="14.25" customHeight="1">
      <c r="A6316" s="740"/>
    </row>
    <row r="6317" ht="14.25" customHeight="1">
      <c r="A6317" s="740"/>
    </row>
    <row r="6318" ht="14.25" customHeight="1">
      <c r="A6318" s="740"/>
    </row>
    <row r="6319" ht="14.25" customHeight="1">
      <c r="A6319" s="740"/>
    </row>
    <row r="6320" ht="14.25" customHeight="1">
      <c r="A6320" s="740"/>
    </row>
    <row r="6321" ht="14.25" customHeight="1">
      <c r="A6321" s="740"/>
    </row>
    <row r="6322" ht="14.25" customHeight="1">
      <c r="A6322" s="740"/>
    </row>
    <row r="6323" ht="14.25" customHeight="1">
      <c r="A6323" s="740"/>
    </row>
    <row r="6324" ht="14.25" customHeight="1">
      <c r="A6324" s="740"/>
    </row>
    <row r="6325" ht="14.25" customHeight="1">
      <c r="A6325" s="740"/>
    </row>
    <row r="6326" ht="14.25" customHeight="1">
      <c r="A6326" s="740"/>
    </row>
    <row r="6327" ht="14.25" customHeight="1">
      <c r="A6327" s="740"/>
    </row>
    <row r="6328" ht="14.25" customHeight="1">
      <c r="A6328" s="740"/>
    </row>
    <row r="6329" ht="14.25" customHeight="1">
      <c r="A6329" s="740"/>
    </row>
    <row r="6330" ht="14.25" customHeight="1">
      <c r="A6330" s="740"/>
    </row>
    <row r="6331" ht="14.25" customHeight="1">
      <c r="A6331" s="740"/>
    </row>
    <row r="6332" ht="14.25" customHeight="1">
      <c r="A6332" s="740"/>
    </row>
    <row r="6333" ht="14.25" customHeight="1">
      <c r="A6333" s="740"/>
    </row>
    <row r="6334" ht="14.25" customHeight="1">
      <c r="A6334" s="740"/>
    </row>
    <row r="6335" ht="14.25" customHeight="1">
      <c r="A6335" s="740"/>
    </row>
    <row r="6336" ht="14.25" customHeight="1">
      <c r="A6336" s="740"/>
    </row>
    <row r="6337" ht="14.25" customHeight="1">
      <c r="A6337" s="740"/>
    </row>
    <row r="6338" ht="14.25" customHeight="1">
      <c r="A6338" s="740"/>
    </row>
    <row r="6339" ht="14.25" customHeight="1">
      <c r="A6339" s="740"/>
    </row>
    <row r="6340" ht="14.25" customHeight="1">
      <c r="A6340" s="740"/>
    </row>
    <row r="6341" ht="14.25" customHeight="1">
      <c r="A6341" s="740"/>
    </row>
    <row r="6342" ht="14.25" customHeight="1">
      <c r="A6342" s="740"/>
    </row>
    <row r="6343" ht="14.25" customHeight="1">
      <c r="A6343" s="740"/>
    </row>
    <row r="6344" ht="14.25" customHeight="1">
      <c r="A6344" s="740"/>
    </row>
    <row r="6345" ht="14.25" customHeight="1">
      <c r="A6345" s="740"/>
    </row>
    <row r="6346" ht="14.25" customHeight="1">
      <c r="A6346" s="740"/>
    </row>
    <row r="6347" ht="14.25" customHeight="1">
      <c r="A6347" s="740"/>
    </row>
    <row r="6348" ht="14.25" customHeight="1">
      <c r="A6348" s="740"/>
    </row>
    <row r="6349" ht="14.25" customHeight="1">
      <c r="A6349" s="740"/>
    </row>
    <row r="6350" ht="14.25" customHeight="1">
      <c r="A6350" s="740"/>
    </row>
    <row r="6351" ht="14.25" customHeight="1">
      <c r="A6351" s="740"/>
    </row>
    <row r="6352" ht="14.25" customHeight="1">
      <c r="A6352" s="740"/>
    </row>
    <row r="6353" ht="14.25" customHeight="1">
      <c r="A6353" s="740"/>
    </row>
    <row r="6354" ht="14.25" customHeight="1">
      <c r="A6354" s="740"/>
    </row>
    <row r="6355" ht="14.25" customHeight="1">
      <c r="A6355" s="740"/>
    </row>
    <row r="6356" ht="14.25" customHeight="1">
      <c r="A6356" s="740"/>
    </row>
    <row r="6357" ht="14.25" customHeight="1">
      <c r="A6357" s="740"/>
    </row>
    <row r="6358" ht="14.25" customHeight="1">
      <c r="A6358" s="740"/>
    </row>
    <row r="6359" ht="14.25" customHeight="1">
      <c r="A6359" s="740"/>
    </row>
    <row r="6360" ht="14.25" customHeight="1">
      <c r="A6360" s="740"/>
    </row>
    <row r="6361" ht="14.25" customHeight="1">
      <c r="A6361" s="740"/>
    </row>
    <row r="6362" ht="14.25" customHeight="1">
      <c r="A6362" s="740"/>
    </row>
    <row r="6363" ht="14.25" customHeight="1">
      <c r="A6363" s="740"/>
    </row>
    <row r="6364" ht="14.25" customHeight="1">
      <c r="A6364" s="740"/>
    </row>
    <row r="6365" ht="14.25" customHeight="1">
      <c r="A6365" s="740"/>
    </row>
    <row r="6366" ht="14.25" customHeight="1">
      <c r="A6366" s="740"/>
    </row>
    <row r="6367" ht="14.25" customHeight="1">
      <c r="A6367" s="740"/>
    </row>
    <row r="6368" ht="14.25" customHeight="1">
      <c r="A6368" s="740"/>
    </row>
    <row r="6369" ht="14.25" customHeight="1">
      <c r="A6369" s="740"/>
    </row>
    <row r="6370" ht="14.25" customHeight="1">
      <c r="A6370" s="740"/>
    </row>
    <row r="6371" ht="14.25" customHeight="1">
      <c r="A6371" s="740"/>
    </row>
    <row r="6372" ht="14.25" customHeight="1">
      <c r="A6372" s="740"/>
    </row>
    <row r="6373" ht="14.25" customHeight="1">
      <c r="A6373" s="740"/>
    </row>
    <row r="6374" ht="14.25" customHeight="1">
      <c r="A6374" s="740"/>
    </row>
    <row r="6375" ht="14.25" customHeight="1">
      <c r="A6375" s="740"/>
    </row>
    <row r="6376" ht="14.25" customHeight="1">
      <c r="A6376" s="740"/>
    </row>
    <row r="6377" ht="14.25" customHeight="1">
      <c r="A6377" s="740"/>
    </row>
    <row r="6378" ht="14.25" customHeight="1">
      <c r="A6378" s="740"/>
    </row>
    <row r="6379" ht="14.25" customHeight="1">
      <c r="A6379" s="740"/>
    </row>
    <row r="6380" ht="14.25" customHeight="1">
      <c r="A6380" s="740"/>
    </row>
    <row r="6381" ht="14.25" customHeight="1">
      <c r="A6381" s="740"/>
    </row>
    <row r="6382" ht="14.25" customHeight="1">
      <c r="A6382" s="740"/>
    </row>
    <row r="6383" ht="14.25" customHeight="1">
      <c r="A6383" s="740"/>
    </row>
    <row r="6384" ht="14.25" customHeight="1">
      <c r="A6384" s="740"/>
    </row>
    <row r="6385" ht="14.25" customHeight="1">
      <c r="A6385" s="740"/>
    </row>
    <row r="6386" ht="14.25" customHeight="1">
      <c r="A6386" s="740"/>
    </row>
    <row r="6387" ht="14.25" customHeight="1">
      <c r="A6387" s="740"/>
    </row>
    <row r="6388" ht="14.25" customHeight="1">
      <c r="A6388" s="740"/>
    </row>
    <row r="6389" ht="14.25" customHeight="1">
      <c r="A6389" s="740"/>
    </row>
    <row r="6390" ht="14.25" customHeight="1">
      <c r="A6390" s="740"/>
    </row>
    <row r="6391" ht="14.25" customHeight="1">
      <c r="A6391" s="740"/>
    </row>
    <row r="6392" ht="14.25" customHeight="1">
      <c r="A6392" s="740"/>
    </row>
    <row r="6393" ht="14.25" customHeight="1">
      <c r="A6393" s="740"/>
    </row>
    <row r="6394" ht="14.25" customHeight="1">
      <c r="A6394" s="740"/>
    </row>
    <row r="6395" ht="14.25" customHeight="1">
      <c r="A6395" s="740"/>
    </row>
    <row r="6396" ht="14.25" customHeight="1">
      <c r="A6396" s="740"/>
    </row>
    <row r="6397" ht="14.25" customHeight="1">
      <c r="A6397" s="740"/>
    </row>
    <row r="6398" ht="14.25" customHeight="1">
      <c r="A6398" s="740"/>
    </row>
    <row r="6399" ht="14.25" customHeight="1">
      <c r="A6399" s="740"/>
    </row>
    <row r="6400" ht="14.25" customHeight="1">
      <c r="A6400" s="740"/>
    </row>
    <row r="6401" ht="14.25" customHeight="1">
      <c r="A6401" s="740"/>
    </row>
    <row r="6402" ht="14.25" customHeight="1">
      <c r="A6402" s="740"/>
    </row>
    <row r="6403" ht="14.25" customHeight="1">
      <c r="A6403" s="740"/>
    </row>
    <row r="6404" ht="14.25" customHeight="1">
      <c r="A6404" s="740"/>
    </row>
    <row r="6405" ht="14.25" customHeight="1">
      <c r="A6405" s="740"/>
    </row>
    <row r="6406" ht="14.25" customHeight="1">
      <c r="A6406" s="740"/>
    </row>
    <row r="6407" ht="14.25" customHeight="1">
      <c r="A6407" s="740"/>
    </row>
    <row r="6408" ht="14.25" customHeight="1">
      <c r="A6408" s="740"/>
    </row>
    <row r="6409" ht="14.25" customHeight="1">
      <c r="A6409" s="740"/>
    </row>
    <row r="6410" ht="14.25" customHeight="1">
      <c r="A6410" s="740"/>
    </row>
    <row r="6411" ht="14.25" customHeight="1">
      <c r="A6411" s="740"/>
    </row>
    <row r="6412" ht="14.25" customHeight="1">
      <c r="A6412" s="740"/>
    </row>
    <row r="6413" ht="14.25" customHeight="1">
      <c r="A6413" s="740"/>
    </row>
    <row r="6414" ht="14.25" customHeight="1">
      <c r="A6414" s="740"/>
    </row>
    <row r="6415" ht="14.25" customHeight="1">
      <c r="A6415" s="740"/>
    </row>
    <row r="6416" ht="14.25" customHeight="1">
      <c r="A6416" s="740"/>
    </row>
    <row r="6417" ht="14.25" customHeight="1">
      <c r="A6417" s="740"/>
    </row>
    <row r="6418" ht="14.25" customHeight="1">
      <c r="A6418" s="740"/>
    </row>
    <row r="6419" ht="14.25" customHeight="1">
      <c r="A6419" s="740"/>
    </row>
    <row r="6420" ht="14.25" customHeight="1">
      <c r="A6420" s="740"/>
    </row>
    <row r="6421" ht="14.25" customHeight="1">
      <c r="A6421" s="740"/>
    </row>
    <row r="6422" ht="14.25" customHeight="1">
      <c r="A6422" s="740"/>
    </row>
    <row r="6423" ht="14.25" customHeight="1">
      <c r="A6423" s="740"/>
    </row>
    <row r="6424" ht="14.25" customHeight="1">
      <c r="A6424" s="740"/>
    </row>
    <row r="6425" ht="14.25" customHeight="1">
      <c r="A6425" s="740"/>
    </row>
    <row r="6426" ht="14.25" customHeight="1">
      <c r="A6426" s="740"/>
    </row>
    <row r="6427" ht="14.25" customHeight="1">
      <c r="A6427" s="740"/>
    </row>
    <row r="6428" ht="14.25" customHeight="1">
      <c r="A6428" s="740"/>
    </row>
    <row r="6429" ht="14.25" customHeight="1">
      <c r="A6429" s="740"/>
    </row>
    <row r="6430" ht="14.25" customHeight="1">
      <c r="A6430" s="740"/>
    </row>
    <row r="6431" ht="14.25" customHeight="1">
      <c r="A6431" s="740"/>
    </row>
    <row r="6432" ht="14.25" customHeight="1">
      <c r="A6432" s="740"/>
    </row>
    <row r="6433" ht="14.25" customHeight="1">
      <c r="A6433" s="740"/>
    </row>
    <row r="6434" ht="14.25" customHeight="1">
      <c r="A6434" s="740"/>
    </row>
    <row r="6435" ht="14.25" customHeight="1">
      <c r="A6435" s="740"/>
    </row>
    <row r="6436" ht="14.25" customHeight="1">
      <c r="A6436" s="740"/>
    </row>
    <row r="6437" ht="14.25" customHeight="1">
      <c r="A6437" s="740"/>
    </row>
    <row r="6438" ht="14.25" customHeight="1">
      <c r="A6438" s="740"/>
    </row>
    <row r="6439" ht="14.25" customHeight="1">
      <c r="A6439" s="740"/>
    </row>
    <row r="6440" ht="14.25" customHeight="1">
      <c r="A6440" s="740"/>
    </row>
    <row r="6441" ht="14.25" customHeight="1">
      <c r="A6441" s="740"/>
    </row>
    <row r="6442" ht="14.25" customHeight="1">
      <c r="A6442" s="740"/>
    </row>
    <row r="6443" ht="14.25" customHeight="1">
      <c r="A6443" s="740"/>
    </row>
    <row r="6444" ht="14.25" customHeight="1">
      <c r="A6444" s="740"/>
    </row>
    <row r="6445" ht="14.25" customHeight="1">
      <c r="A6445" s="740"/>
    </row>
    <row r="6446" ht="14.25" customHeight="1">
      <c r="A6446" s="740"/>
    </row>
    <row r="6447" ht="14.25" customHeight="1">
      <c r="A6447" s="740"/>
    </row>
    <row r="6448" ht="14.25" customHeight="1">
      <c r="A6448" s="740"/>
    </row>
    <row r="6449" ht="14.25" customHeight="1">
      <c r="A6449" s="740"/>
    </row>
    <row r="6450" ht="14.25" customHeight="1">
      <c r="A6450" s="740"/>
    </row>
    <row r="6451" ht="14.25" customHeight="1">
      <c r="A6451" s="740"/>
    </row>
    <row r="6452" ht="14.25" customHeight="1">
      <c r="A6452" s="740"/>
    </row>
    <row r="6453" ht="14.25" customHeight="1">
      <c r="A6453" s="740"/>
    </row>
    <row r="6454" ht="14.25" customHeight="1">
      <c r="A6454" s="740"/>
    </row>
    <row r="6455" ht="14.25" customHeight="1">
      <c r="A6455" s="740"/>
    </row>
    <row r="6456" ht="14.25" customHeight="1">
      <c r="A6456" s="740"/>
    </row>
    <row r="6457" ht="14.25" customHeight="1">
      <c r="A6457" s="740"/>
    </row>
    <row r="6458" ht="14.25" customHeight="1">
      <c r="A6458" s="740"/>
    </row>
    <row r="6459" ht="14.25" customHeight="1">
      <c r="A6459" s="740"/>
    </row>
    <row r="6460" ht="14.25" customHeight="1">
      <c r="A6460" s="740"/>
    </row>
    <row r="6461" ht="14.25" customHeight="1">
      <c r="A6461" s="740"/>
    </row>
    <row r="6462" ht="14.25" customHeight="1">
      <c r="A6462" s="740"/>
    </row>
    <row r="6463" ht="14.25" customHeight="1">
      <c r="A6463" s="740"/>
    </row>
    <row r="6464" ht="14.25" customHeight="1">
      <c r="A6464" s="740"/>
    </row>
    <row r="6465" ht="14.25" customHeight="1">
      <c r="A6465" s="740"/>
    </row>
    <row r="6466" ht="14.25" customHeight="1">
      <c r="A6466" s="740"/>
    </row>
    <row r="6467" ht="14.25" customHeight="1">
      <c r="A6467" s="740"/>
    </row>
    <row r="6468" ht="14.25" customHeight="1">
      <c r="A6468" s="740"/>
    </row>
    <row r="6469" ht="14.25" customHeight="1">
      <c r="A6469" s="740"/>
    </row>
    <row r="6470" ht="14.25" customHeight="1">
      <c r="A6470" s="740"/>
    </row>
    <row r="6471" ht="14.25" customHeight="1">
      <c r="A6471" s="740"/>
    </row>
    <row r="6472" ht="14.25" customHeight="1">
      <c r="A6472" s="740"/>
    </row>
    <row r="6473" ht="14.25" customHeight="1">
      <c r="A6473" s="740"/>
    </row>
    <row r="6474" ht="14.25" customHeight="1">
      <c r="A6474" s="740"/>
    </row>
    <row r="6475" ht="14.25" customHeight="1">
      <c r="A6475" s="740"/>
    </row>
    <row r="6476" ht="14.25" customHeight="1">
      <c r="A6476" s="740"/>
    </row>
    <row r="6477" ht="14.25" customHeight="1">
      <c r="A6477" s="740"/>
    </row>
    <row r="6478" ht="14.25" customHeight="1">
      <c r="A6478" s="740"/>
    </row>
    <row r="6479" ht="14.25" customHeight="1">
      <c r="A6479" s="740"/>
    </row>
    <row r="6480" ht="14.25" customHeight="1">
      <c r="A6480" s="740"/>
    </row>
    <row r="6481" ht="14.25" customHeight="1">
      <c r="A6481" s="740"/>
    </row>
    <row r="6482" ht="14.25" customHeight="1">
      <c r="A6482" s="740"/>
    </row>
    <row r="6483" ht="14.25" customHeight="1">
      <c r="A6483" s="740"/>
    </row>
    <row r="6484" ht="14.25" customHeight="1">
      <c r="A6484" s="740"/>
    </row>
    <row r="6485" ht="14.25" customHeight="1">
      <c r="A6485" s="740"/>
    </row>
    <row r="6486" ht="14.25" customHeight="1">
      <c r="A6486" s="740"/>
    </row>
    <row r="6487" ht="14.25" customHeight="1">
      <c r="A6487" s="740"/>
    </row>
    <row r="6488" ht="14.25" customHeight="1">
      <c r="A6488" s="740"/>
    </row>
    <row r="6489" ht="14.25" customHeight="1">
      <c r="A6489" s="740"/>
    </row>
    <row r="6490" ht="14.25" customHeight="1">
      <c r="A6490" s="740"/>
    </row>
    <row r="6491" ht="14.25" customHeight="1">
      <c r="A6491" s="740"/>
    </row>
    <row r="6492" ht="14.25" customHeight="1">
      <c r="A6492" s="740"/>
    </row>
    <row r="6493" ht="14.25" customHeight="1">
      <c r="A6493" s="740"/>
    </row>
    <row r="6494" ht="14.25" customHeight="1">
      <c r="A6494" s="740"/>
    </row>
    <row r="6495" ht="14.25" customHeight="1">
      <c r="A6495" s="740"/>
    </row>
    <row r="6496" ht="14.25" customHeight="1">
      <c r="A6496" s="740"/>
    </row>
    <row r="6497" ht="14.25" customHeight="1">
      <c r="A6497" s="740"/>
    </row>
    <row r="6498" ht="14.25" customHeight="1">
      <c r="A6498" s="740"/>
    </row>
    <row r="6499" ht="14.25" customHeight="1">
      <c r="A6499" s="740"/>
    </row>
    <row r="6500" ht="14.25" customHeight="1">
      <c r="A6500" s="740"/>
    </row>
    <row r="6501" ht="14.25" customHeight="1">
      <c r="A6501" s="740"/>
    </row>
    <row r="6502" ht="14.25" customHeight="1">
      <c r="A6502" s="740"/>
    </row>
    <row r="6503" ht="14.25" customHeight="1">
      <c r="A6503" s="740"/>
    </row>
    <row r="6504" ht="14.25" customHeight="1">
      <c r="A6504" s="740"/>
    </row>
    <row r="6505" ht="14.25" customHeight="1">
      <c r="A6505" s="740"/>
    </row>
    <row r="6506" ht="14.25" customHeight="1">
      <c r="A6506" s="740"/>
    </row>
    <row r="6507" ht="14.25" customHeight="1">
      <c r="A6507" s="740"/>
    </row>
    <row r="6508" ht="14.25" customHeight="1">
      <c r="A6508" s="740"/>
    </row>
    <row r="6509" ht="14.25" customHeight="1">
      <c r="A6509" s="740"/>
    </row>
    <row r="6510" ht="14.25" customHeight="1">
      <c r="A6510" s="740"/>
    </row>
    <row r="6511" ht="14.25" customHeight="1">
      <c r="A6511" s="740"/>
    </row>
    <row r="6512" ht="14.25" customHeight="1">
      <c r="A6512" s="740"/>
    </row>
    <row r="6513" ht="14.25" customHeight="1">
      <c r="A6513" s="740"/>
    </row>
    <row r="6514" ht="14.25" customHeight="1">
      <c r="A6514" s="740"/>
    </row>
    <row r="6515" ht="14.25" customHeight="1">
      <c r="A6515" s="740"/>
    </row>
    <row r="6516" ht="14.25" customHeight="1">
      <c r="A6516" s="740"/>
    </row>
    <row r="6517" ht="14.25" customHeight="1">
      <c r="A6517" s="740"/>
    </row>
    <row r="6518" ht="14.25" customHeight="1">
      <c r="A6518" s="740"/>
    </row>
    <row r="6519" ht="14.25" customHeight="1">
      <c r="A6519" s="740"/>
    </row>
    <row r="6520" ht="14.25" customHeight="1">
      <c r="A6520" s="740"/>
    </row>
    <row r="6521" ht="14.25" customHeight="1">
      <c r="A6521" s="740"/>
    </row>
    <row r="6522" ht="14.25" customHeight="1">
      <c r="A6522" s="740"/>
    </row>
    <row r="6523" ht="14.25" customHeight="1">
      <c r="A6523" s="740"/>
    </row>
    <row r="6524" ht="14.25" customHeight="1">
      <c r="A6524" s="740"/>
    </row>
    <row r="6525" ht="14.25" customHeight="1">
      <c r="A6525" s="740"/>
    </row>
    <row r="6526" ht="14.25" customHeight="1">
      <c r="A6526" s="740"/>
    </row>
    <row r="6527" ht="14.25" customHeight="1">
      <c r="A6527" s="740"/>
    </row>
    <row r="6528" ht="14.25" customHeight="1">
      <c r="A6528" s="740"/>
    </row>
    <row r="6529" ht="14.25" customHeight="1">
      <c r="A6529" s="740"/>
    </row>
    <row r="6530" ht="14.25" customHeight="1">
      <c r="A6530" s="740"/>
    </row>
    <row r="6531" ht="14.25" customHeight="1">
      <c r="A6531" s="740"/>
    </row>
    <row r="6532" ht="14.25" customHeight="1">
      <c r="A6532" s="740"/>
    </row>
    <row r="6533" ht="14.25" customHeight="1">
      <c r="A6533" s="740"/>
    </row>
    <row r="6534" ht="14.25" customHeight="1">
      <c r="A6534" s="740"/>
    </row>
    <row r="6535" ht="14.25" customHeight="1">
      <c r="A6535" s="740"/>
    </row>
    <row r="6536" ht="14.25" customHeight="1">
      <c r="A6536" s="740"/>
    </row>
    <row r="6537" ht="14.25" customHeight="1">
      <c r="A6537" s="740"/>
    </row>
    <row r="6538" ht="14.25" customHeight="1">
      <c r="A6538" s="740"/>
    </row>
    <row r="6539" ht="14.25" customHeight="1">
      <c r="A6539" s="740"/>
    </row>
    <row r="6540" ht="14.25" customHeight="1">
      <c r="A6540" s="740"/>
    </row>
    <row r="6541" ht="14.25" customHeight="1">
      <c r="A6541" s="740"/>
    </row>
    <row r="6542" ht="14.25" customHeight="1">
      <c r="A6542" s="740"/>
    </row>
    <row r="6543" ht="14.25" customHeight="1">
      <c r="A6543" s="740"/>
    </row>
    <row r="6544" ht="14.25" customHeight="1">
      <c r="A6544" s="740"/>
    </row>
    <row r="6545" ht="14.25" customHeight="1">
      <c r="A6545" s="740"/>
    </row>
    <row r="6546" ht="14.25" customHeight="1">
      <c r="A6546" s="740"/>
    </row>
    <row r="6547" ht="14.25" customHeight="1">
      <c r="A6547" s="740"/>
    </row>
    <row r="6548" ht="14.25" customHeight="1">
      <c r="A6548" s="740"/>
    </row>
    <row r="6549" ht="14.25" customHeight="1">
      <c r="A6549" s="740"/>
    </row>
    <row r="6550" ht="14.25" customHeight="1">
      <c r="A6550" s="740"/>
    </row>
    <row r="6551" ht="14.25" customHeight="1">
      <c r="A6551" s="740"/>
    </row>
    <row r="6552" ht="14.25" customHeight="1">
      <c r="A6552" s="740"/>
    </row>
    <row r="6553" ht="14.25" customHeight="1">
      <c r="A6553" s="740"/>
    </row>
    <row r="6554" ht="14.25" customHeight="1">
      <c r="A6554" s="740"/>
    </row>
    <row r="6555" ht="14.25" customHeight="1">
      <c r="A6555" s="740"/>
    </row>
    <row r="6556" ht="14.25" customHeight="1">
      <c r="A6556" s="740"/>
    </row>
    <row r="6557" ht="14.25" customHeight="1">
      <c r="A6557" s="740"/>
    </row>
    <row r="6558" ht="14.25" customHeight="1">
      <c r="A6558" s="740"/>
    </row>
    <row r="6559" ht="14.25" customHeight="1">
      <c r="A6559" s="740"/>
    </row>
    <row r="6560" ht="14.25" customHeight="1">
      <c r="A6560" s="740"/>
    </row>
    <row r="6561" ht="14.25" customHeight="1">
      <c r="A6561" s="740"/>
    </row>
    <row r="6562" ht="14.25" customHeight="1">
      <c r="A6562" s="740"/>
    </row>
    <row r="6563" ht="14.25" customHeight="1">
      <c r="A6563" s="740"/>
    </row>
    <row r="6564" ht="14.25" customHeight="1">
      <c r="A6564" s="740"/>
    </row>
    <row r="6565" ht="14.25" customHeight="1">
      <c r="A6565" s="740"/>
    </row>
    <row r="6566" ht="14.25" customHeight="1">
      <c r="A6566" s="740"/>
    </row>
    <row r="6567" ht="14.25" customHeight="1">
      <c r="A6567" s="740"/>
    </row>
    <row r="6568" ht="14.25" customHeight="1">
      <c r="A6568" s="740"/>
    </row>
    <row r="6569" ht="14.25" customHeight="1">
      <c r="A6569" s="740"/>
    </row>
    <row r="6570" ht="14.25" customHeight="1">
      <c r="A6570" s="740"/>
    </row>
    <row r="6571" ht="14.25" customHeight="1">
      <c r="A6571" s="740"/>
    </row>
    <row r="6572" ht="14.25" customHeight="1">
      <c r="A6572" s="740"/>
    </row>
    <row r="6573" ht="14.25" customHeight="1">
      <c r="A6573" s="740"/>
    </row>
    <row r="6574" ht="14.25" customHeight="1">
      <c r="A6574" s="740"/>
    </row>
    <row r="6575" ht="14.25" customHeight="1">
      <c r="A6575" s="740"/>
    </row>
    <row r="6576" ht="14.25" customHeight="1">
      <c r="A6576" s="740"/>
    </row>
    <row r="6577" ht="14.25" customHeight="1">
      <c r="A6577" s="740"/>
    </row>
    <row r="6578" ht="14.25" customHeight="1">
      <c r="A6578" s="740"/>
    </row>
    <row r="6579" ht="14.25" customHeight="1">
      <c r="A6579" s="740"/>
    </row>
    <row r="6580" ht="14.25" customHeight="1">
      <c r="A6580" s="740"/>
    </row>
    <row r="6581" ht="14.25" customHeight="1">
      <c r="A6581" s="740"/>
    </row>
    <row r="6582" ht="14.25" customHeight="1">
      <c r="A6582" s="740"/>
    </row>
    <row r="6583" ht="14.25" customHeight="1">
      <c r="A6583" s="740"/>
    </row>
    <row r="6584" ht="14.25" customHeight="1">
      <c r="A6584" s="740"/>
    </row>
    <row r="6585" ht="14.25" customHeight="1">
      <c r="A6585" s="740"/>
    </row>
    <row r="6586" ht="14.25" customHeight="1">
      <c r="A6586" s="740"/>
    </row>
    <row r="6587" ht="14.25" customHeight="1">
      <c r="A6587" s="740"/>
    </row>
    <row r="6588" ht="14.25" customHeight="1">
      <c r="A6588" s="740"/>
    </row>
    <row r="6589" ht="14.25" customHeight="1">
      <c r="A6589" s="740"/>
    </row>
    <row r="6590" ht="14.25" customHeight="1">
      <c r="A6590" s="740"/>
    </row>
    <row r="6591" ht="14.25" customHeight="1">
      <c r="A6591" s="740"/>
    </row>
    <row r="6592" ht="14.25" customHeight="1">
      <c r="A6592" s="740"/>
    </row>
    <row r="6593" ht="14.25" customHeight="1">
      <c r="A6593" s="740"/>
    </row>
    <row r="6594" ht="14.25" customHeight="1">
      <c r="A6594" s="740"/>
    </row>
    <row r="6595" ht="14.25" customHeight="1">
      <c r="A6595" s="740"/>
    </row>
    <row r="6596" ht="14.25" customHeight="1">
      <c r="A6596" s="740"/>
    </row>
    <row r="6597" ht="14.25" customHeight="1">
      <c r="A6597" s="740"/>
    </row>
    <row r="6598" ht="14.25" customHeight="1">
      <c r="A6598" s="740"/>
    </row>
    <row r="6599" ht="14.25" customHeight="1">
      <c r="A6599" s="740"/>
    </row>
    <row r="6600" ht="14.25" customHeight="1">
      <c r="A6600" s="740"/>
    </row>
    <row r="6601" ht="14.25" customHeight="1">
      <c r="A6601" s="740"/>
    </row>
    <row r="6602" ht="14.25" customHeight="1">
      <c r="A6602" s="740"/>
    </row>
    <row r="6603" ht="14.25" customHeight="1">
      <c r="A6603" s="740"/>
    </row>
    <row r="6604" ht="14.25" customHeight="1">
      <c r="A6604" s="740"/>
    </row>
    <row r="6605" ht="14.25" customHeight="1">
      <c r="A6605" s="740"/>
    </row>
    <row r="6606" ht="14.25" customHeight="1">
      <c r="A6606" s="740"/>
    </row>
    <row r="6607" ht="14.25" customHeight="1">
      <c r="A6607" s="740"/>
    </row>
    <row r="6608" ht="14.25" customHeight="1">
      <c r="A6608" s="740"/>
    </row>
    <row r="6609" ht="14.25" customHeight="1">
      <c r="A6609" s="740"/>
    </row>
    <row r="6610" ht="14.25" customHeight="1">
      <c r="A6610" s="740"/>
    </row>
    <row r="6611" ht="14.25" customHeight="1">
      <c r="A6611" s="740"/>
    </row>
    <row r="6612" ht="14.25" customHeight="1">
      <c r="A6612" s="740"/>
    </row>
    <row r="6613" ht="14.25" customHeight="1">
      <c r="A6613" s="740"/>
    </row>
    <row r="6614" ht="14.25" customHeight="1">
      <c r="A6614" s="740"/>
    </row>
    <row r="6615" ht="14.25" customHeight="1">
      <c r="A6615" s="740"/>
    </row>
    <row r="6616" ht="14.25" customHeight="1">
      <c r="A6616" s="740"/>
    </row>
    <row r="6617" ht="14.25" customHeight="1">
      <c r="A6617" s="740"/>
    </row>
    <row r="6618" ht="14.25" customHeight="1">
      <c r="A6618" s="740"/>
    </row>
    <row r="6619" ht="14.25" customHeight="1">
      <c r="A6619" s="740"/>
    </row>
    <row r="6620" ht="14.25" customHeight="1">
      <c r="A6620" s="740"/>
    </row>
    <row r="6621" ht="14.25" customHeight="1">
      <c r="A6621" s="740"/>
    </row>
    <row r="6622" ht="14.25" customHeight="1">
      <c r="A6622" s="740"/>
    </row>
    <row r="6623" ht="14.25" customHeight="1">
      <c r="A6623" s="740"/>
    </row>
    <row r="6624" ht="14.25" customHeight="1">
      <c r="A6624" s="740"/>
    </row>
    <row r="6625" ht="14.25" customHeight="1">
      <c r="A6625" s="740"/>
    </row>
    <row r="6626" ht="14.25" customHeight="1">
      <c r="A6626" s="740"/>
    </row>
    <row r="6627" ht="14.25" customHeight="1">
      <c r="A6627" s="740"/>
    </row>
    <row r="6628" ht="14.25" customHeight="1">
      <c r="A6628" s="740"/>
    </row>
    <row r="6629" ht="14.25" customHeight="1">
      <c r="A6629" s="740"/>
    </row>
    <row r="6630" ht="14.25" customHeight="1">
      <c r="A6630" s="740"/>
    </row>
    <row r="6631" ht="14.25" customHeight="1">
      <c r="A6631" s="740"/>
    </row>
    <row r="6632" ht="14.25" customHeight="1">
      <c r="A6632" s="740"/>
    </row>
    <row r="6633" ht="14.25" customHeight="1">
      <c r="A6633" s="740"/>
    </row>
    <row r="6634" ht="14.25" customHeight="1">
      <c r="A6634" s="740"/>
    </row>
    <row r="6635" ht="14.25" customHeight="1">
      <c r="A6635" s="740"/>
    </row>
    <row r="6636" ht="14.25" customHeight="1">
      <c r="A6636" s="740"/>
    </row>
    <row r="6637" ht="14.25" customHeight="1">
      <c r="A6637" s="740"/>
    </row>
    <row r="6638" ht="14.25" customHeight="1">
      <c r="A6638" s="740"/>
    </row>
    <row r="6639" ht="14.25" customHeight="1">
      <c r="A6639" s="740"/>
    </row>
    <row r="6640" ht="14.25" customHeight="1">
      <c r="A6640" s="740"/>
    </row>
    <row r="6641" ht="14.25" customHeight="1">
      <c r="A6641" s="740"/>
    </row>
    <row r="6642" ht="14.25" customHeight="1">
      <c r="A6642" s="740"/>
    </row>
    <row r="6643" ht="14.25" customHeight="1">
      <c r="A6643" s="740"/>
    </row>
    <row r="6644" ht="14.25" customHeight="1">
      <c r="A6644" s="740"/>
    </row>
    <row r="6645" ht="14.25" customHeight="1">
      <c r="A6645" s="740"/>
    </row>
    <row r="6646" ht="14.25" customHeight="1">
      <c r="A6646" s="740"/>
    </row>
    <row r="6647" ht="14.25" customHeight="1">
      <c r="A6647" s="740"/>
    </row>
    <row r="6648" ht="14.25" customHeight="1">
      <c r="A6648" s="740"/>
    </row>
    <row r="6649" ht="14.25" customHeight="1">
      <c r="A6649" s="740"/>
    </row>
    <row r="6650" ht="14.25" customHeight="1">
      <c r="A6650" s="740"/>
    </row>
    <row r="6651" ht="14.25" customHeight="1">
      <c r="A6651" s="740"/>
    </row>
    <row r="6652" ht="14.25" customHeight="1">
      <c r="A6652" s="740"/>
    </row>
    <row r="6653" ht="14.25" customHeight="1">
      <c r="A6653" s="740"/>
    </row>
    <row r="6654" ht="14.25" customHeight="1">
      <c r="A6654" s="740"/>
    </row>
    <row r="6655" ht="14.25" customHeight="1">
      <c r="A6655" s="740"/>
    </row>
    <row r="6656" ht="14.25" customHeight="1">
      <c r="A6656" s="740"/>
    </row>
    <row r="6657" ht="14.25" customHeight="1">
      <c r="A6657" s="740"/>
    </row>
    <row r="6658" ht="14.25" customHeight="1">
      <c r="A6658" s="740"/>
    </row>
    <row r="6659" ht="14.25" customHeight="1">
      <c r="A6659" s="740"/>
    </row>
    <row r="6660" ht="14.25" customHeight="1">
      <c r="A6660" s="740"/>
    </row>
    <row r="6661" ht="14.25" customHeight="1">
      <c r="A6661" s="740"/>
    </row>
    <row r="6662" ht="14.25" customHeight="1">
      <c r="A6662" s="740"/>
    </row>
    <row r="6663" ht="14.25" customHeight="1">
      <c r="A6663" s="740"/>
    </row>
    <row r="6664" ht="14.25" customHeight="1">
      <c r="A6664" s="740"/>
    </row>
    <row r="6665" ht="14.25" customHeight="1">
      <c r="A6665" s="740"/>
    </row>
    <row r="6666" ht="14.25" customHeight="1">
      <c r="A6666" s="740"/>
    </row>
    <row r="6667" ht="14.25" customHeight="1">
      <c r="A6667" s="740"/>
    </row>
    <row r="6668" ht="14.25" customHeight="1">
      <c r="A6668" s="740"/>
    </row>
    <row r="6669" ht="14.25" customHeight="1">
      <c r="A6669" s="740"/>
    </row>
    <row r="6670" ht="14.25" customHeight="1">
      <c r="A6670" s="740"/>
    </row>
    <row r="6671" ht="14.25" customHeight="1">
      <c r="A6671" s="740"/>
    </row>
    <row r="6672" ht="14.25" customHeight="1">
      <c r="A6672" s="740"/>
    </row>
    <row r="6673" ht="14.25" customHeight="1">
      <c r="A6673" s="740"/>
    </row>
    <row r="6674" ht="14.25" customHeight="1">
      <c r="A6674" s="740"/>
    </row>
    <row r="6675" ht="14.25" customHeight="1">
      <c r="A6675" s="740"/>
    </row>
    <row r="6676" ht="14.25" customHeight="1">
      <c r="A6676" s="740"/>
    </row>
    <row r="6677" ht="14.25" customHeight="1">
      <c r="A6677" s="740"/>
    </row>
    <row r="6678" ht="14.25" customHeight="1">
      <c r="A6678" s="740"/>
    </row>
    <row r="6679" ht="14.25" customHeight="1">
      <c r="A6679" s="740"/>
    </row>
    <row r="6680" ht="14.25" customHeight="1">
      <c r="A6680" s="740"/>
    </row>
    <row r="6681" ht="14.25" customHeight="1">
      <c r="A6681" s="740"/>
    </row>
    <row r="6682" ht="14.25" customHeight="1">
      <c r="A6682" s="740"/>
    </row>
    <row r="6683" ht="14.25" customHeight="1">
      <c r="A6683" s="740"/>
    </row>
    <row r="6684" ht="14.25" customHeight="1">
      <c r="A6684" s="740"/>
    </row>
    <row r="6685" ht="14.25" customHeight="1">
      <c r="A6685" s="740"/>
    </row>
    <row r="6686" ht="14.25" customHeight="1">
      <c r="A6686" s="740"/>
    </row>
    <row r="6687" ht="14.25" customHeight="1">
      <c r="A6687" s="740"/>
    </row>
    <row r="6688" ht="14.25" customHeight="1">
      <c r="A6688" s="740"/>
    </row>
    <row r="6689" ht="14.25" customHeight="1">
      <c r="A6689" s="740"/>
    </row>
    <row r="6690" ht="14.25" customHeight="1">
      <c r="A6690" s="740"/>
    </row>
    <row r="6691" ht="14.25" customHeight="1">
      <c r="A6691" s="740"/>
    </row>
    <row r="6692" ht="14.25" customHeight="1">
      <c r="A6692" s="740"/>
    </row>
    <row r="6693" ht="14.25" customHeight="1">
      <c r="A6693" s="740"/>
    </row>
    <row r="6694" ht="14.25" customHeight="1">
      <c r="A6694" s="740"/>
    </row>
    <row r="6695" ht="14.25" customHeight="1">
      <c r="A6695" s="740"/>
    </row>
    <row r="6696" ht="14.25" customHeight="1">
      <c r="A6696" s="740"/>
    </row>
    <row r="6697" ht="14.25" customHeight="1">
      <c r="A6697" s="740"/>
    </row>
    <row r="6698" ht="14.25" customHeight="1">
      <c r="A6698" s="740"/>
    </row>
    <row r="6699" ht="14.25" customHeight="1">
      <c r="A6699" s="740"/>
    </row>
    <row r="6700" ht="14.25" customHeight="1">
      <c r="A6700" s="740"/>
    </row>
    <row r="6701" ht="14.25" customHeight="1">
      <c r="A6701" s="740"/>
    </row>
    <row r="6702" ht="14.25" customHeight="1">
      <c r="A6702" s="740"/>
    </row>
    <row r="6703" ht="14.25" customHeight="1">
      <c r="A6703" s="740"/>
    </row>
    <row r="6704" ht="14.25" customHeight="1">
      <c r="A6704" s="740"/>
    </row>
    <row r="6705" ht="14.25" customHeight="1">
      <c r="A6705" s="740"/>
    </row>
    <row r="6706" ht="14.25" customHeight="1">
      <c r="A6706" s="740"/>
    </row>
    <row r="6707" ht="14.25" customHeight="1">
      <c r="A6707" s="740"/>
    </row>
    <row r="6708" ht="14.25" customHeight="1">
      <c r="A6708" s="740"/>
    </row>
    <row r="6709" ht="14.25" customHeight="1">
      <c r="A6709" s="740"/>
    </row>
    <row r="6710" ht="14.25" customHeight="1">
      <c r="A6710" s="740"/>
    </row>
    <row r="6711" ht="14.25" customHeight="1">
      <c r="A6711" s="740"/>
    </row>
    <row r="6712" ht="14.25" customHeight="1">
      <c r="A6712" s="740"/>
    </row>
    <row r="6713" ht="14.25" customHeight="1">
      <c r="A6713" s="740"/>
    </row>
    <row r="6714" ht="14.25" customHeight="1">
      <c r="A6714" s="740"/>
    </row>
    <row r="6715" ht="14.25" customHeight="1">
      <c r="A6715" s="740"/>
    </row>
    <row r="6716" ht="14.25" customHeight="1">
      <c r="A6716" s="740"/>
    </row>
    <row r="6717" ht="14.25" customHeight="1">
      <c r="A6717" s="740"/>
    </row>
    <row r="6718" ht="14.25" customHeight="1">
      <c r="A6718" s="740"/>
    </row>
    <row r="6719" ht="14.25" customHeight="1">
      <c r="A6719" s="740"/>
    </row>
    <row r="6720" ht="14.25" customHeight="1">
      <c r="A6720" s="740"/>
    </row>
    <row r="6721" ht="14.25" customHeight="1">
      <c r="A6721" s="740"/>
    </row>
    <row r="6722" ht="14.25" customHeight="1">
      <c r="A6722" s="740"/>
    </row>
    <row r="6723" ht="14.25" customHeight="1">
      <c r="A6723" s="740"/>
    </row>
    <row r="6724" ht="14.25" customHeight="1">
      <c r="A6724" s="740"/>
    </row>
    <row r="6725" ht="14.25" customHeight="1">
      <c r="A6725" s="740"/>
    </row>
    <row r="6726" ht="14.25" customHeight="1">
      <c r="A6726" s="740"/>
    </row>
    <row r="6727" ht="14.25" customHeight="1">
      <c r="A6727" s="740"/>
    </row>
    <row r="6728" ht="14.25" customHeight="1">
      <c r="A6728" s="740"/>
    </row>
    <row r="6729" ht="14.25" customHeight="1">
      <c r="A6729" s="740"/>
    </row>
    <row r="6730" ht="14.25" customHeight="1">
      <c r="A6730" s="740"/>
    </row>
    <row r="6731" ht="14.25" customHeight="1">
      <c r="A6731" s="740"/>
    </row>
    <row r="6732" ht="14.25" customHeight="1">
      <c r="A6732" s="740"/>
    </row>
    <row r="6733" ht="14.25" customHeight="1">
      <c r="A6733" s="740"/>
    </row>
    <row r="6734" ht="14.25" customHeight="1">
      <c r="A6734" s="740"/>
    </row>
    <row r="6735" ht="14.25" customHeight="1">
      <c r="A6735" s="740"/>
    </row>
    <row r="6736" ht="14.25" customHeight="1">
      <c r="A6736" s="740"/>
    </row>
    <row r="6737" ht="14.25" customHeight="1">
      <c r="A6737" s="740"/>
    </row>
    <row r="6738" ht="14.25" customHeight="1">
      <c r="A6738" s="740"/>
    </row>
    <row r="6739" ht="14.25" customHeight="1">
      <c r="A6739" s="740"/>
    </row>
    <row r="6740" ht="14.25" customHeight="1">
      <c r="A6740" s="740"/>
    </row>
    <row r="6741" ht="14.25" customHeight="1">
      <c r="A6741" s="740"/>
    </row>
    <row r="6742" ht="14.25" customHeight="1">
      <c r="A6742" s="740"/>
    </row>
    <row r="6743" ht="14.25" customHeight="1">
      <c r="A6743" s="740"/>
    </row>
    <row r="6744" ht="14.25" customHeight="1">
      <c r="A6744" s="740"/>
    </row>
    <row r="6745" ht="14.25" customHeight="1">
      <c r="A6745" s="740"/>
    </row>
    <row r="6746" ht="14.25" customHeight="1">
      <c r="A6746" s="740"/>
    </row>
    <row r="6747" ht="14.25" customHeight="1">
      <c r="A6747" s="740"/>
    </row>
    <row r="6748" ht="14.25" customHeight="1">
      <c r="A6748" s="740"/>
    </row>
    <row r="6749" ht="14.25" customHeight="1">
      <c r="A6749" s="740"/>
    </row>
    <row r="6750" ht="14.25" customHeight="1">
      <c r="A6750" s="740"/>
    </row>
    <row r="6751" ht="14.25" customHeight="1">
      <c r="A6751" s="740"/>
    </row>
    <row r="6752" ht="14.25" customHeight="1">
      <c r="A6752" s="740"/>
    </row>
    <row r="6753" ht="14.25" customHeight="1">
      <c r="A6753" s="740"/>
    </row>
    <row r="6754" ht="14.25" customHeight="1">
      <c r="A6754" s="740"/>
    </row>
    <row r="6755" ht="14.25" customHeight="1">
      <c r="A6755" s="740"/>
    </row>
    <row r="6756" ht="14.25" customHeight="1">
      <c r="A6756" s="740"/>
    </row>
    <row r="6757" ht="14.25" customHeight="1">
      <c r="A6757" s="740"/>
    </row>
    <row r="6758" ht="14.25" customHeight="1">
      <c r="A6758" s="740"/>
    </row>
    <row r="6759" ht="14.25" customHeight="1">
      <c r="A6759" s="740"/>
    </row>
    <row r="6760" ht="14.25" customHeight="1">
      <c r="A6760" s="740"/>
    </row>
    <row r="6761" ht="14.25" customHeight="1">
      <c r="A6761" s="740"/>
    </row>
    <row r="6762" ht="14.25" customHeight="1">
      <c r="A6762" s="740"/>
    </row>
    <row r="6763" ht="14.25" customHeight="1">
      <c r="A6763" s="740"/>
    </row>
    <row r="6764" ht="14.25" customHeight="1">
      <c r="A6764" s="740"/>
    </row>
    <row r="6765" ht="14.25" customHeight="1">
      <c r="A6765" s="740"/>
    </row>
    <row r="6766" ht="14.25" customHeight="1">
      <c r="A6766" s="740"/>
    </row>
    <row r="6767" ht="14.25" customHeight="1">
      <c r="A6767" s="740"/>
    </row>
    <row r="6768" ht="14.25" customHeight="1">
      <c r="A6768" s="740"/>
    </row>
    <row r="6769" ht="14.25" customHeight="1">
      <c r="A6769" s="740"/>
    </row>
    <row r="6770" ht="14.25" customHeight="1">
      <c r="A6770" s="740"/>
    </row>
    <row r="6771" ht="14.25" customHeight="1">
      <c r="A6771" s="740"/>
    </row>
    <row r="6772" ht="14.25" customHeight="1">
      <c r="A6772" s="740"/>
    </row>
    <row r="6773" ht="14.25" customHeight="1">
      <c r="A6773" s="740"/>
    </row>
    <row r="6774" ht="14.25" customHeight="1">
      <c r="A6774" s="740"/>
    </row>
    <row r="6775" ht="14.25" customHeight="1">
      <c r="A6775" s="740"/>
    </row>
    <row r="6776" ht="14.25" customHeight="1">
      <c r="A6776" s="740"/>
    </row>
    <row r="6777" ht="14.25" customHeight="1">
      <c r="A6777" s="740"/>
    </row>
    <row r="6778" ht="14.25" customHeight="1">
      <c r="A6778" s="740"/>
    </row>
    <row r="6779" ht="14.25" customHeight="1">
      <c r="A6779" s="740"/>
    </row>
    <row r="6780" ht="14.25" customHeight="1">
      <c r="A6780" s="740"/>
    </row>
    <row r="6781" ht="14.25" customHeight="1">
      <c r="A6781" s="740"/>
    </row>
    <row r="6782" ht="14.25" customHeight="1">
      <c r="A6782" s="740"/>
    </row>
    <row r="6783" ht="14.25" customHeight="1">
      <c r="A6783" s="740"/>
    </row>
    <row r="6784" ht="14.25" customHeight="1">
      <c r="A6784" s="740"/>
    </row>
    <row r="6785" ht="14.25" customHeight="1">
      <c r="A6785" s="740"/>
    </row>
    <row r="6786" ht="14.25" customHeight="1">
      <c r="A6786" s="740"/>
    </row>
    <row r="6787" ht="14.25" customHeight="1">
      <c r="A6787" s="740"/>
    </row>
    <row r="6788" ht="14.25" customHeight="1">
      <c r="A6788" s="740"/>
    </row>
    <row r="6789" ht="14.25" customHeight="1">
      <c r="A6789" s="740"/>
    </row>
    <row r="6790" ht="14.25" customHeight="1">
      <c r="A6790" s="740"/>
    </row>
    <row r="6791" ht="14.25" customHeight="1">
      <c r="A6791" s="740"/>
    </row>
    <row r="6792" ht="14.25" customHeight="1">
      <c r="A6792" s="740"/>
    </row>
    <row r="6793" ht="14.25" customHeight="1">
      <c r="A6793" s="740"/>
    </row>
    <row r="6794" ht="14.25" customHeight="1">
      <c r="A6794" s="740"/>
    </row>
    <row r="6795" ht="14.25" customHeight="1">
      <c r="A6795" s="740"/>
    </row>
    <row r="6796" ht="14.25" customHeight="1">
      <c r="A6796" s="740"/>
    </row>
    <row r="6797" ht="14.25" customHeight="1">
      <c r="A6797" s="740"/>
    </row>
    <row r="6798" ht="14.25" customHeight="1">
      <c r="A6798" s="740"/>
    </row>
    <row r="6799" ht="14.25" customHeight="1">
      <c r="A6799" s="740"/>
    </row>
    <row r="6800" ht="14.25" customHeight="1">
      <c r="A6800" s="740"/>
    </row>
    <row r="6801" ht="14.25" customHeight="1">
      <c r="A6801" s="740"/>
    </row>
    <row r="6802" ht="14.25" customHeight="1">
      <c r="A6802" s="740"/>
    </row>
    <row r="6803" ht="14.25" customHeight="1">
      <c r="A6803" s="740"/>
    </row>
    <row r="6804" ht="14.25" customHeight="1">
      <c r="A6804" s="740"/>
    </row>
    <row r="6805" ht="14.25" customHeight="1">
      <c r="A6805" s="740"/>
    </row>
    <row r="6806" ht="14.25" customHeight="1">
      <c r="A6806" s="740"/>
    </row>
    <row r="6807" ht="14.25" customHeight="1">
      <c r="A6807" s="740"/>
    </row>
    <row r="6808" ht="14.25" customHeight="1">
      <c r="A6808" s="740"/>
    </row>
    <row r="6809" ht="14.25" customHeight="1">
      <c r="A6809" s="740"/>
    </row>
    <row r="6810" ht="14.25" customHeight="1">
      <c r="A6810" s="740"/>
    </row>
    <row r="6811" ht="14.25" customHeight="1">
      <c r="A6811" s="740"/>
    </row>
    <row r="6812" ht="14.25" customHeight="1">
      <c r="A6812" s="740"/>
    </row>
    <row r="6813" ht="14.25" customHeight="1">
      <c r="A6813" s="740"/>
    </row>
    <row r="6814" ht="14.25" customHeight="1">
      <c r="A6814" s="740"/>
    </row>
    <row r="6815" ht="14.25" customHeight="1">
      <c r="A6815" s="740"/>
    </row>
    <row r="6816" ht="14.25" customHeight="1">
      <c r="A6816" s="740"/>
    </row>
    <row r="6817" ht="14.25" customHeight="1">
      <c r="A6817" s="740"/>
    </row>
    <row r="6818" ht="14.25" customHeight="1">
      <c r="A6818" s="740"/>
    </row>
    <row r="6819" ht="14.25" customHeight="1">
      <c r="A6819" s="740"/>
    </row>
    <row r="6820" ht="14.25" customHeight="1">
      <c r="A6820" s="740"/>
    </row>
    <row r="6821" ht="14.25" customHeight="1">
      <c r="A6821" s="740"/>
    </row>
    <row r="6822" ht="14.25" customHeight="1">
      <c r="A6822" s="740"/>
    </row>
    <row r="6823" ht="14.25" customHeight="1">
      <c r="A6823" s="740"/>
    </row>
    <row r="6824" ht="14.25" customHeight="1">
      <c r="A6824" s="740"/>
    </row>
    <row r="6825" ht="14.25" customHeight="1">
      <c r="A6825" s="740"/>
    </row>
    <row r="6826" ht="14.25" customHeight="1">
      <c r="A6826" s="740"/>
    </row>
    <row r="6827" ht="14.25" customHeight="1">
      <c r="A6827" s="740"/>
    </row>
    <row r="6828" ht="14.25" customHeight="1">
      <c r="A6828" s="740"/>
    </row>
    <row r="6829" ht="14.25" customHeight="1">
      <c r="A6829" s="740"/>
    </row>
    <row r="6830" ht="14.25" customHeight="1">
      <c r="A6830" s="740"/>
    </row>
    <row r="6831" ht="14.25" customHeight="1">
      <c r="A6831" s="740"/>
    </row>
    <row r="6832" ht="14.25" customHeight="1">
      <c r="A6832" s="740"/>
    </row>
    <row r="6833" ht="14.25" customHeight="1">
      <c r="A6833" s="740"/>
    </row>
    <row r="6834" ht="14.25" customHeight="1">
      <c r="A6834" s="740"/>
    </row>
    <row r="6835" ht="14.25" customHeight="1">
      <c r="A6835" s="740"/>
    </row>
    <row r="6836" ht="14.25" customHeight="1">
      <c r="A6836" s="740"/>
    </row>
    <row r="6837" ht="14.25" customHeight="1">
      <c r="A6837" s="740"/>
    </row>
    <row r="6838" ht="14.25" customHeight="1">
      <c r="A6838" s="740"/>
    </row>
    <row r="6839" ht="14.25" customHeight="1">
      <c r="A6839" s="740"/>
    </row>
    <row r="6840" ht="14.25" customHeight="1">
      <c r="A6840" s="740"/>
    </row>
    <row r="6841" ht="14.25" customHeight="1">
      <c r="A6841" s="740"/>
    </row>
    <row r="6842" ht="14.25" customHeight="1">
      <c r="A6842" s="740"/>
    </row>
    <row r="6843" ht="14.25" customHeight="1">
      <c r="A6843" s="740"/>
    </row>
    <row r="6844" ht="14.25" customHeight="1">
      <c r="A6844" s="740"/>
    </row>
    <row r="6845" ht="14.25" customHeight="1">
      <c r="A6845" s="740"/>
    </row>
    <row r="6846" ht="14.25" customHeight="1">
      <c r="A6846" s="740"/>
    </row>
    <row r="6847" ht="14.25" customHeight="1">
      <c r="A6847" s="740"/>
    </row>
    <row r="6848" ht="14.25" customHeight="1">
      <c r="A6848" s="740"/>
    </row>
    <row r="6849" ht="14.25" customHeight="1">
      <c r="A6849" s="740"/>
    </row>
    <row r="6850" ht="14.25" customHeight="1">
      <c r="A6850" s="740"/>
    </row>
    <row r="6851" ht="14.25" customHeight="1">
      <c r="A6851" s="740"/>
    </row>
    <row r="6852" ht="14.25" customHeight="1">
      <c r="A6852" s="740"/>
    </row>
    <row r="6853" ht="14.25" customHeight="1">
      <c r="A6853" s="740"/>
    </row>
    <row r="6854" ht="14.25" customHeight="1">
      <c r="A6854" s="740"/>
    </row>
    <row r="6855" ht="14.25" customHeight="1">
      <c r="A6855" s="740"/>
    </row>
    <row r="6856" ht="14.25" customHeight="1">
      <c r="A6856" s="740"/>
    </row>
    <row r="6857" ht="14.25" customHeight="1">
      <c r="A6857" s="740"/>
    </row>
    <row r="6858" ht="14.25" customHeight="1">
      <c r="A6858" s="740"/>
    </row>
    <row r="6859" ht="14.25" customHeight="1">
      <c r="A6859" s="740"/>
    </row>
    <row r="6860" ht="14.25" customHeight="1">
      <c r="A6860" s="740"/>
    </row>
    <row r="6861" ht="14.25" customHeight="1">
      <c r="A6861" s="740"/>
    </row>
    <row r="6862" ht="14.25" customHeight="1">
      <c r="A6862" s="740"/>
    </row>
    <row r="6863" ht="14.25" customHeight="1">
      <c r="A6863" s="740"/>
    </row>
    <row r="6864" ht="14.25" customHeight="1">
      <c r="A6864" s="740"/>
    </row>
    <row r="6865" ht="14.25" customHeight="1">
      <c r="A6865" s="740"/>
    </row>
    <row r="6866" ht="14.25" customHeight="1">
      <c r="A6866" s="740"/>
    </row>
    <row r="6867" ht="14.25" customHeight="1">
      <c r="A6867" s="740"/>
    </row>
    <row r="6868" ht="14.25" customHeight="1">
      <c r="A6868" s="740"/>
    </row>
    <row r="6869" ht="14.25" customHeight="1">
      <c r="A6869" s="740"/>
    </row>
    <row r="6870" ht="14.25" customHeight="1">
      <c r="A6870" s="740"/>
    </row>
    <row r="6871" ht="14.25" customHeight="1">
      <c r="A6871" s="740"/>
    </row>
    <row r="6872" ht="14.25" customHeight="1">
      <c r="A6872" s="740"/>
    </row>
    <row r="6873" ht="14.25" customHeight="1">
      <c r="A6873" s="740"/>
    </row>
    <row r="6874" ht="14.25" customHeight="1">
      <c r="A6874" s="740"/>
    </row>
    <row r="6875" ht="14.25" customHeight="1">
      <c r="A6875" s="740"/>
    </row>
    <row r="6876" ht="14.25" customHeight="1">
      <c r="A6876" s="740"/>
    </row>
    <row r="6877" ht="14.25" customHeight="1">
      <c r="A6877" s="740"/>
    </row>
    <row r="6878" ht="14.25" customHeight="1">
      <c r="A6878" s="740"/>
    </row>
    <row r="6879" ht="14.25" customHeight="1">
      <c r="A6879" s="740"/>
    </row>
    <row r="6880" ht="14.25" customHeight="1">
      <c r="A6880" s="740"/>
    </row>
    <row r="6881" ht="14.25" customHeight="1">
      <c r="A6881" s="740"/>
    </row>
    <row r="6882" ht="14.25" customHeight="1">
      <c r="A6882" s="740"/>
    </row>
    <row r="6883" ht="14.25" customHeight="1">
      <c r="A6883" s="740"/>
    </row>
    <row r="6884" ht="14.25" customHeight="1">
      <c r="A6884" s="740"/>
    </row>
    <row r="6885" ht="14.25" customHeight="1">
      <c r="A6885" s="740"/>
    </row>
    <row r="6886" ht="14.25" customHeight="1">
      <c r="A6886" s="740"/>
    </row>
    <row r="6887" ht="14.25" customHeight="1">
      <c r="A6887" s="740"/>
    </row>
    <row r="6888" ht="14.25" customHeight="1">
      <c r="A6888" s="740"/>
    </row>
    <row r="6889" ht="14.25" customHeight="1">
      <c r="A6889" s="740"/>
    </row>
    <row r="6890" ht="14.25" customHeight="1">
      <c r="A6890" s="740"/>
    </row>
    <row r="6891" ht="14.25" customHeight="1">
      <c r="A6891" s="740"/>
    </row>
    <row r="6892" ht="14.25" customHeight="1">
      <c r="A6892" s="740"/>
    </row>
    <row r="6893" ht="14.25" customHeight="1">
      <c r="A6893" s="740"/>
    </row>
    <row r="6894" ht="14.25" customHeight="1">
      <c r="A6894" s="740"/>
    </row>
    <row r="6895" ht="14.25" customHeight="1">
      <c r="A6895" s="740"/>
    </row>
    <row r="6896" ht="14.25" customHeight="1">
      <c r="A6896" s="740"/>
    </row>
    <row r="6897" ht="14.25" customHeight="1">
      <c r="A6897" s="740"/>
    </row>
    <row r="6898" ht="14.25" customHeight="1">
      <c r="A6898" s="740"/>
    </row>
    <row r="6899" ht="14.25" customHeight="1">
      <c r="A6899" s="740"/>
    </row>
    <row r="6900" ht="14.25" customHeight="1">
      <c r="A6900" s="740"/>
    </row>
    <row r="6901" ht="14.25" customHeight="1">
      <c r="A6901" s="740"/>
    </row>
    <row r="6902" ht="14.25" customHeight="1">
      <c r="A6902" s="740"/>
    </row>
    <row r="6903" ht="14.25" customHeight="1">
      <c r="A6903" s="740"/>
    </row>
    <row r="6904" ht="14.25" customHeight="1">
      <c r="A6904" s="740"/>
    </row>
    <row r="6905" ht="14.25" customHeight="1">
      <c r="A6905" s="740"/>
    </row>
    <row r="6906" ht="14.25" customHeight="1">
      <c r="A6906" s="740"/>
    </row>
    <row r="6907" ht="14.25" customHeight="1">
      <c r="A6907" s="740"/>
    </row>
    <row r="6908" ht="14.25" customHeight="1">
      <c r="A6908" s="740"/>
    </row>
    <row r="6909" ht="14.25" customHeight="1">
      <c r="A6909" s="740"/>
    </row>
    <row r="6910" ht="14.25" customHeight="1">
      <c r="A6910" s="740"/>
    </row>
    <row r="6911" ht="14.25" customHeight="1">
      <c r="A6911" s="740"/>
    </row>
    <row r="6912" ht="14.25" customHeight="1">
      <c r="A6912" s="740"/>
    </row>
    <row r="6913" ht="14.25" customHeight="1">
      <c r="A6913" s="740"/>
    </row>
    <row r="6914" ht="14.25" customHeight="1">
      <c r="A6914" s="740"/>
    </row>
    <row r="6915" ht="14.25" customHeight="1">
      <c r="A6915" s="740"/>
    </row>
    <row r="6916" ht="14.25" customHeight="1">
      <c r="A6916" s="740"/>
    </row>
    <row r="6917" ht="14.25" customHeight="1">
      <c r="A6917" s="740"/>
    </row>
    <row r="6918" ht="14.25" customHeight="1">
      <c r="A6918" s="740"/>
    </row>
    <row r="6919" ht="14.25" customHeight="1">
      <c r="A6919" s="740"/>
    </row>
    <row r="6920" ht="14.25" customHeight="1">
      <c r="A6920" s="740"/>
    </row>
    <row r="6921" ht="14.25" customHeight="1">
      <c r="A6921" s="740"/>
    </row>
    <row r="6922" ht="14.25" customHeight="1">
      <c r="A6922" s="740"/>
    </row>
    <row r="6923" ht="14.25" customHeight="1">
      <c r="A6923" s="740"/>
    </row>
    <row r="6924" ht="14.25" customHeight="1">
      <c r="A6924" s="740"/>
    </row>
    <row r="6925" ht="14.25" customHeight="1">
      <c r="A6925" s="740"/>
    </row>
    <row r="6926" ht="14.25" customHeight="1">
      <c r="A6926" s="740"/>
    </row>
    <row r="6927" ht="14.25" customHeight="1">
      <c r="A6927" s="740"/>
    </row>
    <row r="6928" ht="14.25" customHeight="1">
      <c r="A6928" s="740"/>
    </row>
    <row r="6929" ht="14.25" customHeight="1">
      <c r="A6929" s="740"/>
    </row>
    <row r="6930" ht="14.25" customHeight="1">
      <c r="A6930" s="740"/>
    </row>
    <row r="6931" ht="14.25" customHeight="1">
      <c r="A6931" s="740"/>
    </row>
    <row r="6932" ht="14.25" customHeight="1">
      <c r="A6932" s="740"/>
    </row>
    <row r="6933" ht="14.25" customHeight="1">
      <c r="A6933" s="740"/>
    </row>
    <row r="6934" ht="14.25" customHeight="1">
      <c r="A6934" s="740"/>
    </row>
    <row r="6935" ht="14.25" customHeight="1">
      <c r="A6935" s="740"/>
    </row>
    <row r="6936" ht="14.25" customHeight="1">
      <c r="A6936" s="740"/>
    </row>
    <row r="6937" ht="14.25" customHeight="1">
      <c r="A6937" s="740"/>
    </row>
    <row r="6938" ht="14.25" customHeight="1">
      <c r="A6938" s="740"/>
    </row>
    <row r="6939" ht="14.25" customHeight="1">
      <c r="A6939" s="740"/>
    </row>
    <row r="6940" ht="14.25" customHeight="1">
      <c r="A6940" s="740"/>
    </row>
    <row r="6941" ht="14.25" customHeight="1">
      <c r="A6941" s="740"/>
    </row>
    <row r="6942" ht="14.25" customHeight="1">
      <c r="A6942" s="740"/>
    </row>
    <row r="6943" ht="14.25" customHeight="1">
      <c r="A6943" s="740"/>
    </row>
    <row r="6944" ht="14.25" customHeight="1">
      <c r="A6944" s="740"/>
    </row>
    <row r="6945" ht="14.25" customHeight="1">
      <c r="A6945" s="740"/>
    </row>
    <row r="6946" ht="14.25" customHeight="1">
      <c r="A6946" s="740"/>
    </row>
    <row r="6947" ht="14.25" customHeight="1">
      <c r="A6947" s="740"/>
    </row>
    <row r="6948" ht="14.25" customHeight="1">
      <c r="A6948" s="740"/>
    </row>
    <row r="6949" ht="14.25" customHeight="1">
      <c r="A6949" s="740"/>
    </row>
    <row r="6950" ht="14.25" customHeight="1">
      <c r="A6950" s="740"/>
    </row>
    <row r="6951" ht="14.25" customHeight="1">
      <c r="A6951" s="740"/>
    </row>
    <row r="6952" ht="14.25" customHeight="1">
      <c r="A6952" s="740"/>
    </row>
    <row r="6953" ht="14.25" customHeight="1">
      <c r="A6953" s="740"/>
    </row>
    <row r="6954" ht="14.25" customHeight="1">
      <c r="A6954" s="740"/>
    </row>
    <row r="6955" ht="14.25" customHeight="1">
      <c r="A6955" s="740"/>
    </row>
    <row r="6956" ht="14.25" customHeight="1">
      <c r="A6956" s="740"/>
    </row>
    <row r="6957" ht="14.25" customHeight="1">
      <c r="A6957" s="740"/>
    </row>
    <row r="6958" ht="14.25" customHeight="1">
      <c r="A6958" s="740"/>
    </row>
    <row r="6959" ht="14.25" customHeight="1">
      <c r="A6959" s="740"/>
    </row>
    <row r="6960" ht="14.25" customHeight="1">
      <c r="A6960" s="740"/>
    </row>
    <row r="6961" ht="14.25" customHeight="1">
      <c r="A6961" s="740"/>
    </row>
    <row r="6962" ht="14.25" customHeight="1">
      <c r="A6962" s="740"/>
    </row>
    <row r="6963" ht="14.25" customHeight="1">
      <c r="A6963" s="740"/>
    </row>
    <row r="6964" ht="14.25" customHeight="1">
      <c r="A6964" s="740"/>
    </row>
    <row r="6965" ht="14.25" customHeight="1">
      <c r="A6965" s="740"/>
    </row>
    <row r="6966" ht="14.25" customHeight="1">
      <c r="A6966" s="740"/>
    </row>
    <row r="6967" ht="14.25" customHeight="1">
      <c r="A6967" s="740"/>
    </row>
    <row r="6968" ht="14.25" customHeight="1">
      <c r="A6968" s="740"/>
    </row>
    <row r="6969" ht="14.25" customHeight="1">
      <c r="A6969" s="740"/>
    </row>
    <row r="6970" ht="14.25" customHeight="1">
      <c r="A6970" s="740"/>
    </row>
    <row r="6971" ht="14.25" customHeight="1">
      <c r="A6971" s="740"/>
    </row>
    <row r="6972" ht="14.25" customHeight="1">
      <c r="A6972" s="740"/>
    </row>
    <row r="6973" ht="14.25" customHeight="1">
      <c r="A6973" s="740"/>
    </row>
    <row r="6974" ht="14.25" customHeight="1">
      <c r="A6974" s="740"/>
    </row>
    <row r="6975" ht="14.25" customHeight="1">
      <c r="A6975" s="740"/>
    </row>
    <row r="6976" ht="14.25" customHeight="1">
      <c r="A6976" s="740"/>
    </row>
    <row r="6977" ht="14.25" customHeight="1">
      <c r="A6977" s="740"/>
    </row>
    <row r="6978" ht="14.25" customHeight="1">
      <c r="A6978" s="740"/>
    </row>
    <row r="6979" ht="14.25" customHeight="1">
      <c r="A6979" s="740"/>
    </row>
    <row r="6980" ht="14.25" customHeight="1">
      <c r="A6980" s="740"/>
    </row>
    <row r="6981" ht="14.25" customHeight="1">
      <c r="A6981" s="740"/>
    </row>
    <row r="6982" ht="14.25" customHeight="1">
      <c r="A6982" s="740"/>
    </row>
    <row r="6983" ht="14.25" customHeight="1">
      <c r="A6983" s="740"/>
    </row>
    <row r="6984" ht="14.25" customHeight="1">
      <c r="A6984" s="740"/>
    </row>
    <row r="6985" ht="14.25" customHeight="1">
      <c r="A6985" s="740"/>
    </row>
    <row r="6986" ht="14.25" customHeight="1">
      <c r="A6986" s="740"/>
    </row>
    <row r="6987" ht="14.25" customHeight="1">
      <c r="A6987" s="740"/>
    </row>
    <row r="6988" ht="14.25" customHeight="1">
      <c r="A6988" s="740"/>
    </row>
    <row r="6989" ht="14.25" customHeight="1">
      <c r="A6989" s="740"/>
    </row>
    <row r="6990" ht="14.25" customHeight="1">
      <c r="A6990" s="740"/>
    </row>
    <row r="6991" ht="14.25" customHeight="1">
      <c r="A6991" s="740"/>
    </row>
    <row r="6992" ht="14.25" customHeight="1">
      <c r="A6992" s="740"/>
    </row>
    <row r="6993" ht="14.25" customHeight="1">
      <c r="A6993" s="740"/>
    </row>
    <row r="6994" ht="14.25" customHeight="1">
      <c r="A6994" s="740"/>
    </row>
    <row r="6995" ht="14.25" customHeight="1">
      <c r="A6995" s="740"/>
    </row>
    <row r="6996" ht="14.25" customHeight="1">
      <c r="A6996" s="740"/>
    </row>
    <row r="6997" ht="14.25" customHeight="1">
      <c r="A6997" s="740"/>
    </row>
    <row r="6998" ht="14.25" customHeight="1">
      <c r="A6998" s="740"/>
    </row>
    <row r="6999" ht="14.25" customHeight="1">
      <c r="A6999" s="740"/>
    </row>
    <row r="7000" ht="14.25" customHeight="1">
      <c r="A7000" s="740"/>
    </row>
    <row r="7001" ht="14.25" customHeight="1">
      <c r="A7001" s="740"/>
    </row>
    <row r="7002" ht="14.25" customHeight="1">
      <c r="A7002" s="740"/>
    </row>
    <row r="7003" ht="14.25" customHeight="1">
      <c r="A7003" s="740"/>
    </row>
    <row r="7004" ht="14.25" customHeight="1">
      <c r="A7004" s="740"/>
    </row>
    <row r="7005" ht="14.25" customHeight="1">
      <c r="A7005" s="740"/>
    </row>
    <row r="7006" ht="14.25" customHeight="1">
      <c r="A7006" s="740"/>
    </row>
    <row r="7007" ht="14.25" customHeight="1">
      <c r="A7007" s="740"/>
    </row>
    <row r="7008" ht="14.25" customHeight="1">
      <c r="A7008" s="740"/>
    </row>
    <row r="7009" ht="14.25" customHeight="1">
      <c r="A7009" s="740"/>
    </row>
    <row r="7010" ht="14.25" customHeight="1">
      <c r="A7010" s="740"/>
    </row>
    <row r="7011" ht="14.25" customHeight="1">
      <c r="A7011" s="740"/>
    </row>
    <row r="7012" ht="14.25" customHeight="1">
      <c r="A7012" s="740"/>
    </row>
    <row r="7013" ht="14.25" customHeight="1">
      <c r="A7013" s="740"/>
    </row>
    <row r="7014" ht="14.25" customHeight="1">
      <c r="A7014" s="740"/>
    </row>
    <row r="7015" ht="14.25" customHeight="1">
      <c r="A7015" s="740"/>
    </row>
    <row r="7016" ht="14.25" customHeight="1">
      <c r="A7016" s="740"/>
    </row>
    <row r="7017" ht="14.25" customHeight="1">
      <c r="A7017" s="740"/>
    </row>
    <row r="7018" ht="14.25" customHeight="1">
      <c r="A7018" s="740"/>
    </row>
    <row r="7019" ht="14.25" customHeight="1">
      <c r="A7019" s="740"/>
    </row>
    <row r="7020" ht="14.25" customHeight="1">
      <c r="A7020" s="740"/>
    </row>
    <row r="7021" ht="14.25" customHeight="1">
      <c r="A7021" s="740"/>
    </row>
    <row r="7022" ht="14.25" customHeight="1">
      <c r="A7022" s="740"/>
    </row>
    <row r="7023" ht="14.25" customHeight="1">
      <c r="A7023" s="740"/>
    </row>
    <row r="7024" ht="14.25" customHeight="1">
      <c r="A7024" s="740"/>
    </row>
    <row r="7025" ht="14.25" customHeight="1">
      <c r="A7025" s="740"/>
    </row>
    <row r="7026" ht="14.25" customHeight="1">
      <c r="A7026" s="740"/>
    </row>
    <row r="7027" ht="14.25" customHeight="1">
      <c r="A7027" s="740"/>
    </row>
    <row r="7028" ht="14.25" customHeight="1">
      <c r="A7028" s="740"/>
    </row>
    <row r="7029" ht="14.25" customHeight="1">
      <c r="A7029" s="740"/>
    </row>
    <row r="7030" ht="14.25" customHeight="1">
      <c r="A7030" s="740"/>
    </row>
    <row r="7031" ht="14.25" customHeight="1">
      <c r="A7031" s="740"/>
    </row>
    <row r="7032" ht="14.25" customHeight="1">
      <c r="A7032" s="740"/>
    </row>
    <row r="7033" ht="14.25" customHeight="1">
      <c r="A7033" s="740"/>
    </row>
    <row r="7034" ht="14.25" customHeight="1">
      <c r="A7034" s="740"/>
    </row>
    <row r="7035" ht="14.25" customHeight="1">
      <c r="A7035" s="740"/>
    </row>
    <row r="7036" ht="14.25" customHeight="1">
      <c r="A7036" s="740"/>
    </row>
    <row r="7037" ht="14.25" customHeight="1">
      <c r="A7037" s="740"/>
    </row>
    <row r="7038" ht="14.25" customHeight="1">
      <c r="A7038" s="740"/>
    </row>
    <row r="7039" ht="14.25" customHeight="1">
      <c r="A7039" s="740"/>
    </row>
    <row r="7040" ht="14.25" customHeight="1">
      <c r="A7040" s="740"/>
    </row>
    <row r="7041" ht="14.25" customHeight="1">
      <c r="A7041" s="740"/>
    </row>
    <row r="7042" ht="14.25" customHeight="1">
      <c r="A7042" s="740"/>
    </row>
    <row r="7043" ht="14.25" customHeight="1">
      <c r="A7043" s="740"/>
    </row>
    <row r="7044" ht="14.25" customHeight="1">
      <c r="A7044" s="740"/>
    </row>
    <row r="7045" ht="14.25" customHeight="1">
      <c r="A7045" s="740"/>
    </row>
    <row r="7046" ht="14.25" customHeight="1">
      <c r="A7046" s="740"/>
    </row>
    <row r="7047" ht="14.25" customHeight="1">
      <c r="A7047" s="740"/>
    </row>
    <row r="7048" ht="14.25" customHeight="1">
      <c r="A7048" s="740"/>
    </row>
    <row r="7049" ht="14.25" customHeight="1">
      <c r="A7049" s="740"/>
    </row>
    <row r="7050" ht="14.25" customHeight="1">
      <c r="A7050" s="740"/>
    </row>
    <row r="7051" ht="14.25" customHeight="1">
      <c r="A7051" s="740"/>
    </row>
    <row r="7052" ht="14.25" customHeight="1">
      <c r="A7052" s="740"/>
    </row>
    <row r="7053" ht="14.25" customHeight="1">
      <c r="A7053" s="740"/>
    </row>
    <row r="7054" ht="14.25" customHeight="1">
      <c r="A7054" s="740"/>
    </row>
    <row r="7055" ht="14.25" customHeight="1">
      <c r="A7055" s="740"/>
    </row>
    <row r="7056" ht="14.25" customHeight="1">
      <c r="A7056" s="740"/>
    </row>
    <row r="7057" ht="14.25" customHeight="1">
      <c r="A7057" s="740"/>
    </row>
    <row r="7058" ht="14.25" customHeight="1">
      <c r="A7058" s="740"/>
    </row>
    <row r="7059" ht="14.25" customHeight="1">
      <c r="A7059" s="740"/>
    </row>
    <row r="7060" ht="14.25" customHeight="1">
      <c r="A7060" s="740"/>
    </row>
    <row r="7061" ht="14.25" customHeight="1">
      <c r="A7061" s="740"/>
    </row>
    <row r="7062" ht="14.25" customHeight="1">
      <c r="A7062" s="740"/>
    </row>
    <row r="7063" ht="14.25" customHeight="1">
      <c r="A7063" s="740"/>
    </row>
    <row r="7064" ht="14.25" customHeight="1">
      <c r="A7064" s="740"/>
    </row>
    <row r="7065" ht="14.25" customHeight="1">
      <c r="A7065" s="740"/>
    </row>
    <row r="7066" ht="14.25" customHeight="1">
      <c r="A7066" s="740"/>
    </row>
    <row r="7067" ht="14.25" customHeight="1">
      <c r="A7067" s="740"/>
    </row>
    <row r="7068" ht="14.25" customHeight="1">
      <c r="A7068" s="740"/>
    </row>
    <row r="7069" ht="14.25" customHeight="1">
      <c r="A7069" s="740"/>
    </row>
    <row r="7070" ht="14.25" customHeight="1">
      <c r="A7070" s="740"/>
    </row>
    <row r="7071" ht="14.25" customHeight="1">
      <c r="A7071" s="740"/>
    </row>
    <row r="7072" ht="14.25" customHeight="1">
      <c r="A7072" s="740"/>
    </row>
    <row r="7073" ht="14.25" customHeight="1">
      <c r="A7073" s="740"/>
    </row>
    <row r="7074" ht="14.25" customHeight="1">
      <c r="A7074" s="740"/>
    </row>
    <row r="7075" ht="14.25" customHeight="1">
      <c r="A7075" s="740"/>
    </row>
    <row r="7076" ht="14.25" customHeight="1">
      <c r="A7076" s="740"/>
    </row>
    <row r="7077" ht="14.25" customHeight="1">
      <c r="A7077" s="740"/>
    </row>
    <row r="7078" ht="14.25" customHeight="1">
      <c r="A7078" s="740"/>
    </row>
    <row r="7079" ht="14.25" customHeight="1">
      <c r="A7079" s="740"/>
    </row>
    <row r="7080" ht="14.25" customHeight="1">
      <c r="A7080" s="740"/>
    </row>
    <row r="7081" ht="14.25" customHeight="1">
      <c r="A7081" s="740"/>
    </row>
    <row r="7082" ht="14.25" customHeight="1">
      <c r="A7082" s="740"/>
    </row>
    <row r="7083" ht="14.25" customHeight="1">
      <c r="A7083" s="740"/>
    </row>
    <row r="7084" ht="14.25" customHeight="1">
      <c r="A7084" s="740"/>
    </row>
    <row r="7085" ht="14.25" customHeight="1">
      <c r="A7085" s="740"/>
    </row>
    <row r="7086" ht="14.25" customHeight="1">
      <c r="A7086" s="740"/>
    </row>
    <row r="7087" ht="14.25" customHeight="1">
      <c r="A7087" s="740"/>
    </row>
    <row r="7088" ht="14.25" customHeight="1">
      <c r="A7088" s="740"/>
    </row>
    <row r="7089" ht="14.25" customHeight="1">
      <c r="A7089" s="740"/>
    </row>
    <row r="7090" ht="14.25" customHeight="1">
      <c r="A7090" s="740"/>
    </row>
    <row r="7091" ht="14.25" customHeight="1">
      <c r="A7091" s="740"/>
    </row>
    <row r="7092" ht="14.25" customHeight="1">
      <c r="A7092" s="740"/>
    </row>
    <row r="7093" ht="14.25" customHeight="1">
      <c r="A7093" s="740"/>
    </row>
    <row r="7094" ht="14.25" customHeight="1">
      <c r="A7094" s="740"/>
    </row>
    <row r="7095" ht="14.25" customHeight="1">
      <c r="A7095" s="740"/>
    </row>
    <row r="7096" ht="14.25" customHeight="1">
      <c r="A7096" s="740"/>
    </row>
    <row r="7097" ht="14.25" customHeight="1">
      <c r="A7097" s="740"/>
    </row>
    <row r="7098" ht="14.25" customHeight="1">
      <c r="A7098" s="740"/>
    </row>
    <row r="7099" ht="14.25" customHeight="1">
      <c r="A7099" s="740"/>
    </row>
    <row r="7100" ht="14.25" customHeight="1">
      <c r="A7100" s="740"/>
    </row>
    <row r="7101" ht="14.25" customHeight="1">
      <c r="A7101" s="740"/>
    </row>
    <row r="7102" ht="14.25" customHeight="1">
      <c r="A7102" s="740"/>
    </row>
    <row r="7103" ht="14.25" customHeight="1">
      <c r="A7103" s="740"/>
    </row>
    <row r="7104" ht="14.25" customHeight="1">
      <c r="A7104" s="740"/>
    </row>
    <row r="7105" ht="14.25" customHeight="1">
      <c r="A7105" s="740"/>
    </row>
    <row r="7106" ht="14.25" customHeight="1">
      <c r="A7106" s="740"/>
    </row>
    <row r="7107" ht="14.25" customHeight="1">
      <c r="A7107" s="740"/>
    </row>
    <row r="7108" ht="14.25" customHeight="1">
      <c r="A7108" s="740"/>
    </row>
    <row r="7109" ht="14.25" customHeight="1">
      <c r="A7109" s="740"/>
    </row>
    <row r="7110" ht="14.25" customHeight="1">
      <c r="A7110" s="740"/>
    </row>
    <row r="7111" ht="14.25" customHeight="1">
      <c r="A7111" s="740"/>
    </row>
    <row r="7112" ht="14.25" customHeight="1">
      <c r="A7112" s="740"/>
    </row>
    <row r="7113" ht="14.25" customHeight="1">
      <c r="A7113" s="740"/>
    </row>
    <row r="7114" ht="14.25" customHeight="1">
      <c r="A7114" s="740"/>
    </row>
    <row r="7115" ht="14.25" customHeight="1">
      <c r="A7115" s="740"/>
    </row>
    <row r="7116" ht="14.25" customHeight="1">
      <c r="A7116" s="740"/>
    </row>
    <row r="7117" ht="14.25" customHeight="1">
      <c r="A7117" s="740"/>
    </row>
    <row r="7118" ht="14.25" customHeight="1">
      <c r="A7118" s="740"/>
    </row>
    <row r="7119" ht="14.25" customHeight="1">
      <c r="A7119" s="740"/>
    </row>
    <row r="7120" ht="14.25" customHeight="1">
      <c r="A7120" s="740"/>
    </row>
    <row r="7121" ht="14.25" customHeight="1">
      <c r="A7121" s="740"/>
    </row>
    <row r="7122" ht="14.25" customHeight="1">
      <c r="A7122" s="740"/>
    </row>
    <row r="7123" ht="14.25" customHeight="1">
      <c r="A7123" s="740"/>
    </row>
    <row r="7124" ht="14.25" customHeight="1">
      <c r="A7124" s="740"/>
    </row>
    <row r="7125" ht="14.25" customHeight="1">
      <c r="A7125" s="740"/>
    </row>
    <row r="7126" ht="14.25" customHeight="1">
      <c r="A7126" s="740"/>
    </row>
    <row r="7127" ht="14.25" customHeight="1">
      <c r="A7127" s="740"/>
    </row>
    <row r="7128" ht="14.25" customHeight="1">
      <c r="A7128" s="740"/>
    </row>
    <row r="7129" ht="14.25" customHeight="1">
      <c r="A7129" s="740"/>
    </row>
    <row r="7130" ht="14.25" customHeight="1">
      <c r="A7130" s="740"/>
    </row>
    <row r="7131" ht="14.25" customHeight="1">
      <c r="A7131" s="740"/>
    </row>
    <row r="7132" ht="14.25" customHeight="1">
      <c r="A7132" s="740"/>
    </row>
    <row r="7133" ht="14.25" customHeight="1">
      <c r="A7133" s="740"/>
    </row>
    <row r="7134" ht="14.25" customHeight="1">
      <c r="A7134" s="740"/>
    </row>
    <row r="7135" ht="14.25" customHeight="1">
      <c r="A7135" s="740"/>
    </row>
    <row r="7136" ht="14.25" customHeight="1">
      <c r="A7136" s="740"/>
    </row>
    <row r="7137" ht="14.25" customHeight="1">
      <c r="A7137" s="740"/>
    </row>
    <row r="7138" ht="14.25" customHeight="1">
      <c r="A7138" s="740"/>
    </row>
    <row r="7139" ht="14.25" customHeight="1">
      <c r="A7139" s="740"/>
    </row>
    <row r="7140" ht="14.25" customHeight="1">
      <c r="A7140" s="740"/>
    </row>
    <row r="7141" ht="14.25" customHeight="1">
      <c r="A7141" s="740"/>
    </row>
    <row r="7142" ht="14.25" customHeight="1">
      <c r="A7142" s="740"/>
    </row>
    <row r="7143" ht="14.25" customHeight="1">
      <c r="A7143" s="740"/>
    </row>
    <row r="7144" ht="14.25" customHeight="1">
      <c r="A7144" s="740"/>
    </row>
    <row r="7145" ht="14.25" customHeight="1">
      <c r="A7145" s="740"/>
    </row>
    <row r="7146" ht="14.25" customHeight="1">
      <c r="A7146" s="740"/>
    </row>
    <row r="7147" ht="14.25" customHeight="1">
      <c r="A7147" s="740"/>
    </row>
    <row r="7148" ht="14.25" customHeight="1">
      <c r="A7148" s="740"/>
    </row>
    <row r="7149" ht="14.25" customHeight="1">
      <c r="A7149" s="740"/>
    </row>
    <row r="7150" ht="14.25" customHeight="1">
      <c r="A7150" s="740"/>
    </row>
    <row r="7151" ht="14.25" customHeight="1">
      <c r="A7151" s="740"/>
    </row>
    <row r="7152" ht="14.25" customHeight="1">
      <c r="A7152" s="740"/>
    </row>
    <row r="7153" ht="14.25" customHeight="1">
      <c r="A7153" s="740"/>
    </row>
    <row r="7154" ht="14.25" customHeight="1">
      <c r="A7154" s="740"/>
    </row>
    <row r="7155" ht="14.25" customHeight="1">
      <c r="A7155" s="740"/>
    </row>
    <row r="7156" ht="14.25" customHeight="1">
      <c r="A7156" s="740"/>
    </row>
    <row r="7157" ht="14.25" customHeight="1">
      <c r="A7157" s="740"/>
    </row>
    <row r="7158" ht="14.25" customHeight="1">
      <c r="A7158" s="740"/>
    </row>
    <row r="7159" ht="14.25" customHeight="1">
      <c r="A7159" s="740"/>
    </row>
    <row r="7160" ht="14.25" customHeight="1">
      <c r="A7160" s="740"/>
    </row>
    <row r="7161" ht="14.25" customHeight="1">
      <c r="A7161" s="740"/>
    </row>
    <row r="7162" ht="14.25" customHeight="1">
      <c r="A7162" s="740"/>
    </row>
    <row r="7163" ht="14.25" customHeight="1">
      <c r="A7163" s="740"/>
    </row>
    <row r="7164" ht="14.25" customHeight="1">
      <c r="A7164" s="740"/>
    </row>
    <row r="7165" ht="14.25" customHeight="1">
      <c r="A7165" s="740"/>
    </row>
    <row r="7166" ht="14.25" customHeight="1">
      <c r="A7166" s="740"/>
    </row>
    <row r="7167" ht="14.25" customHeight="1">
      <c r="A7167" s="740"/>
    </row>
    <row r="7168" ht="14.25" customHeight="1">
      <c r="A7168" s="740"/>
    </row>
    <row r="7169" ht="14.25" customHeight="1">
      <c r="A7169" s="740"/>
    </row>
    <row r="7170" ht="14.25" customHeight="1">
      <c r="A7170" s="740"/>
    </row>
    <row r="7171" ht="14.25" customHeight="1">
      <c r="A7171" s="740"/>
    </row>
    <row r="7172" ht="14.25" customHeight="1">
      <c r="A7172" s="740"/>
    </row>
    <row r="7173" ht="14.25" customHeight="1">
      <c r="A7173" s="740"/>
    </row>
    <row r="7174" ht="14.25" customHeight="1">
      <c r="A7174" s="740"/>
    </row>
    <row r="7175" ht="14.25" customHeight="1">
      <c r="A7175" s="740"/>
    </row>
    <row r="7176" ht="14.25" customHeight="1">
      <c r="A7176" s="740"/>
    </row>
    <row r="7177" ht="14.25" customHeight="1">
      <c r="A7177" s="740"/>
    </row>
    <row r="7178" ht="14.25" customHeight="1">
      <c r="A7178" s="740"/>
    </row>
    <row r="7179" ht="14.25" customHeight="1">
      <c r="A7179" s="740"/>
    </row>
    <row r="7180" ht="14.25" customHeight="1">
      <c r="A7180" s="740"/>
    </row>
    <row r="7181" ht="14.25" customHeight="1">
      <c r="A7181" s="740"/>
    </row>
    <row r="7182" ht="14.25" customHeight="1">
      <c r="A7182" s="740"/>
    </row>
    <row r="7183" ht="14.25" customHeight="1">
      <c r="A7183" s="740"/>
    </row>
    <row r="7184" ht="14.25" customHeight="1">
      <c r="A7184" s="740"/>
    </row>
    <row r="7185" ht="14.25" customHeight="1">
      <c r="A7185" s="740"/>
    </row>
    <row r="7186" ht="14.25" customHeight="1">
      <c r="A7186" s="740"/>
    </row>
    <row r="7187" ht="14.25" customHeight="1">
      <c r="A7187" s="740"/>
    </row>
    <row r="7188" ht="14.25" customHeight="1">
      <c r="A7188" s="740"/>
    </row>
    <row r="7189" ht="14.25" customHeight="1">
      <c r="A7189" s="740"/>
    </row>
    <row r="7190" ht="14.25" customHeight="1">
      <c r="A7190" s="740"/>
    </row>
    <row r="7191" ht="14.25" customHeight="1">
      <c r="A7191" s="740"/>
    </row>
    <row r="7192" ht="14.25" customHeight="1">
      <c r="A7192" s="740"/>
    </row>
    <row r="7193" ht="14.25" customHeight="1">
      <c r="A7193" s="740"/>
    </row>
    <row r="7194" ht="14.25" customHeight="1">
      <c r="A7194" s="740"/>
    </row>
    <row r="7195" ht="14.25" customHeight="1">
      <c r="A7195" s="740"/>
    </row>
    <row r="7196" ht="14.25" customHeight="1">
      <c r="A7196" s="740"/>
    </row>
    <row r="7197" ht="14.25" customHeight="1">
      <c r="A7197" s="740"/>
    </row>
    <row r="7198" ht="14.25" customHeight="1">
      <c r="A7198" s="740"/>
    </row>
    <row r="7199" ht="14.25" customHeight="1">
      <c r="A7199" s="740"/>
    </row>
    <row r="7200" ht="14.25" customHeight="1">
      <c r="A7200" s="740"/>
    </row>
    <row r="7201" ht="14.25" customHeight="1">
      <c r="A7201" s="740"/>
    </row>
    <row r="7202" ht="14.25" customHeight="1">
      <c r="A7202" s="740"/>
    </row>
    <row r="7203" ht="14.25" customHeight="1">
      <c r="A7203" s="740"/>
    </row>
    <row r="7204" ht="14.25" customHeight="1">
      <c r="A7204" s="740"/>
    </row>
    <row r="7205" ht="14.25" customHeight="1">
      <c r="A7205" s="740"/>
    </row>
    <row r="7206" ht="14.25" customHeight="1">
      <c r="A7206" s="740"/>
    </row>
    <row r="7207" ht="14.25" customHeight="1">
      <c r="A7207" s="740"/>
    </row>
    <row r="7208" ht="14.25" customHeight="1">
      <c r="A7208" s="740"/>
    </row>
    <row r="7209" ht="14.25" customHeight="1">
      <c r="A7209" s="740"/>
    </row>
    <row r="7210" ht="14.25" customHeight="1">
      <c r="A7210" s="740"/>
    </row>
    <row r="7211" ht="14.25" customHeight="1">
      <c r="A7211" s="740"/>
    </row>
    <row r="7212" ht="14.25" customHeight="1">
      <c r="A7212" s="740"/>
    </row>
    <row r="7213" ht="14.25" customHeight="1">
      <c r="A7213" s="740"/>
    </row>
    <row r="7214" ht="14.25" customHeight="1">
      <c r="A7214" s="740"/>
    </row>
    <row r="7215" ht="14.25" customHeight="1">
      <c r="A7215" s="740"/>
    </row>
    <row r="7216" ht="14.25" customHeight="1">
      <c r="A7216" s="740"/>
    </row>
    <row r="7217" ht="14.25" customHeight="1">
      <c r="A7217" s="740"/>
    </row>
    <row r="7218" ht="14.25" customHeight="1">
      <c r="A7218" s="740"/>
    </row>
    <row r="7219" ht="14.25" customHeight="1">
      <c r="A7219" s="740"/>
    </row>
    <row r="7220" ht="14.25" customHeight="1">
      <c r="A7220" s="740"/>
    </row>
    <row r="7221" ht="14.25" customHeight="1">
      <c r="A7221" s="740"/>
    </row>
    <row r="7222" ht="14.25" customHeight="1">
      <c r="A7222" s="740"/>
    </row>
    <row r="7223" ht="14.25" customHeight="1">
      <c r="A7223" s="740"/>
    </row>
    <row r="7224" ht="14.25" customHeight="1">
      <c r="A7224" s="740"/>
    </row>
    <row r="7225" ht="14.25" customHeight="1">
      <c r="A7225" s="740"/>
    </row>
    <row r="7226" ht="14.25" customHeight="1">
      <c r="A7226" s="740"/>
    </row>
    <row r="7227" ht="14.25" customHeight="1">
      <c r="A7227" s="740"/>
    </row>
    <row r="7228" ht="14.25" customHeight="1">
      <c r="A7228" s="740"/>
    </row>
    <row r="7229" ht="14.25" customHeight="1">
      <c r="A7229" s="740"/>
    </row>
    <row r="7230" ht="14.25" customHeight="1">
      <c r="A7230" s="740"/>
    </row>
    <row r="7231" ht="14.25" customHeight="1">
      <c r="A7231" s="740"/>
    </row>
    <row r="7232" ht="14.25" customHeight="1">
      <c r="A7232" s="740"/>
    </row>
    <row r="7233" ht="14.25" customHeight="1">
      <c r="A7233" s="740"/>
    </row>
    <row r="7234" ht="14.25" customHeight="1">
      <c r="A7234" s="740"/>
    </row>
    <row r="7235" ht="14.25" customHeight="1">
      <c r="A7235" s="740"/>
    </row>
    <row r="7236" ht="14.25" customHeight="1">
      <c r="A7236" s="740"/>
    </row>
    <row r="7237" ht="14.25" customHeight="1">
      <c r="A7237" s="740"/>
    </row>
    <row r="7238" ht="14.25" customHeight="1">
      <c r="A7238" s="740"/>
    </row>
    <row r="7239" ht="14.25" customHeight="1">
      <c r="A7239" s="740"/>
    </row>
    <row r="7240" ht="14.25" customHeight="1">
      <c r="A7240" s="740"/>
    </row>
    <row r="7241" ht="14.25" customHeight="1">
      <c r="A7241" s="740"/>
    </row>
    <row r="7242" ht="14.25" customHeight="1">
      <c r="A7242" s="740"/>
    </row>
    <row r="7243" ht="14.25" customHeight="1">
      <c r="A7243" s="740"/>
    </row>
    <row r="7244" ht="14.25" customHeight="1">
      <c r="A7244" s="740"/>
    </row>
    <row r="7245" ht="14.25" customHeight="1">
      <c r="A7245" s="740"/>
    </row>
    <row r="7246" ht="14.25" customHeight="1">
      <c r="A7246" s="740"/>
    </row>
    <row r="7247" ht="14.25" customHeight="1">
      <c r="A7247" s="740"/>
    </row>
    <row r="7248" ht="14.25" customHeight="1">
      <c r="A7248" s="740"/>
    </row>
    <row r="7249" ht="14.25" customHeight="1">
      <c r="A7249" s="740"/>
    </row>
    <row r="7250" ht="14.25" customHeight="1">
      <c r="A7250" s="740"/>
    </row>
    <row r="7251" ht="14.25" customHeight="1">
      <c r="A7251" s="740"/>
    </row>
    <row r="7252" ht="14.25" customHeight="1">
      <c r="A7252" s="740"/>
    </row>
    <row r="7253" ht="14.25" customHeight="1">
      <c r="A7253" s="740"/>
    </row>
    <row r="7254" ht="14.25" customHeight="1">
      <c r="A7254" s="740"/>
    </row>
    <row r="7255" ht="14.25" customHeight="1">
      <c r="A7255" s="740"/>
    </row>
    <row r="7256" ht="14.25" customHeight="1">
      <c r="A7256" s="740"/>
    </row>
    <row r="7257" ht="14.25" customHeight="1">
      <c r="A7257" s="740"/>
    </row>
    <row r="7258" ht="14.25" customHeight="1">
      <c r="A7258" s="740"/>
    </row>
    <row r="7259" ht="14.25" customHeight="1">
      <c r="A7259" s="740"/>
    </row>
    <row r="7260" ht="14.25" customHeight="1">
      <c r="A7260" s="740"/>
    </row>
    <row r="7261" ht="14.25" customHeight="1">
      <c r="A7261" s="740"/>
    </row>
    <row r="7262" ht="14.25" customHeight="1">
      <c r="A7262" s="740"/>
    </row>
    <row r="7263" ht="14.25" customHeight="1">
      <c r="A7263" s="740"/>
    </row>
    <row r="7264" ht="14.25" customHeight="1">
      <c r="A7264" s="740"/>
    </row>
    <row r="7265" ht="14.25" customHeight="1">
      <c r="A7265" s="740"/>
    </row>
    <row r="7266" ht="14.25" customHeight="1">
      <c r="A7266" s="740"/>
    </row>
    <row r="7267" ht="14.25" customHeight="1">
      <c r="A7267" s="740"/>
    </row>
    <row r="7268" ht="14.25" customHeight="1">
      <c r="A7268" s="740"/>
    </row>
    <row r="7269" ht="14.25" customHeight="1">
      <c r="A7269" s="740"/>
    </row>
    <row r="7270" ht="14.25" customHeight="1">
      <c r="A7270" s="740"/>
    </row>
    <row r="7271" ht="14.25" customHeight="1">
      <c r="A7271" s="740"/>
    </row>
    <row r="7272" ht="14.25" customHeight="1">
      <c r="A7272" s="740"/>
    </row>
    <row r="7273" ht="14.25" customHeight="1">
      <c r="A7273" s="740"/>
    </row>
    <row r="7274" ht="14.25" customHeight="1">
      <c r="A7274" s="740"/>
    </row>
    <row r="7275" ht="14.25" customHeight="1">
      <c r="A7275" s="740"/>
    </row>
    <row r="7276" ht="14.25" customHeight="1">
      <c r="A7276" s="740"/>
    </row>
    <row r="7277" ht="14.25" customHeight="1">
      <c r="A7277" s="740"/>
    </row>
    <row r="7278" ht="14.25" customHeight="1">
      <c r="A7278" s="740"/>
    </row>
    <row r="7279" ht="14.25" customHeight="1">
      <c r="A7279" s="740"/>
    </row>
    <row r="7280" ht="14.25" customHeight="1">
      <c r="A7280" s="740"/>
    </row>
    <row r="7281" ht="14.25" customHeight="1">
      <c r="A7281" s="740"/>
    </row>
    <row r="7282" ht="14.25" customHeight="1">
      <c r="A7282" s="740"/>
    </row>
    <row r="7283" ht="14.25" customHeight="1">
      <c r="A7283" s="740"/>
    </row>
    <row r="7284" ht="14.25" customHeight="1">
      <c r="A7284" s="740"/>
    </row>
    <row r="7285" ht="14.25" customHeight="1">
      <c r="A7285" s="740"/>
    </row>
    <row r="7286" ht="14.25" customHeight="1">
      <c r="A7286" s="740"/>
    </row>
    <row r="7287" ht="14.25" customHeight="1">
      <c r="A7287" s="740"/>
    </row>
    <row r="7288" ht="14.25" customHeight="1">
      <c r="A7288" s="740"/>
    </row>
    <row r="7289" ht="14.25" customHeight="1">
      <c r="A7289" s="740"/>
    </row>
    <row r="7290" ht="14.25" customHeight="1">
      <c r="A7290" s="740"/>
    </row>
    <row r="7291" ht="14.25" customHeight="1">
      <c r="A7291" s="740"/>
    </row>
    <row r="7292" ht="14.25" customHeight="1">
      <c r="A7292" s="740"/>
    </row>
    <row r="7293" ht="14.25" customHeight="1">
      <c r="A7293" s="740"/>
    </row>
    <row r="7294" ht="14.25" customHeight="1">
      <c r="A7294" s="740"/>
    </row>
    <row r="7295" ht="14.25" customHeight="1">
      <c r="A7295" s="740"/>
    </row>
    <row r="7296" ht="14.25" customHeight="1">
      <c r="A7296" s="740"/>
    </row>
    <row r="7297" ht="14.25" customHeight="1">
      <c r="A7297" s="740"/>
    </row>
    <row r="7298" ht="14.25" customHeight="1">
      <c r="A7298" s="740"/>
    </row>
    <row r="7299" ht="14.25" customHeight="1">
      <c r="A7299" s="740"/>
    </row>
    <row r="7300" ht="14.25" customHeight="1">
      <c r="A7300" s="740"/>
    </row>
    <row r="7301" ht="14.25" customHeight="1">
      <c r="A7301" s="740"/>
    </row>
    <row r="7302" ht="14.25" customHeight="1">
      <c r="A7302" s="740"/>
    </row>
    <row r="7303" ht="14.25" customHeight="1">
      <c r="A7303" s="740"/>
    </row>
    <row r="7304" ht="14.25" customHeight="1">
      <c r="A7304" s="740"/>
    </row>
    <row r="7305" ht="14.25" customHeight="1">
      <c r="A7305" s="740"/>
    </row>
    <row r="7306" ht="14.25" customHeight="1">
      <c r="A7306" s="740"/>
    </row>
    <row r="7307" ht="14.25" customHeight="1">
      <c r="A7307" s="740"/>
    </row>
    <row r="7308" ht="14.25" customHeight="1">
      <c r="A7308" s="740"/>
    </row>
    <row r="7309" ht="14.25" customHeight="1">
      <c r="A7309" s="740"/>
    </row>
    <row r="7310" ht="14.25" customHeight="1">
      <c r="A7310" s="740"/>
    </row>
    <row r="7311" ht="14.25" customHeight="1">
      <c r="A7311" s="740"/>
    </row>
    <row r="7312" ht="14.25" customHeight="1">
      <c r="A7312" s="740"/>
    </row>
    <row r="7313" ht="14.25" customHeight="1">
      <c r="A7313" s="740"/>
    </row>
    <row r="7314" ht="14.25" customHeight="1">
      <c r="A7314" s="740"/>
    </row>
    <row r="7315" ht="14.25" customHeight="1">
      <c r="A7315" s="740"/>
    </row>
    <row r="7316" ht="14.25" customHeight="1">
      <c r="A7316" s="740"/>
    </row>
    <row r="7317" ht="14.25" customHeight="1">
      <c r="A7317" s="740"/>
    </row>
    <row r="7318" ht="14.25" customHeight="1">
      <c r="A7318" s="740"/>
    </row>
    <row r="7319" ht="14.25" customHeight="1">
      <c r="A7319" s="740"/>
    </row>
    <row r="7320" ht="14.25" customHeight="1">
      <c r="A7320" s="740"/>
    </row>
    <row r="7321" ht="14.25" customHeight="1">
      <c r="A7321" s="740"/>
    </row>
    <row r="7322" ht="14.25" customHeight="1">
      <c r="A7322" s="740"/>
    </row>
    <row r="7323" ht="14.25" customHeight="1">
      <c r="A7323" s="740"/>
    </row>
    <row r="7324" ht="14.25" customHeight="1">
      <c r="A7324" s="740"/>
    </row>
    <row r="7325" ht="14.25" customHeight="1">
      <c r="A7325" s="740"/>
    </row>
    <row r="7326" ht="14.25" customHeight="1">
      <c r="A7326" s="740"/>
    </row>
    <row r="7327" ht="14.25" customHeight="1">
      <c r="A7327" s="740"/>
    </row>
    <row r="7328" ht="14.25" customHeight="1">
      <c r="A7328" s="740"/>
    </row>
    <row r="7329" ht="14.25" customHeight="1">
      <c r="A7329" s="740"/>
    </row>
    <row r="7330" ht="14.25" customHeight="1">
      <c r="A7330" s="740"/>
    </row>
    <row r="7331" ht="14.25" customHeight="1">
      <c r="A7331" s="740"/>
    </row>
    <row r="7332" ht="14.25" customHeight="1">
      <c r="A7332" s="740"/>
    </row>
    <row r="7333" ht="14.25" customHeight="1">
      <c r="A7333" s="740"/>
    </row>
    <row r="7334" ht="14.25" customHeight="1">
      <c r="A7334" s="740"/>
    </row>
    <row r="7335" ht="14.25" customHeight="1">
      <c r="A7335" s="740"/>
    </row>
    <row r="7336" ht="14.25" customHeight="1">
      <c r="A7336" s="740"/>
    </row>
    <row r="7337" ht="14.25" customHeight="1">
      <c r="A7337" s="740"/>
    </row>
    <row r="7338" ht="14.25" customHeight="1">
      <c r="A7338" s="740"/>
    </row>
    <row r="7339" ht="14.25" customHeight="1">
      <c r="A7339" s="740"/>
    </row>
    <row r="7340" ht="14.25" customHeight="1">
      <c r="A7340" s="740"/>
    </row>
    <row r="7341" ht="14.25" customHeight="1">
      <c r="A7341" s="740"/>
    </row>
    <row r="7342" ht="14.25" customHeight="1">
      <c r="A7342" s="740"/>
    </row>
    <row r="7343" ht="14.25" customHeight="1">
      <c r="A7343" s="740"/>
    </row>
    <row r="7344" ht="14.25" customHeight="1">
      <c r="A7344" s="740"/>
    </row>
    <row r="7345" ht="14.25" customHeight="1">
      <c r="A7345" s="740"/>
    </row>
    <row r="7346" ht="14.25" customHeight="1">
      <c r="A7346" s="740"/>
    </row>
    <row r="7347" ht="14.25" customHeight="1">
      <c r="A7347" s="740"/>
    </row>
    <row r="7348" ht="14.25" customHeight="1">
      <c r="A7348" s="740"/>
    </row>
    <row r="7349" ht="14.25" customHeight="1">
      <c r="A7349" s="740"/>
    </row>
    <row r="7350" ht="14.25" customHeight="1">
      <c r="A7350" s="740"/>
    </row>
    <row r="7351" ht="14.25" customHeight="1">
      <c r="A7351" s="740"/>
    </row>
    <row r="7352" ht="14.25" customHeight="1">
      <c r="A7352" s="740"/>
    </row>
    <row r="7353" ht="14.25" customHeight="1">
      <c r="A7353" s="740"/>
    </row>
    <row r="7354" ht="14.25" customHeight="1">
      <c r="A7354" s="740"/>
    </row>
    <row r="7355" ht="14.25" customHeight="1">
      <c r="A7355" s="740"/>
    </row>
    <row r="7356" ht="14.25" customHeight="1">
      <c r="A7356" s="740"/>
    </row>
    <row r="7357" ht="14.25" customHeight="1">
      <c r="A7357" s="740"/>
    </row>
    <row r="7358" ht="14.25" customHeight="1">
      <c r="A7358" s="740"/>
    </row>
    <row r="7359" ht="14.25" customHeight="1">
      <c r="A7359" s="740"/>
    </row>
    <row r="7360" ht="14.25" customHeight="1">
      <c r="A7360" s="740"/>
    </row>
    <row r="7361" ht="14.25" customHeight="1">
      <c r="A7361" s="740"/>
    </row>
    <row r="7362" ht="14.25" customHeight="1">
      <c r="A7362" s="740"/>
    </row>
    <row r="7363" ht="14.25" customHeight="1">
      <c r="A7363" s="740"/>
    </row>
    <row r="7364" ht="14.25" customHeight="1">
      <c r="A7364" s="740"/>
    </row>
    <row r="7365" ht="14.25" customHeight="1">
      <c r="A7365" s="740"/>
    </row>
    <row r="7366" ht="14.25" customHeight="1">
      <c r="A7366" s="740"/>
    </row>
    <row r="7367" ht="14.25" customHeight="1">
      <c r="A7367" s="740"/>
    </row>
    <row r="7368" ht="14.25" customHeight="1">
      <c r="A7368" s="740"/>
    </row>
    <row r="7369" ht="14.25" customHeight="1">
      <c r="A7369" s="740"/>
    </row>
    <row r="7370" ht="14.25" customHeight="1">
      <c r="A7370" s="740"/>
    </row>
    <row r="7371" ht="14.25" customHeight="1">
      <c r="A7371" s="740"/>
    </row>
    <row r="7372" ht="14.25" customHeight="1">
      <c r="A7372" s="740"/>
    </row>
    <row r="7373" ht="14.25" customHeight="1">
      <c r="A7373" s="740"/>
    </row>
    <row r="7374" ht="14.25" customHeight="1">
      <c r="A7374" s="740"/>
    </row>
    <row r="7375" ht="14.25" customHeight="1">
      <c r="A7375" s="740"/>
    </row>
    <row r="7376" ht="14.25" customHeight="1">
      <c r="A7376" s="740"/>
    </row>
    <row r="7377" ht="14.25" customHeight="1">
      <c r="A7377" s="740"/>
    </row>
    <row r="7378" ht="14.25" customHeight="1">
      <c r="A7378" s="740"/>
    </row>
    <row r="7379" ht="14.25" customHeight="1">
      <c r="A7379" s="740"/>
    </row>
    <row r="7380" ht="14.25" customHeight="1">
      <c r="A7380" s="740"/>
    </row>
    <row r="7381" ht="14.25" customHeight="1">
      <c r="A7381" s="740"/>
    </row>
    <row r="7382" ht="14.25" customHeight="1">
      <c r="A7382" s="740"/>
    </row>
    <row r="7383" ht="14.25" customHeight="1">
      <c r="A7383" s="740"/>
    </row>
    <row r="7384" ht="14.25" customHeight="1">
      <c r="A7384" s="740"/>
    </row>
    <row r="7385" ht="14.25" customHeight="1">
      <c r="A7385" s="740"/>
    </row>
    <row r="7386" ht="14.25" customHeight="1">
      <c r="A7386" s="740"/>
    </row>
    <row r="7387" ht="14.25" customHeight="1">
      <c r="A7387" s="740"/>
    </row>
    <row r="7388" ht="14.25" customHeight="1">
      <c r="A7388" s="740"/>
    </row>
    <row r="7389" ht="14.25" customHeight="1">
      <c r="A7389" s="740"/>
    </row>
    <row r="7390" ht="14.25" customHeight="1">
      <c r="A7390" s="740"/>
    </row>
    <row r="7391" ht="14.25" customHeight="1">
      <c r="A7391" s="740"/>
    </row>
    <row r="7392" ht="14.25" customHeight="1">
      <c r="A7392" s="740"/>
    </row>
    <row r="7393" ht="14.25" customHeight="1">
      <c r="A7393" s="740"/>
    </row>
    <row r="7394" ht="14.25" customHeight="1">
      <c r="A7394" s="740"/>
    </row>
    <row r="7395" ht="14.25" customHeight="1">
      <c r="A7395" s="740"/>
    </row>
    <row r="7396" ht="14.25" customHeight="1">
      <c r="A7396" s="740"/>
    </row>
    <row r="7397" ht="14.25" customHeight="1">
      <c r="A7397" s="740"/>
    </row>
    <row r="7398" ht="14.25" customHeight="1">
      <c r="A7398" s="740"/>
    </row>
    <row r="7399" ht="14.25" customHeight="1">
      <c r="A7399" s="740"/>
    </row>
    <row r="7400" ht="14.25" customHeight="1">
      <c r="A7400" s="740"/>
    </row>
    <row r="7401" ht="14.25" customHeight="1">
      <c r="A7401" s="740"/>
    </row>
    <row r="7402" ht="14.25" customHeight="1">
      <c r="A7402" s="740"/>
    </row>
    <row r="7403" ht="14.25" customHeight="1">
      <c r="A7403" s="740"/>
    </row>
    <row r="7404" ht="14.25" customHeight="1">
      <c r="A7404" s="740"/>
    </row>
    <row r="7405" ht="14.25" customHeight="1">
      <c r="A7405" s="740"/>
    </row>
    <row r="7406" ht="14.25" customHeight="1">
      <c r="A7406" s="740"/>
    </row>
    <row r="7407" ht="14.25" customHeight="1">
      <c r="A7407" s="740"/>
    </row>
    <row r="7408" ht="14.25" customHeight="1">
      <c r="A7408" s="740"/>
    </row>
    <row r="7409" ht="14.25" customHeight="1">
      <c r="A7409" s="740"/>
    </row>
    <row r="7410" ht="14.25" customHeight="1">
      <c r="A7410" s="740"/>
    </row>
    <row r="7411" ht="14.25" customHeight="1">
      <c r="A7411" s="740"/>
    </row>
    <row r="7412" ht="14.25" customHeight="1">
      <c r="A7412" s="740"/>
    </row>
    <row r="7413" ht="14.25" customHeight="1">
      <c r="A7413" s="740"/>
    </row>
    <row r="7414" ht="14.25" customHeight="1">
      <c r="A7414" s="740"/>
    </row>
    <row r="7415" ht="14.25" customHeight="1">
      <c r="A7415" s="740"/>
    </row>
    <row r="7416" ht="14.25" customHeight="1">
      <c r="A7416" s="740"/>
    </row>
    <row r="7417" ht="14.25" customHeight="1">
      <c r="A7417" s="740"/>
    </row>
    <row r="7418" ht="14.25" customHeight="1">
      <c r="A7418" s="740"/>
    </row>
    <row r="7419" ht="14.25" customHeight="1">
      <c r="A7419" s="740"/>
    </row>
    <row r="7420" ht="14.25" customHeight="1">
      <c r="A7420" s="740"/>
    </row>
    <row r="7421" ht="14.25" customHeight="1">
      <c r="A7421" s="740"/>
    </row>
    <row r="7422" ht="14.25" customHeight="1">
      <c r="A7422" s="740"/>
    </row>
    <row r="7423" ht="14.25" customHeight="1">
      <c r="A7423" s="740"/>
    </row>
    <row r="7424" ht="14.25" customHeight="1">
      <c r="A7424" s="740"/>
    </row>
    <row r="7425" ht="14.25" customHeight="1">
      <c r="A7425" s="740"/>
    </row>
    <row r="7426" ht="14.25" customHeight="1">
      <c r="A7426" s="740"/>
    </row>
    <row r="7427" ht="14.25" customHeight="1">
      <c r="A7427" s="740"/>
    </row>
    <row r="7428" ht="14.25" customHeight="1">
      <c r="A7428" s="740"/>
    </row>
    <row r="7429" ht="14.25" customHeight="1">
      <c r="A7429" s="740"/>
    </row>
    <row r="7430" ht="14.25" customHeight="1">
      <c r="A7430" s="740"/>
    </row>
    <row r="7431" ht="14.25" customHeight="1">
      <c r="A7431" s="740"/>
    </row>
    <row r="7432" ht="14.25" customHeight="1">
      <c r="A7432" s="740"/>
    </row>
    <row r="7433" ht="14.25" customHeight="1">
      <c r="A7433" s="740"/>
    </row>
    <row r="7434" ht="14.25" customHeight="1">
      <c r="A7434" s="740"/>
    </row>
    <row r="7435" ht="14.25" customHeight="1">
      <c r="A7435" s="740"/>
    </row>
    <row r="7436" ht="14.25" customHeight="1">
      <c r="A7436" s="740"/>
    </row>
    <row r="7437" ht="14.25" customHeight="1">
      <c r="A7437" s="740"/>
    </row>
    <row r="7438" ht="14.25" customHeight="1">
      <c r="A7438" s="740"/>
    </row>
    <row r="7439" ht="14.25" customHeight="1">
      <c r="A7439" s="740"/>
    </row>
    <row r="7440" ht="14.25" customHeight="1">
      <c r="A7440" s="740"/>
    </row>
    <row r="7441" ht="14.25" customHeight="1">
      <c r="A7441" s="740"/>
    </row>
    <row r="7442" ht="14.25" customHeight="1">
      <c r="A7442" s="740"/>
    </row>
    <row r="7443" ht="14.25" customHeight="1">
      <c r="A7443" s="740"/>
    </row>
    <row r="7444" ht="14.25" customHeight="1">
      <c r="A7444" s="740"/>
    </row>
    <row r="7445" ht="14.25" customHeight="1">
      <c r="A7445" s="740"/>
    </row>
    <row r="7446" ht="14.25" customHeight="1">
      <c r="A7446" s="740"/>
    </row>
    <row r="7447" ht="14.25" customHeight="1">
      <c r="A7447" s="740"/>
    </row>
    <row r="7448" ht="14.25" customHeight="1">
      <c r="A7448" s="740"/>
    </row>
    <row r="7449" ht="14.25" customHeight="1">
      <c r="A7449" s="740"/>
    </row>
    <row r="7450" ht="14.25" customHeight="1">
      <c r="A7450" s="740"/>
    </row>
    <row r="7451" ht="14.25" customHeight="1">
      <c r="A7451" s="740"/>
    </row>
    <row r="7452" ht="14.25" customHeight="1">
      <c r="A7452" s="740"/>
    </row>
    <row r="7453" ht="14.25" customHeight="1">
      <c r="A7453" s="740"/>
    </row>
    <row r="7454" ht="14.25" customHeight="1">
      <c r="A7454" s="740"/>
    </row>
    <row r="7455" ht="14.25" customHeight="1">
      <c r="A7455" s="740"/>
    </row>
    <row r="7456" ht="14.25" customHeight="1">
      <c r="A7456" s="740"/>
    </row>
    <row r="7457" ht="14.25" customHeight="1">
      <c r="A7457" s="740"/>
    </row>
    <row r="7458" ht="14.25" customHeight="1">
      <c r="A7458" s="740"/>
    </row>
    <row r="7459" ht="14.25" customHeight="1">
      <c r="A7459" s="740"/>
    </row>
    <row r="7460" ht="14.25" customHeight="1">
      <c r="A7460" s="740"/>
    </row>
    <row r="7461" ht="14.25" customHeight="1">
      <c r="A7461" s="740"/>
    </row>
    <row r="7462" ht="14.25" customHeight="1">
      <c r="A7462" s="740"/>
    </row>
    <row r="7463" ht="14.25" customHeight="1">
      <c r="A7463" s="740"/>
    </row>
    <row r="7464" ht="14.25" customHeight="1">
      <c r="A7464" s="740"/>
    </row>
    <row r="7465" ht="14.25" customHeight="1">
      <c r="A7465" s="740"/>
    </row>
    <row r="7466" ht="14.25" customHeight="1">
      <c r="A7466" s="740"/>
    </row>
    <row r="7467" ht="14.25" customHeight="1">
      <c r="A7467" s="740"/>
    </row>
    <row r="7468" ht="14.25" customHeight="1">
      <c r="A7468" s="740"/>
    </row>
    <row r="7469" ht="14.25" customHeight="1">
      <c r="A7469" s="740"/>
    </row>
    <row r="7470" ht="14.25" customHeight="1">
      <c r="A7470" s="740"/>
    </row>
    <row r="7471" ht="14.25" customHeight="1">
      <c r="A7471" s="740"/>
    </row>
    <row r="7472" ht="14.25" customHeight="1">
      <c r="A7472" s="740"/>
    </row>
    <row r="7473" ht="14.25" customHeight="1">
      <c r="A7473" s="740"/>
    </row>
    <row r="7474" ht="14.25" customHeight="1">
      <c r="A7474" s="740"/>
    </row>
    <row r="7475" ht="14.25" customHeight="1">
      <c r="A7475" s="740"/>
    </row>
    <row r="7476" ht="14.25" customHeight="1">
      <c r="A7476" s="740"/>
    </row>
    <row r="7477" ht="14.25" customHeight="1">
      <c r="A7477" s="740"/>
    </row>
    <row r="7478" ht="14.25" customHeight="1">
      <c r="A7478" s="740"/>
    </row>
    <row r="7479" ht="14.25" customHeight="1">
      <c r="A7479" s="740"/>
    </row>
    <row r="7480" ht="14.25" customHeight="1">
      <c r="A7480" s="740"/>
    </row>
    <row r="7481" ht="14.25" customHeight="1">
      <c r="A7481" s="740"/>
    </row>
    <row r="7482" ht="14.25" customHeight="1">
      <c r="A7482" s="740"/>
    </row>
    <row r="7483" ht="14.25" customHeight="1">
      <c r="A7483" s="740"/>
    </row>
    <row r="7484" ht="14.25" customHeight="1">
      <c r="A7484" s="740"/>
    </row>
    <row r="7485" ht="14.25" customHeight="1">
      <c r="A7485" s="740"/>
    </row>
    <row r="7486" ht="14.25" customHeight="1">
      <c r="A7486" s="740"/>
    </row>
    <row r="7487" ht="14.25" customHeight="1">
      <c r="A7487" s="740"/>
    </row>
    <row r="7488" ht="14.25" customHeight="1">
      <c r="A7488" s="740"/>
    </row>
    <row r="7489" ht="14.25" customHeight="1">
      <c r="A7489" s="740"/>
    </row>
    <row r="7490" ht="14.25" customHeight="1">
      <c r="A7490" s="740"/>
    </row>
    <row r="7491" ht="14.25" customHeight="1">
      <c r="A7491" s="740"/>
    </row>
    <row r="7492" ht="14.25" customHeight="1">
      <c r="A7492" s="740"/>
    </row>
    <row r="7493" ht="14.25" customHeight="1">
      <c r="A7493" s="740"/>
    </row>
    <row r="7494" ht="14.25" customHeight="1">
      <c r="A7494" s="740"/>
    </row>
    <row r="7495" ht="14.25" customHeight="1">
      <c r="A7495" s="740"/>
    </row>
    <row r="7496" ht="14.25" customHeight="1">
      <c r="A7496" s="740"/>
    </row>
    <row r="7497" ht="14.25" customHeight="1">
      <c r="A7497" s="740"/>
    </row>
    <row r="7498" ht="14.25" customHeight="1">
      <c r="A7498" s="740"/>
    </row>
    <row r="7499" ht="14.25" customHeight="1">
      <c r="A7499" s="740"/>
    </row>
    <row r="7500" ht="14.25" customHeight="1">
      <c r="A7500" s="740"/>
    </row>
    <row r="7501" ht="14.25" customHeight="1">
      <c r="A7501" s="740"/>
    </row>
    <row r="7502" ht="14.25" customHeight="1">
      <c r="A7502" s="740"/>
    </row>
    <row r="7503" ht="14.25" customHeight="1">
      <c r="A7503" s="740"/>
    </row>
    <row r="7504" ht="14.25" customHeight="1">
      <c r="A7504" s="740"/>
    </row>
    <row r="7505" ht="14.25" customHeight="1">
      <c r="A7505" s="740"/>
    </row>
    <row r="7506" ht="14.25" customHeight="1">
      <c r="A7506" s="740"/>
    </row>
    <row r="7507" ht="14.25" customHeight="1">
      <c r="A7507" s="740"/>
    </row>
    <row r="7508" ht="14.25" customHeight="1">
      <c r="A7508" s="740"/>
    </row>
    <row r="7509" ht="14.25" customHeight="1">
      <c r="A7509" s="740"/>
    </row>
    <row r="7510" ht="14.25" customHeight="1">
      <c r="A7510" s="740"/>
    </row>
    <row r="7511" ht="14.25" customHeight="1">
      <c r="A7511" s="740"/>
    </row>
    <row r="7512" ht="14.25" customHeight="1">
      <c r="A7512" s="740"/>
    </row>
    <row r="7513" ht="14.25" customHeight="1">
      <c r="A7513" s="740"/>
    </row>
    <row r="7514" ht="14.25" customHeight="1">
      <c r="A7514" s="740"/>
    </row>
    <row r="7515" ht="14.25" customHeight="1">
      <c r="A7515" s="740"/>
    </row>
    <row r="7516" ht="14.25" customHeight="1">
      <c r="A7516" s="740"/>
    </row>
    <row r="7517" ht="14.25" customHeight="1">
      <c r="A7517" s="740"/>
    </row>
    <row r="7518" ht="14.25" customHeight="1">
      <c r="A7518" s="740"/>
    </row>
    <row r="7519" ht="14.25" customHeight="1">
      <c r="A7519" s="740"/>
    </row>
    <row r="7520" ht="14.25" customHeight="1">
      <c r="A7520" s="740"/>
    </row>
    <row r="7521" ht="14.25" customHeight="1">
      <c r="A7521" s="740"/>
    </row>
    <row r="7522" ht="14.25" customHeight="1">
      <c r="A7522" s="740"/>
    </row>
    <row r="7523" ht="14.25" customHeight="1">
      <c r="A7523" s="740"/>
    </row>
    <row r="7524" ht="14.25" customHeight="1">
      <c r="A7524" s="740"/>
    </row>
    <row r="7525" ht="14.25" customHeight="1">
      <c r="A7525" s="740"/>
    </row>
    <row r="7526" ht="14.25" customHeight="1">
      <c r="A7526" s="740"/>
    </row>
    <row r="7527" ht="14.25" customHeight="1">
      <c r="A7527" s="740"/>
    </row>
    <row r="7528" ht="14.25" customHeight="1">
      <c r="A7528" s="740"/>
    </row>
    <row r="7529" ht="14.25" customHeight="1">
      <c r="A7529" s="740"/>
    </row>
    <row r="7530" ht="14.25" customHeight="1">
      <c r="A7530" s="740"/>
    </row>
    <row r="7531" ht="14.25" customHeight="1">
      <c r="A7531" s="740"/>
    </row>
    <row r="7532" ht="14.25" customHeight="1">
      <c r="A7532" s="740"/>
    </row>
    <row r="7533" ht="14.25" customHeight="1">
      <c r="A7533" s="740"/>
    </row>
    <row r="7534" ht="14.25" customHeight="1">
      <c r="A7534" s="740"/>
    </row>
    <row r="7535" ht="14.25" customHeight="1">
      <c r="A7535" s="740"/>
    </row>
    <row r="7536" ht="14.25" customHeight="1">
      <c r="A7536" s="740"/>
    </row>
    <row r="7537" ht="14.25" customHeight="1">
      <c r="A7537" s="740"/>
    </row>
    <row r="7538" ht="14.25" customHeight="1">
      <c r="A7538" s="740"/>
    </row>
    <row r="7539" ht="14.25" customHeight="1">
      <c r="A7539" s="740"/>
    </row>
    <row r="7540" ht="14.25" customHeight="1">
      <c r="A7540" s="740"/>
    </row>
    <row r="7541" ht="14.25" customHeight="1">
      <c r="A7541" s="740"/>
    </row>
    <row r="7542" ht="14.25" customHeight="1">
      <c r="A7542" s="740"/>
    </row>
    <row r="7543" ht="14.25" customHeight="1">
      <c r="A7543" s="740"/>
    </row>
    <row r="7544" ht="14.25" customHeight="1">
      <c r="A7544" s="740"/>
    </row>
    <row r="7545" ht="14.25" customHeight="1">
      <c r="A7545" s="740"/>
    </row>
    <row r="7546" ht="14.25" customHeight="1">
      <c r="A7546" s="740"/>
    </row>
    <row r="7547" ht="14.25" customHeight="1">
      <c r="A7547" s="740"/>
    </row>
    <row r="7548" ht="14.25" customHeight="1">
      <c r="A7548" s="740"/>
    </row>
    <row r="7549" ht="14.25" customHeight="1">
      <c r="A7549" s="740"/>
    </row>
    <row r="7550" ht="14.25" customHeight="1">
      <c r="A7550" s="740"/>
    </row>
    <row r="7551" ht="14.25" customHeight="1">
      <c r="A7551" s="740"/>
    </row>
    <row r="7552" ht="14.25" customHeight="1">
      <c r="A7552" s="740"/>
    </row>
    <row r="7553" ht="14.25" customHeight="1">
      <c r="A7553" s="740"/>
    </row>
    <row r="7554" ht="14.25" customHeight="1">
      <c r="A7554" s="740"/>
    </row>
    <row r="7555" ht="14.25" customHeight="1">
      <c r="A7555" s="740"/>
    </row>
    <row r="7556" ht="14.25" customHeight="1">
      <c r="A7556" s="740"/>
    </row>
    <row r="7557" ht="14.25" customHeight="1">
      <c r="A7557" s="740"/>
    </row>
    <row r="7558" ht="14.25" customHeight="1">
      <c r="A7558" s="740"/>
    </row>
    <row r="7559" ht="14.25" customHeight="1">
      <c r="A7559" s="740"/>
    </row>
    <row r="7560" ht="14.25" customHeight="1">
      <c r="A7560" s="740"/>
    </row>
    <row r="7561" ht="14.25" customHeight="1">
      <c r="A7561" s="740"/>
    </row>
    <row r="7562" ht="14.25" customHeight="1">
      <c r="A7562" s="740"/>
    </row>
    <row r="7563" ht="14.25" customHeight="1">
      <c r="A7563" s="740"/>
    </row>
    <row r="7564" ht="14.25" customHeight="1">
      <c r="A7564" s="740"/>
    </row>
    <row r="7565" ht="14.25" customHeight="1">
      <c r="A7565" s="740"/>
    </row>
    <row r="7566" ht="14.25" customHeight="1">
      <c r="A7566" s="740"/>
    </row>
    <row r="7567" ht="14.25" customHeight="1">
      <c r="A7567" s="740"/>
    </row>
    <row r="7568" ht="14.25" customHeight="1">
      <c r="A7568" s="740"/>
    </row>
    <row r="7569" ht="14.25" customHeight="1">
      <c r="A7569" s="740"/>
    </row>
    <row r="7570" ht="14.25" customHeight="1">
      <c r="A7570" s="740"/>
    </row>
    <row r="7571" ht="14.25" customHeight="1">
      <c r="A7571" s="740"/>
    </row>
    <row r="7572" ht="14.25" customHeight="1">
      <c r="A7572" s="740"/>
    </row>
    <row r="7573" ht="14.25" customHeight="1">
      <c r="A7573" s="740"/>
    </row>
    <row r="7574" ht="14.25" customHeight="1">
      <c r="A7574" s="740"/>
    </row>
    <row r="7575" ht="14.25" customHeight="1">
      <c r="A7575" s="740"/>
    </row>
    <row r="7576" ht="14.25" customHeight="1">
      <c r="A7576" s="740"/>
    </row>
    <row r="7577" ht="14.25" customHeight="1">
      <c r="A7577" s="740"/>
    </row>
    <row r="7578" ht="14.25" customHeight="1">
      <c r="A7578" s="740"/>
    </row>
    <row r="7579" ht="14.25" customHeight="1">
      <c r="A7579" s="740"/>
    </row>
    <row r="7580" ht="14.25" customHeight="1">
      <c r="A7580" s="740"/>
    </row>
    <row r="7581" ht="14.25" customHeight="1">
      <c r="A7581" s="740"/>
    </row>
    <row r="7582" ht="14.25" customHeight="1">
      <c r="A7582" s="740"/>
    </row>
    <row r="7583" ht="14.25" customHeight="1">
      <c r="A7583" s="740"/>
    </row>
    <row r="7584" ht="14.25" customHeight="1">
      <c r="A7584" s="740"/>
    </row>
    <row r="7585" ht="14.25" customHeight="1">
      <c r="A7585" s="740"/>
    </row>
    <row r="7586" ht="14.25" customHeight="1">
      <c r="A7586" s="740"/>
    </row>
    <row r="7587" ht="14.25" customHeight="1">
      <c r="A7587" s="740"/>
    </row>
    <row r="7588" ht="14.25" customHeight="1">
      <c r="A7588" s="740"/>
    </row>
    <row r="7589" ht="14.25" customHeight="1">
      <c r="A7589" s="740"/>
    </row>
    <row r="7590" ht="14.25" customHeight="1">
      <c r="A7590" s="740"/>
    </row>
    <row r="7591" ht="14.25" customHeight="1">
      <c r="A7591" s="740"/>
    </row>
    <row r="7592" ht="14.25" customHeight="1">
      <c r="A7592" s="740"/>
    </row>
    <row r="7593" ht="14.25" customHeight="1">
      <c r="A7593" s="740"/>
    </row>
    <row r="7594" ht="14.25" customHeight="1">
      <c r="A7594" s="740"/>
    </row>
    <row r="7595" ht="14.25" customHeight="1">
      <c r="A7595" s="740"/>
    </row>
    <row r="7596" ht="14.25" customHeight="1">
      <c r="A7596" s="740"/>
    </row>
    <row r="7597" ht="14.25" customHeight="1">
      <c r="A7597" s="740"/>
    </row>
    <row r="7598" ht="14.25" customHeight="1">
      <c r="A7598" s="740"/>
    </row>
    <row r="7599" ht="14.25" customHeight="1">
      <c r="A7599" s="740"/>
    </row>
    <row r="7600" ht="14.25" customHeight="1">
      <c r="A7600" s="740"/>
    </row>
    <row r="7601" ht="14.25" customHeight="1">
      <c r="A7601" s="740"/>
    </row>
    <row r="7602" ht="14.25" customHeight="1">
      <c r="A7602" s="740"/>
    </row>
    <row r="7603" ht="14.25" customHeight="1">
      <c r="A7603" s="740"/>
    </row>
    <row r="7604" ht="14.25" customHeight="1">
      <c r="A7604" s="740"/>
    </row>
    <row r="7605" ht="14.25" customHeight="1">
      <c r="A7605" s="740"/>
    </row>
    <row r="7606" ht="14.25" customHeight="1">
      <c r="A7606" s="740"/>
    </row>
    <row r="7607" ht="14.25" customHeight="1">
      <c r="A7607" s="740"/>
    </row>
    <row r="7608" ht="14.25" customHeight="1">
      <c r="A7608" s="740"/>
    </row>
    <row r="7609" ht="14.25" customHeight="1">
      <c r="A7609" s="740"/>
    </row>
    <row r="7610" ht="14.25" customHeight="1">
      <c r="A7610" s="740"/>
    </row>
    <row r="7611" ht="14.25" customHeight="1">
      <c r="A7611" s="740"/>
    </row>
    <row r="7612" ht="14.25" customHeight="1">
      <c r="A7612" s="740"/>
    </row>
    <row r="7613" ht="14.25" customHeight="1">
      <c r="A7613" s="740"/>
    </row>
    <row r="7614" ht="14.25" customHeight="1">
      <c r="A7614" s="740"/>
    </row>
    <row r="7615" ht="14.25" customHeight="1">
      <c r="A7615" s="740"/>
    </row>
    <row r="7616" ht="14.25" customHeight="1">
      <c r="A7616" s="740"/>
    </row>
    <row r="7617" ht="14.25" customHeight="1">
      <c r="A7617" s="740"/>
    </row>
    <row r="7618" ht="14.25" customHeight="1">
      <c r="A7618" s="740"/>
    </row>
    <row r="7619" ht="14.25" customHeight="1">
      <c r="A7619" s="740"/>
    </row>
    <row r="7620" ht="14.25" customHeight="1">
      <c r="A7620" s="740"/>
    </row>
    <row r="7621" ht="14.25" customHeight="1">
      <c r="A7621" s="740"/>
    </row>
    <row r="7622" ht="14.25" customHeight="1">
      <c r="A7622" s="740"/>
    </row>
    <row r="7623" ht="14.25" customHeight="1">
      <c r="A7623" s="740"/>
    </row>
    <row r="7624" ht="14.25" customHeight="1">
      <c r="A7624" s="740"/>
    </row>
    <row r="7625" ht="14.25" customHeight="1">
      <c r="A7625" s="740"/>
    </row>
    <row r="7626" ht="14.25" customHeight="1">
      <c r="A7626" s="740"/>
    </row>
    <row r="7627" ht="14.25" customHeight="1">
      <c r="A7627" s="740"/>
    </row>
    <row r="7628" ht="14.25" customHeight="1">
      <c r="A7628" s="740"/>
    </row>
    <row r="7629" ht="14.25" customHeight="1">
      <c r="A7629" s="740"/>
    </row>
    <row r="7630" ht="14.25" customHeight="1">
      <c r="A7630" s="740"/>
    </row>
    <row r="7631" ht="14.25" customHeight="1">
      <c r="A7631" s="740"/>
    </row>
    <row r="7632" ht="14.25" customHeight="1">
      <c r="A7632" s="740"/>
    </row>
    <row r="7633" ht="14.25" customHeight="1">
      <c r="A7633" s="740"/>
    </row>
    <row r="7634" ht="14.25" customHeight="1">
      <c r="A7634" s="740"/>
    </row>
    <row r="7635" ht="14.25" customHeight="1">
      <c r="A7635" s="740"/>
    </row>
    <row r="7636" ht="14.25" customHeight="1">
      <c r="A7636" s="740"/>
    </row>
    <row r="7637" ht="14.25" customHeight="1">
      <c r="A7637" s="740"/>
    </row>
    <row r="7638" ht="14.25" customHeight="1">
      <c r="A7638" s="740"/>
    </row>
    <row r="7639" ht="14.25" customHeight="1">
      <c r="A7639" s="740"/>
    </row>
    <row r="7640" ht="14.25" customHeight="1">
      <c r="A7640" s="740"/>
    </row>
    <row r="7641" ht="14.25" customHeight="1">
      <c r="A7641" s="740"/>
    </row>
    <row r="7642" ht="14.25" customHeight="1">
      <c r="A7642" s="740"/>
    </row>
    <row r="7643" ht="14.25" customHeight="1">
      <c r="A7643" s="740"/>
    </row>
    <row r="7644" ht="14.25" customHeight="1">
      <c r="A7644" s="740"/>
    </row>
    <row r="7645" ht="14.25" customHeight="1">
      <c r="A7645" s="740"/>
    </row>
    <row r="7646" ht="14.25" customHeight="1">
      <c r="A7646" s="740"/>
    </row>
    <row r="7647" ht="14.25" customHeight="1">
      <c r="A7647" s="740"/>
    </row>
    <row r="7648" ht="14.25" customHeight="1">
      <c r="A7648" s="740"/>
    </row>
    <row r="7649" ht="14.25" customHeight="1">
      <c r="A7649" s="740"/>
    </row>
    <row r="7650" ht="14.25" customHeight="1">
      <c r="A7650" s="740"/>
    </row>
    <row r="7651" ht="14.25" customHeight="1">
      <c r="A7651" s="740"/>
    </row>
    <row r="7652" ht="14.25" customHeight="1">
      <c r="A7652" s="740"/>
    </row>
    <row r="7653" ht="14.25" customHeight="1">
      <c r="A7653" s="740"/>
    </row>
    <row r="7654" ht="14.25" customHeight="1">
      <c r="A7654" s="740"/>
    </row>
    <row r="7655" ht="14.25" customHeight="1">
      <c r="A7655" s="740"/>
    </row>
    <row r="7656" ht="14.25" customHeight="1">
      <c r="A7656" s="740"/>
    </row>
    <row r="7657" ht="14.25" customHeight="1">
      <c r="A7657" s="740"/>
    </row>
    <row r="7658" ht="14.25" customHeight="1">
      <c r="A7658" s="740"/>
    </row>
    <row r="7659" ht="14.25" customHeight="1">
      <c r="A7659" s="740"/>
    </row>
    <row r="7660" ht="14.25" customHeight="1">
      <c r="A7660" s="740"/>
    </row>
    <row r="7661" ht="14.25" customHeight="1">
      <c r="A7661" s="740"/>
    </row>
    <row r="7662" ht="14.25" customHeight="1">
      <c r="A7662" s="740"/>
    </row>
    <row r="7663" ht="14.25" customHeight="1">
      <c r="A7663" s="740"/>
    </row>
    <row r="7664" ht="14.25" customHeight="1">
      <c r="A7664" s="740"/>
    </row>
    <row r="7665" ht="14.25" customHeight="1">
      <c r="A7665" s="740"/>
    </row>
    <row r="7666" ht="14.25" customHeight="1">
      <c r="A7666" s="740"/>
    </row>
    <row r="7667" ht="14.25" customHeight="1">
      <c r="A7667" s="740"/>
    </row>
    <row r="7668" ht="14.25" customHeight="1">
      <c r="A7668" s="740"/>
    </row>
    <row r="7669" ht="14.25" customHeight="1">
      <c r="A7669" s="740"/>
    </row>
    <row r="7670" ht="14.25" customHeight="1">
      <c r="A7670" s="740"/>
    </row>
    <row r="7671" ht="14.25" customHeight="1">
      <c r="A7671" s="740"/>
    </row>
    <row r="7672" ht="14.25" customHeight="1">
      <c r="A7672" s="740"/>
    </row>
    <row r="7673" ht="14.25" customHeight="1">
      <c r="A7673" s="740"/>
    </row>
    <row r="7674" ht="14.25" customHeight="1">
      <c r="A7674" s="740"/>
    </row>
    <row r="7675" ht="14.25" customHeight="1">
      <c r="A7675" s="740"/>
    </row>
    <row r="7676" ht="14.25" customHeight="1">
      <c r="A7676" s="740"/>
    </row>
    <row r="7677" ht="14.25" customHeight="1">
      <c r="A7677" s="740"/>
    </row>
    <row r="7678" ht="14.25" customHeight="1">
      <c r="A7678" s="740"/>
    </row>
    <row r="7679" ht="14.25" customHeight="1">
      <c r="A7679" s="740"/>
    </row>
    <row r="7680" ht="14.25" customHeight="1">
      <c r="A7680" s="740"/>
    </row>
    <row r="7681" ht="14.25" customHeight="1">
      <c r="A7681" s="740"/>
    </row>
    <row r="7682" ht="14.25" customHeight="1">
      <c r="A7682" s="740"/>
    </row>
    <row r="7683" ht="14.25" customHeight="1">
      <c r="A7683" s="740"/>
    </row>
    <row r="7684" ht="14.25" customHeight="1">
      <c r="A7684" s="740"/>
    </row>
    <row r="7685" ht="14.25" customHeight="1">
      <c r="A7685" s="740"/>
    </row>
    <row r="7686" ht="14.25" customHeight="1">
      <c r="A7686" s="740"/>
    </row>
    <row r="7687" ht="14.25" customHeight="1">
      <c r="A7687" s="740"/>
    </row>
    <row r="7688" ht="14.25" customHeight="1">
      <c r="A7688" s="740"/>
    </row>
    <row r="7689" ht="14.25" customHeight="1">
      <c r="A7689" s="740"/>
    </row>
    <row r="7690" ht="14.25" customHeight="1">
      <c r="A7690" s="740"/>
    </row>
    <row r="7691" ht="14.25" customHeight="1">
      <c r="A7691" s="740"/>
    </row>
    <row r="7692" ht="14.25" customHeight="1">
      <c r="A7692" s="740"/>
    </row>
    <row r="7693" ht="14.25" customHeight="1">
      <c r="A7693" s="740"/>
    </row>
    <row r="7694" ht="14.25" customHeight="1">
      <c r="A7694" s="740"/>
    </row>
    <row r="7695" ht="14.25" customHeight="1">
      <c r="A7695" s="740"/>
    </row>
    <row r="7696" ht="14.25" customHeight="1">
      <c r="A7696" s="740"/>
    </row>
    <row r="7697" ht="14.25" customHeight="1">
      <c r="A7697" s="740"/>
    </row>
    <row r="7698" ht="14.25" customHeight="1">
      <c r="A7698" s="740"/>
    </row>
    <row r="7699" ht="14.25" customHeight="1">
      <c r="A7699" s="740"/>
    </row>
    <row r="7700" ht="14.25" customHeight="1">
      <c r="A7700" s="740"/>
    </row>
    <row r="7701" ht="14.25" customHeight="1">
      <c r="A7701" s="740"/>
    </row>
    <row r="7702" ht="14.25" customHeight="1">
      <c r="A7702" s="740"/>
    </row>
    <row r="7703" ht="14.25" customHeight="1">
      <c r="A7703" s="740"/>
    </row>
    <row r="7704" ht="14.25" customHeight="1">
      <c r="A7704" s="740"/>
    </row>
    <row r="7705" ht="14.25" customHeight="1">
      <c r="A7705" s="740"/>
    </row>
    <row r="7706" ht="14.25" customHeight="1">
      <c r="A7706" s="740"/>
    </row>
    <row r="7707" ht="14.25" customHeight="1">
      <c r="A7707" s="740"/>
    </row>
    <row r="7708" ht="14.25" customHeight="1">
      <c r="A7708" s="740"/>
    </row>
    <row r="7709" ht="14.25" customHeight="1">
      <c r="A7709" s="740"/>
    </row>
    <row r="7710" ht="14.25" customHeight="1">
      <c r="A7710" s="740"/>
    </row>
    <row r="7711" ht="14.25" customHeight="1">
      <c r="A7711" s="740"/>
    </row>
    <row r="7712" ht="14.25" customHeight="1">
      <c r="A7712" s="740"/>
    </row>
    <row r="7713" ht="14.25" customHeight="1">
      <c r="A7713" s="740"/>
    </row>
    <row r="7714" ht="14.25" customHeight="1">
      <c r="A7714" s="740"/>
    </row>
    <row r="7715" ht="14.25" customHeight="1">
      <c r="A7715" s="740"/>
    </row>
    <row r="7716" ht="14.25" customHeight="1">
      <c r="A7716" s="740"/>
    </row>
    <row r="7717" ht="14.25" customHeight="1">
      <c r="A7717" s="740"/>
    </row>
    <row r="7718" ht="14.25" customHeight="1">
      <c r="A7718" s="740"/>
    </row>
    <row r="7719" ht="14.25" customHeight="1">
      <c r="A7719" s="740"/>
    </row>
    <row r="7720" ht="14.25" customHeight="1">
      <c r="A7720" s="740"/>
    </row>
    <row r="7721" ht="14.25" customHeight="1">
      <c r="A7721" s="740"/>
    </row>
    <row r="7722" ht="14.25" customHeight="1">
      <c r="A7722" s="740"/>
    </row>
    <row r="7723" ht="14.25" customHeight="1">
      <c r="A7723" s="740"/>
    </row>
    <row r="7724" ht="14.25" customHeight="1">
      <c r="A7724" s="740"/>
    </row>
    <row r="7725" ht="14.25" customHeight="1">
      <c r="A7725" s="740"/>
    </row>
    <row r="7726" ht="14.25" customHeight="1">
      <c r="A7726" s="740"/>
    </row>
    <row r="7727" ht="14.25" customHeight="1">
      <c r="A7727" s="740"/>
    </row>
    <row r="7728" ht="14.25" customHeight="1">
      <c r="A7728" s="740"/>
    </row>
    <row r="7729" ht="14.25" customHeight="1">
      <c r="A7729" s="740"/>
    </row>
    <row r="7730" ht="14.25" customHeight="1">
      <c r="A7730" s="740"/>
    </row>
    <row r="7731" ht="14.25" customHeight="1">
      <c r="A7731" s="740"/>
    </row>
    <row r="7732" ht="14.25" customHeight="1">
      <c r="A7732" s="740"/>
    </row>
    <row r="7733" ht="14.25" customHeight="1">
      <c r="A7733" s="740"/>
    </row>
    <row r="7734" ht="14.25" customHeight="1">
      <c r="A7734" s="740"/>
    </row>
    <row r="7735" ht="14.25" customHeight="1">
      <c r="A7735" s="740"/>
    </row>
    <row r="7736" ht="14.25" customHeight="1">
      <c r="A7736" s="740"/>
    </row>
    <row r="7737" ht="14.25" customHeight="1">
      <c r="A7737" s="740"/>
    </row>
    <row r="7738" ht="14.25" customHeight="1">
      <c r="A7738" s="740"/>
    </row>
    <row r="7739" ht="14.25" customHeight="1">
      <c r="A7739" s="740"/>
    </row>
    <row r="7740" ht="14.25" customHeight="1">
      <c r="A7740" s="740"/>
    </row>
    <row r="7741" ht="14.25" customHeight="1">
      <c r="A7741" s="740"/>
    </row>
    <row r="7742" ht="14.25" customHeight="1">
      <c r="A7742" s="740"/>
    </row>
    <row r="7743" ht="14.25" customHeight="1">
      <c r="A7743" s="740"/>
    </row>
    <row r="7744" ht="14.25" customHeight="1">
      <c r="A7744" s="740"/>
    </row>
    <row r="7745" ht="14.25" customHeight="1">
      <c r="A7745" s="740"/>
    </row>
    <row r="7746" ht="14.25" customHeight="1">
      <c r="A7746" s="740"/>
    </row>
    <row r="7747" ht="14.25" customHeight="1">
      <c r="A7747" s="740"/>
    </row>
    <row r="7748" ht="14.25" customHeight="1">
      <c r="A7748" s="740"/>
    </row>
    <row r="7749" ht="14.25" customHeight="1">
      <c r="A7749" s="740"/>
    </row>
    <row r="7750" ht="14.25" customHeight="1">
      <c r="A7750" s="740"/>
    </row>
    <row r="7751" ht="14.25" customHeight="1">
      <c r="A7751" s="740"/>
    </row>
    <row r="7752" ht="14.25" customHeight="1">
      <c r="A7752" s="740"/>
    </row>
    <row r="7753" ht="14.25" customHeight="1">
      <c r="A7753" s="740"/>
    </row>
    <row r="7754" ht="14.25" customHeight="1">
      <c r="A7754" s="740"/>
    </row>
    <row r="7755" ht="14.25" customHeight="1">
      <c r="A7755" s="740"/>
    </row>
    <row r="7756" ht="14.25" customHeight="1">
      <c r="A7756" s="740"/>
    </row>
    <row r="7757" ht="14.25" customHeight="1">
      <c r="A7757" s="740"/>
    </row>
    <row r="7758" ht="14.25" customHeight="1">
      <c r="A7758" s="740"/>
    </row>
    <row r="7759" ht="14.25" customHeight="1">
      <c r="A7759" s="740"/>
    </row>
    <row r="7760" ht="14.25" customHeight="1">
      <c r="A7760" s="740"/>
    </row>
    <row r="7761" ht="14.25" customHeight="1">
      <c r="A7761" s="740"/>
    </row>
    <row r="7762" ht="14.25" customHeight="1">
      <c r="A7762" s="740"/>
    </row>
    <row r="7763" ht="14.25" customHeight="1">
      <c r="A7763" s="740"/>
    </row>
    <row r="7764" ht="14.25" customHeight="1">
      <c r="A7764" s="740"/>
    </row>
    <row r="7765" ht="14.25" customHeight="1">
      <c r="A7765" s="740"/>
    </row>
    <row r="7766" ht="14.25" customHeight="1">
      <c r="A7766" s="740"/>
    </row>
    <row r="7767" ht="14.25" customHeight="1">
      <c r="A7767" s="740"/>
    </row>
    <row r="7768" ht="14.25" customHeight="1">
      <c r="A7768" s="740"/>
    </row>
    <row r="7769" ht="14.25" customHeight="1">
      <c r="A7769" s="740"/>
    </row>
    <row r="7770" ht="14.25" customHeight="1">
      <c r="A7770" s="740"/>
    </row>
    <row r="7771" ht="14.25" customHeight="1">
      <c r="A7771" s="740"/>
    </row>
    <row r="7772" ht="14.25" customHeight="1">
      <c r="A7772" s="740"/>
    </row>
    <row r="7773" ht="14.25" customHeight="1">
      <c r="A7773" s="740"/>
    </row>
    <row r="7774" ht="14.25" customHeight="1">
      <c r="A7774" s="740"/>
    </row>
    <row r="7775" ht="14.25" customHeight="1">
      <c r="A7775" s="740"/>
    </row>
    <row r="7776" ht="14.25" customHeight="1">
      <c r="A7776" s="740"/>
    </row>
    <row r="7777" ht="14.25" customHeight="1">
      <c r="A7777" s="740"/>
    </row>
    <row r="7778" ht="14.25" customHeight="1">
      <c r="A7778" s="740"/>
    </row>
    <row r="7779" ht="14.25" customHeight="1">
      <c r="A7779" s="740"/>
    </row>
    <row r="7780" ht="14.25" customHeight="1">
      <c r="A7780" s="740"/>
    </row>
    <row r="7781" ht="14.25" customHeight="1">
      <c r="A7781" s="740"/>
    </row>
    <row r="7782" ht="14.25" customHeight="1">
      <c r="A7782" s="740"/>
    </row>
    <row r="7783" ht="14.25" customHeight="1">
      <c r="A7783" s="740"/>
    </row>
    <row r="7784" ht="14.25" customHeight="1">
      <c r="A7784" s="740"/>
    </row>
    <row r="7785" ht="14.25" customHeight="1">
      <c r="A7785" s="740"/>
    </row>
    <row r="7786" ht="14.25" customHeight="1">
      <c r="A7786" s="740"/>
    </row>
    <row r="7787" ht="14.25" customHeight="1">
      <c r="A7787" s="740"/>
    </row>
    <row r="7788" ht="14.25" customHeight="1">
      <c r="A7788" s="740"/>
    </row>
    <row r="7789" ht="14.25" customHeight="1">
      <c r="A7789" s="740"/>
    </row>
    <row r="7790" ht="14.25" customHeight="1">
      <c r="A7790" s="740"/>
    </row>
    <row r="7791" ht="14.25" customHeight="1">
      <c r="A7791" s="740"/>
    </row>
    <row r="7792" ht="14.25" customHeight="1">
      <c r="A7792" s="740"/>
    </row>
    <row r="7793" ht="14.25" customHeight="1">
      <c r="A7793" s="740"/>
    </row>
    <row r="7794" ht="14.25" customHeight="1">
      <c r="A7794" s="740"/>
    </row>
    <row r="7795" ht="14.25" customHeight="1">
      <c r="A7795" s="740"/>
    </row>
    <row r="7796" ht="14.25" customHeight="1">
      <c r="A7796" s="740"/>
    </row>
    <row r="7797" ht="14.25" customHeight="1">
      <c r="A7797" s="740"/>
    </row>
    <row r="7798" ht="14.25" customHeight="1">
      <c r="A7798" s="740"/>
    </row>
    <row r="7799" ht="14.25" customHeight="1">
      <c r="A7799" s="740"/>
    </row>
    <row r="7800" ht="14.25" customHeight="1">
      <c r="A7800" s="740"/>
    </row>
    <row r="7801" ht="14.25" customHeight="1">
      <c r="A7801" s="740"/>
    </row>
    <row r="7802" ht="14.25" customHeight="1">
      <c r="A7802" s="740"/>
    </row>
    <row r="7803" ht="14.25" customHeight="1">
      <c r="A7803" s="740"/>
    </row>
    <row r="7804" ht="14.25" customHeight="1">
      <c r="A7804" s="740"/>
    </row>
    <row r="7805" ht="14.25" customHeight="1">
      <c r="A7805" s="740"/>
    </row>
    <row r="7806" ht="14.25" customHeight="1">
      <c r="A7806" s="740"/>
    </row>
    <row r="7807" ht="14.25" customHeight="1">
      <c r="A7807" s="740"/>
    </row>
    <row r="7808" ht="14.25" customHeight="1">
      <c r="A7808" s="740"/>
    </row>
    <row r="7809" ht="14.25" customHeight="1">
      <c r="A7809" s="740"/>
    </row>
    <row r="7810" ht="14.25" customHeight="1">
      <c r="A7810" s="740"/>
    </row>
    <row r="7811" ht="14.25" customHeight="1">
      <c r="A7811" s="740"/>
    </row>
    <row r="7812" ht="14.25" customHeight="1">
      <c r="A7812" s="740"/>
    </row>
    <row r="7813" ht="14.25" customHeight="1">
      <c r="A7813" s="740"/>
    </row>
    <row r="7814" ht="14.25" customHeight="1">
      <c r="A7814" s="740"/>
    </row>
    <row r="7815" ht="14.25" customHeight="1">
      <c r="A7815" s="740"/>
    </row>
    <row r="7816" ht="14.25" customHeight="1">
      <c r="A7816" s="740"/>
    </row>
    <row r="7817" ht="14.25" customHeight="1">
      <c r="A7817" s="740"/>
    </row>
    <row r="7818" ht="14.25" customHeight="1">
      <c r="A7818" s="740"/>
    </row>
    <row r="7819" ht="14.25" customHeight="1">
      <c r="A7819" s="740"/>
    </row>
    <row r="7820" ht="14.25" customHeight="1">
      <c r="A7820" s="740"/>
    </row>
    <row r="7821" ht="14.25" customHeight="1">
      <c r="A7821" s="740"/>
    </row>
    <row r="7822" ht="14.25" customHeight="1">
      <c r="A7822" s="740"/>
    </row>
    <row r="7823" ht="14.25" customHeight="1">
      <c r="A7823" s="740"/>
    </row>
    <row r="7824" ht="14.25" customHeight="1">
      <c r="A7824" s="740"/>
    </row>
    <row r="7825" ht="14.25" customHeight="1">
      <c r="A7825" s="740"/>
    </row>
    <row r="7826" ht="14.25" customHeight="1">
      <c r="A7826" s="740"/>
    </row>
    <row r="7827" ht="14.25" customHeight="1">
      <c r="A7827" s="740"/>
    </row>
    <row r="7828" ht="14.25" customHeight="1">
      <c r="A7828" s="740"/>
    </row>
    <row r="7829" ht="14.25" customHeight="1">
      <c r="A7829" s="740"/>
    </row>
    <row r="7830" ht="14.25" customHeight="1">
      <c r="A7830" s="740"/>
    </row>
    <row r="7831" ht="14.25" customHeight="1">
      <c r="A7831" s="740"/>
    </row>
    <row r="7832" ht="14.25" customHeight="1">
      <c r="A7832" s="740"/>
    </row>
    <row r="7833" ht="14.25" customHeight="1">
      <c r="A7833" s="740"/>
    </row>
    <row r="7834" ht="14.25" customHeight="1">
      <c r="A7834" s="740"/>
    </row>
    <row r="7835" ht="14.25" customHeight="1">
      <c r="A7835" s="740"/>
    </row>
    <row r="7836" ht="14.25" customHeight="1">
      <c r="A7836" s="740"/>
    </row>
    <row r="7837" ht="14.25" customHeight="1">
      <c r="A7837" s="740"/>
    </row>
    <row r="7838" ht="14.25" customHeight="1">
      <c r="A7838" s="740"/>
    </row>
    <row r="7839" ht="14.25" customHeight="1">
      <c r="A7839" s="740"/>
    </row>
    <row r="7840" ht="14.25" customHeight="1">
      <c r="A7840" s="740"/>
    </row>
    <row r="7841" ht="14.25" customHeight="1">
      <c r="A7841" s="740"/>
    </row>
    <row r="7842" ht="14.25" customHeight="1">
      <c r="A7842" s="740"/>
    </row>
    <row r="7843" ht="14.25" customHeight="1">
      <c r="A7843" s="740"/>
    </row>
    <row r="7844" ht="14.25" customHeight="1">
      <c r="A7844" s="740"/>
    </row>
    <row r="7845" ht="14.25" customHeight="1">
      <c r="A7845" s="740"/>
    </row>
    <row r="7846" ht="14.25" customHeight="1">
      <c r="A7846" s="740"/>
    </row>
    <row r="7847" ht="14.25" customHeight="1">
      <c r="A7847" s="740"/>
    </row>
    <row r="7848" ht="14.25" customHeight="1">
      <c r="A7848" s="740"/>
    </row>
    <row r="7849" ht="14.25" customHeight="1">
      <c r="A7849" s="740"/>
    </row>
    <row r="7850" ht="14.25" customHeight="1">
      <c r="A7850" s="740"/>
    </row>
    <row r="7851" ht="14.25" customHeight="1">
      <c r="A7851" s="740"/>
    </row>
    <row r="7852" ht="14.25" customHeight="1">
      <c r="A7852" s="740"/>
    </row>
    <row r="7853" ht="14.25" customHeight="1">
      <c r="A7853" s="740"/>
    </row>
    <row r="7854" ht="14.25" customHeight="1">
      <c r="A7854" s="740"/>
    </row>
    <row r="7855" ht="14.25" customHeight="1">
      <c r="A7855" s="740"/>
    </row>
    <row r="7856" ht="14.25" customHeight="1">
      <c r="A7856" s="740"/>
    </row>
    <row r="7857" ht="14.25" customHeight="1">
      <c r="A7857" s="740"/>
    </row>
    <row r="7858" ht="14.25" customHeight="1">
      <c r="A7858" s="740"/>
    </row>
    <row r="7859" ht="14.25" customHeight="1">
      <c r="A7859" s="740"/>
    </row>
    <row r="7860" ht="14.25" customHeight="1">
      <c r="A7860" s="740"/>
    </row>
    <row r="7861" ht="14.25" customHeight="1">
      <c r="A7861" s="740"/>
    </row>
    <row r="7862" ht="14.25" customHeight="1">
      <c r="A7862" s="740"/>
    </row>
    <row r="7863" ht="14.25" customHeight="1">
      <c r="A7863" s="740"/>
    </row>
    <row r="7864" ht="14.25" customHeight="1">
      <c r="A7864" s="740"/>
    </row>
    <row r="7865" ht="14.25" customHeight="1">
      <c r="A7865" s="740"/>
    </row>
    <row r="7866" ht="14.25" customHeight="1">
      <c r="A7866" s="740"/>
    </row>
    <row r="7867" ht="14.25" customHeight="1">
      <c r="A7867" s="740"/>
    </row>
    <row r="7868" ht="14.25" customHeight="1">
      <c r="A7868" s="740"/>
    </row>
    <row r="7869" ht="14.25" customHeight="1">
      <c r="A7869" s="740"/>
    </row>
    <row r="7870" ht="14.25" customHeight="1">
      <c r="A7870" s="740"/>
    </row>
    <row r="7871" ht="14.25" customHeight="1">
      <c r="A7871" s="740"/>
    </row>
    <row r="7872" ht="14.25" customHeight="1">
      <c r="A7872" s="740"/>
    </row>
    <row r="7873" ht="14.25" customHeight="1">
      <c r="A7873" s="740"/>
    </row>
    <row r="7874" ht="14.25" customHeight="1">
      <c r="A7874" s="740"/>
    </row>
    <row r="7875" ht="14.25" customHeight="1">
      <c r="A7875" s="740"/>
    </row>
    <row r="7876" ht="14.25" customHeight="1">
      <c r="A7876" s="740"/>
    </row>
    <row r="7877" ht="14.25" customHeight="1">
      <c r="A7877" s="740"/>
    </row>
    <row r="7878" ht="14.25" customHeight="1">
      <c r="A7878" s="740"/>
    </row>
    <row r="7879" ht="14.25" customHeight="1">
      <c r="A7879" s="740"/>
    </row>
    <row r="7880" ht="14.25" customHeight="1">
      <c r="A7880" s="740"/>
    </row>
    <row r="7881" ht="14.25" customHeight="1">
      <c r="A7881" s="740"/>
    </row>
    <row r="7882" ht="14.25" customHeight="1">
      <c r="A7882" s="740"/>
    </row>
    <row r="7883" ht="14.25" customHeight="1">
      <c r="A7883" s="740"/>
    </row>
    <row r="7884" ht="14.25" customHeight="1">
      <c r="A7884" s="740"/>
    </row>
    <row r="7885" ht="14.25" customHeight="1">
      <c r="A7885" s="740"/>
    </row>
    <row r="7886" ht="14.25" customHeight="1">
      <c r="A7886" s="740"/>
    </row>
    <row r="7887" ht="14.25" customHeight="1">
      <c r="A7887" s="740"/>
    </row>
    <row r="7888" ht="14.25" customHeight="1">
      <c r="A7888" s="740"/>
    </row>
    <row r="7889" ht="14.25" customHeight="1">
      <c r="A7889" s="740"/>
    </row>
    <row r="7890" ht="14.25" customHeight="1">
      <c r="A7890" s="740"/>
    </row>
    <row r="7891" ht="14.25" customHeight="1">
      <c r="A7891" s="740"/>
    </row>
    <row r="7892" ht="14.25" customHeight="1">
      <c r="A7892" s="740"/>
    </row>
    <row r="7893" ht="14.25" customHeight="1">
      <c r="A7893" s="740"/>
    </row>
    <row r="7894" ht="14.25" customHeight="1">
      <c r="A7894" s="740"/>
    </row>
    <row r="7895" ht="14.25" customHeight="1">
      <c r="A7895" s="740"/>
    </row>
    <row r="7896" ht="14.25" customHeight="1">
      <c r="A7896" s="740"/>
    </row>
    <row r="7897" ht="14.25" customHeight="1">
      <c r="A7897" s="740"/>
    </row>
    <row r="7898" ht="14.25" customHeight="1">
      <c r="A7898" s="740"/>
    </row>
    <row r="7899" ht="14.25" customHeight="1">
      <c r="A7899" s="740"/>
    </row>
    <row r="7900" ht="14.25" customHeight="1">
      <c r="A7900" s="740"/>
    </row>
    <row r="7901" ht="14.25" customHeight="1">
      <c r="A7901" s="740"/>
    </row>
    <row r="7902" ht="14.25" customHeight="1">
      <c r="A7902" s="740"/>
    </row>
    <row r="7903" ht="14.25" customHeight="1">
      <c r="A7903" s="740"/>
    </row>
    <row r="7904" ht="14.25" customHeight="1">
      <c r="A7904" s="740"/>
    </row>
    <row r="7905" ht="14.25" customHeight="1">
      <c r="A7905" s="740"/>
    </row>
    <row r="7906" ht="14.25" customHeight="1">
      <c r="A7906" s="740"/>
    </row>
    <row r="7907" ht="14.25" customHeight="1">
      <c r="A7907" s="740"/>
    </row>
    <row r="7908" ht="14.25" customHeight="1">
      <c r="A7908" s="740"/>
    </row>
    <row r="7909" ht="14.25" customHeight="1">
      <c r="A7909" s="740"/>
    </row>
    <row r="7910" ht="14.25" customHeight="1">
      <c r="A7910" s="740"/>
    </row>
    <row r="7911" ht="14.25" customHeight="1">
      <c r="A7911" s="740"/>
    </row>
    <row r="7912" ht="14.25" customHeight="1">
      <c r="A7912" s="740"/>
    </row>
    <row r="7913" ht="14.25" customHeight="1">
      <c r="A7913" s="740"/>
    </row>
    <row r="7914" ht="14.25" customHeight="1">
      <c r="A7914" s="740"/>
    </row>
    <row r="7915" ht="14.25" customHeight="1">
      <c r="A7915" s="740"/>
    </row>
    <row r="7916" ht="14.25" customHeight="1">
      <c r="A7916" s="740"/>
    </row>
    <row r="7917" ht="14.25" customHeight="1">
      <c r="A7917" s="740"/>
    </row>
    <row r="7918" ht="14.25" customHeight="1">
      <c r="A7918" s="740"/>
    </row>
    <row r="7919" ht="14.25" customHeight="1">
      <c r="A7919" s="740"/>
    </row>
    <row r="7920" ht="14.25" customHeight="1">
      <c r="A7920" s="740"/>
    </row>
    <row r="7921" ht="14.25" customHeight="1">
      <c r="A7921" s="740"/>
    </row>
    <row r="7922" ht="14.25" customHeight="1">
      <c r="A7922" s="740"/>
    </row>
    <row r="7923" ht="14.25" customHeight="1">
      <c r="A7923" s="740"/>
    </row>
    <row r="7924" ht="14.25" customHeight="1">
      <c r="A7924" s="740"/>
    </row>
    <row r="7925" ht="14.25" customHeight="1">
      <c r="A7925" s="740"/>
    </row>
    <row r="7926" ht="14.25" customHeight="1">
      <c r="A7926" s="740"/>
    </row>
    <row r="7927" ht="14.25" customHeight="1">
      <c r="A7927" s="740"/>
    </row>
    <row r="7928" ht="14.25" customHeight="1">
      <c r="A7928" s="740"/>
    </row>
    <row r="7929" ht="14.25" customHeight="1">
      <c r="A7929" s="740"/>
    </row>
    <row r="7930" ht="14.25" customHeight="1">
      <c r="A7930" s="740"/>
    </row>
    <row r="7931" ht="14.25" customHeight="1">
      <c r="A7931" s="740"/>
    </row>
    <row r="7932" ht="14.25" customHeight="1">
      <c r="A7932" s="740"/>
    </row>
    <row r="7933" ht="14.25" customHeight="1">
      <c r="A7933" s="740"/>
    </row>
    <row r="7934" ht="14.25" customHeight="1">
      <c r="A7934" s="740"/>
    </row>
    <row r="7935" ht="14.25" customHeight="1">
      <c r="A7935" s="740"/>
    </row>
    <row r="7936" ht="14.25" customHeight="1">
      <c r="A7936" s="740"/>
    </row>
    <row r="7937" ht="14.25" customHeight="1">
      <c r="A7937" s="740"/>
    </row>
    <row r="7938" ht="14.25" customHeight="1">
      <c r="A7938" s="740"/>
    </row>
    <row r="7939" ht="14.25" customHeight="1">
      <c r="A7939" s="740"/>
    </row>
    <row r="7940" ht="14.25" customHeight="1">
      <c r="A7940" s="740"/>
    </row>
    <row r="7941" ht="14.25" customHeight="1">
      <c r="A7941" s="740"/>
    </row>
    <row r="7942" ht="14.25" customHeight="1">
      <c r="A7942" s="740"/>
    </row>
    <row r="7943" ht="14.25" customHeight="1">
      <c r="A7943" s="740"/>
    </row>
    <row r="7944" ht="14.25" customHeight="1">
      <c r="A7944" s="740"/>
    </row>
    <row r="7945" ht="14.25" customHeight="1">
      <c r="A7945" s="740"/>
    </row>
    <row r="7946" ht="14.25" customHeight="1">
      <c r="A7946" s="740"/>
    </row>
    <row r="7947" ht="14.25" customHeight="1">
      <c r="A7947" s="740"/>
    </row>
    <row r="7948" ht="14.25" customHeight="1">
      <c r="A7948" s="740"/>
    </row>
    <row r="7949" ht="14.25" customHeight="1">
      <c r="A7949" s="740"/>
    </row>
    <row r="7950" ht="14.25" customHeight="1">
      <c r="A7950" s="740"/>
    </row>
    <row r="7951" ht="14.25" customHeight="1">
      <c r="A7951" s="740"/>
    </row>
    <row r="7952" ht="14.25" customHeight="1">
      <c r="A7952" s="740"/>
    </row>
    <row r="7953" ht="14.25" customHeight="1">
      <c r="A7953" s="740"/>
    </row>
    <row r="7954" ht="14.25" customHeight="1">
      <c r="A7954" s="740"/>
    </row>
    <row r="7955" ht="14.25" customHeight="1">
      <c r="A7955" s="740"/>
    </row>
    <row r="7956" ht="14.25" customHeight="1">
      <c r="A7956" s="740"/>
    </row>
    <row r="7957" ht="14.25" customHeight="1">
      <c r="A7957" s="740"/>
    </row>
    <row r="7958" ht="14.25" customHeight="1">
      <c r="A7958" s="740"/>
    </row>
    <row r="7959" ht="14.25" customHeight="1">
      <c r="A7959" s="740"/>
    </row>
    <row r="7960" ht="14.25" customHeight="1">
      <c r="A7960" s="740"/>
    </row>
    <row r="7961" ht="14.25" customHeight="1">
      <c r="A7961" s="740"/>
    </row>
    <row r="7962" ht="14.25" customHeight="1">
      <c r="A7962" s="740"/>
    </row>
    <row r="7963" ht="14.25" customHeight="1">
      <c r="A7963" s="740"/>
    </row>
    <row r="7964" ht="14.25" customHeight="1">
      <c r="A7964" s="740"/>
    </row>
    <row r="7965" ht="14.25" customHeight="1">
      <c r="A7965" s="740"/>
    </row>
    <row r="7966" ht="14.25" customHeight="1">
      <c r="A7966" s="740"/>
    </row>
    <row r="7967" ht="14.25" customHeight="1">
      <c r="A7967" s="740"/>
    </row>
    <row r="7968" ht="14.25" customHeight="1">
      <c r="A7968" s="740"/>
    </row>
    <row r="7969" ht="14.25" customHeight="1">
      <c r="A7969" s="740"/>
    </row>
    <row r="7970" ht="14.25" customHeight="1">
      <c r="A7970" s="740"/>
    </row>
    <row r="7971" ht="14.25" customHeight="1">
      <c r="A7971" s="740"/>
    </row>
    <row r="7972" ht="14.25" customHeight="1">
      <c r="A7972" s="740"/>
    </row>
    <row r="7973" ht="14.25" customHeight="1">
      <c r="A7973" s="740"/>
    </row>
    <row r="7974" ht="14.25" customHeight="1">
      <c r="A7974" s="740"/>
    </row>
    <row r="7975" ht="14.25" customHeight="1">
      <c r="A7975" s="740"/>
    </row>
    <row r="7976" ht="14.25" customHeight="1">
      <c r="A7976" s="740"/>
    </row>
    <row r="7977" ht="14.25" customHeight="1">
      <c r="A7977" s="740"/>
    </row>
    <row r="7978" ht="14.25" customHeight="1">
      <c r="A7978" s="740"/>
    </row>
    <row r="7979" ht="14.25" customHeight="1">
      <c r="A7979" s="740"/>
    </row>
    <row r="7980" ht="14.25" customHeight="1">
      <c r="A7980" s="740"/>
    </row>
    <row r="7981" ht="14.25" customHeight="1">
      <c r="A7981" s="740"/>
    </row>
    <row r="7982" ht="14.25" customHeight="1">
      <c r="A7982" s="740"/>
    </row>
    <row r="7983" ht="14.25" customHeight="1">
      <c r="A7983" s="740"/>
    </row>
    <row r="7984" ht="14.25" customHeight="1">
      <c r="A7984" s="740"/>
    </row>
    <row r="7985" ht="14.25" customHeight="1">
      <c r="A7985" s="740"/>
    </row>
    <row r="7986" ht="14.25" customHeight="1">
      <c r="A7986" s="740"/>
    </row>
    <row r="7987" ht="14.25" customHeight="1">
      <c r="A7987" s="740"/>
    </row>
    <row r="7988" ht="14.25" customHeight="1">
      <c r="A7988" s="740"/>
    </row>
    <row r="7989" ht="14.25" customHeight="1">
      <c r="A7989" s="740"/>
    </row>
    <row r="7990" ht="14.25" customHeight="1">
      <c r="A7990" s="740"/>
    </row>
    <row r="7991" ht="14.25" customHeight="1">
      <c r="A7991" s="740"/>
    </row>
    <row r="7992" ht="14.25" customHeight="1">
      <c r="A7992" s="740"/>
    </row>
    <row r="7993" ht="14.25" customHeight="1">
      <c r="A7993" s="740"/>
    </row>
    <row r="7994" ht="14.25" customHeight="1">
      <c r="A7994" s="740"/>
    </row>
    <row r="7995" ht="14.25" customHeight="1">
      <c r="A7995" s="740"/>
    </row>
    <row r="7996" ht="14.25" customHeight="1">
      <c r="A7996" s="740"/>
    </row>
    <row r="7997" ht="14.25" customHeight="1">
      <c r="A7997" s="740"/>
    </row>
    <row r="7998" ht="14.25" customHeight="1">
      <c r="A7998" s="740"/>
    </row>
    <row r="7999" ht="14.25" customHeight="1">
      <c r="A7999" s="740"/>
    </row>
    <row r="8000" ht="14.25" customHeight="1">
      <c r="A8000" s="740"/>
    </row>
    <row r="8001" ht="14.25" customHeight="1">
      <c r="A8001" s="740"/>
    </row>
    <row r="8002" ht="14.25" customHeight="1">
      <c r="A8002" s="740"/>
    </row>
    <row r="8003" ht="14.25" customHeight="1">
      <c r="A8003" s="740"/>
    </row>
    <row r="8004" ht="14.25" customHeight="1">
      <c r="A8004" s="740"/>
    </row>
    <row r="8005" ht="14.25" customHeight="1">
      <c r="A8005" s="740"/>
    </row>
    <row r="8006" ht="14.25" customHeight="1">
      <c r="A8006" s="740"/>
    </row>
    <row r="8007" ht="14.25" customHeight="1">
      <c r="A8007" s="740"/>
    </row>
    <row r="8008" ht="14.25" customHeight="1">
      <c r="A8008" s="740"/>
    </row>
    <row r="8009" ht="14.25" customHeight="1">
      <c r="A8009" s="740"/>
    </row>
    <row r="8010" ht="14.25" customHeight="1">
      <c r="A8010" s="740"/>
    </row>
    <row r="8011" ht="14.25" customHeight="1">
      <c r="A8011" s="740"/>
    </row>
    <row r="8012" ht="14.25" customHeight="1">
      <c r="A8012" s="740"/>
    </row>
    <row r="8013" ht="14.25" customHeight="1">
      <c r="A8013" s="740"/>
    </row>
    <row r="8014" ht="14.25" customHeight="1">
      <c r="A8014" s="740"/>
    </row>
    <row r="8015" ht="14.25" customHeight="1">
      <c r="A8015" s="740"/>
    </row>
    <row r="8016" ht="14.25" customHeight="1">
      <c r="A8016" s="740"/>
    </row>
    <row r="8017" ht="14.25" customHeight="1">
      <c r="A8017" s="740"/>
    </row>
    <row r="8018" ht="14.25" customHeight="1">
      <c r="A8018" s="740"/>
    </row>
    <row r="8019" ht="14.25" customHeight="1">
      <c r="A8019" s="740"/>
    </row>
    <row r="8020" ht="14.25" customHeight="1">
      <c r="A8020" s="740"/>
    </row>
    <row r="8021" ht="14.25" customHeight="1">
      <c r="A8021" s="740"/>
    </row>
    <row r="8022" ht="14.25" customHeight="1">
      <c r="A8022" s="740"/>
    </row>
    <row r="8023" ht="14.25" customHeight="1">
      <c r="A8023" s="740"/>
    </row>
    <row r="8024" ht="14.25" customHeight="1">
      <c r="A8024" s="740"/>
    </row>
    <row r="8025" ht="14.25" customHeight="1">
      <c r="A8025" s="740"/>
    </row>
    <row r="8026" ht="14.25" customHeight="1">
      <c r="A8026" s="740"/>
    </row>
    <row r="8027" ht="14.25" customHeight="1">
      <c r="A8027" s="740"/>
    </row>
    <row r="8028" ht="14.25" customHeight="1">
      <c r="A8028" s="740"/>
    </row>
    <row r="8029" ht="14.25" customHeight="1">
      <c r="A8029" s="740"/>
    </row>
    <row r="8030" ht="14.25" customHeight="1">
      <c r="A8030" s="740"/>
    </row>
    <row r="8031" ht="14.25" customHeight="1">
      <c r="A8031" s="740"/>
    </row>
    <row r="8032" ht="14.25" customHeight="1">
      <c r="A8032" s="740"/>
    </row>
    <row r="8033" ht="14.25" customHeight="1">
      <c r="A8033" s="740"/>
    </row>
    <row r="8034" ht="14.25" customHeight="1">
      <c r="A8034" s="740"/>
    </row>
    <row r="8035" ht="14.25" customHeight="1">
      <c r="A8035" s="740"/>
    </row>
    <row r="8036" ht="14.25" customHeight="1">
      <c r="A8036" s="740"/>
    </row>
    <row r="8037" ht="14.25" customHeight="1">
      <c r="A8037" s="740"/>
    </row>
    <row r="8038" ht="14.25" customHeight="1">
      <c r="A8038" s="740"/>
    </row>
    <row r="8039" ht="14.25" customHeight="1">
      <c r="A8039" s="740"/>
    </row>
    <row r="8040" ht="14.25" customHeight="1">
      <c r="A8040" s="740"/>
    </row>
    <row r="8041" ht="14.25" customHeight="1">
      <c r="A8041" s="740"/>
    </row>
    <row r="8042" ht="14.25" customHeight="1">
      <c r="A8042" s="740"/>
    </row>
    <row r="8043" ht="14.25" customHeight="1">
      <c r="A8043" s="740"/>
    </row>
    <row r="8044" ht="14.25" customHeight="1">
      <c r="A8044" s="740"/>
    </row>
    <row r="8045" ht="14.25" customHeight="1">
      <c r="A8045" s="740"/>
    </row>
    <row r="8046" ht="14.25" customHeight="1">
      <c r="A8046" s="740"/>
    </row>
    <row r="8047" ht="14.25" customHeight="1">
      <c r="A8047" s="740"/>
    </row>
    <row r="8048" ht="14.25" customHeight="1">
      <c r="A8048" s="740"/>
    </row>
    <row r="8049" ht="14.25" customHeight="1">
      <c r="A8049" s="740"/>
    </row>
    <row r="8050" ht="14.25" customHeight="1">
      <c r="A8050" s="740"/>
    </row>
    <row r="8051" ht="14.25" customHeight="1">
      <c r="A8051" s="740"/>
    </row>
    <row r="8052" ht="14.25" customHeight="1">
      <c r="A8052" s="740"/>
    </row>
    <row r="8053" ht="14.25" customHeight="1">
      <c r="A8053" s="740"/>
    </row>
    <row r="8054" ht="14.25" customHeight="1">
      <c r="A8054" s="740"/>
    </row>
    <row r="8055" ht="14.25" customHeight="1">
      <c r="A8055" s="740"/>
    </row>
    <row r="8056" ht="14.25" customHeight="1">
      <c r="A8056" s="740"/>
    </row>
    <row r="8057" ht="14.25" customHeight="1">
      <c r="A8057" s="740"/>
    </row>
    <row r="8058" ht="14.25" customHeight="1">
      <c r="A8058" s="740"/>
    </row>
    <row r="8059" ht="14.25" customHeight="1">
      <c r="A8059" s="740"/>
    </row>
    <row r="8060" ht="14.25" customHeight="1">
      <c r="A8060" s="740"/>
    </row>
    <row r="8061" ht="14.25" customHeight="1">
      <c r="A8061" s="740"/>
    </row>
    <row r="8062" ht="14.25" customHeight="1">
      <c r="A8062" s="740"/>
    </row>
    <row r="8063" ht="14.25" customHeight="1">
      <c r="A8063" s="740"/>
    </row>
    <row r="8064" ht="14.25" customHeight="1">
      <c r="A8064" s="740"/>
    </row>
    <row r="8065" ht="14.25" customHeight="1">
      <c r="A8065" s="740"/>
    </row>
    <row r="8066" ht="14.25" customHeight="1">
      <c r="A8066" s="740"/>
    </row>
    <row r="8067" ht="14.25" customHeight="1">
      <c r="A8067" s="740"/>
    </row>
    <row r="8068" ht="14.25" customHeight="1">
      <c r="A8068" s="740"/>
    </row>
    <row r="8069" ht="14.25" customHeight="1">
      <c r="A8069" s="740"/>
    </row>
    <row r="8070" ht="14.25" customHeight="1">
      <c r="A8070" s="740"/>
    </row>
    <row r="8071" ht="14.25" customHeight="1">
      <c r="A8071" s="740"/>
    </row>
    <row r="8072" ht="14.25" customHeight="1">
      <c r="A8072" s="740"/>
    </row>
    <row r="8073" ht="14.25" customHeight="1">
      <c r="A8073" s="740"/>
    </row>
    <row r="8074" ht="14.25" customHeight="1">
      <c r="A8074" s="740"/>
    </row>
    <row r="8075" ht="14.25" customHeight="1">
      <c r="A8075" s="740"/>
    </row>
    <row r="8076" ht="14.25" customHeight="1">
      <c r="A8076" s="740"/>
    </row>
    <row r="8077" ht="14.25" customHeight="1">
      <c r="A8077" s="740"/>
    </row>
    <row r="8078" ht="14.25" customHeight="1">
      <c r="A8078" s="740"/>
    </row>
    <row r="8079" ht="14.25" customHeight="1">
      <c r="A8079" s="740"/>
    </row>
    <row r="8080" ht="14.25" customHeight="1">
      <c r="A8080" s="740"/>
    </row>
    <row r="8081" ht="14.25" customHeight="1">
      <c r="A8081" s="740"/>
    </row>
    <row r="8082" ht="14.25" customHeight="1">
      <c r="A8082" s="740"/>
    </row>
    <row r="8083" ht="14.25" customHeight="1">
      <c r="A8083" s="740"/>
    </row>
    <row r="8084" ht="14.25" customHeight="1">
      <c r="A8084" s="740"/>
    </row>
    <row r="8085" ht="14.25" customHeight="1">
      <c r="A8085" s="740"/>
    </row>
    <row r="8086" ht="14.25" customHeight="1">
      <c r="A8086" s="740"/>
    </row>
    <row r="8087" ht="14.25" customHeight="1">
      <c r="A8087" s="740"/>
    </row>
    <row r="8088" ht="14.25" customHeight="1">
      <c r="A8088" s="740"/>
    </row>
    <row r="8089" ht="14.25" customHeight="1">
      <c r="A8089" s="740"/>
    </row>
    <row r="8090" ht="14.25" customHeight="1">
      <c r="A8090" s="740"/>
    </row>
    <row r="8091" ht="14.25" customHeight="1">
      <c r="A8091" s="740"/>
    </row>
    <row r="8092" ht="14.25" customHeight="1">
      <c r="A8092" s="740"/>
    </row>
    <row r="8093" ht="14.25" customHeight="1">
      <c r="A8093" s="740"/>
    </row>
    <row r="8094" ht="14.25" customHeight="1">
      <c r="A8094" s="740"/>
    </row>
    <row r="8095" ht="14.25" customHeight="1">
      <c r="A8095" s="740"/>
    </row>
    <row r="8096" ht="14.25" customHeight="1">
      <c r="A8096" s="740"/>
    </row>
    <row r="8097" ht="14.25" customHeight="1">
      <c r="A8097" s="740"/>
    </row>
    <row r="8098" ht="14.25" customHeight="1">
      <c r="A8098" s="740"/>
    </row>
    <row r="8099" ht="14.25" customHeight="1">
      <c r="A8099" s="740"/>
    </row>
    <row r="8100" ht="14.25" customHeight="1">
      <c r="A8100" s="740"/>
    </row>
    <row r="8101" ht="14.25" customHeight="1">
      <c r="A8101" s="740"/>
    </row>
    <row r="8102" ht="14.25" customHeight="1">
      <c r="A8102" s="740"/>
    </row>
    <row r="8103" ht="14.25" customHeight="1">
      <c r="A8103" s="740"/>
    </row>
    <row r="8104" ht="14.25" customHeight="1">
      <c r="A8104" s="740"/>
    </row>
    <row r="8105" ht="14.25" customHeight="1">
      <c r="A8105" s="740"/>
    </row>
    <row r="8106" ht="14.25" customHeight="1">
      <c r="A8106" s="740"/>
    </row>
    <row r="8107" ht="14.25" customHeight="1">
      <c r="A8107" s="740"/>
    </row>
    <row r="8108" ht="14.25" customHeight="1">
      <c r="A8108" s="740"/>
    </row>
    <row r="8109" ht="14.25" customHeight="1">
      <c r="A8109" s="740"/>
    </row>
    <row r="8110" ht="14.25" customHeight="1">
      <c r="A8110" s="740"/>
    </row>
    <row r="8111" ht="14.25" customHeight="1">
      <c r="A8111" s="740"/>
    </row>
    <row r="8112" ht="14.25" customHeight="1">
      <c r="A8112" s="740"/>
    </row>
    <row r="8113" ht="14.25" customHeight="1">
      <c r="A8113" s="740"/>
    </row>
    <row r="8114" ht="14.25" customHeight="1">
      <c r="A8114" s="740"/>
    </row>
    <row r="8115" ht="14.25" customHeight="1">
      <c r="A8115" s="740"/>
    </row>
    <row r="8116" ht="14.25" customHeight="1">
      <c r="A8116" s="740"/>
    </row>
    <row r="8117" ht="14.25" customHeight="1">
      <c r="A8117" s="740"/>
    </row>
    <row r="8118" ht="14.25" customHeight="1">
      <c r="A8118" s="740"/>
    </row>
    <row r="8119" ht="14.25" customHeight="1">
      <c r="A8119" s="740"/>
    </row>
    <row r="8120" ht="14.25" customHeight="1">
      <c r="A8120" s="740"/>
    </row>
    <row r="8121" ht="14.25" customHeight="1">
      <c r="A8121" s="740"/>
    </row>
    <row r="8122" ht="14.25" customHeight="1">
      <c r="A8122" s="740"/>
    </row>
    <row r="8123" ht="14.25" customHeight="1">
      <c r="A8123" s="740"/>
    </row>
    <row r="8124" ht="14.25" customHeight="1">
      <c r="A8124" s="740"/>
    </row>
    <row r="8125" ht="14.25" customHeight="1">
      <c r="A8125" s="740"/>
    </row>
    <row r="8126" ht="14.25" customHeight="1">
      <c r="A8126" s="740"/>
    </row>
    <row r="8127" ht="14.25" customHeight="1">
      <c r="A8127" s="740"/>
    </row>
    <row r="8128" ht="14.25" customHeight="1">
      <c r="A8128" s="740"/>
    </row>
    <row r="8129" ht="14.25" customHeight="1">
      <c r="A8129" s="740"/>
    </row>
    <row r="8130" ht="14.25" customHeight="1">
      <c r="A8130" s="740"/>
    </row>
    <row r="8131" ht="14.25" customHeight="1">
      <c r="A8131" s="740"/>
    </row>
    <row r="8132" ht="14.25" customHeight="1">
      <c r="A8132" s="740"/>
    </row>
    <row r="8133" ht="14.25" customHeight="1">
      <c r="A8133" s="740"/>
    </row>
    <row r="8134" ht="14.25" customHeight="1">
      <c r="A8134" s="740"/>
    </row>
    <row r="8135" ht="14.25" customHeight="1">
      <c r="A8135" s="740"/>
    </row>
    <row r="8136" ht="14.25" customHeight="1">
      <c r="A8136" s="740"/>
    </row>
    <row r="8137" ht="14.25" customHeight="1">
      <c r="A8137" s="740"/>
    </row>
    <row r="8138" ht="14.25" customHeight="1">
      <c r="A8138" s="740"/>
    </row>
    <row r="8139" ht="14.25" customHeight="1">
      <c r="A8139" s="740"/>
    </row>
    <row r="8140" ht="14.25" customHeight="1">
      <c r="A8140" s="740"/>
    </row>
    <row r="8141" ht="14.25" customHeight="1">
      <c r="A8141" s="740"/>
    </row>
    <row r="8142" ht="14.25" customHeight="1">
      <c r="A8142" s="740"/>
    </row>
    <row r="8143" ht="14.25" customHeight="1">
      <c r="A8143" s="740"/>
    </row>
    <row r="8144" ht="14.25" customHeight="1">
      <c r="A8144" s="740"/>
    </row>
    <row r="8145" ht="14.25" customHeight="1">
      <c r="A8145" s="740"/>
    </row>
    <row r="8146" ht="14.25" customHeight="1">
      <c r="A8146" s="740"/>
    </row>
    <row r="8147" ht="14.25" customHeight="1">
      <c r="A8147" s="740"/>
    </row>
    <row r="8148" ht="14.25" customHeight="1">
      <c r="A8148" s="740"/>
    </row>
    <row r="8149" ht="14.25" customHeight="1">
      <c r="A8149" s="740"/>
    </row>
    <row r="8150" ht="14.25" customHeight="1">
      <c r="A8150" s="740"/>
    </row>
    <row r="8151" ht="14.25" customHeight="1">
      <c r="A8151" s="740"/>
    </row>
    <row r="8152" ht="14.25" customHeight="1">
      <c r="A8152" s="740"/>
    </row>
    <row r="8153" ht="14.25" customHeight="1">
      <c r="A8153" s="740"/>
    </row>
    <row r="8154" ht="14.25" customHeight="1">
      <c r="A8154" s="740"/>
    </row>
    <row r="8155" ht="14.25" customHeight="1">
      <c r="A8155" s="740"/>
    </row>
    <row r="8156" ht="14.25" customHeight="1">
      <c r="A8156" s="740"/>
    </row>
    <row r="8157" ht="14.25" customHeight="1">
      <c r="A8157" s="740"/>
    </row>
    <row r="8158" ht="14.25" customHeight="1">
      <c r="A8158" s="740"/>
    </row>
    <row r="8159" ht="14.25" customHeight="1">
      <c r="A8159" s="740"/>
    </row>
    <row r="8160" ht="14.25" customHeight="1">
      <c r="A8160" s="740"/>
    </row>
    <row r="8161" ht="14.25" customHeight="1">
      <c r="A8161" s="740"/>
    </row>
    <row r="8162" ht="14.25" customHeight="1">
      <c r="A8162" s="740"/>
    </row>
    <row r="8163" ht="14.25" customHeight="1">
      <c r="A8163" s="740"/>
    </row>
    <row r="8164" ht="14.25" customHeight="1">
      <c r="A8164" s="740"/>
    </row>
    <row r="8165" ht="14.25" customHeight="1">
      <c r="A8165" s="740"/>
    </row>
    <row r="8166" ht="14.25" customHeight="1">
      <c r="A8166" s="740"/>
    </row>
    <row r="8167" ht="14.25" customHeight="1">
      <c r="A8167" s="740"/>
    </row>
    <row r="8168" ht="14.25" customHeight="1">
      <c r="A8168" s="740"/>
    </row>
    <row r="8169" ht="14.25" customHeight="1">
      <c r="A8169" s="740"/>
    </row>
    <row r="8170" ht="14.25" customHeight="1">
      <c r="A8170" s="740"/>
    </row>
    <row r="8171" ht="14.25" customHeight="1">
      <c r="A8171" s="740"/>
    </row>
    <row r="8172" ht="14.25" customHeight="1">
      <c r="A8172" s="740"/>
    </row>
    <row r="8173" ht="14.25" customHeight="1">
      <c r="A8173" s="740"/>
    </row>
    <row r="8174" ht="14.25" customHeight="1">
      <c r="A8174" s="740"/>
    </row>
    <row r="8175" ht="14.25" customHeight="1">
      <c r="A8175" s="740"/>
    </row>
    <row r="8176" ht="14.25" customHeight="1">
      <c r="A8176" s="740"/>
    </row>
    <row r="8177" ht="14.25" customHeight="1">
      <c r="A8177" s="740"/>
    </row>
    <row r="8178" ht="14.25" customHeight="1">
      <c r="A8178" s="740"/>
    </row>
    <row r="8179" ht="14.25" customHeight="1">
      <c r="A8179" s="740"/>
    </row>
    <row r="8180" ht="14.25" customHeight="1">
      <c r="A8180" s="740"/>
    </row>
    <row r="8181" ht="14.25" customHeight="1">
      <c r="A8181" s="740"/>
    </row>
    <row r="8182" ht="14.25" customHeight="1">
      <c r="A8182" s="740"/>
    </row>
    <row r="8183" ht="14.25" customHeight="1">
      <c r="A8183" s="740"/>
    </row>
    <row r="8184" ht="14.25" customHeight="1">
      <c r="A8184" s="740"/>
    </row>
    <row r="8185" ht="14.25" customHeight="1">
      <c r="A8185" s="740"/>
    </row>
    <row r="8186" ht="14.25" customHeight="1">
      <c r="A8186" s="740"/>
    </row>
    <row r="8187" ht="14.25" customHeight="1">
      <c r="A8187" s="740"/>
    </row>
    <row r="8188" ht="14.25" customHeight="1">
      <c r="A8188" s="740"/>
    </row>
    <row r="8189" ht="14.25" customHeight="1">
      <c r="A8189" s="740"/>
    </row>
    <row r="8190" ht="14.25" customHeight="1">
      <c r="A8190" s="740"/>
    </row>
    <row r="8191" ht="14.25" customHeight="1">
      <c r="A8191" s="740"/>
    </row>
    <row r="8192" ht="14.25" customHeight="1">
      <c r="A8192" s="740"/>
    </row>
    <row r="8193" ht="14.25" customHeight="1">
      <c r="A8193" s="740"/>
    </row>
    <row r="8194" ht="14.25" customHeight="1">
      <c r="A8194" s="740"/>
    </row>
    <row r="8195" ht="14.25" customHeight="1">
      <c r="A8195" s="740"/>
    </row>
    <row r="8196" ht="14.25" customHeight="1">
      <c r="A8196" s="740"/>
    </row>
    <row r="8197" ht="14.25" customHeight="1">
      <c r="A8197" s="740"/>
    </row>
    <row r="8198" ht="14.25" customHeight="1">
      <c r="A8198" s="740"/>
    </row>
    <row r="8199" ht="14.25" customHeight="1">
      <c r="A8199" s="740"/>
    </row>
    <row r="8200" ht="14.25" customHeight="1">
      <c r="A8200" s="740"/>
    </row>
    <row r="8201" ht="14.25" customHeight="1">
      <c r="A8201" s="740"/>
    </row>
    <row r="8202" ht="14.25" customHeight="1">
      <c r="A8202" s="740"/>
    </row>
    <row r="8203" ht="14.25" customHeight="1">
      <c r="A8203" s="740"/>
    </row>
    <row r="8204" ht="14.25" customHeight="1">
      <c r="A8204" s="740"/>
    </row>
    <row r="8205" ht="14.25" customHeight="1">
      <c r="A8205" s="740"/>
    </row>
    <row r="8206" ht="14.25" customHeight="1">
      <c r="A8206" s="740"/>
    </row>
    <row r="8207" ht="14.25" customHeight="1">
      <c r="A8207" s="740"/>
    </row>
    <row r="8208" ht="14.25" customHeight="1">
      <c r="A8208" s="740"/>
    </row>
    <row r="8209" ht="14.25" customHeight="1">
      <c r="A8209" s="740"/>
    </row>
    <row r="8210" ht="14.25" customHeight="1">
      <c r="A8210" s="740"/>
    </row>
    <row r="8211" ht="14.25" customHeight="1">
      <c r="A8211" s="740"/>
    </row>
    <row r="8212" ht="14.25" customHeight="1">
      <c r="A8212" s="740"/>
    </row>
    <row r="8213" ht="14.25" customHeight="1">
      <c r="A8213" s="740"/>
    </row>
    <row r="8214" ht="14.25" customHeight="1">
      <c r="A8214" s="740"/>
    </row>
    <row r="8215" ht="14.25" customHeight="1">
      <c r="A8215" s="740"/>
    </row>
    <row r="8216" ht="14.25" customHeight="1">
      <c r="A8216" s="740"/>
    </row>
    <row r="8217" ht="14.25" customHeight="1">
      <c r="A8217" s="740"/>
    </row>
    <row r="8218" ht="14.25" customHeight="1">
      <c r="A8218" s="740"/>
    </row>
    <row r="8219" ht="14.25" customHeight="1">
      <c r="A8219" s="740"/>
    </row>
    <row r="8220" ht="14.25" customHeight="1">
      <c r="A8220" s="740"/>
    </row>
    <row r="8221" ht="14.25" customHeight="1">
      <c r="A8221" s="740"/>
    </row>
    <row r="8222" ht="14.25" customHeight="1">
      <c r="A8222" s="740"/>
    </row>
    <row r="8223" ht="14.25" customHeight="1">
      <c r="A8223" s="740"/>
    </row>
    <row r="8224" ht="14.25" customHeight="1">
      <c r="A8224" s="740"/>
    </row>
    <row r="8225" ht="14.25" customHeight="1">
      <c r="A8225" s="740"/>
    </row>
    <row r="8226" ht="14.25" customHeight="1">
      <c r="A8226" s="740"/>
    </row>
    <row r="8227" ht="14.25" customHeight="1">
      <c r="A8227" s="740"/>
    </row>
    <row r="8228" ht="14.25" customHeight="1">
      <c r="A8228" s="740"/>
    </row>
    <row r="8229" ht="14.25" customHeight="1">
      <c r="A8229" s="740"/>
    </row>
    <row r="8230" ht="14.25" customHeight="1">
      <c r="A8230" s="740"/>
    </row>
    <row r="8231" ht="14.25" customHeight="1">
      <c r="A8231" s="740"/>
    </row>
    <row r="8232" ht="14.25" customHeight="1">
      <c r="A8232" s="740"/>
    </row>
    <row r="8233" ht="14.25" customHeight="1">
      <c r="A8233" s="740"/>
    </row>
    <row r="8234" ht="14.25" customHeight="1">
      <c r="A8234" s="740"/>
    </row>
    <row r="8235" ht="14.25" customHeight="1">
      <c r="A8235" s="740"/>
    </row>
    <row r="8236" ht="14.25" customHeight="1">
      <c r="A8236" s="740"/>
    </row>
    <row r="8237" ht="14.25" customHeight="1">
      <c r="A8237" s="740"/>
    </row>
    <row r="8238" ht="14.25" customHeight="1">
      <c r="A8238" s="740"/>
    </row>
    <row r="8239" ht="14.25" customHeight="1">
      <c r="A8239" s="740"/>
    </row>
    <row r="8240" ht="14.25" customHeight="1">
      <c r="A8240" s="740"/>
    </row>
    <row r="8241" ht="14.25" customHeight="1">
      <c r="A8241" s="740"/>
    </row>
    <row r="8242" ht="14.25" customHeight="1">
      <c r="A8242" s="740"/>
    </row>
    <row r="8243" ht="14.25" customHeight="1">
      <c r="A8243" s="740"/>
    </row>
    <row r="8244" ht="14.25" customHeight="1">
      <c r="A8244" s="740"/>
    </row>
    <row r="8245" ht="14.25" customHeight="1">
      <c r="A8245" s="740"/>
    </row>
    <row r="8246" ht="14.25" customHeight="1">
      <c r="A8246" s="740"/>
    </row>
    <row r="8247" ht="14.25" customHeight="1">
      <c r="A8247" s="740"/>
    </row>
    <row r="8248" ht="14.25" customHeight="1">
      <c r="A8248" s="740"/>
    </row>
    <row r="8249" ht="14.25" customHeight="1">
      <c r="A8249" s="740"/>
    </row>
    <row r="8250" ht="14.25" customHeight="1">
      <c r="A8250" s="740"/>
    </row>
    <row r="8251" ht="14.25" customHeight="1">
      <c r="A8251" s="740"/>
    </row>
    <row r="8252" ht="14.25" customHeight="1">
      <c r="A8252" s="740"/>
    </row>
    <row r="8253" ht="14.25" customHeight="1">
      <c r="A8253" s="740"/>
    </row>
    <row r="8254" ht="14.25" customHeight="1">
      <c r="A8254" s="740"/>
    </row>
    <row r="8255" ht="14.25" customHeight="1">
      <c r="A8255" s="740"/>
    </row>
    <row r="8256" ht="14.25" customHeight="1">
      <c r="A8256" s="740"/>
    </row>
    <row r="8257" ht="14.25" customHeight="1">
      <c r="A8257" s="740"/>
    </row>
    <row r="8258" ht="14.25" customHeight="1">
      <c r="A8258" s="740"/>
    </row>
    <row r="8259" ht="14.25" customHeight="1">
      <c r="A8259" s="740"/>
    </row>
    <row r="8260" ht="14.25" customHeight="1">
      <c r="A8260" s="740"/>
    </row>
    <row r="8261" ht="14.25" customHeight="1">
      <c r="A8261" s="740"/>
    </row>
    <row r="8262" ht="14.25" customHeight="1">
      <c r="A8262" s="740"/>
    </row>
    <row r="8263" ht="14.25" customHeight="1">
      <c r="A8263" s="740"/>
    </row>
    <row r="8264" ht="14.25" customHeight="1">
      <c r="A8264" s="740"/>
    </row>
    <row r="8265" ht="14.25" customHeight="1">
      <c r="A8265" s="740"/>
    </row>
    <row r="8266" ht="14.25" customHeight="1">
      <c r="A8266" s="740"/>
    </row>
    <row r="8267" ht="14.25" customHeight="1">
      <c r="A8267" s="740"/>
    </row>
    <row r="8268" ht="14.25" customHeight="1">
      <c r="A8268" s="740"/>
    </row>
    <row r="8269" ht="14.25" customHeight="1">
      <c r="A8269" s="740"/>
    </row>
    <row r="8270" ht="14.25" customHeight="1">
      <c r="A8270" s="740"/>
    </row>
    <row r="8271" ht="14.25" customHeight="1">
      <c r="A8271" s="740"/>
    </row>
    <row r="8272" ht="14.25" customHeight="1">
      <c r="A8272" s="740"/>
    </row>
    <row r="8273" ht="14.25" customHeight="1">
      <c r="A8273" s="740"/>
    </row>
    <row r="8274" ht="14.25" customHeight="1">
      <c r="A8274" s="740"/>
    </row>
    <row r="8275" ht="14.25" customHeight="1">
      <c r="A8275" s="740"/>
    </row>
    <row r="8276" ht="14.25" customHeight="1">
      <c r="A8276" s="740"/>
    </row>
    <row r="8277" ht="14.25" customHeight="1">
      <c r="A8277" s="740"/>
    </row>
    <row r="8278" ht="14.25" customHeight="1">
      <c r="A8278" s="740"/>
    </row>
    <row r="8279" ht="14.25" customHeight="1">
      <c r="A8279" s="740"/>
    </row>
    <row r="8280" ht="14.25" customHeight="1">
      <c r="A8280" s="740"/>
    </row>
    <row r="8281" ht="14.25" customHeight="1">
      <c r="A8281" s="740"/>
    </row>
    <row r="8282" ht="14.25" customHeight="1">
      <c r="A8282" s="740"/>
    </row>
    <row r="8283" ht="14.25" customHeight="1">
      <c r="A8283" s="740"/>
    </row>
    <row r="8284" ht="14.25" customHeight="1">
      <c r="A8284" s="740"/>
    </row>
    <row r="8285" ht="14.25" customHeight="1">
      <c r="A8285" s="740"/>
    </row>
    <row r="8286" ht="14.25" customHeight="1">
      <c r="A8286" s="740"/>
    </row>
    <row r="8287" ht="14.25" customHeight="1">
      <c r="A8287" s="740"/>
    </row>
    <row r="8288" ht="14.25" customHeight="1">
      <c r="A8288" s="740"/>
    </row>
    <row r="8289" ht="14.25" customHeight="1">
      <c r="A8289" s="740"/>
    </row>
    <row r="8290" ht="14.25" customHeight="1">
      <c r="A8290" s="740"/>
    </row>
    <row r="8291" ht="14.25" customHeight="1">
      <c r="A8291" s="740"/>
    </row>
    <row r="8292" ht="14.25" customHeight="1">
      <c r="A8292" s="740"/>
    </row>
    <row r="8293" ht="14.25" customHeight="1">
      <c r="A8293" s="740"/>
    </row>
    <row r="8294" ht="14.25" customHeight="1">
      <c r="A8294" s="740"/>
    </row>
    <row r="8295" ht="14.25" customHeight="1">
      <c r="A8295" s="740"/>
    </row>
    <row r="8296" ht="14.25" customHeight="1">
      <c r="A8296" s="740"/>
    </row>
    <row r="8297" ht="14.25" customHeight="1">
      <c r="A8297" s="740"/>
    </row>
    <row r="8298" ht="14.25" customHeight="1">
      <c r="A8298" s="740"/>
    </row>
    <row r="8299" ht="14.25" customHeight="1">
      <c r="A8299" s="740"/>
    </row>
    <row r="8300" ht="14.25" customHeight="1">
      <c r="A8300" s="740"/>
    </row>
    <row r="8301" ht="14.25" customHeight="1">
      <c r="A8301" s="740"/>
    </row>
    <row r="8302" ht="14.25" customHeight="1">
      <c r="A8302" s="740"/>
    </row>
    <row r="8303" ht="14.25" customHeight="1">
      <c r="A8303" s="740"/>
    </row>
    <row r="8304" ht="14.25" customHeight="1">
      <c r="A8304" s="740"/>
    </row>
    <row r="8305" ht="14.25" customHeight="1">
      <c r="A8305" s="740"/>
    </row>
    <row r="8306" ht="14.25" customHeight="1">
      <c r="A8306" s="740"/>
    </row>
    <row r="8307" ht="14.25" customHeight="1">
      <c r="A8307" s="740"/>
    </row>
    <row r="8308" ht="14.25" customHeight="1">
      <c r="A8308" s="740"/>
    </row>
    <row r="8309" ht="14.25" customHeight="1">
      <c r="A8309" s="740"/>
    </row>
    <row r="8310" ht="14.25" customHeight="1">
      <c r="A8310" s="740"/>
    </row>
    <row r="8311" ht="14.25" customHeight="1">
      <c r="A8311" s="740"/>
    </row>
    <row r="8312" ht="14.25" customHeight="1">
      <c r="A8312" s="740"/>
    </row>
    <row r="8313" ht="14.25" customHeight="1">
      <c r="A8313" s="740"/>
    </row>
    <row r="8314" ht="14.25" customHeight="1">
      <c r="A8314" s="740"/>
    </row>
    <row r="8315" ht="14.25" customHeight="1">
      <c r="A8315" s="740"/>
    </row>
    <row r="8316" ht="14.25" customHeight="1">
      <c r="A8316" s="740"/>
    </row>
    <row r="8317" ht="14.25" customHeight="1">
      <c r="A8317" s="740"/>
    </row>
    <row r="8318" ht="14.25" customHeight="1">
      <c r="A8318" s="740"/>
    </row>
    <row r="8319" ht="14.25" customHeight="1">
      <c r="A8319" s="740"/>
    </row>
    <row r="8320" ht="14.25" customHeight="1">
      <c r="A8320" s="740"/>
    </row>
    <row r="8321" ht="14.25" customHeight="1">
      <c r="A8321" s="740"/>
    </row>
    <row r="8322" ht="14.25" customHeight="1">
      <c r="A8322" s="740"/>
    </row>
    <row r="8323" ht="14.25" customHeight="1">
      <c r="A8323" s="740"/>
    </row>
    <row r="8324" ht="14.25" customHeight="1">
      <c r="A8324" s="740"/>
    </row>
    <row r="8325" ht="14.25" customHeight="1">
      <c r="A8325" s="740"/>
    </row>
    <row r="8326" ht="14.25" customHeight="1">
      <c r="A8326" s="740"/>
    </row>
    <row r="8327" ht="14.25" customHeight="1">
      <c r="A8327" s="740"/>
    </row>
    <row r="8328" ht="14.25" customHeight="1">
      <c r="A8328" s="740"/>
    </row>
    <row r="8329" ht="14.25" customHeight="1">
      <c r="A8329" s="740"/>
    </row>
    <row r="8330" ht="14.25" customHeight="1">
      <c r="A8330" s="740"/>
    </row>
    <row r="8331" ht="14.25" customHeight="1">
      <c r="A8331" s="740"/>
    </row>
    <row r="8332" ht="14.25" customHeight="1">
      <c r="A8332" s="740"/>
    </row>
    <row r="8333" ht="14.25" customHeight="1">
      <c r="A8333" s="740"/>
    </row>
    <row r="8334" ht="14.25" customHeight="1">
      <c r="A8334" s="740"/>
    </row>
    <row r="8335" ht="14.25" customHeight="1">
      <c r="A8335" s="740"/>
    </row>
    <row r="8336" ht="14.25" customHeight="1">
      <c r="A8336" s="740"/>
    </row>
    <row r="8337" ht="14.25" customHeight="1">
      <c r="A8337" s="740"/>
    </row>
    <row r="8338" ht="14.25" customHeight="1">
      <c r="A8338" s="740"/>
    </row>
    <row r="8339" ht="14.25" customHeight="1">
      <c r="A8339" s="740"/>
    </row>
    <row r="8340" ht="14.25" customHeight="1">
      <c r="A8340" s="740"/>
    </row>
    <row r="8341" ht="14.25" customHeight="1">
      <c r="A8341" s="740"/>
    </row>
    <row r="8342" ht="14.25" customHeight="1">
      <c r="A8342" s="740"/>
    </row>
    <row r="8343" ht="14.25" customHeight="1">
      <c r="A8343" s="740"/>
    </row>
    <row r="8344" ht="14.25" customHeight="1">
      <c r="A8344" s="740"/>
    </row>
    <row r="8345" ht="14.25" customHeight="1">
      <c r="A8345" s="740"/>
    </row>
    <row r="8346" ht="14.25" customHeight="1">
      <c r="A8346" s="740"/>
    </row>
    <row r="8347" ht="14.25" customHeight="1">
      <c r="A8347" s="740"/>
    </row>
    <row r="8348" ht="14.25" customHeight="1">
      <c r="A8348" s="740"/>
    </row>
    <row r="8349" ht="14.25" customHeight="1">
      <c r="A8349" s="740"/>
    </row>
    <row r="8350" ht="14.25" customHeight="1">
      <c r="A8350" s="740"/>
    </row>
    <row r="8351" ht="14.25" customHeight="1">
      <c r="A8351" s="740"/>
    </row>
    <row r="8352" ht="14.25" customHeight="1">
      <c r="A8352" s="740"/>
    </row>
    <row r="8353" ht="14.25" customHeight="1">
      <c r="A8353" s="740"/>
    </row>
    <row r="8354" ht="14.25" customHeight="1">
      <c r="A8354" s="740"/>
    </row>
    <row r="8355" ht="14.25" customHeight="1">
      <c r="A8355" s="740"/>
    </row>
    <row r="8356" ht="14.25" customHeight="1">
      <c r="A8356" s="740"/>
    </row>
    <row r="8357" ht="14.25" customHeight="1">
      <c r="A8357" s="740"/>
    </row>
    <row r="8358" ht="14.25" customHeight="1">
      <c r="A8358" s="740"/>
    </row>
    <row r="8359" ht="14.25" customHeight="1">
      <c r="A8359" s="740"/>
    </row>
    <row r="8360" ht="14.25" customHeight="1">
      <c r="A8360" s="740"/>
    </row>
    <row r="8361" ht="14.25" customHeight="1">
      <c r="A8361" s="740"/>
    </row>
    <row r="8362" ht="14.25" customHeight="1">
      <c r="A8362" s="740"/>
    </row>
    <row r="8363" ht="14.25" customHeight="1">
      <c r="A8363" s="740"/>
    </row>
    <row r="8364" ht="14.25" customHeight="1">
      <c r="A8364" s="740"/>
    </row>
    <row r="8365" ht="14.25" customHeight="1">
      <c r="A8365" s="740"/>
    </row>
    <row r="8366" ht="14.25" customHeight="1">
      <c r="A8366" s="740"/>
    </row>
    <row r="8367" ht="14.25" customHeight="1">
      <c r="A8367" s="740"/>
    </row>
    <row r="8368" ht="14.25" customHeight="1">
      <c r="A8368" s="740"/>
    </row>
    <row r="8369" ht="14.25" customHeight="1">
      <c r="A8369" s="740"/>
    </row>
    <row r="8370" ht="14.25" customHeight="1">
      <c r="A8370" s="740"/>
    </row>
    <row r="8371" ht="14.25" customHeight="1">
      <c r="A8371" s="740"/>
    </row>
    <row r="8372" ht="14.25" customHeight="1">
      <c r="A8372" s="740"/>
    </row>
    <row r="8373" ht="14.25" customHeight="1">
      <c r="A8373" s="740"/>
    </row>
    <row r="8374" ht="14.25" customHeight="1">
      <c r="A8374" s="740"/>
    </row>
    <row r="8375" ht="14.25" customHeight="1">
      <c r="A8375" s="740"/>
    </row>
    <row r="8376" ht="14.25" customHeight="1">
      <c r="A8376" s="740"/>
    </row>
    <row r="8377" ht="14.25" customHeight="1">
      <c r="A8377" s="740"/>
    </row>
    <row r="8378" ht="14.25" customHeight="1">
      <c r="A8378" s="740"/>
    </row>
    <row r="8379" ht="14.25" customHeight="1">
      <c r="A8379" s="740"/>
    </row>
    <row r="8380" ht="14.25" customHeight="1">
      <c r="A8380" s="740"/>
    </row>
    <row r="8381" ht="14.25" customHeight="1">
      <c r="A8381" s="740"/>
    </row>
    <row r="8382" ht="14.25" customHeight="1">
      <c r="A8382" s="740"/>
    </row>
    <row r="8383" ht="14.25" customHeight="1">
      <c r="A8383" s="740"/>
    </row>
    <row r="8384" ht="14.25" customHeight="1">
      <c r="A8384" s="740"/>
    </row>
    <row r="8385" ht="14.25" customHeight="1">
      <c r="A8385" s="740"/>
    </row>
    <row r="8386" ht="14.25" customHeight="1">
      <c r="A8386" s="740"/>
    </row>
    <row r="8387" ht="14.25" customHeight="1">
      <c r="A8387" s="740"/>
    </row>
    <row r="8388" ht="14.25" customHeight="1">
      <c r="A8388" s="740"/>
    </row>
    <row r="8389" ht="14.25" customHeight="1">
      <c r="A8389" s="740"/>
    </row>
    <row r="8390" ht="14.25" customHeight="1">
      <c r="A8390" s="740"/>
    </row>
    <row r="8391" ht="14.25" customHeight="1">
      <c r="A8391" s="740"/>
    </row>
    <row r="8392" ht="14.25" customHeight="1">
      <c r="A8392" s="740"/>
    </row>
    <row r="8393" ht="14.25" customHeight="1">
      <c r="A8393" s="740"/>
    </row>
    <row r="8394" ht="14.25" customHeight="1">
      <c r="A8394" s="740"/>
    </row>
    <row r="8395" ht="14.25" customHeight="1">
      <c r="A8395" s="740"/>
    </row>
    <row r="8396" ht="14.25" customHeight="1">
      <c r="A8396" s="740"/>
    </row>
    <row r="8397" ht="14.25" customHeight="1">
      <c r="A8397" s="740"/>
    </row>
    <row r="8398" ht="14.25" customHeight="1">
      <c r="A8398" s="740"/>
    </row>
    <row r="8399" ht="14.25" customHeight="1">
      <c r="A8399" s="740"/>
    </row>
    <row r="8400" ht="14.25" customHeight="1">
      <c r="A8400" s="740"/>
    </row>
    <row r="8401" ht="14.25" customHeight="1">
      <c r="A8401" s="740"/>
    </row>
    <row r="8402" ht="14.25" customHeight="1">
      <c r="A8402" s="740"/>
    </row>
    <row r="8403" ht="14.25" customHeight="1">
      <c r="A8403" s="740"/>
    </row>
    <row r="8404" ht="14.25" customHeight="1">
      <c r="A8404" s="740"/>
    </row>
    <row r="8405" ht="14.25" customHeight="1">
      <c r="A8405" s="740"/>
    </row>
    <row r="8406" ht="14.25" customHeight="1">
      <c r="A8406" s="740"/>
    </row>
    <row r="8407" ht="14.25" customHeight="1">
      <c r="A8407" s="740"/>
    </row>
    <row r="8408" ht="14.25" customHeight="1">
      <c r="A8408" s="740"/>
    </row>
    <row r="8409" ht="14.25" customHeight="1">
      <c r="A8409" s="740"/>
    </row>
    <row r="8410" ht="14.25" customHeight="1">
      <c r="A8410" s="740"/>
    </row>
    <row r="8411" ht="14.25" customHeight="1">
      <c r="A8411" s="740"/>
    </row>
    <row r="8412" ht="14.25" customHeight="1">
      <c r="A8412" s="740"/>
    </row>
    <row r="8413" ht="14.25" customHeight="1">
      <c r="A8413" s="740"/>
    </row>
    <row r="8414" ht="14.25" customHeight="1">
      <c r="A8414" s="740"/>
    </row>
    <row r="8415" ht="14.25" customHeight="1">
      <c r="A8415" s="740"/>
    </row>
    <row r="8416" ht="14.25" customHeight="1">
      <c r="A8416" s="740"/>
    </row>
    <row r="8417" ht="14.25" customHeight="1">
      <c r="A8417" s="740"/>
    </row>
    <row r="8418" ht="14.25" customHeight="1">
      <c r="A8418" s="740"/>
    </row>
    <row r="8419" ht="14.25" customHeight="1">
      <c r="A8419" s="740"/>
    </row>
    <row r="8420" ht="14.25" customHeight="1">
      <c r="A8420" s="740"/>
    </row>
    <row r="8421" ht="14.25" customHeight="1">
      <c r="A8421" s="740"/>
    </row>
    <row r="8422" ht="14.25" customHeight="1">
      <c r="A8422" s="740"/>
    </row>
    <row r="8423" ht="14.25" customHeight="1">
      <c r="A8423" s="740"/>
    </row>
    <row r="8424" ht="14.25" customHeight="1">
      <c r="A8424" s="740"/>
    </row>
    <row r="8425" ht="14.25" customHeight="1">
      <c r="A8425" s="740"/>
    </row>
    <row r="8426" ht="14.25" customHeight="1">
      <c r="A8426" s="740"/>
    </row>
    <row r="8427" ht="14.25" customHeight="1">
      <c r="A8427" s="740"/>
    </row>
    <row r="8428" ht="14.25" customHeight="1">
      <c r="A8428" s="740"/>
    </row>
    <row r="8429" ht="14.25" customHeight="1">
      <c r="A8429" s="740"/>
    </row>
    <row r="8430" ht="14.25" customHeight="1">
      <c r="A8430" s="740"/>
    </row>
    <row r="8431" ht="14.25" customHeight="1">
      <c r="A8431" s="740"/>
    </row>
    <row r="8432" ht="14.25" customHeight="1">
      <c r="A8432" s="740"/>
    </row>
    <row r="8433" ht="14.25" customHeight="1">
      <c r="A8433" s="740"/>
    </row>
    <row r="8434" ht="14.25" customHeight="1">
      <c r="A8434" s="740"/>
    </row>
    <row r="8435" ht="14.25" customHeight="1">
      <c r="A8435" s="740"/>
    </row>
    <row r="8436" ht="14.25" customHeight="1">
      <c r="A8436" s="740"/>
    </row>
    <row r="8437" ht="14.25" customHeight="1">
      <c r="A8437" s="740"/>
    </row>
    <row r="8438" ht="14.25" customHeight="1">
      <c r="A8438" s="740"/>
    </row>
    <row r="8439" ht="14.25" customHeight="1">
      <c r="A8439" s="740"/>
    </row>
    <row r="8440" ht="14.25" customHeight="1">
      <c r="A8440" s="740"/>
    </row>
    <row r="8441" ht="14.25" customHeight="1">
      <c r="A8441" s="740"/>
    </row>
    <row r="8442" ht="14.25" customHeight="1">
      <c r="A8442" s="740"/>
    </row>
    <row r="8443" ht="14.25" customHeight="1">
      <c r="A8443" s="740"/>
    </row>
    <row r="8444" ht="14.25" customHeight="1">
      <c r="A8444" s="740"/>
    </row>
    <row r="8445" ht="14.25" customHeight="1">
      <c r="A8445" s="740"/>
    </row>
    <row r="8446" ht="14.25" customHeight="1">
      <c r="A8446" s="740"/>
    </row>
    <row r="8447" ht="14.25" customHeight="1">
      <c r="A8447" s="740"/>
    </row>
    <row r="8448" ht="14.25" customHeight="1">
      <c r="A8448" s="740"/>
    </row>
    <row r="8449" ht="14.25" customHeight="1">
      <c r="A8449" s="740"/>
    </row>
    <row r="8450" ht="14.25" customHeight="1">
      <c r="A8450" s="740"/>
    </row>
    <row r="8451" ht="14.25" customHeight="1">
      <c r="A8451" s="740"/>
    </row>
    <row r="8452" ht="14.25" customHeight="1">
      <c r="A8452" s="740"/>
    </row>
    <row r="8453" ht="14.25" customHeight="1">
      <c r="A8453" s="740"/>
    </row>
    <row r="8454" ht="14.25" customHeight="1">
      <c r="A8454" s="740"/>
    </row>
    <row r="8455" ht="14.25" customHeight="1">
      <c r="A8455" s="740"/>
    </row>
    <row r="8456" ht="14.25" customHeight="1">
      <c r="A8456" s="740"/>
    </row>
    <row r="8457" ht="14.25" customHeight="1">
      <c r="A8457" s="740"/>
    </row>
    <row r="8458" ht="14.25" customHeight="1">
      <c r="A8458" s="740"/>
    </row>
    <row r="8459" ht="14.25" customHeight="1">
      <c r="A8459" s="740"/>
    </row>
    <row r="8460" ht="14.25" customHeight="1">
      <c r="A8460" s="740"/>
    </row>
    <row r="8461" ht="14.25" customHeight="1">
      <c r="A8461" s="740"/>
    </row>
    <row r="8462" ht="14.25" customHeight="1">
      <c r="A8462" s="740"/>
    </row>
    <row r="8463" ht="14.25" customHeight="1">
      <c r="A8463" s="740"/>
    </row>
    <row r="8464" ht="14.25" customHeight="1">
      <c r="A8464" s="740"/>
    </row>
    <row r="8465" ht="14.25" customHeight="1">
      <c r="A8465" s="740"/>
    </row>
    <row r="8466" ht="14.25" customHeight="1">
      <c r="A8466" s="740"/>
    </row>
    <row r="8467" ht="14.25" customHeight="1">
      <c r="A8467" s="740"/>
    </row>
    <row r="8468" ht="14.25" customHeight="1">
      <c r="A8468" s="740"/>
    </row>
    <row r="8469" ht="14.25" customHeight="1">
      <c r="A8469" s="740"/>
    </row>
    <row r="8470" ht="14.25" customHeight="1">
      <c r="A8470" s="740"/>
    </row>
    <row r="8471" ht="14.25" customHeight="1">
      <c r="A8471" s="740"/>
    </row>
    <row r="8472" ht="14.25" customHeight="1">
      <c r="A8472" s="740"/>
    </row>
    <row r="8473" ht="14.25" customHeight="1">
      <c r="A8473" s="740"/>
    </row>
    <row r="8474" ht="14.25" customHeight="1">
      <c r="A8474" s="740"/>
    </row>
    <row r="8475" ht="14.25" customHeight="1">
      <c r="A8475" s="740"/>
    </row>
    <row r="8476" ht="14.25" customHeight="1">
      <c r="A8476" s="740"/>
    </row>
    <row r="8477" ht="14.25" customHeight="1">
      <c r="A8477" s="740"/>
    </row>
    <row r="8478" ht="14.25" customHeight="1">
      <c r="A8478" s="740"/>
    </row>
    <row r="8479" ht="14.25" customHeight="1">
      <c r="A8479" s="740"/>
    </row>
    <row r="8480" ht="14.25" customHeight="1">
      <c r="A8480" s="740"/>
    </row>
    <row r="8481" ht="14.25" customHeight="1">
      <c r="A8481" s="740"/>
    </row>
    <row r="8482" ht="14.25" customHeight="1">
      <c r="A8482" s="740"/>
    </row>
    <row r="8483" ht="14.25" customHeight="1">
      <c r="A8483" s="740"/>
    </row>
    <row r="8484" ht="14.25" customHeight="1">
      <c r="A8484" s="740"/>
    </row>
    <row r="8485" ht="14.25" customHeight="1">
      <c r="A8485" s="740"/>
    </row>
    <row r="8486" ht="14.25" customHeight="1">
      <c r="A8486" s="740"/>
    </row>
    <row r="8487" ht="14.25" customHeight="1">
      <c r="A8487" s="740"/>
    </row>
    <row r="8488" ht="14.25" customHeight="1">
      <c r="A8488" s="740"/>
    </row>
    <row r="8489" ht="14.25" customHeight="1">
      <c r="A8489" s="740"/>
    </row>
    <row r="8490" ht="14.25" customHeight="1">
      <c r="A8490" s="740"/>
    </row>
    <row r="8491" ht="14.25" customHeight="1">
      <c r="A8491" s="740"/>
    </row>
    <row r="8492" ht="14.25" customHeight="1">
      <c r="A8492" s="740"/>
    </row>
    <row r="8493" ht="14.25" customHeight="1">
      <c r="A8493" s="740"/>
    </row>
    <row r="8494" ht="14.25" customHeight="1">
      <c r="A8494" s="740"/>
    </row>
    <row r="8495" ht="14.25" customHeight="1">
      <c r="A8495" s="740"/>
    </row>
    <row r="8496" ht="14.25" customHeight="1">
      <c r="A8496" s="740"/>
    </row>
    <row r="8497" ht="14.25" customHeight="1">
      <c r="A8497" s="740"/>
    </row>
    <row r="8498" ht="14.25" customHeight="1">
      <c r="A8498" s="740"/>
    </row>
    <row r="8499" ht="14.25" customHeight="1">
      <c r="A8499" s="740"/>
    </row>
    <row r="8500" ht="14.25" customHeight="1">
      <c r="A8500" s="740"/>
    </row>
    <row r="8501" ht="14.25" customHeight="1">
      <c r="A8501" s="740"/>
    </row>
    <row r="8502" ht="14.25" customHeight="1">
      <c r="A8502" s="740"/>
    </row>
    <row r="8503" ht="14.25" customHeight="1">
      <c r="A8503" s="740"/>
    </row>
    <row r="8504" ht="14.25" customHeight="1">
      <c r="A8504" s="740"/>
    </row>
    <row r="8505" ht="14.25" customHeight="1">
      <c r="A8505" s="740"/>
    </row>
    <row r="8506" ht="14.25" customHeight="1">
      <c r="A8506" s="740"/>
    </row>
    <row r="8507" ht="14.25" customHeight="1">
      <c r="A8507" s="740"/>
    </row>
    <row r="8508" ht="14.25" customHeight="1">
      <c r="A8508" s="740"/>
    </row>
    <row r="8509" ht="14.25" customHeight="1">
      <c r="A8509" s="740"/>
    </row>
    <row r="8510" ht="14.25" customHeight="1">
      <c r="A8510" s="740"/>
    </row>
    <row r="8511" ht="14.25" customHeight="1">
      <c r="A8511" s="740"/>
    </row>
    <row r="8512" ht="14.25" customHeight="1">
      <c r="A8512" s="740"/>
    </row>
    <row r="8513" ht="14.25" customHeight="1">
      <c r="A8513" s="740"/>
    </row>
    <row r="8514" ht="14.25" customHeight="1">
      <c r="A8514" s="740"/>
    </row>
    <row r="8515" ht="14.25" customHeight="1">
      <c r="A8515" s="740"/>
    </row>
    <row r="8516" ht="14.25" customHeight="1">
      <c r="A8516" s="740"/>
    </row>
    <row r="8517" ht="14.25" customHeight="1">
      <c r="A8517" s="740"/>
    </row>
    <row r="8518" ht="14.25" customHeight="1">
      <c r="A8518" s="740"/>
    </row>
    <row r="8519" ht="14.25" customHeight="1">
      <c r="A8519" s="740"/>
    </row>
    <row r="8520" ht="14.25" customHeight="1">
      <c r="A8520" s="740"/>
    </row>
    <row r="8521" ht="14.25" customHeight="1">
      <c r="A8521" s="740"/>
    </row>
    <row r="8522" ht="14.25" customHeight="1">
      <c r="A8522" s="740"/>
    </row>
    <row r="8523" ht="14.25" customHeight="1">
      <c r="A8523" s="740"/>
    </row>
    <row r="8524" ht="14.25" customHeight="1">
      <c r="A8524" s="740"/>
    </row>
    <row r="8525" ht="14.25" customHeight="1">
      <c r="A8525" s="740"/>
    </row>
    <row r="8526" ht="14.25" customHeight="1">
      <c r="A8526" s="740"/>
    </row>
    <row r="8527" ht="14.25" customHeight="1">
      <c r="A8527" s="740"/>
    </row>
    <row r="8528" ht="14.25" customHeight="1">
      <c r="A8528" s="740"/>
    </row>
    <row r="8529" ht="14.25" customHeight="1">
      <c r="A8529" s="740"/>
    </row>
    <row r="8530" ht="14.25" customHeight="1">
      <c r="A8530" s="740"/>
    </row>
    <row r="8531" ht="14.25" customHeight="1">
      <c r="A8531" s="740"/>
    </row>
    <row r="8532" ht="14.25" customHeight="1">
      <c r="A8532" s="740"/>
    </row>
    <row r="8533" ht="14.25" customHeight="1">
      <c r="A8533" s="740"/>
    </row>
    <row r="8534" ht="14.25" customHeight="1">
      <c r="A8534" s="740"/>
    </row>
    <row r="8535" ht="14.25" customHeight="1">
      <c r="A8535" s="740"/>
    </row>
    <row r="8536" ht="14.25" customHeight="1">
      <c r="A8536" s="740"/>
    </row>
    <row r="8537" ht="14.25" customHeight="1">
      <c r="A8537" s="740"/>
    </row>
    <row r="8538" ht="14.25" customHeight="1">
      <c r="A8538" s="740"/>
    </row>
    <row r="8539" ht="14.25" customHeight="1">
      <c r="A8539" s="740"/>
    </row>
    <row r="8540" ht="14.25" customHeight="1">
      <c r="A8540" s="740"/>
    </row>
    <row r="8541" ht="14.25" customHeight="1">
      <c r="A8541" s="740"/>
    </row>
    <row r="8542" ht="14.25" customHeight="1">
      <c r="A8542" s="740"/>
    </row>
    <row r="8543" ht="14.25" customHeight="1">
      <c r="A8543" s="740"/>
    </row>
    <row r="8544" ht="14.25" customHeight="1">
      <c r="A8544" s="740"/>
    </row>
    <row r="8545" ht="14.25" customHeight="1">
      <c r="A8545" s="740"/>
    </row>
    <row r="8546" ht="14.25" customHeight="1">
      <c r="A8546" s="740"/>
    </row>
    <row r="8547" ht="14.25" customHeight="1">
      <c r="A8547" s="740"/>
    </row>
    <row r="8548" ht="14.25" customHeight="1">
      <c r="A8548" s="740"/>
    </row>
    <row r="8549" ht="14.25" customHeight="1">
      <c r="A8549" s="740"/>
    </row>
    <row r="8550" ht="14.25" customHeight="1">
      <c r="A8550" s="740"/>
    </row>
    <row r="8551" ht="14.25" customHeight="1">
      <c r="A8551" s="740"/>
    </row>
    <row r="8552" ht="14.25" customHeight="1">
      <c r="A8552" s="740"/>
    </row>
    <row r="8553" ht="14.25" customHeight="1">
      <c r="A8553" s="740"/>
    </row>
    <row r="8554" ht="14.25" customHeight="1">
      <c r="A8554" s="740"/>
    </row>
    <row r="8555" ht="14.25" customHeight="1">
      <c r="A8555" s="740"/>
    </row>
    <row r="8556" ht="14.25" customHeight="1">
      <c r="A8556" s="740"/>
    </row>
    <row r="8557" ht="14.25" customHeight="1">
      <c r="A8557" s="740"/>
    </row>
    <row r="8558" ht="14.25" customHeight="1">
      <c r="A8558" s="740"/>
    </row>
    <row r="8559" ht="14.25" customHeight="1">
      <c r="A8559" s="740"/>
    </row>
    <row r="8560" ht="14.25" customHeight="1">
      <c r="A8560" s="740"/>
    </row>
    <row r="8561" ht="14.25" customHeight="1">
      <c r="A8561" s="740"/>
    </row>
    <row r="8562" ht="14.25" customHeight="1">
      <c r="A8562" s="740"/>
    </row>
    <row r="8563" ht="14.25" customHeight="1">
      <c r="A8563" s="740"/>
    </row>
    <row r="8564" ht="14.25" customHeight="1">
      <c r="A8564" s="740"/>
    </row>
    <row r="8565" ht="14.25" customHeight="1">
      <c r="A8565" s="740"/>
    </row>
    <row r="8566" ht="14.25" customHeight="1">
      <c r="A8566" s="740"/>
    </row>
    <row r="8567" ht="14.25" customHeight="1">
      <c r="A8567" s="740"/>
    </row>
    <row r="8568" ht="14.25" customHeight="1">
      <c r="A8568" s="740"/>
    </row>
    <row r="8569" ht="14.25" customHeight="1">
      <c r="A8569" s="740"/>
    </row>
    <row r="8570" ht="14.25" customHeight="1">
      <c r="A8570" s="740"/>
    </row>
    <row r="8571" ht="14.25" customHeight="1">
      <c r="A8571" s="740"/>
    </row>
    <row r="8572" ht="14.25" customHeight="1">
      <c r="A8572" s="740"/>
    </row>
    <row r="8573" ht="14.25" customHeight="1">
      <c r="A8573" s="740"/>
    </row>
    <row r="8574" ht="14.25" customHeight="1">
      <c r="A8574" s="740"/>
    </row>
    <row r="8575" ht="14.25" customHeight="1">
      <c r="A8575" s="740"/>
    </row>
    <row r="8576" ht="14.25" customHeight="1">
      <c r="A8576" s="740"/>
    </row>
    <row r="8577" ht="14.25" customHeight="1">
      <c r="A8577" s="740"/>
    </row>
    <row r="8578" ht="14.25" customHeight="1">
      <c r="A8578" s="740"/>
    </row>
    <row r="8579" ht="14.25" customHeight="1">
      <c r="A8579" s="740"/>
    </row>
    <row r="8580" ht="14.25" customHeight="1">
      <c r="A8580" s="740"/>
    </row>
    <row r="8581" ht="14.25" customHeight="1">
      <c r="A8581" s="740"/>
    </row>
    <row r="8582" ht="14.25" customHeight="1">
      <c r="A8582" s="740"/>
    </row>
    <row r="8583" ht="14.25" customHeight="1">
      <c r="A8583" s="740"/>
    </row>
    <row r="8584" ht="14.25" customHeight="1">
      <c r="A8584" s="740"/>
    </row>
    <row r="8585" ht="14.25" customHeight="1">
      <c r="A8585" s="740"/>
    </row>
    <row r="8586" ht="14.25" customHeight="1">
      <c r="A8586" s="740"/>
    </row>
    <row r="8587" ht="14.25" customHeight="1">
      <c r="A8587" s="740"/>
    </row>
    <row r="8588" ht="14.25" customHeight="1">
      <c r="A8588" s="740"/>
    </row>
    <row r="8589" ht="14.25" customHeight="1">
      <c r="A8589" s="740"/>
    </row>
    <row r="8590" ht="14.25" customHeight="1">
      <c r="A8590" s="740"/>
    </row>
    <row r="8591" ht="14.25" customHeight="1">
      <c r="A8591" s="740"/>
    </row>
    <row r="8592" ht="14.25" customHeight="1">
      <c r="A8592" s="740"/>
    </row>
    <row r="8593" ht="14.25" customHeight="1">
      <c r="A8593" s="740"/>
    </row>
    <row r="8594" ht="14.25" customHeight="1">
      <c r="A8594" s="740"/>
    </row>
    <row r="8595" ht="14.25" customHeight="1">
      <c r="A8595" s="740"/>
    </row>
    <row r="8596" ht="14.25" customHeight="1">
      <c r="A8596" s="740"/>
    </row>
    <row r="8597" ht="14.25" customHeight="1">
      <c r="A8597" s="740"/>
    </row>
    <row r="8598" ht="14.25" customHeight="1">
      <c r="A8598" s="740"/>
    </row>
    <row r="8599" ht="14.25" customHeight="1">
      <c r="A8599" s="740"/>
    </row>
    <row r="8600" ht="14.25" customHeight="1">
      <c r="A8600" s="740"/>
    </row>
    <row r="8601" ht="14.25" customHeight="1">
      <c r="A8601" s="740"/>
    </row>
    <row r="8602" ht="14.25" customHeight="1">
      <c r="A8602" s="740"/>
    </row>
    <row r="8603" ht="14.25" customHeight="1">
      <c r="A8603" s="740"/>
    </row>
    <row r="8604" ht="14.25" customHeight="1">
      <c r="A8604" s="740"/>
    </row>
    <row r="8605" ht="14.25" customHeight="1">
      <c r="A8605" s="740"/>
    </row>
    <row r="8606" ht="14.25" customHeight="1">
      <c r="A8606" s="740"/>
    </row>
    <row r="8607" ht="14.25" customHeight="1">
      <c r="A8607" s="740"/>
    </row>
    <row r="8608" ht="14.25" customHeight="1">
      <c r="A8608" s="740"/>
    </row>
    <row r="8609" ht="14.25" customHeight="1">
      <c r="A8609" s="740"/>
    </row>
    <row r="8610" ht="14.25" customHeight="1">
      <c r="A8610" s="740"/>
    </row>
    <row r="8611" ht="14.25" customHeight="1">
      <c r="A8611" s="740"/>
    </row>
    <row r="8612" ht="14.25" customHeight="1">
      <c r="A8612" s="740"/>
    </row>
    <row r="8613" ht="14.25" customHeight="1">
      <c r="A8613" s="740"/>
    </row>
    <row r="8614" ht="14.25" customHeight="1">
      <c r="A8614" s="740"/>
    </row>
    <row r="8615" ht="14.25" customHeight="1">
      <c r="A8615" s="740"/>
    </row>
    <row r="8616" ht="14.25" customHeight="1">
      <c r="A8616" s="740"/>
    </row>
    <row r="8617" ht="14.25" customHeight="1">
      <c r="A8617" s="740"/>
    </row>
    <row r="8618" ht="14.25" customHeight="1">
      <c r="A8618" s="740"/>
    </row>
    <row r="8619" ht="14.25" customHeight="1">
      <c r="A8619" s="740"/>
    </row>
    <row r="8620" ht="14.25" customHeight="1">
      <c r="A8620" s="740"/>
    </row>
    <row r="8621" ht="14.25" customHeight="1">
      <c r="A8621" s="740"/>
    </row>
    <row r="8622" ht="14.25" customHeight="1">
      <c r="A8622" s="740"/>
    </row>
    <row r="8623" ht="14.25" customHeight="1">
      <c r="A8623" s="740"/>
    </row>
    <row r="8624" ht="14.25" customHeight="1">
      <c r="A8624" s="740"/>
    </row>
    <row r="8625" ht="14.25" customHeight="1">
      <c r="A8625" s="740"/>
    </row>
    <row r="8626" ht="14.25" customHeight="1">
      <c r="A8626" s="740"/>
    </row>
    <row r="8627" ht="14.25" customHeight="1">
      <c r="A8627" s="740"/>
    </row>
    <row r="8628" ht="14.25" customHeight="1">
      <c r="A8628" s="740"/>
    </row>
    <row r="8629" ht="14.25" customHeight="1">
      <c r="A8629" s="740"/>
    </row>
    <row r="8630" ht="14.25" customHeight="1">
      <c r="A8630" s="740"/>
    </row>
    <row r="8631" ht="14.25" customHeight="1">
      <c r="A8631" s="740"/>
    </row>
    <row r="8632" ht="14.25" customHeight="1">
      <c r="A8632" s="740"/>
    </row>
    <row r="8633" ht="14.25" customHeight="1">
      <c r="A8633" s="740"/>
    </row>
    <row r="8634" ht="14.25" customHeight="1">
      <c r="A8634" s="740"/>
    </row>
    <row r="8635" ht="14.25" customHeight="1">
      <c r="A8635" s="740"/>
    </row>
    <row r="8636" ht="14.25" customHeight="1">
      <c r="A8636" s="740"/>
    </row>
    <row r="8637" ht="14.25" customHeight="1">
      <c r="A8637" s="740"/>
    </row>
    <row r="8638" ht="14.25" customHeight="1">
      <c r="A8638" s="740"/>
    </row>
    <row r="8639" ht="14.25" customHeight="1">
      <c r="A8639" s="740"/>
    </row>
    <row r="8640" ht="14.25" customHeight="1">
      <c r="A8640" s="740"/>
    </row>
    <row r="8641" ht="14.25" customHeight="1">
      <c r="A8641" s="740"/>
    </row>
    <row r="8642" ht="14.25" customHeight="1">
      <c r="A8642" s="740"/>
    </row>
    <row r="8643" ht="14.25" customHeight="1">
      <c r="A8643" s="740"/>
    </row>
    <row r="8644" ht="14.25" customHeight="1">
      <c r="A8644" s="740"/>
    </row>
    <row r="8645" ht="14.25" customHeight="1">
      <c r="A8645" s="740"/>
    </row>
    <row r="8646" ht="14.25" customHeight="1">
      <c r="A8646" s="740"/>
    </row>
    <row r="8647" ht="14.25" customHeight="1">
      <c r="A8647" s="740"/>
    </row>
    <row r="8648" ht="14.25" customHeight="1">
      <c r="A8648" s="740"/>
    </row>
    <row r="8649" ht="14.25" customHeight="1">
      <c r="A8649" s="740"/>
    </row>
    <row r="8650" ht="14.25" customHeight="1">
      <c r="A8650" s="740"/>
    </row>
    <row r="8651" ht="14.25" customHeight="1">
      <c r="A8651" s="740"/>
    </row>
    <row r="8652" ht="14.25" customHeight="1">
      <c r="A8652" s="740"/>
    </row>
    <row r="8653" ht="14.25" customHeight="1">
      <c r="A8653" s="740"/>
    </row>
    <row r="8654" ht="14.25" customHeight="1">
      <c r="A8654" s="740"/>
    </row>
    <row r="8655" ht="14.25" customHeight="1">
      <c r="A8655" s="740"/>
    </row>
    <row r="8656" ht="14.25" customHeight="1">
      <c r="A8656" s="740"/>
    </row>
    <row r="8657" ht="14.25" customHeight="1">
      <c r="A8657" s="740"/>
    </row>
    <row r="8658" ht="14.25" customHeight="1">
      <c r="A8658" s="740"/>
    </row>
    <row r="8659" ht="14.25" customHeight="1">
      <c r="A8659" s="740"/>
    </row>
    <row r="8660" ht="14.25" customHeight="1">
      <c r="A8660" s="740"/>
    </row>
    <row r="8661" ht="14.25" customHeight="1">
      <c r="A8661" s="740"/>
    </row>
    <row r="8662" ht="14.25" customHeight="1">
      <c r="A8662" s="740"/>
    </row>
    <row r="8663" ht="14.25" customHeight="1">
      <c r="A8663" s="740"/>
    </row>
    <row r="8664" ht="14.25" customHeight="1">
      <c r="A8664" s="740"/>
    </row>
    <row r="8665" ht="14.25" customHeight="1">
      <c r="A8665" s="740"/>
    </row>
    <row r="8666" ht="14.25" customHeight="1">
      <c r="A8666" s="740"/>
    </row>
    <row r="8667" ht="14.25" customHeight="1">
      <c r="A8667" s="740"/>
    </row>
    <row r="8668" ht="14.25" customHeight="1">
      <c r="A8668" s="740"/>
    </row>
    <row r="8669" ht="14.25" customHeight="1">
      <c r="A8669" s="740"/>
    </row>
    <row r="8670" ht="14.25" customHeight="1">
      <c r="A8670" s="740"/>
    </row>
    <row r="8671" ht="14.25" customHeight="1">
      <c r="A8671" s="740"/>
    </row>
    <row r="8672" ht="14.25" customHeight="1">
      <c r="A8672" s="740"/>
    </row>
    <row r="8673" ht="14.25" customHeight="1">
      <c r="A8673" s="740"/>
    </row>
    <row r="8674" ht="14.25" customHeight="1">
      <c r="A8674" s="740"/>
    </row>
    <row r="8675" ht="14.25" customHeight="1">
      <c r="A8675" s="740"/>
    </row>
    <row r="8676" ht="14.25" customHeight="1">
      <c r="A8676" s="740"/>
    </row>
    <row r="8677" ht="14.25" customHeight="1">
      <c r="A8677" s="740"/>
    </row>
    <row r="8678" ht="14.25" customHeight="1">
      <c r="A8678" s="740"/>
    </row>
    <row r="8679" ht="14.25" customHeight="1">
      <c r="A8679" s="740"/>
    </row>
    <row r="8680" ht="14.25" customHeight="1">
      <c r="A8680" s="740"/>
    </row>
    <row r="8681" ht="14.25" customHeight="1">
      <c r="A8681" s="740"/>
    </row>
    <row r="8682" ht="14.25" customHeight="1">
      <c r="A8682" s="740"/>
    </row>
    <row r="8683" ht="14.25" customHeight="1">
      <c r="A8683" s="740"/>
    </row>
    <row r="8684" ht="14.25" customHeight="1">
      <c r="A8684" s="740"/>
    </row>
    <row r="8685" ht="14.25" customHeight="1">
      <c r="A8685" s="740"/>
    </row>
    <row r="8686" ht="14.25" customHeight="1">
      <c r="A8686" s="740"/>
    </row>
    <row r="8687" ht="14.25" customHeight="1">
      <c r="A8687" s="740"/>
    </row>
    <row r="8688" ht="14.25" customHeight="1">
      <c r="A8688" s="740"/>
    </row>
    <row r="8689" ht="14.25" customHeight="1">
      <c r="A8689" s="740"/>
    </row>
    <row r="8690" ht="14.25" customHeight="1">
      <c r="A8690" s="740"/>
    </row>
    <row r="8691" ht="14.25" customHeight="1">
      <c r="A8691" s="740"/>
    </row>
    <row r="8692" ht="14.25" customHeight="1">
      <c r="A8692" s="740"/>
    </row>
    <row r="8693" ht="14.25" customHeight="1">
      <c r="A8693" s="740"/>
    </row>
    <row r="8694" ht="14.25" customHeight="1">
      <c r="A8694" s="740"/>
    </row>
    <row r="8695" ht="14.25" customHeight="1">
      <c r="A8695" s="740"/>
    </row>
    <row r="8696" ht="14.25" customHeight="1">
      <c r="A8696" s="740"/>
    </row>
    <row r="8697" ht="14.25" customHeight="1">
      <c r="A8697" s="740"/>
    </row>
    <row r="8698" ht="14.25" customHeight="1">
      <c r="A8698" s="740"/>
    </row>
    <row r="8699" ht="14.25" customHeight="1">
      <c r="A8699" s="740"/>
    </row>
    <row r="8700" ht="14.25" customHeight="1">
      <c r="A8700" s="740"/>
    </row>
    <row r="8701" ht="14.25" customHeight="1">
      <c r="A8701" s="740"/>
    </row>
    <row r="8702" ht="14.25" customHeight="1">
      <c r="A8702" s="740"/>
    </row>
    <row r="8703" ht="14.25" customHeight="1">
      <c r="A8703" s="740"/>
    </row>
    <row r="8704" ht="14.25" customHeight="1">
      <c r="A8704" s="740"/>
    </row>
    <row r="8705" ht="14.25" customHeight="1">
      <c r="A8705" s="740"/>
    </row>
    <row r="8706" ht="14.25" customHeight="1">
      <c r="A8706" s="740"/>
    </row>
    <row r="8707" ht="14.25" customHeight="1">
      <c r="A8707" s="740"/>
    </row>
    <row r="8708" ht="14.25" customHeight="1">
      <c r="A8708" s="740"/>
    </row>
    <row r="8709" ht="14.25" customHeight="1">
      <c r="A8709" s="740"/>
    </row>
    <row r="8710" ht="14.25" customHeight="1">
      <c r="A8710" s="740"/>
    </row>
    <row r="8711" ht="14.25" customHeight="1">
      <c r="A8711" s="740"/>
    </row>
    <row r="8712" ht="14.25" customHeight="1">
      <c r="A8712" s="740"/>
    </row>
    <row r="8713" ht="14.25" customHeight="1">
      <c r="A8713" s="740"/>
    </row>
    <row r="8714" ht="14.25" customHeight="1">
      <c r="A8714" s="740"/>
    </row>
    <row r="8715" ht="14.25" customHeight="1">
      <c r="A8715" s="740"/>
    </row>
    <row r="8716" ht="14.25" customHeight="1">
      <c r="A8716" s="740"/>
    </row>
    <row r="8717" ht="14.25" customHeight="1">
      <c r="A8717" s="740"/>
    </row>
    <row r="8718" ht="14.25" customHeight="1">
      <c r="A8718" s="740"/>
    </row>
    <row r="8719" ht="14.25" customHeight="1">
      <c r="A8719" s="740"/>
    </row>
    <row r="8720" ht="14.25" customHeight="1">
      <c r="A8720" s="740"/>
    </row>
    <row r="8721" ht="14.25" customHeight="1">
      <c r="A8721" s="740"/>
    </row>
    <row r="8722" ht="14.25" customHeight="1">
      <c r="A8722" s="740"/>
    </row>
    <row r="8723" ht="14.25" customHeight="1">
      <c r="A8723" s="740"/>
    </row>
    <row r="8724" ht="14.25" customHeight="1">
      <c r="A8724" s="740"/>
    </row>
    <row r="8725" ht="14.25" customHeight="1">
      <c r="A8725" s="740"/>
    </row>
    <row r="8726" ht="14.25" customHeight="1">
      <c r="A8726" s="740"/>
    </row>
    <row r="8727" ht="14.25" customHeight="1">
      <c r="A8727" s="740"/>
    </row>
    <row r="8728" ht="14.25" customHeight="1">
      <c r="A8728" s="740"/>
    </row>
    <row r="8729" ht="14.25" customHeight="1">
      <c r="A8729" s="740"/>
    </row>
    <row r="8730" ht="14.25" customHeight="1">
      <c r="A8730" s="740"/>
    </row>
    <row r="8731" ht="14.25" customHeight="1">
      <c r="A8731" s="740"/>
    </row>
    <row r="8732" ht="14.25" customHeight="1">
      <c r="A8732" s="740"/>
    </row>
    <row r="8733" ht="14.25" customHeight="1">
      <c r="A8733" s="740"/>
    </row>
    <row r="8734" ht="14.25" customHeight="1">
      <c r="A8734" s="740"/>
    </row>
    <row r="8735" ht="14.25" customHeight="1">
      <c r="A8735" s="740"/>
    </row>
    <row r="8736" ht="14.25" customHeight="1">
      <c r="A8736" s="740"/>
    </row>
    <row r="8737" ht="14.25" customHeight="1">
      <c r="A8737" s="740"/>
    </row>
    <row r="8738" ht="14.25" customHeight="1">
      <c r="A8738" s="740"/>
    </row>
    <row r="8739" ht="14.25" customHeight="1">
      <c r="A8739" s="740"/>
    </row>
    <row r="8740" ht="14.25" customHeight="1">
      <c r="A8740" s="740"/>
    </row>
    <row r="8741" ht="14.25" customHeight="1">
      <c r="A8741" s="740"/>
    </row>
    <row r="8742" ht="14.25" customHeight="1">
      <c r="A8742" s="740"/>
    </row>
    <row r="8743" ht="14.25" customHeight="1">
      <c r="A8743" s="740"/>
    </row>
    <row r="8744" ht="14.25" customHeight="1">
      <c r="A8744" s="740"/>
    </row>
    <row r="8745" ht="14.25" customHeight="1">
      <c r="A8745" s="740"/>
    </row>
    <row r="8746" ht="14.25" customHeight="1">
      <c r="A8746" s="740"/>
    </row>
    <row r="8747" ht="14.25" customHeight="1">
      <c r="A8747" s="740"/>
    </row>
    <row r="8748" ht="14.25" customHeight="1">
      <c r="A8748" s="740"/>
    </row>
    <row r="8749" ht="14.25" customHeight="1">
      <c r="A8749" s="740"/>
    </row>
    <row r="8750" ht="14.25" customHeight="1">
      <c r="A8750" s="740"/>
    </row>
    <row r="8751" ht="14.25" customHeight="1">
      <c r="A8751" s="740"/>
    </row>
    <row r="8752" ht="14.25" customHeight="1">
      <c r="A8752" s="740"/>
    </row>
    <row r="8753" ht="14.25" customHeight="1">
      <c r="A8753" s="740"/>
    </row>
    <row r="8754" ht="14.25" customHeight="1">
      <c r="A8754" s="740"/>
    </row>
    <row r="8755" ht="14.25" customHeight="1">
      <c r="A8755" s="740"/>
    </row>
    <row r="8756" ht="14.25" customHeight="1">
      <c r="A8756" s="740"/>
    </row>
    <row r="8757" ht="14.25" customHeight="1">
      <c r="A8757" s="740"/>
    </row>
    <row r="8758" ht="14.25" customHeight="1">
      <c r="A8758" s="740"/>
    </row>
    <row r="8759" ht="14.25" customHeight="1">
      <c r="A8759" s="740"/>
    </row>
    <row r="8760" ht="14.25" customHeight="1">
      <c r="A8760" s="740"/>
    </row>
    <row r="8761" ht="14.25" customHeight="1">
      <c r="A8761" s="740"/>
    </row>
    <row r="8762" ht="14.25" customHeight="1">
      <c r="A8762" s="740"/>
    </row>
    <row r="8763" ht="14.25" customHeight="1">
      <c r="A8763" s="740"/>
    </row>
    <row r="8764" ht="14.25" customHeight="1">
      <c r="A8764" s="740"/>
    </row>
    <row r="8765" ht="14.25" customHeight="1">
      <c r="A8765" s="740"/>
    </row>
    <row r="8766" ht="14.25" customHeight="1">
      <c r="A8766" s="740"/>
    </row>
    <row r="8767" ht="14.25" customHeight="1">
      <c r="A8767" s="740"/>
    </row>
    <row r="8768" ht="14.25" customHeight="1">
      <c r="A8768" s="740"/>
    </row>
    <row r="8769" ht="14.25" customHeight="1">
      <c r="A8769" s="740"/>
    </row>
    <row r="8770" ht="14.25" customHeight="1">
      <c r="A8770" s="740"/>
    </row>
    <row r="8771" ht="14.25" customHeight="1">
      <c r="A8771" s="740"/>
    </row>
    <row r="8772" ht="14.25" customHeight="1">
      <c r="A8772" s="740"/>
    </row>
    <row r="8773" ht="14.25" customHeight="1">
      <c r="A8773" s="740"/>
    </row>
    <row r="8774" ht="14.25" customHeight="1">
      <c r="A8774" s="740"/>
    </row>
    <row r="8775" ht="14.25" customHeight="1">
      <c r="A8775" s="740"/>
    </row>
    <row r="8776" ht="14.25" customHeight="1">
      <c r="A8776" s="740"/>
    </row>
    <row r="8777" ht="14.25" customHeight="1">
      <c r="A8777" s="740"/>
    </row>
    <row r="8778" ht="14.25" customHeight="1">
      <c r="A8778" s="740"/>
    </row>
    <row r="8779" ht="14.25" customHeight="1">
      <c r="A8779" s="740"/>
    </row>
    <row r="8780" ht="14.25" customHeight="1">
      <c r="A8780" s="740"/>
    </row>
    <row r="8781" ht="14.25" customHeight="1">
      <c r="A8781" s="740"/>
    </row>
    <row r="8782" ht="14.25" customHeight="1">
      <c r="A8782" s="740"/>
    </row>
    <row r="8783" ht="14.25" customHeight="1">
      <c r="A8783" s="740"/>
    </row>
    <row r="8784" ht="14.25" customHeight="1">
      <c r="A8784" s="740"/>
    </row>
    <row r="8785" ht="14.25" customHeight="1">
      <c r="A8785" s="740"/>
    </row>
    <row r="8786" ht="14.25" customHeight="1">
      <c r="A8786" s="740"/>
    </row>
    <row r="8787" ht="14.25" customHeight="1">
      <c r="A8787" s="740"/>
    </row>
    <row r="8788" ht="14.25" customHeight="1">
      <c r="A8788" s="740"/>
    </row>
    <row r="8789" ht="14.25" customHeight="1">
      <c r="A8789" s="740"/>
    </row>
    <row r="8790" ht="14.25" customHeight="1">
      <c r="A8790" s="740"/>
    </row>
    <row r="8791" ht="14.25" customHeight="1">
      <c r="A8791" s="740"/>
    </row>
    <row r="8792" ht="14.25" customHeight="1">
      <c r="A8792" s="740"/>
    </row>
    <row r="8793" ht="14.25" customHeight="1">
      <c r="A8793" s="740"/>
    </row>
    <row r="8794" ht="14.25" customHeight="1">
      <c r="A8794" s="740"/>
    </row>
    <row r="8795" ht="14.25" customHeight="1">
      <c r="A8795" s="740"/>
    </row>
    <row r="8796" ht="14.25" customHeight="1">
      <c r="A8796" s="740"/>
    </row>
    <row r="8797" ht="14.25" customHeight="1">
      <c r="A8797" s="740"/>
    </row>
    <row r="8798" ht="14.25" customHeight="1">
      <c r="A8798" s="740"/>
    </row>
    <row r="8799" ht="14.25" customHeight="1">
      <c r="A8799" s="740"/>
    </row>
    <row r="8800" ht="14.25" customHeight="1">
      <c r="A8800" s="740"/>
    </row>
    <row r="8801" ht="14.25" customHeight="1">
      <c r="A8801" s="740"/>
    </row>
    <row r="8802" ht="14.25" customHeight="1">
      <c r="A8802" s="740"/>
    </row>
    <row r="8803" ht="14.25" customHeight="1">
      <c r="A8803" s="740"/>
    </row>
    <row r="8804" ht="14.25" customHeight="1">
      <c r="A8804" s="740"/>
    </row>
    <row r="8805" ht="14.25" customHeight="1">
      <c r="A8805" s="740"/>
    </row>
    <row r="8806" ht="14.25" customHeight="1">
      <c r="A8806" s="740"/>
    </row>
    <row r="8807" ht="14.25" customHeight="1">
      <c r="A8807" s="740"/>
    </row>
    <row r="8808" ht="14.25" customHeight="1">
      <c r="A8808" s="740"/>
    </row>
    <row r="8809" ht="14.25" customHeight="1">
      <c r="A8809" s="740"/>
    </row>
    <row r="8810" ht="14.25" customHeight="1">
      <c r="A8810" s="740"/>
    </row>
    <row r="8811" ht="14.25" customHeight="1">
      <c r="A8811" s="740"/>
    </row>
    <row r="8812" ht="14.25" customHeight="1">
      <c r="A8812" s="740"/>
    </row>
    <row r="8813" ht="14.25" customHeight="1">
      <c r="A8813" s="740"/>
    </row>
    <row r="8814" ht="14.25" customHeight="1">
      <c r="A8814" s="740"/>
    </row>
    <row r="8815" ht="14.25" customHeight="1">
      <c r="A8815" s="740"/>
    </row>
    <row r="8816" ht="14.25" customHeight="1">
      <c r="A8816" s="740"/>
    </row>
    <row r="8817" ht="14.25" customHeight="1">
      <c r="A8817" s="740"/>
    </row>
    <row r="8818" ht="14.25" customHeight="1">
      <c r="A8818" s="740"/>
    </row>
    <row r="8819" ht="14.25" customHeight="1">
      <c r="A8819" s="740"/>
    </row>
    <row r="8820" ht="14.25" customHeight="1">
      <c r="A8820" s="740"/>
    </row>
    <row r="8821" ht="14.25" customHeight="1">
      <c r="A8821" s="740"/>
    </row>
    <row r="8822" ht="14.25" customHeight="1">
      <c r="A8822" s="740"/>
    </row>
    <row r="8823" ht="14.25" customHeight="1">
      <c r="A8823" s="740"/>
    </row>
    <row r="8824" ht="14.25" customHeight="1">
      <c r="A8824" s="740"/>
    </row>
    <row r="8825" ht="14.25" customHeight="1">
      <c r="A8825" s="740"/>
    </row>
    <row r="8826" ht="14.25" customHeight="1">
      <c r="A8826" s="740"/>
    </row>
    <row r="8827" ht="14.25" customHeight="1">
      <c r="A8827" s="740"/>
    </row>
    <row r="8828" ht="14.25" customHeight="1">
      <c r="A8828" s="740"/>
    </row>
    <row r="8829" ht="14.25" customHeight="1">
      <c r="A8829" s="740"/>
    </row>
    <row r="8830" ht="14.25" customHeight="1">
      <c r="A8830" s="740"/>
    </row>
    <row r="8831" ht="14.25" customHeight="1">
      <c r="A8831" s="740"/>
    </row>
    <row r="8832" ht="14.25" customHeight="1">
      <c r="A8832" s="740"/>
    </row>
    <row r="8833" ht="14.25" customHeight="1">
      <c r="A8833" s="740"/>
    </row>
    <row r="8834" ht="14.25" customHeight="1">
      <c r="A8834" s="740"/>
    </row>
    <row r="8835" ht="14.25" customHeight="1">
      <c r="A8835" s="740"/>
    </row>
    <row r="8836" ht="14.25" customHeight="1">
      <c r="A8836" s="740"/>
    </row>
    <row r="8837" ht="14.25" customHeight="1">
      <c r="A8837" s="740"/>
    </row>
    <row r="8838" ht="14.25" customHeight="1">
      <c r="A8838" s="740"/>
    </row>
    <row r="8839" ht="14.25" customHeight="1">
      <c r="A8839" s="740"/>
    </row>
    <row r="8840" ht="14.25" customHeight="1">
      <c r="A8840" s="740"/>
    </row>
    <row r="8841" ht="14.25" customHeight="1">
      <c r="A8841" s="740"/>
    </row>
    <row r="8842" ht="14.25" customHeight="1">
      <c r="A8842" s="740"/>
    </row>
    <row r="8843" ht="14.25" customHeight="1">
      <c r="A8843" s="740"/>
    </row>
    <row r="8844" ht="14.25" customHeight="1">
      <c r="A8844" s="740"/>
    </row>
    <row r="8845" ht="14.25" customHeight="1">
      <c r="A8845" s="740"/>
    </row>
    <row r="8846" ht="14.25" customHeight="1">
      <c r="A8846" s="740"/>
    </row>
    <row r="8847" ht="14.25" customHeight="1">
      <c r="A8847" s="740"/>
    </row>
    <row r="8848" ht="14.25" customHeight="1">
      <c r="A8848" s="740"/>
    </row>
    <row r="8849" ht="14.25" customHeight="1">
      <c r="A8849" s="740"/>
    </row>
    <row r="8850" ht="14.25" customHeight="1">
      <c r="A8850" s="740"/>
    </row>
    <row r="8851" ht="14.25" customHeight="1">
      <c r="A8851" s="740"/>
    </row>
    <row r="8852" ht="14.25" customHeight="1">
      <c r="A8852" s="740"/>
    </row>
    <row r="8853" ht="14.25" customHeight="1">
      <c r="A8853" s="740"/>
    </row>
    <row r="8854" ht="14.25" customHeight="1">
      <c r="A8854" s="740"/>
    </row>
    <row r="8855" ht="14.25" customHeight="1">
      <c r="A8855" s="740"/>
    </row>
    <row r="8856" ht="14.25" customHeight="1">
      <c r="A8856" s="740"/>
    </row>
    <row r="8857" ht="14.25" customHeight="1">
      <c r="A8857" s="740"/>
    </row>
    <row r="8858" ht="14.25" customHeight="1">
      <c r="A8858" s="740"/>
    </row>
    <row r="8859" ht="14.25" customHeight="1">
      <c r="A8859" s="740"/>
    </row>
    <row r="8860" ht="14.25" customHeight="1">
      <c r="A8860" s="740"/>
    </row>
    <row r="8861" ht="14.25" customHeight="1">
      <c r="A8861" s="740"/>
    </row>
    <row r="8862" ht="14.25" customHeight="1">
      <c r="A8862" s="740"/>
    </row>
    <row r="8863" ht="14.25" customHeight="1">
      <c r="A8863" s="740"/>
    </row>
    <row r="8864" ht="14.25" customHeight="1">
      <c r="A8864" s="740"/>
    </row>
    <row r="8865" ht="14.25" customHeight="1">
      <c r="A8865" s="740"/>
    </row>
    <row r="8866" ht="14.25" customHeight="1">
      <c r="A8866" s="740"/>
    </row>
    <row r="8867" ht="14.25" customHeight="1">
      <c r="A8867" s="740"/>
    </row>
    <row r="8868" ht="14.25" customHeight="1">
      <c r="A8868" s="740"/>
    </row>
    <row r="8869" ht="14.25" customHeight="1">
      <c r="A8869" s="740"/>
    </row>
    <row r="8870" ht="14.25" customHeight="1">
      <c r="A8870" s="740"/>
    </row>
    <row r="8871" ht="14.25" customHeight="1">
      <c r="A8871" s="740"/>
    </row>
    <row r="8872" ht="14.25" customHeight="1">
      <c r="A8872" s="740"/>
    </row>
    <row r="8873" ht="14.25" customHeight="1">
      <c r="A8873" s="740"/>
    </row>
    <row r="8874" ht="14.25" customHeight="1">
      <c r="A8874" s="740"/>
    </row>
    <row r="8875" ht="14.25" customHeight="1">
      <c r="A8875" s="740"/>
    </row>
    <row r="8876" ht="14.25" customHeight="1">
      <c r="A8876" s="740"/>
    </row>
    <row r="8877" ht="14.25" customHeight="1">
      <c r="A8877" s="740"/>
    </row>
    <row r="8878" ht="14.25" customHeight="1">
      <c r="A8878" s="740"/>
    </row>
    <row r="8879" ht="14.25" customHeight="1">
      <c r="A8879" s="740"/>
    </row>
    <row r="8880" ht="14.25" customHeight="1">
      <c r="A8880" s="740"/>
    </row>
    <row r="8881" ht="14.25" customHeight="1">
      <c r="A8881" s="740"/>
    </row>
    <row r="8882" ht="14.25" customHeight="1">
      <c r="A8882" s="740"/>
    </row>
    <row r="8883" ht="14.25" customHeight="1">
      <c r="A8883" s="740"/>
    </row>
    <row r="8884" ht="14.25" customHeight="1">
      <c r="A8884" s="740"/>
    </row>
    <row r="8885" ht="14.25" customHeight="1">
      <c r="A8885" s="740"/>
    </row>
    <row r="8886" ht="14.25" customHeight="1">
      <c r="A8886" s="740"/>
    </row>
    <row r="8887" ht="14.25" customHeight="1">
      <c r="A8887" s="740"/>
    </row>
    <row r="8888" ht="14.25" customHeight="1">
      <c r="A8888" s="740"/>
    </row>
    <row r="8889" ht="14.25" customHeight="1">
      <c r="A8889" s="740"/>
    </row>
    <row r="8890" ht="14.25" customHeight="1">
      <c r="A8890" s="740"/>
    </row>
    <row r="8891" ht="14.25" customHeight="1">
      <c r="A8891" s="740"/>
    </row>
    <row r="8892" ht="14.25" customHeight="1">
      <c r="A8892" s="740"/>
    </row>
    <row r="8893" ht="14.25" customHeight="1">
      <c r="A8893" s="740"/>
    </row>
    <row r="8894" ht="14.25" customHeight="1">
      <c r="A8894" s="740"/>
    </row>
    <row r="8895" ht="14.25" customHeight="1">
      <c r="A8895" s="740"/>
    </row>
    <row r="8896" ht="14.25" customHeight="1">
      <c r="A8896" s="740"/>
    </row>
    <row r="8897" ht="14.25" customHeight="1">
      <c r="A8897" s="740"/>
    </row>
    <row r="8898" ht="14.25" customHeight="1">
      <c r="A8898" s="740"/>
    </row>
    <row r="8899" ht="14.25" customHeight="1">
      <c r="A8899" s="740"/>
    </row>
    <row r="8900" ht="14.25" customHeight="1">
      <c r="A8900" s="740"/>
    </row>
    <row r="8901" ht="14.25" customHeight="1">
      <c r="A8901" s="740"/>
    </row>
    <row r="8902" ht="14.25" customHeight="1">
      <c r="A8902" s="740"/>
    </row>
    <row r="8903" ht="14.25" customHeight="1">
      <c r="A8903" s="740"/>
    </row>
    <row r="8904" ht="14.25" customHeight="1">
      <c r="A8904" s="740"/>
    </row>
    <row r="8905" ht="14.25" customHeight="1">
      <c r="A8905" s="740"/>
    </row>
    <row r="8906" ht="14.25" customHeight="1">
      <c r="A8906" s="740"/>
    </row>
    <row r="8907" ht="14.25" customHeight="1">
      <c r="A8907" s="740"/>
    </row>
    <row r="8908" ht="14.25" customHeight="1">
      <c r="A8908" s="740"/>
    </row>
    <row r="8909" ht="14.25" customHeight="1">
      <c r="A8909" s="740"/>
    </row>
    <row r="8910" ht="14.25" customHeight="1">
      <c r="A8910" s="740"/>
    </row>
    <row r="8911" ht="14.25" customHeight="1">
      <c r="A8911" s="740"/>
    </row>
    <row r="8912" ht="14.25" customHeight="1">
      <c r="A8912" s="740"/>
    </row>
    <row r="8913" ht="14.25" customHeight="1">
      <c r="A8913" s="740"/>
    </row>
    <row r="8914" ht="14.25" customHeight="1">
      <c r="A8914" s="740"/>
    </row>
    <row r="8915" ht="14.25" customHeight="1">
      <c r="A8915" s="740"/>
    </row>
    <row r="8916" ht="14.25" customHeight="1">
      <c r="A8916" s="740"/>
    </row>
    <row r="8917" ht="14.25" customHeight="1">
      <c r="A8917" s="740"/>
    </row>
    <row r="8918" ht="14.25" customHeight="1">
      <c r="A8918" s="740"/>
    </row>
    <row r="8919" ht="14.25" customHeight="1">
      <c r="A8919" s="740"/>
    </row>
    <row r="8920" ht="14.25" customHeight="1">
      <c r="A8920" s="740"/>
    </row>
    <row r="8921" ht="14.25" customHeight="1">
      <c r="A8921" s="740"/>
    </row>
    <row r="8922" ht="14.25" customHeight="1">
      <c r="A8922" s="740"/>
    </row>
    <row r="8923" ht="14.25" customHeight="1">
      <c r="A8923" s="740"/>
    </row>
    <row r="8924" ht="14.25" customHeight="1">
      <c r="A8924" s="740"/>
    </row>
    <row r="8925" ht="14.25" customHeight="1">
      <c r="A8925" s="740"/>
    </row>
    <row r="8926" ht="14.25" customHeight="1">
      <c r="A8926" s="740"/>
    </row>
    <row r="8927" ht="14.25" customHeight="1">
      <c r="A8927" s="740"/>
    </row>
    <row r="8928" ht="14.25" customHeight="1">
      <c r="A8928" s="740"/>
    </row>
    <row r="8929" ht="14.25" customHeight="1">
      <c r="A8929" s="740"/>
    </row>
    <row r="8930" ht="14.25" customHeight="1">
      <c r="A8930" s="740"/>
    </row>
    <row r="8931" ht="14.25" customHeight="1">
      <c r="A8931" s="740"/>
    </row>
    <row r="8932" ht="14.25" customHeight="1">
      <c r="A8932" s="740"/>
    </row>
    <row r="8933" ht="14.25" customHeight="1">
      <c r="A8933" s="740"/>
    </row>
    <row r="8934" ht="14.25" customHeight="1">
      <c r="A8934" s="740"/>
    </row>
    <row r="8935" ht="14.25" customHeight="1">
      <c r="A8935" s="740"/>
    </row>
    <row r="8936" ht="14.25" customHeight="1">
      <c r="A8936" s="740"/>
    </row>
    <row r="8937" ht="14.25" customHeight="1">
      <c r="A8937" s="740"/>
    </row>
    <row r="8938" ht="14.25" customHeight="1">
      <c r="A8938" s="740"/>
    </row>
    <row r="8939" ht="14.25" customHeight="1">
      <c r="A8939" s="740"/>
    </row>
    <row r="8940" ht="14.25" customHeight="1">
      <c r="A8940" s="740"/>
    </row>
    <row r="8941" ht="14.25" customHeight="1">
      <c r="A8941" s="740"/>
    </row>
    <row r="8942" ht="14.25" customHeight="1">
      <c r="A8942" s="740"/>
    </row>
    <row r="8943" ht="14.25" customHeight="1">
      <c r="A8943" s="740"/>
    </row>
    <row r="8944" ht="14.25" customHeight="1">
      <c r="A8944" s="740"/>
    </row>
    <row r="8945" ht="14.25" customHeight="1">
      <c r="A8945" s="740"/>
    </row>
    <row r="8946" ht="14.25" customHeight="1">
      <c r="A8946" s="740"/>
    </row>
    <row r="8947" ht="14.25" customHeight="1">
      <c r="A8947" s="740"/>
    </row>
    <row r="8948" ht="14.25" customHeight="1">
      <c r="A8948" s="740"/>
    </row>
    <row r="8949" ht="14.25" customHeight="1">
      <c r="A8949" s="740"/>
    </row>
    <row r="8950" ht="14.25" customHeight="1">
      <c r="A8950" s="740"/>
    </row>
    <row r="8951" ht="14.25" customHeight="1">
      <c r="A8951" s="740"/>
    </row>
    <row r="8952" ht="14.25" customHeight="1">
      <c r="A8952" s="740"/>
    </row>
    <row r="8953" ht="14.25" customHeight="1">
      <c r="A8953" s="740"/>
    </row>
    <row r="8954" ht="14.25" customHeight="1">
      <c r="A8954" s="740"/>
    </row>
    <row r="8955" ht="14.25" customHeight="1">
      <c r="A8955" s="740"/>
    </row>
    <row r="8956" ht="14.25" customHeight="1">
      <c r="A8956" s="740"/>
    </row>
    <row r="8957" ht="14.25" customHeight="1">
      <c r="A8957" s="740"/>
    </row>
    <row r="8958" ht="14.25" customHeight="1">
      <c r="A8958" s="740"/>
    </row>
    <row r="8959" ht="14.25" customHeight="1">
      <c r="A8959" s="740"/>
    </row>
    <row r="8960" ht="14.25" customHeight="1">
      <c r="A8960" s="740"/>
    </row>
    <row r="8961" ht="14.25" customHeight="1">
      <c r="A8961" s="740"/>
    </row>
    <row r="8962" ht="14.25" customHeight="1">
      <c r="A8962" s="740"/>
    </row>
    <row r="8963" ht="14.25" customHeight="1">
      <c r="A8963" s="740"/>
    </row>
    <row r="8964" ht="14.25" customHeight="1">
      <c r="A8964" s="740"/>
    </row>
    <row r="8965" ht="14.25" customHeight="1">
      <c r="A8965" s="740"/>
    </row>
    <row r="8966" ht="14.25" customHeight="1">
      <c r="A8966" s="740"/>
    </row>
    <row r="8967" ht="14.25" customHeight="1">
      <c r="A8967" s="740"/>
    </row>
    <row r="8968" ht="14.25" customHeight="1">
      <c r="A8968" s="740"/>
    </row>
    <row r="8969" ht="14.25" customHeight="1">
      <c r="A8969" s="740"/>
    </row>
    <row r="8970" ht="14.25" customHeight="1">
      <c r="A8970" s="740"/>
    </row>
    <row r="8971" ht="14.25" customHeight="1">
      <c r="A8971" s="740"/>
    </row>
    <row r="8972" ht="14.25" customHeight="1">
      <c r="A8972" s="740"/>
    </row>
    <row r="8973" ht="14.25" customHeight="1">
      <c r="A8973" s="740"/>
    </row>
    <row r="8974" ht="14.25" customHeight="1">
      <c r="A8974" s="740"/>
    </row>
    <row r="8975" ht="14.25" customHeight="1">
      <c r="A8975" s="740"/>
    </row>
    <row r="8976" ht="14.25" customHeight="1">
      <c r="A8976" s="740"/>
    </row>
    <row r="8977" ht="14.25" customHeight="1">
      <c r="A8977" s="740"/>
    </row>
    <row r="8978" ht="14.25" customHeight="1">
      <c r="A8978" s="740"/>
    </row>
    <row r="8979" ht="14.25" customHeight="1">
      <c r="A8979" s="740"/>
    </row>
    <row r="8980" ht="14.25" customHeight="1">
      <c r="A8980" s="740"/>
    </row>
    <row r="8981" ht="14.25" customHeight="1">
      <c r="A8981" s="740"/>
    </row>
    <row r="8982" ht="14.25" customHeight="1">
      <c r="A8982" s="740"/>
    </row>
    <row r="8983" ht="14.25" customHeight="1">
      <c r="A8983" s="740"/>
    </row>
    <row r="8984" ht="14.25" customHeight="1">
      <c r="A8984" s="740"/>
    </row>
    <row r="8985" ht="14.25" customHeight="1">
      <c r="A8985" s="740"/>
    </row>
    <row r="8986" ht="14.25" customHeight="1">
      <c r="A8986" s="740"/>
    </row>
    <row r="8987" ht="14.25" customHeight="1">
      <c r="A8987" s="740"/>
    </row>
    <row r="8988" ht="14.25" customHeight="1">
      <c r="A8988" s="740"/>
    </row>
    <row r="8989" ht="14.25" customHeight="1">
      <c r="A8989" s="740"/>
    </row>
    <row r="8990" ht="14.25" customHeight="1">
      <c r="A8990" s="740"/>
    </row>
    <row r="8991" ht="14.25" customHeight="1">
      <c r="A8991" s="740"/>
    </row>
    <row r="8992" ht="14.25" customHeight="1">
      <c r="A8992" s="740"/>
    </row>
    <row r="8993" ht="14.25" customHeight="1">
      <c r="A8993" s="740"/>
    </row>
    <row r="8994" ht="14.25" customHeight="1">
      <c r="A8994" s="740"/>
    </row>
    <row r="8995" ht="14.25" customHeight="1">
      <c r="A8995" s="740"/>
    </row>
    <row r="8996" ht="14.25" customHeight="1">
      <c r="A8996" s="740"/>
    </row>
    <row r="8997" ht="14.25" customHeight="1">
      <c r="A8997" s="740"/>
    </row>
    <row r="8998" ht="14.25" customHeight="1">
      <c r="A8998" s="740"/>
    </row>
    <row r="8999" ht="14.25" customHeight="1">
      <c r="A8999" s="740"/>
    </row>
    <row r="9000" ht="14.25" customHeight="1">
      <c r="A9000" s="740"/>
    </row>
    <row r="9001" ht="14.25" customHeight="1">
      <c r="A9001" s="740"/>
    </row>
    <row r="9002" ht="14.25" customHeight="1">
      <c r="A9002" s="740"/>
    </row>
    <row r="9003" ht="14.25" customHeight="1">
      <c r="A9003" s="740"/>
    </row>
    <row r="9004" ht="14.25" customHeight="1">
      <c r="A9004" s="740"/>
    </row>
    <row r="9005" ht="14.25" customHeight="1">
      <c r="A9005" s="740"/>
    </row>
    <row r="9006" ht="14.25" customHeight="1">
      <c r="A9006" s="740"/>
    </row>
    <row r="9007" ht="14.25" customHeight="1">
      <c r="A9007" s="740"/>
    </row>
    <row r="9008" ht="14.25" customHeight="1">
      <c r="A9008" s="740"/>
    </row>
    <row r="9009" ht="14.25" customHeight="1">
      <c r="A9009" s="740"/>
    </row>
    <row r="9010" ht="14.25" customHeight="1">
      <c r="A9010" s="740"/>
    </row>
    <row r="9011" ht="14.25" customHeight="1">
      <c r="A9011" s="740"/>
    </row>
    <row r="9012" ht="14.25" customHeight="1">
      <c r="A9012" s="740"/>
    </row>
    <row r="9013" ht="14.25" customHeight="1">
      <c r="A9013" s="740"/>
    </row>
    <row r="9014" ht="14.25" customHeight="1">
      <c r="A9014" s="740"/>
    </row>
    <row r="9015" ht="14.25" customHeight="1">
      <c r="A9015" s="740"/>
    </row>
    <row r="9016" ht="14.25" customHeight="1">
      <c r="A9016" s="740"/>
    </row>
    <row r="9017" ht="14.25" customHeight="1">
      <c r="A9017" s="740"/>
    </row>
    <row r="9018" ht="14.25" customHeight="1">
      <c r="A9018" s="740"/>
    </row>
    <row r="9019" ht="14.25" customHeight="1">
      <c r="A9019" s="740"/>
    </row>
    <row r="9020" ht="14.25" customHeight="1">
      <c r="A9020" s="740"/>
    </row>
    <row r="9021" ht="14.25" customHeight="1">
      <c r="A9021" s="740"/>
    </row>
    <row r="9022" ht="14.25" customHeight="1">
      <c r="A9022" s="740"/>
    </row>
    <row r="9023" ht="14.25" customHeight="1">
      <c r="A9023" s="740"/>
    </row>
    <row r="9024" ht="14.25" customHeight="1">
      <c r="A9024" s="740"/>
    </row>
    <row r="9025" ht="14.25" customHeight="1">
      <c r="A9025" s="740"/>
    </row>
    <row r="9026" ht="14.25" customHeight="1">
      <c r="A9026" s="740"/>
    </row>
    <row r="9027" ht="14.25" customHeight="1">
      <c r="A9027" s="740"/>
    </row>
    <row r="9028" ht="14.25" customHeight="1">
      <c r="A9028" s="740"/>
    </row>
    <row r="9029" ht="14.25" customHeight="1">
      <c r="A9029" s="740"/>
    </row>
    <row r="9030" ht="14.25" customHeight="1">
      <c r="A9030" s="740"/>
    </row>
    <row r="9031" ht="14.25" customHeight="1">
      <c r="A9031" s="740"/>
    </row>
    <row r="9032" ht="14.25" customHeight="1">
      <c r="A9032" s="740"/>
    </row>
    <row r="9033" ht="14.25" customHeight="1">
      <c r="A9033" s="740"/>
    </row>
    <row r="9034" ht="14.25" customHeight="1">
      <c r="A9034" s="740"/>
    </row>
    <row r="9035" ht="14.25" customHeight="1">
      <c r="A9035" s="740"/>
    </row>
    <row r="9036" ht="14.25" customHeight="1">
      <c r="A9036" s="740"/>
    </row>
    <row r="9037" ht="14.25" customHeight="1">
      <c r="A9037" s="740"/>
    </row>
    <row r="9038" ht="14.25" customHeight="1">
      <c r="A9038" s="740"/>
    </row>
    <row r="9039" ht="14.25" customHeight="1">
      <c r="A9039" s="740"/>
    </row>
    <row r="9040" ht="14.25" customHeight="1">
      <c r="A9040" s="740"/>
    </row>
    <row r="9041" ht="14.25" customHeight="1">
      <c r="A9041" s="740"/>
    </row>
    <row r="9042" ht="14.25" customHeight="1">
      <c r="A9042" s="740"/>
    </row>
    <row r="9043" ht="14.25" customHeight="1">
      <c r="A9043" s="740"/>
    </row>
    <row r="9044" ht="14.25" customHeight="1">
      <c r="A9044" s="740"/>
    </row>
    <row r="9045" ht="14.25" customHeight="1">
      <c r="A9045" s="740"/>
    </row>
    <row r="9046" ht="14.25" customHeight="1">
      <c r="A9046" s="740"/>
    </row>
    <row r="9047" ht="14.25" customHeight="1">
      <c r="A9047" s="740"/>
    </row>
    <row r="9048" ht="14.25" customHeight="1">
      <c r="A9048" s="740"/>
    </row>
    <row r="9049" ht="14.25" customHeight="1">
      <c r="A9049" s="740"/>
    </row>
    <row r="9050" ht="14.25" customHeight="1">
      <c r="A9050" s="740"/>
    </row>
    <row r="9051" ht="14.25" customHeight="1">
      <c r="A9051" s="740"/>
    </row>
    <row r="9052" ht="14.25" customHeight="1">
      <c r="A9052" s="740"/>
    </row>
    <row r="9053" ht="14.25" customHeight="1">
      <c r="A9053" s="740"/>
    </row>
    <row r="9054" ht="14.25" customHeight="1">
      <c r="A9054" s="740"/>
    </row>
    <row r="9055" ht="14.25" customHeight="1">
      <c r="A9055" s="740"/>
    </row>
    <row r="9056" ht="14.25" customHeight="1">
      <c r="A9056" s="740"/>
    </row>
    <row r="9057" ht="14.25" customHeight="1">
      <c r="A9057" s="740"/>
    </row>
    <row r="9058" ht="14.25" customHeight="1">
      <c r="A9058" s="740"/>
    </row>
    <row r="9059" ht="14.25" customHeight="1">
      <c r="A9059" s="740"/>
    </row>
    <row r="9060" ht="14.25" customHeight="1">
      <c r="A9060" s="740"/>
    </row>
    <row r="9061" ht="14.25" customHeight="1">
      <c r="A9061" s="740"/>
    </row>
    <row r="9062" ht="14.25" customHeight="1">
      <c r="A9062" s="740"/>
    </row>
    <row r="9063" ht="14.25" customHeight="1">
      <c r="A9063" s="740"/>
    </row>
    <row r="9064" ht="14.25" customHeight="1">
      <c r="A9064" s="740"/>
    </row>
    <row r="9065" ht="14.25" customHeight="1">
      <c r="A9065" s="740"/>
    </row>
    <row r="9066" ht="14.25" customHeight="1">
      <c r="A9066" s="740"/>
    </row>
    <row r="9067" ht="14.25" customHeight="1">
      <c r="A9067" s="740"/>
    </row>
    <row r="9068" ht="14.25" customHeight="1">
      <c r="A9068" s="740"/>
    </row>
    <row r="9069" ht="14.25" customHeight="1">
      <c r="A9069" s="740"/>
    </row>
    <row r="9070" ht="14.25" customHeight="1">
      <c r="A9070" s="740"/>
    </row>
    <row r="9071" ht="14.25" customHeight="1">
      <c r="A9071" s="740"/>
    </row>
    <row r="9072" ht="14.25" customHeight="1">
      <c r="A9072" s="740"/>
    </row>
    <row r="9073" ht="14.25" customHeight="1">
      <c r="A9073" s="740"/>
    </row>
    <row r="9074" ht="14.25" customHeight="1">
      <c r="A9074" s="740"/>
    </row>
    <row r="9075" ht="14.25" customHeight="1">
      <c r="A9075" s="740"/>
    </row>
    <row r="9076" ht="14.25" customHeight="1">
      <c r="A9076" s="740"/>
    </row>
    <row r="9077" ht="14.25" customHeight="1">
      <c r="A9077" s="740"/>
    </row>
    <row r="9078" ht="14.25" customHeight="1">
      <c r="A9078" s="740"/>
    </row>
    <row r="9079" ht="14.25" customHeight="1">
      <c r="A9079" s="740"/>
    </row>
    <row r="9080" ht="14.25" customHeight="1">
      <c r="A9080" s="740"/>
    </row>
    <row r="9081" ht="14.25" customHeight="1">
      <c r="A9081" s="740"/>
    </row>
    <row r="9082" ht="14.25" customHeight="1">
      <c r="A9082" s="740"/>
    </row>
    <row r="9083" ht="14.25" customHeight="1">
      <c r="A9083" s="740"/>
    </row>
    <row r="9084" ht="14.25" customHeight="1">
      <c r="A9084" s="740"/>
    </row>
    <row r="9085" ht="14.25" customHeight="1">
      <c r="A9085" s="740"/>
    </row>
    <row r="9086" ht="14.25" customHeight="1">
      <c r="A9086" s="740"/>
    </row>
    <row r="9087" ht="14.25" customHeight="1">
      <c r="A9087" s="740"/>
    </row>
    <row r="9088" ht="14.25" customHeight="1">
      <c r="A9088" s="740"/>
    </row>
    <row r="9089" ht="14.25" customHeight="1">
      <c r="A9089" s="740"/>
    </row>
    <row r="9090" ht="14.25" customHeight="1">
      <c r="A9090" s="740"/>
    </row>
    <row r="9091" ht="14.25" customHeight="1">
      <c r="A9091" s="740"/>
    </row>
    <row r="9092" ht="14.25" customHeight="1">
      <c r="A9092" s="740"/>
    </row>
    <row r="9093" ht="14.25" customHeight="1">
      <c r="A9093" s="740"/>
    </row>
    <row r="9094" ht="14.25" customHeight="1">
      <c r="A9094" s="740"/>
    </row>
    <row r="9095" ht="14.25" customHeight="1">
      <c r="A9095" s="740"/>
    </row>
    <row r="9096" ht="14.25" customHeight="1">
      <c r="A9096" s="740"/>
    </row>
    <row r="9097" ht="14.25" customHeight="1">
      <c r="A9097" s="740"/>
    </row>
    <row r="9098" ht="14.25" customHeight="1">
      <c r="A9098" s="740"/>
    </row>
    <row r="9099" ht="14.25" customHeight="1">
      <c r="A9099" s="740"/>
    </row>
    <row r="9100" ht="14.25" customHeight="1">
      <c r="A9100" s="740"/>
    </row>
    <row r="9101" ht="14.25" customHeight="1">
      <c r="A9101" s="740"/>
    </row>
    <row r="9102" ht="14.25" customHeight="1">
      <c r="A9102" s="740"/>
    </row>
    <row r="9103" ht="14.25" customHeight="1">
      <c r="A9103" s="740"/>
    </row>
    <row r="9104" ht="14.25" customHeight="1">
      <c r="A9104" s="740"/>
    </row>
    <row r="9105" ht="14.25" customHeight="1">
      <c r="A9105" s="740"/>
    </row>
    <row r="9106" ht="14.25" customHeight="1">
      <c r="A9106" s="740"/>
    </row>
    <row r="9107" ht="14.25" customHeight="1">
      <c r="A9107" s="740"/>
    </row>
    <row r="9108" ht="14.25" customHeight="1">
      <c r="A9108" s="740"/>
    </row>
    <row r="9109" ht="14.25" customHeight="1">
      <c r="A9109" s="740"/>
    </row>
    <row r="9110" ht="14.25" customHeight="1">
      <c r="A9110" s="740"/>
    </row>
    <row r="9111" ht="14.25" customHeight="1">
      <c r="A9111" s="740"/>
    </row>
    <row r="9112" ht="14.25" customHeight="1">
      <c r="A9112" s="740"/>
    </row>
    <row r="9113" ht="14.25" customHeight="1">
      <c r="A9113" s="740"/>
    </row>
    <row r="9114" ht="14.25" customHeight="1">
      <c r="A9114" s="740"/>
    </row>
    <row r="9115" ht="14.25" customHeight="1">
      <c r="A9115" s="740"/>
    </row>
    <row r="9116" ht="14.25" customHeight="1">
      <c r="A9116" s="740"/>
    </row>
    <row r="9117" ht="14.25" customHeight="1">
      <c r="A9117" s="740"/>
    </row>
    <row r="9118" ht="14.25" customHeight="1">
      <c r="A9118" s="740"/>
    </row>
    <row r="9119" ht="14.25" customHeight="1">
      <c r="A9119" s="740"/>
    </row>
    <row r="9120" ht="14.25" customHeight="1">
      <c r="A9120" s="740"/>
    </row>
    <row r="9121" ht="14.25" customHeight="1">
      <c r="A9121" s="740"/>
    </row>
    <row r="9122" ht="14.25" customHeight="1">
      <c r="A9122" s="740"/>
    </row>
    <row r="9123" ht="14.25" customHeight="1">
      <c r="A9123" s="740"/>
    </row>
    <row r="9124" ht="14.25" customHeight="1">
      <c r="A9124" s="740"/>
    </row>
    <row r="9125" ht="14.25" customHeight="1">
      <c r="A9125" s="740"/>
    </row>
    <row r="9126" ht="14.25" customHeight="1">
      <c r="A9126" s="740"/>
    </row>
    <row r="9127" ht="14.25" customHeight="1">
      <c r="A9127" s="740"/>
    </row>
    <row r="9128" ht="14.25" customHeight="1">
      <c r="A9128" s="740"/>
    </row>
    <row r="9129" ht="14.25" customHeight="1">
      <c r="A9129" s="740"/>
    </row>
    <row r="9130" ht="14.25" customHeight="1">
      <c r="A9130" s="740"/>
    </row>
    <row r="9131" ht="14.25" customHeight="1">
      <c r="A9131" s="740"/>
    </row>
    <row r="9132" ht="14.25" customHeight="1">
      <c r="A9132" s="740"/>
    </row>
    <row r="9133" ht="14.25" customHeight="1">
      <c r="A9133" s="740"/>
    </row>
    <row r="9134" ht="14.25" customHeight="1">
      <c r="A9134" s="740"/>
    </row>
    <row r="9135" ht="14.25" customHeight="1">
      <c r="A9135" s="740"/>
    </row>
    <row r="9136" ht="14.25" customHeight="1">
      <c r="A9136" s="740"/>
    </row>
    <row r="9137" ht="14.25" customHeight="1">
      <c r="A9137" s="740"/>
    </row>
    <row r="9138" ht="14.25" customHeight="1">
      <c r="A9138" s="740"/>
    </row>
    <row r="9139" ht="14.25" customHeight="1">
      <c r="A9139" s="740"/>
    </row>
    <row r="9140" ht="14.25" customHeight="1">
      <c r="A9140" s="740"/>
    </row>
    <row r="9141" ht="14.25" customHeight="1">
      <c r="A9141" s="740"/>
    </row>
    <row r="9142" ht="14.25" customHeight="1">
      <c r="A9142" s="740"/>
    </row>
    <row r="9143" ht="14.25" customHeight="1">
      <c r="A9143" s="740"/>
    </row>
    <row r="9144" ht="14.25" customHeight="1">
      <c r="A9144" s="740"/>
    </row>
    <row r="9145" ht="14.25" customHeight="1">
      <c r="A9145" s="740"/>
    </row>
    <row r="9146" ht="14.25" customHeight="1">
      <c r="A9146" s="740"/>
    </row>
    <row r="9147" ht="14.25" customHeight="1">
      <c r="A9147" s="740"/>
    </row>
    <row r="9148" ht="14.25" customHeight="1">
      <c r="A9148" s="740"/>
    </row>
    <row r="9149" ht="14.25" customHeight="1">
      <c r="A9149" s="740"/>
    </row>
    <row r="9150" ht="14.25" customHeight="1">
      <c r="A9150" s="740"/>
    </row>
    <row r="9151" ht="14.25" customHeight="1">
      <c r="A9151" s="740"/>
    </row>
    <row r="9152" ht="14.25" customHeight="1">
      <c r="A9152" s="740"/>
    </row>
    <row r="9153" ht="14.25" customHeight="1">
      <c r="A9153" s="740"/>
    </row>
    <row r="9154" ht="14.25" customHeight="1">
      <c r="A9154" s="740"/>
    </row>
    <row r="9155" ht="14.25" customHeight="1">
      <c r="A9155" s="740"/>
    </row>
    <row r="9156" ht="14.25" customHeight="1">
      <c r="A9156" s="740"/>
    </row>
    <row r="9157" ht="14.25" customHeight="1">
      <c r="A9157" s="740"/>
    </row>
    <row r="9158" ht="14.25" customHeight="1">
      <c r="A9158" s="740"/>
    </row>
    <row r="9159" ht="14.25" customHeight="1">
      <c r="A9159" s="740"/>
    </row>
    <row r="9160" ht="14.25" customHeight="1">
      <c r="A9160" s="740"/>
    </row>
    <row r="9161" ht="14.25" customHeight="1">
      <c r="A9161" s="740"/>
    </row>
    <row r="9162" ht="14.25" customHeight="1">
      <c r="A9162" s="740"/>
    </row>
    <row r="9163" ht="14.25" customHeight="1">
      <c r="A9163" s="740"/>
    </row>
    <row r="9164" ht="14.25" customHeight="1">
      <c r="A9164" s="740"/>
    </row>
    <row r="9165" ht="14.25" customHeight="1">
      <c r="A9165" s="740"/>
    </row>
    <row r="9166" ht="14.25" customHeight="1">
      <c r="A9166" s="740"/>
    </row>
    <row r="9167" ht="14.25" customHeight="1">
      <c r="A9167" s="740"/>
    </row>
    <row r="9168" ht="14.25" customHeight="1">
      <c r="A9168" s="740"/>
    </row>
    <row r="9169" ht="14.25" customHeight="1">
      <c r="A9169" s="740"/>
    </row>
    <row r="9170" ht="14.25" customHeight="1">
      <c r="A9170" s="740"/>
    </row>
    <row r="9171" ht="14.25" customHeight="1">
      <c r="A9171" s="740"/>
    </row>
    <row r="9172" ht="14.25" customHeight="1">
      <c r="A9172" s="740"/>
    </row>
    <row r="9173" ht="14.25" customHeight="1">
      <c r="A9173" s="740"/>
    </row>
    <row r="9174" ht="14.25" customHeight="1">
      <c r="A9174" s="740"/>
    </row>
    <row r="9175" ht="14.25" customHeight="1">
      <c r="A9175" s="740"/>
    </row>
    <row r="9176" ht="14.25" customHeight="1">
      <c r="A9176" s="740"/>
    </row>
    <row r="9177" ht="14.25" customHeight="1">
      <c r="A9177" s="740"/>
    </row>
    <row r="9178" ht="14.25" customHeight="1">
      <c r="A9178" s="740"/>
    </row>
    <row r="9179" ht="14.25" customHeight="1">
      <c r="A9179" s="740"/>
    </row>
    <row r="9180" ht="14.25" customHeight="1">
      <c r="A9180" s="740"/>
    </row>
    <row r="9181" ht="14.25" customHeight="1">
      <c r="A9181" s="740"/>
    </row>
    <row r="9182" ht="14.25" customHeight="1">
      <c r="A9182" s="740"/>
    </row>
    <row r="9183" ht="14.25" customHeight="1">
      <c r="A9183" s="740"/>
    </row>
    <row r="9184" ht="14.25" customHeight="1">
      <c r="A9184" s="740"/>
    </row>
    <row r="9185" ht="14.25" customHeight="1">
      <c r="A9185" s="740"/>
    </row>
    <row r="9186" ht="14.25" customHeight="1">
      <c r="A9186" s="740"/>
    </row>
    <row r="9187" ht="14.25" customHeight="1">
      <c r="A9187" s="740"/>
    </row>
    <row r="9188" ht="14.25" customHeight="1">
      <c r="A9188" s="740"/>
    </row>
    <row r="9189" ht="14.25" customHeight="1">
      <c r="A9189" s="740"/>
    </row>
    <row r="9190" ht="14.25" customHeight="1">
      <c r="A9190" s="740"/>
    </row>
    <row r="9191" ht="14.25" customHeight="1">
      <c r="A9191" s="740"/>
    </row>
    <row r="9192" ht="14.25" customHeight="1">
      <c r="A9192" s="740"/>
    </row>
    <row r="9193" ht="14.25" customHeight="1">
      <c r="A9193" s="740"/>
    </row>
    <row r="9194" ht="14.25" customHeight="1">
      <c r="A9194" s="740"/>
    </row>
    <row r="9195" ht="14.25" customHeight="1">
      <c r="A9195" s="740"/>
    </row>
    <row r="9196" ht="14.25" customHeight="1">
      <c r="A9196" s="740"/>
    </row>
    <row r="9197" ht="14.25" customHeight="1">
      <c r="A9197" s="740"/>
    </row>
    <row r="9198" ht="14.25" customHeight="1">
      <c r="A9198" s="740"/>
    </row>
    <row r="9199" ht="14.25" customHeight="1">
      <c r="A9199" s="740"/>
    </row>
    <row r="9200" ht="14.25" customHeight="1">
      <c r="A9200" s="740"/>
    </row>
    <row r="9201" ht="14.25" customHeight="1">
      <c r="A9201" s="740"/>
    </row>
    <row r="9202" ht="14.25" customHeight="1">
      <c r="A9202" s="740"/>
    </row>
    <row r="9203" ht="14.25" customHeight="1">
      <c r="A9203" s="740"/>
    </row>
    <row r="9204" ht="14.25" customHeight="1">
      <c r="A9204" s="740"/>
    </row>
    <row r="9205" ht="14.25" customHeight="1">
      <c r="A9205" s="740"/>
    </row>
    <row r="9206" ht="14.25" customHeight="1">
      <c r="A9206" s="740"/>
    </row>
    <row r="9207" ht="14.25" customHeight="1">
      <c r="A9207" s="740"/>
    </row>
    <row r="9208" ht="14.25" customHeight="1">
      <c r="A9208" s="740"/>
    </row>
    <row r="9209" ht="14.25" customHeight="1">
      <c r="A9209" s="740"/>
    </row>
    <row r="9210" ht="14.25" customHeight="1">
      <c r="A9210" s="740"/>
    </row>
    <row r="9211" ht="14.25" customHeight="1">
      <c r="A9211" s="740"/>
    </row>
    <row r="9212" ht="14.25" customHeight="1">
      <c r="A9212" s="740"/>
    </row>
    <row r="9213" ht="14.25" customHeight="1">
      <c r="A9213" s="740"/>
    </row>
    <row r="9214" ht="14.25" customHeight="1">
      <c r="A9214" s="740"/>
    </row>
    <row r="9215" ht="14.25" customHeight="1">
      <c r="A9215" s="740"/>
    </row>
    <row r="9216" ht="14.25" customHeight="1">
      <c r="A9216" s="740"/>
    </row>
    <row r="9217" ht="14.25" customHeight="1">
      <c r="A9217" s="740"/>
    </row>
    <row r="9218" ht="14.25" customHeight="1">
      <c r="A9218" s="740"/>
    </row>
    <row r="9219" ht="14.25" customHeight="1">
      <c r="A9219" s="740"/>
    </row>
    <row r="9220" ht="14.25" customHeight="1">
      <c r="A9220" s="740"/>
    </row>
    <row r="9221" ht="14.25" customHeight="1">
      <c r="A9221" s="740"/>
    </row>
    <row r="9222" ht="14.25" customHeight="1">
      <c r="A9222" s="740"/>
    </row>
    <row r="9223" ht="14.25" customHeight="1">
      <c r="A9223" s="740"/>
    </row>
    <row r="9224" ht="14.25" customHeight="1">
      <c r="A9224" s="740"/>
    </row>
    <row r="9225" ht="14.25" customHeight="1">
      <c r="A9225" s="740"/>
    </row>
    <row r="9226" ht="14.25" customHeight="1">
      <c r="A9226" s="740"/>
    </row>
    <row r="9227" ht="14.25" customHeight="1">
      <c r="A9227" s="740"/>
    </row>
    <row r="9228" ht="14.25" customHeight="1">
      <c r="A9228" s="740"/>
    </row>
    <row r="9229" ht="14.25" customHeight="1">
      <c r="A9229" s="740"/>
    </row>
    <row r="9230" ht="14.25" customHeight="1">
      <c r="A9230" s="740"/>
    </row>
    <row r="9231" ht="14.25" customHeight="1">
      <c r="A9231" s="740"/>
    </row>
    <row r="9232" ht="14.25" customHeight="1">
      <c r="A9232" s="740"/>
    </row>
    <row r="9233" ht="14.25" customHeight="1">
      <c r="A9233" s="740"/>
    </row>
    <row r="9234" ht="14.25" customHeight="1">
      <c r="A9234" s="740"/>
    </row>
    <row r="9235" ht="14.25" customHeight="1">
      <c r="A9235" s="740"/>
    </row>
    <row r="9236" ht="14.25" customHeight="1">
      <c r="A9236" s="740"/>
    </row>
    <row r="9237" ht="14.25" customHeight="1">
      <c r="A9237" s="740"/>
    </row>
    <row r="9238" ht="14.25" customHeight="1">
      <c r="A9238" s="740"/>
    </row>
    <row r="9239" ht="14.25" customHeight="1">
      <c r="A9239" s="740"/>
    </row>
    <row r="9240" ht="14.25" customHeight="1">
      <c r="A9240" s="740"/>
    </row>
    <row r="9241" ht="14.25" customHeight="1">
      <c r="A9241" s="740"/>
    </row>
    <row r="9242" ht="14.25" customHeight="1">
      <c r="A9242" s="740"/>
    </row>
    <row r="9243" ht="14.25" customHeight="1">
      <c r="A9243" s="740"/>
    </row>
    <row r="9244" ht="14.25" customHeight="1">
      <c r="A9244" s="740"/>
    </row>
    <row r="9245" ht="14.25" customHeight="1">
      <c r="A9245" s="740"/>
    </row>
    <row r="9246" ht="14.25" customHeight="1">
      <c r="A9246" s="740"/>
    </row>
    <row r="9247" ht="14.25" customHeight="1">
      <c r="A9247" s="740"/>
    </row>
    <row r="9248" ht="14.25" customHeight="1">
      <c r="A9248" s="740"/>
    </row>
    <row r="9249" ht="14.25" customHeight="1">
      <c r="A9249" s="740"/>
    </row>
    <row r="9250" ht="14.25" customHeight="1">
      <c r="A9250" s="740"/>
    </row>
    <row r="9251" ht="14.25" customHeight="1">
      <c r="A9251" s="740"/>
    </row>
    <row r="9252" ht="14.25" customHeight="1">
      <c r="A9252" s="740"/>
    </row>
    <row r="9253" ht="14.25" customHeight="1">
      <c r="A9253" s="740"/>
    </row>
    <row r="9254" ht="14.25" customHeight="1">
      <c r="A9254" s="740"/>
    </row>
    <row r="9255" ht="14.25" customHeight="1">
      <c r="A9255" s="740"/>
    </row>
    <row r="9256" ht="14.25" customHeight="1">
      <c r="A9256" s="740"/>
    </row>
    <row r="9257" ht="14.25" customHeight="1">
      <c r="A9257" s="740"/>
    </row>
    <row r="9258" ht="14.25" customHeight="1">
      <c r="A9258" s="740"/>
    </row>
    <row r="9259" ht="14.25" customHeight="1">
      <c r="A9259" s="740"/>
    </row>
    <row r="9260" ht="14.25" customHeight="1">
      <c r="A9260" s="740"/>
    </row>
    <row r="9261" ht="14.25" customHeight="1">
      <c r="A9261" s="740"/>
    </row>
    <row r="9262" ht="14.25" customHeight="1">
      <c r="A9262" s="740"/>
    </row>
    <row r="9263" ht="14.25" customHeight="1">
      <c r="A9263" s="740"/>
    </row>
    <row r="9264" ht="14.25" customHeight="1">
      <c r="A9264" s="740"/>
    </row>
    <row r="9265" ht="14.25" customHeight="1">
      <c r="A9265" s="740"/>
    </row>
    <row r="9266" ht="14.25" customHeight="1">
      <c r="A9266" s="740"/>
    </row>
    <row r="9267" ht="14.25" customHeight="1">
      <c r="A9267" s="740"/>
    </row>
    <row r="9268" ht="14.25" customHeight="1">
      <c r="A9268" s="740"/>
    </row>
    <row r="9269" ht="14.25" customHeight="1">
      <c r="A9269" s="740"/>
    </row>
    <row r="9270" ht="14.25" customHeight="1">
      <c r="A9270" s="740"/>
    </row>
    <row r="9271" ht="14.25" customHeight="1">
      <c r="A9271" s="740"/>
    </row>
    <row r="9272" ht="14.25" customHeight="1">
      <c r="A9272" s="740"/>
    </row>
    <row r="9273" ht="14.25" customHeight="1">
      <c r="A9273" s="740"/>
    </row>
    <row r="9274" ht="14.25" customHeight="1">
      <c r="A9274" s="740"/>
    </row>
    <row r="9275" ht="14.25" customHeight="1">
      <c r="A9275" s="740"/>
    </row>
    <row r="9276" ht="14.25" customHeight="1">
      <c r="A9276" s="740"/>
    </row>
    <row r="9277" ht="14.25" customHeight="1">
      <c r="A9277" s="740"/>
    </row>
    <row r="9278" ht="14.25" customHeight="1">
      <c r="A9278" s="740"/>
    </row>
    <row r="9279" ht="14.25" customHeight="1">
      <c r="A9279" s="740"/>
    </row>
    <row r="9280" ht="14.25" customHeight="1">
      <c r="A9280" s="740"/>
    </row>
    <row r="9281" ht="14.25" customHeight="1">
      <c r="A9281" s="740"/>
    </row>
    <row r="9282" ht="14.25" customHeight="1">
      <c r="A9282" s="740"/>
    </row>
    <row r="9283" ht="14.25" customHeight="1">
      <c r="A9283" s="740"/>
    </row>
    <row r="9284" ht="14.25" customHeight="1">
      <c r="A9284" s="740"/>
    </row>
    <row r="9285" ht="14.25" customHeight="1">
      <c r="A9285" s="740"/>
    </row>
    <row r="9286" ht="14.25" customHeight="1">
      <c r="A9286" s="740"/>
    </row>
    <row r="9287" ht="14.25" customHeight="1">
      <c r="A9287" s="740"/>
    </row>
    <row r="9288" ht="14.25" customHeight="1">
      <c r="A9288" s="740"/>
    </row>
    <row r="9289" ht="14.25" customHeight="1">
      <c r="A9289" s="740"/>
    </row>
    <row r="9290" ht="14.25" customHeight="1">
      <c r="A9290" s="740"/>
    </row>
    <row r="9291" ht="14.25" customHeight="1">
      <c r="A9291" s="740"/>
    </row>
    <row r="9292" ht="14.25" customHeight="1">
      <c r="A9292" s="740"/>
    </row>
    <row r="9293" ht="14.25" customHeight="1">
      <c r="A9293" s="740"/>
    </row>
    <row r="9294" ht="14.25" customHeight="1">
      <c r="A9294" s="740"/>
    </row>
    <row r="9295" ht="14.25" customHeight="1">
      <c r="A9295" s="740"/>
    </row>
    <row r="9296" ht="14.25" customHeight="1">
      <c r="A9296" s="740"/>
    </row>
    <row r="9297" ht="14.25" customHeight="1">
      <c r="A9297" s="740"/>
    </row>
    <row r="9298" ht="14.25" customHeight="1">
      <c r="A9298" s="740"/>
    </row>
    <row r="9299" ht="14.25" customHeight="1">
      <c r="A9299" s="740"/>
    </row>
    <row r="9300" ht="14.25" customHeight="1">
      <c r="A9300" s="740"/>
    </row>
    <row r="9301" ht="14.25" customHeight="1">
      <c r="A9301" s="740"/>
    </row>
    <row r="9302" ht="14.25" customHeight="1">
      <c r="A9302" s="740"/>
    </row>
    <row r="9303" ht="14.25" customHeight="1">
      <c r="A9303" s="740"/>
    </row>
    <row r="9304" ht="14.25" customHeight="1">
      <c r="A9304" s="740"/>
    </row>
    <row r="9305" ht="14.25" customHeight="1">
      <c r="A9305" s="740"/>
    </row>
    <row r="9306" ht="14.25" customHeight="1">
      <c r="A9306" s="740"/>
    </row>
    <row r="9307" ht="14.25" customHeight="1">
      <c r="A9307" s="740"/>
    </row>
    <row r="9308" ht="14.25" customHeight="1">
      <c r="A9308" s="740"/>
    </row>
    <row r="9309" ht="14.25" customHeight="1">
      <c r="A9309" s="740"/>
    </row>
    <row r="9310" ht="14.25" customHeight="1">
      <c r="A9310" s="740"/>
    </row>
    <row r="9311" ht="14.25" customHeight="1">
      <c r="A9311" s="740"/>
    </row>
    <row r="9312" ht="14.25" customHeight="1">
      <c r="A9312" s="740"/>
    </row>
    <row r="9313" ht="14.25" customHeight="1">
      <c r="A9313" s="740"/>
    </row>
    <row r="9314" ht="14.25" customHeight="1">
      <c r="A9314" s="740"/>
    </row>
    <row r="9315" ht="14.25" customHeight="1">
      <c r="A9315" s="740"/>
    </row>
    <row r="9316" ht="14.25" customHeight="1">
      <c r="A9316" s="740"/>
    </row>
    <row r="9317" ht="14.25" customHeight="1">
      <c r="A9317" s="740"/>
    </row>
    <row r="9318" ht="14.25" customHeight="1">
      <c r="A9318" s="740"/>
    </row>
    <row r="9319" ht="14.25" customHeight="1">
      <c r="A9319" s="740"/>
    </row>
    <row r="9320" ht="14.25" customHeight="1">
      <c r="A9320" s="740"/>
    </row>
    <row r="9321" ht="14.25" customHeight="1">
      <c r="A9321" s="740"/>
    </row>
    <row r="9322" ht="14.25" customHeight="1">
      <c r="A9322" s="740"/>
    </row>
    <row r="9323" ht="14.25" customHeight="1">
      <c r="A9323" s="740"/>
    </row>
    <row r="9324" ht="14.25" customHeight="1">
      <c r="A9324" s="740"/>
    </row>
    <row r="9325" ht="14.25" customHeight="1">
      <c r="A9325" s="740"/>
    </row>
    <row r="9326" ht="14.25" customHeight="1">
      <c r="A9326" s="740"/>
    </row>
    <row r="9327" ht="14.25" customHeight="1">
      <c r="A9327" s="740"/>
    </row>
    <row r="9328" ht="14.25" customHeight="1">
      <c r="A9328" s="740"/>
    </row>
    <row r="9329" ht="14.25" customHeight="1">
      <c r="A9329" s="740"/>
    </row>
    <row r="9330" ht="14.25" customHeight="1">
      <c r="A9330" s="740"/>
    </row>
    <row r="9331" ht="14.25" customHeight="1">
      <c r="A9331" s="740"/>
    </row>
    <row r="9332" ht="14.25" customHeight="1">
      <c r="A9332" s="740"/>
    </row>
    <row r="9333" ht="14.25" customHeight="1">
      <c r="A9333" s="740"/>
    </row>
    <row r="9334" ht="14.25" customHeight="1">
      <c r="A9334" s="740"/>
    </row>
    <row r="9335" ht="14.25" customHeight="1">
      <c r="A9335" s="740"/>
    </row>
    <row r="9336" ht="14.25" customHeight="1">
      <c r="A9336" s="740"/>
    </row>
    <row r="9337" ht="14.25" customHeight="1">
      <c r="A9337" s="740"/>
    </row>
    <row r="9338" ht="14.25" customHeight="1">
      <c r="A9338" s="740"/>
    </row>
    <row r="9339" ht="14.25" customHeight="1">
      <c r="A9339" s="740"/>
    </row>
    <row r="9340" ht="14.25" customHeight="1">
      <c r="A9340" s="740"/>
    </row>
    <row r="9341" ht="14.25" customHeight="1">
      <c r="A9341" s="740"/>
    </row>
    <row r="9342" ht="14.25" customHeight="1">
      <c r="A9342" s="740"/>
    </row>
    <row r="9343" ht="14.25" customHeight="1">
      <c r="A9343" s="740"/>
    </row>
    <row r="9344" ht="14.25" customHeight="1">
      <c r="A9344" s="740"/>
    </row>
    <row r="9345" ht="14.25" customHeight="1">
      <c r="A9345" s="740"/>
    </row>
    <row r="9346" ht="14.25" customHeight="1">
      <c r="A9346" s="740"/>
    </row>
    <row r="9347" ht="14.25" customHeight="1">
      <c r="A9347" s="740"/>
    </row>
    <row r="9348" ht="14.25" customHeight="1">
      <c r="A9348" s="740"/>
    </row>
    <row r="9349" ht="14.25" customHeight="1">
      <c r="A9349" s="740"/>
    </row>
    <row r="9350" ht="14.25" customHeight="1">
      <c r="A9350" s="740"/>
    </row>
    <row r="9351" ht="14.25" customHeight="1">
      <c r="A9351" s="740"/>
    </row>
    <row r="9352" ht="14.25" customHeight="1">
      <c r="A9352" s="740"/>
    </row>
    <row r="9353" ht="14.25" customHeight="1">
      <c r="A9353" s="740"/>
    </row>
    <row r="9354" ht="14.25" customHeight="1">
      <c r="A9354" s="740"/>
    </row>
    <row r="9355" ht="14.25" customHeight="1">
      <c r="A9355" s="740"/>
    </row>
    <row r="9356" ht="14.25" customHeight="1">
      <c r="A9356" s="740"/>
    </row>
    <row r="9357" ht="14.25" customHeight="1">
      <c r="A9357" s="740"/>
    </row>
    <row r="9358" ht="14.25" customHeight="1">
      <c r="A9358" s="740"/>
    </row>
    <row r="9359" ht="14.25" customHeight="1">
      <c r="A9359" s="740"/>
    </row>
    <row r="9360" ht="14.25" customHeight="1">
      <c r="A9360" s="740"/>
    </row>
    <row r="9361" ht="14.25" customHeight="1">
      <c r="A9361" s="740"/>
    </row>
    <row r="9362" ht="14.25" customHeight="1">
      <c r="A9362" s="740"/>
    </row>
    <row r="9363" ht="14.25" customHeight="1">
      <c r="A9363" s="740"/>
    </row>
    <row r="9364" ht="14.25" customHeight="1">
      <c r="A9364" s="740"/>
    </row>
    <row r="9365" ht="14.25" customHeight="1">
      <c r="A9365" s="740"/>
    </row>
    <row r="9366" ht="14.25" customHeight="1">
      <c r="A9366" s="740"/>
    </row>
    <row r="9367" ht="14.25" customHeight="1">
      <c r="A9367" s="740"/>
    </row>
    <row r="9368" ht="14.25" customHeight="1">
      <c r="A9368" s="740"/>
    </row>
    <row r="9369" ht="14.25" customHeight="1">
      <c r="A9369" s="740"/>
    </row>
    <row r="9370" ht="14.25" customHeight="1">
      <c r="A9370" s="740"/>
    </row>
    <row r="9371" ht="14.25" customHeight="1">
      <c r="A9371" s="740"/>
    </row>
    <row r="9372" ht="14.25" customHeight="1">
      <c r="A9372" s="740"/>
    </row>
    <row r="9373" ht="14.25" customHeight="1">
      <c r="A9373" s="740"/>
    </row>
    <row r="9374" ht="14.25" customHeight="1">
      <c r="A9374" s="740"/>
    </row>
    <row r="9375" ht="14.25" customHeight="1">
      <c r="A9375" s="740"/>
    </row>
    <row r="9376" ht="14.25" customHeight="1">
      <c r="A9376" s="740"/>
    </row>
    <row r="9377" ht="14.25" customHeight="1">
      <c r="A9377" s="740"/>
    </row>
    <row r="9378" ht="14.25" customHeight="1">
      <c r="A9378" s="740"/>
    </row>
    <row r="9379" ht="14.25" customHeight="1">
      <c r="A9379" s="740"/>
    </row>
    <row r="9380" ht="14.25" customHeight="1">
      <c r="A9380" s="740"/>
    </row>
    <row r="9381" ht="14.25" customHeight="1">
      <c r="A9381" s="740"/>
    </row>
    <row r="9382" ht="14.25" customHeight="1">
      <c r="A9382" s="740"/>
    </row>
    <row r="9383" ht="14.25" customHeight="1">
      <c r="A9383" s="740"/>
    </row>
    <row r="9384" ht="14.25" customHeight="1">
      <c r="A9384" s="740"/>
    </row>
    <row r="9385" ht="14.25" customHeight="1">
      <c r="A9385" s="740"/>
    </row>
    <row r="9386" ht="14.25" customHeight="1">
      <c r="A9386" s="740"/>
    </row>
    <row r="9387" ht="14.25" customHeight="1">
      <c r="A9387" s="740"/>
    </row>
    <row r="9388" ht="14.25" customHeight="1">
      <c r="A9388" s="740"/>
    </row>
    <row r="9389" ht="14.25" customHeight="1">
      <c r="A9389" s="740"/>
    </row>
    <row r="9390" ht="14.25" customHeight="1">
      <c r="A9390" s="740"/>
    </row>
    <row r="9391" ht="14.25" customHeight="1">
      <c r="A9391" s="740"/>
    </row>
    <row r="9392" ht="14.25" customHeight="1">
      <c r="A9392" s="740"/>
    </row>
    <row r="9393" ht="14.25" customHeight="1">
      <c r="A9393" s="740"/>
    </row>
    <row r="9394" ht="14.25" customHeight="1">
      <c r="A9394" s="740"/>
    </row>
    <row r="9395" ht="14.25" customHeight="1">
      <c r="A9395" s="740"/>
    </row>
    <row r="9396" ht="14.25" customHeight="1">
      <c r="A9396" s="740"/>
    </row>
    <row r="9397" ht="14.25" customHeight="1">
      <c r="A9397" s="740"/>
    </row>
    <row r="9398" ht="14.25" customHeight="1">
      <c r="A9398" s="740"/>
    </row>
    <row r="9399" ht="14.25" customHeight="1">
      <c r="A9399" s="740"/>
    </row>
    <row r="9400" ht="14.25" customHeight="1">
      <c r="A9400" s="740"/>
    </row>
    <row r="9401" ht="14.25" customHeight="1">
      <c r="A9401" s="740"/>
    </row>
    <row r="9402" ht="14.25" customHeight="1">
      <c r="A9402" s="740"/>
    </row>
    <row r="9403" ht="14.25" customHeight="1">
      <c r="A9403" s="740"/>
    </row>
    <row r="9404" ht="14.25" customHeight="1">
      <c r="A9404" s="740"/>
    </row>
    <row r="9405" ht="14.25" customHeight="1">
      <c r="A9405" s="740"/>
    </row>
    <row r="9406" ht="14.25" customHeight="1">
      <c r="A9406" s="740"/>
    </row>
    <row r="9407" ht="14.25" customHeight="1">
      <c r="A9407" s="740"/>
    </row>
    <row r="9408" ht="14.25" customHeight="1">
      <c r="A9408" s="740"/>
    </row>
    <row r="9409" ht="14.25" customHeight="1">
      <c r="A9409" s="740"/>
    </row>
    <row r="9410" ht="14.25" customHeight="1">
      <c r="A9410" s="740"/>
    </row>
    <row r="9411" ht="14.25" customHeight="1">
      <c r="A9411" s="740"/>
    </row>
    <row r="9412" ht="14.25" customHeight="1">
      <c r="A9412" s="740"/>
    </row>
    <row r="9413" ht="14.25" customHeight="1">
      <c r="A9413" s="740"/>
    </row>
    <row r="9414" ht="14.25" customHeight="1">
      <c r="A9414" s="740"/>
    </row>
    <row r="9415" ht="14.25" customHeight="1">
      <c r="A9415" s="740"/>
    </row>
    <row r="9416" ht="14.25" customHeight="1">
      <c r="A9416" s="740"/>
    </row>
    <row r="9417" ht="14.25" customHeight="1">
      <c r="A9417" s="740"/>
    </row>
    <row r="9418" ht="14.25" customHeight="1">
      <c r="A9418" s="740"/>
    </row>
    <row r="9419" ht="14.25" customHeight="1">
      <c r="A9419" s="740"/>
    </row>
    <row r="9420" ht="14.25" customHeight="1">
      <c r="A9420" s="740"/>
    </row>
    <row r="9421" ht="14.25" customHeight="1">
      <c r="A9421" s="740"/>
    </row>
    <row r="9422" ht="14.25" customHeight="1">
      <c r="A9422" s="740"/>
    </row>
    <row r="9423" ht="14.25" customHeight="1">
      <c r="A9423" s="740"/>
    </row>
    <row r="9424" ht="14.25" customHeight="1">
      <c r="A9424" s="740"/>
    </row>
    <row r="9425" ht="14.25" customHeight="1">
      <c r="A9425" s="740"/>
    </row>
    <row r="9426" ht="14.25" customHeight="1">
      <c r="A9426" s="740"/>
    </row>
    <row r="9427" ht="14.25" customHeight="1">
      <c r="A9427" s="740"/>
    </row>
    <row r="9428" ht="14.25" customHeight="1">
      <c r="A9428" s="740"/>
    </row>
    <row r="9429" ht="14.25" customHeight="1">
      <c r="A9429" s="740"/>
    </row>
    <row r="9430" ht="14.25" customHeight="1">
      <c r="A9430" s="740"/>
    </row>
    <row r="9431" ht="14.25" customHeight="1">
      <c r="A9431" s="740"/>
    </row>
    <row r="9432" ht="14.25" customHeight="1">
      <c r="A9432" s="740"/>
    </row>
    <row r="9433" ht="14.25" customHeight="1">
      <c r="A9433" s="740"/>
    </row>
    <row r="9434" ht="14.25" customHeight="1">
      <c r="A9434" s="740"/>
    </row>
    <row r="9435" ht="14.25" customHeight="1">
      <c r="A9435" s="740"/>
    </row>
    <row r="9436" ht="14.25" customHeight="1">
      <c r="A9436" s="740"/>
    </row>
    <row r="9437" ht="14.25" customHeight="1">
      <c r="A9437" s="740"/>
    </row>
    <row r="9438" ht="14.25" customHeight="1">
      <c r="A9438" s="740"/>
    </row>
    <row r="9439" ht="14.25" customHeight="1">
      <c r="A9439" s="740"/>
    </row>
    <row r="9440" ht="14.25" customHeight="1">
      <c r="A9440" s="740"/>
    </row>
    <row r="9441" ht="14.25" customHeight="1">
      <c r="A9441" s="740"/>
    </row>
    <row r="9442" ht="14.25" customHeight="1">
      <c r="A9442" s="740"/>
    </row>
    <row r="9443" ht="14.25" customHeight="1">
      <c r="A9443" s="740"/>
    </row>
    <row r="9444" ht="14.25" customHeight="1">
      <c r="A9444" s="740"/>
    </row>
    <row r="9445" ht="14.25" customHeight="1">
      <c r="A9445" s="740"/>
    </row>
    <row r="9446" ht="14.25" customHeight="1">
      <c r="A9446" s="740"/>
    </row>
    <row r="9447" ht="14.25" customHeight="1">
      <c r="A9447" s="740"/>
    </row>
    <row r="9448" ht="14.25" customHeight="1">
      <c r="A9448" s="740"/>
    </row>
    <row r="9449" ht="14.25" customHeight="1">
      <c r="A9449" s="740"/>
    </row>
    <row r="9450" ht="14.25" customHeight="1">
      <c r="A9450" s="740"/>
    </row>
    <row r="9451" ht="14.25" customHeight="1">
      <c r="A9451" s="740"/>
    </row>
    <row r="9452" ht="14.25" customHeight="1">
      <c r="A9452" s="740"/>
    </row>
    <row r="9453" ht="14.25" customHeight="1">
      <c r="A9453" s="740"/>
    </row>
    <row r="9454" ht="14.25" customHeight="1">
      <c r="A9454" s="740"/>
    </row>
    <row r="9455" ht="14.25" customHeight="1">
      <c r="A9455" s="740"/>
    </row>
    <row r="9456" ht="14.25" customHeight="1">
      <c r="A9456" s="740"/>
    </row>
    <row r="9457" ht="14.25" customHeight="1">
      <c r="A9457" s="740"/>
    </row>
    <row r="9458" ht="14.25" customHeight="1">
      <c r="A9458" s="740"/>
    </row>
    <row r="9459" ht="14.25" customHeight="1">
      <c r="A9459" s="740"/>
    </row>
    <row r="9460" ht="14.25" customHeight="1">
      <c r="A9460" s="740"/>
    </row>
    <row r="9461" ht="14.25" customHeight="1">
      <c r="A9461" s="740"/>
    </row>
    <row r="9462" ht="14.25" customHeight="1">
      <c r="A9462" s="740"/>
    </row>
    <row r="9463" ht="14.25" customHeight="1">
      <c r="A9463" s="740"/>
    </row>
    <row r="9464" ht="14.25" customHeight="1">
      <c r="A9464" s="740"/>
    </row>
    <row r="9465" ht="14.25" customHeight="1">
      <c r="A9465" s="740"/>
    </row>
    <row r="9466" ht="14.25" customHeight="1">
      <c r="A9466" s="740"/>
    </row>
    <row r="9467" ht="14.25" customHeight="1">
      <c r="A9467" s="740"/>
    </row>
    <row r="9468" ht="14.25" customHeight="1">
      <c r="A9468" s="740"/>
    </row>
    <row r="9469" ht="14.25" customHeight="1">
      <c r="A9469" s="740"/>
    </row>
    <row r="9470" ht="14.25" customHeight="1">
      <c r="A9470" s="740"/>
    </row>
    <row r="9471" ht="14.25" customHeight="1">
      <c r="A9471" s="740"/>
    </row>
    <row r="9472" ht="14.25" customHeight="1">
      <c r="A9472" s="740"/>
    </row>
    <row r="9473" ht="14.25" customHeight="1">
      <c r="A9473" s="740"/>
    </row>
    <row r="9474" ht="14.25" customHeight="1">
      <c r="A9474" s="740"/>
    </row>
    <row r="9475" ht="14.25" customHeight="1">
      <c r="A9475" s="740"/>
    </row>
    <row r="9476" ht="14.25" customHeight="1">
      <c r="A9476" s="740"/>
    </row>
    <row r="9477" ht="14.25" customHeight="1">
      <c r="A9477" s="740"/>
    </row>
    <row r="9478" ht="14.25" customHeight="1">
      <c r="A9478" s="740"/>
    </row>
    <row r="9479" ht="14.25" customHeight="1">
      <c r="A9479" s="740"/>
    </row>
    <row r="9480" ht="14.25" customHeight="1">
      <c r="A9480" s="740"/>
    </row>
    <row r="9481" ht="14.25" customHeight="1">
      <c r="A9481" s="740"/>
    </row>
    <row r="9482" ht="14.25" customHeight="1">
      <c r="A9482" s="740"/>
    </row>
    <row r="9483" ht="14.25" customHeight="1">
      <c r="A9483" s="740"/>
    </row>
    <row r="9484" ht="14.25" customHeight="1">
      <c r="A9484" s="740"/>
    </row>
    <row r="9485" ht="14.25" customHeight="1">
      <c r="A9485" s="740"/>
    </row>
    <row r="9486" ht="14.25" customHeight="1">
      <c r="A9486" s="740"/>
    </row>
    <row r="9487" ht="14.25" customHeight="1">
      <c r="A9487" s="740"/>
    </row>
    <row r="9488" ht="14.25" customHeight="1">
      <c r="A9488" s="740"/>
    </row>
    <row r="9489" ht="14.25" customHeight="1">
      <c r="A9489" s="740"/>
    </row>
    <row r="9490" ht="14.25" customHeight="1">
      <c r="A9490" s="740"/>
    </row>
    <row r="9491" ht="14.25" customHeight="1">
      <c r="A9491" s="740"/>
    </row>
    <row r="9492" ht="14.25" customHeight="1">
      <c r="A9492" s="740"/>
    </row>
    <row r="9493" ht="14.25" customHeight="1">
      <c r="A9493" s="740"/>
    </row>
    <row r="9494" ht="14.25" customHeight="1">
      <c r="A9494" s="740"/>
    </row>
    <row r="9495" ht="14.25" customHeight="1">
      <c r="A9495" s="740"/>
    </row>
    <row r="9496" ht="14.25" customHeight="1">
      <c r="A9496" s="740"/>
    </row>
    <row r="9497" ht="14.25" customHeight="1">
      <c r="A9497" s="740"/>
    </row>
    <row r="9498" ht="14.25" customHeight="1">
      <c r="A9498" s="740"/>
    </row>
    <row r="9499" ht="14.25" customHeight="1">
      <c r="A9499" s="740"/>
    </row>
    <row r="9500" ht="14.25" customHeight="1">
      <c r="A9500" s="740"/>
    </row>
    <row r="9501" ht="14.25" customHeight="1">
      <c r="A9501" s="740"/>
    </row>
    <row r="9502" ht="14.25" customHeight="1">
      <c r="A9502" s="740"/>
    </row>
    <row r="9503" ht="14.25" customHeight="1">
      <c r="A9503" s="740"/>
    </row>
    <row r="9504" ht="14.25" customHeight="1">
      <c r="A9504" s="740"/>
    </row>
    <row r="9505" ht="14.25" customHeight="1">
      <c r="A9505" s="740"/>
    </row>
    <row r="9506" ht="14.25" customHeight="1">
      <c r="A9506" s="740"/>
    </row>
    <row r="9507" ht="14.25" customHeight="1">
      <c r="A9507" s="740"/>
    </row>
    <row r="9508" ht="14.25" customHeight="1">
      <c r="A9508" s="740"/>
    </row>
    <row r="9509" ht="14.25" customHeight="1">
      <c r="A9509" s="740"/>
    </row>
    <row r="9510" ht="14.25" customHeight="1">
      <c r="A9510" s="740"/>
    </row>
    <row r="9511" ht="14.25" customHeight="1">
      <c r="A9511" s="740"/>
    </row>
    <row r="9512" ht="14.25" customHeight="1">
      <c r="A9512" s="740"/>
    </row>
    <row r="9513" ht="14.25" customHeight="1">
      <c r="A9513" s="740"/>
    </row>
    <row r="9514" ht="14.25" customHeight="1">
      <c r="A9514" s="740"/>
    </row>
    <row r="9515" ht="14.25" customHeight="1">
      <c r="A9515" s="740"/>
    </row>
    <row r="9516" ht="14.25" customHeight="1">
      <c r="A9516" s="740"/>
    </row>
    <row r="9517" ht="14.25" customHeight="1">
      <c r="A9517" s="740"/>
    </row>
    <row r="9518" ht="14.25" customHeight="1">
      <c r="A9518" s="740"/>
    </row>
    <row r="9519" ht="14.25" customHeight="1">
      <c r="A9519" s="740"/>
    </row>
    <row r="9520" ht="14.25" customHeight="1">
      <c r="A9520" s="740"/>
    </row>
    <row r="9521" ht="14.25" customHeight="1">
      <c r="A9521" s="740"/>
    </row>
    <row r="9522" ht="14.25" customHeight="1">
      <c r="A9522" s="740"/>
    </row>
    <row r="9523" ht="14.25" customHeight="1">
      <c r="A9523" s="740"/>
    </row>
    <row r="9524" ht="14.25" customHeight="1">
      <c r="A9524" s="740"/>
    </row>
    <row r="9525" ht="14.25" customHeight="1">
      <c r="A9525" s="740"/>
    </row>
    <row r="9526" ht="14.25" customHeight="1">
      <c r="A9526" s="740"/>
    </row>
    <row r="9527" ht="14.25" customHeight="1">
      <c r="A9527" s="740"/>
    </row>
    <row r="9528" ht="14.25" customHeight="1">
      <c r="A9528" s="740"/>
    </row>
    <row r="9529" ht="14.25" customHeight="1">
      <c r="A9529" s="740"/>
    </row>
    <row r="9530" ht="14.25" customHeight="1">
      <c r="A9530" s="740"/>
    </row>
    <row r="9531" ht="14.25" customHeight="1">
      <c r="A9531" s="740"/>
    </row>
    <row r="9532" ht="14.25" customHeight="1">
      <c r="A9532" s="740"/>
    </row>
    <row r="9533" ht="14.25" customHeight="1">
      <c r="A9533" s="740"/>
    </row>
    <row r="9534" ht="14.25" customHeight="1">
      <c r="A9534" s="740"/>
    </row>
    <row r="9535" ht="14.25" customHeight="1">
      <c r="A9535" s="740"/>
    </row>
    <row r="9536" ht="14.25" customHeight="1">
      <c r="A9536" s="740"/>
    </row>
    <row r="9537" ht="14.25" customHeight="1">
      <c r="A9537" s="740"/>
    </row>
    <row r="9538" ht="14.25" customHeight="1">
      <c r="A9538" s="740"/>
    </row>
    <row r="9539" ht="14.25" customHeight="1">
      <c r="A9539" s="740"/>
    </row>
    <row r="9540" ht="14.25" customHeight="1">
      <c r="A9540" s="740"/>
    </row>
    <row r="9541" ht="14.25" customHeight="1">
      <c r="A9541" s="740"/>
    </row>
    <row r="9542" ht="14.25" customHeight="1">
      <c r="A9542" s="740"/>
    </row>
    <row r="9543" ht="14.25" customHeight="1">
      <c r="A9543" s="740"/>
    </row>
    <row r="9544" ht="14.25" customHeight="1">
      <c r="A9544" s="740"/>
    </row>
    <row r="9545" ht="14.25" customHeight="1">
      <c r="A9545" s="740"/>
    </row>
    <row r="9546" ht="14.25" customHeight="1">
      <c r="A9546" s="740"/>
    </row>
    <row r="9547" ht="14.25" customHeight="1">
      <c r="A9547" s="740"/>
    </row>
    <row r="9548" ht="14.25" customHeight="1">
      <c r="A9548" s="740"/>
    </row>
    <row r="9549" ht="14.25" customHeight="1">
      <c r="A9549" s="740"/>
    </row>
    <row r="9550" ht="14.25" customHeight="1">
      <c r="A9550" s="740"/>
    </row>
    <row r="9551" ht="14.25" customHeight="1">
      <c r="A9551" s="740"/>
    </row>
    <row r="9552" ht="14.25" customHeight="1">
      <c r="A9552" s="740"/>
    </row>
    <row r="9553" ht="14.25" customHeight="1">
      <c r="A9553" s="740"/>
    </row>
    <row r="9554" ht="14.25" customHeight="1">
      <c r="A9554" s="740"/>
    </row>
    <row r="9555" ht="14.25" customHeight="1">
      <c r="A9555" s="740"/>
    </row>
    <row r="9556" ht="14.25" customHeight="1">
      <c r="A9556" s="740"/>
    </row>
    <row r="9557" ht="14.25" customHeight="1">
      <c r="A9557" s="740"/>
    </row>
    <row r="9558" ht="14.25" customHeight="1">
      <c r="A9558" s="740"/>
    </row>
    <row r="9559" ht="14.25" customHeight="1">
      <c r="A9559" s="740"/>
    </row>
    <row r="9560" ht="14.25" customHeight="1">
      <c r="A9560" s="740"/>
    </row>
    <row r="9561" ht="14.25" customHeight="1">
      <c r="A9561" s="740"/>
    </row>
    <row r="9562" ht="14.25" customHeight="1">
      <c r="A9562" s="740"/>
    </row>
    <row r="9563" ht="14.25" customHeight="1">
      <c r="A9563" s="740"/>
    </row>
    <row r="9564" ht="14.25" customHeight="1">
      <c r="A9564" s="740"/>
    </row>
    <row r="9565" ht="14.25" customHeight="1">
      <c r="A9565" s="740"/>
    </row>
    <row r="9566" ht="14.25" customHeight="1">
      <c r="A9566" s="740"/>
    </row>
    <row r="9567" ht="14.25" customHeight="1">
      <c r="A9567" s="740"/>
    </row>
    <row r="9568" ht="14.25" customHeight="1">
      <c r="A9568" s="740"/>
    </row>
    <row r="9569" ht="14.25" customHeight="1">
      <c r="A9569" s="740"/>
    </row>
    <row r="9570" ht="14.25" customHeight="1">
      <c r="A9570" s="740"/>
    </row>
    <row r="9571" ht="14.25" customHeight="1">
      <c r="A9571" s="740"/>
    </row>
    <row r="9572" ht="14.25" customHeight="1">
      <c r="A9572" s="740"/>
    </row>
    <row r="9573" ht="14.25" customHeight="1">
      <c r="A9573" s="740"/>
    </row>
    <row r="9574" ht="14.25" customHeight="1">
      <c r="A9574" s="740"/>
    </row>
    <row r="9575" ht="14.25" customHeight="1">
      <c r="A9575" s="740"/>
    </row>
    <row r="9576" ht="14.25" customHeight="1">
      <c r="A9576" s="740"/>
    </row>
    <row r="9577" ht="14.25" customHeight="1">
      <c r="A9577" s="740"/>
    </row>
    <row r="9578" ht="14.25" customHeight="1">
      <c r="A9578" s="740"/>
    </row>
    <row r="9579" ht="14.25" customHeight="1">
      <c r="A9579" s="740"/>
    </row>
    <row r="9580" ht="14.25" customHeight="1">
      <c r="A9580" s="740"/>
    </row>
    <row r="9581" ht="14.25" customHeight="1">
      <c r="A9581" s="740"/>
    </row>
    <row r="9582" ht="14.25" customHeight="1">
      <c r="A9582" s="740"/>
    </row>
    <row r="9583" ht="14.25" customHeight="1">
      <c r="A9583" s="740"/>
    </row>
    <row r="9584" ht="14.25" customHeight="1">
      <c r="A9584" s="740"/>
    </row>
    <row r="9585" ht="14.25" customHeight="1">
      <c r="A9585" s="740"/>
    </row>
    <row r="9586" ht="14.25" customHeight="1">
      <c r="A9586" s="740"/>
    </row>
    <row r="9587" ht="14.25" customHeight="1">
      <c r="A9587" s="740"/>
    </row>
    <row r="9588" ht="14.25" customHeight="1">
      <c r="A9588" s="740"/>
    </row>
    <row r="9589" ht="14.25" customHeight="1">
      <c r="A9589" s="740"/>
    </row>
    <row r="9590" ht="14.25" customHeight="1">
      <c r="A9590" s="740"/>
    </row>
    <row r="9591" ht="14.25" customHeight="1">
      <c r="A9591" s="740"/>
    </row>
    <row r="9592" ht="14.25" customHeight="1">
      <c r="A9592" s="740"/>
    </row>
    <row r="9593" ht="14.25" customHeight="1">
      <c r="A9593" s="740"/>
    </row>
    <row r="9594" ht="14.25" customHeight="1">
      <c r="A9594" s="740"/>
    </row>
    <row r="9595" ht="14.25" customHeight="1">
      <c r="A9595" s="740"/>
    </row>
    <row r="9596" ht="14.25" customHeight="1">
      <c r="A9596" s="740"/>
    </row>
    <row r="9597" ht="14.25" customHeight="1">
      <c r="A9597" s="740"/>
    </row>
    <row r="9598" ht="14.25" customHeight="1">
      <c r="A9598" s="740"/>
    </row>
    <row r="9599" ht="14.25" customHeight="1">
      <c r="A9599" s="740"/>
    </row>
    <row r="9600" ht="14.25" customHeight="1">
      <c r="A9600" s="740"/>
    </row>
    <row r="9601" ht="14.25" customHeight="1">
      <c r="A9601" s="740"/>
    </row>
    <row r="9602" ht="14.25" customHeight="1">
      <c r="A9602" s="740"/>
    </row>
    <row r="9603" ht="14.25" customHeight="1">
      <c r="A9603" s="740"/>
    </row>
    <row r="9604" ht="14.25" customHeight="1">
      <c r="A9604" s="740"/>
    </row>
    <row r="9605" ht="14.25" customHeight="1">
      <c r="A9605" s="740"/>
    </row>
    <row r="9606" ht="14.25" customHeight="1">
      <c r="A9606" s="740"/>
    </row>
    <row r="9607" ht="14.25" customHeight="1">
      <c r="A9607" s="740"/>
    </row>
    <row r="9608" ht="14.25" customHeight="1">
      <c r="A9608" s="740"/>
    </row>
    <row r="9609" ht="14.25" customHeight="1">
      <c r="A9609" s="740"/>
    </row>
    <row r="9610" ht="14.25" customHeight="1">
      <c r="A9610" s="740"/>
    </row>
    <row r="9611" ht="14.25" customHeight="1">
      <c r="A9611" s="740"/>
    </row>
    <row r="9612" ht="14.25" customHeight="1">
      <c r="A9612" s="740"/>
    </row>
    <row r="9613" ht="14.25" customHeight="1">
      <c r="A9613" s="740"/>
    </row>
    <row r="9614" ht="14.25" customHeight="1">
      <c r="A9614" s="740"/>
    </row>
    <row r="9615" ht="14.25" customHeight="1">
      <c r="A9615" s="740"/>
    </row>
    <row r="9616" ht="14.25" customHeight="1">
      <c r="A9616" s="740"/>
    </row>
    <row r="9617" ht="14.25" customHeight="1">
      <c r="A9617" s="740"/>
    </row>
    <row r="9618" ht="14.25" customHeight="1">
      <c r="A9618" s="740"/>
    </row>
    <row r="9619" ht="14.25" customHeight="1">
      <c r="A9619" s="740"/>
    </row>
    <row r="9620" ht="14.25" customHeight="1">
      <c r="A9620" s="740"/>
    </row>
    <row r="9621" ht="14.25" customHeight="1">
      <c r="A9621" s="740"/>
    </row>
    <row r="9622" ht="14.25" customHeight="1">
      <c r="A9622" s="740"/>
    </row>
    <row r="9623" ht="14.25" customHeight="1">
      <c r="A9623" s="740"/>
    </row>
    <row r="9624" ht="14.25" customHeight="1">
      <c r="A9624" s="740"/>
    </row>
    <row r="9625" ht="14.25" customHeight="1">
      <c r="A9625" s="740"/>
    </row>
    <row r="9626" ht="14.25" customHeight="1">
      <c r="A9626" s="740"/>
    </row>
    <row r="9627" ht="14.25" customHeight="1">
      <c r="A9627" s="740"/>
    </row>
    <row r="9628" ht="14.25" customHeight="1">
      <c r="A9628" s="740"/>
    </row>
    <row r="9629" ht="14.25" customHeight="1">
      <c r="A9629" s="740"/>
    </row>
    <row r="9630" ht="14.25" customHeight="1">
      <c r="A9630" s="740"/>
    </row>
    <row r="9631" ht="14.25" customHeight="1">
      <c r="A9631" s="740"/>
    </row>
    <row r="9632" ht="14.25" customHeight="1">
      <c r="A9632" s="740"/>
    </row>
    <row r="9633" ht="14.25" customHeight="1">
      <c r="A9633" s="740"/>
    </row>
    <row r="9634" ht="14.25" customHeight="1">
      <c r="A9634" s="740"/>
    </row>
    <row r="9635" ht="14.25" customHeight="1">
      <c r="A9635" s="740"/>
    </row>
    <row r="9636" ht="14.25" customHeight="1">
      <c r="A9636" s="740"/>
    </row>
    <row r="9637" ht="14.25" customHeight="1">
      <c r="A9637" s="740"/>
    </row>
    <row r="9638" ht="14.25" customHeight="1">
      <c r="A9638" s="740"/>
    </row>
    <row r="9639" ht="14.25" customHeight="1">
      <c r="A9639" s="740"/>
    </row>
    <row r="9640" ht="14.25" customHeight="1">
      <c r="A9640" s="740"/>
    </row>
    <row r="9641" ht="14.25" customHeight="1">
      <c r="A9641" s="740"/>
    </row>
    <row r="9642" ht="14.25" customHeight="1">
      <c r="A9642" s="740"/>
    </row>
    <row r="9643" ht="14.25" customHeight="1">
      <c r="A9643" s="740"/>
    </row>
    <row r="9644" ht="14.25" customHeight="1">
      <c r="A9644" s="740"/>
    </row>
    <row r="9645" ht="14.25" customHeight="1">
      <c r="A9645" s="740"/>
    </row>
    <row r="9646" ht="14.25" customHeight="1">
      <c r="A9646" s="740"/>
    </row>
    <row r="9647" ht="14.25" customHeight="1">
      <c r="A9647" s="740"/>
    </row>
    <row r="9648" ht="14.25" customHeight="1">
      <c r="A9648" s="740"/>
    </row>
    <row r="9649" ht="14.25" customHeight="1">
      <c r="A9649" s="740"/>
    </row>
    <row r="9650" ht="14.25" customHeight="1">
      <c r="A9650" s="740"/>
    </row>
    <row r="9651" ht="14.25" customHeight="1">
      <c r="A9651" s="740"/>
    </row>
    <row r="9652" ht="14.25" customHeight="1">
      <c r="A9652" s="740"/>
    </row>
    <row r="9653" ht="14.25" customHeight="1">
      <c r="A9653" s="740"/>
    </row>
    <row r="9654" ht="14.25" customHeight="1">
      <c r="A9654" s="740"/>
    </row>
    <row r="9655" ht="14.25" customHeight="1">
      <c r="A9655" s="740"/>
    </row>
    <row r="9656" ht="14.25" customHeight="1">
      <c r="A9656" s="740"/>
    </row>
    <row r="9657" ht="14.25" customHeight="1">
      <c r="A9657" s="740"/>
    </row>
    <row r="9658" ht="14.25" customHeight="1">
      <c r="A9658" s="740"/>
    </row>
    <row r="9659" ht="14.25" customHeight="1">
      <c r="A9659" s="740"/>
    </row>
    <row r="9660" ht="14.25" customHeight="1">
      <c r="A9660" s="740"/>
    </row>
    <row r="9661" ht="14.25" customHeight="1">
      <c r="A9661" s="740"/>
    </row>
    <row r="9662" ht="14.25" customHeight="1">
      <c r="A9662" s="740"/>
    </row>
    <row r="9663" ht="14.25" customHeight="1">
      <c r="A9663" s="740"/>
    </row>
    <row r="9664" ht="14.25" customHeight="1">
      <c r="A9664" s="740"/>
    </row>
    <row r="9665" ht="14.25" customHeight="1">
      <c r="A9665" s="740"/>
    </row>
    <row r="9666" ht="14.25" customHeight="1">
      <c r="A9666" s="740"/>
    </row>
    <row r="9667" ht="14.25" customHeight="1">
      <c r="A9667" s="740"/>
    </row>
    <row r="9668" ht="14.25" customHeight="1">
      <c r="A9668" s="740"/>
    </row>
    <row r="9669" ht="14.25" customHeight="1">
      <c r="A9669" s="740"/>
    </row>
    <row r="9670" ht="14.25" customHeight="1">
      <c r="A9670" s="740"/>
    </row>
    <row r="9671" ht="14.25" customHeight="1">
      <c r="A9671" s="740"/>
    </row>
    <row r="9672" ht="14.25" customHeight="1">
      <c r="A9672" s="740"/>
    </row>
    <row r="9673" ht="14.25" customHeight="1">
      <c r="A9673" s="740"/>
    </row>
    <row r="9674" ht="14.25" customHeight="1">
      <c r="A9674" s="740"/>
    </row>
    <row r="9675" ht="14.25" customHeight="1">
      <c r="A9675" s="740"/>
    </row>
    <row r="9676" ht="14.25" customHeight="1">
      <c r="A9676" s="740"/>
    </row>
    <row r="9677" ht="14.25" customHeight="1">
      <c r="A9677" s="740"/>
    </row>
    <row r="9678" ht="14.25" customHeight="1">
      <c r="A9678" s="740"/>
    </row>
    <row r="9679" ht="14.25" customHeight="1">
      <c r="A9679" s="740"/>
    </row>
    <row r="9680" ht="14.25" customHeight="1">
      <c r="A9680" s="740"/>
    </row>
    <row r="9681" ht="14.25" customHeight="1">
      <c r="A9681" s="740"/>
    </row>
    <row r="9682" ht="14.25" customHeight="1">
      <c r="A9682" s="740"/>
    </row>
    <row r="9683" ht="14.25" customHeight="1">
      <c r="A9683" s="740"/>
    </row>
    <row r="9684" ht="14.25" customHeight="1">
      <c r="A9684" s="740"/>
    </row>
    <row r="9685" ht="14.25" customHeight="1">
      <c r="A9685" s="740"/>
    </row>
    <row r="9686" ht="14.25" customHeight="1">
      <c r="A9686" s="740"/>
    </row>
    <row r="9687" ht="14.25" customHeight="1">
      <c r="A9687" s="740"/>
    </row>
    <row r="9688" ht="14.25" customHeight="1">
      <c r="A9688" s="740"/>
    </row>
    <row r="9689" ht="14.25" customHeight="1">
      <c r="A9689" s="740"/>
    </row>
    <row r="9690" ht="14.25" customHeight="1">
      <c r="A9690" s="740"/>
    </row>
    <row r="9691" ht="14.25" customHeight="1">
      <c r="A9691" s="740"/>
    </row>
    <row r="9692" ht="14.25" customHeight="1">
      <c r="A9692" s="740"/>
    </row>
    <row r="9693" ht="14.25" customHeight="1">
      <c r="A9693" s="740"/>
    </row>
    <row r="9694" ht="14.25" customHeight="1">
      <c r="A9694" s="740"/>
    </row>
    <row r="9695" ht="14.25" customHeight="1">
      <c r="A9695" s="740"/>
    </row>
    <row r="9696" ht="14.25" customHeight="1">
      <c r="A9696" s="740"/>
    </row>
    <row r="9697" ht="14.25" customHeight="1">
      <c r="A9697" s="740"/>
    </row>
    <row r="9698" ht="14.25" customHeight="1">
      <c r="A9698" s="740"/>
    </row>
    <row r="9699" ht="14.25" customHeight="1">
      <c r="A9699" s="740"/>
    </row>
    <row r="9700" ht="14.25" customHeight="1">
      <c r="A9700" s="740"/>
    </row>
    <row r="9701" ht="14.25" customHeight="1">
      <c r="A9701" s="740"/>
    </row>
    <row r="9702" ht="14.25" customHeight="1">
      <c r="A9702" s="740"/>
    </row>
    <row r="9703" ht="14.25" customHeight="1">
      <c r="A9703" s="740"/>
    </row>
    <row r="9704" ht="14.25" customHeight="1">
      <c r="A9704" s="740"/>
    </row>
    <row r="9705" ht="14.25" customHeight="1">
      <c r="A9705" s="740"/>
    </row>
    <row r="9706" ht="14.25" customHeight="1">
      <c r="A9706" s="740"/>
    </row>
    <row r="9707" ht="14.25" customHeight="1">
      <c r="A9707" s="740"/>
    </row>
    <row r="9708" ht="14.25" customHeight="1">
      <c r="A9708" s="740"/>
    </row>
    <row r="9709" ht="14.25" customHeight="1">
      <c r="A9709" s="740"/>
    </row>
    <row r="9710" ht="14.25" customHeight="1">
      <c r="A9710" s="740"/>
    </row>
    <row r="9711" ht="14.25" customHeight="1">
      <c r="A9711" s="740"/>
    </row>
    <row r="9712" ht="14.25" customHeight="1">
      <c r="A9712" s="740"/>
    </row>
    <row r="9713" ht="14.25" customHeight="1">
      <c r="A9713" s="740"/>
    </row>
    <row r="9714" ht="14.25" customHeight="1">
      <c r="A9714" s="740"/>
    </row>
    <row r="9715" ht="14.25" customHeight="1">
      <c r="A9715" s="740"/>
    </row>
    <row r="9716" ht="14.25" customHeight="1">
      <c r="A9716" s="740"/>
    </row>
    <row r="9717" ht="14.25" customHeight="1">
      <c r="A9717" s="740"/>
    </row>
    <row r="9718" ht="14.25" customHeight="1">
      <c r="A9718" s="740"/>
    </row>
    <row r="9719" ht="14.25" customHeight="1">
      <c r="A9719" s="740"/>
    </row>
    <row r="9720" ht="14.25" customHeight="1">
      <c r="A9720" s="740"/>
    </row>
    <row r="9721" ht="14.25" customHeight="1">
      <c r="A9721" s="740"/>
    </row>
    <row r="9722" ht="14.25" customHeight="1">
      <c r="A9722" s="740"/>
    </row>
    <row r="9723" ht="14.25" customHeight="1">
      <c r="A9723" s="740"/>
    </row>
    <row r="9724" ht="14.25" customHeight="1">
      <c r="A9724" s="740"/>
    </row>
    <row r="9725" ht="14.25" customHeight="1">
      <c r="A9725" s="740"/>
    </row>
    <row r="9726" ht="14.25" customHeight="1">
      <c r="A9726" s="740"/>
    </row>
    <row r="9727" ht="14.25" customHeight="1">
      <c r="A9727" s="740"/>
    </row>
    <row r="9728" ht="14.25" customHeight="1">
      <c r="A9728" s="740"/>
    </row>
    <row r="9729" ht="14.25" customHeight="1">
      <c r="A9729" s="740"/>
    </row>
    <row r="9730" ht="14.25" customHeight="1">
      <c r="A9730" s="740"/>
    </row>
    <row r="9731" ht="14.25" customHeight="1">
      <c r="A9731" s="740"/>
    </row>
    <row r="9732" ht="14.25" customHeight="1">
      <c r="A9732" s="740"/>
    </row>
    <row r="9733" ht="14.25" customHeight="1">
      <c r="A9733" s="740"/>
    </row>
    <row r="9734" ht="14.25" customHeight="1">
      <c r="A9734" s="740"/>
    </row>
    <row r="9735" ht="14.25" customHeight="1">
      <c r="A9735" s="740"/>
    </row>
    <row r="9736" ht="14.25" customHeight="1">
      <c r="A9736" s="740"/>
    </row>
    <row r="9737" ht="14.25" customHeight="1">
      <c r="A9737" s="740"/>
    </row>
    <row r="9738" ht="14.25" customHeight="1">
      <c r="A9738" s="740"/>
    </row>
    <row r="9739" ht="14.25" customHeight="1">
      <c r="A9739" s="740"/>
    </row>
    <row r="9740" ht="14.25" customHeight="1">
      <c r="A9740" s="740"/>
    </row>
    <row r="9741" ht="14.25" customHeight="1">
      <c r="A9741" s="740"/>
    </row>
    <row r="9742" ht="14.25" customHeight="1">
      <c r="A9742" s="740"/>
    </row>
    <row r="9743" ht="14.25" customHeight="1">
      <c r="A9743" s="740"/>
    </row>
    <row r="9744" ht="14.25" customHeight="1">
      <c r="A9744" s="740"/>
    </row>
    <row r="9745" ht="14.25" customHeight="1">
      <c r="A9745" s="740"/>
    </row>
    <row r="9746" ht="14.25" customHeight="1">
      <c r="A9746" s="740"/>
    </row>
    <row r="9747" ht="14.25" customHeight="1">
      <c r="A9747" s="740"/>
    </row>
    <row r="9748" ht="14.25" customHeight="1">
      <c r="A9748" s="740"/>
    </row>
    <row r="9749" ht="14.25" customHeight="1">
      <c r="A9749" s="740"/>
    </row>
    <row r="9750" ht="14.25" customHeight="1">
      <c r="A9750" s="740"/>
    </row>
    <row r="9751" ht="14.25" customHeight="1">
      <c r="A9751" s="740"/>
    </row>
    <row r="9752" ht="14.25" customHeight="1">
      <c r="A9752" s="740"/>
    </row>
    <row r="9753" ht="14.25" customHeight="1">
      <c r="A9753" s="740"/>
    </row>
    <row r="9754" ht="14.25" customHeight="1">
      <c r="A9754" s="740"/>
    </row>
    <row r="9755" ht="14.25" customHeight="1">
      <c r="A9755" s="740"/>
    </row>
    <row r="9756" ht="14.25" customHeight="1">
      <c r="A9756" s="740"/>
    </row>
    <row r="9757" ht="14.25" customHeight="1">
      <c r="A9757" s="740"/>
    </row>
    <row r="9758" ht="14.25" customHeight="1">
      <c r="A9758" s="740"/>
    </row>
    <row r="9759" ht="14.25" customHeight="1">
      <c r="A9759" s="740"/>
    </row>
    <row r="9760" ht="14.25" customHeight="1">
      <c r="A9760" s="740"/>
    </row>
    <row r="9761" ht="14.25" customHeight="1">
      <c r="A9761" s="740"/>
    </row>
    <row r="9762" ht="14.25" customHeight="1">
      <c r="A9762" s="740"/>
    </row>
    <row r="9763" ht="14.25" customHeight="1">
      <c r="A9763" s="740"/>
    </row>
    <row r="9764" ht="14.25" customHeight="1">
      <c r="A9764" s="740"/>
    </row>
    <row r="9765" ht="14.25" customHeight="1">
      <c r="A9765" s="740"/>
    </row>
    <row r="9766" ht="14.25" customHeight="1">
      <c r="A9766" s="740"/>
    </row>
    <row r="9767" ht="14.25" customHeight="1">
      <c r="A9767" s="740"/>
    </row>
    <row r="9768" ht="14.25" customHeight="1">
      <c r="A9768" s="740"/>
    </row>
    <row r="9769" ht="14.25" customHeight="1">
      <c r="A9769" s="740"/>
    </row>
    <row r="9770" ht="14.25" customHeight="1">
      <c r="A9770" s="740"/>
    </row>
    <row r="9771" ht="14.25" customHeight="1">
      <c r="A9771" s="740"/>
    </row>
    <row r="9772" ht="14.25" customHeight="1">
      <c r="A9772" s="740"/>
    </row>
    <row r="9773" ht="14.25" customHeight="1">
      <c r="A9773" s="740"/>
    </row>
    <row r="9774" ht="14.25" customHeight="1">
      <c r="A9774" s="740"/>
    </row>
    <row r="9775" ht="14.25" customHeight="1">
      <c r="A9775" s="740"/>
    </row>
    <row r="9776" ht="14.25" customHeight="1">
      <c r="A9776" s="740"/>
    </row>
    <row r="9777" ht="14.25" customHeight="1">
      <c r="A9777" s="740"/>
    </row>
    <row r="9778" ht="14.25" customHeight="1">
      <c r="A9778" s="740"/>
    </row>
    <row r="9779" ht="14.25" customHeight="1">
      <c r="A9779" s="740"/>
    </row>
    <row r="9780" ht="14.25" customHeight="1">
      <c r="A9780" s="740"/>
    </row>
    <row r="9781" ht="14.25" customHeight="1">
      <c r="A9781" s="740"/>
    </row>
    <row r="9782" ht="14.25" customHeight="1">
      <c r="A9782" s="740"/>
    </row>
    <row r="9783" ht="14.25" customHeight="1">
      <c r="A9783" s="740"/>
    </row>
    <row r="9784" ht="14.25" customHeight="1">
      <c r="A9784" s="740"/>
    </row>
    <row r="9785" ht="14.25" customHeight="1">
      <c r="A9785" s="740"/>
    </row>
    <row r="9786" ht="14.25" customHeight="1">
      <c r="A9786" s="740"/>
    </row>
    <row r="9787" ht="14.25" customHeight="1">
      <c r="A9787" s="740"/>
    </row>
    <row r="9788" ht="14.25" customHeight="1">
      <c r="A9788" s="740"/>
    </row>
    <row r="9789" ht="14.25" customHeight="1">
      <c r="A9789" s="740"/>
    </row>
    <row r="9790" ht="14.25" customHeight="1">
      <c r="A9790" s="740"/>
    </row>
    <row r="9791" ht="14.25" customHeight="1">
      <c r="A9791" s="740"/>
    </row>
    <row r="9792" ht="14.25" customHeight="1">
      <c r="A9792" s="740"/>
    </row>
    <row r="9793" ht="14.25" customHeight="1">
      <c r="A9793" s="740"/>
    </row>
    <row r="9794" ht="14.25" customHeight="1">
      <c r="A9794" s="740"/>
    </row>
    <row r="9795" ht="14.25" customHeight="1">
      <c r="A9795" s="740"/>
    </row>
    <row r="9796" ht="14.25" customHeight="1">
      <c r="A9796" s="740"/>
    </row>
    <row r="9797" ht="14.25" customHeight="1">
      <c r="A9797" s="740"/>
    </row>
    <row r="9798" ht="14.25" customHeight="1">
      <c r="A9798" s="740"/>
    </row>
    <row r="9799" ht="14.25" customHeight="1">
      <c r="A9799" s="740"/>
    </row>
    <row r="9800" ht="14.25" customHeight="1">
      <c r="A9800" s="740"/>
    </row>
    <row r="9801" ht="14.25" customHeight="1">
      <c r="A9801" s="740"/>
    </row>
    <row r="9802" ht="14.25" customHeight="1">
      <c r="A9802" s="740"/>
    </row>
    <row r="9803" ht="14.25" customHeight="1">
      <c r="A9803" s="740"/>
    </row>
    <row r="9804" ht="14.25" customHeight="1">
      <c r="A9804" s="740"/>
    </row>
    <row r="9805" ht="14.25" customHeight="1">
      <c r="A9805" s="740"/>
    </row>
    <row r="9806" ht="14.25" customHeight="1">
      <c r="A9806" s="740"/>
    </row>
    <row r="9807" ht="14.25" customHeight="1">
      <c r="A9807" s="740"/>
    </row>
    <row r="9808" ht="14.25" customHeight="1">
      <c r="A9808" s="740"/>
    </row>
    <row r="9809" ht="14.25" customHeight="1">
      <c r="A9809" s="740"/>
    </row>
    <row r="9810" ht="14.25" customHeight="1">
      <c r="A9810" s="740"/>
    </row>
    <row r="9811" ht="14.25" customHeight="1">
      <c r="A9811" s="740"/>
    </row>
    <row r="9812" ht="14.25" customHeight="1">
      <c r="A9812" s="740"/>
    </row>
    <row r="9813" ht="14.25" customHeight="1">
      <c r="A9813" s="740"/>
    </row>
    <row r="9814" ht="14.25" customHeight="1">
      <c r="A9814" s="740"/>
    </row>
    <row r="9815" ht="14.25" customHeight="1">
      <c r="A9815" s="740"/>
    </row>
    <row r="9816" ht="14.25" customHeight="1">
      <c r="A9816" s="740"/>
    </row>
    <row r="9817" ht="14.25" customHeight="1">
      <c r="A9817" s="740"/>
    </row>
    <row r="9818" ht="14.25" customHeight="1">
      <c r="A9818" s="740"/>
    </row>
    <row r="9819" ht="14.25" customHeight="1">
      <c r="A9819" s="740"/>
    </row>
    <row r="9820" ht="14.25" customHeight="1">
      <c r="A9820" s="740"/>
    </row>
    <row r="9821" ht="14.25" customHeight="1">
      <c r="A9821" s="740"/>
    </row>
    <row r="9822" ht="14.25" customHeight="1">
      <c r="A9822" s="740"/>
    </row>
    <row r="9823" ht="14.25" customHeight="1">
      <c r="A9823" s="740"/>
    </row>
    <row r="9824" ht="14.25" customHeight="1">
      <c r="A9824" s="740"/>
    </row>
    <row r="9825" ht="14.25" customHeight="1">
      <c r="A9825" s="740"/>
    </row>
    <row r="9826" ht="14.25" customHeight="1">
      <c r="A9826" s="740"/>
    </row>
    <row r="9827" ht="14.25" customHeight="1">
      <c r="A9827" s="740"/>
    </row>
    <row r="9828" ht="14.25" customHeight="1">
      <c r="A9828" s="740"/>
    </row>
    <row r="9829" ht="14.25" customHeight="1">
      <c r="A9829" s="740"/>
    </row>
    <row r="9830" ht="14.25" customHeight="1">
      <c r="A9830" s="740"/>
    </row>
    <row r="9831" ht="14.25" customHeight="1">
      <c r="A9831" s="740"/>
    </row>
    <row r="9832" ht="14.25" customHeight="1">
      <c r="A9832" s="740"/>
    </row>
    <row r="9833" ht="14.25" customHeight="1">
      <c r="A9833" s="740"/>
    </row>
    <row r="9834" ht="14.25" customHeight="1">
      <c r="A9834" s="740"/>
    </row>
    <row r="9835" ht="14.25" customHeight="1">
      <c r="A9835" s="740"/>
    </row>
    <row r="9836" ht="14.25" customHeight="1">
      <c r="A9836" s="740"/>
    </row>
    <row r="9837" ht="14.25" customHeight="1">
      <c r="A9837" s="740"/>
    </row>
    <row r="9838" ht="14.25" customHeight="1">
      <c r="A9838" s="740"/>
    </row>
    <row r="9839" ht="14.25" customHeight="1">
      <c r="A9839" s="740"/>
    </row>
    <row r="9840" ht="14.25" customHeight="1">
      <c r="A9840" s="740"/>
    </row>
    <row r="9841" ht="14.25" customHeight="1">
      <c r="A9841" s="740"/>
    </row>
    <row r="9842" ht="14.25" customHeight="1">
      <c r="A9842" s="740"/>
    </row>
    <row r="9843" ht="14.25" customHeight="1">
      <c r="A9843" s="740"/>
    </row>
    <row r="9844" ht="14.25" customHeight="1">
      <c r="A9844" s="740"/>
    </row>
    <row r="9845" ht="14.25" customHeight="1">
      <c r="A9845" s="740"/>
    </row>
    <row r="9846" ht="14.25" customHeight="1">
      <c r="A9846" s="740"/>
    </row>
    <row r="9847" ht="14.25" customHeight="1">
      <c r="A9847" s="740"/>
    </row>
    <row r="9848" ht="14.25" customHeight="1">
      <c r="A9848" s="740"/>
    </row>
    <row r="9849" ht="14.25" customHeight="1">
      <c r="A9849" s="740"/>
    </row>
    <row r="9850" ht="14.25" customHeight="1">
      <c r="A9850" s="740"/>
    </row>
    <row r="9851" ht="14.25" customHeight="1">
      <c r="A9851" s="740"/>
    </row>
    <row r="9852" ht="14.25" customHeight="1">
      <c r="A9852" s="740"/>
    </row>
    <row r="9853" ht="14.25" customHeight="1">
      <c r="A9853" s="740"/>
    </row>
    <row r="9854" ht="14.25" customHeight="1">
      <c r="A9854" s="740"/>
    </row>
    <row r="9855" ht="14.25" customHeight="1">
      <c r="A9855" s="740"/>
    </row>
    <row r="9856" ht="14.25" customHeight="1">
      <c r="A9856" s="740"/>
    </row>
    <row r="9857" ht="14.25" customHeight="1">
      <c r="A9857" s="740"/>
    </row>
    <row r="9858" ht="14.25" customHeight="1">
      <c r="A9858" s="740"/>
    </row>
    <row r="9859" ht="14.25" customHeight="1">
      <c r="A9859" s="740"/>
    </row>
    <row r="9860" ht="14.25" customHeight="1">
      <c r="A9860" s="740"/>
    </row>
    <row r="9861" ht="14.25" customHeight="1">
      <c r="A9861" s="740"/>
    </row>
    <row r="9862" ht="14.25" customHeight="1">
      <c r="A9862" s="740"/>
    </row>
    <row r="9863" ht="14.25" customHeight="1">
      <c r="A9863" s="740"/>
    </row>
    <row r="9864" ht="14.25" customHeight="1">
      <c r="A9864" s="740"/>
    </row>
    <row r="9865" ht="14.25" customHeight="1">
      <c r="A9865" s="740"/>
    </row>
    <row r="9866" ht="14.25" customHeight="1">
      <c r="A9866" s="740"/>
    </row>
    <row r="9867" ht="14.25" customHeight="1">
      <c r="A9867" s="740"/>
    </row>
    <row r="9868" ht="14.25" customHeight="1">
      <c r="A9868" s="740"/>
    </row>
    <row r="9869" ht="14.25" customHeight="1">
      <c r="A9869" s="740"/>
    </row>
    <row r="9870" ht="14.25" customHeight="1">
      <c r="A9870" s="740"/>
    </row>
    <row r="9871" ht="14.25" customHeight="1">
      <c r="A9871" s="740"/>
    </row>
    <row r="9872" ht="14.25" customHeight="1">
      <c r="A9872" s="740"/>
    </row>
    <row r="9873" ht="14.25" customHeight="1">
      <c r="A9873" s="740"/>
    </row>
    <row r="9874" ht="14.25" customHeight="1">
      <c r="A9874" s="740"/>
    </row>
    <row r="9875" ht="14.25" customHeight="1">
      <c r="A9875" s="740"/>
    </row>
    <row r="9876" ht="14.25" customHeight="1">
      <c r="A9876" s="740"/>
    </row>
    <row r="9877" ht="14.25" customHeight="1">
      <c r="A9877" s="740"/>
    </row>
    <row r="9878" ht="14.25" customHeight="1">
      <c r="A9878" s="740"/>
    </row>
    <row r="9879" ht="14.25" customHeight="1">
      <c r="A9879" s="740"/>
    </row>
    <row r="9880" ht="14.25" customHeight="1">
      <c r="A9880" s="740"/>
    </row>
    <row r="9881" ht="14.25" customHeight="1">
      <c r="A9881" s="740"/>
    </row>
    <row r="9882" ht="14.25" customHeight="1">
      <c r="A9882" s="740"/>
    </row>
    <row r="9883" ht="14.25" customHeight="1">
      <c r="A9883" s="740"/>
    </row>
    <row r="9884" ht="14.25" customHeight="1">
      <c r="A9884" s="740"/>
    </row>
    <row r="9885" ht="14.25" customHeight="1">
      <c r="A9885" s="740"/>
    </row>
    <row r="9886" ht="14.25" customHeight="1">
      <c r="A9886" s="740"/>
    </row>
    <row r="9887" ht="14.25" customHeight="1">
      <c r="A9887" s="740"/>
    </row>
    <row r="9888" ht="14.25" customHeight="1">
      <c r="A9888" s="740"/>
    </row>
    <row r="9889" ht="14.25" customHeight="1">
      <c r="A9889" s="740"/>
    </row>
    <row r="9890" ht="14.25" customHeight="1">
      <c r="A9890" s="740"/>
    </row>
    <row r="9891" ht="14.25" customHeight="1">
      <c r="A9891" s="740"/>
    </row>
    <row r="9892" ht="14.25" customHeight="1">
      <c r="A9892" s="740"/>
    </row>
    <row r="9893" ht="14.25" customHeight="1">
      <c r="A9893" s="740"/>
    </row>
    <row r="9894" ht="14.25" customHeight="1">
      <c r="A9894" s="740"/>
    </row>
    <row r="9895" ht="14.25" customHeight="1">
      <c r="A9895" s="740"/>
    </row>
    <row r="9896" ht="14.25" customHeight="1">
      <c r="A9896" s="740"/>
    </row>
    <row r="9897" ht="14.25" customHeight="1">
      <c r="A9897" s="740"/>
    </row>
    <row r="9898" ht="14.25" customHeight="1">
      <c r="A9898" s="740"/>
    </row>
    <row r="9899" ht="14.25" customHeight="1">
      <c r="A9899" s="740"/>
    </row>
    <row r="9900" ht="14.25" customHeight="1">
      <c r="A9900" s="740"/>
    </row>
    <row r="9901" ht="14.25" customHeight="1">
      <c r="A9901" s="740"/>
    </row>
    <row r="9902" ht="14.25" customHeight="1">
      <c r="A9902" s="740"/>
    </row>
    <row r="9903" ht="14.25" customHeight="1">
      <c r="A9903" s="740"/>
    </row>
    <row r="9904" ht="14.25" customHeight="1">
      <c r="A9904" s="740"/>
    </row>
    <row r="9905" ht="14.25" customHeight="1">
      <c r="A9905" s="740"/>
    </row>
    <row r="9906" ht="14.25" customHeight="1">
      <c r="A9906" s="740"/>
    </row>
    <row r="9907" ht="14.25" customHeight="1">
      <c r="A9907" s="740"/>
    </row>
    <row r="9908" ht="14.25" customHeight="1">
      <c r="A9908" s="740"/>
    </row>
    <row r="9909" ht="14.25" customHeight="1">
      <c r="A9909" s="740"/>
    </row>
    <row r="9910" ht="14.25" customHeight="1">
      <c r="A9910" s="740"/>
    </row>
    <row r="9911" ht="14.25" customHeight="1">
      <c r="A9911" s="740"/>
    </row>
    <row r="9912" ht="14.25" customHeight="1">
      <c r="A9912" s="740"/>
    </row>
    <row r="9913" ht="14.25" customHeight="1">
      <c r="A9913" s="740"/>
    </row>
    <row r="9914" ht="14.25" customHeight="1">
      <c r="A9914" s="740"/>
    </row>
    <row r="9915" ht="14.25" customHeight="1">
      <c r="A9915" s="740"/>
    </row>
    <row r="9916" ht="14.25" customHeight="1">
      <c r="A9916" s="740"/>
    </row>
    <row r="9917" ht="14.25" customHeight="1">
      <c r="A9917" s="740"/>
    </row>
    <row r="9918" ht="14.25" customHeight="1">
      <c r="A9918" s="740"/>
    </row>
    <row r="9919" ht="14.25" customHeight="1">
      <c r="A9919" s="740"/>
    </row>
    <row r="9920" ht="14.25" customHeight="1">
      <c r="A9920" s="740"/>
    </row>
    <row r="9921" ht="14.25" customHeight="1">
      <c r="A9921" s="740"/>
    </row>
    <row r="9922" ht="14.25" customHeight="1">
      <c r="A9922" s="740"/>
    </row>
    <row r="9923" ht="14.25" customHeight="1">
      <c r="A9923" s="740"/>
    </row>
    <row r="9924" ht="14.25" customHeight="1">
      <c r="A9924" s="740"/>
    </row>
    <row r="9925" ht="14.25" customHeight="1">
      <c r="A9925" s="740"/>
    </row>
    <row r="9926" ht="14.25" customHeight="1">
      <c r="A9926" s="740"/>
    </row>
    <row r="9927" ht="14.25" customHeight="1">
      <c r="A9927" s="740"/>
    </row>
    <row r="9928" ht="14.25" customHeight="1">
      <c r="A9928" s="740"/>
    </row>
    <row r="9929" ht="14.25" customHeight="1">
      <c r="A9929" s="740"/>
    </row>
    <row r="9930" ht="14.25" customHeight="1">
      <c r="A9930" s="740"/>
    </row>
    <row r="9931" ht="14.25" customHeight="1">
      <c r="A9931" s="740"/>
    </row>
    <row r="9932" ht="14.25" customHeight="1">
      <c r="A9932" s="740"/>
    </row>
    <row r="9933" ht="14.25" customHeight="1">
      <c r="A9933" s="740"/>
    </row>
    <row r="9934" ht="14.25" customHeight="1">
      <c r="A9934" s="740"/>
    </row>
    <row r="9935" ht="14.25" customHeight="1">
      <c r="A9935" s="740"/>
    </row>
    <row r="9936" ht="14.25" customHeight="1">
      <c r="A9936" s="740"/>
    </row>
    <row r="9937" ht="14.25" customHeight="1">
      <c r="A9937" s="740"/>
    </row>
    <row r="9938" ht="14.25" customHeight="1">
      <c r="A9938" s="740"/>
    </row>
    <row r="9939" ht="14.25" customHeight="1">
      <c r="A9939" s="740"/>
    </row>
    <row r="9940" ht="14.25" customHeight="1">
      <c r="A9940" s="740"/>
    </row>
    <row r="9941" ht="14.25" customHeight="1">
      <c r="A9941" s="740"/>
    </row>
    <row r="9942" ht="14.25" customHeight="1">
      <c r="A9942" s="740"/>
    </row>
    <row r="9943" ht="14.25" customHeight="1">
      <c r="A9943" s="740"/>
    </row>
    <row r="9944" ht="14.25" customHeight="1">
      <c r="A9944" s="740"/>
    </row>
    <row r="9945" ht="14.25" customHeight="1">
      <c r="A9945" s="740"/>
    </row>
    <row r="9946" ht="14.25" customHeight="1">
      <c r="A9946" s="740"/>
    </row>
    <row r="9947" ht="14.25" customHeight="1">
      <c r="A9947" s="740"/>
    </row>
    <row r="9948" ht="14.25" customHeight="1">
      <c r="A9948" s="740"/>
    </row>
    <row r="9949" ht="14.25" customHeight="1">
      <c r="A9949" s="740"/>
    </row>
    <row r="9950" ht="14.25" customHeight="1">
      <c r="A9950" s="740"/>
    </row>
    <row r="9951" ht="14.25" customHeight="1">
      <c r="A9951" s="740"/>
    </row>
    <row r="9952" ht="14.25" customHeight="1">
      <c r="A9952" s="740"/>
    </row>
    <row r="9953" ht="14.25" customHeight="1">
      <c r="A9953" s="740"/>
    </row>
    <row r="9954" ht="14.25" customHeight="1">
      <c r="A9954" s="740"/>
    </row>
    <row r="9955" ht="14.25" customHeight="1">
      <c r="A9955" s="740"/>
    </row>
    <row r="9956" ht="14.25" customHeight="1">
      <c r="A9956" s="740"/>
    </row>
    <row r="9957" ht="14.25" customHeight="1">
      <c r="A9957" s="740"/>
    </row>
    <row r="9958" ht="14.25" customHeight="1">
      <c r="A9958" s="740"/>
    </row>
    <row r="9959" ht="14.25" customHeight="1">
      <c r="A9959" s="740"/>
    </row>
    <row r="9960" ht="14.25" customHeight="1">
      <c r="A9960" s="740"/>
    </row>
    <row r="9961" ht="14.25" customHeight="1">
      <c r="A9961" s="740"/>
    </row>
    <row r="9962" ht="14.25" customHeight="1">
      <c r="A9962" s="740"/>
    </row>
    <row r="9963" ht="14.25" customHeight="1">
      <c r="A9963" s="740"/>
    </row>
    <row r="9964" ht="14.25" customHeight="1">
      <c r="A9964" s="740"/>
    </row>
    <row r="9965" ht="14.25" customHeight="1">
      <c r="A9965" s="740"/>
    </row>
    <row r="9966" ht="14.25" customHeight="1">
      <c r="A9966" s="740"/>
    </row>
    <row r="9967" ht="14.25" customHeight="1">
      <c r="A9967" s="740"/>
    </row>
    <row r="9968" ht="14.25" customHeight="1">
      <c r="A9968" s="740"/>
    </row>
    <row r="9969" ht="14.25" customHeight="1">
      <c r="A9969" s="740"/>
    </row>
    <row r="9970" ht="14.25" customHeight="1">
      <c r="A9970" s="740"/>
    </row>
    <row r="9971" ht="14.25" customHeight="1">
      <c r="A9971" s="740"/>
    </row>
    <row r="9972" ht="14.25" customHeight="1">
      <c r="A9972" s="740"/>
    </row>
    <row r="9973" ht="14.25" customHeight="1">
      <c r="A9973" s="740"/>
    </row>
    <row r="9974" ht="14.25" customHeight="1">
      <c r="A9974" s="740"/>
    </row>
    <row r="9975" ht="14.25" customHeight="1">
      <c r="A9975" s="740"/>
    </row>
    <row r="9976" ht="14.25" customHeight="1">
      <c r="A9976" s="740"/>
    </row>
    <row r="9977" ht="14.25" customHeight="1">
      <c r="A9977" s="740"/>
    </row>
    <row r="9978" ht="14.25" customHeight="1">
      <c r="A9978" s="740"/>
    </row>
    <row r="9979" ht="14.25" customHeight="1">
      <c r="A9979" s="740"/>
    </row>
    <row r="9980" ht="14.25" customHeight="1">
      <c r="A9980" s="740"/>
    </row>
    <row r="9981" ht="14.25" customHeight="1">
      <c r="A9981" s="740"/>
    </row>
    <row r="9982" ht="14.25" customHeight="1">
      <c r="A9982" s="740"/>
    </row>
    <row r="9983" ht="14.25" customHeight="1">
      <c r="A9983" s="740"/>
    </row>
    <row r="9984" ht="14.25" customHeight="1">
      <c r="A9984" s="740"/>
    </row>
    <row r="9985" ht="14.25" customHeight="1">
      <c r="A9985" s="740"/>
    </row>
    <row r="9986" ht="14.25" customHeight="1">
      <c r="A9986" s="740"/>
    </row>
    <row r="9987" ht="14.25" customHeight="1">
      <c r="A9987" s="740"/>
    </row>
    <row r="9988" ht="14.25" customHeight="1">
      <c r="A9988" s="740"/>
    </row>
    <row r="9989" ht="14.25" customHeight="1">
      <c r="A9989" s="740"/>
    </row>
    <row r="9990" ht="14.25" customHeight="1">
      <c r="A9990" s="740"/>
    </row>
    <row r="9991" ht="14.25" customHeight="1">
      <c r="A9991" s="740"/>
    </row>
    <row r="9992" ht="14.25" customHeight="1">
      <c r="A9992" s="740"/>
    </row>
    <row r="9993" ht="14.25" customHeight="1">
      <c r="A9993" s="740"/>
    </row>
    <row r="9994" ht="14.25" customHeight="1">
      <c r="A9994" s="740"/>
    </row>
    <row r="9995" ht="14.25" customHeight="1">
      <c r="A9995" s="740"/>
    </row>
    <row r="9996" ht="14.25" customHeight="1">
      <c r="A9996" s="740"/>
    </row>
    <row r="9997" ht="14.25" customHeight="1">
      <c r="A9997" s="740"/>
    </row>
    <row r="9998" ht="14.25" customHeight="1">
      <c r="A9998" s="740"/>
    </row>
    <row r="9999" ht="14.25" customHeight="1">
      <c r="A9999" s="740"/>
    </row>
    <row r="10000" ht="14.25" customHeight="1">
      <c r="A10000" s="740"/>
    </row>
    <row r="10001" ht="14.25" customHeight="1">
      <c r="A10001" s="740"/>
    </row>
    <row r="10002" ht="14.25" customHeight="1">
      <c r="A10002" s="740"/>
    </row>
    <row r="10003" ht="14.25" customHeight="1">
      <c r="A10003" s="740"/>
    </row>
    <row r="10004" ht="14.25" customHeight="1">
      <c r="A10004" s="740"/>
    </row>
    <row r="10005" ht="14.25" customHeight="1">
      <c r="A10005" s="740"/>
    </row>
    <row r="10006" ht="14.25" customHeight="1">
      <c r="A10006" s="740"/>
    </row>
    <row r="10007" ht="14.25" customHeight="1">
      <c r="A10007" s="740"/>
    </row>
    <row r="10008" ht="14.25" customHeight="1">
      <c r="A10008" s="740"/>
    </row>
    <row r="10009" ht="14.25" customHeight="1">
      <c r="A10009" s="740"/>
    </row>
    <row r="10010" ht="14.25" customHeight="1">
      <c r="A10010" s="740"/>
    </row>
    <row r="10011" ht="14.25" customHeight="1">
      <c r="A10011" s="740"/>
    </row>
    <row r="10012" ht="14.25" customHeight="1">
      <c r="A10012" s="740"/>
    </row>
    <row r="10013" ht="14.25" customHeight="1">
      <c r="A10013" s="740"/>
    </row>
    <row r="10014" ht="14.25" customHeight="1">
      <c r="A10014" s="740"/>
    </row>
    <row r="10015" ht="14.25" customHeight="1">
      <c r="A10015" s="740"/>
    </row>
    <row r="10016" ht="14.25" customHeight="1">
      <c r="A10016" s="740"/>
    </row>
    <row r="10017" ht="14.25" customHeight="1">
      <c r="A10017" s="740"/>
    </row>
    <row r="10018" ht="14.25" customHeight="1">
      <c r="A10018" s="740"/>
    </row>
    <row r="10019" ht="14.25" customHeight="1">
      <c r="A10019" s="740"/>
    </row>
    <row r="10020" ht="14.25" customHeight="1">
      <c r="A10020" s="740"/>
    </row>
    <row r="10021" ht="14.25" customHeight="1">
      <c r="A10021" s="740"/>
    </row>
    <row r="10022" ht="14.25" customHeight="1">
      <c r="A10022" s="740"/>
    </row>
    <row r="10023" ht="14.25" customHeight="1">
      <c r="A10023" s="740"/>
    </row>
    <row r="10024" ht="14.25" customHeight="1">
      <c r="A10024" s="740"/>
    </row>
    <row r="10025" ht="14.25" customHeight="1">
      <c r="A10025" s="740"/>
    </row>
    <row r="10026" ht="14.25" customHeight="1">
      <c r="A10026" s="740"/>
    </row>
    <row r="10027" ht="14.25" customHeight="1">
      <c r="A10027" s="740"/>
    </row>
    <row r="10028" ht="14.25" customHeight="1">
      <c r="A10028" s="740"/>
    </row>
    <row r="10029" ht="14.25" customHeight="1">
      <c r="A10029" s="740"/>
    </row>
    <row r="10030" ht="14.25" customHeight="1">
      <c r="A10030" s="740"/>
    </row>
    <row r="10031" ht="14.25" customHeight="1">
      <c r="A10031" s="740"/>
    </row>
    <row r="10032" ht="14.25" customHeight="1">
      <c r="A10032" s="740"/>
    </row>
    <row r="10033" ht="14.25" customHeight="1">
      <c r="A10033" s="740"/>
    </row>
    <row r="10034" ht="14.25" customHeight="1">
      <c r="A10034" s="740"/>
    </row>
    <row r="10035" ht="14.25" customHeight="1">
      <c r="A10035" s="740"/>
    </row>
    <row r="10036" ht="14.25" customHeight="1">
      <c r="A10036" s="740"/>
    </row>
    <row r="10037" ht="14.25" customHeight="1">
      <c r="A10037" s="740"/>
    </row>
    <row r="10038" ht="14.25" customHeight="1">
      <c r="A10038" s="740"/>
    </row>
    <row r="10039" ht="14.25" customHeight="1">
      <c r="A10039" s="740"/>
    </row>
    <row r="10040" ht="14.25" customHeight="1">
      <c r="A10040" s="740"/>
    </row>
    <row r="10041" ht="14.25" customHeight="1">
      <c r="A10041" s="740"/>
    </row>
    <row r="10042" ht="14.25" customHeight="1">
      <c r="A10042" s="740"/>
    </row>
    <row r="10043" ht="14.25" customHeight="1">
      <c r="A10043" s="740"/>
    </row>
    <row r="10044" ht="14.25" customHeight="1">
      <c r="A10044" s="740"/>
    </row>
    <row r="10045" ht="14.25" customHeight="1">
      <c r="A10045" s="740"/>
    </row>
    <row r="10046" ht="14.25" customHeight="1">
      <c r="A10046" s="740"/>
    </row>
    <row r="10047" ht="14.25" customHeight="1">
      <c r="A10047" s="740"/>
    </row>
    <row r="10048" ht="14.25" customHeight="1">
      <c r="A10048" s="740"/>
    </row>
    <row r="10049" ht="14.25" customHeight="1">
      <c r="A10049" s="740"/>
    </row>
    <row r="10050" ht="14.25" customHeight="1">
      <c r="A10050" s="740"/>
    </row>
    <row r="10051" ht="14.25" customHeight="1">
      <c r="A10051" s="740"/>
    </row>
    <row r="10052" ht="14.25" customHeight="1">
      <c r="A10052" s="740"/>
    </row>
    <row r="10053" ht="14.25" customHeight="1">
      <c r="A10053" s="740"/>
    </row>
    <row r="10054" ht="14.25" customHeight="1">
      <c r="A10054" s="740"/>
    </row>
    <row r="10055" ht="14.25" customHeight="1">
      <c r="A10055" s="740"/>
    </row>
    <row r="10056" ht="14.25" customHeight="1">
      <c r="A10056" s="740"/>
    </row>
    <row r="10057" ht="14.25" customHeight="1">
      <c r="A10057" s="740"/>
    </row>
    <row r="10058" ht="14.25" customHeight="1">
      <c r="A10058" s="740"/>
    </row>
    <row r="10059" ht="14.25" customHeight="1">
      <c r="A10059" s="740"/>
    </row>
    <row r="10060" ht="14.25" customHeight="1">
      <c r="A10060" s="740"/>
    </row>
    <row r="10061" ht="14.25" customHeight="1">
      <c r="A10061" s="740"/>
    </row>
    <row r="10062" ht="14.25" customHeight="1">
      <c r="A10062" s="740"/>
    </row>
    <row r="10063" ht="14.25" customHeight="1">
      <c r="A10063" s="740"/>
    </row>
    <row r="10064" ht="14.25" customHeight="1">
      <c r="A10064" s="740"/>
    </row>
    <row r="10065" ht="14.25" customHeight="1">
      <c r="A10065" s="740"/>
    </row>
    <row r="10066" ht="14.25" customHeight="1">
      <c r="A10066" s="740"/>
    </row>
    <row r="10067" ht="14.25" customHeight="1">
      <c r="A10067" s="740"/>
    </row>
    <row r="10068" ht="14.25" customHeight="1">
      <c r="A10068" s="740"/>
    </row>
    <row r="10069" ht="14.25" customHeight="1">
      <c r="A10069" s="740"/>
    </row>
    <row r="10070" ht="14.25" customHeight="1">
      <c r="A10070" s="740"/>
    </row>
    <row r="10071" ht="14.25" customHeight="1">
      <c r="A10071" s="740"/>
    </row>
    <row r="10072" ht="14.25" customHeight="1">
      <c r="A10072" s="740"/>
    </row>
    <row r="10073" ht="14.25" customHeight="1">
      <c r="A10073" s="740"/>
    </row>
    <row r="10074" ht="14.25" customHeight="1">
      <c r="A10074" s="740"/>
    </row>
    <row r="10075" ht="14.25" customHeight="1">
      <c r="A10075" s="740"/>
    </row>
    <row r="10076" ht="14.25" customHeight="1">
      <c r="A10076" s="740"/>
    </row>
    <row r="10077" ht="14.25" customHeight="1">
      <c r="A10077" s="740"/>
    </row>
    <row r="10078" ht="14.25" customHeight="1">
      <c r="A10078" s="740"/>
    </row>
    <row r="10079" ht="14.25" customHeight="1">
      <c r="A10079" s="740"/>
    </row>
    <row r="10080" ht="14.25" customHeight="1">
      <c r="A10080" s="740"/>
    </row>
    <row r="10081" ht="14.25" customHeight="1">
      <c r="A10081" s="740"/>
    </row>
    <row r="10082" ht="14.25" customHeight="1">
      <c r="A10082" s="740"/>
    </row>
    <row r="10083" ht="14.25" customHeight="1">
      <c r="A10083" s="740"/>
    </row>
    <row r="10084" ht="14.25" customHeight="1">
      <c r="A10084" s="740"/>
    </row>
    <row r="10085" ht="14.25" customHeight="1">
      <c r="A10085" s="740"/>
    </row>
    <row r="10086" ht="14.25" customHeight="1">
      <c r="A10086" s="740"/>
    </row>
    <row r="10087" ht="14.25" customHeight="1">
      <c r="A10087" s="740"/>
    </row>
    <row r="10088" ht="14.25" customHeight="1">
      <c r="A10088" s="740"/>
    </row>
    <row r="10089" ht="14.25" customHeight="1">
      <c r="A10089" s="740"/>
    </row>
    <row r="10090" ht="14.25" customHeight="1">
      <c r="A10090" s="740"/>
    </row>
    <row r="10091" ht="14.25" customHeight="1">
      <c r="A10091" s="740"/>
    </row>
    <row r="10092" ht="14.25" customHeight="1">
      <c r="A10092" s="740"/>
    </row>
    <row r="10093" ht="14.25" customHeight="1">
      <c r="A10093" s="740"/>
    </row>
    <row r="10094" ht="14.25" customHeight="1">
      <c r="A10094" s="740"/>
    </row>
    <row r="10095" ht="14.25" customHeight="1">
      <c r="A10095" s="740"/>
    </row>
    <row r="10096" ht="14.25" customHeight="1">
      <c r="A10096" s="740"/>
    </row>
    <row r="10097" ht="14.25" customHeight="1">
      <c r="A10097" s="740"/>
    </row>
    <row r="10098" ht="14.25" customHeight="1">
      <c r="A10098" s="740"/>
    </row>
    <row r="10099" ht="14.25" customHeight="1">
      <c r="A10099" s="740"/>
    </row>
    <row r="10100" ht="14.25" customHeight="1">
      <c r="A10100" s="740"/>
    </row>
    <row r="10101" ht="14.25" customHeight="1">
      <c r="A10101" s="740"/>
    </row>
    <row r="10102" ht="14.25" customHeight="1">
      <c r="A10102" s="740"/>
    </row>
    <row r="10103" ht="14.25" customHeight="1">
      <c r="A10103" s="740"/>
    </row>
    <row r="10104" ht="14.25" customHeight="1">
      <c r="A10104" s="740"/>
    </row>
    <row r="10105" ht="14.25" customHeight="1">
      <c r="A10105" s="740"/>
    </row>
    <row r="10106" ht="14.25" customHeight="1">
      <c r="A10106" s="740"/>
    </row>
    <row r="10107" ht="14.25" customHeight="1">
      <c r="A10107" s="740"/>
    </row>
    <row r="10108" ht="14.25" customHeight="1">
      <c r="A10108" s="740"/>
    </row>
    <row r="10109" ht="14.25" customHeight="1">
      <c r="A10109" s="740"/>
    </row>
    <row r="10110" ht="14.25" customHeight="1">
      <c r="A10110" s="740"/>
    </row>
    <row r="10111" ht="14.25" customHeight="1">
      <c r="A10111" s="740"/>
    </row>
    <row r="10112" ht="14.25" customHeight="1">
      <c r="A10112" s="740"/>
    </row>
    <row r="10113" ht="14.25" customHeight="1">
      <c r="A10113" s="740"/>
    </row>
    <row r="10114" ht="14.25" customHeight="1">
      <c r="A10114" s="740"/>
    </row>
    <row r="10115" ht="14.25" customHeight="1">
      <c r="A10115" s="740"/>
    </row>
    <row r="10116" ht="14.25" customHeight="1">
      <c r="A10116" s="740"/>
    </row>
    <row r="10117" ht="14.25" customHeight="1">
      <c r="A10117" s="740"/>
    </row>
    <row r="10118" ht="14.25" customHeight="1">
      <c r="A10118" s="740"/>
    </row>
    <row r="10119" ht="14.25" customHeight="1">
      <c r="A10119" s="740"/>
    </row>
    <row r="10120" ht="14.25" customHeight="1">
      <c r="A10120" s="740"/>
    </row>
    <row r="10121" ht="14.25" customHeight="1">
      <c r="A10121" s="740"/>
    </row>
    <row r="10122" ht="14.25" customHeight="1">
      <c r="A10122" s="740"/>
    </row>
    <row r="10123" ht="14.25" customHeight="1">
      <c r="A10123" s="740"/>
    </row>
    <row r="10124" ht="14.25" customHeight="1">
      <c r="A10124" s="740"/>
    </row>
    <row r="10125" ht="14.25" customHeight="1">
      <c r="A10125" s="740"/>
    </row>
    <row r="10126" ht="14.25" customHeight="1">
      <c r="A10126" s="740"/>
    </row>
    <row r="10127" ht="14.25" customHeight="1">
      <c r="A10127" s="740"/>
    </row>
    <row r="10128" ht="14.25" customHeight="1">
      <c r="A10128" s="740"/>
    </row>
    <row r="10129" ht="14.25" customHeight="1">
      <c r="A10129" s="740"/>
    </row>
    <row r="10130" ht="14.25" customHeight="1">
      <c r="A10130" s="740"/>
    </row>
    <row r="10131" ht="14.25" customHeight="1">
      <c r="A10131" s="740"/>
    </row>
    <row r="10132" ht="14.25" customHeight="1">
      <c r="A10132" s="740"/>
    </row>
    <row r="10133" ht="14.25" customHeight="1">
      <c r="A10133" s="740"/>
    </row>
    <row r="10134" ht="14.25" customHeight="1">
      <c r="A10134" s="740"/>
    </row>
    <row r="10135" ht="14.25" customHeight="1">
      <c r="A10135" s="740"/>
    </row>
    <row r="10136" ht="14.25" customHeight="1">
      <c r="A10136" s="740"/>
    </row>
    <row r="10137" ht="14.25" customHeight="1">
      <c r="A10137" s="740"/>
    </row>
    <row r="10138" ht="14.25" customHeight="1">
      <c r="A10138" s="740"/>
    </row>
    <row r="10139" ht="14.25" customHeight="1">
      <c r="A10139" s="740"/>
    </row>
    <row r="10140" ht="14.25" customHeight="1">
      <c r="A10140" s="740"/>
    </row>
    <row r="10141" ht="14.25" customHeight="1">
      <c r="A10141" s="740"/>
    </row>
    <row r="10142" ht="14.25" customHeight="1">
      <c r="A10142" s="740"/>
    </row>
    <row r="10143" ht="14.25" customHeight="1">
      <c r="A10143" s="740"/>
    </row>
    <row r="10144" ht="14.25" customHeight="1">
      <c r="A10144" s="740"/>
    </row>
    <row r="10145" ht="14.25" customHeight="1">
      <c r="A10145" s="740"/>
    </row>
    <row r="10146" ht="14.25" customHeight="1">
      <c r="A10146" s="740"/>
    </row>
    <row r="10147" ht="14.25" customHeight="1">
      <c r="A10147" s="740"/>
    </row>
    <row r="10148" ht="14.25" customHeight="1">
      <c r="A10148" s="740"/>
    </row>
    <row r="10149" ht="14.25" customHeight="1">
      <c r="A10149" s="740"/>
    </row>
    <row r="10150" ht="14.25" customHeight="1">
      <c r="A10150" s="740"/>
    </row>
    <row r="10151" ht="14.25" customHeight="1">
      <c r="A10151" s="740"/>
    </row>
    <row r="10152" ht="14.25" customHeight="1">
      <c r="A10152" s="740"/>
    </row>
    <row r="10153" ht="14.25" customHeight="1">
      <c r="A10153" s="740"/>
    </row>
    <row r="10154" ht="14.25" customHeight="1">
      <c r="A10154" s="740"/>
    </row>
    <row r="10155" ht="14.25" customHeight="1">
      <c r="A10155" s="740"/>
    </row>
    <row r="10156" ht="14.25" customHeight="1">
      <c r="A10156" s="740"/>
    </row>
    <row r="10157" ht="14.25" customHeight="1">
      <c r="A10157" s="740"/>
    </row>
    <row r="10158" ht="14.25" customHeight="1">
      <c r="A10158" s="740"/>
    </row>
    <row r="10159" ht="14.25" customHeight="1">
      <c r="A10159" s="740"/>
    </row>
    <row r="10160" ht="14.25" customHeight="1">
      <c r="A10160" s="740"/>
    </row>
    <row r="10161" ht="14.25" customHeight="1">
      <c r="A10161" s="740"/>
    </row>
    <row r="10162" ht="14.25" customHeight="1">
      <c r="A10162" s="740"/>
    </row>
    <row r="10163" ht="14.25" customHeight="1">
      <c r="A10163" s="740"/>
    </row>
    <row r="10164" ht="14.25" customHeight="1">
      <c r="A10164" s="740"/>
    </row>
    <row r="10165" ht="14.25" customHeight="1">
      <c r="A10165" s="740"/>
    </row>
    <row r="10166" ht="14.25" customHeight="1">
      <c r="A10166" s="740"/>
    </row>
    <row r="10167" ht="14.25" customHeight="1">
      <c r="A10167" s="740"/>
    </row>
    <row r="10168" ht="14.25" customHeight="1">
      <c r="A10168" s="740"/>
    </row>
    <row r="10169" ht="14.25" customHeight="1">
      <c r="A10169" s="740"/>
    </row>
    <row r="10170" ht="14.25" customHeight="1">
      <c r="A10170" s="740"/>
    </row>
    <row r="10171" ht="14.25" customHeight="1">
      <c r="A10171" s="740"/>
    </row>
    <row r="10172" ht="14.25" customHeight="1">
      <c r="A10172" s="740"/>
    </row>
    <row r="10173" ht="14.25" customHeight="1">
      <c r="A10173" s="740"/>
    </row>
    <row r="10174" ht="14.25" customHeight="1">
      <c r="A10174" s="740"/>
    </row>
    <row r="10175" ht="14.25" customHeight="1">
      <c r="A10175" s="740"/>
    </row>
    <row r="10176" ht="14.25" customHeight="1">
      <c r="A10176" s="740"/>
    </row>
    <row r="10177" ht="14.25" customHeight="1">
      <c r="A10177" s="740"/>
    </row>
    <row r="10178" ht="14.25" customHeight="1">
      <c r="A10178" s="740"/>
    </row>
    <row r="10179" ht="14.25" customHeight="1">
      <c r="A10179" s="740"/>
    </row>
    <row r="10180" ht="14.25" customHeight="1">
      <c r="A10180" s="740"/>
    </row>
    <row r="10181" ht="14.25" customHeight="1">
      <c r="A10181" s="740"/>
    </row>
    <row r="10182" ht="14.25" customHeight="1">
      <c r="A10182" s="740"/>
    </row>
    <row r="10183" ht="14.25" customHeight="1">
      <c r="A10183" s="740"/>
    </row>
    <row r="10184" ht="14.25" customHeight="1">
      <c r="A10184" s="740"/>
    </row>
    <row r="10185" ht="14.25" customHeight="1">
      <c r="A10185" s="740"/>
    </row>
    <row r="10186" ht="14.25" customHeight="1">
      <c r="A10186" s="740"/>
    </row>
    <row r="10187" ht="14.25" customHeight="1">
      <c r="A10187" s="740"/>
    </row>
    <row r="10188" ht="14.25" customHeight="1">
      <c r="A10188" s="740"/>
    </row>
    <row r="10189" ht="14.25" customHeight="1">
      <c r="A10189" s="740"/>
    </row>
    <row r="10190" ht="14.25" customHeight="1">
      <c r="A10190" s="740"/>
    </row>
    <row r="10191" ht="14.25" customHeight="1">
      <c r="A10191" s="740"/>
    </row>
    <row r="10192" ht="14.25" customHeight="1">
      <c r="A10192" s="740"/>
    </row>
    <row r="10193" ht="14.25" customHeight="1">
      <c r="A10193" s="740"/>
    </row>
    <row r="10194" ht="14.25" customHeight="1">
      <c r="A10194" s="740"/>
    </row>
    <row r="10195" ht="14.25" customHeight="1">
      <c r="A10195" s="740"/>
    </row>
    <row r="10196" ht="14.25" customHeight="1">
      <c r="A10196" s="740"/>
    </row>
    <row r="10197" ht="14.25" customHeight="1">
      <c r="A10197" s="740"/>
    </row>
    <row r="10198" ht="14.25" customHeight="1">
      <c r="A10198" s="740"/>
    </row>
    <row r="10199" ht="14.25" customHeight="1">
      <c r="A10199" s="740"/>
    </row>
    <row r="10200" ht="14.25" customHeight="1">
      <c r="A10200" s="740"/>
    </row>
    <row r="10201" ht="14.25" customHeight="1">
      <c r="A10201" s="740"/>
    </row>
    <row r="10202" ht="14.25" customHeight="1">
      <c r="A10202" s="740"/>
    </row>
    <row r="10203" ht="14.25" customHeight="1">
      <c r="A10203" s="740"/>
    </row>
    <row r="10204" ht="14.25" customHeight="1">
      <c r="A10204" s="740"/>
    </row>
    <row r="10205" ht="14.25" customHeight="1">
      <c r="A10205" s="740"/>
    </row>
    <row r="10206" ht="14.25" customHeight="1">
      <c r="A10206" s="740"/>
    </row>
    <row r="10207" ht="14.25" customHeight="1">
      <c r="A10207" s="740"/>
    </row>
    <row r="10208" ht="14.25" customHeight="1">
      <c r="A10208" s="740"/>
    </row>
    <row r="10209" ht="14.25" customHeight="1">
      <c r="A10209" s="740"/>
    </row>
    <row r="10210" ht="14.25" customHeight="1">
      <c r="A10210" s="740"/>
    </row>
    <row r="10211" ht="14.25" customHeight="1">
      <c r="A10211" s="740"/>
    </row>
    <row r="10212" ht="14.25" customHeight="1">
      <c r="A10212" s="740"/>
    </row>
    <row r="10213" ht="14.25" customHeight="1">
      <c r="A10213" s="740"/>
    </row>
    <row r="10214" ht="14.25" customHeight="1">
      <c r="A10214" s="740"/>
    </row>
    <row r="10215" ht="14.25" customHeight="1">
      <c r="A10215" s="740"/>
    </row>
    <row r="10216" ht="14.25" customHeight="1">
      <c r="A10216" s="740"/>
    </row>
    <row r="10217" ht="14.25" customHeight="1">
      <c r="A10217" s="740"/>
    </row>
    <row r="10218" ht="14.25" customHeight="1">
      <c r="A10218" s="740"/>
    </row>
    <row r="10219" ht="14.25" customHeight="1">
      <c r="A10219" s="740"/>
    </row>
    <row r="10220" ht="14.25" customHeight="1">
      <c r="A10220" s="740"/>
    </row>
    <row r="10221" ht="14.25" customHeight="1">
      <c r="A10221" s="740"/>
    </row>
    <row r="10222" ht="14.25" customHeight="1">
      <c r="A10222" s="740"/>
    </row>
    <row r="10223" ht="14.25" customHeight="1">
      <c r="A10223" s="740"/>
    </row>
    <row r="10224" ht="14.25" customHeight="1">
      <c r="A10224" s="740"/>
    </row>
    <row r="10225" ht="14.25" customHeight="1">
      <c r="A10225" s="740"/>
    </row>
    <row r="10226" ht="14.25" customHeight="1">
      <c r="A10226" s="740"/>
    </row>
    <row r="10227" ht="14.25" customHeight="1">
      <c r="A10227" s="740"/>
    </row>
    <row r="10228" ht="14.25" customHeight="1">
      <c r="A10228" s="740"/>
    </row>
    <row r="10229" ht="14.25" customHeight="1">
      <c r="A10229" s="740"/>
    </row>
    <row r="10230" ht="14.25" customHeight="1">
      <c r="A10230" s="740"/>
    </row>
    <row r="10231" ht="14.25" customHeight="1">
      <c r="A10231" s="740"/>
    </row>
    <row r="10232" ht="14.25" customHeight="1">
      <c r="A10232" s="740"/>
    </row>
    <row r="10233" ht="14.25" customHeight="1">
      <c r="A10233" s="740"/>
    </row>
    <row r="10234" ht="14.25" customHeight="1">
      <c r="A10234" s="740"/>
    </row>
    <row r="10235" ht="14.25" customHeight="1">
      <c r="A10235" s="740"/>
    </row>
    <row r="10236" ht="14.25" customHeight="1">
      <c r="A10236" s="740"/>
    </row>
    <row r="10237" ht="14.25" customHeight="1">
      <c r="A10237" s="740"/>
    </row>
    <row r="10238" ht="14.25" customHeight="1">
      <c r="A10238" s="740"/>
    </row>
    <row r="10239" ht="14.25" customHeight="1">
      <c r="A10239" s="740"/>
    </row>
    <row r="10240" ht="14.25" customHeight="1">
      <c r="A10240" s="740"/>
    </row>
    <row r="10241" ht="14.25" customHeight="1">
      <c r="A10241" s="740"/>
    </row>
    <row r="10242" ht="14.25" customHeight="1">
      <c r="A10242" s="740"/>
    </row>
    <row r="10243" ht="14.25" customHeight="1">
      <c r="A10243" s="740"/>
    </row>
    <row r="10244" ht="14.25" customHeight="1">
      <c r="A10244" s="740"/>
    </row>
    <row r="10245" ht="14.25" customHeight="1">
      <c r="A10245" s="740"/>
    </row>
    <row r="10246" ht="14.25" customHeight="1">
      <c r="A10246" s="740"/>
    </row>
    <row r="10247" ht="14.25" customHeight="1">
      <c r="A10247" s="740"/>
    </row>
    <row r="10248" ht="14.25" customHeight="1">
      <c r="A10248" s="740"/>
    </row>
    <row r="10249" ht="14.25" customHeight="1">
      <c r="A10249" s="740"/>
    </row>
    <row r="10250" ht="14.25" customHeight="1">
      <c r="A10250" s="740"/>
    </row>
    <row r="10251" ht="14.25" customHeight="1">
      <c r="A10251" s="740"/>
    </row>
    <row r="10252" ht="14.25" customHeight="1">
      <c r="A10252" s="740"/>
    </row>
    <row r="10253" ht="14.25" customHeight="1">
      <c r="A10253" s="740"/>
    </row>
    <row r="10254" ht="14.25" customHeight="1">
      <c r="A10254" s="740"/>
    </row>
    <row r="10255" ht="14.25" customHeight="1">
      <c r="A10255" s="740"/>
    </row>
    <row r="10256" ht="14.25" customHeight="1">
      <c r="A10256" s="740"/>
    </row>
    <row r="10257" ht="14.25" customHeight="1">
      <c r="A10257" s="740"/>
    </row>
    <row r="10258" ht="14.25" customHeight="1">
      <c r="A10258" s="740"/>
    </row>
    <row r="10259" ht="14.25" customHeight="1">
      <c r="A10259" s="740"/>
    </row>
    <row r="10260" ht="14.25" customHeight="1">
      <c r="A10260" s="740"/>
    </row>
    <row r="10261" ht="14.25" customHeight="1">
      <c r="A10261" s="740"/>
    </row>
    <row r="10262" ht="14.25" customHeight="1">
      <c r="A10262" s="740"/>
    </row>
    <row r="10263" ht="14.25" customHeight="1">
      <c r="A10263" s="740"/>
    </row>
    <row r="10264" ht="14.25" customHeight="1">
      <c r="A10264" s="740"/>
    </row>
    <row r="10265" ht="14.25" customHeight="1">
      <c r="A10265" s="740"/>
    </row>
    <row r="10266" ht="14.25" customHeight="1">
      <c r="A10266" s="740"/>
    </row>
    <row r="10267" ht="14.25" customHeight="1">
      <c r="A10267" s="740"/>
    </row>
    <row r="10268" ht="14.25" customHeight="1">
      <c r="A10268" s="740"/>
    </row>
    <row r="10269" ht="14.25" customHeight="1">
      <c r="A10269" s="740"/>
    </row>
    <row r="10270" ht="14.25" customHeight="1">
      <c r="A10270" s="740"/>
    </row>
    <row r="10271" ht="14.25" customHeight="1">
      <c r="A10271" s="740"/>
    </row>
    <row r="10272" ht="14.25" customHeight="1">
      <c r="A10272" s="740"/>
    </row>
    <row r="10273" ht="14.25" customHeight="1">
      <c r="A10273" s="740"/>
    </row>
    <row r="10274" ht="14.25" customHeight="1">
      <c r="A10274" s="740"/>
    </row>
    <row r="10275" ht="14.25" customHeight="1">
      <c r="A10275" s="740"/>
    </row>
    <row r="10276" ht="14.25" customHeight="1">
      <c r="A10276" s="740"/>
    </row>
    <row r="10277" ht="14.25" customHeight="1">
      <c r="A10277" s="740"/>
    </row>
    <row r="10278" ht="14.25" customHeight="1">
      <c r="A10278" s="740"/>
    </row>
    <row r="10279" ht="14.25" customHeight="1">
      <c r="A10279" s="740"/>
    </row>
    <row r="10280" ht="14.25" customHeight="1">
      <c r="A10280" s="740"/>
    </row>
    <row r="10281" ht="14.25" customHeight="1">
      <c r="A10281" s="740"/>
    </row>
    <row r="10282" ht="14.25" customHeight="1">
      <c r="A10282" s="740"/>
    </row>
    <row r="10283" ht="14.25" customHeight="1">
      <c r="A10283" s="740"/>
    </row>
    <row r="10284" ht="14.25" customHeight="1">
      <c r="A10284" s="740"/>
    </row>
    <row r="10285" ht="14.25" customHeight="1">
      <c r="A10285" s="740"/>
    </row>
    <row r="10286" ht="14.25" customHeight="1">
      <c r="A10286" s="740"/>
    </row>
    <row r="10287" ht="14.25" customHeight="1">
      <c r="A10287" s="740"/>
    </row>
    <row r="10288" ht="14.25" customHeight="1">
      <c r="A10288" s="740"/>
    </row>
    <row r="10289" ht="14.25" customHeight="1">
      <c r="A10289" s="740"/>
    </row>
    <row r="10290" ht="14.25" customHeight="1">
      <c r="A10290" s="740"/>
    </row>
    <row r="10291" ht="14.25" customHeight="1">
      <c r="A10291" s="740"/>
    </row>
    <row r="10292" ht="14.25" customHeight="1">
      <c r="A10292" s="740"/>
    </row>
    <row r="10293" ht="14.25" customHeight="1">
      <c r="A10293" s="740"/>
    </row>
    <row r="10294" ht="14.25" customHeight="1">
      <c r="A10294" s="740"/>
    </row>
    <row r="10295" ht="14.25" customHeight="1">
      <c r="A10295" s="740"/>
    </row>
    <row r="10296" ht="14.25" customHeight="1">
      <c r="A10296" s="740"/>
    </row>
    <row r="10297" ht="14.25" customHeight="1">
      <c r="A10297" s="740"/>
    </row>
    <row r="10298" ht="14.25" customHeight="1">
      <c r="A10298" s="740"/>
    </row>
    <row r="10299" ht="14.25" customHeight="1">
      <c r="A10299" s="740"/>
    </row>
    <row r="10300" ht="14.25" customHeight="1">
      <c r="A10300" s="740"/>
    </row>
    <row r="10301" ht="14.25" customHeight="1">
      <c r="A10301" s="740"/>
    </row>
    <row r="10302" ht="14.25" customHeight="1">
      <c r="A10302" s="740"/>
    </row>
    <row r="10303" ht="14.25" customHeight="1">
      <c r="A10303" s="740"/>
    </row>
    <row r="10304" ht="14.25" customHeight="1">
      <c r="A10304" s="740"/>
    </row>
    <row r="10305" ht="14.25" customHeight="1">
      <c r="A10305" s="740"/>
    </row>
    <row r="10306" ht="14.25" customHeight="1">
      <c r="A10306" s="740"/>
    </row>
    <row r="10307" ht="14.25" customHeight="1">
      <c r="A10307" s="740"/>
    </row>
    <row r="10308" ht="14.25" customHeight="1">
      <c r="A10308" s="740"/>
    </row>
    <row r="10309" ht="14.25" customHeight="1">
      <c r="A10309" s="740"/>
    </row>
    <row r="10310" ht="14.25" customHeight="1">
      <c r="A10310" s="740"/>
    </row>
    <row r="10311" ht="14.25" customHeight="1">
      <c r="A10311" s="740"/>
    </row>
    <row r="10312" ht="14.25" customHeight="1">
      <c r="A10312" s="740"/>
    </row>
    <row r="10313" ht="14.25" customHeight="1">
      <c r="A10313" s="740"/>
    </row>
    <row r="10314" ht="14.25" customHeight="1">
      <c r="A10314" s="740"/>
    </row>
    <row r="10315" ht="14.25" customHeight="1">
      <c r="A10315" s="740"/>
    </row>
    <row r="10316" ht="14.25" customHeight="1">
      <c r="A10316" s="740"/>
    </row>
    <row r="10317" ht="14.25" customHeight="1">
      <c r="A10317" s="740"/>
    </row>
    <row r="10318" ht="14.25" customHeight="1">
      <c r="A10318" s="740"/>
    </row>
    <row r="10319" ht="14.25" customHeight="1">
      <c r="A10319" s="740"/>
    </row>
    <row r="10320" ht="14.25" customHeight="1">
      <c r="A10320" s="740"/>
    </row>
    <row r="10321" ht="14.25" customHeight="1">
      <c r="A10321" s="740"/>
    </row>
    <row r="10322" ht="14.25" customHeight="1">
      <c r="A10322" s="740"/>
    </row>
    <row r="10323" ht="14.25" customHeight="1">
      <c r="A10323" s="740"/>
    </row>
    <row r="10324" ht="14.25" customHeight="1">
      <c r="A10324" s="740"/>
    </row>
    <row r="10325" ht="14.25" customHeight="1">
      <c r="A10325" s="740"/>
    </row>
    <row r="10326" ht="14.25" customHeight="1">
      <c r="A10326" s="740"/>
    </row>
    <row r="10327" ht="14.25" customHeight="1">
      <c r="A10327" s="740"/>
    </row>
    <row r="10328" ht="14.25" customHeight="1">
      <c r="A10328" s="740"/>
    </row>
    <row r="10329" ht="14.25" customHeight="1">
      <c r="A10329" s="740"/>
    </row>
    <row r="10330" ht="14.25" customHeight="1">
      <c r="A10330" s="740"/>
    </row>
    <row r="10331" ht="14.25" customHeight="1">
      <c r="A10331" s="740"/>
    </row>
    <row r="10332" ht="14.25" customHeight="1">
      <c r="A10332" s="740"/>
    </row>
    <row r="10333" ht="14.25" customHeight="1">
      <c r="A10333" s="740"/>
    </row>
    <row r="10334" ht="14.25" customHeight="1">
      <c r="A10334" s="740"/>
    </row>
    <row r="10335" ht="14.25" customHeight="1">
      <c r="A10335" s="740"/>
    </row>
    <row r="10336" ht="14.25" customHeight="1">
      <c r="A10336" s="740"/>
    </row>
    <row r="10337" ht="14.25" customHeight="1">
      <c r="A10337" s="740"/>
    </row>
    <row r="10338" ht="14.25" customHeight="1">
      <c r="A10338" s="740"/>
    </row>
    <row r="10339" ht="14.25" customHeight="1">
      <c r="A10339" s="740"/>
    </row>
    <row r="10340" ht="14.25" customHeight="1">
      <c r="A10340" s="740"/>
    </row>
    <row r="10341" ht="14.25" customHeight="1">
      <c r="A10341" s="740"/>
    </row>
    <row r="10342" ht="14.25" customHeight="1">
      <c r="A10342" s="740"/>
    </row>
    <row r="10343" ht="14.25" customHeight="1">
      <c r="A10343" s="740"/>
    </row>
    <row r="10344" ht="14.25" customHeight="1">
      <c r="A10344" s="740"/>
    </row>
    <row r="10345" ht="14.25" customHeight="1">
      <c r="A10345" s="740"/>
    </row>
    <row r="10346" ht="14.25" customHeight="1">
      <c r="A10346" s="740"/>
    </row>
    <row r="10347" ht="14.25" customHeight="1">
      <c r="A10347" s="740"/>
    </row>
    <row r="10348" ht="14.25" customHeight="1">
      <c r="A10348" s="740"/>
    </row>
    <row r="10349" ht="14.25" customHeight="1">
      <c r="A10349" s="740"/>
    </row>
    <row r="10350" ht="14.25" customHeight="1">
      <c r="A10350" s="740"/>
    </row>
    <row r="10351" ht="14.25" customHeight="1">
      <c r="A10351" s="740"/>
    </row>
    <row r="10352" ht="14.25" customHeight="1">
      <c r="A10352" s="740"/>
    </row>
    <row r="10353" ht="14.25" customHeight="1">
      <c r="A10353" s="740"/>
    </row>
    <row r="10354" ht="14.25" customHeight="1">
      <c r="A10354" s="740"/>
    </row>
    <row r="10355" ht="14.25" customHeight="1">
      <c r="A10355" s="740"/>
    </row>
    <row r="10356" ht="14.25" customHeight="1">
      <c r="A10356" s="740"/>
    </row>
    <row r="10357" ht="14.25" customHeight="1">
      <c r="A10357" s="740"/>
    </row>
    <row r="10358" ht="14.25" customHeight="1">
      <c r="A10358" s="740"/>
    </row>
    <row r="10359" ht="14.25" customHeight="1">
      <c r="A10359" s="740"/>
    </row>
    <row r="10360" ht="14.25" customHeight="1">
      <c r="A10360" s="740"/>
    </row>
    <row r="10361" ht="14.25" customHeight="1">
      <c r="A10361" s="740"/>
    </row>
    <row r="10362" ht="14.25" customHeight="1">
      <c r="A10362" s="740"/>
    </row>
    <row r="10363" ht="14.25" customHeight="1">
      <c r="A10363" s="740"/>
    </row>
    <row r="10364" ht="14.25" customHeight="1">
      <c r="A10364" s="740"/>
    </row>
    <row r="10365" ht="14.25" customHeight="1">
      <c r="A10365" s="740"/>
    </row>
    <row r="10366" ht="14.25" customHeight="1">
      <c r="A10366" s="740"/>
    </row>
    <row r="10367" ht="14.25" customHeight="1">
      <c r="A10367" s="740"/>
    </row>
    <row r="10368" ht="14.25" customHeight="1">
      <c r="A10368" s="740"/>
    </row>
    <row r="10369" ht="14.25" customHeight="1">
      <c r="A10369" s="740"/>
    </row>
    <row r="10370" ht="14.25" customHeight="1">
      <c r="A10370" s="740"/>
    </row>
    <row r="10371" ht="14.25" customHeight="1">
      <c r="A10371" s="740"/>
    </row>
    <row r="10372" ht="14.25" customHeight="1">
      <c r="A10372" s="740"/>
    </row>
    <row r="10373" ht="14.25" customHeight="1">
      <c r="A10373" s="740"/>
    </row>
    <row r="10374" ht="14.25" customHeight="1">
      <c r="A10374" s="740"/>
    </row>
    <row r="10375" ht="14.25" customHeight="1">
      <c r="A10375" s="740"/>
    </row>
    <row r="10376" ht="14.25" customHeight="1">
      <c r="A10376" s="740"/>
    </row>
    <row r="10377" ht="14.25" customHeight="1">
      <c r="A10377" s="740"/>
    </row>
    <row r="10378" ht="14.25" customHeight="1">
      <c r="A10378" s="740"/>
    </row>
    <row r="10379" ht="14.25" customHeight="1">
      <c r="A10379" s="740"/>
    </row>
    <row r="10380" ht="14.25" customHeight="1">
      <c r="A10380" s="740"/>
    </row>
    <row r="10381" ht="14.25" customHeight="1">
      <c r="A10381" s="740"/>
    </row>
    <row r="10382" ht="14.25" customHeight="1">
      <c r="A10382" s="740"/>
    </row>
    <row r="10383" ht="14.25" customHeight="1">
      <c r="A10383" s="740"/>
    </row>
    <row r="10384" ht="14.25" customHeight="1">
      <c r="A10384" s="740"/>
    </row>
    <row r="10385" ht="14.25" customHeight="1">
      <c r="A10385" s="740"/>
    </row>
    <row r="10386" ht="14.25" customHeight="1">
      <c r="A10386" s="740"/>
    </row>
    <row r="10387" ht="14.25" customHeight="1">
      <c r="A10387" s="740"/>
    </row>
    <row r="10388" ht="14.25" customHeight="1">
      <c r="A10388" s="740"/>
    </row>
    <row r="10389" ht="14.25" customHeight="1">
      <c r="A10389" s="740"/>
    </row>
    <row r="10390" ht="14.25" customHeight="1">
      <c r="A10390" s="740"/>
    </row>
    <row r="10391" ht="14.25" customHeight="1">
      <c r="A10391" s="740"/>
    </row>
    <row r="10392" ht="14.25" customHeight="1">
      <c r="A10392" s="740"/>
    </row>
    <row r="10393" ht="14.25" customHeight="1">
      <c r="A10393" s="740"/>
    </row>
    <row r="10394" ht="14.25" customHeight="1">
      <c r="A10394" s="740"/>
    </row>
    <row r="10395" ht="14.25" customHeight="1">
      <c r="A10395" s="740"/>
    </row>
    <row r="10396" ht="14.25" customHeight="1">
      <c r="A10396" s="740"/>
    </row>
    <row r="10397" ht="14.25" customHeight="1">
      <c r="A10397" s="740"/>
    </row>
    <row r="10398" ht="14.25" customHeight="1">
      <c r="A10398" s="740"/>
    </row>
    <row r="10399" ht="14.25" customHeight="1">
      <c r="A10399" s="740"/>
    </row>
    <row r="10400" ht="14.25" customHeight="1">
      <c r="A10400" s="740"/>
    </row>
    <row r="10401" ht="14.25" customHeight="1">
      <c r="A10401" s="740"/>
    </row>
    <row r="10402" ht="14.25" customHeight="1">
      <c r="A10402" s="740"/>
    </row>
    <row r="10403" ht="14.25" customHeight="1">
      <c r="A10403" s="740"/>
    </row>
    <row r="10404" ht="14.25" customHeight="1">
      <c r="A10404" s="740"/>
    </row>
    <row r="10405" ht="14.25" customHeight="1">
      <c r="A10405" s="740"/>
    </row>
    <row r="10406" ht="14.25" customHeight="1">
      <c r="A10406" s="740"/>
    </row>
    <row r="10407" ht="14.25" customHeight="1">
      <c r="A10407" s="740"/>
    </row>
    <row r="10408" ht="14.25" customHeight="1">
      <c r="A10408" s="740"/>
    </row>
    <row r="10409" ht="14.25" customHeight="1">
      <c r="A10409" s="740"/>
    </row>
    <row r="10410" ht="14.25" customHeight="1">
      <c r="A10410" s="740"/>
    </row>
    <row r="10411" ht="14.25" customHeight="1">
      <c r="A10411" s="740"/>
    </row>
    <row r="10412" ht="14.25" customHeight="1">
      <c r="A10412" s="740"/>
    </row>
    <row r="10413" ht="14.25" customHeight="1">
      <c r="A10413" s="740"/>
    </row>
    <row r="10414" ht="14.25" customHeight="1">
      <c r="A10414" s="740"/>
    </row>
    <row r="10415" ht="14.25" customHeight="1">
      <c r="A10415" s="740"/>
    </row>
    <row r="10416" ht="14.25" customHeight="1">
      <c r="A10416" s="740"/>
    </row>
    <row r="10417" ht="14.25" customHeight="1">
      <c r="A10417" s="740"/>
    </row>
    <row r="10418" ht="14.25" customHeight="1">
      <c r="A10418" s="740"/>
    </row>
    <row r="10419" ht="14.25" customHeight="1">
      <c r="A10419" s="740"/>
    </row>
    <row r="10420" ht="14.25" customHeight="1">
      <c r="A10420" s="740"/>
    </row>
    <row r="10421" ht="14.25" customHeight="1">
      <c r="A10421" s="740"/>
    </row>
    <row r="10422" ht="14.25" customHeight="1">
      <c r="A10422" s="740"/>
    </row>
    <row r="10423" ht="14.25" customHeight="1">
      <c r="A10423" s="740"/>
    </row>
    <row r="10424" ht="14.25" customHeight="1">
      <c r="A10424" s="740"/>
    </row>
    <row r="10425" ht="14.25" customHeight="1">
      <c r="A10425" s="740"/>
    </row>
    <row r="10426" ht="14.25" customHeight="1">
      <c r="A10426" s="740"/>
    </row>
    <row r="10427" ht="14.25" customHeight="1">
      <c r="A10427" s="740"/>
    </row>
    <row r="10428" ht="14.25" customHeight="1">
      <c r="A10428" s="740"/>
    </row>
    <row r="10429" ht="14.25" customHeight="1">
      <c r="A10429" s="740"/>
    </row>
    <row r="10430" ht="14.25" customHeight="1">
      <c r="A10430" s="740"/>
    </row>
    <row r="10431" ht="14.25" customHeight="1">
      <c r="A10431" s="740"/>
    </row>
    <row r="10432" ht="14.25" customHeight="1">
      <c r="A10432" s="740"/>
    </row>
    <row r="10433" ht="14.25" customHeight="1">
      <c r="A10433" s="740"/>
    </row>
    <row r="10434" ht="14.25" customHeight="1">
      <c r="A10434" s="740"/>
    </row>
    <row r="10435" ht="14.25" customHeight="1">
      <c r="A10435" s="740"/>
    </row>
    <row r="10436" ht="14.25" customHeight="1">
      <c r="A10436" s="740"/>
    </row>
    <row r="10437" ht="14.25" customHeight="1">
      <c r="A10437" s="740"/>
    </row>
    <row r="10438" ht="14.25" customHeight="1">
      <c r="A10438" s="740"/>
    </row>
    <row r="10439" ht="14.25" customHeight="1">
      <c r="A10439" s="740"/>
    </row>
    <row r="10440" ht="14.25" customHeight="1">
      <c r="A10440" s="740"/>
    </row>
    <row r="10441" ht="14.25" customHeight="1">
      <c r="A10441" s="740"/>
    </row>
    <row r="10442" ht="14.25" customHeight="1">
      <c r="A10442" s="740"/>
    </row>
    <row r="10443" ht="14.25" customHeight="1">
      <c r="A10443" s="740"/>
    </row>
    <row r="10444" ht="14.25" customHeight="1">
      <c r="A10444" s="740"/>
    </row>
    <row r="10445" ht="14.25" customHeight="1">
      <c r="A10445" s="740"/>
    </row>
    <row r="10446" ht="14.25" customHeight="1">
      <c r="A10446" s="740"/>
    </row>
    <row r="10447" ht="14.25" customHeight="1">
      <c r="A10447" s="740"/>
    </row>
    <row r="10448" ht="14.25" customHeight="1">
      <c r="A10448" s="740"/>
    </row>
    <row r="10449" ht="14.25" customHeight="1">
      <c r="A10449" s="740"/>
    </row>
    <row r="10450" ht="14.25" customHeight="1">
      <c r="A10450" s="740"/>
    </row>
    <row r="10451" ht="14.25" customHeight="1">
      <c r="A10451" s="740"/>
    </row>
    <row r="10452" ht="14.25" customHeight="1">
      <c r="A10452" s="740"/>
    </row>
    <row r="10453" ht="14.25" customHeight="1">
      <c r="A10453" s="740"/>
    </row>
    <row r="10454" ht="14.25" customHeight="1">
      <c r="A10454" s="740"/>
    </row>
    <row r="10455" ht="14.25" customHeight="1">
      <c r="A10455" s="740"/>
    </row>
    <row r="10456" ht="14.25" customHeight="1">
      <c r="A10456" s="740"/>
    </row>
    <row r="10457" ht="14.25" customHeight="1">
      <c r="A10457" s="740"/>
    </row>
    <row r="10458" ht="14.25" customHeight="1">
      <c r="A10458" s="740"/>
    </row>
    <row r="10459" ht="14.25" customHeight="1">
      <c r="A10459" s="740"/>
    </row>
    <row r="10460" ht="14.25" customHeight="1">
      <c r="A10460" s="740"/>
    </row>
    <row r="10461" ht="14.25" customHeight="1">
      <c r="A10461" s="740"/>
    </row>
    <row r="10462" ht="14.25" customHeight="1">
      <c r="A10462" s="740"/>
    </row>
    <row r="10463" ht="14.25" customHeight="1">
      <c r="A10463" s="740"/>
    </row>
    <row r="10464" ht="14.25" customHeight="1">
      <c r="A10464" s="740"/>
    </row>
    <row r="10465" ht="14.25" customHeight="1">
      <c r="A10465" s="740"/>
    </row>
    <row r="10466" ht="14.25" customHeight="1">
      <c r="A10466" s="740"/>
    </row>
    <row r="10467" ht="14.25" customHeight="1">
      <c r="A10467" s="740"/>
    </row>
    <row r="10468" ht="14.25" customHeight="1">
      <c r="A10468" s="740"/>
    </row>
    <row r="10469" ht="14.25" customHeight="1">
      <c r="A10469" s="740"/>
    </row>
    <row r="10470" ht="14.25" customHeight="1">
      <c r="A10470" s="740"/>
    </row>
    <row r="10471" ht="14.25" customHeight="1">
      <c r="A10471" s="740"/>
    </row>
    <row r="10472" ht="14.25" customHeight="1">
      <c r="A10472" s="740"/>
    </row>
    <row r="10473" ht="14.25" customHeight="1">
      <c r="A10473" s="740"/>
    </row>
    <row r="10474" ht="14.25" customHeight="1">
      <c r="A10474" s="740"/>
    </row>
    <row r="10475" ht="14.25" customHeight="1">
      <c r="A10475" s="740"/>
    </row>
    <row r="10476" ht="14.25" customHeight="1">
      <c r="A10476" s="740"/>
    </row>
    <row r="10477" ht="14.25" customHeight="1">
      <c r="A10477" s="740"/>
    </row>
    <row r="10478" ht="14.25" customHeight="1">
      <c r="A10478" s="740"/>
    </row>
    <row r="10479" ht="14.25" customHeight="1">
      <c r="A10479" s="740"/>
    </row>
    <row r="10480" ht="14.25" customHeight="1">
      <c r="A10480" s="740"/>
    </row>
    <row r="10481" ht="14.25" customHeight="1">
      <c r="A10481" s="740"/>
    </row>
    <row r="10482" ht="14.25" customHeight="1">
      <c r="A10482" s="740"/>
    </row>
    <row r="10483" ht="14.25" customHeight="1">
      <c r="A10483" s="740"/>
    </row>
    <row r="10484" ht="14.25" customHeight="1">
      <c r="A10484" s="740"/>
    </row>
    <row r="10485" ht="14.25" customHeight="1">
      <c r="A10485" s="740"/>
    </row>
    <row r="10486" ht="14.25" customHeight="1">
      <c r="A10486" s="740"/>
    </row>
    <row r="10487" ht="14.25" customHeight="1">
      <c r="A10487" s="740"/>
    </row>
    <row r="10488" ht="14.25" customHeight="1">
      <c r="A10488" s="740"/>
    </row>
    <row r="10489" ht="14.25" customHeight="1">
      <c r="A10489" s="740"/>
    </row>
    <row r="10490" ht="14.25" customHeight="1">
      <c r="A10490" s="740"/>
    </row>
    <row r="10491" ht="14.25" customHeight="1">
      <c r="A10491" s="740"/>
    </row>
    <row r="10492" ht="14.25" customHeight="1">
      <c r="A10492" s="740"/>
    </row>
    <row r="10493" ht="14.25" customHeight="1">
      <c r="A10493" s="740"/>
    </row>
    <row r="10494" ht="14.25" customHeight="1">
      <c r="A10494" s="740"/>
    </row>
    <row r="10495" ht="14.25" customHeight="1">
      <c r="A10495" s="740"/>
    </row>
    <row r="10496" ht="14.25" customHeight="1">
      <c r="A10496" s="740"/>
    </row>
    <row r="10497" ht="14.25" customHeight="1">
      <c r="A10497" s="740"/>
    </row>
    <row r="10498" ht="14.25" customHeight="1">
      <c r="A10498" s="740"/>
    </row>
    <row r="10499" ht="14.25" customHeight="1">
      <c r="A10499" s="740"/>
    </row>
    <row r="10500" ht="14.25" customHeight="1">
      <c r="A10500" s="740"/>
    </row>
    <row r="10501" ht="14.25" customHeight="1">
      <c r="A10501" s="740"/>
    </row>
    <row r="10502" ht="14.25" customHeight="1">
      <c r="A10502" s="740"/>
    </row>
    <row r="10503" ht="14.25" customHeight="1">
      <c r="A10503" s="740"/>
    </row>
    <row r="10504" ht="14.25" customHeight="1">
      <c r="A10504" s="740"/>
    </row>
    <row r="10505" ht="14.25" customHeight="1">
      <c r="A10505" s="740"/>
    </row>
    <row r="10506" ht="14.25" customHeight="1">
      <c r="A10506" s="740"/>
    </row>
    <row r="10507" ht="14.25" customHeight="1">
      <c r="A10507" s="740"/>
    </row>
    <row r="10508" ht="14.25" customHeight="1">
      <c r="A10508" s="740"/>
    </row>
    <row r="10509" ht="14.25" customHeight="1">
      <c r="A10509" s="740"/>
    </row>
    <row r="10510" ht="14.25" customHeight="1">
      <c r="A10510" s="740"/>
    </row>
    <row r="10511" ht="14.25" customHeight="1">
      <c r="A10511" s="740"/>
    </row>
    <row r="10512" ht="14.25" customHeight="1">
      <c r="A10512" s="740"/>
    </row>
    <row r="10513" ht="14.25" customHeight="1">
      <c r="A10513" s="740"/>
    </row>
    <row r="10514" ht="14.25" customHeight="1">
      <c r="A10514" s="740"/>
    </row>
    <row r="10515" ht="14.25" customHeight="1">
      <c r="A10515" s="740"/>
    </row>
    <row r="10516" ht="14.25" customHeight="1">
      <c r="A10516" s="740"/>
    </row>
    <row r="10517" ht="14.25" customHeight="1">
      <c r="A10517" s="740"/>
    </row>
    <row r="10518" ht="14.25" customHeight="1">
      <c r="A10518" s="740"/>
    </row>
    <row r="10519" ht="14.25" customHeight="1">
      <c r="A10519" s="740"/>
    </row>
    <row r="10520" ht="14.25" customHeight="1">
      <c r="A10520" s="740"/>
    </row>
    <row r="10521" ht="14.25" customHeight="1">
      <c r="A10521" s="740"/>
    </row>
    <row r="10522" ht="14.25" customHeight="1">
      <c r="A10522" s="740"/>
    </row>
    <row r="10523" ht="14.25" customHeight="1">
      <c r="A10523" s="740"/>
    </row>
    <row r="10524" ht="14.25" customHeight="1">
      <c r="A10524" s="740"/>
    </row>
    <row r="10525" ht="14.25" customHeight="1">
      <c r="A10525" s="740"/>
    </row>
    <row r="10526" ht="14.25" customHeight="1">
      <c r="A10526" s="740"/>
    </row>
    <row r="10527" ht="14.25" customHeight="1">
      <c r="A10527" s="740"/>
    </row>
    <row r="10528" ht="14.25" customHeight="1">
      <c r="A10528" s="740"/>
    </row>
    <row r="10529" ht="14.25" customHeight="1">
      <c r="A10529" s="740"/>
    </row>
    <row r="10530" ht="14.25" customHeight="1">
      <c r="A10530" s="740"/>
    </row>
    <row r="10531" ht="14.25" customHeight="1">
      <c r="A10531" s="740"/>
    </row>
    <row r="10532" ht="14.25" customHeight="1">
      <c r="A10532" s="740"/>
    </row>
    <row r="10533" ht="14.25" customHeight="1">
      <c r="A10533" s="740"/>
    </row>
    <row r="10534" ht="14.25" customHeight="1">
      <c r="A10534" s="740"/>
    </row>
    <row r="10535" ht="14.25" customHeight="1">
      <c r="A10535" s="740"/>
    </row>
    <row r="10536" ht="14.25" customHeight="1">
      <c r="A10536" s="740"/>
    </row>
    <row r="10537" ht="14.25" customHeight="1">
      <c r="A10537" s="740"/>
    </row>
    <row r="10538" ht="14.25" customHeight="1">
      <c r="A10538" s="740"/>
    </row>
    <row r="10539" ht="14.25" customHeight="1">
      <c r="A10539" s="740"/>
    </row>
    <row r="10540" ht="14.25" customHeight="1">
      <c r="A10540" s="740"/>
    </row>
    <row r="10541" ht="14.25" customHeight="1">
      <c r="A10541" s="740"/>
    </row>
    <row r="10542" ht="14.25" customHeight="1">
      <c r="A10542" s="740"/>
    </row>
    <row r="10543" ht="14.25" customHeight="1">
      <c r="A10543" s="740"/>
    </row>
    <row r="10544" ht="14.25" customHeight="1">
      <c r="A10544" s="740"/>
    </row>
    <row r="10545" ht="14.25" customHeight="1">
      <c r="A10545" s="740"/>
    </row>
    <row r="10546" ht="14.25" customHeight="1">
      <c r="A10546" s="740"/>
    </row>
    <row r="10547" ht="14.25" customHeight="1">
      <c r="A10547" s="740"/>
    </row>
    <row r="10548" ht="14.25" customHeight="1">
      <c r="A10548" s="740"/>
    </row>
    <row r="10549" ht="14.25" customHeight="1">
      <c r="A10549" s="740"/>
    </row>
    <row r="10550" ht="14.25" customHeight="1">
      <c r="A10550" s="740"/>
    </row>
    <row r="10551" ht="14.25" customHeight="1">
      <c r="A10551" s="740"/>
    </row>
    <row r="10552" ht="14.25" customHeight="1">
      <c r="A10552" s="740"/>
    </row>
    <row r="10553" ht="14.25" customHeight="1">
      <c r="A10553" s="740"/>
    </row>
    <row r="10554" ht="14.25" customHeight="1">
      <c r="A10554" s="740"/>
    </row>
    <row r="10555" ht="14.25" customHeight="1">
      <c r="A10555" s="740"/>
    </row>
    <row r="10556" ht="14.25" customHeight="1">
      <c r="A10556" s="740"/>
    </row>
    <row r="10557" ht="14.25" customHeight="1">
      <c r="A10557" s="740"/>
    </row>
    <row r="10558" ht="14.25" customHeight="1">
      <c r="A10558" s="740"/>
    </row>
    <row r="10559" ht="14.25" customHeight="1">
      <c r="A10559" s="740"/>
    </row>
    <row r="10560" ht="14.25" customHeight="1">
      <c r="A10560" s="740"/>
    </row>
    <row r="10561" ht="14.25" customHeight="1">
      <c r="A10561" s="740"/>
    </row>
    <row r="10562" ht="14.25" customHeight="1">
      <c r="A10562" s="740"/>
    </row>
    <row r="10563" ht="14.25" customHeight="1">
      <c r="A10563" s="740"/>
    </row>
    <row r="10564" ht="14.25" customHeight="1">
      <c r="A10564" s="740"/>
    </row>
    <row r="10565" ht="14.25" customHeight="1">
      <c r="A10565" s="740"/>
    </row>
    <row r="10566" ht="14.25" customHeight="1">
      <c r="A10566" s="740"/>
    </row>
    <row r="10567" ht="14.25" customHeight="1">
      <c r="A10567" s="740"/>
    </row>
    <row r="10568" ht="14.25" customHeight="1">
      <c r="A10568" s="740"/>
    </row>
    <row r="10569" ht="14.25" customHeight="1">
      <c r="A10569" s="740"/>
    </row>
    <row r="10570" ht="14.25" customHeight="1">
      <c r="A10570" s="740"/>
    </row>
    <row r="10571" ht="14.25" customHeight="1">
      <c r="A10571" s="740"/>
    </row>
    <row r="10572" ht="14.25" customHeight="1">
      <c r="A10572" s="740"/>
    </row>
    <row r="10573" ht="14.25" customHeight="1">
      <c r="A10573" s="740"/>
    </row>
    <row r="10574" ht="14.25" customHeight="1">
      <c r="A10574" s="740"/>
    </row>
    <row r="10575" ht="14.25" customHeight="1">
      <c r="A10575" s="740"/>
    </row>
    <row r="10576" ht="14.25" customHeight="1">
      <c r="A10576" s="740"/>
    </row>
    <row r="10577" ht="14.25" customHeight="1">
      <c r="A10577" s="740"/>
    </row>
    <row r="10578" ht="14.25" customHeight="1">
      <c r="A10578" s="740"/>
    </row>
    <row r="10579" ht="14.25" customHeight="1">
      <c r="A10579" s="740"/>
    </row>
    <row r="10580" ht="14.25" customHeight="1">
      <c r="A10580" s="740"/>
    </row>
    <row r="10581" ht="14.25" customHeight="1">
      <c r="A10581" s="740"/>
    </row>
    <row r="10582" ht="14.25" customHeight="1">
      <c r="A10582" s="740"/>
    </row>
    <row r="10583" ht="14.25" customHeight="1">
      <c r="A10583" s="740"/>
    </row>
    <row r="10584" ht="14.25" customHeight="1">
      <c r="A10584" s="740"/>
    </row>
    <row r="10585" ht="14.25" customHeight="1">
      <c r="A10585" s="740"/>
    </row>
    <row r="10586" ht="14.25" customHeight="1">
      <c r="A10586" s="740"/>
    </row>
    <row r="10587" ht="14.25" customHeight="1">
      <c r="A10587" s="740"/>
    </row>
    <row r="10588" ht="14.25" customHeight="1">
      <c r="A10588" s="740"/>
    </row>
    <row r="10589" ht="14.25" customHeight="1">
      <c r="A10589" s="740"/>
    </row>
    <row r="10590" ht="14.25" customHeight="1">
      <c r="A10590" s="740"/>
    </row>
    <row r="10591" ht="14.25" customHeight="1">
      <c r="A10591" s="740"/>
    </row>
    <row r="10592" ht="14.25" customHeight="1">
      <c r="A10592" s="740"/>
    </row>
    <row r="10593" ht="14.25" customHeight="1">
      <c r="A10593" s="740"/>
    </row>
    <row r="10594" ht="14.25" customHeight="1">
      <c r="A10594" s="740"/>
    </row>
    <row r="10595" ht="14.25" customHeight="1">
      <c r="A10595" s="740"/>
    </row>
    <row r="10596" ht="14.25" customHeight="1">
      <c r="A10596" s="740"/>
    </row>
    <row r="10597" ht="14.25" customHeight="1">
      <c r="A10597" s="740"/>
    </row>
    <row r="10598" ht="14.25" customHeight="1">
      <c r="A10598" s="740"/>
    </row>
    <row r="10599" ht="14.25" customHeight="1">
      <c r="A10599" s="740"/>
    </row>
    <row r="10600" ht="14.25" customHeight="1">
      <c r="A10600" s="740"/>
    </row>
    <row r="10601" ht="14.25" customHeight="1">
      <c r="A10601" s="740"/>
    </row>
    <row r="10602" ht="14.25" customHeight="1">
      <c r="A10602" s="740"/>
    </row>
    <row r="10603" ht="14.25" customHeight="1">
      <c r="A10603" s="740"/>
    </row>
    <row r="10604" ht="14.25" customHeight="1">
      <c r="A10604" s="740"/>
    </row>
    <row r="10605" ht="14.25" customHeight="1">
      <c r="A10605" s="740"/>
    </row>
    <row r="10606" ht="14.25" customHeight="1">
      <c r="A10606" s="740"/>
    </row>
    <row r="10607" ht="14.25" customHeight="1">
      <c r="A10607" s="740"/>
    </row>
    <row r="10608" ht="14.25" customHeight="1">
      <c r="A10608" s="740"/>
    </row>
    <row r="10609" ht="14.25" customHeight="1">
      <c r="A10609" s="740"/>
    </row>
    <row r="10610" ht="14.25" customHeight="1">
      <c r="A10610" s="740"/>
    </row>
    <row r="10611" ht="14.25" customHeight="1">
      <c r="A10611" s="740"/>
    </row>
    <row r="10612" ht="14.25" customHeight="1">
      <c r="A10612" s="740"/>
    </row>
    <row r="10613" ht="14.25" customHeight="1">
      <c r="A10613" s="740"/>
    </row>
    <row r="10614" ht="14.25" customHeight="1">
      <c r="A10614" s="740"/>
    </row>
    <row r="10615" ht="14.25" customHeight="1">
      <c r="A10615" s="740"/>
    </row>
    <row r="10616" ht="14.25" customHeight="1">
      <c r="A10616" s="740"/>
    </row>
    <row r="10617" ht="14.25" customHeight="1">
      <c r="A10617" s="740"/>
    </row>
    <row r="10618" ht="14.25" customHeight="1">
      <c r="A10618" s="740"/>
    </row>
    <row r="10619" ht="14.25" customHeight="1">
      <c r="A10619" s="740"/>
    </row>
    <row r="10620" ht="14.25" customHeight="1">
      <c r="A10620" s="740"/>
    </row>
    <row r="10621" ht="14.25" customHeight="1">
      <c r="A10621" s="740"/>
    </row>
    <row r="10622" ht="14.25" customHeight="1">
      <c r="A10622" s="740"/>
    </row>
    <row r="10623" ht="14.25" customHeight="1">
      <c r="A10623" s="740"/>
    </row>
    <row r="10624" ht="14.25" customHeight="1">
      <c r="A10624" s="740"/>
    </row>
    <row r="10625" ht="14.25" customHeight="1">
      <c r="A10625" s="740"/>
    </row>
    <row r="10626" ht="14.25" customHeight="1">
      <c r="A10626" s="740"/>
    </row>
    <row r="10627" ht="14.25" customHeight="1">
      <c r="A10627" s="740"/>
    </row>
    <row r="10628" ht="14.25" customHeight="1">
      <c r="A10628" s="740"/>
    </row>
    <row r="10629" ht="14.25" customHeight="1">
      <c r="A10629" s="740"/>
    </row>
    <row r="10630" ht="14.25" customHeight="1">
      <c r="A10630" s="740"/>
    </row>
    <row r="10631" ht="14.25" customHeight="1">
      <c r="A10631" s="740"/>
    </row>
    <row r="10632" ht="14.25" customHeight="1">
      <c r="A10632" s="740"/>
    </row>
    <row r="10633" ht="14.25" customHeight="1">
      <c r="A10633" s="740"/>
    </row>
    <row r="10634" ht="14.25" customHeight="1">
      <c r="A10634" s="740"/>
    </row>
    <row r="10635" ht="14.25" customHeight="1">
      <c r="A10635" s="740"/>
    </row>
    <row r="10636" ht="14.25" customHeight="1">
      <c r="A10636" s="740"/>
    </row>
    <row r="10637" ht="14.25" customHeight="1">
      <c r="A10637" s="740"/>
    </row>
    <row r="10638" ht="14.25" customHeight="1">
      <c r="A10638" s="740"/>
    </row>
    <row r="10639" ht="14.25" customHeight="1">
      <c r="A10639" s="740"/>
    </row>
    <row r="10640" ht="14.25" customHeight="1">
      <c r="A10640" s="740"/>
    </row>
    <row r="10641" ht="14.25" customHeight="1">
      <c r="A10641" s="740"/>
    </row>
    <row r="10642" ht="14.25" customHeight="1">
      <c r="A10642" s="740"/>
    </row>
    <row r="10643" ht="14.25" customHeight="1">
      <c r="A10643" s="740"/>
    </row>
    <row r="10644" ht="14.25" customHeight="1">
      <c r="A10644" s="740"/>
    </row>
    <row r="10645" ht="14.25" customHeight="1">
      <c r="A10645" s="740"/>
    </row>
    <row r="10646" ht="14.25" customHeight="1">
      <c r="A10646" s="740"/>
    </row>
    <row r="10647" ht="14.25" customHeight="1">
      <c r="A10647" s="740"/>
    </row>
    <row r="10648" ht="14.25" customHeight="1">
      <c r="A10648" s="740"/>
    </row>
    <row r="10649" ht="14.25" customHeight="1">
      <c r="A10649" s="740"/>
    </row>
    <row r="10650" ht="14.25" customHeight="1">
      <c r="A10650" s="740"/>
    </row>
    <row r="10651" ht="14.25" customHeight="1">
      <c r="A10651" s="740"/>
    </row>
    <row r="10652" ht="14.25" customHeight="1">
      <c r="A10652" s="740"/>
    </row>
    <row r="10653" ht="14.25" customHeight="1">
      <c r="A10653" s="740"/>
    </row>
    <row r="10654" ht="14.25" customHeight="1">
      <c r="A10654" s="740"/>
    </row>
    <row r="10655" ht="14.25" customHeight="1">
      <c r="A10655" s="740"/>
    </row>
    <row r="10656" ht="14.25" customHeight="1">
      <c r="A10656" s="740"/>
    </row>
    <row r="10657" ht="14.25" customHeight="1">
      <c r="A10657" s="740"/>
    </row>
    <row r="10658" ht="14.25" customHeight="1">
      <c r="A10658" s="740"/>
    </row>
    <row r="10659" ht="14.25" customHeight="1">
      <c r="A10659" s="740"/>
    </row>
    <row r="10660" ht="14.25" customHeight="1">
      <c r="A10660" s="740"/>
    </row>
    <row r="10661" ht="14.25" customHeight="1">
      <c r="A10661" s="740"/>
    </row>
    <row r="10662" ht="14.25" customHeight="1">
      <c r="A10662" s="740"/>
    </row>
    <row r="10663" ht="14.25" customHeight="1">
      <c r="A10663" s="740"/>
    </row>
    <row r="10664" ht="14.25" customHeight="1">
      <c r="A10664" s="740"/>
    </row>
    <row r="10665" ht="14.25" customHeight="1">
      <c r="A10665" s="740"/>
    </row>
    <row r="10666" ht="14.25" customHeight="1">
      <c r="A10666" s="740"/>
    </row>
    <row r="10667" ht="14.25" customHeight="1">
      <c r="A10667" s="740"/>
    </row>
    <row r="10668" ht="14.25" customHeight="1">
      <c r="A10668" s="740"/>
    </row>
    <row r="10669" ht="14.25" customHeight="1">
      <c r="A10669" s="740"/>
    </row>
    <row r="10670" ht="14.25" customHeight="1">
      <c r="A10670" s="740"/>
    </row>
    <row r="10671" ht="14.25" customHeight="1">
      <c r="A10671" s="740"/>
    </row>
    <row r="10672" ht="14.25" customHeight="1">
      <c r="A10672" s="740"/>
    </row>
    <row r="10673" ht="14.25" customHeight="1">
      <c r="A10673" s="740"/>
    </row>
    <row r="10674" ht="14.25" customHeight="1">
      <c r="A10674" s="740"/>
    </row>
    <row r="10675" ht="14.25" customHeight="1">
      <c r="A10675" s="740"/>
    </row>
    <row r="10676" ht="14.25" customHeight="1">
      <c r="A10676" s="740"/>
    </row>
    <row r="10677" ht="14.25" customHeight="1">
      <c r="A10677" s="740"/>
    </row>
    <row r="10678" ht="14.25" customHeight="1">
      <c r="A10678" s="740"/>
    </row>
    <row r="10679" ht="14.25" customHeight="1">
      <c r="A10679" s="740"/>
    </row>
    <row r="10680" ht="14.25" customHeight="1">
      <c r="A10680" s="740"/>
    </row>
    <row r="10681" ht="14.25" customHeight="1">
      <c r="A10681" s="740"/>
    </row>
    <row r="10682" ht="14.25" customHeight="1">
      <c r="A10682" s="740"/>
    </row>
    <row r="10683" ht="14.25" customHeight="1">
      <c r="A10683" s="740"/>
    </row>
    <row r="10684" ht="14.25" customHeight="1">
      <c r="A10684" s="740"/>
    </row>
    <row r="10685" ht="14.25" customHeight="1">
      <c r="A10685" s="740"/>
    </row>
    <row r="10686" ht="14.25" customHeight="1">
      <c r="A10686" s="740"/>
    </row>
    <row r="10687" ht="14.25" customHeight="1">
      <c r="A10687" s="740"/>
    </row>
    <row r="10688" ht="14.25" customHeight="1">
      <c r="A10688" s="740"/>
    </row>
    <row r="10689" ht="14.25" customHeight="1">
      <c r="A10689" s="740"/>
    </row>
    <row r="10690" ht="14.25" customHeight="1">
      <c r="A10690" s="740"/>
    </row>
    <row r="10691" ht="14.25" customHeight="1">
      <c r="A10691" s="740"/>
    </row>
    <row r="10692" ht="14.25" customHeight="1">
      <c r="A10692" s="740"/>
    </row>
    <row r="10693" ht="14.25" customHeight="1">
      <c r="A10693" s="740"/>
    </row>
    <row r="10694" ht="14.25" customHeight="1">
      <c r="A10694" s="740"/>
    </row>
    <row r="10695" ht="14.25" customHeight="1">
      <c r="A10695" s="740"/>
    </row>
    <row r="10696" ht="14.25" customHeight="1">
      <c r="A10696" s="740"/>
    </row>
    <row r="10697" ht="14.25" customHeight="1">
      <c r="A10697" s="740"/>
    </row>
    <row r="10698" ht="14.25" customHeight="1">
      <c r="A10698" s="740"/>
    </row>
    <row r="10699" ht="14.25" customHeight="1">
      <c r="A10699" s="740"/>
    </row>
    <row r="10700" ht="14.25" customHeight="1">
      <c r="A10700" s="740"/>
    </row>
    <row r="10701" ht="14.25" customHeight="1">
      <c r="A10701" s="740"/>
    </row>
    <row r="10702" ht="14.25" customHeight="1">
      <c r="A10702" s="740"/>
    </row>
    <row r="10703" ht="14.25" customHeight="1">
      <c r="A10703" s="740"/>
    </row>
    <row r="10704" ht="14.25" customHeight="1">
      <c r="A10704" s="740"/>
    </row>
    <row r="10705" ht="14.25" customHeight="1">
      <c r="A10705" s="740"/>
    </row>
    <row r="10706" ht="14.25" customHeight="1">
      <c r="A10706" s="740"/>
    </row>
    <row r="10707" ht="14.25" customHeight="1">
      <c r="A10707" s="740"/>
    </row>
    <row r="10708" ht="14.25" customHeight="1">
      <c r="A10708" s="740"/>
    </row>
    <row r="10709" ht="14.25" customHeight="1">
      <c r="A10709" s="740"/>
    </row>
    <row r="10710" ht="14.25" customHeight="1">
      <c r="A10710" s="740"/>
    </row>
    <row r="10711" ht="14.25" customHeight="1">
      <c r="A10711" s="740"/>
    </row>
    <row r="10712" ht="14.25" customHeight="1">
      <c r="A10712" s="740"/>
    </row>
    <row r="10713" ht="14.25" customHeight="1">
      <c r="A10713" s="740"/>
    </row>
    <row r="10714" ht="14.25" customHeight="1">
      <c r="A10714" s="740"/>
    </row>
    <row r="10715" ht="14.25" customHeight="1">
      <c r="A10715" s="740"/>
    </row>
    <row r="10716" ht="14.25" customHeight="1">
      <c r="A10716" s="740"/>
    </row>
    <row r="10717" ht="14.25" customHeight="1">
      <c r="A10717" s="740"/>
    </row>
    <row r="10718" ht="14.25" customHeight="1">
      <c r="A10718" s="740"/>
    </row>
    <row r="10719" ht="14.25" customHeight="1">
      <c r="A10719" s="740"/>
    </row>
    <row r="10720" ht="14.25" customHeight="1">
      <c r="A10720" s="740"/>
    </row>
    <row r="10721" ht="14.25" customHeight="1">
      <c r="A10721" s="740"/>
    </row>
    <row r="10722" ht="14.25" customHeight="1">
      <c r="A10722" s="740"/>
    </row>
    <row r="10723" ht="14.25" customHeight="1">
      <c r="A10723" s="740"/>
    </row>
    <row r="10724" ht="14.25" customHeight="1">
      <c r="A10724" s="740"/>
    </row>
    <row r="10725" ht="14.25" customHeight="1">
      <c r="A10725" s="740"/>
    </row>
    <row r="10726" ht="14.25" customHeight="1">
      <c r="A10726" s="740"/>
    </row>
    <row r="10727" ht="14.25" customHeight="1">
      <c r="A10727" s="740"/>
    </row>
    <row r="10728" ht="14.25" customHeight="1">
      <c r="A10728" s="740"/>
    </row>
    <row r="10729" ht="14.25" customHeight="1">
      <c r="A10729" s="740"/>
    </row>
    <row r="10730" ht="14.25" customHeight="1">
      <c r="A10730" s="740"/>
    </row>
    <row r="10731" ht="14.25" customHeight="1">
      <c r="A10731" s="740"/>
    </row>
    <row r="10732" ht="14.25" customHeight="1">
      <c r="A10732" s="740"/>
    </row>
    <row r="10733" ht="14.25" customHeight="1">
      <c r="A10733" s="740"/>
    </row>
    <row r="10734" ht="14.25" customHeight="1">
      <c r="A10734" s="740"/>
    </row>
    <row r="10735" ht="14.25" customHeight="1">
      <c r="A10735" s="740"/>
    </row>
    <row r="10736" ht="14.25" customHeight="1">
      <c r="A10736" s="740"/>
    </row>
    <row r="10737" ht="14.25" customHeight="1">
      <c r="A10737" s="740"/>
    </row>
    <row r="10738" ht="14.25" customHeight="1">
      <c r="A10738" s="740"/>
    </row>
    <row r="10739" ht="14.25" customHeight="1">
      <c r="A10739" s="740"/>
    </row>
    <row r="10740" ht="14.25" customHeight="1">
      <c r="A10740" s="740"/>
    </row>
    <row r="10741" ht="14.25" customHeight="1">
      <c r="A10741" s="740"/>
    </row>
    <row r="10742" ht="14.25" customHeight="1">
      <c r="A10742" s="740"/>
    </row>
    <row r="10743" ht="14.25" customHeight="1">
      <c r="A10743" s="740"/>
    </row>
    <row r="10744" ht="14.25" customHeight="1">
      <c r="A10744" s="740"/>
    </row>
    <row r="10745" ht="14.25" customHeight="1">
      <c r="A10745" s="740"/>
    </row>
    <row r="10746" ht="14.25" customHeight="1">
      <c r="A10746" s="740"/>
    </row>
    <row r="10747" ht="14.25" customHeight="1">
      <c r="A10747" s="740"/>
    </row>
    <row r="10748" ht="14.25" customHeight="1">
      <c r="A10748" s="740"/>
    </row>
    <row r="10749" ht="14.25" customHeight="1">
      <c r="A10749" s="740"/>
    </row>
    <row r="10750" ht="14.25" customHeight="1">
      <c r="A10750" s="740"/>
    </row>
    <row r="10751" ht="14.25" customHeight="1">
      <c r="A10751" s="740"/>
    </row>
    <row r="10752" ht="14.25" customHeight="1">
      <c r="A10752" s="740"/>
    </row>
    <row r="10753" ht="14.25" customHeight="1">
      <c r="A10753" s="740"/>
    </row>
    <row r="10754" ht="14.25" customHeight="1">
      <c r="A10754" s="740"/>
    </row>
    <row r="10755" ht="14.25" customHeight="1">
      <c r="A10755" s="740"/>
    </row>
    <row r="10756" ht="14.25" customHeight="1">
      <c r="A10756" s="740"/>
    </row>
    <row r="10757" ht="14.25" customHeight="1">
      <c r="A10757" s="740"/>
    </row>
    <row r="10758" ht="14.25" customHeight="1">
      <c r="A10758" s="740"/>
    </row>
    <row r="10759" ht="14.25" customHeight="1">
      <c r="A10759" s="740"/>
    </row>
    <row r="10760" ht="14.25" customHeight="1">
      <c r="A10760" s="740"/>
    </row>
    <row r="10761" ht="14.25" customHeight="1">
      <c r="A10761" s="740"/>
    </row>
    <row r="10762" ht="14.25" customHeight="1">
      <c r="A10762" s="740"/>
    </row>
    <row r="10763" ht="14.25" customHeight="1">
      <c r="A10763" s="740"/>
    </row>
    <row r="10764" ht="14.25" customHeight="1">
      <c r="A10764" s="740"/>
    </row>
    <row r="10765" ht="14.25" customHeight="1">
      <c r="A10765" s="740"/>
    </row>
    <row r="10766" ht="14.25" customHeight="1">
      <c r="A10766" s="740"/>
    </row>
    <row r="10767" ht="14.25" customHeight="1">
      <c r="A10767" s="740"/>
    </row>
    <row r="10768" ht="14.25" customHeight="1">
      <c r="A10768" s="740"/>
    </row>
    <row r="10769" ht="14.25" customHeight="1">
      <c r="A10769" s="740"/>
    </row>
    <row r="10770" ht="14.25" customHeight="1">
      <c r="A10770" s="740"/>
    </row>
    <row r="10771" ht="14.25" customHeight="1">
      <c r="A10771" s="740"/>
    </row>
    <row r="10772" ht="14.25" customHeight="1">
      <c r="A10772" s="740"/>
    </row>
    <row r="10773" ht="14.25" customHeight="1">
      <c r="A10773" s="740"/>
    </row>
    <row r="10774" ht="14.25" customHeight="1">
      <c r="A10774" s="740"/>
    </row>
    <row r="10775" ht="14.25" customHeight="1">
      <c r="A10775" s="740"/>
    </row>
    <row r="10776" ht="14.25" customHeight="1">
      <c r="A10776" s="740"/>
    </row>
    <row r="10777" ht="14.25" customHeight="1">
      <c r="A10777" s="740"/>
    </row>
    <row r="10778" ht="14.25" customHeight="1">
      <c r="A10778" s="740"/>
    </row>
    <row r="10779" ht="14.25" customHeight="1">
      <c r="A10779" s="740"/>
    </row>
    <row r="10780" ht="14.25" customHeight="1">
      <c r="A10780" s="740"/>
    </row>
    <row r="10781" ht="14.25" customHeight="1">
      <c r="A10781" s="740"/>
    </row>
    <row r="10782" ht="14.25" customHeight="1">
      <c r="A10782" s="740"/>
    </row>
    <row r="10783" ht="14.25" customHeight="1">
      <c r="A10783" s="740"/>
    </row>
    <row r="10784" ht="14.25" customHeight="1">
      <c r="A10784" s="740"/>
    </row>
    <row r="10785" ht="14.25" customHeight="1">
      <c r="A10785" s="740"/>
    </row>
    <row r="10786" ht="14.25" customHeight="1">
      <c r="A10786" s="740"/>
    </row>
    <row r="10787" ht="14.25" customHeight="1">
      <c r="A10787" s="740"/>
    </row>
    <row r="10788" ht="14.25" customHeight="1">
      <c r="A10788" s="740"/>
    </row>
    <row r="10789" ht="14.25" customHeight="1">
      <c r="A10789" s="740"/>
    </row>
    <row r="10790" ht="14.25" customHeight="1">
      <c r="A10790" s="740"/>
    </row>
    <row r="10791" ht="14.25" customHeight="1">
      <c r="A10791" s="740"/>
    </row>
    <row r="10792" ht="14.25" customHeight="1">
      <c r="A10792" s="740"/>
    </row>
    <row r="10793" ht="14.25" customHeight="1">
      <c r="A10793" s="740"/>
    </row>
    <row r="10794" ht="14.25" customHeight="1">
      <c r="A10794" s="740"/>
    </row>
    <row r="10795" ht="14.25" customHeight="1">
      <c r="A10795" s="740"/>
    </row>
    <row r="10796" ht="14.25" customHeight="1">
      <c r="A10796" s="740"/>
    </row>
    <row r="10797" ht="14.25" customHeight="1">
      <c r="A10797" s="740"/>
    </row>
    <row r="10798" ht="14.25" customHeight="1">
      <c r="A10798" s="740"/>
    </row>
    <row r="10799" ht="14.25" customHeight="1">
      <c r="A10799" s="740"/>
    </row>
    <row r="10800" ht="14.25" customHeight="1">
      <c r="A10800" s="740"/>
    </row>
    <row r="10801" ht="14.25" customHeight="1">
      <c r="A10801" s="740"/>
    </row>
    <row r="10802" ht="14.25" customHeight="1">
      <c r="A10802" s="740"/>
    </row>
    <row r="10803" ht="14.25" customHeight="1">
      <c r="A10803" s="740"/>
    </row>
    <row r="10804" ht="14.25" customHeight="1">
      <c r="A10804" s="740"/>
    </row>
    <row r="10805" ht="14.25" customHeight="1">
      <c r="A10805" s="740"/>
    </row>
    <row r="10806" ht="14.25" customHeight="1">
      <c r="A10806" s="740"/>
    </row>
    <row r="10807" ht="14.25" customHeight="1">
      <c r="A10807" s="740"/>
    </row>
    <row r="10808" ht="14.25" customHeight="1">
      <c r="A10808" s="740"/>
    </row>
    <row r="10809" ht="14.25" customHeight="1">
      <c r="A10809" s="740"/>
    </row>
    <row r="10810" ht="14.25" customHeight="1">
      <c r="A10810" s="740"/>
    </row>
    <row r="10811" ht="14.25" customHeight="1">
      <c r="A10811" s="740"/>
    </row>
    <row r="10812" ht="14.25" customHeight="1">
      <c r="A10812" s="740"/>
    </row>
    <row r="10813" ht="14.25" customHeight="1">
      <c r="A10813" s="740"/>
    </row>
    <row r="10814" ht="14.25" customHeight="1">
      <c r="A10814" s="740"/>
    </row>
    <row r="10815" ht="14.25" customHeight="1">
      <c r="A10815" s="740"/>
    </row>
    <row r="10816" ht="14.25" customHeight="1">
      <c r="A10816" s="740"/>
    </row>
    <row r="10817" ht="14.25" customHeight="1">
      <c r="A10817" s="740"/>
    </row>
    <row r="10818" ht="14.25" customHeight="1">
      <c r="A10818" s="740"/>
    </row>
    <row r="10819" ht="14.25" customHeight="1">
      <c r="A10819" s="740"/>
    </row>
    <row r="10820" ht="14.25" customHeight="1">
      <c r="A10820" s="740"/>
    </row>
    <row r="10821" ht="14.25" customHeight="1">
      <c r="A10821" s="740"/>
    </row>
    <row r="10822" ht="14.25" customHeight="1">
      <c r="A10822" s="740"/>
    </row>
    <row r="10823" ht="14.25" customHeight="1">
      <c r="A10823" s="740"/>
    </row>
    <row r="10824" ht="14.25" customHeight="1">
      <c r="A10824" s="740"/>
    </row>
    <row r="10825" ht="14.25" customHeight="1">
      <c r="A10825" s="740"/>
    </row>
    <row r="10826" ht="14.25" customHeight="1">
      <c r="A10826" s="740"/>
    </row>
    <row r="10827" ht="14.25" customHeight="1">
      <c r="A10827" s="740"/>
    </row>
    <row r="10828" ht="14.25" customHeight="1">
      <c r="A10828" s="740"/>
    </row>
    <row r="10829" ht="14.25" customHeight="1">
      <c r="A10829" s="740"/>
    </row>
    <row r="10830" ht="14.25" customHeight="1">
      <c r="A10830" s="740"/>
    </row>
    <row r="10831" ht="14.25" customHeight="1">
      <c r="A10831" s="740"/>
    </row>
    <row r="10832" ht="14.25" customHeight="1">
      <c r="A10832" s="740"/>
    </row>
    <row r="10833" ht="14.25" customHeight="1">
      <c r="A10833" s="740"/>
    </row>
    <row r="10834" ht="14.25" customHeight="1">
      <c r="A10834" s="740"/>
    </row>
    <row r="10835" ht="14.25" customHeight="1">
      <c r="A10835" s="740"/>
    </row>
    <row r="10836" ht="14.25" customHeight="1">
      <c r="A10836" s="740"/>
    </row>
    <row r="10837" ht="14.25" customHeight="1">
      <c r="A10837" s="740"/>
    </row>
    <row r="10838" ht="14.25" customHeight="1">
      <c r="A10838" s="740"/>
    </row>
    <row r="10839" ht="14.25" customHeight="1">
      <c r="A10839" s="740"/>
    </row>
    <row r="10840" ht="14.25" customHeight="1">
      <c r="A10840" s="740"/>
    </row>
    <row r="10841" ht="14.25" customHeight="1">
      <c r="A10841" s="740"/>
    </row>
    <row r="10842" ht="14.25" customHeight="1">
      <c r="A10842" s="740"/>
    </row>
    <row r="10843" ht="14.25" customHeight="1">
      <c r="A10843" s="740"/>
    </row>
    <row r="10844" ht="14.25" customHeight="1">
      <c r="A10844" s="740"/>
    </row>
    <row r="10845" ht="14.25" customHeight="1">
      <c r="A10845" s="740"/>
    </row>
    <row r="10846" ht="14.25" customHeight="1">
      <c r="A10846" s="740"/>
    </row>
    <row r="10847" ht="14.25" customHeight="1">
      <c r="A10847" s="740"/>
    </row>
    <row r="10848" ht="14.25" customHeight="1">
      <c r="A10848" s="740"/>
    </row>
    <row r="10849" ht="14.25" customHeight="1">
      <c r="A10849" s="740"/>
    </row>
    <row r="10850" ht="14.25" customHeight="1">
      <c r="A10850" s="740"/>
    </row>
    <row r="10851" ht="14.25" customHeight="1">
      <c r="A10851" s="740"/>
    </row>
    <row r="10852" ht="14.25" customHeight="1">
      <c r="A10852" s="740"/>
    </row>
    <row r="10853" ht="14.25" customHeight="1">
      <c r="A10853" s="740"/>
    </row>
    <row r="10854" ht="14.25" customHeight="1">
      <c r="A10854" s="740"/>
    </row>
    <row r="10855" ht="14.25" customHeight="1">
      <c r="A10855" s="740"/>
    </row>
    <row r="10856" ht="14.25" customHeight="1">
      <c r="A10856" s="740"/>
    </row>
    <row r="10857" ht="14.25" customHeight="1">
      <c r="A10857" s="740"/>
    </row>
    <row r="10858" ht="14.25" customHeight="1">
      <c r="A10858" s="740"/>
    </row>
    <row r="10859" ht="14.25" customHeight="1">
      <c r="A10859" s="740"/>
    </row>
    <row r="10860" ht="14.25" customHeight="1">
      <c r="A10860" s="740"/>
    </row>
    <row r="10861" ht="14.25" customHeight="1">
      <c r="A10861" s="740"/>
    </row>
    <row r="10862" ht="14.25" customHeight="1">
      <c r="A10862" s="740"/>
    </row>
    <row r="10863" ht="14.25" customHeight="1">
      <c r="A10863" s="740"/>
    </row>
    <row r="10864" ht="14.25" customHeight="1">
      <c r="A10864" s="740"/>
    </row>
    <row r="10865" ht="14.25" customHeight="1">
      <c r="A10865" s="740"/>
    </row>
    <row r="10866" ht="14.25" customHeight="1">
      <c r="A10866" s="740"/>
    </row>
    <row r="10867" ht="14.25" customHeight="1">
      <c r="A10867" s="740"/>
    </row>
    <row r="10868" ht="14.25" customHeight="1">
      <c r="A10868" s="740"/>
    </row>
    <row r="10869" ht="14.25" customHeight="1">
      <c r="A10869" s="740"/>
    </row>
    <row r="10870" ht="14.25" customHeight="1">
      <c r="A10870" s="740"/>
    </row>
    <row r="10871" ht="14.25" customHeight="1">
      <c r="A10871" s="740"/>
    </row>
    <row r="10872" ht="14.25" customHeight="1">
      <c r="A10872" s="740"/>
    </row>
    <row r="10873" ht="14.25" customHeight="1">
      <c r="A10873" s="740"/>
    </row>
    <row r="10874" ht="14.25" customHeight="1">
      <c r="A10874" s="740"/>
    </row>
    <row r="10875" ht="14.25" customHeight="1">
      <c r="A10875" s="740"/>
    </row>
    <row r="10876" ht="14.25" customHeight="1">
      <c r="A10876" s="740"/>
    </row>
    <row r="10877" ht="14.25" customHeight="1">
      <c r="A10877" s="740"/>
    </row>
    <row r="10878" ht="14.25" customHeight="1">
      <c r="A10878" s="740"/>
    </row>
    <row r="10879" ht="14.25" customHeight="1">
      <c r="A10879" s="740"/>
    </row>
    <row r="10880" ht="14.25" customHeight="1">
      <c r="A10880" s="740"/>
    </row>
    <row r="10881" ht="14.25" customHeight="1">
      <c r="A10881" s="740"/>
    </row>
    <row r="10882" ht="14.25" customHeight="1">
      <c r="A10882" s="740"/>
    </row>
    <row r="10883" ht="14.25" customHeight="1">
      <c r="A10883" s="740"/>
    </row>
    <row r="10884" ht="14.25" customHeight="1">
      <c r="A10884" s="740"/>
    </row>
    <row r="10885" ht="14.25" customHeight="1">
      <c r="A10885" s="740"/>
    </row>
    <row r="10886" ht="14.25" customHeight="1">
      <c r="A10886" s="740"/>
    </row>
    <row r="10887" ht="14.25" customHeight="1">
      <c r="A10887" s="740"/>
    </row>
    <row r="10888" ht="14.25" customHeight="1">
      <c r="A10888" s="740"/>
    </row>
    <row r="10889" ht="14.25" customHeight="1">
      <c r="A10889" s="740"/>
    </row>
    <row r="10890" ht="14.25" customHeight="1">
      <c r="A10890" s="740"/>
    </row>
    <row r="10891" ht="14.25" customHeight="1">
      <c r="A10891" s="740"/>
    </row>
    <row r="10892" ht="14.25" customHeight="1">
      <c r="A10892" s="740"/>
    </row>
    <row r="10893" ht="14.25" customHeight="1">
      <c r="A10893" s="740"/>
    </row>
    <row r="10894" ht="14.25" customHeight="1">
      <c r="A10894" s="740"/>
    </row>
    <row r="10895" ht="14.25" customHeight="1">
      <c r="A10895" s="740"/>
    </row>
    <row r="10896" ht="14.25" customHeight="1">
      <c r="A10896" s="740"/>
    </row>
    <row r="10897" ht="14.25" customHeight="1">
      <c r="A10897" s="740"/>
    </row>
    <row r="10898" ht="14.25" customHeight="1">
      <c r="A10898" s="740"/>
    </row>
    <row r="10899" ht="14.25" customHeight="1">
      <c r="A10899" s="740"/>
    </row>
    <row r="10900" ht="14.25" customHeight="1">
      <c r="A10900" s="740"/>
    </row>
    <row r="10901" ht="14.25" customHeight="1">
      <c r="A10901" s="740"/>
    </row>
    <row r="10902" ht="14.25" customHeight="1">
      <c r="A10902" s="740"/>
    </row>
    <row r="10903" ht="14.25" customHeight="1">
      <c r="A10903" s="740"/>
    </row>
    <row r="10904" ht="14.25" customHeight="1">
      <c r="A10904" s="740"/>
    </row>
    <row r="10905" ht="14.25" customHeight="1">
      <c r="A10905" s="740"/>
    </row>
    <row r="10906" ht="14.25" customHeight="1">
      <c r="A10906" s="740"/>
    </row>
    <row r="10907" ht="14.25" customHeight="1">
      <c r="A10907" s="740"/>
    </row>
    <row r="10908" ht="14.25" customHeight="1">
      <c r="A10908" s="740"/>
    </row>
    <row r="10909" ht="14.25" customHeight="1">
      <c r="A10909" s="740"/>
    </row>
    <row r="10910" ht="14.25" customHeight="1">
      <c r="A10910" s="740"/>
    </row>
    <row r="10911" ht="14.25" customHeight="1">
      <c r="A10911" s="740"/>
    </row>
    <row r="10912" ht="14.25" customHeight="1">
      <c r="A10912" s="740"/>
    </row>
    <row r="10913" ht="14.25" customHeight="1">
      <c r="A10913" s="740"/>
    </row>
    <row r="10914" ht="14.25" customHeight="1">
      <c r="A10914" s="740"/>
    </row>
    <row r="10915" ht="14.25" customHeight="1">
      <c r="A10915" s="740"/>
    </row>
    <row r="10916" ht="14.25" customHeight="1">
      <c r="A10916" s="740"/>
    </row>
    <row r="10917" ht="14.25" customHeight="1">
      <c r="A10917" s="740"/>
    </row>
    <row r="10918" ht="14.25" customHeight="1">
      <c r="A10918" s="740"/>
    </row>
    <row r="10919" ht="14.25" customHeight="1">
      <c r="A10919" s="740"/>
    </row>
    <row r="10920" ht="14.25" customHeight="1">
      <c r="A10920" s="740"/>
    </row>
    <row r="10921" ht="14.25" customHeight="1">
      <c r="A10921" s="740"/>
    </row>
    <row r="10922" ht="14.25" customHeight="1">
      <c r="A10922" s="740"/>
    </row>
    <row r="10923" ht="14.25" customHeight="1">
      <c r="A10923" s="740"/>
    </row>
    <row r="10924" ht="14.25" customHeight="1">
      <c r="A10924" s="740"/>
    </row>
    <row r="10925" ht="14.25" customHeight="1">
      <c r="A10925" s="740"/>
    </row>
    <row r="10926" ht="14.25" customHeight="1">
      <c r="A10926" s="740"/>
    </row>
    <row r="10927" ht="14.25" customHeight="1">
      <c r="A10927" s="740"/>
    </row>
    <row r="10928" ht="14.25" customHeight="1">
      <c r="A10928" s="740"/>
    </row>
    <row r="10929" ht="14.25" customHeight="1">
      <c r="A10929" s="740"/>
    </row>
    <row r="10930" ht="14.25" customHeight="1">
      <c r="A10930" s="740"/>
    </row>
    <row r="10931" ht="14.25" customHeight="1">
      <c r="A10931" s="740"/>
    </row>
    <row r="10932" ht="14.25" customHeight="1">
      <c r="A10932" s="740"/>
    </row>
    <row r="10933" ht="14.25" customHeight="1">
      <c r="A10933" s="740"/>
    </row>
    <row r="10934" ht="14.25" customHeight="1">
      <c r="A10934" s="740"/>
    </row>
    <row r="10935" ht="14.25" customHeight="1">
      <c r="A10935" s="740"/>
    </row>
    <row r="10936" ht="14.25" customHeight="1">
      <c r="A10936" s="740"/>
    </row>
    <row r="10937" ht="14.25" customHeight="1">
      <c r="A10937" s="740"/>
    </row>
    <row r="10938" ht="14.25" customHeight="1">
      <c r="A10938" s="740"/>
    </row>
    <row r="10939" ht="14.25" customHeight="1">
      <c r="A10939" s="740"/>
    </row>
    <row r="10940" ht="14.25" customHeight="1">
      <c r="A10940" s="740"/>
    </row>
    <row r="10941" ht="14.25" customHeight="1">
      <c r="A10941" s="740"/>
    </row>
    <row r="10942" ht="14.25" customHeight="1">
      <c r="A10942" s="740"/>
    </row>
    <row r="10943" ht="14.25" customHeight="1">
      <c r="A10943" s="740"/>
    </row>
    <row r="10944" ht="14.25" customHeight="1">
      <c r="A10944" s="740"/>
    </row>
    <row r="10945" ht="14.25" customHeight="1">
      <c r="A10945" s="740"/>
    </row>
    <row r="10946" ht="14.25" customHeight="1">
      <c r="A10946" s="740"/>
    </row>
    <row r="10947" ht="14.25" customHeight="1">
      <c r="A10947" s="740"/>
    </row>
    <row r="10948" ht="14.25" customHeight="1">
      <c r="A10948" s="740"/>
    </row>
    <row r="10949" ht="14.25" customHeight="1">
      <c r="A10949" s="740"/>
    </row>
    <row r="10950" ht="14.25" customHeight="1">
      <c r="A10950" s="740"/>
    </row>
    <row r="10951" ht="14.25" customHeight="1">
      <c r="A10951" s="740"/>
    </row>
    <row r="10952" ht="14.25" customHeight="1">
      <c r="A10952" s="740"/>
    </row>
    <row r="10953" ht="14.25" customHeight="1">
      <c r="A10953" s="740"/>
    </row>
    <row r="10954" ht="14.25" customHeight="1">
      <c r="A10954" s="740"/>
    </row>
    <row r="10955" ht="14.25" customHeight="1">
      <c r="A10955" s="740"/>
    </row>
    <row r="10956" ht="14.25" customHeight="1">
      <c r="A10956" s="740"/>
    </row>
    <row r="10957" ht="14.25" customHeight="1">
      <c r="A10957" s="740"/>
    </row>
    <row r="10958" ht="14.25" customHeight="1">
      <c r="A10958" s="740"/>
    </row>
    <row r="10959" ht="14.25" customHeight="1">
      <c r="A10959" s="740"/>
    </row>
    <row r="10960" ht="14.25" customHeight="1">
      <c r="A10960" s="740"/>
    </row>
    <row r="10961" ht="14.25" customHeight="1">
      <c r="A10961" s="740"/>
    </row>
    <row r="10962" ht="14.25" customHeight="1">
      <c r="A10962" s="740"/>
    </row>
    <row r="10963" ht="14.25" customHeight="1">
      <c r="A10963" s="740"/>
    </row>
    <row r="10964" ht="14.25" customHeight="1">
      <c r="A10964" s="740"/>
    </row>
    <row r="10965" ht="14.25" customHeight="1">
      <c r="A10965" s="740"/>
    </row>
    <row r="10966" ht="14.25" customHeight="1">
      <c r="A10966" s="740"/>
    </row>
    <row r="10967" ht="14.25" customHeight="1">
      <c r="A10967" s="740"/>
    </row>
    <row r="10968" ht="14.25" customHeight="1">
      <c r="A10968" s="740"/>
    </row>
    <row r="10969" ht="14.25" customHeight="1">
      <c r="A10969" s="740"/>
    </row>
    <row r="10970" ht="14.25" customHeight="1">
      <c r="A10970" s="740"/>
    </row>
    <row r="10971" ht="14.25" customHeight="1">
      <c r="A10971" s="740"/>
    </row>
    <row r="10972" ht="14.25" customHeight="1">
      <c r="A10972" s="740"/>
    </row>
    <row r="10973" ht="14.25" customHeight="1">
      <c r="A10973" s="740"/>
    </row>
    <row r="10974" ht="14.25" customHeight="1">
      <c r="A10974" s="740"/>
    </row>
    <row r="10975" ht="14.25" customHeight="1">
      <c r="A10975" s="740"/>
    </row>
    <row r="10976" ht="14.25" customHeight="1">
      <c r="A10976" s="740"/>
    </row>
    <row r="10977" ht="14.25" customHeight="1">
      <c r="A10977" s="740"/>
    </row>
    <row r="10978" ht="14.25" customHeight="1">
      <c r="A10978" s="740"/>
    </row>
    <row r="10979" ht="14.25" customHeight="1">
      <c r="A10979" s="740"/>
    </row>
    <row r="10980" ht="14.25" customHeight="1">
      <c r="A10980" s="740"/>
    </row>
    <row r="10981" ht="14.25" customHeight="1">
      <c r="A10981" s="740"/>
    </row>
    <row r="10982" ht="14.25" customHeight="1">
      <c r="A10982" s="740"/>
    </row>
    <row r="10983" ht="14.25" customHeight="1">
      <c r="A10983" s="740"/>
    </row>
    <row r="10984" ht="14.25" customHeight="1">
      <c r="A10984" s="740"/>
    </row>
    <row r="10985" ht="14.25" customHeight="1">
      <c r="A10985" s="740"/>
    </row>
    <row r="10986" ht="14.25" customHeight="1">
      <c r="A10986" s="740"/>
    </row>
    <row r="10987" ht="14.25" customHeight="1">
      <c r="A10987" s="740"/>
    </row>
    <row r="10988" ht="14.25" customHeight="1">
      <c r="A10988" s="740"/>
    </row>
    <row r="10989" ht="14.25" customHeight="1">
      <c r="A10989" s="740"/>
    </row>
    <row r="10990" ht="14.25" customHeight="1">
      <c r="A10990" s="740"/>
    </row>
    <row r="10991" ht="14.25" customHeight="1">
      <c r="A10991" s="740"/>
    </row>
    <row r="10992" ht="14.25" customHeight="1">
      <c r="A10992" s="740"/>
    </row>
    <row r="10993" ht="14.25" customHeight="1">
      <c r="A10993" s="740"/>
    </row>
    <row r="10994" ht="14.25" customHeight="1">
      <c r="A10994" s="740"/>
    </row>
    <row r="10995" ht="14.25" customHeight="1">
      <c r="A10995" s="740"/>
    </row>
    <row r="10996" ht="14.25" customHeight="1">
      <c r="A10996" s="740"/>
    </row>
    <row r="10997" ht="14.25" customHeight="1">
      <c r="A10997" s="740"/>
    </row>
    <row r="10998" ht="14.25" customHeight="1">
      <c r="A10998" s="740"/>
    </row>
    <row r="10999" ht="14.25" customHeight="1">
      <c r="A10999" s="740"/>
    </row>
    <row r="11000" ht="14.25" customHeight="1">
      <c r="A11000" s="740"/>
    </row>
    <row r="11001" ht="14.25" customHeight="1">
      <c r="A11001" s="740"/>
    </row>
    <row r="11002" ht="14.25" customHeight="1">
      <c r="A11002" s="740"/>
    </row>
    <row r="11003" ht="14.25" customHeight="1">
      <c r="A11003" s="740"/>
    </row>
    <row r="11004" ht="14.25" customHeight="1">
      <c r="A11004" s="740"/>
    </row>
    <row r="11005" ht="14.25" customHeight="1">
      <c r="A11005" s="740"/>
    </row>
    <row r="11006" ht="14.25" customHeight="1">
      <c r="A11006" s="740"/>
    </row>
    <row r="11007" ht="14.25" customHeight="1">
      <c r="A11007" s="740"/>
    </row>
    <row r="11008" ht="14.25" customHeight="1">
      <c r="A11008" s="740"/>
    </row>
    <row r="11009" ht="14.25" customHeight="1">
      <c r="A11009" s="740"/>
    </row>
    <row r="11010" ht="14.25" customHeight="1">
      <c r="A11010" s="740"/>
    </row>
    <row r="11011" ht="14.25" customHeight="1">
      <c r="A11011" s="740"/>
    </row>
    <row r="11012" ht="14.25" customHeight="1">
      <c r="A11012" s="740"/>
    </row>
    <row r="11013" ht="14.25" customHeight="1">
      <c r="A11013" s="740"/>
    </row>
    <row r="11014" ht="14.25" customHeight="1">
      <c r="A11014" s="740"/>
    </row>
    <row r="11015" ht="14.25" customHeight="1">
      <c r="A11015" s="740"/>
    </row>
    <row r="11016" ht="14.25" customHeight="1">
      <c r="A11016" s="740"/>
    </row>
    <row r="11017" ht="14.25" customHeight="1">
      <c r="A11017" s="740"/>
    </row>
    <row r="11018" ht="14.25" customHeight="1">
      <c r="A11018" s="740"/>
    </row>
    <row r="11019" ht="14.25" customHeight="1">
      <c r="A11019" s="740"/>
    </row>
    <row r="11020" ht="14.25" customHeight="1">
      <c r="A11020" s="740"/>
    </row>
    <row r="11021" ht="14.25" customHeight="1">
      <c r="A11021" s="740"/>
    </row>
    <row r="11022" ht="14.25" customHeight="1">
      <c r="A11022" s="740"/>
    </row>
    <row r="11023" ht="14.25" customHeight="1">
      <c r="A11023" s="740"/>
    </row>
    <row r="11024" ht="14.25" customHeight="1">
      <c r="A11024" s="740"/>
    </row>
    <row r="11025" ht="14.25" customHeight="1">
      <c r="A11025" s="740"/>
    </row>
    <row r="11026" ht="14.25" customHeight="1">
      <c r="A11026" s="740"/>
    </row>
    <row r="11027" ht="14.25" customHeight="1">
      <c r="A11027" s="740"/>
    </row>
    <row r="11028" ht="14.25" customHeight="1">
      <c r="A11028" s="740"/>
    </row>
    <row r="11029" ht="14.25" customHeight="1">
      <c r="A11029" s="740"/>
    </row>
    <row r="11030" ht="14.25" customHeight="1">
      <c r="A11030" s="740"/>
    </row>
    <row r="11031" ht="14.25" customHeight="1">
      <c r="A11031" s="740"/>
    </row>
    <row r="11032" ht="14.25" customHeight="1">
      <c r="A11032" s="740"/>
    </row>
    <row r="11033" ht="14.25" customHeight="1">
      <c r="A11033" s="740"/>
    </row>
    <row r="11034" ht="14.25" customHeight="1">
      <c r="A11034" s="740"/>
    </row>
    <row r="11035" ht="14.25" customHeight="1">
      <c r="A11035" s="740"/>
    </row>
    <row r="11036" ht="14.25" customHeight="1">
      <c r="A11036" s="740"/>
    </row>
    <row r="11037" ht="14.25" customHeight="1">
      <c r="A11037" s="740"/>
    </row>
    <row r="11038" ht="14.25" customHeight="1">
      <c r="A11038" s="740"/>
    </row>
    <row r="11039" ht="14.25" customHeight="1">
      <c r="A11039" s="740"/>
    </row>
    <row r="11040" ht="14.25" customHeight="1">
      <c r="A11040" s="740"/>
    </row>
    <row r="11041" ht="14.25" customHeight="1">
      <c r="A11041" s="740"/>
    </row>
    <row r="11042" ht="14.25" customHeight="1">
      <c r="A11042" s="740"/>
    </row>
    <row r="11043" ht="14.25" customHeight="1">
      <c r="A11043" s="740"/>
    </row>
    <row r="11044" ht="14.25" customHeight="1">
      <c r="A11044" s="740"/>
    </row>
    <row r="11045" ht="14.25" customHeight="1">
      <c r="A11045" s="740"/>
    </row>
    <row r="11046" ht="14.25" customHeight="1">
      <c r="A11046" s="740"/>
    </row>
    <row r="11047" ht="14.25" customHeight="1">
      <c r="A11047" s="740"/>
    </row>
    <row r="11048" ht="14.25" customHeight="1">
      <c r="A11048" s="740"/>
    </row>
    <row r="11049" ht="14.25" customHeight="1">
      <c r="A11049" s="740"/>
    </row>
    <row r="11050" ht="14.25" customHeight="1">
      <c r="A11050" s="740"/>
    </row>
    <row r="11051" ht="14.25" customHeight="1">
      <c r="A11051" s="740"/>
    </row>
    <row r="11052" ht="14.25" customHeight="1">
      <c r="A11052" s="740"/>
    </row>
    <row r="11053" ht="14.25" customHeight="1">
      <c r="A11053" s="740"/>
    </row>
    <row r="11054" ht="14.25" customHeight="1">
      <c r="A11054" s="740"/>
    </row>
    <row r="11055" ht="14.25" customHeight="1">
      <c r="A11055" s="740"/>
    </row>
    <row r="11056" ht="14.25" customHeight="1">
      <c r="A11056" s="740"/>
    </row>
    <row r="11057" ht="14.25" customHeight="1">
      <c r="A11057" s="740"/>
    </row>
    <row r="11058" ht="14.25" customHeight="1">
      <c r="A11058" s="740"/>
    </row>
    <row r="11059" ht="14.25" customHeight="1">
      <c r="A11059" s="740"/>
    </row>
    <row r="11060" ht="14.25" customHeight="1">
      <c r="A11060" s="740"/>
    </row>
    <row r="11061" ht="14.25" customHeight="1">
      <c r="A11061" s="740"/>
    </row>
    <row r="11062" ht="14.25" customHeight="1">
      <c r="A11062" s="740"/>
    </row>
    <row r="11063" ht="14.25" customHeight="1">
      <c r="A11063" s="740"/>
    </row>
    <row r="11064" ht="14.25" customHeight="1">
      <c r="A11064" s="740"/>
    </row>
    <row r="11065" ht="14.25" customHeight="1">
      <c r="A11065" s="740"/>
    </row>
    <row r="11066" ht="14.25" customHeight="1">
      <c r="A11066" s="740"/>
    </row>
    <row r="11067" ht="14.25" customHeight="1">
      <c r="A11067" s="740"/>
    </row>
    <row r="11068" ht="14.25" customHeight="1">
      <c r="A11068" s="740"/>
    </row>
    <row r="11069" ht="14.25" customHeight="1">
      <c r="A11069" s="740"/>
    </row>
    <row r="11070" ht="14.25" customHeight="1">
      <c r="A11070" s="740"/>
    </row>
    <row r="11071" ht="14.25" customHeight="1">
      <c r="A11071" s="740"/>
    </row>
    <row r="11072" ht="14.25" customHeight="1">
      <c r="A11072" s="740"/>
    </row>
    <row r="11073" ht="14.25" customHeight="1">
      <c r="A11073" s="740"/>
    </row>
    <row r="11074" ht="14.25" customHeight="1">
      <c r="A11074" s="740"/>
    </row>
    <row r="11075" ht="14.25" customHeight="1">
      <c r="A11075" s="740"/>
    </row>
    <row r="11076" ht="14.25" customHeight="1">
      <c r="A11076" s="740"/>
    </row>
    <row r="11077" ht="14.25" customHeight="1">
      <c r="A11077" s="740"/>
    </row>
    <row r="11078" ht="14.25" customHeight="1">
      <c r="A11078" s="740"/>
    </row>
    <row r="11079" ht="14.25" customHeight="1">
      <c r="A11079" s="740"/>
    </row>
    <row r="11080" ht="14.25" customHeight="1">
      <c r="A11080" s="740"/>
    </row>
    <row r="11081" ht="14.25" customHeight="1">
      <c r="A11081" s="740"/>
    </row>
    <row r="11082" ht="14.25" customHeight="1">
      <c r="A11082" s="740"/>
    </row>
    <row r="11083" ht="14.25" customHeight="1">
      <c r="A11083" s="740"/>
    </row>
    <row r="11084" ht="14.25" customHeight="1">
      <c r="A11084" s="740"/>
    </row>
    <row r="11085" ht="14.25" customHeight="1">
      <c r="A11085" s="740"/>
    </row>
    <row r="11086" ht="14.25" customHeight="1">
      <c r="A11086" s="740"/>
    </row>
    <row r="11087" ht="14.25" customHeight="1">
      <c r="A11087" s="740"/>
    </row>
    <row r="11088" ht="14.25" customHeight="1">
      <c r="A11088" s="740"/>
    </row>
    <row r="11089" ht="14.25" customHeight="1">
      <c r="A11089" s="740"/>
    </row>
    <row r="11090" ht="14.25" customHeight="1">
      <c r="A11090" s="740"/>
    </row>
    <row r="11091" ht="14.25" customHeight="1">
      <c r="A11091" s="740"/>
    </row>
    <row r="11092" ht="14.25" customHeight="1">
      <c r="A11092" s="740"/>
    </row>
    <row r="11093" ht="14.25" customHeight="1">
      <c r="A11093" s="740"/>
    </row>
    <row r="11094" ht="14.25" customHeight="1">
      <c r="A11094" s="740"/>
    </row>
    <row r="11095" ht="14.25" customHeight="1">
      <c r="A11095" s="740"/>
    </row>
    <row r="11096" ht="14.25" customHeight="1">
      <c r="A11096" s="740"/>
    </row>
    <row r="11097" ht="14.25" customHeight="1">
      <c r="A11097" s="740"/>
    </row>
    <row r="11098" ht="14.25" customHeight="1">
      <c r="A11098" s="740"/>
    </row>
    <row r="11099" ht="14.25" customHeight="1">
      <c r="A11099" s="740"/>
    </row>
    <row r="11100" ht="14.25" customHeight="1">
      <c r="A11100" s="740"/>
    </row>
    <row r="11101" ht="14.25" customHeight="1">
      <c r="A11101" s="740"/>
    </row>
    <row r="11102" ht="14.25" customHeight="1">
      <c r="A11102" s="740"/>
    </row>
    <row r="11103" ht="14.25" customHeight="1">
      <c r="A11103" s="740"/>
    </row>
    <row r="11104" ht="14.25" customHeight="1">
      <c r="A11104" s="740"/>
    </row>
    <row r="11105" ht="14.25" customHeight="1">
      <c r="A11105" s="740"/>
    </row>
    <row r="11106" ht="14.25" customHeight="1">
      <c r="A11106" s="740"/>
    </row>
    <row r="11107" ht="14.25" customHeight="1">
      <c r="A11107" s="740"/>
    </row>
    <row r="11108" ht="14.25" customHeight="1">
      <c r="A11108" s="740"/>
    </row>
    <row r="11109" ht="14.25" customHeight="1">
      <c r="A11109" s="740"/>
    </row>
    <row r="11110" ht="14.25" customHeight="1">
      <c r="A11110" s="740"/>
    </row>
    <row r="11111" ht="14.25" customHeight="1">
      <c r="A11111" s="740"/>
    </row>
    <row r="11112" ht="14.25" customHeight="1">
      <c r="A11112" s="740"/>
    </row>
    <row r="11113" ht="14.25" customHeight="1">
      <c r="A11113" s="740"/>
    </row>
    <row r="11114" ht="14.25" customHeight="1">
      <c r="A11114" s="740"/>
    </row>
    <row r="11115" ht="14.25" customHeight="1">
      <c r="A11115" s="740"/>
    </row>
    <row r="11116" ht="14.25" customHeight="1">
      <c r="A11116" s="740"/>
    </row>
    <row r="11117" ht="14.25" customHeight="1">
      <c r="A11117" s="740"/>
    </row>
    <row r="11118" ht="14.25" customHeight="1">
      <c r="A11118" s="740"/>
    </row>
    <row r="11119" ht="14.25" customHeight="1">
      <c r="A11119" s="740"/>
    </row>
    <row r="11120" ht="14.25" customHeight="1">
      <c r="A11120" s="740"/>
    </row>
    <row r="11121" ht="14.25" customHeight="1">
      <c r="A11121" s="740"/>
    </row>
    <row r="11122" ht="14.25" customHeight="1">
      <c r="A11122" s="740"/>
    </row>
    <row r="11123" ht="14.25" customHeight="1">
      <c r="A11123" s="740"/>
    </row>
    <row r="11124" ht="14.25" customHeight="1">
      <c r="A11124" s="740"/>
    </row>
    <row r="11125" ht="14.25" customHeight="1">
      <c r="A11125" s="740"/>
    </row>
    <row r="11126" ht="14.25" customHeight="1">
      <c r="A11126" s="740"/>
    </row>
    <row r="11127" ht="14.25" customHeight="1">
      <c r="A11127" s="740"/>
    </row>
    <row r="11128" ht="14.25" customHeight="1">
      <c r="A11128" s="740"/>
    </row>
    <row r="11129" ht="14.25" customHeight="1">
      <c r="A11129" s="740"/>
    </row>
    <row r="11130" ht="14.25" customHeight="1">
      <c r="A11130" s="740"/>
    </row>
    <row r="11131" ht="14.25" customHeight="1">
      <c r="A11131" s="740"/>
    </row>
    <row r="11132" ht="14.25" customHeight="1">
      <c r="A11132" s="740"/>
    </row>
    <row r="11133" ht="14.25" customHeight="1">
      <c r="A11133" s="740"/>
    </row>
    <row r="11134" ht="14.25" customHeight="1">
      <c r="A11134" s="740"/>
    </row>
    <row r="11135" ht="14.25" customHeight="1">
      <c r="A11135" s="740"/>
    </row>
    <row r="11136" ht="14.25" customHeight="1">
      <c r="A11136" s="740"/>
    </row>
    <row r="11137" ht="14.25" customHeight="1">
      <c r="A11137" s="740"/>
    </row>
    <row r="11138" ht="14.25" customHeight="1">
      <c r="A11138" s="740"/>
    </row>
    <row r="11139" ht="14.25" customHeight="1">
      <c r="A11139" s="740"/>
    </row>
    <row r="11140" ht="14.25" customHeight="1">
      <c r="A11140" s="740"/>
    </row>
    <row r="11141" ht="14.25" customHeight="1">
      <c r="A11141" s="740"/>
    </row>
    <row r="11142" ht="14.25" customHeight="1">
      <c r="A11142" s="740"/>
    </row>
    <row r="11143" ht="14.25" customHeight="1">
      <c r="A11143" s="740"/>
    </row>
    <row r="11144" ht="14.25" customHeight="1">
      <c r="A11144" s="740"/>
    </row>
    <row r="11145" ht="14.25" customHeight="1">
      <c r="A11145" s="740"/>
    </row>
    <row r="11146" ht="14.25" customHeight="1">
      <c r="A11146" s="740"/>
    </row>
    <row r="11147" ht="14.25" customHeight="1">
      <c r="A11147" s="740"/>
    </row>
    <row r="11148" ht="14.25" customHeight="1">
      <c r="A11148" s="740"/>
    </row>
    <row r="11149" ht="14.25" customHeight="1">
      <c r="A11149" s="740"/>
    </row>
    <row r="11150" ht="14.25" customHeight="1">
      <c r="A11150" s="740"/>
    </row>
    <row r="11151" ht="14.25" customHeight="1">
      <c r="A11151" s="740"/>
    </row>
    <row r="11152" ht="14.25" customHeight="1">
      <c r="A11152" s="740"/>
    </row>
    <row r="11153" ht="14.25" customHeight="1">
      <c r="A11153" s="740"/>
    </row>
    <row r="11154" ht="14.25" customHeight="1">
      <c r="A11154" s="740"/>
    </row>
    <row r="11155" ht="14.25" customHeight="1">
      <c r="A11155" s="740"/>
    </row>
    <row r="11156" ht="14.25" customHeight="1">
      <c r="A11156" s="740"/>
    </row>
    <row r="11157" ht="14.25" customHeight="1">
      <c r="A11157" s="740"/>
    </row>
    <row r="11158" ht="14.25" customHeight="1">
      <c r="A11158" s="740"/>
    </row>
    <row r="11159" ht="14.25" customHeight="1">
      <c r="A11159" s="740"/>
    </row>
    <row r="11160" ht="14.25" customHeight="1">
      <c r="A11160" s="740"/>
    </row>
    <row r="11161" ht="14.25" customHeight="1">
      <c r="A11161" s="740"/>
    </row>
    <row r="11162" ht="14.25" customHeight="1">
      <c r="A11162" s="740"/>
    </row>
    <row r="11163" ht="14.25" customHeight="1">
      <c r="A11163" s="740"/>
    </row>
    <row r="11164" ht="14.25" customHeight="1">
      <c r="A11164" s="740"/>
    </row>
    <row r="11165" ht="14.25" customHeight="1">
      <c r="A11165" s="740"/>
    </row>
    <row r="11166" ht="14.25" customHeight="1">
      <c r="A11166" s="740"/>
    </row>
    <row r="11167" ht="14.25" customHeight="1">
      <c r="A11167" s="740"/>
    </row>
    <row r="11168" ht="14.25" customHeight="1">
      <c r="A11168" s="740"/>
    </row>
    <row r="11169" ht="14.25" customHeight="1">
      <c r="A11169" s="740"/>
    </row>
    <row r="11170" ht="14.25" customHeight="1">
      <c r="A11170" s="740"/>
    </row>
    <row r="11171" ht="14.25" customHeight="1">
      <c r="A11171" s="740"/>
    </row>
    <row r="11172" ht="14.25" customHeight="1">
      <c r="A11172" s="740"/>
    </row>
    <row r="11173" ht="14.25" customHeight="1">
      <c r="A11173" s="740"/>
    </row>
    <row r="11174" ht="14.25" customHeight="1">
      <c r="A11174" s="740"/>
    </row>
    <row r="11175" ht="14.25" customHeight="1">
      <c r="A11175" s="740"/>
    </row>
    <row r="11176" ht="14.25" customHeight="1">
      <c r="A11176" s="740"/>
    </row>
    <row r="11177" ht="14.25" customHeight="1">
      <c r="A11177" s="740"/>
    </row>
    <row r="11178" ht="14.25" customHeight="1">
      <c r="A11178" s="740"/>
    </row>
    <row r="11179" ht="14.25" customHeight="1">
      <c r="A11179" s="740"/>
    </row>
    <row r="11180" ht="14.25" customHeight="1">
      <c r="A11180" s="740"/>
    </row>
    <row r="11181" ht="14.25" customHeight="1">
      <c r="A11181" s="740"/>
    </row>
    <row r="11182" ht="14.25" customHeight="1">
      <c r="A11182" s="740"/>
    </row>
    <row r="11183" ht="14.25" customHeight="1">
      <c r="A11183" s="740"/>
    </row>
    <row r="11184" ht="14.25" customHeight="1">
      <c r="A11184" s="740"/>
    </row>
    <row r="11185" ht="14.25" customHeight="1">
      <c r="A11185" s="740"/>
    </row>
    <row r="11186" ht="14.25" customHeight="1">
      <c r="A11186" s="740"/>
    </row>
    <row r="11187" ht="14.25" customHeight="1">
      <c r="A11187" s="740"/>
    </row>
    <row r="11188" ht="14.25" customHeight="1">
      <c r="A11188" s="740"/>
    </row>
    <row r="11189" ht="14.25" customHeight="1">
      <c r="A11189" s="740"/>
    </row>
    <row r="11190" ht="14.25" customHeight="1">
      <c r="A11190" s="740"/>
    </row>
    <row r="11191" ht="14.25" customHeight="1">
      <c r="A11191" s="740"/>
    </row>
    <row r="11192" ht="14.25" customHeight="1">
      <c r="A11192" s="740"/>
    </row>
    <row r="11193" ht="14.25" customHeight="1">
      <c r="A11193" s="740"/>
    </row>
    <row r="11194" ht="14.25" customHeight="1">
      <c r="A11194" s="740"/>
    </row>
    <row r="11195" ht="14.25" customHeight="1">
      <c r="A11195" s="740"/>
    </row>
    <row r="11196" ht="14.25" customHeight="1">
      <c r="A11196" s="740"/>
    </row>
    <row r="11197" ht="14.25" customHeight="1">
      <c r="A11197" s="740"/>
    </row>
    <row r="11198" ht="14.25" customHeight="1">
      <c r="A11198" s="740"/>
    </row>
    <row r="11199" ht="14.25" customHeight="1">
      <c r="A11199" s="740"/>
    </row>
    <row r="11200" ht="14.25" customHeight="1">
      <c r="A11200" s="740"/>
    </row>
    <row r="11201" ht="14.25" customHeight="1">
      <c r="A11201" s="740"/>
    </row>
    <row r="11202" ht="14.25" customHeight="1">
      <c r="A11202" s="740"/>
    </row>
    <row r="11203" ht="14.25" customHeight="1">
      <c r="A11203" s="740"/>
    </row>
    <row r="11204" ht="14.25" customHeight="1">
      <c r="A11204" s="740"/>
    </row>
    <row r="11205" ht="14.25" customHeight="1">
      <c r="A11205" s="740"/>
    </row>
    <row r="11206" ht="14.25" customHeight="1">
      <c r="A11206" s="740"/>
    </row>
    <row r="11207" ht="14.25" customHeight="1">
      <c r="A11207" s="740"/>
    </row>
    <row r="11208" ht="14.25" customHeight="1">
      <c r="A11208" s="740"/>
    </row>
    <row r="11209" ht="14.25" customHeight="1">
      <c r="A11209" s="740"/>
    </row>
    <row r="11210" ht="14.25" customHeight="1">
      <c r="A11210" s="740"/>
    </row>
    <row r="11211" ht="14.25" customHeight="1">
      <c r="A11211" s="740"/>
    </row>
    <row r="11212" ht="14.25" customHeight="1">
      <c r="A11212" s="740"/>
    </row>
    <row r="11213" ht="14.25" customHeight="1">
      <c r="A11213" s="740"/>
    </row>
    <row r="11214" ht="14.25" customHeight="1">
      <c r="A11214" s="740"/>
    </row>
    <row r="11215" ht="14.25" customHeight="1">
      <c r="A11215" s="740"/>
    </row>
    <row r="11216" ht="14.25" customHeight="1">
      <c r="A11216" s="740"/>
    </row>
    <row r="11217" ht="14.25" customHeight="1">
      <c r="A11217" s="740"/>
    </row>
    <row r="11218" ht="14.25" customHeight="1">
      <c r="A11218" s="740"/>
    </row>
    <row r="11219" ht="14.25" customHeight="1">
      <c r="A11219" s="740"/>
    </row>
    <row r="11220" ht="14.25" customHeight="1">
      <c r="A11220" s="740"/>
    </row>
    <row r="11221" ht="14.25" customHeight="1">
      <c r="A11221" s="740"/>
    </row>
    <row r="11222" ht="14.25" customHeight="1">
      <c r="A11222" s="740"/>
    </row>
    <row r="11223" ht="14.25" customHeight="1">
      <c r="A11223" s="740"/>
    </row>
    <row r="11224" ht="14.25" customHeight="1">
      <c r="A11224" s="740"/>
    </row>
    <row r="11225" ht="14.25" customHeight="1">
      <c r="A11225" s="740"/>
    </row>
    <row r="11226" ht="14.25" customHeight="1">
      <c r="A11226" s="740"/>
    </row>
    <row r="11227" ht="14.25" customHeight="1">
      <c r="A11227" s="740"/>
    </row>
    <row r="11228" ht="14.25" customHeight="1">
      <c r="A11228" s="740"/>
    </row>
    <row r="11229" ht="14.25" customHeight="1">
      <c r="A11229" s="740"/>
    </row>
    <row r="11230" ht="14.25" customHeight="1">
      <c r="A11230" s="740"/>
    </row>
    <row r="11231" ht="14.25" customHeight="1">
      <c r="A11231" s="740"/>
    </row>
    <row r="11232" ht="14.25" customHeight="1">
      <c r="A11232" s="740"/>
    </row>
    <row r="11233" ht="14.25" customHeight="1">
      <c r="A11233" s="740"/>
    </row>
    <row r="11234" ht="14.25" customHeight="1">
      <c r="A11234" s="740"/>
    </row>
    <row r="11235" ht="14.25" customHeight="1">
      <c r="A11235" s="740"/>
    </row>
    <row r="11236" ht="14.25" customHeight="1">
      <c r="A11236" s="740"/>
    </row>
    <row r="11237" ht="14.25" customHeight="1">
      <c r="A11237" s="740"/>
    </row>
    <row r="11238" ht="14.25" customHeight="1">
      <c r="A11238" s="740"/>
    </row>
    <row r="11239" ht="14.25" customHeight="1">
      <c r="A11239" s="740"/>
    </row>
    <row r="11240" ht="14.25" customHeight="1">
      <c r="A11240" s="740"/>
    </row>
    <row r="11241" ht="14.25" customHeight="1">
      <c r="A11241" s="740"/>
    </row>
    <row r="11242" ht="14.25" customHeight="1">
      <c r="A11242" s="740"/>
    </row>
    <row r="11243" ht="14.25" customHeight="1">
      <c r="A11243" s="740"/>
    </row>
    <row r="11244" ht="14.25" customHeight="1">
      <c r="A11244" s="740"/>
    </row>
    <row r="11245" ht="14.25" customHeight="1">
      <c r="A11245" s="740"/>
    </row>
    <row r="11246" ht="14.25" customHeight="1">
      <c r="A11246" s="740"/>
    </row>
    <row r="11247" ht="14.25" customHeight="1">
      <c r="A11247" s="740"/>
    </row>
    <row r="11248" ht="14.25" customHeight="1">
      <c r="A11248" s="740"/>
    </row>
    <row r="11249" ht="14.25" customHeight="1">
      <c r="A11249" s="740"/>
    </row>
    <row r="11250" ht="14.25" customHeight="1">
      <c r="A11250" s="740"/>
    </row>
    <row r="11251" ht="14.25" customHeight="1">
      <c r="A11251" s="740"/>
    </row>
    <row r="11252" ht="14.25" customHeight="1">
      <c r="A11252" s="740"/>
    </row>
    <row r="11253" ht="14.25" customHeight="1">
      <c r="A11253" s="740"/>
    </row>
    <row r="11254" ht="14.25" customHeight="1">
      <c r="A11254" s="740"/>
    </row>
    <row r="11255" ht="14.25" customHeight="1">
      <c r="A11255" s="740"/>
    </row>
    <row r="11256" ht="14.25" customHeight="1">
      <c r="A11256" s="740"/>
    </row>
    <row r="11257" ht="14.25" customHeight="1">
      <c r="A11257" s="740"/>
    </row>
    <row r="11258" ht="14.25" customHeight="1">
      <c r="A11258" s="740"/>
    </row>
    <row r="11259" ht="14.25" customHeight="1">
      <c r="A11259" s="740"/>
    </row>
    <row r="11260" ht="14.25" customHeight="1">
      <c r="A11260" s="740"/>
    </row>
    <row r="11261" ht="14.25" customHeight="1">
      <c r="A11261" s="740"/>
    </row>
    <row r="11262" ht="14.25" customHeight="1">
      <c r="A11262" s="740"/>
    </row>
    <row r="11263" ht="14.25" customHeight="1">
      <c r="A11263" s="740"/>
    </row>
    <row r="11264" ht="14.25" customHeight="1">
      <c r="A11264" s="740"/>
    </row>
    <row r="11265" ht="14.25" customHeight="1">
      <c r="A11265" s="740"/>
    </row>
    <row r="11266" ht="14.25" customHeight="1">
      <c r="A11266" s="740"/>
    </row>
    <row r="11267" ht="14.25" customHeight="1">
      <c r="A11267" s="740"/>
    </row>
    <row r="11268" ht="14.25" customHeight="1">
      <c r="A11268" s="740"/>
    </row>
    <row r="11269" ht="14.25" customHeight="1">
      <c r="A11269" s="740"/>
    </row>
    <row r="11270" ht="14.25" customHeight="1">
      <c r="A11270" s="740"/>
    </row>
    <row r="11271" ht="14.25" customHeight="1">
      <c r="A11271" s="740"/>
    </row>
    <row r="11272" ht="14.25" customHeight="1">
      <c r="A11272" s="740"/>
    </row>
    <row r="11273" ht="14.25" customHeight="1">
      <c r="A11273" s="740"/>
    </row>
    <row r="11274" ht="14.25" customHeight="1">
      <c r="A11274" s="740"/>
    </row>
    <row r="11275" ht="14.25" customHeight="1">
      <c r="A11275" s="740"/>
    </row>
    <row r="11276" ht="14.25" customHeight="1">
      <c r="A11276" s="740"/>
    </row>
    <row r="11277" ht="14.25" customHeight="1">
      <c r="A11277" s="740"/>
    </row>
    <row r="11278" ht="14.25" customHeight="1">
      <c r="A11278" s="740"/>
    </row>
    <row r="11279" ht="14.25" customHeight="1">
      <c r="A11279" s="740"/>
    </row>
    <row r="11280" ht="14.25" customHeight="1">
      <c r="A11280" s="740"/>
    </row>
    <row r="11281" ht="14.25" customHeight="1">
      <c r="A11281" s="740"/>
    </row>
    <row r="11282" ht="14.25" customHeight="1">
      <c r="A11282" s="740"/>
    </row>
    <row r="11283" ht="14.25" customHeight="1">
      <c r="A11283" s="740"/>
    </row>
    <row r="11284" ht="14.25" customHeight="1">
      <c r="A11284" s="740"/>
    </row>
    <row r="11285" ht="14.25" customHeight="1">
      <c r="A11285" s="740"/>
    </row>
    <row r="11286" ht="14.25" customHeight="1">
      <c r="A11286" s="740"/>
    </row>
    <row r="11287" ht="14.25" customHeight="1">
      <c r="A11287" s="740"/>
    </row>
    <row r="11288" ht="14.25" customHeight="1">
      <c r="A11288" s="740"/>
    </row>
    <row r="11289" ht="14.25" customHeight="1">
      <c r="A11289" s="740"/>
    </row>
    <row r="11290" ht="14.25" customHeight="1">
      <c r="A11290" s="740"/>
    </row>
    <row r="11291" ht="14.25" customHeight="1">
      <c r="A11291" s="740"/>
    </row>
    <row r="11292" ht="14.25" customHeight="1">
      <c r="A11292" s="740"/>
    </row>
    <row r="11293" ht="14.25" customHeight="1">
      <c r="A11293" s="740"/>
    </row>
    <row r="11294" ht="14.25" customHeight="1">
      <c r="A11294" s="740"/>
    </row>
    <row r="11295" ht="14.25" customHeight="1">
      <c r="A11295" s="740"/>
    </row>
    <row r="11296" ht="14.25" customHeight="1">
      <c r="A11296" s="740"/>
    </row>
    <row r="11297" ht="14.25" customHeight="1">
      <c r="A11297" s="740"/>
    </row>
    <row r="11298" ht="14.25" customHeight="1">
      <c r="A11298" s="740"/>
    </row>
    <row r="11299" ht="14.25" customHeight="1">
      <c r="A11299" s="740"/>
    </row>
    <row r="11300" ht="14.25" customHeight="1">
      <c r="A11300" s="740"/>
    </row>
    <row r="11301" ht="14.25" customHeight="1">
      <c r="A11301" s="740"/>
    </row>
    <row r="11302" ht="14.25" customHeight="1">
      <c r="A11302" s="740"/>
    </row>
    <row r="11303" ht="14.25" customHeight="1">
      <c r="A11303" s="740"/>
    </row>
    <row r="11304" ht="14.25" customHeight="1">
      <c r="A11304" s="740"/>
    </row>
    <row r="11305" ht="14.25" customHeight="1">
      <c r="A11305" s="740"/>
    </row>
    <row r="11306" ht="14.25" customHeight="1">
      <c r="A11306" s="740"/>
    </row>
    <row r="11307" ht="14.25" customHeight="1">
      <c r="A11307" s="740"/>
    </row>
    <row r="11308" ht="14.25" customHeight="1">
      <c r="A11308" s="740"/>
    </row>
    <row r="11309" ht="14.25" customHeight="1">
      <c r="A11309" s="740"/>
    </row>
    <row r="11310" ht="14.25" customHeight="1">
      <c r="A11310" s="740"/>
    </row>
    <row r="11311" ht="14.25" customHeight="1">
      <c r="A11311" s="740"/>
    </row>
    <row r="11312" ht="14.25" customHeight="1">
      <c r="A11312" s="740"/>
    </row>
    <row r="11313" ht="14.25" customHeight="1">
      <c r="A11313" s="740"/>
    </row>
    <row r="11314" ht="14.25" customHeight="1">
      <c r="A11314" s="740"/>
    </row>
    <row r="11315" ht="14.25" customHeight="1">
      <c r="A11315" s="740"/>
    </row>
    <row r="11316" ht="14.25" customHeight="1">
      <c r="A11316" s="740"/>
    </row>
    <row r="11317" ht="14.25" customHeight="1">
      <c r="A11317" s="740"/>
    </row>
    <row r="11318" ht="14.25" customHeight="1">
      <c r="A11318" s="740"/>
    </row>
    <row r="11319" ht="14.25" customHeight="1">
      <c r="A11319" s="740"/>
    </row>
    <row r="11320" ht="14.25" customHeight="1">
      <c r="A11320" s="740"/>
    </row>
    <row r="11321" ht="14.25" customHeight="1">
      <c r="A11321" s="740"/>
    </row>
    <row r="11322" ht="14.25" customHeight="1">
      <c r="A11322" s="740"/>
    </row>
    <row r="11323" ht="14.25" customHeight="1">
      <c r="A11323" s="740"/>
    </row>
    <row r="11324" ht="14.25" customHeight="1">
      <c r="A11324" s="740"/>
    </row>
    <row r="11325" ht="14.25" customHeight="1">
      <c r="A11325" s="740"/>
    </row>
    <row r="11326" ht="14.25" customHeight="1">
      <c r="A11326" s="740"/>
    </row>
    <row r="11327" ht="14.25" customHeight="1">
      <c r="A11327" s="740"/>
    </row>
    <row r="11328" ht="14.25" customHeight="1">
      <c r="A11328" s="740"/>
    </row>
    <row r="11329" ht="14.25" customHeight="1">
      <c r="A11329" s="740"/>
    </row>
    <row r="11330" ht="14.25" customHeight="1">
      <c r="A11330" s="740"/>
    </row>
    <row r="11331" ht="14.25" customHeight="1">
      <c r="A11331" s="740"/>
    </row>
    <row r="11332" ht="14.25" customHeight="1">
      <c r="A11332" s="740"/>
    </row>
    <row r="11333" ht="14.25" customHeight="1">
      <c r="A11333" s="740"/>
    </row>
    <row r="11334" ht="14.25" customHeight="1">
      <c r="A11334" s="740"/>
    </row>
    <row r="11335" ht="14.25" customHeight="1">
      <c r="A11335" s="740"/>
    </row>
    <row r="11336" ht="14.25" customHeight="1">
      <c r="A11336" s="740"/>
    </row>
    <row r="11337" ht="14.25" customHeight="1">
      <c r="A11337" s="740"/>
    </row>
    <row r="11338" ht="14.25" customHeight="1">
      <c r="A11338" s="740"/>
    </row>
    <row r="11339" ht="14.25" customHeight="1">
      <c r="A11339" s="740"/>
    </row>
    <row r="11340" ht="14.25" customHeight="1">
      <c r="A11340" s="740"/>
    </row>
    <row r="11341" ht="14.25" customHeight="1">
      <c r="A11341" s="740"/>
    </row>
    <row r="11342" ht="14.25" customHeight="1">
      <c r="A11342" s="740"/>
    </row>
    <row r="11343" ht="14.25" customHeight="1">
      <c r="A11343" s="740"/>
    </row>
    <row r="11344" ht="14.25" customHeight="1">
      <c r="A11344" s="740"/>
    </row>
    <row r="11345" ht="14.25" customHeight="1">
      <c r="A11345" s="740"/>
    </row>
    <row r="11346" ht="14.25" customHeight="1">
      <c r="A11346" s="740"/>
    </row>
    <row r="11347" ht="14.25" customHeight="1">
      <c r="A11347" s="740"/>
    </row>
    <row r="11348" ht="14.25" customHeight="1">
      <c r="A11348" s="740"/>
    </row>
    <row r="11349" ht="14.25" customHeight="1">
      <c r="A11349" s="740"/>
    </row>
    <row r="11350" ht="14.25" customHeight="1">
      <c r="A11350" s="740"/>
    </row>
    <row r="11351" ht="14.25" customHeight="1">
      <c r="A11351" s="740"/>
    </row>
    <row r="11352" ht="14.25" customHeight="1">
      <c r="A11352" s="740"/>
    </row>
    <row r="11353" ht="14.25" customHeight="1">
      <c r="A11353" s="740"/>
    </row>
    <row r="11354" ht="14.25" customHeight="1">
      <c r="A11354" s="740"/>
    </row>
    <row r="11355" ht="14.25" customHeight="1">
      <c r="A11355" s="740"/>
    </row>
    <row r="11356" ht="14.25" customHeight="1">
      <c r="A11356" s="740"/>
    </row>
    <row r="11357" ht="14.25" customHeight="1">
      <c r="A11357" s="740"/>
    </row>
    <row r="11358" ht="14.25" customHeight="1">
      <c r="A11358" s="740"/>
    </row>
    <row r="11359" ht="14.25" customHeight="1">
      <c r="A11359" s="740"/>
    </row>
    <row r="11360" ht="14.25" customHeight="1">
      <c r="A11360" s="740"/>
    </row>
    <row r="11361" ht="14.25" customHeight="1">
      <c r="A11361" s="740"/>
    </row>
    <row r="11362" ht="14.25" customHeight="1">
      <c r="A11362" s="740"/>
    </row>
    <row r="11363" ht="14.25" customHeight="1">
      <c r="A11363" s="740"/>
    </row>
    <row r="11364" ht="14.25" customHeight="1">
      <c r="A11364" s="740"/>
    </row>
    <row r="11365" ht="14.25" customHeight="1">
      <c r="A11365" s="740"/>
    </row>
    <row r="11366" ht="14.25" customHeight="1">
      <c r="A11366" s="740"/>
    </row>
    <row r="11367" ht="14.25" customHeight="1">
      <c r="A11367" s="740"/>
    </row>
    <row r="11368" ht="14.25" customHeight="1">
      <c r="A11368" s="740"/>
    </row>
    <row r="11369" ht="14.25" customHeight="1">
      <c r="A11369" s="740"/>
    </row>
    <row r="11370" ht="14.25" customHeight="1">
      <c r="A11370" s="740"/>
    </row>
    <row r="11371" ht="14.25" customHeight="1">
      <c r="A11371" s="740"/>
    </row>
    <row r="11372" ht="14.25" customHeight="1">
      <c r="A11372" s="740"/>
    </row>
    <row r="11373" ht="14.25" customHeight="1">
      <c r="A11373" s="740"/>
    </row>
    <row r="11374" ht="14.25" customHeight="1">
      <c r="A11374" s="740"/>
    </row>
    <row r="11375" ht="14.25" customHeight="1">
      <c r="A11375" s="740"/>
    </row>
    <row r="11376" ht="14.25" customHeight="1">
      <c r="A11376" s="740"/>
    </row>
    <row r="11377" ht="14.25" customHeight="1">
      <c r="A11377" s="740"/>
    </row>
    <row r="11378" ht="14.25" customHeight="1">
      <c r="A11378" s="740"/>
    </row>
    <row r="11379" ht="14.25" customHeight="1">
      <c r="A11379" s="740"/>
    </row>
    <row r="11380" ht="14.25" customHeight="1">
      <c r="A11380" s="740"/>
    </row>
    <row r="11381" ht="14.25" customHeight="1">
      <c r="A11381" s="740"/>
    </row>
    <row r="11382" ht="14.25" customHeight="1">
      <c r="A11382" s="740"/>
    </row>
    <row r="11383" ht="14.25" customHeight="1">
      <c r="A11383" s="740"/>
    </row>
    <row r="11384" ht="14.25" customHeight="1">
      <c r="A11384" s="740"/>
    </row>
    <row r="11385" ht="14.25" customHeight="1">
      <c r="A11385" s="740"/>
    </row>
    <row r="11386" ht="14.25" customHeight="1">
      <c r="A11386" s="740"/>
    </row>
    <row r="11387" ht="14.25" customHeight="1">
      <c r="A11387" s="740"/>
    </row>
    <row r="11388" ht="14.25" customHeight="1">
      <c r="A11388" s="740"/>
    </row>
    <row r="11389" ht="14.25" customHeight="1">
      <c r="A11389" s="740"/>
    </row>
    <row r="11390" ht="14.25" customHeight="1">
      <c r="A11390" s="740"/>
    </row>
    <row r="11391" ht="14.25" customHeight="1">
      <c r="A11391" s="740"/>
    </row>
    <row r="11392" ht="14.25" customHeight="1">
      <c r="A11392" s="740"/>
    </row>
    <row r="11393" ht="14.25" customHeight="1">
      <c r="A11393" s="740"/>
    </row>
    <row r="11394" ht="14.25" customHeight="1">
      <c r="A11394" s="740"/>
    </row>
    <row r="11395" ht="14.25" customHeight="1">
      <c r="A11395" s="740"/>
    </row>
    <row r="11396" ht="14.25" customHeight="1">
      <c r="A11396" s="740"/>
    </row>
    <row r="11397" ht="14.25" customHeight="1">
      <c r="A11397" s="740"/>
    </row>
    <row r="11398" ht="14.25" customHeight="1">
      <c r="A11398" s="740"/>
    </row>
    <row r="11399" ht="14.25" customHeight="1">
      <c r="A11399" s="740"/>
    </row>
    <row r="11400" ht="14.25" customHeight="1">
      <c r="A11400" s="740"/>
    </row>
    <row r="11401" ht="14.25" customHeight="1">
      <c r="A11401" s="740"/>
    </row>
    <row r="11402" ht="14.25" customHeight="1">
      <c r="A11402" s="740"/>
    </row>
    <row r="11403" ht="14.25" customHeight="1">
      <c r="A11403" s="740"/>
    </row>
    <row r="11404" ht="14.25" customHeight="1">
      <c r="A11404" s="740"/>
    </row>
    <row r="11405" ht="14.25" customHeight="1">
      <c r="A11405" s="740"/>
    </row>
    <row r="11406" ht="14.25" customHeight="1">
      <c r="A11406" s="740"/>
    </row>
    <row r="11407" ht="14.25" customHeight="1">
      <c r="A11407" s="740"/>
    </row>
    <row r="11408" ht="14.25" customHeight="1">
      <c r="A11408" s="740"/>
    </row>
    <row r="11409" ht="14.25" customHeight="1">
      <c r="A11409" s="740"/>
    </row>
    <row r="11410" ht="14.25" customHeight="1">
      <c r="A11410" s="740"/>
    </row>
    <row r="11411" ht="14.25" customHeight="1">
      <c r="A11411" s="740"/>
    </row>
    <row r="11412" ht="14.25" customHeight="1">
      <c r="A11412" s="740"/>
    </row>
    <row r="11413" ht="14.25" customHeight="1">
      <c r="A11413" s="740"/>
    </row>
    <row r="11414" ht="14.25" customHeight="1">
      <c r="A11414" s="740"/>
    </row>
    <row r="11415" ht="14.25" customHeight="1">
      <c r="A11415" s="740"/>
    </row>
    <row r="11416" ht="14.25" customHeight="1">
      <c r="A11416" s="740"/>
    </row>
    <row r="11417" ht="14.25" customHeight="1">
      <c r="A11417" s="740"/>
    </row>
    <row r="11418" ht="14.25" customHeight="1">
      <c r="A11418" s="740"/>
    </row>
    <row r="11419" ht="14.25" customHeight="1">
      <c r="A11419" s="740"/>
    </row>
    <row r="11420" ht="14.25" customHeight="1">
      <c r="A11420" s="740"/>
    </row>
    <row r="11421" ht="14.25" customHeight="1">
      <c r="A11421" s="740"/>
    </row>
    <row r="11422" ht="14.25" customHeight="1">
      <c r="A11422" s="740"/>
    </row>
    <row r="11423" ht="14.25" customHeight="1">
      <c r="A11423" s="740"/>
    </row>
    <row r="11424" ht="14.25" customHeight="1">
      <c r="A11424" s="740"/>
    </row>
    <row r="11425" ht="14.25" customHeight="1">
      <c r="A11425" s="740"/>
    </row>
    <row r="11426" ht="14.25" customHeight="1">
      <c r="A11426" s="740"/>
    </row>
    <row r="11427" ht="14.25" customHeight="1">
      <c r="A11427" s="740"/>
    </row>
    <row r="11428" ht="14.25" customHeight="1">
      <c r="A11428" s="740"/>
    </row>
    <row r="11429" ht="14.25" customHeight="1">
      <c r="A11429" s="740"/>
    </row>
    <row r="11430" ht="14.25" customHeight="1">
      <c r="A11430" s="740"/>
    </row>
    <row r="11431" ht="14.25" customHeight="1">
      <c r="A11431" s="740"/>
    </row>
    <row r="11432" ht="14.25" customHeight="1">
      <c r="A11432" s="740"/>
    </row>
    <row r="11433" ht="14.25" customHeight="1">
      <c r="A11433" s="740"/>
    </row>
    <row r="11434" ht="14.25" customHeight="1">
      <c r="A11434" s="740"/>
    </row>
    <row r="11435" ht="14.25" customHeight="1">
      <c r="A11435" s="740"/>
    </row>
    <row r="11436" ht="14.25" customHeight="1">
      <c r="A11436" s="740"/>
    </row>
    <row r="11437" ht="14.25" customHeight="1">
      <c r="A11437" s="740"/>
    </row>
    <row r="11438" ht="14.25" customHeight="1">
      <c r="A11438" s="740"/>
    </row>
    <row r="11439" ht="14.25" customHeight="1">
      <c r="A11439" s="740"/>
    </row>
    <row r="11440" ht="14.25" customHeight="1">
      <c r="A11440" s="740"/>
    </row>
    <row r="11441" ht="14.25" customHeight="1">
      <c r="A11441" s="740"/>
    </row>
    <row r="11442" ht="14.25" customHeight="1">
      <c r="A11442" s="740"/>
    </row>
    <row r="11443" ht="14.25" customHeight="1">
      <c r="A11443" s="740"/>
    </row>
    <row r="11444" ht="14.25" customHeight="1">
      <c r="A11444" s="740"/>
    </row>
    <row r="11445" ht="14.25" customHeight="1">
      <c r="A11445" s="740"/>
    </row>
    <row r="11446" ht="14.25" customHeight="1">
      <c r="A11446" s="740"/>
    </row>
    <row r="11447" ht="14.25" customHeight="1">
      <c r="A11447" s="740"/>
    </row>
    <row r="11448" ht="14.25" customHeight="1">
      <c r="A11448" s="740"/>
    </row>
    <row r="11449" ht="14.25" customHeight="1">
      <c r="A11449" s="740"/>
    </row>
    <row r="11450" ht="14.25" customHeight="1">
      <c r="A11450" s="740"/>
    </row>
    <row r="11451" ht="14.25" customHeight="1">
      <c r="A11451" s="740"/>
    </row>
    <row r="11452" ht="14.25" customHeight="1">
      <c r="A11452" s="740"/>
    </row>
    <row r="11453" ht="14.25" customHeight="1">
      <c r="A11453" s="740"/>
    </row>
    <row r="11454" ht="14.25" customHeight="1">
      <c r="A11454" s="740"/>
    </row>
    <row r="11455" ht="14.25" customHeight="1">
      <c r="A11455" s="740"/>
    </row>
    <row r="11456" ht="14.25" customHeight="1">
      <c r="A11456" s="740"/>
    </row>
    <row r="11457" ht="14.25" customHeight="1">
      <c r="A11457" s="740"/>
    </row>
    <row r="11458" ht="14.25" customHeight="1">
      <c r="A11458" s="740"/>
    </row>
    <row r="11459" ht="14.25" customHeight="1">
      <c r="A11459" s="740"/>
    </row>
    <row r="11460" ht="14.25" customHeight="1">
      <c r="A11460" s="740"/>
    </row>
    <row r="11461" ht="14.25" customHeight="1">
      <c r="A11461" s="740"/>
    </row>
    <row r="11462" ht="14.25" customHeight="1">
      <c r="A11462" s="740"/>
    </row>
    <row r="11463" ht="14.25" customHeight="1">
      <c r="A11463" s="740"/>
    </row>
    <row r="11464" ht="14.25" customHeight="1">
      <c r="A11464" s="740"/>
    </row>
    <row r="11465" ht="14.25" customHeight="1">
      <c r="A11465" s="740"/>
    </row>
    <row r="11466" ht="14.25" customHeight="1">
      <c r="A11466" s="740"/>
    </row>
    <row r="11467" ht="14.25" customHeight="1">
      <c r="A11467" s="740"/>
    </row>
    <row r="11468" ht="14.25" customHeight="1">
      <c r="A11468" s="740"/>
    </row>
    <row r="11469" ht="14.25" customHeight="1">
      <c r="A11469" s="740"/>
    </row>
    <row r="11470" ht="14.25" customHeight="1">
      <c r="A11470" s="740"/>
    </row>
    <row r="11471" ht="14.25" customHeight="1">
      <c r="A11471" s="740"/>
    </row>
    <row r="11472" ht="14.25" customHeight="1">
      <c r="A11472" s="740"/>
    </row>
    <row r="11473" ht="14.25" customHeight="1">
      <c r="A11473" s="740"/>
    </row>
    <row r="11474" ht="14.25" customHeight="1">
      <c r="A11474" s="740"/>
    </row>
    <row r="11475" ht="14.25" customHeight="1">
      <c r="A11475" s="740"/>
    </row>
    <row r="11476" ht="14.25" customHeight="1">
      <c r="A11476" s="740"/>
    </row>
    <row r="11477" ht="14.25" customHeight="1">
      <c r="A11477" s="740"/>
    </row>
    <row r="11478" ht="14.25" customHeight="1">
      <c r="A11478" s="740"/>
    </row>
    <row r="11479" ht="14.25" customHeight="1">
      <c r="A11479" s="740"/>
    </row>
    <row r="11480" ht="14.25" customHeight="1">
      <c r="A11480" s="740"/>
    </row>
    <row r="11481" ht="14.25" customHeight="1">
      <c r="A11481" s="740"/>
    </row>
    <row r="11482" ht="14.25" customHeight="1">
      <c r="A11482" s="740"/>
    </row>
    <row r="11483" ht="14.25" customHeight="1">
      <c r="A11483" s="740"/>
    </row>
    <row r="11484" ht="14.25" customHeight="1">
      <c r="A11484" s="740"/>
    </row>
    <row r="11485" ht="14.25" customHeight="1">
      <c r="A11485" s="740"/>
    </row>
    <row r="11486" ht="14.25" customHeight="1">
      <c r="A11486" s="740"/>
    </row>
    <row r="11487" ht="14.25" customHeight="1">
      <c r="A11487" s="740"/>
    </row>
    <row r="11488" ht="14.25" customHeight="1">
      <c r="A11488" s="740"/>
    </row>
    <row r="11489" ht="14.25" customHeight="1">
      <c r="A11489" s="740"/>
    </row>
    <row r="11490" ht="14.25" customHeight="1">
      <c r="A11490" s="740"/>
    </row>
    <row r="11491" ht="14.25" customHeight="1">
      <c r="A11491" s="740"/>
    </row>
    <row r="11492" ht="14.25" customHeight="1">
      <c r="A11492" s="740"/>
    </row>
    <row r="11493" ht="14.25" customHeight="1">
      <c r="A11493" s="740"/>
    </row>
    <row r="11494" ht="14.25" customHeight="1">
      <c r="A11494" s="740"/>
    </row>
    <row r="11495" ht="14.25" customHeight="1">
      <c r="A11495" s="740"/>
    </row>
    <row r="11496" ht="14.25" customHeight="1">
      <c r="A11496" s="740"/>
    </row>
    <row r="11497" ht="14.25" customHeight="1">
      <c r="A11497" s="740"/>
    </row>
    <row r="11498" ht="14.25" customHeight="1">
      <c r="A11498" s="740"/>
    </row>
    <row r="11499" ht="14.25" customHeight="1">
      <c r="A11499" s="740"/>
    </row>
    <row r="11500" ht="14.25" customHeight="1">
      <c r="A11500" s="740"/>
    </row>
    <row r="11501" ht="14.25" customHeight="1">
      <c r="A11501" s="740"/>
    </row>
    <row r="11502" ht="14.25" customHeight="1">
      <c r="A11502" s="740"/>
    </row>
    <row r="11503" ht="14.25" customHeight="1">
      <c r="A11503" s="740"/>
    </row>
    <row r="11504" ht="14.25" customHeight="1">
      <c r="A11504" s="740"/>
    </row>
    <row r="11505" ht="14.25" customHeight="1">
      <c r="A11505" s="740"/>
    </row>
    <row r="11506" ht="14.25" customHeight="1">
      <c r="A11506" s="740"/>
    </row>
    <row r="11507" ht="14.25" customHeight="1">
      <c r="A11507" s="740"/>
    </row>
    <row r="11508" ht="14.25" customHeight="1">
      <c r="A11508" s="740"/>
    </row>
    <row r="11509" ht="14.25" customHeight="1">
      <c r="A11509" s="740"/>
    </row>
    <row r="11510" ht="14.25" customHeight="1">
      <c r="A11510" s="740"/>
    </row>
    <row r="11511" ht="14.25" customHeight="1">
      <c r="A11511" s="740"/>
    </row>
    <row r="11512" ht="14.25" customHeight="1">
      <c r="A11512" s="740"/>
    </row>
    <row r="11513" ht="14.25" customHeight="1">
      <c r="A11513" s="740"/>
    </row>
    <row r="11514" ht="14.25" customHeight="1">
      <c r="A11514" s="740"/>
    </row>
    <row r="11515" ht="14.25" customHeight="1">
      <c r="A11515" s="740"/>
    </row>
    <row r="11516" ht="14.25" customHeight="1">
      <c r="A11516" s="740"/>
    </row>
    <row r="11517" ht="14.25" customHeight="1">
      <c r="A11517" s="740"/>
    </row>
    <row r="11518" ht="14.25" customHeight="1">
      <c r="A11518" s="740"/>
    </row>
    <row r="11519" ht="14.25" customHeight="1">
      <c r="A11519" s="740"/>
    </row>
    <row r="11520" ht="14.25" customHeight="1">
      <c r="A11520" s="740"/>
    </row>
    <row r="11521" ht="14.25" customHeight="1">
      <c r="A11521" s="740"/>
    </row>
    <row r="11522" ht="14.25" customHeight="1">
      <c r="A11522" s="740"/>
    </row>
    <row r="11523" ht="14.25" customHeight="1">
      <c r="A11523" s="740"/>
    </row>
    <row r="11524" ht="14.25" customHeight="1">
      <c r="A11524" s="740"/>
    </row>
    <row r="11525" ht="14.25" customHeight="1">
      <c r="A11525" s="740"/>
    </row>
    <row r="11526" ht="14.25" customHeight="1">
      <c r="A11526" s="740"/>
    </row>
    <row r="11527" ht="14.25" customHeight="1">
      <c r="A11527" s="740"/>
    </row>
    <row r="11528" ht="14.25" customHeight="1">
      <c r="A11528" s="740"/>
    </row>
    <row r="11529" ht="14.25" customHeight="1">
      <c r="A11529" s="740"/>
    </row>
    <row r="11530" ht="14.25" customHeight="1">
      <c r="A11530" s="740"/>
    </row>
    <row r="11531" ht="14.25" customHeight="1">
      <c r="A11531" s="740"/>
    </row>
    <row r="11532" ht="14.25" customHeight="1">
      <c r="A11532" s="740"/>
    </row>
    <row r="11533" ht="14.25" customHeight="1">
      <c r="A11533" s="740"/>
    </row>
    <row r="11534" ht="14.25" customHeight="1">
      <c r="A11534" s="740"/>
    </row>
    <row r="11535" ht="14.25" customHeight="1">
      <c r="A11535" s="740"/>
    </row>
    <row r="11536" ht="14.25" customHeight="1">
      <c r="A11536" s="740"/>
    </row>
    <row r="11537" ht="14.25" customHeight="1">
      <c r="A11537" s="740"/>
    </row>
    <row r="11538" ht="14.25" customHeight="1">
      <c r="A11538" s="740"/>
    </row>
    <row r="11539" ht="14.25" customHeight="1">
      <c r="A11539" s="740"/>
    </row>
    <row r="11540" ht="14.25" customHeight="1">
      <c r="A11540" s="740"/>
    </row>
    <row r="11541" ht="14.25" customHeight="1">
      <c r="A11541" s="740"/>
    </row>
    <row r="11542" ht="14.25" customHeight="1">
      <c r="A11542" s="740"/>
    </row>
    <row r="11543" ht="14.25" customHeight="1">
      <c r="A11543" s="740"/>
    </row>
    <row r="11544" ht="14.25" customHeight="1">
      <c r="A11544" s="740"/>
    </row>
    <row r="11545" ht="14.25" customHeight="1">
      <c r="A11545" s="740"/>
    </row>
    <row r="11546" ht="14.25" customHeight="1">
      <c r="A11546" s="740"/>
    </row>
    <row r="11547" ht="14.25" customHeight="1">
      <c r="A11547" s="740"/>
    </row>
    <row r="11548" ht="14.25" customHeight="1">
      <c r="A11548" s="740"/>
    </row>
    <row r="11549" ht="14.25" customHeight="1">
      <c r="A11549" s="740"/>
    </row>
    <row r="11550" ht="14.25" customHeight="1">
      <c r="A11550" s="740"/>
    </row>
    <row r="11551" ht="14.25" customHeight="1">
      <c r="A11551" s="740"/>
    </row>
    <row r="11552" ht="14.25" customHeight="1">
      <c r="A11552" s="740"/>
    </row>
    <row r="11553" ht="14.25" customHeight="1">
      <c r="A11553" s="740"/>
    </row>
    <row r="11554" ht="14.25" customHeight="1">
      <c r="A11554" s="740"/>
    </row>
    <row r="11555" ht="14.25" customHeight="1">
      <c r="A11555" s="740"/>
    </row>
    <row r="11556" ht="14.25" customHeight="1">
      <c r="A11556" s="740"/>
    </row>
    <row r="11557" ht="14.25" customHeight="1">
      <c r="A11557" s="740"/>
    </row>
    <row r="11558" ht="14.25" customHeight="1">
      <c r="A11558" s="740"/>
    </row>
    <row r="11559" ht="14.25" customHeight="1">
      <c r="A11559" s="740"/>
    </row>
    <row r="11560" ht="14.25" customHeight="1">
      <c r="A11560" s="740"/>
    </row>
    <row r="11561" ht="14.25" customHeight="1">
      <c r="A11561" s="740"/>
    </row>
    <row r="11562" ht="14.25" customHeight="1">
      <c r="A11562" s="740"/>
    </row>
    <row r="11563" ht="14.25" customHeight="1">
      <c r="A11563" s="740"/>
    </row>
    <row r="11564" ht="14.25" customHeight="1">
      <c r="A11564" s="740"/>
    </row>
    <row r="11565" ht="14.25" customHeight="1">
      <c r="A11565" s="740"/>
    </row>
    <row r="11566" ht="14.25" customHeight="1">
      <c r="A11566" s="740"/>
    </row>
    <row r="11567" ht="14.25" customHeight="1">
      <c r="A11567" s="740"/>
    </row>
    <row r="11568" ht="14.25" customHeight="1">
      <c r="A11568" s="740"/>
    </row>
    <row r="11569" ht="14.25" customHeight="1">
      <c r="A11569" s="740"/>
    </row>
    <row r="11570" ht="14.25" customHeight="1">
      <c r="A11570" s="740"/>
    </row>
    <row r="11571" ht="14.25" customHeight="1">
      <c r="A11571" s="740"/>
    </row>
    <row r="11572" ht="14.25" customHeight="1">
      <c r="A11572" s="740"/>
    </row>
    <row r="11573" ht="14.25" customHeight="1">
      <c r="A11573" s="740"/>
    </row>
    <row r="11574" ht="14.25" customHeight="1">
      <c r="A11574" s="740"/>
    </row>
    <row r="11575" ht="14.25" customHeight="1">
      <c r="A11575" s="740"/>
    </row>
    <row r="11576" ht="14.25" customHeight="1">
      <c r="A11576" s="740"/>
    </row>
    <row r="11577" ht="14.25" customHeight="1">
      <c r="A11577" s="740"/>
    </row>
    <row r="11578" ht="14.25" customHeight="1">
      <c r="A11578" s="740"/>
    </row>
    <row r="11579" ht="14.25" customHeight="1">
      <c r="A11579" s="740"/>
    </row>
    <row r="11580" ht="14.25" customHeight="1">
      <c r="A11580" s="740"/>
    </row>
    <row r="11581" ht="14.25" customHeight="1">
      <c r="A11581" s="740"/>
    </row>
    <row r="11582" ht="14.25" customHeight="1">
      <c r="A11582" s="740"/>
    </row>
    <row r="11583" ht="14.25" customHeight="1">
      <c r="A11583" s="740"/>
    </row>
    <row r="11584" ht="14.25" customHeight="1">
      <c r="A11584" s="740"/>
    </row>
    <row r="11585" ht="14.25" customHeight="1">
      <c r="A11585" s="740"/>
    </row>
    <row r="11586" ht="14.25" customHeight="1">
      <c r="A11586" s="740"/>
    </row>
    <row r="11587" ht="14.25" customHeight="1">
      <c r="A11587" s="740"/>
    </row>
    <row r="11588" ht="14.25" customHeight="1">
      <c r="A11588" s="740"/>
    </row>
    <row r="11589" ht="14.25" customHeight="1">
      <c r="A11589" s="740"/>
    </row>
    <row r="11590" ht="14.25" customHeight="1">
      <c r="A11590" s="740"/>
    </row>
    <row r="11591" ht="14.25" customHeight="1">
      <c r="A11591" s="740"/>
    </row>
    <row r="11592" ht="14.25" customHeight="1">
      <c r="A11592" s="740"/>
    </row>
    <row r="11593" ht="14.25" customHeight="1">
      <c r="A11593" s="740"/>
    </row>
    <row r="11594" ht="14.25" customHeight="1">
      <c r="A11594" s="740"/>
    </row>
    <row r="11595" ht="14.25" customHeight="1">
      <c r="A11595" s="740"/>
    </row>
    <row r="11596" ht="14.25" customHeight="1">
      <c r="A11596" s="740"/>
    </row>
    <row r="11597" ht="14.25" customHeight="1">
      <c r="A11597" s="740"/>
    </row>
    <row r="11598" ht="14.25" customHeight="1">
      <c r="A11598" s="740"/>
    </row>
    <row r="11599" ht="14.25" customHeight="1">
      <c r="A11599" s="740"/>
    </row>
    <row r="11600" ht="14.25" customHeight="1">
      <c r="A11600" s="740"/>
    </row>
    <row r="11601" ht="14.25" customHeight="1">
      <c r="A11601" s="740"/>
    </row>
    <row r="11602" ht="14.25" customHeight="1">
      <c r="A11602" s="740"/>
    </row>
    <row r="11603" ht="14.25" customHeight="1">
      <c r="A11603" s="740"/>
    </row>
    <row r="11604" ht="14.25" customHeight="1">
      <c r="A11604" s="740"/>
    </row>
    <row r="11605" ht="14.25" customHeight="1">
      <c r="A11605" s="740"/>
    </row>
    <row r="11606" ht="14.25" customHeight="1">
      <c r="A11606" s="740"/>
    </row>
    <row r="11607" ht="14.25" customHeight="1">
      <c r="A11607" s="740"/>
    </row>
    <row r="11608" ht="14.25" customHeight="1">
      <c r="A11608" s="740"/>
    </row>
    <row r="11609" ht="14.25" customHeight="1">
      <c r="A11609" s="740"/>
    </row>
    <row r="11610" ht="14.25" customHeight="1">
      <c r="A11610" s="740"/>
    </row>
    <row r="11611" ht="14.25" customHeight="1">
      <c r="A11611" s="740"/>
    </row>
    <row r="11612" ht="14.25" customHeight="1">
      <c r="A11612" s="740"/>
    </row>
    <row r="11613" ht="14.25" customHeight="1">
      <c r="A11613" s="740"/>
    </row>
    <row r="11614" ht="14.25" customHeight="1">
      <c r="A11614" s="740"/>
    </row>
    <row r="11615" ht="14.25" customHeight="1">
      <c r="A11615" s="740"/>
    </row>
    <row r="11616" ht="14.25" customHeight="1">
      <c r="A11616" s="740"/>
    </row>
    <row r="11617" ht="14.25" customHeight="1">
      <c r="A11617" s="740"/>
    </row>
    <row r="11618" ht="14.25" customHeight="1">
      <c r="A11618" s="740"/>
    </row>
    <row r="11619" ht="14.25" customHeight="1">
      <c r="A11619" s="740"/>
    </row>
    <row r="11620" ht="14.25" customHeight="1">
      <c r="A11620" s="740"/>
    </row>
    <row r="11621" ht="14.25" customHeight="1">
      <c r="A11621" s="740"/>
    </row>
    <row r="11622" ht="14.25" customHeight="1">
      <c r="A11622" s="740"/>
    </row>
    <row r="11623" ht="14.25" customHeight="1">
      <c r="A11623" s="740"/>
    </row>
    <row r="11624" ht="14.25" customHeight="1">
      <c r="A11624" s="740"/>
    </row>
    <row r="11625" ht="14.25" customHeight="1">
      <c r="A11625" s="740"/>
    </row>
    <row r="11626" ht="14.25" customHeight="1">
      <c r="A11626" s="740"/>
    </row>
    <row r="11627" ht="14.25" customHeight="1">
      <c r="A11627" s="740"/>
    </row>
    <row r="11628" ht="14.25" customHeight="1">
      <c r="A11628" s="740"/>
    </row>
    <row r="11629" ht="14.25" customHeight="1">
      <c r="A11629" s="740"/>
    </row>
    <row r="11630" ht="14.25" customHeight="1">
      <c r="A11630" s="740"/>
    </row>
    <row r="11631" ht="14.25" customHeight="1">
      <c r="A11631" s="740"/>
    </row>
    <row r="11632" ht="14.25" customHeight="1">
      <c r="A11632" s="740"/>
    </row>
    <row r="11633" ht="14.25" customHeight="1">
      <c r="A11633" s="740"/>
    </row>
    <row r="11634" ht="14.25" customHeight="1">
      <c r="A11634" s="740"/>
    </row>
    <row r="11635" ht="14.25" customHeight="1">
      <c r="A11635" s="740"/>
    </row>
    <row r="11636" ht="14.25" customHeight="1">
      <c r="A11636" s="740"/>
    </row>
    <row r="11637" ht="14.25" customHeight="1">
      <c r="A11637" s="740"/>
    </row>
    <row r="11638" ht="14.25" customHeight="1">
      <c r="A11638" s="740"/>
    </row>
    <row r="11639" ht="14.25" customHeight="1">
      <c r="A11639" s="740"/>
    </row>
    <row r="11640" ht="14.25" customHeight="1">
      <c r="A11640" s="740"/>
    </row>
    <row r="11641" ht="14.25" customHeight="1">
      <c r="A11641" s="740"/>
    </row>
    <row r="11642" ht="14.25" customHeight="1">
      <c r="A11642" s="740"/>
    </row>
    <row r="11643" ht="14.25" customHeight="1">
      <c r="A11643" s="740"/>
    </row>
    <row r="11644" ht="14.25" customHeight="1">
      <c r="A11644" s="740"/>
    </row>
    <row r="11645" ht="14.25" customHeight="1">
      <c r="A11645" s="740"/>
    </row>
    <row r="11646" ht="14.25" customHeight="1">
      <c r="A11646" s="740"/>
    </row>
    <row r="11647" ht="14.25" customHeight="1">
      <c r="A11647" s="740"/>
    </row>
    <row r="11648" ht="14.25" customHeight="1">
      <c r="A11648" s="740"/>
    </row>
    <row r="11649" ht="14.25" customHeight="1">
      <c r="A11649" s="740"/>
    </row>
    <row r="11650" ht="14.25" customHeight="1">
      <c r="A11650" s="740"/>
    </row>
    <row r="11651" ht="14.25" customHeight="1">
      <c r="A11651" s="740"/>
    </row>
    <row r="11652" ht="14.25" customHeight="1">
      <c r="A11652" s="740"/>
    </row>
    <row r="11653" ht="14.25" customHeight="1">
      <c r="A11653" s="740"/>
    </row>
    <row r="11654" ht="14.25" customHeight="1">
      <c r="A11654" s="740"/>
    </row>
    <row r="11655" ht="14.25" customHeight="1">
      <c r="A11655" s="740"/>
    </row>
    <row r="11656" ht="14.25" customHeight="1">
      <c r="A11656" s="740"/>
    </row>
    <row r="11657" ht="14.25" customHeight="1">
      <c r="A11657" s="740"/>
    </row>
    <row r="11658" ht="14.25" customHeight="1">
      <c r="A11658" s="740"/>
    </row>
    <row r="11659" ht="14.25" customHeight="1">
      <c r="A11659" s="740"/>
    </row>
    <row r="11660" ht="14.25" customHeight="1">
      <c r="A11660" s="740"/>
    </row>
    <row r="11661" ht="14.25" customHeight="1">
      <c r="A11661" s="740"/>
    </row>
    <row r="11662" ht="14.25" customHeight="1">
      <c r="A11662" s="740"/>
    </row>
    <row r="11663" ht="14.25" customHeight="1">
      <c r="A11663" s="740"/>
    </row>
    <row r="11664" ht="14.25" customHeight="1">
      <c r="A11664" s="740"/>
    </row>
    <row r="11665" ht="14.25" customHeight="1">
      <c r="A11665" s="740"/>
    </row>
    <row r="11666" ht="14.25" customHeight="1">
      <c r="A11666" s="740"/>
    </row>
    <row r="11667" ht="14.25" customHeight="1">
      <c r="A11667" s="740"/>
    </row>
    <row r="11668" ht="14.25" customHeight="1">
      <c r="A11668" s="740"/>
    </row>
    <row r="11669" ht="14.25" customHeight="1">
      <c r="A11669" s="740"/>
    </row>
    <row r="11670" ht="14.25" customHeight="1">
      <c r="A11670" s="740"/>
    </row>
    <row r="11671" ht="14.25" customHeight="1">
      <c r="A11671" s="740"/>
    </row>
    <row r="11672" ht="14.25" customHeight="1">
      <c r="A11672" s="740"/>
    </row>
    <row r="11673" ht="14.25" customHeight="1">
      <c r="A11673" s="740"/>
    </row>
    <row r="11674" ht="14.25" customHeight="1">
      <c r="A11674" s="740"/>
    </row>
    <row r="11675" ht="14.25" customHeight="1">
      <c r="A11675" s="740"/>
    </row>
    <row r="11676" ht="14.25" customHeight="1">
      <c r="A11676" s="740"/>
    </row>
    <row r="11677" ht="14.25" customHeight="1">
      <c r="A11677" s="740"/>
    </row>
    <row r="11678" ht="14.25" customHeight="1">
      <c r="A11678" s="740"/>
    </row>
    <row r="11679" ht="14.25" customHeight="1">
      <c r="A11679" s="740"/>
    </row>
    <row r="11680" ht="14.25" customHeight="1">
      <c r="A11680" s="740"/>
    </row>
    <row r="11681" ht="14.25" customHeight="1">
      <c r="A11681" s="740"/>
    </row>
    <row r="11682" ht="14.25" customHeight="1">
      <c r="A11682" s="740"/>
    </row>
    <row r="11683" ht="14.25" customHeight="1">
      <c r="A11683" s="740"/>
    </row>
    <row r="11684" ht="14.25" customHeight="1">
      <c r="A11684" s="740"/>
    </row>
    <row r="11685" ht="14.25" customHeight="1">
      <c r="A11685" s="740"/>
    </row>
    <row r="11686" ht="14.25" customHeight="1">
      <c r="A11686" s="740"/>
    </row>
    <row r="11687" ht="14.25" customHeight="1">
      <c r="A11687" s="740"/>
    </row>
    <row r="11688" ht="14.25" customHeight="1">
      <c r="A11688" s="740"/>
    </row>
    <row r="11689" ht="14.25" customHeight="1">
      <c r="A11689" s="740"/>
    </row>
    <row r="11690" ht="14.25" customHeight="1">
      <c r="A11690" s="740"/>
    </row>
    <row r="11691" ht="14.25" customHeight="1">
      <c r="A11691" s="740"/>
    </row>
    <row r="11692" ht="14.25" customHeight="1">
      <c r="A11692" s="740"/>
    </row>
    <row r="11693" ht="14.25" customHeight="1">
      <c r="A11693" s="740"/>
    </row>
    <row r="11694" ht="14.25" customHeight="1">
      <c r="A11694" s="740"/>
    </row>
    <row r="11695" ht="14.25" customHeight="1">
      <c r="A11695" s="740"/>
    </row>
    <row r="11696" ht="14.25" customHeight="1">
      <c r="A11696" s="740"/>
    </row>
    <row r="11697" ht="14.25" customHeight="1">
      <c r="A11697" s="740"/>
    </row>
    <row r="11698" ht="14.25" customHeight="1">
      <c r="A11698" s="740"/>
    </row>
    <row r="11699" ht="14.25" customHeight="1">
      <c r="A11699" s="740"/>
    </row>
    <row r="11700" ht="14.25" customHeight="1">
      <c r="A11700" s="740"/>
    </row>
    <row r="11701" ht="14.25" customHeight="1">
      <c r="A11701" s="740"/>
    </row>
    <row r="11702" ht="14.25" customHeight="1">
      <c r="A11702" s="740"/>
    </row>
    <row r="11703" ht="14.25" customHeight="1">
      <c r="A11703" s="740"/>
    </row>
    <row r="11704" ht="14.25" customHeight="1">
      <c r="A11704" s="740"/>
    </row>
    <row r="11705" ht="14.25" customHeight="1">
      <c r="A11705" s="740"/>
    </row>
    <row r="11706" ht="14.25" customHeight="1">
      <c r="A11706" s="740"/>
    </row>
    <row r="11707" ht="14.25" customHeight="1">
      <c r="A11707" s="740"/>
    </row>
    <row r="11708" ht="14.25" customHeight="1">
      <c r="A11708" s="740"/>
    </row>
    <row r="11709" ht="14.25" customHeight="1">
      <c r="A11709" s="740"/>
    </row>
    <row r="11710" ht="14.25" customHeight="1">
      <c r="A11710" s="740"/>
    </row>
    <row r="11711" ht="14.25" customHeight="1">
      <c r="A11711" s="740"/>
    </row>
    <row r="11712" ht="14.25" customHeight="1">
      <c r="A11712" s="740"/>
    </row>
    <row r="11713" ht="14.25" customHeight="1">
      <c r="A11713" s="740"/>
    </row>
    <row r="11714" ht="14.25" customHeight="1">
      <c r="A11714" s="740"/>
    </row>
    <row r="11715" ht="14.25" customHeight="1">
      <c r="A11715" s="740"/>
    </row>
    <row r="11716" ht="14.25" customHeight="1">
      <c r="A11716" s="740"/>
    </row>
    <row r="11717" ht="14.25" customHeight="1">
      <c r="A11717" s="740"/>
    </row>
    <row r="11718" ht="14.25" customHeight="1">
      <c r="A11718" s="740"/>
    </row>
    <row r="11719" ht="14.25" customHeight="1">
      <c r="A11719" s="740"/>
    </row>
    <row r="11720" ht="14.25" customHeight="1">
      <c r="A11720" s="740"/>
    </row>
    <row r="11721" ht="14.25" customHeight="1">
      <c r="A11721" s="740"/>
    </row>
    <row r="11722" ht="14.25" customHeight="1">
      <c r="A11722" s="740"/>
    </row>
    <row r="11723" ht="14.25" customHeight="1">
      <c r="A11723" s="740"/>
    </row>
    <row r="11724" ht="14.25" customHeight="1">
      <c r="A11724" s="740"/>
    </row>
    <row r="11725" ht="14.25" customHeight="1">
      <c r="A11725" s="740"/>
    </row>
    <row r="11726" ht="14.25" customHeight="1">
      <c r="A11726" s="740"/>
    </row>
    <row r="11727" ht="14.25" customHeight="1">
      <c r="A11727" s="740"/>
    </row>
    <row r="11728" ht="14.25" customHeight="1">
      <c r="A11728" s="740"/>
    </row>
    <row r="11729" ht="14.25" customHeight="1">
      <c r="A11729" s="740"/>
    </row>
    <row r="11730" ht="14.25" customHeight="1">
      <c r="A11730" s="740"/>
    </row>
    <row r="11731" ht="14.25" customHeight="1">
      <c r="A11731" s="740"/>
    </row>
    <row r="11732" ht="14.25" customHeight="1">
      <c r="A11732" s="740"/>
    </row>
    <row r="11733" ht="14.25" customHeight="1">
      <c r="A11733" s="740"/>
    </row>
    <row r="11734" ht="14.25" customHeight="1">
      <c r="A11734" s="740"/>
    </row>
    <row r="11735" ht="14.25" customHeight="1">
      <c r="A11735" s="740"/>
    </row>
    <row r="11736" ht="14.25" customHeight="1">
      <c r="A11736" s="740"/>
    </row>
    <row r="11737" ht="14.25" customHeight="1">
      <c r="A11737" s="740"/>
    </row>
    <row r="11738" ht="14.25" customHeight="1">
      <c r="A11738" s="740"/>
    </row>
    <row r="11739" ht="14.25" customHeight="1">
      <c r="A11739" s="740"/>
    </row>
    <row r="11740" ht="14.25" customHeight="1">
      <c r="A11740" s="740"/>
    </row>
    <row r="11741" ht="14.25" customHeight="1">
      <c r="A11741" s="740"/>
    </row>
    <row r="11742" ht="14.25" customHeight="1">
      <c r="A11742" s="740"/>
    </row>
    <row r="11743" ht="14.25" customHeight="1">
      <c r="A11743" s="740"/>
    </row>
    <row r="11744" ht="14.25" customHeight="1">
      <c r="A11744" s="740"/>
    </row>
    <row r="11745" ht="14.25" customHeight="1">
      <c r="A11745" s="740"/>
    </row>
    <row r="11746" ht="14.25" customHeight="1">
      <c r="A11746" s="740"/>
    </row>
    <row r="11747" ht="14.25" customHeight="1">
      <c r="A11747" s="740"/>
    </row>
    <row r="11748" ht="14.25" customHeight="1">
      <c r="A11748" s="740"/>
    </row>
    <row r="11749" ht="14.25" customHeight="1">
      <c r="A11749" s="740"/>
    </row>
    <row r="11750" ht="14.25" customHeight="1">
      <c r="A11750" s="740"/>
    </row>
    <row r="11751" ht="14.25" customHeight="1">
      <c r="A11751" s="740"/>
    </row>
    <row r="11752" ht="14.25" customHeight="1">
      <c r="A11752" s="740"/>
    </row>
    <row r="11753" ht="14.25" customHeight="1">
      <c r="A11753" s="740"/>
    </row>
    <row r="11754" ht="14.25" customHeight="1">
      <c r="A11754" s="740"/>
    </row>
    <row r="11755" ht="14.25" customHeight="1">
      <c r="A11755" s="740"/>
    </row>
    <row r="11756" ht="14.25" customHeight="1">
      <c r="A11756" s="740"/>
    </row>
    <row r="11757" ht="14.25" customHeight="1">
      <c r="A11757" s="740"/>
    </row>
    <row r="11758" ht="14.25" customHeight="1">
      <c r="A11758" s="740"/>
    </row>
    <row r="11759" ht="14.25" customHeight="1">
      <c r="A11759" s="740"/>
    </row>
    <row r="11760" ht="14.25" customHeight="1">
      <c r="A11760" s="740"/>
    </row>
    <row r="11761" ht="14.25" customHeight="1">
      <c r="A11761" s="740"/>
    </row>
    <row r="11762" ht="14.25" customHeight="1">
      <c r="A11762" s="740"/>
    </row>
    <row r="11763" ht="14.25" customHeight="1">
      <c r="A11763" s="740"/>
    </row>
    <row r="11764" ht="14.25" customHeight="1">
      <c r="A11764" s="740"/>
    </row>
    <row r="11765" ht="14.25" customHeight="1">
      <c r="A11765" s="740"/>
    </row>
    <row r="11766" ht="14.25" customHeight="1">
      <c r="A11766" s="740"/>
    </row>
    <row r="11767" ht="14.25" customHeight="1">
      <c r="A11767" s="740"/>
    </row>
    <row r="11768" ht="14.25" customHeight="1">
      <c r="A11768" s="740"/>
    </row>
    <row r="11769" ht="14.25" customHeight="1">
      <c r="A11769" s="740"/>
    </row>
    <row r="11770" ht="14.25" customHeight="1">
      <c r="A11770" s="740"/>
    </row>
    <row r="11771" ht="14.25" customHeight="1">
      <c r="A11771" s="740"/>
    </row>
    <row r="11772" ht="14.25" customHeight="1">
      <c r="A11772" s="740"/>
    </row>
    <row r="11773" ht="14.25" customHeight="1">
      <c r="A11773" s="740"/>
    </row>
    <row r="11774" ht="14.25" customHeight="1">
      <c r="A11774" s="740"/>
    </row>
    <row r="11775" ht="14.25" customHeight="1">
      <c r="A11775" s="740"/>
    </row>
    <row r="11776" ht="14.25" customHeight="1">
      <c r="A11776" s="740"/>
    </row>
    <row r="11777" ht="14.25" customHeight="1">
      <c r="A11777" s="740"/>
    </row>
    <row r="11778" ht="14.25" customHeight="1">
      <c r="A11778" s="740"/>
    </row>
    <row r="11779" ht="14.25" customHeight="1">
      <c r="A11779" s="740"/>
    </row>
    <row r="11780" ht="14.25" customHeight="1">
      <c r="A11780" s="740"/>
    </row>
    <row r="11781" ht="14.25" customHeight="1">
      <c r="A11781" s="740"/>
    </row>
    <row r="11782" ht="14.25" customHeight="1">
      <c r="A11782" s="740"/>
    </row>
    <row r="11783" ht="14.25" customHeight="1">
      <c r="A11783" s="740"/>
    </row>
    <row r="11784" ht="14.25" customHeight="1">
      <c r="A11784" s="740"/>
    </row>
    <row r="11785" ht="14.25" customHeight="1">
      <c r="A11785" s="740"/>
    </row>
    <row r="11786" ht="14.25" customHeight="1">
      <c r="A11786" s="740"/>
    </row>
    <row r="11787" ht="14.25" customHeight="1">
      <c r="A11787" s="740"/>
    </row>
    <row r="11788" ht="14.25" customHeight="1">
      <c r="A11788" s="740"/>
    </row>
    <row r="11789" ht="14.25" customHeight="1">
      <c r="A11789" s="740"/>
    </row>
    <row r="11790" ht="14.25" customHeight="1">
      <c r="A11790" s="740"/>
    </row>
    <row r="11791" ht="14.25" customHeight="1">
      <c r="A11791" s="740"/>
    </row>
    <row r="11792" ht="14.25" customHeight="1">
      <c r="A11792" s="740"/>
    </row>
    <row r="11793" ht="14.25" customHeight="1">
      <c r="A11793" s="740"/>
    </row>
    <row r="11794" ht="14.25" customHeight="1">
      <c r="A11794" s="740"/>
    </row>
    <row r="11795" ht="14.25" customHeight="1">
      <c r="A11795" s="740"/>
    </row>
    <row r="11796" ht="14.25" customHeight="1">
      <c r="A11796" s="740"/>
    </row>
    <row r="11797" ht="14.25" customHeight="1">
      <c r="A11797" s="740"/>
    </row>
    <row r="11798" ht="14.25" customHeight="1">
      <c r="A11798" s="740"/>
    </row>
    <row r="11799" ht="14.25" customHeight="1">
      <c r="A11799" s="740"/>
    </row>
    <row r="11800" ht="14.25" customHeight="1">
      <c r="A11800" s="740"/>
    </row>
    <row r="11801" ht="14.25" customHeight="1">
      <c r="A11801" s="740"/>
    </row>
    <row r="11802" ht="14.25" customHeight="1">
      <c r="A11802" s="740"/>
    </row>
    <row r="11803" ht="14.25" customHeight="1">
      <c r="A11803" s="740"/>
    </row>
    <row r="11804" ht="14.25" customHeight="1">
      <c r="A11804" s="740"/>
    </row>
    <row r="11805" ht="14.25" customHeight="1">
      <c r="A11805" s="740"/>
    </row>
    <row r="11806" ht="14.25" customHeight="1">
      <c r="A11806" s="740"/>
    </row>
    <row r="11807" ht="14.25" customHeight="1">
      <c r="A11807" s="740"/>
    </row>
    <row r="11808" ht="14.25" customHeight="1">
      <c r="A11808" s="740"/>
    </row>
    <row r="11809" ht="14.25" customHeight="1">
      <c r="A11809" s="740"/>
    </row>
    <row r="11810" ht="14.25" customHeight="1">
      <c r="A11810" s="740"/>
    </row>
    <row r="11811" ht="14.25" customHeight="1">
      <c r="A11811" s="740"/>
    </row>
    <row r="11812" ht="14.25" customHeight="1">
      <c r="A11812" s="740"/>
    </row>
    <row r="11813" ht="14.25" customHeight="1">
      <c r="A11813" s="740"/>
    </row>
    <row r="11814" ht="14.25" customHeight="1">
      <c r="A11814" s="740"/>
    </row>
    <row r="11815" ht="14.25" customHeight="1">
      <c r="A11815" s="740"/>
    </row>
    <row r="11816" ht="14.25" customHeight="1">
      <c r="A11816" s="740"/>
    </row>
    <row r="11817" ht="14.25" customHeight="1">
      <c r="A11817" s="740"/>
    </row>
    <row r="11818" ht="14.25" customHeight="1">
      <c r="A11818" s="740"/>
    </row>
    <row r="11819" ht="14.25" customHeight="1">
      <c r="A11819" s="740"/>
    </row>
    <row r="11820" ht="14.25" customHeight="1">
      <c r="A11820" s="740"/>
    </row>
    <row r="11821" ht="14.25" customHeight="1">
      <c r="A11821" s="740"/>
    </row>
    <row r="11822" ht="14.25" customHeight="1">
      <c r="A11822" s="740"/>
    </row>
    <row r="11823" ht="14.25" customHeight="1">
      <c r="A11823" s="740"/>
    </row>
    <row r="11824" ht="14.25" customHeight="1">
      <c r="A11824" s="740"/>
    </row>
    <row r="11825" ht="14.25" customHeight="1">
      <c r="A11825" s="740"/>
    </row>
    <row r="11826" ht="14.25" customHeight="1">
      <c r="A11826" s="740"/>
    </row>
    <row r="11827" ht="14.25" customHeight="1">
      <c r="A11827" s="740"/>
    </row>
    <row r="11828" ht="14.25" customHeight="1">
      <c r="A11828" s="740"/>
    </row>
    <row r="11829" ht="14.25" customHeight="1">
      <c r="A11829" s="740"/>
    </row>
    <row r="11830" ht="14.25" customHeight="1">
      <c r="A11830" s="740"/>
    </row>
    <row r="11831" ht="14.25" customHeight="1">
      <c r="A11831" s="740"/>
    </row>
    <row r="11832" ht="14.25" customHeight="1">
      <c r="A11832" s="740"/>
    </row>
    <row r="11833" ht="14.25" customHeight="1">
      <c r="A11833" s="740"/>
    </row>
    <row r="11834" ht="14.25" customHeight="1">
      <c r="A11834" s="740"/>
    </row>
    <row r="11835" ht="14.25" customHeight="1">
      <c r="A11835" s="740"/>
    </row>
    <row r="11836" ht="14.25" customHeight="1">
      <c r="A11836" s="740"/>
    </row>
    <row r="11837" ht="14.25" customHeight="1">
      <c r="A11837" s="740"/>
    </row>
    <row r="11838" ht="14.25" customHeight="1">
      <c r="A11838" s="740"/>
    </row>
    <row r="11839" ht="14.25" customHeight="1">
      <c r="A11839" s="740"/>
    </row>
    <row r="11840" ht="14.25" customHeight="1">
      <c r="A11840" s="740"/>
    </row>
    <row r="11841" ht="14.25" customHeight="1">
      <c r="A11841" s="740"/>
    </row>
    <row r="11842" ht="14.25" customHeight="1">
      <c r="A11842" s="740"/>
    </row>
    <row r="11843" ht="14.25" customHeight="1">
      <c r="A11843" s="740"/>
    </row>
    <row r="11844" ht="14.25" customHeight="1">
      <c r="A11844" s="740"/>
    </row>
    <row r="11845" ht="14.25" customHeight="1">
      <c r="A11845" s="740"/>
    </row>
    <row r="11846" ht="14.25" customHeight="1">
      <c r="A11846" s="740"/>
    </row>
    <row r="11847" ht="14.25" customHeight="1">
      <c r="A11847" s="740"/>
    </row>
    <row r="11848" ht="14.25" customHeight="1">
      <c r="A11848" s="740"/>
    </row>
    <row r="11849" ht="14.25" customHeight="1">
      <c r="A11849" s="740"/>
    </row>
    <row r="11850" ht="14.25" customHeight="1">
      <c r="A11850" s="740"/>
    </row>
    <row r="11851" ht="14.25" customHeight="1">
      <c r="A11851" s="740"/>
    </row>
    <row r="11852" ht="14.25" customHeight="1">
      <c r="A11852" s="740"/>
    </row>
    <row r="11853" ht="14.25" customHeight="1">
      <c r="A11853" s="740"/>
    </row>
    <row r="11854" ht="14.25" customHeight="1">
      <c r="A11854" s="740"/>
    </row>
    <row r="11855" ht="14.25" customHeight="1">
      <c r="A11855" s="740"/>
    </row>
    <row r="11856" ht="14.25" customHeight="1">
      <c r="A11856" s="740"/>
    </row>
    <row r="11857" ht="14.25" customHeight="1">
      <c r="A11857" s="740"/>
    </row>
    <row r="11858" ht="14.25" customHeight="1">
      <c r="A11858" s="740"/>
    </row>
    <row r="11859" ht="14.25" customHeight="1">
      <c r="A11859" s="740"/>
    </row>
    <row r="11860" ht="14.25" customHeight="1">
      <c r="A11860" s="740"/>
    </row>
    <row r="11861" ht="14.25" customHeight="1">
      <c r="A11861" s="740"/>
    </row>
    <row r="11862" ht="14.25" customHeight="1">
      <c r="A11862" s="740"/>
    </row>
    <row r="11863" ht="14.25" customHeight="1">
      <c r="A11863" s="740"/>
    </row>
    <row r="11864" ht="14.25" customHeight="1">
      <c r="A11864" s="740"/>
    </row>
    <row r="11865" ht="14.25" customHeight="1">
      <c r="A11865" s="740"/>
    </row>
    <row r="11866" ht="14.25" customHeight="1">
      <c r="A11866" s="740"/>
    </row>
    <row r="11867" ht="14.25" customHeight="1">
      <c r="A11867" s="740"/>
    </row>
    <row r="11868" ht="14.25" customHeight="1">
      <c r="A11868" s="740"/>
    </row>
    <row r="11869" ht="14.25" customHeight="1">
      <c r="A11869" s="740"/>
    </row>
    <row r="11870" ht="14.25" customHeight="1">
      <c r="A11870" s="740"/>
    </row>
    <row r="11871" ht="14.25" customHeight="1">
      <c r="A11871" s="740"/>
    </row>
    <row r="11872" ht="14.25" customHeight="1">
      <c r="A11872" s="740"/>
    </row>
    <row r="11873" ht="14.25" customHeight="1">
      <c r="A11873" s="740"/>
    </row>
    <row r="11874" ht="14.25" customHeight="1">
      <c r="A11874" s="740"/>
    </row>
    <row r="11875" ht="14.25" customHeight="1">
      <c r="A11875" s="740"/>
    </row>
    <row r="11876" ht="14.25" customHeight="1">
      <c r="A11876" s="740"/>
    </row>
    <row r="11877" ht="14.25" customHeight="1">
      <c r="A11877" s="740"/>
    </row>
    <row r="11878" ht="14.25" customHeight="1">
      <c r="A11878" s="740"/>
    </row>
    <row r="11879" ht="14.25" customHeight="1">
      <c r="A11879" s="740"/>
    </row>
    <row r="11880" ht="14.25" customHeight="1">
      <c r="A11880" s="740"/>
    </row>
    <row r="11881" ht="14.25" customHeight="1">
      <c r="A11881" s="740"/>
    </row>
    <row r="11882" ht="14.25" customHeight="1">
      <c r="A11882" s="740"/>
    </row>
    <row r="11883" ht="14.25" customHeight="1">
      <c r="A11883" s="740"/>
    </row>
    <row r="11884" ht="14.25" customHeight="1">
      <c r="A11884" s="740"/>
    </row>
    <row r="11885" ht="14.25" customHeight="1">
      <c r="A11885" s="740"/>
    </row>
    <row r="11886" ht="14.25" customHeight="1">
      <c r="A11886" s="740"/>
    </row>
    <row r="11887" ht="14.25" customHeight="1">
      <c r="A11887" s="740"/>
    </row>
    <row r="11888" ht="14.25" customHeight="1">
      <c r="A11888" s="740"/>
    </row>
    <row r="11889" ht="14.25" customHeight="1">
      <c r="A11889" s="740"/>
    </row>
    <row r="11890" ht="14.25" customHeight="1">
      <c r="A11890" s="740"/>
    </row>
    <row r="11891" ht="14.25" customHeight="1">
      <c r="A11891" s="740"/>
    </row>
    <row r="11892" ht="14.25" customHeight="1">
      <c r="A11892" s="740"/>
    </row>
    <row r="11893" ht="14.25" customHeight="1">
      <c r="A11893" s="740"/>
    </row>
    <row r="11894" ht="14.25" customHeight="1">
      <c r="A11894" s="740"/>
    </row>
    <row r="11895" ht="14.25" customHeight="1">
      <c r="A11895" s="740"/>
    </row>
    <row r="11896" ht="14.25" customHeight="1">
      <c r="A11896" s="740"/>
    </row>
    <row r="11897" ht="14.25" customHeight="1">
      <c r="A11897" s="740"/>
    </row>
    <row r="11898" ht="14.25" customHeight="1">
      <c r="A11898" s="740"/>
    </row>
    <row r="11899" ht="14.25" customHeight="1">
      <c r="A11899" s="740"/>
    </row>
    <row r="11900" ht="14.25" customHeight="1">
      <c r="A11900" s="740"/>
    </row>
    <row r="11901" ht="14.25" customHeight="1">
      <c r="A11901" s="740"/>
    </row>
    <row r="11902" ht="14.25" customHeight="1">
      <c r="A11902" s="740"/>
    </row>
    <row r="11903" ht="14.25" customHeight="1">
      <c r="A11903" s="740"/>
    </row>
    <row r="11904" ht="14.25" customHeight="1">
      <c r="A11904" s="740"/>
    </row>
    <row r="11905" ht="14.25" customHeight="1">
      <c r="A11905" s="740"/>
    </row>
    <row r="11906" ht="14.25" customHeight="1">
      <c r="A11906" s="740"/>
    </row>
    <row r="11907" ht="14.25" customHeight="1">
      <c r="A11907" s="740"/>
    </row>
    <row r="11908" ht="14.25" customHeight="1">
      <c r="A11908" s="740"/>
    </row>
    <row r="11909" ht="14.25" customHeight="1">
      <c r="A11909" s="740"/>
    </row>
    <row r="11910" ht="14.25" customHeight="1">
      <c r="A11910" s="740"/>
    </row>
    <row r="11911" ht="14.25" customHeight="1">
      <c r="A11911" s="740"/>
    </row>
    <row r="11912" ht="14.25" customHeight="1">
      <c r="A11912" s="740"/>
    </row>
    <row r="11913" ht="14.25" customHeight="1">
      <c r="A11913" s="740"/>
    </row>
    <row r="11914" ht="14.25" customHeight="1">
      <c r="A11914" s="740"/>
    </row>
    <row r="11915" ht="14.25" customHeight="1">
      <c r="A11915" s="740"/>
    </row>
    <row r="11916" ht="14.25" customHeight="1">
      <c r="A11916" s="740"/>
    </row>
    <row r="11917" ht="14.25" customHeight="1">
      <c r="A11917" s="740"/>
    </row>
    <row r="11918" ht="14.25" customHeight="1">
      <c r="A11918" s="740"/>
    </row>
    <row r="11919" ht="14.25" customHeight="1">
      <c r="A11919" s="740"/>
    </row>
    <row r="11920" ht="14.25" customHeight="1">
      <c r="A11920" s="740"/>
    </row>
    <row r="11921" ht="14.25" customHeight="1">
      <c r="A11921" s="740"/>
    </row>
    <row r="11922" ht="14.25" customHeight="1">
      <c r="A11922" s="740"/>
    </row>
    <row r="11923" ht="14.25" customHeight="1">
      <c r="A11923" s="740"/>
    </row>
    <row r="11924" ht="14.25" customHeight="1">
      <c r="A11924" s="740"/>
    </row>
    <row r="11925" ht="14.25" customHeight="1">
      <c r="A11925" s="740"/>
    </row>
    <row r="11926" ht="14.25" customHeight="1">
      <c r="A11926" s="740"/>
    </row>
    <row r="11927" ht="14.25" customHeight="1">
      <c r="A11927" s="740"/>
    </row>
    <row r="11928" ht="14.25" customHeight="1">
      <c r="A11928" s="740"/>
    </row>
    <row r="11929" ht="14.25" customHeight="1">
      <c r="A11929" s="740"/>
    </row>
    <row r="11930" ht="14.25" customHeight="1">
      <c r="A11930" s="740"/>
    </row>
    <row r="11931" ht="14.25" customHeight="1">
      <c r="A11931" s="740"/>
    </row>
    <row r="11932" ht="14.25" customHeight="1">
      <c r="A11932" s="740"/>
    </row>
    <row r="11933" ht="14.25" customHeight="1">
      <c r="A11933" s="740"/>
    </row>
    <row r="11934" ht="14.25" customHeight="1">
      <c r="A11934" s="740"/>
    </row>
    <row r="11935" ht="14.25" customHeight="1">
      <c r="A11935" s="740"/>
    </row>
    <row r="11936" ht="14.25" customHeight="1">
      <c r="A11936" s="740"/>
    </row>
    <row r="11937" ht="14.25" customHeight="1">
      <c r="A11937" s="740"/>
    </row>
    <row r="11938" ht="14.25" customHeight="1">
      <c r="A11938" s="740"/>
    </row>
    <row r="11939" ht="14.25" customHeight="1">
      <c r="A11939" s="740"/>
    </row>
    <row r="11940" ht="14.25" customHeight="1">
      <c r="A11940" s="740"/>
    </row>
    <row r="11941" ht="14.25" customHeight="1">
      <c r="A11941" s="740"/>
    </row>
    <row r="11942" ht="14.25" customHeight="1">
      <c r="A11942" s="740"/>
    </row>
    <row r="11943" ht="14.25" customHeight="1">
      <c r="A11943" s="740"/>
    </row>
    <row r="11944" ht="14.25" customHeight="1">
      <c r="A11944" s="740"/>
    </row>
    <row r="11945" ht="14.25" customHeight="1">
      <c r="A11945" s="740"/>
    </row>
    <row r="11946" ht="14.25" customHeight="1">
      <c r="A11946" s="740"/>
    </row>
    <row r="11947" ht="14.25" customHeight="1">
      <c r="A11947" s="740"/>
    </row>
    <row r="11948" ht="14.25" customHeight="1">
      <c r="A11948" s="740"/>
    </row>
    <row r="11949" ht="14.25" customHeight="1">
      <c r="A11949" s="740"/>
    </row>
    <row r="11950" ht="14.25" customHeight="1">
      <c r="A11950" s="740"/>
    </row>
    <row r="11951" ht="14.25" customHeight="1">
      <c r="A11951" s="740"/>
    </row>
    <row r="11952" ht="14.25" customHeight="1">
      <c r="A11952" s="740"/>
    </row>
    <row r="11953" ht="14.25" customHeight="1">
      <c r="A11953" s="740"/>
    </row>
    <row r="11954" ht="14.25" customHeight="1">
      <c r="A11954" s="740"/>
    </row>
    <row r="11955" ht="14.25" customHeight="1">
      <c r="A11955" s="740"/>
    </row>
    <row r="11956" ht="14.25" customHeight="1">
      <c r="A11956" s="740"/>
    </row>
    <row r="11957" ht="14.25" customHeight="1">
      <c r="A11957" s="740"/>
    </row>
    <row r="11958" ht="14.25" customHeight="1">
      <c r="A11958" s="740"/>
    </row>
    <row r="11959" ht="14.25" customHeight="1">
      <c r="A11959" s="740"/>
    </row>
    <row r="11960" ht="14.25" customHeight="1">
      <c r="A11960" s="740"/>
    </row>
    <row r="11961" ht="14.25" customHeight="1">
      <c r="A11961" s="740"/>
    </row>
    <row r="11962" ht="14.25" customHeight="1">
      <c r="A11962" s="740"/>
    </row>
    <row r="11963" ht="14.25" customHeight="1">
      <c r="A11963" s="740"/>
    </row>
    <row r="11964" ht="14.25" customHeight="1">
      <c r="A11964" s="740"/>
    </row>
    <row r="11965" ht="14.25" customHeight="1">
      <c r="A11965" s="740"/>
    </row>
    <row r="11966" ht="14.25" customHeight="1">
      <c r="A11966" s="740"/>
    </row>
    <row r="11967" ht="14.25" customHeight="1">
      <c r="A11967" s="740"/>
    </row>
    <row r="11968" ht="14.25" customHeight="1">
      <c r="A11968" s="740"/>
    </row>
    <row r="11969" ht="14.25" customHeight="1">
      <c r="A11969" s="740"/>
    </row>
    <row r="11970" ht="14.25" customHeight="1">
      <c r="A11970" s="740"/>
    </row>
    <row r="11971" ht="14.25" customHeight="1">
      <c r="A11971" s="740"/>
    </row>
    <row r="11972" ht="14.25" customHeight="1">
      <c r="A11972" s="740"/>
    </row>
    <row r="11973" ht="14.25" customHeight="1">
      <c r="A11973" s="740"/>
    </row>
    <row r="11974" ht="14.25" customHeight="1">
      <c r="A11974" s="740"/>
    </row>
    <row r="11975" ht="14.25" customHeight="1">
      <c r="A11975" s="740"/>
    </row>
    <row r="11976" ht="14.25" customHeight="1">
      <c r="A11976" s="740"/>
    </row>
    <row r="11977" ht="14.25" customHeight="1">
      <c r="A11977" s="740"/>
    </row>
    <row r="11978" ht="14.25" customHeight="1">
      <c r="A11978" s="740"/>
    </row>
    <row r="11979" ht="14.25" customHeight="1">
      <c r="A11979" s="740"/>
    </row>
    <row r="11980" ht="14.25" customHeight="1">
      <c r="A11980" s="740"/>
    </row>
    <row r="11981" ht="14.25" customHeight="1">
      <c r="A11981" s="740"/>
    </row>
    <row r="11982" ht="14.25" customHeight="1">
      <c r="A11982" s="740"/>
    </row>
    <row r="11983" ht="14.25" customHeight="1">
      <c r="A11983" s="740"/>
    </row>
    <row r="11984" ht="14.25" customHeight="1">
      <c r="A11984" s="740"/>
    </row>
    <row r="11985" ht="14.25" customHeight="1">
      <c r="A11985" s="740"/>
    </row>
    <row r="11986" ht="14.25" customHeight="1">
      <c r="A11986" s="740"/>
    </row>
    <row r="11987" ht="14.25" customHeight="1">
      <c r="A11987" s="740"/>
    </row>
    <row r="11988" ht="14.25" customHeight="1">
      <c r="A11988" s="740"/>
    </row>
    <row r="11989" ht="14.25" customHeight="1">
      <c r="A11989" s="740"/>
    </row>
    <row r="11990" ht="14.25" customHeight="1">
      <c r="A11990" s="740"/>
    </row>
    <row r="11991" ht="14.25" customHeight="1">
      <c r="A11991" s="740"/>
    </row>
    <row r="11992" ht="14.25" customHeight="1">
      <c r="A11992" s="740"/>
    </row>
    <row r="11993" ht="14.25" customHeight="1">
      <c r="A11993" s="740"/>
    </row>
    <row r="11994" ht="14.25" customHeight="1">
      <c r="A11994" s="740"/>
    </row>
    <row r="11995" ht="14.25" customHeight="1">
      <c r="A11995" s="740"/>
    </row>
    <row r="11996" ht="14.25" customHeight="1">
      <c r="A11996" s="740"/>
    </row>
    <row r="11997" ht="14.25" customHeight="1">
      <c r="A11997" s="740"/>
    </row>
    <row r="11998" ht="14.25" customHeight="1">
      <c r="A11998" s="740"/>
    </row>
    <row r="11999" ht="14.25" customHeight="1">
      <c r="A11999" s="740"/>
    </row>
    <row r="12000" ht="14.25" customHeight="1">
      <c r="A12000" s="740"/>
    </row>
    <row r="12001" ht="14.25" customHeight="1">
      <c r="A12001" s="740"/>
    </row>
    <row r="12002" ht="14.25" customHeight="1">
      <c r="A12002" s="740"/>
    </row>
    <row r="12003" ht="14.25" customHeight="1">
      <c r="A12003" s="740"/>
    </row>
    <row r="12004" ht="14.25" customHeight="1">
      <c r="A12004" s="740"/>
    </row>
    <row r="12005" ht="14.25" customHeight="1">
      <c r="A12005" s="740"/>
    </row>
    <row r="12006" ht="14.25" customHeight="1">
      <c r="A12006" s="740"/>
    </row>
    <row r="12007" ht="14.25" customHeight="1">
      <c r="A12007" s="740"/>
    </row>
    <row r="12008" ht="14.25" customHeight="1">
      <c r="A12008" s="740"/>
    </row>
    <row r="12009" ht="14.25" customHeight="1">
      <c r="A12009" s="740"/>
    </row>
    <row r="12010" ht="14.25" customHeight="1">
      <c r="A12010" s="740"/>
    </row>
    <row r="12011" ht="14.25" customHeight="1">
      <c r="A12011" s="740"/>
    </row>
    <row r="12012" ht="14.25" customHeight="1">
      <c r="A12012" s="740"/>
    </row>
    <row r="12013" ht="14.25" customHeight="1">
      <c r="A12013" s="740"/>
    </row>
    <row r="12014" ht="14.25" customHeight="1">
      <c r="A12014" s="740"/>
    </row>
    <row r="12015" ht="14.25" customHeight="1">
      <c r="A12015" s="740"/>
    </row>
    <row r="12016" ht="14.25" customHeight="1">
      <c r="A12016" s="740"/>
    </row>
    <row r="12017" ht="14.25" customHeight="1">
      <c r="A12017" s="740"/>
    </row>
    <row r="12018" ht="14.25" customHeight="1">
      <c r="A12018" s="740"/>
    </row>
    <row r="12019" ht="14.25" customHeight="1">
      <c r="A12019" s="740"/>
    </row>
    <row r="12020" ht="14.25" customHeight="1">
      <c r="A12020" s="740"/>
    </row>
    <row r="12021" ht="14.25" customHeight="1">
      <c r="A12021" s="740"/>
    </row>
    <row r="12022" ht="14.25" customHeight="1">
      <c r="A12022" s="740"/>
    </row>
    <row r="12023" ht="14.25" customHeight="1">
      <c r="A12023" s="740"/>
    </row>
    <row r="12024" ht="14.25" customHeight="1">
      <c r="A12024" s="740"/>
    </row>
    <row r="12025" ht="14.25" customHeight="1">
      <c r="A12025" s="740"/>
    </row>
    <row r="12026" ht="14.25" customHeight="1">
      <c r="A12026" s="740"/>
    </row>
    <row r="12027" ht="14.25" customHeight="1">
      <c r="A12027" s="740"/>
    </row>
    <row r="12028" ht="14.25" customHeight="1">
      <c r="A12028" s="740"/>
    </row>
    <row r="12029" ht="14.25" customHeight="1">
      <c r="A12029" s="740"/>
    </row>
    <row r="12030" ht="14.25" customHeight="1">
      <c r="A12030" s="740"/>
    </row>
    <row r="12031" ht="14.25" customHeight="1">
      <c r="A12031" s="740"/>
    </row>
    <row r="12032" ht="14.25" customHeight="1">
      <c r="A12032" s="740"/>
    </row>
    <row r="12033" ht="14.25" customHeight="1">
      <c r="A12033" s="740"/>
    </row>
    <row r="12034" ht="14.25" customHeight="1">
      <c r="A12034" s="740"/>
    </row>
    <row r="12035" ht="14.25" customHeight="1">
      <c r="A12035" s="740"/>
    </row>
    <row r="12036" ht="14.25" customHeight="1">
      <c r="A12036" s="740"/>
    </row>
    <row r="12037" ht="14.25" customHeight="1">
      <c r="A12037" s="740"/>
    </row>
    <row r="12038" ht="14.25" customHeight="1">
      <c r="A12038" s="740"/>
    </row>
    <row r="12039" ht="14.25" customHeight="1">
      <c r="A12039" s="740"/>
    </row>
    <row r="12040" ht="14.25" customHeight="1">
      <c r="A12040" s="740"/>
    </row>
    <row r="12041" ht="14.25" customHeight="1">
      <c r="A12041" s="740"/>
    </row>
    <row r="12042" ht="14.25" customHeight="1">
      <c r="A12042" s="740"/>
    </row>
    <row r="12043" ht="14.25" customHeight="1">
      <c r="A12043" s="740"/>
    </row>
    <row r="12044" ht="14.25" customHeight="1">
      <c r="A12044" s="740"/>
    </row>
    <row r="12045" ht="14.25" customHeight="1">
      <c r="A12045" s="740"/>
    </row>
    <row r="12046" ht="14.25" customHeight="1">
      <c r="A12046" s="740"/>
    </row>
    <row r="12047" ht="14.25" customHeight="1">
      <c r="A12047" s="740"/>
    </row>
    <row r="12048" ht="14.25" customHeight="1">
      <c r="A12048" s="740"/>
    </row>
    <row r="12049" ht="14.25" customHeight="1">
      <c r="A12049" s="740"/>
    </row>
    <row r="12050" ht="14.25" customHeight="1">
      <c r="A12050" s="740"/>
    </row>
    <row r="12051" ht="14.25" customHeight="1">
      <c r="A12051" s="740"/>
    </row>
    <row r="12052" ht="14.25" customHeight="1">
      <c r="A12052" s="740"/>
    </row>
    <row r="12053" ht="14.25" customHeight="1">
      <c r="A12053" s="740"/>
    </row>
    <row r="12054" ht="14.25" customHeight="1">
      <c r="A12054" s="740"/>
    </row>
    <row r="12055" ht="14.25" customHeight="1">
      <c r="A12055" s="740"/>
    </row>
    <row r="12056" ht="14.25" customHeight="1">
      <c r="A12056" s="740"/>
    </row>
    <row r="12057" ht="14.25" customHeight="1">
      <c r="A12057" s="740"/>
    </row>
    <row r="12058" ht="14.25" customHeight="1">
      <c r="A12058" s="740"/>
    </row>
    <row r="12059" ht="14.25" customHeight="1">
      <c r="A12059" s="740"/>
    </row>
    <row r="12060" ht="14.25" customHeight="1">
      <c r="A12060" s="740"/>
    </row>
    <row r="12061" ht="14.25" customHeight="1">
      <c r="A12061" s="740"/>
    </row>
    <row r="12062" ht="14.25" customHeight="1">
      <c r="A12062" s="740"/>
    </row>
    <row r="12063" ht="14.25" customHeight="1">
      <c r="A12063" s="740"/>
    </row>
    <row r="12064" ht="14.25" customHeight="1">
      <c r="A12064" s="740"/>
    </row>
    <row r="12065" ht="14.25" customHeight="1">
      <c r="A12065" s="740"/>
    </row>
    <row r="12066" ht="14.25" customHeight="1">
      <c r="A12066" s="740"/>
    </row>
    <row r="12067" ht="14.25" customHeight="1">
      <c r="A12067" s="740"/>
    </row>
    <row r="12068" ht="14.25" customHeight="1">
      <c r="A12068" s="740"/>
    </row>
    <row r="12069" ht="14.25" customHeight="1">
      <c r="A12069" s="740"/>
    </row>
    <row r="12070" ht="14.25" customHeight="1">
      <c r="A12070" s="740"/>
    </row>
    <row r="12071" ht="14.25" customHeight="1">
      <c r="A12071" s="740"/>
    </row>
    <row r="12072" ht="14.25" customHeight="1">
      <c r="A12072" s="740"/>
    </row>
    <row r="12073" ht="14.25" customHeight="1">
      <c r="A12073" s="740"/>
    </row>
    <row r="12074" ht="14.25" customHeight="1">
      <c r="A12074" s="740"/>
    </row>
    <row r="12075" ht="14.25" customHeight="1">
      <c r="A12075" s="740"/>
    </row>
    <row r="12076" ht="14.25" customHeight="1">
      <c r="A12076" s="740"/>
    </row>
    <row r="12077" ht="14.25" customHeight="1">
      <c r="A12077" s="740"/>
    </row>
    <row r="12078" ht="14.25" customHeight="1">
      <c r="A12078" s="740"/>
    </row>
    <row r="12079" ht="14.25" customHeight="1">
      <c r="A12079" s="740"/>
    </row>
    <row r="12080" ht="14.25" customHeight="1">
      <c r="A12080" s="740"/>
    </row>
    <row r="12081" ht="14.25" customHeight="1">
      <c r="A12081" s="740"/>
    </row>
    <row r="12082" ht="14.25" customHeight="1">
      <c r="A12082" s="740"/>
    </row>
    <row r="12083" ht="14.25" customHeight="1">
      <c r="A12083" s="740"/>
    </row>
    <row r="12084" ht="14.25" customHeight="1">
      <c r="A12084" s="740"/>
    </row>
    <row r="12085" ht="14.25" customHeight="1">
      <c r="A12085" s="740"/>
    </row>
    <row r="12086" ht="14.25" customHeight="1">
      <c r="A12086" s="740"/>
    </row>
    <row r="12087" ht="14.25" customHeight="1">
      <c r="A12087" s="740"/>
    </row>
    <row r="12088" ht="14.25" customHeight="1">
      <c r="A12088" s="740"/>
    </row>
    <row r="12089" ht="14.25" customHeight="1">
      <c r="A12089" s="740"/>
    </row>
    <row r="12090" ht="14.25" customHeight="1">
      <c r="A12090" s="740"/>
    </row>
    <row r="12091" ht="14.25" customHeight="1">
      <c r="A12091" s="740"/>
    </row>
    <row r="12092" ht="14.25" customHeight="1">
      <c r="A12092" s="740"/>
    </row>
    <row r="12093" ht="14.25" customHeight="1">
      <c r="A12093" s="740"/>
    </row>
    <row r="12094" ht="14.25" customHeight="1">
      <c r="A12094" s="740"/>
    </row>
    <row r="12095" ht="14.25" customHeight="1">
      <c r="A12095" s="740"/>
    </row>
    <row r="12096" ht="14.25" customHeight="1">
      <c r="A12096" s="740"/>
    </row>
    <row r="12097" ht="14.25" customHeight="1">
      <c r="A12097" s="740"/>
    </row>
    <row r="12098" ht="14.25" customHeight="1">
      <c r="A12098" s="740"/>
    </row>
    <row r="12099" ht="14.25" customHeight="1">
      <c r="A12099" s="740"/>
    </row>
    <row r="12100" ht="14.25" customHeight="1">
      <c r="A12100" s="740"/>
    </row>
    <row r="12101" ht="14.25" customHeight="1">
      <c r="A12101" s="740"/>
    </row>
    <row r="12102" ht="14.25" customHeight="1">
      <c r="A12102" s="740"/>
    </row>
    <row r="12103" ht="14.25" customHeight="1">
      <c r="A12103" s="740"/>
    </row>
    <row r="12104" ht="14.25" customHeight="1">
      <c r="A12104" s="740"/>
    </row>
    <row r="12105" ht="14.25" customHeight="1">
      <c r="A12105" s="740"/>
    </row>
    <row r="12106" ht="14.25" customHeight="1">
      <c r="A12106" s="740"/>
    </row>
    <row r="12107" ht="14.25" customHeight="1">
      <c r="A12107" s="740"/>
    </row>
    <row r="12108" ht="14.25" customHeight="1">
      <c r="A12108" s="740"/>
    </row>
    <row r="12109" ht="14.25" customHeight="1">
      <c r="A12109" s="740"/>
    </row>
    <row r="12110" ht="14.25" customHeight="1">
      <c r="A12110" s="740"/>
    </row>
    <row r="12111" ht="14.25" customHeight="1">
      <c r="A12111" s="740"/>
    </row>
    <row r="12112" ht="14.25" customHeight="1">
      <c r="A12112" s="740"/>
    </row>
    <row r="12113" ht="14.25" customHeight="1">
      <c r="A12113" s="740"/>
    </row>
    <row r="12114" ht="14.25" customHeight="1">
      <c r="A12114" s="740"/>
    </row>
    <row r="12115" ht="14.25" customHeight="1">
      <c r="A12115" s="740"/>
    </row>
    <row r="12116" ht="14.25" customHeight="1">
      <c r="A12116" s="740"/>
    </row>
    <row r="12117" ht="14.25" customHeight="1">
      <c r="A12117" s="740"/>
    </row>
    <row r="12118" ht="14.25" customHeight="1">
      <c r="A12118" s="740"/>
    </row>
    <row r="12119" ht="14.25" customHeight="1">
      <c r="A12119" s="740"/>
    </row>
    <row r="12120" ht="14.25" customHeight="1">
      <c r="A12120" s="740"/>
    </row>
    <row r="12121" ht="14.25" customHeight="1">
      <c r="A12121" s="740"/>
    </row>
    <row r="12122" ht="14.25" customHeight="1">
      <c r="A12122" s="740"/>
    </row>
    <row r="12123" ht="14.25" customHeight="1">
      <c r="A12123" s="740"/>
    </row>
    <row r="12124" ht="14.25" customHeight="1">
      <c r="A12124" s="740"/>
    </row>
    <row r="12125" ht="14.25" customHeight="1">
      <c r="A12125" s="740"/>
    </row>
    <row r="12126" ht="14.25" customHeight="1">
      <c r="A12126" s="740"/>
    </row>
    <row r="12127" ht="14.25" customHeight="1">
      <c r="A12127" s="740"/>
    </row>
    <row r="12128" ht="14.25" customHeight="1">
      <c r="A12128" s="740"/>
    </row>
    <row r="12129" ht="14.25" customHeight="1">
      <c r="A12129" s="740"/>
    </row>
    <row r="12130" ht="14.25" customHeight="1">
      <c r="A12130" s="740"/>
    </row>
    <row r="12131" ht="14.25" customHeight="1">
      <c r="A12131" s="740"/>
    </row>
    <row r="12132" ht="14.25" customHeight="1">
      <c r="A12132" s="740"/>
    </row>
    <row r="12133" ht="14.25" customHeight="1">
      <c r="A12133" s="740"/>
    </row>
    <row r="12134" ht="14.25" customHeight="1">
      <c r="A12134" s="740"/>
    </row>
    <row r="12135" ht="14.25" customHeight="1">
      <c r="A12135" s="740"/>
    </row>
    <row r="12136" ht="14.25" customHeight="1">
      <c r="A12136" s="740"/>
    </row>
    <row r="12137" ht="14.25" customHeight="1">
      <c r="A12137" s="740"/>
    </row>
    <row r="12138" ht="14.25" customHeight="1">
      <c r="A12138" s="740"/>
    </row>
    <row r="12139" ht="14.25" customHeight="1">
      <c r="A12139" s="740"/>
    </row>
    <row r="12140" ht="14.25" customHeight="1">
      <c r="A12140" s="740"/>
    </row>
    <row r="12141" ht="14.25" customHeight="1">
      <c r="A12141" s="740"/>
    </row>
    <row r="12142" ht="14.25" customHeight="1">
      <c r="A12142" s="740"/>
    </row>
    <row r="12143" ht="14.25" customHeight="1">
      <c r="A12143" s="740"/>
    </row>
    <row r="12144" ht="14.25" customHeight="1">
      <c r="A12144" s="740"/>
    </row>
    <row r="12145" ht="14.25" customHeight="1">
      <c r="A12145" s="740"/>
    </row>
    <row r="12146" ht="14.25" customHeight="1">
      <c r="A12146" s="740"/>
    </row>
    <row r="12147" ht="14.25" customHeight="1">
      <c r="A12147" s="740"/>
    </row>
    <row r="12148" ht="14.25" customHeight="1">
      <c r="A12148" s="740"/>
    </row>
    <row r="12149" ht="14.25" customHeight="1">
      <c r="A12149" s="740"/>
    </row>
    <row r="12150" ht="14.25" customHeight="1">
      <c r="A12150" s="740"/>
    </row>
    <row r="12151" ht="14.25" customHeight="1">
      <c r="A12151" s="740"/>
    </row>
    <row r="12152" ht="14.25" customHeight="1">
      <c r="A12152" s="740"/>
    </row>
    <row r="12153" ht="14.25" customHeight="1">
      <c r="A12153" s="740"/>
    </row>
    <row r="12154" ht="14.25" customHeight="1">
      <c r="A12154" s="740"/>
    </row>
    <row r="12155" ht="14.25" customHeight="1">
      <c r="A12155" s="740"/>
    </row>
    <row r="12156" ht="14.25" customHeight="1">
      <c r="A12156" s="740"/>
    </row>
    <row r="12157" ht="14.25" customHeight="1">
      <c r="A12157" s="740"/>
    </row>
    <row r="12158" ht="14.25" customHeight="1">
      <c r="A12158" s="740"/>
    </row>
    <row r="12159" ht="14.25" customHeight="1">
      <c r="A12159" s="740"/>
    </row>
    <row r="12160" ht="14.25" customHeight="1">
      <c r="A12160" s="740"/>
    </row>
    <row r="12161" ht="14.25" customHeight="1">
      <c r="A12161" s="740"/>
    </row>
    <row r="12162" ht="14.25" customHeight="1">
      <c r="A12162" s="740"/>
    </row>
    <row r="12163" ht="14.25" customHeight="1">
      <c r="A12163" s="740"/>
    </row>
    <row r="12164" ht="14.25" customHeight="1">
      <c r="A12164" s="740"/>
    </row>
    <row r="12165" ht="14.25" customHeight="1">
      <c r="A12165" s="740"/>
    </row>
    <row r="12166" ht="14.25" customHeight="1">
      <c r="A12166" s="740"/>
    </row>
    <row r="12167" ht="14.25" customHeight="1">
      <c r="A12167" s="740"/>
    </row>
    <row r="12168" ht="14.25" customHeight="1">
      <c r="A12168" s="740"/>
    </row>
    <row r="12169" ht="14.25" customHeight="1">
      <c r="A12169" s="740"/>
    </row>
    <row r="12170" ht="14.25" customHeight="1">
      <c r="A12170" s="740"/>
    </row>
    <row r="12171" ht="14.25" customHeight="1">
      <c r="A12171" s="740"/>
    </row>
    <row r="12172" ht="14.25" customHeight="1">
      <c r="A12172" s="740"/>
    </row>
    <row r="12173" ht="14.25" customHeight="1">
      <c r="A12173" s="740"/>
    </row>
    <row r="12174" ht="14.25" customHeight="1">
      <c r="A12174" s="740"/>
    </row>
    <row r="12175" ht="14.25" customHeight="1">
      <c r="A12175" s="740"/>
    </row>
    <row r="12176" ht="14.25" customHeight="1">
      <c r="A12176" s="740"/>
    </row>
    <row r="12177" ht="14.25" customHeight="1">
      <c r="A12177" s="740"/>
    </row>
    <row r="12178" ht="14.25" customHeight="1">
      <c r="A12178" s="740"/>
    </row>
    <row r="12179" ht="14.25" customHeight="1">
      <c r="A12179" s="740"/>
    </row>
    <row r="12180" ht="14.25" customHeight="1">
      <c r="A12180" s="740"/>
    </row>
    <row r="12181" ht="14.25" customHeight="1">
      <c r="A12181" s="740"/>
    </row>
    <row r="12182" ht="14.25" customHeight="1">
      <c r="A12182" s="740"/>
    </row>
    <row r="12183" ht="14.25" customHeight="1">
      <c r="A12183" s="740"/>
    </row>
    <row r="12184" ht="14.25" customHeight="1">
      <c r="A12184" s="740"/>
    </row>
    <row r="12185" ht="14.25" customHeight="1">
      <c r="A12185" s="740"/>
    </row>
    <row r="12186" ht="14.25" customHeight="1">
      <c r="A12186" s="740"/>
    </row>
    <row r="12187" ht="14.25" customHeight="1">
      <c r="A12187" s="740"/>
    </row>
    <row r="12188" ht="14.25" customHeight="1">
      <c r="A12188" s="740"/>
    </row>
    <row r="12189" ht="14.25" customHeight="1">
      <c r="A12189" s="740"/>
    </row>
    <row r="12190" ht="14.25" customHeight="1">
      <c r="A12190" s="740"/>
    </row>
    <row r="12191" ht="14.25" customHeight="1">
      <c r="A12191" s="740"/>
    </row>
    <row r="12192" ht="14.25" customHeight="1">
      <c r="A12192" s="740"/>
    </row>
    <row r="12193" ht="14.25" customHeight="1">
      <c r="A12193" s="740"/>
    </row>
    <row r="12194" ht="14.25" customHeight="1">
      <c r="A12194" s="740"/>
    </row>
    <row r="12195" ht="14.25" customHeight="1">
      <c r="A12195" s="740"/>
    </row>
    <row r="12196" ht="14.25" customHeight="1">
      <c r="A12196" s="740"/>
    </row>
    <row r="12197" ht="14.25" customHeight="1">
      <c r="A12197" s="740"/>
    </row>
    <row r="12198" ht="14.25" customHeight="1">
      <c r="A12198" s="740"/>
    </row>
    <row r="12199" ht="14.25" customHeight="1">
      <c r="A12199" s="740"/>
    </row>
    <row r="12200" ht="14.25" customHeight="1">
      <c r="A12200" s="740"/>
    </row>
    <row r="12201" ht="14.25" customHeight="1">
      <c r="A12201" s="740"/>
    </row>
    <row r="12202" ht="14.25" customHeight="1">
      <c r="A12202" s="740"/>
    </row>
    <row r="12203" ht="14.25" customHeight="1">
      <c r="A12203" s="740"/>
    </row>
    <row r="12204" ht="14.25" customHeight="1">
      <c r="A12204" s="740"/>
    </row>
    <row r="12205" ht="14.25" customHeight="1">
      <c r="A12205" s="740"/>
    </row>
    <row r="12206" ht="14.25" customHeight="1">
      <c r="A12206" s="740"/>
    </row>
    <row r="12207" ht="14.25" customHeight="1">
      <c r="A12207" s="740"/>
    </row>
    <row r="12208" ht="14.25" customHeight="1">
      <c r="A12208" s="740"/>
    </row>
    <row r="12209" ht="14.25" customHeight="1">
      <c r="A12209" s="740"/>
    </row>
    <row r="12210" ht="14.25" customHeight="1">
      <c r="A12210" s="740"/>
    </row>
    <row r="12211" ht="14.25" customHeight="1">
      <c r="A12211" s="740"/>
    </row>
    <row r="12212" ht="14.25" customHeight="1">
      <c r="A12212" s="740"/>
    </row>
    <row r="12213" ht="14.25" customHeight="1">
      <c r="A12213" s="740"/>
    </row>
    <row r="12214" ht="14.25" customHeight="1">
      <c r="A12214" s="740"/>
    </row>
    <row r="12215" ht="14.25" customHeight="1">
      <c r="A12215" s="740"/>
    </row>
    <row r="12216" ht="14.25" customHeight="1">
      <c r="A12216" s="740"/>
    </row>
    <row r="12217" ht="14.25" customHeight="1">
      <c r="A12217" s="740"/>
    </row>
    <row r="12218" ht="14.25" customHeight="1">
      <c r="A12218" s="740"/>
    </row>
    <row r="12219" ht="14.25" customHeight="1">
      <c r="A12219" s="740"/>
    </row>
    <row r="12220" ht="14.25" customHeight="1">
      <c r="A12220" s="740"/>
    </row>
    <row r="12221" ht="14.25" customHeight="1">
      <c r="A12221" s="740"/>
    </row>
    <row r="12222" ht="14.25" customHeight="1">
      <c r="A12222" s="740"/>
    </row>
    <row r="12223" ht="14.25" customHeight="1">
      <c r="A12223" s="740"/>
    </row>
    <row r="12224" ht="14.25" customHeight="1">
      <c r="A12224" s="740"/>
    </row>
    <row r="12225" ht="14.25" customHeight="1">
      <c r="A12225" s="740"/>
    </row>
    <row r="12226" ht="14.25" customHeight="1">
      <c r="A12226" s="740"/>
    </row>
    <row r="12227" ht="14.25" customHeight="1">
      <c r="A12227" s="740"/>
    </row>
    <row r="12228" ht="14.25" customHeight="1">
      <c r="A12228" s="740"/>
    </row>
    <row r="12229" ht="14.25" customHeight="1">
      <c r="A12229" s="740"/>
    </row>
    <row r="12230" ht="14.25" customHeight="1">
      <c r="A12230" s="740"/>
    </row>
    <row r="12231" ht="14.25" customHeight="1">
      <c r="A12231" s="740"/>
    </row>
    <row r="12232" ht="14.25" customHeight="1">
      <c r="A12232" s="740"/>
    </row>
    <row r="12233" ht="14.25" customHeight="1">
      <c r="A12233" s="740"/>
    </row>
    <row r="12234" ht="14.25" customHeight="1">
      <c r="A12234" s="740"/>
    </row>
    <row r="12235" ht="14.25" customHeight="1">
      <c r="A12235" s="740"/>
    </row>
    <row r="12236" ht="14.25" customHeight="1">
      <c r="A12236" s="740"/>
    </row>
    <row r="12237" ht="14.25" customHeight="1">
      <c r="A12237" s="740"/>
    </row>
    <row r="12238" ht="14.25" customHeight="1">
      <c r="A12238" s="740"/>
    </row>
    <row r="12239" ht="14.25" customHeight="1">
      <c r="A12239" s="740"/>
    </row>
    <row r="12240" ht="14.25" customHeight="1">
      <c r="A12240" s="740"/>
    </row>
    <row r="12241" ht="14.25" customHeight="1">
      <c r="A12241" s="740"/>
    </row>
    <row r="12242" ht="14.25" customHeight="1">
      <c r="A12242" s="740"/>
    </row>
    <row r="12243" ht="14.25" customHeight="1">
      <c r="A12243" s="740"/>
    </row>
    <row r="12244" ht="14.25" customHeight="1">
      <c r="A12244" s="740"/>
    </row>
    <row r="12245" ht="14.25" customHeight="1">
      <c r="A12245" s="740"/>
    </row>
    <row r="12246" ht="14.25" customHeight="1">
      <c r="A12246" s="740"/>
    </row>
    <row r="12247" ht="14.25" customHeight="1">
      <c r="A12247" s="740"/>
    </row>
    <row r="12248" ht="14.25" customHeight="1">
      <c r="A12248" s="740"/>
    </row>
    <row r="12249" ht="14.25" customHeight="1">
      <c r="A12249" s="740"/>
    </row>
    <row r="12250" ht="14.25" customHeight="1">
      <c r="A12250" s="740"/>
    </row>
    <row r="12251" ht="14.25" customHeight="1">
      <c r="A12251" s="740"/>
    </row>
    <row r="12252" ht="14.25" customHeight="1">
      <c r="A12252" s="740"/>
    </row>
    <row r="12253" ht="14.25" customHeight="1">
      <c r="A12253" s="740"/>
    </row>
    <row r="12254" ht="14.25" customHeight="1">
      <c r="A12254" s="740"/>
    </row>
    <row r="12255" ht="14.25" customHeight="1">
      <c r="A12255" s="740"/>
    </row>
    <row r="12256" ht="14.25" customHeight="1">
      <c r="A12256" s="740"/>
    </row>
    <row r="12257" ht="14.25" customHeight="1">
      <c r="A12257" s="740"/>
    </row>
    <row r="12258" ht="14.25" customHeight="1">
      <c r="A12258" s="740"/>
    </row>
    <row r="12259" ht="14.25" customHeight="1">
      <c r="A12259" s="740"/>
    </row>
    <row r="12260" ht="14.25" customHeight="1">
      <c r="A12260" s="740"/>
    </row>
    <row r="12261" ht="14.25" customHeight="1">
      <c r="A12261" s="740"/>
    </row>
    <row r="12262" ht="14.25" customHeight="1">
      <c r="A12262" s="740"/>
    </row>
    <row r="12263" ht="14.25" customHeight="1">
      <c r="A12263" s="740"/>
    </row>
    <row r="12264" ht="14.25" customHeight="1">
      <c r="A12264" s="740"/>
    </row>
    <row r="12265" ht="14.25" customHeight="1">
      <c r="A12265" s="740"/>
    </row>
    <row r="12266" ht="14.25" customHeight="1">
      <c r="A12266" s="740"/>
    </row>
    <row r="12267" ht="14.25" customHeight="1">
      <c r="A12267" s="740"/>
    </row>
    <row r="12268" ht="14.25" customHeight="1">
      <c r="A12268" s="740"/>
    </row>
    <row r="12269" ht="14.25" customHeight="1">
      <c r="A12269" s="740"/>
    </row>
    <row r="12270" ht="14.25" customHeight="1">
      <c r="A12270" s="740"/>
    </row>
    <row r="12271" ht="14.25" customHeight="1">
      <c r="A12271" s="740"/>
    </row>
    <row r="12272" ht="14.25" customHeight="1">
      <c r="A12272" s="740"/>
    </row>
    <row r="12273" ht="14.25" customHeight="1">
      <c r="A12273" s="740"/>
    </row>
    <row r="12274" ht="14.25" customHeight="1">
      <c r="A12274" s="740"/>
    </row>
    <row r="12275" ht="14.25" customHeight="1">
      <c r="A12275" s="740"/>
    </row>
    <row r="12276" ht="14.25" customHeight="1">
      <c r="A12276" s="740"/>
    </row>
    <row r="12277" ht="14.25" customHeight="1">
      <c r="A12277" s="740"/>
    </row>
    <row r="12278" ht="14.25" customHeight="1">
      <c r="A12278" s="740"/>
    </row>
    <row r="12279" ht="14.25" customHeight="1">
      <c r="A12279" s="740"/>
    </row>
    <row r="12280" ht="14.25" customHeight="1">
      <c r="A12280" s="740"/>
    </row>
    <row r="12281" ht="14.25" customHeight="1">
      <c r="A12281" s="740"/>
    </row>
    <row r="12282" ht="14.25" customHeight="1">
      <c r="A12282" s="740"/>
    </row>
    <row r="12283" ht="14.25" customHeight="1">
      <c r="A12283" s="740"/>
    </row>
    <row r="12284" ht="14.25" customHeight="1">
      <c r="A12284" s="740"/>
    </row>
    <row r="12285" ht="14.25" customHeight="1">
      <c r="A12285" s="740"/>
    </row>
    <row r="12286" ht="14.25" customHeight="1">
      <c r="A12286" s="740"/>
    </row>
    <row r="12287" ht="14.25" customHeight="1">
      <c r="A12287" s="740"/>
    </row>
    <row r="12288" ht="14.25" customHeight="1">
      <c r="A12288" s="740"/>
    </row>
    <row r="12289" ht="14.25" customHeight="1">
      <c r="A12289" s="740"/>
    </row>
    <row r="12290" ht="14.25" customHeight="1">
      <c r="A12290" s="740"/>
    </row>
    <row r="12291" ht="14.25" customHeight="1">
      <c r="A12291" s="740"/>
    </row>
    <row r="12292" ht="14.25" customHeight="1">
      <c r="A12292" s="740"/>
    </row>
    <row r="12293" ht="14.25" customHeight="1">
      <c r="A12293" s="740"/>
    </row>
    <row r="12294" ht="14.25" customHeight="1">
      <c r="A12294" s="740"/>
    </row>
    <row r="12295" ht="14.25" customHeight="1">
      <c r="A12295" s="740"/>
    </row>
    <row r="12296" ht="14.25" customHeight="1">
      <c r="A12296" s="740"/>
    </row>
    <row r="12297" ht="14.25" customHeight="1">
      <c r="A12297" s="740"/>
    </row>
    <row r="12298" ht="14.25" customHeight="1">
      <c r="A12298" s="740"/>
    </row>
    <row r="12299" ht="14.25" customHeight="1">
      <c r="A12299" s="740"/>
    </row>
    <row r="12300" ht="14.25" customHeight="1">
      <c r="A12300" s="740"/>
    </row>
    <row r="12301" ht="14.25" customHeight="1">
      <c r="A12301" s="740"/>
    </row>
    <row r="12302" ht="14.25" customHeight="1">
      <c r="A12302" s="740"/>
    </row>
    <row r="12303" ht="14.25" customHeight="1">
      <c r="A12303" s="740"/>
    </row>
    <row r="12304" ht="14.25" customHeight="1">
      <c r="A12304" s="740"/>
    </row>
    <row r="12305" ht="14.25" customHeight="1">
      <c r="A12305" s="740"/>
    </row>
    <row r="12306" ht="14.25" customHeight="1">
      <c r="A12306" s="740"/>
    </row>
    <row r="12307" ht="14.25" customHeight="1">
      <c r="A12307" s="740"/>
    </row>
    <row r="12308" ht="14.25" customHeight="1">
      <c r="A12308" s="740"/>
    </row>
    <row r="12309" ht="14.25" customHeight="1">
      <c r="A12309" s="740"/>
    </row>
    <row r="12310" ht="14.25" customHeight="1">
      <c r="A12310" s="740"/>
    </row>
    <row r="12311" ht="14.25" customHeight="1">
      <c r="A12311" s="740"/>
    </row>
    <row r="12312" ht="14.25" customHeight="1">
      <c r="A12312" s="740"/>
    </row>
    <row r="12313" ht="14.25" customHeight="1">
      <c r="A12313" s="740"/>
    </row>
    <row r="12314" ht="14.25" customHeight="1">
      <c r="A12314" s="740"/>
    </row>
    <row r="12315" ht="14.25" customHeight="1">
      <c r="A12315" s="740"/>
    </row>
    <row r="12316" ht="14.25" customHeight="1">
      <c r="A12316" s="740"/>
    </row>
    <row r="12317" ht="14.25" customHeight="1">
      <c r="A12317" s="740"/>
    </row>
    <row r="12318" ht="14.25" customHeight="1">
      <c r="A12318" s="740"/>
    </row>
    <row r="12319" ht="14.25" customHeight="1">
      <c r="A12319" s="740"/>
    </row>
    <row r="12320" ht="14.25" customHeight="1">
      <c r="A12320" s="740"/>
    </row>
    <row r="12321" ht="14.25" customHeight="1">
      <c r="A12321" s="740"/>
    </row>
    <row r="12322" ht="14.25" customHeight="1">
      <c r="A12322" s="740"/>
    </row>
    <row r="12323" ht="14.25" customHeight="1">
      <c r="A12323" s="740"/>
    </row>
    <row r="12324" ht="14.25" customHeight="1">
      <c r="A12324" s="740"/>
    </row>
    <row r="12325" ht="14.25" customHeight="1">
      <c r="A12325" s="740"/>
    </row>
    <row r="12326" ht="14.25" customHeight="1">
      <c r="A12326" s="740"/>
    </row>
    <row r="12327" ht="14.25" customHeight="1">
      <c r="A12327" s="740"/>
    </row>
    <row r="12328" ht="14.25" customHeight="1">
      <c r="A12328" s="740"/>
    </row>
    <row r="12329" ht="14.25" customHeight="1">
      <c r="A12329" s="740"/>
    </row>
    <row r="12330" ht="14.25" customHeight="1">
      <c r="A12330" s="740"/>
    </row>
    <row r="12331" ht="14.25" customHeight="1">
      <c r="A12331" s="740"/>
    </row>
    <row r="12332" ht="14.25" customHeight="1">
      <c r="A12332" s="740"/>
    </row>
    <row r="12333" ht="14.25" customHeight="1">
      <c r="A12333" s="740"/>
    </row>
    <row r="12334" ht="14.25" customHeight="1">
      <c r="A12334" s="740"/>
    </row>
    <row r="12335" ht="14.25" customHeight="1">
      <c r="A12335" s="740"/>
    </row>
    <row r="12336" ht="14.25" customHeight="1">
      <c r="A12336" s="740"/>
    </row>
    <row r="12337" ht="14.25" customHeight="1">
      <c r="A12337" s="740"/>
    </row>
    <row r="12338" ht="14.25" customHeight="1">
      <c r="A12338" s="740"/>
    </row>
    <row r="12339" ht="14.25" customHeight="1">
      <c r="A12339" s="740"/>
    </row>
    <row r="12340" ht="14.25" customHeight="1">
      <c r="A12340" s="740"/>
    </row>
    <row r="12341" ht="14.25" customHeight="1">
      <c r="A12341" s="740"/>
    </row>
    <row r="12342" ht="14.25" customHeight="1">
      <c r="A12342" s="740"/>
    </row>
    <row r="12343" ht="14.25" customHeight="1">
      <c r="A12343" s="740"/>
    </row>
    <row r="12344" ht="14.25" customHeight="1">
      <c r="A12344" s="740"/>
    </row>
    <row r="12345" ht="14.25" customHeight="1">
      <c r="A12345" s="740"/>
    </row>
    <row r="12346" ht="14.25" customHeight="1">
      <c r="A12346" s="740"/>
    </row>
    <row r="12347" ht="14.25" customHeight="1">
      <c r="A12347" s="740"/>
    </row>
    <row r="12348" ht="14.25" customHeight="1">
      <c r="A12348" s="740"/>
    </row>
    <row r="12349" ht="14.25" customHeight="1">
      <c r="A12349" s="740"/>
    </row>
    <row r="12350" ht="14.25" customHeight="1">
      <c r="A12350" s="740"/>
    </row>
    <row r="12351" ht="14.25" customHeight="1">
      <c r="A12351" s="740"/>
    </row>
    <row r="12352" ht="14.25" customHeight="1">
      <c r="A12352" s="740"/>
    </row>
    <row r="12353" ht="14.25" customHeight="1">
      <c r="A12353" s="740"/>
    </row>
    <row r="12354" ht="14.25" customHeight="1">
      <c r="A12354" s="740"/>
    </row>
    <row r="12355" ht="14.25" customHeight="1">
      <c r="A12355" s="740"/>
    </row>
    <row r="12356" ht="14.25" customHeight="1">
      <c r="A12356" s="740"/>
    </row>
    <row r="12357" ht="14.25" customHeight="1">
      <c r="A12357" s="740"/>
    </row>
    <row r="12358" ht="14.25" customHeight="1">
      <c r="A12358" s="740"/>
    </row>
    <row r="12359" ht="14.25" customHeight="1">
      <c r="A12359" s="740"/>
    </row>
    <row r="12360" ht="14.25" customHeight="1">
      <c r="A12360" s="740"/>
    </row>
    <row r="12361" ht="14.25" customHeight="1">
      <c r="A12361" s="740"/>
    </row>
    <row r="12362" ht="14.25" customHeight="1">
      <c r="A12362" s="740"/>
    </row>
    <row r="12363" ht="14.25" customHeight="1">
      <c r="A12363" s="740"/>
    </row>
    <row r="12364" ht="14.25" customHeight="1">
      <c r="A12364" s="740"/>
    </row>
    <row r="12365" ht="14.25" customHeight="1">
      <c r="A12365" s="740"/>
    </row>
    <row r="12366" ht="14.25" customHeight="1">
      <c r="A12366" s="740"/>
    </row>
    <row r="12367" ht="14.25" customHeight="1">
      <c r="A12367" s="740"/>
    </row>
    <row r="12368" ht="14.25" customHeight="1">
      <c r="A12368" s="740"/>
    </row>
    <row r="12369" ht="14.25" customHeight="1">
      <c r="A12369" s="740"/>
    </row>
    <row r="12370" ht="14.25" customHeight="1">
      <c r="A12370" s="740"/>
    </row>
    <row r="12371" ht="14.25" customHeight="1">
      <c r="A12371" s="740"/>
    </row>
    <row r="12372" ht="14.25" customHeight="1">
      <c r="A12372" s="740"/>
    </row>
    <row r="12373" ht="14.25" customHeight="1">
      <c r="A12373" s="740"/>
    </row>
    <row r="12374" ht="14.25" customHeight="1">
      <c r="A12374" s="740"/>
    </row>
    <row r="12375" ht="14.25" customHeight="1">
      <c r="A12375" s="740"/>
    </row>
    <row r="12376" ht="14.25" customHeight="1">
      <c r="A12376" s="740"/>
    </row>
    <row r="12377" ht="14.25" customHeight="1">
      <c r="A12377" s="740"/>
    </row>
    <row r="12378" ht="14.25" customHeight="1">
      <c r="A12378" s="740"/>
    </row>
    <row r="12379" ht="14.25" customHeight="1">
      <c r="A12379" s="740"/>
    </row>
    <row r="12380" ht="14.25" customHeight="1">
      <c r="A12380" s="740"/>
    </row>
    <row r="12381" ht="14.25" customHeight="1">
      <c r="A12381" s="740"/>
    </row>
    <row r="12382" ht="14.25" customHeight="1">
      <c r="A12382" s="740"/>
    </row>
    <row r="12383" ht="14.25" customHeight="1">
      <c r="A12383" s="740"/>
    </row>
    <row r="12384" ht="14.25" customHeight="1">
      <c r="A12384" s="740"/>
    </row>
    <row r="12385" ht="14.25" customHeight="1">
      <c r="A12385" s="740"/>
    </row>
    <row r="12386" ht="14.25" customHeight="1">
      <c r="A12386" s="740"/>
    </row>
    <row r="12387" ht="14.25" customHeight="1">
      <c r="A12387" s="740"/>
    </row>
    <row r="12388" ht="14.25" customHeight="1">
      <c r="A12388" s="740"/>
    </row>
    <row r="12389" ht="14.25" customHeight="1">
      <c r="A12389" s="740"/>
    </row>
    <row r="12390" ht="14.25" customHeight="1">
      <c r="A12390" s="740"/>
    </row>
    <row r="12391" ht="14.25" customHeight="1">
      <c r="A12391" s="740"/>
    </row>
    <row r="12392" ht="14.25" customHeight="1">
      <c r="A12392" s="740"/>
    </row>
    <row r="12393" ht="14.25" customHeight="1">
      <c r="A12393" s="740"/>
    </row>
    <row r="12394" ht="14.25" customHeight="1">
      <c r="A12394" s="740"/>
    </row>
    <row r="12395" ht="14.25" customHeight="1">
      <c r="A12395" s="740"/>
    </row>
    <row r="12396" ht="14.25" customHeight="1">
      <c r="A12396" s="740"/>
    </row>
    <row r="12397" ht="14.25" customHeight="1">
      <c r="A12397" s="740"/>
    </row>
    <row r="12398" ht="14.25" customHeight="1">
      <c r="A12398" s="740"/>
    </row>
    <row r="12399" ht="14.25" customHeight="1">
      <c r="A12399" s="740"/>
    </row>
    <row r="12400" ht="14.25" customHeight="1">
      <c r="A12400" s="740"/>
    </row>
    <row r="12401" ht="14.25" customHeight="1">
      <c r="A12401" s="740"/>
    </row>
    <row r="12402" ht="14.25" customHeight="1">
      <c r="A12402" s="740"/>
    </row>
    <row r="12403" ht="14.25" customHeight="1">
      <c r="A12403" s="740"/>
    </row>
    <row r="12404" ht="14.25" customHeight="1">
      <c r="A12404" s="740"/>
    </row>
    <row r="12405" ht="14.25" customHeight="1">
      <c r="A12405" s="740"/>
    </row>
    <row r="12406" ht="14.25" customHeight="1">
      <c r="A12406" s="740"/>
    </row>
    <row r="12407" ht="14.25" customHeight="1">
      <c r="A12407" s="740"/>
    </row>
    <row r="12408" ht="14.25" customHeight="1">
      <c r="A12408" s="740"/>
    </row>
    <row r="12409" ht="14.25" customHeight="1">
      <c r="A12409" s="740"/>
    </row>
    <row r="12410" ht="14.25" customHeight="1">
      <c r="A12410" s="740"/>
    </row>
    <row r="12411" ht="14.25" customHeight="1">
      <c r="A12411" s="740"/>
    </row>
    <row r="12412" ht="14.25" customHeight="1">
      <c r="A12412" s="740"/>
    </row>
    <row r="12413" ht="14.25" customHeight="1">
      <c r="A12413" s="740"/>
    </row>
    <row r="12414" ht="14.25" customHeight="1">
      <c r="A12414" s="740"/>
    </row>
    <row r="12415" ht="14.25" customHeight="1">
      <c r="A12415" s="740"/>
    </row>
    <row r="12416" ht="14.25" customHeight="1">
      <c r="A12416" s="740"/>
    </row>
    <row r="12417" ht="14.25" customHeight="1">
      <c r="A12417" s="740"/>
    </row>
    <row r="12418" ht="14.25" customHeight="1">
      <c r="A12418" s="740"/>
    </row>
    <row r="12419" ht="14.25" customHeight="1">
      <c r="A12419" s="740"/>
    </row>
    <row r="12420" ht="14.25" customHeight="1">
      <c r="A12420" s="740"/>
    </row>
    <row r="12421" ht="14.25" customHeight="1">
      <c r="A12421" s="740"/>
    </row>
    <row r="12422" ht="14.25" customHeight="1">
      <c r="A12422" s="740"/>
    </row>
    <row r="12423" ht="14.25" customHeight="1">
      <c r="A12423" s="740"/>
    </row>
    <row r="12424" ht="14.25" customHeight="1">
      <c r="A12424" s="740"/>
    </row>
    <row r="12425" ht="14.25" customHeight="1">
      <c r="A12425" s="740"/>
    </row>
    <row r="12426" ht="14.25" customHeight="1">
      <c r="A12426" s="740"/>
    </row>
    <row r="12427" ht="14.25" customHeight="1">
      <c r="A12427" s="740"/>
    </row>
    <row r="12428" ht="14.25" customHeight="1">
      <c r="A12428" s="740"/>
    </row>
    <row r="12429" ht="14.25" customHeight="1">
      <c r="A12429" s="740"/>
    </row>
    <row r="12430" ht="14.25" customHeight="1">
      <c r="A12430" s="740"/>
    </row>
    <row r="12431" ht="14.25" customHeight="1">
      <c r="A12431" s="740"/>
    </row>
    <row r="12432" ht="14.25" customHeight="1">
      <c r="A12432" s="740"/>
    </row>
    <row r="12433" ht="14.25" customHeight="1">
      <c r="A12433" s="740"/>
    </row>
    <row r="12434" ht="14.25" customHeight="1">
      <c r="A12434" s="740"/>
    </row>
    <row r="12435" ht="14.25" customHeight="1">
      <c r="A12435" s="740"/>
    </row>
    <row r="12436" ht="14.25" customHeight="1">
      <c r="A12436" s="740"/>
    </row>
    <row r="12437" ht="14.25" customHeight="1">
      <c r="A12437" s="740"/>
    </row>
    <row r="12438" ht="14.25" customHeight="1">
      <c r="A12438" s="740"/>
    </row>
    <row r="12439" ht="14.25" customHeight="1">
      <c r="A12439" s="740"/>
    </row>
    <row r="12440" ht="14.25" customHeight="1">
      <c r="A12440" s="740"/>
    </row>
    <row r="12441" ht="14.25" customHeight="1">
      <c r="A12441" s="740"/>
    </row>
    <row r="12442" ht="14.25" customHeight="1">
      <c r="A12442" s="740"/>
    </row>
    <row r="12443" ht="14.25" customHeight="1">
      <c r="A12443" s="740"/>
    </row>
    <row r="12444" ht="14.25" customHeight="1">
      <c r="A12444" s="740"/>
    </row>
    <row r="12445" ht="14.25" customHeight="1">
      <c r="A12445" s="740"/>
    </row>
    <row r="12446" ht="14.25" customHeight="1">
      <c r="A12446" s="740"/>
    </row>
    <row r="12447" ht="14.25" customHeight="1">
      <c r="A12447" s="740"/>
    </row>
    <row r="12448" ht="14.25" customHeight="1">
      <c r="A12448" s="740"/>
    </row>
    <row r="12449" ht="14.25" customHeight="1">
      <c r="A12449" s="740"/>
    </row>
    <row r="12450" ht="14.25" customHeight="1">
      <c r="A12450" s="740"/>
    </row>
    <row r="12451" ht="14.25" customHeight="1">
      <c r="A12451" s="740"/>
    </row>
    <row r="12452" ht="14.25" customHeight="1">
      <c r="A12452" s="740"/>
    </row>
    <row r="12453" ht="14.25" customHeight="1">
      <c r="A12453" s="740"/>
    </row>
    <row r="12454" ht="14.25" customHeight="1">
      <c r="A12454" s="740"/>
    </row>
    <row r="12455" ht="14.25" customHeight="1">
      <c r="A12455" s="740"/>
    </row>
    <row r="12456" ht="14.25" customHeight="1">
      <c r="A12456" s="740"/>
    </row>
    <row r="12457" ht="14.25" customHeight="1">
      <c r="A12457" s="740"/>
    </row>
    <row r="12458" ht="14.25" customHeight="1">
      <c r="A12458" s="740"/>
    </row>
    <row r="12459" ht="14.25" customHeight="1">
      <c r="A12459" s="740"/>
    </row>
    <row r="12460" ht="14.25" customHeight="1">
      <c r="A12460" s="740"/>
    </row>
    <row r="12461" ht="14.25" customHeight="1">
      <c r="A12461" s="740"/>
    </row>
    <row r="12462" ht="14.25" customHeight="1">
      <c r="A12462" s="740"/>
    </row>
    <row r="12463" ht="14.25" customHeight="1">
      <c r="A12463" s="740"/>
    </row>
    <row r="12464" ht="14.25" customHeight="1">
      <c r="A12464" s="740"/>
    </row>
    <row r="12465" ht="14.25" customHeight="1">
      <c r="A12465" s="740"/>
    </row>
    <row r="12466" ht="14.25" customHeight="1">
      <c r="A12466" s="740"/>
    </row>
    <row r="12467" ht="14.25" customHeight="1">
      <c r="A12467" s="740"/>
    </row>
    <row r="12468" ht="14.25" customHeight="1">
      <c r="A12468" s="740"/>
    </row>
    <row r="12469" ht="14.25" customHeight="1">
      <c r="A12469" s="740"/>
    </row>
    <row r="12470" ht="14.25" customHeight="1">
      <c r="A12470" s="740"/>
    </row>
    <row r="12471" ht="14.25" customHeight="1">
      <c r="A12471" s="740"/>
    </row>
    <row r="12472" ht="14.25" customHeight="1">
      <c r="A12472" s="740"/>
    </row>
    <row r="12473" ht="14.25" customHeight="1">
      <c r="A12473" s="740"/>
    </row>
    <row r="12474" ht="14.25" customHeight="1">
      <c r="A12474" s="740"/>
    </row>
    <row r="12475" ht="14.25" customHeight="1">
      <c r="A12475" s="740"/>
    </row>
    <row r="12476" ht="14.25" customHeight="1">
      <c r="A12476" s="740"/>
    </row>
    <row r="12477" ht="14.25" customHeight="1">
      <c r="A12477" s="740"/>
    </row>
    <row r="12478" ht="14.25" customHeight="1">
      <c r="A12478" s="740"/>
    </row>
    <row r="12479" ht="14.25" customHeight="1">
      <c r="A12479" s="740"/>
    </row>
    <row r="12480" ht="14.25" customHeight="1">
      <c r="A12480" s="740"/>
    </row>
    <row r="12481" ht="14.25" customHeight="1">
      <c r="A12481" s="740"/>
    </row>
    <row r="12482" ht="14.25" customHeight="1">
      <c r="A12482" s="740"/>
    </row>
    <row r="12483" ht="14.25" customHeight="1">
      <c r="A12483" s="740"/>
    </row>
    <row r="12484" ht="14.25" customHeight="1">
      <c r="A12484" s="740"/>
    </row>
    <row r="12485" ht="14.25" customHeight="1">
      <c r="A12485" s="740"/>
    </row>
    <row r="12486" ht="14.25" customHeight="1">
      <c r="A12486" s="740"/>
    </row>
    <row r="12487" ht="14.25" customHeight="1">
      <c r="A12487" s="740"/>
    </row>
    <row r="12488" ht="14.25" customHeight="1">
      <c r="A12488" s="740"/>
    </row>
    <row r="12489" ht="14.25" customHeight="1">
      <c r="A12489" s="740"/>
    </row>
    <row r="12490" ht="14.25" customHeight="1">
      <c r="A12490" s="740"/>
    </row>
    <row r="12491" ht="14.25" customHeight="1">
      <c r="A12491" s="740"/>
    </row>
    <row r="12492" ht="14.25" customHeight="1">
      <c r="A12492" s="740"/>
    </row>
    <row r="12493" ht="14.25" customHeight="1">
      <c r="A12493" s="740"/>
    </row>
    <row r="12494" ht="14.25" customHeight="1">
      <c r="A12494" s="740"/>
    </row>
    <row r="12495" ht="14.25" customHeight="1">
      <c r="A12495" s="740"/>
    </row>
    <row r="12496" ht="14.25" customHeight="1">
      <c r="A12496" s="740"/>
    </row>
    <row r="12497" ht="14.25" customHeight="1">
      <c r="A12497" s="740"/>
    </row>
    <row r="12498" ht="14.25" customHeight="1">
      <c r="A12498" s="740"/>
    </row>
    <row r="12499" ht="14.25" customHeight="1">
      <c r="A12499" s="740"/>
    </row>
    <row r="12500" ht="14.25" customHeight="1">
      <c r="A12500" s="740"/>
    </row>
    <row r="12501" ht="14.25" customHeight="1">
      <c r="A12501" s="740"/>
    </row>
    <row r="12502" ht="14.25" customHeight="1">
      <c r="A12502" s="740"/>
    </row>
    <row r="12503" ht="14.25" customHeight="1">
      <c r="A12503" s="740"/>
    </row>
    <row r="12504" ht="14.25" customHeight="1">
      <c r="A12504" s="740"/>
    </row>
    <row r="12505" ht="14.25" customHeight="1">
      <c r="A12505" s="740"/>
    </row>
    <row r="12506" ht="14.25" customHeight="1">
      <c r="A12506" s="740"/>
    </row>
    <row r="12507" ht="14.25" customHeight="1">
      <c r="A12507" s="740"/>
    </row>
    <row r="12508" ht="14.25" customHeight="1">
      <c r="A12508" s="740"/>
    </row>
    <row r="12509" ht="14.25" customHeight="1">
      <c r="A12509" s="740"/>
    </row>
    <row r="12510" ht="14.25" customHeight="1">
      <c r="A12510" s="740"/>
    </row>
    <row r="12511" ht="14.25" customHeight="1">
      <c r="A12511" s="740"/>
    </row>
    <row r="12512" ht="14.25" customHeight="1">
      <c r="A12512" s="740"/>
    </row>
    <row r="12513" ht="14.25" customHeight="1">
      <c r="A12513" s="740"/>
    </row>
    <row r="12514" ht="14.25" customHeight="1">
      <c r="A12514" s="740"/>
    </row>
    <row r="12515" ht="14.25" customHeight="1">
      <c r="A12515" s="740"/>
    </row>
    <row r="12516" ht="14.25" customHeight="1">
      <c r="A12516" s="740"/>
    </row>
    <row r="12517" ht="14.25" customHeight="1">
      <c r="A12517" s="740"/>
    </row>
    <row r="12518" ht="14.25" customHeight="1">
      <c r="A12518" s="740"/>
    </row>
    <row r="12519" ht="14.25" customHeight="1">
      <c r="A12519" s="740"/>
    </row>
    <row r="12520" ht="14.25" customHeight="1">
      <c r="A12520" s="740"/>
    </row>
    <row r="12521" ht="14.25" customHeight="1">
      <c r="A12521" s="740"/>
    </row>
    <row r="12522" ht="14.25" customHeight="1">
      <c r="A12522" s="740"/>
    </row>
    <row r="12523" ht="14.25" customHeight="1">
      <c r="A12523" s="740"/>
    </row>
    <row r="12524" ht="14.25" customHeight="1">
      <c r="A12524" s="740"/>
    </row>
    <row r="12525" ht="14.25" customHeight="1">
      <c r="A12525" s="740"/>
    </row>
    <row r="12526" ht="14.25" customHeight="1">
      <c r="A12526" s="740"/>
    </row>
    <row r="12527" ht="14.25" customHeight="1">
      <c r="A12527" s="740"/>
    </row>
    <row r="12528" ht="14.25" customHeight="1">
      <c r="A12528" s="740"/>
    </row>
    <row r="12529" ht="14.25" customHeight="1">
      <c r="A12529" s="740"/>
    </row>
    <row r="12530" ht="14.25" customHeight="1">
      <c r="A12530" s="740"/>
    </row>
    <row r="12531" ht="14.25" customHeight="1">
      <c r="A12531" s="740"/>
    </row>
    <row r="12532" ht="14.25" customHeight="1">
      <c r="A12532" s="740"/>
    </row>
    <row r="12533" ht="14.25" customHeight="1">
      <c r="A12533" s="740"/>
    </row>
    <row r="12534" ht="14.25" customHeight="1">
      <c r="A12534" s="740"/>
    </row>
    <row r="12535" ht="14.25" customHeight="1">
      <c r="A12535" s="740"/>
    </row>
    <row r="12536" ht="14.25" customHeight="1">
      <c r="A12536" s="740"/>
    </row>
    <row r="12537" ht="14.25" customHeight="1">
      <c r="A12537" s="740"/>
    </row>
    <row r="12538" ht="14.25" customHeight="1">
      <c r="A12538" s="740"/>
    </row>
    <row r="12539" ht="14.25" customHeight="1">
      <c r="A12539" s="740"/>
    </row>
    <row r="12540" ht="14.25" customHeight="1">
      <c r="A12540" s="740"/>
    </row>
    <row r="12541" ht="14.25" customHeight="1">
      <c r="A12541" s="740"/>
    </row>
    <row r="12542" ht="14.25" customHeight="1">
      <c r="A12542" s="740"/>
    </row>
    <row r="12543" ht="14.25" customHeight="1">
      <c r="A12543" s="740"/>
    </row>
    <row r="12544" ht="14.25" customHeight="1">
      <c r="A12544" s="740"/>
    </row>
    <row r="12545" ht="14.25" customHeight="1">
      <c r="A12545" s="740"/>
    </row>
    <row r="12546" ht="14.25" customHeight="1">
      <c r="A12546" s="740"/>
    </row>
    <row r="12547" ht="14.25" customHeight="1">
      <c r="A12547" s="740"/>
    </row>
    <row r="12548" ht="14.25" customHeight="1">
      <c r="A12548" s="740"/>
    </row>
    <row r="12549" ht="14.25" customHeight="1">
      <c r="A12549" s="740"/>
    </row>
    <row r="12550" ht="14.25" customHeight="1">
      <c r="A12550" s="740"/>
    </row>
    <row r="12551" ht="14.25" customHeight="1">
      <c r="A12551" s="740"/>
    </row>
    <row r="12552" ht="14.25" customHeight="1">
      <c r="A12552" s="740"/>
    </row>
    <row r="12553" ht="14.25" customHeight="1">
      <c r="A12553" s="740"/>
    </row>
    <row r="12554" ht="14.25" customHeight="1">
      <c r="A12554" s="740"/>
    </row>
    <row r="12555" ht="14.25" customHeight="1">
      <c r="A12555" s="740"/>
    </row>
    <row r="12556" ht="14.25" customHeight="1">
      <c r="A12556" s="740"/>
    </row>
    <row r="12557" ht="14.25" customHeight="1">
      <c r="A12557" s="740"/>
    </row>
    <row r="12558" ht="14.25" customHeight="1">
      <c r="A12558" s="740"/>
    </row>
    <row r="12559" ht="14.25" customHeight="1">
      <c r="A12559" s="740"/>
    </row>
    <row r="12560" ht="14.25" customHeight="1">
      <c r="A12560" s="740"/>
    </row>
    <row r="12561" ht="14.25" customHeight="1">
      <c r="A12561" s="740"/>
    </row>
    <row r="12562" ht="14.25" customHeight="1">
      <c r="A12562" s="740"/>
    </row>
    <row r="12563" ht="14.25" customHeight="1">
      <c r="A12563" s="740"/>
    </row>
    <row r="12564" ht="14.25" customHeight="1">
      <c r="A12564" s="740"/>
    </row>
    <row r="12565" ht="14.25" customHeight="1">
      <c r="A12565" s="740"/>
    </row>
    <row r="12566" ht="14.25" customHeight="1">
      <c r="A12566" s="740"/>
    </row>
    <row r="12567" ht="14.25" customHeight="1">
      <c r="A12567" s="740"/>
    </row>
    <row r="12568" ht="14.25" customHeight="1">
      <c r="A12568" s="740"/>
    </row>
    <row r="12569" ht="14.25" customHeight="1">
      <c r="A12569" s="740"/>
    </row>
    <row r="12570" ht="14.25" customHeight="1">
      <c r="A12570" s="740"/>
    </row>
    <row r="12571" ht="14.25" customHeight="1">
      <c r="A12571" s="740"/>
    </row>
    <row r="12572" ht="14.25" customHeight="1">
      <c r="A12572" s="740"/>
    </row>
    <row r="12573" ht="14.25" customHeight="1">
      <c r="A12573" s="740"/>
    </row>
    <row r="12574" ht="14.25" customHeight="1">
      <c r="A12574" s="740"/>
    </row>
    <row r="12575" ht="14.25" customHeight="1">
      <c r="A12575" s="740"/>
    </row>
    <row r="12576" ht="14.25" customHeight="1">
      <c r="A12576" s="740"/>
    </row>
    <row r="12577" ht="14.25" customHeight="1">
      <c r="A12577" s="740"/>
    </row>
    <row r="12578" ht="14.25" customHeight="1">
      <c r="A12578" s="740"/>
    </row>
    <row r="12579" ht="14.25" customHeight="1">
      <c r="A12579" s="740"/>
    </row>
    <row r="12580" ht="14.25" customHeight="1">
      <c r="A12580" s="740"/>
    </row>
    <row r="12581" ht="14.25" customHeight="1">
      <c r="A12581" s="740"/>
    </row>
    <row r="12582" ht="14.25" customHeight="1">
      <c r="A12582" s="740"/>
    </row>
    <row r="12583" ht="14.25" customHeight="1">
      <c r="A12583" s="740"/>
    </row>
    <row r="12584" ht="14.25" customHeight="1">
      <c r="A12584" s="740"/>
    </row>
    <row r="12585" ht="14.25" customHeight="1">
      <c r="A12585" s="740"/>
    </row>
    <row r="12586" ht="14.25" customHeight="1">
      <c r="A12586" s="740"/>
    </row>
    <row r="12587" ht="14.25" customHeight="1">
      <c r="A12587" s="740"/>
    </row>
    <row r="12588" ht="14.25" customHeight="1">
      <c r="A12588" s="740"/>
    </row>
    <row r="12589" ht="14.25" customHeight="1">
      <c r="A12589" s="740"/>
    </row>
    <row r="12590" ht="14.25" customHeight="1">
      <c r="A12590" s="740"/>
    </row>
    <row r="12591" ht="14.25" customHeight="1">
      <c r="A12591" s="740"/>
    </row>
    <row r="12592" ht="14.25" customHeight="1">
      <c r="A12592" s="740"/>
    </row>
    <row r="12593" ht="14.25" customHeight="1">
      <c r="A12593" s="740"/>
    </row>
    <row r="12594" ht="14.25" customHeight="1">
      <c r="A12594" s="740"/>
    </row>
    <row r="12595" ht="14.25" customHeight="1">
      <c r="A12595" s="740"/>
    </row>
    <row r="12596" ht="14.25" customHeight="1">
      <c r="A12596" s="740"/>
    </row>
    <row r="12597" ht="14.25" customHeight="1">
      <c r="A12597" s="740"/>
    </row>
    <row r="12598" ht="14.25" customHeight="1">
      <c r="A12598" s="740"/>
    </row>
    <row r="12599" ht="14.25" customHeight="1">
      <c r="A12599" s="740"/>
    </row>
    <row r="12600" ht="14.25" customHeight="1">
      <c r="A12600" s="740"/>
    </row>
    <row r="12601" ht="14.25" customHeight="1">
      <c r="A12601" s="740"/>
    </row>
    <row r="12602" ht="14.25" customHeight="1">
      <c r="A12602" s="740"/>
    </row>
    <row r="12603" ht="14.25" customHeight="1">
      <c r="A12603" s="740"/>
    </row>
    <row r="12604" ht="14.25" customHeight="1">
      <c r="A12604" s="740"/>
    </row>
    <row r="12605" ht="14.25" customHeight="1">
      <c r="A12605" s="740"/>
    </row>
    <row r="12606" ht="14.25" customHeight="1">
      <c r="A12606" s="740"/>
    </row>
    <row r="12607" ht="14.25" customHeight="1">
      <c r="A12607" s="740"/>
    </row>
    <row r="12608" ht="14.25" customHeight="1">
      <c r="A12608" s="740"/>
    </row>
    <row r="12609" ht="14.25" customHeight="1">
      <c r="A12609" s="740"/>
    </row>
    <row r="12610" ht="14.25" customHeight="1">
      <c r="A12610" s="740"/>
    </row>
    <row r="12611" ht="14.25" customHeight="1">
      <c r="A12611" s="740"/>
    </row>
    <row r="12612" ht="14.25" customHeight="1">
      <c r="A12612" s="740"/>
    </row>
    <row r="12613" ht="14.25" customHeight="1">
      <c r="A12613" s="740"/>
    </row>
    <row r="12614" ht="14.25" customHeight="1">
      <c r="A12614" s="740"/>
    </row>
    <row r="12615" ht="14.25" customHeight="1">
      <c r="A12615" s="740"/>
    </row>
    <row r="12616" ht="14.25" customHeight="1">
      <c r="A12616" s="740"/>
    </row>
    <row r="12617" ht="14.25" customHeight="1">
      <c r="A12617" s="740"/>
    </row>
    <row r="12618" ht="14.25" customHeight="1">
      <c r="A12618" s="740"/>
    </row>
    <row r="12619" ht="14.25" customHeight="1">
      <c r="A12619" s="740"/>
    </row>
    <row r="12620" ht="14.25" customHeight="1">
      <c r="A12620" s="740"/>
    </row>
    <row r="12621" ht="14.25" customHeight="1">
      <c r="A12621" s="740"/>
    </row>
    <row r="12622" ht="14.25" customHeight="1">
      <c r="A12622" s="740"/>
    </row>
    <row r="12623" ht="14.25" customHeight="1">
      <c r="A12623" s="740"/>
    </row>
    <row r="12624" ht="14.25" customHeight="1">
      <c r="A12624" s="740"/>
    </row>
    <row r="12625" ht="14.25" customHeight="1">
      <c r="A12625" s="740"/>
    </row>
    <row r="12626" ht="14.25" customHeight="1">
      <c r="A12626" s="740"/>
    </row>
    <row r="12627" ht="14.25" customHeight="1">
      <c r="A12627" s="740"/>
    </row>
    <row r="12628" ht="14.25" customHeight="1">
      <c r="A12628" s="740"/>
    </row>
    <row r="12629" ht="14.25" customHeight="1">
      <c r="A12629" s="740"/>
    </row>
    <row r="12630" ht="14.25" customHeight="1">
      <c r="A12630" s="740"/>
    </row>
    <row r="12631" ht="14.25" customHeight="1">
      <c r="A12631" s="740"/>
    </row>
    <row r="12632" ht="14.25" customHeight="1">
      <c r="A12632" s="740"/>
    </row>
    <row r="12633" ht="14.25" customHeight="1">
      <c r="A12633" s="740"/>
    </row>
    <row r="12634" ht="14.25" customHeight="1">
      <c r="A12634" s="740"/>
    </row>
    <row r="12635" ht="14.25" customHeight="1">
      <c r="A12635" s="740"/>
    </row>
    <row r="12636" ht="14.25" customHeight="1">
      <c r="A12636" s="740"/>
    </row>
    <row r="12637" ht="14.25" customHeight="1">
      <c r="A12637" s="740"/>
    </row>
    <row r="12638" ht="14.25" customHeight="1">
      <c r="A12638" s="740"/>
    </row>
    <row r="12639" ht="14.25" customHeight="1">
      <c r="A12639" s="740"/>
    </row>
    <row r="12640" ht="14.25" customHeight="1">
      <c r="A12640" s="740"/>
    </row>
    <row r="12641" ht="14.25" customHeight="1">
      <c r="A12641" s="740"/>
    </row>
    <row r="12642" ht="14.25" customHeight="1">
      <c r="A12642" s="740"/>
    </row>
    <row r="12643" ht="14.25" customHeight="1">
      <c r="A12643" s="740"/>
    </row>
    <row r="12644" ht="14.25" customHeight="1">
      <c r="A12644" s="740"/>
    </row>
    <row r="12645" ht="14.25" customHeight="1">
      <c r="A12645" s="740"/>
    </row>
    <row r="12646" ht="14.25" customHeight="1">
      <c r="A12646" s="740"/>
    </row>
    <row r="12647" ht="14.25" customHeight="1">
      <c r="A12647" s="740"/>
    </row>
    <row r="12648" ht="14.25" customHeight="1">
      <c r="A12648" s="740"/>
    </row>
    <row r="12649" ht="14.25" customHeight="1">
      <c r="A12649" s="740"/>
    </row>
    <row r="12650" ht="14.25" customHeight="1">
      <c r="A12650" s="740"/>
    </row>
    <row r="12651" ht="14.25" customHeight="1">
      <c r="A12651" s="740"/>
    </row>
    <row r="12652" ht="14.25" customHeight="1">
      <c r="A12652" s="740"/>
    </row>
    <row r="12653" ht="14.25" customHeight="1">
      <c r="A12653" s="740"/>
    </row>
    <row r="12654" ht="14.25" customHeight="1">
      <c r="A12654" s="740"/>
    </row>
    <row r="12655" ht="14.25" customHeight="1">
      <c r="A12655" s="740"/>
    </row>
    <row r="12656" ht="14.25" customHeight="1">
      <c r="A12656" s="740"/>
    </row>
    <row r="12657" ht="14.25" customHeight="1">
      <c r="A12657" s="740"/>
    </row>
    <row r="12658" ht="14.25" customHeight="1">
      <c r="A12658" s="740"/>
    </row>
    <row r="12659" ht="14.25" customHeight="1">
      <c r="A12659" s="740"/>
    </row>
    <row r="12660" ht="14.25" customHeight="1">
      <c r="A12660" s="740"/>
    </row>
    <row r="12661" ht="14.25" customHeight="1">
      <c r="A12661" s="740"/>
    </row>
    <row r="12662" ht="14.25" customHeight="1">
      <c r="A12662" s="740"/>
    </row>
    <row r="12663" ht="14.25" customHeight="1">
      <c r="A12663" s="740"/>
    </row>
    <row r="12664" ht="14.25" customHeight="1">
      <c r="A12664" s="740"/>
    </row>
    <row r="12665" ht="14.25" customHeight="1">
      <c r="A12665" s="740"/>
    </row>
    <row r="12666" ht="14.25" customHeight="1">
      <c r="A12666" s="740"/>
    </row>
    <row r="12667" ht="14.25" customHeight="1">
      <c r="A12667" s="740"/>
    </row>
    <row r="12668" ht="14.25" customHeight="1">
      <c r="A12668" s="740"/>
    </row>
    <row r="12669" ht="14.25" customHeight="1">
      <c r="A12669" s="740"/>
    </row>
    <row r="12670" ht="14.25" customHeight="1">
      <c r="A12670" s="740"/>
    </row>
    <row r="12671" ht="14.25" customHeight="1">
      <c r="A12671" s="740"/>
    </row>
    <row r="12672" ht="14.25" customHeight="1">
      <c r="A12672" s="740"/>
    </row>
    <row r="12673" ht="14.25" customHeight="1">
      <c r="A12673" s="740"/>
    </row>
    <row r="12674" ht="14.25" customHeight="1">
      <c r="A12674" s="740"/>
    </row>
    <row r="12675" ht="14.25" customHeight="1">
      <c r="A12675" s="740"/>
    </row>
    <row r="12676" ht="14.25" customHeight="1">
      <c r="A12676" s="740"/>
    </row>
    <row r="12677" ht="14.25" customHeight="1">
      <c r="A12677" s="740"/>
    </row>
    <row r="12678" ht="14.25" customHeight="1">
      <c r="A12678" s="740"/>
    </row>
    <row r="12679" ht="14.25" customHeight="1">
      <c r="A12679" s="740"/>
    </row>
    <row r="12680" ht="14.25" customHeight="1">
      <c r="A12680" s="740"/>
    </row>
    <row r="12681" ht="14.25" customHeight="1">
      <c r="A12681" s="740"/>
    </row>
    <row r="12682" ht="14.25" customHeight="1">
      <c r="A12682" s="740"/>
    </row>
    <row r="12683" ht="14.25" customHeight="1">
      <c r="A12683" s="740"/>
    </row>
    <row r="12684" ht="14.25" customHeight="1">
      <c r="A12684" s="740"/>
    </row>
    <row r="12685" ht="14.25" customHeight="1">
      <c r="A12685" s="740"/>
    </row>
    <row r="12686" ht="14.25" customHeight="1">
      <c r="A12686" s="740"/>
    </row>
    <row r="12687" ht="14.25" customHeight="1">
      <c r="A12687" s="740"/>
    </row>
    <row r="12688" ht="14.25" customHeight="1">
      <c r="A12688" s="740"/>
    </row>
    <row r="12689" ht="14.25" customHeight="1">
      <c r="A12689" s="740"/>
    </row>
    <row r="12690" ht="14.25" customHeight="1">
      <c r="A12690" s="740"/>
    </row>
    <row r="12691" ht="14.25" customHeight="1">
      <c r="A12691" s="740"/>
    </row>
    <row r="12692" ht="14.25" customHeight="1">
      <c r="A12692" s="740"/>
    </row>
    <row r="12693" ht="14.25" customHeight="1">
      <c r="A12693" s="740"/>
    </row>
    <row r="12694" ht="14.25" customHeight="1">
      <c r="A12694" s="740"/>
    </row>
    <row r="12695" ht="14.25" customHeight="1">
      <c r="A12695" s="740"/>
    </row>
    <row r="12696" ht="14.25" customHeight="1">
      <c r="A12696" s="740"/>
    </row>
    <row r="12697" ht="14.25" customHeight="1">
      <c r="A12697" s="740"/>
    </row>
    <row r="12698" ht="14.25" customHeight="1">
      <c r="A12698" s="740"/>
    </row>
    <row r="12699" ht="14.25" customHeight="1">
      <c r="A12699" s="740"/>
    </row>
    <row r="12700" ht="14.25" customHeight="1">
      <c r="A12700" s="740"/>
    </row>
    <row r="12701" ht="14.25" customHeight="1">
      <c r="A12701" s="740"/>
    </row>
    <row r="12702" ht="14.25" customHeight="1">
      <c r="A12702" s="740"/>
    </row>
    <row r="12703" ht="14.25" customHeight="1">
      <c r="A12703" s="740"/>
    </row>
    <row r="12704" ht="14.25" customHeight="1">
      <c r="A12704" s="740"/>
    </row>
    <row r="12705" ht="14.25" customHeight="1">
      <c r="A12705" s="740"/>
    </row>
    <row r="12706" ht="14.25" customHeight="1">
      <c r="A12706" s="740"/>
    </row>
    <row r="12707" ht="14.25" customHeight="1">
      <c r="A12707" s="740"/>
    </row>
    <row r="12708" ht="14.25" customHeight="1">
      <c r="A12708" s="740"/>
    </row>
    <row r="12709" ht="14.25" customHeight="1">
      <c r="A12709" s="740"/>
    </row>
    <row r="12710" ht="14.25" customHeight="1">
      <c r="A12710" s="740"/>
    </row>
    <row r="12711" ht="14.25" customHeight="1">
      <c r="A12711" s="740"/>
    </row>
    <row r="12712" ht="14.25" customHeight="1">
      <c r="A12712" s="740"/>
    </row>
    <row r="12713" ht="14.25" customHeight="1">
      <c r="A12713" s="740"/>
    </row>
    <row r="12714" ht="14.25" customHeight="1">
      <c r="A12714" s="740"/>
    </row>
    <row r="12715" ht="14.25" customHeight="1">
      <c r="A12715" s="740"/>
    </row>
    <row r="12716" ht="14.25" customHeight="1">
      <c r="A12716" s="740"/>
    </row>
    <row r="12717" ht="14.25" customHeight="1">
      <c r="A12717" s="740"/>
    </row>
    <row r="12718" ht="14.25" customHeight="1">
      <c r="A12718" s="740"/>
    </row>
    <row r="12719" ht="14.25" customHeight="1">
      <c r="A12719" s="740"/>
    </row>
    <row r="12720" ht="14.25" customHeight="1">
      <c r="A12720" s="740"/>
    </row>
    <row r="12721" ht="14.25" customHeight="1">
      <c r="A12721" s="740"/>
    </row>
    <row r="12722" ht="14.25" customHeight="1">
      <c r="A12722" s="740"/>
    </row>
    <row r="12723" ht="14.25" customHeight="1">
      <c r="A12723" s="740"/>
    </row>
    <row r="12724" ht="14.25" customHeight="1">
      <c r="A12724" s="740"/>
    </row>
    <row r="12725" ht="14.25" customHeight="1">
      <c r="A12725" s="740"/>
    </row>
    <row r="12726" ht="14.25" customHeight="1">
      <c r="A12726" s="740"/>
    </row>
    <row r="12727" ht="14.25" customHeight="1">
      <c r="A12727" s="740"/>
    </row>
    <row r="12728" ht="14.25" customHeight="1">
      <c r="A12728" s="740"/>
    </row>
    <row r="12729" ht="14.25" customHeight="1">
      <c r="A12729" s="740"/>
    </row>
    <row r="12730" ht="14.25" customHeight="1">
      <c r="A12730" s="740"/>
    </row>
    <row r="12731" ht="14.25" customHeight="1">
      <c r="A12731" s="740"/>
    </row>
    <row r="12732" ht="14.25" customHeight="1">
      <c r="A12732" s="740"/>
    </row>
    <row r="12733" ht="14.25" customHeight="1">
      <c r="A12733" s="740"/>
    </row>
    <row r="12734" ht="14.25" customHeight="1">
      <c r="A12734" s="740"/>
    </row>
    <row r="12735" ht="14.25" customHeight="1">
      <c r="A12735" s="740"/>
    </row>
    <row r="12736" ht="14.25" customHeight="1">
      <c r="A12736" s="740"/>
    </row>
    <row r="12737" ht="14.25" customHeight="1">
      <c r="A12737" s="740"/>
    </row>
    <row r="12738" ht="14.25" customHeight="1">
      <c r="A12738" s="740"/>
    </row>
    <row r="12739" ht="14.25" customHeight="1">
      <c r="A12739" s="740"/>
    </row>
    <row r="12740" ht="14.25" customHeight="1">
      <c r="A12740" s="740"/>
    </row>
    <row r="12741" ht="14.25" customHeight="1">
      <c r="A12741" s="740"/>
    </row>
    <row r="12742" ht="14.25" customHeight="1">
      <c r="A12742" s="740"/>
    </row>
    <row r="12743" ht="14.25" customHeight="1">
      <c r="A12743" s="740"/>
    </row>
    <row r="12744" ht="14.25" customHeight="1">
      <c r="A12744" s="740"/>
    </row>
    <row r="12745" ht="14.25" customHeight="1">
      <c r="A12745" s="740"/>
    </row>
    <row r="12746" ht="14.25" customHeight="1">
      <c r="A12746" s="740"/>
    </row>
    <row r="12747" ht="14.25" customHeight="1">
      <c r="A12747" s="740"/>
    </row>
    <row r="12748" ht="14.25" customHeight="1">
      <c r="A12748" s="740"/>
    </row>
    <row r="12749" ht="14.25" customHeight="1">
      <c r="A12749" s="740"/>
    </row>
    <row r="12750" ht="14.25" customHeight="1">
      <c r="A12750" s="740"/>
    </row>
    <row r="12751" ht="14.25" customHeight="1">
      <c r="A12751" s="740"/>
    </row>
    <row r="12752" ht="14.25" customHeight="1">
      <c r="A12752" s="740"/>
    </row>
    <row r="12753" ht="14.25" customHeight="1">
      <c r="A12753" s="740"/>
    </row>
    <row r="12754" ht="14.25" customHeight="1">
      <c r="A12754" s="740"/>
    </row>
    <row r="12755" ht="14.25" customHeight="1">
      <c r="A12755" s="740"/>
    </row>
    <row r="12756" ht="14.25" customHeight="1">
      <c r="A12756" s="740"/>
    </row>
    <row r="12757" ht="14.25" customHeight="1">
      <c r="A12757" s="740"/>
    </row>
    <row r="12758" ht="14.25" customHeight="1">
      <c r="A12758" s="740"/>
    </row>
    <row r="12759" ht="14.25" customHeight="1">
      <c r="A12759" s="740"/>
    </row>
    <row r="12760" ht="14.25" customHeight="1">
      <c r="A12760" s="740"/>
    </row>
    <row r="12761" ht="14.25" customHeight="1">
      <c r="A12761" s="740"/>
    </row>
    <row r="12762" ht="14.25" customHeight="1">
      <c r="A12762" s="740"/>
    </row>
    <row r="12763" ht="14.25" customHeight="1">
      <c r="A12763" s="740"/>
    </row>
    <row r="12764" ht="14.25" customHeight="1">
      <c r="A12764" s="740"/>
    </row>
    <row r="12765" ht="14.25" customHeight="1">
      <c r="A12765" s="740"/>
    </row>
    <row r="12766" ht="14.25" customHeight="1">
      <c r="A12766" s="740"/>
    </row>
    <row r="12767" ht="14.25" customHeight="1">
      <c r="A12767" s="740"/>
    </row>
    <row r="12768" ht="14.25" customHeight="1">
      <c r="A12768" s="740"/>
    </row>
    <row r="12769" ht="14.25" customHeight="1">
      <c r="A12769" s="740"/>
    </row>
    <row r="12770" ht="14.25" customHeight="1">
      <c r="A12770" s="740"/>
    </row>
    <row r="12771" ht="14.25" customHeight="1">
      <c r="A12771" s="740"/>
    </row>
    <row r="12772" ht="14.25" customHeight="1">
      <c r="A12772" s="740"/>
    </row>
    <row r="12773" ht="14.25" customHeight="1">
      <c r="A12773" s="740"/>
    </row>
    <row r="12774" ht="14.25" customHeight="1">
      <c r="A12774" s="740"/>
    </row>
    <row r="12775" ht="14.25" customHeight="1">
      <c r="A12775" s="740"/>
    </row>
    <row r="12776" ht="14.25" customHeight="1">
      <c r="A12776" s="740"/>
    </row>
    <row r="12777" ht="14.25" customHeight="1">
      <c r="A12777" s="740"/>
    </row>
    <row r="12778" ht="14.25" customHeight="1">
      <c r="A12778" s="740"/>
    </row>
    <row r="12779" ht="14.25" customHeight="1">
      <c r="A12779" s="740"/>
    </row>
    <row r="12780" ht="14.25" customHeight="1">
      <c r="A12780" s="740"/>
    </row>
    <row r="12781" ht="14.25" customHeight="1">
      <c r="A12781" s="740"/>
    </row>
    <row r="12782" ht="14.25" customHeight="1">
      <c r="A12782" s="740"/>
    </row>
    <row r="12783" ht="14.25" customHeight="1">
      <c r="A12783" s="740"/>
    </row>
    <row r="12784" ht="14.25" customHeight="1">
      <c r="A12784" s="740"/>
    </row>
    <row r="12785" ht="14.25" customHeight="1">
      <c r="A12785" s="740"/>
    </row>
    <row r="12786" ht="14.25" customHeight="1">
      <c r="A12786" s="740"/>
    </row>
    <row r="12787" ht="14.25" customHeight="1">
      <c r="A12787" s="740"/>
    </row>
    <row r="12788" ht="14.25" customHeight="1">
      <c r="A12788" s="740"/>
    </row>
    <row r="12789" ht="14.25" customHeight="1">
      <c r="A12789" s="740"/>
    </row>
    <row r="12790" ht="14.25" customHeight="1">
      <c r="A12790" s="740"/>
    </row>
    <row r="12791" ht="14.25" customHeight="1">
      <c r="A12791" s="740"/>
    </row>
    <row r="12792" ht="14.25" customHeight="1">
      <c r="A12792" s="740"/>
    </row>
    <row r="12793" ht="14.25" customHeight="1">
      <c r="A12793" s="740"/>
    </row>
    <row r="12794" ht="14.25" customHeight="1">
      <c r="A12794" s="740"/>
    </row>
    <row r="12795" ht="14.25" customHeight="1">
      <c r="A12795" s="740"/>
    </row>
    <row r="12796" ht="14.25" customHeight="1">
      <c r="A12796" s="740"/>
    </row>
    <row r="12797" ht="14.25" customHeight="1">
      <c r="A12797" s="740"/>
    </row>
    <row r="12798" ht="14.25" customHeight="1">
      <c r="A12798" s="740"/>
    </row>
    <row r="12799" ht="14.25" customHeight="1">
      <c r="A12799" s="740"/>
    </row>
    <row r="12800" ht="14.25" customHeight="1">
      <c r="A12800" s="740"/>
    </row>
    <row r="12801" ht="14.25" customHeight="1">
      <c r="A12801" s="740"/>
    </row>
    <row r="12802" ht="14.25" customHeight="1">
      <c r="A12802" s="740"/>
    </row>
    <row r="12803" ht="14.25" customHeight="1">
      <c r="A12803" s="740"/>
    </row>
    <row r="12804" ht="14.25" customHeight="1">
      <c r="A12804" s="740"/>
    </row>
    <row r="12805" ht="14.25" customHeight="1">
      <c r="A12805" s="740"/>
    </row>
    <row r="12806" ht="14.25" customHeight="1">
      <c r="A12806" s="740"/>
    </row>
    <row r="12807" ht="14.25" customHeight="1">
      <c r="A12807" s="740"/>
    </row>
    <row r="12808" ht="14.25" customHeight="1">
      <c r="A12808" s="740"/>
    </row>
    <row r="12809" ht="14.25" customHeight="1">
      <c r="A12809" s="740"/>
    </row>
    <row r="12810" ht="14.25" customHeight="1">
      <c r="A12810" s="740"/>
    </row>
    <row r="12811" ht="14.25" customHeight="1">
      <c r="A12811" s="740"/>
    </row>
    <row r="12812" ht="14.25" customHeight="1">
      <c r="A12812" s="740"/>
    </row>
    <row r="12813" ht="14.25" customHeight="1">
      <c r="A12813" s="740"/>
    </row>
    <row r="12814" ht="14.25" customHeight="1">
      <c r="A12814" s="740"/>
    </row>
    <row r="12815" ht="14.25" customHeight="1">
      <c r="A12815" s="740"/>
    </row>
    <row r="12816" ht="14.25" customHeight="1">
      <c r="A12816" s="740"/>
    </row>
    <row r="12817" ht="14.25" customHeight="1">
      <c r="A12817" s="740"/>
    </row>
    <row r="12818" ht="14.25" customHeight="1">
      <c r="A12818" s="740"/>
    </row>
    <row r="12819" ht="14.25" customHeight="1">
      <c r="A12819" s="740"/>
    </row>
    <row r="12820" ht="14.25" customHeight="1">
      <c r="A12820" s="740"/>
    </row>
    <row r="12821" ht="14.25" customHeight="1">
      <c r="A12821" s="740"/>
    </row>
    <row r="12822" ht="14.25" customHeight="1">
      <c r="A12822" s="740"/>
    </row>
    <row r="12823" ht="14.25" customHeight="1">
      <c r="A12823" s="740"/>
    </row>
    <row r="12824" ht="14.25" customHeight="1">
      <c r="A12824" s="740"/>
    </row>
    <row r="12825" ht="14.25" customHeight="1">
      <c r="A12825" s="740"/>
    </row>
    <row r="12826" ht="14.25" customHeight="1">
      <c r="A12826" s="740"/>
    </row>
    <row r="12827" ht="14.25" customHeight="1">
      <c r="A12827" s="740"/>
    </row>
    <row r="12828" ht="14.25" customHeight="1">
      <c r="A12828" s="740"/>
    </row>
    <row r="12829" ht="14.25" customHeight="1">
      <c r="A12829" s="740"/>
    </row>
    <row r="12830" ht="14.25" customHeight="1">
      <c r="A12830" s="740"/>
    </row>
    <row r="12831" ht="14.25" customHeight="1">
      <c r="A12831" s="740"/>
    </row>
    <row r="12832" ht="14.25" customHeight="1">
      <c r="A12832" s="740"/>
    </row>
    <row r="12833" ht="14.25" customHeight="1">
      <c r="A12833" s="740"/>
    </row>
    <row r="12834" ht="14.25" customHeight="1">
      <c r="A12834" s="740"/>
    </row>
    <row r="12835" ht="14.25" customHeight="1">
      <c r="A12835" s="740"/>
    </row>
    <row r="12836" ht="14.25" customHeight="1">
      <c r="A12836" s="740"/>
    </row>
    <row r="12837" ht="14.25" customHeight="1">
      <c r="A12837" s="740"/>
    </row>
    <row r="12838" ht="14.25" customHeight="1">
      <c r="A12838" s="740"/>
    </row>
    <row r="12839" ht="14.25" customHeight="1">
      <c r="A12839" s="740"/>
    </row>
    <row r="12840" ht="14.25" customHeight="1">
      <c r="A12840" s="740"/>
    </row>
    <row r="12841" ht="14.25" customHeight="1">
      <c r="A12841" s="740"/>
    </row>
    <row r="12842" ht="14.25" customHeight="1">
      <c r="A12842" s="740"/>
    </row>
    <row r="12843" ht="14.25" customHeight="1">
      <c r="A12843" s="740"/>
    </row>
    <row r="12844" ht="14.25" customHeight="1">
      <c r="A12844" s="740"/>
    </row>
    <row r="12845" ht="14.25" customHeight="1">
      <c r="A12845" s="740"/>
    </row>
    <row r="12846" ht="14.25" customHeight="1">
      <c r="A12846" s="740"/>
    </row>
    <row r="12847" ht="14.25" customHeight="1">
      <c r="A12847" s="740"/>
    </row>
    <row r="12848" ht="14.25" customHeight="1">
      <c r="A12848" s="740"/>
    </row>
    <row r="12849" ht="14.25" customHeight="1">
      <c r="A12849" s="740"/>
    </row>
    <row r="12850" ht="14.25" customHeight="1">
      <c r="A12850" s="740"/>
    </row>
    <row r="12851" ht="14.25" customHeight="1">
      <c r="A12851" s="740"/>
    </row>
    <row r="12852" ht="14.25" customHeight="1">
      <c r="A12852" s="740"/>
    </row>
    <row r="12853" ht="14.25" customHeight="1">
      <c r="A12853" s="740"/>
    </row>
    <row r="12854" ht="14.25" customHeight="1">
      <c r="A12854" s="740"/>
    </row>
    <row r="12855" ht="14.25" customHeight="1">
      <c r="A12855" s="740"/>
    </row>
    <row r="12856" ht="14.25" customHeight="1">
      <c r="A12856" s="740"/>
    </row>
    <row r="12857" ht="14.25" customHeight="1">
      <c r="A12857" s="740"/>
    </row>
    <row r="12858" ht="14.25" customHeight="1">
      <c r="A12858" s="740"/>
    </row>
    <row r="12859" ht="14.25" customHeight="1">
      <c r="A12859" s="740"/>
    </row>
    <row r="12860" ht="14.25" customHeight="1">
      <c r="A12860" s="740"/>
    </row>
    <row r="12861" ht="14.25" customHeight="1">
      <c r="A12861" s="740"/>
    </row>
    <row r="12862" ht="14.25" customHeight="1">
      <c r="A12862" s="740"/>
    </row>
    <row r="12863" ht="14.25" customHeight="1">
      <c r="A12863" s="740"/>
    </row>
    <row r="12864" ht="14.25" customHeight="1">
      <c r="A12864" s="740"/>
    </row>
    <row r="12865" ht="14.25" customHeight="1">
      <c r="A12865" s="740"/>
    </row>
    <row r="12866" ht="14.25" customHeight="1">
      <c r="A12866" s="740"/>
    </row>
    <row r="12867" ht="14.25" customHeight="1">
      <c r="A12867" s="740"/>
    </row>
    <row r="12868" ht="14.25" customHeight="1">
      <c r="A12868" s="740"/>
    </row>
    <row r="12869" ht="14.25" customHeight="1">
      <c r="A12869" s="740"/>
    </row>
    <row r="12870" ht="14.25" customHeight="1">
      <c r="A12870" s="740"/>
    </row>
    <row r="12871" ht="14.25" customHeight="1">
      <c r="A12871" s="740"/>
    </row>
    <row r="12872" ht="14.25" customHeight="1">
      <c r="A12872" s="740"/>
    </row>
    <row r="12873" ht="14.25" customHeight="1">
      <c r="A12873" s="740"/>
    </row>
    <row r="12874" ht="14.25" customHeight="1">
      <c r="A12874" s="740"/>
    </row>
    <row r="12875" ht="14.25" customHeight="1">
      <c r="A12875" s="740"/>
    </row>
    <row r="12876" ht="14.25" customHeight="1">
      <c r="A12876" s="740"/>
    </row>
    <row r="12877" ht="14.25" customHeight="1">
      <c r="A12877" s="740"/>
    </row>
    <row r="12878" ht="14.25" customHeight="1">
      <c r="A12878" s="740"/>
    </row>
    <row r="12879" ht="14.25" customHeight="1">
      <c r="A12879" s="740"/>
    </row>
    <row r="12880" ht="14.25" customHeight="1">
      <c r="A12880" s="740"/>
    </row>
    <row r="12881" ht="14.25" customHeight="1">
      <c r="A12881" s="740"/>
    </row>
    <row r="12882" ht="14.25" customHeight="1">
      <c r="A12882" s="740"/>
    </row>
    <row r="12883" ht="14.25" customHeight="1">
      <c r="A12883" s="740"/>
    </row>
    <row r="12884" ht="14.25" customHeight="1">
      <c r="A12884" s="740"/>
    </row>
    <row r="12885" ht="14.25" customHeight="1">
      <c r="A12885" s="740"/>
    </row>
    <row r="12886" ht="14.25" customHeight="1">
      <c r="A12886" s="740"/>
    </row>
    <row r="12887" ht="14.25" customHeight="1">
      <c r="A12887" s="740"/>
    </row>
    <row r="12888" ht="14.25" customHeight="1">
      <c r="A12888" s="740"/>
    </row>
    <row r="12889" ht="14.25" customHeight="1">
      <c r="A12889" s="740"/>
    </row>
    <row r="12890" ht="14.25" customHeight="1">
      <c r="A12890" s="740"/>
    </row>
    <row r="12891" ht="14.25" customHeight="1">
      <c r="A12891" s="740"/>
    </row>
    <row r="12892" ht="14.25" customHeight="1">
      <c r="A12892" s="740"/>
    </row>
    <row r="12893" ht="14.25" customHeight="1">
      <c r="A12893" s="740"/>
    </row>
    <row r="12894" ht="14.25" customHeight="1">
      <c r="A12894" s="740"/>
    </row>
    <row r="12895" ht="14.25" customHeight="1">
      <c r="A12895" s="740"/>
    </row>
    <row r="12896" ht="14.25" customHeight="1">
      <c r="A12896" s="740"/>
    </row>
    <row r="12897" ht="14.25" customHeight="1">
      <c r="A12897" s="740"/>
    </row>
    <row r="12898" ht="14.25" customHeight="1">
      <c r="A12898" s="740"/>
    </row>
    <row r="12899" ht="14.25" customHeight="1">
      <c r="A12899" s="740"/>
    </row>
    <row r="12900" ht="14.25" customHeight="1">
      <c r="A12900" s="740"/>
    </row>
    <row r="12901" ht="14.25" customHeight="1">
      <c r="A12901" s="740"/>
    </row>
    <row r="12902" ht="14.25" customHeight="1">
      <c r="A12902" s="740"/>
    </row>
    <row r="12903" ht="14.25" customHeight="1">
      <c r="A12903" s="740"/>
    </row>
    <row r="12904" ht="14.25" customHeight="1">
      <c r="A12904" s="740"/>
    </row>
    <row r="12905" ht="14.25" customHeight="1">
      <c r="A12905" s="740"/>
    </row>
    <row r="12906" ht="14.25" customHeight="1">
      <c r="A12906" s="740"/>
    </row>
    <row r="12907" ht="14.25" customHeight="1">
      <c r="A12907" s="740"/>
    </row>
    <row r="12908" ht="14.25" customHeight="1">
      <c r="A12908" s="740"/>
    </row>
    <row r="12909" ht="14.25" customHeight="1">
      <c r="A12909" s="740"/>
    </row>
    <row r="12910" ht="14.25" customHeight="1">
      <c r="A12910" s="740"/>
    </row>
    <row r="12911" ht="14.25" customHeight="1">
      <c r="A12911" s="740"/>
    </row>
    <row r="12912" ht="14.25" customHeight="1">
      <c r="A12912" s="740"/>
    </row>
    <row r="12913" ht="14.25" customHeight="1">
      <c r="A12913" s="740"/>
    </row>
    <row r="12914" ht="14.25" customHeight="1">
      <c r="A12914" s="740"/>
    </row>
    <row r="12915" ht="14.25" customHeight="1">
      <c r="A12915" s="740"/>
    </row>
    <row r="12916" ht="14.25" customHeight="1">
      <c r="A12916" s="740"/>
    </row>
    <row r="12917" ht="14.25" customHeight="1">
      <c r="A12917" s="740"/>
    </row>
    <row r="12918" ht="14.25" customHeight="1">
      <c r="A12918" s="740"/>
    </row>
    <row r="12919" ht="14.25" customHeight="1">
      <c r="A12919" s="740"/>
    </row>
    <row r="12920" ht="14.25" customHeight="1">
      <c r="A12920" s="740"/>
    </row>
    <row r="12921" ht="14.25" customHeight="1">
      <c r="A12921" s="740"/>
    </row>
    <row r="12922" ht="14.25" customHeight="1">
      <c r="A12922" s="740"/>
    </row>
    <row r="12923" ht="14.25" customHeight="1">
      <c r="A12923" s="740"/>
    </row>
    <row r="12924" ht="14.25" customHeight="1">
      <c r="A12924" s="740"/>
    </row>
    <row r="12925" ht="14.25" customHeight="1">
      <c r="A12925" s="740"/>
    </row>
    <row r="12926" ht="14.25" customHeight="1">
      <c r="A12926" s="740"/>
    </row>
    <row r="12927" ht="14.25" customHeight="1">
      <c r="A12927" s="740"/>
    </row>
    <row r="12928" ht="14.25" customHeight="1">
      <c r="A12928" s="740"/>
    </row>
    <row r="12929" ht="14.25" customHeight="1">
      <c r="A12929" s="740"/>
    </row>
    <row r="12930" ht="14.25" customHeight="1">
      <c r="A12930" s="740"/>
    </row>
    <row r="12931" ht="14.25" customHeight="1">
      <c r="A12931" s="740"/>
    </row>
    <row r="12932" ht="14.25" customHeight="1">
      <c r="A12932" s="740"/>
    </row>
    <row r="12933" ht="14.25" customHeight="1">
      <c r="A12933" s="740"/>
    </row>
    <row r="12934" ht="14.25" customHeight="1">
      <c r="A12934" s="740"/>
    </row>
    <row r="12935" ht="14.25" customHeight="1">
      <c r="A12935" s="740"/>
    </row>
    <row r="12936" ht="14.25" customHeight="1">
      <c r="A12936" s="740"/>
    </row>
    <row r="12937" ht="14.25" customHeight="1">
      <c r="A12937" s="740"/>
    </row>
    <row r="12938" ht="14.25" customHeight="1">
      <c r="A12938" s="740"/>
    </row>
    <row r="12939" ht="14.25" customHeight="1">
      <c r="A12939" s="740"/>
    </row>
    <row r="12940" ht="14.25" customHeight="1">
      <c r="A12940" s="740"/>
    </row>
    <row r="12941" ht="14.25" customHeight="1">
      <c r="A12941" s="740"/>
    </row>
    <row r="12942" ht="14.25" customHeight="1">
      <c r="A12942" s="740"/>
    </row>
    <row r="12943" ht="14.25" customHeight="1">
      <c r="A12943" s="740"/>
    </row>
    <row r="12944" ht="14.25" customHeight="1">
      <c r="A12944" s="740"/>
    </row>
    <row r="12945" ht="14.25" customHeight="1">
      <c r="A12945" s="740"/>
    </row>
    <row r="12946" ht="14.25" customHeight="1">
      <c r="A12946" s="740"/>
    </row>
    <row r="12947" ht="14.25" customHeight="1">
      <c r="A12947" s="740"/>
    </row>
    <row r="12948" ht="14.25" customHeight="1">
      <c r="A12948" s="740"/>
    </row>
    <row r="12949" ht="14.25" customHeight="1">
      <c r="A12949" s="740"/>
    </row>
    <row r="12950" ht="14.25" customHeight="1">
      <c r="A12950" s="740"/>
    </row>
    <row r="12951" ht="14.25" customHeight="1">
      <c r="A12951" s="740"/>
    </row>
    <row r="12952" ht="14.25" customHeight="1">
      <c r="A12952" s="740"/>
    </row>
    <row r="12953" ht="14.25" customHeight="1">
      <c r="A12953" s="740"/>
    </row>
    <row r="12954" ht="14.25" customHeight="1">
      <c r="A12954" s="740"/>
    </row>
    <row r="12955" ht="14.25" customHeight="1">
      <c r="A12955" s="740"/>
    </row>
    <row r="12956" ht="14.25" customHeight="1">
      <c r="A12956" s="740"/>
    </row>
    <row r="12957" ht="14.25" customHeight="1">
      <c r="A12957" s="740"/>
    </row>
    <row r="12958" ht="14.25" customHeight="1">
      <c r="A12958" s="740"/>
    </row>
    <row r="12959" ht="14.25" customHeight="1">
      <c r="A12959" s="740"/>
    </row>
    <row r="12960" ht="14.25" customHeight="1">
      <c r="A12960" s="740"/>
    </row>
    <row r="12961" ht="14.25" customHeight="1">
      <c r="A12961" s="740"/>
    </row>
    <row r="12962" ht="14.25" customHeight="1">
      <c r="A12962" s="740"/>
    </row>
    <row r="12963" ht="14.25" customHeight="1">
      <c r="A12963" s="740"/>
    </row>
    <row r="12964" ht="14.25" customHeight="1">
      <c r="A12964" s="740"/>
    </row>
    <row r="12965" ht="14.25" customHeight="1">
      <c r="A12965" s="740"/>
    </row>
    <row r="12966" ht="14.25" customHeight="1">
      <c r="A12966" s="740"/>
    </row>
    <row r="12967" ht="14.25" customHeight="1">
      <c r="A12967" s="740"/>
    </row>
    <row r="12968" ht="14.25" customHeight="1">
      <c r="A12968" s="740"/>
    </row>
    <row r="12969" ht="14.25" customHeight="1">
      <c r="A12969" s="740"/>
    </row>
    <row r="12970" ht="14.25" customHeight="1">
      <c r="A12970" s="740"/>
    </row>
    <row r="12971" ht="14.25" customHeight="1">
      <c r="A12971" s="740"/>
    </row>
    <row r="12972" ht="14.25" customHeight="1">
      <c r="A12972" s="740"/>
    </row>
    <row r="12973" ht="14.25" customHeight="1">
      <c r="A12973" s="740"/>
    </row>
    <row r="12974" ht="14.25" customHeight="1">
      <c r="A12974" s="740"/>
    </row>
    <row r="12975" ht="14.25" customHeight="1">
      <c r="A12975" s="740"/>
    </row>
    <row r="12976" ht="14.25" customHeight="1">
      <c r="A12976" s="740"/>
    </row>
    <row r="12977" ht="14.25" customHeight="1">
      <c r="A12977" s="740"/>
    </row>
    <row r="12978" ht="14.25" customHeight="1">
      <c r="A12978" s="740"/>
    </row>
    <row r="12979" ht="14.25" customHeight="1">
      <c r="A12979" s="740"/>
    </row>
    <row r="12980" ht="14.25" customHeight="1">
      <c r="A12980" s="740"/>
    </row>
    <row r="12981" ht="14.25" customHeight="1">
      <c r="A12981" s="740"/>
    </row>
    <row r="12982" ht="14.25" customHeight="1">
      <c r="A12982" s="740"/>
    </row>
    <row r="12983" ht="14.25" customHeight="1">
      <c r="A12983" s="740"/>
    </row>
    <row r="12984" ht="14.25" customHeight="1">
      <c r="A12984" s="740"/>
    </row>
    <row r="12985" ht="14.25" customHeight="1">
      <c r="A12985" s="740"/>
    </row>
    <row r="12986" ht="14.25" customHeight="1">
      <c r="A12986" s="740"/>
    </row>
    <row r="12987" ht="14.25" customHeight="1">
      <c r="A12987" s="740"/>
    </row>
    <row r="12988" ht="14.25" customHeight="1">
      <c r="A12988" s="740"/>
    </row>
    <row r="12989" ht="14.25" customHeight="1">
      <c r="A12989" s="740"/>
    </row>
    <row r="12990" ht="14.25" customHeight="1">
      <c r="A12990" s="740"/>
    </row>
    <row r="12991" ht="14.25" customHeight="1">
      <c r="A12991" s="740"/>
    </row>
    <row r="12992" ht="14.25" customHeight="1">
      <c r="A12992" s="740"/>
    </row>
    <row r="12993" ht="14.25" customHeight="1">
      <c r="A12993" s="740"/>
    </row>
    <row r="12994" ht="14.25" customHeight="1">
      <c r="A12994" s="740"/>
    </row>
    <row r="12995" ht="14.25" customHeight="1">
      <c r="A12995" s="740"/>
    </row>
    <row r="12996" ht="14.25" customHeight="1">
      <c r="A12996" s="740"/>
    </row>
    <row r="12997" ht="14.25" customHeight="1">
      <c r="A12997" s="740"/>
    </row>
    <row r="12998" ht="14.25" customHeight="1">
      <c r="A12998" s="740"/>
    </row>
    <row r="12999" ht="14.25" customHeight="1">
      <c r="A12999" s="740"/>
    </row>
    <row r="13000" ht="14.25" customHeight="1">
      <c r="A13000" s="740"/>
    </row>
    <row r="13001" ht="14.25" customHeight="1">
      <c r="A13001" s="740"/>
    </row>
    <row r="13002" ht="14.25" customHeight="1">
      <c r="A13002" s="740"/>
    </row>
    <row r="13003" ht="14.25" customHeight="1">
      <c r="A13003" s="740"/>
    </row>
    <row r="13004" ht="14.25" customHeight="1">
      <c r="A13004" s="740"/>
    </row>
    <row r="13005" ht="14.25" customHeight="1">
      <c r="A13005" s="740"/>
    </row>
    <row r="13006" ht="14.25" customHeight="1">
      <c r="A13006" s="740"/>
    </row>
    <row r="13007" ht="14.25" customHeight="1">
      <c r="A13007" s="740"/>
    </row>
    <row r="13008" ht="14.25" customHeight="1">
      <c r="A13008" s="740"/>
    </row>
    <row r="13009" ht="14.25" customHeight="1">
      <c r="A13009" s="740"/>
    </row>
    <row r="13010" ht="14.25" customHeight="1">
      <c r="A13010" s="740"/>
    </row>
    <row r="13011" ht="14.25" customHeight="1">
      <c r="A13011" s="740"/>
    </row>
    <row r="13012" ht="14.25" customHeight="1">
      <c r="A13012" s="740"/>
    </row>
    <row r="13013" ht="14.25" customHeight="1">
      <c r="A13013" s="740"/>
    </row>
    <row r="13014" ht="14.25" customHeight="1">
      <c r="A13014" s="740"/>
    </row>
    <row r="13015" ht="14.25" customHeight="1">
      <c r="A13015" s="740"/>
    </row>
    <row r="13016" ht="14.25" customHeight="1">
      <c r="A13016" s="740"/>
    </row>
    <row r="13017" ht="14.25" customHeight="1">
      <c r="A13017" s="740"/>
    </row>
    <row r="13018" ht="14.25" customHeight="1">
      <c r="A13018" s="740"/>
    </row>
    <row r="13019" ht="14.25" customHeight="1">
      <c r="A13019" s="740"/>
    </row>
    <row r="13020" ht="14.25" customHeight="1">
      <c r="A13020" s="740"/>
    </row>
    <row r="13021" ht="14.25" customHeight="1">
      <c r="A13021" s="740"/>
    </row>
    <row r="13022" ht="14.25" customHeight="1">
      <c r="A13022" s="740"/>
    </row>
    <row r="13023" ht="14.25" customHeight="1">
      <c r="A13023" s="740"/>
    </row>
    <row r="13024" ht="14.25" customHeight="1">
      <c r="A13024" s="740"/>
    </row>
    <row r="13025" ht="14.25" customHeight="1">
      <c r="A13025" s="740"/>
    </row>
    <row r="13026" ht="14.25" customHeight="1">
      <c r="A13026" s="740"/>
    </row>
    <row r="13027" ht="14.25" customHeight="1">
      <c r="A13027" s="740"/>
    </row>
    <row r="13028" ht="14.25" customHeight="1">
      <c r="A13028" s="740"/>
    </row>
    <row r="13029" ht="14.25" customHeight="1">
      <c r="A13029" s="740"/>
    </row>
    <row r="13030" ht="14.25" customHeight="1">
      <c r="A13030" s="740"/>
    </row>
    <row r="13031" ht="14.25" customHeight="1">
      <c r="A13031" s="740"/>
    </row>
    <row r="13032" ht="14.25" customHeight="1">
      <c r="A13032" s="740"/>
    </row>
    <row r="13033" ht="14.25" customHeight="1">
      <c r="A13033" s="740"/>
    </row>
    <row r="13034" ht="14.25" customHeight="1">
      <c r="A13034" s="740"/>
    </row>
    <row r="13035" ht="14.25" customHeight="1">
      <c r="A13035" s="740"/>
    </row>
    <row r="13036" ht="14.25" customHeight="1">
      <c r="A13036" s="740"/>
    </row>
    <row r="13037" ht="14.25" customHeight="1">
      <c r="A13037" s="740"/>
    </row>
    <row r="13038" ht="14.25" customHeight="1">
      <c r="A13038" s="740"/>
    </row>
    <row r="13039" ht="14.25" customHeight="1">
      <c r="A13039" s="740"/>
    </row>
    <row r="13040" ht="14.25" customHeight="1">
      <c r="A13040" s="740"/>
    </row>
    <row r="13041" ht="14.25" customHeight="1">
      <c r="A13041" s="740"/>
    </row>
    <row r="13042" ht="14.25" customHeight="1">
      <c r="A13042" s="740"/>
    </row>
    <row r="13043" ht="14.25" customHeight="1">
      <c r="A13043" s="740"/>
    </row>
    <row r="13044" ht="14.25" customHeight="1">
      <c r="A13044" s="740"/>
    </row>
    <row r="13045" ht="14.25" customHeight="1">
      <c r="A13045" s="740"/>
    </row>
    <row r="13046" ht="14.25" customHeight="1">
      <c r="A13046" s="740"/>
    </row>
    <row r="13047" ht="14.25" customHeight="1">
      <c r="A13047" s="740"/>
    </row>
    <row r="13048" ht="14.25" customHeight="1">
      <c r="A13048" s="740"/>
    </row>
    <row r="13049" ht="14.25" customHeight="1">
      <c r="A13049" s="740"/>
    </row>
    <row r="13050" ht="14.25" customHeight="1">
      <c r="A13050" s="740"/>
    </row>
    <row r="13051" ht="14.25" customHeight="1">
      <c r="A13051" s="740"/>
    </row>
    <row r="13052" ht="14.25" customHeight="1">
      <c r="A13052" s="740"/>
    </row>
    <row r="13053" ht="14.25" customHeight="1">
      <c r="A13053" s="740"/>
    </row>
    <row r="13054" ht="14.25" customHeight="1">
      <c r="A13054" s="740"/>
    </row>
    <row r="13055" ht="14.25" customHeight="1">
      <c r="A13055" s="740"/>
    </row>
    <row r="13056" ht="14.25" customHeight="1">
      <c r="A13056" s="740"/>
    </row>
    <row r="13057" ht="14.25" customHeight="1">
      <c r="A13057" s="740"/>
    </row>
    <row r="13058" ht="14.25" customHeight="1">
      <c r="A13058" s="740"/>
    </row>
    <row r="13059" ht="14.25" customHeight="1">
      <c r="A13059" s="740"/>
    </row>
    <row r="13060" ht="14.25" customHeight="1">
      <c r="A13060" s="740"/>
    </row>
    <row r="13061" ht="14.25" customHeight="1">
      <c r="A13061" s="740"/>
    </row>
    <row r="13062" ht="14.25" customHeight="1">
      <c r="A13062" s="740"/>
    </row>
    <row r="13063" ht="14.25" customHeight="1">
      <c r="A13063" s="740"/>
    </row>
    <row r="13064" ht="14.25" customHeight="1">
      <c r="A13064" s="740"/>
    </row>
    <row r="13065" ht="14.25" customHeight="1">
      <c r="A13065" s="740"/>
    </row>
    <row r="13066" ht="14.25" customHeight="1">
      <c r="A13066" s="740"/>
    </row>
    <row r="13067" ht="14.25" customHeight="1">
      <c r="A13067" s="740"/>
    </row>
    <row r="13068" ht="14.25" customHeight="1">
      <c r="A13068" s="740"/>
    </row>
    <row r="13069" ht="14.25" customHeight="1">
      <c r="A13069" s="740"/>
    </row>
    <row r="13070" ht="14.25" customHeight="1">
      <c r="A13070" s="740"/>
    </row>
    <row r="13071" ht="14.25" customHeight="1">
      <c r="A13071" s="740"/>
    </row>
    <row r="13072" ht="14.25" customHeight="1">
      <c r="A13072" s="740"/>
    </row>
    <row r="13073" ht="14.25" customHeight="1">
      <c r="A13073" s="740"/>
    </row>
    <row r="13074" ht="14.25" customHeight="1">
      <c r="A13074" s="740"/>
    </row>
    <row r="13075" ht="14.25" customHeight="1">
      <c r="A13075" s="740"/>
    </row>
    <row r="13076" ht="14.25" customHeight="1">
      <c r="A13076" s="740"/>
    </row>
    <row r="13077" ht="14.25" customHeight="1">
      <c r="A13077" s="740"/>
    </row>
    <row r="13078" ht="14.25" customHeight="1">
      <c r="A13078" s="740"/>
    </row>
    <row r="13079" ht="14.25" customHeight="1">
      <c r="A13079" s="740"/>
    </row>
    <row r="13080" ht="14.25" customHeight="1">
      <c r="A13080" s="740"/>
    </row>
    <row r="13081" ht="14.25" customHeight="1">
      <c r="A13081" s="740"/>
    </row>
    <row r="13082" ht="14.25" customHeight="1">
      <c r="A13082" s="740"/>
    </row>
    <row r="13083" ht="14.25" customHeight="1">
      <c r="A13083" s="740"/>
    </row>
    <row r="13084" ht="14.25" customHeight="1">
      <c r="A13084" s="740"/>
    </row>
    <row r="13085" ht="14.25" customHeight="1">
      <c r="A13085" s="740"/>
    </row>
    <row r="13086" ht="14.25" customHeight="1">
      <c r="A13086" s="740"/>
    </row>
    <row r="13087" ht="14.25" customHeight="1">
      <c r="A13087" s="740"/>
    </row>
    <row r="13088" ht="14.25" customHeight="1">
      <c r="A13088" s="740"/>
    </row>
    <row r="13089" ht="14.25" customHeight="1">
      <c r="A13089" s="740"/>
    </row>
    <row r="13090" ht="14.25" customHeight="1">
      <c r="A13090" s="740"/>
    </row>
    <row r="13091" ht="14.25" customHeight="1">
      <c r="A13091" s="740"/>
    </row>
    <row r="13092" ht="14.25" customHeight="1">
      <c r="A13092" s="740"/>
    </row>
    <row r="13093" ht="14.25" customHeight="1">
      <c r="A13093" s="740"/>
    </row>
    <row r="13094" ht="14.25" customHeight="1">
      <c r="A13094" s="740"/>
    </row>
    <row r="13095" ht="14.25" customHeight="1">
      <c r="A13095" s="740"/>
    </row>
    <row r="13096" ht="14.25" customHeight="1">
      <c r="A13096" s="740"/>
    </row>
    <row r="13097" ht="14.25" customHeight="1">
      <c r="A13097" s="740"/>
    </row>
    <row r="13098" ht="14.25" customHeight="1">
      <c r="A13098" s="740"/>
    </row>
    <row r="13099" ht="14.25" customHeight="1">
      <c r="A13099" s="740"/>
    </row>
    <row r="13100" ht="14.25" customHeight="1">
      <c r="A13100" s="740"/>
    </row>
    <row r="13101" ht="14.25" customHeight="1">
      <c r="A13101" s="740"/>
    </row>
    <row r="13102" ht="14.25" customHeight="1">
      <c r="A13102" s="740"/>
    </row>
    <row r="13103" ht="14.25" customHeight="1">
      <c r="A13103" s="740"/>
    </row>
    <row r="13104" ht="14.25" customHeight="1">
      <c r="A13104" s="740"/>
    </row>
    <row r="13105" ht="14.25" customHeight="1">
      <c r="A13105" s="740"/>
    </row>
    <row r="13106" ht="14.25" customHeight="1">
      <c r="A13106" s="740"/>
    </row>
    <row r="13107" ht="14.25" customHeight="1">
      <c r="A13107" s="740"/>
    </row>
    <row r="13108" ht="14.25" customHeight="1">
      <c r="A13108" s="740"/>
    </row>
    <row r="13109" ht="14.25" customHeight="1">
      <c r="A13109" s="740"/>
    </row>
    <row r="13110" ht="14.25" customHeight="1">
      <c r="A13110" s="740"/>
    </row>
    <row r="13111" ht="14.25" customHeight="1">
      <c r="A13111" s="740"/>
    </row>
    <row r="13112" ht="14.25" customHeight="1">
      <c r="A13112" s="740"/>
    </row>
    <row r="13113" ht="14.25" customHeight="1">
      <c r="A13113" s="740"/>
    </row>
    <row r="13114" ht="14.25" customHeight="1">
      <c r="A13114" s="740"/>
    </row>
    <row r="13115" ht="14.25" customHeight="1">
      <c r="A13115" s="740"/>
    </row>
    <row r="13116" ht="14.25" customHeight="1">
      <c r="A13116" s="740"/>
    </row>
    <row r="13117" ht="14.25" customHeight="1">
      <c r="A13117" s="740"/>
    </row>
    <row r="13118" ht="14.25" customHeight="1">
      <c r="A13118" s="740"/>
    </row>
    <row r="13119" ht="14.25" customHeight="1">
      <c r="A13119" s="740"/>
    </row>
    <row r="13120" ht="14.25" customHeight="1">
      <c r="A13120" s="740"/>
    </row>
    <row r="13121" ht="14.25" customHeight="1">
      <c r="A13121" s="740"/>
    </row>
    <row r="13122" ht="14.25" customHeight="1">
      <c r="A13122" s="740"/>
    </row>
    <row r="13123" ht="14.25" customHeight="1">
      <c r="A13123" s="740"/>
    </row>
    <row r="13124" ht="14.25" customHeight="1">
      <c r="A13124" s="740"/>
    </row>
    <row r="13125" ht="14.25" customHeight="1">
      <c r="A13125" s="740"/>
    </row>
    <row r="13126" ht="14.25" customHeight="1">
      <c r="A13126" s="740"/>
    </row>
    <row r="13127" ht="14.25" customHeight="1">
      <c r="A13127" s="740"/>
    </row>
    <row r="13128" ht="14.25" customHeight="1">
      <c r="A13128" s="740"/>
    </row>
    <row r="13129" ht="14.25" customHeight="1">
      <c r="A13129" s="740"/>
    </row>
    <row r="13130" ht="14.25" customHeight="1">
      <c r="A13130" s="740"/>
    </row>
    <row r="13131" ht="14.25" customHeight="1">
      <c r="A13131" s="740"/>
    </row>
    <row r="13132" ht="14.25" customHeight="1">
      <c r="A13132" s="740"/>
    </row>
    <row r="13133" ht="14.25" customHeight="1">
      <c r="A13133" s="740"/>
    </row>
    <row r="13134" ht="14.25" customHeight="1">
      <c r="A13134" s="740"/>
    </row>
    <row r="13135" ht="14.25" customHeight="1">
      <c r="A13135" s="740"/>
    </row>
    <row r="13136" ht="14.25" customHeight="1">
      <c r="A13136" s="740"/>
    </row>
    <row r="13137" ht="14.25" customHeight="1">
      <c r="A13137" s="740"/>
    </row>
    <row r="13138" ht="14.25" customHeight="1">
      <c r="A13138" s="740"/>
    </row>
    <row r="13139" ht="14.25" customHeight="1">
      <c r="A13139" s="740"/>
    </row>
    <row r="13140" ht="14.25" customHeight="1">
      <c r="A13140" s="740"/>
    </row>
    <row r="13141" ht="14.25" customHeight="1">
      <c r="A13141" s="740"/>
    </row>
    <row r="13142" ht="14.25" customHeight="1">
      <c r="A13142" s="740"/>
    </row>
    <row r="13143" ht="14.25" customHeight="1">
      <c r="A13143" s="740"/>
    </row>
    <row r="13144" ht="14.25" customHeight="1">
      <c r="A13144" s="740"/>
    </row>
    <row r="13145" ht="14.25" customHeight="1">
      <c r="A13145" s="740"/>
    </row>
    <row r="13146" ht="14.25" customHeight="1">
      <c r="A13146" s="740"/>
    </row>
    <row r="13147" ht="14.25" customHeight="1">
      <c r="A13147" s="740"/>
    </row>
    <row r="13148" ht="14.25" customHeight="1">
      <c r="A13148" s="740"/>
    </row>
    <row r="13149" ht="14.25" customHeight="1">
      <c r="A13149" s="740"/>
    </row>
    <row r="13150" ht="14.25" customHeight="1">
      <c r="A13150" s="740"/>
    </row>
    <row r="13151" ht="14.25" customHeight="1">
      <c r="A13151" s="740"/>
    </row>
    <row r="13152" ht="14.25" customHeight="1">
      <c r="A13152" s="740"/>
    </row>
    <row r="13153" ht="14.25" customHeight="1">
      <c r="A13153" s="740"/>
    </row>
    <row r="13154" ht="14.25" customHeight="1">
      <c r="A13154" s="740"/>
    </row>
    <row r="13155" ht="14.25" customHeight="1">
      <c r="A13155" s="740"/>
    </row>
    <row r="13156" ht="14.25" customHeight="1">
      <c r="A13156" s="740"/>
    </row>
    <row r="13157" ht="14.25" customHeight="1">
      <c r="A13157" s="740"/>
    </row>
    <row r="13158" ht="14.25" customHeight="1">
      <c r="A13158" s="740"/>
    </row>
    <row r="13159" ht="14.25" customHeight="1">
      <c r="A13159" s="740"/>
    </row>
    <row r="13160" ht="14.25" customHeight="1">
      <c r="A13160" s="740"/>
    </row>
    <row r="13161" ht="14.25" customHeight="1">
      <c r="A13161" s="740"/>
    </row>
    <row r="13162" ht="14.25" customHeight="1">
      <c r="A13162" s="740"/>
    </row>
    <row r="13163" ht="14.25" customHeight="1">
      <c r="A13163" s="740"/>
    </row>
    <row r="13164" ht="14.25" customHeight="1">
      <c r="A13164" s="740"/>
    </row>
    <row r="13165" ht="14.25" customHeight="1">
      <c r="A13165" s="740"/>
    </row>
    <row r="13166" ht="14.25" customHeight="1">
      <c r="A13166" s="740"/>
    </row>
    <row r="13167" ht="14.25" customHeight="1">
      <c r="A13167" s="740"/>
    </row>
    <row r="13168" ht="14.25" customHeight="1">
      <c r="A13168" s="740"/>
    </row>
    <row r="13169" ht="14.25" customHeight="1">
      <c r="A13169" s="740"/>
    </row>
    <row r="13170" ht="14.25" customHeight="1">
      <c r="A13170" s="740"/>
    </row>
    <row r="13171" ht="14.25" customHeight="1">
      <c r="A13171" s="740"/>
    </row>
    <row r="13172" ht="14.25" customHeight="1">
      <c r="A13172" s="740"/>
    </row>
    <row r="13173" ht="14.25" customHeight="1">
      <c r="A13173" s="740"/>
    </row>
    <row r="13174" ht="14.25" customHeight="1">
      <c r="A13174" s="740"/>
    </row>
    <row r="13175" ht="14.25" customHeight="1">
      <c r="A13175" s="740"/>
    </row>
    <row r="13176" ht="14.25" customHeight="1">
      <c r="A13176" s="740"/>
    </row>
    <row r="13177" ht="14.25" customHeight="1">
      <c r="A13177" s="740"/>
    </row>
    <row r="13178" ht="14.25" customHeight="1">
      <c r="A13178" s="740"/>
    </row>
    <row r="13179" ht="14.25" customHeight="1">
      <c r="A13179" s="740"/>
    </row>
    <row r="13180" ht="14.25" customHeight="1">
      <c r="A13180" s="740"/>
    </row>
    <row r="13181" ht="14.25" customHeight="1">
      <c r="A13181" s="740"/>
    </row>
    <row r="13182" ht="14.25" customHeight="1">
      <c r="A13182" s="740"/>
    </row>
    <row r="13183" ht="14.25" customHeight="1">
      <c r="A13183" s="740"/>
    </row>
    <row r="13184" ht="14.25" customHeight="1">
      <c r="A13184" s="740"/>
    </row>
    <row r="13185" ht="14.25" customHeight="1">
      <c r="A13185" s="740"/>
    </row>
    <row r="13186" ht="14.25" customHeight="1">
      <c r="A13186" s="740"/>
    </row>
    <row r="13187" ht="14.25" customHeight="1">
      <c r="A13187" s="740"/>
    </row>
    <row r="13188" ht="14.25" customHeight="1">
      <c r="A13188" s="740"/>
    </row>
    <row r="13189" ht="14.25" customHeight="1">
      <c r="A13189" s="740"/>
    </row>
    <row r="13190" ht="14.25" customHeight="1">
      <c r="A13190" s="740"/>
    </row>
    <row r="13191" ht="14.25" customHeight="1">
      <c r="A13191" s="740"/>
    </row>
    <row r="13192" ht="14.25" customHeight="1">
      <c r="A13192" s="740"/>
    </row>
    <row r="13193" ht="14.25" customHeight="1">
      <c r="A13193" s="740"/>
    </row>
    <row r="13194" ht="14.25" customHeight="1">
      <c r="A13194" s="740"/>
    </row>
    <row r="13195" ht="14.25" customHeight="1">
      <c r="A13195" s="740"/>
    </row>
    <row r="13196" ht="14.25" customHeight="1">
      <c r="A13196" s="740"/>
    </row>
    <row r="13197" ht="14.25" customHeight="1">
      <c r="A13197" s="740"/>
    </row>
    <row r="13198" ht="14.25" customHeight="1">
      <c r="A13198" s="740"/>
    </row>
    <row r="13199" ht="14.25" customHeight="1">
      <c r="A13199" s="740"/>
    </row>
    <row r="13200" ht="14.25" customHeight="1">
      <c r="A13200" s="740"/>
    </row>
    <row r="13201" ht="14.25" customHeight="1">
      <c r="A13201" s="740"/>
    </row>
    <row r="13202" ht="14.25" customHeight="1">
      <c r="A13202" s="740"/>
    </row>
    <row r="13203" ht="14.25" customHeight="1">
      <c r="A13203" s="740"/>
    </row>
    <row r="13204" ht="14.25" customHeight="1">
      <c r="A13204" s="740"/>
    </row>
    <row r="13205" ht="14.25" customHeight="1">
      <c r="A13205" s="740"/>
    </row>
    <row r="13206" ht="14.25" customHeight="1">
      <c r="A13206" s="740"/>
    </row>
    <row r="13207" ht="14.25" customHeight="1">
      <c r="A13207" s="740"/>
    </row>
    <row r="13208" ht="14.25" customHeight="1">
      <c r="A13208" s="740"/>
    </row>
    <row r="13209" ht="14.25" customHeight="1">
      <c r="A13209" s="740"/>
    </row>
    <row r="13210" ht="14.25" customHeight="1">
      <c r="A13210" s="740"/>
    </row>
    <row r="13211" ht="14.25" customHeight="1">
      <c r="A13211" s="740"/>
    </row>
    <row r="13212" ht="14.25" customHeight="1">
      <c r="A13212" s="740"/>
    </row>
    <row r="13213" ht="14.25" customHeight="1">
      <c r="A13213" s="740"/>
    </row>
    <row r="13214" ht="14.25" customHeight="1">
      <c r="A13214" s="740"/>
    </row>
    <row r="13215" ht="14.25" customHeight="1">
      <c r="A13215" s="740"/>
    </row>
    <row r="13216" ht="14.25" customHeight="1">
      <c r="A13216" s="740"/>
    </row>
    <row r="13217" ht="14.25" customHeight="1">
      <c r="A13217" s="740"/>
    </row>
    <row r="13218" ht="14.25" customHeight="1">
      <c r="A13218" s="740"/>
    </row>
    <row r="13219" ht="14.25" customHeight="1">
      <c r="A13219" s="740"/>
    </row>
    <row r="13220" ht="14.25" customHeight="1">
      <c r="A13220" s="740"/>
    </row>
    <row r="13221" ht="14.25" customHeight="1">
      <c r="A13221" s="740"/>
    </row>
    <row r="13222" ht="14.25" customHeight="1">
      <c r="A13222" s="740"/>
    </row>
    <row r="13223" ht="14.25" customHeight="1">
      <c r="A13223" s="740"/>
    </row>
    <row r="13224" ht="14.25" customHeight="1">
      <c r="A13224" s="740"/>
    </row>
    <row r="13225" ht="14.25" customHeight="1">
      <c r="A13225" s="740"/>
    </row>
    <row r="13226" ht="14.25" customHeight="1">
      <c r="A13226" s="740"/>
    </row>
    <row r="13227" ht="14.25" customHeight="1">
      <c r="A13227" s="740"/>
    </row>
    <row r="13228" ht="14.25" customHeight="1">
      <c r="A13228" s="740"/>
    </row>
    <row r="13229" ht="14.25" customHeight="1">
      <c r="A13229" s="740"/>
    </row>
    <row r="13230" ht="14.25" customHeight="1">
      <c r="A13230" s="740"/>
    </row>
    <row r="13231" ht="14.25" customHeight="1">
      <c r="A13231" s="740"/>
    </row>
    <row r="13232" ht="14.25" customHeight="1">
      <c r="A13232" s="740"/>
    </row>
    <row r="13233" ht="14.25" customHeight="1">
      <c r="A13233" s="740"/>
    </row>
    <row r="13234" ht="14.25" customHeight="1">
      <c r="A13234" s="740"/>
    </row>
    <row r="13235" ht="14.25" customHeight="1">
      <c r="A13235" s="740"/>
    </row>
    <row r="13236" ht="14.25" customHeight="1">
      <c r="A13236" s="740"/>
    </row>
    <row r="13237" ht="14.25" customHeight="1">
      <c r="A13237" s="740"/>
    </row>
    <row r="13238" ht="14.25" customHeight="1">
      <c r="A13238" s="740"/>
    </row>
    <row r="13239" ht="14.25" customHeight="1">
      <c r="A13239" s="740"/>
    </row>
    <row r="13240" ht="14.25" customHeight="1">
      <c r="A13240" s="740"/>
    </row>
    <row r="13241" ht="14.25" customHeight="1">
      <c r="A13241" s="740"/>
    </row>
    <row r="13242" ht="14.25" customHeight="1">
      <c r="A13242" s="740"/>
    </row>
    <row r="13243" ht="14.25" customHeight="1">
      <c r="A13243" s="740"/>
    </row>
    <row r="13244" ht="14.25" customHeight="1">
      <c r="A13244" s="740"/>
    </row>
    <row r="13245" ht="14.25" customHeight="1">
      <c r="A13245" s="740"/>
    </row>
    <row r="13246" ht="14.25" customHeight="1">
      <c r="A13246" s="740"/>
    </row>
    <row r="13247" ht="14.25" customHeight="1">
      <c r="A13247" s="740"/>
    </row>
    <row r="13248" ht="14.25" customHeight="1">
      <c r="A13248" s="740"/>
    </row>
    <row r="13249" ht="14.25" customHeight="1">
      <c r="A13249" s="740"/>
    </row>
    <row r="13250" ht="14.25" customHeight="1">
      <c r="A13250" s="740"/>
    </row>
    <row r="13251" ht="14.25" customHeight="1">
      <c r="A13251" s="740"/>
    </row>
    <row r="13252" ht="14.25" customHeight="1">
      <c r="A13252" s="740"/>
    </row>
    <row r="13253" ht="14.25" customHeight="1">
      <c r="A13253" s="740"/>
    </row>
    <row r="13254" ht="14.25" customHeight="1">
      <c r="A13254" s="740"/>
    </row>
    <row r="13255" ht="14.25" customHeight="1">
      <c r="A13255" s="740"/>
    </row>
    <row r="13256" ht="14.25" customHeight="1">
      <c r="A13256" s="740"/>
    </row>
    <row r="13257" ht="14.25" customHeight="1">
      <c r="A13257" s="740"/>
    </row>
    <row r="13258" ht="14.25" customHeight="1">
      <c r="A13258" s="740"/>
    </row>
    <row r="13259" ht="14.25" customHeight="1">
      <c r="A13259" s="740"/>
    </row>
    <row r="13260" ht="14.25" customHeight="1">
      <c r="A13260" s="740"/>
    </row>
    <row r="13261" ht="14.25" customHeight="1">
      <c r="A13261" s="740"/>
    </row>
    <row r="13262" ht="14.25" customHeight="1">
      <c r="A13262" s="740"/>
    </row>
    <row r="13263" ht="14.25" customHeight="1">
      <c r="A13263" s="740"/>
    </row>
    <row r="13264" ht="14.25" customHeight="1">
      <c r="A13264" s="740"/>
    </row>
    <row r="13265" ht="14.25" customHeight="1">
      <c r="A13265" s="740"/>
    </row>
    <row r="13266" ht="14.25" customHeight="1">
      <c r="A13266" s="740"/>
    </row>
    <row r="13267" ht="14.25" customHeight="1">
      <c r="A13267" s="740"/>
    </row>
    <row r="13268" ht="14.25" customHeight="1">
      <c r="A13268" s="740"/>
    </row>
    <row r="13269" ht="14.25" customHeight="1">
      <c r="A13269" s="740"/>
    </row>
    <row r="13270" ht="14.25" customHeight="1">
      <c r="A13270" s="740"/>
    </row>
    <row r="13271" ht="14.25" customHeight="1">
      <c r="A13271" s="740"/>
    </row>
    <row r="13272" ht="14.25" customHeight="1">
      <c r="A13272" s="740"/>
    </row>
    <row r="13273" ht="14.25" customHeight="1">
      <c r="A13273" s="740"/>
    </row>
    <row r="13274" ht="14.25" customHeight="1">
      <c r="A13274" s="740"/>
    </row>
    <row r="13275" ht="14.25" customHeight="1">
      <c r="A13275" s="740"/>
    </row>
    <row r="13276" ht="14.25" customHeight="1">
      <c r="A13276" s="740"/>
    </row>
    <row r="13277" ht="14.25" customHeight="1">
      <c r="A13277" s="740"/>
    </row>
    <row r="13278" ht="14.25" customHeight="1">
      <c r="A13278" s="740"/>
    </row>
    <row r="13279" ht="14.25" customHeight="1">
      <c r="A13279" s="740"/>
    </row>
    <row r="13280" ht="14.25" customHeight="1">
      <c r="A13280" s="740"/>
    </row>
    <row r="13281" ht="14.25" customHeight="1">
      <c r="A13281" s="740"/>
    </row>
    <row r="13282" ht="14.25" customHeight="1">
      <c r="A13282" s="740"/>
    </row>
    <row r="13283" ht="14.25" customHeight="1">
      <c r="A13283" s="740"/>
    </row>
    <row r="13284" ht="14.25" customHeight="1">
      <c r="A13284" s="740"/>
    </row>
    <row r="13285" ht="14.25" customHeight="1">
      <c r="A13285" s="740"/>
    </row>
    <row r="13286" ht="14.25" customHeight="1">
      <c r="A13286" s="740"/>
    </row>
    <row r="13287" ht="14.25" customHeight="1">
      <c r="A13287" s="740"/>
    </row>
    <row r="13288" ht="14.25" customHeight="1">
      <c r="A13288" s="740"/>
    </row>
    <row r="13289" ht="14.25" customHeight="1">
      <c r="A13289" s="740"/>
    </row>
    <row r="13290" ht="14.25" customHeight="1">
      <c r="A13290" s="740"/>
    </row>
    <row r="13291" ht="14.25" customHeight="1">
      <c r="A13291" s="740"/>
    </row>
    <row r="13292" ht="14.25" customHeight="1">
      <c r="A13292" s="740"/>
    </row>
    <row r="13293" ht="14.25" customHeight="1">
      <c r="A13293" s="740"/>
    </row>
    <row r="13294" ht="14.25" customHeight="1">
      <c r="A13294" s="740"/>
    </row>
    <row r="13295" ht="14.25" customHeight="1">
      <c r="A13295" s="740"/>
    </row>
    <row r="13296" ht="14.25" customHeight="1">
      <c r="A13296" s="740"/>
    </row>
    <row r="13297" ht="14.25" customHeight="1">
      <c r="A13297" s="740"/>
    </row>
    <row r="13298" ht="14.25" customHeight="1">
      <c r="A13298" s="740"/>
    </row>
    <row r="13299" ht="14.25" customHeight="1">
      <c r="A13299" s="740"/>
    </row>
    <row r="13300" ht="14.25" customHeight="1">
      <c r="A13300" s="740"/>
    </row>
    <row r="13301" ht="14.25" customHeight="1">
      <c r="A13301" s="740"/>
    </row>
    <row r="13302" ht="14.25" customHeight="1">
      <c r="A13302" s="740"/>
    </row>
    <row r="13303" ht="14.25" customHeight="1">
      <c r="A13303" s="740"/>
    </row>
    <row r="13304" ht="14.25" customHeight="1">
      <c r="A13304" s="740"/>
    </row>
    <row r="13305" ht="14.25" customHeight="1">
      <c r="A13305" s="740"/>
    </row>
    <row r="13306" ht="14.25" customHeight="1">
      <c r="A13306" s="740"/>
    </row>
    <row r="13307" ht="14.25" customHeight="1">
      <c r="A13307" s="740"/>
    </row>
    <row r="13308" ht="14.25" customHeight="1">
      <c r="A13308" s="740"/>
    </row>
    <row r="13309" ht="14.25" customHeight="1">
      <c r="A13309" s="740"/>
    </row>
    <row r="13310" ht="14.25" customHeight="1">
      <c r="A13310" s="740"/>
    </row>
    <row r="13311" ht="14.25" customHeight="1">
      <c r="A13311" s="740"/>
    </row>
    <row r="13312" ht="14.25" customHeight="1">
      <c r="A13312" s="740"/>
    </row>
    <row r="13313" ht="14.25" customHeight="1">
      <c r="A13313" s="740"/>
    </row>
    <row r="13314" ht="14.25" customHeight="1">
      <c r="A13314" s="740"/>
    </row>
    <row r="13315" ht="14.25" customHeight="1">
      <c r="A13315" s="740"/>
    </row>
    <row r="13316" ht="14.25" customHeight="1">
      <c r="A13316" s="740"/>
    </row>
    <row r="13317" ht="14.25" customHeight="1">
      <c r="A13317" s="740"/>
    </row>
    <row r="13318" ht="14.25" customHeight="1">
      <c r="A13318" s="740"/>
    </row>
    <row r="13319" ht="14.25" customHeight="1">
      <c r="A13319" s="740"/>
    </row>
    <row r="13320" ht="14.25" customHeight="1">
      <c r="A13320" s="740"/>
    </row>
    <row r="13321" ht="14.25" customHeight="1">
      <c r="A13321" s="740"/>
    </row>
    <row r="13322" ht="14.25" customHeight="1">
      <c r="A13322" s="740"/>
    </row>
    <row r="13323" ht="14.25" customHeight="1">
      <c r="A13323" s="740"/>
    </row>
    <row r="13324" ht="14.25" customHeight="1">
      <c r="A13324" s="740"/>
    </row>
    <row r="13325" ht="14.25" customHeight="1">
      <c r="A13325" s="740"/>
    </row>
    <row r="13326" ht="14.25" customHeight="1">
      <c r="A13326" s="740"/>
    </row>
    <row r="13327" ht="14.25" customHeight="1">
      <c r="A13327" s="740"/>
    </row>
    <row r="13328" ht="14.25" customHeight="1">
      <c r="A13328" s="740"/>
    </row>
    <row r="13329" ht="14.25" customHeight="1">
      <c r="A13329" s="740"/>
    </row>
    <row r="13330" ht="14.25" customHeight="1">
      <c r="A13330" s="740"/>
    </row>
    <row r="13331" ht="14.25" customHeight="1">
      <c r="A13331" s="740"/>
    </row>
    <row r="13332" ht="14.25" customHeight="1">
      <c r="A13332" s="740"/>
    </row>
    <row r="13333" ht="14.25" customHeight="1">
      <c r="A13333" s="740"/>
    </row>
    <row r="13334" ht="14.25" customHeight="1">
      <c r="A13334" s="740"/>
    </row>
    <row r="13335" ht="14.25" customHeight="1">
      <c r="A13335" s="740"/>
    </row>
    <row r="13336" ht="14.25" customHeight="1">
      <c r="A13336" s="740"/>
    </row>
    <row r="13337" ht="14.25" customHeight="1">
      <c r="A13337" s="740"/>
    </row>
    <row r="13338" ht="14.25" customHeight="1">
      <c r="A13338" s="740"/>
    </row>
    <row r="13339" ht="14.25" customHeight="1">
      <c r="A13339" s="740"/>
    </row>
    <row r="13340" ht="14.25" customHeight="1">
      <c r="A13340" s="740"/>
    </row>
    <row r="13341" ht="14.25" customHeight="1">
      <c r="A13341" s="740"/>
    </row>
    <row r="13342" ht="14.25" customHeight="1">
      <c r="A13342" s="740"/>
    </row>
    <row r="13343" ht="14.25" customHeight="1">
      <c r="A13343" s="740"/>
    </row>
    <row r="13344" ht="14.25" customHeight="1">
      <c r="A13344" s="740"/>
    </row>
    <row r="13345" ht="14.25" customHeight="1">
      <c r="A13345" s="740"/>
    </row>
    <row r="13346" ht="14.25" customHeight="1">
      <c r="A13346" s="740"/>
    </row>
    <row r="13347" ht="14.25" customHeight="1">
      <c r="A13347" s="740"/>
    </row>
    <row r="13348" ht="14.25" customHeight="1">
      <c r="A13348" s="740"/>
    </row>
    <row r="13349" ht="14.25" customHeight="1">
      <c r="A13349" s="740"/>
    </row>
    <row r="13350" ht="14.25" customHeight="1">
      <c r="A13350" s="740"/>
    </row>
    <row r="13351" ht="14.25" customHeight="1">
      <c r="A13351" s="740"/>
    </row>
    <row r="13352" ht="14.25" customHeight="1">
      <c r="A13352" s="740"/>
    </row>
    <row r="13353" ht="14.25" customHeight="1">
      <c r="A13353" s="740"/>
    </row>
    <row r="13354" ht="14.25" customHeight="1">
      <c r="A13354" s="740"/>
    </row>
    <row r="13355" ht="14.25" customHeight="1">
      <c r="A13355" s="740"/>
    </row>
    <row r="13356" ht="14.25" customHeight="1">
      <c r="A13356" s="740"/>
    </row>
    <row r="13357" ht="14.25" customHeight="1">
      <c r="A13357" s="740"/>
    </row>
    <row r="13358" ht="14.25" customHeight="1">
      <c r="A13358" s="740"/>
    </row>
    <row r="13359" ht="14.25" customHeight="1">
      <c r="A13359" s="740"/>
    </row>
    <row r="13360" ht="14.25" customHeight="1">
      <c r="A13360" s="740"/>
    </row>
    <row r="13361" ht="14.25" customHeight="1">
      <c r="A13361" s="740"/>
    </row>
    <row r="13362" ht="14.25" customHeight="1">
      <c r="A13362" s="740"/>
    </row>
    <row r="13363" ht="14.25" customHeight="1">
      <c r="A13363" s="740"/>
    </row>
    <row r="13364" ht="14.25" customHeight="1">
      <c r="A13364" s="740"/>
    </row>
    <row r="13365" ht="14.25" customHeight="1">
      <c r="A13365" s="740"/>
    </row>
    <row r="13366" ht="14.25" customHeight="1">
      <c r="A13366" s="740"/>
    </row>
    <row r="13367" ht="14.25" customHeight="1">
      <c r="A13367" s="740"/>
    </row>
    <row r="13368" ht="14.25" customHeight="1">
      <c r="A13368" s="740"/>
    </row>
    <row r="13369" ht="14.25" customHeight="1">
      <c r="A13369" s="740"/>
    </row>
    <row r="13370" ht="14.25" customHeight="1">
      <c r="A13370" s="740"/>
    </row>
    <row r="13371" ht="14.25" customHeight="1">
      <c r="A13371" s="740"/>
    </row>
    <row r="13372" ht="14.25" customHeight="1">
      <c r="A13372" s="740"/>
    </row>
    <row r="13373" ht="14.25" customHeight="1">
      <c r="A13373" s="740"/>
    </row>
    <row r="13374" ht="14.25" customHeight="1">
      <c r="A13374" s="740"/>
    </row>
    <row r="13375" ht="14.25" customHeight="1">
      <c r="A13375" s="740"/>
    </row>
    <row r="13376" ht="14.25" customHeight="1">
      <c r="A13376" s="740"/>
    </row>
    <row r="13377" ht="14.25" customHeight="1">
      <c r="A13377" s="740"/>
    </row>
    <row r="13378" ht="14.25" customHeight="1">
      <c r="A13378" s="740"/>
    </row>
    <row r="13379" ht="14.25" customHeight="1">
      <c r="A13379" s="740"/>
    </row>
    <row r="13380" ht="14.25" customHeight="1">
      <c r="A13380" s="740"/>
    </row>
    <row r="13381" ht="14.25" customHeight="1">
      <c r="A13381" s="740"/>
    </row>
    <row r="13382" ht="14.25" customHeight="1">
      <c r="A13382" s="740"/>
    </row>
    <row r="13383" ht="14.25" customHeight="1">
      <c r="A13383" s="740"/>
    </row>
    <row r="13384" ht="14.25" customHeight="1">
      <c r="A13384" s="740"/>
    </row>
    <row r="13385" ht="14.25" customHeight="1">
      <c r="A13385" s="740"/>
    </row>
    <row r="13386" ht="14.25" customHeight="1">
      <c r="A13386" s="740"/>
    </row>
    <row r="13387" ht="14.25" customHeight="1">
      <c r="A13387" s="740"/>
    </row>
    <row r="13388" ht="14.25" customHeight="1">
      <c r="A13388" s="740"/>
    </row>
    <row r="13389" ht="14.25" customHeight="1">
      <c r="A13389" s="740"/>
    </row>
    <row r="13390" ht="14.25" customHeight="1">
      <c r="A13390" s="740"/>
    </row>
    <row r="13391" ht="14.25" customHeight="1">
      <c r="A13391" s="740"/>
    </row>
    <row r="13392" ht="14.25" customHeight="1">
      <c r="A13392" s="740"/>
    </row>
    <row r="13393" ht="14.25" customHeight="1">
      <c r="A13393" s="740"/>
    </row>
    <row r="13394" ht="14.25" customHeight="1">
      <c r="A13394" s="740"/>
    </row>
    <row r="13395" ht="14.25" customHeight="1">
      <c r="A13395" s="740"/>
    </row>
    <row r="13396" ht="14.25" customHeight="1">
      <c r="A13396" s="740"/>
    </row>
    <row r="13397" ht="14.25" customHeight="1">
      <c r="A13397" s="740"/>
    </row>
    <row r="13398" ht="14.25" customHeight="1">
      <c r="A13398" s="740"/>
    </row>
    <row r="13399" ht="14.25" customHeight="1">
      <c r="A13399" s="740"/>
    </row>
    <row r="13400" ht="14.25" customHeight="1">
      <c r="A13400" s="740"/>
    </row>
    <row r="13401" ht="14.25" customHeight="1">
      <c r="A13401" s="740"/>
    </row>
    <row r="13402" ht="14.25" customHeight="1">
      <c r="A13402" s="740"/>
    </row>
    <row r="13403" ht="14.25" customHeight="1">
      <c r="A13403" s="740"/>
    </row>
    <row r="13404" ht="14.25" customHeight="1">
      <c r="A13404" s="740"/>
    </row>
    <row r="13405" ht="14.25" customHeight="1">
      <c r="A13405" s="740"/>
    </row>
    <row r="13406" ht="14.25" customHeight="1">
      <c r="A13406" s="740"/>
    </row>
    <row r="13407" ht="14.25" customHeight="1">
      <c r="A13407" s="740"/>
    </row>
    <row r="13408" ht="14.25" customHeight="1">
      <c r="A13408" s="740"/>
    </row>
    <row r="13409" ht="14.25" customHeight="1">
      <c r="A13409" s="740"/>
    </row>
    <row r="13410" ht="14.25" customHeight="1">
      <c r="A13410" s="740"/>
    </row>
    <row r="13411" ht="14.25" customHeight="1">
      <c r="A13411" s="740"/>
    </row>
    <row r="13412" ht="14.25" customHeight="1">
      <c r="A13412" s="740"/>
    </row>
    <row r="13413" ht="14.25" customHeight="1">
      <c r="A13413" s="740"/>
    </row>
    <row r="13414" ht="14.25" customHeight="1">
      <c r="A13414" s="740"/>
    </row>
    <row r="13415" ht="14.25" customHeight="1">
      <c r="A13415" s="740"/>
    </row>
    <row r="13416" ht="14.25" customHeight="1">
      <c r="A13416" s="740"/>
    </row>
    <row r="13417" ht="14.25" customHeight="1">
      <c r="A13417" s="740"/>
    </row>
    <row r="13418" ht="14.25" customHeight="1">
      <c r="A13418" s="740"/>
    </row>
    <row r="13419" ht="14.25" customHeight="1">
      <c r="A13419" s="740"/>
    </row>
    <row r="13420" ht="14.25" customHeight="1">
      <c r="A13420" s="740"/>
    </row>
    <row r="13421" ht="14.25" customHeight="1">
      <c r="A13421" s="740"/>
    </row>
    <row r="13422" ht="14.25" customHeight="1">
      <c r="A13422" s="740"/>
    </row>
    <row r="13423" ht="14.25" customHeight="1">
      <c r="A13423" s="740"/>
    </row>
    <row r="13424" ht="14.25" customHeight="1">
      <c r="A13424" s="740"/>
    </row>
    <row r="13425" ht="14.25" customHeight="1">
      <c r="A13425" s="740"/>
    </row>
    <row r="13426" ht="14.25" customHeight="1">
      <c r="A13426" s="740"/>
    </row>
    <row r="13427" ht="14.25" customHeight="1">
      <c r="A13427" s="740"/>
    </row>
    <row r="13428" ht="14.25" customHeight="1">
      <c r="A13428" s="740"/>
    </row>
    <row r="13429" ht="14.25" customHeight="1">
      <c r="A13429" s="740"/>
    </row>
    <row r="13430" ht="14.25" customHeight="1">
      <c r="A13430" s="740"/>
    </row>
    <row r="13431" ht="14.25" customHeight="1">
      <c r="A13431" s="740"/>
    </row>
    <row r="13432" ht="14.25" customHeight="1">
      <c r="A13432" s="740"/>
    </row>
    <row r="13433" ht="14.25" customHeight="1">
      <c r="A13433" s="740"/>
    </row>
    <row r="13434" ht="14.25" customHeight="1">
      <c r="A13434" s="740"/>
    </row>
    <row r="13435" ht="14.25" customHeight="1">
      <c r="A13435" s="740"/>
    </row>
    <row r="13436" ht="14.25" customHeight="1">
      <c r="A13436" s="740"/>
    </row>
    <row r="13437" ht="14.25" customHeight="1">
      <c r="A13437" s="740"/>
    </row>
    <row r="13438" ht="14.25" customHeight="1">
      <c r="A13438" s="740"/>
    </row>
    <row r="13439" ht="14.25" customHeight="1">
      <c r="A13439" s="740"/>
    </row>
    <row r="13440" ht="14.25" customHeight="1">
      <c r="A13440" s="740"/>
    </row>
    <row r="13441" ht="14.25" customHeight="1">
      <c r="A13441" s="740"/>
    </row>
    <row r="13442" ht="14.25" customHeight="1">
      <c r="A13442" s="740"/>
    </row>
    <row r="13443" ht="14.25" customHeight="1">
      <c r="A13443" s="740"/>
    </row>
    <row r="13444" ht="14.25" customHeight="1">
      <c r="A13444" s="740"/>
    </row>
    <row r="13445" ht="14.25" customHeight="1">
      <c r="A13445" s="740"/>
    </row>
    <row r="13446" ht="14.25" customHeight="1">
      <c r="A13446" s="740"/>
    </row>
    <row r="13447" ht="14.25" customHeight="1">
      <c r="A13447" s="740"/>
    </row>
    <row r="13448" ht="14.25" customHeight="1">
      <c r="A13448" s="740"/>
    </row>
    <row r="13449" ht="14.25" customHeight="1">
      <c r="A13449" s="740"/>
    </row>
    <row r="13450" ht="14.25" customHeight="1">
      <c r="A13450" s="740"/>
    </row>
    <row r="13451" ht="14.25" customHeight="1">
      <c r="A13451" s="740"/>
    </row>
    <row r="13452" ht="14.25" customHeight="1">
      <c r="A13452" s="740"/>
    </row>
    <row r="13453" ht="14.25" customHeight="1">
      <c r="A13453" s="740"/>
    </row>
    <row r="13454" ht="14.25" customHeight="1">
      <c r="A13454" s="740"/>
    </row>
    <row r="13455" ht="14.25" customHeight="1">
      <c r="A13455" s="740"/>
    </row>
    <row r="13456" ht="14.25" customHeight="1">
      <c r="A13456" s="740"/>
    </row>
    <row r="13457" ht="14.25" customHeight="1">
      <c r="A13457" s="740"/>
    </row>
    <row r="13458" ht="14.25" customHeight="1">
      <c r="A13458" s="740"/>
    </row>
    <row r="13459" ht="14.25" customHeight="1">
      <c r="A13459" s="740"/>
    </row>
    <row r="13460" ht="14.25" customHeight="1">
      <c r="A13460" s="740"/>
    </row>
    <row r="13461" ht="14.25" customHeight="1">
      <c r="A13461" s="740"/>
    </row>
    <row r="13462" ht="14.25" customHeight="1">
      <c r="A13462" s="740"/>
    </row>
    <row r="13463" ht="14.25" customHeight="1">
      <c r="A13463" s="740"/>
    </row>
    <row r="13464" ht="14.25" customHeight="1">
      <c r="A13464" s="740"/>
    </row>
    <row r="13465" ht="14.25" customHeight="1">
      <c r="A13465" s="740"/>
    </row>
    <row r="13466" ht="14.25" customHeight="1">
      <c r="A13466" s="740"/>
    </row>
    <row r="13467" ht="14.25" customHeight="1">
      <c r="A13467" s="740"/>
    </row>
    <row r="13468" ht="14.25" customHeight="1">
      <c r="A13468" s="740"/>
    </row>
    <row r="13469" ht="14.25" customHeight="1">
      <c r="A13469" s="740"/>
    </row>
    <row r="13470" ht="14.25" customHeight="1">
      <c r="A13470" s="740"/>
    </row>
    <row r="13471" ht="14.25" customHeight="1">
      <c r="A13471" s="740"/>
    </row>
    <row r="13472" ht="14.25" customHeight="1">
      <c r="A13472" s="740"/>
    </row>
    <row r="13473" ht="14.25" customHeight="1">
      <c r="A13473" s="740"/>
    </row>
    <row r="13474" ht="14.25" customHeight="1">
      <c r="A13474" s="740"/>
    </row>
    <row r="13475" ht="14.25" customHeight="1">
      <c r="A13475" s="740"/>
    </row>
    <row r="13476" ht="14.25" customHeight="1">
      <c r="A13476" s="740"/>
    </row>
    <row r="13477" ht="14.25" customHeight="1">
      <c r="A13477" s="740"/>
    </row>
    <row r="13478" ht="14.25" customHeight="1">
      <c r="A13478" s="740"/>
    </row>
    <row r="13479" ht="14.25" customHeight="1">
      <c r="A13479" s="740"/>
    </row>
    <row r="13480" ht="14.25" customHeight="1">
      <c r="A13480" s="740"/>
    </row>
    <row r="13481" ht="14.25" customHeight="1">
      <c r="A13481" s="740"/>
    </row>
    <row r="13482" ht="14.25" customHeight="1">
      <c r="A13482" s="740"/>
    </row>
    <row r="13483" ht="14.25" customHeight="1">
      <c r="A13483" s="740"/>
    </row>
    <row r="13484" ht="14.25" customHeight="1">
      <c r="A13484" s="740"/>
    </row>
    <row r="13485" ht="14.25" customHeight="1">
      <c r="A13485" s="740"/>
    </row>
    <row r="13486" ht="14.25" customHeight="1">
      <c r="A13486" s="740"/>
    </row>
    <row r="13487" ht="14.25" customHeight="1">
      <c r="A13487" s="740"/>
    </row>
    <row r="13488" ht="14.25" customHeight="1">
      <c r="A13488" s="740"/>
    </row>
    <row r="13489" ht="14.25" customHeight="1">
      <c r="A13489" s="740"/>
    </row>
    <row r="13490" ht="14.25" customHeight="1">
      <c r="A13490" s="740"/>
    </row>
    <row r="13491" ht="14.25" customHeight="1">
      <c r="A13491" s="740"/>
    </row>
    <row r="13492" ht="14.25" customHeight="1">
      <c r="A13492" s="740"/>
    </row>
    <row r="13493" ht="14.25" customHeight="1">
      <c r="A13493" s="740"/>
    </row>
    <row r="13494" ht="14.25" customHeight="1">
      <c r="A13494" s="740"/>
    </row>
    <row r="13495" ht="14.25" customHeight="1">
      <c r="A13495" s="740"/>
    </row>
    <row r="13496" ht="14.25" customHeight="1">
      <c r="A13496" s="740"/>
    </row>
    <row r="13497" ht="14.25" customHeight="1">
      <c r="A13497" s="740"/>
    </row>
    <row r="13498" ht="14.25" customHeight="1">
      <c r="A13498" s="740"/>
    </row>
    <row r="13499" ht="14.25" customHeight="1">
      <c r="A13499" s="740"/>
    </row>
    <row r="13500" ht="14.25" customHeight="1">
      <c r="A13500" s="740"/>
    </row>
    <row r="13501" ht="14.25" customHeight="1">
      <c r="A13501" s="740"/>
    </row>
    <row r="13502" ht="14.25" customHeight="1">
      <c r="A13502" s="740"/>
    </row>
    <row r="13503" ht="14.25" customHeight="1">
      <c r="A13503" s="740"/>
    </row>
    <row r="13504" ht="14.25" customHeight="1">
      <c r="A13504" s="740"/>
    </row>
    <row r="13505" ht="14.25" customHeight="1">
      <c r="A13505" s="740"/>
    </row>
    <row r="13506" ht="14.25" customHeight="1">
      <c r="A13506" s="740"/>
    </row>
    <row r="13507" ht="14.25" customHeight="1">
      <c r="A13507" s="740"/>
    </row>
    <row r="13508" ht="14.25" customHeight="1">
      <c r="A13508" s="740"/>
    </row>
    <row r="13509" ht="14.25" customHeight="1">
      <c r="A13509" s="740"/>
    </row>
    <row r="13510" ht="14.25" customHeight="1">
      <c r="A13510" s="740"/>
    </row>
    <row r="13511" ht="14.25" customHeight="1">
      <c r="A13511" s="740"/>
    </row>
    <row r="13512" ht="14.25" customHeight="1">
      <c r="A13512" s="740"/>
    </row>
    <row r="13513" ht="14.25" customHeight="1">
      <c r="A13513" s="740"/>
    </row>
    <row r="13514" ht="14.25" customHeight="1">
      <c r="A13514" s="740"/>
    </row>
    <row r="13515" ht="14.25" customHeight="1">
      <c r="A13515" s="740"/>
    </row>
    <row r="13516" ht="14.25" customHeight="1">
      <c r="A13516" s="740"/>
    </row>
    <row r="13517" ht="14.25" customHeight="1">
      <c r="A13517" s="740"/>
    </row>
    <row r="13518" ht="14.25" customHeight="1">
      <c r="A13518" s="740"/>
    </row>
    <row r="13519" ht="14.25" customHeight="1">
      <c r="A13519" s="740"/>
    </row>
    <row r="13520" ht="14.25" customHeight="1">
      <c r="A13520" s="740"/>
    </row>
    <row r="13521" ht="14.25" customHeight="1">
      <c r="A13521" s="740"/>
    </row>
    <row r="13522" ht="14.25" customHeight="1">
      <c r="A13522" s="740"/>
    </row>
    <row r="13523" ht="14.25" customHeight="1">
      <c r="A13523" s="740"/>
    </row>
    <row r="13524" ht="14.25" customHeight="1">
      <c r="A13524" s="740"/>
    </row>
    <row r="13525" ht="14.25" customHeight="1">
      <c r="A13525" s="740"/>
    </row>
    <row r="13526" ht="14.25" customHeight="1">
      <c r="A13526" s="740"/>
    </row>
    <row r="13527" ht="14.25" customHeight="1">
      <c r="A13527" s="740"/>
    </row>
    <row r="13528" ht="14.25" customHeight="1">
      <c r="A13528" s="740"/>
    </row>
    <row r="13529" ht="14.25" customHeight="1">
      <c r="A13529" s="740"/>
    </row>
    <row r="13530" ht="14.25" customHeight="1">
      <c r="A13530" s="740"/>
    </row>
    <row r="13531" ht="14.25" customHeight="1">
      <c r="A13531" s="740"/>
    </row>
    <row r="13532" ht="14.25" customHeight="1">
      <c r="A13532" s="740"/>
    </row>
    <row r="13533" ht="14.25" customHeight="1">
      <c r="A13533" s="740"/>
    </row>
    <row r="13534" ht="14.25" customHeight="1">
      <c r="A13534" s="740"/>
    </row>
    <row r="13535" ht="14.25" customHeight="1">
      <c r="A13535" s="740"/>
    </row>
    <row r="13536" ht="14.25" customHeight="1">
      <c r="A13536" s="740"/>
    </row>
    <row r="13537" ht="14.25" customHeight="1">
      <c r="A13537" s="740"/>
    </row>
    <row r="13538" ht="14.25" customHeight="1">
      <c r="A13538" s="740"/>
    </row>
    <row r="13539" ht="14.25" customHeight="1">
      <c r="A13539" s="740"/>
    </row>
    <row r="13540" ht="14.25" customHeight="1">
      <c r="A13540" s="740"/>
    </row>
    <row r="13541" ht="14.25" customHeight="1">
      <c r="A13541" s="740"/>
    </row>
    <row r="13542" ht="14.25" customHeight="1">
      <c r="A13542" s="740"/>
    </row>
    <row r="13543" ht="14.25" customHeight="1">
      <c r="A13543" s="740"/>
    </row>
    <row r="13544" ht="14.25" customHeight="1">
      <c r="A13544" s="740"/>
    </row>
    <row r="13545" ht="14.25" customHeight="1">
      <c r="A13545" s="740"/>
    </row>
    <row r="13546" ht="14.25" customHeight="1">
      <c r="A13546" s="740"/>
    </row>
    <row r="13547" ht="14.25" customHeight="1">
      <c r="A13547" s="740"/>
    </row>
    <row r="13548" ht="14.25" customHeight="1">
      <c r="A13548" s="740"/>
    </row>
    <row r="13549" ht="14.25" customHeight="1">
      <c r="A13549" s="740"/>
    </row>
    <row r="13550" ht="14.25" customHeight="1">
      <c r="A13550" s="740"/>
    </row>
    <row r="13551" ht="14.25" customHeight="1">
      <c r="A13551" s="740"/>
    </row>
    <row r="13552" ht="14.25" customHeight="1">
      <c r="A13552" s="740"/>
    </row>
    <row r="13553" ht="14.25" customHeight="1">
      <c r="A13553" s="740"/>
    </row>
    <row r="13554" ht="14.25" customHeight="1">
      <c r="A13554" s="740"/>
    </row>
    <row r="13555" ht="14.25" customHeight="1">
      <c r="A13555" s="740"/>
    </row>
    <row r="13556" ht="14.25" customHeight="1">
      <c r="A13556" s="740"/>
    </row>
    <row r="13557" ht="14.25" customHeight="1">
      <c r="A13557" s="740"/>
    </row>
    <row r="13558" ht="14.25" customHeight="1">
      <c r="A13558" s="740"/>
    </row>
    <row r="13559" ht="14.25" customHeight="1">
      <c r="A13559" s="740"/>
    </row>
    <row r="13560" ht="14.25" customHeight="1">
      <c r="A13560" s="740"/>
    </row>
    <row r="13561" ht="14.25" customHeight="1">
      <c r="A13561" s="740"/>
    </row>
    <row r="13562" ht="14.25" customHeight="1">
      <c r="A13562" s="740"/>
    </row>
    <row r="13563" ht="14.25" customHeight="1">
      <c r="A13563" s="740"/>
    </row>
    <row r="13564" ht="14.25" customHeight="1">
      <c r="A13564" s="740"/>
    </row>
    <row r="13565" ht="14.25" customHeight="1">
      <c r="A13565" s="740"/>
    </row>
    <row r="13566" ht="14.25" customHeight="1">
      <c r="A13566" s="740"/>
    </row>
    <row r="13567" ht="14.25" customHeight="1">
      <c r="A13567" s="740"/>
    </row>
    <row r="13568" ht="14.25" customHeight="1">
      <c r="A13568" s="740"/>
    </row>
    <row r="13569" ht="14.25" customHeight="1">
      <c r="A13569" s="740"/>
    </row>
    <row r="13570" ht="14.25" customHeight="1">
      <c r="A13570" s="740"/>
    </row>
    <row r="13571" ht="14.25" customHeight="1">
      <c r="A13571" s="740"/>
    </row>
    <row r="13572" ht="14.25" customHeight="1">
      <c r="A13572" s="740"/>
    </row>
    <row r="13573" ht="14.25" customHeight="1">
      <c r="A13573" s="740"/>
    </row>
    <row r="13574" ht="14.25" customHeight="1">
      <c r="A13574" s="740"/>
    </row>
    <row r="13575" ht="14.25" customHeight="1">
      <c r="A13575" s="740"/>
    </row>
    <row r="13576" ht="14.25" customHeight="1">
      <c r="A13576" s="740"/>
    </row>
    <row r="13577" ht="14.25" customHeight="1">
      <c r="A13577" s="740"/>
    </row>
    <row r="13578" ht="14.25" customHeight="1">
      <c r="A13578" s="740"/>
    </row>
    <row r="13579" ht="14.25" customHeight="1">
      <c r="A13579" s="740"/>
    </row>
    <row r="13580" ht="14.25" customHeight="1">
      <c r="A13580" s="740"/>
    </row>
    <row r="13581" ht="14.25" customHeight="1">
      <c r="A13581" s="740"/>
    </row>
    <row r="13582" ht="14.25" customHeight="1">
      <c r="A13582" s="740"/>
    </row>
    <row r="13583" ht="14.25" customHeight="1">
      <c r="A13583" s="740"/>
    </row>
    <row r="13584" ht="14.25" customHeight="1">
      <c r="A13584" s="740"/>
    </row>
    <row r="13585" ht="14.25" customHeight="1">
      <c r="A13585" s="740"/>
    </row>
    <row r="13586" ht="14.25" customHeight="1">
      <c r="A13586" s="740"/>
    </row>
    <row r="13587" ht="14.25" customHeight="1">
      <c r="A13587" s="740"/>
    </row>
    <row r="13588" ht="14.25" customHeight="1">
      <c r="A13588" s="740"/>
    </row>
    <row r="13589" ht="14.25" customHeight="1">
      <c r="A13589" s="740"/>
    </row>
    <row r="13590" ht="14.25" customHeight="1">
      <c r="A13590" s="740"/>
    </row>
    <row r="13591" ht="14.25" customHeight="1">
      <c r="A13591" s="740"/>
    </row>
    <row r="13592" ht="14.25" customHeight="1">
      <c r="A13592" s="740"/>
    </row>
    <row r="13593" ht="14.25" customHeight="1">
      <c r="A13593" s="740"/>
    </row>
    <row r="13594" ht="14.25" customHeight="1">
      <c r="A13594" s="740"/>
    </row>
    <row r="13595" ht="14.25" customHeight="1">
      <c r="A13595" s="740"/>
    </row>
    <row r="13596" ht="14.25" customHeight="1">
      <c r="A13596" s="740"/>
    </row>
    <row r="13597" ht="14.25" customHeight="1">
      <c r="A13597" s="740"/>
    </row>
    <row r="13598" ht="14.25" customHeight="1">
      <c r="A13598" s="740"/>
    </row>
    <row r="13599" ht="14.25" customHeight="1">
      <c r="A13599" s="740"/>
    </row>
    <row r="13600" ht="14.25" customHeight="1">
      <c r="A13600" s="740"/>
    </row>
    <row r="13601" ht="14.25" customHeight="1">
      <c r="A13601" s="740"/>
    </row>
    <row r="13602" ht="14.25" customHeight="1">
      <c r="A13602" s="740"/>
    </row>
    <row r="13603" ht="14.25" customHeight="1">
      <c r="A13603" s="740"/>
    </row>
    <row r="13604" ht="14.25" customHeight="1">
      <c r="A13604" s="740"/>
    </row>
    <row r="13605" ht="14.25" customHeight="1">
      <c r="A13605" s="740"/>
    </row>
    <row r="13606" ht="14.25" customHeight="1">
      <c r="A13606" s="740"/>
    </row>
    <row r="13607" ht="14.25" customHeight="1">
      <c r="A13607" s="740"/>
    </row>
    <row r="13608" ht="14.25" customHeight="1">
      <c r="A13608" s="740"/>
    </row>
    <row r="13609" ht="14.25" customHeight="1">
      <c r="A13609" s="740"/>
    </row>
    <row r="13610" ht="14.25" customHeight="1">
      <c r="A13610" s="740"/>
    </row>
    <row r="13611" ht="14.25" customHeight="1">
      <c r="A13611" s="740"/>
    </row>
    <row r="13612" ht="14.25" customHeight="1">
      <c r="A13612" s="740"/>
    </row>
    <row r="13613" ht="14.25" customHeight="1">
      <c r="A13613" s="740"/>
    </row>
    <row r="13614" ht="14.25" customHeight="1">
      <c r="A13614" s="740"/>
    </row>
    <row r="13615" ht="14.25" customHeight="1">
      <c r="A13615" s="740"/>
    </row>
    <row r="13616" ht="14.25" customHeight="1">
      <c r="A13616" s="740"/>
    </row>
    <row r="13617" ht="14.25" customHeight="1">
      <c r="A13617" s="740"/>
    </row>
    <row r="13618" ht="14.25" customHeight="1">
      <c r="A13618" s="740"/>
    </row>
    <row r="13619" ht="14.25" customHeight="1">
      <c r="A13619" s="740"/>
    </row>
    <row r="13620" ht="14.25" customHeight="1">
      <c r="A13620" s="740"/>
    </row>
    <row r="13621" ht="14.25" customHeight="1">
      <c r="A13621" s="740"/>
    </row>
    <row r="13622" ht="14.25" customHeight="1">
      <c r="A13622" s="740"/>
    </row>
    <row r="13623" ht="14.25" customHeight="1">
      <c r="A13623" s="740"/>
    </row>
    <row r="13624" ht="14.25" customHeight="1">
      <c r="A13624" s="740"/>
    </row>
    <row r="13625" ht="14.25" customHeight="1">
      <c r="A13625" s="740"/>
    </row>
    <row r="13626" ht="14.25" customHeight="1">
      <c r="A13626" s="740"/>
    </row>
    <row r="13627" ht="14.25" customHeight="1">
      <c r="A13627" s="740"/>
    </row>
    <row r="13628" ht="14.25" customHeight="1">
      <c r="A13628" s="740"/>
    </row>
    <row r="13629" ht="14.25" customHeight="1">
      <c r="A13629" s="740"/>
    </row>
    <row r="13630" ht="14.25" customHeight="1">
      <c r="A13630" s="740"/>
    </row>
    <row r="13631" ht="14.25" customHeight="1">
      <c r="A13631" s="740"/>
    </row>
    <row r="13632" ht="14.25" customHeight="1">
      <c r="A13632" s="740"/>
    </row>
    <row r="13633" ht="14.25" customHeight="1">
      <c r="A13633" s="740"/>
    </row>
    <row r="13634" ht="14.25" customHeight="1">
      <c r="A13634" s="740"/>
    </row>
    <row r="13635" ht="14.25" customHeight="1">
      <c r="A13635" s="740"/>
    </row>
    <row r="13636" ht="14.25" customHeight="1">
      <c r="A13636" s="740"/>
    </row>
    <row r="13637" ht="14.25" customHeight="1">
      <c r="A13637" s="740"/>
    </row>
    <row r="13638" ht="14.25" customHeight="1">
      <c r="A13638" s="740"/>
    </row>
    <row r="13639" ht="14.25" customHeight="1">
      <c r="A13639" s="740"/>
    </row>
    <row r="13640" ht="14.25" customHeight="1">
      <c r="A13640" s="740"/>
    </row>
    <row r="13641" ht="14.25" customHeight="1">
      <c r="A13641" s="740"/>
    </row>
    <row r="13642" ht="14.25" customHeight="1">
      <c r="A13642" s="740"/>
    </row>
    <row r="13643" ht="14.25" customHeight="1">
      <c r="A13643" s="740"/>
    </row>
    <row r="13644" ht="14.25" customHeight="1">
      <c r="A13644" s="740"/>
    </row>
    <row r="13645" ht="14.25" customHeight="1">
      <c r="A13645" s="740"/>
    </row>
    <row r="13646" ht="14.25" customHeight="1">
      <c r="A13646" s="740"/>
    </row>
    <row r="13647" ht="14.25" customHeight="1">
      <c r="A13647" s="740"/>
    </row>
    <row r="13648" ht="14.25" customHeight="1">
      <c r="A13648" s="740"/>
    </row>
    <row r="13649" ht="14.25" customHeight="1">
      <c r="A13649" s="740"/>
    </row>
    <row r="13650" ht="14.25" customHeight="1">
      <c r="A13650" s="740"/>
    </row>
    <row r="13651" ht="14.25" customHeight="1">
      <c r="A13651" s="740"/>
    </row>
    <row r="13652" ht="14.25" customHeight="1">
      <c r="A13652" s="740"/>
    </row>
    <row r="13653" ht="14.25" customHeight="1">
      <c r="A13653" s="740"/>
    </row>
    <row r="13654" ht="14.25" customHeight="1">
      <c r="A13654" s="740"/>
    </row>
    <row r="13655" ht="14.25" customHeight="1">
      <c r="A13655" s="740"/>
    </row>
    <row r="13656" ht="14.25" customHeight="1">
      <c r="A13656" s="740"/>
    </row>
    <row r="13657" ht="14.25" customHeight="1">
      <c r="A13657" s="740"/>
    </row>
    <row r="13658" ht="14.25" customHeight="1">
      <c r="A13658" s="740"/>
    </row>
    <row r="13659" ht="14.25" customHeight="1">
      <c r="A13659" s="740"/>
    </row>
    <row r="13660" ht="14.25" customHeight="1">
      <c r="A13660" s="740"/>
    </row>
    <row r="13661" ht="14.25" customHeight="1">
      <c r="A13661" s="740"/>
    </row>
    <row r="13662" ht="14.25" customHeight="1">
      <c r="A13662" s="740"/>
    </row>
    <row r="13663" ht="14.25" customHeight="1">
      <c r="A13663" s="740"/>
    </row>
    <row r="13664" ht="14.25" customHeight="1">
      <c r="A13664" s="740"/>
    </row>
    <row r="13665" ht="14.25" customHeight="1">
      <c r="A13665" s="740"/>
    </row>
    <row r="13666" ht="14.25" customHeight="1">
      <c r="A13666" s="740"/>
    </row>
    <row r="13667" ht="14.25" customHeight="1">
      <c r="A13667" s="740"/>
    </row>
    <row r="13668" ht="14.25" customHeight="1">
      <c r="A13668" s="740"/>
    </row>
    <row r="13669" ht="14.25" customHeight="1">
      <c r="A13669" s="740"/>
    </row>
    <row r="13670" ht="14.25" customHeight="1">
      <c r="A13670" s="740"/>
    </row>
    <row r="13671" ht="14.25" customHeight="1">
      <c r="A13671" s="740"/>
    </row>
    <row r="13672" ht="14.25" customHeight="1">
      <c r="A13672" s="740"/>
    </row>
    <row r="13673" ht="14.25" customHeight="1">
      <c r="A13673" s="740"/>
    </row>
    <row r="13674" ht="14.25" customHeight="1">
      <c r="A13674" s="740"/>
    </row>
    <row r="13675" ht="14.25" customHeight="1">
      <c r="A13675" s="740"/>
    </row>
    <row r="13676" ht="14.25" customHeight="1">
      <c r="A13676" s="740"/>
    </row>
    <row r="13677" ht="14.25" customHeight="1">
      <c r="A13677" s="740"/>
    </row>
    <row r="13678" ht="14.25" customHeight="1">
      <c r="A13678" s="740"/>
    </row>
    <row r="13679" ht="14.25" customHeight="1">
      <c r="A13679" s="740"/>
    </row>
    <row r="13680" ht="14.25" customHeight="1">
      <c r="A13680" s="740"/>
    </row>
    <row r="13681" ht="14.25" customHeight="1">
      <c r="A13681" s="740"/>
    </row>
    <row r="13682" ht="14.25" customHeight="1">
      <c r="A13682" s="740"/>
    </row>
    <row r="13683" ht="14.25" customHeight="1">
      <c r="A13683" s="740"/>
    </row>
    <row r="13684" ht="14.25" customHeight="1">
      <c r="A13684" s="740"/>
    </row>
    <row r="13685" ht="14.25" customHeight="1">
      <c r="A13685" s="740"/>
    </row>
    <row r="13686" ht="14.25" customHeight="1">
      <c r="A13686" s="740"/>
    </row>
    <row r="13687" ht="14.25" customHeight="1">
      <c r="A13687" s="740"/>
    </row>
    <row r="13688" ht="14.25" customHeight="1">
      <c r="A13688" s="740"/>
    </row>
    <row r="13689" ht="14.25" customHeight="1">
      <c r="A13689" s="740"/>
    </row>
    <row r="13690" ht="14.25" customHeight="1">
      <c r="A13690" s="740"/>
    </row>
    <row r="13691" ht="14.25" customHeight="1">
      <c r="A13691" s="740"/>
    </row>
    <row r="13692" ht="14.25" customHeight="1">
      <c r="A13692" s="740"/>
    </row>
    <row r="13693" ht="14.25" customHeight="1">
      <c r="A13693" s="740"/>
    </row>
    <row r="13694" ht="14.25" customHeight="1">
      <c r="A13694" s="740"/>
    </row>
    <row r="13695" ht="14.25" customHeight="1">
      <c r="A13695" s="740"/>
    </row>
    <row r="13696" ht="14.25" customHeight="1">
      <c r="A13696" s="740"/>
    </row>
    <row r="13697" ht="14.25" customHeight="1">
      <c r="A13697" s="740"/>
    </row>
    <row r="13698" ht="14.25" customHeight="1">
      <c r="A13698" s="740"/>
    </row>
    <row r="13699" ht="14.25" customHeight="1">
      <c r="A13699" s="740"/>
    </row>
    <row r="13700" ht="14.25" customHeight="1">
      <c r="A13700" s="740"/>
    </row>
    <row r="13701" ht="14.25" customHeight="1">
      <c r="A13701" s="740"/>
    </row>
    <row r="13702" ht="14.25" customHeight="1">
      <c r="A13702" s="740"/>
    </row>
    <row r="13703" ht="14.25" customHeight="1">
      <c r="A13703" s="740"/>
    </row>
    <row r="13704" ht="14.25" customHeight="1">
      <c r="A13704" s="740"/>
    </row>
    <row r="13705" ht="14.25" customHeight="1">
      <c r="A13705" s="740"/>
    </row>
    <row r="13706" ht="14.25" customHeight="1">
      <c r="A13706" s="740"/>
    </row>
    <row r="13707" ht="14.25" customHeight="1">
      <c r="A13707" s="740"/>
    </row>
    <row r="13708" ht="14.25" customHeight="1">
      <c r="A13708" s="740"/>
    </row>
    <row r="13709" ht="14.25" customHeight="1">
      <c r="A13709" s="740"/>
    </row>
    <row r="13710" ht="14.25" customHeight="1">
      <c r="A13710" s="740"/>
    </row>
    <row r="13711" ht="14.25" customHeight="1">
      <c r="A13711" s="740"/>
    </row>
    <row r="13712" ht="14.25" customHeight="1">
      <c r="A13712" s="740"/>
    </row>
    <row r="13713" ht="14.25" customHeight="1">
      <c r="A13713" s="740"/>
    </row>
    <row r="13714" ht="14.25" customHeight="1">
      <c r="A13714" s="740"/>
    </row>
    <row r="13715" ht="14.25" customHeight="1">
      <c r="A13715" s="740"/>
    </row>
    <row r="13716" ht="14.25" customHeight="1">
      <c r="A13716" s="740"/>
    </row>
    <row r="13717" ht="14.25" customHeight="1">
      <c r="A13717" s="740"/>
    </row>
    <row r="13718" ht="14.25" customHeight="1">
      <c r="A13718" s="740"/>
    </row>
    <row r="13719" ht="14.25" customHeight="1">
      <c r="A13719" s="740"/>
    </row>
    <row r="13720" ht="14.25" customHeight="1">
      <c r="A13720" s="740"/>
    </row>
    <row r="13721" ht="14.25" customHeight="1">
      <c r="A13721" s="740"/>
    </row>
    <row r="13722" ht="14.25" customHeight="1">
      <c r="A13722" s="740"/>
    </row>
    <row r="13723" ht="14.25" customHeight="1">
      <c r="A13723" s="740"/>
    </row>
    <row r="13724" ht="14.25" customHeight="1">
      <c r="A13724" s="740"/>
    </row>
    <row r="13725" ht="14.25" customHeight="1">
      <c r="A13725" s="740"/>
    </row>
    <row r="13726" ht="14.25" customHeight="1">
      <c r="A13726" s="740"/>
    </row>
    <row r="13727" ht="14.25" customHeight="1">
      <c r="A13727" s="740"/>
    </row>
    <row r="13728" ht="14.25" customHeight="1">
      <c r="A13728" s="740"/>
    </row>
    <row r="13729" ht="14.25" customHeight="1">
      <c r="A13729" s="740"/>
    </row>
    <row r="13730" ht="14.25" customHeight="1">
      <c r="A13730" s="740"/>
    </row>
    <row r="13731" ht="14.25" customHeight="1">
      <c r="A13731" s="740"/>
    </row>
    <row r="13732" ht="14.25" customHeight="1">
      <c r="A13732" s="740"/>
    </row>
    <row r="13733" ht="14.25" customHeight="1">
      <c r="A13733" s="740"/>
    </row>
    <row r="13734" ht="14.25" customHeight="1">
      <c r="A13734" s="740"/>
    </row>
    <row r="13735" ht="14.25" customHeight="1">
      <c r="A13735" s="740"/>
    </row>
    <row r="13736" ht="14.25" customHeight="1">
      <c r="A13736" s="740"/>
    </row>
    <row r="13737" ht="14.25" customHeight="1">
      <c r="A13737" s="740"/>
    </row>
    <row r="13738" ht="14.25" customHeight="1">
      <c r="A13738" s="740"/>
    </row>
    <row r="13739" ht="14.25" customHeight="1">
      <c r="A13739" s="740"/>
    </row>
    <row r="13740" ht="14.25" customHeight="1">
      <c r="A13740" s="740"/>
    </row>
    <row r="13741" ht="14.25" customHeight="1">
      <c r="A13741" s="740"/>
    </row>
    <row r="13742" ht="14.25" customHeight="1">
      <c r="A13742" s="740"/>
    </row>
    <row r="13743" ht="14.25" customHeight="1">
      <c r="A13743" s="740"/>
    </row>
    <row r="13744" ht="14.25" customHeight="1">
      <c r="A13744" s="740"/>
    </row>
    <row r="13745" ht="14.25" customHeight="1">
      <c r="A13745" s="740"/>
    </row>
    <row r="13746" ht="14.25" customHeight="1">
      <c r="A13746" s="740"/>
    </row>
    <row r="13747" ht="14.25" customHeight="1">
      <c r="A13747" s="740"/>
    </row>
    <row r="13748" ht="14.25" customHeight="1">
      <c r="A13748" s="740"/>
    </row>
    <row r="13749" ht="14.25" customHeight="1">
      <c r="A13749" s="740"/>
    </row>
    <row r="13750" ht="14.25" customHeight="1">
      <c r="A13750" s="740"/>
    </row>
    <row r="13751" ht="14.25" customHeight="1">
      <c r="A13751" s="740"/>
    </row>
    <row r="13752" ht="14.25" customHeight="1">
      <c r="A13752" s="740"/>
    </row>
    <row r="13753" ht="14.25" customHeight="1">
      <c r="A13753" s="740"/>
    </row>
    <row r="13754" ht="14.25" customHeight="1">
      <c r="A13754" s="740"/>
    </row>
    <row r="13755" ht="14.25" customHeight="1">
      <c r="A13755" s="740"/>
    </row>
    <row r="13756" ht="14.25" customHeight="1">
      <c r="A13756" s="740"/>
    </row>
    <row r="13757" ht="14.25" customHeight="1">
      <c r="A13757" s="740"/>
    </row>
    <row r="13758" ht="14.25" customHeight="1">
      <c r="A13758" s="740"/>
    </row>
    <row r="13759" ht="14.25" customHeight="1">
      <c r="A13759" s="740"/>
    </row>
    <row r="13760" ht="14.25" customHeight="1">
      <c r="A13760" s="740"/>
    </row>
    <row r="13761" ht="14.25" customHeight="1">
      <c r="A13761" s="740"/>
    </row>
    <row r="13762" ht="14.25" customHeight="1">
      <c r="A13762" s="740"/>
    </row>
    <row r="13763" ht="14.25" customHeight="1">
      <c r="A13763" s="740"/>
    </row>
    <row r="13764" ht="14.25" customHeight="1">
      <c r="A13764" s="740"/>
    </row>
    <row r="13765" ht="14.25" customHeight="1">
      <c r="A13765" s="740"/>
    </row>
    <row r="13766" ht="14.25" customHeight="1">
      <c r="A13766" s="740"/>
    </row>
    <row r="13767" ht="14.25" customHeight="1">
      <c r="A13767" s="740"/>
    </row>
    <row r="13768" ht="14.25" customHeight="1">
      <c r="A13768" s="740"/>
    </row>
    <row r="13769" ht="14.25" customHeight="1">
      <c r="A13769" s="740"/>
    </row>
    <row r="13770" ht="14.25" customHeight="1">
      <c r="A13770" s="740"/>
    </row>
    <row r="13771" ht="14.25" customHeight="1">
      <c r="A13771" s="740"/>
    </row>
    <row r="13772" ht="14.25" customHeight="1">
      <c r="A13772" s="740"/>
    </row>
    <row r="13773" ht="14.25" customHeight="1">
      <c r="A13773" s="740"/>
    </row>
    <row r="13774" ht="14.25" customHeight="1">
      <c r="A13774" s="740"/>
    </row>
    <row r="13775" ht="14.25" customHeight="1">
      <c r="A13775" s="740"/>
    </row>
    <row r="13776" ht="14.25" customHeight="1">
      <c r="A13776" s="740"/>
    </row>
    <row r="13777" ht="14.25" customHeight="1">
      <c r="A13777" s="740"/>
    </row>
    <row r="13778" ht="14.25" customHeight="1">
      <c r="A13778" s="740"/>
    </row>
    <row r="13779" ht="14.25" customHeight="1">
      <c r="A13779" s="740"/>
    </row>
    <row r="13780" ht="14.25" customHeight="1">
      <c r="A13780" s="740"/>
    </row>
    <row r="13781" ht="14.25" customHeight="1">
      <c r="A13781" s="740"/>
    </row>
    <row r="13782" ht="14.25" customHeight="1">
      <c r="A13782" s="740"/>
    </row>
    <row r="13783" ht="14.25" customHeight="1">
      <c r="A13783" s="740"/>
    </row>
    <row r="13784" ht="14.25" customHeight="1">
      <c r="A13784" s="740"/>
    </row>
    <row r="13785" ht="14.25" customHeight="1">
      <c r="A13785" s="740"/>
    </row>
    <row r="13786" ht="14.25" customHeight="1">
      <c r="A13786" s="740"/>
    </row>
    <row r="13787" ht="14.25" customHeight="1">
      <c r="A13787" s="740"/>
    </row>
    <row r="13788" ht="14.25" customHeight="1">
      <c r="A13788" s="740"/>
    </row>
    <row r="13789" ht="14.25" customHeight="1">
      <c r="A13789" s="740"/>
    </row>
    <row r="13790" ht="14.25" customHeight="1">
      <c r="A13790" s="740"/>
    </row>
    <row r="13791" ht="14.25" customHeight="1">
      <c r="A13791" s="740"/>
    </row>
    <row r="13792" ht="14.25" customHeight="1">
      <c r="A13792" s="740"/>
    </row>
    <row r="13793" ht="14.25" customHeight="1">
      <c r="A13793" s="740"/>
    </row>
    <row r="13794" ht="14.25" customHeight="1">
      <c r="A13794" s="740"/>
    </row>
    <row r="13795" ht="14.25" customHeight="1">
      <c r="A13795" s="740"/>
    </row>
    <row r="13796" ht="14.25" customHeight="1">
      <c r="A13796" s="740"/>
    </row>
    <row r="13797" ht="14.25" customHeight="1">
      <c r="A13797" s="740"/>
    </row>
    <row r="13798" ht="14.25" customHeight="1">
      <c r="A13798" s="740"/>
    </row>
    <row r="13799" ht="14.25" customHeight="1">
      <c r="A13799" s="740"/>
    </row>
    <row r="13800" ht="14.25" customHeight="1">
      <c r="A13800" s="740"/>
    </row>
    <row r="13801" ht="14.25" customHeight="1">
      <c r="A13801" s="740"/>
    </row>
    <row r="13802" ht="14.25" customHeight="1">
      <c r="A13802" s="740"/>
    </row>
    <row r="13803" ht="14.25" customHeight="1">
      <c r="A13803" s="740"/>
    </row>
    <row r="13804" ht="14.25" customHeight="1">
      <c r="A13804" s="740"/>
    </row>
    <row r="13805" ht="14.25" customHeight="1">
      <c r="A13805" s="740"/>
    </row>
    <row r="13806" ht="14.25" customHeight="1">
      <c r="A13806" s="740"/>
    </row>
    <row r="13807" ht="14.25" customHeight="1">
      <c r="A13807" s="740"/>
    </row>
    <row r="13808" ht="14.25" customHeight="1">
      <c r="A13808" s="740"/>
    </row>
    <row r="13809" ht="14.25" customHeight="1">
      <c r="A13809" s="740"/>
    </row>
    <row r="13810" ht="14.25" customHeight="1">
      <c r="A13810" s="740"/>
    </row>
    <row r="13811" ht="14.25" customHeight="1">
      <c r="A13811" s="740"/>
    </row>
    <row r="13812" ht="14.25" customHeight="1">
      <c r="A13812" s="740"/>
    </row>
    <row r="13813" ht="14.25" customHeight="1">
      <c r="A13813" s="740"/>
    </row>
    <row r="13814" ht="14.25" customHeight="1">
      <c r="A13814" s="740"/>
    </row>
    <row r="13815" ht="14.25" customHeight="1">
      <c r="A13815" s="740"/>
    </row>
    <row r="13816" ht="14.25" customHeight="1">
      <c r="A13816" s="740"/>
    </row>
    <row r="13817" ht="14.25" customHeight="1">
      <c r="A13817" s="740"/>
    </row>
    <row r="13818" ht="14.25" customHeight="1">
      <c r="A13818" s="740"/>
    </row>
    <row r="13819" ht="14.25" customHeight="1">
      <c r="A13819" s="740"/>
    </row>
    <row r="13820" ht="14.25" customHeight="1">
      <c r="A13820" s="740"/>
    </row>
    <row r="13821" ht="14.25" customHeight="1">
      <c r="A13821" s="740"/>
    </row>
    <row r="13822" ht="14.25" customHeight="1">
      <c r="A13822" s="740"/>
    </row>
    <row r="13823" ht="14.25" customHeight="1">
      <c r="A13823" s="740"/>
    </row>
    <row r="13824" ht="14.25" customHeight="1">
      <c r="A13824" s="740"/>
    </row>
    <row r="13825" ht="14.25" customHeight="1">
      <c r="A13825" s="740"/>
    </row>
    <row r="13826" ht="14.25" customHeight="1">
      <c r="A13826" s="740"/>
    </row>
    <row r="13827" ht="14.25" customHeight="1">
      <c r="A13827" s="740"/>
    </row>
    <row r="13828" ht="14.25" customHeight="1">
      <c r="A13828" s="740"/>
    </row>
    <row r="13829" ht="14.25" customHeight="1">
      <c r="A13829" s="740"/>
    </row>
    <row r="13830" ht="14.25" customHeight="1">
      <c r="A13830" s="740"/>
    </row>
    <row r="13831" ht="14.25" customHeight="1">
      <c r="A13831" s="740"/>
    </row>
    <row r="13832" ht="14.25" customHeight="1">
      <c r="A13832" s="740"/>
    </row>
    <row r="13833" ht="14.25" customHeight="1">
      <c r="A13833" s="740"/>
    </row>
    <row r="13834" ht="14.25" customHeight="1">
      <c r="A13834" s="740"/>
    </row>
    <row r="13835" ht="14.25" customHeight="1">
      <c r="A13835" s="740"/>
    </row>
    <row r="13836" ht="14.25" customHeight="1">
      <c r="A13836" s="740"/>
    </row>
    <row r="13837" ht="14.25" customHeight="1">
      <c r="A13837" s="740"/>
    </row>
    <row r="13838" ht="14.25" customHeight="1">
      <c r="A13838" s="740"/>
    </row>
    <row r="13839" ht="14.25" customHeight="1">
      <c r="A13839" s="740"/>
    </row>
    <row r="13840" ht="14.25" customHeight="1">
      <c r="A13840" s="740"/>
    </row>
    <row r="13841" ht="14.25" customHeight="1">
      <c r="A13841" s="740"/>
    </row>
    <row r="13842" ht="14.25" customHeight="1">
      <c r="A13842" s="740"/>
    </row>
    <row r="13843" ht="14.25" customHeight="1">
      <c r="A13843" s="740"/>
    </row>
    <row r="13844" ht="14.25" customHeight="1">
      <c r="A13844" s="740"/>
    </row>
    <row r="13845" ht="14.25" customHeight="1">
      <c r="A13845" s="740"/>
    </row>
    <row r="13846" ht="14.25" customHeight="1">
      <c r="A13846" s="740"/>
    </row>
    <row r="13847" ht="14.25" customHeight="1">
      <c r="A13847" s="740"/>
    </row>
    <row r="13848" ht="14.25" customHeight="1">
      <c r="A13848" s="740"/>
    </row>
    <row r="13849" ht="14.25" customHeight="1">
      <c r="A13849" s="740"/>
    </row>
    <row r="13850" ht="14.25" customHeight="1">
      <c r="A13850" s="740"/>
    </row>
    <row r="13851" ht="14.25" customHeight="1">
      <c r="A13851" s="740"/>
    </row>
    <row r="13852" ht="14.25" customHeight="1">
      <c r="A13852" s="740"/>
    </row>
    <row r="13853" ht="14.25" customHeight="1">
      <c r="A13853" s="740"/>
    </row>
    <row r="13854" ht="14.25" customHeight="1">
      <c r="A13854" s="740"/>
    </row>
    <row r="13855" ht="14.25" customHeight="1">
      <c r="A13855" s="740"/>
    </row>
    <row r="13856" ht="14.25" customHeight="1">
      <c r="A13856" s="740"/>
    </row>
    <row r="13857" ht="14.25" customHeight="1">
      <c r="A13857" s="740"/>
    </row>
    <row r="13858" ht="14.25" customHeight="1">
      <c r="A13858" s="740"/>
    </row>
    <row r="13859" ht="14.25" customHeight="1">
      <c r="A13859" s="740"/>
    </row>
    <row r="13860" ht="14.25" customHeight="1">
      <c r="A13860" s="740"/>
    </row>
    <row r="13861" ht="14.25" customHeight="1">
      <c r="A13861" s="740"/>
    </row>
    <row r="13862" ht="14.25" customHeight="1">
      <c r="A13862" s="740"/>
    </row>
    <row r="13863" ht="14.25" customHeight="1">
      <c r="A13863" s="740"/>
    </row>
    <row r="13864" ht="14.25" customHeight="1">
      <c r="A13864" s="740"/>
    </row>
    <row r="13865" ht="14.25" customHeight="1">
      <c r="A13865" s="740"/>
    </row>
    <row r="13866" ht="14.25" customHeight="1">
      <c r="A13866" s="740"/>
    </row>
    <row r="13867" ht="14.25" customHeight="1">
      <c r="A13867" s="740"/>
    </row>
    <row r="13868" ht="14.25" customHeight="1">
      <c r="A13868" s="740"/>
    </row>
    <row r="13869" ht="14.25" customHeight="1">
      <c r="A13869" s="740"/>
    </row>
    <row r="13870" ht="14.25" customHeight="1">
      <c r="A13870" s="740"/>
    </row>
    <row r="13871" ht="14.25" customHeight="1">
      <c r="A13871" s="740"/>
    </row>
    <row r="13872" ht="14.25" customHeight="1">
      <c r="A13872" s="740"/>
    </row>
    <row r="13873" ht="14.25" customHeight="1">
      <c r="A13873" s="740"/>
    </row>
    <row r="13874" ht="14.25" customHeight="1">
      <c r="A13874" s="740"/>
    </row>
    <row r="13875" ht="14.25" customHeight="1">
      <c r="A13875" s="740"/>
    </row>
    <row r="13876" ht="14.25" customHeight="1">
      <c r="A13876" s="740"/>
    </row>
    <row r="13877" ht="14.25" customHeight="1">
      <c r="A13877" s="740"/>
    </row>
    <row r="13878" ht="14.25" customHeight="1">
      <c r="A13878" s="740"/>
    </row>
    <row r="13879" ht="14.25" customHeight="1">
      <c r="A13879" s="740"/>
    </row>
    <row r="13880" ht="14.25" customHeight="1">
      <c r="A13880" s="740"/>
    </row>
    <row r="13881" ht="14.25" customHeight="1">
      <c r="A13881" s="740"/>
    </row>
    <row r="13882" ht="14.25" customHeight="1">
      <c r="A13882" s="740"/>
    </row>
    <row r="13883" ht="14.25" customHeight="1">
      <c r="A13883" s="740"/>
    </row>
    <row r="13884" ht="14.25" customHeight="1">
      <c r="A13884" s="740"/>
    </row>
    <row r="13885" ht="14.25" customHeight="1">
      <c r="A13885" s="740"/>
    </row>
    <row r="13886" ht="14.25" customHeight="1">
      <c r="A13886" s="740"/>
    </row>
    <row r="13887" ht="14.25" customHeight="1">
      <c r="A13887" s="740"/>
    </row>
    <row r="13888" ht="14.25" customHeight="1">
      <c r="A13888" s="740"/>
    </row>
    <row r="13889" ht="14.25" customHeight="1">
      <c r="A13889" s="740"/>
    </row>
    <row r="13890" ht="14.25" customHeight="1">
      <c r="A13890" s="740"/>
    </row>
    <row r="13891" ht="14.25" customHeight="1">
      <c r="A13891" s="740"/>
    </row>
    <row r="13892" ht="14.25" customHeight="1">
      <c r="A13892" s="740"/>
    </row>
    <row r="13893" ht="14.25" customHeight="1">
      <c r="A13893" s="740"/>
    </row>
    <row r="13894" ht="14.25" customHeight="1">
      <c r="A13894" s="740"/>
    </row>
    <row r="13895" ht="14.25" customHeight="1">
      <c r="A13895" s="740"/>
    </row>
    <row r="13896" ht="14.25" customHeight="1">
      <c r="A13896" s="740"/>
    </row>
    <row r="13897" ht="14.25" customHeight="1">
      <c r="A13897" s="740"/>
    </row>
    <row r="13898" ht="14.25" customHeight="1">
      <c r="A13898" s="740"/>
    </row>
    <row r="13899" ht="14.25" customHeight="1">
      <c r="A13899" s="740"/>
    </row>
    <row r="13900" ht="14.25" customHeight="1">
      <c r="A13900" s="740"/>
    </row>
    <row r="13901" ht="14.25" customHeight="1">
      <c r="A13901" s="740"/>
    </row>
    <row r="13902" ht="14.25" customHeight="1">
      <c r="A13902" s="740"/>
    </row>
    <row r="13903" ht="14.25" customHeight="1">
      <c r="A13903" s="740"/>
    </row>
    <row r="13904" ht="14.25" customHeight="1">
      <c r="A13904" s="740"/>
    </row>
    <row r="13905" ht="14.25" customHeight="1">
      <c r="A13905" s="740"/>
    </row>
    <row r="13906" ht="14.25" customHeight="1">
      <c r="A13906" s="740"/>
    </row>
    <row r="13907" ht="14.25" customHeight="1">
      <c r="A13907" s="740"/>
    </row>
    <row r="13908" ht="14.25" customHeight="1">
      <c r="A13908" s="740"/>
    </row>
    <row r="13909" ht="14.25" customHeight="1">
      <c r="A13909" s="740"/>
    </row>
    <row r="13910" ht="14.25" customHeight="1">
      <c r="A13910" s="740"/>
    </row>
    <row r="13911" ht="14.25" customHeight="1">
      <c r="A13911" s="740"/>
    </row>
    <row r="13912" ht="14.25" customHeight="1">
      <c r="A13912" s="740"/>
    </row>
    <row r="13913" ht="14.25" customHeight="1">
      <c r="A13913" s="740"/>
    </row>
    <row r="13914" ht="14.25" customHeight="1">
      <c r="A13914" s="740"/>
    </row>
    <row r="13915" ht="14.25" customHeight="1">
      <c r="A13915" s="740"/>
    </row>
    <row r="13916" ht="14.25" customHeight="1">
      <c r="A13916" s="740"/>
    </row>
    <row r="13917" ht="14.25" customHeight="1">
      <c r="A13917" s="740"/>
    </row>
    <row r="13918" ht="14.25" customHeight="1">
      <c r="A13918" s="740"/>
    </row>
    <row r="13919" ht="14.25" customHeight="1">
      <c r="A13919" s="740"/>
    </row>
    <row r="13920" ht="14.25" customHeight="1">
      <c r="A13920" s="740"/>
    </row>
    <row r="13921" ht="14.25" customHeight="1">
      <c r="A13921" s="740"/>
    </row>
    <row r="13922" ht="14.25" customHeight="1">
      <c r="A13922" s="740"/>
    </row>
    <row r="13923" ht="14.25" customHeight="1">
      <c r="A13923" s="740"/>
    </row>
    <row r="13924" ht="14.25" customHeight="1">
      <c r="A13924" s="740"/>
    </row>
    <row r="13925" ht="14.25" customHeight="1">
      <c r="A13925" s="740"/>
    </row>
    <row r="13926" ht="14.25" customHeight="1">
      <c r="A13926" s="740"/>
    </row>
    <row r="13927" ht="14.25" customHeight="1">
      <c r="A13927" s="740"/>
    </row>
    <row r="13928" ht="14.25" customHeight="1">
      <c r="A13928" s="740"/>
    </row>
    <row r="13929" ht="14.25" customHeight="1">
      <c r="A13929" s="740"/>
    </row>
    <row r="13930" ht="14.25" customHeight="1">
      <c r="A13930" s="740"/>
    </row>
    <row r="13931" ht="14.25" customHeight="1">
      <c r="A13931" s="740"/>
    </row>
    <row r="13932" ht="14.25" customHeight="1">
      <c r="A13932" s="740"/>
    </row>
    <row r="13933" ht="14.25" customHeight="1">
      <c r="A13933" s="740"/>
    </row>
    <row r="13934" ht="14.25" customHeight="1">
      <c r="A13934" s="740"/>
    </row>
    <row r="13935" ht="14.25" customHeight="1">
      <c r="A13935" s="740"/>
    </row>
    <row r="13936" ht="14.25" customHeight="1">
      <c r="A13936" s="740"/>
    </row>
    <row r="13937" ht="14.25" customHeight="1">
      <c r="A13937" s="740"/>
    </row>
    <row r="13938" ht="14.25" customHeight="1">
      <c r="A13938" s="740"/>
    </row>
    <row r="13939" ht="14.25" customHeight="1">
      <c r="A13939" s="740"/>
    </row>
    <row r="13940" ht="14.25" customHeight="1">
      <c r="A13940" s="740"/>
    </row>
    <row r="13941" ht="14.25" customHeight="1">
      <c r="A13941" s="740"/>
    </row>
    <row r="13942" ht="14.25" customHeight="1">
      <c r="A13942" s="740"/>
    </row>
    <row r="13943" ht="14.25" customHeight="1">
      <c r="A13943" s="740"/>
    </row>
    <row r="13944" ht="14.25" customHeight="1">
      <c r="A13944" s="740"/>
    </row>
    <row r="13945" ht="14.25" customHeight="1">
      <c r="A13945" s="740"/>
    </row>
    <row r="13946" ht="14.25" customHeight="1">
      <c r="A13946" s="740"/>
    </row>
    <row r="13947" ht="14.25" customHeight="1">
      <c r="A13947" s="740"/>
    </row>
    <row r="13948" ht="14.25" customHeight="1">
      <c r="A13948" s="740"/>
    </row>
    <row r="13949" ht="14.25" customHeight="1">
      <c r="A13949" s="740"/>
    </row>
    <row r="13950" ht="14.25" customHeight="1">
      <c r="A13950" s="740"/>
    </row>
    <row r="13951" ht="14.25" customHeight="1">
      <c r="A13951" s="740"/>
    </row>
    <row r="13952" ht="14.25" customHeight="1">
      <c r="A13952" s="740"/>
    </row>
    <row r="13953" ht="14.25" customHeight="1">
      <c r="A13953" s="740"/>
    </row>
    <row r="13954" ht="14.25" customHeight="1">
      <c r="A13954" s="740"/>
    </row>
    <row r="13955" ht="14.25" customHeight="1">
      <c r="A13955" s="740"/>
    </row>
    <row r="13956" ht="14.25" customHeight="1">
      <c r="A13956" s="740"/>
    </row>
    <row r="13957" ht="14.25" customHeight="1">
      <c r="A13957" s="740"/>
    </row>
    <row r="13958" ht="14.25" customHeight="1">
      <c r="A13958" s="740"/>
    </row>
    <row r="13959" ht="14.25" customHeight="1">
      <c r="A13959" s="740"/>
    </row>
    <row r="13960" ht="14.25" customHeight="1">
      <c r="A13960" s="740"/>
    </row>
    <row r="13961" ht="14.25" customHeight="1">
      <c r="A13961" s="740"/>
    </row>
    <row r="13962" ht="14.25" customHeight="1">
      <c r="A13962" s="740"/>
    </row>
    <row r="13963" ht="14.25" customHeight="1">
      <c r="A13963" s="740"/>
    </row>
    <row r="13964" ht="14.25" customHeight="1">
      <c r="A13964" s="740"/>
    </row>
    <row r="13965" ht="14.25" customHeight="1">
      <c r="A13965" s="740"/>
    </row>
    <row r="13966" ht="14.25" customHeight="1">
      <c r="A13966" s="740"/>
    </row>
    <row r="13967" ht="14.25" customHeight="1">
      <c r="A13967" s="740"/>
    </row>
    <row r="13968" ht="14.25" customHeight="1">
      <c r="A13968" s="740"/>
    </row>
    <row r="13969" ht="14.25" customHeight="1">
      <c r="A13969" s="740"/>
    </row>
    <row r="13970" ht="14.25" customHeight="1">
      <c r="A13970" s="740"/>
    </row>
    <row r="13971" ht="14.25" customHeight="1">
      <c r="A13971" s="740"/>
    </row>
    <row r="13972" ht="14.25" customHeight="1">
      <c r="A13972" s="740"/>
    </row>
    <row r="13973" ht="14.25" customHeight="1">
      <c r="A13973" s="740"/>
    </row>
    <row r="13974" ht="14.25" customHeight="1">
      <c r="A13974" s="740"/>
    </row>
    <row r="13975" ht="14.25" customHeight="1">
      <c r="A13975" s="740"/>
    </row>
    <row r="13976" ht="14.25" customHeight="1">
      <c r="A13976" s="740"/>
    </row>
    <row r="13977" ht="14.25" customHeight="1">
      <c r="A13977" s="740"/>
    </row>
    <row r="13978" ht="14.25" customHeight="1">
      <c r="A13978" s="740"/>
    </row>
    <row r="13979" ht="14.25" customHeight="1">
      <c r="A13979" s="740"/>
    </row>
    <row r="13980" ht="14.25" customHeight="1">
      <c r="A13980" s="740"/>
    </row>
    <row r="13981" ht="14.25" customHeight="1">
      <c r="A13981" s="740"/>
    </row>
    <row r="13982" ht="14.25" customHeight="1">
      <c r="A13982" s="740"/>
    </row>
    <row r="13983" ht="14.25" customHeight="1">
      <c r="A13983" s="740"/>
    </row>
    <row r="13984" ht="14.25" customHeight="1">
      <c r="A13984" s="740"/>
    </row>
    <row r="13985" ht="14.25" customHeight="1">
      <c r="A13985" s="740"/>
    </row>
    <row r="13986" ht="14.25" customHeight="1">
      <c r="A13986" s="740"/>
    </row>
    <row r="13987" ht="14.25" customHeight="1">
      <c r="A13987" s="740"/>
    </row>
    <row r="13988" ht="14.25" customHeight="1">
      <c r="A13988" s="740"/>
    </row>
    <row r="13989" ht="14.25" customHeight="1">
      <c r="A13989" s="740"/>
    </row>
    <row r="13990" ht="14.25" customHeight="1">
      <c r="A13990" s="740"/>
    </row>
    <row r="13991" ht="14.25" customHeight="1">
      <c r="A13991" s="740"/>
    </row>
    <row r="13992" ht="14.25" customHeight="1">
      <c r="A13992" s="740"/>
    </row>
    <row r="13993" ht="14.25" customHeight="1">
      <c r="A13993" s="740"/>
    </row>
    <row r="13994" ht="14.25" customHeight="1">
      <c r="A13994" s="740"/>
    </row>
    <row r="13995" ht="14.25" customHeight="1">
      <c r="A13995" s="740"/>
    </row>
    <row r="13996" ht="14.25" customHeight="1">
      <c r="A13996" s="740"/>
    </row>
    <row r="13997" ht="14.25" customHeight="1">
      <c r="A13997" s="740"/>
    </row>
    <row r="13998" ht="14.25" customHeight="1">
      <c r="A13998" s="740"/>
    </row>
    <row r="13999" ht="14.25" customHeight="1">
      <c r="A13999" s="740"/>
    </row>
    <row r="14000" ht="14.25" customHeight="1">
      <c r="A14000" s="740"/>
    </row>
    <row r="14001" ht="14.25" customHeight="1">
      <c r="A14001" s="740"/>
    </row>
    <row r="14002" ht="14.25" customHeight="1">
      <c r="A14002" s="740"/>
    </row>
    <row r="14003" ht="14.25" customHeight="1">
      <c r="A14003" s="740"/>
    </row>
    <row r="14004" ht="14.25" customHeight="1">
      <c r="A14004" s="740"/>
    </row>
    <row r="14005" ht="14.25" customHeight="1">
      <c r="A14005" s="740"/>
    </row>
    <row r="14006" ht="14.25" customHeight="1">
      <c r="A14006" s="740"/>
    </row>
    <row r="14007" ht="14.25" customHeight="1">
      <c r="A14007" s="740"/>
    </row>
    <row r="14008" ht="14.25" customHeight="1">
      <c r="A14008" s="740"/>
    </row>
    <row r="14009" ht="14.25" customHeight="1">
      <c r="A14009" s="740"/>
    </row>
    <row r="14010" ht="14.25" customHeight="1">
      <c r="A14010" s="740"/>
    </row>
    <row r="14011" ht="14.25" customHeight="1">
      <c r="A14011" s="740"/>
    </row>
    <row r="14012" ht="14.25" customHeight="1">
      <c r="A14012" s="740"/>
    </row>
    <row r="14013" ht="14.25" customHeight="1">
      <c r="A14013" s="740"/>
    </row>
    <row r="14014" ht="14.25" customHeight="1">
      <c r="A14014" s="740"/>
    </row>
    <row r="14015" ht="14.25" customHeight="1">
      <c r="A14015" s="740"/>
    </row>
    <row r="14016" ht="14.25" customHeight="1">
      <c r="A14016" s="740"/>
    </row>
    <row r="14017" ht="14.25" customHeight="1">
      <c r="A14017" s="740"/>
    </row>
    <row r="14018" ht="14.25" customHeight="1">
      <c r="A14018" s="740"/>
    </row>
    <row r="14019" ht="14.25" customHeight="1">
      <c r="A14019" s="740"/>
    </row>
    <row r="14020" ht="14.25" customHeight="1">
      <c r="A14020" s="740"/>
    </row>
    <row r="14021" ht="14.25" customHeight="1">
      <c r="A14021" s="740"/>
    </row>
    <row r="14022" ht="14.25" customHeight="1">
      <c r="A14022" s="740"/>
    </row>
    <row r="14023" ht="14.25" customHeight="1">
      <c r="A14023" s="740"/>
    </row>
    <row r="14024" ht="14.25" customHeight="1">
      <c r="A14024" s="740"/>
    </row>
    <row r="14025" ht="14.25" customHeight="1">
      <c r="A14025" s="740"/>
    </row>
    <row r="14026" ht="14.25" customHeight="1">
      <c r="A14026" s="740"/>
    </row>
    <row r="14027" ht="14.25" customHeight="1">
      <c r="A14027" s="740"/>
    </row>
    <row r="14028" ht="14.25" customHeight="1">
      <c r="A14028" s="740"/>
    </row>
    <row r="14029" ht="14.25" customHeight="1">
      <c r="A14029" s="740"/>
    </row>
    <row r="14030" ht="14.25" customHeight="1">
      <c r="A14030" s="740"/>
    </row>
    <row r="14031" ht="14.25" customHeight="1">
      <c r="A14031" s="740"/>
    </row>
    <row r="14032" ht="14.25" customHeight="1">
      <c r="A14032" s="740"/>
    </row>
    <row r="14033" ht="14.25" customHeight="1">
      <c r="A14033" s="740"/>
    </row>
    <row r="14034" ht="14.25" customHeight="1">
      <c r="A14034" s="740"/>
    </row>
    <row r="14035" ht="14.25" customHeight="1">
      <c r="A14035" s="740"/>
    </row>
    <row r="14036" ht="14.25" customHeight="1">
      <c r="A14036" s="740"/>
    </row>
    <row r="14037" ht="14.25" customHeight="1">
      <c r="A14037" s="740"/>
    </row>
    <row r="14038" ht="14.25" customHeight="1">
      <c r="A14038" s="740"/>
    </row>
    <row r="14039" ht="14.25" customHeight="1">
      <c r="A14039" s="740"/>
    </row>
    <row r="14040" ht="14.25" customHeight="1">
      <c r="A14040" s="740"/>
    </row>
    <row r="14041" ht="14.25" customHeight="1">
      <c r="A14041" s="740"/>
    </row>
    <row r="14042" ht="14.25" customHeight="1">
      <c r="A14042" s="740"/>
    </row>
    <row r="14043" ht="14.25" customHeight="1">
      <c r="A14043" s="740"/>
    </row>
    <row r="14044" ht="14.25" customHeight="1">
      <c r="A14044" s="740"/>
    </row>
    <row r="14045" ht="14.25" customHeight="1">
      <c r="A14045" s="740"/>
    </row>
    <row r="14046" ht="14.25" customHeight="1">
      <c r="A14046" s="740"/>
    </row>
    <row r="14047" ht="14.25" customHeight="1">
      <c r="A14047" s="740"/>
    </row>
    <row r="14048" ht="14.25" customHeight="1">
      <c r="A14048" s="740"/>
    </row>
    <row r="14049" ht="14.25" customHeight="1">
      <c r="A14049" s="740"/>
    </row>
    <row r="14050" ht="14.25" customHeight="1">
      <c r="A14050" s="740"/>
    </row>
    <row r="14051" ht="14.25" customHeight="1">
      <c r="A14051" s="740"/>
    </row>
    <row r="14052" ht="14.25" customHeight="1">
      <c r="A14052" s="740"/>
    </row>
    <row r="14053" ht="14.25" customHeight="1">
      <c r="A14053" s="740"/>
    </row>
    <row r="14054" ht="14.25" customHeight="1">
      <c r="A14054" s="740"/>
    </row>
    <row r="14055" ht="14.25" customHeight="1">
      <c r="A14055" s="740"/>
    </row>
    <row r="14056" ht="14.25" customHeight="1">
      <c r="A14056" s="740"/>
    </row>
    <row r="14057" ht="14.25" customHeight="1">
      <c r="A14057" s="740"/>
    </row>
    <row r="14058" ht="14.25" customHeight="1">
      <c r="A14058" s="740"/>
    </row>
    <row r="14059" ht="14.25" customHeight="1">
      <c r="A14059" s="740"/>
    </row>
    <row r="14060" ht="14.25" customHeight="1">
      <c r="A14060" s="740"/>
    </row>
    <row r="14061" ht="14.25" customHeight="1">
      <c r="A14061" s="740"/>
    </row>
    <row r="14062" ht="14.25" customHeight="1">
      <c r="A14062" s="740"/>
    </row>
    <row r="14063" ht="14.25" customHeight="1">
      <c r="A14063" s="740"/>
    </row>
    <row r="14064" ht="14.25" customHeight="1">
      <c r="A14064" s="740"/>
    </row>
    <row r="14065" ht="14.25" customHeight="1">
      <c r="A14065" s="740"/>
    </row>
    <row r="14066" ht="14.25" customHeight="1">
      <c r="A14066" s="740"/>
    </row>
    <row r="14067" ht="14.25" customHeight="1">
      <c r="A14067" s="740"/>
    </row>
    <row r="14068" ht="14.25" customHeight="1">
      <c r="A14068" s="740"/>
    </row>
    <row r="14069" ht="14.25" customHeight="1">
      <c r="A14069" s="740"/>
    </row>
    <row r="14070" ht="14.25" customHeight="1">
      <c r="A14070" s="740"/>
    </row>
    <row r="14071" ht="14.25" customHeight="1">
      <c r="A14071" s="740"/>
    </row>
    <row r="14072" ht="14.25" customHeight="1">
      <c r="A14072" s="740"/>
    </row>
    <row r="14073" ht="14.25" customHeight="1">
      <c r="A14073" s="740"/>
    </row>
    <row r="14074" ht="14.25" customHeight="1">
      <c r="A14074" s="740"/>
    </row>
    <row r="14075" ht="14.25" customHeight="1">
      <c r="A14075" s="740"/>
    </row>
    <row r="14076" ht="14.25" customHeight="1">
      <c r="A14076" s="740"/>
    </row>
    <row r="14077" ht="14.25" customHeight="1">
      <c r="A14077" s="740"/>
    </row>
    <row r="14078" ht="14.25" customHeight="1">
      <c r="A14078" s="740"/>
    </row>
    <row r="14079" ht="14.25" customHeight="1">
      <c r="A14079" s="740"/>
    </row>
    <row r="14080" ht="14.25" customHeight="1">
      <c r="A14080" s="740"/>
    </row>
    <row r="14081" ht="14.25" customHeight="1">
      <c r="A14081" s="740"/>
    </row>
    <row r="14082" ht="14.25" customHeight="1">
      <c r="A14082" s="740"/>
    </row>
    <row r="14083" ht="14.25" customHeight="1">
      <c r="A14083" s="740"/>
    </row>
    <row r="14084" ht="14.25" customHeight="1">
      <c r="A14084" s="740"/>
    </row>
    <row r="14085" ht="14.25" customHeight="1">
      <c r="A14085" s="740"/>
    </row>
    <row r="14086" ht="14.25" customHeight="1">
      <c r="A14086" s="740"/>
    </row>
    <row r="14087" ht="14.25" customHeight="1">
      <c r="A14087" s="740"/>
    </row>
    <row r="14088" ht="14.25" customHeight="1">
      <c r="A14088" s="740"/>
    </row>
    <row r="14089" ht="14.25" customHeight="1">
      <c r="A14089" s="740"/>
    </row>
    <row r="14090" ht="14.25" customHeight="1">
      <c r="A14090" s="740"/>
    </row>
    <row r="14091" ht="14.25" customHeight="1">
      <c r="A14091" s="740"/>
    </row>
    <row r="14092" ht="14.25" customHeight="1">
      <c r="A14092" s="740"/>
    </row>
    <row r="14093" ht="14.25" customHeight="1">
      <c r="A14093" s="740"/>
    </row>
    <row r="14094" ht="14.25" customHeight="1">
      <c r="A14094" s="740"/>
    </row>
    <row r="14095" ht="14.25" customHeight="1">
      <c r="A14095" s="740"/>
    </row>
    <row r="14096" ht="14.25" customHeight="1">
      <c r="A14096" s="740"/>
    </row>
    <row r="14097" ht="14.25" customHeight="1">
      <c r="A14097" s="740"/>
    </row>
    <row r="14098" ht="14.25" customHeight="1">
      <c r="A14098" s="740"/>
    </row>
    <row r="14099" ht="14.25" customHeight="1">
      <c r="A14099" s="740"/>
    </row>
    <row r="14100" ht="14.25" customHeight="1">
      <c r="A14100" s="740"/>
    </row>
    <row r="14101" ht="14.25" customHeight="1">
      <c r="A14101" s="740"/>
    </row>
    <row r="14102" ht="14.25" customHeight="1">
      <c r="A14102" s="740"/>
    </row>
    <row r="14103" ht="14.25" customHeight="1">
      <c r="A14103" s="740"/>
    </row>
    <row r="14104" ht="14.25" customHeight="1">
      <c r="A14104" s="740"/>
    </row>
    <row r="14105" ht="14.25" customHeight="1">
      <c r="A14105" s="740"/>
    </row>
    <row r="14106" ht="14.25" customHeight="1">
      <c r="A14106" s="740"/>
    </row>
    <row r="14107" ht="14.25" customHeight="1">
      <c r="A14107" s="740"/>
    </row>
    <row r="14108" ht="14.25" customHeight="1">
      <c r="A14108" s="740"/>
    </row>
    <row r="14109" ht="14.25" customHeight="1">
      <c r="A14109" s="740"/>
    </row>
    <row r="14110" ht="14.25" customHeight="1">
      <c r="A14110" s="740"/>
    </row>
    <row r="14111" ht="14.25" customHeight="1">
      <c r="A14111" s="740"/>
    </row>
    <row r="14112" ht="14.25" customHeight="1">
      <c r="A14112" s="740"/>
    </row>
    <row r="14113" ht="14.25" customHeight="1">
      <c r="A14113" s="740"/>
    </row>
    <row r="14114" ht="14.25" customHeight="1">
      <c r="A14114" s="740"/>
    </row>
    <row r="14115" ht="14.25" customHeight="1">
      <c r="A14115" s="740"/>
    </row>
    <row r="14116" ht="14.25" customHeight="1">
      <c r="A14116" s="740"/>
    </row>
    <row r="14117" ht="14.25" customHeight="1">
      <c r="A14117" s="740"/>
    </row>
    <row r="14118" ht="14.25" customHeight="1">
      <c r="A14118" s="740"/>
    </row>
    <row r="14119" ht="14.25" customHeight="1">
      <c r="A14119" s="740"/>
    </row>
    <row r="14120" ht="14.25" customHeight="1">
      <c r="A14120" s="740"/>
    </row>
    <row r="14121" ht="14.25" customHeight="1">
      <c r="A14121" s="740"/>
    </row>
    <row r="14122" ht="14.25" customHeight="1">
      <c r="A14122" s="740"/>
    </row>
    <row r="14123" ht="14.25" customHeight="1">
      <c r="A14123" s="740"/>
    </row>
    <row r="14124" ht="14.25" customHeight="1">
      <c r="A14124" s="740"/>
    </row>
    <row r="14125" ht="14.25" customHeight="1">
      <c r="A14125" s="740"/>
    </row>
    <row r="14126" ht="14.25" customHeight="1">
      <c r="A14126" s="740"/>
    </row>
    <row r="14127" ht="14.25" customHeight="1">
      <c r="A14127" s="740"/>
    </row>
    <row r="14128" ht="14.25" customHeight="1">
      <c r="A14128" s="740"/>
    </row>
    <row r="14129" ht="14.25" customHeight="1">
      <c r="A14129" s="740"/>
    </row>
    <row r="14130" ht="14.25" customHeight="1">
      <c r="A14130" s="740"/>
    </row>
    <row r="14131" ht="14.25" customHeight="1">
      <c r="A14131" s="740"/>
    </row>
    <row r="14132" ht="14.25" customHeight="1">
      <c r="A14132" s="740"/>
    </row>
    <row r="14133" ht="14.25" customHeight="1">
      <c r="A14133" s="740"/>
    </row>
    <row r="14134" ht="14.25" customHeight="1">
      <c r="A14134" s="740"/>
    </row>
    <row r="14135" ht="14.25" customHeight="1">
      <c r="A14135" s="740"/>
    </row>
    <row r="14136" ht="14.25" customHeight="1">
      <c r="A14136" s="740"/>
    </row>
    <row r="14137" ht="14.25" customHeight="1">
      <c r="A14137" s="740"/>
    </row>
    <row r="14138" ht="14.25" customHeight="1">
      <c r="A14138" s="740"/>
    </row>
    <row r="14139" ht="14.25" customHeight="1">
      <c r="A14139" s="740"/>
    </row>
    <row r="14140" ht="14.25" customHeight="1">
      <c r="A14140" s="740"/>
    </row>
    <row r="14141" ht="14.25" customHeight="1">
      <c r="A14141" s="740"/>
    </row>
    <row r="14142" ht="14.25" customHeight="1">
      <c r="A14142" s="740"/>
    </row>
    <row r="14143" ht="14.25" customHeight="1">
      <c r="A14143" s="740"/>
    </row>
    <row r="14144" ht="14.25" customHeight="1">
      <c r="A14144" s="740"/>
    </row>
    <row r="14145" ht="14.25" customHeight="1">
      <c r="A14145" s="740"/>
    </row>
    <row r="14146" ht="14.25" customHeight="1">
      <c r="A14146" s="740"/>
    </row>
    <row r="14147" ht="14.25" customHeight="1">
      <c r="A14147" s="740"/>
    </row>
    <row r="14148" ht="14.25" customHeight="1">
      <c r="A14148" s="740"/>
    </row>
    <row r="14149" ht="14.25" customHeight="1">
      <c r="A14149" s="740"/>
    </row>
    <row r="14150" ht="14.25" customHeight="1">
      <c r="A14150" s="740"/>
    </row>
    <row r="14151" ht="14.25" customHeight="1">
      <c r="A14151" s="740"/>
    </row>
    <row r="14152" ht="14.25" customHeight="1">
      <c r="A14152" s="740"/>
    </row>
    <row r="14153" ht="14.25" customHeight="1">
      <c r="A14153" s="740"/>
    </row>
    <row r="14154" ht="14.25" customHeight="1">
      <c r="A14154" s="740"/>
    </row>
    <row r="14155" ht="14.25" customHeight="1">
      <c r="A14155" s="740"/>
    </row>
    <row r="14156" ht="14.25" customHeight="1">
      <c r="A14156" s="740"/>
    </row>
    <row r="14157" ht="14.25" customHeight="1">
      <c r="A14157" s="740"/>
    </row>
    <row r="14158" ht="14.25" customHeight="1">
      <c r="A14158" s="740"/>
    </row>
    <row r="14159" ht="14.25" customHeight="1">
      <c r="A14159" s="740"/>
    </row>
    <row r="14160" ht="14.25" customHeight="1">
      <c r="A14160" s="740"/>
    </row>
    <row r="14161" ht="14.25" customHeight="1">
      <c r="A14161" s="740"/>
    </row>
    <row r="14162" ht="14.25" customHeight="1">
      <c r="A14162" s="740"/>
    </row>
    <row r="14163" ht="14.25" customHeight="1">
      <c r="A14163" s="740"/>
    </row>
    <row r="14164" ht="14.25" customHeight="1">
      <c r="A14164" s="740"/>
    </row>
    <row r="14165" ht="14.25" customHeight="1">
      <c r="A14165" s="740"/>
    </row>
    <row r="14166" ht="14.25" customHeight="1">
      <c r="A14166" s="740"/>
    </row>
    <row r="14167" ht="14.25" customHeight="1">
      <c r="A14167" s="740"/>
    </row>
    <row r="14168" ht="14.25" customHeight="1">
      <c r="A14168" s="740"/>
    </row>
    <row r="14169" ht="14.25" customHeight="1">
      <c r="A14169" s="740"/>
    </row>
    <row r="14170" ht="14.25" customHeight="1">
      <c r="A14170" s="740"/>
    </row>
    <row r="14171" ht="14.25" customHeight="1">
      <c r="A14171" s="740"/>
    </row>
    <row r="14172" ht="14.25" customHeight="1">
      <c r="A14172" s="740"/>
    </row>
    <row r="14173" ht="14.25" customHeight="1">
      <c r="A14173" s="740"/>
    </row>
    <row r="14174" ht="14.25" customHeight="1">
      <c r="A14174" s="740"/>
    </row>
    <row r="14175" ht="14.25" customHeight="1">
      <c r="A14175" s="740"/>
    </row>
    <row r="14176" ht="14.25" customHeight="1">
      <c r="A14176" s="740"/>
    </row>
    <row r="14177" ht="14.25" customHeight="1">
      <c r="A14177" s="740"/>
    </row>
    <row r="14178" ht="14.25" customHeight="1">
      <c r="A14178" s="740"/>
    </row>
    <row r="14179" ht="14.25" customHeight="1">
      <c r="A14179" s="740"/>
    </row>
    <row r="14180" ht="14.25" customHeight="1">
      <c r="A14180" s="740"/>
    </row>
    <row r="14181" ht="14.25" customHeight="1">
      <c r="A14181" s="740"/>
    </row>
    <row r="14182" ht="14.25" customHeight="1">
      <c r="A14182" s="740"/>
    </row>
    <row r="14183" ht="14.25" customHeight="1">
      <c r="A14183" s="740"/>
    </row>
    <row r="14184" ht="14.25" customHeight="1">
      <c r="A14184" s="740"/>
    </row>
    <row r="14185" ht="14.25" customHeight="1">
      <c r="A14185" s="740"/>
    </row>
    <row r="14186" ht="14.25" customHeight="1">
      <c r="A14186" s="740"/>
    </row>
    <row r="14187" ht="14.25" customHeight="1">
      <c r="A14187" s="740"/>
    </row>
    <row r="14188" ht="14.25" customHeight="1">
      <c r="A14188" s="740"/>
    </row>
    <row r="14189" ht="14.25" customHeight="1">
      <c r="A14189" s="740"/>
    </row>
    <row r="14190" ht="14.25" customHeight="1">
      <c r="A14190" s="740"/>
    </row>
    <row r="14191" ht="14.25" customHeight="1">
      <c r="A14191" s="740"/>
    </row>
    <row r="14192" ht="14.25" customHeight="1">
      <c r="A14192" s="740"/>
    </row>
    <row r="14193" ht="14.25" customHeight="1">
      <c r="A14193" s="740"/>
    </row>
    <row r="14194" ht="14.25" customHeight="1">
      <c r="A14194" s="740"/>
    </row>
    <row r="14195" ht="14.25" customHeight="1">
      <c r="A14195" s="740"/>
    </row>
    <row r="14196" ht="14.25" customHeight="1">
      <c r="A14196" s="740"/>
    </row>
    <row r="14197" ht="14.25" customHeight="1">
      <c r="A14197" s="740"/>
    </row>
    <row r="14198" ht="14.25" customHeight="1">
      <c r="A14198" s="740"/>
    </row>
    <row r="14199" ht="14.25" customHeight="1">
      <c r="A14199" s="740"/>
    </row>
    <row r="14200" ht="14.25" customHeight="1">
      <c r="A14200" s="740"/>
    </row>
    <row r="14201" ht="14.25" customHeight="1">
      <c r="A14201" s="740"/>
    </row>
    <row r="14202" ht="14.25" customHeight="1">
      <c r="A14202" s="740"/>
    </row>
    <row r="14203" ht="14.25" customHeight="1">
      <c r="A14203" s="740"/>
    </row>
    <row r="14204" ht="14.25" customHeight="1">
      <c r="A14204" s="740"/>
    </row>
    <row r="14205" ht="14.25" customHeight="1">
      <c r="A14205" s="740"/>
    </row>
    <row r="14206" ht="14.25" customHeight="1">
      <c r="A14206" s="740"/>
    </row>
    <row r="14207" ht="14.25" customHeight="1">
      <c r="A14207" s="740"/>
    </row>
    <row r="14208" ht="14.25" customHeight="1">
      <c r="A14208" s="740"/>
    </row>
    <row r="14209" ht="14.25" customHeight="1">
      <c r="A14209" s="740"/>
    </row>
    <row r="14210" ht="14.25" customHeight="1">
      <c r="A14210" s="740"/>
    </row>
    <row r="14211" ht="14.25" customHeight="1">
      <c r="A14211" s="740"/>
    </row>
    <row r="14212" ht="14.25" customHeight="1">
      <c r="A14212" s="740"/>
    </row>
    <row r="14213" ht="14.25" customHeight="1">
      <c r="A14213" s="740"/>
    </row>
    <row r="14214" ht="14.25" customHeight="1">
      <c r="A14214" s="740"/>
    </row>
    <row r="14215" ht="14.25" customHeight="1">
      <c r="A14215" s="740"/>
    </row>
    <row r="14216" ht="14.25" customHeight="1">
      <c r="A14216" s="740"/>
    </row>
    <row r="14217" ht="14.25" customHeight="1">
      <c r="A14217" s="740"/>
    </row>
    <row r="14218" ht="14.25" customHeight="1">
      <c r="A14218" s="740"/>
    </row>
    <row r="14219" ht="14.25" customHeight="1">
      <c r="A14219" s="740"/>
    </row>
    <row r="14220" ht="14.25" customHeight="1">
      <c r="A14220" s="740"/>
    </row>
    <row r="14221" ht="14.25" customHeight="1">
      <c r="A14221" s="740"/>
    </row>
    <row r="14222" ht="14.25" customHeight="1">
      <c r="A14222" s="740"/>
    </row>
    <row r="14223" ht="14.25" customHeight="1">
      <c r="A14223" s="740"/>
    </row>
    <row r="14224" ht="14.25" customHeight="1">
      <c r="A14224" s="740"/>
    </row>
    <row r="14225" ht="14.25" customHeight="1">
      <c r="A14225" s="740"/>
    </row>
    <row r="14226" ht="14.25" customHeight="1">
      <c r="A14226" s="740"/>
    </row>
    <row r="14227" ht="14.25" customHeight="1">
      <c r="A14227" s="740"/>
    </row>
    <row r="14228" ht="14.25" customHeight="1">
      <c r="A14228" s="740"/>
    </row>
    <row r="14229" ht="14.25" customHeight="1">
      <c r="A14229" s="740"/>
    </row>
    <row r="14230" ht="14.25" customHeight="1">
      <c r="A14230" s="740"/>
    </row>
    <row r="14231" ht="14.25" customHeight="1">
      <c r="A14231" s="740"/>
    </row>
    <row r="14232" ht="14.25" customHeight="1">
      <c r="A14232" s="740"/>
    </row>
    <row r="14233" ht="14.25" customHeight="1">
      <c r="A14233" s="740"/>
    </row>
    <row r="14234" ht="14.25" customHeight="1">
      <c r="A14234" s="740"/>
    </row>
    <row r="14235" ht="14.25" customHeight="1">
      <c r="A14235" s="740"/>
    </row>
    <row r="14236" ht="14.25" customHeight="1">
      <c r="A14236" s="740"/>
    </row>
    <row r="14237" ht="14.25" customHeight="1">
      <c r="A14237" s="740"/>
    </row>
    <row r="14238" ht="14.25" customHeight="1">
      <c r="A14238" s="740"/>
    </row>
    <row r="14239" ht="14.25" customHeight="1">
      <c r="A14239" s="740"/>
    </row>
    <row r="14240" ht="14.25" customHeight="1">
      <c r="A14240" s="740"/>
    </row>
    <row r="14241" ht="14.25" customHeight="1">
      <c r="A14241" s="740"/>
    </row>
    <row r="14242" ht="14.25" customHeight="1">
      <c r="A14242" s="740"/>
    </row>
    <row r="14243" ht="14.25" customHeight="1">
      <c r="A14243" s="740"/>
    </row>
    <row r="14244" ht="14.25" customHeight="1">
      <c r="A14244" s="740"/>
    </row>
    <row r="14245" ht="14.25" customHeight="1">
      <c r="A14245" s="740"/>
    </row>
    <row r="14246" ht="14.25" customHeight="1">
      <c r="A14246" s="740"/>
    </row>
    <row r="14247" ht="14.25" customHeight="1">
      <c r="A14247" s="740"/>
    </row>
    <row r="14248" ht="14.25" customHeight="1">
      <c r="A14248" s="740"/>
    </row>
    <row r="14249" ht="14.25" customHeight="1">
      <c r="A14249" s="740"/>
    </row>
    <row r="14250" ht="14.25" customHeight="1">
      <c r="A14250" s="740"/>
    </row>
    <row r="14251" ht="14.25" customHeight="1">
      <c r="A14251" s="740"/>
    </row>
    <row r="14252" ht="14.25" customHeight="1">
      <c r="A14252" s="740"/>
    </row>
    <row r="14253" ht="14.25" customHeight="1">
      <c r="A14253" s="740"/>
    </row>
    <row r="14254" ht="14.25" customHeight="1">
      <c r="A14254" s="740"/>
    </row>
    <row r="14255" ht="14.25" customHeight="1">
      <c r="A14255" s="740"/>
    </row>
    <row r="14256" ht="14.25" customHeight="1">
      <c r="A14256" s="740"/>
    </row>
    <row r="14257" ht="14.25" customHeight="1">
      <c r="A14257" s="740"/>
    </row>
    <row r="14258" ht="14.25" customHeight="1">
      <c r="A14258" s="740"/>
    </row>
    <row r="14259" ht="14.25" customHeight="1">
      <c r="A14259" s="740"/>
    </row>
    <row r="14260" ht="14.25" customHeight="1">
      <c r="A14260" s="740"/>
    </row>
    <row r="14261" ht="14.25" customHeight="1">
      <c r="A14261" s="740"/>
    </row>
    <row r="14262" ht="14.25" customHeight="1">
      <c r="A14262" s="740"/>
    </row>
    <row r="14263" ht="14.25" customHeight="1">
      <c r="A14263" s="740"/>
    </row>
    <row r="14264" ht="14.25" customHeight="1">
      <c r="A14264" s="740"/>
    </row>
    <row r="14265" ht="14.25" customHeight="1">
      <c r="A14265" s="740"/>
    </row>
    <row r="14266" ht="14.25" customHeight="1">
      <c r="A14266" s="740"/>
    </row>
    <row r="14267" ht="14.25" customHeight="1">
      <c r="A14267" s="740"/>
    </row>
    <row r="14268" ht="14.25" customHeight="1">
      <c r="A14268" s="740"/>
    </row>
    <row r="14269" ht="14.25" customHeight="1">
      <c r="A14269" s="740"/>
    </row>
    <row r="14270" ht="14.25" customHeight="1">
      <c r="A14270" s="740"/>
    </row>
    <row r="14271" ht="14.25" customHeight="1">
      <c r="A14271" s="740"/>
    </row>
    <row r="14272" ht="14.25" customHeight="1">
      <c r="A14272" s="740"/>
    </row>
    <row r="14273" ht="14.25" customHeight="1">
      <c r="A14273" s="740"/>
    </row>
    <row r="14274" ht="14.25" customHeight="1">
      <c r="A14274" s="740"/>
    </row>
    <row r="14275" ht="14.25" customHeight="1">
      <c r="A14275" s="740"/>
    </row>
    <row r="14276" ht="14.25" customHeight="1">
      <c r="A14276" s="740"/>
    </row>
    <row r="14277" ht="14.25" customHeight="1">
      <c r="A14277" s="740"/>
    </row>
    <row r="14278" ht="14.25" customHeight="1">
      <c r="A14278" s="740"/>
    </row>
    <row r="14279" ht="14.25" customHeight="1">
      <c r="A14279" s="740"/>
    </row>
    <row r="14280" ht="14.25" customHeight="1">
      <c r="A14280" s="740"/>
    </row>
    <row r="14281" ht="14.25" customHeight="1">
      <c r="A14281" s="740"/>
    </row>
    <row r="14282" ht="14.25" customHeight="1">
      <c r="A14282" s="740"/>
    </row>
    <row r="14283" ht="14.25" customHeight="1">
      <c r="A14283" s="740"/>
    </row>
    <row r="14284" ht="14.25" customHeight="1">
      <c r="A14284" s="740"/>
    </row>
    <row r="14285" ht="14.25" customHeight="1">
      <c r="A14285" s="740"/>
    </row>
    <row r="14286" ht="14.25" customHeight="1">
      <c r="A14286" s="740"/>
    </row>
    <row r="14287" ht="14.25" customHeight="1">
      <c r="A14287" s="740"/>
    </row>
    <row r="14288" ht="14.25" customHeight="1">
      <c r="A14288" s="740"/>
    </row>
    <row r="14289" ht="14.25" customHeight="1">
      <c r="A14289" s="740"/>
    </row>
    <row r="14290" ht="14.25" customHeight="1">
      <c r="A14290" s="740"/>
    </row>
    <row r="14291" ht="14.25" customHeight="1">
      <c r="A14291" s="740"/>
    </row>
    <row r="14292" ht="14.25" customHeight="1">
      <c r="A14292" s="740"/>
    </row>
    <row r="14293" ht="14.25" customHeight="1">
      <c r="A14293" s="740"/>
    </row>
    <row r="14294" ht="14.25" customHeight="1">
      <c r="A14294" s="740"/>
    </row>
    <row r="14295" ht="14.25" customHeight="1">
      <c r="A14295" s="740"/>
    </row>
    <row r="14296" ht="14.25" customHeight="1">
      <c r="A14296" s="740"/>
    </row>
    <row r="14297" ht="14.25" customHeight="1">
      <c r="A14297" s="740"/>
    </row>
    <row r="14298" ht="14.25" customHeight="1">
      <c r="A14298" s="740"/>
    </row>
    <row r="14299" ht="14.25" customHeight="1">
      <c r="A14299" s="740"/>
    </row>
    <row r="14300" ht="14.25" customHeight="1">
      <c r="A14300" s="740"/>
    </row>
    <row r="14301" ht="14.25" customHeight="1">
      <c r="A14301" s="740"/>
    </row>
    <row r="14302" ht="14.25" customHeight="1">
      <c r="A14302" s="740"/>
    </row>
    <row r="14303" ht="14.25" customHeight="1">
      <c r="A14303" s="740"/>
    </row>
    <row r="14304" ht="14.25" customHeight="1">
      <c r="A14304" s="740"/>
    </row>
    <row r="14305" ht="14.25" customHeight="1">
      <c r="A14305" s="740"/>
    </row>
    <row r="14306" ht="14.25" customHeight="1">
      <c r="A14306" s="740"/>
    </row>
    <row r="14307" ht="14.25" customHeight="1">
      <c r="A14307" s="740"/>
    </row>
    <row r="14308" ht="14.25" customHeight="1">
      <c r="A14308" s="740"/>
    </row>
    <row r="14309" ht="14.25" customHeight="1">
      <c r="A14309" s="740"/>
    </row>
    <row r="14310" ht="14.25" customHeight="1">
      <c r="A14310" s="740"/>
    </row>
    <row r="14311" ht="14.25" customHeight="1">
      <c r="A14311" s="740"/>
    </row>
    <row r="14312" ht="14.25" customHeight="1">
      <c r="A14312" s="740"/>
    </row>
    <row r="14313" ht="14.25" customHeight="1">
      <c r="A14313" s="740"/>
    </row>
    <row r="14314" ht="14.25" customHeight="1">
      <c r="A14314" s="740"/>
    </row>
    <row r="14315" ht="14.25" customHeight="1">
      <c r="A14315" s="740"/>
    </row>
    <row r="14316" ht="14.25" customHeight="1">
      <c r="A14316" s="740"/>
    </row>
    <row r="14317" ht="14.25" customHeight="1">
      <c r="A14317" s="740"/>
    </row>
    <row r="14318" ht="14.25" customHeight="1">
      <c r="A14318" s="740"/>
    </row>
    <row r="14319" ht="14.25" customHeight="1">
      <c r="A14319" s="740"/>
    </row>
    <row r="14320" ht="14.25" customHeight="1">
      <c r="A14320" s="740"/>
    </row>
    <row r="14321" ht="14.25" customHeight="1">
      <c r="A14321" s="740"/>
    </row>
    <row r="14322" ht="14.25" customHeight="1">
      <c r="A14322" s="740"/>
    </row>
    <row r="14323" ht="14.25" customHeight="1">
      <c r="A14323" s="740"/>
    </row>
    <row r="14324" ht="14.25" customHeight="1">
      <c r="A14324" s="740"/>
    </row>
    <row r="14325" ht="14.25" customHeight="1">
      <c r="A14325" s="740"/>
    </row>
    <row r="14326" ht="14.25" customHeight="1">
      <c r="A14326" s="740"/>
    </row>
    <row r="14327" ht="14.25" customHeight="1">
      <c r="A14327" s="740"/>
    </row>
    <row r="14328" ht="14.25" customHeight="1">
      <c r="A14328" s="740"/>
    </row>
    <row r="14329" ht="14.25" customHeight="1">
      <c r="A14329" s="740"/>
    </row>
    <row r="14330" ht="14.25" customHeight="1">
      <c r="A14330" s="740"/>
    </row>
    <row r="14331" ht="14.25" customHeight="1">
      <c r="A14331" s="740"/>
    </row>
    <row r="14332" ht="14.25" customHeight="1">
      <c r="A14332" s="740"/>
    </row>
    <row r="14333" ht="14.25" customHeight="1">
      <c r="A14333" s="740"/>
    </row>
    <row r="14334" ht="14.25" customHeight="1">
      <c r="A14334" s="740"/>
    </row>
    <row r="14335" ht="14.25" customHeight="1">
      <c r="A14335" s="740"/>
    </row>
    <row r="14336" ht="14.25" customHeight="1">
      <c r="A14336" s="740"/>
    </row>
    <row r="14337" ht="14.25" customHeight="1">
      <c r="A14337" s="740"/>
    </row>
    <row r="14338" ht="14.25" customHeight="1">
      <c r="A14338" s="740"/>
    </row>
    <row r="14339" ht="14.25" customHeight="1">
      <c r="A14339" s="740"/>
    </row>
    <row r="14340" ht="14.25" customHeight="1">
      <c r="A14340" s="740"/>
    </row>
    <row r="14341" ht="14.25" customHeight="1">
      <c r="A14341" s="740"/>
    </row>
    <row r="14342" ht="14.25" customHeight="1">
      <c r="A14342" s="740"/>
    </row>
    <row r="14343" ht="14.25" customHeight="1">
      <c r="A14343" s="740"/>
    </row>
    <row r="14344" ht="14.25" customHeight="1">
      <c r="A14344" s="740"/>
    </row>
    <row r="14345" ht="14.25" customHeight="1">
      <c r="A14345" s="740"/>
    </row>
    <row r="14346" ht="14.25" customHeight="1">
      <c r="A14346" s="740"/>
    </row>
    <row r="14347" ht="14.25" customHeight="1">
      <c r="A14347" s="740"/>
    </row>
    <row r="14348" ht="14.25" customHeight="1">
      <c r="A14348" s="740"/>
    </row>
    <row r="14349" ht="14.25" customHeight="1">
      <c r="A14349" s="740"/>
    </row>
    <row r="14350" ht="14.25" customHeight="1">
      <c r="A14350" s="740"/>
    </row>
    <row r="14351" ht="14.25" customHeight="1">
      <c r="A14351" s="740"/>
    </row>
    <row r="14352" ht="14.25" customHeight="1">
      <c r="A14352" s="740"/>
    </row>
    <row r="14353" ht="14.25" customHeight="1">
      <c r="A14353" s="740"/>
    </row>
    <row r="14354" ht="14.25" customHeight="1">
      <c r="A14354" s="740"/>
    </row>
    <row r="14355" ht="14.25" customHeight="1">
      <c r="A14355" s="740"/>
    </row>
    <row r="14356" ht="14.25" customHeight="1">
      <c r="A14356" s="740"/>
    </row>
    <row r="14357" ht="14.25" customHeight="1">
      <c r="A14357" s="740"/>
    </row>
    <row r="14358" ht="14.25" customHeight="1">
      <c r="A14358" s="740"/>
    </row>
    <row r="14359" ht="14.25" customHeight="1">
      <c r="A14359" s="740"/>
    </row>
    <row r="14360" ht="14.25" customHeight="1">
      <c r="A14360" s="740"/>
    </row>
    <row r="14361" ht="14.25" customHeight="1">
      <c r="A14361" s="740"/>
    </row>
    <row r="14362" ht="14.25" customHeight="1">
      <c r="A14362" s="740"/>
    </row>
    <row r="14363" ht="14.25" customHeight="1">
      <c r="A14363" s="740"/>
    </row>
    <row r="14364" ht="14.25" customHeight="1">
      <c r="A14364" s="740"/>
    </row>
    <row r="14365" ht="14.25" customHeight="1">
      <c r="A14365" s="740"/>
    </row>
    <row r="14366" ht="14.25" customHeight="1">
      <c r="A14366" s="740"/>
    </row>
    <row r="14367" ht="14.25" customHeight="1">
      <c r="A14367" s="740"/>
    </row>
    <row r="14368" ht="14.25" customHeight="1">
      <c r="A14368" s="740"/>
    </row>
    <row r="14369" ht="14.25" customHeight="1">
      <c r="A14369" s="740"/>
    </row>
    <row r="14370" ht="14.25" customHeight="1">
      <c r="A14370" s="740"/>
    </row>
    <row r="14371" ht="14.25" customHeight="1">
      <c r="A14371" s="740"/>
    </row>
    <row r="14372" ht="14.25" customHeight="1">
      <c r="A14372" s="740"/>
    </row>
    <row r="14373" ht="14.25" customHeight="1">
      <c r="A14373" s="740"/>
    </row>
    <row r="14374" ht="14.25" customHeight="1">
      <c r="A14374" s="740"/>
    </row>
    <row r="14375" ht="14.25" customHeight="1">
      <c r="A14375" s="740"/>
    </row>
    <row r="14376" ht="14.25" customHeight="1">
      <c r="A14376" s="740"/>
    </row>
    <row r="14377" ht="14.25" customHeight="1">
      <c r="A14377" s="740"/>
    </row>
    <row r="14378" ht="14.25" customHeight="1">
      <c r="A14378" s="740"/>
    </row>
    <row r="14379" ht="14.25" customHeight="1">
      <c r="A14379" s="740"/>
    </row>
    <row r="14380" ht="14.25" customHeight="1">
      <c r="A14380" s="740"/>
    </row>
    <row r="14381" ht="14.25" customHeight="1">
      <c r="A14381" s="740"/>
    </row>
    <row r="14382" ht="14.25" customHeight="1">
      <c r="A14382" s="740"/>
    </row>
    <row r="14383" ht="14.25" customHeight="1">
      <c r="A14383" s="740"/>
    </row>
    <row r="14384" ht="14.25" customHeight="1">
      <c r="A14384" s="740"/>
    </row>
    <row r="14385" ht="14.25" customHeight="1">
      <c r="A14385" s="740"/>
    </row>
    <row r="14386" ht="14.25" customHeight="1">
      <c r="A14386" s="740"/>
    </row>
    <row r="14387" ht="14.25" customHeight="1">
      <c r="A14387" s="740"/>
    </row>
    <row r="14388" ht="14.25" customHeight="1">
      <c r="A14388" s="740"/>
    </row>
    <row r="14389" ht="14.25" customHeight="1">
      <c r="A14389" s="740"/>
    </row>
    <row r="14390" ht="14.25" customHeight="1">
      <c r="A14390" s="740"/>
    </row>
    <row r="14391" ht="14.25" customHeight="1">
      <c r="A14391" s="740"/>
    </row>
    <row r="14392" ht="14.25" customHeight="1">
      <c r="A14392" s="740"/>
    </row>
    <row r="14393" ht="14.25" customHeight="1">
      <c r="A14393" s="740"/>
    </row>
    <row r="14394" ht="14.25" customHeight="1">
      <c r="A14394" s="740"/>
    </row>
    <row r="14395" ht="14.25" customHeight="1">
      <c r="A14395" s="740"/>
    </row>
    <row r="14396" ht="14.25" customHeight="1">
      <c r="A14396" s="740"/>
    </row>
    <row r="14397" ht="14.25" customHeight="1">
      <c r="A14397" s="740"/>
    </row>
    <row r="14398" ht="14.25" customHeight="1">
      <c r="A14398" s="740"/>
    </row>
    <row r="14399" ht="14.25" customHeight="1">
      <c r="A14399" s="740"/>
    </row>
    <row r="14400" ht="14.25" customHeight="1">
      <c r="A14400" s="740"/>
    </row>
    <row r="14401" ht="14.25" customHeight="1">
      <c r="A14401" s="740"/>
    </row>
    <row r="14402" ht="14.25" customHeight="1">
      <c r="A14402" s="740"/>
    </row>
    <row r="14403" ht="14.25" customHeight="1">
      <c r="A14403" s="740"/>
    </row>
    <row r="14404" ht="14.25" customHeight="1">
      <c r="A14404" s="740"/>
    </row>
    <row r="14405" ht="14.25" customHeight="1">
      <c r="A14405" s="740"/>
    </row>
    <row r="14406" ht="14.25" customHeight="1">
      <c r="A14406" s="740"/>
    </row>
    <row r="14407" ht="14.25" customHeight="1">
      <c r="A14407" s="740"/>
    </row>
    <row r="14408" ht="14.25" customHeight="1">
      <c r="A14408" s="740"/>
    </row>
    <row r="14409" ht="14.25" customHeight="1">
      <c r="A14409" s="740"/>
    </row>
    <row r="14410" ht="14.25" customHeight="1">
      <c r="A14410" s="740"/>
    </row>
    <row r="14411" ht="14.25" customHeight="1">
      <c r="A14411" s="740"/>
    </row>
    <row r="14412" ht="14.25" customHeight="1">
      <c r="A14412" s="740"/>
    </row>
    <row r="14413" ht="14.25" customHeight="1">
      <c r="A14413" s="740"/>
    </row>
    <row r="14414" ht="14.25" customHeight="1">
      <c r="A14414" s="740"/>
    </row>
    <row r="14415" ht="14.25" customHeight="1">
      <c r="A14415" s="740"/>
    </row>
    <row r="14416" ht="14.25" customHeight="1">
      <c r="A14416" s="740"/>
    </row>
    <row r="14417" ht="14.25" customHeight="1">
      <c r="A14417" s="740"/>
    </row>
    <row r="14418" ht="14.25" customHeight="1">
      <c r="A14418" s="740"/>
    </row>
    <row r="14419" ht="14.25" customHeight="1">
      <c r="A14419" s="740"/>
    </row>
    <row r="14420" ht="14.25" customHeight="1">
      <c r="A14420" s="740"/>
    </row>
    <row r="14421" ht="14.25" customHeight="1">
      <c r="A14421" s="740"/>
    </row>
    <row r="14422" ht="14.25" customHeight="1">
      <c r="A14422" s="740"/>
    </row>
    <row r="14423" ht="14.25" customHeight="1">
      <c r="A14423" s="740"/>
    </row>
    <row r="14424" ht="14.25" customHeight="1">
      <c r="A14424" s="740"/>
    </row>
    <row r="14425" ht="14.25" customHeight="1">
      <c r="A14425" s="740"/>
    </row>
    <row r="14426" ht="14.25" customHeight="1">
      <c r="A14426" s="740"/>
    </row>
    <row r="14427" ht="14.25" customHeight="1">
      <c r="A14427" s="740"/>
    </row>
    <row r="14428" ht="14.25" customHeight="1">
      <c r="A14428" s="740"/>
    </row>
    <row r="14429" ht="14.25" customHeight="1">
      <c r="A14429" s="740"/>
    </row>
    <row r="14430" ht="14.25" customHeight="1">
      <c r="A14430" s="740"/>
    </row>
    <row r="14431" ht="14.25" customHeight="1">
      <c r="A14431" s="740"/>
    </row>
    <row r="14432" ht="14.25" customHeight="1">
      <c r="A14432" s="740"/>
    </row>
    <row r="14433" ht="14.25" customHeight="1">
      <c r="A14433" s="740"/>
    </row>
    <row r="14434" ht="14.25" customHeight="1">
      <c r="A14434" s="740"/>
    </row>
    <row r="14435" ht="14.25" customHeight="1">
      <c r="A14435" s="740"/>
    </row>
    <row r="14436" ht="14.25" customHeight="1">
      <c r="A14436" s="740"/>
    </row>
    <row r="14437" ht="14.25" customHeight="1">
      <c r="A14437" s="740"/>
    </row>
    <row r="14438" ht="14.25" customHeight="1">
      <c r="A14438" s="740"/>
    </row>
    <row r="14439" ht="14.25" customHeight="1">
      <c r="A14439" s="740"/>
    </row>
    <row r="14440" ht="14.25" customHeight="1">
      <c r="A14440" s="740"/>
    </row>
    <row r="14441" ht="14.25" customHeight="1">
      <c r="A14441" s="740"/>
    </row>
    <row r="14442" ht="14.25" customHeight="1">
      <c r="A14442" s="740"/>
    </row>
    <row r="14443" ht="14.25" customHeight="1">
      <c r="A14443" s="740"/>
    </row>
    <row r="14444" ht="14.25" customHeight="1">
      <c r="A14444" s="740"/>
    </row>
    <row r="14445" ht="14.25" customHeight="1">
      <c r="A14445" s="740"/>
    </row>
    <row r="14446" ht="14.25" customHeight="1">
      <c r="A14446" s="740"/>
    </row>
    <row r="14447" ht="14.25" customHeight="1">
      <c r="A14447" s="740"/>
    </row>
    <row r="14448" ht="14.25" customHeight="1">
      <c r="A14448" s="740"/>
    </row>
    <row r="14449" ht="14.25" customHeight="1">
      <c r="A14449" s="740"/>
    </row>
    <row r="14450" ht="14.25" customHeight="1">
      <c r="A14450" s="740"/>
    </row>
    <row r="14451" ht="14.25" customHeight="1">
      <c r="A14451" s="740"/>
    </row>
    <row r="14452" ht="14.25" customHeight="1">
      <c r="A14452" s="740"/>
    </row>
    <row r="14453" ht="14.25" customHeight="1">
      <c r="A14453" s="740"/>
    </row>
    <row r="14454" ht="14.25" customHeight="1">
      <c r="A14454" s="740"/>
    </row>
    <row r="14455" ht="14.25" customHeight="1">
      <c r="A14455" s="740"/>
    </row>
    <row r="14456" ht="14.25" customHeight="1">
      <c r="A14456" s="740"/>
    </row>
    <row r="14457" ht="14.25" customHeight="1">
      <c r="A14457" s="740"/>
    </row>
    <row r="14458" ht="14.25" customHeight="1">
      <c r="A14458" s="740"/>
    </row>
    <row r="14459" ht="14.25" customHeight="1">
      <c r="A14459" s="740"/>
    </row>
    <row r="14460" ht="14.25" customHeight="1">
      <c r="A14460" s="740"/>
    </row>
    <row r="14461" ht="14.25" customHeight="1">
      <c r="A14461" s="740"/>
    </row>
    <row r="14462" ht="14.25" customHeight="1">
      <c r="A14462" s="740"/>
    </row>
    <row r="14463" ht="14.25" customHeight="1">
      <c r="A14463" s="740"/>
    </row>
    <row r="14464" ht="14.25" customHeight="1">
      <c r="A14464" s="740"/>
    </row>
    <row r="14465" ht="14.25" customHeight="1">
      <c r="A14465" s="740"/>
    </row>
    <row r="14466" ht="14.25" customHeight="1">
      <c r="A14466" s="740"/>
    </row>
    <row r="14467" ht="14.25" customHeight="1">
      <c r="A14467" s="740"/>
    </row>
    <row r="14468" ht="14.25" customHeight="1">
      <c r="A14468" s="740"/>
    </row>
    <row r="14469" ht="14.25" customHeight="1">
      <c r="A14469" s="740"/>
    </row>
    <row r="14470" ht="14.25" customHeight="1">
      <c r="A14470" s="740"/>
    </row>
    <row r="14471" ht="14.25" customHeight="1">
      <c r="A14471" s="740"/>
    </row>
    <row r="14472" ht="14.25" customHeight="1">
      <c r="A14472" s="740"/>
    </row>
    <row r="14473" ht="14.25" customHeight="1">
      <c r="A14473" s="740"/>
    </row>
    <row r="14474" ht="14.25" customHeight="1">
      <c r="A14474" s="740"/>
    </row>
    <row r="14475" ht="14.25" customHeight="1">
      <c r="A14475" s="740"/>
    </row>
    <row r="14476" ht="14.25" customHeight="1">
      <c r="A14476" s="740"/>
    </row>
    <row r="14477" ht="14.25" customHeight="1">
      <c r="A14477" s="740"/>
    </row>
    <row r="14478" ht="14.25" customHeight="1">
      <c r="A14478" s="740"/>
    </row>
    <row r="14479" ht="14.25" customHeight="1">
      <c r="A14479" s="740"/>
    </row>
    <row r="14480" ht="14.25" customHeight="1">
      <c r="A14480" s="740"/>
    </row>
    <row r="14481" ht="14.25" customHeight="1">
      <c r="A14481" s="740"/>
    </row>
    <row r="14482" ht="14.25" customHeight="1">
      <c r="A14482" s="740"/>
    </row>
    <row r="14483" ht="14.25" customHeight="1">
      <c r="A14483" s="740"/>
    </row>
    <row r="14484" ht="14.25" customHeight="1">
      <c r="A14484" s="740"/>
    </row>
    <row r="14485" ht="14.25" customHeight="1">
      <c r="A14485" s="740"/>
    </row>
    <row r="14486" ht="14.25" customHeight="1">
      <c r="A14486" s="740"/>
    </row>
    <row r="14487" ht="14.25" customHeight="1">
      <c r="A14487" s="740"/>
    </row>
    <row r="14488" ht="14.25" customHeight="1">
      <c r="A14488" s="740"/>
    </row>
    <row r="14489" ht="14.25" customHeight="1">
      <c r="A14489" s="740"/>
    </row>
    <row r="14490" ht="14.25" customHeight="1">
      <c r="A14490" s="740"/>
    </row>
    <row r="14491" ht="14.25" customHeight="1">
      <c r="A14491" s="740"/>
    </row>
    <row r="14492" ht="14.25" customHeight="1">
      <c r="A14492" s="740"/>
    </row>
    <row r="14493" ht="14.25" customHeight="1">
      <c r="A14493" s="740"/>
    </row>
    <row r="14494" ht="14.25" customHeight="1">
      <c r="A14494" s="740"/>
    </row>
    <row r="14495" ht="14.25" customHeight="1">
      <c r="A14495" s="740"/>
    </row>
    <row r="14496" ht="14.25" customHeight="1">
      <c r="A14496" s="740"/>
    </row>
    <row r="14497" ht="14.25" customHeight="1">
      <c r="A14497" s="740"/>
    </row>
    <row r="14498" ht="14.25" customHeight="1">
      <c r="A14498" s="740"/>
    </row>
    <row r="14499" ht="14.25" customHeight="1">
      <c r="A14499" s="740"/>
    </row>
    <row r="14500" ht="14.25" customHeight="1">
      <c r="A14500" s="740"/>
    </row>
    <row r="14501" ht="14.25" customHeight="1">
      <c r="A14501" s="740"/>
    </row>
    <row r="14502" ht="14.25" customHeight="1">
      <c r="A14502" s="740"/>
    </row>
    <row r="14503" ht="14.25" customHeight="1">
      <c r="A14503" s="740"/>
    </row>
    <row r="14504" ht="14.25" customHeight="1">
      <c r="A14504" s="740"/>
    </row>
    <row r="14505" ht="14.25" customHeight="1">
      <c r="A14505" s="740"/>
    </row>
    <row r="14506" ht="14.25" customHeight="1">
      <c r="A14506" s="740"/>
    </row>
    <row r="14507" ht="14.25" customHeight="1">
      <c r="A14507" s="740"/>
    </row>
    <row r="14508" ht="14.25" customHeight="1">
      <c r="A14508" s="740"/>
    </row>
    <row r="14509" ht="14.25" customHeight="1">
      <c r="A14509" s="740"/>
    </row>
    <row r="14510" ht="14.25" customHeight="1">
      <c r="A14510" s="740"/>
    </row>
    <row r="14511" ht="14.25" customHeight="1">
      <c r="A14511" s="740"/>
    </row>
    <row r="14512" ht="14.25" customHeight="1">
      <c r="A14512" s="740"/>
    </row>
    <row r="14513" ht="14.25" customHeight="1">
      <c r="A14513" s="740"/>
    </row>
    <row r="14514" ht="14.25" customHeight="1">
      <c r="A14514" s="740"/>
    </row>
    <row r="14515" ht="14.25" customHeight="1">
      <c r="A14515" s="740"/>
    </row>
    <row r="14516" ht="14.25" customHeight="1">
      <c r="A14516" s="740"/>
    </row>
    <row r="14517" ht="14.25" customHeight="1">
      <c r="A14517" s="740"/>
    </row>
    <row r="14518" ht="14.25" customHeight="1">
      <c r="A14518" s="740"/>
    </row>
    <row r="14519" ht="14.25" customHeight="1">
      <c r="A14519" s="740"/>
    </row>
    <row r="14520" ht="14.25" customHeight="1">
      <c r="A14520" s="740"/>
    </row>
    <row r="14521" ht="14.25" customHeight="1">
      <c r="A14521" s="740"/>
    </row>
    <row r="14522" ht="14.25" customHeight="1">
      <c r="A14522" s="740"/>
    </row>
    <row r="14523" ht="14.25" customHeight="1">
      <c r="A14523" s="740"/>
    </row>
    <row r="14524" ht="14.25" customHeight="1">
      <c r="A14524" s="740"/>
    </row>
    <row r="14525" ht="14.25" customHeight="1">
      <c r="A14525" s="740"/>
    </row>
    <row r="14526" ht="14.25" customHeight="1">
      <c r="A14526" s="740"/>
    </row>
    <row r="14527" ht="14.25" customHeight="1">
      <c r="A14527" s="740"/>
    </row>
    <row r="14528" ht="14.25" customHeight="1">
      <c r="A14528" s="740"/>
    </row>
    <row r="14529" ht="14.25" customHeight="1">
      <c r="A14529" s="740"/>
    </row>
    <row r="14530" ht="14.25" customHeight="1">
      <c r="A14530" s="740"/>
    </row>
    <row r="14531" ht="14.25" customHeight="1">
      <c r="A14531" s="740"/>
    </row>
    <row r="14532" ht="14.25" customHeight="1">
      <c r="A14532" s="740"/>
    </row>
    <row r="14533" ht="14.25" customHeight="1">
      <c r="A14533" s="740"/>
    </row>
    <row r="14534" ht="14.25" customHeight="1">
      <c r="A14534" s="740"/>
    </row>
    <row r="14535" ht="14.25" customHeight="1">
      <c r="A14535" s="740"/>
    </row>
    <row r="14536" ht="14.25" customHeight="1">
      <c r="A14536" s="740"/>
    </row>
    <row r="14537" ht="14.25" customHeight="1">
      <c r="A14537" s="740"/>
    </row>
    <row r="14538" ht="14.25" customHeight="1">
      <c r="A14538" s="740"/>
    </row>
    <row r="14539" ht="14.25" customHeight="1">
      <c r="A14539" s="740"/>
    </row>
    <row r="14540" ht="14.25" customHeight="1">
      <c r="A14540" s="740"/>
    </row>
    <row r="14541" ht="14.25" customHeight="1">
      <c r="A14541" s="740"/>
    </row>
    <row r="14542" ht="14.25" customHeight="1">
      <c r="A14542" s="740"/>
    </row>
    <row r="14543" ht="14.25" customHeight="1">
      <c r="A14543" s="740"/>
    </row>
    <row r="14544" ht="14.25" customHeight="1">
      <c r="A14544" s="740"/>
    </row>
    <row r="14545" ht="14.25" customHeight="1">
      <c r="A14545" s="740"/>
    </row>
    <row r="14546" ht="14.25" customHeight="1">
      <c r="A14546" s="740"/>
    </row>
    <row r="14547" ht="14.25" customHeight="1">
      <c r="A14547" s="740"/>
    </row>
    <row r="14548" ht="14.25" customHeight="1">
      <c r="A14548" s="740"/>
    </row>
    <row r="14549" ht="14.25" customHeight="1">
      <c r="A14549" s="740"/>
    </row>
    <row r="14550" ht="14.25" customHeight="1">
      <c r="A14550" s="740"/>
    </row>
    <row r="14551" ht="14.25" customHeight="1">
      <c r="A14551" s="740"/>
    </row>
    <row r="14552" ht="14.25" customHeight="1">
      <c r="A14552" s="740"/>
    </row>
    <row r="14553" ht="14.25" customHeight="1">
      <c r="A14553" s="740"/>
    </row>
    <row r="14554" ht="14.25" customHeight="1">
      <c r="A14554" s="740"/>
    </row>
    <row r="14555" ht="14.25" customHeight="1">
      <c r="A14555" s="740"/>
    </row>
    <row r="14556" ht="14.25" customHeight="1">
      <c r="A14556" s="740"/>
    </row>
    <row r="14557" ht="14.25" customHeight="1">
      <c r="A14557" s="740"/>
    </row>
    <row r="14558" ht="14.25" customHeight="1">
      <c r="A14558" s="740"/>
    </row>
    <row r="14559" ht="14.25" customHeight="1">
      <c r="A14559" s="740"/>
    </row>
    <row r="14560" ht="14.25" customHeight="1">
      <c r="A14560" s="740"/>
    </row>
    <row r="14561" ht="14.25" customHeight="1">
      <c r="A14561" s="740"/>
    </row>
    <row r="14562" ht="14.25" customHeight="1">
      <c r="A14562" s="740"/>
    </row>
    <row r="14563" ht="14.25" customHeight="1">
      <c r="A14563" s="740"/>
    </row>
    <row r="14564" ht="14.25" customHeight="1">
      <c r="A14564" s="740"/>
    </row>
    <row r="14565" ht="14.25" customHeight="1">
      <c r="A14565" s="740"/>
    </row>
    <row r="14566" ht="14.25" customHeight="1">
      <c r="A14566" s="740"/>
    </row>
    <row r="14567" ht="14.25" customHeight="1">
      <c r="A14567" s="740"/>
    </row>
    <row r="14568" ht="14.25" customHeight="1">
      <c r="A14568" s="740"/>
    </row>
    <row r="14569" ht="14.25" customHeight="1">
      <c r="A14569" s="740"/>
    </row>
    <row r="14570" ht="14.25" customHeight="1">
      <c r="A14570" s="740"/>
    </row>
    <row r="14571" ht="14.25" customHeight="1">
      <c r="A14571" s="740"/>
    </row>
    <row r="14572" ht="14.25" customHeight="1">
      <c r="A14572" s="740"/>
    </row>
    <row r="14573" ht="14.25" customHeight="1">
      <c r="A14573" s="740"/>
    </row>
    <row r="14574" ht="14.25" customHeight="1">
      <c r="A14574" s="740"/>
    </row>
    <row r="14575" ht="14.25" customHeight="1">
      <c r="A14575" s="740"/>
    </row>
    <row r="14576" ht="14.25" customHeight="1">
      <c r="A14576" s="740"/>
    </row>
    <row r="14577" ht="14.25" customHeight="1">
      <c r="A14577" s="740"/>
    </row>
    <row r="14578" ht="14.25" customHeight="1">
      <c r="A14578" s="740"/>
    </row>
    <row r="14579" ht="14.25" customHeight="1">
      <c r="A14579" s="740"/>
    </row>
    <row r="14580" ht="14.25" customHeight="1">
      <c r="A14580" s="740"/>
    </row>
    <row r="14581" ht="14.25" customHeight="1">
      <c r="A14581" s="740"/>
    </row>
    <row r="14582" ht="14.25" customHeight="1">
      <c r="A14582" s="740"/>
    </row>
    <row r="14583" ht="14.25" customHeight="1">
      <c r="A14583" s="740"/>
    </row>
    <row r="14584" ht="14.25" customHeight="1">
      <c r="A14584" s="740"/>
    </row>
    <row r="14585" ht="14.25" customHeight="1">
      <c r="A14585" s="740"/>
    </row>
    <row r="14586" ht="14.25" customHeight="1">
      <c r="A14586" s="740"/>
    </row>
    <row r="14587" ht="14.25" customHeight="1">
      <c r="A14587" s="740"/>
    </row>
    <row r="14588" ht="14.25" customHeight="1">
      <c r="A14588" s="740"/>
    </row>
    <row r="14589" ht="14.25" customHeight="1">
      <c r="A14589" s="740"/>
    </row>
    <row r="14590" ht="14.25" customHeight="1">
      <c r="A14590" s="740"/>
    </row>
    <row r="14591" ht="14.25" customHeight="1">
      <c r="A14591" s="740"/>
    </row>
    <row r="14592" ht="14.25" customHeight="1">
      <c r="A14592" s="740"/>
    </row>
    <row r="14593" ht="14.25" customHeight="1">
      <c r="A14593" s="740"/>
    </row>
    <row r="14594" ht="14.25" customHeight="1">
      <c r="A14594" s="740"/>
    </row>
    <row r="14595" ht="14.25" customHeight="1">
      <c r="A14595" s="740"/>
    </row>
    <row r="14596" ht="14.25" customHeight="1">
      <c r="A14596" s="740"/>
    </row>
    <row r="14597" ht="14.25" customHeight="1">
      <c r="A14597" s="740"/>
    </row>
    <row r="14598" ht="14.25" customHeight="1">
      <c r="A14598" s="740"/>
    </row>
    <row r="14599" ht="14.25" customHeight="1">
      <c r="A14599" s="740"/>
    </row>
    <row r="14600" ht="14.25" customHeight="1">
      <c r="A14600" s="740"/>
    </row>
    <row r="14601" ht="14.25" customHeight="1">
      <c r="A14601" s="740"/>
    </row>
    <row r="14602" ht="14.25" customHeight="1">
      <c r="A14602" s="740"/>
    </row>
    <row r="14603" ht="14.25" customHeight="1">
      <c r="A14603" s="740"/>
    </row>
    <row r="14604" ht="14.25" customHeight="1">
      <c r="A14604" s="740"/>
    </row>
    <row r="14605" ht="14.25" customHeight="1">
      <c r="A14605" s="740"/>
    </row>
    <row r="14606" ht="14.25" customHeight="1">
      <c r="A14606" s="740"/>
    </row>
    <row r="14607" ht="14.25" customHeight="1">
      <c r="A14607" s="740"/>
    </row>
    <row r="14608" ht="14.25" customHeight="1">
      <c r="A14608" s="740"/>
    </row>
    <row r="14609" ht="14.25" customHeight="1">
      <c r="A14609" s="740"/>
    </row>
    <row r="14610" ht="14.25" customHeight="1">
      <c r="A14610" s="740"/>
    </row>
    <row r="14611" ht="14.25" customHeight="1">
      <c r="A14611" s="740"/>
    </row>
    <row r="14612" ht="14.25" customHeight="1">
      <c r="A14612" s="740"/>
    </row>
    <row r="14613" ht="14.25" customHeight="1">
      <c r="A14613" s="740"/>
    </row>
    <row r="14614" ht="14.25" customHeight="1">
      <c r="A14614" s="740"/>
    </row>
    <row r="14615" ht="14.25" customHeight="1">
      <c r="A14615" s="740"/>
    </row>
    <row r="14616" ht="14.25" customHeight="1">
      <c r="A14616" s="740"/>
    </row>
    <row r="14617" ht="14.25" customHeight="1">
      <c r="A14617" s="740"/>
    </row>
    <row r="14618" ht="14.25" customHeight="1">
      <c r="A14618" s="740"/>
    </row>
    <row r="14619" ht="14.25" customHeight="1">
      <c r="A14619" s="740"/>
    </row>
    <row r="14620" ht="14.25" customHeight="1">
      <c r="A14620" s="740"/>
    </row>
    <row r="14621" ht="14.25" customHeight="1">
      <c r="A14621" s="740"/>
    </row>
    <row r="14622" ht="14.25" customHeight="1">
      <c r="A14622" s="740"/>
    </row>
    <row r="14623" ht="14.25" customHeight="1">
      <c r="A14623" s="740"/>
    </row>
    <row r="14624" ht="14.25" customHeight="1">
      <c r="A14624" s="740"/>
    </row>
    <row r="14625" ht="14.25" customHeight="1">
      <c r="A14625" s="740"/>
    </row>
    <row r="14626" ht="14.25" customHeight="1">
      <c r="A14626" s="740"/>
    </row>
    <row r="14627" ht="14.25" customHeight="1">
      <c r="A14627" s="740"/>
    </row>
    <row r="14628" ht="14.25" customHeight="1">
      <c r="A14628" s="740"/>
    </row>
    <row r="14629" ht="14.25" customHeight="1">
      <c r="A14629" s="740"/>
    </row>
    <row r="14630" ht="14.25" customHeight="1">
      <c r="A14630" s="740"/>
    </row>
    <row r="14631" ht="14.25" customHeight="1">
      <c r="A14631" s="740"/>
    </row>
    <row r="14632" ht="14.25" customHeight="1">
      <c r="A14632" s="740"/>
    </row>
    <row r="14633" ht="14.25" customHeight="1">
      <c r="A14633" s="740"/>
    </row>
    <row r="14634" ht="14.25" customHeight="1">
      <c r="A14634" s="740"/>
    </row>
    <row r="14635" ht="14.25" customHeight="1">
      <c r="A14635" s="740"/>
    </row>
    <row r="14636" ht="14.25" customHeight="1">
      <c r="A14636" s="740"/>
    </row>
    <row r="14637" ht="14.25" customHeight="1">
      <c r="A14637" s="740"/>
    </row>
    <row r="14638" ht="14.25" customHeight="1">
      <c r="A14638" s="740"/>
    </row>
    <row r="14639" ht="14.25" customHeight="1">
      <c r="A14639" s="740"/>
    </row>
    <row r="14640" ht="14.25" customHeight="1">
      <c r="A14640" s="740"/>
    </row>
    <row r="14641" ht="14.25" customHeight="1">
      <c r="A14641" s="740"/>
    </row>
    <row r="14642" ht="14.25" customHeight="1">
      <c r="A14642" s="740"/>
    </row>
    <row r="14643" ht="14.25" customHeight="1">
      <c r="A14643" s="740"/>
    </row>
    <row r="14644" ht="14.25" customHeight="1">
      <c r="A14644" s="740"/>
    </row>
    <row r="14645" ht="14.25" customHeight="1">
      <c r="A14645" s="740"/>
    </row>
    <row r="14646" ht="14.25" customHeight="1">
      <c r="A14646" s="740"/>
    </row>
    <row r="14647" ht="14.25" customHeight="1">
      <c r="A14647" s="740"/>
    </row>
    <row r="14648" ht="14.25" customHeight="1">
      <c r="A14648" s="740"/>
    </row>
    <row r="14649" ht="14.25" customHeight="1">
      <c r="A14649" s="740"/>
    </row>
    <row r="14650" ht="14.25" customHeight="1">
      <c r="A14650" s="740"/>
    </row>
    <row r="14651" ht="14.25" customHeight="1">
      <c r="A14651" s="740"/>
    </row>
    <row r="14652" ht="14.25" customHeight="1">
      <c r="A14652" s="740"/>
    </row>
    <row r="14653" ht="14.25" customHeight="1">
      <c r="A14653" s="740"/>
    </row>
    <row r="14654" ht="14.25" customHeight="1">
      <c r="A14654" s="740"/>
    </row>
    <row r="14655" ht="14.25" customHeight="1">
      <c r="A14655" s="740"/>
    </row>
    <row r="14656" ht="14.25" customHeight="1">
      <c r="A14656" s="740"/>
    </row>
    <row r="14657" ht="14.25" customHeight="1">
      <c r="A14657" s="740"/>
    </row>
    <row r="14658" ht="14.25" customHeight="1">
      <c r="A14658" s="740"/>
    </row>
    <row r="14659" ht="14.25" customHeight="1">
      <c r="A14659" s="740"/>
    </row>
    <row r="14660" ht="14.25" customHeight="1">
      <c r="A14660" s="740"/>
    </row>
    <row r="14661" ht="14.25" customHeight="1">
      <c r="A14661" s="740"/>
    </row>
    <row r="14662" ht="14.25" customHeight="1">
      <c r="A14662" s="740"/>
    </row>
    <row r="14663" ht="14.25" customHeight="1">
      <c r="A14663" s="740"/>
    </row>
    <row r="14664" ht="14.25" customHeight="1">
      <c r="A14664" s="740"/>
    </row>
    <row r="14665" ht="14.25" customHeight="1">
      <c r="A14665" s="740"/>
    </row>
    <row r="14666" ht="14.25" customHeight="1">
      <c r="A14666" s="740"/>
    </row>
    <row r="14667" ht="14.25" customHeight="1">
      <c r="A14667" s="740"/>
    </row>
    <row r="14668" ht="14.25" customHeight="1">
      <c r="A14668" s="740"/>
    </row>
    <row r="14669" ht="14.25" customHeight="1">
      <c r="A14669" s="740"/>
    </row>
    <row r="14670" ht="14.25" customHeight="1">
      <c r="A14670" s="740"/>
    </row>
    <row r="14671" ht="14.25" customHeight="1">
      <c r="A14671" s="740"/>
    </row>
    <row r="14672" ht="14.25" customHeight="1">
      <c r="A14672" s="740"/>
    </row>
    <row r="14673" ht="14.25" customHeight="1">
      <c r="A14673" s="740"/>
    </row>
    <row r="14674" ht="14.25" customHeight="1">
      <c r="A14674" s="740"/>
    </row>
    <row r="14675" ht="14.25" customHeight="1">
      <c r="A14675" s="740"/>
    </row>
    <row r="14676" ht="14.25" customHeight="1">
      <c r="A14676" s="740"/>
    </row>
    <row r="14677" ht="14.25" customHeight="1">
      <c r="A14677" s="740"/>
    </row>
    <row r="14678" ht="14.25" customHeight="1">
      <c r="A14678" s="740"/>
    </row>
    <row r="14679" ht="14.25" customHeight="1">
      <c r="A14679" s="740"/>
    </row>
    <row r="14680" ht="14.25" customHeight="1">
      <c r="A14680" s="740"/>
    </row>
    <row r="14681" ht="14.25" customHeight="1">
      <c r="A14681" s="740"/>
    </row>
    <row r="14682" ht="14.25" customHeight="1">
      <c r="A14682" s="740"/>
    </row>
    <row r="14683" ht="14.25" customHeight="1">
      <c r="A14683" s="740"/>
    </row>
    <row r="14684" ht="14.25" customHeight="1">
      <c r="A14684" s="740"/>
    </row>
    <row r="14685" ht="14.25" customHeight="1">
      <c r="A14685" s="740"/>
    </row>
    <row r="14686" ht="14.25" customHeight="1">
      <c r="A14686" s="740"/>
    </row>
    <row r="14687" ht="14.25" customHeight="1">
      <c r="A14687" s="740"/>
    </row>
    <row r="14688" ht="14.25" customHeight="1">
      <c r="A14688" s="740"/>
    </row>
    <row r="14689" ht="14.25" customHeight="1">
      <c r="A14689" s="740"/>
    </row>
    <row r="14690" ht="14.25" customHeight="1">
      <c r="A14690" s="740"/>
    </row>
    <row r="14691" ht="14.25" customHeight="1">
      <c r="A14691" s="740"/>
    </row>
    <row r="14692" ht="14.25" customHeight="1">
      <c r="A14692" s="740"/>
    </row>
    <row r="14693" ht="14.25" customHeight="1">
      <c r="A14693" s="740"/>
    </row>
    <row r="14694" ht="14.25" customHeight="1">
      <c r="A14694" s="740"/>
    </row>
    <row r="14695" ht="14.25" customHeight="1">
      <c r="A14695" s="740"/>
    </row>
    <row r="14696" ht="14.25" customHeight="1">
      <c r="A14696" s="740"/>
    </row>
    <row r="14697" ht="14.25" customHeight="1">
      <c r="A14697" s="740"/>
    </row>
    <row r="14698" ht="14.25" customHeight="1">
      <c r="A14698" s="740"/>
    </row>
    <row r="14699" ht="14.25" customHeight="1">
      <c r="A14699" s="740"/>
    </row>
    <row r="14700" ht="14.25" customHeight="1">
      <c r="A14700" s="740"/>
    </row>
    <row r="14701" ht="14.25" customHeight="1">
      <c r="A14701" s="740"/>
    </row>
    <row r="14702" ht="14.25" customHeight="1">
      <c r="A14702" s="740"/>
    </row>
    <row r="14703" ht="14.25" customHeight="1">
      <c r="A14703" s="740"/>
    </row>
    <row r="14704" ht="14.25" customHeight="1">
      <c r="A14704" s="740"/>
    </row>
    <row r="14705" ht="14.25" customHeight="1">
      <c r="A14705" s="740"/>
    </row>
    <row r="14706" ht="14.25" customHeight="1">
      <c r="A14706" s="740"/>
    </row>
    <row r="14707" ht="14.25" customHeight="1">
      <c r="A14707" s="740"/>
    </row>
    <row r="14708" ht="14.25" customHeight="1">
      <c r="A14708" s="740"/>
    </row>
    <row r="14709" ht="14.25" customHeight="1">
      <c r="A14709" s="740"/>
    </row>
    <row r="14710" ht="14.25" customHeight="1">
      <c r="A14710" s="740"/>
    </row>
    <row r="14711" ht="14.25" customHeight="1">
      <c r="A14711" s="740"/>
    </row>
    <row r="14712" ht="14.25" customHeight="1">
      <c r="A14712" s="740"/>
    </row>
    <row r="14713" ht="14.25" customHeight="1">
      <c r="A14713" s="740"/>
    </row>
    <row r="14714" ht="14.25" customHeight="1">
      <c r="A14714" s="740"/>
    </row>
    <row r="14715" ht="14.25" customHeight="1">
      <c r="A14715" s="740"/>
    </row>
    <row r="14716" ht="14.25" customHeight="1">
      <c r="A14716" s="740"/>
    </row>
    <row r="14717" ht="14.25" customHeight="1">
      <c r="A14717" s="740"/>
    </row>
    <row r="14718" ht="14.25" customHeight="1">
      <c r="A14718" s="740"/>
    </row>
    <row r="14719" ht="14.25" customHeight="1">
      <c r="A14719" s="740"/>
    </row>
    <row r="14720" ht="14.25" customHeight="1">
      <c r="A14720" s="740"/>
    </row>
    <row r="14721" ht="14.25" customHeight="1">
      <c r="A14721" s="740"/>
    </row>
    <row r="14722" ht="14.25" customHeight="1">
      <c r="A14722" s="740"/>
    </row>
    <row r="14723" ht="14.25" customHeight="1">
      <c r="A14723" s="740"/>
    </row>
    <row r="14724" ht="14.25" customHeight="1">
      <c r="A14724" s="740"/>
    </row>
    <row r="14725" ht="14.25" customHeight="1">
      <c r="A14725" s="740"/>
    </row>
    <row r="14726" ht="14.25" customHeight="1">
      <c r="A14726" s="740"/>
    </row>
    <row r="14727" ht="14.25" customHeight="1">
      <c r="A14727" s="740"/>
    </row>
    <row r="14728" ht="14.25" customHeight="1">
      <c r="A14728" s="740"/>
    </row>
    <row r="14729" ht="14.25" customHeight="1">
      <c r="A14729" s="740"/>
    </row>
    <row r="14730" ht="14.25" customHeight="1">
      <c r="A14730" s="740"/>
    </row>
    <row r="14731" ht="14.25" customHeight="1">
      <c r="A14731" s="740"/>
    </row>
    <row r="14732" ht="14.25" customHeight="1">
      <c r="A14732" s="740"/>
    </row>
    <row r="14733" ht="14.25" customHeight="1">
      <c r="A14733" s="740"/>
    </row>
    <row r="14734" ht="14.25" customHeight="1">
      <c r="A14734" s="740"/>
    </row>
    <row r="14735" ht="14.25" customHeight="1">
      <c r="A14735" s="740"/>
    </row>
    <row r="14736" ht="14.25" customHeight="1">
      <c r="A14736" s="740"/>
    </row>
    <row r="14737" ht="14.25" customHeight="1">
      <c r="A14737" s="740"/>
    </row>
    <row r="14738" ht="14.25" customHeight="1">
      <c r="A14738" s="740"/>
    </row>
    <row r="14739" ht="14.25" customHeight="1">
      <c r="A14739" s="740"/>
    </row>
    <row r="14740" ht="14.25" customHeight="1">
      <c r="A14740" s="740"/>
    </row>
    <row r="14741" ht="14.25" customHeight="1">
      <c r="A14741" s="740"/>
    </row>
    <row r="14742" ht="14.25" customHeight="1">
      <c r="A14742" s="740"/>
    </row>
    <row r="14743" ht="14.25" customHeight="1">
      <c r="A14743" s="740"/>
    </row>
    <row r="14744" ht="14.25" customHeight="1">
      <c r="A14744" s="740"/>
    </row>
    <row r="14745" ht="14.25" customHeight="1">
      <c r="A14745" s="740"/>
    </row>
    <row r="14746" ht="14.25" customHeight="1">
      <c r="A14746" s="740"/>
    </row>
    <row r="14747" ht="14.25" customHeight="1">
      <c r="A14747" s="740"/>
    </row>
    <row r="14748" ht="14.25" customHeight="1">
      <c r="A14748" s="740"/>
    </row>
    <row r="14749" ht="14.25" customHeight="1">
      <c r="A14749" s="740"/>
    </row>
    <row r="14750" ht="14.25" customHeight="1">
      <c r="A14750" s="740"/>
    </row>
    <row r="14751" ht="14.25" customHeight="1">
      <c r="A14751" s="740"/>
    </row>
    <row r="14752" ht="14.25" customHeight="1">
      <c r="A14752" s="740"/>
    </row>
    <row r="14753" ht="14.25" customHeight="1">
      <c r="A14753" s="740"/>
    </row>
    <row r="14754" ht="14.25" customHeight="1">
      <c r="A14754" s="740"/>
    </row>
    <row r="14755" ht="14.25" customHeight="1">
      <c r="A14755" s="740"/>
    </row>
    <row r="14756" ht="14.25" customHeight="1">
      <c r="A14756" s="740"/>
    </row>
    <row r="14757" ht="14.25" customHeight="1">
      <c r="A14757" s="740"/>
    </row>
    <row r="14758" ht="14.25" customHeight="1">
      <c r="A14758" s="740"/>
    </row>
    <row r="14759" ht="14.25" customHeight="1">
      <c r="A14759" s="740"/>
    </row>
    <row r="14760" ht="14.25" customHeight="1">
      <c r="A14760" s="740"/>
    </row>
    <row r="14761" ht="14.25" customHeight="1">
      <c r="A14761" s="740"/>
    </row>
    <row r="14762" ht="14.25" customHeight="1">
      <c r="A14762" s="740"/>
    </row>
    <row r="14763" ht="14.25" customHeight="1">
      <c r="A14763" s="740"/>
    </row>
    <row r="14764" ht="14.25" customHeight="1">
      <c r="A14764" s="740"/>
    </row>
    <row r="14765" ht="14.25" customHeight="1">
      <c r="A14765" s="740"/>
    </row>
    <row r="14766" ht="14.25" customHeight="1">
      <c r="A14766" s="740"/>
    </row>
    <row r="14767" ht="14.25" customHeight="1">
      <c r="A14767" s="740"/>
    </row>
    <row r="14768" ht="14.25" customHeight="1">
      <c r="A14768" s="740"/>
    </row>
    <row r="14769" ht="14.25" customHeight="1">
      <c r="A14769" s="740"/>
    </row>
    <row r="14770" ht="14.25" customHeight="1">
      <c r="A14770" s="740"/>
    </row>
    <row r="14771" ht="14.25" customHeight="1">
      <c r="A14771" s="740"/>
    </row>
    <row r="14772" ht="14.25" customHeight="1">
      <c r="A14772" s="740"/>
    </row>
    <row r="14773" ht="14.25" customHeight="1">
      <c r="A14773" s="740"/>
    </row>
    <row r="14774" ht="14.25" customHeight="1">
      <c r="A14774" s="740"/>
    </row>
    <row r="14775" ht="14.25" customHeight="1">
      <c r="A14775" s="740"/>
    </row>
    <row r="14776" ht="14.25" customHeight="1">
      <c r="A14776" s="740"/>
    </row>
    <row r="14777" ht="14.25" customHeight="1">
      <c r="A14777" s="740"/>
    </row>
    <row r="14778" ht="14.25" customHeight="1">
      <c r="A14778" s="740"/>
    </row>
    <row r="14779" ht="14.25" customHeight="1">
      <c r="A14779" s="740"/>
    </row>
    <row r="14780" ht="14.25" customHeight="1">
      <c r="A14780" s="740"/>
    </row>
    <row r="14781" ht="14.25" customHeight="1">
      <c r="A14781" s="740"/>
    </row>
    <row r="14782" ht="14.25" customHeight="1">
      <c r="A14782" s="740"/>
    </row>
    <row r="14783" ht="14.25" customHeight="1">
      <c r="A14783" s="740"/>
    </row>
    <row r="14784" ht="14.25" customHeight="1">
      <c r="A14784" s="740"/>
    </row>
    <row r="14785" ht="14.25" customHeight="1">
      <c r="A14785" s="740"/>
    </row>
    <row r="14786" ht="14.25" customHeight="1">
      <c r="A14786" s="740"/>
    </row>
    <row r="14787" ht="14.25" customHeight="1">
      <c r="A14787" s="740"/>
    </row>
    <row r="14788" ht="14.25" customHeight="1">
      <c r="A14788" s="740"/>
    </row>
    <row r="14789" ht="14.25" customHeight="1">
      <c r="A14789" s="740"/>
    </row>
    <row r="14790" ht="14.25" customHeight="1">
      <c r="A14790" s="740"/>
    </row>
    <row r="14791" ht="14.25" customHeight="1">
      <c r="A14791" s="740"/>
    </row>
    <row r="14792" ht="14.25" customHeight="1">
      <c r="A14792" s="740"/>
    </row>
    <row r="14793" ht="14.25" customHeight="1">
      <c r="A14793" s="740"/>
    </row>
    <row r="14794" ht="14.25" customHeight="1">
      <c r="A14794" s="740"/>
    </row>
    <row r="14795" ht="14.25" customHeight="1">
      <c r="A14795" s="740"/>
    </row>
    <row r="14796" ht="14.25" customHeight="1">
      <c r="A14796" s="740"/>
    </row>
    <row r="14797" ht="14.25" customHeight="1">
      <c r="A14797" s="740"/>
    </row>
    <row r="14798" ht="14.25" customHeight="1">
      <c r="A14798" s="740"/>
    </row>
    <row r="14799" ht="14.25" customHeight="1">
      <c r="A14799" s="740"/>
    </row>
    <row r="14800" ht="14.25" customHeight="1">
      <c r="A14800" s="740"/>
    </row>
    <row r="14801" ht="14.25" customHeight="1">
      <c r="A14801" s="740"/>
    </row>
    <row r="14802" ht="14.25" customHeight="1">
      <c r="A14802" s="740"/>
    </row>
    <row r="14803" ht="14.25" customHeight="1">
      <c r="A14803" s="740"/>
    </row>
    <row r="14804" ht="14.25" customHeight="1">
      <c r="A14804" s="740"/>
    </row>
    <row r="14805" ht="14.25" customHeight="1">
      <c r="A14805" s="740"/>
    </row>
    <row r="14806" ht="14.25" customHeight="1">
      <c r="A14806" s="740"/>
    </row>
    <row r="14807" ht="14.25" customHeight="1">
      <c r="A14807" s="740"/>
    </row>
    <row r="14808" ht="14.25" customHeight="1">
      <c r="A14808" s="740"/>
    </row>
    <row r="14809" ht="14.25" customHeight="1">
      <c r="A14809" s="740"/>
    </row>
    <row r="14810" ht="14.25" customHeight="1">
      <c r="A14810" s="740"/>
    </row>
    <row r="14811" ht="14.25" customHeight="1">
      <c r="A14811" s="740"/>
    </row>
    <row r="14812" ht="14.25" customHeight="1">
      <c r="A14812" s="740"/>
    </row>
    <row r="14813" ht="14.25" customHeight="1">
      <c r="A14813" s="740"/>
    </row>
    <row r="14814" ht="14.25" customHeight="1">
      <c r="A14814" s="740"/>
    </row>
    <row r="14815" ht="14.25" customHeight="1">
      <c r="A14815" s="740"/>
    </row>
    <row r="14816" ht="14.25" customHeight="1">
      <c r="A14816" s="740"/>
    </row>
    <row r="14817" ht="14.25" customHeight="1">
      <c r="A14817" s="740"/>
    </row>
    <row r="14818" ht="14.25" customHeight="1">
      <c r="A14818" s="740"/>
    </row>
    <row r="14819" ht="14.25" customHeight="1">
      <c r="A14819" s="740"/>
    </row>
    <row r="14820" ht="14.25" customHeight="1">
      <c r="A14820" s="740"/>
    </row>
    <row r="14821" ht="14.25" customHeight="1">
      <c r="A14821" s="740"/>
    </row>
    <row r="14822" ht="14.25" customHeight="1">
      <c r="A14822" s="740"/>
    </row>
    <row r="14823" ht="14.25" customHeight="1">
      <c r="A14823" s="740"/>
    </row>
    <row r="14824" ht="14.25" customHeight="1">
      <c r="A14824" s="740"/>
    </row>
    <row r="14825" ht="14.25" customHeight="1">
      <c r="A14825" s="740"/>
    </row>
    <row r="14826" ht="14.25" customHeight="1">
      <c r="A14826" s="740"/>
    </row>
    <row r="14827" ht="14.25" customHeight="1">
      <c r="A14827" s="740"/>
    </row>
    <row r="14828" ht="14.25" customHeight="1">
      <c r="A14828" s="740"/>
    </row>
    <row r="14829" ht="14.25" customHeight="1">
      <c r="A14829" s="740"/>
    </row>
    <row r="14830" ht="14.25" customHeight="1">
      <c r="A14830" s="740"/>
    </row>
    <row r="14831" ht="14.25" customHeight="1">
      <c r="A14831" s="740"/>
    </row>
    <row r="14832" ht="14.25" customHeight="1">
      <c r="A14832" s="740"/>
    </row>
    <row r="14833" ht="14.25" customHeight="1">
      <c r="A14833" s="740"/>
    </row>
    <row r="14834" ht="14.25" customHeight="1">
      <c r="A14834" s="740"/>
    </row>
    <row r="14835" ht="14.25" customHeight="1">
      <c r="A14835" s="740"/>
    </row>
    <row r="14836" ht="14.25" customHeight="1">
      <c r="A14836" s="740"/>
    </row>
    <row r="14837" ht="14.25" customHeight="1">
      <c r="A14837" s="740"/>
    </row>
    <row r="14838" ht="14.25" customHeight="1">
      <c r="A14838" s="740"/>
    </row>
    <row r="14839" ht="14.25" customHeight="1">
      <c r="A14839" s="740"/>
    </row>
    <row r="14840" ht="14.25" customHeight="1">
      <c r="A14840" s="740"/>
    </row>
    <row r="14841" ht="14.25" customHeight="1">
      <c r="A14841" s="740"/>
    </row>
    <row r="14842" ht="14.25" customHeight="1">
      <c r="A14842" s="740"/>
    </row>
    <row r="14843" ht="14.25" customHeight="1">
      <c r="A14843" s="740"/>
    </row>
    <row r="14844" ht="14.25" customHeight="1">
      <c r="A14844" s="740"/>
    </row>
    <row r="14845" ht="14.25" customHeight="1">
      <c r="A14845" s="740"/>
    </row>
    <row r="14846" ht="14.25" customHeight="1">
      <c r="A14846" s="740"/>
    </row>
    <row r="14847" ht="14.25" customHeight="1">
      <c r="A14847" s="740"/>
    </row>
    <row r="14848" ht="14.25" customHeight="1">
      <c r="A14848" s="740"/>
    </row>
    <row r="14849" ht="14.25" customHeight="1">
      <c r="A14849" s="740"/>
    </row>
    <row r="14850" ht="14.25" customHeight="1">
      <c r="A14850" s="740"/>
    </row>
    <row r="14851" ht="14.25" customHeight="1">
      <c r="A14851" s="740"/>
    </row>
    <row r="14852" ht="14.25" customHeight="1">
      <c r="A14852" s="740"/>
    </row>
    <row r="14853" ht="14.25" customHeight="1">
      <c r="A14853" s="740"/>
    </row>
    <row r="14854" ht="14.25" customHeight="1">
      <c r="A14854" s="740"/>
    </row>
    <row r="14855" ht="14.25" customHeight="1">
      <c r="A14855" s="740"/>
    </row>
    <row r="14856" ht="14.25" customHeight="1">
      <c r="A14856" s="740"/>
    </row>
    <row r="14857" ht="14.25" customHeight="1">
      <c r="A14857" s="740"/>
    </row>
    <row r="14858" ht="14.25" customHeight="1">
      <c r="A14858" s="740"/>
    </row>
    <row r="14859" ht="14.25" customHeight="1">
      <c r="A14859" s="740"/>
    </row>
    <row r="14860" ht="14.25" customHeight="1">
      <c r="A14860" s="740"/>
    </row>
    <row r="14861" ht="14.25" customHeight="1">
      <c r="A14861" s="740"/>
    </row>
    <row r="14862" ht="14.25" customHeight="1">
      <c r="A14862" s="740"/>
    </row>
    <row r="14863" ht="14.25" customHeight="1">
      <c r="A14863" s="740"/>
    </row>
    <row r="14864" ht="14.25" customHeight="1">
      <c r="A14864" s="740"/>
    </row>
    <row r="14865" ht="14.25" customHeight="1">
      <c r="A14865" s="740"/>
    </row>
    <row r="14866" ht="14.25" customHeight="1">
      <c r="A14866" s="740"/>
    </row>
    <row r="14867" ht="14.25" customHeight="1">
      <c r="A14867" s="740"/>
    </row>
    <row r="14868" ht="14.25" customHeight="1">
      <c r="A14868" s="740"/>
    </row>
    <row r="14869" ht="14.25" customHeight="1">
      <c r="A14869" s="740"/>
    </row>
    <row r="14870" ht="14.25" customHeight="1">
      <c r="A14870" s="740"/>
    </row>
    <row r="14871" ht="14.25" customHeight="1">
      <c r="A14871" s="740"/>
    </row>
    <row r="14872" ht="14.25" customHeight="1">
      <c r="A14872" s="740"/>
    </row>
    <row r="14873" ht="14.25" customHeight="1">
      <c r="A14873" s="740"/>
    </row>
    <row r="14874" ht="14.25" customHeight="1">
      <c r="A14874" s="740"/>
    </row>
    <row r="14875" ht="14.25" customHeight="1">
      <c r="A14875" s="740"/>
    </row>
    <row r="14876" ht="14.25" customHeight="1">
      <c r="A14876" s="740"/>
    </row>
    <row r="14877" ht="14.25" customHeight="1">
      <c r="A14877" s="740"/>
    </row>
    <row r="14878" ht="14.25" customHeight="1">
      <c r="A14878" s="740"/>
    </row>
    <row r="14879" ht="14.25" customHeight="1">
      <c r="A14879" s="740"/>
    </row>
    <row r="14880" ht="14.25" customHeight="1">
      <c r="A14880" s="740"/>
    </row>
    <row r="14881" ht="14.25" customHeight="1">
      <c r="A14881" s="740"/>
    </row>
    <row r="14882" ht="14.25" customHeight="1">
      <c r="A14882" s="740"/>
    </row>
    <row r="14883" ht="14.25" customHeight="1">
      <c r="A14883" s="740"/>
    </row>
    <row r="14884" ht="14.25" customHeight="1">
      <c r="A14884" s="740"/>
    </row>
    <row r="14885" ht="14.25" customHeight="1">
      <c r="A14885" s="740"/>
    </row>
    <row r="14886" ht="14.25" customHeight="1">
      <c r="A14886" s="740"/>
    </row>
    <row r="14887" ht="14.25" customHeight="1">
      <c r="A14887" s="740"/>
    </row>
    <row r="14888" ht="14.25" customHeight="1">
      <c r="A14888" s="740"/>
    </row>
    <row r="14889" ht="14.25" customHeight="1">
      <c r="A14889" s="740"/>
    </row>
    <row r="14890" ht="14.25" customHeight="1">
      <c r="A14890" s="740"/>
    </row>
    <row r="14891" ht="14.25" customHeight="1">
      <c r="A14891" s="740"/>
    </row>
    <row r="14892" ht="14.25" customHeight="1">
      <c r="A14892" s="740"/>
    </row>
    <row r="14893" ht="14.25" customHeight="1">
      <c r="A14893" s="740"/>
    </row>
    <row r="14894" ht="14.25" customHeight="1">
      <c r="A14894" s="740"/>
    </row>
    <row r="14895" ht="14.25" customHeight="1">
      <c r="A14895" s="740"/>
    </row>
    <row r="14896" ht="14.25" customHeight="1">
      <c r="A14896" s="740"/>
    </row>
    <row r="14897" ht="14.25" customHeight="1">
      <c r="A14897" s="740"/>
    </row>
    <row r="14898" ht="14.25" customHeight="1">
      <c r="A14898" s="740"/>
    </row>
    <row r="14899" ht="14.25" customHeight="1">
      <c r="A14899" s="740"/>
    </row>
    <row r="14900" ht="14.25" customHeight="1">
      <c r="A14900" s="740"/>
    </row>
    <row r="14901" ht="14.25" customHeight="1">
      <c r="A14901" s="740"/>
    </row>
    <row r="14902" ht="14.25" customHeight="1">
      <c r="A14902" s="740"/>
    </row>
    <row r="14903" ht="14.25" customHeight="1">
      <c r="A14903" s="740"/>
    </row>
    <row r="14904" ht="14.25" customHeight="1">
      <c r="A14904" s="740"/>
    </row>
    <row r="14905" ht="14.25" customHeight="1">
      <c r="A14905" s="740"/>
    </row>
    <row r="14906" ht="14.25" customHeight="1">
      <c r="A14906" s="740"/>
    </row>
    <row r="14907" ht="14.25" customHeight="1">
      <c r="A14907" s="740"/>
    </row>
    <row r="14908" ht="14.25" customHeight="1">
      <c r="A14908" s="740"/>
    </row>
    <row r="14909" ht="14.25" customHeight="1">
      <c r="A14909" s="740"/>
    </row>
    <row r="14910" ht="14.25" customHeight="1">
      <c r="A14910" s="740"/>
    </row>
    <row r="14911" ht="14.25" customHeight="1">
      <c r="A14911" s="740"/>
    </row>
    <row r="14912" ht="14.25" customHeight="1">
      <c r="A14912" s="740"/>
    </row>
    <row r="14913" ht="14.25" customHeight="1">
      <c r="A14913" s="740"/>
    </row>
    <row r="14914" ht="14.25" customHeight="1">
      <c r="A14914" s="740"/>
    </row>
    <row r="14915" ht="14.25" customHeight="1">
      <c r="A14915" s="740"/>
    </row>
    <row r="14916" ht="14.25" customHeight="1">
      <c r="A14916" s="740"/>
    </row>
    <row r="14917" ht="14.25" customHeight="1">
      <c r="A14917" s="740"/>
    </row>
    <row r="14918" ht="14.25" customHeight="1">
      <c r="A14918" s="740"/>
    </row>
    <row r="14919" ht="14.25" customHeight="1">
      <c r="A14919" s="740"/>
    </row>
    <row r="14920" ht="14.25" customHeight="1">
      <c r="A14920" s="740"/>
    </row>
    <row r="14921" ht="14.25" customHeight="1">
      <c r="A14921" s="740"/>
    </row>
    <row r="14922" ht="14.25" customHeight="1">
      <c r="A14922" s="740"/>
    </row>
    <row r="14923" ht="14.25" customHeight="1">
      <c r="A14923" s="740"/>
    </row>
    <row r="14924" ht="14.25" customHeight="1">
      <c r="A14924" s="740"/>
    </row>
    <row r="14925" ht="14.25" customHeight="1">
      <c r="A14925" s="740"/>
    </row>
    <row r="14926" ht="14.25" customHeight="1">
      <c r="A14926" s="740"/>
    </row>
    <row r="14927" ht="14.25" customHeight="1">
      <c r="A14927" s="740"/>
    </row>
    <row r="14928" ht="14.25" customHeight="1">
      <c r="A14928" s="740"/>
    </row>
    <row r="14929" ht="14.25" customHeight="1">
      <c r="A14929" s="740"/>
    </row>
    <row r="14930" ht="14.25" customHeight="1">
      <c r="A14930" s="740"/>
    </row>
    <row r="14931" ht="14.25" customHeight="1">
      <c r="A14931" s="740"/>
    </row>
    <row r="14932" ht="14.25" customHeight="1">
      <c r="A14932" s="740"/>
    </row>
    <row r="14933" ht="14.25" customHeight="1">
      <c r="A14933" s="740"/>
    </row>
    <row r="14934" ht="14.25" customHeight="1">
      <c r="A14934" s="740"/>
    </row>
    <row r="14935" ht="14.25" customHeight="1">
      <c r="A14935" s="740"/>
    </row>
    <row r="14936" ht="14.25" customHeight="1">
      <c r="A14936" s="740"/>
    </row>
    <row r="14937" ht="14.25" customHeight="1">
      <c r="A14937" s="740"/>
    </row>
    <row r="14938" ht="14.25" customHeight="1">
      <c r="A14938" s="740"/>
    </row>
    <row r="14939" ht="14.25" customHeight="1">
      <c r="A14939" s="740"/>
    </row>
    <row r="14940" ht="14.25" customHeight="1">
      <c r="A14940" s="740"/>
    </row>
    <row r="14941" ht="14.25" customHeight="1">
      <c r="A14941" s="740"/>
    </row>
    <row r="14942" ht="14.25" customHeight="1">
      <c r="A14942" s="740"/>
    </row>
    <row r="14943" ht="14.25" customHeight="1">
      <c r="A14943" s="740"/>
    </row>
    <row r="14944" ht="14.25" customHeight="1">
      <c r="A14944" s="740"/>
    </row>
    <row r="14945" ht="14.25" customHeight="1">
      <c r="A14945" s="740"/>
    </row>
    <row r="14946" ht="14.25" customHeight="1">
      <c r="A14946" s="740"/>
    </row>
    <row r="14947" ht="14.25" customHeight="1">
      <c r="A14947" s="740"/>
    </row>
    <row r="14948" ht="14.25" customHeight="1">
      <c r="A14948" s="740"/>
    </row>
    <row r="14949" ht="14.25" customHeight="1">
      <c r="A14949" s="740"/>
    </row>
    <row r="14950" ht="14.25" customHeight="1">
      <c r="A14950" s="740"/>
    </row>
    <row r="14951" ht="14.25" customHeight="1">
      <c r="A14951" s="740"/>
    </row>
    <row r="14952" ht="14.25" customHeight="1">
      <c r="A14952" s="740"/>
    </row>
    <row r="14953" ht="14.25" customHeight="1">
      <c r="A14953" s="740"/>
    </row>
    <row r="14954" ht="14.25" customHeight="1">
      <c r="A14954" s="740"/>
    </row>
    <row r="14955" ht="14.25" customHeight="1">
      <c r="A14955" s="740"/>
    </row>
    <row r="14956" ht="14.25" customHeight="1">
      <c r="A14956" s="740"/>
    </row>
    <row r="14957" ht="14.25" customHeight="1">
      <c r="A14957" s="740"/>
    </row>
    <row r="14958" ht="14.25" customHeight="1">
      <c r="A14958" s="740"/>
    </row>
    <row r="14959" ht="14.25" customHeight="1">
      <c r="A14959" s="740"/>
    </row>
    <row r="14960" ht="14.25" customHeight="1">
      <c r="A14960" s="740"/>
    </row>
    <row r="14961" ht="14.25" customHeight="1">
      <c r="A14961" s="740"/>
    </row>
    <row r="14962" ht="14.25" customHeight="1">
      <c r="A14962" s="740"/>
    </row>
    <row r="14963" ht="14.25" customHeight="1">
      <c r="A14963" s="740"/>
    </row>
    <row r="14964" ht="14.25" customHeight="1">
      <c r="A14964" s="740"/>
    </row>
    <row r="14965" ht="14.25" customHeight="1">
      <c r="A14965" s="740"/>
    </row>
    <row r="14966" ht="14.25" customHeight="1">
      <c r="A14966" s="740"/>
    </row>
    <row r="14967" ht="14.25" customHeight="1">
      <c r="A14967" s="740"/>
    </row>
    <row r="14968" ht="14.25" customHeight="1">
      <c r="A14968" s="740"/>
    </row>
    <row r="14969" ht="14.25" customHeight="1">
      <c r="A14969" s="740"/>
    </row>
    <row r="14970" ht="14.25" customHeight="1">
      <c r="A14970" s="740"/>
    </row>
    <row r="14971" ht="14.25" customHeight="1">
      <c r="A14971" s="740"/>
    </row>
    <row r="14972" ht="14.25" customHeight="1">
      <c r="A14972" s="740"/>
    </row>
    <row r="14973" ht="14.25" customHeight="1">
      <c r="A14973" s="740"/>
    </row>
    <row r="14974" ht="14.25" customHeight="1">
      <c r="A14974" s="740"/>
    </row>
    <row r="14975" ht="14.25" customHeight="1">
      <c r="A14975" s="740"/>
    </row>
    <row r="14976" ht="14.25" customHeight="1">
      <c r="A14976" s="740"/>
    </row>
    <row r="14977" ht="14.25" customHeight="1">
      <c r="A14977" s="740"/>
    </row>
    <row r="14978" ht="14.25" customHeight="1">
      <c r="A14978" s="740"/>
    </row>
    <row r="14979" ht="14.25" customHeight="1">
      <c r="A14979" s="740"/>
    </row>
    <row r="14980" ht="14.25" customHeight="1">
      <c r="A14980" s="740"/>
    </row>
    <row r="14981" ht="14.25" customHeight="1">
      <c r="A14981" s="740"/>
    </row>
    <row r="14982" ht="14.25" customHeight="1">
      <c r="A14982" s="740"/>
    </row>
    <row r="14983" ht="14.25" customHeight="1">
      <c r="A14983" s="740"/>
    </row>
    <row r="14984" ht="14.25" customHeight="1">
      <c r="A14984" s="740"/>
    </row>
    <row r="14985" ht="14.25" customHeight="1">
      <c r="A14985" s="740"/>
    </row>
    <row r="14986" ht="14.25" customHeight="1">
      <c r="A14986" s="740"/>
    </row>
    <row r="14987" ht="14.25" customHeight="1">
      <c r="A14987" s="740"/>
    </row>
    <row r="14988" ht="14.25" customHeight="1">
      <c r="A14988" s="740"/>
    </row>
    <row r="14989" ht="14.25" customHeight="1">
      <c r="A14989" s="740"/>
    </row>
    <row r="14990" ht="14.25" customHeight="1">
      <c r="A14990" s="740"/>
    </row>
    <row r="14991" ht="14.25" customHeight="1">
      <c r="A14991" s="740"/>
    </row>
    <row r="14992" ht="14.25" customHeight="1">
      <c r="A14992" s="740"/>
    </row>
    <row r="14993" ht="14.25" customHeight="1">
      <c r="A14993" s="740"/>
    </row>
    <row r="14994" ht="14.25" customHeight="1">
      <c r="A14994" s="740"/>
    </row>
    <row r="14995" ht="14.25" customHeight="1">
      <c r="A14995" s="740"/>
    </row>
    <row r="14996" ht="14.25" customHeight="1">
      <c r="A14996" s="740"/>
    </row>
    <row r="14997" ht="14.25" customHeight="1">
      <c r="A14997" s="740"/>
    </row>
    <row r="14998" ht="14.25" customHeight="1">
      <c r="A14998" s="740"/>
    </row>
    <row r="14999" ht="14.25" customHeight="1">
      <c r="A14999" s="740"/>
    </row>
    <row r="15000" ht="14.25" customHeight="1">
      <c r="A15000" s="740"/>
    </row>
    <row r="15001" ht="14.25" customHeight="1">
      <c r="A15001" s="740"/>
    </row>
    <row r="15002" ht="14.25" customHeight="1">
      <c r="A15002" s="740"/>
    </row>
    <row r="15003" ht="14.25" customHeight="1">
      <c r="A15003" s="740"/>
    </row>
    <row r="15004" ht="14.25" customHeight="1">
      <c r="A15004" s="740"/>
    </row>
    <row r="15005" ht="14.25" customHeight="1">
      <c r="A15005" s="740"/>
    </row>
    <row r="15006" ht="14.25" customHeight="1">
      <c r="A15006" s="740"/>
    </row>
    <row r="15007" ht="14.25" customHeight="1">
      <c r="A15007" s="740"/>
    </row>
    <row r="15008" ht="14.25" customHeight="1">
      <c r="A15008" s="740"/>
    </row>
    <row r="15009" ht="14.25" customHeight="1">
      <c r="A15009" s="740"/>
    </row>
    <row r="15010" ht="14.25" customHeight="1">
      <c r="A15010" s="740"/>
    </row>
    <row r="15011" ht="14.25" customHeight="1">
      <c r="A15011" s="740"/>
    </row>
    <row r="15012" ht="14.25" customHeight="1">
      <c r="A15012" s="740"/>
    </row>
    <row r="15013" ht="14.25" customHeight="1">
      <c r="A15013" s="740"/>
    </row>
    <row r="15014" ht="14.25" customHeight="1">
      <c r="A15014" s="740"/>
    </row>
    <row r="15015" ht="14.25" customHeight="1">
      <c r="A15015" s="740"/>
    </row>
    <row r="15016" ht="14.25" customHeight="1">
      <c r="A15016" s="740"/>
    </row>
    <row r="15017" ht="14.25" customHeight="1">
      <c r="A15017" s="740"/>
    </row>
    <row r="15018" ht="14.25" customHeight="1">
      <c r="A15018" s="740"/>
    </row>
    <row r="15019" ht="14.25" customHeight="1">
      <c r="A15019" s="740"/>
    </row>
    <row r="15020" ht="14.25" customHeight="1">
      <c r="A15020" s="740"/>
    </row>
    <row r="15021" ht="14.25" customHeight="1">
      <c r="A15021" s="740"/>
    </row>
    <row r="15022" ht="14.25" customHeight="1">
      <c r="A15022" s="740"/>
    </row>
    <row r="15023" ht="14.25" customHeight="1">
      <c r="A15023" s="740"/>
    </row>
    <row r="15024" ht="14.25" customHeight="1">
      <c r="A15024" s="740"/>
    </row>
    <row r="15025" ht="14.25" customHeight="1">
      <c r="A15025" s="740"/>
    </row>
    <row r="15026" ht="14.25" customHeight="1">
      <c r="A15026" s="740"/>
    </row>
    <row r="15027" ht="14.25" customHeight="1">
      <c r="A15027" s="740"/>
    </row>
    <row r="15028" ht="14.25" customHeight="1">
      <c r="A15028" s="740"/>
    </row>
    <row r="15029" ht="14.25" customHeight="1">
      <c r="A15029" s="740"/>
    </row>
    <row r="15030" ht="14.25" customHeight="1">
      <c r="A15030" s="740"/>
    </row>
    <row r="15031" ht="14.25" customHeight="1">
      <c r="A15031" s="740"/>
    </row>
    <row r="15032" ht="14.25" customHeight="1">
      <c r="A15032" s="740"/>
    </row>
    <row r="15033" ht="14.25" customHeight="1">
      <c r="A15033" s="740"/>
    </row>
    <row r="15034" ht="14.25" customHeight="1">
      <c r="A15034" s="740"/>
    </row>
    <row r="15035" ht="14.25" customHeight="1">
      <c r="A15035" s="740"/>
    </row>
    <row r="15036" ht="14.25" customHeight="1">
      <c r="A15036" s="740"/>
    </row>
    <row r="15037" ht="14.25" customHeight="1">
      <c r="A15037" s="740"/>
    </row>
    <row r="15038" ht="14.25" customHeight="1">
      <c r="A15038" s="740"/>
    </row>
    <row r="15039" ht="14.25" customHeight="1">
      <c r="A15039" s="740"/>
    </row>
    <row r="15040" ht="14.25" customHeight="1">
      <c r="A15040" s="740"/>
    </row>
    <row r="15041" ht="14.25" customHeight="1">
      <c r="A15041" s="740"/>
    </row>
    <row r="15042" ht="14.25" customHeight="1">
      <c r="A15042" s="740"/>
    </row>
    <row r="15043" ht="14.25" customHeight="1">
      <c r="A15043" s="740"/>
    </row>
    <row r="15044" ht="14.25" customHeight="1">
      <c r="A15044" s="740"/>
    </row>
    <row r="15045" ht="14.25" customHeight="1">
      <c r="A15045" s="740"/>
    </row>
    <row r="15046" ht="14.25" customHeight="1">
      <c r="A15046" s="740"/>
    </row>
    <row r="15047" ht="14.25" customHeight="1">
      <c r="A15047" s="740"/>
    </row>
    <row r="15048" ht="14.25" customHeight="1">
      <c r="A15048" s="740"/>
    </row>
    <row r="15049" ht="14.25" customHeight="1">
      <c r="A15049" s="740"/>
    </row>
    <row r="15050" ht="14.25" customHeight="1">
      <c r="A15050" s="740"/>
    </row>
    <row r="15051" ht="14.25" customHeight="1">
      <c r="A15051" s="740"/>
    </row>
    <row r="15052" ht="14.25" customHeight="1">
      <c r="A15052" s="740"/>
    </row>
    <row r="15053" ht="14.25" customHeight="1">
      <c r="A15053" s="740"/>
    </row>
    <row r="15054" ht="14.25" customHeight="1">
      <c r="A15054" s="740"/>
    </row>
    <row r="15055" ht="14.25" customHeight="1">
      <c r="A15055" s="740"/>
    </row>
    <row r="15056" ht="14.25" customHeight="1">
      <c r="A15056" s="740"/>
    </row>
    <row r="15057" ht="14.25" customHeight="1">
      <c r="A15057" s="740"/>
    </row>
    <row r="15058" ht="14.25" customHeight="1">
      <c r="A15058" s="740"/>
    </row>
    <row r="15059" ht="14.25" customHeight="1">
      <c r="A15059" s="740"/>
    </row>
    <row r="15060" ht="14.25" customHeight="1">
      <c r="A15060" s="740"/>
    </row>
    <row r="15061" ht="14.25" customHeight="1">
      <c r="A15061" s="740"/>
    </row>
    <row r="15062" ht="14.25" customHeight="1">
      <c r="A15062" s="740"/>
    </row>
    <row r="15063" ht="14.25" customHeight="1">
      <c r="A15063" s="740"/>
    </row>
    <row r="15064" ht="14.25" customHeight="1">
      <c r="A15064" s="740"/>
    </row>
    <row r="15065" ht="14.25" customHeight="1">
      <c r="A15065" s="740"/>
    </row>
    <row r="15066" ht="14.25" customHeight="1">
      <c r="A15066" s="740"/>
    </row>
    <row r="15067" ht="14.25" customHeight="1">
      <c r="A15067" s="740"/>
    </row>
    <row r="15068" ht="14.25" customHeight="1">
      <c r="A15068" s="740"/>
    </row>
    <row r="15069" ht="14.25" customHeight="1">
      <c r="A15069" s="740"/>
    </row>
    <row r="15070" ht="14.25" customHeight="1">
      <c r="A15070" s="740"/>
    </row>
    <row r="15071" ht="14.25" customHeight="1">
      <c r="A15071" s="740"/>
    </row>
    <row r="15072" ht="14.25" customHeight="1">
      <c r="A15072" s="740"/>
    </row>
    <row r="15073" ht="14.25" customHeight="1">
      <c r="A15073" s="740"/>
    </row>
    <row r="15074" ht="14.25" customHeight="1">
      <c r="A15074" s="740"/>
    </row>
    <row r="15075" ht="14.25" customHeight="1">
      <c r="A15075" s="740"/>
    </row>
    <row r="15076" ht="14.25" customHeight="1">
      <c r="A15076" s="740"/>
    </row>
    <row r="15077" ht="14.25" customHeight="1">
      <c r="A15077" s="740"/>
    </row>
    <row r="15078" ht="14.25" customHeight="1">
      <c r="A15078" s="740"/>
    </row>
    <row r="15079" ht="14.25" customHeight="1">
      <c r="A15079" s="740"/>
    </row>
    <row r="15080" ht="14.25" customHeight="1">
      <c r="A15080" s="740"/>
    </row>
    <row r="15081" ht="14.25" customHeight="1">
      <c r="A15081" s="740"/>
    </row>
    <row r="15082" ht="14.25" customHeight="1">
      <c r="A15082" s="740"/>
    </row>
    <row r="15083" ht="14.25" customHeight="1">
      <c r="A15083" s="740"/>
    </row>
    <row r="15084" ht="14.25" customHeight="1">
      <c r="A15084" s="740"/>
    </row>
    <row r="15085" ht="14.25" customHeight="1">
      <c r="A15085" s="740"/>
    </row>
    <row r="15086" ht="14.25" customHeight="1">
      <c r="A15086" s="740"/>
    </row>
    <row r="15087" ht="14.25" customHeight="1">
      <c r="A15087" s="740"/>
    </row>
    <row r="15088" ht="14.25" customHeight="1">
      <c r="A15088" s="740"/>
    </row>
    <row r="15089" ht="14.25" customHeight="1">
      <c r="A15089" s="740"/>
    </row>
    <row r="15090" ht="14.25" customHeight="1">
      <c r="A15090" s="740"/>
    </row>
    <row r="15091" ht="14.25" customHeight="1">
      <c r="A15091" s="740"/>
    </row>
    <row r="15092" ht="14.25" customHeight="1">
      <c r="A15092" s="740"/>
    </row>
    <row r="15093" ht="14.25" customHeight="1">
      <c r="A15093" s="740"/>
    </row>
    <row r="15094" ht="14.25" customHeight="1">
      <c r="A15094" s="740"/>
    </row>
    <row r="15095" ht="14.25" customHeight="1">
      <c r="A15095" s="740"/>
    </row>
    <row r="15096" ht="14.25" customHeight="1">
      <c r="A15096" s="740"/>
    </row>
    <row r="15097" ht="14.25" customHeight="1">
      <c r="A15097" s="740"/>
    </row>
    <row r="15098" ht="14.25" customHeight="1">
      <c r="A15098" s="740"/>
    </row>
    <row r="15099" ht="14.25" customHeight="1">
      <c r="A15099" s="740"/>
    </row>
    <row r="15100" ht="14.25" customHeight="1">
      <c r="A15100" s="740"/>
    </row>
    <row r="15101" ht="14.25" customHeight="1">
      <c r="A15101" s="740"/>
    </row>
    <row r="15102" ht="14.25" customHeight="1">
      <c r="A15102" s="740"/>
    </row>
    <row r="15103" ht="14.25" customHeight="1">
      <c r="A15103" s="740"/>
    </row>
    <row r="15104" ht="14.25" customHeight="1">
      <c r="A15104" s="740"/>
    </row>
    <row r="15105" ht="14.25" customHeight="1">
      <c r="A15105" s="740"/>
    </row>
    <row r="15106" ht="14.25" customHeight="1">
      <c r="A15106" s="740"/>
    </row>
    <row r="15107" ht="14.25" customHeight="1">
      <c r="A15107" s="740"/>
    </row>
    <row r="15108" ht="14.25" customHeight="1">
      <c r="A15108" s="740"/>
    </row>
    <row r="15109" ht="14.25" customHeight="1">
      <c r="A15109" s="740"/>
    </row>
    <row r="15110" ht="14.25" customHeight="1">
      <c r="A15110" s="740"/>
    </row>
    <row r="15111" ht="14.25" customHeight="1">
      <c r="A15111" s="740"/>
    </row>
    <row r="15112" ht="14.25" customHeight="1">
      <c r="A15112" s="740"/>
    </row>
    <row r="15113" ht="14.25" customHeight="1">
      <c r="A15113" s="740"/>
    </row>
    <row r="15114" ht="14.25" customHeight="1">
      <c r="A15114" s="740"/>
    </row>
    <row r="15115" ht="14.25" customHeight="1">
      <c r="A15115" s="740"/>
    </row>
    <row r="15116" ht="14.25" customHeight="1">
      <c r="A15116" s="740"/>
    </row>
    <row r="15117" ht="14.25" customHeight="1">
      <c r="A15117" s="740"/>
    </row>
    <row r="15118" ht="14.25" customHeight="1">
      <c r="A15118" s="740"/>
    </row>
    <row r="15119" ht="14.25" customHeight="1">
      <c r="A15119" s="740"/>
    </row>
    <row r="15120" ht="14.25" customHeight="1">
      <c r="A15120" s="740"/>
    </row>
    <row r="15121" ht="14.25" customHeight="1">
      <c r="A15121" s="740"/>
    </row>
    <row r="15122" ht="14.25" customHeight="1">
      <c r="A15122" s="740"/>
    </row>
    <row r="15123" ht="14.25" customHeight="1">
      <c r="A15123" s="740"/>
    </row>
    <row r="15124" ht="14.25" customHeight="1">
      <c r="A15124" s="740"/>
    </row>
    <row r="15125" ht="14.25" customHeight="1">
      <c r="A15125" s="740"/>
    </row>
    <row r="15126" ht="14.25" customHeight="1">
      <c r="A15126" s="740"/>
    </row>
    <row r="15127" ht="14.25" customHeight="1">
      <c r="A15127" s="740"/>
    </row>
    <row r="15128" ht="14.25" customHeight="1">
      <c r="A15128" s="740"/>
    </row>
    <row r="15129" ht="14.25" customHeight="1">
      <c r="A15129" s="740"/>
    </row>
    <row r="15130" ht="14.25" customHeight="1">
      <c r="A15130" s="740"/>
    </row>
    <row r="15131" ht="14.25" customHeight="1">
      <c r="A15131" s="740"/>
    </row>
    <row r="15132" ht="14.25" customHeight="1">
      <c r="A15132" s="740"/>
    </row>
    <row r="15133" ht="14.25" customHeight="1">
      <c r="A15133" s="740"/>
    </row>
    <row r="15134" ht="14.25" customHeight="1">
      <c r="A15134" s="740"/>
    </row>
    <row r="15135" ht="14.25" customHeight="1">
      <c r="A15135" s="740"/>
    </row>
    <row r="15136" ht="14.25" customHeight="1">
      <c r="A15136" s="740"/>
    </row>
    <row r="15137" ht="14.25" customHeight="1">
      <c r="A15137" s="740"/>
    </row>
    <row r="15138" ht="14.25" customHeight="1">
      <c r="A15138" s="740"/>
    </row>
    <row r="15139" ht="14.25" customHeight="1">
      <c r="A15139" s="740"/>
    </row>
    <row r="15140" ht="14.25" customHeight="1">
      <c r="A15140" s="740"/>
    </row>
    <row r="15141" ht="14.25" customHeight="1">
      <c r="A15141" s="740"/>
    </row>
    <row r="15142" ht="14.25" customHeight="1">
      <c r="A15142" s="740"/>
    </row>
    <row r="15143" ht="14.25" customHeight="1">
      <c r="A15143" s="740"/>
    </row>
    <row r="15144" ht="14.25" customHeight="1">
      <c r="A15144" s="740"/>
    </row>
    <row r="15145" ht="14.25" customHeight="1">
      <c r="A15145" s="740"/>
    </row>
    <row r="15146" ht="14.25" customHeight="1">
      <c r="A15146" s="740"/>
    </row>
    <row r="15147" ht="14.25" customHeight="1">
      <c r="A15147" s="740"/>
    </row>
    <row r="15148" ht="14.25" customHeight="1">
      <c r="A15148" s="740"/>
    </row>
    <row r="15149" ht="14.25" customHeight="1">
      <c r="A15149" s="740"/>
    </row>
    <row r="15150" ht="14.25" customHeight="1">
      <c r="A15150" s="740"/>
    </row>
    <row r="15151" ht="14.25" customHeight="1">
      <c r="A15151" s="740"/>
    </row>
    <row r="15152" ht="14.25" customHeight="1">
      <c r="A15152" s="740"/>
    </row>
    <row r="15153" ht="14.25" customHeight="1">
      <c r="A15153" s="740"/>
    </row>
    <row r="15154" ht="14.25" customHeight="1">
      <c r="A15154" s="740"/>
    </row>
    <row r="15155" ht="14.25" customHeight="1">
      <c r="A15155" s="740"/>
    </row>
    <row r="15156" ht="14.25" customHeight="1">
      <c r="A15156" s="740"/>
    </row>
    <row r="15157" ht="14.25" customHeight="1">
      <c r="A15157" s="740"/>
    </row>
    <row r="15158" ht="14.25" customHeight="1">
      <c r="A15158" s="740"/>
    </row>
    <row r="15159" ht="14.25" customHeight="1">
      <c r="A15159" s="740"/>
    </row>
    <row r="15160" ht="14.25" customHeight="1">
      <c r="A15160" s="740"/>
    </row>
    <row r="15161" ht="14.25" customHeight="1">
      <c r="A15161" s="740"/>
    </row>
    <row r="15162" ht="14.25" customHeight="1">
      <c r="A15162" s="740"/>
    </row>
    <row r="15163" ht="14.25" customHeight="1">
      <c r="A15163" s="740"/>
    </row>
    <row r="15164" ht="14.25" customHeight="1">
      <c r="A15164" s="740"/>
    </row>
    <row r="15165" ht="14.25" customHeight="1">
      <c r="A15165" s="740"/>
    </row>
    <row r="15166" ht="14.25" customHeight="1">
      <c r="A15166" s="740"/>
    </row>
    <row r="15167" ht="14.25" customHeight="1">
      <c r="A15167" s="740"/>
    </row>
    <row r="15168" ht="14.25" customHeight="1">
      <c r="A15168" s="740"/>
    </row>
    <row r="15169" ht="14.25" customHeight="1">
      <c r="A15169" s="740"/>
    </row>
    <row r="15170" ht="14.25" customHeight="1">
      <c r="A15170" s="740"/>
    </row>
    <row r="15171" ht="14.25" customHeight="1">
      <c r="A15171" s="740"/>
    </row>
    <row r="15172" ht="14.25" customHeight="1">
      <c r="A15172" s="740"/>
    </row>
    <row r="15173" ht="14.25" customHeight="1">
      <c r="A15173" s="740"/>
    </row>
    <row r="15174" ht="14.25" customHeight="1">
      <c r="A15174" s="740"/>
    </row>
    <row r="15175" ht="14.25" customHeight="1">
      <c r="A15175" s="740"/>
    </row>
    <row r="15176" ht="14.25" customHeight="1">
      <c r="A15176" s="740"/>
    </row>
    <row r="15177" ht="14.25" customHeight="1">
      <c r="A15177" s="740"/>
    </row>
    <row r="15178" ht="14.25" customHeight="1">
      <c r="A15178" s="740"/>
    </row>
    <row r="15179" ht="14.25" customHeight="1">
      <c r="A15179" s="740"/>
    </row>
    <row r="15180" ht="14.25" customHeight="1">
      <c r="A15180" s="740"/>
    </row>
    <row r="15181" ht="14.25" customHeight="1">
      <c r="A15181" s="740"/>
    </row>
    <row r="15182" ht="14.25" customHeight="1">
      <c r="A15182" s="740"/>
    </row>
    <row r="15183" ht="14.25" customHeight="1">
      <c r="A15183" s="740"/>
    </row>
    <row r="15184" ht="14.25" customHeight="1">
      <c r="A15184" s="740"/>
    </row>
    <row r="15185" ht="14.25" customHeight="1">
      <c r="A15185" s="740"/>
    </row>
    <row r="15186" ht="14.25" customHeight="1">
      <c r="A15186" s="740"/>
    </row>
    <row r="15187" ht="14.25" customHeight="1">
      <c r="A15187" s="740"/>
    </row>
    <row r="15188" ht="14.25" customHeight="1">
      <c r="A15188" s="740"/>
    </row>
    <row r="15189" ht="14.25" customHeight="1">
      <c r="A15189" s="740"/>
    </row>
    <row r="15190" ht="14.25" customHeight="1">
      <c r="A15190" s="740"/>
    </row>
    <row r="15191" ht="14.25" customHeight="1">
      <c r="A15191" s="740"/>
    </row>
    <row r="15192" ht="14.25" customHeight="1">
      <c r="A15192" s="740"/>
    </row>
    <row r="15193" ht="14.25" customHeight="1">
      <c r="A15193" s="740"/>
    </row>
    <row r="15194" ht="14.25" customHeight="1">
      <c r="A15194" s="740"/>
    </row>
    <row r="15195" ht="14.25" customHeight="1">
      <c r="A15195" s="740"/>
    </row>
    <row r="15196" ht="14.25" customHeight="1">
      <c r="A15196" s="740"/>
    </row>
    <row r="15197" ht="14.25" customHeight="1">
      <c r="A15197" s="740"/>
    </row>
    <row r="15198" ht="14.25" customHeight="1">
      <c r="A15198" s="740"/>
    </row>
    <row r="15199" ht="14.25" customHeight="1">
      <c r="A15199" s="740"/>
    </row>
    <row r="15200" ht="14.25" customHeight="1">
      <c r="A15200" s="740"/>
    </row>
    <row r="15201" ht="14.25" customHeight="1">
      <c r="A15201" s="740"/>
    </row>
    <row r="15202" ht="14.25" customHeight="1">
      <c r="A15202" s="740"/>
    </row>
    <row r="15203" ht="14.25" customHeight="1">
      <c r="A15203" s="740"/>
    </row>
    <row r="15204" ht="14.25" customHeight="1">
      <c r="A15204" s="740"/>
    </row>
    <row r="15205" ht="14.25" customHeight="1">
      <c r="A15205" s="740"/>
    </row>
    <row r="15206" ht="14.25" customHeight="1">
      <c r="A15206" s="740"/>
    </row>
    <row r="15207" ht="14.25" customHeight="1">
      <c r="A15207" s="740"/>
    </row>
    <row r="15208" ht="14.25" customHeight="1">
      <c r="A15208" s="740"/>
    </row>
    <row r="15209" ht="14.25" customHeight="1">
      <c r="A15209" s="740"/>
    </row>
    <row r="15210" ht="14.25" customHeight="1">
      <c r="A15210" s="740"/>
    </row>
    <row r="15211" ht="14.25" customHeight="1">
      <c r="A15211" s="740"/>
    </row>
    <row r="15212" ht="14.25" customHeight="1">
      <c r="A15212" s="740"/>
    </row>
    <row r="15213" ht="14.25" customHeight="1">
      <c r="A15213" s="740"/>
    </row>
    <row r="15214" ht="14.25" customHeight="1">
      <c r="A15214" s="740"/>
    </row>
    <row r="15215" ht="14.25" customHeight="1">
      <c r="A15215" s="740"/>
    </row>
    <row r="15216" ht="14.25" customHeight="1">
      <c r="A15216" s="740"/>
    </row>
    <row r="15217" ht="14.25" customHeight="1">
      <c r="A15217" s="740"/>
    </row>
    <row r="15218" ht="14.25" customHeight="1">
      <c r="A15218" s="740"/>
    </row>
    <row r="15219" ht="14.25" customHeight="1">
      <c r="A15219" s="740"/>
    </row>
    <row r="15220" ht="14.25" customHeight="1">
      <c r="A15220" s="740"/>
    </row>
    <row r="15221" ht="14.25" customHeight="1">
      <c r="A15221" s="740"/>
    </row>
    <row r="15222" ht="14.25" customHeight="1">
      <c r="A15222" s="740"/>
    </row>
    <row r="15223" ht="14.25" customHeight="1">
      <c r="A15223" s="740"/>
    </row>
    <row r="15224" ht="14.25" customHeight="1">
      <c r="A15224" s="740"/>
    </row>
    <row r="15225" ht="14.25" customHeight="1">
      <c r="A15225" s="740"/>
    </row>
    <row r="15226" ht="14.25" customHeight="1">
      <c r="A15226" s="740"/>
    </row>
    <row r="15227" ht="14.25" customHeight="1">
      <c r="A15227" s="740"/>
    </row>
    <row r="15228" ht="14.25" customHeight="1">
      <c r="A15228" s="740"/>
    </row>
    <row r="15229" ht="14.25" customHeight="1">
      <c r="A15229" s="740"/>
    </row>
    <row r="15230" ht="14.25" customHeight="1">
      <c r="A15230" s="740"/>
    </row>
    <row r="15231" ht="14.25" customHeight="1">
      <c r="A15231" s="740"/>
    </row>
    <row r="15232" ht="14.25" customHeight="1">
      <c r="A15232" s="740"/>
    </row>
    <row r="15233" ht="14.25" customHeight="1">
      <c r="A15233" s="740"/>
    </row>
    <row r="15234" ht="14.25" customHeight="1">
      <c r="A15234" s="740"/>
    </row>
    <row r="15235" ht="14.25" customHeight="1">
      <c r="A15235" s="740"/>
    </row>
    <row r="15236" ht="14.25" customHeight="1">
      <c r="A15236" s="740"/>
    </row>
    <row r="15237" ht="14.25" customHeight="1">
      <c r="A15237" s="740"/>
    </row>
    <row r="15238" ht="14.25" customHeight="1">
      <c r="A15238" s="740"/>
    </row>
    <row r="15239" ht="14.25" customHeight="1">
      <c r="A15239" s="740"/>
    </row>
    <row r="15240" ht="14.25" customHeight="1">
      <c r="A15240" s="740"/>
    </row>
    <row r="15241" ht="14.25" customHeight="1">
      <c r="A15241" s="740"/>
    </row>
    <row r="15242" ht="14.25" customHeight="1">
      <c r="A15242" s="740"/>
    </row>
    <row r="15243" ht="14.25" customHeight="1">
      <c r="A15243" s="740"/>
    </row>
    <row r="15244" ht="14.25" customHeight="1">
      <c r="A15244" s="740"/>
    </row>
    <row r="15245" ht="14.25" customHeight="1">
      <c r="A15245" s="740"/>
    </row>
    <row r="15246" ht="14.25" customHeight="1">
      <c r="A15246" s="740"/>
    </row>
    <row r="15247" ht="14.25" customHeight="1">
      <c r="A15247" s="740"/>
    </row>
    <row r="15248" ht="14.25" customHeight="1">
      <c r="A15248" s="740"/>
    </row>
    <row r="15249" ht="14.25" customHeight="1">
      <c r="A15249" s="740"/>
    </row>
    <row r="15250" ht="14.25" customHeight="1">
      <c r="A15250" s="740"/>
    </row>
    <row r="15251" ht="14.25" customHeight="1">
      <c r="A15251" s="740"/>
    </row>
    <row r="15252" ht="14.25" customHeight="1">
      <c r="A15252" s="740"/>
    </row>
    <row r="15253" ht="14.25" customHeight="1">
      <c r="A15253" s="740"/>
    </row>
    <row r="15254" ht="14.25" customHeight="1">
      <c r="A15254" s="740"/>
    </row>
    <row r="15255" ht="14.25" customHeight="1">
      <c r="A15255" s="740"/>
    </row>
    <row r="15256" ht="14.25" customHeight="1">
      <c r="A15256" s="740"/>
    </row>
    <row r="15257" ht="14.25" customHeight="1">
      <c r="A15257" s="740"/>
    </row>
    <row r="15258" ht="14.25" customHeight="1">
      <c r="A15258" s="740"/>
    </row>
    <row r="15259" ht="14.25" customHeight="1">
      <c r="A15259" s="740"/>
    </row>
    <row r="15260" ht="14.25" customHeight="1">
      <c r="A15260" s="740"/>
    </row>
    <row r="15261" ht="14.25" customHeight="1">
      <c r="A15261" s="740"/>
    </row>
    <row r="15262" ht="14.25" customHeight="1">
      <c r="A15262" s="740"/>
    </row>
    <row r="15263" ht="14.25" customHeight="1">
      <c r="A15263" s="740"/>
    </row>
    <row r="15264" ht="14.25" customHeight="1">
      <c r="A15264" s="740"/>
    </row>
    <row r="15265" ht="14.25" customHeight="1">
      <c r="A15265" s="740"/>
    </row>
    <row r="15266" ht="14.25" customHeight="1">
      <c r="A15266" s="740"/>
    </row>
    <row r="15267" ht="14.25" customHeight="1">
      <c r="A15267" s="740"/>
    </row>
    <row r="15268" ht="14.25" customHeight="1">
      <c r="A15268" s="740"/>
    </row>
    <row r="15269" ht="14.25" customHeight="1">
      <c r="A15269" s="740"/>
    </row>
    <row r="15270" ht="14.25" customHeight="1">
      <c r="A15270" s="740"/>
    </row>
    <row r="15271" ht="14.25" customHeight="1">
      <c r="A15271" s="740"/>
    </row>
    <row r="15272" ht="14.25" customHeight="1">
      <c r="A15272" s="740"/>
    </row>
    <row r="15273" ht="14.25" customHeight="1">
      <c r="A15273" s="740"/>
    </row>
    <row r="15274" ht="14.25" customHeight="1">
      <c r="A15274" s="740"/>
    </row>
    <row r="15275" ht="14.25" customHeight="1">
      <c r="A15275" s="740"/>
    </row>
    <row r="15276" ht="14.25" customHeight="1">
      <c r="A15276" s="740"/>
    </row>
    <row r="15277" ht="14.25" customHeight="1">
      <c r="A15277" s="740"/>
    </row>
    <row r="15278" ht="14.25" customHeight="1">
      <c r="A15278" s="740"/>
    </row>
    <row r="15279" ht="14.25" customHeight="1">
      <c r="A15279" s="740"/>
    </row>
    <row r="15280" ht="14.25" customHeight="1">
      <c r="A15280" s="740"/>
    </row>
    <row r="15281" ht="14.25" customHeight="1">
      <c r="A15281" s="740"/>
    </row>
    <row r="15282" ht="14.25" customHeight="1">
      <c r="A15282" s="740"/>
    </row>
    <row r="15283" ht="14.25" customHeight="1">
      <c r="A15283" s="740"/>
    </row>
    <row r="15284" ht="14.25" customHeight="1">
      <c r="A15284" s="740"/>
    </row>
    <row r="15285" ht="14.25" customHeight="1">
      <c r="A15285" s="740"/>
    </row>
    <row r="15286" ht="14.25" customHeight="1">
      <c r="A15286" s="740"/>
    </row>
    <row r="15287" ht="14.25" customHeight="1">
      <c r="A15287" s="740"/>
    </row>
    <row r="15288" ht="14.25" customHeight="1">
      <c r="A15288" s="740"/>
    </row>
    <row r="15289" ht="14.25" customHeight="1">
      <c r="A15289" s="740"/>
    </row>
    <row r="15290" ht="14.25" customHeight="1">
      <c r="A15290" s="740"/>
    </row>
    <row r="15291" ht="14.25" customHeight="1">
      <c r="A15291" s="740"/>
    </row>
    <row r="15292" ht="14.25" customHeight="1">
      <c r="A15292" s="740"/>
    </row>
    <row r="15293" ht="14.25" customHeight="1">
      <c r="A15293" s="740"/>
    </row>
    <row r="15294" ht="14.25" customHeight="1">
      <c r="A15294" s="740"/>
    </row>
    <row r="15295" ht="14.25" customHeight="1">
      <c r="A15295" s="740"/>
    </row>
    <row r="15296" ht="14.25" customHeight="1">
      <c r="A15296" s="740"/>
    </row>
    <row r="15297" ht="14.25" customHeight="1">
      <c r="A15297" s="740"/>
    </row>
    <row r="15298" ht="14.25" customHeight="1">
      <c r="A15298" s="740"/>
    </row>
    <row r="15299" ht="14.25" customHeight="1">
      <c r="A15299" s="740"/>
    </row>
    <row r="15300" ht="14.25" customHeight="1">
      <c r="A15300" s="740"/>
    </row>
    <row r="15301" ht="14.25" customHeight="1">
      <c r="A15301" s="740"/>
    </row>
    <row r="15302" ht="14.25" customHeight="1">
      <c r="A15302" s="740"/>
    </row>
    <row r="15303" ht="14.25" customHeight="1">
      <c r="A15303" s="740"/>
    </row>
    <row r="15304" ht="14.25" customHeight="1">
      <c r="A15304" s="740"/>
    </row>
    <row r="15305" ht="14.25" customHeight="1">
      <c r="A15305" s="740"/>
    </row>
    <row r="15306" ht="14.25" customHeight="1">
      <c r="A15306" s="740"/>
    </row>
    <row r="15307" ht="14.25" customHeight="1">
      <c r="A15307" s="740"/>
    </row>
    <row r="15308" ht="14.25" customHeight="1">
      <c r="A15308" s="740"/>
    </row>
    <row r="15309" ht="14.25" customHeight="1">
      <c r="A15309" s="740"/>
    </row>
    <row r="15310" ht="14.25" customHeight="1">
      <c r="A15310" s="740"/>
    </row>
    <row r="15311" ht="14.25" customHeight="1">
      <c r="A15311" s="740"/>
    </row>
    <row r="15312" ht="14.25" customHeight="1">
      <c r="A15312" s="740"/>
    </row>
    <row r="15313" ht="14.25" customHeight="1">
      <c r="A15313" s="740"/>
    </row>
    <row r="15314" ht="14.25" customHeight="1">
      <c r="A15314" s="740"/>
    </row>
    <row r="15315" ht="14.25" customHeight="1">
      <c r="A15315" s="740"/>
    </row>
    <row r="15316" ht="14.25" customHeight="1">
      <c r="A15316" s="740"/>
    </row>
    <row r="15317" ht="14.25" customHeight="1">
      <c r="A15317" s="740"/>
    </row>
    <row r="15318" ht="14.25" customHeight="1">
      <c r="A15318" s="740"/>
    </row>
    <row r="15319" ht="14.25" customHeight="1">
      <c r="A15319" s="740"/>
    </row>
    <row r="15320" ht="14.25" customHeight="1">
      <c r="A15320" s="740"/>
    </row>
    <row r="15321" ht="14.25" customHeight="1">
      <c r="A15321" s="740"/>
    </row>
    <row r="15322" ht="14.25" customHeight="1">
      <c r="A15322" s="740"/>
    </row>
    <row r="15323" ht="14.25" customHeight="1">
      <c r="A15323" s="740"/>
    </row>
    <row r="15324" ht="14.25" customHeight="1">
      <c r="A15324" s="740"/>
    </row>
    <row r="15325" ht="14.25" customHeight="1">
      <c r="A15325" s="740"/>
    </row>
    <row r="15326" ht="14.25" customHeight="1">
      <c r="A15326" s="740"/>
    </row>
    <row r="15327" ht="14.25" customHeight="1">
      <c r="A15327" s="740"/>
    </row>
    <row r="15328" ht="14.25" customHeight="1">
      <c r="A15328" s="740"/>
    </row>
    <row r="15329" ht="14.25" customHeight="1">
      <c r="A15329" s="740"/>
    </row>
    <row r="15330" ht="14.25" customHeight="1">
      <c r="A15330" s="740"/>
    </row>
    <row r="15331" ht="14.25" customHeight="1">
      <c r="A15331" s="740"/>
    </row>
    <row r="15332" ht="14.25" customHeight="1">
      <c r="A15332" s="740"/>
    </row>
    <row r="15333" ht="14.25" customHeight="1">
      <c r="A15333" s="740"/>
    </row>
    <row r="15334" ht="14.25" customHeight="1">
      <c r="A15334" s="740"/>
    </row>
    <row r="15335" ht="14.25" customHeight="1">
      <c r="A15335" s="740"/>
    </row>
    <row r="15336" ht="14.25" customHeight="1">
      <c r="A15336" s="740"/>
    </row>
    <row r="15337" ht="14.25" customHeight="1">
      <c r="A15337" s="740"/>
    </row>
    <row r="15338" ht="14.25" customHeight="1">
      <c r="A15338" s="740"/>
    </row>
    <row r="15339" ht="14.25" customHeight="1">
      <c r="A15339" s="740"/>
    </row>
    <row r="15340" ht="14.25" customHeight="1">
      <c r="A15340" s="740"/>
    </row>
    <row r="15341" ht="14.25" customHeight="1">
      <c r="A15341" s="740"/>
    </row>
    <row r="15342" ht="14.25" customHeight="1">
      <c r="A15342" s="740"/>
    </row>
    <row r="15343" ht="14.25" customHeight="1">
      <c r="A15343" s="740"/>
    </row>
    <row r="15344" ht="14.25" customHeight="1">
      <c r="A15344" s="740"/>
    </row>
    <row r="15345" ht="14.25" customHeight="1">
      <c r="A15345" s="740"/>
    </row>
    <row r="15346" ht="14.25" customHeight="1">
      <c r="A15346" s="740"/>
    </row>
    <row r="15347" ht="14.25" customHeight="1">
      <c r="A15347" s="740"/>
    </row>
    <row r="15348" ht="14.25" customHeight="1">
      <c r="A15348" s="740"/>
    </row>
    <row r="15349" ht="14.25" customHeight="1">
      <c r="A15349" s="740"/>
    </row>
    <row r="15350" ht="14.25" customHeight="1">
      <c r="A15350" s="740"/>
    </row>
    <row r="15351" ht="14.25" customHeight="1">
      <c r="A15351" s="740"/>
    </row>
    <row r="15352" ht="14.25" customHeight="1">
      <c r="A15352" s="740"/>
    </row>
    <row r="15353" ht="14.25" customHeight="1">
      <c r="A15353" s="740"/>
    </row>
    <row r="15354" ht="14.25" customHeight="1">
      <c r="A15354" s="740"/>
    </row>
    <row r="15355" ht="14.25" customHeight="1">
      <c r="A15355" s="740"/>
    </row>
    <row r="15356" ht="14.25" customHeight="1">
      <c r="A15356" s="740"/>
    </row>
    <row r="15357" ht="14.25" customHeight="1">
      <c r="A15357" s="740"/>
    </row>
    <row r="15358" ht="14.25" customHeight="1">
      <c r="A15358" s="740"/>
    </row>
    <row r="15359" ht="14.25" customHeight="1">
      <c r="A15359" s="740"/>
    </row>
    <row r="15360" ht="14.25" customHeight="1">
      <c r="A15360" s="740"/>
    </row>
    <row r="15361" ht="14.25" customHeight="1">
      <c r="A15361" s="740"/>
    </row>
    <row r="15362" ht="14.25" customHeight="1">
      <c r="A15362" s="740"/>
    </row>
    <row r="15363" ht="14.25" customHeight="1">
      <c r="A15363" s="740"/>
    </row>
    <row r="15364" ht="14.25" customHeight="1">
      <c r="A15364" s="740"/>
    </row>
    <row r="15365" ht="14.25" customHeight="1">
      <c r="A15365" s="740"/>
    </row>
    <row r="15366" ht="14.25" customHeight="1">
      <c r="A15366" s="740"/>
    </row>
    <row r="15367" ht="14.25" customHeight="1">
      <c r="A15367" s="740"/>
    </row>
    <row r="15368" ht="14.25" customHeight="1">
      <c r="A15368" s="740"/>
    </row>
    <row r="15369" ht="14.25" customHeight="1">
      <c r="A15369" s="740"/>
    </row>
    <row r="15370" ht="14.25" customHeight="1">
      <c r="A15370" s="740"/>
    </row>
    <row r="15371" ht="14.25" customHeight="1">
      <c r="A15371" s="740"/>
    </row>
    <row r="15372" ht="14.25" customHeight="1">
      <c r="A15372" s="740"/>
    </row>
    <row r="15373" ht="14.25" customHeight="1">
      <c r="A15373" s="740"/>
    </row>
    <row r="15374" ht="14.25" customHeight="1">
      <c r="A15374" s="740"/>
    </row>
    <row r="15375" ht="14.25" customHeight="1">
      <c r="A15375" s="740"/>
    </row>
    <row r="15376" ht="14.25" customHeight="1">
      <c r="A15376" s="740"/>
    </row>
    <row r="15377" ht="14.25" customHeight="1">
      <c r="A15377" s="740"/>
    </row>
    <row r="15378" ht="14.25" customHeight="1">
      <c r="A15378" s="740"/>
    </row>
    <row r="15379" ht="14.25" customHeight="1">
      <c r="A15379" s="740"/>
    </row>
    <row r="15380" ht="14.25" customHeight="1">
      <c r="A15380" s="740"/>
    </row>
    <row r="15381" ht="14.25" customHeight="1">
      <c r="A15381" s="740"/>
    </row>
    <row r="15382" ht="14.25" customHeight="1">
      <c r="A15382" s="740"/>
    </row>
    <row r="15383" ht="14.25" customHeight="1">
      <c r="A15383" s="740"/>
    </row>
    <row r="15384" ht="14.25" customHeight="1">
      <c r="A15384" s="740"/>
    </row>
    <row r="15385" ht="14.25" customHeight="1">
      <c r="A15385" s="740"/>
    </row>
    <row r="15386" ht="14.25" customHeight="1">
      <c r="A15386" s="740"/>
    </row>
    <row r="15387" ht="14.25" customHeight="1">
      <c r="A15387" s="740"/>
    </row>
    <row r="15388" ht="14.25" customHeight="1">
      <c r="A15388" s="740"/>
    </row>
    <row r="15389" ht="14.25" customHeight="1">
      <c r="A15389" s="740"/>
    </row>
    <row r="15390" ht="14.25" customHeight="1">
      <c r="A15390" s="740"/>
    </row>
    <row r="15391" ht="14.25" customHeight="1">
      <c r="A15391" s="740"/>
    </row>
    <row r="15392" ht="14.25" customHeight="1">
      <c r="A15392" s="740"/>
    </row>
    <row r="15393" ht="14.25" customHeight="1">
      <c r="A15393" s="740"/>
    </row>
    <row r="15394" ht="14.25" customHeight="1">
      <c r="A15394" s="740"/>
    </row>
    <row r="15395" ht="14.25" customHeight="1">
      <c r="A15395" s="740"/>
    </row>
    <row r="15396" ht="14.25" customHeight="1">
      <c r="A15396" s="740"/>
    </row>
    <row r="15397" ht="14.25" customHeight="1">
      <c r="A15397" s="740"/>
    </row>
    <row r="15398" ht="14.25" customHeight="1">
      <c r="A15398" s="740"/>
    </row>
    <row r="15399" ht="14.25" customHeight="1">
      <c r="A15399" s="740"/>
    </row>
    <row r="15400" ht="14.25" customHeight="1">
      <c r="A15400" s="740"/>
    </row>
    <row r="15401" ht="14.25" customHeight="1">
      <c r="A15401" s="740"/>
    </row>
    <row r="15402" ht="14.25" customHeight="1">
      <c r="A15402" s="740"/>
    </row>
    <row r="15403" ht="14.25" customHeight="1">
      <c r="A15403" s="740"/>
    </row>
    <row r="15404" ht="14.25" customHeight="1">
      <c r="A15404" s="740"/>
    </row>
    <row r="15405" ht="14.25" customHeight="1">
      <c r="A15405" s="740"/>
    </row>
    <row r="15406" ht="14.25" customHeight="1">
      <c r="A15406" s="740"/>
    </row>
    <row r="15407" ht="14.25" customHeight="1">
      <c r="A15407" s="740"/>
    </row>
    <row r="15408" ht="14.25" customHeight="1">
      <c r="A15408" s="740"/>
    </row>
    <row r="15409" ht="14.25" customHeight="1">
      <c r="A15409" s="740"/>
    </row>
    <row r="15410" ht="14.25" customHeight="1">
      <c r="A15410" s="740"/>
    </row>
    <row r="15411" ht="14.25" customHeight="1">
      <c r="A15411" s="740"/>
    </row>
    <row r="15412" ht="14.25" customHeight="1">
      <c r="A15412" s="740"/>
    </row>
    <row r="15413" ht="14.25" customHeight="1">
      <c r="A15413" s="740"/>
    </row>
    <row r="15414" ht="14.25" customHeight="1">
      <c r="A15414" s="740"/>
    </row>
    <row r="15415" ht="14.25" customHeight="1">
      <c r="A15415" s="740"/>
    </row>
    <row r="15416" ht="14.25" customHeight="1">
      <c r="A15416" s="740"/>
    </row>
    <row r="15417" ht="14.25" customHeight="1">
      <c r="A15417" s="740"/>
    </row>
    <row r="15418" ht="14.25" customHeight="1">
      <c r="A15418" s="740"/>
    </row>
    <row r="15419" ht="14.25" customHeight="1">
      <c r="A15419" s="740"/>
    </row>
    <row r="15420" ht="14.25" customHeight="1">
      <c r="A15420" s="740"/>
    </row>
    <row r="15421" ht="14.25" customHeight="1">
      <c r="A15421" s="740"/>
    </row>
    <row r="15422" ht="14.25" customHeight="1">
      <c r="A15422" s="740"/>
    </row>
    <row r="15423" ht="14.25" customHeight="1">
      <c r="A15423" s="740"/>
    </row>
    <row r="15424" ht="14.25" customHeight="1">
      <c r="A15424" s="740"/>
    </row>
    <row r="15425" ht="14.25" customHeight="1">
      <c r="A15425" s="740"/>
    </row>
    <row r="15426" ht="14.25" customHeight="1">
      <c r="A15426" s="740"/>
    </row>
    <row r="15427" ht="14.25" customHeight="1">
      <c r="A15427" s="740"/>
    </row>
    <row r="15428" ht="14.25" customHeight="1">
      <c r="A15428" s="740"/>
    </row>
    <row r="15429" ht="14.25" customHeight="1">
      <c r="A15429" s="740"/>
    </row>
    <row r="15430" ht="14.25" customHeight="1">
      <c r="A15430" s="740"/>
    </row>
    <row r="15431" ht="14.25" customHeight="1">
      <c r="A15431" s="740"/>
    </row>
    <row r="15432" ht="14.25" customHeight="1">
      <c r="A15432" s="740"/>
    </row>
    <row r="15433" ht="14.25" customHeight="1">
      <c r="A15433" s="740"/>
    </row>
    <row r="15434" ht="14.25" customHeight="1">
      <c r="A15434" s="740"/>
    </row>
    <row r="15435" ht="14.25" customHeight="1">
      <c r="A15435" s="740"/>
    </row>
    <row r="15436" ht="14.25" customHeight="1">
      <c r="A15436" s="740"/>
    </row>
    <row r="15437" ht="14.25" customHeight="1">
      <c r="A15437" s="740"/>
    </row>
    <row r="15438" ht="14.25" customHeight="1">
      <c r="A15438" s="740"/>
    </row>
    <row r="15439" ht="14.25" customHeight="1">
      <c r="A15439" s="740"/>
    </row>
    <row r="15440" ht="14.25" customHeight="1">
      <c r="A15440" s="740"/>
    </row>
    <row r="15441" ht="14.25" customHeight="1">
      <c r="A15441" s="740"/>
    </row>
    <row r="15442" ht="14.25" customHeight="1">
      <c r="A15442" s="740"/>
    </row>
    <row r="15443" ht="14.25" customHeight="1">
      <c r="A15443" s="740"/>
    </row>
    <row r="15444" ht="14.25" customHeight="1">
      <c r="A15444" s="740"/>
    </row>
    <row r="15445" ht="14.25" customHeight="1">
      <c r="A15445" s="740"/>
    </row>
    <row r="15446" ht="14.25" customHeight="1">
      <c r="A15446" s="740"/>
    </row>
    <row r="15447" ht="14.25" customHeight="1">
      <c r="A15447" s="740"/>
    </row>
    <row r="15448" ht="14.25" customHeight="1">
      <c r="A15448" s="740"/>
    </row>
    <row r="15449" ht="14.25" customHeight="1">
      <c r="A15449" s="740"/>
    </row>
    <row r="15450" ht="14.25" customHeight="1">
      <c r="A15450" s="740"/>
    </row>
    <row r="15451" ht="14.25" customHeight="1">
      <c r="A15451" s="740"/>
    </row>
    <row r="15452" ht="14.25" customHeight="1">
      <c r="A15452" s="740"/>
    </row>
    <row r="15453" ht="14.25" customHeight="1">
      <c r="A15453" s="740"/>
    </row>
    <row r="15454" ht="14.25" customHeight="1">
      <c r="A15454" s="740"/>
    </row>
    <row r="15455" ht="14.25" customHeight="1">
      <c r="A15455" s="740"/>
    </row>
    <row r="15456" ht="14.25" customHeight="1">
      <c r="A15456" s="740"/>
    </row>
    <row r="15457" ht="14.25" customHeight="1">
      <c r="A15457" s="740"/>
    </row>
    <row r="15458" ht="14.25" customHeight="1">
      <c r="A15458" s="740"/>
    </row>
    <row r="15459" ht="14.25" customHeight="1">
      <c r="A15459" s="740"/>
    </row>
    <row r="15460" ht="14.25" customHeight="1">
      <c r="A15460" s="740"/>
    </row>
    <row r="15461" ht="14.25" customHeight="1">
      <c r="A15461" s="740"/>
    </row>
    <row r="15462" ht="14.25" customHeight="1">
      <c r="A15462" s="740"/>
    </row>
    <row r="15463" ht="14.25" customHeight="1">
      <c r="A15463" s="740"/>
    </row>
    <row r="15464" ht="14.25" customHeight="1">
      <c r="A15464" s="740"/>
    </row>
    <row r="15465" ht="14.25" customHeight="1">
      <c r="A15465" s="740"/>
    </row>
    <row r="15466" ht="14.25" customHeight="1">
      <c r="A15466" s="740"/>
    </row>
    <row r="15467" ht="14.25" customHeight="1">
      <c r="A15467" s="740"/>
    </row>
    <row r="15468" ht="14.25" customHeight="1">
      <c r="A15468" s="740"/>
    </row>
    <row r="15469" ht="14.25" customHeight="1">
      <c r="A15469" s="740"/>
    </row>
    <row r="15470" ht="14.25" customHeight="1">
      <c r="A15470" s="740"/>
    </row>
    <row r="15471" ht="14.25" customHeight="1">
      <c r="A15471" s="740"/>
    </row>
    <row r="15472" ht="14.25" customHeight="1">
      <c r="A15472" s="740"/>
    </row>
    <row r="15473" ht="14.25" customHeight="1">
      <c r="A15473" s="740"/>
    </row>
    <row r="15474" ht="14.25" customHeight="1">
      <c r="A15474" s="740"/>
    </row>
    <row r="15475" ht="14.25" customHeight="1">
      <c r="A15475" s="740"/>
    </row>
    <row r="15476" ht="14.25" customHeight="1">
      <c r="A15476" s="740"/>
    </row>
    <row r="15477" ht="14.25" customHeight="1">
      <c r="A15477" s="740"/>
    </row>
    <row r="15478" ht="14.25" customHeight="1">
      <c r="A15478" s="740"/>
    </row>
    <row r="15479" ht="14.25" customHeight="1">
      <c r="A15479" s="740"/>
    </row>
    <row r="15480" ht="14.25" customHeight="1">
      <c r="A15480" s="740"/>
    </row>
    <row r="15481" ht="14.25" customHeight="1">
      <c r="A15481" s="740"/>
    </row>
    <row r="15482" ht="14.25" customHeight="1">
      <c r="A15482" s="740"/>
    </row>
    <row r="15483" ht="14.25" customHeight="1">
      <c r="A15483" s="740"/>
    </row>
    <row r="15484" ht="14.25" customHeight="1">
      <c r="A15484" s="740"/>
    </row>
    <row r="15485" ht="14.25" customHeight="1">
      <c r="A15485" s="740"/>
    </row>
    <row r="15486" ht="14.25" customHeight="1">
      <c r="A15486" s="740"/>
    </row>
    <row r="15487" ht="14.25" customHeight="1">
      <c r="A15487" s="740"/>
    </row>
    <row r="15488" ht="14.25" customHeight="1">
      <c r="A15488" s="740"/>
    </row>
    <row r="15489" ht="14.25" customHeight="1">
      <c r="A15489" s="740"/>
    </row>
    <row r="15490" ht="14.25" customHeight="1">
      <c r="A15490" s="740"/>
    </row>
    <row r="15491" ht="14.25" customHeight="1">
      <c r="A15491" s="740"/>
    </row>
    <row r="15492" ht="14.25" customHeight="1">
      <c r="A15492" s="740"/>
    </row>
    <row r="15493" ht="14.25" customHeight="1">
      <c r="A15493" s="740"/>
    </row>
    <row r="15494" ht="14.25" customHeight="1">
      <c r="A15494" s="740"/>
    </row>
    <row r="15495" ht="14.25" customHeight="1">
      <c r="A15495" s="740"/>
    </row>
    <row r="15496" ht="14.25" customHeight="1">
      <c r="A15496" s="740"/>
    </row>
    <row r="15497" ht="14.25" customHeight="1">
      <c r="A15497" s="740"/>
    </row>
    <row r="15498" ht="14.25" customHeight="1">
      <c r="A15498" s="740"/>
    </row>
    <row r="15499" ht="14.25" customHeight="1">
      <c r="A15499" s="740"/>
    </row>
    <row r="15500" ht="14.25" customHeight="1">
      <c r="A15500" s="740"/>
    </row>
    <row r="15501" ht="14.25" customHeight="1">
      <c r="A15501" s="740"/>
    </row>
    <row r="15502" ht="14.25" customHeight="1">
      <c r="A15502" s="740"/>
    </row>
    <row r="15503" ht="14.25" customHeight="1">
      <c r="A15503" s="740"/>
    </row>
    <row r="15504" ht="14.25" customHeight="1">
      <c r="A15504" s="740"/>
    </row>
    <row r="15505" ht="14.25" customHeight="1">
      <c r="A15505" s="740"/>
    </row>
    <row r="15506" ht="14.25" customHeight="1">
      <c r="A15506" s="740"/>
    </row>
    <row r="15507" ht="14.25" customHeight="1">
      <c r="A15507" s="740"/>
    </row>
    <row r="15508" ht="14.25" customHeight="1">
      <c r="A15508" s="740"/>
    </row>
    <row r="15509" ht="14.25" customHeight="1">
      <c r="A15509" s="740"/>
    </row>
    <row r="15510" ht="14.25" customHeight="1">
      <c r="A15510" s="740"/>
    </row>
    <row r="15511" ht="14.25" customHeight="1">
      <c r="A15511" s="740"/>
    </row>
    <row r="15512" ht="14.25" customHeight="1">
      <c r="A15512" s="740"/>
    </row>
    <row r="15513" ht="14.25" customHeight="1">
      <c r="A15513" s="740"/>
    </row>
    <row r="15514" ht="14.25" customHeight="1">
      <c r="A15514" s="740"/>
    </row>
    <row r="15515" ht="14.25" customHeight="1">
      <c r="A15515" s="740"/>
    </row>
    <row r="15516" ht="14.25" customHeight="1">
      <c r="A15516" s="740"/>
    </row>
    <row r="15517" ht="14.25" customHeight="1">
      <c r="A15517" s="740"/>
    </row>
    <row r="15518" ht="14.25" customHeight="1">
      <c r="A15518" s="740"/>
    </row>
    <row r="15519" ht="14.25" customHeight="1">
      <c r="A15519" s="740"/>
    </row>
    <row r="15520" ht="14.25" customHeight="1">
      <c r="A15520" s="740"/>
    </row>
    <row r="15521" ht="14.25" customHeight="1">
      <c r="A15521" s="740"/>
    </row>
    <row r="15522" ht="14.25" customHeight="1">
      <c r="A15522" s="740"/>
    </row>
    <row r="15523" ht="14.25" customHeight="1">
      <c r="A15523" s="740"/>
    </row>
    <row r="15524" ht="14.25" customHeight="1">
      <c r="A15524" s="740"/>
    </row>
    <row r="15525" ht="14.25" customHeight="1">
      <c r="A15525" s="740"/>
    </row>
    <row r="15526" ht="14.25" customHeight="1">
      <c r="A15526" s="740"/>
    </row>
    <row r="15527" ht="14.25" customHeight="1">
      <c r="A15527" s="740"/>
    </row>
    <row r="15528" ht="14.25" customHeight="1">
      <c r="A15528" s="740"/>
    </row>
    <row r="15529" ht="14.25" customHeight="1">
      <c r="A15529" s="740"/>
    </row>
    <row r="15530" ht="14.25" customHeight="1">
      <c r="A15530" s="740"/>
    </row>
    <row r="15531" ht="14.25" customHeight="1">
      <c r="A15531" s="740"/>
    </row>
    <row r="15532" ht="14.25" customHeight="1">
      <c r="A15532" s="740"/>
    </row>
    <row r="15533" ht="14.25" customHeight="1">
      <c r="A15533" s="740"/>
    </row>
    <row r="15534" ht="14.25" customHeight="1">
      <c r="A15534" s="740"/>
    </row>
    <row r="15535" ht="14.25" customHeight="1">
      <c r="A15535" s="740"/>
    </row>
    <row r="15536" ht="14.25" customHeight="1">
      <c r="A15536" s="740"/>
    </row>
    <row r="15537" ht="14.25" customHeight="1">
      <c r="A15537" s="740"/>
    </row>
    <row r="15538" ht="14.25" customHeight="1">
      <c r="A15538" s="740"/>
    </row>
    <row r="15539" ht="14.25" customHeight="1">
      <c r="A15539" s="740"/>
    </row>
    <row r="15540" ht="14.25" customHeight="1">
      <c r="A15540" s="740"/>
    </row>
    <row r="15541" ht="14.25" customHeight="1">
      <c r="A15541" s="740"/>
    </row>
    <row r="15542" ht="14.25" customHeight="1">
      <c r="A15542" s="740"/>
    </row>
    <row r="15543" ht="14.25" customHeight="1">
      <c r="A15543" s="740"/>
    </row>
    <row r="15544" ht="14.25" customHeight="1">
      <c r="A15544" s="740"/>
    </row>
    <row r="15545" ht="14.25" customHeight="1">
      <c r="A15545" s="740"/>
    </row>
    <row r="15546" ht="14.25" customHeight="1">
      <c r="A15546" s="740"/>
    </row>
    <row r="15547" ht="14.25" customHeight="1">
      <c r="A15547" s="740"/>
    </row>
    <row r="15548" ht="14.25" customHeight="1">
      <c r="A15548" s="740"/>
    </row>
    <row r="15549" ht="14.25" customHeight="1">
      <c r="A15549" s="740"/>
    </row>
    <row r="15550" ht="14.25" customHeight="1">
      <c r="A15550" s="740"/>
    </row>
    <row r="15551" ht="14.25" customHeight="1">
      <c r="A15551" s="740"/>
    </row>
    <row r="15552" ht="14.25" customHeight="1">
      <c r="A15552" s="740"/>
    </row>
    <row r="15553" ht="14.25" customHeight="1">
      <c r="A15553" s="740"/>
    </row>
    <row r="15554" ht="14.25" customHeight="1">
      <c r="A15554" s="740"/>
    </row>
    <row r="15555" ht="14.25" customHeight="1">
      <c r="A15555" s="740"/>
    </row>
    <row r="15556" ht="14.25" customHeight="1">
      <c r="A15556" s="740"/>
    </row>
    <row r="15557" ht="14.25" customHeight="1">
      <c r="A15557" s="740"/>
    </row>
    <row r="15558" ht="14.25" customHeight="1">
      <c r="A15558" s="740"/>
    </row>
    <row r="15559" ht="14.25" customHeight="1">
      <c r="A15559" s="740"/>
    </row>
    <row r="15560" ht="14.25" customHeight="1">
      <c r="A15560" s="740"/>
    </row>
    <row r="15561" ht="14.25" customHeight="1">
      <c r="A15561" s="740"/>
    </row>
    <row r="15562" ht="14.25" customHeight="1">
      <c r="A15562" s="740"/>
    </row>
    <row r="15563" ht="14.25" customHeight="1">
      <c r="A15563" s="740"/>
    </row>
    <row r="15564" ht="14.25" customHeight="1">
      <c r="A15564" s="740"/>
    </row>
    <row r="15565" ht="14.25" customHeight="1">
      <c r="A15565" s="740"/>
    </row>
    <row r="15566" ht="14.25" customHeight="1">
      <c r="A15566" s="740"/>
    </row>
    <row r="15567" ht="14.25" customHeight="1">
      <c r="A15567" s="740"/>
    </row>
    <row r="15568" ht="14.25" customHeight="1">
      <c r="A15568" s="740"/>
    </row>
    <row r="15569" ht="14.25" customHeight="1">
      <c r="A15569" s="740"/>
    </row>
    <row r="15570" ht="14.25" customHeight="1">
      <c r="A15570" s="740"/>
    </row>
    <row r="15571" ht="14.25" customHeight="1">
      <c r="A15571" s="740"/>
    </row>
    <row r="15572" ht="14.25" customHeight="1">
      <c r="A15572" s="740"/>
    </row>
    <row r="15573" ht="14.25" customHeight="1">
      <c r="A15573" s="740"/>
    </row>
    <row r="15574" ht="14.25" customHeight="1">
      <c r="A15574" s="740"/>
    </row>
    <row r="15575" ht="14.25" customHeight="1">
      <c r="A15575" s="740"/>
    </row>
    <row r="15576" ht="14.25" customHeight="1">
      <c r="A15576" s="740"/>
    </row>
    <row r="15577" ht="14.25" customHeight="1">
      <c r="A15577" s="740"/>
    </row>
    <row r="15578" ht="14.25" customHeight="1">
      <c r="A15578" s="740"/>
    </row>
    <row r="15579" ht="14.25" customHeight="1">
      <c r="A15579" s="740"/>
    </row>
    <row r="15580" ht="14.25" customHeight="1">
      <c r="A15580" s="740"/>
    </row>
    <row r="15581" ht="14.25" customHeight="1">
      <c r="A15581" s="740"/>
    </row>
    <row r="15582" ht="14.25" customHeight="1">
      <c r="A15582" s="740"/>
    </row>
    <row r="15583" ht="14.25" customHeight="1">
      <c r="A15583" s="740"/>
    </row>
    <row r="15584" ht="14.25" customHeight="1">
      <c r="A15584" s="740"/>
    </row>
    <row r="15585" ht="14.25" customHeight="1">
      <c r="A15585" s="740"/>
    </row>
    <row r="15586" ht="14.25" customHeight="1">
      <c r="A15586" s="740"/>
    </row>
    <row r="15587" ht="14.25" customHeight="1">
      <c r="A15587" s="740"/>
    </row>
    <row r="15588" ht="14.25" customHeight="1">
      <c r="A15588" s="740"/>
    </row>
    <row r="15589" ht="14.25" customHeight="1">
      <c r="A15589" s="740"/>
    </row>
    <row r="15590" ht="14.25" customHeight="1">
      <c r="A15590" s="740"/>
    </row>
    <row r="15591" ht="14.25" customHeight="1">
      <c r="A15591" s="740"/>
    </row>
    <row r="15592" ht="14.25" customHeight="1">
      <c r="A15592" s="740"/>
    </row>
    <row r="15593" ht="14.25" customHeight="1">
      <c r="A15593" s="740"/>
    </row>
    <row r="15594" ht="14.25" customHeight="1">
      <c r="A15594" s="740"/>
    </row>
    <row r="15595" ht="14.25" customHeight="1">
      <c r="A15595" s="740"/>
    </row>
    <row r="15596" ht="14.25" customHeight="1">
      <c r="A15596" s="740"/>
    </row>
    <row r="15597" ht="14.25" customHeight="1">
      <c r="A15597" s="740"/>
    </row>
    <row r="15598" ht="14.25" customHeight="1">
      <c r="A15598" s="740"/>
    </row>
    <row r="15599" ht="14.25" customHeight="1">
      <c r="A15599" s="740"/>
    </row>
    <row r="15600" ht="14.25" customHeight="1">
      <c r="A15600" s="740"/>
    </row>
    <row r="15601" ht="14.25" customHeight="1">
      <c r="A15601" s="740"/>
    </row>
    <row r="15602" ht="14.25" customHeight="1">
      <c r="A15602" s="740"/>
    </row>
    <row r="15603" ht="14.25" customHeight="1">
      <c r="A15603" s="740"/>
    </row>
    <row r="15604" ht="14.25" customHeight="1">
      <c r="A15604" s="740"/>
    </row>
    <row r="15605" ht="14.25" customHeight="1">
      <c r="A15605" s="740"/>
    </row>
    <row r="15606" ht="14.25" customHeight="1">
      <c r="A15606" s="740"/>
    </row>
    <row r="15607" ht="14.25" customHeight="1">
      <c r="A15607" s="740"/>
    </row>
    <row r="15608" ht="14.25" customHeight="1">
      <c r="A15608" s="740"/>
    </row>
    <row r="15609" ht="14.25" customHeight="1">
      <c r="A15609" s="740"/>
    </row>
    <row r="15610" ht="14.25" customHeight="1">
      <c r="A15610" s="740"/>
    </row>
    <row r="15611" ht="14.25" customHeight="1">
      <c r="A15611" s="740"/>
    </row>
    <row r="15612" ht="14.25" customHeight="1">
      <c r="A15612" s="740"/>
    </row>
    <row r="15613" ht="14.25" customHeight="1">
      <c r="A15613" s="740"/>
    </row>
    <row r="15614" ht="14.25" customHeight="1">
      <c r="A15614" s="740"/>
    </row>
    <row r="15615" ht="14.25" customHeight="1">
      <c r="A15615" s="740"/>
    </row>
    <row r="15616" ht="14.25" customHeight="1">
      <c r="A15616" s="740"/>
    </row>
    <row r="15617" ht="14.25" customHeight="1">
      <c r="A15617" s="740"/>
    </row>
    <row r="15618" ht="14.25" customHeight="1">
      <c r="A15618" s="740"/>
    </row>
    <row r="15619" ht="14.25" customHeight="1">
      <c r="A15619" s="740"/>
    </row>
    <row r="15620" ht="14.25" customHeight="1">
      <c r="A15620" s="740"/>
    </row>
    <row r="15621" ht="14.25" customHeight="1">
      <c r="A15621" s="740"/>
    </row>
    <row r="15622" ht="14.25" customHeight="1">
      <c r="A15622" s="740"/>
    </row>
    <row r="15623" ht="14.25" customHeight="1">
      <c r="A15623" s="740"/>
    </row>
    <row r="15624" ht="14.25" customHeight="1">
      <c r="A15624" s="740"/>
    </row>
    <row r="15625" ht="14.25" customHeight="1">
      <c r="A15625" s="740"/>
    </row>
    <row r="15626" ht="14.25" customHeight="1">
      <c r="A15626" s="740"/>
    </row>
    <row r="15627" ht="14.25" customHeight="1">
      <c r="A15627" s="740"/>
    </row>
    <row r="15628" ht="14.25" customHeight="1">
      <c r="A15628" s="740"/>
    </row>
    <row r="15629" ht="14.25" customHeight="1">
      <c r="A15629" s="740"/>
    </row>
    <row r="15630" ht="14.25" customHeight="1">
      <c r="A15630" s="740"/>
    </row>
    <row r="15631" ht="14.25" customHeight="1">
      <c r="A15631" s="740"/>
    </row>
    <row r="15632" ht="14.25" customHeight="1">
      <c r="A15632" s="740"/>
    </row>
    <row r="15633" ht="14.25" customHeight="1">
      <c r="A15633" s="740"/>
    </row>
    <row r="15634" ht="14.25" customHeight="1">
      <c r="A15634" s="740"/>
    </row>
    <row r="15635" ht="14.25" customHeight="1">
      <c r="A15635" s="740"/>
    </row>
    <row r="15636" ht="14.25" customHeight="1">
      <c r="A15636" s="740"/>
    </row>
    <row r="15637" ht="14.25" customHeight="1">
      <c r="A15637" s="740"/>
    </row>
    <row r="15638" ht="14.25" customHeight="1">
      <c r="A15638" s="740"/>
    </row>
    <row r="15639" ht="14.25" customHeight="1">
      <c r="A15639" s="740"/>
    </row>
    <row r="15640" ht="14.25" customHeight="1">
      <c r="A15640" s="740"/>
    </row>
    <row r="15641" ht="14.25" customHeight="1">
      <c r="A15641" s="740"/>
    </row>
    <row r="15642" ht="14.25" customHeight="1">
      <c r="A15642" s="740"/>
    </row>
    <row r="15643" ht="14.25" customHeight="1">
      <c r="A15643" s="740"/>
    </row>
    <row r="15644" ht="14.25" customHeight="1">
      <c r="A15644" s="740"/>
    </row>
    <row r="15645" ht="14.25" customHeight="1">
      <c r="A15645" s="740"/>
    </row>
    <row r="15646" ht="14.25" customHeight="1">
      <c r="A15646" s="740"/>
    </row>
    <row r="15647" ht="14.25" customHeight="1">
      <c r="A15647" s="740"/>
    </row>
    <row r="15648" ht="14.25" customHeight="1">
      <c r="A15648" s="740"/>
    </row>
    <row r="15649" ht="14.25" customHeight="1">
      <c r="A15649" s="740"/>
    </row>
    <row r="15650" ht="14.25" customHeight="1">
      <c r="A15650" s="740"/>
    </row>
    <row r="15651" ht="14.25" customHeight="1">
      <c r="A15651" s="740"/>
    </row>
    <row r="15652" ht="14.25" customHeight="1">
      <c r="A15652" s="740"/>
    </row>
    <row r="15653" ht="14.25" customHeight="1">
      <c r="A15653" s="740"/>
    </row>
    <row r="15654" ht="14.25" customHeight="1">
      <c r="A15654" s="740"/>
    </row>
    <row r="15655" ht="14.25" customHeight="1">
      <c r="A15655" s="740"/>
    </row>
    <row r="15656" ht="14.25" customHeight="1">
      <c r="A15656" s="740"/>
    </row>
    <row r="15657" ht="14.25" customHeight="1">
      <c r="A15657" s="740"/>
    </row>
    <row r="15658" ht="14.25" customHeight="1">
      <c r="A15658" s="740"/>
    </row>
    <row r="15659" ht="14.25" customHeight="1">
      <c r="A15659" s="740"/>
    </row>
    <row r="15660" ht="14.25" customHeight="1">
      <c r="A15660" s="740"/>
    </row>
    <row r="15661" ht="14.25" customHeight="1">
      <c r="A15661" s="740"/>
    </row>
    <row r="15662" ht="14.25" customHeight="1">
      <c r="A15662" s="740"/>
    </row>
    <row r="15663" ht="14.25" customHeight="1">
      <c r="A15663" s="740"/>
    </row>
    <row r="15664" ht="14.25" customHeight="1">
      <c r="A15664" s="740"/>
    </row>
    <row r="15665" ht="14.25" customHeight="1">
      <c r="A15665" s="740"/>
    </row>
    <row r="15666" ht="14.25" customHeight="1">
      <c r="A15666" s="740"/>
    </row>
    <row r="15667" ht="14.25" customHeight="1">
      <c r="A15667" s="740"/>
    </row>
    <row r="15668" ht="14.25" customHeight="1">
      <c r="A15668" s="740"/>
    </row>
    <row r="15669" ht="14.25" customHeight="1">
      <c r="A15669" s="740"/>
    </row>
    <row r="15670" ht="14.25" customHeight="1">
      <c r="A15670" s="740"/>
    </row>
    <row r="15671" ht="14.25" customHeight="1">
      <c r="A15671" s="740"/>
    </row>
    <row r="15672" ht="14.25" customHeight="1">
      <c r="A15672" s="740"/>
    </row>
    <row r="15673" ht="14.25" customHeight="1">
      <c r="A15673" s="740"/>
    </row>
    <row r="15674" ht="14.25" customHeight="1">
      <c r="A15674" s="740"/>
    </row>
    <row r="15675" ht="14.25" customHeight="1">
      <c r="A15675" s="740"/>
    </row>
    <row r="15676" ht="14.25" customHeight="1">
      <c r="A15676" s="740"/>
    </row>
    <row r="15677" ht="14.25" customHeight="1">
      <c r="A15677" s="740"/>
    </row>
    <row r="15678" ht="14.25" customHeight="1">
      <c r="A15678" s="740"/>
    </row>
    <row r="15679" ht="14.25" customHeight="1">
      <c r="A15679" s="740"/>
    </row>
    <row r="15680" ht="14.25" customHeight="1">
      <c r="A15680" s="740"/>
    </row>
    <row r="15681" ht="14.25" customHeight="1">
      <c r="A15681" s="740"/>
    </row>
    <row r="15682" ht="14.25" customHeight="1">
      <c r="A15682" s="740"/>
    </row>
    <row r="15683" ht="14.25" customHeight="1">
      <c r="A15683" s="740"/>
    </row>
    <row r="15684" ht="14.25" customHeight="1">
      <c r="A15684" s="740"/>
    </row>
    <row r="15685" ht="14.25" customHeight="1">
      <c r="A15685" s="740"/>
    </row>
    <row r="15686" ht="14.25" customHeight="1">
      <c r="A15686" s="740"/>
    </row>
    <row r="15687" ht="14.25" customHeight="1">
      <c r="A15687" s="740"/>
    </row>
    <row r="15688" ht="14.25" customHeight="1">
      <c r="A15688" s="740"/>
    </row>
    <row r="15689" ht="14.25" customHeight="1">
      <c r="A15689" s="740"/>
    </row>
    <row r="15690" ht="14.25" customHeight="1">
      <c r="A15690" s="740"/>
    </row>
    <row r="15691" ht="14.25" customHeight="1">
      <c r="A15691" s="740"/>
    </row>
    <row r="15692" ht="14.25" customHeight="1">
      <c r="A15692" s="740"/>
    </row>
    <row r="15693" ht="14.25" customHeight="1">
      <c r="A15693" s="740"/>
    </row>
    <row r="15694" ht="14.25" customHeight="1">
      <c r="A15694" s="740"/>
    </row>
    <row r="15695" ht="14.25" customHeight="1">
      <c r="A15695" s="740"/>
    </row>
    <row r="15696" ht="14.25" customHeight="1">
      <c r="A15696" s="740"/>
    </row>
    <row r="15697" ht="14.25" customHeight="1">
      <c r="A15697" s="740"/>
    </row>
    <row r="15698" ht="14.25" customHeight="1">
      <c r="A15698" s="740"/>
    </row>
    <row r="15699" ht="14.25" customHeight="1">
      <c r="A15699" s="740"/>
    </row>
    <row r="15700" ht="14.25" customHeight="1">
      <c r="A15700" s="740"/>
    </row>
    <row r="15701" ht="14.25" customHeight="1">
      <c r="A15701" s="740"/>
    </row>
    <row r="15702" ht="14.25" customHeight="1">
      <c r="A15702" s="740"/>
    </row>
    <row r="15703" ht="14.25" customHeight="1">
      <c r="A15703" s="740"/>
    </row>
    <row r="15704" ht="14.25" customHeight="1">
      <c r="A15704" s="740"/>
    </row>
    <row r="15705" ht="14.25" customHeight="1">
      <c r="A15705" s="740"/>
    </row>
    <row r="15706" ht="14.25" customHeight="1">
      <c r="A15706" s="740"/>
    </row>
    <row r="15707" ht="14.25" customHeight="1">
      <c r="A15707" s="740"/>
    </row>
    <row r="15708" ht="14.25" customHeight="1">
      <c r="A15708" s="740"/>
    </row>
    <row r="15709" ht="14.25" customHeight="1">
      <c r="A15709" s="740"/>
    </row>
    <row r="15710" ht="14.25" customHeight="1">
      <c r="A15710" s="740"/>
    </row>
    <row r="15711" ht="14.25" customHeight="1">
      <c r="A15711" s="740"/>
    </row>
    <row r="15712" ht="14.25" customHeight="1">
      <c r="A15712" s="740"/>
    </row>
    <row r="15713" ht="14.25" customHeight="1">
      <c r="A15713" s="740"/>
    </row>
    <row r="15714" ht="14.25" customHeight="1">
      <c r="A15714" s="740"/>
    </row>
    <row r="15715" ht="14.25" customHeight="1">
      <c r="A15715" s="740"/>
    </row>
    <row r="15716" ht="14.25" customHeight="1">
      <c r="A15716" s="740"/>
    </row>
    <row r="15717" ht="14.25" customHeight="1">
      <c r="A15717" s="740"/>
    </row>
    <row r="15718" ht="14.25" customHeight="1">
      <c r="A15718" s="740"/>
    </row>
    <row r="15719" ht="14.25" customHeight="1">
      <c r="A15719" s="740"/>
    </row>
    <row r="15720" ht="14.25" customHeight="1">
      <c r="A15720" s="740"/>
    </row>
    <row r="15721" ht="14.25" customHeight="1">
      <c r="A15721" s="740"/>
    </row>
    <row r="15722" ht="14.25" customHeight="1">
      <c r="A15722" s="740"/>
    </row>
    <row r="15723" ht="14.25" customHeight="1">
      <c r="A15723" s="740"/>
    </row>
    <row r="15724" ht="14.25" customHeight="1">
      <c r="A15724" s="740"/>
    </row>
    <row r="15725" ht="14.25" customHeight="1">
      <c r="A15725" s="740"/>
    </row>
    <row r="15726" ht="14.25" customHeight="1">
      <c r="A15726" s="740"/>
    </row>
    <row r="15727" ht="14.25" customHeight="1">
      <c r="A15727" s="740"/>
    </row>
    <row r="15728" ht="14.25" customHeight="1">
      <c r="A15728" s="740"/>
    </row>
    <row r="15729" ht="14.25" customHeight="1">
      <c r="A15729" s="740"/>
    </row>
    <row r="15730" ht="14.25" customHeight="1">
      <c r="A15730" s="740"/>
    </row>
    <row r="15731" ht="14.25" customHeight="1">
      <c r="A15731" s="740"/>
    </row>
    <row r="15732" ht="14.25" customHeight="1">
      <c r="A15732" s="740"/>
    </row>
    <row r="15733" ht="14.25" customHeight="1">
      <c r="A15733" s="740"/>
    </row>
    <row r="15734" ht="14.25" customHeight="1">
      <c r="A15734" s="740"/>
    </row>
    <row r="15735" ht="14.25" customHeight="1">
      <c r="A15735" s="740"/>
    </row>
    <row r="15736" ht="14.25" customHeight="1">
      <c r="A15736" s="740"/>
    </row>
    <row r="15737" ht="14.25" customHeight="1">
      <c r="A15737" s="740"/>
    </row>
    <row r="15738" ht="14.25" customHeight="1">
      <c r="A15738" s="740"/>
    </row>
    <row r="15739" ht="14.25" customHeight="1">
      <c r="A15739" s="740"/>
    </row>
    <row r="15740" ht="14.25" customHeight="1">
      <c r="A15740" s="740"/>
    </row>
    <row r="15741" ht="14.25" customHeight="1">
      <c r="A15741" s="740"/>
    </row>
    <row r="15742" ht="14.25" customHeight="1">
      <c r="A15742" s="740"/>
    </row>
    <row r="15743" ht="14.25" customHeight="1">
      <c r="A15743" s="740"/>
    </row>
    <row r="15744" ht="14.25" customHeight="1">
      <c r="A15744" s="740"/>
    </row>
    <row r="15745" ht="14.25" customHeight="1">
      <c r="A15745" s="740"/>
    </row>
    <row r="15746" ht="14.25" customHeight="1">
      <c r="A15746" s="740"/>
    </row>
    <row r="15747" ht="14.25" customHeight="1">
      <c r="A15747" s="740"/>
    </row>
    <row r="15748" ht="14.25" customHeight="1">
      <c r="A15748" s="740"/>
    </row>
    <row r="15749" ht="14.25" customHeight="1">
      <c r="A15749" s="740"/>
    </row>
    <row r="15750" ht="14.25" customHeight="1">
      <c r="A15750" s="740"/>
    </row>
    <row r="15751" ht="14.25" customHeight="1">
      <c r="A15751" s="740"/>
    </row>
    <row r="15752" ht="14.25" customHeight="1">
      <c r="A15752" s="740"/>
    </row>
    <row r="15753" ht="14.25" customHeight="1">
      <c r="A15753" s="740"/>
    </row>
    <row r="15754" ht="14.25" customHeight="1">
      <c r="A15754" s="740"/>
    </row>
    <row r="15755" ht="14.25" customHeight="1">
      <c r="A15755" s="740"/>
    </row>
    <row r="15756" ht="14.25" customHeight="1">
      <c r="A15756" s="740"/>
    </row>
    <row r="15757" ht="14.25" customHeight="1">
      <c r="A15757" s="740"/>
    </row>
    <row r="15758" ht="14.25" customHeight="1">
      <c r="A15758" s="740"/>
    </row>
    <row r="15759" ht="14.25" customHeight="1">
      <c r="A15759" s="740"/>
    </row>
    <row r="15760" ht="14.25" customHeight="1">
      <c r="A15760" s="740"/>
    </row>
    <row r="15761" ht="14.25" customHeight="1">
      <c r="A15761" s="740"/>
    </row>
    <row r="15762" ht="14.25" customHeight="1">
      <c r="A15762" s="740"/>
    </row>
    <row r="15763" ht="14.25" customHeight="1">
      <c r="A15763" s="740"/>
    </row>
    <row r="15764" ht="14.25" customHeight="1">
      <c r="A15764" s="740"/>
    </row>
    <row r="15765" ht="14.25" customHeight="1">
      <c r="A15765" s="740"/>
    </row>
    <row r="15766" ht="14.25" customHeight="1">
      <c r="A15766" s="740"/>
    </row>
    <row r="15767" ht="14.25" customHeight="1">
      <c r="A15767" s="740"/>
    </row>
    <row r="15768" ht="14.25" customHeight="1">
      <c r="A15768" s="740"/>
    </row>
    <row r="15769" ht="14.25" customHeight="1">
      <c r="A15769" s="740"/>
    </row>
    <row r="15770" ht="14.25" customHeight="1">
      <c r="A15770" s="740"/>
    </row>
    <row r="15771" ht="14.25" customHeight="1">
      <c r="A15771" s="740"/>
    </row>
    <row r="15772" ht="14.25" customHeight="1">
      <c r="A15772" s="740"/>
    </row>
    <row r="15773" ht="14.25" customHeight="1">
      <c r="A15773" s="740"/>
    </row>
    <row r="15774" ht="14.25" customHeight="1">
      <c r="A15774" s="740"/>
    </row>
    <row r="15775" ht="14.25" customHeight="1">
      <c r="A15775" s="740"/>
    </row>
    <row r="15776" ht="14.25" customHeight="1">
      <c r="A15776" s="740"/>
    </row>
    <row r="15777" ht="14.25" customHeight="1">
      <c r="A15777" s="740"/>
    </row>
    <row r="15778" ht="14.25" customHeight="1">
      <c r="A15778" s="740"/>
    </row>
    <row r="15779" ht="14.25" customHeight="1">
      <c r="A15779" s="740"/>
    </row>
    <row r="15780" ht="14.25" customHeight="1">
      <c r="A15780" s="740"/>
    </row>
    <row r="15781" ht="14.25" customHeight="1">
      <c r="A15781" s="740"/>
    </row>
    <row r="15782" ht="14.25" customHeight="1">
      <c r="A15782" s="740"/>
    </row>
    <row r="15783" ht="14.25" customHeight="1">
      <c r="A15783" s="740"/>
    </row>
    <row r="15784" ht="14.25" customHeight="1">
      <c r="A15784" s="740"/>
    </row>
    <row r="15785" ht="14.25" customHeight="1">
      <c r="A15785" s="740"/>
    </row>
    <row r="15786" ht="14.25" customHeight="1">
      <c r="A15786" s="740"/>
    </row>
    <row r="15787" ht="14.25" customHeight="1">
      <c r="A15787" s="740"/>
    </row>
    <row r="15788" ht="14.25" customHeight="1">
      <c r="A15788" s="740"/>
    </row>
    <row r="15789" ht="14.25" customHeight="1">
      <c r="A15789" s="740"/>
    </row>
    <row r="15790" ht="14.25" customHeight="1">
      <c r="A15790" s="740"/>
    </row>
    <row r="15791" ht="14.25" customHeight="1">
      <c r="A15791" s="740"/>
    </row>
    <row r="15792" ht="14.25" customHeight="1">
      <c r="A15792" s="740"/>
    </row>
    <row r="15793" ht="14.25" customHeight="1">
      <c r="A15793" s="740"/>
    </row>
    <row r="15794" ht="14.25" customHeight="1">
      <c r="A15794" s="740"/>
    </row>
    <row r="15795" ht="14.25" customHeight="1">
      <c r="A15795" s="740"/>
    </row>
    <row r="15796" ht="14.25" customHeight="1">
      <c r="A15796" s="740"/>
    </row>
    <row r="15797" ht="14.25" customHeight="1">
      <c r="A15797" s="740"/>
    </row>
    <row r="15798" ht="14.25" customHeight="1">
      <c r="A15798" s="740"/>
    </row>
    <row r="15799" ht="14.25" customHeight="1">
      <c r="A15799" s="740"/>
    </row>
    <row r="15800" ht="14.25" customHeight="1">
      <c r="A15800" s="740"/>
    </row>
    <row r="15801" ht="14.25" customHeight="1">
      <c r="A15801" s="740"/>
    </row>
    <row r="15802" ht="14.25" customHeight="1">
      <c r="A15802" s="740"/>
    </row>
    <row r="15803" ht="14.25" customHeight="1">
      <c r="A15803" s="740"/>
    </row>
    <row r="15804" ht="14.25" customHeight="1">
      <c r="A15804" s="740"/>
    </row>
    <row r="15805" ht="14.25" customHeight="1">
      <c r="A15805" s="740"/>
    </row>
    <row r="15806" ht="14.25" customHeight="1">
      <c r="A15806" s="740"/>
    </row>
    <row r="15807" ht="14.25" customHeight="1">
      <c r="A15807" s="740"/>
    </row>
    <row r="15808" ht="14.25" customHeight="1">
      <c r="A15808" s="740"/>
    </row>
    <row r="15809" ht="14.25" customHeight="1">
      <c r="A15809" s="740"/>
    </row>
    <row r="15810" ht="14.25" customHeight="1">
      <c r="A15810" s="740"/>
    </row>
    <row r="15811" ht="14.25" customHeight="1">
      <c r="A15811" s="740"/>
    </row>
    <row r="15812" ht="14.25" customHeight="1">
      <c r="A15812" s="740"/>
    </row>
    <row r="15813" ht="14.25" customHeight="1">
      <c r="A15813" s="740"/>
    </row>
    <row r="15814" ht="14.25" customHeight="1">
      <c r="A15814" s="740"/>
    </row>
    <row r="15815" ht="14.25" customHeight="1">
      <c r="A15815" s="740"/>
    </row>
    <row r="15816" ht="14.25" customHeight="1">
      <c r="A15816" s="740"/>
    </row>
    <row r="15817" ht="14.25" customHeight="1">
      <c r="A15817" s="740"/>
    </row>
    <row r="15818" ht="14.25" customHeight="1">
      <c r="A15818" s="740"/>
    </row>
    <row r="15819" ht="14.25" customHeight="1">
      <c r="A15819" s="740"/>
    </row>
    <row r="15820" ht="14.25" customHeight="1">
      <c r="A15820" s="740"/>
    </row>
    <row r="15821" ht="14.25" customHeight="1">
      <c r="A15821" s="740"/>
    </row>
    <row r="15822" ht="14.25" customHeight="1">
      <c r="A15822" s="740"/>
    </row>
    <row r="15823" ht="14.25" customHeight="1">
      <c r="A15823" s="740"/>
    </row>
    <row r="15824" ht="14.25" customHeight="1">
      <c r="A15824" s="740"/>
    </row>
    <row r="15825" ht="14.25" customHeight="1">
      <c r="A15825" s="740"/>
    </row>
    <row r="15826" ht="14.25" customHeight="1">
      <c r="A15826" s="740"/>
    </row>
    <row r="15827" ht="14.25" customHeight="1">
      <c r="A15827" s="740"/>
    </row>
    <row r="15828" ht="14.25" customHeight="1">
      <c r="A15828" s="740"/>
    </row>
    <row r="15829" ht="14.25" customHeight="1">
      <c r="A15829" s="740"/>
    </row>
    <row r="15830" ht="14.25" customHeight="1">
      <c r="A15830" s="740"/>
    </row>
    <row r="15831" ht="14.25" customHeight="1">
      <c r="A15831" s="740"/>
    </row>
    <row r="15832" ht="14.25" customHeight="1">
      <c r="A15832" s="740"/>
    </row>
    <row r="15833" ht="14.25" customHeight="1">
      <c r="A15833" s="740"/>
    </row>
    <row r="15834" ht="14.25" customHeight="1">
      <c r="A15834" s="740"/>
    </row>
    <row r="15835" ht="14.25" customHeight="1">
      <c r="A15835" s="740"/>
    </row>
    <row r="15836" ht="14.25" customHeight="1">
      <c r="A15836" s="740"/>
    </row>
    <row r="15837" ht="14.25" customHeight="1">
      <c r="A15837" s="740"/>
    </row>
    <row r="15838" ht="14.25" customHeight="1">
      <c r="A15838" s="740"/>
    </row>
    <row r="15839" ht="14.25" customHeight="1">
      <c r="A15839" s="740"/>
    </row>
    <row r="15840" ht="14.25" customHeight="1">
      <c r="A15840" s="740"/>
    </row>
    <row r="15841" ht="14.25" customHeight="1">
      <c r="A15841" s="740"/>
    </row>
    <row r="15842" ht="14.25" customHeight="1">
      <c r="A15842" s="740"/>
    </row>
    <row r="15843" ht="14.25" customHeight="1">
      <c r="A15843" s="740"/>
    </row>
    <row r="15844" ht="14.25" customHeight="1">
      <c r="A15844" s="740"/>
    </row>
    <row r="15845" ht="14.25" customHeight="1">
      <c r="A15845" s="740"/>
    </row>
    <row r="15846" ht="14.25" customHeight="1">
      <c r="A15846" s="740"/>
    </row>
    <row r="15847" ht="14.25" customHeight="1">
      <c r="A15847" s="740"/>
    </row>
    <row r="15848" ht="14.25" customHeight="1">
      <c r="A15848" s="740"/>
    </row>
    <row r="15849" ht="14.25" customHeight="1">
      <c r="A15849" s="740"/>
    </row>
    <row r="15850" ht="14.25" customHeight="1">
      <c r="A15850" s="740"/>
    </row>
    <row r="15851" ht="14.25" customHeight="1">
      <c r="A15851" s="740"/>
    </row>
    <row r="15852" ht="14.25" customHeight="1">
      <c r="A15852" s="740"/>
    </row>
    <row r="15853" ht="14.25" customHeight="1">
      <c r="A15853" s="740"/>
    </row>
    <row r="15854" ht="14.25" customHeight="1">
      <c r="A15854" s="740"/>
    </row>
    <row r="15855" ht="14.25" customHeight="1">
      <c r="A15855" s="740"/>
    </row>
    <row r="15856" ht="14.25" customHeight="1">
      <c r="A15856" s="740"/>
    </row>
    <row r="15857" ht="14.25" customHeight="1">
      <c r="A15857" s="740"/>
    </row>
    <row r="15858" ht="14.25" customHeight="1">
      <c r="A15858" s="740"/>
    </row>
    <row r="15859" ht="14.25" customHeight="1">
      <c r="A15859" s="740"/>
    </row>
    <row r="15860" ht="14.25" customHeight="1">
      <c r="A15860" s="740"/>
    </row>
    <row r="15861" ht="14.25" customHeight="1">
      <c r="A15861" s="740"/>
    </row>
    <row r="15862" ht="14.25" customHeight="1">
      <c r="A15862" s="740"/>
    </row>
    <row r="15863" ht="14.25" customHeight="1">
      <c r="A15863" s="740"/>
    </row>
    <row r="15864" ht="14.25" customHeight="1">
      <c r="A15864" s="740"/>
    </row>
    <row r="15865" ht="14.25" customHeight="1">
      <c r="A15865" s="740"/>
    </row>
    <row r="15866" ht="14.25" customHeight="1">
      <c r="A15866" s="740"/>
    </row>
    <row r="15867" ht="14.25" customHeight="1">
      <c r="A15867" s="740"/>
    </row>
    <row r="15868" ht="14.25" customHeight="1">
      <c r="A15868" s="740"/>
    </row>
    <row r="15869" ht="14.25" customHeight="1">
      <c r="A15869" s="740"/>
    </row>
    <row r="15870" ht="14.25" customHeight="1">
      <c r="A15870" s="740"/>
    </row>
    <row r="15871" ht="14.25" customHeight="1">
      <c r="A15871" s="740"/>
    </row>
    <row r="15872" ht="14.25" customHeight="1">
      <c r="A15872" s="740"/>
    </row>
    <row r="15873" ht="14.25" customHeight="1">
      <c r="A15873" s="740"/>
    </row>
    <row r="15874" ht="14.25" customHeight="1">
      <c r="A15874" s="740"/>
    </row>
    <row r="15875" ht="14.25" customHeight="1">
      <c r="A15875" s="740"/>
    </row>
    <row r="15876" ht="14.25" customHeight="1">
      <c r="A15876" s="740"/>
    </row>
    <row r="15877" ht="14.25" customHeight="1">
      <c r="A15877" s="740"/>
    </row>
    <row r="15878" ht="14.25" customHeight="1">
      <c r="A15878" s="740"/>
    </row>
    <row r="15879" ht="14.25" customHeight="1">
      <c r="A15879" s="740"/>
    </row>
    <row r="15880" ht="14.25" customHeight="1">
      <c r="A15880" s="740"/>
    </row>
    <row r="15881" ht="14.25" customHeight="1">
      <c r="A15881" s="740"/>
    </row>
    <row r="15882" ht="14.25" customHeight="1">
      <c r="A15882" s="740"/>
    </row>
    <row r="15883" ht="14.25" customHeight="1">
      <c r="A15883" s="740"/>
    </row>
    <row r="15884" ht="14.25" customHeight="1">
      <c r="A15884" s="740"/>
    </row>
    <row r="15885" ht="14.25" customHeight="1">
      <c r="A15885" s="740"/>
    </row>
    <row r="15886" ht="14.25" customHeight="1">
      <c r="A15886" s="740"/>
    </row>
    <row r="15887" ht="14.25" customHeight="1">
      <c r="A15887" s="740"/>
    </row>
    <row r="15888" ht="14.25" customHeight="1">
      <c r="A15888" s="740"/>
    </row>
    <row r="15889" ht="14.25" customHeight="1">
      <c r="A15889" s="740"/>
    </row>
    <row r="15890" ht="14.25" customHeight="1">
      <c r="A15890" s="740"/>
    </row>
    <row r="15891" ht="14.25" customHeight="1">
      <c r="A15891" s="740"/>
    </row>
    <row r="15892" ht="14.25" customHeight="1">
      <c r="A15892" s="740"/>
    </row>
    <row r="15893" ht="14.25" customHeight="1">
      <c r="A15893" s="740"/>
    </row>
    <row r="15894" ht="14.25" customHeight="1">
      <c r="A15894" s="740"/>
    </row>
    <row r="15895" ht="14.25" customHeight="1">
      <c r="A15895" s="740"/>
    </row>
    <row r="15896" ht="14.25" customHeight="1">
      <c r="A15896" s="740"/>
    </row>
    <row r="15897" ht="14.25" customHeight="1">
      <c r="A15897" s="740"/>
    </row>
    <row r="15898" ht="14.25" customHeight="1">
      <c r="A15898" s="740"/>
    </row>
    <row r="15899" ht="14.25" customHeight="1">
      <c r="A15899" s="740"/>
    </row>
    <row r="15900" ht="14.25" customHeight="1">
      <c r="A15900" s="740"/>
    </row>
    <row r="15901" ht="14.25" customHeight="1">
      <c r="A15901" s="740"/>
    </row>
    <row r="15902" ht="14.25" customHeight="1">
      <c r="A15902" s="740"/>
    </row>
    <row r="15903" ht="14.25" customHeight="1">
      <c r="A15903" s="740"/>
    </row>
    <row r="15904" ht="14.25" customHeight="1">
      <c r="A15904" s="740"/>
    </row>
    <row r="15905" ht="14.25" customHeight="1">
      <c r="A15905" s="740"/>
    </row>
    <row r="15906" ht="14.25" customHeight="1">
      <c r="A15906" s="740"/>
    </row>
    <row r="15907" ht="14.25" customHeight="1">
      <c r="A15907" s="740"/>
    </row>
    <row r="15908" ht="14.25" customHeight="1">
      <c r="A15908" s="740"/>
    </row>
    <row r="15909" ht="14.25" customHeight="1">
      <c r="A15909" s="740"/>
    </row>
    <row r="15910" ht="14.25" customHeight="1">
      <c r="A15910" s="740"/>
    </row>
    <row r="15911" ht="14.25" customHeight="1">
      <c r="A15911" s="740"/>
    </row>
    <row r="15912" ht="14.25" customHeight="1">
      <c r="A15912" s="740"/>
    </row>
    <row r="15913" ht="14.25" customHeight="1">
      <c r="A15913" s="740"/>
    </row>
    <row r="15914" ht="14.25" customHeight="1">
      <c r="A15914" s="740"/>
    </row>
    <row r="15915" ht="14.25" customHeight="1">
      <c r="A15915" s="740"/>
    </row>
    <row r="15916" ht="14.25" customHeight="1">
      <c r="A15916" s="740"/>
    </row>
    <row r="15917" ht="14.25" customHeight="1">
      <c r="A15917" s="740"/>
    </row>
    <row r="15918" ht="14.25" customHeight="1">
      <c r="A15918" s="740"/>
    </row>
    <row r="15919" ht="14.25" customHeight="1">
      <c r="A15919" s="740"/>
    </row>
    <row r="15920" ht="14.25" customHeight="1">
      <c r="A15920" s="740"/>
    </row>
    <row r="15921" ht="14.25" customHeight="1">
      <c r="A15921" s="740"/>
    </row>
    <row r="15922" ht="14.25" customHeight="1">
      <c r="A15922" s="740"/>
    </row>
    <row r="15923" ht="14.25" customHeight="1">
      <c r="A15923" s="740"/>
    </row>
    <row r="15924" ht="14.25" customHeight="1">
      <c r="A15924" s="740"/>
    </row>
    <row r="15925" ht="14.25" customHeight="1">
      <c r="A15925" s="740"/>
    </row>
    <row r="15926" ht="14.25" customHeight="1">
      <c r="A15926" s="740"/>
    </row>
    <row r="15927" ht="14.25" customHeight="1">
      <c r="A15927" s="740"/>
    </row>
    <row r="15928" ht="14.25" customHeight="1">
      <c r="A15928" s="740"/>
    </row>
    <row r="15929" ht="14.25" customHeight="1">
      <c r="A15929" s="740"/>
    </row>
    <row r="15930" ht="14.25" customHeight="1">
      <c r="A15930" s="740"/>
    </row>
    <row r="15931" ht="14.25" customHeight="1">
      <c r="A15931" s="740"/>
    </row>
    <row r="15932" ht="14.25" customHeight="1">
      <c r="A15932" s="740"/>
    </row>
    <row r="15933" ht="14.25" customHeight="1">
      <c r="A15933" s="740"/>
    </row>
    <row r="15934" ht="14.25" customHeight="1">
      <c r="A15934" s="740"/>
    </row>
    <row r="15935" ht="14.25" customHeight="1">
      <c r="A15935" s="740"/>
    </row>
    <row r="15936" ht="14.25" customHeight="1">
      <c r="A15936" s="740"/>
    </row>
    <row r="15937" ht="14.25" customHeight="1">
      <c r="A15937" s="740"/>
    </row>
    <row r="15938" ht="14.25" customHeight="1">
      <c r="A15938" s="740"/>
    </row>
    <row r="15939" ht="14.25" customHeight="1">
      <c r="A15939" s="740"/>
    </row>
    <row r="15940" ht="14.25" customHeight="1">
      <c r="A15940" s="740"/>
    </row>
    <row r="15941" ht="14.25" customHeight="1">
      <c r="A15941" s="740"/>
    </row>
    <row r="15942" ht="14.25" customHeight="1">
      <c r="A15942" s="740"/>
    </row>
    <row r="15943" ht="14.25" customHeight="1">
      <c r="A15943" s="740"/>
    </row>
    <row r="15944" ht="14.25" customHeight="1">
      <c r="A15944" s="740"/>
    </row>
    <row r="15945" ht="14.25" customHeight="1">
      <c r="A15945" s="740"/>
    </row>
    <row r="15946" ht="14.25" customHeight="1">
      <c r="A15946" s="740"/>
    </row>
    <row r="15947" ht="14.25" customHeight="1">
      <c r="A15947" s="740"/>
    </row>
    <row r="15948" ht="14.25" customHeight="1">
      <c r="A15948" s="740"/>
    </row>
    <row r="15949" ht="14.25" customHeight="1">
      <c r="A15949" s="740"/>
    </row>
    <row r="15950" ht="14.25" customHeight="1">
      <c r="A15950" s="740"/>
    </row>
    <row r="15951" ht="14.25" customHeight="1">
      <c r="A15951" s="740"/>
    </row>
    <row r="15952" ht="14.25" customHeight="1">
      <c r="A15952" s="740"/>
    </row>
    <row r="15953" ht="14.25" customHeight="1">
      <c r="A15953" s="740"/>
    </row>
    <row r="15954" ht="14.25" customHeight="1">
      <c r="A15954" s="740"/>
    </row>
    <row r="15955" ht="14.25" customHeight="1">
      <c r="A15955" s="740"/>
    </row>
    <row r="15956" ht="14.25" customHeight="1">
      <c r="A15956" s="740"/>
    </row>
    <row r="15957" ht="14.25" customHeight="1">
      <c r="A15957" s="740"/>
    </row>
    <row r="15958" ht="14.25" customHeight="1">
      <c r="A15958" s="740"/>
    </row>
    <row r="15959" ht="14.25" customHeight="1">
      <c r="A15959" s="740"/>
    </row>
    <row r="15960" ht="14.25" customHeight="1">
      <c r="A15960" s="740"/>
    </row>
    <row r="15961" ht="14.25" customHeight="1">
      <c r="A15961" s="740"/>
    </row>
    <row r="15962" ht="14.25" customHeight="1">
      <c r="A15962" s="740"/>
    </row>
    <row r="15963" ht="14.25" customHeight="1">
      <c r="A15963" s="740"/>
    </row>
    <row r="15964" ht="14.25" customHeight="1">
      <c r="A15964" s="740"/>
    </row>
    <row r="15965" ht="14.25" customHeight="1">
      <c r="A15965" s="740"/>
    </row>
    <row r="15966" ht="14.25" customHeight="1">
      <c r="A15966" s="740"/>
    </row>
    <row r="15967" ht="14.25" customHeight="1">
      <c r="A15967" s="740"/>
    </row>
    <row r="15968" ht="14.25" customHeight="1">
      <c r="A15968" s="740"/>
    </row>
    <row r="15969" ht="14.25" customHeight="1">
      <c r="A15969" s="740"/>
    </row>
    <row r="15970" ht="14.25" customHeight="1">
      <c r="A15970" s="740"/>
    </row>
    <row r="15971" ht="14.25" customHeight="1">
      <c r="A15971" s="740"/>
    </row>
    <row r="15972" ht="14.25" customHeight="1">
      <c r="A15972" s="740"/>
    </row>
    <row r="15973" ht="14.25" customHeight="1">
      <c r="A15973" s="740"/>
    </row>
    <row r="15974" ht="14.25" customHeight="1">
      <c r="A15974" s="740"/>
    </row>
    <row r="15975" ht="14.25" customHeight="1">
      <c r="A15975" s="740"/>
    </row>
    <row r="15976" ht="14.25" customHeight="1">
      <c r="A15976" s="740"/>
    </row>
    <row r="15977" ht="14.25" customHeight="1">
      <c r="A15977" s="740"/>
    </row>
    <row r="15978" ht="14.25" customHeight="1">
      <c r="A15978" s="740"/>
    </row>
    <row r="15979" ht="14.25" customHeight="1">
      <c r="A15979" s="740"/>
    </row>
    <row r="15980" ht="14.25" customHeight="1">
      <c r="A15980" s="740"/>
    </row>
    <row r="15981" ht="14.25" customHeight="1">
      <c r="A15981" s="740"/>
    </row>
    <row r="15982" ht="14.25" customHeight="1">
      <c r="A15982" s="740"/>
    </row>
    <row r="15983" ht="14.25" customHeight="1">
      <c r="A15983" s="740"/>
    </row>
    <row r="15984" ht="14.25" customHeight="1">
      <c r="A15984" s="740"/>
    </row>
    <row r="15985" ht="14.25" customHeight="1">
      <c r="A15985" s="740"/>
    </row>
    <row r="15986" ht="14.25" customHeight="1">
      <c r="A15986" s="740"/>
    </row>
    <row r="15987" ht="14.25" customHeight="1">
      <c r="A15987" s="740"/>
    </row>
    <row r="15988" ht="14.25" customHeight="1">
      <c r="A15988" s="740"/>
    </row>
    <row r="15989" ht="14.25" customHeight="1">
      <c r="A15989" s="740"/>
    </row>
    <row r="15990" ht="14.25" customHeight="1">
      <c r="A15990" s="740"/>
    </row>
    <row r="15991" ht="14.25" customHeight="1">
      <c r="A15991" s="740"/>
    </row>
    <row r="15992" ht="14.25" customHeight="1">
      <c r="A15992" s="740"/>
    </row>
    <row r="15993" ht="14.25" customHeight="1">
      <c r="A15993" s="740"/>
    </row>
    <row r="15994" ht="14.25" customHeight="1">
      <c r="A15994" s="740"/>
    </row>
    <row r="15995" ht="14.25" customHeight="1">
      <c r="A15995" s="740"/>
    </row>
    <row r="15996" ht="14.25" customHeight="1">
      <c r="A15996" s="740"/>
    </row>
    <row r="15997" ht="14.25" customHeight="1">
      <c r="A15997" s="740"/>
    </row>
    <row r="15998" ht="14.25" customHeight="1">
      <c r="A15998" s="740"/>
    </row>
    <row r="15999" ht="14.25" customHeight="1">
      <c r="A15999" s="740"/>
    </row>
    <row r="16000" ht="14.25" customHeight="1">
      <c r="A16000" s="740"/>
    </row>
    <row r="16001" ht="14.25" customHeight="1">
      <c r="A16001" s="740"/>
    </row>
    <row r="16002" ht="14.25" customHeight="1">
      <c r="A16002" s="740"/>
    </row>
    <row r="16003" ht="14.25" customHeight="1">
      <c r="A16003" s="740"/>
    </row>
    <row r="16004" ht="14.25" customHeight="1">
      <c r="A16004" s="740"/>
    </row>
    <row r="16005" ht="14.25" customHeight="1">
      <c r="A16005" s="740"/>
    </row>
    <row r="16006" ht="14.25" customHeight="1">
      <c r="A16006" s="740"/>
    </row>
    <row r="16007" ht="14.25" customHeight="1">
      <c r="A16007" s="740"/>
    </row>
    <row r="16008" ht="14.25" customHeight="1">
      <c r="A16008" s="740"/>
    </row>
    <row r="16009" ht="14.25" customHeight="1">
      <c r="A16009" s="740"/>
    </row>
    <row r="16010" ht="14.25" customHeight="1">
      <c r="A16010" s="740"/>
    </row>
    <row r="16011" ht="14.25" customHeight="1">
      <c r="A16011" s="740"/>
    </row>
    <row r="16012" ht="14.25" customHeight="1">
      <c r="A16012" s="740"/>
    </row>
    <row r="16013" ht="14.25" customHeight="1">
      <c r="A16013" s="740"/>
    </row>
    <row r="16014" ht="14.25" customHeight="1">
      <c r="A16014" s="740"/>
    </row>
    <row r="16015" ht="14.25" customHeight="1">
      <c r="A16015" s="740"/>
    </row>
    <row r="16016" ht="14.25" customHeight="1">
      <c r="A16016" s="740"/>
    </row>
    <row r="16017" ht="14.25" customHeight="1">
      <c r="A16017" s="740"/>
    </row>
    <row r="16018" ht="14.25" customHeight="1">
      <c r="A16018" s="740"/>
    </row>
    <row r="16019" ht="14.25" customHeight="1">
      <c r="A16019" s="740"/>
    </row>
    <row r="16020" ht="14.25" customHeight="1">
      <c r="A16020" s="740"/>
    </row>
    <row r="16021" ht="14.25" customHeight="1">
      <c r="A16021" s="740"/>
    </row>
    <row r="16022" ht="14.25" customHeight="1">
      <c r="A16022" s="740"/>
    </row>
    <row r="16023" ht="14.25" customHeight="1">
      <c r="A16023" s="740"/>
    </row>
    <row r="16024" ht="14.25" customHeight="1">
      <c r="A16024" s="740"/>
    </row>
    <row r="16025" ht="14.25" customHeight="1">
      <c r="A16025" s="740"/>
    </row>
    <row r="16026" ht="14.25" customHeight="1">
      <c r="A16026" s="740"/>
    </row>
    <row r="16027" ht="14.25" customHeight="1">
      <c r="A16027" s="740"/>
    </row>
    <row r="16028" ht="14.25" customHeight="1">
      <c r="A16028" s="740"/>
    </row>
    <row r="16029" ht="14.25" customHeight="1">
      <c r="A16029" s="740"/>
    </row>
    <row r="16030" ht="14.25" customHeight="1">
      <c r="A16030" s="740"/>
    </row>
    <row r="16031" ht="14.25" customHeight="1">
      <c r="A16031" s="740"/>
    </row>
    <row r="16032" ht="14.25" customHeight="1">
      <c r="A16032" s="740"/>
    </row>
    <row r="16033" ht="14.25" customHeight="1">
      <c r="A16033" s="740"/>
    </row>
    <row r="16034" ht="14.25" customHeight="1">
      <c r="A16034" s="740"/>
    </row>
    <row r="16035" ht="14.25" customHeight="1">
      <c r="A16035" s="740"/>
    </row>
    <row r="16036" ht="14.25" customHeight="1">
      <c r="A16036" s="740"/>
    </row>
    <row r="16037" ht="14.25" customHeight="1">
      <c r="A16037" s="740"/>
    </row>
    <row r="16038" ht="14.25" customHeight="1">
      <c r="A16038" s="740"/>
    </row>
    <row r="16039" ht="14.25" customHeight="1">
      <c r="A16039" s="740"/>
    </row>
    <row r="16040" ht="14.25" customHeight="1">
      <c r="A16040" s="740"/>
    </row>
    <row r="16041" ht="14.25" customHeight="1">
      <c r="A16041" s="740"/>
    </row>
    <row r="16042" ht="14.25" customHeight="1">
      <c r="A16042" s="740"/>
    </row>
    <row r="16043" ht="14.25" customHeight="1">
      <c r="A16043" s="740"/>
    </row>
    <row r="16044" ht="14.25" customHeight="1">
      <c r="A16044" s="740"/>
    </row>
    <row r="16045" ht="14.25" customHeight="1">
      <c r="A16045" s="740"/>
    </row>
    <row r="16046" ht="14.25" customHeight="1">
      <c r="A16046" s="740"/>
    </row>
    <row r="16047" ht="14.25" customHeight="1">
      <c r="A16047" s="740"/>
    </row>
    <row r="16048" ht="14.25" customHeight="1">
      <c r="A16048" s="740"/>
    </row>
    <row r="16049" ht="14.25" customHeight="1">
      <c r="A16049" s="740"/>
    </row>
    <row r="16050" ht="14.25" customHeight="1">
      <c r="A16050" s="740"/>
    </row>
    <row r="16051" ht="14.25" customHeight="1">
      <c r="A16051" s="740"/>
    </row>
    <row r="16052" ht="14.25" customHeight="1">
      <c r="A16052" s="740"/>
    </row>
    <row r="16053" ht="14.25" customHeight="1">
      <c r="A16053" s="740"/>
    </row>
    <row r="16054" ht="14.25" customHeight="1">
      <c r="A16054" s="740"/>
    </row>
    <row r="16055" ht="14.25" customHeight="1">
      <c r="A16055" s="740"/>
    </row>
    <row r="16056" ht="14.25" customHeight="1">
      <c r="A16056" s="740"/>
    </row>
    <row r="16057" ht="14.25" customHeight="1">
      <c r="A16057" s="740"/>
    </row>
    <row r="16058" ht="14.25" customHeight="1">
      <c r="A16058" s="740"/>
    </row>
    <row r="16059" ht="14.25" customHeight="1">
      <c r="A16059" s="740"/>
    </row>
    <row r="16060" ht="14.25" customHeight="1">
      <c r="A16060" s="740"/>
    </row>
    <row r="16061" ht="14.25" customHeight="1">
      <c r="A16061" s="740"/>
    </row>
    <row r="16062" ht="14.25" customHeight="1">
      <c r="A16062" s="740"/>
    </row>
    <row r="16063" ht="14.25" customHeight="1">
      <c r="A16063" s="740"/>
    </row>
    <row r="16064" ht="14.25" customHeight="1">
      <c r="A16064" s="740"/>
    </row>
    <row r="16065" ht="14.25" customHeight="1">
      <c r="A16065" s="740"/>
    </row>
    <row r="16066" ht="14.25" customHeight="1">
      <c r="A16066" s="740"/>
    </row>
    <row r="16067" ht="14.25" customHeight="1">
      <c r="A16067" s="740"/>
    </row>
    <row r="16068" ht="14.25" customHeight="1">
      <c r="A16068" s="740"/>
    </row>
    <row r="16069" ht="14.25" customHeight="1">
      <c r="A16069" s="740"/>
    </row>
    <row r="16070" ht="14.25" customHeight="1">
      <c r="A16070" s="740"/>
    </row>
    <row r="16071" ht="14.25" customHeight="1">
      <c r="A16071" s="740"/>
    </row>
    <row r="16072" ht="14.25" customHeight="1">
      <c r="A16072" s="740"/>
    </row>
    <row r="16073" ht="14.25" customHeight="1">
      <c r="A16073" s="740"/>
    </row>
    <row r="16074" ht="14.25" customHeight="1">
      <c r="A16074" s="740"/>
    </row>
    <row r="16075" ht="14.25" customHeight="1">
      <c r="A16075" s="740"/>
    </row>
    <row r="16076" ht="14.25" customHeight="1">
      <c r="A16076" s="740"/>
    </row>
    <row r="16077" ht="14.25" customHeight="1">
      <c r="A16077" s="740"/>
    </row>
    <row r="16078" ht="14.25" customHeight="1">
      <c r="A16078" s="740"/>
    </row>
    <row r="16079" ht="14.25" customHeight="1">
      <c r="A16079" s="740"/>
    </row>
    <row r="16080" ht="14.25" customHeight="1">
      <c r="A16080" s="740"/>
    </row>
    <row r="16081" ht="14.25" customHeight="1">
      <c r="A16081" s="740"/>
    </row>
    <row r="16082" ht="14.25" customHeight="1">
      <c r="A16082" s="740"/>
    </row>
    <row r="16083" ht="14.25" customHeight="1">
      <c r="A16083" s="740"/>
    </row>
    <row r="16084" ht="14.25" customHeight="1">
      <c r="A16084" s="740"/>
    </row>
    <row r="16085" ht="14.25" customHeight="1">
      <c r="A16085" s="740"/>
    </row>
    <row r="16086" ht="14.25" customHeight="1">
      <c r="A16086" s="740"/>
    </row>
    <row r="16087" ht="14.25" customHeight="1">
      <c r="A16087" s="740"/>
    </row>
    <row r="16088" ht="14.25" customHeight="1">
      <c r="A16088" s="740"/>
    </row>
    <row r="16089" ht="14.25" customHeight="1">
      <c r="A16089" s="740"/>
    </row>
    <row r="16090" ht="14.25" customHeight="1">
      <c r="A16090" s="740"/>
    </row>
    <row r="16091" ht="14.25" customHeight="1">
      <c r="A16091" s="740"/>
    </row>
    <row r="16092" ht="14.25" customHeight="1">
      <c r="A16092" s="740"/>
    </row>
    <row r="16093" ht="14.25" customHeight="1">
      <c r="A16093" s="740"/>
    </row>
    <row r="16094" ht="14.25" customHeight="1">
      <c r="A16094" s="740"/>
    </row>
    <row r="16095" ht="14.25" customHeight="1">
      <c r="A16095" s="740"/>
    </row>
    <row r="16096" ht="14.25" customHeight="1">
      <c r="A16096" s="740"/>
    </row>
    <row r="16097" ht="14.25" customHeight="1">
      <c r="A16097" s="740"/>
    </row>
    <row r="16098" ht="14.25" customHeight="1">
      <c r="A16098" s="740"/>
    </row>
    <row r="16099" ht="14.25" customHeight="1">
      <c r="A16099" s="740"/>
    </row>
    <row r="16100" ht="14.25" customHeight="1">
      <c r="A16100" s="740"/>
    </row>
    <row r="16101" ht="14.25" customHeight="1">
      <c r="A16101" s="740"/>
    </row>
    <row r="16102" ht="14.25" customHeight="1">
      <c r="A16102" s="740"/>
    </row>
    <row r="16103" ht="14.25" customHeight="1">
      <c r="A16103" s="740"/>
    </row>
    <row r="16104" ht="14.25" customHeight="1">
      <c r="A16104" s="740"/>
    </row>
    <row r="16105" ht="14.25" customHeight="1">
      <c r="A16105" s="740"/>
    </row>
    <row r="16106" ht="14.25" customHeight="1">
      <c r="A16106" s="740"/>
    </row>
    <row r="16107" ht="14.25" customHeight="1">
      <c r="A16107" s="740"/>
    </row>
    <row r="16108" ht="14.25" customHeight="1">
      <c r="A16108" s="740"/>
    </row>
    <row r="16109" ht="14.25" customHeight="1">
      <c r="A16109" s="740"/>
    </row>
    <row r="16110" ht="14.25" customHeight="1">
      <c r="A16110" s="740"/>
    </row>
    <row r="16111" ht="14.25" customHeight="1">
      <c r="A16111" s="740"/>
    </row>
    <row r="16112" ht="14.25" customHeight="1">
      <c r="A16112" s="740"/>
    </row>
    <row r="16113" ht="14.25" customHeight="1">
      <c r="A16113" s="740"/>
    </row>
    <row r="16114" ht="14.25" customHeight="1">
      <c r="A16114" s="740"/>
    </row>
    <row r="16115" ht="14.25" customHeight="1">
      <c r="A16115" s="740"/>
    </row>
    <row r="16116" ht="14.25" customHeight="1">
      <c r="A16116" s="740"/>
    </row>
    <row r="16117" ht="14.25" customHeight="1">
      <c r="A16117" s="740"/>
    </row>
    <row r="16118" ht="14.25" customHeight="1">
      <c r="A16118" s="740"/>
    </row>
    <row r="16119" ht="14.25" customHeight="1">
      <c r="A16119" s="740"/>
    </row>
    <row r="16120" ht="14.25" customHeight="1">
      <c r="A16120" s="740"/>
    </row>
    <row r="16121" ht="14.25" customHeight="1">
      <c r="A16121" s="740"/>
    </row>
    <row r="16122" ht="14.25" customHeight="1">
      <c r="A16122" s="740"/>
    </row>
    <row r="16123" ht="14.25" customHeight="1">
      <c r="A16123" s="740"/>
    </row>
    <row r="16124" ht="14.25" customHeight="1">
      <c r="A16124" s="740"/>
    </row>
    <row r="16125" ht="14.25" customHeight="1">
      <c r="A16125" s="740"/>
    </row>
    <row r="16126" ht="14.25" customHeight="1">
      <c r="A16126" s="740"/>
    </row>
    <row r="16127" ht="14.25" customHeight="1">
      <c r="A16127" s="740"/>
    </row>
    <row r="16128" ht="14.25" customHeight="1">
      <c r="A16128" s="740"/>
    </row>
    <row r="16129" ht="14.25" customHeight="1">
      <c r="A16129" s="740"/>
    </row>
    <row r="16130" ht="14.25" customHeight="1">
      <c r="A16130" s="740"/>
    </row>
    <row r="16131" ht="14.25" customHeight="1">
      <c r="A16131" s="740"/>
    </row>
    <row r="16132" ht="14.25" customHeight="1">
      <c r="A16132" s="740"/>
    </row>
    <row r="16133" ht="14.25" customHeight="1">
      <c r="A16133" s="740"/>
    </row>
    <row r="16134" ht="14.25" customHeight="1">
      <c r="A16134" s="740"/>
    </row>
    <row r="16135" ht="14.25" customHeight="1">
      <c r="A16135" s="740"/>
    </row>
    <row r="16136" ht="14.25" customHeight="1">
      <c r="A16136" s="740"/>
    </row>
    <row r="16137" ht="14.25" customHeight="1">
      <c r="A16137" s="740"/>
    </row>
    <row r="16138" ht="14.25" customHeight="1">
      <c r="A16138" s="740"/>
    </row>
    <row r="16139" ht="14.25" customHeight="1">
      <c r="A16139" s="740"/>
    </row>
    <row r="16140" ht="14.25" customHeight="1">
      <c r="A16140" s="740"/>
    </row>
    <row r="16141" ht="14.25" customHeight="1">
      <c r="A16141" s="740"/>
    </row>
    <row r="16142" ht="14.25" customHeight="1">
      <c r="A16142" s="740"/>
    </row>
    <row r="16143" ht="14.25" customHeight="1">
      <c r="A16143" s="740"/>
    </row>
    <row r="16144" ht="14.25" customHeight="1">
      <c r="A16144" s="740"/>
    </row>
    <row r="16145" ht="14.25" customHeight="1">
      <c r="A16145" s="740"/>
    </row>
    <row r="16146" ht="14.25" customHeight="1">
      <c r="A16146" s="740"/>
    </row>
    <row r="16147" ht="14.25" customHeight="1">
      <c r="A16147" s="740"/>
    </row>
    <row r="16148" ht="14.25" customHeight="1">
      <c r="A16148" s="740"/>
    </row>
    <row r="16149" ht="14.25" customHeight="1">
      <c r="A16149" s="740"/>
    </row>
    <row r="16150" ht="14.25" customHeight="1">
      <c r="A16150" s="740"/>
    </row>
    <row r="16151" ht="14.25" customHeight="1">
      <c r="A16151" s="740"/>
    </row>
    <row r="16152" ht="14.25" customHeight="1">
      <c r="A16152" s="740"/>
    </row>
    <row r="16153" ht="14.25" customHeight="1">
      <c r="A16153" s="740"/>
    </row>
    <row r="16154" ht="14.25" customHeight="1">
      <c r="A16154" s="740"/>
    </row>
    <row r="16155" ht="14.25" customHeight="1">
      <c r="A16155" s="740"/>
    </row>
    <row r="16156" ht="14.25" customHeight="1">
      <c r="A16156" s="740"/>
    </row>
    <row r="16157" ht="14.25" customHeight="1">
      <c r="A16157" s="740"/>
    </row>
    <row r="16158" ht="14.25" customHeight="1">
      <c r="A16158" s="740"/>
    </row>
    <row r="16159" ht="14.25" customHeight="1">
      <c r="A16159" s="740"/>
    </row>
    <row r="16160" ht="14.25" customHeight="1">
      <c r="A16160" s="740"/>
    </row>
    <row r="16161" ht="14.25" customHeight="1">
      <c r="A16161" s="740"/>
    </row>
    <row r="16162" ht="14.25" customHeight="1">
      <c r="A16162" s="740"/>
    </row>
    <row r="16163" ht="14.25" customHeight="1">
      <c r="A16163" s="740"/>
    </row>
    <row r="16164" ht="14.25" customHeight="1">
      <c r="A16164" s="740"/>
    </row>
    <row r="16165" ht="14.25" customHeight="1">
      <c r="A16165" s="740"/>
    </row>
    <row r="16166" ht="14.25" customHeight="1">
      <c r="A16166" s="740"/>
    </row>
    <row r="16167" ht="14.25" customHeight="1">
      <c r="A16167" s="740"/>
    </row>
    <row r="16168" ht="14.25" customHeight="1">
      <c r="A16168" s="740"/>
    </row>
    <row r="16169" ht="14.25" customHeight="1">
      <c r="A16169" s="740"/>
    </row>
    <row r="16170" ht="14.25" customHeight="1">
      <c r="A16170" s="740"/>
    </row>
    <row r="16171" ht="14.25" customHeight="1">
      <c r="A16171" s="740"/>
    </row>
    <row r="16172" ht="14.25" customHeight="1">
      <c r="A16172" s="740"/>
    </row>
    <row r="16173" ht="14.25" customHeight="1">
      <c r="A16173" s="740"/>
    </row>
    <row r="16174" ht="14.25" customHeight="1">
      <c r="A16174" s="740"/>
    </row>
    <row r="16175" ht="14.25" customHeight="1">
      <c r="A16175" s="740"/>
    </row>
    <row r="16176" ht="14.25" customHeight="1">
      <c r="A16176" s="740"/>
    </row>
    <row r="16177" ht="14.25" customHeight="1">
      <c r="A16177" s="740"/>
    </row>
    <row r="16178" ht="14.25" customHeight="1">
      <c r="A16178" s="740"/>
    </row>
    <row r="16179" ht="14.25" customHeight="1">
      <c r="A16179" s="740"/>
    </row>
    <row r="16180" ht="14.25" customHeight="1">
      <c r="A16180" s="740"/>
    </row>
    <row r="16181" ht="14.25" customHeight="1">
      <c r="A16181" s="740"/>
    </row>
    <row r="16182" ht="14.25" customHeight="1">
      <c r="A16182" s="740"/>
    </row>
    <row r="16183" ht="14.25" customHeight="1">
      <c r="A16183" s="740"/>
    </row>
    <row r="16184" ht="14.25" customHeight="1">
      <c r="A16184" s="740"/>
    </row>
    <row r="16185" ht="14.25" customHeight="1">
      <c r="A16185" s="740"/>
    </row>
    <row r="16186" ht="14.25" customHeight="1">
      <c r="A16186" s="740"/>
    </row>
    <row r="16187" ht="14.25" customHeight="1">
      <c r="A16187" s="740"/>
    </row>
    <row r="16188" ht="14.25" customHeight="1">
      <c r="A16188" s="740"/>
    </row>
    <row r="16189" ht="14.25" customHeight="1">
      <c r="A16189" s="740"/>
    </row>
    <row r="16190" ht="14.25" customHeight="1">
      <c r="A16190" s="740"/>
    </row>
    <row r="16191" ht="14.25" customHeight="1">
      <c r="A16191" s="740"/>
    </row>
    <row r="16192" ht="14.25" customHeight="1">
      <c r="A16192" s="740"/>
    </row>
    <row r="16193" ht="14.25" customHeight="1">
      <c r="A16193" s="740"/>
    </row>
    <row r="16194" ht="14.25" customHeight="1">
      <c r="A16194" s="740"/>
    </row>
    <row r="16195" ht="14.25" customHeight="1">
      <c r="A16195" s="740"/>
    </row>
    <row r="16196" ht="14.25" customHeight="1">
      <c r="A16196" s="740"/>
    </row>
    <row r="16197" ht="14.25" customHeight="1">
      <c r="A16197" s="740"/>
    </row>
    <row r="16198" ht="14.25" customHeight="1">
      <c r="A16198" s="740"/>
    </row>
    <row r="16199" ht="14.25" customHeight="1">
      <c r="A16199" s="740"/>
    </row>
    <row r="16200" ht="14.25" customHeight="1">
      <c r="A16200" s="740"/>
    </row>
    <row r="16201" ht="14.25" customHeight="1">
      <c r="A16201" s="740"/>
    </row>
    <row r="16202" ht="14.25" customHeight="1">
      <c r="A16202" s="740"/>
    </row>
    <row r="16203" ht="14.25" customHeight="1">
      <c r="A16203" s="740"/>
    </row>
    <row r="16204" ht="14.25" customHeight="1">
      <c r="A16204" s="740"/>
    </row>
    <row r="16205" ht="14.25" customHeight="1">
      <c r="A16205" s="740"/>
    </row>
    <row r="16206" ht="14.25" customHeight="1">
      <c r="A16206" s="740"/>
    </row>
    <row r="16207" ht="14.25" customHeight="1">
      <c r="A16207" s="740"/>
    </row>
    <row r="16208" ht="14.25" customHeight="1">
      <c r="A16208" s="740"/>
    </row>
    <row r="16209" ht="14.25" customHeight="1">
      <c r="A16209" s="740"/>
    </row>
    <row r="16210" ht="14.25" customHeight="1">
      <c r="A16210" s="740"/>
    </row>
    <row r="16211" ht="14.25" customHeight="1">
      <c r="A16211" s="740"/>
    </row>
    <row r="16212" ht="14.25" customHeight="1">
      <c r="A16212" s="740"/>
    </row>
    <row r="16213" ht="14.25" customHeight="1">
      <c r="A16213" s="740"/>
    </row>
    <row r="16214" ht="14.25" customHeight="1">
      <c r="A16214" s="740"/>
    </row>
    <row r="16215" ht="14.25" customHeight="1">
      <c r="A16215" s="740"/>
    </row>
    <row r="16216" ht="14.25" customHeight="1">
      <c r="A16216" s="740"/>
    </row>
    <row r="16217" ht="14.25" customHeight="1">
      <c r="A16217" s="740"/>
    </row>
    <row r="16218" ht="14.25" customHeight="1">
      <c r="A16218" s="740"/>
    </row>
    <row r="16219" ht="14.25" customHeight="1">
      <c r="A16219" s="740"/>
    </row>
    <row r="16220" ht="14.25" customHeight="1">
      <c r="A16220" s="740"/>
    </row>
    <row r="16221" ht="14.25" customHeight="1">
      <c r="A16221" s="740"/>
    </row>
    <row r="16222" ht="14.25" customHeight="1">
      <c r="A16222" s="740"/>
    </row>
    <row r="16223" ht="14.25" customHeight="1">
      <c r="A16223" s="740"/>
    </row>
    <row r="16224" ht="14.25" customHeight="1">
      <c r="A16224" s="740"/>
    </row>
    <row r="16225" ht="14.25" customHeight="1">
      <c r="A16225" s="740"/>
    </row>
    <row r="16226" ht="14.25" customHeight="1">
      <c r="A16226" s="740"/>
    </row>
    <row r="16227" ht="14.25" customHeight="1">
      <c r="A16227" s="740"/>
    </row>
    <row r="16228" ht="14.25" customHeight="1">
      <c r="A16228" s="740"/>
    </row>
    <row r="16229" ht="14.25" customHeight="1">
      <c r="A16229" s="740"/>
    </row>
    <row r="16230" ht="14.25" customHeight="1">
      <c r="A16230" s="740"/>
    </row>
    <row r="16231" ht="14.25" customHeight="1">
      <c r="A16231" s="740"/>
    </row>
    <row r="16232" ht="14.25" customHeight="1">
      <c r="A16232" s="740"/>
    </row>
    <row r="16233" ht="14.25" customHeight="1">
      <c r="A16233" s="740"/>
    </row>
    <row r="16234" ht="14.25" customHeight="1">
      <c r="A16234" s="740"/>
    </row>
    <row r="16235" ht="14.25" customHeight="1">
      <c r="A16235" s="740"/>
    </row>
    <row r="16236" ht="14.25" customHeight="1">
      <c r="A16236" s="740"/>
    </row>
    <row r="16237" ht="14.25" customHeight="1">
      <c r="A16237" s="740"/>
    </row>
    <row r="16238" ht="14.25" customHeight="1">
      <c r="A16238" s="740"/>
    </row>
    <row r="16239" ht="14.25" customHeight="1">
      <c r="A16239" s="740"/>
    </row>
    <row r="16240" ht="14.25" customHeight="1">
      <c r="A16240" s="740"/>
    </row>
    <row r="16241" ht="14.25" customHeight="1">
      <c r="A16241" s="740"/>
    </row>
    <row r="16242" ht="14.25" customHeight="1">
      <c r="A16242" s="740"/>
    </row>
    <row r="16243" ht="14.25" customHeight="1">
      <c r="A16243" s="740"/>
    </row>
    <row r="16244" ht="14.25" customHeight="1">
      <c r="A16244" s="740"/>
    </row>
    <row r="16245" ht="14.25" customHeight="1">
      <c r="A16245" s="740"/>
    </row>
    <row r="16246" ht="14.25" customHeight="1">
      <c r="A16246" s="740"/>
    </row>
    <row r="16247" ht="14.25" customHeight="1">
      <c r="A16247" s="740"/>
    </row>
    <row r="16248" ht="14.25" customHeight="1">
      <c r="A16248" s="740"/>
    </row>
    <row r="16249" ht="14.25" customHeight="1">
      <c r="A16249" s="740"/>
    </row>
    <row r="16250" ht="14.25" customHeight="1">
      <c r="A16250" s="740"/>
    </row>
    <row r="16251" ht="14.25" customHeight="1">
      <c r="A16251" s="740"/>
    </row>
    <row r="16252" ht="14.25" customHeight="1">
      <c r="A16252" s="740"/>
    </row>
    <row r="16253" ht="14.25" customHeight="1">
      <c r="A16253" s="740"/>
    </row>
    <row r="16254" ht="14.25" customHeight="1">
      <c r="A16254" s="740"/>
    </row>
    <row r="16255" ht="14.25" customHeight="1">
      <c r="A16255" s="740"/>
    </row>
    <row r="16256" ht="14.25" customHeight="1">
      <c r="A16256" s="740"/>
    </row>
    <row r="16257" ht="14.25" customHeight="1">
      <c r="A16257" s="740"/>
    </row>
    <row r="16258" ht="14.25" customHeight="1">
      <c r="A16258" s="740"/>
    </row>
    <row r="16259" ht="14.25" customHeight="1">
      <c r="A16259" s="740"/>
    </row>
    <row r="16260" ht="14.25" customHeight="1">
      <c r="A16260" s="740"/>
    </row>
    <row r="16261" ht="14.25" customHeight="1">
      <c r="A16261" s="740"/>
    </row>
    <row r="16262" ht="14.25" customHeight="1">
      <c r="A16262" s="740"/>
    </row>
    <row r="16263" ht="14.25" customHeight="1">
      <c r="A16263" s="740"/>
    </row>
    <row r="16264" ht="14.25" customHeight="1">
      <c r="A16264" s="740"/>
    </row>
    <row r="16265" ht="14.25" customHeight="1">
      <c r="A16265" s="740"/>
    </row>
    <row r="16266" ht="14.25" customHeight="1">
      <c r="A16266" s="740"/>
    </row>
    <row r="16267" ht="14.25" customHeight="1">
      <c r="A16267" s="740"/>
    </row>
    <row r="16268" ht="14.25" customHeight="1">
      <c r="A16268" s="740"/>
    </row>
    <row r="16269" ht="14.25" customHeight="1">
      <c r="A16269" s="740"/>
    </row>
    <row r="16270" ht="14.25" customHeight="1">
      <c r="A16270" s="740"/>
    </row>
    <row r="16271" ht="14.25" customHeight="1">
      <c r="A16271" s="740"/>
    </row>
    <row r="16272" ht="14.25" customHeight="1">
      <c r="A16272" s="740"/>
    </row>
    <row r="16273" ht="14.25" customHeight="1">
      <c r="A16273" s="740"/>
    </row>
    <row r="16274" ht="14.25" customHeight="1">
      <c r="A16274" s="740"/>
    </row>
    <row r="16275" ht="14.25" customHeight="1">
      <c r="A16275" s="740"/>
    </row>
    <row r="16276" ht="14.25" customHeight="1">
      <c r="A16276" s="740"/>
    </row>
    <row r="16277" ht="14.25" customHeight="1">
      <c r="A16277" s="740"/>
    </row>
    <row r="16278" ht="14.25" customHeight="1">
      <c r="A16278" s="740"/>
    </row>
    <row r="16279" ht="14.25" customHeight="1">
      <c r="A16279" s="740"/>
    </row>
    <row r="16280" ht="14.25" customHeight="1">
      <c r="A16280" s="740"/>
    </row>
    <row r="16281" ht="14.25" customHeight="1">
      <c r="A16281" s="740"/>
    </row>
    <row r="16282" ht="14.25" customHeight="1">
      <c r="A16282" s="740"/>
    </row>
    <row r="16283" ht="14.25" customHeight="1">
      <c r="A16283" s="740"/>
    </row>
    <row r="16284" ht="14.25" customHeight="1">
      <c r="A16284" s="740"/>
    </row>
    <row r="16285" ht="14.25" customHeight="1">
      <c r="A16285" s="740"/>
    </row>
    <row r="16286" ht="14.25" customHeight="1">
      <c r="A16286" s="740"/>
    </row>
    <row r="16287" ht="14.25" customHeight="1">
      <c r="A16287" s="740"/>
    </row>
    <row r="16288" ht="14.25" customHeight="1">
      <c r="A16288" s="740"/>
    </row>
    <row r="16289" ht="14.25" customHeight="1">
      <c r="A16289" s="740"/>
    </row>
    <row r="16290" ht="14.25" customHeight="1">
      <c r="A16290" s="740"/>
    </row>
    <row r="16291" ht="14.25" customHeight="1">
      <c r="A16291" s="740"/>
    </row>
    <row r="16292" ht="14.25" customHeight="1">
      <c r="A16292" s="740"/>
    </row>
    <row r="16293" ht="14.25" customHeight="1">
      <c r="A16293" s="740"/>
    </row>
    <row r="16294" ht="14.25" customHeight="1">
      <c r="A16294" s="740"/>
    </row>
    <row r="16295" ht="14.25" customHeight="1">
      <c r="A16295" s="740"/>
    </row>
    <row r="16296" ht="14.25" customHeight="1">
      <c r="A16296" s="740"/>
    </row>
    <row r="16297" ht="14.25" customHeight="1">
      <c r="A16297" s="740"/>
    </row>
    <row r="16298" ht="14.25" customHeight="1">
      <c r="A16298" s="740"/>
    </row>
    <row r="16299" ht="14.25" customHeight="1">
      <c r="A16299" s="740"/>
    </row>
    <row r="16300" ht="14.25" customHeight="1">
      <c r="A16300" s="740"/>
    </row>
    <row r="16301" ht="14.25" customHeight="1">
      <c r="A16301" s="740"/>
    </row>
    <row r="16302" ht="14.25" customHeight="1">
      <c r="A16302" s="740"/>
    </row>
    <row r="16303" ht="14.25" customHeight="1">
      <c r="A16303" s="740"/>
    </row>
    <row r="16304" ht="14.25" customHeight="1">
      <c r="A16304" s="740"/>
    </row>
    <row r="16305" ht="14.25" customHeight="1">
      <c r="A16305" s="740"/>
    </row>
    <row r="16306" ht="14.25" customHeight="1">
      <c r="A16306" s="740"/>
    </row>
    <row r="16307" ht="14.25" customHeight="1">
      <c r="A16307" s="740"/>
    </row>
    <row r="16308" ht="14.25" customHeight="1">
      <c r="A16308" s="740"/>
    </row>
    <row r="16309" ht="14.25" customHeight="1">
      <c r="A16309" s="740"/>
    </row>
    <row r="16310" ht="14.25" customHeight="1">
      <c r="A16310" s="740"/>
    </row>
    <row r="16311" ht="14.25" customHeight="1">
      <c r="A16311" s="740"/>
    </row>
    <row r="16312" ht="14.25" customHeight="1">
      <c r="A16312" s="740"/>
    </row>
    <row r="16313" ht="14.25" customHeight="1">
      <c r="A16313" s="740"/>
    </row>
    <row r="16314" ht="14.25" customHeight="1">
      <c r="A16314" s="740"/>
    </row>
    <row r="16315" ht="14.25" customHeight="1">
      <c r="A16315" s="740"/>
    </row>
    <row r="16316" ht="14.25" customHeight="1">
      <c r="A16316" s="740"/>
    </row>
    <row r="16317" ht="14.25" customHeight="1">
      <c r="A16317" s="740"/>
    </row>
    <row r="16318" ht="14.25" customHeight="1">
      <c r="A16318" s="740"/>
    </row>
    <row r="16319" ht="14.25" customHeight="1">
      <c r="A16319" s="740"/>
    </row>
    <row r="16320" ht="14.25" customHeight="1">
      <c r="A16320" s="740"/>
    </row>
    <row r="16321" ht="14.25" customHeight="1">
      <c r="A16321" s="740"/>
    </row>
    <row r="16322" ht="14.25" customHeight="1">
      <c r="A16322" s="740"/>
    </row>
    <row r="16323" ht="14.25" customHeight="1">
      <c r="A16323" s="740"/>
    </row>
    <row r="16324" ht="14.25" customHeight="1">
      <c r="A16324" s="740"/>
    </row>
    <row r="16325" ht="14.25" customHeight="1">
      <c r="A16325" s="740"/>
    </row>
    <row r="16326" ht="14.25" customHeight="1">
      <c r="A16326" s="740"/>
    </row>
    <row r="16327" ht="14.25" customHeight="1">
      <c r="A16327" s="740"/>
    </row>
    <row r="16328" ht="14.25" customHeight="1">
      <c r="A16328" s="740"/>
    </row>
    <row r="16329" ht="14.25" customHeight="1">
      <c r="A16329" s="740"/>
    </row>
    <row r="16330" ht="14.25" customHeight="1">
      <c r="A16330" s="740"/>
    </row>
    <row r="16331" ht="14.25" customHeight="1">
      <c r="A16331" s="740"/>
    </row>
    <row r="16332" ht="14.25" customHeight="1">
      <c r="A16332" s="740"/>
    </row>
    <row r="16333" ht="14.25" customHeight="1">
      <c r="A16333" s="740"/>
    </row>
    <row r="16334" ht="14.25" customHeight="1">
      <c r="A16334" s="740"/>
    </row>
    <row r="16335" ht="14.25" customHeight="1">
      <c r="A16335" s="740"/>
    </row>
    <row r="16336" ht="14.25" customHeight="1">
      <c r="A16336" s="740"/>
    </row>
    <row r="16337" ht="14.25" customHeight="1">
      <c r="A16337" s="740"/>
    </row>
    <row r="16338" ht="14.25" customHeight="1">
      <c r="A16338" s="740"/>
    </row>
    <row r="16339" ht="14.25" customHeight="1">
      <c r="A16339" s="740"/>
    </row>
    <row r="16340" ht="14.25" customHeight="1">
      <c r="A16340" s="740"/>
    </row>
    <row r="16341" ht="14.25" customHeight="1">
      <c r="A16341" s="740"/>
    </row>
    <row r="16342" ht="14.25" customHeight="1">
      <c r="A16342" s="740"/>
    </row>
    <row r="16343" ht="14.25" customHeight="1">
      <c r="A16343" s="740"/>
    </row>
    <row r="16344" ht="14.25" customHeight="1">
      <c r="A16344" s="740"/>
    </row>
    <row r="16345" ht="14.25" customHeight="1">
      <c r="A16345" s="740"/>
    </row>
    <row r="16346" ht="14.25" customHeight="1">
      <c r="A16346" s="740"/>
    </row>
    <row r="16347" ht="14.25" customHeight="1">
      <c r="A16347" s="740"/>
    </row>
    <row r="16348" ht="14.25" customHeight="1">
      <c r="A16348" s="740"/>
    </row>
    <row r="16349" ht="14.25" customHeight="1">
      <c r="A16349" s="740"/>
    </row>
    <row r="16350" ht="14.25" customHeight="1">
      <c r="A16350" s="740"/>
    </row>
    <row r="16351" ht="14.25" customHeight="1">
      <c r="A16351" s="740"/>
    </row>
    <row r="16352" ht="14.25" customHeight="1">
      <c r="A16352" s="740"/>
    </row>
    <row r="16353" ht="14.25" customHeight="1">
      <c r="A16353" s="740"/>
    </row>
    <row r="16354" ht="14.25" customHeight="1">
      <c r="A16354" s="740"/>
    </row>
    <row r="16355" ht="14.25" customHeight="1">
      <c r="A16355" s="740"/>
    </row>
    <row r="16356" ht="14.25" customHeight="1">
      <c r="A16356" s="740"/>
    </row>
    <row r="16357" ht="14.25" customHeight="1">
      <c r="A16357" s="740"/>
    </row>
    <row r="16358" ht="14.25" customHeight="1">
      <c r="A16358" s="740"/>
    </row>
    <row r="16359" ht="14.25" customHeight="1">
      <c r="A16359" s="740"/>
    </row>
    <row r="16360" ht="14.25" customHeight="1">
      <c r="A16360" s="740"/>
    </row>
    <row r="16361" ht="14.25" customHeight="1">
      <c r="A16361" s="740"/>
    </row>
    <row r="16362" ht="14.25" customHeight="1">
      <c r="A16362" s="740"/>
    </row>
    <row r="16363" ht="14.25" customHeight="1">
      <c r="A16363" s="740"/>
    </row>
    <row r="16364" ht="14.25" customHeight="1">
      <c r="A16364" s="740"/>
    </row>
    <row r="16365" ht="14.25" customHeight="1">
      <c r="A16365" s="740"/>
    </row>
    <row r="16366" ht="14.25" customHeight="1">
      <c r="A16366" s="740"/>
    </row>
    <row r="16367" ht="14.25" customHeight="1">
      <c r="A16367" s="740"/>
    </row>
    <row r="16368" ht="14.25" customHeight="1">
      <c r="A16368" s="740"/>
    </row>
    <row r="16369" ht="14.25" customHeight="1">
      <c r="A16369" s="740"/>
    </row>
    <row r="16370" ht="14.25" customHeight="1">
      <c r="A16370" s="740"/>
    </row>
    <row r="16371" ht="14.25" customHeight="1">
      <c r="A16371" s="740"/>
    </row>
    <row r="16372" ht="14.25" customHeight="1">
      <c r="A16372" s="740"/>
    </row>
    <row r="16373" ht="14.25" customHeight="1">
      <c r="A16373" s="740"/>
    </row>
    <row r="16374" ht="14.25" customHeight="1">
      <c r="A16374" s="740"/>
    </row>
    <row r="16375" ht="14.25" customHeight="1">
      <c r="A16375" s="740"/>
    </row>
    <row r="16376" ht="14.25" customHeight="1">
      <c r="A16376" s="740"/>
    </row>
    <row r="16377" ht="14.25" customHeight="1">
      <c r="A16377" s="740"/>
    </row>
    <row r="16378" ht="14.25" customHeight="1">
      <c r="A16378" s="740"/>
    </row>
    <row r="16379" ht="14.25" customHeight="1">
      <c r="A16379" s="740"/>
    </row>
    <row r="16380" ht="14.25" customHeight="1">
      <c r="A16380" s="740"/>
    </row>
    <row r="16381" ht="14.25" customHeight="1">
      <c r="A16381" s="740"/>
    </row>
    <row r="16382" ht="14.25" customHeight="1">
      <c r="A16382" s="740"/>
    </row>
    <row r="16383" ht="14.25" customHeight="1">
      <c r="A16383" s="740"/>
    </row>
    <row r="16384" ht="14.25" customHeight="1">
      <c r="A16384" s="740"/>
    </row>
    <row r="16385" ht="14.25" customHeight="1">
      <c r="A16385" s="740"/>
    </row>
    <row r="16386" ht="14.25" customHeight="1">
      <c r="A16386" s="740"/>
    </row>
    <row r="16387" ht="14.25" customHeight="1">
      <c r="A16387" s="740"/>
    </row>
    <row r="16388" ht="14.25" customHeight="1">
      <c r="A16388" s="740"/>
    </row>
    <row r="16389" ht="14.25" customHeight="1">
      <c r="A16389" s="740"/>
    </row>
    <row r="16390" ht="14.25" customHeight="1">
      <c r="A16390" s="740"/>
    </row>
    <row r="16391" ht="14.25" customHeight="1">
      <c r="A16391" s="740"/>
    </row>
    <row r="16392" ht="14.25" customHeight="1">
      <c r="A16392" s="740"/>
    </row>
    <row r="16393" ht="14.25" customHeight="1">
      <c r="A16393" s="740"/>
    </row>
    <row r="16394" ht="14.25" customHeight="1">
      <c r="A16394" s="740"/>
    </row>
    <row r="16395" ht="14.25" customHeight="1">
      <c r="A16395" s="740"/>
    </row>
    <row r="16396" ht="14.25" customHeight="1">
      <c r="A16396" s="740"/>
    </row>
    <row r="16397" ht="14.25" customHeight="1">
      <c r="A16397" s="740"/>
    </row>
    <row r="16398" ht="14.25" customHeight="1">
      <c r="A16398" s="740"/>
    </row>
    <row r="16399" ht="14.25" customHeight="1">
      <c r="A16399" s="740"/>
    </row>
    <row r="16400" ht="14.25" customHeight="1">
      <c r="A16400" s="740"/>
    </row>
    <row r="16401" ht="14.25" customHeight="1">
      <c r="A16401" s="740"/>
    </row>
    <row r="16402" ht="14.25" customHeight="1">
      <c r="A16402" s="740"/>
    </row>
    <row r="16403" ht="14.25" customHeight="1">
      <c r="A16403" s="740"/>
    </row>
    <row r="16404" ht="14.25" customHeight="1">
      <c r="A16404" s="740"/>
    </row>
    <row r="16405" ht="14.25" customHeight="1">
      <c r="A16405" s="740"/>
    </row>
    <row r="16406" ht="14.25" customHeight="1">
      <c r="A16406" s="740"/>
    </row>
    <row r="16407" ht="14.25" customHeight="1">
      <c r="A16407" s="740"/>
    </row>
    <row r="16408" ht="14.25" customHeight="1">
      <c r="A16408" s="740"/>
    </row>
    <row r="16409" ht="14.25" customHeight="1">
      <c r="A16409" s="740"/>
    </row>
    <row r="16410" ht="14.25" customHeight="1">
      <c r="A16410" s="740"/>
    </row>
    <row r="16411" ht="14.25" customHeight="1">
      <c r="A16411" s="740"/>
    </row>
    <row r="16412" ht="14.25" customHeight="1">
      <c r="A16412" s="740"/>
    </row>
    <row r="16413" ht="14.25" customHeight="1">
      <c r="A16413" s="740"/>
    </row>
    <row r="16414" ht="14.25" customHeight="1">
      <c r="A16414" s="740"/>
    </row>
    <row r="16415" ht="14.25" customHeight="1">
      <c r="A16415" s="740"/>
    </row>
    <row r="16416" ht="14.25" customHeight="1">
      <c r="A16416" s="740"/>
    </row>
    <row r="16417" ht="14.25" customHeight="1">
      <c r="A16417" s="740"/>
    </row>
    <row r="16418" ht="14.25" customHeight="1">
      <c r="A16418" s="740"/>
    </row>
    <row r="16419" ht="14.25" customHeight="1">
      <c r="A16419" s="740"/>
    </row>
    <row r="16420" ht="14.25" customHeight="1">
      <c r="A16420" s="740"/>
    </row>
    <row r="16421" ht="14.25" customHeight="1">
      <c r="A16421" s="740"/>
    </row>
    <row r="16422" ht="14.25" customHeight="1">
      <c r="A16422" s="740"/>
    </row>
    <row r="16423" ht="14.25" customHeight="1">
      <c r="A16423" s="740"/>
    </row>
    <row r="16424" ht="14.25" customHeight="1">
      <c r="A16424" s="740"/>
    </row>
    <row r="16425" ht="14.25" customHeight="1">
      <c r="A16425" s="740"/>
    </row>
    <row r="16426" ht="14.25" customHeight="1">
      <c r="A16426" s="740"/>
    </row>
    <row r="16427" ht="14.25" customHeight="1">
      <c r="A16427" s="740"/>
    </row>
    <row r="16428" ht="14.25" customHeight="1">
      <c r="A16428" s="740"/>
    </row>
    <row r="16429" ht="14.25" customHeight="1">
      <c r="A16429" s="740"/>
    </row>
    <row r="16430" ht="14.25" customHeight="1">
      <c r="A16430" s="740"/>
    </row>
    <row r="16431" ht="14.25" customHeight="1">
      <c r="A16431" s="740"/>
    </row>
    <row r="16432" ht="14.25" customHeight="1">
      <c r="A16432" s="740"/>
    </row>
    <row r="16433" ht="14.25" customHeight="1">
      <c r="A16433" s="740"/>
    </row>
    <row r="16434" ht="14.25" customHeight="1">
      <c r="A16434" s="740"/>
    </row>
    <row r="16435" ht="14.25" customHeight="1">
      <c r="A16435" s="740"/>
    </row>
    <row r="16436" ht="14.25" customHeight="1">
      <c r="A16436" s="740"/>
    </row>
    <row r="16437" ht="14.25" customHeight="1">
      <c r="A16437" s="740"/>
    </row>
    <row r="16438" ht="14.25" customHeight="1">
      <c r="A16438" s="740"/>
    </row>
    <row r="16439" ht="14.25" customHeight="1">
      <c r="A16439" s="740"/>
    </row>
    <row r="16440" ht="14.25" customHeight="1">
      <c r="A16440" s="740"/>
    </row>
    <row r="16441" ht="14.25" customHeight="1">
      <c r="A16441" s="740"/>
    </row>
    <row r="16442" ht="14.25" customHeight="1">
      <c r="A16442" s="740"/>
    </row>
    <row r="16443" ht="14.25" customHeight="1">
      <c r="A16443" s="740"/>
    </row>
    <row r="16444" ht="14.25" customHeight="1">
      <c r="A16444" s="740"/>
    </row>
    <row r="16445" ht="14.25" customHeight="1">
      <c r="A16445" s="740"/>
    </row>
    <row r="16446" ht="14.25" customHeight="1">
      <c r="A16446" s="740"/>
    </row>
    <row r="16447" ht="14.25" customHeight="1">
      <c r="A16447" s="740"/>
    </row>
    <row r="16448" ht="14.25" customHeight="1">
      <c r="A16448" s="740"/>
    </row>
    <row r="16449" ht="14.25" customHeight="1">
      <c r="A16449" s="740"/>
    </row>
    <row r="16450" ht="14.25" customHeight="1">
      <c r="A16450" s="740"/>
    </row>
    <row r="16451" ht="14.25" customHeight="1">
      <c r="A16451" s="740"/>
    </row>
    <row r="16452" ht="14.25" customHeight="1">
      <c r="A16452" s="740"/>
    </row>
    <row r="16453" ht="14.25" customHeight="1">
      <c r="A16453" s="740"/>
    </row>
    <row r="16454" ht="14.25" customHeight="1">
      <c r="A16454" s="740"/>
    </row>
    <row r="16455" ht="14.25" customHeight="1">
      <c r="A16455" s="740"/>
    </row>
    <row r="16456" ht="14.25" customHeight="1">
      <c r="A16456" s="740"/>
    </row>
    <row r="16457" ht="14.25" customHeight="1">
      <c r="A16457" s="740"/>
    </row>
    <row r="16458" ht="14.25" customHeight="1">
      <c r="A16458" s="740"/>
    </row>
    <row r="16459" ht="14.25" customHeight="1">
      <c r="A16459" s="740"/>
    </row>
    <row r="16460" ht="14.25" customHeight="1">
      <c r="A16460" s="740"/>
    </row>
    <row r="16461" ht="14.25" customHeight="1">
      <c r="A16461" s="740"/>
    </row>
    <row r="16462" ht="14.25" customHeight="1">
      <c r="A16462" s="740"/>
    </row>
    <row r="16463" ht="14.25" customHeight="1">
      <c r="A16463" s="740"/>
    </row>
    <row r="16464" ht="14.25" customHeight="1">
      <c r="A16464" s="740"/>
    </row>
    <row r="16465" ht="14.25" customHeight="1">
      <c r="A16465" s="740"/>
    </row>
    <row r="16466" ht="14.25" customHeight="1">
      <c r="A16466" s="740"/>
    </row>
    <row r="16467" ht="14.25" customHeight="1">
      <c r="A16467" s="740"/>
    </row>
    <row r="16468" ht="14.25" customHeight="1">
      <c r="A16468" s="740"/>
    </row>
    <row r="16469" ht="14.25" customHeight="1">
      <c r="A16469" s="740"/>
    </row>
    <row r="16470" ht="14.25" customHeight="1">
      <c r="A16470" s="740"/>
    </row>
    <row r="16471" ht="14.25" customHeight="1">
      <c r="A16471" s="740"/>
    </row>
    <row r="16472" ht="14.25" customHeight="1">
      <c r="A16472" s="740"/>
    </row>
    <row r="16473" ht="14.25" customHeight="1">
      <c r="A16473" s="740"/>
    </row>
    <row r="16474" ht="14.25" customHeight="1">
      <c r="A16474" s="740"/>
    </row>
    <row r="16475" ht="14.25" customHeight="1">
      <c r="A16475" s="740"/>
    </row>
    <row r="16476" ht="14.25" customHeight="1">
      <c r="A16476" s="740"/>
    </row>
    <row r="16477" ht="14.25" customHeight="1">
      <c r="A16477" s="740"/>
    </row>
    <row r="16478" ht="14.25" customHeight="1">
      <c r="A16478" s="740"/>
    </row>
    <row r="16479" ht="14.25" customHeight="1">
      <c r="A16479" s="740"/>
    </row>
    <row r="16480" ht="14.25" customHeight="1">
      <c r="A16480" s="740"/>
    </row>
    <row r="16481" ht="14.25" customHeight="1">
      <c r="A16481" s="740"/>
    </row>
    <row r="16482" ht="14.25" customHeight="1">
      <c r="A16482" s="740"/>
    </row>
    <row r="16483" ht="14.25" customHeight="1">
      <c r="A16483" s="740"/>
    </row>
    <row r="16484" ht="14.25" customHeight="1">
      <c r="A16484" s="740"/>
    </row>
    <row r="16485" ht="14.25" customHeight="1">
      <c r="A16485" s="740"/>
    </row>
    <row r="16486" ht="14.25" customHeight="1">
      <c r="A16486" s="740"/>
    </row>
    <row r="16487" ht="14.25" customHeight="1">
      <c r="A16487" s="740"/>
    </row>
    <row r="16488" ht="14.25" customHeight="1">
      <c r="A16488" s="740"/>
    </row>
    <row r="16489" ht="14.25" customHeight="1">
      <c r="A16489" s="740"/>
    </row>
    <row r="16490" ht="14.25" customHeight="1">
      <c r="A16490" s="740"/>
    </row>
    <row r="16491" ht="14.25" customHeight="1">
      <c r="A16491" s="740"/>
    </row>
    <row r="16492" ht="14.25" customHeight="1">
      <c r="A16492" s="740"/>
    </row>
    <row r="16493" ht="14.25" customHeight="1">
      <c r="A16493" s="740"/>
    </row>
    <row r="16494" ht="14.25" customHeight="1">
      <c r="A16494" s="740"/>
    </row>
    <row r="16495" ht="14.25" customHeight="1">
      <c r="A16495" s="740"/>
    </row>
    <row r="16496" ht="14.25" customHeight="1">
      <c r="A16496" s="740"/>
    </row>
    <row r="16497" ht="14.25" customHeight="1">
      <c r="A16497" s="740"/>
    </row>
    <row r="16498" ht="14.25" customHeight="1">
      <c r="A16498" s="740"/>
    </row>
    <row r="16499" ht="14.25" customHeight="1">
      <c r="A16499" s="740"/>
    </row>
    <row r="16500" ht="14.25" customHeight="1">
      <c r="A16500" s="740"/>
    </row>
    <row r="16501" ht="14.25" customHeight="1">
      <c r="A16501" s="740"/>
    </row>
    <row r="16502" ht="14.25" customHeight="1">
      <c r="A16502" s="740"/>
    </row>
    <row r="16503" ht="14.25" customHeight="1">
      <c r="A16503" s="740"/>
    </row>
    <row r="16504" ht="14.25" customHeight="1">
      <c r="A16504" s="740"/>
    </row>
    <row r="16505" ht="14.25" customHeight="1">
      <c r="A16505" s="740"/>
    </row>
    <row r="16506" ht="14.25" customHeight="1">
      <c r="A16506" s="740"/>
    </row>
    <row r="16507" ht="14.25" customHeight="1">
      <c r="A16507" s="740"/>
    </row>
    <row r="16508" ht="14.25" customHeight="1">
      <c r="A16508" s="740"/>
    </row>
    <row r="16509" ht="14.25" customHeight="1">
      <c r="A16509" s="740"/>
    </row>
    <row r="16510" ht="14.25" customHeight="1">
      <c r="A16510" s="740"/>
    </row>
    <row r="16511" ht="14.25" customHeight="1">
      <c r="A16511" s="740"/>
    </row>
    <row r="16512" ht="14.25" customHeight="1">
      <c r="A16512" s="740"/>
    </row>
    <row r="16513" ht="14.25" customHeight="1">
      <c r="A16513" s="740"/>
    </row>
    <row r="16514" ht="14.25" customHeight="1">
      <c r="A16514" s="740"/>
    </row>
    <row r="16515" ht="14.25" customHeight="1">
      <c r="A16515" s="740"/>
    </row>
    <row r="16516" ht="14.25" customHeight="1">
      <c r="A16516" s="740"/>
    </row>
    <row r="16517" ht="14.25" customHeight="1">
      <c r="A16517" s="740"/>
    </row>
    <row r="16518" ht="14.25" customHeight="1">
      <c r="A16518" s="740"/>
    </row>
    <row r="16519" ht="14.25" customHeight="1">
      <c r="A16519" s="740"/>
    </row>
    <row r="16520" ht="14.25" customHeight="1">
      <c r="A16520" s="740"/>
    </row>
    <row r="16521" ht="14.25" customHeight="1">
      <c r="A16521" s="740"/>
    </row>
    <row r="16522" ht="14.25" customHeight="1">
      <c r="A16522" s="740"/>
    </row>
    <row r="16523" ht="14.25" customHeight="1">
      <c r="A16523" s="740"/>
    </row>
    <row r="16524" ht="14.25" customHeight="1">
      <c r="A16524" s="740"/>
    </row>
    <row r="16525" ht="14.25" customHeight="1">
      <c r="A16525" s="740"/>
    </row>
    <row r="16526" ht="14.25" customHeight="1">
      <c r="A16526" s="740"/>
    </row>
    <row r="16527" ht="14.25" customHeight="1">
      <c r="A16527" s="740"/>
    </row>
    <row r="16528" ht="14.25" customHeight="1">
      <c r="A16528" s="740"/>
    </row>
    <row r="16529" ht="14.25" customHeight="1">
      <c r="A16529" s="740"/>
    </row>
    <row r="16530" ht="14.25" customHeight="1">
      <c r="A16530" s="740"/>
    </row>
    <row r="16531" ht="14.25" customHeight="1">
      <c r="A16531" s="740"/>
    </row>
    <row r="16532" ht="14.25" customHeight="1">
      <c r="A16532" s="740"/>
    </row>
    <row r="16533" ht="14.25" customHeight="1">
      <c r="A16533" s="740"/>
    </row>
    <row r="16534" ht="14.25" customHeight="1">
      <c r="A16534" s="740"/>
    </row>
    <row r="16535" ht="14.25" customHeight="1">
      <c r="A16535" s="740"/>
    </row>
    <row r="16536" ht="14.25" customHeight="1">
      <c r="A16536" s="740"/>
    </row>
    <row r="16537" ht="14.25" customHeight="1">
      <c r="A16537" s="740"/>
    </row>
    <row r="16538" ht="14.25" customHeight="1">
      <c r="A16538" s="740"/>
    </row>
    <row r="16539" ht="14.25" customHeight="1">
      <c r="A16539" s="740"/>
    </row>
    <row r="16540" ht="14.25" customHeight="1">
      <c r="A16540" s="740"/>
    </row>
    <row r="16541" ht="14.25" customHeight="1">
      <c r="A16541" s="740"/>
    </row>
    <row r="16542" ht="14.25" customHeight="1">
      <c r="A16542" s="740"/>
    </row>
    <row r="16543" ht="14.25" customHeight="1">
      <c r="A16543" s="740"/>
    </row>
    <row r="16544" ht="14.25" customHeight="1">
      <c r="A16544" s="740"/>
    </row>
    <row r="16545" ht="14.25" customHeight="1">
      <c r="A16545" s="740"/>
    </row>
    <row r="16546" ht="14.25" customHeight="1">
      <c r="A16546" s="740"/>
    </row>
    <row r="16547" ht="14.25" customHeight="1">
      <c r="A16547" s="740"/>
    </row>
    <row r="16548" ht="14.25" customHeight="1">
      <c r="A16548" s="740"/>
    </row>
    <row r="16549" ht="14.25" customHeight="1">
      <c r="A16549" s="740"/>
    </row>
    <row r="16550" ht="14.25" customHeight="1">
      <c r="A16550" s="740"/>
    </row>
    <row r="16551" ht="14.25" customHeight="1">
      <c r="A16551" s="740"/>
    </row>
    <row r="16552" ht="14.25" customHeight="1">
      <c r="A16552" s="740"/>
    </row>
    <row r="16553" ht="14.25" customHeight="1">
      <c r="A16553" s="740"/>
    </row>
    <row r="16554" ht="14.25" customHeight="1">
      <c r="A16554" s="740"/>
    </row>
    <row r="16555" ht="14.25" customHeight="1">
      <c r="A16555" s="740"/>
    </row>
    <row r="16556" ht="14.25" customHeight="1">
      <c r="A16556" s="740"/>
    </row>
    <row r="16557" ht="14.25" customHeight="1">
      <c r="A16557" s="740"/>
    </row>
    <row r="16558" ht="14.25" customHeight="1">
      <c r="A16558" s="740"/>
    </row>
    <row r="16559" ht="14.25" customHeight="1">
      <c r="A16559" s="740"/>
    </row>
    <row r="16560" ht="14.25" customHeight="1">
      <c r="A16560" s="740"/>
    </row>
    <row r="16561" ht="14.25" customHeight="1">
      <c r="A16561" s="740"/>
    </row>
    <row r="16562" ht="14.25" customHeight="1">
      <c r="A16562" s="740"/>
    </row>
    <row r="16563" ht="14.25" customHeight="1">
      <c r="A16563" s="740"/>
    </row>
    <row r="16564" ht="14.25" customHeight="1">
      <c r="A16564" s="740"/>
    </row>
    <row r="16565" ht="14.25" customHeight="1">
      <c r="A16565" s="740"/>
    </row>
    <row r="16566" ht="14.25" customHeight="1">
      <c r="A16566" s="740"/>
    </row>
    <row r="16567" ht="14.25" customHeight="1">
      <c r="A16567" s="740"/>
    </row>
    <row r="16568" ht="14.25" customHeight="1">
      <c r="A16568" s="740"/>
    </row>
    <row r="16569" ht="14.25" customHeight="1">
      <c r="A16569" s="740"/>
    </row>
    <row r="16570" ht="14.25" customHeight="1">
      <c r="A16570" s="740"/>
    </row>
    <row r="16571" ht="14.25" customHeight="1">
      <c r="A16571" s="740"/>
    </row>
    <row r="16572" ht="14.25" customHeight="1">
      <c r="A16572" s="740"/>
    </row>
    <row r="16573" ht="14.25" customHeight="1">
      <c r="A16573" s="740"/>
    </row>
    <row r="16574" ht="14.25" customHeight="1">
      <c r="A16574" s="740"/>
    </row>
    <row r="16575" ht="14.25" customHeight="1">
      <c r="A16575" s="740"/>
    </row>
    <row r="16576" ht="14.25" customHeight="1">
      <c r="A16576" s="740"/>
    </row>
    <row r="16577" ht="14.25" customHeight="1">
      <c r="A16577" s="740"/>
    </row>
    <row r="16578" ht="14.25" customHeight="1">
      <c r="A16578" s="740"/>
    </row>
    <row r="16579" ht="14.25" customHeight="1">
      <c r="A16579" s="740"/>
    </row>
    <row r="16580" ht="14.25" customHeight="1">
      <c r="A16580" s="740"/>
    </row>
    <row r="16581" ht="14.25" customHeight="1">
      <c r="A16581" s="740"/>
    </row>
    <row r="16582" ht="14.25" customHeight="1">
      <c r="A16582" s="740"/>
    </row>
    <row r="16583" ht="14.25" customHeight="1">
      <c r="A16583" s="740"/>
    </row>
    <row r="16584" ht="14.25" customHeight="1">
      <c r="A16584" s="740"/>
    </row>
    <row r="16585" ht="14.25" customHeight="1">
      <c r="A16585" s="740"/>
    </row>
    <row r="16586" ht="14.25" customHeight="1">
      <c r="A16586" s="740"/>
    </row>
    <row r="16587" ht="14.25" customHeight="1">
      <c r="A16587" s="740"/>
    </row>
    <row r="16588" ht="14.25" customHeight="1">
      <c r="A16588" s="740"/>
    </row>
    <row r="16589" ht="14.25" customHeight="1">
      <c r="A16589" s="740"/>
    </row>
    <row r="16590" ht="14.25" customHeight="1">
      <c r="A16590" s="740"/>
    </row>
    <row r="16591" ht="14.25" customHeight="1">
      <c r="A16591" s="740"/>
    </row>
    <row r="16592" ht="14.25" customHeight="1">
      <c r="A16592" s="740"/>
    </row>
    <row r="16593" ht="14.25" customHeight="1">
      <c r="A16593" s="740"/>
    </row>
    <row r="16594" ht="14.25" customHeight="1">
      <c r="A16594" s="740"/>
    </row>
    <row r="16595" ht="14.25" customHeight="1">
      <c r="A16595" s="740"/>
    </row>
    <row r="16596" ht="14.25" customHeight="1">
      <c r="A16596" s="740"/>
    </row>
    <row r="16597" ht="14.25" customHeight="1">
      <c r="A16597" s="740"/>
    </row>
    <row r="16598" ht="14.25" customHeight="1">
      <c r="A16598" s="740"/>
    </row>
    <row r="16599" ht="14.25" customHeight="1">
      <c r="A16599" s="740"/>
    </row>
    <row r="16600" ht="14.25" customHeight="1">
      <c r="A16600" s="740"/>
    </row>
    <row r="16601" ht="14.25" customHeight="1">
      <c r="A16601" s="740"/>
    </row>
    <row r="16602" ht="14.25" customHeight="1">
      <c r="A16602" s="740"/>
    </row>
    <row r="16603" ht="14.25" customHeight="1">
      <c r="A16603" s="740"/>
    </row>
    <row r="16604" ht="14.25" customHeight="1">
      <c r="A16604" s="740"/>
    </row>
    <row r="16605" ht="14.25" customHeight="1">
      <c r="A16605" s="740"/>
    </row>
    <row r="16606" ht="14.25" customHeight="1">
      <c r="A16606" s="740"/>
    </row>
    <row r="16607" ht="14.25" customHeight="1">
      <c r="A16607" s="740"/>
    </row>
    <row r="16608" ht="14.25" customHeight="1">
      <c r="A16608" s="740"/>
    </row>
    <row r="16609" ht="14.25" customHeight="1">
      <c r="A16609" s="740"/>
    </row>
    <row r="16610" ht="14.25" customHeight="1">
      <c r="A16610" s="740"/>
    </row>
    <row r="16611" ht="14.25" customHeight="1">
      <c r="A16611" s="740"/>
    </row>
    <row r="16612" ht="14.25" customHeight="1">
      <c r="A16612" s="740"/>
    </row>
    <row r="16613" ht="14.25" customHeight="1">
      <c r="A16613" s="740"/>
    </row>
    <row r="16614" ht="14.25" customHeight="1">
      <c r="A16614" s="740"/>
    </row>
    <row r="16615" ht="14.25" customHeight="1">
      <c r="A16615" s="740"/>
    </row>
    <row r="16616" ht="14.25" customHeight="1">
      <c r="A16616" s="740"/>
    </row>
    <row r="16617" ht="14.25" customHeight="1">
      <c r="A16617" s="740"/>
    </row>
    <row r="16618" ht="14.25" customHeight="1">
      <c r="A16618" s="740"/>
    </row>
    <row r="16619" ht="14.25" customHeight="1">
      <c r="A16619" s="740"/>
    </row>
    <row r="16620" ht="14.25" customHeight="1">
      <c r="A16620" s="740"/>
    </row>
    <row r="16621" ht="14.25" customHeight="1">
      <c r="A16621" s="740"/>
    </row>
    <row r="16622" ht="14.25" customHeight="1">
      <c r="A16622" s="740"/>
    </row>
    <row r="16623" ht="14.25" customHeight="1">
      <c r="A16623" s="740"/>
    </row>
    <row r="16624" ht="14.25" customHeight="1">
      <c r="A16624" s="740"/>
    </row>
    <row r="16625" ht="14.25" customHeight="1">
      <c r="A16625" s="740"/>
    </row>
    <row r="16626" ht="14.25" customHeight="1">
      <c r="A16626" s="740"/>
    </row>
    <row r="16627" ht="14.25" customHeight="1">
      <c r="A16627" s="740"/>
    </row>
    <row r="16628" ht="14.25" customHeight="1">
      <c r="A16628" s="740"/>
    </row>
    <row r="16629" ht="14.25" customHeight="1">
      <c r="A16629" s="740"/>
    </row>
    <row r="16630" ht="14.25" customHeight="1">
      <c r="A16630" s="740"/>
    </row>
    <row r="16631" ht="14.25" customHeight="1">
      <c r="A16631" s="740"/>
    </row>
    <row r="16632" ht="14.25" customHeight="1">
      <c r="A16632" s="740"/>
    </row>
    <row r="16633" ht="14.25" customHeight="1">
      <c r="A16633" s="740"/>
    </row>
    <row r="16634" ht="14.25" customHeight="1">
      <c r="A16634" s="740"/>
    </row>
    <row r="16635" ht="14.25" customHeight="1">
      <c r="A16635" s="740"/>
    </row>
    <row r="16636" ht="14.25" customHeight="1">
      <c r="A16636" s="740"/>
    </row>
    <row r="16637" ht="14.25" customHeight="1">
      <c r="A16637" s="740"/>
    </row>
    <row r="16638" ht="14.25" customHeight="1">
      <c r="A16638" s="740"/>
    </row>
    <row r="16639" ht="14.25" customHeight="1">
      <c r="A16639" s="740"/>
    </row>
    <row r="16640" ht="14.25" customHeight="1">
      <c r="A16640" s="740"/>
    </row>
    <row r="16641" ht="14.25" customHeight="1">
      <c r="A16641" s="740"/>
    </row>
    <row r="16642" ht="14.25" customHeight="1">
      <c r="A16642" s="740"/>
    </row>
    <row r="16643" ht="14.25" customHeight="1">
      <c r="A16643" s="740"/>
    </row>
    <row r="16644" ht="14.25" customHeight="1">
      <c r="A16644" s="740"/>
    </row>
    <row r="16645" ht="14.25" customHeight="1">
      <c r="A16645" s="740"/>
    </row>
    <row r="16646" ht="14.25" customHeight="1">
      <c r="A16646" s="740"/>
    </row>
    <row r="16647" ht="14.25" customHeight="1">
      <c r="A16647" s="740"/>
    </row>
    <row r="16648" ht="14.25" customHeight="1">
      <c r="A16648" s="740"/>
    </row>
    <row r="16649" ht="14.25" customHeight="1">
      <c r="A16649" s="740"/>
    </row>
    <row r="16650" ht="14.25" customHeight="1">
      <c r="A16650" s="740"/>
    </row>
    <row r="16651" ht="14.25" customHeight="1">
      <c r="A16651" s="740"/>
    </row>
    <row r="16652" ht="14.25" customHeight="1">
      <c r="A16652" s="740"/>
    </row>
    <row r="16653" ht="14.25" customHeight="1">
      <c r="A16653" s="740"/>
    </row>
    <row r="16654" ht="14.25" customHeight="1">
      <c r="A16654" s="740"/>
    </row>
    <row r="16655" ht="14.25" customHeight="1">
      <c r="A16655" s="740"/>
    </row>
    <row r="16656" ht="14.25" customHeight="1">
      <c r="A16656" s="740"/>
    </row>
    <row r="16657" ht="14.25" customHeight="1">
      <c r="A16657" s="740"/>
    </row>
    <row r="16658" ht="14.25" customHeight="1">
      <c r="A16658" s="740"/>
    </row>
    <row r="16659" ht="14.25" customHeight="1">
      <c r="A16659" s="740"/>
    </row>
    <row r="16660" ht="14.25" customHeight="1">
      <c r="A16660" s="740"/>
    </row>
    <row r="16661" ht="14.25" customHeight="1">
      <c r="A16661" s="740"/>
    </row>
    <row r="16662" ht="14.25" customHeight="1">
      <c r="A16662" s="740"/>
    </row>
    <row r="16663" ht="14.25" customHeight="1">
      <c r="A16663" s="740"/>
    </row>
    <row r="16664" ht="14.25" customHeight="1">
      <c r="A16664" s="740"/>
    </row>
    <row r="16665" ht="14.25" customHeight="1">
      <c r="A16665" s="740"/>
    </row>
    <row r="16666" ht="14.25" customHeight="1">
      <c r="A16666" s="740"/>
    </row>
    <row r="16667" ht="14.25" customHeight="1">
      <c r="A16667" s="740"/>
    </row>
    <row r="16668" ht="14.25" customHeight="1">
      <c r="A16668" s="740"/>
    </row>
    <row r="16669" ht="14.25" customHeight="1">
      <c r="A16669" s="740"/>
    </row>
    <row r="16670" ht="14.25" customHeight="1">
      <c r="A16670" s="740"/>
    </row>
    <row r="16671" ht="14.25" customHeight="1">
      <c r="A16671" s="740"/>
    </row>
    <row r="16672" ht="14.25" customHeight="1">
      <c r="A16672" s="740"/>
    </row>
    <row r="16673" ht="14.25" customHeight="1">
      <c r="A16673" s="740"/>
    </row>
    <row r="16674" ht="14.25" customHeight="1">
      <c r="A16674" s="740"/>
    </row>
    <row r="16675" ht="14.25" customHeight="1">
      <c r="A16675" s="740"/>
    </row>
    <row r="16676" ht="14.25" customHeight="1">
      <c r="A16676" s="740"/>
    </row>
    <row r="16677" ht="14.25" customHeight="1">
      <c r="A16677" s="740"/>
    </row>
    <row r="16678" ht="14.25" customHeight="1">
      <c r="A16678" s="740"/>
    </row>
    <row r="16679" ht="14.25" customHeight="1">
      <c r="A16679" s="740"/>
    </row>
    <row r="16680" ht="14.25" customHeight="1">
      <c r="A16680" s="740"/>
    </row>
    <row r="16681" ht="14.25" customHeight="1">
      <c r="A16681" s="740"/>
    </row>
    <row r="16682" ht="14.25" customHeight="1">
      <c r="A16682" s="740"/>
    </row>
    <row r="16683" ht="14.25" customHeight="1">
      <c r="A16683" s="740"/>
    </row>
    <row r="16684" ht="14.25" customHeight="1">
      <c r="A16684" s="740"/>
    </row>
    <row r="16685" ht="14.25" customHeight="1">
      <c r="A16685" s="740"/>
    </row>
    <row r="16686" ht="14.25" customHeight="1">
      <c r="A16686" s="740"/>
    </row>
    <row r="16687" ht="14.25" customHeight="1">
      <c r="A16687" s="740"/>
    </row>
    <row r="16688" ht="14.25" customHeight="1">
      <c r="A16688" s="740"/>
    </row>
    <row r="16689" ht="14.25" customHeight="1">
      <c r="A16689" s="740"/>
    </row>
    <row r="16690" ht="14.25" customHeight="1">
      <c r="A16690" s="740"/>
    </row>
    <row r="16691" ht="14.25" customHeight="1">
      <c r="A16691" s="740"/>
    </row>
    <row r="16692" ht="14.25" customHeight="1">
      <c r="A16692" s="740"/>
    </row>
    <row r="16693" ht="14.25" customHeight="1">
      <c r="A16693" s="740"/>
    </row>
    <row r="16694" ht="14.25" customHeight="1">
      <c r="A16694" s="740"/>
    </row>
    <row r="16695" ht="14.25" customHeight="1">
      <c r="A16695" s="740"/>
    </row>
    <row r="16696" ht="14.25" customHeight="1">
      <c r="A16696" s="740"/>
    </row>
    <row r="16697" ht="14.25" customHeight="1">
      <c r="A16697" s="740"/>
    </row>
    <row r="16698" ht="14.25" customHeight="1">
      <c r="A16698" s="740"/>
    </row>
    <row r="16699" ht="14.25" customHeight="1">
      <c r="A16699" s="740"/>
    </row>
    <row r="16700" ht="14.25" customHeight="1">
      <c r="A16700" s="740"/>
    </row>
    <row r="16701" ht="14.25" customHeight="1">
      <c r="A16701" s="740"/>
    </row>
    <row r="16702" ht="14.25" customHeight="1">
      <c r="A16702" s="740"/>
    </row>
    <row r="16703" ht="14.25" customHeight="1">
      <c r="A16703" s="740"/>
    </row>
    <row r="16704" ht="14.25" customHeight="1">
      <c r="A16704" s="740"/>
    </row>
    <row r="16705" ht="14.25" customHeight="1">
      <c r="A16705" s="740"/>
    </row>
    <row r="16706" ht="14.25" customHeight="1">
      <c r="A16706" s="740"/>
    </row>
    <row r="16707" ht="14.25" customHeight="1">
      <c r="A16707" s="740"/>
    </row>
    <row r="16708" ht="14.25" customHeight="1">
      <c r="A16708" s="740"/>
    </row>
    <row r="16709" ht="14.25" customHeight="1">
      <c r="A16709" s="740"/>
    </row>
    <row r="16710" ht="14.25" customHeight="1">
      <c r="A16710" s="740"/>
    </row>
    <row r="16711" ht="14.25" customHeight="1">
      <c r="A16711" s="740"/>
    </row>
    <row r="16712" ht="14.25" customHeight="1">
      <c r="A16712" s="740"/>
    </row>
    <row r="16713" ht="14.25" customHeight="1">
      <c r="A16713" s="740"/>
    </row>
    <row r="16714" ht="14.25" customHeight="1">
      <c r="A16714" s="740"/>
    </row>
    <row r="16715" ht="14.25" customHeight="1">
      <c r="A16715" s="740"/>
    </row>
    <row r="16716" ht="14.25" customHeight="1">
      <c r="A16716" s="740"/>
    </row>
    <row r="16717" ht="14.25" customHeight="1">
      <c r="A16717" s="740"/>
    </row>
    <row r="16718" ht="14.25" customHeight="1">
      <c r="A16718" s="740"/>
    </row>
    <row r="16719" ht="14.25" customHeight="1">
      <c r="A16719" s="740"/>
    </row>
    <row r="16720" ht="14.25" customHeight="1">
      <c r="A16720" s="740"/>
    </row>
    <row r="16721" ht="14.25" customHeight="1">
      <c r="A16721" s="740"/>
    </row>
    <row r="16722" ht="14.25" customHeight="1">
      <c r="A16722" s="740"/>
    </row>
    <row r="16723" ht="14.25" customHeight="1">
      <c r="A16723" s="740"/>
    </row>
    <row r="16724" ht="14.25" customHeight="1">
      <c r="A16724" s="740"/>
    </row>
    <row r="16725" ht="14.25" customHeight="1">
      <c r="A16725" s="740"/>
    </row>
    <row r="16726" ht="14.25" customHeight="1">
      <c r="A16726" s="740"/>
    </row>
    <row r="16727" ht="14.25" customHeight="1">
      <c r="A16727" s="740"/>
    </row>
    <row r="16728" ht="14.25" customHeight="1">
      <c r="A16728" s="740"/>
    </row>
    <row r="16729" ht="14.25" customHeight="1">
      <c r="A16729" s="740"/>
    </row>
    <row r="16730" ht="14.25" customHeight="1">
      <c r="A16730" s="740"/>
    </row>
    <row r="16731" ht="14.25" customHeight="1">
      <c r="A16731" s="740"/>
    </row>
    <row r="16732" ht="14.25" customHeight="1">
      <c r="A16732" s="740"/>
    </row>
    <row r="16733" ht="14.25" customHeight="1">
      <c r="A16733" s="740"/>
    </row>
    <row r="16734" ht="14.25" customHeight="1">
      <c r="A16734" s="740"/>
    </row>
    <row r="16735" ht="14.25" customHeight="1">
      <c r="A16735" s="740"/>
    </row>
    <row r="16736" ht="14.25" customHeight="1">
      <c r="A16736" s="740"/>
    </row>
    <row r="16737" ht="14.25" customHeight="1">
      <c r="A16737" s="740"/>
    </row>
    <row r="16738" ht="14.25" customHeight="1">
      <c r="A16738" s="740"/>
    </row>
    <row r="16739" ht="14.25" customHeight="1">
      <c r="A16739" s="740"/>
    </row>
    <row r="16740" ht="14.25" customHeight="1">
      <c r="A16740" s="740"/>
    </row>
    <row r="16741" ht="14.25" customHeight="1">
      <c r="A16741" s="740"/>
    </row>
    <row r="16742" ht="14.25" customHeight="1">
      <c r="A16742" s="740"/>
    </row>
    <row r="16743" ht="14.25" customHeight="1">
      <c r="A16743" s="740"/>
    </row>
    <row r="16744" ht="14.25" customHeight="1">
      <c r="A16744" s="740"/>
    </row>
    <row r="16745" ht="14.25" customHeight="1">
      <c r="A16745" s="740"/>
    </row>
    <row r="16746" ht="14.25" customHeight="1">
      <c r="A16746" s="740"/>
    </row>
    <row r="16747" ht="14.25" customHeight="1">
      <c r="A16747" s="740"/>
    </row>
    <row r="16748" ht="14.25" customHeight="1">
      <c r="A16748" s="740"/>
    </row>
    <row r="16749" ht="14.25" customHeight="1">
      <c r="A16749" s="740"/>
    </row>
    <row r="16750" ht="14.25" customHeight="1">
      <c r="A16750" s="740"/>
    </row>
    <row r="16751" ht="14.25" customHeight="1">
      <c r="A16751" s="740"/>
    </row>
    <row r="16752" ht="14.25" customHeight="1">
      <c r="A16752" s="740"/>
    </row>
    <row r="16753" ht="14.25" customHeight="1">
      <c r="A16753" s="740"/>
    </row>
    <row r="16754" ht="14.25" customHeight="1">
      <c r="A16754" s="740"/>
    </row>
    <row r="16755" ht="14.25" customHeight="1">
      <c r="A16755" s="740"/>
    </row>
    <row r="16756" ht="14.25" customHeight="1">
      <c r="A16756" s="740"/>
    </row>
    <row r="16757" ht="14.25" customHeight="1">
      <c r="A16757" s="740"/>
    </row>
    <row r="16758" ht="14.25" customHeight="1">
      <c r="A16758" s="740"/>
    </row>
    <row r="16759" ht="14.25" customHeight="1">
      <c r="A16759" s="740"/>
    </row>
    <row r="16760" ht="14.25" customHeight="1">
      <c r="A16760" s="740"/>
    </row>
    <row r="16761" ht="14.25" customHeight="1">
      <c r="A16761" s="740"/>
    </row>
    <row r="16762" ht="14.25" customHeight="1">
      <c r="A16762" s="740"/>
    </row>
    <row r="16763" ht="14.25" customHeight="1">
      <c r="A16763" s="740"/>
    </row>
    <row r="16764" ht="14.25" customHeight="1">
      <c r="A16764" s="740"/>
    </row>
    <row r="16765" ht="14.25" customHeight="1">
      <c r="A16765" s="740"/>
    </row>
    <row r="16766" ht="14.25" customHeight="1">
      <c r="A16766" s="740"/>
    </row>
    <row r="16767" ht="14.25" customHeight="1">
      <c r="A16767" s="740"/>
    </row>
    <row r="16768" ht="14.25" customHeight="1">
      <c r="A16768" s="740"/>
    </row>
    <row r="16769" ht="14.25" customHeight="1">
      <c r="A16769" s="740"/>
    </row>
    <row r="16770" ht="14.25" customHeight="1">
      <c r="A16770" s="740"/>
    </row>
    <row r="16771" ht="14.25" customHeight="1">
      <c r="A16771" s="740"/>
    </row>
    <row r="16772" ht="14.25" customHeight="1">
      <c r="A16772" s="740"/>
    </row>
    <row r="16773" ht="14.25" customHeight="1">
      <c r="A16773" s="740"/>
    </row>
    <row r="16774" ht="14.25" customHeight="1">
      <c r="A16774" s="740"/>
    </row>
    <row r="16775" ht="14.25" customHeight="1">
      <c r="A16775" s="740"/>
    </row>
    <row r="16776" ht="14.25" customHeight="1">
      <c r="A16776" s="740"/>
    </row>
    <row r="16777" ht="14.25" customHeight="1">
      <c r="A16777" s="740"/>
    </row>
    <row r="16778" ht="14.25" customHeight="1">
      <c r="A16778" s="740"/>
    </row>
    <row r="16779" ht="14.25" customHeight="1">
      <c r="A16779" s="740"/>
    </row>
    <row r="16780" ht="14.25" customHeight="1">
      <c r="A16780" s="740"/>
    </row>
    <row r="16781" ht="14.25" customHeight="1">
      <c r="A16781" s="740"/>
    </row>
    <row r="16782" ht="14.25" customHeight="1">
      <c r="A16782" s="740"/>
    </row>
    <row r="16783" ht="14.25" customHeight="1">
      <c r="A16783" s="740"/>
    </row>
    <row r="16784" ht="14.25" customHeight="1">
      <c r="A16784" s="740"/>
    </row>
    <row r="16785" ht="14.25" customHeight="1">
      <c r="A16785" s="740"/>
    </row>
    <row r="16786" ht="14.25" customHeight="1">
      <c r="A16786" s="740"/>
    </row>
    <row r="16787" ht="14.25" customHeight="1">
      <c r="A16787" s="740"/>
    </row>
    <row r="16788" ht="14.25" customHeight="1">
      <c r="A16788" s="740"/>
    </row>
    <row r="16789" ht="14.25" customHeight="1">
      <c r="A16789" s="740"/>
    </row>
    <row r="16790" ht="14.25" customHeight="1">
      <c r="A16790" s="740"/>
    </row>
    <row r="16791" ht="14.25" customHeight="1">
      <c r="A16791" s="740"/>
    </row>
    <row r="16792" ht="14.25" customHeight="1">
      <c r="A16792" s="740"/>
    </row>
    <row r="16793" ht="14.25" customHeight="1">
      <c r="A16793" s="740"/>
    </row>
    <row r="16794" ht="14.25" customHeight="1">
      <c r="A16794" s="740"/>
    </row>
    <row r="16795" ht="14.25" customHeight="1">
      <c r="A16795" s="740"/>
    </row>
    <row r="16796" ht="14.25" customHeight="1">
      <c r="A16796" s="740"/>
    </row>
    <row r="16797" ht="14.25" customHeight="1">
      <c r="A16797" s="740"/>
    </row>
    <row r="16798" ht="14.25" customHeight="1">
      <c r="A16798" s="740"/>
    </row>
    <row r="16799" ht="14.25" customHeight="1">
      <c r="A16799" s="740"/>
    </row>
    <row r="16800" ht="14.25" customHeight="1">
      <c r="A16800" s="740"/>
    </row>
    <row r="16801" ht="14.25" customHeight="1">
      <c r="A16801" s="740"/>
    </row>
    <row r="16802" ht="14.25" customHeight="1">
      <c r="A16802" s="740"/>
    </row>
    <row r="16803" ht="14.25" customHeight="1">
      <c r="A16803" s="740"/>
    </row>
    <row r="16804" ht="14.25" customHeight="1">
      <c r="A16804" s="740"/>
    </row>
    <row r="16805" ht="14.25" customHeight="1">
      <c r="A16805" s="740"/>
    </row>
    <row r="16806" ht="14.25" customHeight="1">
      <c r="A16806" s="740"/>
    </row>
    <row r="16807" ht="14.25" customHeight="1">
      <c r="A16807" s="740"/>
    </row>
    <row r="16808" ht="14.25" customHeight="1">
      <c r="A16808" s="740"/>
    </row>
    <row r="16809" ht="14.25" customHeight="1">
      <c r="A16809" s="740"/>
    </row>
    <row r="16810" ht="14.25" customHeight="1">
      <c r="A16810" s="740"/>
    </row>
    <row r="16811" ht="14.25" customHeight="1">
      <c r="A16811" s="740"/>
    </row>
    <row r="16812" ht="14.25" customHeight="1">
      <c r="A16812" s="740"/>
    </row>
    <row r="16813" ht="14.25" customHeight="1">
      <c r="A16813" s="740"/>
    </row>
    <row r="16814" ht="14.25" customHeight="1">
      <c r="A16814" s="740"/>
    </row>
    <row r="16815" ht="14.25" customHeight="1">
      <c r="A16815" s="740"/>
    </row>
    <row r="16816" ht="14.25" customHeight="1">
      <c r="A16816" s="740"/>
    </row>
    <row r="16817" ht="14.25" customHeight="1">
      <c r="A16817" s="740"/>
    </row>
    <row r="16818" ht="14.25" customHeight="1">
      <c r="A16818" s="740"/>
    </row>
    <row r="16819" ht="14.25" customHeight="1">
      <c r="A16819" s="740"/>
    </row>
    <row r="16820" ht="14.25" customHeight="1">
      <c r="A16820" s="740"/>
    </row>
    <row r="16821" ht="14.25" customHeight="1">
      <c r="A16821" s="740"/>
    </row>
    <row r="16822" ht="14.25" customHeight="1">
      <c r="A16822" s="740"/>
    </row>
    <row r="16823" ht="14.25" customHeight="1">
      <c r="A16823" s="740"/>
    </row>
    <row r="16824" ht="14.25" customHeight="1">
      <c r="A16824" s="740"/>
    </row>
    <row r="16825" ht="14.25" customHeight="1">
      <c r="A16825" s="740"/>
    </row>
    <row r="16826" ht="14.25" customHeight="1">
      <c r="A16826" s="740"/>
    </row>
    <row r="16827" ht="14.25" customHeight="1">
      <c r="A16827" s="740"/>
    </row>
    <row r="16828" ht="14.25" customHeight="1">
      <c r="A16828" s="740"/>
    </row>
    <row r="16829" ht="14.25" customHeight="1">
      <c r="A16829" s="740"/>
    </row>
    <row r="16830" ht="14.25" customHeight="1">
      <c r="A16830" s="740"/>
    </row>
    <row r="16831" ht="14.25" customHeight="1">
      <c r="A16831" s="740"/>
    </row>
    <row r="16832" ht="14.25" customHeight="1">
      <c r="A16832" s="740"/>
    </row>
    <row r="16833" ht="14.25" customHeight="1">
      <c r="A16833" s="740"/>
    </row>
    <row r="16834" ht="14.25" customHeight="1">
      <c r="A16834" s="740"/>
    </row>
    <row r="16835" ht="14.25" customHeight="1">
      <c r="A16835" s="740"/>
    </row>
    <row r="16836" ht="14.25" customHeight="1">
      <c r="A16836" s="740"/>
    </row>
    <row r="16837" ht="14.25" customHeight="1">
      <c r="A16837" s="740"/>
    </row>
    <row r="16838" ht="14.25" customHeight="1">
      <c r="A16838" s="740"/>
    </row>
    <row r="16839" ht="14.25" customHeight="1">
      <c r="A16839" s="740"/>
    </row>
    <row r="16840" ht="14.25" customHeight="1">
      <c r="A16840" s="740"/>
    </row>
    <row r="16841" ht="14.25" customHeight="1">
      <c r="A16841" s="740"/>
    </row>
    <row r="16842" ht="14.25" customHeight="1">
      <c r="A16842" s="740"/>
    </row>
    <row r="16843" ht="14.25" customHeight="1">
      <c r="A16843" s="740"/>
    </row>
    <row r="16844" ht="14.25" customHeight="1">
      <c r="A16844" s="740"/>
    </row>
    <row r="16845" ht="14.25" customHeight="1">
      <c r="A16845" s="740"/>
    </row>
    <row r="16846" ht="14.25" customHeight="1">
      <c r="A16846" s="740"/>
    </row>
    <row r="16847" ht="14.25" customHeight="1">
      <c r="A16847" s="740"/>
    </row>
    <row r="16848" ht="14.25" customHeight="1">
      <c r="A16848" s="740"/>
    </row>
    <row r="16849" ht="14.25" customHeight="1">
      <c r="A16849" s="740"/>
    </row>
    <row r="16850" ht="14.25" customHeight="1">
      <c r="A16850" s="740"/>
    </row>
    <row r="16851" ht="14.25" customHeight="1">
      <c r="A16851" s="740"/>
    </row>
    <row r="16852" ht="14.25" customHeight="1">
      <c r="A16852" s="740"/>
    </row>
    <row r="16853" ht="14.25" customHeight="1">
      <c r="A16853" s="740"/>
    </row>
    <row r="16854" ht="14.25" customHeight="1">
      <c r="A16854" s="740"/>
    </row>
    <row r="16855" ht="14.25" customHeight="1">
      <c r="A16855" s="740"/>
    </row>
    <row r="16856" ht="14.25" customHeight="1">
      <c r="A16856" s="740"/>
    </row>
    <row r="16857" ht="14.25" customHeight="1">
      <c r="A16857" s="740"/>
    </row>
    <row r="16858" ht="14.25" customHeight="1">
      <c r="A16858" s="740"/>
    </row>
    <row r="16859" ht="14.25" customHeight="1">
      <c r="A16859" s="740"/>
    </row>
    <row r="16860" ht="14.25" customHeight="1">
      <c r="A16860" s="740"/>
    </row>
    <row r="16861" ht="14.25" customHeight="1">
      <c r="A16861" s="740"/>
    </row>
    <row r="16862" ht="14.25" customHeight="1">
      <c r="A16862" s="740"/>
    </row>
    <row r="16863" ht="14.25" customHeight="1">
      <c r="A16863" s="740"/>
    </row>
    <row r="16864" ht="14.25" customHeight="1">
      <c r="A16864" s="740"/>
    </row>
    <row r="16865" ht="14.25" customHeight="1">
      <c r="A16865" s="740"/>
    </row>
    <row r="16866" ht="14.25" customHeight="1">
      <c r="A16866" s="740"/>
    </row>
    <row r="16867" ht="14.25" customHeight="1">
      <c r="A16867" s="740"/>
    </row>
    <row r="16868" ht="14.25" customHeight="1">
      <c r="A16868" s="740"/>
    </row>
    <row r="16869" ht="14.25" customHeight="1">
      <c r="A16869" s="740"/>
    </row>
    <row r="16870" ht="14.25" customHeight="1">
      <c r="A16870" s="740"/>
    </row>
    <row r="16871" ht="14.25" customHeight="1">
      <c r="A16871" s="740"/>
    </row>
    <row r="16872" ht="14.25" customHeight="1">
      <c r="A16872" s="740"/>
    </row>
    <row r="16873" ht="14.25" customHeight="1">
      <c r="A16873" s="740"/>
    </row>
    <row r="16874" ht="14.25" customHeight="1">
      <c r="A16874" s="740"/>
    </row>
    <row r="16875" ht="14.25" customHeight="1">
      <c r="A16875" s="740"/>
    </row>
    <row r="16876" ht="14.25" customHeight="1">
      <c r="A16876" s="740"/>
    </row>
    <row r="16877" ht="14.25" customHeight="1">
      <c r="A16877" s="740"/>
    </row>
    <row r="16878" ht="14.25" customHeight="1">
      <c r="A16878" s="740"/>
    </row>
    <row r="16879" ht="14.25" customHeight="1">
      <c r="A16879" s="740"/>
    </row>
    <row r="16880" ht="14.25" customHeight="1">
      <c r="A16880" s="740"/>
    </row>
    <row r="16881" ht="14.25" customHeight="1">
      <c r="A16881" s="740"/>
    </row>
    <row r="16882" ht="14.25" customHeight="1">
      <c r="A16882" s="740"/>
    </row>
    <row r="16883" ht="14.25" customHeight="1">
      <c r="A16883" s="740"/>
    </row>
    <row r="16884" ht="14.25" customHeight="1">
      <c r="A16884" s="740"/>
    </row>
    <row r="16885" ht="14.25" customHeight="1">
      <c r="A16885" s="740"/>
    </row>
    <row r="16886" ht="14.25" customHeight="1">
      <c r="A16886" s="740"/>
    </row>
    <row r="16887" ht="14.25" customHeight="1">
      <c r="A16887" s="740"/>
    </row>
    <row r="16888" ht="14.25" customHeight="1">
      <c r="A16888" s="740"/>
    </row>
    <row r="16889" ht="14.25" customHeight="1">
      <c r="A16889" s="740"/>
    </row>
    <row r="16890" ht="14.25" customHeight="1">
      <c r="A16890" s="740"/>
    </row>
    <row r="16891" ht="14.25" customHeight="1">
      <c r="A16891" s="740"/>
    </row>
    <row r="16892" ht="14.25" customHeight="1">
      <c r="A16892" s="740"/>
    </row>
    <row r="16893" ht="14.25" customHeight="1">
      <c r="A16893" s="740"/>
    </row>
    <row r="16894" ht="14.25" customHeight="1">
      <c r="A16894" s="740"/>
    </row>
    <row r="16895" ht="14.25" customHeight="1">
      <c r="A16895" s="740"/>
    </row>
    <row r="16896" ht="14.25" customHeight="1">
      <c r="A16896" s="740"/>
    </row>
    <row r="16897" ht="14.25" customHeight="1">
      <c r="A16897" s="740"/>
    </row>
    <row r="16898" ht="14.25" customHeight="1">
      <c r="A16898" s="740"/>
    </row>
    <row r="16899" ht="14.25" customHeight="1">
      <c r="A16899" s="740"/>
    </row>
    <row r="16900" ht="14.25" customHeight="1">
      <c r="A16900" s="740"/>
    </row>
    <row r="16901" ht="14.25" customHeight="1">
      <c r="A16901" s="740"/>
    </row>
    <row r="16902" ht="14.25" customHeight="1">
      <c r="A16902" s="740"/>
    </row>
    <row r="16903" ht="14.25" customHeight="1">
      <c r="A16903" s="740"/>
    </row>
    <row r="16904" ht="14.25" customHeight="1">
      <c r="A16904" s="740"/>
    </row>
    <row r="16905" ht="14.25" customHeight="1">
      <c r="A16905" s="740"/>
    </row>
    <row r="16906" ht="14.25" customHeight="1">
      <c r="A16906" s="740"/>
    </row>
    <row r="16907" ht="14.25" customHeight="1">
      <c r="A16907" s="740"/>
    </row>
    <row r="16908" ht="14.25" customHeight="1">
      <c r="A16908" s="740"/>
    </row>
    <row r="16909" ht="14.25" customHeight="1">
      <c r="A16909" s="740"/>
    </row>
    <row r="16910" ht="14.25" customHeight="1">
      <c r="A16910" s="740"/>
    </row>
    <row r="16911" ht="14.25" customHeight="1">
      <c r="A16911" s="740"/>
    </row>
    <row r="16912" ht="14.25" customHeight="1">
      <c r="A16912" s="740"/>
    </row>
    <row r="16913" ht="14.25" customHeight="1">
      <c r="A16913" s="740"/>
    </row>
    <row r="16914" ht="14.25" customHeight="1">
      <c r="A16914" s="740"/>
    </row>
    <row r="16915" ht="14.25" customHeight="1">
      <c r="A16915" s="740"/>
    </row>
    <row r="16916" ht="14.25" customHeight="1">
      <c r="A16916" s="740"/>
    </row>
    <row r="16917" ht="14.25" customHeight="1">
      <c r="A16917" s="740"/>
    </row>
    <row r="16918" ht="14.25" customHeight="1">
      <c r="A16918" s="740"/>
    </row>
    <row r="16919" ht="14.25" customHeight="1">
      <c r="A16919" s="740"/>
    </row>
    <row r="16920" ht="14.25" customHeight="1">
      <c r="A16920" s="740"/>
    </row>
    <row r="16921" ht="14.25" customHeight="1">
      <c r="A16921" s="740"/>
    </row>
    <row r="16922" ht="14.25" customHeight="1">
      <c r="A16922" s="740"/>
    </row>
    <row r="16923" ht="14.25" customHeight="1">
      <c r="A16923" s="740"/>
    </row>
    <row r="16924" ht="14.25" customHeight="1">
      <c r="A16924" s="740"/>
    </row>
    <row r="16925" ht="14.25" customHeight="1">
      <c r="A16925" s="740"/>
    </row>
    <row r="16926" ht="14.25" customHeight="1">
      <c r="A16926" s="740"/>
    </row>
    <row r="16927" ht="14.25" customHeight="1">
      <c r="A16927" s="740"/>
    </row>
    <row r="16928" ht="14.25" customHeight="1">
      <c r="A16928" s="740"/>
    </row>
    <row r="16929" ht="14.25" customHeight="1">
      <c r="A16929" s="740"/>
    </row>
    <row r="16930" ht="14.25" customHeight="1">
      <c r="A16930" s="740"/>
    </row>
    <row r="16931" ht="14.25" customHeight="1">
      <c r="A16931" s="740"/>
    </row>
    <row r="16932" ht="14.25" customHeight="1">
      <c r="A16932" s="740"/>
    </row>
    <row r="16933" ht="14.25" customHeight="1">
      <c r="A16933" s="740"/>
    </row>
    <row r="16934" ht="14.25" customHeight="1">
      <c r="A16934" s="740"/>
    </row>
    <row r="16935" ht="14.25" customHeight="1">
      <c r="A16935" s="740"/>
    </row>
    <row r="16936" ht="14.25" customHeight="1">
      <c r="A16936" s="740"/>
    </row>
    <row r="16937" ht="14.25" customHeight="1">
      <c r="A16937" s="740"/>
    </row>
    <row r="16938" ht="14.25" customHeight="1">
      <c r="A16938" s="740"/>
    </row>
    <row r="16939" ht="14.25" customHeight="1">
      <c r="A16939" s="740"/>
    </row>
    <row r="16940" ht="14.25" customHeight="1">
      <c r="A16940" s="740"/>
    </row>
    <row r="16941" ht="14.25" customHeight="1">
      <c r="A16941" s="740"/>
    </row>
    <row r="16942" ht="14.25" customHeight="1">
      <c r="A16942" s="740"/>
    </row>
    <row r="16943" ht="14.25" customHeight="1">
      <c r="A16943" s="740"/>
    </row>
    <row r="16944" ht="14.25" customHeight="1">
      <c r="A16944" s="740"/>
    </row>
    <row r="16945" ht="14.25" customHeight="1">
      <c r="A16945" s="740"/>
    </row>
    <row r="16946" ht="14.25" customHeight="1">
      <c r="A16946" s="740"/>
    </row>
    <row r="16947" ht="14.25" customHeight="1">
      <c r="A16947" s="740"/>
    </row>
    <row r="16948" ht="14.25" customHeight="1">
      <c r="A16948" s="740"/>
    </row>
    <row r="16949" ht="14.25" customHeight="1">
      <c r="A16949" s="740"/>
    </row>
    <row r="16950" ht="14.25" customHeight="1">
      <c r="A16950" s="740"/>
    </row>
    <row r="16951" ht="14.25" customHeight="1">
      <c r="A16951" s="740"/>
    </row>
    <row r="16952" ht="14.25" customHeight="1">
      <c r="A16952" s="740"/>
    </row>
    <row r="16953" ht="14.25" customHeight="1">
      <c r="A16953" s="740"/>
    </row>
    <row r="16954" ht="14.25" customHeight="1">
      <c r="A16954" s="740"/>
    </row>
    <row r="16955" ht="14.25" customHeight="1">
      <c r="A16955" s="740"/>
    </row>
    <row r="16956" ht="14.25" customHeight="1">
      <c r="A16956" s="740"/>
    </row>
    <row r="16957" ht="14.25" customHeight="1">
      <c r="A16957" s="740"/>
    </row>
    <row r="16958" ht="14.25" customHeight="1">
      <c r="A16958" s="740"/>
    </row>
    <row r="16959" ht="14.25" customHeight="1">
      <c r="A16959" s="740"/>
    </row>
    <row r="16960" ht="14.25" customHeight="1">
      <c r="A16960" s="740"/>
    </row>
    <row r="16961" ht="14.25" customHeight="1">
      <c r="A16961" s="740"/>
    </row>
    <row r="16962" ht="14.25" customHeight="1">
      <c r="A16962" s="740"/>
    </row>
    <row r="16963" ht="14.25" customHeight="1">
      <c r="A16963" s="740"/>
    </row>
    <row r="16964" ht="14.25" customHeight="1">
      <c r="A16964" s="740"/>
    </row>
    <row r="16965" ht="14.25" customHeight="1">
      <c r="A16965" s="740"/>
    </row>
    <row r="16966" ht="14.25" customHeight="1">
      <c r="A16966" s="740"/>
    </row>
    <row r="16967" ht="14.25" customHeight="1">
      <c r="A16967" s="740"/>
    </row>
    <row r="16968" ht="14.25" customHeight="1">
      <c r="A16968" s="740"/>
    </row>
    <row r="16969" ht="14.25" customHeight="1">
      <c r="A16969" s="740"/>
    </row>
    <row r="16970" ht="14.25" customHeight="1">
      <c r="A16970" s="740"/>
    </row>
    <row r="16971" ht="14.25" customHeight="1">
      <c r="A16971" s="740"/>
    </row>
    <row r="16972" ht="14.25" customHeight="1">
      <c r="A16972" s="740"/>
    </row>
    <row r="16973" ht="14.25" customHeight="1">
      <c r="A16973" s="740"/>
    </row>
    <row r="16974" ht="14.25" customHeight="1">
      <c r="A16974" s="740"/>
    </row>
    <row r="16975" ht="14.25" customHeight="1">
      <c r="A16975" s="740"/>
    </row>
    <row r="16976" ht="14.25" customHeight="1">
      <c r="A16976" s="740"/>
    </row>
    <row r="16977" ht="14.25" customHeight="1">
      <c r="A16977" s="740"/>
    </row>
    <row r="16978" ht="14.25" customHeight="1">
      <c r="A16978" s="740"/>
    </row>
    <row r="16979" ht="14.25" customHeight="1">
      <c r="A16979" s="740"/>
    </row>
    <row r="16980" ht="14.25" customHeight="1">
      <c r="A16980" s="740"/>
    </row>
    <row r="16981" ht="14.25" customHeight="1">
      <c r="A16981" s="740"/>
    </row>
    <row r="16982" ht="14.25" customHeight="1">
      <c r="A16982" s="740"/>
    </row>
    <row r="16983" ht="14.25" customHeight="1">
      <c r="A16983" s="740"/>
    </row>
    <row r="16984" ht="14.25" customHeight="1">
      <c r="A16984" s="740"/>
    </row>
    <row r="16985" ht="14.25" customHeight="1">
      <c r="A16985" s="740"/>
    </row>
    <row r="16986" ht="14.25" customHeight="1">
      <c r="A16986" s="740"/>
    </row>
    <row r="16987" ht="14.25" customHeight="1">
      <c r="A16987" s="740"/>
    </row>
    <row r="16988" ht="14.25" customHeight="1">
      <c r="A16988" s="740"/>
    </row>
    <row r="16989" ht="14.25" customHeight="1">
      <c r="A16989" s="740"/>
    </row>
    <row r="16990" ht="14.25" customHeight="1">
      <c r="A16990" s="740"/>
    </row>
    <row r="16991" ht="14.25" customHeight="1">
      <c r="A16991" s="740"/>
    </row>
    <row r="16992" ht="14.25" customHeight="1">
      <c r="A16992" s="740"/>
    </row>
    <row r="16993" ht="14.25" customHeight="1">
      <c r="A16993" s="740"/>
    </row>
    <row r="16994" ht="14.25" customHeight="1">
      <c r="A16994" s="740"/>
    </row>
    <row r="16995" ht="14.25" customHeight="1">
      <c r="A16995" s="740"/>
    </row>
    <row r="16996" ht="14.25" customHeight="1">
      <c r="A16996" s="740"/>
    </row>
    <row r="16997" ht="14.25" customHeight="1">
      <c r="A16997" s="740"/>
    </row>
    <row r="16998" ht="14.25" customHeight="1">
      <c r="A16998" s="740"/>
    </row>
    <row r="16999" ht="14.25" customHeight="1">
      <c r="A16999" s="740"/>
    </row>
    <row r="17000" ht="14.25" customHeight="1">
      <c r="A17000" s="740"/>
    </row>
    <row r="17001" ht="14.25" customHeight="1">
      <c r="A17001" s="740"/>
    </row>
    <row r="17002" ht="14.25" customHeight="1">
      <c r="A17002" s="740"/>
    </row>
    <row r="17003" ht="14.25" customHeight="1">
      <c r="A17003" s="740"/>
    </row>
    <row r="17004" ht="14.25" customHeight="1">
      <c r="A17004" s="740"/>
    </row>
    <row r="17005" ht="14.25" customHeight="1">
      <c r="A17005" s="740"/>
    </row>
    <row r="17006" ht="14.25" customHeight="1">
      <c r="A17006" s="740"/>
    </row>
    <row r="17007" ht="14.25" customHeight="1">
      <c r="A17007" s="740"/>
    </row>
    <row r="17008" ht="14.25" customHeight="1">
      <c r="A17008" s="740"/>
    </row>
    <row r="17009" ht="14.25" customHeight="1">
      <c r="A17009" s="740"/>
    </row>
    <row r="17010" ht="14.25" customHeight="1">
      <c r="A17010" s="740"/>
    </row>
    <row r="17011" ht="14.25" customHeight="1">
      <c r="A17011" s="740"/>
    </row>
    <row r="17012" ht="14.25" customHeight="1">
      <c r="A17012" s="740"/>
    </row>
    <row r="17013" ht="14.25" customHeight="1">
      <c r="A17013" s="740"/>
    </row>
    <row r="17014" ht="14.25" customHeight="1">
      <c r="A17014" s="740"/>
    </row>
    <row r="17015" ht="14.25" customHeight="1">
      <c r="A17015" s="740"/>
    </row>
    <row r="17016" ht="14.25" customHeight="1">
      <c r="A17016" s="740"/>
    </row>
    <row r="17017" ht="14.25" customHeight="1">
      <c r="A17017" s="740"/>
    </row>
    <row r="17018" ht="14.25" customHeight="1">
      <c r="A17018" s="740"/>
    </row>
    <row r="17019" ht="14.25" customHeight="1">
      <c r="A17019" s="740"/>
    </row>
    <row r="17020" ht="14.25" customHeight="1">
      <c r="A17020" s="740"/>
    </row>
    <row r="17021" ht="14.25" customHeight="1">
      <c r="A17021" s="740"/>
    </row>
    <row r="17022" ht="14.25" customHeight="1">
      <c r="A17022" s="740"/>
    </row>
    <row r="17023" ht="14.25" customHeight="1">
      <c r="A17023" s="740"/>
    </row>
    <row r="17024" ht="14.25" customHeight="1">
      <c r="A17024" s="740"/>
    </row>
    <row r="17025" ht="14.25" customHeight="1">
      <c r="A17025" s="740"/>
    </row>
    <row r="17026" ht="14.25" customHeight="1">
      <c r="A17026" s="740"/>
    </row>
    <row r="17027" ht="14.25" customHeight="1">
      <c r="A17027" s="740"/>
    </row>
    <row r="17028" ht="14.25" customHeight="1">
      <c r="A17028" s="740"/>
    </row>
    <row r="17029" ht="14.25" customHeight="1">
      <c r="A17029" s="740"/>
    </row>
    <row r="17030" ht="14.25" customHeight="1">
      <c r="A17030" s="740"/>
    </row>
    <row r="17031" ht="14.25" customHeight="1">
      <c r="A17031" s="740"/>
    </row>
    <row r="17032" ht="14.25" customHeight="1">
      <c r="A17032" s="740"/>
    </row>
    <row r="17033" ht="14.25" customHeight="1">
      <c r="A17033" s="740"/>
    </row>
    <row r="17034" ht="14.25" customHeight="1">
      <c r="A17034" s="740"/>
    </row>
    <row r="17035" ht="14.25" customHeight="1">
      <c r="A17035" s="740"/>
    </row>
    <row r="17036" ht="14.25" customHeight="1">
      <c r="A17036" s="740"/>
    </row>
    <row r="17037" ht="14.25" customHeight="1">
      <c r="A17037" s="740"/>
    </row>
    <row r="17038" ht="14.25" customHeight="1">
      <c r="A17038" s="740"/>
    </row>
    <row r="17039" ht="14.25" customHeight="1">
      <c r="A17039" s="740"/>
    </row>
    <row r="17040" ht="14.25" customHeight="1">
      <c r="A17040" s="740"/>
    </row>
    <row r="17041" ht="14.25" customHeight="1">
      <c r="A17041" s="740"/>
    </row>
    <row r="17042" ht="14.25" customHeight="1">
      <c r="A17042" s="740"/>
    </row>
    <row r="17043" ht="14.25" customHeight="1">
      <c r="A17043" s="740"/>
    </row>
    <row r="17044" ht="14.25" customHeight="1">
      <c r="A17044" s="740"/>
    </row>
    <row r="17045" ht="14.25" customHeight="1">
      <c r="A17045" s="740"/>
    </row>
    <row r="17046" ht="14.25" customHeight="1">
      <c r="A17046" s="740"/>
    </row>
    <row r="17047" ht="14.25" customHeight="1">
      <c r="A17047" s="740"/>
    </row>
    <row r="17048" ht="14.25" customHeight="1">
      <c r="A17048" s="740"/>
    </row>
    <row r="17049" ht="14.25" customHeight="1">
      <c r="A17049" s="740"/>
    </row>
    <row r="17050" ht="14.25" customHeight="1">
      <c r="A17050" s="740"/>
    </row>
    <row r="17051" ht="14.25" customHeight="1">
      <c r="A17051" s="740"/>
    </row>
    <row r="17052" ht="14.25" customHeight="1">
      <c r="A17052" s="740"/>
    </row>
    <row r="17053" ht="14.25" customHeight="1">
      <c r="A17053" s="740"/>
    </row>
    <row r="17054" ht="14.25" customHeight="1">
      <c r="A17054" s="740"/>
    </row>
    <row r="17055" ht="14.25" customHeight="1">
      <c r="A17055" s="740"/>
    </row>
    <row r="17056" ht="14.25" customHeight="1">
      <c r="A17056" s="740"/>
    </row>
    <row r="17057" ht="14.25" customHeight="1">
      <c r="A17057" s="740"/>
    </row>
    <row r="17058" ht="14.25" customHeight="1">
      <c r="A17058" s="740"/>
    </row>
    <row r="17059" ht="14.25" customHeight="1">
      <c r="A17059" s="740"/>
    </row>
    <row r="17060" ht="14.25" customHeight="1">
      <c r="A17060" s="740"/>
    </row>
    <row r="17061" ht="14.25" customHeight="1">
      <c r="A17061" s="740"/>
    </row>
    <row r="17062" ht="14.25" customHeight="1">
      <c r="A17062" s="740"/>
    </row>
    <row r="17063" ht="14.25" customHeight="1">
      <c r="A17063" s="740"/>
    </row>
    <row r="17064" ht="14.25" customHeight="1">
      <c r="A17064" s="740"/>
    </row>
    <row r="17065" ht="14.25" customHeight="1">
      <c r="A17065" s="740"/>
    </row>
    <row r="17066" ht="14.25" customHeight="1">
      <c r="A17066" s="740"/>
    </row>
    <row r="17067" ht="14.25" customHeight="1">
      <c r="A17067" s="740"/>
    </row>
    <row r="17068" ht="14.25" customHeight="1">
      <c r="A17068" s="740"/>
    </row>
    <row r="17069" ht="14.25" customHeight="1">
      <c r="A17069" s="740"/>
    </row>
    <row r="17070" ht="14.25" customHeight="1">
      <c r="A17070" s="740"/>
    </row>
    <row r="17071" ht="14.25" customHeight="1">
      <c r="A17071" s="740"/>
    </row>
    <row r="17072" ht="14.25" customHeight="1">
      <c r="A17072" s="740"/>
    </row>
    <row r="17073" ht="14.25" customHeight="1">
      <c r="A17073" s="740"/>
    </row>
    <row r="17074" ht="14.25" customHeight="1">
      <c r="A17074" s="740"/>
    </row>
    <row r="17075" ht="14.25" customHeight="1">
      <c r="A17075" s="740"/>
    </row>
    <row r="17076" ht="14.25" customHeight="1">
      <c r="A17076" s="740"/>
    </row>
    <row r="17077" ht="14.25" customHeight="1">
      <c r="A17077" s="740"/>
    </row>
    <row r="17078" ht="14.25" customHeight="1">
      <c r="A17078" s="740"/>
    </row>
    <row r="17079" ht="14.25" customHeight="1">
      <c r="A17079" s="740"/>
    </row>
    <row r="17080" ht="14.25" customHeight="1">
      <c r="A17080" s="740"/>
    </row>
    <row r="17081" ht="14.25" customHeight="1">
      <c r="A17081" s="740"/>
    </row>
    <row r="17082" ht="14.25" customHeight="1">
      <c r="A17082" s="740"/>
    </row>
    <row r="17083" ht="14.25" customHeight="1">
      <c r="A17083" s="740"/>
    </row>
    <row r="17084" ht="14.25" customHeight="1">
      <c r="A17084" s="740"/>
    </row>
    <row r="17085" ht="14.25" customHeight="1">
      <c r="A17085" s="740"/>
    </row>
    <row r="17086" ht="14.25" customHeight="1">
      <c r="A17086" s="740"/>
    </row>
    <row r="17087" ht="14.25" customHeight="1">
      <c r="A17087" s="740"/>
    </row>
    <row r="17088" ht="14.25" customHeight="1">
      <c r="A17088" s="740"/>
    </row>
    <row r="17089" ht="14.25" customHeight="1">
      <c r="A17089" s="740"/>
    </row>
    <row r="17090" ht="14.25" customHeight="1">
      <c r="A17090" s="740"/>
    </row>
    <row r="17091" ht="14.25" customHeight="1">
      <c r="A17091" s="740"/>
    </row>
    <row r="17092" ht="14.25" customHeight="1">
      <c r="A17092" s="740"/>
    </row>
    <row r="17093" ht="14.25" customHeight="1">
      <c r="A17093" s="740"/>
    </row>
    <row r="17094" ht="14.25" customHeight="1">
      <c r="A17094" s="740"/>
    </row>
    <row r="17095" ht="14.25" customHeight="1">
      <c r="A17095" s="740"/>
    </row>
    <row r="17096" ht="14.25" customHeight="1">
      <c r="A17096" s="740"/>
    </row>
    <row r="17097" ht="14.25" customHeight="1">
      <c r="A17097" s="740"/>
    </row>
    <row r="17098" ht="14.25" customHeight="1">
      <c r="A17098" s="740"/>
    </row>
    <row r="17099" ht="14.25" customHeight="1">
      <c r="A17099" s="740"/>
    </row>
    <row r="17100" ht="14.25" customHeight="1">
      <c r="A17100" s="740"/>
    </row>
    <row r="17101" ht="14.25" customHeight="1">
      <c r="A17101" s="740"/>
    </row>
    <row r="17102" ht="14.25" customHeight="1">
      <c r="A17102" s="740"/>
    </row>
    <row r="17103" ht="14.25" customHeight="1">
      <c r="A17103" s="740"/>
    </row>
    <row r="17104" ht="14.25" customHeight="1">
      <c r="A17104" s="740"/>
    </row>
    <row r="17105" ht="14.25" customHeight="1">
      <c r="A17105" s="740"/>
    </row>
    <row r="17106" ht="14.25" customHeight="1">
      <c r="A17106" s="740"/>
    </row>
    <row r="17107" ht="14.25" customHeight="1">
      <c r="A17107" s="740"/>
    </row>
    <row r="17108" ht="14.25" customHeight="1">
      <c r="A17108" s="740"/>
    </row>
    <row r="17109" ht="14.25" customHeight="1">
      <c r="A17109" s="740"/>
    </row>
    <row r="17110" ht="14.25" customHeight="1">
      <c r="A17110" s="740"/>
    </row>
    <row r="17111" ht="14.25" customHeight="1">
      <c r="A17111" s="740"/>
    </row>
    <row r="17112" ht="14.25" customHeight="1">
      <c r="A17112" s="740"/>
    </row>
    <row r="17113" ht="14.25" customHeight="1">
      <c r="A17113" s="740"/>
    </row>
    <row r="17114" ht="14.25" customHeight="1">
      <c r="A17114" s="740"/>
    </row>
    <row r="17115" ht="14.25" customHeight="1">
      <c r="A17115" s="740"/>
    </row>
    <row r="17116" ht="14.25" customHeight="1">
      <c r="A17116" s="740"/>
    </row>
    <row r="17117" ht="14.25" customHeight="1">
      <c r="A17117" s="740"/>
    </row>
    <row r="17118" ht="14.25" customHeight="1">
      <c r="A17118" s="740"/>
    </row>
    <row r="17119" ht="14.25" customHeight="1">
      <c r="A17119" s="740"/>
    </row>
    <row r="17120" ht="14.25" customHeight="1">
      <c r="A17120" s="740"/>
    </row>
    <row r="17121" ht="14.25" customHeight="1">
      <c r="A17121" s="740"/>
    </row>
    <row r="17122" ht="14.25" customHeight="1">
      <c r="A17122" s="740"/>
    </row>
    <row r="17123" ht="14.25" customHeight="1">
      <c r="A17123" s="740"/>
    </row>
    <row r="17124" ht="14.25" customHeight="1">
      <c r="A17124" s="740"/>
    </row>
    <row r="17125" ht="14.25" customHeight="1">
      <c r="A17125" s="740"/>
    </row>
    <row r="17126" ht="14.25" customHeight="1">
      <c r="A17126" s="740"/>
    </row>
    <row r="17127" ht="14.25" customHeight="1">
      <c r="A17127" s="740"/>
    </row>
    <row r="17128" ht="14.25" customHeight="1">
      <c r="A17128" s="740"/>
    </row>
    <row r="17129" ht="14.25" customHeight="1">
      <c r="A17129" s="740"/>
    </row>
    <row r="17130" ht="14.25" customHeight="1">
      <c r="A17130" s="740"/>
    </row>
    <row r="17131" ht="14.25" customHeight="1">
      <c r="A17131" s="740"/>
    </row>
    <row r="17132" ht="14.25" customHeight="1">
      <c r="A17132" s="740"/>
    </row>
    <row r="17133" ht="14.25" customHeight="1">
      <c r="A17133" s="740"/>
    </row>
    <row r="17134" ht="14.25" customHeight="1">
      <c r="A17134" s="740"/>
    </row>
    <row r="17135" ht="14.25" customHeight="1">
      <c r="A17135" s="740"/>
    </row>
    <row r="17136" ht="14.25" customHeight="1">
      <c r="A17136" s="740"/>
    </row>
    <row r="17137" ht="14.25" customHeight="1">
      <c r="A17137" s="740"/>
    </row>
    <row r="17138" ht="14.25" customHeight="1">
      <c r="A17138" s="740"/>
    </row>
    <row r="17139" ht="14.25" customHeight="1">
      <c r="A17139" s="740"/>
    </row>
    <row r="17140" ht="14.25" customHeight="1">
      <c r="A17140" s="740"/>
    </row>
    <row r="17141" ht="14.25" customHeight="1">
      <c r="A17141" s="740"/>
    </row>
    <row r="17142" ht="14.25" customHeight="1">
      <c r="A17142" s="740"/>
    </row>
    <row r="17143" ht="14.25" customHeight="1">
      <c r="A17143" s="740"/>
    </row>
    <row r="17144" ht="14.25" customHeight="1">
      <c r="A17144" s="740"/>
    </row>
    <row r="17145" ht="14.25" customHeight="1">
      <c r="A17145" s="740"/>
    </row>
    <row r="17146" ht="14.25" customHeight="1">
      <c r="A17146" s="740"/>
    </row>
    <row r="17147" ht="14.25" customHeight="1">
      <c r="A17147" s="740"/>
    </row>
    <row r="17148" ht="14.25" customHeight="1">
      <c r="A17148" s="740"/>
    </row>
    <row r="17149" ht="14.25" customHeight="1">
      <c r="A17149" s="740"/>
    </row>
    <row r="17150" ht="14.25" customHeight="1">
      <c r="A17150" s="740"/>
    </row>
    <row r="17151" ht="14.25" customHeight="1">
      <c r="A17151" s="740"/>
    </row>
    <row r="17152" ht="14.25" customHeight="1">
      <c r="A17152" s="740"/>
    </row>
    <row r="17153" ht="14.25" customHeight="1">
      <c r="A17153" s="740"/>
    </row>
    <row r="17154" ht="14.25" customHeight="1">
      <c r="A17154" s="740"/>
    </row>
    <row r="17155" ht="14.25" customHeight="1">
      <c r="A17155" s="740"/>
    </row>
    <row r="17156" ht="14.25" customHeight="1">
      <c r="A17156" s="740"/>
    </row>
    <row r="17157" ht="14.25" customHeight="1">
      <c r="A17157" s="740"/>
    </row>
    <row r="17158" ht="14.25" customHeight="1">
      <c r="A17158" s="740"/>
    </row>
    <row r="17159" ht="14.25" customHeight="1">
      <c r="A17159" s="740"/>
    </row>
    <row r="17160" ht="14.25" customHeight="1">
      <c r="A17160" s="740"/>
    </row>
    <row r="17161" ht="14.25" customHeight="1">
      <c r="A17161" s="740"/>
    </row>
    <row r="17162" ht="14.25" customHeight="1">
      <c r="A17162" s="740"/>
    </row>
    <row r="17163" ht="14.25" customHeight="1">
      <c r="A17163" s="740"/>
    </row>
    <row r="17164" ht="14.25" customHeight="1">
      <c r="A17164" s="740"/>
    </row>
    <row r="17165" ht="14.25" customHeight="1">
      <c r="A17165" s="740"/>
    </row>
    <row r="17166" ht="14.25" customHeight="1">
      <c r="A17166" s="740"/>
    </row>
    <row r="17167" ht="14.25" customHeight="1">
      <c r="A17167" s="740"/>
    </row>
    <row r="17168" ht="14.25" customHeight="1">
      <c r="A17168" s="740"/>
    </row>
    <row r="17169" ht="14.25" customHeight="1">
      <c r="A17169" s="740"/>
    </row>
    <row r="17170" ht="14.25" customHeight="1">
      <c r="A17170" s="740"/>
    </row>
    <row r="17171" ht="14.25" customHeight="1">
      <c r="A17171" s="740"/>
    </row>
    <row r="17172" ht="14.25" customHeight="1">
      <c r="A17172" s="740"/>
    </row>
    <row r="17173" ht="14.25" customHeight="1">
      <c r="A17173" s="740"/>
    </row>
    <row r="17174" ht="14.25" customHeight="1">
      <c r="A17174" s="740"/>
    </row>
    <row r="17175" ht="14.25" customHeight="1">
      <c r="A17175" s="740"/>
    </row>
    <row r="17176" ht="14.25" customHeight="1">
      <c r="A17176" s="740"/>
    </row>
    <row r="17177" ht="14.25" customHeight="1">
      <c r="A17177" s="740"/>
    </row>
    <row r="17178" ht="14.25" customHeight="1">
      <c r="A17178" s="740"/>
    </row>
    <row r="17179" ht="14.25" customHeight="1">
      <c r="A17179" s="740"/>
    </row>
    <row r="17180" ht="14.25" customHeight="1">
      <c r="A17180" s="740"/>
    </row>
    <row r="17181" ht="14.25" customHeight="1">
      <c r="A17181" s="740"/>
    </row>
    <row r="17182" ht="14.25" customHeight="1">
      <c r="A17182" s="740"/>
    </row>
    <row r="17183" ht="14.25" customHeight="1">
      <c r="A17183" s="740"/>
    </row>
    <row r="17184" ht="14.25" customHeight="1">
      <c r="A17184" s="740"/>
    </row>
    <row r="17185" ht="14.25" customHeight="1">
      <c r="A17185" s="740"/>
    </row>
    <row r="17186" ht="14.25" customHeight="1">
      <c r="A17186" s="740"/>
    </row>
    <row r="17187" ht="14.25" customHeight="1">
      <c r="A17187" s="740"/>
    </row>
    <row r="17188" ht="14.25" customHeight="1">
      <c r="A17188" s="740"/>
    </row>
    <row r="17189" ht="14.25" customHeight="1">
      <c r="A17189" s="740"/>
    </row>
    <row r="17190" ht="14.25" customHeight="1">
      <c r="A17190" s="740"/>
    </row>
    <row r="17191" ht="14.25" customHeight="1">
      <c r="A17191" s="740"/>
    </row>
    <row r="17192" ht="14.25" customHeight="1">
      <c r="A17192" s="740"/>
    </row>
    <row r="17193" ht="14.25" customHeight="1">
      <c r="A17193" s="740"/>
    </row>
    <row r="17194" ht="14.25" customHeight="1">
      <c r="A17194" s="740"/>
    </row>
    <row r="17195" ht="14.25" customHeight="1">
      <c r="A17195" s="740"/>
    </row>
    <row r="17196" ht="14.25" customHeight="1">
      <c r="A17196" s="740"/>
    </row>
    <row r="17197" ht="14.25" customHeight="1">
      <c r="A17197" s="740"/>
    </row>
    <row r="17198" ht="14.25" customHeight="1">
      <c r="A17198" s="740"/>
    </row>
    <row r="17199" ht="14.25" customHeight="1">
      <c r="A17199" s="740"/>
    </row>
    <row r="17200" ht="14.25" customHeight="1">
      <c r="A17200" s="740"/>
    </row>
    <row r="17201" ht="14.25" customHeight="1">
      <c r="A17201" s="740"/>
    </row>
    <row r="17202" ht="14.25" customHeight="1">
      <c r="A17202" s="740"/>
    </row>
    <row r="17203" ht="14.25" customHeight="1">
      <c r="A17203" s="740"/>
    </row>
    <row r="17204" ht="14.25" customHeight="1">
      <c r="A17204" s="740"/>
    </row>
    <row r="17205" ht="14.25" customHeight="1">
      <c r="A17205" s="740"/>
    </row>
    <row r="17206" ht="14.25" customHeight="1">
      <c r="A17206" s="740"/>
    </row>
    <row r="17207" ht="14.25" customHeight="1">
      <c r="A17207" s="740"/>
    </row>
    <row r="17208" ht="14.25" customHeight="1">
      <c r="A17208" s="740"/>
    </row>
    <row r="17209" ht="14.25" customHeight="1">
      <c r="A17209" s="740"/>
    </row>
    <row r="17210" ht="14.25" customHeight="1">
      <c r="A17210" s="740"/>
    </row>
    <row r="17211" ht="14.25" customHeight="1">
      <c r="A17211" s="740"/>
    </row>
    <row r="17212" ht="14.25" customHeight="1">
      <c r="A17212" s="740"/>
    </row>
    <row r="17213" ht="14.25" customHeight="1">
      <c r="A17213" s="740"/>
    </row>
    <row r="17214" ht="14.25" customHeight="1">
      <c r="A17214" s="740"/>
    </row>
    <row r="17215" ht="14.25" customHeight="1">
      <c r="A17215" s="740"/>
    </row>
    <row r="17216" ht="14.25" customHeight="1">
      <c r="A17216" s="740"/>
    </row>
    <row r="17217" ht="14.25" customHeight="1">
      <c r="A17217" s="740"/>
    </row>
    <row r="17218" ht="14.25" customHeight="1">
      <c r="A17218" s="740"/>
    </row>
    <row r="17219" ht="14.25" customHeight="1">
      <c r="A17219" s="740"/>
    </row>
    <row r="17220" ht="14.25" customHeight="1">
      <c r="A17220" s="740"/>
    </row>
    <row r="17221" ht="14.25" customHeight="1">
      <c r="A17221" s="740"/>
    </row>
    <row r="17222" ht="14.25" customHeight="1">
      <c r="A17222" s="740"/>
    </row>
    <row r="17223" ht="14.25" customHeight="1">
      <c r="A17223" s="740"/>
    </row>
    <row r="17224" ht="14.25" customHeight="1">
      <c r="A17224" s="740"/>
    </row>
    <row r="17225" ht="14.25" customHeight="1">
      <c r="A17225" s="740"/>
    </row>
    <row r="17226" ht="14.25" customHeight="1">
      <c r="A17226" s="740"/>
    </row>
    <row r="17227" ht="14.25" customHeight="1">
      <c r="A17227" s="740"/>
    </row>
    <row r="17228" ht="14.25" customHeight="1">
      <c r="A17228" s="740"/>
    </row>
    <row r="17229" ht="14.25" customHeight="1">
      <c r="A17229" s="740"/>
    </row>
    <row r="17230" ht="14.25" customHeight="1">
      <c r="A17230" s="740"/>
    </row>
    <row r="17231" ht="14.25" customHeight="1">
      <c r="A17231" s="740"/>
    </row>
    <row r="17232" ht="14.25" customHeight="1">
      <c r="A17232" s="740"/>
    </row>
    <row r="17233" ht="14.25" customHeight="1">
      <c r="A17233" s="740"/>
    </row>
    <row r="17234" ht="14.25" customHeight="1">
      <c r="A17234" s="740"/>
    </row>
    <row r="17235" ht="14.25" customHeight="1">
      <c r="A17235" s="740"/>
    </row>
    <row r="17236" ht="14.25" customHeight="1">
      <c r="A17236" s="740"/>
    </row>
    <row r="17237" ht="14.25" customHeight="1">
      <c r="A17237" s="740"/>
    </row>
    <row r="17238" ht="14.25" customHeight="1">
      <c r="A17238" s="740"/>
    </row>
    <row r="17239" ht="14.25" customHeight="1">
      <c r="A17239" s="740"/>
    </row>
    <row r="17240" ht="14.25" customHeight="1">
      <c r="A17240" s="740"/>
    </row>
    <row r="17241" ht="14.25" customHeight="1">
      <c r="A17241" s="740"/>
    </row>
    <row r="17242" ht="14.25" customHeight="1">
      <c r="A17242" s="740"/>
    </row>
    <row r="17243" ht="14.25" customHeight="1">
      <c r="A17243" s="740"/>
    </row>
    <row r="17244" ht="14.25" customHeight="1">
      <c r="A17244" s="740"/>
    </row>
    <row r="17245" ht="14.25" customHeight="1">
      <c r="A17245" s="740"/>
    </row>
    <row r="17246" ht="14.25" customHeight="1">
      <c r="A17246" s="740"/>
    </row>
    <row r="17247" ht="14.25" customHeight="1">
      <c r="A17247" s="740"/>
    </row>
    <row r="17248" ht="14.25" customHeight="1">
      <c r="A17248" s="740"/>
    </row>
    <row r="17249" ht="14.25" customHeight="1">
      <c r="A17249" s="740"/>
    </row>
    <row r="17250" ht="14.25" customHeight="1">
      <c r="A17250" s="740"/>
    </row>
    <row r="17251" ht="14.25" customHeight="1">
      <c r="A17251" s="740"/>
    </row>
    <row r="17252" ht="14.25" customHeight="1">
      <c r="A17252" s="740"/>
    </row>
    <row r="17253" ht="14.25" customHeight="1">
      <c r="A17253" s="740"/>
    </row>
    <row r="17254" ht="14.25" customHeight="1">
      <c r="A17254" s="740"/>
    </row>
    <row r="17255" ht="14.25" customHeight="1">
      <c r="A17255" s="740"/>
    </row>
    <row r="17256" ht="14.25" customHeight="1">
      <c r="A17256" s="740"/>
    </row>
    <row r="17257" ht="14.25" customHeight="1">
      <c r="A17257" s="740"/>
    </row>
    <row r="17258" ht="14.25" customHeight="1">
      <c r="A17258" s="740"/>
    </row>
    <row r="17259" ht="14.25" customHeight="1">
      <c r="A17259" s="740"/>
    </row>
    <row r="17260" ht="14.25" customHeight="1">
      <c r="A17260" s="740"/>
    </row>
    <row r="17261" ht="14.25" customHeight="1">
      <c r="A17261" s="740"/>
    </row>
    <row r="17262" ht="14.25" customHeight="1">
      <c r="A17262" s="740"/>
    </row>
    <row r="17263" ht="14.25" customHeight="1">
      <c r="A17263" s="740"/>
    </row>
    <row r="17264" ht="14.25" customHeight="1">
      <c r="A17264" s="740"/>
    </row>
    <row r="17265" ht="14.25" customHeight="1">
      <c r="A17265" s="740"/>
    </row>
    <row r="17266" ht="14.25" customHeight="1">
      <c r="A17266" s="740"/>
    </row>
    <row r="17267" ht="14.25" customHeight="1">
      <c r="A17267" s="740"/>
    </row>
    <row r="17268" ht="14.25" customHeight="1">
      <c r="A17268" s="740"/>
    </row>
    <row r="17269" ht="14.25" customHeight="1">
      <c r="A17269" s="740"/>
    </row>
    <row r="17270" ht="14.25" customHeight="1">
      <c r="A17270" s="740"/>
    </row>
    <row r="17271" ht="14.25" customHeight="1">
      <c r="A17271" s="740"/>
    </row>
    <row r="17272" ht="14.25" customHeight="1">
      <c r="A17272" s="740"/>
    </row>
    <row r="17273" ht="14.25" customHeight="1">
      <c r="A17273" s="740"/>
    </row>
    <row r="17274" ht="14.25" customHeight="1">
      <c r="A17274" s="740"/>
    </row>
    <row r="17275" ht="14.25" customHeight="1">
      <c r="A17275" s="740"/>
    </row>
    <row r="17276" ht="14.25" customHeight="1">
      <c r="A17276" s="740"/>
    </row>
    <row r="17277" ht="14.25" customHeight="1">
      <c r="A17277" s="740"/>
    </row>
    <row r="17278" ht="14.25" customHeight="1">
      <c r="A17278" s="740"/>
    </row>
    <row r="17279" ht="14.25" customHeight="1">
      <c r="A17279" s="740"/>
    </row>
    <row r="17280" ht="14.25" customHeight="1">
      <c r="A17280" s="740"/>
    </row>
    <row r="17281" ht="14.25" customHeight="1">
      <c r="A17281" s="740"/>
    </row>
    <row r="17282" ht="14.25" customHeight="1">
      <c r="A17282" s="740"/>
    </row>
    <row r="17283" ht="14.25" customHeight="1">
      <c r="A17283" s="740"/>
    </row>
    <row r="17284" ht="14.25" customHeight="1">
      <c r="A17284" s="740"/>
    </row>
    <row r="17285" ht="14.25" customHeight="1">
      <c r="A17285" s="740"/>
    </row>
    <row r="17286" ht="14.25" customHeight="1">
      <c r="A17286" s="740"/>
    </row>
    <row r="17287" ht="14.25" customHeight="1">
      <c r="A17287" s="740"/>
    </row>
    <row r="17288" ht="14.25" customHeight="1">
      <c r="A17288" s="740"/>
    </row>
    <row r="17289" ht="14.25" customHeight="1">
      <c r="A17289" s="740"/>
    </row>
    <row r="17290" ht="14.25" customHeight="1">
      <c r="A17290" s="740"/>
    </row>
    <row r="17291" ht="14.25" customHeight="1">
      <c r="A17291" s="740"/>
    </row>
    <row r="17292" ht="14.25" customHeight="1">
      <c r="A17292" s="740"/>
    </row>
    <row r="17293" ht="14.25" customHeight="1">
      <c r="A17293" s="740"/>
    </row>
    <row r="17294" ht="14.25" customHeight="1">
      <c r="A17294" s="740"/>
    </row>
    <row r="17295" ht="14.25" customHeight="1">
      <c r="A17295" s="740"/>
    </row>
    <row r="17296" ht="14.25" customHeight="1">
      <c r="A17296" s="740"/>
    </row>
    <row r="17297" ht="14.25" customHeight="1">
      <c r="A17297" s="740"/>
    </row>
    <row r="17298" ht="14.25" customHeight="1">
      <c r="A17298" s="740"/>
    </row>
    <row r="17299" ht="14.25" customHeight="1">
      <c r="A17299" s="740"/>
    </row>
    <row r="17300" ht="14.25" customHeight="1">
      <c r="A17300" s="740"/>
    </row>
    <row r="17301" ht="14.25" customHeight="1">
      <c r="A17301" s="740"/>
    </row>
    <row r="17302" ht="14.25" customHeight="1">
      <c r="A17302" s="740"/>
    </row>
    <row r="17303" ht="14.25" customHeight="1">
      <c r="A17303" s="740"/>
    </row>
    <row r="17304" ht="14.25" customHeight="1">
      <c r="A17304" s="740"/>
    </row>
    <row r="17305" ht="14.25" customHeight="1">
      <c r="A17305" s="740"/>
    </row>
    <row r="17306" ht="14.25" customHeight="1">
      <c r="A17306" s="740"/>
    </row>
    <row r="17307" ht="14.25" customHeight="1">
      <c r="A17307" s="740"/>
    </row>
    <row r="17308" ht="14.25" customHeight="1">
      <c r="A17308" s="740"/>
    </row>
    <row r="17309" ht="14.25" customHeight="1">
      <c r="A17309" s="740"/>
    </row>
    <row r="17310" ht="14.25" customHeight="1">
      <c r="A17310" s="740"/>
    </row>
    <row r="17311" ht="14.25" customHeight="1">
      <c r="A17311" s="740"/>
    </row>
    <row r="17312" ht="14.25" customHeight="1">
      <c r="A17312" s="740"/>
    </row>
    <row r="17313" ht="14.25" customHeight="1">
      <c r="A17313" s="740"/>
    </row>
    <row r="17314" ht="14.25" customHeight="1">
      <c r="A17314" s="740"/>
    </row>
    <row r="17315" ht="14.25" customHeight="1">
      <c r="A17315" s="740"/>
    </row>
    <row r="17316" ht="14.25" customHeight="1">
      <c r="A17316" s="740"/>
    </row>
    <row r="17317" ht="14.25" customHeight="1">
      <c r="A17317" s="740"/>
    </row>
    <row r="17318" ht="14.25" customHeight="1">
      <c r="A17318" s="740"/>
    </row>
    <row r="17319" ht="14.25" customHeight="1">
      <c r="A17319" s="740"/>
    </row>
    <row r="17320" ht="14.25" customHeight="1">
      <c r="A17320" s="740"/>
    </row>
    <row r="17321" ht="14.25" customHeight="1">
      <c r="A17321" s="740"/>
    </row>
    <row r="17322" ht="14.25" customHeight="1">
      <c r="A17322" s="740"/>
    </row>
    <row r="17323" ht="14.25" customHeight="1">
      <c r="A17323" s="740"/>
    </row>
    <row r="17324" ht="14.25" customHeight="1">
      <c r="A17324" s="740"/>
    </row>
    <row r="17325" ht="14.25" customHeight="1">
      <c r="A17325" s="740"/>
    </row>
    <row r="17326" ht="14.25" customHeight="1">
      <c r="A17326" s="740"/>
    </row>
    <row r="17327" ht="14.25" customHeight="1">
      <c r="A17327" s="740"/>
    </row>
    <row r="17328" ht="14.25" customHeight="1">
      <c r="A17328" s="740"/>
    </row>
    <row r="17329" ht="14.25" customHeight="1">
      <c r="A17329" s="740"/>
    </row>
    <row r="17330" ht="14.25" customHeight="1">
      <c r="A17330" s="740"/>
    </row>
    <row r="17331" ht="14.25" customHeight="1">
      <c r="A17331" s="740"/>
    </row>
    <row r="17332" ht="14.25" customHeight="1">
      <c r="A17332" s="740"/>
    </row>
    <row r="17333" ht="14.25" customHeight="1">
      <c r="A17333" s="740"/>
    </row>
    <row r="17334" ht="14.25" customHeight="1">
      <c r="A17334" s="740"/>
    </row>
    <row r="17335" ht="14.25" customHeight="1">
      <c r="A17335" s="740"/>
    </row>
    <row r="17336" ht="14.25" customHeight="1">
      <c r="A17336" s="740"/>
    </row>
    <row r="17337" ht="14.25" customHeight="1">
      <c r="A17337" s="740"/>
    </row>
    <row r="17338" ht="14.25" customHeight="1">
      <c r="A17338" s="740"/>
    </row>
    <row r="17339" ht="14.25" customHeight="1">
      <c r="A17339" s="740"/>
    </row>
    <row r="17340" ht="14.25" customHeight="1">
      <c r="A17340" s="740"/>
    </row>
    <row r="17341" ht="14.25" customHeight="1">
      <c r="A17341" s="740"/>
    </row>
    <row r="17342" ht="14.25" customHeight="1">
      <c r="A17342" s="740"/>
    </row>
    <row r="17343" ht="14.25" customHeight="1">
      <c r="A17343" s="740"/>
    </row>
    <row r="17344" ht="14.25" customHeight="1">
      <c r="A17344" s="740"/>
    </row>
    <row r="17345" ht="14.25" customHeight="1">
      <c r="A17345" s="740"/>
    </row>
    <row r="17346" ht="14.25" customHeight="1">
      <c r="A17346" s="740"/>
    </row>
    <row r="17347" ht="14.25" customHeight="1">
      <c r="A17347" s="740"/>
    </row>
    <row r="17348" ht="14.25" customHeight="1">
      <c r="A17348" s="740"/>
    </row>
    <row r="17349" ht="14.25" customHeight="1">
      <c r="A17349" s="740"/>
    </row>
    <row r="17350" ht="14.25" customHeight="1">
      <c r="A17350" s="740"/>
    </row>
    <row r="17351" ht="14.25" customHeight="1">
      <c r="A17351" s="740"/>
    </row>
    <row r="17352" ht="14.25" customHeight="1">
      <c r="A17352" s="740"/>
    </row>
    <row r="17353" ht="14.25" customHeight="1">
      <c r="A17353" s="740"/>
    </row>
    <row r="17354" ht="14.25" customHeight="1">
      <c r="A17354" s="740"/>
    </row>
    <row r="17355" ht="14.25" customHeight="1">
      <c r="A17355" s="740"/>
    </row>
    <row r="17356" ht="14.25" customHeight="1">
      <c r="A17356" s="740"/>
    </row>
    <row r="17357" ht="14.25" customHeight="1">
      <c r="A17357" s="740"/>
    </row>
    <row r="17358" ht="14.25" customHeight="1">
      <c r="A17358" s="740"/>
    </row>
    <row r="17359" ht="14.25" customHeight="1">
      <c r="A17359" s="740"/>
    </row>
    <row r="17360" ht="14.25" customHeight="1">
      <c r="A17360" s="740"/>
    </row>
    <row r="17361" ht="14.25" customHeight="1">
      <c r="A17361" s="740"/>
    </row>
    <row r="17362" ht="14.25" customHeight="1">
      <c r="A17362" s="740"/>
    </row>
    <row r="17363" ht="14.25" customHeight="1">
      <c r="A17363" s="740"/>
    </row>
    <row r="17364" ht="14.25" customHeight="1">
      <c r="A17364" s="740"/>
    </row>
    <row r="17365" ht="14.25" customHeight="1">
      <c r="A17365" s="740"/>
    </row>
    <row r="17366" ht="14.25" customHeight="1">
      <c r="A17366" s="740"/>
    </row>
    <row r="17367" ht="14.25" customHeight="1">
      <c r="A17367" s="740"/>
    </row>
    <row r="17368" ht="14.25" customHeight="1">
      <c r="A17368" s="740"/>
    </row>
    <row r="17369" ht="14.25" customHeight="1">
      <c r="A17369" s="740"/>
    </row>
    <row r="17370" ht="14.25" customHeight="1">
      <c r="A17370" s="740"/>
    </row>
    <row r="17371" ht="14.25" customHeight="1">
      <c r="A17371" s="740"/>
    </row>
    <row r="17372" ht="14.25" customHeight="1">
      <c r="A17372" s="740"/>
    </row>
    <row r="17373" ht="14.25" customHeight="1">
      <c r="A17373" s="740"/>
    </row>
    <row r="17374" ht="14.25" customHeight="1">
      <c r="A17374" s="740"/>
    </row>
    <row r="17375" ht="14.25" customHeight="1">
      <c r="A17375" s="740"/>
    </row>
    <row r="17376" ht="14.25" customHeight="1">
      <c r="A17376" s="740"/>
    </row>
    <row r="17377" ht="14.25" customHeight="1">
      <c r="A17377" s="740"/>
    </row>
    <row r="17378" ht="14.25" customHeight="1">
      <c r="A17378" s="740"/>
    </row>
    <row r="17379" ht="14.25" customHeight="1">
      <c r="A17379" s="740"/>
    </row>
    <row r="17380" ht="14.25" customHeight="1">
      <c r="A17380" s="740"/>
    </row>
    <row r="17381" ht="14.25" customHeight="1">
      <c r="A17381" s="740"/>
    </row>
    <row r="17382" ht="14.25" customHeight="1">
      <c r="A17382" s="740"/>
    </row>
    <row r="17383" ht="14.25" customHeight="1">
      <c r="A17383" s="740"/>
    </row>
    <row r="17384" ht="14.25" customHeight="1">
      <c r="A17384" s="740"/>
    </row>
    <row r="17385" ht="14.25" customHeight="1">
      <c r="A17385" s="740"/>
    </row>
    <row r="17386" ht="14.25" customHeight="1">
      <c r="A17386" s="740"/>
    </row>
    <row r="17387" ht="14.25" customHeight="1">
      <c r="A17387" s="740"/>
    </row>
    <row r="17388" ht="14.25" customHeight="1">
      <c r="A17388" s="740"/>
    </row>
    <row r="17389" ht="14.25" customHeight="1">
      <c r="A17389" s="740"/>
    </row>
    <row r="17390" ht="14.25" customHeight="1">
      <c r="A17390" s="740"/>
    </row>
    <row r="17391" ht="14.25" customHeight="1">
      <c r="A17391" s="740"/>
    </row>
    <row r="17392" ht="14.25" customHeight="1">
      <c r="A17392" s="740"/>
    </row>
    <row r="17393" ht="14.25" customHeight="1">
      <c r="A17393" s="740"/>
    </row>
    <row r="17394" ht="14.25" customHeight="1">
      <c r="A17394" s="740"/>
    </row>
    <row r="17395" ht="14.25" customHeight="1">
      <c r="A17395" s="740"/>
    </row>
    <row r="17396" ht="14.25" customHeight="1">
      <c r="A17396" s="740"/>
    </row>
    <row r="17397" ht="14.25" customHeight="1">
      <c r="A17397" s="740"/>
    </row>
    <row r="17398" ht="14.25" customHeight="1">
      <c r="A17398" s="740"/>
    </row>
    <row r="17399" ht="14.25" customHeight="1">
      <c r="A17399" s="740"/>
    </row>
    <row r="17400" ht="14.25" customHeight="1">
      <c r="A17400" s="740"/>
    </row>
    <row r="17401" ht="14.25" customHeight="1">
      <c r="A17401" s="740"/>
    </row>
    <row r="17402" ht="14.25" customHeight="1">
      <c r="A17402" s="740"/>
    </row>
    <row r="17403" ht="14.25" customHeight="1">
      <c r="A17403" s="740"/>
    </row>
    <row r="17404" ht="14.25" customHeight="1">
      <c r="A17404" s="740"/>
    </row>
    <row r="17405" ht="14.25" customHeight="1">
      <c r="A17405" s="740"/>
    </row>
    <row r="17406" ht="14.25" customHeight="1">
      <c r="A17406" s="740"/>
    </row>
    <row r="17407" ht="14.25" customHeight="1">
      <c r="A17407" s="740"/>
    </row>
    <row r="17408" ht="14.25" customHeight="1">
      <c r="A17408" s="740"/>
    </row>
    <row r="17409" ht="14.25" customHeight="1">
      <c r="A17409" s="740"/>
    </row>
    <row r="17410" ht="14.25" customHeight="1">
      <c r="A17410" s="740"/>
    </row>
    <row r="17411" ht="14.25" customHeight="1">
      <c r="A17411" s="740"/>
    </row>
    <row r="17412" ht="14.25" customHeight="1">
      <c r="A17412" s="740"/>
    </row>
    <row r="17413" ht="14.25" customHeight="1">
      <c r="A17413" s="740"/>
    </row>
    <row r="17414" ht="14.25" customHeight="1">
      <c r="A17414" s="740"/>
    </row>
    <row r="17415" ht="14.25" customHeight="1">
      <c r="A17415" s="740"/>
    </row>
    <row r="17416" ht="14.25" customHeight="1">
      <c r="A17416" s="740"/>
    </row>
    <row r="17417" ht="14.25" customHeight="1">
      <c r="A17417" s="740"/>
    </row>
    <row r="17418" ht="14.25" customHeight="1">
      <c r="A17418" s="740"/>
    </row>
    <row r="17419" ht="14.25" customHeight="1">
      <c r="A17419" s="740"/>
    </row>
    <row r="17420" ht="14.25" customHeight="1">
      <c r="A17420" s="740"/>
    </row>
    <row r="17421" ht="14.25" customHeight="1">
      <c r="A17421" s="740"/>
    </row>
    <row r="17422" ht="14.25" customHeight="1">
      <c r="A17422" s="740"/>
    </row>
    <row r="17423" ht="14.25" customHeight="1">
      <c r="A17423" s="740"/>
    </row>
    <row r="17424" ht="14.25" customHeight="1">
      <c r="A17424" s="740"/>
    </row>
    <row r="17425" ht="14.25" customHeight="1">
      <c r="A17425" s="740"/>
    </row>
    <row r="17426" ht="14.25" customHeight="1">
      <c r="A17426" s="740"/>
    </row>
    <row r="17427" ht="14.25" customHeight="1">
      <c r="A17427" s="740"/>
    </row>
    <row r="17428" ht="14.25" customHeight="1">
      <c r="A17428" s="740"/>
    </row>
    <row r="17429" ht="14.25" customHeight="1">
      <c r="A17429" s="740"/>
    </row>
    <row r="17430" ht="14.25" customHeight="1">
      <c r="A17430" s="740"/>
    </row>
    <row r="17431" ht="14.25" customHeight="1">
      <c r="A17431" s="740"/>
    </row>
    <row r="17432" ht="14.25" customHeight="1">
      <c r="A17432" s="740"/>
    </row>
    <row r="17433" ht="14.25" customHeight="1">
      <c r="A17433" s="740"/>
    </row>
    <row r="17434" ht="14.25" customHeight="1">
      <c r="A17434" s="740"/>
    </row>
    <row r="17435" ht="14.25" customHeight="1">
      <c r="A17435" s="740"/>
    </row>
    <row r="17436" ht="14.25" customHeight="1">
      <c r="A17436" s="740"/>
    </row>
    <row r="17437" ht="14.25" customHeight="1">
      <c r="A17437" s="740"/>
    </row>
    <row r="17438" ht="14.25" customHeight="1">
      <c r="A17438" s="740"/>
    </row>
    <row r="17439" ht="14.25" customHeight="1">
      <c r="A17439" s="740"/>
    </row>
    <row r="17440" ht="14.25" customHeight="1">
      <c r="A17440" s="740"/>
    </row>
    <row r="17441" ht="14.25" customHeight="1">
      <c r="A17441" s="740"/>
    </row>
    <row r="17442" ht="14.25" customHeight="1">
      <c r="A17442" s="740"/>
    </row>
    <row r="17443" ht="14.25" customHeight="1">
      <c r="A17443" s="740"/>
    </row>
    <row r="17444" ht="14.25" customHeight="1">
      <c r="A17444" s="740"/>
    </row>
    <row r="17445" ht="14.25" customHeight="1">
      <c r="A17445" s="740"/>
    </row>
    <row r="17446" ht="14.25" customHeight="1">
      <c r="A17446" s="740"/>
    </row>
    <row r="17447" ht="14.25" customHeight="1">
      <c r="A17447" s="740"/>
    </row>
    <row r="17448" ht="14.25" customHeight="1">
      <c r="A17448" s="740"/>
    </row>
    <row r="17449" ht="14.25" customHeight="1">
      <c r="A17449" s="740"/>
    </row>
    <row r="17450" ht="14.25" customHeight="1">
      <c r="A17450" s="740"/>
    </row>
    <row r="17451" ht="14.25" customHeight="1">
      <c r="A17451" s="740"/>
    </row>
    <row r="17452" ht="14.25" customHeight="1">
      <c r="A17452" s="740"/>
    </row>
    <row r="17453" ht="14.25" customHeight="1">
      <c r="A17453" s="740"/>
    </row>
    <row r="17454" ht="14.25" customHeight="1">
      <c r="A17454" s="740"/>
    </row>
    <row r="17455" ht="14.25" customHeight="1">
      <c r="A17455" s="740"/>
    </row>
    <row r="17456" ht="14.25" customHeight="1">
      <c r="A17456" s="740"/>
    </row>
    <row r="17457" ht="14.25" customHeight="1">
      <c r="A17457" s="740"/>
    </row>
    <row r="17458" ht="14.25" customHeight="1">
      <c r="A17458" s="740"/>
    </row>
    <row r="17459" ht="14.25" customHeight="1">
      <c r="A17459" s="740"/>
    </row>
    <row r="17460" ht="14.25" customHeight="1">
      <c r="A17460" s="740"/>
    </row>
    <row r="17461" ht="14.25" customHeight="1">
      <c r="A17461" s="740"/>
    </row>
    <row r="17462" ht="14.25" customHeight="1">
      <c r="A17462" s="740"/>
    </row>
    <row r="17463" ht="14.25" customHeight="1">
      <c r="A17463" s="740"/>
    </row>
    <row r="17464" ht="14.25" customHeight="1">
      <c r="A17464" s="740"/>
    </row>
    <row r="17465" ht="14.25" customHeight="1">
      <c r="A17465" s="740"/>
    </row>
    <row r="17466" ht="14.25" customHeight="1">
      <c r="A17466" s="740"/>
    </row>
    <row r="17467" ht="14.25" customHeight="1">
      <c r="A17467" s="740"/>
    </row>
    <row r="17468" ht="14.25" customHeight="1">
      <c r="A17468" s="740"/>
    </row>
    <row r="17469" ht="14.25" customHeight="1">
      <c r="A17469" s="740"/>
    </row>
    <row r="17470" ht="14.25" customHeight="1">
      <c r="A17470" s="740"/>
    </row>
    <row r="17471" ht="14.25" customHeight="1">
      <c r="A17471" s="740"/>
    </row>
    <row r="17472" ht="14.25" customHeight="1">
      <c r="A17472" s="740"/>
    </row>
    <row r="17473" ht="14.25" customHeight="1">
      <c r="A17473" s="740"/>
    </row>
    <row r="17474" ht="14.25" customHeight="1">
      <c r="A17474" s="740"/>
    </row>
    <row r="17475" ht="14.25" customHeight="1">
      <c r="A17475" s="740"/>
    </row>
    <row r="17476" ht="14.25" customHeight="1">
      <c r="A17476" s="740"/>
    </row>
    <row r="17477" ht="14.25" customHeight="1">
      <c r="A17477" s="740"/>
    </row>
    <row r="17478" ht="14.25" customHeight="1">
      <c r="A17478" s="740"/>
    </row>
    <row r="17479" ht="14.25" customHeight="1">
      <c r="A17479" s="740"/>
    </row>
    <row r="17480" ht="14.25" customHeight="1">
      <c r="A17480" s="740"/>
    </row>
    <row r="17481" ht="14.25" customHeight="1">
      <c r="A17481" s="740"/>
    </row>
    <row r="17482" ht="14.25" customHeight="1">
      <c r="A17482" s="740"/>
    </row>
    <row r="17483" ht="14.25" customHeight="1">
      <c r="A17483" s="740"/>
    </row>
    <row r="17484" ht="14.25" customHeight="1">
      <c r="A17484" s="740"/>
    </row>
    <row r="17485" ht="14.25" customHeight="1">
      <c r="A17485" s="740"/>
    </row>
    <row r="17486" ht="14.25" customHeight="1">
      <c r="A17486" s="740"/>
    </row>
    <row r="17487" ht="14.25" customHeight="1">
      <c r="A17487" s="740"/>
    </row>
    <row r="17488" ht="14.25" customHeight="1">
      <c r="A17488" s="740"/>
    </row>
    <row r="17489" ht="14.25" customHeight="1">
      <c r="A17489" s="740"/>
    </row>
    <row r="17490" ht="14.25" customHeight="1">
      <c r="A17490" s="740"/>
    </row>
    <row r="17491" ht="14.25" customHeight="1">
      <c r="A17491" s="740"/>
    </row>
    <row r="17492" ht="14.25" customHeight="1">
      <c r="A17492" s="740"/>
    </row>
    <row r="17493" ht="14.25" customHeight="1">
      <c r="A17493" s="740"/>
    </row>
    <row r="17494" ht="14.25" customHeight="1">
      <c r="A17494" s="740"/>
    </row>
    <row r="17495" ht="14.25" customHeight="1">
      <c r="A17495" s="740"/>
    </row>
    <row r="17496" ht="14.25" customHeight="1">
      <c r="A17496" s="740"/>
    </row>
    <row r="17497" ht="14.25" customHeight="1">
      <c r="A17497" s="740"/>
    </row>
    <row r="17498" ht="14.25" customHeight="1">
      <c r="A17498" s="740"/>
    </row>
    <row r="17499" ht="14.25" customHeight="1">
      <c r="A17499" s="740"/>
    </row>
    <row r="17500" ht="14.25" customHeight="1">
      <c r="A17500" s="740"/>
    </row>
    <row r="17501" ht="14.25" customHeight="1">
      <c r="A17501" s="740"/>
    </row>
    <row r="17502" ht="14.25" customHeight="1">
      <c r="A17502" s="740"/>
    </row>
    <row r="17503" ht="14.25" customHeight="1">
      <c r="A17503" s="740"/>
    </row>
    <row r="17504" ht="14.25" customHeight="1">
      <c r="A17504" s="740"/>
    </row>
    <row r="17505" ht="14.25" customHeight="1">
      <c r="A17505" s="740"/>
    </row>
    <row r="17506" ht="14.25" customHeight="1">
      <c r="A17506" s="740"/>
    </row>
    <row r="17507" ht="14.25" customHeight="1">
      <c r="A17507" s="740"/>
    </row>
    <row r="17508" ht="14.25" customHeight="1">
      <c r="A17508" s="740"/>
    </row>
    <row r="17509" ht="14.25" customHeight="1">
      <c r="A17509" s="740"/>
    </row>
    <row r="17510" ht="14.25" customHeight="1">
      <c r="A17510" s="740"/>
    </row>
    <row r="17511" ht="14.25" customHeight="1">
      <c r="A17511" s="740"/>
    </row>
    <row r="17512" ht="14.25" customHeight="1">
      <c r="A17512" s="740"/>
    </row>
    <row r="17513" ht="14.25" customHeight="1">
      <c r="A17513" s="740"/>
    </row>
    <row r="17514" ht="14.25" customHeight="1">
      <c r="A17514" s="740"/>
    </row>
    <row r="17515" ht="14.25" customHeight="1">
      <c r="A17515" s="740"/>
    </row>
    <row r="17516" ht="14.25" customHeight="1">
      <c r="A17516" s="740"/>
    </row>
    <row r="17517" ht="14.25" customHeight="1">
      <c r="A17517" s="740"/>
    </row>
    <row r="17518" ht="14.25" customHeight="1">
      <c r="A17518" s="740"/>
    </row>
    <row r="17519" ht="14.25" customHeight="1">
      <c r="A17519" s="740"/>
    </row>
    <row r="17520" ht="14.25" customHeight="1">
      <c r="A17520" s="740"/>
    </row>
    <row r="17521" ht="14.25" customHeight="1">
      <c r="A17521" s="740"/>
    </row>
    <row r="17522" ht="14.25" customHeight="1">
      <c r="A17522" s="740"/>
    </row>
    <row r="17523" ht="14.25" customHeight="1">
      <c r="A17523" s="740"/>
    </row>
    <row r="17524" ht="14.25" customHeight="1">
      <c r="A17524" s="740"/>
    </row>
    <row r="17525" ht="14.25" customHeight="1">
      <c r="A17525" s="740"/>
    </row>
    <row r="17526" ht="14.25" customHeight="1">
      <c r="A17526" s="740"/>
    </row>
    <row r="17527" ht="14.25" customHeight="1">
      <c r="A17527" s="740"/>
    </row>
    <row r="17528" ht="14.25" customHeight="1">
      <c r="A17528" s="740"/>
    </row>
    <row r="17529" ht="14.25" customHeight="1">
      <c r="A17529" s="740"/>
    </row>
    <row r="17530" ht="14.25" customHeight="1">
      <c r="A17530" s="740"/>
    </row>
    <row r="17531" ht="14.25" customHeight="1">
      <c r="A17531" s="740"/>
    </row>
    <row r="17532" ht="14.25" customHeight="1">
      <c r="A17532" s="740"/>
    </row>
    <row r="17533" ht="14.25" customHeight="1">
      <c r="A17533" s="740"/>
    </row>
    <row r="17534" ht="14.25" customHeight="1">
      <c r="A17534" s="740"/>
    </row>
    <row r="17535" ht="14.25" customHeight="1">
      <c r="A17535" s="740"/>
    </row>
    <row r="17536" ht="14.25" customHeight="1">
      <c r="A17536" s="740"/>
    </row>
    <row r="17537" ht="14.25" customHeight="1">
      <c r="A17537" s="740"/>
    </row>
    <row r="17538" ht="14.25" customHeight="1">
      <c r="A17538" s="740"/>
    </row>
    <row r="17539" ht="14.25" customHeight="1">
      <c r="A17539" s="740"/>
    </row>
    <row r="17540" ht="14.25" customHeight="1">
      <c r="A17540" s="740"/>
    </row>
    <row r="17541" ht="14.25" customHeight="1">
      <c r="A17541" s="740"/>
    </row>
    <row r="17542" ht="14.25" customHeight="1">
      <c r="A17542" s="740"/>
    </row>
    <row r="17543" ht="14.25" customHeight="1">
      <c r="A17543" s="740"/>
    </row>
    <row r="17544" ht="14.25" customHeight="1">
      <c r="A17544" s="740"/>
    </row>
    <row r="17545" ht="14.25" customHeight="1">
      <c r="A17545" s="740"/>
    </row>
    <row r="17546" ht="14.25" customHeight="1">
      <c r="A17546" s="740"/>
    </row>
    <row r="17547" ht="14.25" customHeight="1">
      <c r="A17547" s="740"/>
    </row>
    <row r="17548" ht="14.25" customHeight="1">
      <c r="A17548" s="740"/>
    </row>
    <row r="17549" ht="14.25" customHeight="1">
      <c r="A17549" s="740"/>
    </row>
    <row r="17550" ht="14.25" customHeight="1">
      <c r="A17550" s="740"/>
    </row>
    <row r="17551" ht="14.25" customHeight="1">
      <c r="A17551" s="740"/>
    </row>
    <row r="17552" ht="14.25" customHeight="1">
      <c r="A17552" s="740"/>
    </row>
    <row r="17553" ht="14.25" customHeight="1">
      <c r="A17553" s="740"/>
    </row>
    <row r="17554" ht="14.25" customHeight="1">
      <c r="A17554" s="740"/>
    </row>
    <row r="17555" ht="14.25" customHeight="1">
      <c r="A17555" s="740"/>
    </row>
    <row r="17556" ht="14.25" customHeight="1">
      <c r="A17556" s="740"/>
    </row>
    <row r="17557" ht="14.25" customHeight="1">
      <c r="A17557" s="740"/>
    </row>
    <row r="17558" ht="14.25" customHeight="1">
      <c r="A17558" s="740"/>
    </row>
    <row r="17559" ht="14.25" customHeight="1">
      <c r="A17559" s="740"/>
    </row>
    <row r="17560" ht="14.25" customHeight="1">
      <c r="A17560" s="740"/>
    </row>
    <row r="17561" ht="14.25" customHeight="1">
      <c r="A17561" s="740"/>
    </row>
    <row r="17562" ht="14.25" customHeight="1">
      <c r="A17562" s="740"/>
    </row>
    <row r="17563" ht="14.25" customHeight="1">
      <c r="A17563" s="740"/>
    </row>
    <row r="17564" ht="14.25" customHeight="1">
      <c r="A17564" s="740"/>
    </row>
    <row r="17565" ht="14.25" customHeight="1">
      <c r="A17565" s="740"/>
    </row>
    <row r="17566" ht="14.25" customHeight="1">
      <c r="A17566" s="740"/>
    </row>
    <row r="17567" ht="14.25" customHeight="1">
      <c r="A17567" s="740"/>
    </row>
    <row r="17568" ht="14.25" customHeight="1">
      <c r="A17568" s="740"/>
    </row>
    <row r="17569" ht="14.25" customHeight="1">
      <c r="A17569" s="740"/>
    </row>
    <row r="17570" ht="14.25" customHeight="1">
      <c r="A17570" s="740"/>
    </row>
    <row r="17571" ht="14.25" customHeight="1">
      <c r="A17571" s="740"/>
    </row>
    <row r="17572" ht="14.25" customHeight="1">
      <c r="A17572" s="740"/>
    </row>
    <row r="17573" ht="14.25" customHeight="1">
      <c r="A17573" s="740"/>
    </row>
    <row r="17574" ht="14.25" customHeight="1">
      <c r="A17574" s="740"/>
    </row>
    <row r="17575" ht="14.25" customHeight="1">
      <c r="A17575" s="740"/>
    </row>
    <row r="17576" ht="14.25" customHeight="1">
      <c r="A17576" s="740"/>
    </row>
    <row r="17577" ht="14.25" customHeight="1">
      <c r="A17577" s="740"/>
    </row>
    <row r="17578" ht="14.25" customHeight="1">
      <c r="A17578" s="740"/>
    </row>
    <row r="17579" ht="14.25" customHeight="1">
      <c r="A17579" s="740"/>
    </row>
    <row r="17580" ht="14.25" customHeight="1">
      <c r="A17580" s="740"/>
    </row>
    <row r="17581" ht="14.25" customHeight="1">
      <c r="A17581" s="740"/>
    </row>
    <row r="17582" ht="14.25" customHeight="1">
      <c r="A17582" s="740"/>
    </row>
    <row r="17583" ht="14.25" customHeight="1">
      <c r="A17583" s="740"/>
    </row>
    <row r="17584" ht="14.25" customHeight="1">
      <c r="A17584" s="740"/>
    </row>
    <row r="17585" ht="14.25" customHeight="1">
      <c r="A17585" s="740"/>
    </row>
    <row r="17586" ht="14.25" customHeight="1">
      <c r="A17586" s="740"/>
    </row>
    <row r="17587" ht="14.25" customHeight="1">
      <c r="A17587" s="740"/>
    </row>
    <row r="17588" ht="14.25" customHeight="1">
      <c r="A17588" s="740"/>
    </row>
    <row r="17589" ht="14.25" customHeight="1">
      <c r="A17589" s="740"/>
    </row>
    <row r="17590" ht="14.25" customHeight="1">
      <c r="A17590" s="740"/>
    </row>
    <row r="17591" ht="14.25" customHeight="1">
      <c r="A17591" s="740"/>
    </row>
    <row r="17592" ht="14.25" customHeight="1">
      <c r="A17592" s="740"/>
    </row>
    <row r="17593" ht="14.25" customHeight="1">
      <c r="A17593" s="740"/>
    </row>
    <row r="17594" ht="14.25" customHeight="1">
      <c r="A17594" s="740"/>
    </row>
    <row r="17595" ht="14.25" customHeight="1">
      <c r="A17595" s="740"/>
    </row>
    <row r="17596" ht="14.25" customHeight="1">
      <c r="A17596" s="740"/>
    </row>
    <row r="17597" ht="14.25" customHeight="1">
      <c r="A17597" s="740"/>
    </row>
    <row r="17598" ht="14.25" customHeight="1">
      <c r="A17598" s="740"/>
    </row>
    <row r="17599" ht="14.25" customHeight="1">
      <c r="A17599" s="740"/>
    </row>
    <row r="17600" ht="14.25" customHeight="1">
      <c r="A17600" s="740"/>
    </row>
    <row r="17601" ht="14.25" customHeight="1">
      <c r="A17601" s="740"/>
    </row>
    <row r="17602" ht="14.25" customHeight="1">
      <c r="A17602" s="740"/>
    </row>
    <row r="17603" ht="14.25" customHeight="1">
      <c r="A17603" s="740"/>
    </row>
    <row r="17604" ht="14.25" customHeight="1">
      <c r="A17604" s="740"/>
    </row>
    <row r="17605" ht="14.25" customHeight="1">
      <c r="A17605" s="740"/>
    </row>
    <row r="17606" ht="14.25" customHeight="1">
      <c r="A17606" s="740"/>
    </row>
    <row r="17607" ht="14.25" customHeight="1">
      <c r="A17607" s="740"/>
    </row>
    <row r="17608" ht="14.25" customHeight="1">
      <c r="A17608" s="740"/>
    </row>
    <row r="17609" ht="14.25" customHeight="1">
      <c r="A17609" s="740"/>
    </row>
    <row r="17610" ht="14.25" customHeight="1">
      <c r="A17610" s="740"/>
    </row>
    <row r="17611" ht="14.25" customHeight="1">
      <c r="A17611" s="740"/>
    </row>
    <row r="17612" ht="14.25" customHeight="1">
      <c r="A17612" s="740"/>
    </row>
    <row r="17613" ht="14.25" customHeight="1">
      <c r="A17613" s="740"/>
    </row>
    <row r="17614" ht="14.25" customHeight="1">
      <c r="A17614" s="740"/>
    </row>
    <row r="17615" ht="14.25" customHeight="1">
      <c r="A17615" s="740"/>
    </row>
    <row r="17616" ht="14.25" customHeight="1">
      <c r="A17616" s="740"/>
    </row>
    <row r="17617" ht="14.25" customHeight="1">
      <c r="A17617" s="740"/>
    </row>
    <row r="17618" ht="14.25" customHeight="1">
      <c r="A17618" s="740"/>
    </row>
    <row r="17619" ht="14.25" customHeight="1">
      <c r="A17619" s="740"/>
    </row>
    <row r="17620" ht="14.25" customHeight="1">
      <c r="A17620" s="740"/>
    </row>
    <row r="17621" ht="14.25" customHeight="1">
      <c r="A17621" s="740"/>
    </row>
    <row r="17622" ht="14.25" customHeight="1">
      <c r="A17622" s="740"/>
    </row>
    <row r="17623" ht="14.25" customHeight="1">
      <c r="A17623" s="740"/>
    </row>
    <row r="17624" ht="14.25" customHeight="1">
      <c r="A17624" s="740"/>
    </row>
    <row r="17625" ht="14.25" customHeight="1">
      <c r="A17625" s="740"/>
    </row>
    <row r="17626" ht="14.25" customHeight="1">
      <c r="A17626" s="740"/>
    </row>
    <row r="17627" ht="14.25" customHeight="1">
      <c r="A17627" s="740"/>
    </row>
    <row r="17628" ht="14.25" customHeight="1">
      <c r="A17628" s="740"/>
    </row>
    <row r="17629" ht="14.25" customHeight="1">
      <c r="A17629" s="740"/>
    </row>
    <row r="17630" ht="14.25" customHeight="1">
      <c r="A17630" s="740"/>
    </row>
    <row r="17631" ht="14.25" customHeight="1">
      <c r="A17631" s="740"/>
    </row>
    <row r="17632" ht="14.25" customHeight="1">
      <c r="A17632" s="740"/>
    </row>
    <row r="17633" ht="14.25" customHeight="1">
      <c r="A17633" s="740"/>
    </row>
    <row r="17634" ht="14.25" customHeight="1">
      <c r="A17634" s="740"/>
    </row>
    <row r="17635" ht="14.25" customHeight="1">
      <c r="A17635" s="740"/>
    </row>
    <row r="17636" ht="14.25" customHeight="1">
      <c r="A17636" s="740"/>
    </row>
    <row r="17637" ht="14.25" customHeight="1">
      <c r="A17637" s="740"/>
    </row>
    <row r="17638" ht="14.25" customHeight="1">
      <c r="A17638" s="740"/>
    </row>
    <row r="17639" ht="14.25" customHeight="1">
      <c r="A17639" s="740"/>
    </row>
    <row r="17640" ht="14.25" customHeight="1">
      <c r="A17640" s="740"/>
    </row>
    <row r="17641" ht="14.25" customHeight="1">
      <c r="A17641" s="740"/>
    </row>
    <row r="17642" ht="14.25" customHeight="1">
      <c r="A17642" s="740"/>
    </row>
    <row r="17643" ht="14.25" customHeight="1">
      <c r="A17643" s="740"/>
    </row>
    <row r="17644" ht="14.25" customHeight="1">
      <c r="A17644" s="740"/>
    </row>
    <row r="17645" ht="14.25" customHeight="1">
      <c r="A17645" s="740"/>
    </row>
    <row r="17646" ht="14.25" customHeight="1">
      <c r="A17646" s="740"/>
    </row>
    <row r="17647" ht="14.25" customHeight="1">
      <c r="A17647" s="740"/>
    </row>
    <row r="17648" ht="14.25" customHeight="1">
      <c r="A17648" s="740"/>
    </row>
    <row r="17649" ht="14.25" customHeight="1">
      <c r="A17649" s="740"/>
    </row>
    <row r="17650" ht="14.25" customHeight="1">
      <c r="A17650" s="740"/>
    </row>
    <row r="17651" ht="14.25" customHeight="1">
      <c r="A17651" s="740"/>
    </row>
    <row r="17652" ht="14.25" customHeight="1">
      <c r="A17652" s="740"/>
    </row>
    <row r="17653" ht="14.25" customHeight="1">
      <c r="A17653" s="740"/>
    </row>
    <row r="17654" ht="14.25" customHeight="1">
      <c r="A17654" s="740"/>
    </row>
    <row r="17655" ht="14.25" customHeight="1">
      <c r="A17655" s="740"/>
    </row>
    <row r="17656" ht="14.25" customHeight="1">
      <c r="A17656" s="740"/>
    </row>
    <row r="17657" ht="14.25" customHeight="1">
      <c r="A17657" s="740"/>
    </row>
    <row r="17658" ht="14.25" customHeight="1">
      <c r="A17658" s="740"/>
    </row>
    <row r="17659" ht="14.25" customHeight="1">
      <c r="A17659" s="740"/>
    </row>
    <row r="17660" ht="14.25" customHeight="1">
      <c r="A17660" s="740"/>
    </row>
    <row r="17661" ht="14.25" customHeight="1">
      <c r="A17661" s="740"/>
    </row>
    <row r="17662" ht="14.25" customHeight="1">
      <c r="A17662" s="740"/>
    </row>
    <row r="17663" ht="14.25" customHeight="1">
      <c r="A17663" s="740"/>
    </row>
    <row r="17664" ht="14.25" customHeight="1">
      <c r="A17664" s="740"/>
    </row>
    <row r="17665" ht="14.25" customHeight="1">
      <c r="A17665" s="740"/>
    </row>
    <row r="17666" ht="14.25" customHeight="1">
      <c r="A17666" s="740"/>
    </row>
    <row r="17667" ht="14.25" customHeight="1">
      <c r="A17667" s="740"/>
    </row>
    <row r="17668" ht="14.25" customHeight="1">
      <c r="A17668" s="740"/>
    </row>
    <row r="17669" ht="14.25" customHeight="1">
      <c r="A17669" s="740"/>
    </row>
    <row r="17670" ht="14.25" customHeight="1">
      <c r="A17670" s="740"/>
    </row>
    <row r="17671" ht="14.25" customHeight="1">
      <c r="A17671" s="740"/>
    </row>
    <row r="17672" ht="14.25" customHeight="1">
      <c r="A17672" s="740"/>
    </row>
    <row r="17673" ht="14.25" customHeight="1">
      <c r="A17673" s="740"/>
    </row>
    <row r="17674" ht="14.25" customHeight="1">
      <c r="A17674" s="740"/>
    </row>
    <row r="17675" ht="14.25" customHeight="1">
      <c r="A17675" s="740"/>
    </row>
    <row r="17676" ht="14.25" customHeight="1">
      <c r="A17676" s="740"/>
    </row>
    <row r="17677" ht="14.25" customHeight="1">
      <c r="A17677" s="740"/>
    </row>
    <row r="17678" ht="14.25" customHeight="1">
      <c r="A17678" s="740"/>
    </row>
    <row r="17679" ht="14.25" customHeight="1">
      <c r="A17679" s="740"/>
    </row>
    <row r="17680" ht="14.25" customHeight="1">
      <c r="A17680" s="740"/>
    </row>
    <row r="17681" ht="14.25" customHeight="1">
      <c r="A17681" s="740"/>
    </row>
    <row r="17682" ht="14.25" customHeight="1">
      <c r="A17682" s="740"/>
    </row>
    <row r="17683" ht="14.25" customHeight="1">
      <c r="A17683" s="740"/>
    </row>
    <row r="17684" ht="14.25" customHeight="1">
      <c r="A17684" s="740"/>
    </row>
    <row r="17685" ht="14.25" customHeight="1">
      <c r="A17685" s="740"/>
    </row>
    <row r="17686" ht="14.25" customHeight="1">
      <c r="A17686" s="740"/>
    </row>
    <row r="17687" ht="14.25" customHeight="1">
      <c r="A17687" s="740"/>
    </row>
    <row r="17688" ht="14.25" customHeight="1">
      <c r="A17688" s="740"/>
    </row>
    <row r="17689" ht="14.25" customHeight="1">
      <c r="A17689" s="740"/>
    </row>
    <row r="17690" ht="14.25" customHeight="1">
      <c r="A17690" s="740"/>
    </row>
    <row r="17691" ht="14.25" customHeight="1">
      <c r="A17691" s="740"/>
    </row>
    <row r="17692" ht="14.25" customHeight="1">
      <c r="A17692" s="740"/>
    </row>
    <row r="17693" ht="14.25" customHeight="1">
      <c r="A17693" s="740"/>
    </row>
    <row r="17694" ht="14.25" customHeight="1">
      <c r="A17694" s="740"/>
    </row>
    <row r="17695" ht="14.25" customHeight="1">
      <c r="A17695" s="740"/>
    </row>
    <row r="17696" ht="14.25" customHeight="1">
      <c r="A17696" s="740"/>
    </row>
    <row r="17697" ht="14.25" customHeight="1">
      <c r="A17697" s="740"/>
    </row>
    <row r="17698" ht="14.25" customHeight="1">
      <c r="A17698" s="740"/>
    </row>
    <row r="17699" ht="14.25" customHeight="1">
      <c r="A17699" s="740"/>
    </row>
    <row r="17700" ht="14.25" customHeight="1">
      <c r="A17700" s="740"/>
    </row>
    <row r="17701" ht="14.25" customHeight="1">
      <c r="A17701" s="740"/>
    </row>
    <row r="17702" ht="14.25" customHeight="1">
      <c r="A17702" s="740"/>
    </row>
    <row r="17703" ht="14.25" customHeight="1">
      <c r="A17703" s="740"/>
    </row>
    <row r="17704" ht="14.25" customHeight="1">
      <c r="A17704" s="740"/>
    </row>
    <row r="17705" ht="14.25" customHeight="1">
      <c r="A17705" s="740"/>
    </row>
    <row r="17706" ht="14.25" customHeight="1">
      <c r="A17706" s="740"/>
    </row>
    <row r="17707" ht="14.25" customHeight="1">
      <c r="A17707" s="740"/>
    </row>
    <row r="17708" ht="14.25" customHeight="1">
      <c r="A17708" s="740"/>
    </row>
    <row r="17709" ht="14.25" customHeight="1">
      <c r="A17709" s="740"/>
    </row>
    <row r="17710" ht="14.25" customHeight="1">
      <c r="A17710" s="740"/>
    </row>
    <row r="17711" ht="14.25" customHeight="1">
      <c r="A17711" s="740"/>
    </row>
    <row r="17712" ht="14.25" customHeight="1">
      <c r="A17712" s="740"/>
    </row>
    <row r="17713" ht="14.25" customHeight="1">
      <c r="A17713" s="740"/>
    </row>
    <row r="17714" ht="14.25" customHeight="1">
      <c r="A17714" s="740"/>
    </row>
    <row r="17715" ht="14.25" customHeight="1">
      <c r="A17715" s="740"/>
    </row>
    <row r="17716" ht="14.25" customHeight="1">
      <c r="A17716" s="740"/>
    </row>
    <row r="17717" ht="14.25" customHeight="1">
      <c r="A17717" s="740"/>
    </row>
    <row r="17718" ht="14.25" customHeight="1">
      <c r="A17718" s="740"/>
    </row>
    <row r="17719" ht="14.25" customHeight="1">
      <c r="A17719" s="740"/>
    </row>
    <row r="17720" ht="14.25" customHeight="1">
      <c r="A17720" s="740"/>
    </row>
    <row r="17721" ht="14.25" customHeight="1">
      <c r="A17721" s="740"/>
    </row>
    <row r="17722" ht="14.25" customHeight="1">
      <c r="A17722" s="740"/>
    </row>
    <row r="17723" ht="14.25" customHeight="1">
      <c r="A17723" s="740"/>
    </row>
    <row r="17724" ht="14.25" customHeight="1">
      <c r="A17724" s="740"/>
    </row>
    <row r="17725" ht="14.25" customHeight="1">
      <c r="A17725" s="740"/>
    </row>
    <row r="17726" ht="14.25" customHeight="1">
      <c r="A17726" s="740"/>
    </row>
    <row r="17727" ht="14.25" customHeight="1">
      <c r="A17727" s="740"/>
    </row>
    <row r="17728" ht="14.25" customHeight="1">
      <c r="A17728" s="740"/>
    </row>
    <row r="17729" ht="14.25" customHeight="1">
      <c r="A17729" s="740"/>
    </row>
    <row r="17730" ht="14.25" customHeight="1">
      <c r="A17730" s="740"/>
    </row>
    <row r="17731" ht="14.25" customHeight="1">
      <c r="A17731" s="740"/>
    </row>
    <row r="17732" ht="14.25" customHeight="1">
      <c r="A17732" s="740"/>
    </row>
    <row r="17733" ht="14.25" customHeight="1">
      <c r="A17733" s="740"/>
    </row>
    <row r="17734" ht="14.25" customHeight="1">
      <c r="A17734" s="740"/>
    </row>
    <row r="17735" ht="14.25" customHeight="1">
      <c r="A17735" s="740"/>
    </row>
    <row r="17736" ht="14.25" customHeight="1">
      <c r="A17736" s="740"/>
    </row>
    <row r="17737" ht="14.25" customHeight="1">
      <c r="A17737" s="740"/>
    </row>
    <row r="17738" ht="14.25" customHeight="1">
      <c r="A17738" s="740"/>
    </row>
    <row r="17739" ht="14.25" customHeight="1">
      <c r="A17739" s="740"/>
    </row>
    <row r="17740" ht="14.25" customHeight="1">
      <c r="A17740" s="740"/>
    </row>
    <row r="17741" ht="14.25" customHeight="1">
      <c r="A17741" s="740"/>
    </row>
    <row r="17742" ht="14.25" customHeight="1">
      <c r="A17742" s="740"/>
    </row>
    <row r="17743" ht="14.25" customHeight="1">
      <c r="A17743" s="740"/>
    </row>
    <row r="17744" ht="14.25" customHeight="1">
      <c r="A17744" s="740"/>
    </row>
    <row r="17745" ht="14.25" customHeight="1">
      <c r="A17745" s="740"/>
    </row>
    <row r="17746" ht="14.25" customHeight="1">
      <c r="A17746" s="740"/>
    </row>
    <row r="17747" ht="14.25" customHeight="1">
      <c r="A17747" s="740"/>
    </row>
    <row r="17748" ht="14.25" customHeight="1">
      <c r="A17748" s="740"/>
    </row>
    <row r="17749" ht="14.25" customHeight="1">
      <c r="A17749" s="740"/>
    </row>
    <row r="17750" ht="14.25" customHeight="1">
      <c r="A17750" s="740"/>
    </row>
    <row r="17751" ht="14.25" customHeight="1">
      <c r="A17751" s="740"/>
    </row>
    <row r="17752" ht="14.25" customHeight="1">
      <c r="A17752" s="740"/>
    </row>
    <row r="17753" ht="14.25" customHeight="1">
      <c r="A17753" s="740"/>
    </row>
    <row r="17754" ht="14.25" customHeight="1">
      <c r="A17754" s="740"/>
    </row>
    <row r="17755" ht="14.25" customHeight="1">
      <c r="A17755" s="740"/>
    </row>
    <row r="17756" ht="14.25" customHeight="1">
      <c r="A17756" s="740"/>
    </row>
    <row r="17757" ht="14.25" customHeight="1">
      <c r="A17757" s="740"/>
    </row>
    <row r="17758" ht="14.25" customHeight="1">
      <c r="A17758" s="740"/>
    </row>
    <row r="17759" ht="14.25" customHeight="1">
      <c r="A17759" s="740"/>
    </row>
    <row r="17760" ht="14.25" customHeight="1">
      <c r="A17760" s="740"/>
    </row>
    <row r="17761" ht="14.25" customHeight="1">
      <c r="A17761" s="740"/>
    </row>
    <row r="17762" ht="14.25" customHeight="1">
      <c r="A17762" s="740"/>
    </row>
    <row r="17763" ht="14.25" customHeight="1">
      <c r="A17763" s="740"/>
    </row>
    <row r="17764" ht="14.25" customHeight="1">
      <c r="A17764" s="740"/>
    </row>
    <row r="17765" ht="14.25" customHeight="1">
      <c r="A17765" s="740"/>
    </row>
    <row r="17766" ht="14.25" customHeight="1">
      <c r="A17766" s="740"/>
    </row>
    <row r="17767" ht="14.25" customHeight="1">
      <c r="A17767" s="740"/>
    </row>
    <row r="17768" ht="14.25" customHeight="1">
      <c r="A17768" s="740"/>
    </row>
    <row r="17769" ht="14.25" customHeight="1">
      <c r="A17769" s="740"/>
    </row>
    <row r="17770" ht="14.25" customHeight="1">
      <c r="A17770" s="740"/>
    </row>
    <row r="17771" ht="14.25" customHeight="1">
      <c r="A17771" s="740"/>
    </row>
    <row r="17772" ht="14.25" customHeight="1">
      <c r="A17772" s="740"/>
    </row>
    <row r="17773" ht="14.25" customHeight="1">
      <c r="A17773" s="740"/>
    </row>
    <row r="17774" ht="14.25" customHeight="1">
      <c r="A17774" s="740"/>
    </row>
    <row r="17775" ht="14.25" customHeight="1">
      <c r="A17775" s="740"/>
    </row>
    <row r="17776" ht="14.25" customHeight="1">
      <c r="A17776" s="740"/>
    </row>
    <row r="17777" ht="14.25" customHeight="1">
      <c r="A17777" s="740"/>
    </row>
    <row r="17778" ht="14.25" customHeight="1">
      <c r="A17778" s="740"/>
    </row>
    <row r="17779" ht="14.25" customHeight="1">
      <c r="A17779" s="740"/>
    </row>
    <row r="17780" ht="14.25" customHeight="1">
      <c r="A17780" s="740"/>
    </row>
    <row r="17781" ht="14.25" customHeight="1">
      <c r="A17781" s="740"/>
    </row>
    <row r="17782" ht="14.25" customHeight="1">
      <c r="A17782" s="740"/>
    </row>
    <row r="17783" ht="14.25" customHeight="1">
      <c r="A17783" s="740"/>
    </row>
    <row r="17784" ht="14.25" customHeight="1">
      <c r="A17784" s="740"/>
    </row>
    <row r="17785" ht="14.25" customHeight="1">
      <c r="A17785" s="740"/>
    </row>
    <row r="17786" ht="14.25" customHeight="1">
      <c r="A17786" s="740"/>
    </row>
    <row r="17787" ht="14.25" customHeight="1">
      <c r="A17787" s="740"/>
    </row>
    <row r="17788" ht="14.25" customHeight="1">
      <c r="A17788" s="740"/>
    </row>
    <row r="17789" ht="14.25" customHeight="1">
      <c r="A17789" s="740"/>
    </row>
    <row r="17790" ht="14.25" customHeight="1">
      <c r="A17790" s="740"/>
    </row>
    <row r="17791" ht="14.25" customHeight="1">
      <c r="A17791" s="740"/>
    </row>
    <row r="17792" ht="14.25" customHeight="1">
      <c r="A17792" s="740"/>
    </row>
    <row r="17793" ht="14.25" customHeight="1">
      <c r="A17793" s="740"/>
    </row>
    <row r="17794" ht="14.25" customHeight="1">
      <c r="A17794" s="740"/>
    </row>
    <row r="17795" ht="14.25" customHeight="1">
      <c r="A17795" s="740"/>
    </row>
    <row r="17796" ht="14.25" customHeight="1">
      <c r="A17796" s="740"/>
    </row>
    <row r="17797" ht="14.25" customHeight="1">
      <c r="A17797" s="740"/>
    </row>
    <row r="17798" ht="14.25" customHeight="1">
      <c r="A17798" s="740"/>
    </row>
    <row r="17799" ht="14.25" customHeight="1">
      <c r="A17799" s="740"/>
    </row>
    <row r="17800" ht="14.25" customHeight="1">
      <c r="A17800" s="740"/>
    </row>
    <row r="17801" ht="14.25" customHeight="1">
      <c r="A17801" s="740"/>
    </row>
    <row r="17802" ht="14.25" customHeight="1">
      <c r="A17802" s="740"/>
    </row>
    <row r="17803" ht="14.25" customHeight="1">
      <c r="A17803" s="740"/>
    </row>
    <row r="17804" ht="14.25" customHeight="1">
      <c r="A17804" s="740"/>
    </row>
    <row r="17805" ht="14.25" customHeight="1">
      <c r="A17805" s="740"/>
    </row>
    <row r="17806" ht="14.25" customHeight="1">
      <c r="A17806" s="740"/>
    </row>
    <row r="17807" ht="14.25" customHeight="1">
      <c r="A17807" s="740"/>
    </row>
    <row r="17808" ht="14.25" customHeight="1">
      <c r="A17808" s="740"/>
    </row>
    <row r="17809" ht="14.25" customHeight="1">
      <c r="A17809" s="740"/>
    </row>
    <row r="17810" ht="14.25" customHeight="1">
      <c r="A17810" s="740"/>
    </row>
    <row r="17811" ht="14.25" customHeight="1">
      <c r="A17811" s="740"/>
    </row>
    <row r="17812" ht="14.25" customHeight="1">
      <c r="A17812" s="740"/>
    </row>
    <row r="17813" ht="14.25" customHeight="1">
      <c r="A17813" s="740"/>
    </row>
    <row r="17814" ht="14.25" customHeight="1">
      <c r="A17814" s="740"/>
    </row>
    <row r="17815" ht="14.25" customHeight="1">
      <c r="A17815" s="740"/>
    </row>
    <row r="17816" ht="14.25" customHeight="1">
      <c r="A17816" s="740"/>
    </row>
    <row r="17817" ht="14.25" customHeight="1">
      <c r="A17817" s="740"/>
    </row>
    <row r="17818" ht="14.25" customHeight="1">
      <c r="A17818" s="740"/>
    </row>
    <row r="17819" ht="14.25" customHeight="1">
      <c r="A17819" s="740"/>
    </row>
    <row r="17820" ht="14.25" customHeight="1">
      <c r="A17820" s="740"/>
    </row>
    <row r="17821" ht="14.25" customHeight="1">
      <c r="A17821" s="740"/>
    </row>
    <row r="17822" ht="14.25" customHeight="1">
      <c r="A17822" s="740"/>
    </row>
    <row r="17823" ht="14.25" customHeight="1">
      <c r="A17823" s="740"/>
    </row>
    <row r="17824" ht="14.25" customHeight="1">
      <c r="A17824" s="740"/>
    </row>
    <row r="17825" ht="14.25" customHeight="1">
      <c r="A17825" s="740"/>
    </row>
    <row r="17826" ht="14.25" customHeight="1">
      <c r="A17826" s="740"/>
    </row>
    <row r="17827" ht="14.25" customHeight="1">
      <c r="A17827" s="740"/>
    </row>
    <row r="17828" ht="14.25" customHeight="1">
      <c r="A17828" s="740"/>
    </row>
    <row r="17829" ht="14.25" customHeight="1">
      <c r="A17829" s="740"/>
    </row>
    <row r="17830" ht="14.25" customHeight="1">
      <c r="A17830" s="740"/>
    </row>
    <row r="17831" ht="14.25" customHeight="1">
      <c r="A17831" s="740"/>
    </row>
    <row r="17832" ht="14.25" customHeight="1">
      <c r="A17832" s="740"/>
    </row>
    <row r="17833" ht="14.25" customHeight="1">
      <c r="A17833" s="740"/>
    </row>
    <row r="17834" ht="14.25" customHeight="1">
      <c r="A17834" s="740"/>
    </row>
    <row r="17835" ht="14.25" customHeight="1">
      <c r="A17835" s="740"/>
    </row>
    <row r="17836" ht="14.25" customHeight="1">
      <c r="A17836" s="740"/>
    </row>
    <row r="17837" ht="14.25" customHeight="1">
      <c r="A17837" s="740"/>
    </row>
    <row r="17838" ht="14.25" customHeight="1">
      <c r="A17838" s="740"/>
    </row>
    <row r="17839" ht="14.25" customHeight="1">
      <c r="A17839" s="740"/>
    </row>
    <row r="17840" ht="14.25" customHeight="1">
      <c r="A17840" s="740"/>
    </row>
    <row r="17841" ht="14.25" customHeight="1">
      <c r="A17841" s="740"/>
    </row>
    <row r="17842" ht="14.25" customHeight="1">
      <c r="A17842" s="740"/>
    </row>
    <row r="17843" ht="14.25" customHeight="1">
      <c r="A17843" s="740"/>
    </row>
    <row r="17844" ht="14.25" customHeight="1">
      <c r="A17844" s="740"/>
    </row>
    <row r="17845" ht="14.25" customHeight="1">
      <c r="A17845" s="740"/>
    </row>
    <row r="17846" ht="14.25" customHeight="1">
      <c r="A17846" s="740"/>
    </row>
    <row r="17847" ht="14.25" customHeight="1">
      <c r="A17847" s="740"/>
    </row>
    <row r="17848" ht="14.25" customHeight="1">
      <c r="A17848" s="740"/>
    </row>
    <row r="17849" ht="14.25" customHeight="1">
      <c r="A17849" s="740"/>
    </row>
    <row r="17850" ht="14.25" customHeight="1">
      <c r="A17850" s="740"/>
    </row>
    <row r="17851" ht="14.25" customHeight="1">
      <c r="A17851" s="740"/>
    </row>
    <row r="17852" ht="14.25" customHeight="1">
      <c r="A17852" s="740"/>
    </row>
    <row r="17853" ht="14.25" customHeight="1">
      <c r="A17853" s="740"/>
    </row>
    <row r="17854" ht="14.25" customHeight="1">
      <c r="A17854" s="740"/>
    </row>
    <row r="17855" ht="14.25" customHeight="1">
      <c r="A17855" s="740"/>
    </row>
    <row r="17856" ht="14.25" customHeight="1">
      <c r="A17856" s="740"/>
    </row>
    <row r="17857" ht="14.25" customHeight="1">
      <c r="A17857" s="740"/>
    </row>
    <row r="17858" ht="14.25" customHeight="1">
      <c r="A17858" s="740"/>
    </row>
    <row r="17859" ht="14.25" customHeight="1">
      <c r="A17859" s="740"/>
    </row>
    <row r="17860" ht="14.25" customHeight="1">
      <c r="A17860" s="740"/>
    </row>
    <row r="17861" ht="14.25" customHeight="1">
      <c r="A17861" s="740"/>
    </row>
    <row r="17862" ht="14.25" customHeight="1">
      <c r="A17862" s="740"/>
    </row>
    <row r="17863" ht="14.25" customHeight="1">
      <c r="A17863" s="740"/>
    </row>
    <row r="17864" ht="14.25" customHeight="1">
      <c r="A17864" s="740"/>
    </row>
    <row r="17865" ht="14.25" customHeight="1">
      <c r="A17865" s="740"/>
    </row>
    <row r="17866" ht="14.25" customHeight="1">
      <c r="A17866" s="740"/>
    </row>
    <row r="17867" ht="14.25" customHeight="1">
      <c r="A17867" s="740"/>
    </row>
    <row r="17868" ht="14.25" customHeight="1">
      <c r="A17868" s="740"/>
    </row>
    <row r="17869" ht="14.25" customHeight="1">
      <c r="A17869" s="740"/>
    </row>
    <row r="17870" ht="14.25" customHeight="1">
      <c r="A17870" s="740"/>
    </row>
    <row r="17871" ht="14.25" customHeight="1">
      <c r="A17871" s="740"/>
    </row>
    <row r="17872" ht="14.25" customHeight="1">
      <c r="A17872" s="740"/>
    </row>
    <row r="17873" ht="14.25" customHeight="1">
      <c r="A17873" s="740"/>
    </row>
    <row r="17874" ht="14.25" customHeight="1">
      <c r="A17874" s="740"/>
    </row>
    <row r="17875" ht="14.25" customHeight="1">
      <c r="A17875" s="740"/>
    </row>
    <row r="17876" ht="14.25" customHeight="1">
      <c r="A17876" s="740"/>
    </row>
    <row r="17877" ht="14.25" customHeight="1">
      <c r="A17877" s="740"/>
    </row>
    <row r="17878" ht="14.25" customHeight="1">
      <c r="A17878" s="740"/>
    </row>
    <row r="17879" ht="14.25" customHeight="1">
      <c r="A17879" s="740"/>
    </row>
    <row r="17880" ht="14.25" customHeight="1">
      <c r="A17880" s="740"/>
    </row>
    <row r="17881" ht="14.25" customHeight="1">
      <c r="A17881" s="740"/>
    </row>
    <row r="17882" ht="14.25" customHeight="1">
      <c r="A17882" s="740"/>
    </row>
    <row r="17883" ht="14.25" customHeight="1">
      <c r="A17883" s="740"/>
    </row>
    <row r="17884" ht="14.25" customHeight="1">
      <c r="A17884" s="740"/>
    </row>
    <row r="17885" ht="14.25" customHeight="1">
      <c r="A17885" s="740"/>
    </row>
    <row r="17886" ht="14.25" customHeight="1">
      <c r="A17886" s="740"/>
    </row>
    <row r="17887" ht="14.25" customHeight="1">
      <c r="A17887" s="740"/>
    </row>
    <row r="17888" ht="14.25" customHeight="1">
      <c r="A17888" s="740"/>
    </row>
    <row r="17889" ht="14.25" customHeight="1">
      <c r="A17889" s="740"/>
    </row>
    <row r="17890" ht="14.25" customHeight="1">
      <c r="A17890" s="740"/>
    </row>
    <row r="17891" ht="14.25" customHeight="1">
      <c r="A17891" s="740"/>
    </row>
    <row r="17892" ht="14.25" customHeight="1">
      <c r="A17892" s="740"/>
    </row>
    <row r="17893" ht="14.25" customHeight="1">
      <c r="A17893" s="740"/>
    </row>
    <row r="17894" ht="14.25" customHeight="1">
      <c r="A17894" s="740"/>
    </row>
    <row r="17895" ht="14.25" customHeight="1">
      <c r="A17895" s="740"/>
    </row>
    <row r="17896" ht="14.25" customHeight="1">
      <c r="A17896" s="740"/>
    </row>
    <row r="17897" ht="14.25" customHeight="1">
      <c r="A17897" s="740"/>
    </row>
    <row r="17898" ht="14.25" customHeight="1">
      <c r="A17898" s="740"/>
    </row>
    <row r="17899" ht="14.25" customHeight="1">
      <c r="A17899" s="740"/>
    </row>
    <row r="17900" ht="14.25" customHeight="1">
      <c r="A17900" s="740"/>
    </row>
    <row r="17901" ht="14.25" customHeight="1">
      <c r="A17901" s="740"/>
    </row>
    <row r="17902" ht="14.25" customHeight="1">
      <c r="A17902" s="740"/>
    </row>
    <row r="17903" ht="14.25" customHeight="1">
      <c r="A17903" s="740"/>
    </row>
    <row r="17904" ht="14.25" customHeight="1">
      <c r="A17904" s="740"/>
    </row>
    <row r="17905" ht="14.25" customHeight="1">
      <c r="A17905" s="740"/>
    </row>
    <row r="17906" ht="14.25" customHeight="1">
      <c r="A17906" s="740"/>
    </row>
    <row r="17907" ht="14.25" customHeight="1">
      <c r="A17907" s="740"/>
    </row>
    <row r="17908" ht="14.25" customHeight="1">
      <c r="A17908" s="740"/>
    </row>
    <row r="17909" ht="14.25" customHeight="1">
      <c r="A17909" s="740"/>
    </row>
    <row r="17910" ht="14.25" customHeight="1">
      <c r="A17910" s="740"/>
    </row>
    <row r="17911" ht="14.25" customHeight="1">
      <c r="A17911" s="740"/>
    </row>
    <row r="17912" ht="14.25" customHeight="1">
      <c r="A17912" s="740"/>
    </row>
    <row r="17913" ht="14.25" customHeight="1">
      <c r="A17913" s="740"/>
    </row>
    <row r="17914" ht="14.25" customHeight="1">
      <c r="A17914" s="740"/>
    </row>
    <row r="17915" ht="14.25" customHeight="1">
      <c r="A17915" s="740"/>
    </row>
    <row r="17916" ht="14.25" customHeight="1">
      <c r="A17916" s="740"/>
    </row>
    <row r="17917" ht="14.25" customHeight="1">
      <c r="A17917" s="740"/>
    </row>
    <row r="17918" ht="14.25" customHeight="1">
      <c r="A17918" s="740"/>
    </row>
    <row r="17919" ht="14.25" customHeight="1">
      <c r="A17919" s="740"/>
    </row>
    <row r="17920" ht="14.25" customHeight="1">
      <c r="A17920" s="740"/>
    </row>
    <row r="17921" ht="14.25" customHeight="1">
      <c r="A17921" s="740"/>
    </row>
    <row r="17922" ht="14.25" customHeight="1">
      <c r="A17922" s="740"/>
    </row>
    <row r="17923" ht="14.25" customHeight="1">
      <c r="A17923" s="740"/>
    </row>
    <row r="17924" ht="14.25" customHeight="1">
      <c r="A17924" s="740"/>
    </row>
    <row r="17925" ht="14.25" customHeight="1">
      <c r="A17925" s="740"/>
    </row>
    <row r="17926" ht="14.25" customHeight="1">
      <c r="A17926" s="740"/>
    </row>
    <row r="17927" ht="14.25" customHeight="1">
      <c r="A17927" s="740"/>
    </row>
    <row r="17928" ht="14.25" customHeight="1">
      <c r="A17928" s="740"/>
    </row>
    <row r="17929" ht="14.25" customHeight="1">
      <c r="A17929" s="740"/>
    </row>
    <row r="17930" ht="14.25" customHeight="1">
      <c r="A17930" s="740"/>
    </row>
    <row r="17931" ht="14.25" customHeight="1">
      <c r="A17931" s="740"/>
    </row>
    <row r="17932" ht="14.25" customHeight="1">
      <c r="A17932" s="740"/>
    </row>
    <row r="17933" ht="14.25" customHeight="1">
      <c r="A17933" s="740"/>
    </row>
    <row r="17934" ht="14.25" customHeight="1">
      <c r="A17934" s="740"/>
    </row>
    <row r="17935" ht="14.25" customHeight="1">
      <c r="A17935" s="740"/>
    </row>
    <row r="17936" ht="14.25" customHeight="1">
      <c r="A17936" s="740"/>
    </row>
    <row r="17937" ht="14.25" customHeight="1">
      <c r="A17937" s="740"/>
    </row>
    <row r="17938" ht="14.25" customHeight="1">
      <c r="A17938" s="740"/>
    </row>
    <row r="17939" ht="14.25" customHeight="1">
      <c r="A17939" s="740"/>
    </row>
    <row r="17940" ht="14.25" customHeight="1">
      <c r="A17940" s="740"/>
    </row>
    <row r="17941" ht="14.25" customHeight="1">
      <c r="A17941" s="740"/>
    </row>
    <row r="17942" ht="14.25" customHeight="1">
      <c r="A17942" s="740"/>
    </row>
    <row r="17943" ht="14.25" customHeight="1">
      <c r="A17943" s="740"/>
    </row>
    <row r="17944" ht="14.25" customHeight="1">
      <c r="A17944" s="740"/>
    </row>
    <row r="17945" ht="14.25" customHeight="1">
      <c r="A17945" s="740"/>
    </row>
    <row r="17946" ht="14.25" customHeight="1">
      <c r="A17946" s="740"/>
    </row>
    <row r="17947" ht="14.25" customHeight="1">
      <c r="A17947" s="740"/>
    </row>
    <row r="17948" ht="14.25" customHeight="1">
      <c r="A17948" s="740"/>
    </row>
    <row r="17949" ht="14.25" customHeight="1">
      <c r="A17949" s="740"/>
    </row>
    <row r="17950" ht="14.25" customHeight="1">
      <c r="A17950" s="740"/>
    </row>
    <row r="17951" ht="14.25" customHeight="1">
      <c r="A17951" s="740"/>
    </row>
    <row r="17952" ht="14.25" customHeight="1">
      <c r="A17952" s="740"/>
    </row>
    <row r="17953" ht="14.25" customHeight="1">
      <c r="A17953" s="740"/>
    </row>
    <row r="17954" ht="14.25" customHeight="1">
      <c r="A17954" s="740"/>
    </row>
    <row r="17955" ht="14.25" customHeight="1">
      <c r="A17955" s="740"/>
    </row>
    <row r="17956" ht="14.25" customHeight="1">
      <c r="A17956" s="740"/>
    </row>
    <row r="17957" ht="14.25" customHeight="1">
      <c r="A17957" s="740"/>
    </row>
    <row r="17958" ht="14.25" customHeight="1">
      <c r="A17958" s="740"/>
    </row>
    <row r="17959" ht="14.25" customHeight="1">
      <c r="A17959" s="740"/>
    </row>
    <row r="17960" ht="14.25" customHeight="1">
      <c r="A17960" s="740"/>
    </row>
    <row r="17961" ht="14.25" customHeight="1">
      <c r="A17961" s="740"/>
    </row>
    <row r="17962" ht="14.25" customHeight="1">
      <c r="A17962" s="740"/>
    </row>
    <row r="17963" ht="14.25" customHeight="1">
      <c r="A17963" s="740"/>
    </row>
    <row r="17964" ht="14.25" customHeight="1">
      <c r="A17964" s="740"/>
    </row>
    <row r="17965" ht="14.25" customHeight="1">
      <c r="A17965" s="740"/>
    </row>
    <row r="17966" ht="14.25" customHeight="1">
      <c r="A17966" s="740"/>
    </row>
    <row r="17967" ht="14.25" customHeight="1">
      <c r="A17967" s="740"/>
    </row>
    <row r="17968" ht="14.25" customHeight="1">
      <c r="A17968" s="740"/>
    </row>
    <row r="17969" ht="14.25" customHeight="1">
      <c r="A17969" s="740"/>
    </row>
    <row r="17970" ht="14.25" customHeight="1">
      <c r="A17970" s="740"/>
    </row>
    <row r="17971" ht="14.25" customHeight="1">
      <c r="A17971" s="740"/>
    </row>
    <row r="17972" ht="14.25" customHeight="1">
      <c r="A17972" s="740"/>
    </row>
    <row r="17973" ht="14.25" customHeight="1">
      <c r="A17973" s="740"/>
    </row>
    <row r="17974" ht="14.25" customHeight="1">
      <c r="A17974" s="740"/>
    </row>
    <row r="17975" ht="14.25" customHeight="1">
      <c r="A17975" s="740"/>
    </row>
    <row r="17976" ht="14.25" customHeight="1">
      <c r="A17976" s="740"/>
    </row>
    <row r="17977" ht="14.25" customHeight="1">
      <c r="A17977" s="740"/>
    </row>
    <row r="17978" ht="14.25" customHeight="1">
      <c r="A17978" s="740"/>
    </row>
    <row r="17979" ht="14.25" customHeight="1">
      <c r="A17979" s="740"/>
    </row>
    <row r="17980" ht="14.25" customHeight="1">
      <c r="A17980" s="740"/>
    </row>
    <row r="17981" ht="14.25" customHeight="1">
      <c r="A17981" s="740"/>
    </row>
    <row r="17982" ht="14.25" customHeight="1">
      <c r="A17982" s="740"/>
    </row>
    <row r="17983" ht="14.25" customHeight="1">
      <c r="A17983" s="740"/>
    </row>
    <row r="17984" ht="14.25" customHeight="1">
      <c r="A17984" s="740"/>
    </row>
    <row r="17985" ht="14.25" customHeight="1">
      <c r="A17985" s="740"/>
    </row>
    <row r="17986" ht="14.25" customHeight="1">
      <c r="A17986" s="740"/>
    </row>
    <row r="17987" ht="14.25" customHeight="1">
      <c r="A17987" s="740"/>
    </row>
    <row r="17988" ht="14.25" customHeight="1">
      <c r="A17988" s="740"/>
    </row>
    <row r="17989" ht="14.25" customHeight="1">
      <c r="A17989" s="740"/>
    </row>
    <row r="17990" ht="14.25" customHeight="1">
      <c r="A17990" s="740"/>
    </row>
    <row r="17991" ht="14.25" customHeight="1">
      <c r="A17991" s="740"/>
    </row>
    <row r="17992" ht="14.25" customHeight="1">
      <c r="A17992" s="740"/>
    </row>
    <row r="17993" ht="14.25" customHeight="1">
      <c r="A17993" s="740"/>
    </row>
    <row r="17994" ht="14.25" customHeight="1">
      <c r="A17994" s="740"/>
    </row>
    <row r="17995" ht="14.25" customHeight="1">
      <c r="A17995" s="740"/>
    </row>
    <row r="17996" ht="14.25" customHeight="1">
      <c r="A17996" s="740"/>
    </row>
    <row r="17997" ht="14.25" customHeight="1">
      <c r="A17997" s="740"/>
    </row>
    <row r="17998" ht="14.25" customHeight="1">
      <c r="A17998" s="740"/>
    </row>
    <row r="17999" ht="14.25" customHeight="1">
      <c r="A17999" s="740"/>
    </row>
    <row r="18000" ht="14.25" customHeight="1">
      <c r="A18000" s="740"/>
    </row>
    <row r="18001" ht="14.25" customHeight="1">
      <c r="A18001" s="740"/>
    </row>
    <row r="18002" ht="14.25" customHeight="1">
      <c r="A18002" s="740"/>
    </row>
    <row r="18003" ht="14.25" customHeight="1">
      <c r="A18003" s="740"/>
    </row>
    <row r="18004" ht="14.25" customHeight="1">
      <c r="A18004" s="740"/>
    </row>
    <row r="18005" ht="14.25" customHeight="1">
      <c r="A18005" s="740"/>
    </row>
    <row r="18006" ht="14.25" customHeight="1">
      <c r="A18006" s="740"/>
    </row>
    <row r="18007" ht="14.25" customHeight="1">
      <c r="A18007" s="740"/>
    </row>
    <row r="18008" ht="14.25" customHeight="1">
      <c r="A18008" s="740"/>
    </row>
    <row r="18009" ht="14.25" customHeight="1">
      <c r="A18009" s="740"/>
    </row>
    <row r="18010" ht="14.25" customHeight="1">
      <c r="A18010" s="740"/>
    </row>
    <row r="18011" ht="14.25" customHeight="1">
      <c r="A18011" s="740"/>
    </row>
    <row r="18012" ht="14.25" customHeight="1">
      <c r="A18012" s="740"/>
    </row>
    <row r="18013" ht="14.25" customHeight="1">
      <c r="A18013" s="740"/>
    </row>
    <row r="18014" ht="14.25" customHeight="1">
      <c r="A18014" s="740"/>
    </row>
    <row r="18015" ht="14.25" customHeight="1">
      <c r="A18015" s="740"/>
    </row>
    <row r="18016" ht="14.25" customHeight="1">
      <c r="A18016" s="740"/>
    </row>
    <row r="18017" ht="14.25" customHeight="1">
      <c r="A18017" s="740"/>
    </row>
    <row r="18018" ht="14.25" customHeight="1">
      <c r="A18018" s="740"/>
    </row>
    <row r="18019" ht="14.25" customHeight="1">
      <c r="A18019" s="740"/>
    </row>
    <row r="18020" ht="14.25" customHeight="1">
      <c r="A18020" s="740"/>
    </row>
    <row r="18021" ht="14.25" customHeight="1">
      <c r="A18021" s="740"/>
    </row>
    <row r="18022" ht="14.25" customHeight="1">
      <c r="A18022" s="740"/>
    </row>
    <row r="18023" ht="14.25" customHeight="1">
      <c r="A18023" s="740"/>
    </row>
    <row r="18024" ht="14.25" customHeight="1">
      <c r="A18024" s="740"/>
    </row>
    <row r="18025" ht="14.25" customHeight="1">
      <c r="A18025" s="740"/>
    </row>
    <row r="18026" ht="14.25" customHeight="1">
      <c r="A18026" s="740"/>
    </row>
    <row r="18027" ht="14.25" customHeight="1">
      <c r="A18027" s="740"/>
    </row>
    <row r="18028" ht="14.25" customHeight="1">
      <c r="A18028" s="740"/>
    </row>
    <row r="18029" ht="14.25" customHeight="1">
      <c r="A18029" s="740"/>
    </row>
    <row r="18030" ht="14.25" customHeight="1">
      <c r="A18030" s="740"/>
    </row>
    <row r="18031" ht="14.25" customHeight="1">
      <c r="A18031" s="740"/>
    </row>
    <row r="18032" ht="14.25" customHeight="1">
      <c r="A18032" s="740"/>
    </row>
    <row r="18033" ht="14.25" customHeight="1">
      <c r="A18033" s="740"/>
    </row>
    <row r="18034" ht="14.25" customHeight="1">
      <c r="A18034" s="740"/>
    </row>
    <row r="18035" ht="14.25" customHeight="1">
      <c r="A18035" s="740"/>
    </row>
    <row r="18036" ht="14.25" customHeight="1">
      <c r="A18036" s="740"/>
    </row>
    <row r="18037" ht="14.25" customHeight="1">
      <c r="A18037" s="740"/>
    </row>
    <row r="18038" ht="14.25" customHeight="1">
      <c r="A18038" s="740"/>
    </row>
    <row r="18039" ht="14.25" customHeight="1">
      <c r="A18039" s="740"/>
    </row>
    <row r="18040" ht="14.25" customHeight="1">
      <c r="A18040" s="740"/>
    </row>
    <row r="18041" ht="14.25" customHeight="1">
      <c r="A18041" s="740"/>
    </row>
    <row r="18042" ht="14.25" customHeight="1">
      <c r="A18042" s="740"/>
    </row>
    <row r="18043" ht="14.25" customHeight="1">
      <c r="A18043" s="740"/>
    </row>
    <row r="18044" ht="14.25" customHeight="1">
      <c r="A18044" s="740"/>
    </row>
    <row r="18045" ht="14.25" customHeight="1">
      <c r="A18045" s="740"/>
    </row>
    <row r="18046" ht="14.25" customHeight="1">
      <c r="A18046" s="740"/>
    </row>
    <row r="18047" ht="14.25" customHeight="1">
      <c r="A18047" s="740"/>
    </row>
    <row r="18048" ht="14.25" customHeight="1">
      <c r="A18048" s="740"/>
    </row>
    <row r="18049" ht="14.25" customHeight="1">
      <c r="A18049" s="740"/>
    </row>
    <row r="18050" ht="14.25" customHeight="1">
      <c r="A18050" s="740"/>
    </row>
    <row r="18051" ht="14.25" customHeight="1">
      <c r="A18051" s="740"/>
    </row>
    <row r="18052" ht="14.25" customHeight="1">
      <c r="A18052" s="740"/>
    </row>
    <row r="18053" ht="14.25" customHeight="1">
      <c r="A18053" s="740"/>
    </row>
    <row r="18054" ht="14.25" customHeight="1">
      <c r="A18054" s="740"/>
    </row>
    <row r="18055" ht="14.25" customHeight="1">
      <c r="A18055" s="740"/>
    </row>
    <row r="18056" ht="14.25" customHeight="1">
      <c r="A18056" s="740"/>
    </row>
    <row r="18057" ht="14.25" customHeight="1">
      <c r="A18057" s="740"/>
    </row>
    <row r="18058" ht="14.25" customHeight="1">
      <c r="A18058" s="740"/>
    </row>
    <row r="18059" ht="14.25" customHeight="1">
      <c r="A18059" s="740"/>
    </row>
    <row r="18060" ht="14.25" customHeight="1">
      <c r="A18060" s="740"/>
    </row>
    <row r="18061" ht="14.25" customHeight="1">
      <c r="A18061" s="740"/>
    </row>
    <row r="18062" ht="14.25" customHeight="1">
      <c r="A18062" s="740"/>
    </row>
    <row r="18063" ht="14.25" customHeight="1">
      <c r="A18063" s="740"/>
    </row>
    <row r="18064" ht="14.25" customHeight="1">
      <c r="A18064" s="740"/>
    </row>
    <row r="18065" ht="14.25" customHeight="1">
      <c r="A18065" s="740"/>
    </row>
    <row r="18066" ht="14.25" customHeight="1">
      <c r="A18066" s="740"/>
    </row>
    <row r="18067" ht="14.25" customHeight="1">
      <c r="A18067" s="740"/>
    </row>
    <row r="18068" ht="14.25" customHeight="1">
      <c r="A18068" s="740"/>
    </row>
    <row r="18069" ht="14.25" customHeight="1">
      <c r="A18069" s="740"/>
    </row>
    <row r="18070" ht="14.25" customHeight="1">
      <c r="A18070" s="740"/>
    </row>
    <row r="18071" ht="14.25" customHeight="1">
      <c r="A18071" s="740"/>
    </row>
    <row r="18072" ht="14.25" customHeight="1">
      <c r="A18072" s="740"/>
    </row>
    <row r="18073" ht="14.25" customHeight="1">
      <c r="A18073" s="740"/>
    </row>
    <row r="18074" ht="14.25" customHeight="1">
      <c r="A18074" s="740"/>
    </row>
    <row r="18075" ht="14.25" customHeight="1">
      <c r="A18075" s="740"/>
    </row>
    <row r="18076" ht="14.25" customHeight="1">
      <c r="A18076" s="740"/>
    </row>
    <row r="18077" ht="14.25" customHeight="1">
      <c r="A18077" s="740"/>
    </row>
    <row r="18078" ht="14.25" customHeight="1">
      <c r="A18078" s="740"/>
    </row>
    <row r="18079" ht="14.25" customHeight="1">
      <c r="A18079" s="740"/>
    </row>
    <row r="18080" ht="14.25" customHeight="1">
      <c r="A18080" s="740"/>
    </row>
    <row r="18081" ht="14.25" customHeight="1">
      <c r="A18081" s="740"/>
    </row>
    <row r="18082" ht="14.25" customHeight="1">
      <c r="A18082" s="740"/>
    </row>
    <row r="18083" ht="14.25" customHeight="1">
      <c r="A18083" s="740"/>
    </row>
    <row r="18084" ht="14.25" customHeight="1">
      <c r="A18084" s="740"/>
    </row>
    <row r="18085" ht="14.25" customHeight="1">
      <c r="A18085" s="740"/>
    </row>
    <row r="18086" ht="14.25" customHeight="1">
      <c r="A18086" s="740"/>
    </row>
    <row r="18087" ht="14.25" customHeight="1">
      <c r="A18087" s="740"/>
    </row>
    <row r="18088" ht="14.25" customHeight="1">
      <c r="A18088" s="740"/>
    </row>
    <row r="18089" ht="14.25" customHeight="1">
      <c r="A18089" s="740"/>
    </row>
    <row r="18090" ht="14.25" customHeight="1">
      <c r="A18090" s="740"/>
    </row>
    <row r="18091" ht="14.25" customHeight="1">
      <c r="A18091" s="740"/>
    </row>
    <row r="18092" ht="14.25" customHeight="1">
      <c r="A18092" s="740"/>
    </row>
    <row r="18093" ht="14.25" customHeight="1">
      <c r="A18093" s="740"/>
    </row>
    <row r="18094" ht="14.25" customHeight="1">
      <c r="A18094" s="740"/>
    </row>
    <row r="18095" ht="14.25" customHeight="1">
      <c r="A18095" s="740"/>
    </row>
    <row r="18096" ht="14.25" customHeight="1">
      <c r="A18096" s="740"/>
    </row>
    <row r="18097" ht="14.25" customHeight="1">
      <c r="A18097" s="740"/>
    </row>
    <row r="18098" ht="14.25" customHeight="1">
      <c r="A18098" s="740"/>
    </row>
    <row r="18099" ht="14.25" customHeight="1">
      <c r="A18099" s="740"/>
    </row>
    <row r="18100" ht="14.25" customHeight="1">
      <c r="A18100" s="740"/>
    </row>
    <row r="18101" ht="14.25" customHeight="1">
      <c r="A18101" s="740"/>
    </row>
    <row r="18102" ht="14.25" customHeight="1">
      <c r="A18102" s="740"/>
    </row>
    <row r="18103" ht="14.25" customHeight="1">
      <c r="A18103" s="740"/>
    </row>
    <row r="18104" ht="14.25" customHeight="1">
      <c r="A18104" s="740"/>
    </row>
    <row r="18105" ht="14.25" customHeight="1">
      <c r="A18105" s="740"/>
    </row>
    <row r="18106" ht="14.25" customHeight="1">
      <c r="A18106" s="740"/>
    </row>
    <row r="18107" ht="14.25" customHeight="1">
      <c r="A18107" s="740"/>
    </row>
    <row r="18108" ht="14.25" customHeight="1">
      <c r="A18108" s="740"/>
    </row>
    <row r="18109" ht="14.25" customHeight="1">
      <c r="A18109" s="740"/>
    </row>
    <row r="18110" ht="14.25" customHeight="1">
      <c r="A18110" s="740"/>
    </row>
    <row r="18111" ht="14.25" customHeight="1">
      <c r="A18111" s="740"/>
    </row>
    <row r="18112" ht="14.25" customHeight="1">
      <c r="A18112" s="740"/>
    </row>
    <row r="18113" ht="14.25" customHeight="1">
      <c r="A18113" s="740"/>
    </row>
    <row r="18114" ht="14.25" customHeight="1">
      <c r="A18114" s="740"/>
    </row>
    <row r="18115" ht="14.25" customHeight="1">
      <c r="A18115" s="740"/>
    </row>
    <row r="18116" ht="14.25" customHeight="1">
      <c r="A18116" s="740"/>
    </row>
    <row r="18117" ht="14.25" customHeight="1">
      <c r="A18117" s="740"/>
    </row>
    <row r="18118" ht="14.25" customHeight="1">
      <c r="A18118" s="740"/>
    </row>
    <row r="18119" ht="14.25" customHeight="1">
      <c r="A18119" s="740"/>
    </row>
    <row r="18120" ht="14.25" customHeight="1">
      <c r="A18120" s="740"/>
    </row>
    <row r="18121" ht="14.25" customHeight="1">
      <c r="A18121" s="740"/>
    </row>
    <row r="18122" ht="14.25" customHeight="1">
      <c r="A18122" s="740"/>
    </row>
    <row r="18123" ht="14.25" customHeight="1">
      <c r="A18123" s="740"/>
    </row>
    <row r="18124" ht="14.25" customHeight="1">
      <c r="A18124" s="740"/>
    </row>
    <row r="18125" ht="14.25" customHeight="1">
      <c r="A18125" s="740"/>
    </row>
    <row r="18126" ht="14.25" customHeight="1">
      <c r="A18126" s="740"/>
    </row>
    <row r="18127" ht="14.25" customHeight="1">
      <c r="A18127" s="740"/>
    </row>
    <row r="18128" ht="14.25" customHeight="1">
      <c r="A18128" s="740"/>
    </row>
    <row r="18129" ht="14.25" customHeight="1">
      <c r="A18129" s="740"/>
    </row>
    <row r="18130" ht="14.25" customHeight="1">
      <c r="A18130" s="740"/>
    </row>
    <row r="18131" ht="14.25" customHeight="1">
      <c r="A18131" s="740"/>
    </row>
    <row r="18132" ht="14.25" customHeight="1">
      <c r="A18132" s="740"/>
    </row>
    <row r="18133" ht="14.25" customHeight="1">
      <c r="A18133" s="740"/>
    </row>
    <row r="18134" ht="14.25" customHeight="1">
      <c r="A18134" s="740"/>
    </row>
    <row r="18135" ht="14.25" customHeight="1">
      <c r="A18135" s="740"/>
    </row>
    <row r="18136" ht="14.25" customHeight="1">
      <c r="A18136" s="740"/>
    </row>
    <row r="18137" ht="14.25" customHeight="1">
      <c r="A18137" s="740"/>
    </row>
    <row r="18138" ht="14.25" customHeight="1">
      <c r="A18138" s="740"/>
    </row>
    <row r="18139" ht="14.25" customHeight="1">
      <c r="A18139" s="740"/>
    </row>
    <row r="18140" ht="14.25" customHeight="1">
      <c r="A18140" s="740"/>
    </row>
    <row r="18141" ht="14.25" customHeight="1">
      <c r="A18141" s="740"/>
    </row>
    <row r="18142" ht="14.25" customHeight="1">
      <c r="A18142" s="740"/>
    </row>
    <row r="18143" ht="14.25" customHeight="1">
      <c r="A18143" s="740"/>
    </row>
    <row r="18144" ht="14.25" customHeight="1">
      <c r="A18144" s="740"/>
    </row>
    <row r="18145" ht="14.25" customHeight="1">
      <c r="A18145" s="740"/>
    </row>
    <row r="18146" ht="14.25" customHeight="1">
      <c r="A18146" s="740"/>
    </row>
    <row r="18147" ht="14.25" customHeight="1">
      <c r="A18147" s="740"/>
    </row>
    <row r="18148" ht="14.25" customHeight="1">
      <c r="A18148" s="740"/>
    </row>
    <row r="18149" ht="14.25" customHeight="1">
      <c r="A18149" s="740"/>
    </row>
    <row r="18150" ht="14.25" customHeight="1">
      <c r="A18150" s="740"/>
    </row>
    <row r="18151" ht="14.25" customHeight="1">
      <c r="A18151" s="740"/>
    </row>
    <row r="18152" ht="14.25" customHeight="1">
      <c r="A18152" s="740"/>
    </row>
    <row r="18153" ht="14.25" customHeight="1">
      <c r="A18153" s="740"/>
    </row>
    <row r="18154" ht="14.25" customHeight="1">
      <c r="A18154" s="740"/>
    </row>
    <row r="18155" ht="14.25" customHeight="1">
      <c r="A18155" s="740"/>
    </row>
    <row r="18156" ht="14.25" customHeight="1">
      <c r="A18156" s="740"/>
    </row>
    <row r="18157" ht="14.25" customHeight="1">
      <c r="A18157" s="740"/>
    </row>
    <row r="18158" ht="14.25" customHeight="1">
      <c r="A18158" s="740"/>
    </row>
    <row r="18159" ht="14.25" customHeight="1">
      <c r="A18159" s="740"/>
    </row>
    <row r="18160" ht="14.25" customHeight="1">
      <c r="A18160" s="740"/>
    </row>
    <row r="18161" ht="14.25" customHeight="1">
      <c r="A18161" s="740"/>
    </row>
    <row r="18162" ht="14.25" customHeight="1">
      <c r="A18162" s="740"/>
    </row>
    <row r="18163" ht="14.25" customHeight="1">
      <c r="A18163" s="740"/>
    </row>
    <row r="18164" ht="14.25" customHeight="1">
      <c r="A18164" s="740"/>
    </row>
    <row r="18165" ht="14.25" customHeight="1">
      <c r="A18165" s="740"/>
    </row>
    <row r="18166" ht="14.25" customHeight="1">
      <c r="A18166" s="740"/>
    </row>
    <row r="18167" ht="14.25" customHeight="1">
      <c r="A18167" s="740"/>
    </row>
    <row r="18168" ht="14.25" customHeight="1">
      <c r="A18168" s="740"/>
    </row>
    <row r="18169" ht="14.25" customHeight="1">
      <c r="A18169" s="740"/>
    </row>
    <row r="18170" ht="14.25" customHeight="1">
      <c r="A18170" s="740"/>
    </row>
    <row r="18171" ht="14.25" customHeight="1">
      <c r="A18171" s="740"/>
    </row>
    <row r="18172" ht="14.25" customHeight="1">
      <c r="A18172" s="740"/>
    </row>
    <row r="18173" ht="14.25" customHeight="1">
      <c r="A18173" s="740"/>
    </row>
    <row r="18174" ht="14.25" customHeight="1">
      <c r="A18174" s="740"/>
    </row>
    <row r="18175" ht="14.25" customHeight="1">
      <c r="A18175" s="740"/>
    </row>
    <row r="18176" ht="14.25" customHeight="1">
      <c r="A18176" s="740"/>
    </row>
    <row r="18177" ht="14.25" customHeight="1">
      <c r="A18177" s="740"/>
    </row>
    <row r="18178" ht="14.25" customHeight="1">
      <c r="A18178" s="740"/>
    </row>
    <row r="18179" ht="14.25" customHeight="1">
      <c r="A18179" s="740"/>
    </row>
    <row r="18180" ht="14.25" customHeight="1">
      <c r="A18180" s="740"/>
    </row>
    <row r="18181" ht="14.25" customHeight="1">
      <c r="A18181" s="740"/>
    </row>
    <row r="18182" ht="14.25" customHeight="1">
      <c r="A18182" s="740"/>
    </row>
    <row r="18183" ht="14.25" customHeight="1">
      <c r="A18183" s="740"/>
    </row>
    <row r="18184" ht="14.25" customHeight="1">
      <c r="A18184" s="740"/>
    </row>
    <row r="18185" ht="14.25" customHeight="1">
      <c r="A18185" s="740"/>
    </row>
    <row r="18186" ht="14.25" customHeight="1">
      <c r="A18186" s="740"/>
    </row>
    <row r="18187" ht="14.25" customHeight="1">
      <c r="A18187" s="740"/>
    </row>
    <row r="18188" ht="14.25" customHeight="1">
      <c r="A18188" s="740"/>
    </row>
    <row r="18189" ht="14.25" customHeight="1">
      <c r="A18189" s="740"/>
    </row>
    <row r="18190" ht="14.25" customHeight="1">
      <c r="A18190" s="740"/>
    </row>
    <row r="18191" ht="14.25" customHeight="1">
      <c r="A18191" s="740"/>
    </row>
    <row r="18192" ht="14.25" customHeight="1">
      <c r="A18192" s="740"/>
    </row>
    <row r="18193" ht="14.25" customHeight="1">
      <c r="A18193" s="740"/>
    </row>
    <row r="18194" ht="14.25" customHeight="1">
      <c r="A18194" s="740"/>
    </row>
    <row r="18195" ht="14.25" customHeight="1">
      <c r="A18195" s="740"/>
    </row>
    <row r="18196" ht="14.25" customHeight="1">
      <c r="A18196" s="740"/>
    </row>
    <row r="18197" ht="14.25" customHeight="1">
      <c r="A18197" s="740"/>
    </row>
    <row r="18198" ht="14.25" customHeight="1">
      <c r="A18198" s="740"/>
    </row>
    <row r="18199" ht="14.25" customHeight="1">
      <c r="A18199" s="740"/>
    </row>
    <row r="18200" ht="14.25" customHeight="1">
      <c r="A18200" s="740"/>
    </row>
    <row r="18201" ht="14.25" customHeight="1">
      <c r="A18201" s="740"/>
    </row>
    <row r="18202" ht="14.25" customHeight="1">
      <c r="A18202" s="740"/>
    </row>
    <row r="18203" ht="14.25" customHeight="1">
      <c r="A18203" s="740"/>
    </row>
    <row r="18204" ht="14.25" customHeight="1">
      <c r="A18204" s="740"/>
    </row>
    <row r="18205" ht="14.25" customHeight="1">
      <c r="A18205" s="740"/>
    </row>
    <row r="18206" ht="14.25" customHeight="1">
      <c r="A18206" s="740"/>
    </row>
    <row r="18207" ht="14.25" customHeight="1">
      <c r="A18207" s="740"/>
    </row>
    <row r="18208" ht="14.25" customHeight="1">
      <c r="A18208" s="740"/>
    </row>
    <row r="18209" ht="14.25" customHeight="1">
      <c r="A18209" s="740"/>
    </row>
    <row r="18210" ht="14.25" customHeight="1">
      <c r="A18210" s="740"/>
    </row>
    <row r="18211" ht="14.25" customHeight="1">
      <c r="A18211" s="740"/>
    </row>
    <row r="18212" ht="14.25" customHeight="1">
      <c r="A18212" s="740"/>
    </row>
    <row r="18213" ht="14.25" customHeight="1">
      <c r="A18213" s="740"/>
    </row>
    <row r="18214" ht="14.25" customHeight="1">
      <c r="A18214" s="740"/>
    </row>
    <row r="18215" ht="14.25" customHeight="1">
      <c r="A18215" s="740"/>
    </row>
    <row r="18216" ht="14.25" customHeight="1">
      <c r="A18216" s="740"/>
    </row>
    <row r="18217" ht="14.25" customHeight="1">
      <c r="A18217" s="740"/>
    </row>
    <row r="18218" ht="14.25" customHeight="1">
      <c r="A18218" s="740"/>
    </row>
    <row r="18219" ht="14.25" customHeight="1">
      <c r="A18219" s="740"/>
    </row>
    <row r="18220" ht="14.25" customHeight="1">
      <c r="A18220" s="740"/>
    </row>
    <row r="18221" ht="14.25" customHeight="1">
      <c r="A18221" s="740"/>
    </row>
    <row r="18222" ht="14.25" customHeight="1">
      <c r="A18222" s="740"/>
    </row>
    <row r="18223" ht="14.25" customHeight="1">
      <c r="A18223" s="740"/>
    </row>
    <row r="18224" ht="14.25" customHeight="1">
      <c r="A18224" s="740"/>
    </row>
    <row r="18225" ht="14.25" customHeight="1">
      <c r="A18225" s="740"/>
    </row>
    <row r="18226" ht="14.25" customHeight="1">
      <c r="A18226" s="740"/>
    </row>
    <row r="18227" ht="14.25" customHeight="1">
      <c r="A18227" s="740"/>
    </row>
    <row r="18228" ht="14.25" customHeight="1">
      <c r="A18228" s="740"/>
    </row>
    <row r="18229" ht="14.25" customHeight="1">
      <c r="A18229" s="740"/>
    </row>
    <row r="18230" ht="14.25" customHeight="1">
      <c r="A18230" s="740"/>
    </row>
    <row r="18231" ht="14.25" customHeight="1">
      <c r="A18231" s="740"/>
    </row>
    <row r="18232" ht="14.25" customHeight="1">
      <c r="A18232" s="740"/>
    </row>
    <row r="18233" ht="14.25" customHeight="1">
      <c r="A18233" s="740"/>
    </row>
    <row r="18234" ht="14.25" customHeight="1">
      <c r="A18234" s="740"/>
    </row>
    <row r="18235" ht="14.25" customHeight="1">
      <c r="A18235" s="740"/>
    </row>
    <row r="18236" ht="14.25" customHeight="1">
      <c r="A18236" s="740"/>
    </row>
    <row r="18237" ht="14.25" customHeight="1">
      <c r="A18237" s="740"/>
    </row>
    <row r="18238" ht="14.25" customHeight="1">
      <c r="A18238" s="740"/>
    </row>
    <row r="18239" ht="14.25" customHeight="1">
      <c r="A18239" s="740"/>
    </row>
    <row r="18240" ht="14.25" customHeight="1">
      <c r="A18240" s="740"/>
    </row>
    <row r="18241" ht="14.25" customHeight="1">
      <c r="A18241" s="740"/>
    </row>
    <row r="18242" ht="14.25" customHeight="1">
      <c r="A18242" s="740"/>
    </row>
    <row r="18243" ht="14.25" customHeight="1">
      <c r="A18243" s="740"/>
    </row>
    <row r="18244" ht="14.25" customHeight="1">
      <c r="A18244" s="740"/>
    </row>
    <row r="18245" ht="14.25" customHeight="1">
      <c r="A18245" s="740"/>
    </row>
    <row r="18246" ht="14.25" customHeight="1">
      <c r="A18246" s="740"/>
    </row>
    <row r="18247" ht="14.25" customHeight="1">
      <c r="A18247" s="740"/>
    </row>
    <row r="18248" ht="14.25" customHeight="1">
      <c r="A18248" s="740"/>
    </row>
    <row r="18249" ht="14.25" customHeight="1">
      <c r="A18249" s="740"/>
    </row>
    <row r="18250" ht="14.25" customHeight="1">
      <c r="A18250" s="740"/>
    </row>
    <row r="18251" ht="14.25" customHeight="1">
      <c r="A18251" s="740"/>
    </row>
    <row r="18252" ht="14.25" customHeight="1">
      <c r="A18252" s="740"/>
    </row>
    <row r="18253" ht="14.25" customHeight="1">
      <c r="A18253" s="740"/>
    </row>
    <row r="18254" ht="14.25" customHeight="1">
      <c r="A18254" s="740"/>
    </row>
    <row r="18255" ht="14.25" customHeight="1">
      <c r="A18255" s="740"/>
    </row>
    <row r="18256" ht="14.25" customHeight="1">
      <c r="A18256" s="740"/>
    </row>
    <row r="18257" ht="14.25" customHeight="1">
      <c r="A18257" s="740"/>
    </row>
    <row r="18258" ht="14.25" customHeight="1">
      <c r="A18258" s="740"/>
    </row>
    <row r="18259" ht="14.25" customHeight="1">
      <c r="A18259" s="740"/>
    </row>
    <row r="18260" ht="14.25" customHeight="1">
      <c r="A18260" s="740"/>
    </row>
    <row r="18261" ht="14.25" customHeight="1">
      <c r="A18261" s="740"/>
    </row>
    <row r="18262" ht="14.25" customHeight="1">
      <c r="A18262" s="740"/>
    </row>
    <row r="18263" ht="14.25" customHeight="1">
      <c r="A18263" s="740"/>
    </row>
    <row r="18264" ht="14.25" customHeight="1">
      <c r="A18264" s="740"/>
    </row>
    <row r="18265" ht="14.25" customHeight="1">
      <c r="A18265" s="740"/>
    </row>
    <row r="18266" ht="14.25" customHeight="1">
      <c r="A18266" s="740"/>
    </row>
    <row r="18267" ht="14.25" customHeight="1">
      <c r="A18267" s="740"/>
    </row>
    <row r="18268" ht="14.25" customHeight="1">
      <c r="A18268" s="740"/>
    </row>
    <row r="18269" ht="14.25" customHeight="1">
      <c r="A18269" s="740"/>
    </row>
    <row r="18270" ht="14.25" customHeight="1">
      <c r="A18270" s="740"/>
    </row>
    <row r="18271" ht="14.25" customHeight="1">
      <c r="A18271" s="740"/>
    </row>
    <row r="18272" ht="14.25" customHeight="1">
      <c r="A18272" s="740"/>
    </row>
    <row r="18273" ht="14.25" customHeight="1">
      <c r="A18273" s="740"/>
    </row>
    <row r="18274" ht="14.25" customHeight="1">
      <c r="A18274" s="740"/>
    </row>
    <row r="18275" ht="14.25" customHeight="1">
      <c r="A18275" s="740"/>
    </row>
    <row r="18276" ht="14.25" customHeight="1">
      <c r="A18276" s="740"/>
    </row>
    <row r="18277" ht="14.25" customHeight="1">
      <c r="A18277" s="740"/>
    </row>
    <row r="18278" ht="14.25" customHeight="1">
      <c r="A18278" s="740"/>
    </row>
    <row r="18279" ht="14.25" customHeight="1">
      <c r="A18279" s="740"/>
    </row>
    <row r="18280" ht="14.25" customHeight="1">
      <c r="A18280" s="740"/>
    </row>
    <row r="18281" ht="14.25" customHeight="1">
      <c r="A18281" s="740"/>
    </row>
    <row r="18282" ht="14.25" customHeight="1">
      <c r="A18282" s="740"/>
    </row>
    <row r="18283" ht="14.25" customHeight="1">
      <c r="A18283" s="740"/>
    </row>
    <row r="18284" ht="14.25" customHeight="1">
      <c r="A18284" s="740"/>
    </row>
    <row r="18285" ht="14.25" customHeight="1">
      <c r="A18285" s="740"/>
    </row>
    <row r="18286" ht="14.25" customHeight="1">
      <c r="A18286" s="740"/>
    </row>
    <row r="18287" ht="14.25" customHeight="1">
      <c r="A18287" s="740"/>
    </row>
    <row r="18288" ht="14.25" customHeight="1">
      <c r="A18288" s="740"/>
    </row>
    <row r="18289" ht="14.25" customHeight="1">
      <c r="A18289" s="740"/>
    </row>
    <row r="18290" ht="14.25" customHeight="1">
      <c r="A18290" s="740"/>
    </row>
    <row r="18291" ht="14.25" customHeight="1">
      <c r="A18291" s="740"/>
    </row>
    <row r="18292" ht="14.25" customHeight="1">
      <c r="A18292" s="740"/>
    </row>
    <row r="18293" ht="14.25" customHeight="1">
      <c r="A18293" s="740"/>
    </row>
    <row r="18294" ht="14.25" customHeight="1">
      <c r="A18294" s="740"/>
    </row>
    <row r="18295" ht="14.25" customHeight="1">
      <c r="A18295" s="740"/>
    </row>
    <row r="18296" ht="14.25" customHeight="1">
      <c r="A18296" s="740"/>
    </row>
    <row r="18297" ht="14.25" customHeight="1">
      <c r="A18297" s="740"/>
    </row>
    <row r="18298" ht="14.25" customHeight="1">
      <c r="A18298" s="740"/>
    </row>
    <row r="18299" ht="14.25" customHeight="1">
      <c r="A18299" s="740"/>
    </row>
    <row r="18300" ht="14.25" customHeight="1">
      <c r="A18300" s="740"/>
    </row>
    <row r="18301" ht="14.25" customHeight="1">
      <c r="A18301" s="740"/>
    </row>
    <row r="18302" ht="14.25" customHeight="1">
      <c r="A18302" s="740"/>
    </row>
    <row r="18303" ht="14.25" customHeight="1">
      <c r="A18303" s="740"/>
    </row>
    <row r="18304" ht="14.25" customHeight="1">
      <c r="A18304" s="740"/>
    </row>
    <row r="18305" ht="14.25" customHeight="1">
      <c r="A18305" s="740"/>
    </row>
    <row r="18306" ht="14.25" customHeight="1">
      <c r="A18306" s="740"/>
    </row>
    <row r="18307" ht="14.25" customHeight="1">
      <c r="A18307" s="740"/>
    </row>
    <row r="18308" ht="14.25" customHeight="1">
      <c r="A18308" s="740"/>
    </row>
    <row r="18309" ht="14.25" customHeight="1">
      <c r="A18309" s="740"/>
    </row>
    <row r="18310" ht="14.25" customHeight="1">
      <c r="A18310" s="740"/>
    </row>
    <row r="18311" ht="14.25" customHeight="1">
      <c r="A18311" s="740"/>
    </row>
    <row r="18312" ht="14.25" customHeight="1">
      <c r="A18312" s="740"/>
    </row>
    <row r="18313" ht="14.25" customHeight="1">
      <c r="A18313" s="740"/>
    </row>
    <row r="18314" ht="14.25" customHeight="1">
      <c r="A18314" s="740"/>
    </row>
    <row r="18315" ht="14.25" customHeight="1">
      <c r="A18315" s="740"/>
    </row>
    <row r="18316" ht="14.25" customHeight="1">
      <c r="A18316" s="740"/>
    </row>
    <row r="18317" ht="14.25" customHeight="1">
      <c r="A18317" s="740"/>
    </row>
    <row r="18318" ht="14.25" customHeight="1">
      <c r="A18318" s="740"/>
    </row>
    <row r="18319" ht="14.25" customHeight="1">
      <c r="A18319" s="740"/>
    </row>
    <row r="18320" ht="14.25" customHeight="1">
      <c r="A18320" s="740"/>
    </row>
    <row r="18321" ht="14.25" customHeight="1">
      <c r="A18321" s="740"/>
    </row>
    <row r="18322" ht="14.25" customHeight="1">
      <c r="A18322" s="740"/>
    </row>
    <row r="18323" ht="14.25" customHeight="1">
      <c r="A18323" s="740"/>
    </row>
    <row r="18324" ht="14.25" customHeight="1">
      <c r="A18324" s="740"/>
    </row>
    <row r="18325" ht="14.25" customHeight="1">
      <c r="A18325" s="740"/>
    </row>
    <row r="18326" ht="14.25" customHeight="1">
      <c r="A18326" s="740"/>
    </row>
    <row r="18327" ht="14.25" customHeight="1">
      <c r="A18327" s="740"/>
    </row>
    <row r="18328" ht="14.25" customHeight="1">
      <c r="A18328" s="740"/>
    </row>
    <row r="18329" ht="14.25" customHeight="1">
      <c r="A18329" s="740"/>
    </row>
    <row r="18330" ht="14.25" customHeight="1">
      <c r="A18330" s="740"/>
    </row>
    <row r="18331" ht="14.25" customHeight="1">
      <c r="A18331" s="740"/>
    </row>
    <row r="18332" ht="14.25" customHeight="1">
      <c r="A18332" s="740"/>
    </row>
    <row r="18333" ht="14.25" customHeight="1">
      <c r="A18333" s="740"/>
    </row>
    <row r="18334" ht="14.25" customHeight="1">
      <c r="A18334" s="740"/>
    </row>
    <row r="18335" ht="14.25" customHeight="1">
      <c r="A18335" s="740"/>
    </row>
    <row r="18336" ht="14.25" customHeight="1">
      <c r="A18336" s="740"/>
    </row>
    <row r="18337" ht="14.25" customHeight="1">
      <c r="A18337" s="740"/>
    </row>
    <row r="18338" ht="14.25" customHeight="1">
      <c r="A18338" s="740"/>
    </row>
    <row r="18339" ht="14.25" customHeight="1">
      <c r="A18339" s="740"/>
    </row>
    <row r="18340" ht="14.25" customHeight="1">
      <c r="A18340" s="740"/>
    </row>
    <row r="18341" ht="14.25" customHeight="1">
      <c r="A18341" s="740"/>
    </row>
    <row r="18342" ht="14.25" customHeight="1">
      <c r="A18342" s="740"/>
    </row>
    <row r="18343" ht="14.25" customHeight="1">
      <c r="A18343" s="740"/>
    </row>
    <row r="18344" ht="14.25" customHeight="1">
      <c r="A18344" s="740"/>
    </row>
    <row r="18345" ht="14.25" customHeight="1">
      <c r="A18345" s="740"/>
    </row>
    <row r="18346" ht="14.25" customHeight="1">
      <c r="A18346" s="740"/>
    </row>
    <row r="18347" ht="14.25" customHeight="1">
      <c r="A18347" s="740"/>
    </row>
    <row r="18348" ht="14.25" customHeight="1">
      <c r="A18348" s="740"/>
    </row>
    <row r="18349" ht="14.25" customHeight="1">
      <c r="A18349" s="740"/>
    </row>
    <row r="18350" ht="14.25" customHeight="1">
      <c r="A18350" s="740"/>
    </row>
    <row r="18351" ht="14.25" customHeight="1">
      <c r="A18351" s="740"/>
    </row>
    <row r="18352" ht="14.25" customHeight="1">
      <c r="A18352" s="740"/>
    </row>
    <row r="18353" ht="14.25" customHeight="1">
      <c r="A18353" s="740"/>
    </row>
    <row r="18354" ht="14.25" customHeight="1">
      <c r="A18354" s="740"/>
    </row>
    <row r="18355" ht="14.25" customHeight="1">
      <c r="A18355" s="740"/>
    </row>
    <row r="18356" ht="14.25" customHeight="1">
      <c r="A18356" s="740"/>
    </row>
    <row r="18357" ht="14.25" customHeight="1">
      <c r="A18357" s="740"/>
    </row>
    <row r="18358" ht="14.25" customHeight="1">
      <c r="A18358" s="740"/>
    </row>
    <row r="18359" ht="14.25" customHeight="1">
      <c r="A18359" s="740"/>
    </row>
    <row r="18360" ht="14.25" customHeight="1">
      <c r="A18360" s="740"/>
    </row>
    <row r="18361" ht="14.25" customHeight="1">
      <c r="A18361" s="740"/>
    </row>
    <row r="18362" ht="14.25" customHeight="1">
      <c r="A18362" s="740"/>
    </row>
    <row r="18363" ht="14.25" customHeight="1">
      <c r="A18363" s="740"/>
    </row>
    <row r="18364" ht="14.25" customHeight="1">
      <c r="A18364" s="740"/>
    </row>
    <row r="18365" ht="14.25" customHeight="1">
      <c r="A18365" s="740"/>
    </row>
    <row r="18366" ht="14.25" customHeight="1">
      <c r="A18366" s="740"/>
    </row>
    <row r="18367" ht="14.25" customHeight="1">
      <c r="A18367" s="740"/>
    </row>
    <row r="18368" ht="14.25" customHeight="1">
      <c r="A18368" s="740"/>
    </row>
    <row r="18369" ht="14.25" customHeight="1">
      <c r="A18369" s="740"/>
    </row>
    <row r="18370" ht="14.25" customHeight="1">
      <c r="A18370" s="740"/>
    </row>
    <row r="18371" ht="14.25" customHeight="1">
      <c r="A18371" s="740"/>
    </row>
    <row r="18372" ht="14.25" customHeight="1">
      <c r="A18372" s="740"/>
    </row>
    <row r="18373" ht="14.25" customHeight="1">
      <c r="A18373" s="740"/>
    </row>
    <row r="18374" ht="14.25" customHeight="1">
      <c r="A18374" s="740"/>
    </row>
    <row r="18375" ht="14.25" customHeight="1">
      <c r="A18375" s="740"/>
    </row>
    <row r="18376" ht="14.25" customHeight="1">
      <c r="A18376" s="740"/>
    </row>
    <row r="18377" ht="14.25" customHeight="1">
      <c r="A18377" s="740"/>
    </row>
    <row r="18378" ht="14.25" customHeight="1">
      <c r="A18378" s="740"/>
    </row>
    <row r="18379" ht="14.25" customHeight="1">
      <c r="A18379" s="740"/>
    </row>
    <row r="18380" ht="14.25" customHeight="1">
      <c r="A18380" s="740"/>
    </row>
    <row r="18381" ht="14.25" customHeight="1">
      <c r="A18381" s="740"/>
    </row>
    <row r="18382" ht="14.25" customHeight="1">
      <c r="A18382" s="740"/>
    </row>
    <row r="18383" ht="14.25" customHeight="1">
      <c r="A18383" s="740"/>
    </row>
    <row r="18384" ht="14.25" customHeight="1">
      <c r="A18384" s="740"/>
    </row>
    <row r="18385" ht="14.25" customHeight="1">
      <c r="A18385" s="740"/>
    </row>
    <row r="18386" ht="14.25" customHeight="1">
      <c r="A18386" s="740"/>
    </row>
    <row r="18387" ht="14.25" customHeight="1">
      <c r="A18387" s="740"/>
    </row>
    <row r="18388" ht="14.25" customHeight="1">
      <c r="A18388" s="740"/>
    </row>
    <row r="18389" ht="14.25" customHeight="1">
      <c r="A18389" s="740"/>
    </row>
    <row r="18390" ht="14.25" customHeight="1">
      <c r="A18390" s="740"/>
    </row>
    <row r="18391" ht="14.25" customHeight="1">
      <c r="A18391" s="740"/>
    </row>
    <row r="18392" ht="14.25" customHeight="1">
      <c r="A18392" s="740"/>
    </row>
    <row r="18393" ht="14.25" customHeight="1">
      <c r="A18393" s="740"/>
    </row>
    <row r="18394" ht="14.25" customHeight="1">
      <c r="A18394" s="740"/>
    </row>
    <row r="18395" ht="14.25" customHeight="1">
      <c r="A18395" s="740"/>
    </row>
    <row r="18396" ht="14.25" customHeight="1">
      <c r="A18396" s="740"/>
    </row>
    <row r="18397" ht="14.25" customHeight="1">
      <c r="A18397" s="740"/>
    </row>
    <row r="18398" ht="14.25" customHeight="1">
      <c r="A18398" s="740"/>
    </row>
    <row r="18399" ht="14.25" customHeight="1">
      <c r="A18399" s="740"/>
    </row>
    <row r="18400" ht="14.25" customHeight="1">
      <c r="A18400" s="740"/>
    </row>
    <row r="18401" ht="14.25" customHeight="1">
      <c r="A18401" s="740"/>
    </row>
    <row r="18402" ht="14.25" customHeight="1">
      <c r="A18402" s="740"/>
    </row>
    <row r="18403" ht="14.25" customHeight="1">
      <c r="A18403" s="740"/>
    </row>
    <row r="18404" ht="14.25" customHeight="1">
      <c r="A18404" s="740"/>
    </row>
    <row r="18405" ht="14.25" customHeight="1">
      <c r="A18405" s="740"/>
    </row>
    <row r="18406" ht="14.25" customHeight="1">
      <c r="A18406" s="740"/>
    </row>
    <row r="18407" ht="14.25" customHeight="1">
      <c r="A18407" s="740"/>
    </row>
    <row r="18408" ht="14.25" customHeight="1">
      <c r="A18408" s="740"/>
    </row>
    <row r="18409" ht="14.25" customHeight="1">
      <c r="A18409" s="740"/>
    </row>
    <row r="18410" ht="14.25" customHeight="1">
      <c r="A18410" s="740"/>
    </row>
    <row r="18411" ht="14.25" customHeight="1">
      <c r="A18411" s="740"/>
    </row>
    <row r="18412" ht="14.25" customHeight="1">
      <c r="A18412" s="740"/>
    </row>
    <row r="18413" ht="14.25" customHeight="1">
      <c r="A18413" s="740"/>
    </row>
    <row r="18414" ht="14.25" customHeight="1">
      <c r="A18414" s="740"/>
    </row>
    <row r="18415" ht="14.25" customHeight="1">
      <c r="A18415" s="740"/>
    </row>
    <row r="18416" ht="14.25" customHeight="1">
      <c r="A18416" s="740"/>
    </row>
    <row r="18417" ht="14.25" customHeight="1">
      <c r="A18417" s="740"/>
    </row>
    <row r="18418" ht="14.25" customHeight="1">
      <c r="A18418" s="740"/>
    </row>
    <row r="18419" ht="14.25" customHeight="1">
      <c r="A18419" s="740"/>
    </row>
    <row r="18420" ht="14.25" customHeight="1">
      <c r="A18420" s="740"/>
    </row>
    <row r="18421" ht="14.25" customHeight="1">
      <c r="A18421" s="740"/>
    </row>
    <row r="18422" ht="14.25" customHeight="1">
      <c r="A18422" s="740"/>
    </row>
    <row r="18423" ht="14.25" customHeight="1">
      <c r="A18423" s="740"/>
    </row>
    <row r="18424" ht="14.25" customHeight="1">
      <c r="A18424" s="740"/>
    </row>
    <row r="18425" ht="14.25" customHeight="1">
      <c r="A18425" s="740"/>
    </row>
    <row r="18426" ht="14.25" customHeight="1">
      <c r="A18426" s="740"/>
    </row>
    <row r="18427" ht="14.25" customHeight="1">
      <c r="A18427" s="740"/>
    </row>
    <row r="18428" ht="14.25" customHeight="1">
      <c r="A18428" s="740"/>
    </row>
    <row r="18429" ht="14.25" customHeight="1">
      <c r="A18429" s="740"/>
    </row>
    <row r="18430" ht="14.25" customHeight="1">
      <c r="A18430" s="740"/>
    </row>
    <row r="18431" ht="14.25" customHeight="1">
      <c r="A18431" s="740"/>
    </row>
    <row r="18432" ht="14.25" customHeight="1">
      <c r="A18432" s="740"/>
    </row>
    <row r="18433" ht="14.25" customHeight="1">
      <c r="A18433" s="740"/>
    </row>
    <row r="18434" ht="14.25" customHeight="1">
      <c r="A18434" s="740"/>
    </row>
    <row r="18435" ht="14.25" customHeight="1">
      <c r="A18435" s="740"/>
    </row>
    <row r="18436" ht="14.25" customHeight="1">
      <c r="A18436" s="740"/>
    </row>
    <row r="18437" ht="14.25" customHeight="1">
      <c r="A18437" s="740"/>
    </row>
    <row r="18438" ht="14.25" customHeight="1">
      <c r="A18438" s="740"/>
    </row>
    <row r="18439" ht="14.25" customHeight="1">
      <c r="A18439" s="740"/>
    </row>
    <row r="18440" ht="14.25" customHeight="1">
      <c r="A18440" s="740"/>
    </row>
    <row r="18441" ht="14.25" customHeight="1">
      <c r="A18441" s="740"/>
    </row>
    <row r="18442" ht="14.25" customHeight="1">
      <c r="A18442" s="740"/>
    </row>
    <row r="18443" ht="14.25" customHeight="1">
      <c r="A18443" s="740"/>
    </row>
    <row r="18444" ht="14.25" customHeight="1">
      <c r="A18444" s="740"/>
    </row>
    <row r="18445" ht="14.25" customHeight="1">
      <c r="A18445" s="740"/>
    </row>
    <row r="18446" ht="14.25" customHeight="1">
      <c r="A18446" s="740"/>
    </row>
    <row r="18447" ht="14.25" customHeight="1">
      <c r="A18447" s="740"/>
    </row>
    <row r="18448" ht="14.25" customHeight="1">
      <c r="A18448" s="740"/>
    </row>
    <row r="18449" ht="14.25" customHeight="1">
      <c r="A18449" s="740"/>
    </row>
    <row r="18450" ht="14.25" customHeight="1">
      <c r="A18450" s="740"/>
    </row>
    <row r="18451" ht="14.25" customHeight="1">
      <c r="A18451" s="740"/>
    </row>
    <row r="18452" ht="14.25" customHeight="1">
      <c r="A18452" s="740"/>
    </row>
    <row r="18453" ht="14.25" customHeight="1">
      <c r="A18453" s="740"/>
    </row>
    <row r="18454" ht="14.25" customHeight="1">
      <c r="A18454" s="740"/>
    </row>
    <row r="18455" ht="14.25" customHeight="1">
      <c r="A18455" s="740"/>
    </row>
    <row r="18456" ht="14.25" customHeight="1">
      <c r="A18456" s="740"/>
    </row>
    <row r="18457" ht="14.25" customHeight="1">
      <c r="A18457" s="740"/>
    </row>
    <row r="18458" ht="14.25" customHeight="1">
      <c r="A18458" s="740"/>
    </row>
    <row r="18459" ht="14.25" customHeight="1">
      <c r="A18459" s="740"/>
    </row>
    <row r="18460" ht="14.25" customHeight="1">
      <c r="A18460" s="740"/>
    </row>
    <row r="18461" ht="14.25" customHeight="1">
      <c r="A18461" s="740"/>
    </row>
    <row r="18462" ht="14.25" customHeight="1">
      <c r="A18462" s="740"/>
    </row>
    <row r="18463" ht="14.25" customHeight="1">
      <c r="A18463" s="740"/>
    </row>
    <row r="18464" ht="14.25" customHeight="1">
      <c r="A18464" s="740"/>
    </row>
    <row r="18465" ht="14.25" customHeight="1">
      <c r="A18465" s="740"/>
    </row>
    <row r="18466" ht="14.25" customHeight="1">
      <c r="A18466" s="740"/>
    </row>
    <row r="18467" ht="14.25" customHeight="1">
      <c r="A18467" s="740"/>
    </row>
    <row r="18468" ht="14.25" customHeight="1">
      <c r="A18468" s="740"/>
    </row>
    <row r="18469" ht="14.25" customHeight="1">
      <c r="A18469" s="740"/>
    </row>
    <row r="18470" ht="14.25" customHeight="1">
      <c r="A18470" s="740"/>
    </row>
    <row r="18471" ht="14.25" customHeight="1">
      <c r="A18471" s="740"/>
    </row>
    <row r="18472" ht="14.25" customHeight="1">
      <c r="A18472" s="740"/>
    </row>
    <row r="18473" ht="14.25" customHeight="1">
      <c r="A18473" s="740"/>
    </row>
    <row r="18474" ht="14.25" customHeight="1">
      <c r="A18474" s="740"/>
    </row>
    <row r="18475" ht="14.25" customHeight="1">
      <c r="A18475" s="740"/>
    </row>
    <row r="18476" ht="14.25" customHeight="1">
      <c r="A18476" s="740"/>
    </row>
    <row r="18477" ht="14.25" customHeight="1">
      <c r="A18477" s="740"/>
    </row>
    <row r="18478" ht="14.25" customHeight="1">
      <c r="A18478" s="740"/>
    </row>
    <row r="18479" ht="14.25" customHeight="1">
      <c r="A18479" s="740"/>
    </row>
    <row r="18480" ht="14.25" customHeight="1">
      <c r="A18480" s="740"/>
    </row>
    <row r="18481" ht="14.25" customHeight="1">
      <c r="A18481" s="740"/>
    </row>
    <row r="18482" ht="14.25" customHeight="1">
      <c r="A18482" s="740"/>
    </row>
    <row r="18483" ht="14.25" customHeight="1">
      <c r="A18483" s="740"/>
    </row>
    <row r="18484" ht="14.25" customHeight="1">
      <c r="A18484" s="740"/>
    </row>
    <row r="18485" ht="14.25" customHeight="1">
      <c r="A18485" s="740"/>
    </row>
    <row r="18486" ht="14.25" customHeight="1">
      <c r="A18486" s="740"/>
    </row>
    <row r="18487" ht="14.25" customHeight="1">
      <c r="A18487" s="740"/>
    </row>
    <row r="18488" ht="14.25" customHeight="1">
      <c r="A18488" s="740"/>
    </row>
    <row r="18489" ht="14.25" customHeight="1">
      <c r="A18489" s="740"/>
    </row>
    <row r="18490" ht="14.25" customHeight="1">
      <c r="A18490" s="740"/>
    </row>
    <row r="18491" ht="14.25" customHeight="1">
      <c r="A18491" s="740"/>
    </row>
    <row r="18492" ht="14.25" customHeight="1">
      <c r="A18492" s="740"/>
    </row>
    <row r="18493" ht="14.25" customHeight="1">
      <c r="A18493" s="740"/>
    </row>
    <row r="18494" ht="14.25" customHeight="1">
      <c r="A18494" s="740"/>
    </row>
    <row r="18495" ht="14.25" customHeight="1">
      <c r="A18495" s="740"/>
    </row>
    <row r="18496" ht="14.25" customHeight="1">
      <c r="A18496" s="740"/>
    </row>
    <row r="18497" ht="14.25" customHeight="1">
      <c r="A18497" s="740"/>
    </row>
    <row r="18498" ht="14.25" customHeight="1">
      <c r="A18498" s="740"/>
    </row>
    <row r="18499" ht="14.25" customHeight="1">
      <c r="A18499" s="740"/>
    </row>
    <row r="18500" ht="14.25" customHeight="1">
      <c r="A18500" s="740"/>
    </row>
    <row r="18501" ht="14.25" customHeight="1">
      <c r="A18501" s="740"/>
    </row>
    <row r="18502" ht="14.25" customHeight="1">
      <c r="A18502" s="740"/>
    </row>
    <row r="18503" ht="14.25" customHeight="1">
      <c r="A18503" s="740"/>
    </row>
    <row r="18504" ht="14.25" customHeight="1">
      <c r="A18504" s="740"/>
    </row>
    <row r="18505" ht="14.25" customHeight="1">
      <c r="A18505" s="740"/>
    </row>
    <row r="18506" ht="14.25" customHeight="1">
      <c r="A18506" s="740"/>
    </row>
    <row r="18507" ht="14.25" customHeight="1">
      <c r="A18507" s="740"/>
    </row>
    <row r="18508" ht="14.25" customHeight="1">
      <c r="A18508" s="740"/>
    </row>
    <row r="18509" ht="14.25" customHeight="1">
      <c r="A18509" s="740"/>
    </row>
    <row r="18510" ht="14.25" customHeight="1">
      <c r="A18510" s="740"/>
    </row>
    <row r="18511" ht="14.25" customHeight="1">
      <c r="A18511" s="740"/>
    </row>
    <row r="18512" ht="14.25" customHeight="1">
      <c r="A18512" s="740"/>
    </row>
    <row r="18513" ht="14.25" customHeight="1">
      <c r="A18513" s="740"/>
    </row>
    <row r="18514" ht="14.25" customHeight="1">
      <c r="A18514" s="740"/>
    </row>
    <row r="18515" ht="14.25" customHeight="1">
      <c r="A18515" s="740"/>
    </row>
    <row r="18516" ht="14.25" customHeight="1">
      <c r="A18516" s="740"/>
    </row>
    <row r="18517" ht="14.25" customHeight="1">
      <c r="A18517" s="740"/>
    </row>
    <row r="18518" ht="14.25" customHeight="1">
      <c r="A18518" s="740"/>
    </row>
    <row r="18519" ht="14.25" customHeight="1">
      <c r="A18519" s="740"/>
    </row>
    <row r="18520" ht="14.25" customHeight="1">
      <c r="A18520" s="740"/>
    </row>
    <row r="18521" ht="14.25" customHeight="1">
      <c r="A18521" s="740"/>
    </row>
    <row r="18522" ht="14.25" customHeight="1">
      <c r="A18522" s="740"/>
    </row>
    <row r="18523" ht="14.25" customHeight="1">
      <c r="A18523" s="740"/>
    </row>
    <row r="18524" ht="14.25" customHeight="1">
      <c r="A18524" s="740"/>
    </row>
    <row r="18525" ht="14.25" customHeight="1">
      <c r="A18525" s="740"/>
    </row>
    <row r="18526" ht="14.25" customHeight="1">
      <c r="A18526" s="740"/>
    </row>
    <row r="18527" ht="14.25" customHeight="1">
      <c r="A18527" s="740"/>
    </row>
    <row r="18528" ht="14.25" customHeight="1">
      <c r="A18528" s="740"/>
    </row>
    <row r="18529" ht="14.25" customHeight="1">
      <c r="A18529" s="740"/>
    </row>
    <row r="18530" ht="14.25" customHeight="1">
      <c r="A18530" s="740"/>
    </row>
    <row r="18531" ht="14.25" customHeight="1">
      <c r="A18531" s="740"/>
    </row>
    <row r="18532" ht="14.25" customHeight="1">
      <c r="A18532" s="740"/>
    </row>
    <row r="18533" ht="14.25" customHeight="1">
      <c r="A18533" s="740"/>
    </row>
    <row r="18534" ht="14.25" customHeight="1">
      <c r="A18534" s="740"/>
    </row>
    <row r="18535" ht="14.25" customHeight="1">
      <c r="A18535" s="740"/>
    </row>
    <row r="18536" ht="14.25" customHeight="1">
      <c r="A18536" s="740"/>
    </row>
    <row r="18537" ht="14.25" customHeight="1">
      <c r="A18537" s="740"/>
    </row>
    <row r="18538" ht="14.25" customHeight="1">
      <c r="A18538" s="740"/>
    </row>
    <row r="18539" ht="14.25" customHeight="1">
      <c r="A18539" s="740"/>
    </row>
    <row r="18540" ht="14.25" customHeight="1">
      <c r="A18540" s="740"/>
    </row>
    <row r="18541" ht="14.25" customHeight="1">
      <c r="A18541" s="740"/>
    </row>
    <row r="18542" ht="14.25" customHeight="1">
      <c r="A18542" s="740"/>
    </row>
    <row r="18543" ht="14.25" customHeight="1">
      <c r="A18543" s="740"/>
    </row>
    <row r="18544" ht="14.25" customHeight="1">
      <c r="A18544" s="740"/>
    </row>
    <row r="18545" ht="14.25" customHeight="1">
      <c r="A18545" s="740"/>
    </row>
    <row r="18546" ht="14.25" customHeight="1">
      <c r="A18546" s="740"/>
    </row>
    <row r="18547" ht="14.25" customHeight="1">
      <c r="A18547" s="740"/>
    </row>
    <row r="18548" ht="14.25" customHeight="1">
      <c r="A18548" s="740"/>
    </row>
    <row r="18549" ht="14.25" customHeight="1">
      <c r="A18549" s="740"/>
    </row>
    <row r="18550" ht="14.25" customHeight="1">
      <c r="A18550" s="740"/>
    </row>
    <row r="18551" ht="14.25" customHeight="1">
      <c r="A18551" s="740"/>
    </row>
    <row r="18552" ht="14.25" customHeight="1">
      <c r="A18552" s="740"/>
    </row>
    <row r="18553" ht="14.25" customHeight="1">
      <c r="A18553" s="740"/>
    </row>
    <row r="18554" ht="14.25" customHeight="1">
      <c r="A18554" s="740"/>
    </row>
    <row r="18555" ht="14.25" customHeight="1">
      <c r="A18555" s="740"/>
    </row>
    <row r="18556" ht="14.25" customHeight="1">
      <c r="A18556" s="740"/>
    </row>
    <row r="18557" ht="14.25" customHeight="1">
      <c r="A18557" s="740"/>
    </row>
    <row r="18558" ht="14.25" customHeight="1">
      <c r="A18558" s="740"/>
    </row>
    <row r="18559" ht="14.25" customHeight="1">
      <c r="A18559" s="740"/>
    </row>
    <row r="18560" ht="14.25" customHeight="1">
      <c r="A18560" s="740"/>
    </row>
    <row r="18561" ht="14.25" customHeight="1">
      <c r="A18561" s="740"/>
    </row>
    <row r="18562" ht="14.25" customHeight="1">
      <c r="A18562" s="740"/>
    </row>
    <row r="18563" ht="14.25" customHeight="1">
      <c r="A18563" s="740"/>
    </row>
    <row r="18564" ht="14.25" customHeight="1">
      <c r="A18564" s="740"/>
    </row>
    <row r="18565" ht="14.25" customHeight="1">
      <c r="A18565" s="740"/>
    </row>
    <row r="18566" ht="14.25" customHeight="1">
      <c r="A18566" s="740"/>
    </row>
    <row r="18567" ht="14.25" customHeight="1">
      <c r="A18567" s="740"/>
    </row>
    <row r="18568" ht="14.25" customHeight="1">
      <c r="A18568" s="740"/>
    </row>
    <row r="18569" ht="14.25" customHeight="1">
      <c r="A18569" s="740"/>
    </row>
    <row r="18570" ht="14.25" customHeight="1">
      <c r="A18570" s="740"/>
    </row>
    <row r="18571" ht="14.25" customHeight="1">
      <c r="A18571" s="740"/>
    </row>
    <row r="18572" ht="14.25" customHeight="1">
      <c r="A18572" s="740"/>
    </row>
    <row r="18573" ht="14.25" customHeight="1">
      <c r="A18573" s="740"/>
    </row>
    <row r="18574" ht="14.25" customHeight="1">
      <c r="A18574" s="740"/>
    </row>
    <row r="18575" ht="14.25" customHeight="1">
      <c r="A18575" s="740"/>
    </row>
    <row r="18576" ht="14.25" customHeight="1">
      <c r="A18576" s="740"/>
    </row>
    <row r="18577" ht="14.25" customHeight="1">
      <c r="A18577" s="740"/>
    </row>
    <row r="18578" ht="14.25" customHeight="1">
      <c r="A18578" s="740"/>
    </row>
    <row r="18579" ht="14.25" customHeight="1">
      <c r="A18579" s="740"/>
    </row>
    <row r="18580" ht="14.25" customHeight="1">
      <c r="A18580" s="740"/>
    </row>
    <row r="18581" ht="14.25" customHeight="1">
      <c r="A18581" s="740"/>
    </row>
    <row r="18582" ht="14.25" customHeight="1">
      <c r="A18582" s="740"/>
    </row>
    <row r="18583" ht="14.25" customHeight="1">
      <c r="A18583" s="740"/>
    </row>
    <row r="18584" ht="14.25" customHeight="1">
      <c r="A18584" s="740"/>
    </row>
    <row r="18585" ht="14.25" customHeight="1">
      <c r="A18585" s="740"/>
    </row>
    <row r="18586" ht="14.25" customHeight="1">
      <c r="A18586" s="740"/>
    </row>
    <row r="18587" ht="14.25" customHeight="1">
      <c r="A18587" s="740"/>
    </row>
    <row r="18588" ht="14.25" customHeight="1">
      <c r="A18588" s="740"/>
    </row>
    <row r="18589" ht="14.25" customHeight="1">
      <c r="A18589" s="740"/>
    </row>
    <row r="18590" ht="14.25" customHeight="1">
      <c r="A18590" s="740"/>
    </row>
    <row r="18591" ht="14.25" customHeight="1">
      <c r="A18591" s="740"/>
    </row>
    <row r="18592" ht="14.25" customHeight="1">
      <c r="A18592" s="740"/>
    </row>
    <row r="18593" ht="14.25" customHeight="1">
      <c r="A18593" s="740"/>
    </row>
    <row r="18594" ht="14.25" customHeight="1">
      <c r="A18594" s="740"/>
    </row>
    <row r="18595" ht="14.25" customHeight="1">
      <c r="A18595" s="740"/>
    </row>
    <row r="18596" ht="14.25" customHeight="1">
      <c r="A18596" s="740"/>
    </row>
    <row r="18597" ht="14.25" customHeight="1">
      <c r="A18597" s="740"/>
    </row>
    <row r="18598" ht="14.25" customHeight="1">
      <c r="A18598" s="740"/>
    </row>
    <row r="18599" ht="14.25" customHeight="1">
      <c r="A18599" s="740"/>
    </row>
    <row r="18600" ht="14.25" customHeight="1">
      <c r="A18600" s="740"/>
    </row>
    <row r="18601" ht="14.25" customHeight="1">
      <c r="A18601" s="740"/>
    </row>
    <row r="18602" ht="14.25" customHeight="1">
      <c r="A18602" s="740"/>
    </row>
    <row r="18603" ht="14.25" customHeight="1">
      <c r="A18603" s="740"/>
    </row>
    <row r="18604" ht="14.25" customHeight="1">
      <c r="A18604" s="740"/>
    </row>
    <row r="18605" ht="14.25" customHeight="1">
      <c r="A18605" s="740"/>
    </row>
    <row r="18606" ht="14.25" customHeight="1">
      <c r="A18606" s="740"/>
    </row>
    <row r="18607" ht="14.25" customHeight="1">
      <c r="A18607" s="740"/>
    </row>
    <row r="18608" ht="14.25" customHeight="1">
      <c r="A18608" s="740"/>
    </row>
    <row r="18609" ht="14.25" customHeight="1">
      <c r="A18609" s="740"/>
    </row>
    <row r="18610" ht="14.25" customHeight="1">
      <c r="A18610" s="740"/>
    </row>
    <row r="18611" ht="14.25" customHeight="1">
      <c r="A18611" s="740"/>
    </row>
    <row r="18612" ht="14.25" customHeight="1">
      <c r="A18612" s="740"/>
    </row>
    <row r="18613" ht="14.25" customHeight="1">
      <c r="A18613" s="740"/>
    </row>
    <row r="18614" ht="14.25" customHeight="1">
      <c r="A18614" s="740"/>
    </row>
    <row r="18615" ht="14.25" customHeight="1">
      <c r="A18615" s="740"/>
    </row>
    <row r="18616" ht="14.25" customHeight="1">
      <c r="A18616" s="740"/>
    </row>
    <row r="18617" ht="14.25" customHeight="1">
      <c r="A18617" s="740"/>
    </row>
    <row r="18618" ht="14.25" customHeight="1">
      <c r="A18618" s="740"/>
    </row>
    <row r="18619" ht="14.25" customHeight="1">
      <c r="A18619" s="740"/>
    </row>
    <row r="18620" ht="14.25" customHeight="1">
      <c r="A18620" s="740"/>
    </row>
    <row r="18621" ht="14.25" customHeight="1">
      <c r="A18621" s="740"/>
    </row>
    <row r="18622" ht="14.25" customHeight="1">
      <c r="A18622" s="740"/>
    </row>
    <row r="18623" ht="14.25" customHeight="1">
      <c r="A18623" s="740"/>
    </row>
    <row r="18624" ht="14.25" customHeight="1">
      <c r="A18624" s="740"/>
    </row>
    <row r="18625" ht="14.25" customHeight="1">
      <c r="A18625" s="740"/>
    </row>
    <row r="18626" ht="14.25" customHeight="1">
      <c r="A18626" s="740"/>
    </row>
    <row r="18627" ht="14.25" customHeight="1">
      <c r="A18627" s="740"/>
    </row>
    <row r="18628" ht="14.25" customHeight="1">
      <c r="A18628" s="740"/>
    </row>
    <row r="18629" ht="14.25" customHeight="1">
      <c r="A18629" s="740"/>
    </row>
    <row r="18630" ht="14.25" customHeight="1">
      <c r="A18630" s="740"/>
    </row>
    <row r="18631" ht="14.25" customHeight="1">
      <c r="A18631" s="740"/>
    </row>
    <row r="18632" ht="14.25" customHeight="1">
      <c r="A18632" s="740"/>
    </row>
    <row r="18633" ht="14.25" customHeight="1">
      <c r="A18633" s="740"/>
    </row>
    <row r="18634" ht="14.25" customHeight="1">
      <c r="A18634" s="740"/>
    </row>
    <row r="18635" ht="14.25" customHeight="1">
      <c r="A18635" s="740"/>
    </row>
    <row r="18636" ht="14.25" customHeight="1">
      <c r="A18636" s="740"/>
    </row>
    <row r="18637" ht="14.25" customHeight="1">
      <c r="A18637" s="740"/>
    </row>
    <row r="18638" ht="14.25" customHeight="1">
      <c r="A18638" s="740"/>
    </row>
    <row r="18639" ht="14.25" customHeight="1">
      <c r="A18639" s="740"/>
    </row>
    <row r="18640" ht="14.25" customHeight="1">
      <c r="A18640" s="740"/>
    </row>
    <row r="18641" ht="14.25" customHeight="1">
      <c r="A18641" s="740"/>
    </row>
    <row r="18642" ht="14.25" customHeight="1">
      <c r="A18642" s="740"/>
    </row>
    <row r="18643" ht="14.25" customHeight="1">
      <c r="A18643" s="740"/>
    </row>
    <row r="18644" ht="14.25" customHeight="1">
      <c r="A18644" s="740"/>
    </row>
    <row r="18645" ht="14.25" customHeight="1">
      <c r="A18645" s="740"/>
    </row>
    <row r="18646" ht="14.25" customHeight="1">
      <c r="A18646" s="740"/>
    </row>
    <row r="18647" ht="14.25" customHeight="1">
      <c r="A18647" s="740"/>
    </row>
    <row r="18648" ht="14.25" customHeight="1">
      <c r="A18648" s="740"/>
    </row>
    <row r="18649" ht="14.25" customHeight="1">
      <c r="A18649" s="740"/>
    </row>
    <row r="18650" ht="14.25" customHeight="1">
      <c r="A18650" s="740"/>
    </row>
    <row r="18651" ht="14.25" customHeight="1">
      <c r="A18651" s="740"/>
    </row>
    <row r="18652" ht="14.25" customHeight="1">
      <c r="A18652" s="740"/>
    </row>
    <row r="18653" ht="14.25" customHeight="1">
      <c r="A18653" s="740"/>
    </row>
    <row r="18654" ht="14.25" customHeight="1">
      <c r="A18654" s="740"/>
    </row>
    <row r="18655" ht="14.25" customHeight="1">
      <c r="A18655" s="740"/>
    </row>
    <row r="18656" ht="14.25" customHeight="1">
      <c r="A18656" s="740"/>
    </row>
    <row r="18657" ht="14.25" customHeight="1">
      <c r="A18657" s="740"/>
    </row>
    <row r="18658" ht="14.25" customHeight="1">
      <c r="A18658" s="740"/>
    </row>
    <row r="18659" ht="14.25" customHeight="1">
      <c r="A18659" s="740"/>
    </row>
    <row r="18660" ht="14.25" customHeight="1">
      <c r="A18660" s="740"/>
    </row>
    <row r="18661" ht="14.25" customHeight="1">
      <c r="A18661" s="740"/>
    </row>
    <row r="18662" ht="14.25" customHeight="1">
      <c r="A18662" s="740"/>
    </row>
    <row r="18663" ht="14.25" customHeight="1">
      <c r="A18663" s="740"/>
    </row>
    <row r="18664" ht="14.25" customHeight="1">
      <c r="A18664" s="740"/>
    </row>
    <row r="18665" ht="14.25" customHeight="1">
      <c r="A18665" s="740"/>
    </row>
    <row r="18666" ht="14.25" customHeight="1">
      <c r="A18666" s="740"/>
    </row>
    <row r="18667" ht="14.25" customHeight="1">
      <c r="A18667" s="740"/>
    </row>
    <row r="18668" ht="14.25" customHeight="1">
      <c r="A18668" s="740"/>
    </row>
    <row r="18669" ht="14.25" customHeight="1">
      <c r="A18669" s="740"/>
    </row>
    <row r="18670" ht="14.25" customHeight="1">
      <c r="A18670" s="740"/>
    </row>
    <row r="18671" ht="14.25" customHeight="1">
      <c r="A18671" s="740"/>
    </row>
    <row r="18672" ht="14.25" customHeight="1">
      <c r="A18672" s="740"/>
    </row>
    <row r="18673" ht="14.25" customHeight="1">
      <c r="A18673" s="740"/>
    </row>
    <row r="18674" ht="14.25" customHeight="1">
      <c r="A18674" s="740"/>
    </row>
    <row r="18675" ht="14.25" customHeight="1">
      <c r="A18675" s="740"/>
    </row>
    <row r="18676" ht="14.25" customHeight="1">
      <c r="A18676" s="740"/>
    </row>
    <row r="18677" ht="14.25" customHeight="1">
      <c r="A18677" s="740"/>
    </row>
    <row r="18678" ht="14.25" customHeight="1">
      <c r="A18678" s="740"/>
    </row>
    <row r="18679" ht="14.25" customHeight="1">
      <c r="A18679" s="740"/>
    </row>
    <row r="18680" ht="14.25" customHeight="1">
      <c r="A18680" s="740"/>
    </row>
    <row r="18681" ht="14.25" customHeight="1">
      <c r="A18681" s="740"/>
    </row>
    <row r="18682" ht="14.25" customHeight="1">
      <c r="A18682" s="740"/>
    </row>
    <row r="18683" ht="14.25" customHeight="1">
      <c r="A18683" s="740"/>
    </row>
    <row r="18684" ht="14.25" customHeight="1">
      <c r="A18684" s="740"/>
    </row>
    <row r="18685" ht="14.25" customHeight="1">
      <c r="A18685" s="740"/>
    </row>
    <row r="18686" ht="14.25" customHeight="1">
      <c r="A18686" s="740"/>
    </row>
    <row r="18687" ht="14.25" customHeight="1">
      <c r="A18687" s="740"/>
    </row>
    <row r="18688" ht="14.25" customHeight="1">
      <c r="A18688" s="740"/>
    </row>
    <row r="18689" ht="14.25" customHeight="1">
      <c r="A18689" s="740"/>
    </row>
    <row r="18690" ht="14.25" customHeight="1">
      <c r="A18690" s="740"/>
    </row>
    <row r="18691" ht="14.25" customHeight="1">
      <c r="A18691" s="740"/>
    </row>
    <row r="18692" ht="14.25" customHeight="1">
      <c r="A18692" s="740"/>
    </row>
    <row r="18693" ht="14.25" customHeight="1">
      <c r="A18693" s="740"/>
    </row>
    <row r="18694" ht="14.25" customHeight="1">
      <c r="A18694" s="740"/>
    </row>
    <row r="18695" ht="14.25" customHeight="1">
      <c r="A18695" s="740"/>
    </row>
    <row r="18696" ht="14.25" customHeight="1">
      <c r="A18696" s="740"/>
    </row>
    <row r="18697" ht="14.25" customHeight="1">
      <c r="A18697" s="740"/>
    </row>
    <row r="18698" ht="14.25" customHeight="1">
      <c r="A18698" s="740"/>
    </row>
    <row r="18699" ht="14.25" customHeight="1">
      <c r="A18699" s="740"/>
    </row>
    <row r="18700" ht="14.25" customHeight="1">
      <c r="A18700" s="740"/>
    </row>
    <row r="18701" ht="14.25" customHeight="1">
      <c r="A18701" s="740"/>
    </row>
    <row r="18702" ht="14.25" customHeight="1">
      <c r="A18702" s="740"/>
    </row>
    <row r="18703" ht="14.25" customHeight="1">
      <c r="A18703" s="740"/>
    </row>
    <row r="18704" ht="14.25" customHeight="1">
      <c r="A18704" s="740"/>
    </row>
    <row r="18705" ht="14.25" customHeight="1">
      <c r="A18705" s="740"/>
    </row>
    <row r="18706" ht="14.25" customHeight="1">
      <c r="A18706" s="740"/>
    </row>
    <row r="18707" ht="14.25" customHeight="1">
      <c r="A18707" s="740"/>
    </row>
    <row r="18708" ht="14.25" customHeight="1">
      <c r="A18708" s="740"/>
    </row>
    <row r="18709" ht="14.25" customHeight="1">
      <c r="A18709" s="740"/>
    </row>
    <row r="18710" ht="14.25" customHeight="1">
      <c r="A18710" s="740"/>
    </row>
    <row r="18711" ht="14.25" customHeight="1">
      <c r="A18711" s="740"/>
    </row>
    <row r="18712" ht="14.25" customHeight="1">
      <c r="A18712" s="740"/>
    </row>
    <row r="18713" ht="14.25" customHeight="1">
      <c r="A18713" s="740"/>
    </row>
    <row r="18714" ht="14.25" customHeight="1">
      <c r="A18714" s="740"/>
    </row>
    <row r="18715" ht="14.25" customHeight="1">
      <c r="A18715" s="740"/>
    </row>
    <row r="18716" ht="14.25" customHeight="1">
      <c r="A18716" s="740"/>
    </row>
    <row r="18717" ht="14.25" customHeight="1">
      <c r="A18717" s="740"/>
    </row>
    <row r="18718" ht="14.25" customHeight="1">
      <c r="A18718" s="740"/>
    </row>
    <row r="18719" ht="14.25" customHeight="1">
      <c r="A18719" s="740"/>
    </row>
    <row r="18720" ht="14.25" customHeight="1">
      <c r="A18720" s="740"/>
    </row>
    <row r="18721" ht="14.25" customHeight="1">
      <c r="A18721" s="740"/>
    </row>
    <row r="18722" ht="14.25" customHeight="1">
      <c r="A18722" s="740"/>
    </row>
    <row r="18723" ht="14.25" customHeight="1">
      <c r="A18723" s="740"/>
    </row>
    <row r="18724" ht="14.25" customHeight="1">
      <c r="A18724" s="740"/>
    </row>
    <row r="18725" ht="14.25" customHeight="1">
      <c r="A18725" s="740"/>
    </row>
    <row r="18726" ht="14.25" customHeight="1">
      <c r="A18726" s="740"/>
    </row>
    <row r="18727" ht="14.25" customHeight="1">
      <c r="A18727" s="740"/>
    </row>
    <row r="18728" ht="14.25" customHeight="1">
      <c r="A18728" s="740"/>
    </row>
    <row r="18729" ht="14.25" customHeight="1">
      <c r="A18729" s="740"/>
    </row>
    <row r="18730" ht="14.25" customHeight="1">
      <c r="A18730" s="740"/>
    </row>
    <row r="18731" ht="14.25" customHeight="1">
      <c r="A18731" s="740"/>
    </row>
    <row r="18732" ht="14.25" customHeight="1">
      <c r="A18732" s="740"/>
    </row>
    <row r="18733" ht="14.25" customHeight="1">
      <c r="A18733" s="740"/>
    </row>
    <row r="18734" ht="14.25" customHeight="1">
      <c r="A18734" s="740"/>
    </row>
    <row r="18735" ht="14.25" customHeight="1">
      <c r="A18735" s="740"/>
    </row>
    <row r="18736" ht="14.25" customHeight="1">
      <c r="A18736" s="740"/>
    </row>
    <row r="18737" ht="14.25" customHeight="1">
      <c r="A18737" s="740"/>
    </row>
    <row r="18738" ht="14.25" customHeight="1">
      <c r="A18738" s="740"/>
    </row>
    <row r="18739" ht="14.25" customHeight="1">
      <c r="A18739" s="740"/>
    </row>
    <row r="18740" ht="14.25" customHeight="1">
      <c r="A18740" s="740"/>
    </row>
    <row r="18741" ht="14.25" customHeight="1">
      <c r="A18741" s="740"/>
    </row>
    <row r="18742" ht="14.25" customHeight="1">
      <c r="A18742" s="740"/>
    </row>
    <row r="18743" ht="14.25" customHeight="1">
      <c r="A18743" s="740"/>
    </row>
    <row r="18744" ht="14.25" customHeight="1">
      <c r="A18744" s="740"/>
    </row>
    <row r="18745" ht="14.25" customHeight="1">
      <c r="A18745" s="740"/>
    </row>
    <row r="18746" ht="14.25" customHeight="1">
      <c r="A18746" s="740"/>
    </row>
    <row r="18747" ht="14.25" customHeight="1">
      <c r="A18747" s="740"/>
    </row>
    <row r="18748" ht="14.25" customHeight="1">
      <c r="A18748" s="740"/>
    </row>
    <row r="18749" ht="14.25" customHeight="1">
      <c r="A18749" s="740"/>
    </row>
    <row r="18750" ht="14.25" customHeight="1">
      <c r="A18750" s="740"/>
    </row>
    <row r="18751" ht="14.25" customHeight="1">
      <c r="A18751" s="740"/>
    </row>
    <row r="18752" ht="14.25" customHeight="1">
      <c r="A18752" s="740"/>
    </row>
    <row r="18753" ht="14.25" customHeight="1">
      <c r="A18753" s="740"/>
    </row>
    <row r="18754" ht="14.25" customHeight="1">
      <c r="A18754" s="740"/>
    </row>
    <row r="18755" ht="14.25" customHeight="1">
      <c r="A18755" s="740"/>
    </row>
    <row r="18756" ht="14.25" customHeight="1">
      <c r="A18756" s="740"/>
    </row>
    <row r="18757" ht="14.25" customHeight="1">
      <c r="A18757" s="740"/>
    </row>
    <row r="18758" ht="14.25" customHeight="1">
      <c r="A18758" s="740"/>
    </row>
    <row r="18759" ht="14.25" customHeight="1">
      <c r="A18759" s="740"/>
    </row>
    <row r="18760" ht="14.25" customHeight="1">
      <c r="A18760" s="740"/>
    </row>
    <row r="18761" ht="14.25" customHeight="1">
      <c r="A18761" s="740"/>
    </row>
    <row r="18762" ht="14.25" customHeight="1">
      <c r="A18762" s="740"/>
    </row>
    <row r="18763" ht="14.25" customHeight="1">
      <c r="A18763" s="740"/>
    </row>
    <row r="18764" ht="14.25" customHeight="1">
      <c r="A18764" s="740"/>
    </row>
    <row r="18765" ht="14.25" customHeight="1">
      <c r="A18765" s="740"/>
    </row>
    <row r="18766" ht="14.25" customHeight="1">
      <c r="A18766" s="740"/>
    </row>
    <row r="18767" ht="14.25" customHeight="1">
      <c r="A18767" s="740"/>
    </row>
    <row r="18768" ht="14.25" customHeight="1">
      <c r="A18768" s="740"/>
    </row>
    <row r="18769" ht="14.25" customHeight="1">
      <c r="A18769" s="740"/>
    </row>
    <row r="18770" ht="14.25" customHeight="1">
      <c r="A18770" s="740"/>
    </row>
    <row r="18771" ht="14.25" customHeight="1">
      <c r="A18771" s="740"/>
    </row>
    <row r="18772" ht="14.25" customHeight="1">
      <c r="A18772" s="740"/>
    </row>
    <row r="18773" ht="14.25" customHeight="1">
      <c r="A18773" s="740"/>
    </row>
    <row r="18774" ht="14.25" customHeight="1">
      <c r="A18774" s="740"/>
    </row>
    <row r="18775" ht="14.25" customHeight="1">
      <c r="A18775" s="740"/>
    </row>
    <row r="18776" ht="14.25" customHeight="1">
      <c r="A18776" s="740"/>
    </row>
    <row r="18777" ht="14.25" customHeight="1">
      <c r="A18777" s="740"/>
    </row>
    <row r="18778" ht="14.25" customHeight="1">
      <c r="A18778" s="740"/>
    </row>
    <row r="18779" ht="14.25" customHeight="1">
      <c r="A18779" s="740"/>
    </row>
    <row r="18780" ht="14.25" customHeight="1">
      <c r="A18780" s="740"/>
    </row>
    <row r="18781" ht="14.25" customHeight="1">
      <c r="A18781" s="740"/>
    </row>
    <row r="18782" ht="14.25" customHeight="1">
      <c r="A18782" s="740"/>
    </row>
    <row r="18783" ht="14.25" customHeight="1">
      <c r="A18783" s="740"/>
    </row>
    <row r="18784" ht="14.25" customHeight="1">
      <c r="A18784" s="740"/>
    </row>
    <row r="18785" ht="14.25" customHeight="1">
      <c r="A18785" s="740"/>
    </row>
    <row r="18786" ht="14.25" customHeight="1">
      <c r="A18786" s="740"/>
    </row>
    <row r="18787" ht="14.25" customHeight="1">
      <c r="A18787" s="740"/>
    </row>
    <row r="18788" ht="14.25" customHeight="1">
      <c r="A18788" s="740"/>
    </row>
    <row r="18789" ht="14.25" customHeight="1">
      <c r="A18789" s="740"/>
    </row>
    <row r="18790" ht="14.25" customHeight="1">
      <c r="A18790" s="740"/>
    </row>
    <row r="18791" ht="14.25" customHeight="1">
      <c r="A18791" s="740"/>
    </row>
    <row r="18792" ht="14.25" customHeight="1">
      <c r="A18792" s="740"/>
    </row>
    <row r="18793" ht="14.25" customHeight="1">
      <c r="A18793" s="740"/>
    </row>
    <row r="18794" ht="14.25" customHeight="1">
      <c r="A18794" s="740"/>
    </row>
    <row r="18795" ht="14.25" customHeight="1">
      <c r="A18795" s="740"/>
    </row>
    <row r="18796" ht="14.25" customHeight="1">
      <c r="A18796" s="740"/>
    </row>
    <row r="18797" ht="14.25" customHeight="1">
      <c r="A18797" s="740"/>
    </row>
    <row r="18798" ht="14.25" customHeight="1">
      <c r="A18798" s="740"/>
    </row>
    <row r="18799" ht="14.25" customHeight="1">
      <c r="A18799" s="740"/>
    </row>
    <row r="18800" ht="14.25" customHeight="1">
      <c r="A18800" s="740"/>
    </row>
    <row r="18801" ht="14.25" customHeight="1">
      <c r="A18801" s="740"/>
    </row>
    <row r="18802" ht="14.25" customHeight="1">
      <c r="A18802" s="740"/>
    </row>
    <row r="18803" ht="14.25" customHeight="1">
      <c r="A18803" s="740"/>
    </row>
    <row r="18804" ht="14.25" customHeight="1">
      <c r="A18804" s="740"/>
    </row>
    <row r="18805" ht="14.25" customHeight="1">
      <c r="A18805" s="740"/>
    </row>
    <row r="18806" ht="14.25" customHeight="1">
      <c r="A18806" s="740"/>
    </row>
    <row r="18807" ht="14.25" customHeight="1">
      <c r="A18807" s="740"/>
    </row>
    <row r="18808" ht="14.25" customHeight="1">
      <c r="A18808" s="740"/>
    </row>
    <row r="18809" ht="14.25" customHeight="1">
      <c r="A18809" s="740"/>
    </row>
    <row r="18810" ht="14.25" customHeight="1">
      <c r="A18810" s="740"/>
    </row>
    <row r="18811" ht="14.25" customHeight="1">
      <c r="A18811" s="740"/>
    </row>
    <row r="18812" ht="14.25" customHeight="1">
      <c r="A18812" s="740"/>
    </row>
    <row r="18813" ht="14.25" customHeight="1">
      <c r="A18813" s="740"/>
    </row>
    <row r="18814" ht="14.25" customHeight="1">
      <c r="A18814" s="740"/>
    </row>
    <row r="18815" ht="14.25" customHeight="1">
      <c r="A18815" s="740"/>
    </row>
    <row r="18816" ht="14.25" customHeight="1">
      <c r="A18816" s="740"/>
    </row>
    <row r="18817" ht="14.25" customHeight="1">
      <c r="A18817" s="740"/>
    </row>
    <row r="18818" ht="14.25" customHeight="1">
      <c r="A18818" s="740"/>
    </row>
    <row r="18819" ht="14.25" customHeight="1">
      <c r="A18819" s="740"/>
    </row>
    <row r="18820" ht="14.25" customHeight="1">
      <c r="A18820" s="740"/>
    </row>
    <row r="18821" ht="14.25" customHeight="1">
      <c r="A18821" s="740"/>
    </row>
    <row r="18822" ht="14.25" customHeight="1">
      <c r="A18822" s="740"/>
    </row>
    <row r="18823" ht="14.25" customHeight="1">
      <c r="A18823" s="740"/>
    </row>
    <row r="18824" ht="14.25" customHeight="1">
      <c r="A18824" s="740"/>
    </row>
    <row r="18825" ht="14.25" customHeight="1">
      <c r="A18825" s="740"/>
    </row>
    <row r="18826" ht="14.25" customHeight="1">
      <c r="A18826" s="740"/>
    </row>
    <row r="18827" ht="14.25" customHeight="1">
      <c r="A18827" s="740"/>
    </row>
    <row r="18828" ht="14.25" customHeight="1">
      <c r="A18828" s="740"/>
    </row>
    <row r="18829" ht="14.25" customHeight="1">
      <c r="A18829" s="740"/>
    </row>
    <row r="18830" ht="14.25" customHeight="1">
      <c r="A18830" s="740"/>
    </row>
    <row r="18831" ht="14.25" customHeight="1">
      <c r="A18831" s="740"/>
    </row>
    <row r="18832" ht="14.25" customHeight="1">
      <c r="A18832" s="740"/>
    </row>
    <row r="18833" ht="14.25" customHeight="1">
      <c r="A18833" s="740"/>
    </row>
    <row r="18834" ht="14.25" customHeight="1">
      <c r="A18834" s="740"/>
    </row>
    <row r="18835" ht="14.25" customHeight="1">
      <c r="A18835" s="740"/>
    </row>
    <row r="18836" ht="14.25" customHeight="1">
      <c r="A18836" s="740"/>
    </row>
    <row r="18837" ht="14.25" customHeight="1">
      <c r="A18837" s="740"/>
    </row>
    <row r="18838" ht="14.25" customHeight="1">
      <c r="A18838" s="740"/>
    </row>
    <row r="18839" ht="14.25" customHeight="1">
      <c r="A18839" s="740"/>
    </row>
    <row r="18840" ht="14.25" customHeight="1">
      <c r="A18840" s="740"/>
    </row>
    <row r="18841" ht="14.25" customHeight="1">
      <c r="A18841" s="740"/>
    </row>
    <row r="18842" ht="14.25" customHeight="1">
      <c r="A18842" s="740"/>
    </row>
    <row r="18843" ht="14.25" customHeight="1">
      <c r="A18843" s="740"/>
    </row>
    <row r="18844" ht="14.25" customHeight="1">
      <c r="A18844" s="740"/>
    </row>
    <row r="18845" ht="14.25" customHeight="1">
      <c r="A18845" s="740"/>
    </row>
    <row r="18846" ht="14.25" customHeight="1">
      <c r="A18846" s="740"/>
    </row>
    <row r="18847" ht="14.25" customHeight="1">
      <c r="A18847" s="740"/>
    </row>
    <row r="18848" ht="14.25" customHeight="1">
      <c r="A18848" s="740"/>
    </row>
    <row r="18849" ht="14.25" customHeight="1">
      <c r="A18849" s="740"/>
    </row>
    <row r="18850" ht="14.25" customHeight="1">
      <c r="A18850" s="740"/>
    </row>
    <row r="18851" ht="14.25" customHeight="1">
      <c r="A18851" s="740"/>
    </row>
    <row r="18852" ht="14.25" customHeight="1">
      <c r="A18852" s="740"/>
    </row>
    <row r="18853" ht="14.25" customHeight="1">
      <c r="A18853" s="740"/>
    </row>
    <row r="18854" ht="14.25" customHeight="1">
      <c r="A18854" s="740"/>
    </row>
    <row r="18855" ht="14.25" customHeight="1">
      <c r="A18855" s="740"/>
    </row>
    <row r="18856" ht="14.25" customHeight="1">
      <c r="A18856" s="740"/>
    </row>
    <row r="18857" ht="14.25" customHeight="1">
      <c r="A18857" s="740"/>
    </row>
    <row r="18858" ht="14.25" customHeight="1">
      <c r="A18858" s="740"/>
    </row>
    <row r="18859" ht="14.25" customHeight="1">
      <c r="A18859" s="740"/>
    </row>
    <row r="18860" ht="14.25" customHeight="1">
      <c r="A18860" s="740"/>
    </row>
    <row r="18861" ht="14.25" customHeight="1">
      <c r="A18861" s="740"/>
    </row>
    <row r="18862" ht="14.25" customHeight="1">
      <c r="A18862" s="740"/>
    </row>
    <row r="18863" ht="14.25" customHeight="1">
      <c r="A18863" s="740"/>
    </row>
    <row r="18864" ht="14.25" customHeight="1">
      <c r="A18864" s="740"/>
    </row>
    <row r="18865" ht="14.25" customHeight="1">
      <c r="A18865" s="740"/>
    </row>
    <row r="18866" ht="14.25" customHeight="1">
      <c r="A18866" s="740"/>
    </row>
    <row r="18867" ht="14.25" customHeight="1">
      <c r="A18867" s="740"/>
    </row>
    <row r="18868" ht="14.25" customHeight="1">
      <c r="A18868" s="740"/>
    </row>
    <row r="18869" ht="14.25" customHeight="1">
      <c r="A18869" s="740"/>
    </row>
    <row r="18870" ht="14.25" customHeight="1">
      <c r="A18870" s="740"/>
    </row>
    <row r="18871" ht="14.25" customHeight="1">
      <c r="A18871" s="740"/>
    </row>
    <row r="18872" ht="14.25" customHeight="1">
      <c r="A18872" s="740"/>
    </row>
    <row r="18873" ht="14.25" customHeight="1">
      <c r="A18873" s="740"/>
    </row>
    <row r="18874" ht="14.25" customHeight="1">
      <c r="A18874" s="740"/>
    </row>
    <row r="18875" ht="14.25" customHeight="1">
      <c r="A18875" s="740"/>
    </row>
    <row r="18876" ht="14.25" customHeight="1">
      <c r="A18876" s="740"/>
    </row>
    <row r="18877" ht="14.25" customHeight="1">
      <c r="A18877" s="740"/>
    </row>
    <row r="18878" ht="14.25" customHeight="1">
      <c r="A18878" s="740"/>
    </row>
    <row r="18879" ht="14.25" customHeight="1">
      <c r="A18879" s="740"/>
    </row>
    <row r="18880" ht="14.25" customHeight="1">
      <c r="A18880" s="740"/>
    </row>
    <row r="18881" ht="14.25" customHeight="1">
      <c r="A18881" s="740"/>
    </row>
    <row r="18882" ht="14.25" customHeight="1">
      <c r="A18882" s="740"/>
    </row>
    <row r="18883" ht="14.25" customHeight="1">
      <c r="A18883" s="740"/>
    </row>
    <row r="18884" ht="14.25" customHeight="1">
      <c r="A18884" s="740"/>
    </row>
    <row r="18885" ht="14.25" customHeight="1">
      <c r="A18885" s="740"/>
    </row>
    <row r="18886" ht="14.25" customHeight="1">
      <c r="A18886" s="740"/>
    </row>
    <row r="18887" ht="14.25" customHeight="1">
      <c r="A18887" s="740"/>
    </row>
    <row r="18888" ht="14.25" customHeight="1">
      <c r="A18888" s="740"/>
    </row>
    <row r="18889" ht="14.25" customHeight="1">
      <c r="A18889" s="740"/>
    </row>
    <row r="18890" ht="14.25" customHeight="1">
      <c r="A18890" s="740"/>
    </row>
    <row r="18891" ht="14.25" customHeight="1">
      <c r="A18891" s="740"/>
    </row>
    <row r="18892" ht="14.25" customHeight="1">
      <c r="A18892" s="740"/>
    </row>
    <row r="18893" ht="14.25" customHeight="1">
      <c r="A18893" s="740"/>
    </row>
    <row r="18894" ht="14.25" customHeight="1">
      <c r="A18894" s="740"/>
    </row>
    <row r="18895" ht="14.25" customHeight="1">
      <c r="A18895" s="740"/>
    </row>
    <row r="18896" ht="14.25" customHeight="1">
      <c r="A18896" s="740"/>
    </row>
    <row r="18897" ht="14.25" customHeight="1">
      <c r="A18897" s="740"/>
    </row>
    <row r="18898" ht="14.25" customHeight="1">
      <c r="A18898" s="740"/>
    </row>
    <row r="18899" ht="14.25" customHeight="1">
      <c r="A18899" s="740"/>
    </row>
    <row r="18900" ht="14.25" customHeight="1">
      <c r="A18900" s="740"/>
    </row>
    <row r="18901" ht="14.25" customHeight="1">
      <c r="A18901" s="740"/>
    </row>
    <row r="18902" ht="14.25" customHeight="1">
      <c r="A18902" s="740"/>
    </row>
    <row r="18903" ht="14.25" customHeight="1">
      <c r="A18903" s="740"/>
    </row>
    <row r="18904" ht="14.25" customHeight="1">
      <c r="A18904" s="740"/>
    </row>
    <row r="18905" ht="14.25" customHeight="1">
      <c r="A18905" s="740"/>
    </row>
    <row r="18906" ht="14.25" customHeight="1">
      <c r="A18906" s="740"/>
    </row>
    <row r="18907" ht="14.25" customHeight="1">
      <c r="A18907" s="740"/>
    </row>
    <row r="18908" ht="14.25" customHeight="1">
      <c r="A18908" s="740"/>
    </row>
    <row r="18909" ht="14.25" customHeight="1">
      <c r="A18909" s="740"/>
    </row>
    <row r="18910" ht="14.25" customHeight="1">
      <c r="A18910" s="740"/>
    </row>
    <row r="18911" ht="14.25" customHeight="1">
      <c r="A18911" s="740"/>
    </row>
    <row r="18912" ht="14.25" customHeight="1">
      <c r="A18912" s="740"/>
    </row>
    <row r="18913" ht="14.25" customHeight="1">
      <c r="A18913" s="740"/>
    </row>
    <row r="18914" ht="14.25" customHeight="1">
      <c r="A18914" s="740"/>
    </row>
    <row r="18915" ht="14.25" customHeight="1">
      <c r="A18915" s="740"/>
    </row>
    <row r="18916" ht="14.25" customHeight="1">
      <c r="A18916" s="740"/>
    </row>
    <row r="18917" ht="14.25" customHeight="1">
      <c r="A18917" s="740"/>
    </row>
    <row r="18918" ht="14.25" customHeight="1">
      <c r="A18918" s="740"/>
    </row>
    <row r="18919" ht="14.25" customHeight="1">
      <c r="A18919" s="740"/>
    </row>
    <row r="18920" ht="14.25" customHeight="1">
      <c r="A18920" s="740"/>
    </row>
    <row r="18921" ht="14.25" customHeight="1">
      <c r="A18921" s="740"/>
    </row>
    <row r="18922" ht="14.25" customHeight="1">
      <c r="A18922" s="740"/>
    </row>
    <row r="18923" ht="14.25" customHeight="1">
      <c r="A18923" s="740"/>
    </row>
    <row r="18924" ht="14.25" customHeight="1">
      <c r="A18924" s="740"/>
    </row>
    <row r="18925" ht="14.25" customHeight="1">
      <c r="A18925" s="740"/>
    </row>
    <row r="18926" ht="14.25" customHeight="1">
      <c r="A18926" s="740"/>
    </row>
    <row r="18927" ht="14.25" customHeight="1">
      <c r="A18927" s="740"/>
    </row>
    <row r="18928" ht="14.25" customHeight="1">
      <c r="A18928" s="740"/>
    </row>
    <row r="18929" ht="14.25" customHeight="1">
      <c r="A18929" s="740"/>
    </row>
    <row r="18930" ht="14.25" customHeight="1">
      <c r="A18930" s="740"/>
    </row>
    <row r="18931" ht="14.25" customHeight="1">
      <c r="A18931" s="740"/>
    </row>
    <row r="18932" ht="14.25" customHeight="1">
      <c r="A18932" s="740"/>
    </row>
    <row r="18933" ht="14.25" customHeight="1">
      <c r="A18933" s="740"/>
    </row>
    <row r="18934" ht="14.25" customHeight="1">
      <c r="A18934" s="740"/>
    </row>
    <row r="18935" ht="14.25" customHeight="1">
      <c r="A18935" s="740"/>
    </row>
    <row r="18936" ht="14.25" customHeight="1">
      <c r="A18936" s="740"/>
    </row>
    <row r="18937" ht="14.25" customHeight="1">
      <c r="A18937" s="740"/>
    </row>
    <row r="18938" ht="14.25" customHeight="1">
      <c r="A18938" s="740"/>
    </row>
    <row r="18939" ht="14.25" customHeight="1">
      <c r="A18939" s="740"/>
    </row>
    <row r="18940" ht="14.25" customHeight="1">
      <c r="A18940" s="740"/>
    </row>
    <row r="18941" ht="14.25" customHeight="1">
      <c r="A18941" s="740"/>
    </row>
    <row r="18942" ht="14.25" customHeight="1">
      <c r="A18942" s="740"/>
    </row>
    <row r="18943" ht="14.25" customHeight="1">
      <c r="A18943" s="740"/>
    </row>
    <row r="18944" ht="14.25" customHeight="1">
      <c r="A18944" s="740"/>
    </row>
    <row r="18945" ht="14.25" customHeight="1">
      <c r="A18945" s="740"/>
    </row>
    <row r="18946" ht="14.25" customHeight="1">
      <c r="A18946" s="740"/>
    </row>
    <row r="18947" ht="14.25" customHeight="1">
      <c r="A18947" s="740"/>
    </row>
    <row r="18948" ht="14.25" customHeight="1">
      <c r="A18948" s="740"/>
    </row>
    <row r="18949" ht="14.25" customHeight="1">
      <c r="A18949" s="740"/>
    </row>
    <row r="18950" ht="14.25" customHeight="1">
      <c r="A18950" s="740"/>
    </row>
    <row r="18951" ht="14.25" customHeight="1">
      <c r="A18951" s="740"/>
    </row>
    <row r="18952" ht="14.25" customHeight="1">
      <c r="A18952" s="740"/>
    </row>
    <row r="18953" ht="14.25" customHeight="1">
      <c r="A18953" s="740"/>
    </row>
    <row r="18954" ht="14.25" customHeight="1">
      <c r="A18954" s="740"/>
    </row>
    <row r="18955" ht="14.25" customHeight="1">
      <c r="A18955" s="740"/>
    </row>
    <row r="18956" ht="14.25" customHeight="1">
      <c r="A18956" s="740"/>
    </row>
    <row r="18957" ht="14.25" customHeight="1">
      <c r="A18957" s="740"/>
    </row>
    <row r="18958" ht="14.25" customHeight="1">
      <c r="A18958" s="740"/>
    </row>
    <row r="18959" ht="14.25" customHeight="1">
      <c r="A18959" s="740"/>
    </row>
    <row r="18960" ht="14.25" customHeight="1">
      <c r="A18960" s="740"/>
    </row>
    <row r="18961" ht="14.25" customHeight="1">
      <c r="A18961" s="740"/>
    </row>
    <row r="18962" ht="14.25" customHeight="1">
      <c r="A18962" s="740"/>
    </row>
    <row r="18963" ht="14.25" customHeight="1">
      <c r="A18963" s="740"/>
    </row>
    <row r="18964" ht="14.25" customHeight="1">
      <c r="A18964" s="740"/>
    </row>
    <row r="18965" ht="14.25" customHeight="1">
      <c r="A18965" s="740"/>
    </row>
    <row r="18966" ht="14.25" customHeight="1">
      <c r="A18966" s="740"/>
    </row>
    <row r="18967" ht="14.25" customHeight="1">
      <c r="A18967" s="740"/>
    </row>
    <row r="18968" ht="14.25" customHeight="1">
      <c r="A18968" s="740"/>
    </row>
    <row r="18969" ht="14.25" customHeight="1">
      <c r="A18969" s="740"/>
    </row>
    <row r="18970" ht="14.25" customHeight="1">
      <c r="A18970" s="740"/>
    </row>
    <row r="18971" ht="14.25" customHeight="1">
      <c r="A18971" s="740"/>
    </row>
    <row r="18972" ht="14.25" customHeight="1">
      <c r="A18972" s="740"/>
    </row>
    <row r="18973" ht="14.25" customHeight="1">
      <c r="A18973" s="740"/>
    </row>
    <row r="18974" ht="14.25" customHeight="1">
      <c r="A18974" s="740"/>
    </row>
    <row r="18975" ht="14.25" customHeight="1">
      <c r="A18975" s="740"/>
    </row>
    <row r="18976" ht="14.25" customHeight="1">
      <c r="A18976" s="740"/>
    </row>
    <row r="18977" ht="14.25" customHeight="1">
      <c r="A18977" s="740"/>
    </row>
    <row r="18978" ht="14.25" customHeight="1">
      <c r="A18978" s="740"/>
    </row>
    <row r="18979" ht="14.25" customHeight="1">
      <c r="A18979" s="740"/>
    </row>
    <row r="18980" ht="14.25" customHeight="1">
      <c r="A18980" s="740"/>
    </row>
    <row r="18981" ht="14.25" customHeight="1">
      <c r="A18981" s="740"/>
    </row>
    <row r="18982" ht="14.25" customHeight="1">
      <c r="A18982" s="740"/>
    </row>
    <row r="18983" ht="14.25" customHeight="1">
      <c r="A18983" s="740"/>
    </row>
    <row r="18984" ht="14.25" customHeight="1">
      <c r="A18984" s="740"/>
    </row>
    <row r="18985" ht="14.25" customHeight="1">
      <c r="A18985" s="740"/>
    </row>
    <row r="18986" ht="14.25" customHeight="1">
      <c r="A18986" s="740"/>
    </row>
    <row r="18987" ht="14.25" customHeight="1">
      <c r="A18987" s="740"/>
    </row>
    <row r="18988" ht="14.25" customHeight="1">
      <c r="A18988" s="740"/>
    </row>
    <row r="18989" ht="14.25" customHeight="1">
      <c r="A18989" s="740"/>
    </row>
    <row r="18990" ht="14.25" customHeight="1">
      <c r="A18990" s="740"/>
    </row>
    <row r="18991" ht="14.25" customHeight="1">
      <c r="A18991" s="740"/>
    </row>
    <row r="18992" ht="14.25" customHeight="1">
      <c r="A18992" s="740"/>
    </row>
    <row r="18993" ht="14.25" customHeight="1">
      <c r="A18993" s="740"/>
    </row>
    <row r="18994" ht="14.25" customHeight="1">
      <c r="A18994" s="740"/>
    </row>
    <row r="18995" ht="14.25" customHeight="1">
      <c r="A18995" s="740"/>
    </row>
    <row r="18996" ht="14.25" customHeight="1">
      <c r="A18996" s="740"/>
    </row>
    <row r="18997" ht="14.25" customHeight="1">
      <c r="A18997" s="740"/>
    </row>
    <row r="18998" ht="14.25" customHeight="1">
      <c r="A18998" s="740"/>
    </row>
    <row r="18999" ht="14.25" customHeight="1">
      <c r="A18999" s="740"/>
    </row>
    <row r="19000" ht="14.25" customHeight="1">
      <c r="A19000" s="740"/>
    </row>
    <row r="19001" ht="14.25" customHeight="1">
      <c r="A19001" s="740"/>
    </row>
    <row r="19002" ht="14.25" customHeight="1">
      <c r="A19002" s="740"/>
    </row>
    <row r="19003" ht="14.25" customHeight="1">
      <c r="A19003" s="740"/>
    </row>
    <row r="19004" ht="14.25" customHeight="1">
      <c r="A19004" s="740"/>
    </row>
    <row r="19005" ht="14.25" customHeight="1">
      <c r="A19005" s="740"/>
    </row>
    <row r="19006" ht="14.25" customHeight="1">
      <c r="A19006" s="740"/>
    </row>
    <row r="19007" ht="14.25" customHeight="1">
      <c r="A19007" s="740"/>
    </row>
    <row r="19008" ht="14.25" customHeight="1">
      <c r="A19008" s="740"/>
    </row>
    <row r="19009" ht="14.25" customHeight="1">
      <c r="A19009" s="740"/>
    </row>
    <row r="19010" ht="14.25" customHeight="1">
      <c r="A19010" s="740"/>
    </row>
    <row r="19011" ht="14.25" customHeight="1">
      <c r="A19011" s="740"/>
    </row>
    <row r="19012" ht="14.25" customHeight="1">
      <c r="A19012" s="740"/>
    </row>
    <row r="19013" ht="14.25" customHeight="1">
      <c r="A19013" s="740"/>
    </row>
    <row r="19014" ht="14.25" customHeight="1">
      <c r="A19014" s="740"/>
    </row>
    <row r="19015" ht="14.25" customHeight="1">
      <c r="A19015" s="740"/>
    </row>
    <row r="19016" ht="14.25" customHeight="1">
      <c r="A19016" s="740"/>
    </row>
    <row r="19017" ht="14.25" customHeight="1">
      <c r="A19017" s="740"/>
    </row>
    <row r="19018" ht="14.25" customHeight="1">
      <c r="A19018" s="740"/>
    </row>
    <row r="19019" ht="14.25" customHeight="1">
      <c r="A19019" s="740"/>
    </row>
    <row r="19020" ht="14.25" customHeight="1">
      <c r="A19020" s="740"/>
    </row>
    <row r="19021" ht="14.25" customHeight="1">
      <c r="A19021" s="740"/>
    </row>
    <row r="19022" ht="14.25" customHeight="1">
      <c r="A19022" s="740"/>
    </row>
    <row r="19023" ht="14.25" customHeight="1">
      <c r="A19023" s="740"/>
    </row>
    <row r="19024" ht="14.25" customHeight="1">
      <c r="A19024" s="740"/>
    </row>
    <row r="19025" ht="14.25" customHeight="1">
      <c r="A19025" s="740"/>
    </row>
    <row r="19026" ht="14.25" customHeight="1">
      <c r="A19026" s="740"/>
    </row>
    <row r="19027" ht="14.25" customHeight="1">
      <c r="A19027" s="740"/>
    </row>
    <row r="19028" ht="14.25" customHeight="1">
      <c r="A19028" s="740"/>
    </row>
    <row r="19029" ht="14.25" customHeight="1">
      <c r="A19029" s="740"/>
    </row>
    <row r="19030" ht="14.25" customHeight="1">
      <c r="A19030" s="740"/>
    </row>
    <row r="19031" ht="14.25" customHeight="1">
      <c r="A19031" s="740"/>
    </row>
    <row r="19032" ht="14.25" customHeight="1">
      <c r="A19032" s="740"/>
    </row>
    <row r="19033" ht="14.25" customHeight="1">
      <c r="A19033" s="740"/>
    </row>
    <row r="19034" ht="14.25" customHeight="1">
      <c r="A19034" s="740"/>
    </row>
    <row r="19035" ht="14.25" customHeight="1">
      <c r="A19035" s="740"/>
    </row>
    <row r="19036" ht="14.25" customHeight="1">
      <c r="A19036" s="740"/>
    </row>
    <row r="19037" ht="14.25" customHeight="1">
      <c r="A19037" s="740"/>
    </row>
    <row r="19038" ht="14.25" customHeight="1">
      <c r="A19038" s="740"/>
    </row>
    <row r="19039" ht="14.25" customHeight="1">
      <c r="A19039" s="740"/>
    </row>
    <row r="19040" ht="14.25" customHeight="1">
      <c r="A19040" s="740"/>
    </row>
    <row r="19041" ht="14.25" customHeight="1">
      <c r="A19041" s="740"/>
    </row>
    <row r="19042" ht="14.25" customHeight="1">
      <c r="A19042" s="740"/>
    </row>
    <row r="19043" ht="14.25" customHeight="1">
      <c r="A19043" s="740"/>
    </row>
    <row r="19044" ht="14.25" customHeight="1">
      <c r="A19044" s="740"/>
    </row>
    <row r="19045" ht="14.25" customHeight="1">
      <c r="A19045" s="740"/>
    </row>
    <row r="19046" ht="14.25" customHeight="1">
      <c r="A19046" s="740"/>
    </row>
    <row r="19047" ht="14.25" customHeight="1">
      <c r="A19047" s="740"/>
    </row>
    <row r="19048" ht="14.25" customHeight="1">
      <c r="A19048" s="740"/>
    </row>
    <row r="19049" ht="14.25" customHeight="1">
      <c r="A19049" s="740"/>
    </row>
    <row r="19050" ht="14.25" customHeight="1">
      <c r="A19050" s="740"/>
    </row>
    <row r="19051" ht="14.25" customHeight="1">
      <c r="A19051" s="740"/>
    </row>
    <row r="19052" ht="14.25" customHeight="1">
      <c r="A19052" s="740"/>
    </row>
    <row r="19053" ht="14.25" customHeight="1">
      <c r="A19053" s="740"/>
    </row>
    <row r="19054" ht="14.25" customHeight="1">
      <c r="A19054" s="740"/>
    </row>
    <row r="19055" ht="14.25" customHeight="1">
      <c r="A19055" s="740"/>
    </row>
    <row r="19056" ht="14.25" customHeight="1">
      <c r="A19056" s="740"/>
    </row>
    <row r="19057" ht="14.25" customHeight="1">
      <c r="A19057" s="740"/>
    </row>
    <row r="19058" ht="14.25" customHeight="1">
      <c r="A19058" s="740"/>
    </row>
    <row r="19059" ht="14.25" customHeight="1">
      <c r="A19059" s="740"/>
    </row>
    <row r="19060" ht="14.25" customHeight="1">
      <c r="A19060" s="740"/>
    </row>
    <row r="19061" ht="14.25" customHeight="1">
      <c r="A19061" s="740"/>
    </row>
    <row r="19062" ht="14.25" customHeight="1">
      <c r="A19062" s="740"/>
    </row>
    <row r="19063" ht="14.25" customHeight="1">
      <c r="A19063" s="740"/>
    </row>
    <row r="19064" ht="14.25" customHeight="1">
      <c r="A19064" s="740"/>
    </row>
    <row r="19065" ht="14.25" customHeight="1">
      <c r="A19065" s="740"/>
    </row>
    <row r="19066" ht="14.25" customHeight="1">
      <c r="A19066" s="740"/>
    </row>
    <row r="19067" ht="14.25" customHeight="1">
      <c r="A19067" s="740"/>
    </row>
    <row r="19068" ht="14.25" customHeight="1">
      <c r="A19068" s="740"/>
    </row>
    <row r="19069" ht="14.25" customHeight="1">
      <c r="A19069" s="740"/>
    </row>
    <row r="19070" ht="14.25" customHeight="1">
      <c r="A19070" s="740"/>
    </row>
    <row r="19071" ht="14.25" customHeight="1">
      <c r="A19071" s="740"/>
    </row>
    <row r="19072" ht="14.25" customHeight="1">
      <c r="A19072" s="740"/>
    </row>
    <row r="19073" ht="14.25" customHeight="1">
      <c r="A19073" s="740"/>
    </row>
    <row r="19074" ht="14.25" customHeight="1">
      <c r="A19074" s="740"/>
    </row>
    <row r="19075" ht="14.25" customHeight="1">
      <c r="A19075" s="740"/>
    </row>
    <row r="19076" ht="14.25" customHeight="1">
      <c r="A19076" s="740"/>
    </row>
    <row r="19077" ht="14.25" customHeight="1">
      <c r="A19077" s="740"/>
    </row>
    <row r="19078" ht="14.25" customHeight="1">
      <c r="A19078" s="740"/>
    </row>
    <row r="19079" ht="14.25" customHeight="1">
      <c r="A19079" s="740"/>
    </row>
    <row r="19080" ht="14.25" customHeight="1">
      <c r="A19080" s="740"/>
    </row>
    <row r="19081" ht="14.25" customHeight="1">
      <c r="A19081" s="740"/>
    </row>
    <row r="19082" ht="14.25" customHeight="1">
      <c r="A19082" s="740"/>
    </row>
    <row r="19083" ht="14.25" customHeight="1">
      <c r="A19083" s="740"/>
    </row>
    <row r="19084" ht="14.25" customHeight="1">
      <c r="A19084" s="740"/>
    </row>
    <row r="19085" ht="14.25" customHeight="1">
      <c r="A19085" s="740"/>
    </row>
    <row r="19086" ht="14.25" customHeight="1">
      <c r="A19086" s="740"/>
    </row>
    <row r="19087" ht="14.25" customHeight="1">
      <c r="A19087" s="740"/>
    </row>
    <row r="19088" ht="14.25" customHeight="1">
      <c r="A19088" s="740"/>
    </row>
    <row r="19089" ht="14.25" customHeight="1">
      <c r="A19089" s="740"/>
    </row>
    <row r="19090" ht="14.25" customHeight="1">
      <c r="A19090" s="740"/>
    </row>
    <row r="19091" ht="14.25" customHeight="1">
      <c r="A19091" s="740"/>
    </row>
    <row r="19092" ht="14.25" customHeight="1">
      <c r="A19092" s="740"/>
    </row>
    <row r="19093" ht="14.25" customHeight="1">
      <c r="A19093" s="740"/>
    </row>
    <row r="19094" ht="14.25" customHeight="1">
      <c r="A19094" s="740"/>
    </row>
    <row r="19095" ht="14.25" customHeight="1">
      <c r="A19095" s="740"/>
    </row>
    <row r="19096" ht="14.25" customHeight="1">
      <c r="A19096" s="740"/>
    </row>
    <row r="19097" ht="14.25" customHeight="1">
      <c r="A19097" s="740"/>
    </row>
    <row r="19098" ht="14.25" customHeight="1">
      <c r="A19098" s="740"/>
    </row>
    <row r="19099" ht="14.25" customHeight="1">
      <c r="A19099" s="740"/>
    </row>
    <row r="19100" ht="14.25" customHeight="1">
      <c r="A19100" s="740"/>
    </row>
    <row r="19101" ht="14.25" customHeight="1">
      <c r="A19101" s="740"/>
    </row>
    <row r="19102" ht="14.25" customHeight="1">
      <c r="A19102" s="740"/>
    </row>
    <row r="19103" ht="14.25" customHeight="1">
      <c r="A19103" s="740"/>
    </row>
    <row r="19104" ht="14.25" customHeight="1">
      <c r="A19104" s="740"/>
    </row>
    <row r="19105" ht="14.25" customHeight="1">
      <c r="A19105" s="740"/>
    </row>
    <row r="19106" ht="14.25" customHeight="1">
      <c r="A19106" s="740"/>
    </row>
    <row r="19107" ht="14.25" customHeight="1">
      <c r="A19107" s="740"/>
    </row>
    <row r="19108" ht="14.25" customHeight="1">
      <c r="A19108" s="740"/>
    </row>
    <row r="19109" ht="14.25" customHeight="1">
      <c r="A19109" s="740"/>
    </row>
    <row r="19110" ht="14.25" customHeight="1">
      <c r="A19110" s="740"/>
    </row>
    <row r="19111" ht="14.25" customHeight="1">
      <c r="A19111" s="740"/>
    </row>
    <row r="19112" ht="14.25" customHeight="1">
      <c r="A19112" s="740"/>
    </row>
    <row r="19113" ht="14.25" customHeight="1">
      <c r="A19113" s="740"/>
    </row>
    <row r="19114" ht="14.25" customHeight="1">
      <c r="A19114" s="740"/>
    </row>
    <row r="19115" ht="14.25" customHeight="1">
      <c r="A19115" s="740"/>
    </row>
    <row r="19116" ht="14.25" customHeight="1">
      <c r="A19116" s="740"/>
    </row>
    <row r="19117" ht="14.25" customHeight="1">
      <c r="A19117" s="740"/>
    </row>
    <row r="19118" ht="14.25" customHeight="1">
      <c r="A19118" s="740"/>
    </row>
    <row r="19119" ht="14.25" customHeight="1">
      <c r="A19119" s="740"/>
    </row>
    <row r="19120" ht="14.25" customHeight="1">
      <c r="A19120" s="740"/>
    </row>
    <row r="19121" ht="14.25" customHeight="1">
      <c r="A19121" s="740"/>
    </row>
    <row r="19122" ht="14.25" customHeight="1">
      <c r="A19122" s="740"/>
    </row>
    <row r="19123" ht="14.25" customHeight="1">
      <c r="A19123" s="740"/>
    </row>
    <row r="19124" ht="14.25" customHeight="1">
      <c r="A19124" s="740"/>
    </row>
    <row r="19125" ht="14.25" customHeight="1">
      <c r="A19125" s="740"/>
    </row>
    <row r="19126" ht="14.25" customHeight="1">
      <c r="A19126" s="740"/>
    </row>
    <row r="19127" ht="14.25" customHeight="1">
      <c r="A19127" s="740"/>
    </row>
    <row r="19128" ht="14.25" customHeight="1">
      <c r="A19128" s="740"/>
    </row>
    <row r="19129" ht="14.25" customHeight="1">
      <c r="A19129" s="740"/>
    </row>
    <row r="19130" ht="14.25" customHeight="1">
      <c r="A19130" s="740"/>
    </row>
    <row r="19131" ht="14.25" customHeight="1">
      <c r="A19131" s="740"/>
    </row>
    <row r="19132" ht="14.25" customHeight="1">
      <c r="A19132" s="740"/>
    </row>
    <row r="19133" ht="14.25" customHeight="1">
      <c r="A19133" s="740"/>
    </row>
    <row r="19134" ht="14.25" customHeight="1">
      <c r="A19134" s="740"/>
    </row>
    <row r="19135" ht="14.25" customHeight="1">
      <c r="A19135" s="740"/>
    </row>
    <row r="19136" ht="14.25" customHeight="1">
      <c r="A19136" s="740"/>
    </row>
    <row r="19137" ht="14.25" customHeight="1">
      <c r="A19137" s="740"/>
    </row>
    <row r="19138" ht="14.25" customHeight="1">
      <c r="A19138" s="740"/>
    </row>
    <row r="19139" ht="14.25" customHeight="1">
      <c r="A19139" s="740"/>
    </row>
    <row r="19140" ht="14.25" customHeight="1">
      <c r="A19140" s="740"/>
    </row>
    <row r="19141" ht="14.25" customHeight="1">
      <c r="A19141" s="740"/>
    </row>
    <row r="19142" ht="14.25" customHeight="1">
      <c r="A19142" s="740"/>
    </row>
    <row r="19143" ht="14.25" customHeight="1">
      <c r="A19143" s="740"/>
    </row>
    <row r="19144" ht="14.25" customHeight="1">
      <c r="A19144" s="740"/>
    </row>
    <row r="19145" ht="14.25" customHeight="1">
      <c r="A19145" s="740"/>
    </row>
    <row r="19146" ht="14.25" customHeight="1">
      <c r="A19146" s="740"/>
    </row>
    <row r="19147" ht="14.25" customHeight="1">
      <c r="A19147" s="740"/>
    </row>
    <row r="19148" ht="14.25" customHeight="1">
      <c r="A19148" s="740"/>
    </row>
    <row r="19149" ht="14.25" customHeight="1">
      <c r="A19149" s="740"/>
    </row>
    <row r="19150" ht="14.25" customHeight="1">
      <c r="A19150" s="740"/>
    </row>
    <row r="19151" ht="14.25" customHeight="1">
      <c r="A19151" s="740"/>
    </row>
    <row r="19152" ht="14.25" customHeight="1">
      <c r="A19152" s="740"/>
    </row>
    <row r="19153" ht="14.25" customHeight="1">
      <c r="A19153" s="740"/>
    </row>
    <row r="19154" ht="14.25" customHeight="1">
      <c r="A19154" s="740"/>
    </row>
    <row r="19155" ht="14.25" customHeight="1">
      <c r="A19155" s="740"/>
    </row>
    <row r="19156" ht="14.25" customHeight="1">
      <c r="A19156" s="740"/>
    </row>
    <row r="19157" ht="14.25" customHeight="1">
      <c r="A19157" s="740"/>
    </row>
    <row r="19158" ht="14.25" customHeight="1">
      <c r="A19158" s="740"/>
    </row>
    <row r="19159" ht="14.25" customHeight="1">
      <c r="A19159" s="740"/>
    </row>
    <row r="19160" ht="14.25" customHeight="1">
      <c r="A19160" s="740"/>
    </row>
    <row r="19161" ht="14.25" customHeight="1">
      <c r="A19161" s="740"/>
    </row>
    <row r="19162" ht="14.25" customHeight="1">
      <c r="A19162" s="740"/>
    </row>
    <row r="19163" ht="14.25" customHeight="1">
      <c r="A19163" s="740"/>
    </row>
    <row r="19164" ht="14.25" customHeight="1">
      <c r="A19164" s="740"/>
    </row>
    <row r="19165" ht="14.25" customHeight="1">
      <c r="A19165" s="740"/>
    </row>
    <row r="19166" ht="14.25" customHeight="1">
      <c r="A19166" s="740"/>
    </row>
    <row r="19167" ht="14.25" customHeight="1">
      <c r="A19167" s="740"/>
    </row>
    <row r="19168" ht="14.25" customHeight="1">
      <c r="A19168" s="740"/>
    </row>
    <row r="19169" ht="14.25" customHeight="1">
      <c r="A19169" s="740"/>
    </row>
    <row r="19170" ht="14.25" customHeight="1">
      <c r="A19170" s="740"/>
    </row>
    <row r="19171" ht="14.25" customHeight="1">
      <c r="A19171" s="740"/>
    </row>
    <row r="19172" ht="14.25" customHeight="1">
      <c r="A19172" s="740"/>
    </row>
    <row r="19173" ht="14.25" customHeight="1">
      <c r="A19173" s="740"/>
    </row>
    <row r="19174" ht="14.25" customHeight="1">
      <c r="A19174" s="740"/>
    </row>
    <row r="19175" ht="14.25" customHeight="1">
      <c r="A19175" s="740"/>
    </row>
    <row r="19176" ht="14.25" customHeight="1">
      <c r="A19176" s="740"/>
    </row>
    <row r="19177" ht="14.25" customHeight="1">
      <c r="A19177" s="740"/>
    </row>
    <row r="19178" ht="14.25" customHeight="1">
      <c r="A19178" s="740"/>
    </row>
    <row r="19179" ht="14.25" customHeight="1">
      <c r="A19179" s="740"/>
    </row>
    <row r="19180" ht="14.25" customHeight="1">
      <c r="A19180" s="740"/>
    </row>
    <row r="19181" ht="14.25" customHeight="1">
      <c r="A19181" s="740"/>
    </row>
    <row r="19182" ht="14.25" customHeight="1">
      <c r="A19182" s="740"/>
    </row>
    <row r="19183" ht="14.25" customHeight="1">
      <c r="A19183" s="740"/>
    </row>
    <row r="19184" ht="14.25" customHeight="1">
      <c r="A19184" s="740"/>
    </row>
    <row r="19185" ht="14.25" customHeight="1">
      <c r="A19185" s="740"/>
    </row>
    <row r="19186" ht="14.25" customHeight="1">
      <c r="A19186" s="740"/>
    </row>
    <row r="19187" ht="14.25" customHeight="1">
      <c r="A19187" s="740"/>
    </row>
    <row r="19188" ht="14.25" customHeight="1">
      <c r="A19188" s="740"/>
    </row>
    <row r="19189" ht="14.25" customHeight="1">
      <c r="A19189" s="740"/>
    </row>
    <row r="19190" ht="14.25" customHeight="1">
      <c r="A19190" s="740"/>
    </row>
    <row r="19191" ht="14.25" customHeight="1">
      <c r="A19191" s="740"/>
    </row>
    <row r="19192" ht="14.25" customHeight="1">
      <c r="A19192" s="740"/>
    </row>
    <row r="19193" ht="14.25" customHeight="1">
      <c r="A19193" s="740"/>
    </row>
    <row r="19194" ht="14.25" customHeight="1">
      <c r="A19194" s="740"/>
    </row>
    <row r="19195" ht="14.25" customHeight="1">
      <c r="A19195" s="740"/>
    </row>
    <row r="19196" ht="14.25" customHeight="1">
      <c r="A19196" s="740"/>
    </row>
    <row r="19197" ht="14.25" customHeight="1">
      <c r="A19197" s="740"/>
    </row>
    <row r="19198" ht="14.25" customHeight="1">
      <c r="A19198" s="740"/>
    </row>
    <row r="19199" ht="14.25" customHeight="1">
      <c r="A19199" s="740"/>
    </row>
    <row r="19200" ht="14.25" customHeight="1">
      <c r="A19200" s="740"/>
    </row>
    <row r="19201" ht="14.25" customHeight="1">
      <c r="A19201" s="740"/>
    </row>
    <row r="19202" ht="14.25" customHeight="1">
      <c r="A19202" s="740"/>
    </row>
    <row r="19203" ht="14.25" customHeight="1">
      <c r="A19203" s="740"/>
    </row>
    <row r="19204" ht="14.25" customHeight="1">
      <c r="A19204" s="740"/>
    </row>
    <row r="19205" ht="14.25" customHeight="1">
      <c r="A19205" s="740"/>
    </row>
    <row r="19206" ht="14.25" customHeight="1">
      <c r="A19206" s="740"/>
    </row>
    <row r="19207" ht="14.25" customHeight="1">
      <c r="A19207" s="740"/>
    </row>
    <row r="19208" ht="14.25" customHeight="1">
      <c r="A19208" s="740"/>
    </row>
    <row r="19209" ht="14.25" customHeight="1">
      <c r="A19209" s="740"/>
    </row>
    <row r="19210" ht="14.25" customHeight="1">
      <c r="A19210" s="740"/>
    </row>
    <row r="19211" ht="14.25" customHeight="1">
      <c r="A19211" s="740"/>
    </row>
    <row r="19212" ht="14.25" customHeight="1">
      <c r="A19212" s="740"/>
    </row>
    <row r="19213" ht="14.25" customHeight="1">
      <c r="A19213" s="740"/>
    </row>
    <row r="19214" ht="14.25" customHeight="1">
      <c r="A19214" s="740"/>
    </row>
    <row r="19215" ht="14.25" customHeight="1">
      <c r="A19215" s="740"/>
    </row>
    <row r="19216" ht="14.25" customHeight="1">
      <c r="A19216" s="740"/>
    </row>
    <row r="19217" ht="14.25" customHeight="1">
      <c r="A19217" s="740"/>
    </row>
    <row r="19218" ht="14.25" customHeight="1">
      <c r="A19218" s="740"/>
    </row>
    <row r="19219" ht="14.25" customHeight="1">
      <c r="A19219" s="740"/>
    </row>
    <row r="19220" ht="14.25" customHeight="1">
      <c r="A19220" s="740"/>
    </row>
    <row r="19221" ht="14.25" customHeight="1">
      <c r="A19221" s="740"/>
    </row>
    <row r="19222" ht="14.25" customHeight="1">
      <c r="A19222" s="740"/>
    </row>
    <row r="19223" ht="14.25" customHeight="1">
      <c r="A19223" s="740"/>
    </row>
    <row r="19224" ht="14.25" customHeight="1">
      <c r="A19224" s="740"/>
    </row>
    <row r="19225" ht="14.25" customHeight="1">
      <c r="A19225" s="740"/>
    </row>
    <row r="19226" ht="14.25" customHeight="1">
      <c r="A19226" s="740"/>
    </row>
    <row r="19227" ht="14.25" customHeight="1">
      <c r="A19227" s="740"/>
    </row>
    <row r="19228" ht="14.25" customHeight="1">
      <c r="A19228" s="740"/>
    </row>
    <row r="19229" ht="14.25" customHeight="1">
      <c r="A19229" s="740"/>
    </row>
    <row r="19230" ht="14.25" customHeight="1">
      <c r="A19230" s="740"/>
    </row>
    <row r="19231" ht="14.25" customHeight="1">
      <c r="A19231" s="740"/>
    </row>
    <row r="19232" ht="14.25" customHeight="1">
      <c r="A19232" s="740"/>
    </row>
    <row r="19233" ht="14.25" customHeight="1">
      <c r="A19233" s="740"/>
    </row>
    <row r="19234" ht="14.25" customHeight="1">
      <c r="A19234" s="740"/>
    </row>
    <row r="19235" ht="14.25" customHeight="1">
      <c r="A19235" s="740"/>
    </row>
    <row r="19236" ht="14.25" customHeight="1">
      <c r="A19236" s="740"/>
    </row>
    <row r="19237" ht="14.25" customHeight="1">
      <c r="A19237" s="740"/>
    </row>
    <row r="19238" ht="14.25" customHeight="1">
      <c r="A19238" s="740"/>
    </row>
    <row r="19239" ht="14.25" customHeight="1">
      <c r="A19239" s="740"/>
    </row>
    <row r="19240" ht="14.25" customHeight="1">
      <c r="A19240" s="740"/>
    </row>
    <row r="19241" ht="14.25" customHeight="1">
      <c r="A19241" s="740"/>
    </row>
    <row r="19242" ht="14.25" customHeight="1">
      <c r="A19242" s="740"/>
    </row>
    <row r="19243" ht="14.25" customHeight="1">
      <c r="A19243" s="740"/>
    </row>
    <row r="19244" ht="14.25" customHeight="1">
      <c r="A19244" s="740"/>
    </row>
    <row r="19245" ht="14.25" customHeight="1">
      <c r="A19245" s="740"/>
    </row>
    <row r="19246" ht="14.25" customHeight="1">
      <c r="A19246" s="740"/>
    </row>
    <row r="19247" ht="14.25" customHeight="1">
      <c r="A19247" s="740"/>
    </row>
    <row r="19248" ht="14.25" customHeight="1">
      <c r="A19248" s="740"/>
    </row>
    <row r="19249" ht="14.25" customHeight="1">
      <c r="A19249" s="740"/>
    </row>
    <row r="19250" ht="14.25" customHeight="1">
      <c r="A19250" s="740"/>
    </row>
    <row r="19251" ht="14.25" customHeight="1">
      <c r="A19251" s="740"/>
    </row>
    <row r="19252" ht="14.25" customHeight="1">
      <c r="A19252" s="740"/>
    </row>
    <row r="19253" ht="14.25" customHeight="1">
      <c r="A19253" s="740"/>
    </row>
    <row r="19254" ht="14.25" customHeight="1">
      <c r="A19254" s="740"/>
    </row>
    <row r="19255" ht="14.25" customHeight="1">
      <c r="A19255" s="740"/>
    </row>
    <row r="19256" ht="14.25" customHeight="1">
      <c r="A19256" s="740"/>
    </row>
    <row r="19257" ht="14.25" customHeight="1">
      <c r="A19257" s="740"/>
    </row>
    <row r="19258" ht="14.25" customHeight="1">
      <c r="A19258" s="740"/>
    </row>
    <row r="19259" ht="14.25" customHeight="1">
      <c r="A19259" s="740"/>
    </row>
    <row r="19260" ht="14.25" customHeight="1">
      <c r="A19260" s="740"/>
    </row>
    <row r="19261" ht="14.25" customHeight="1">
      <c r="A19261" s="740"/>
    </row>
    <row r="19262" ht="14.25" customHeight="1">
      <c r="A19262" s="740"/>
    </row>
    <row r="19263" ht="14.25" customHeight="1">
      <c r="A19263" s="740"/>
    </row>
    <row r="19264" ht="14.25" customHeight="1">
      <c r="A19264" s="740"/>
    </row>
    <row r="19265" ht="14.25" customHeight="1">
      <c r="A19265" s="740"/>
    </row>
    <row r="19266" ht="14.25" customHeight="1">
      <c r="A19266" s="740"/>
    </row>
    <row r="19267" ht="14.25" customHeight="1">
      <c r="A19267" s="740"/>
    </row>
    <row r="19268" ht="14.25" customHeight="1">
      <c r="A19268" s="740"/>
    </row>
    <row r="19269" ht="14.25" customHeight="1">
      <c r="A19269" s="740"/>
    </row>
    <row r="19270" ht="14.25" customHeight="1">
      <c r="A19270" s="740"/>
    </row>
    <row r="19271" ht="14.25" customHeight="1">
      <c r="A19271" s="740"/>
    </row>
    <row r="19272" ht="14.25" customHeight="1">
      <c r="A19272" s="740"/>
    </row>
    <row r="19273" ht="14.25" customHeight="1">
      <c r="A19273" s="740"/>
    </row>
    <row r="19274" ht="14.25" customHeight="1">
      <c r="A19274" s="740"/>
    </row>
    <row r="19275" ht="14.25" customHeight="1">
      <c r="A19275" s="740"/>
    </row>
    <row r="19276" ht="14.25" customHeight="1">
      <c r="A19276" s="740"/>
    </row>
    <row r="19277" ht="14.25" customHeight="1">
      <c r="A19277" s="740"/>
    </row>
    <row r="19278" ht="14.25" customHeight="1">
      <c r="A19278" s="740"/>
    </row>
    <row r="19279" ht="14.25" customHeight="1">
      <c r="A19279" s="740"/>
    </row>
    <row r="19280" ht="14.25" customHeight="1">
      <c r="A19280" s="740"/>
    </row>
    <row r="19281" ht="14.25" customHeight="1">
      <c r="A19281" s="740"/>
    </row>
    <row r="19282" ht="14.25" customHeight="1">
      <c r="A19282" s="740"/>
    </row>
    <row r="19283" ht="14.25" customHeight="1">
      <c r="A19283" s="740"/>
    </row>
    <row r="19284" ht="14.25" customHeight="1">
      <c r="A19284" s="740"/>
    </row>
    <row r="19285" ht="14.25" customHeight="1">
      <c r="A19285" s="740"/>
    </row>
    <row r="19286" ht="14.25" customHeight="1">
      <c r="A19286" s="740"/>
    </row>
    <row r="19287" ht="14.25" customHeight="1">
      <c r="A19287" s="740"/>
    </row>
    <row r="19288" ht="14.25" customHeight="1">
      <c r="A19288" s="740"/>
    </row>
    <row r="19289" ht="14.25" customHeight="1">
      <c r="A19289" s="740"/>
    </row>
    <row r="19290" ht="14.25" customHeight="1">
      <c r="A19290" s="740"/>
    </row>
    <row r="19291" ht="14.25" customHeight="1">
      <c r="A19291" s="740"/>
    </row>
    <row r="19292" ht="14.25" customHeight="1">
      <c r="A19292" s="740"/>
    </row>
    <row r="19293" ht="14.25" customHeight="1">
      <c r="A19293" s="740"/>
    </row>
    <row r="19294" ht="14.25" customHeight="1">
      <c r="A19294" s="740"/>
    </row>
    <row r="19295" ht="14.25" customHeight="1">
      <c r="A19295" s="740"/>
    </row>
    <row r="19296" ht="14.25" customHeight="1">
      <c r="A19296" s="740"/>
    </row>
    <row r="19297" ht="14.25" customHeight="1">
      <c r="A19297" s="740"/>
    </row>
    <row r="19298" ht="14.25" customHeight="1">
      <c r="A19298" s="740"/>
    </row>
    <row r="19299" ht="14.25" customHeight="1">
      <c r="A19299" s="740"/>
    </row>
    <row r="19300" ht="14.25" customHeight="1">
      <c r="A19300" s="740"/>
    </row>
    <row r="19301" ht="14.25" customHeight="1">
      <c r="A19301" s="740"/>
    </row>
    <row r="19302" ht="14.25" customHeight="1">
      <c r="A19302" s="740"/>
    </row>
    <row r="19303" ht="14.25" customHeight="1">
      <c r="A19303" s="740"/>
    </row>
    <row r="19304" ht="14.25" customHeight="1">
      <c r="A19304" s="740"/>
    </row>
    <row r="19305" ht="14.25" customHeight="1">
      <c r="A19305" s="740"/>
    </row>
    <row r="19306" ht="14.25" customHeight="1">
      <c r="A19306" s="740"/>
    </row>
    <row r="19307" ht="14.25" customHeight="1">
      <c r="A19307" s="740"/>
    </row>
    <row r="19308" ht="14.25" customHeight="1">
      <c r="A19308" s="740"/>
    </row>
    <row r="19309" ht="14.25" customHeight="1">
      <c r="A19309" s="740"/>
    </row>
    <row r="19310" ht="14.25" customHeight="1">
      <c r="A19310" s="740"/>
    </row>
    <row r="19311" ht="14.25" customHeight="1">
      <c r="A19311" s="740"/>
    </row>
    <row r="19312" ht="14.25" customHeight="1">
      <c r="A19312" s="740"/>
    </row>
    <row r="19313" ht="14.25" customHeight="1">
      <c r="A19313" s="740"/>
    </row>
    <row r="19314" ht="14.25" customHeight="1">
      <c r="A19314" s="740"/>
    </row>
    <row r="19315" ht="14.25" customHeight="1">
      <c r="A19315" s="740"/>
    </row>
    <row r="19316" ht="14.25" customHeight="1">
      <c r="A19316" s="740"/>
    </row>
    <row r="19317" ht="14.25" customHeight="1">
      <c r="A19317" s="740"/>
    </row>
    <row r="19318" ht="14.25" customHeight="1">
      <c r="A19318" s="740"/>
    </row>
    <row r="19319" ht="14.25" customHeight="1">
      <c r="A19319" s="740"/>
    </row>
    <row r="19320" ht="14.25" customHeight="1">
      <c r="A19320" s="740"/>
    </row>
    <row r="19321" ht="14.25" customHeight="1">
      <c r="A19321" s="740"/>
    </row>
    <row r="19322" ht="14.25" customHeight="1">
      <c r="A19322" s="740"/>
    </row>
    <row r="19323" ht="14.25" customHeight="1">
      <c r="A19323" s="740"/>
    </row>
    <row r="19324" ht="14.25" customHeight="1">
      <c r="A19324" s="740"/>
    </row>
    <row r="19325" ht="14.25" customHeight="1">
      <c r="A19325" s="740"/>
    </row>
    <row r="19326" ht="14.25" customHeight="1">
      <c r="A19326" s="740"/>
    </row>
    <row r="19327" ht="14.25" customHeight="1">
      <c r="A19327" s="740"/>
    </row>
    <row r="19328" ht="14.25" customHeight="1">
      <c r="A19328" s="740"/>
    </row>
    <row r="19329" ht="14.25" customHeight="1">
      <c r="A19329" s="740"/>
    </row>
    <row r="19330" ht="14.25" customHeight="1">
      <c r="A19330" s="740"/>
    </row>
    <row r="19331" ht="14.25" customHeight="1">
      <c r="A19331" s="740"/>
    </row>
    <row r="19332" ht="14.25" customHeight="1">
      <c r="A19332" s="740"/>
    </row>
    <row r="19333" ht="14.25" customHeight="1">
      <c r="A19333" s="740"/>
    </row>
    <row r="19334" ht="14.25" customHeight="1">
      <c r="A19334" s="740"/>
    </row>
    <row r="19335" ht="14.25" customHeight="1">
      <c r="A19335" s="740"/>
    </row>
    <row r="19336" ht="14.25" customHeight="1">
      <c r="A19336" s="740"/>
    </row>
    <row r="19337" ht="14.25" customHeight="1">
      <c r="A19337" s="740"/>
    </row>
    <row r="19338" ht="14.25" customHeight="1">
      <c r="A19338" s="740"/>
    </row>
    <row r="19339" ht="14.25" customHeight="1">
      <c r="A19339" s="740"/>
    </row>
    <row r="19340" ht="14.25" customHeight="1">
      <c r="A19340" s="740"/>
    </row>
    <row r="19341" ht="14.25" customHeight="1">
      <c r="A19341" s="740"/>
    </row>
    <row r="19342" ht="14.25" customHeight="1">
      <c r="A19342" s="740"/>
    </row>
    <row r="19343" ht="14.25" customHeight="1">
      <c r="A19343" s="740"/>
    </row>
    <row r="19344" ht="14.25" customHeight="1">
      <c r="A19344" s="740"/>
    </row>
    <row r="19345" ht="14.25" customHeight="1">
      <c r="A19345" s="740"/>
    </row>
    <row r="19346" ht="14.25" customHeight="1">
      <c r="A19346" s="740"/>
    </row>
    <row r="19347" ht="14.25" customHeight="1">
      <c r="A19347" s="740"/>
    </row>
    <row r="19348" ht="14.25" customHeight="1">
      <c r="A19348" s="740"/>
    </row>
    <row r="19349" ht="14.25" customHeight="1">
      <c r="A19349" s="740"/>
    </row>
    <row r="19350" ht="14.25" customHeight="1">
      <c r="A19350" s="740"/>
    </row>
    <row r="19351" ht="14.25" customHeight="1">
      <c r="A19351" s="740"/>
    </row>
    <row r="19352" ht="14.25" customHeight="1">
      <c r="A19352" s="740"/>
    </row>
    <row r="19353" ht="14.25" customHeight="1">
      <c r="A19353" s="740"/>
    </row>
    <row r="19354" ht="14.25" customHeight="1">
      <c r="A19354" s="740"/>
    </row>
    <row r="19355" ht="14.25" customHeight="1">
      <c r="A19355" s="740"/>
    </row>
    <row r="19356" ht="14.25" customHeight="1">
      <c r="A19356" s="740"/>
    </row>
    <row r="19357" ht="14.25" customHeight="1">
      <c r="A19357" s="740"/>
    </row>
    <row r="19358" ht="14.25" customHeight="1">
      <c r="A19358" s="740"/>
    </row>
    <row r="19359" ht="14.25" customHeight="1">
      <c r="A19359" s="740"/>
    </row>
    <row r="19360" ht="14.25" customHeight="1">
      <c r="A19360" s="740"/>
    </row>
    <row r="19361" ht="14.25" customHeight="1">
      <c r="A19361" s="740"/>
    </row>
    <row r="19362" ht="14.25" customHeight="1">
      <c r="A19362" s="740"/>
    </row>
    <row r="19363" ht="14.25" customHeight="1">
      <c r="A19363" s="740"/>
    </row>
    <row r="19364" ht="14.25" customHeight="1">
      <c r="A19364" s="740"/>
    </row>
    <row r="19365" ht="14.25" customHeight="1">
      <c r="A19365" s="740"/>
    </row>
    <row r="19366" ht="14.25" customHeight="1">
      <c r="A19366" s="740"/>
    </row>
    <row r="19367" ht="14.25" customHeight="1">
      <c r="A19367" s="740"/>
    </row>
    <row r="19368" ht="14.25" customHeight="1">
      <c r="A19368" s="740"/>
    </row>
    <row r="19369" ht="14.25" customHeight="1">
      <c r="A19369" s="740"/>
    </row>
    <row r="19370" ht="14.25" customHeight="1">
      <c r="A19370" s="740"/>
    </row>
    <row r="19371" ht="14.25" customHeight="1">
      <c r="A19371" s="740"/>
    </row>
    <row r="19372" ht="14.25" customHeight="1">
      <c r="A19372" s="740"/>
    </row>
    <row r="19373" ht="14.25" customHeight="1">
      <c r="A19373" s="740"/>
    </row>
    <row r="19374" ht="14.25" customHeight="1">
      <c r="A19374" s="740"/>
    </row>
    <row r="19375" ht="14.25" customHeight="1">
      <c r="A19375" s="740"/>
    </row>
    <row r="19376" ht="14.25" customHeight="1">
      <c r="A19376" s="740"/>
    </row>
    <row r="19377" ht="14.25" customHeight="1">
      <c r="A19377" s="740"/>
    </row>
    <row r="19378" ht="14.25" customHeight="1">
      <c r="A19378" s="740"/>
    </row>
    <row r="19379" ht="14.25" customHeight="1">
      <c r="A19379" s="740"/>
    </row>
    <row r="19380" ht="14.25" customHeight="1">
      <c r="A19380" s="740"/>
    </row>
    <row r="19381" ht="14.25" customHeight="1">
      <c r="A19381" s="740"/>
    </row>
    <row r="19382" ht="14.25" customHeight="1">
      <c r="A19382" s="740"/>
    </row>
    <row r="19383" ht="14.25" customHeight="1">
      <c r="A19383" s="740"/>
    </row>
    <row r="19384" ht="14.25" customHeight="1">
      <c r="A19384" s="740"/>
    </row>
    <row r="19385" ht="14.25" customHeight="1">
      <c r="A19385" s="740"/>
    </row>
    <row r="19386" ht="14.25" customHeight="1">
      <c r="A19386" s="740"/>
    </row>
    <row r="19387" ht="14.25" customHeight="1">
      <c r="A19387" s="740"/>
    </row>
    <row r="19388" ht="14.25" customHeight="1">
      <c r="A19388" s="740"/>
    </row>
    <row r="19389" ht="14.25" customHeight="1">
      <c r="A19389" s="740"/>
    </row>
    <row r="19390" ht="14.25" customHeight="1">
      <c r="A19390" s="740"/>
    </row>
    <row r="19391" ht="14.25" customHeight="1">
      <c r="A19391" s="740"/>
    </row>
    <row r="19392" ht="14.25" customHeight="1">
      <c r="A19392" s="740"/>
    </row>
    <row r="19393" ht="14.25" customHeight="1">
      <c r="A19393" s="740"/>
    </row>
    <row r="19394" ht="14.25" customHeight="1">
      <c r="A19394" s="740"/>
    </row>
    <row r="19395" ht="14.25" customHeight="1">
      <c r="A19395" s="740"/>
    </row>
    <row r="19396" ht="14.25" customHeight="1">
      <c r="A19396" s="740"/>
    </row>
    <row r="19397" ht="14.25" customHeight="1">
      <c r="A19397" s="740"/>
    </row>
    <row r="19398" ht="14.25" customHeight="1">
      <c r="A19398" s="740"/>
    </row>
    <row r="19399" ht="14.25" customHeight="1">
      <c r="A19399" s="740"/>
    </row>
    <row r="19400" ht="14.25" customHeight="1">
      <c r="A19400" s="740"/>
    </row>
    <row r="19401" ht="14.25" customHeight="1">
      <c r="A19401" s="740"/>
    </row>
    <row r="19402" ht="14.25" customHeight="1">
      <c r="A19402" s="740"/>
    </row>
    <row r="19403" ht="14.25" customHeight="1">
      <c r="A19403" s="740"/>
    </row>
    <row r="19404" ht="14.25" customHeight="1">
      <c r="A19404" s="740"/>
    </row>
    <row r="19405" ht="14.25" customHeight="1">
      <c r="A19405" s="740"/>
    </row>
    <row r="19406" ht="14.25" customHeight="1">
      <c r="A19406" s="740"/>
    </row>
    <row r="19407" ht="14.25" customHeight="1">
      <c r="A19407" s="740"/>
    </row>
    <row r="19408" ht="14.25" customHeight="1">
      <c r="A19408" s="740"/>
    </row>
    <row r="19409" ht="14.25" customHeight="1">
      <c r="A19409" s="740"/>
    </row>
    <row r="19410" ht="14.25" customHeight="1">
      <c r="A19410" s="740"/>
    </row>
    <row r="19411" ht="14.25" customHeight="1">
      <c r="A19411" s="740"/>
    </row>
    <row r="19412" ht="14.25" customHeight="1">
      <c r="A19412" s="740"/>
    </row>
    <row r="19413" ht="14.25" customHeight="1">
      <c r="A19413" s="740"/>
    </row>
    <row r="19414" ht="14.25" customHeight="1">
      <c r="A19414" s="740"/>
    </row>
    <row r="19415" ht="14.25" customHeight="1">
      <c r="A19415" s="740"/>
    </row>
    <row r="19416" ht="14.25" customHeight="1">
      <c r="A19416" s="740"/>
    </row>
    <row r="19417" ht="14.25" customHeight="1">
      <c r="A19417" s="740"/>
    </row>
    <row r="19418" ht="14.25" customHeight="1">
      <c r="A19418" s="740"/>
    </row>
    <row r="19419" ht="14.25" customHeight="1">
      <c r="A19419" s="740"/>
    </row>
    <row r="19420" ht="14.25" customHeight="1">
      <c r="A19420" s="740"/>
    </row>
    <row r="19421" ht="14.25" customHeight="1">
      <c r="A19421" s="740"/>
    </row>
    <row r="19422" ht="14.25" customHeight="1">
      <c r="A19422" s="740"/>
    </row>
    <row r="19423" ht="14.25" customHeight="1">
      <c r="A19423" s="740"/>
    </row>
    <row r="19424" ht="14.25" customHeight="1">
      <c r="A19424" s="740"/>
    </row>
    <row r="19425" ht="14.25" customHeight="1">
      <c r="A19425" s="740"/>
    </row>
    <row r="19426" ht="14.25" customHeight="1">
      <c r="A19426" s="740"/>
    </row>
    <row r="19427" ht="14.25" customHeight="1">
      <c r="A19427" s="740"/>
    </row>
    <row r="19428" ht="14.25" customHeight="1">
      <c r="A19428" s="740"/>
    </row>
    <row r="19429" ht="14.25" customHeight="1">
      <c r="A19429" s="740"/>
    </row>
    <row r="19430" ht="14.25" customHeight="1">
      <c r="A19430" s="740"/>
    </row>
    <row r="19431" ht="14.25" customHeight="1">
      <c r="A19431" s="740"/>
    </row>
    <row r="19432" ht="14.25" customHeight="1">
      <c r="A19432" s="740"/>
    </row>
    <row r="19433" ht="14.25" customHeight="1">
      <c r="A19433" s="740"/>
    </row>
    <row r="19434" ht="14.25" customHeight="1">
      <c r="A19434" s="740"/>
    </row>
    <row r="19435" ht="14.25" customHeight="1">
      <c r="A19435" s="740"/>
    </row>
    <row r="19436" ht="14.25" customHeight="1">
      <c r="A19436" s="740"/>
    </row>
    <row r="19437" ht="14.25" customHeight="1">
      <c r="A19437" s="740"/>
    </row>
    <row r="19438" ht="14.25" customHeight="1">
      <c r="A19438" s="740"/>
    </row>
    <row r="19439" ht="14.25" customHeight="1">
      <c r="A19439" s="740"/>
    </row>
    <row r="19440" ht="14.25" customHeight="1">
      <c r="A19440" s="740"/>
    </row>
    <row r="19441" ht="14.25" customHeight="1">
      <c r="A19441" s="740"/>
    </row>
    <row r="19442" ht="14.25" customHeight="1">
      <c r="A19442" s="740"/>
    </row>
    <row r="19443" ht="14.25" customHeight="1">
      <c r="A19443" s="740"/>
    </row>
    <row r="19444" ht="14.25" customHeight="1">
      <c r="A19444" s="740"/>
    </row>
    <row r="19445" ht="14.25" customHeight="1">
      <c r="A19445" s="740"/>
    </row>
    <row r="19446" ht="14.25" customHeight="1">
      <c r="A19446" s="740"/>
    </row>
    <row r="19447" ht="14.25" customHeight="1">
      <c r="A19447" s="740"/>
    </row>
    <row r="19448" ht="14.25" customHeight="1">
      <c r="A19448" s="740"/>
    </row>
    <row r="19449" ht="14.25" customHeight="1">
      <c r="A19449" s="740"/>
    </row>
    <row r="19450" ht="14.25" customHeight="1">
      <c r="A19450" s="740"/>
    </row>
    <row r="19451" ht="14.25" customHeight="1">
      <c r="A19451" s="740"/>
    </row>
    <row r="19452" ht="14.25" customHeight="1">
      <c r="A19452" s="740"/>
    </row>
    <row r="19453" ht="14.25" customHeight="1">
      <c r="A19453" s="740"/>
    </row>
    <row r="19454" ht="14.25" customHeight="1">
      <c r="A19454" s="740"/>
    </row>
    <row r="19455" ht="14.25" customHeight="1">
      <c r="A19455" s="740"/>
    </row>
    <row r="19456" ht="14.25" customHeight="1">
      <c r="A19456" s="740"/>
    </row>
    <row r="19457" ht="14.25" customHeight="1">
      <c r="A19457" s="740"/>
    </row>
    <row r="19458" ht="14.25" customHeight="1">
      <c r="A19458" s="740"/>
    </row>
    <row r="19459" ht="14.25" customHeight="1">
      <c r="A19459" s="740"/>
    </row>
    <row r="19460" ht="14.25" customHeight="1">
      <c r="A19460" s="740"/>
    </row>
    <row r="19461" ht="14.25" customHeight="1">
      <c r="A19461" s="740"/>
    </row>
    <row r="19462" ht="14.25" customHeight="1">
      <c r="A19462" s="740"/>
    </row>
    <row r="19463" ht="14.25" customHeight="1">
      <c r="A19463" s="740"/>
    </row>
    <row r="19464" ht="14.25" customHeight="1">
      <c r="A19464" s="740"/>
    </row>
    <row r="19465" ht="14.25" customHeight="1">
      <c r="A19465" s="740"/>
    </row>
    <row r="19466" ht="14.25" customHeight="1">
      <c r="A19466" s="740"/>
    </row>
    <row r="19467" ht="14.25" customHeight="1">
      <c r="A19467" s="740"/>
    </row>
    <row r="19468" ht="14.25" customHeight="1">
      <c r="A19468" s="740"/>
    </row>
    <row r="19469" ht="14.25" customHeight="1">
      <c r="A19469" s="740"/>
    </row>
    <row r="19470" ht="14.25" customHeight="1">
      <c r="A19470" s="740"/>
    </row>
    <row r="19471" ht="14.25" customHeight="1">
      <c r="A19471" s="740"/>
    </row>
    <row r="19472" ht="14.25" customHeight="1">
      <c r="A19472" s="740"/>
    </row>
    <row r="19473" ht="14.25" customHeight="1">
      <c r="A19473" s="740"/>
    </row>
    <row r="19474" ht="14.25" customHeight="1">
      <c r="A19474" s="740"/>
    </row>
    <row r="19475" ht="14.25" customHeight="1">
      <c r="A19475" s="740"/>
    </row>
    <row r="19476" ht="14.25" customHeight="1">
      <c r="A19476" s="740"/>
    </row>
    <row r="19477" ht="14.25" customHeight="1">
      <c r="A19477" s="740"/>
    </row>
    <row r="19478" ht="14.25" customHeight="1">
      <c r="A19478" s="740"/>
    </row>
    <row r="19479" ht="14.25" customHeight="1">
      <c r="A19479" s="740"/>
    </row>
    <row r="19480" ht="14.25" customHeight="1">
      <c r="A19480" s="740"/>
    </row>
    <row r="19481" ht="14.25" customHeight="1">
      <c r="A19481" s="740"/>
    </row>
    <row r="19482" ht="14.25" customHeight="1">
      <c r="A19482" s="740"/>
    </row>
    <row r="19483" ht="14.25" customHeight="1">
      <c r="A19483" s="740"/>
    </row>
    <row r="19484" ht="14.25" customHeight="1">
      <c r="A19484" s="740"/>
    </row>
    <row r="19485" ht="14.25" customHeight="1">
      <c r="A19485" s="740"/>
    </row>
    <row r="19486" ht="14.25" customHeight="1">
      <c r="A19486" s="740"/>
    </row>
    <row r="19487" ht="14.25" customHeight="1">
      <c r="A19487" s="740"/>
    </row>
    <row r="19488" ht="14.25" customHeight="1">
      <c r="A19488" s="740"/>
    </row>
    <row r="19489" ht="14.25" customHeight="1">
      <c r="A19489" s="740"/>
    </row>
    <row r="19490" ht="14.25" customHeight="1">
      <c r="A19490" s="740"/>
    </row>
    <row r="19491" ht="14.25" customHeight="1">
      <c r="A19491" s="740"/>
    </row>
    <row r="19492" ht="14.25" customHeight="1">
      <c r="A19492" s="740"/>
    </row>
    <row r="19493" ht="14.25" customHeight="1">
      <c r="A19493" s="740"/>
    </row>
    <row r="19494" ht="14.25" customHeight="1">
      <c r="A19494" s="740"/>
    </row>
    <row r="19495" ht="14.25" customHeight="1">
      <c r="A19495" s="740"/>
    </row>
    <row r="19496" ht="14.25" customHeight="1">
      <c r="A19496" s="740"/>
    </row>
    <row r="19497" ht="14.25" customHeight="1">
      <c r="A19497" s="740"/>
    </row>
    <row r="19498" ht="14.25" customHeight="1">
      <c r="A19498" s="740"/>
    </row>
    <row r="19499" ht="14.25" customHeight="1">
      <c r="A19499" s="740"/>
    </row>
    <row r="19500" ht="14.25" customHeight="1">
      <c r="A19500" s="740"/>
    </row>
    <row r="19501" ht="14.25" customHeight="1">
      <c r="A19501" s="740"/>
    </row>
    <row r="19502" ht="14.25" customHeight="1">
      <c r="A19502" s="740"/>
    </row>
    <row r="19503" ht="14.25" customHeight="1">
      <c r="A19503" s="740"/>
    </row>
    <row r="19504" ht="14.25" customHeight="1">
      <c r="A19504" s="740"/>
    </row>
    <row r="19505" ht="14.25" customHeight="1">
      <c r="A19505" s="740"/>
    </row>
    <row r="19506" ht="14.25" customHeight="1">
      <c r="A19506" s="740"/>
    </row>
    <row r="19507" ht="14.25" customHeight="1">
      <c r="A19507" s="740"/>
    </row>
    <row r="19508" ht="14.25" customHeight="1">
      <c r="A19508" s="740"/>
    </row>
    <row r="19509" ht="14.25" customHeight="1">
      <c r="A19509" s="740"/>
    </row>
    <row r="19510" ht="14.25" customHeight="1">
      <c r="A19510" s="740"/>
    </row>
    <row r="19511" ht="14.25" customHeight="1">
      <c r="A19511" s="740"/>
    </row>
    <row r="19512" ht="14.25" customHeight="1">
      <c r="A19512" s="740"/>
    </row>
    <row r="19513" ht="14.25" customHeight="1">
      <c r="A19513" s="740"/>
    </row>
    <row r="19514" ht="14.25" customHeight="1">
      <c r="A19514" s="740"/>
    </row>
    <row r="19515" ht="14.25" customHeight="1">
      <c r="A19515" s="740"/>
    </row>
    <row r="19516" ht="14.25" customHeight="1">
      <c r="A19516" s="740"/>
    </row>
    <row r="19517" ht="14.25" customHeight="1">
      <c r="A19517" s="740"/>
    </row>
    <row r="19518" ht="14.25" customHeight="1">
      <c r="A19518" s="740"/>
    </row>
    <row r="19519" ht="14.25" customHeight="1">
      <c r="A19519" s="740"/>
    </row>
    <row r="19520" ht="14.25" customHeight="1">
      <c r="A19520" s="740"/>
    </row>
    <row r="19521" ht="14.25" customHeight="1">
      <c r="A19521" s="740"/>
    </row>
    <row r="19522" ht="14.25" customHeight="1">
      <c r="A19522" s="740"/>
    </row>
    <row r="19523" ht="14.25" customHeight="1">
      <c r="A19523" s="740"/>
    </row>
    <row r="19524" ht="14.25" customHeight="1">
      <c r="A19524" s="740"/>
    </row>
    <row r="19525" ht="14.25" customHeight="1">
      <c r="A19525" s="740"/>
    </row>
    <row r="19526" ht="14.25" customHeight="1">
      <c r="A19526" s="740"/>
    </row>
    <row r="19527" ht="14.25" customHeight="1">
      <c r="A19527" s="740"/>
    </row>
    <row r="19528" ht="14.25" customHeight="1">
      <c r="A19528" s="740"/>
    </row>
    <row r="19529" ht="14.25" customHeight="1">
      <c r="A19529" s="740"/>
    </row>
    <row r="19530" ht="14.25" customHeight="1">
      <c r="A19530" s="740"/>
    </row>
    <row r="19531" ht="14.25" customHeight="1">
      <c r="A19531" s="740"/>
    </row>
    <row r="19532" ht="14.25" customHeight="1">
      <c r="A19532" s="740"/>
    </row>
    <row r="19533" ht="14.25" customHeight="1">
      <c r="A19533" s="740"/>
    </row>
    <row r="19534" ht="14.25" customHeight="1">
      <c r="A19534" s="740"/>
    </row>
    <row r="19535" ht="14.25" customHeight="1">
      <c r="A19535" s="740"/>
    </row>
    <row r="19536" ht="14.25" customHeight="1">
      <c r="A19536" s="740"/>
    </row>
    <row r="19537" ht="14.25" customHeight="1">
      <c r="A19537" s="740"/>
    </row>
    <row r="19538" ht="14.25" customHeight="1">
      <c r="A19538" s="740"/>
    </row>
    <row r="19539" ht="14.25" customHeight="1">
      <c r="A19539" s="740"/>
    </row>
    <row r="19540" ht="14.25" customHeight="1">
      <c r="A19540" s="740"/>
    </row>
    <row r="19541" ht="14.25" customHeight="1">
      <c r="A19541" s="740"/>
    </row>
    <row r="19542" ht="14.25" customHeight="1">
      <c r="A19542" s="740"/>
    </row>
    <row r="19543" ht="14.25" customHeight="1">
      <c r="A19543" s="740"/>
    </row>
    <row r="19544" ht="14.25" customHeight="1">
      <c r="A19544" s="740"/>
    </row>
    <row r="19545" ht="14.25" customHeight="1">
      <c r="A19545" s="740"/>
    </row>
    <row r="19546" ht="14.25" customHeight="1">
      <c r="A19546" s="740"/>
    </row>
    <row r="19547" ht="14.25" customHeight="1">
      <c r="A19547" s="740"/>
    </row>
    <row r="19548" ht="14.25" customHeight="1">
      <c r="A19548" s="740"/>
    </row>
    <row r="19549" ht="14.25" customHeight="1">
      <c r="A19549" s="740"/>
    </row>
    <row r="19550" ht="14.25" customHeight="1">
      <c r="A19550" s="740"/>
    </row>
    <row r="19551" ht="14.25" customHeight="1">
      <c r="A19551" s="740"/>
    </row>
    <row r="19552" ht="14.25" customHeight="1">
      <c r="A19552" s="740"/>
    </row>
    <row r="19553" ht="14.25" customHeight="1">
      <c r="A19553" s="740"/>
    </row>
    <row r="19554" ht="14.25" customHeight="1">
      <c r="A19554" s="740"/>
    </row>
    <row r="19555" ht="14.25" customHeight="1">
      <c r="A19555" s="740"/>
    </row>
    <row r="19556" ht="14.25" customHeight="1">
      <c r="A19556" s="740"/>
    </row>
    <row r="19557" ht="14.25" customHeight="1">
      <c r="A19557" s="740"/>
    </row>
    <row r="19558" ht="14.25" customHeight="1">
      <c r="A19558" s="740"/>
    </row>
    <row r="19559" ht="14.25" customHeight="1">
      <c r="A19559" s="740"/>
    </row>
    <row r="19560" ht="14.25" customHeight="1">
      <c r="A19560" s="740"/>
    </row>
    <row r="19561" ht="14.25" customHeight="1">
      <c r="A19561" s="740"/>
    </row>
    <row r="19562" ht="14.25" customHeight="1">
      <c r="A19562" s="740"/>
    </row>
    <row r="19563" ht="14.25" customHeight="1">
      <c r="A19563" s="740"/>
    </row>
    <row r="19564" ht="14.25" customHeight="1">
      <c r="A19564" s="740"/>
    </row>
    <row r="19565" ht="14.25" customHeight="1">
      <c r="A19565" s="740"/>
    </row>
    <row r="19566" ht="14.25" customHeight="1">
      <c r="A19566" s="740"/>
    </row>
    <row r="19567" ht="14.25" customHeight="1">
      <c r="A19567" s="740"/>
    </row>
    <row r="19568" ht="14.25" customHeight="1">
      <c r="A19568" s="740"/>
    </row>
    <row r="19569" ht="14.25" customHeight="1">
      <c r="A19569" s="740"/>
    </row>
    <row r="19570" ht="14.25" customHeight="1">
      <c r="A19570" s="740"/>
    </row>
    <row r="19571" ht="14.25" customHeight="1">
      <c r="A19571" s="740"/>
    </row>
    <row r="19572" ht="14.25" customHeight="1">
      <c r="A19572" s="740"/>
    </row>
    <row r="19573" ht="14.25" customHeight="1">
      <c r="A19573" s="740"/>
    </row>
    <row r="19574" ht="14.25" customHeight="1">
      <c r="A19574" s="740"/>
    </row>
    <row r="19575" ht="14.25" customHeight="1">
      <c r="A19575" s="740"/>
    </row>
    <row r="19576" ht="14.25" customHeight="1">
      <c r="A19576" s="740"/>
    </row>
    <row r="19577" ht="14.25" customHeight="1">
      <c r="A19577" s="740"/>
    </row>
    <row r="19578" ht="14.25" customHeight="1">
      <c r="A19578" s="740"/>
    </row>
    <row r="19579" ht="14.25" customHeight="1">
      <c r="A19579" s="740"/>
    </row>
    <row r="19580" ht="14.25" customHeight="1">
      <c r="A19580" s="740"/>
    </row>
    <row r="19581" ht="14.25" customHeight="1">
      <c r="A19581" s="740"/>
    </row>
    <row r="19582" ht="14.25" customHeight="1">
      <c r="A19582" s="740"/>
    </row>
    <row r="19583" ht="14.25" customHeight="1">
      <c r="A19583" s="740"/>
    </row>
    <row r="19584" ht="14.25" customHeight="1">
      <c r="A19584" s="740"/>
    </row>
    <row r="19585" ht="14.25" customHeight="1">
      <c r="A19585" s="740"/>
    </row>
    <row r="19586" ht="14.25" customHeight="1">
      <c r="A19586" s="740"/>
    </row>
    <row r="19587" ht="14.25" customHeight="1">
      <c r="A19587" s="740"/>
    </row>
    <row r="19588" ht="14.25" customHeight="1">
      <c r="A19588" s="740"/>
    </row>
    <row r="19589" ht="14.25" customHeight="1">
      <c r="A19589" s="740"/>
    </row>
    <row r="19590" ht="14.25" customHeight="1">
      <c r="A19590" s="740"/>
    </row>
    <row r="19591" ht="14.25" customHeight="1">
      <c r="A19591" s="740"/>
    </row>
    <row r="19592" ht="14.25" customHeight="1">
      <c r="A19592" s="740"/>
    </row>
    <row r="19593" ht="14.25" customHeight="1">
      <c r="A19593" s="740"/>
    </row>
    <row r="19594" ht="14.25" customHeight="1">
      <c r="A19594" s="740"/>
    </row>
    <row r="19595" ht="14.25" customHeight="1">
      <c r="A19595" s="740"/>
    </row>
    <row r="19596" ht="14.25" customHeight="1">
      <c r="A19596" s="740"/>
    </row>
    <row r="19597" ht="14.25" customHeight="1">
      <c r="A19597" s="740"/>
    </row>
    <row r="19598" ht="14.25" customHeight="1">
      <c r="A19598" s="740"/>
    </row>
    <row r="19599" ht="14.25" customHeight="1">
      <c r="A19599" s="740"/>
    </row>
    <row r="19600" ht="14.25" customHeight="1">
      <c r="A19600" s="740"/>
    </row>
    <row r="19601" ht="14.25" customHeight="1">
      <c r="A19601" s="740"/>
    </row>
    <row r="19602" ht="14.25" customHeight="1">
      <c r="A19602" s="740"/>
    </row>
    <row r="19603" ht="14.25" customHeight="1">
      <c r="A19603" s="740"/>
    </row>
    <row r="19604" ht="14.25" customHeight="1">
      <c r="A19604" s="740"/>
    </row>
    <row r="19605" ht="14.25" customHeight="1">
      <c r="A19605" s="740"/>
    </row>
    <row r="19606" ht="14.25" customHeight="1">
      <c r="A19606" s="740"/>
    </row>
    <row r="19607" ht="14.25" customHeight="1">
      <c r="A19607" s="740"/>
    </row>
    <row r="19608" ht="14.25" customHeight="1">
      <c r="A19608" s="740"/>
    </row>
    <row r="19609" ht="14.25" customHeight="1">
      <c r="A19609" s="740"/>
    </row>
    <row r="19610" ht="14.25" customHeight="1">
      <c r="A19610" s="740"/>
    </row>
    <row r="19611" ht="14.25" customHeight="1">
      <c r="A19611" s="740"/>
    </row>
    <row r="19612" ht="14.25" customHeight="1">
      <c r="A19612" s="740"/>
    </row>
    <row r="19613" ht="14.25" customHeight="1">
      <c r="A19613" s="740"/>
    </row>
    <row r="19614" ht="14.25" customHeight="1">
      <c r="A19614" s="740"/>
    </row>
    <row r="19615" ht="14.25" customHeight="1">
      <c r="A19615" s="740"/>
    </row>
    <row r="19616" ht="14.25" customHeight="1">
      <c r="A19616" s="740"/>
    </row>
    <row r="19617" ht="14.25" customHeight="1">
      <c r="A19617" s="740"/>
    </row>
    <row r="19618" ht="14.25" customHeight="1">
      <c r="A19618" s="740"/>
    </row>
    <row r="19619" ht="14.25" customHeight="1">
      <c r="A19619" s="740"/>
    </row>
    <row r="19620" ht="14.25" customHeight="1">
      <c r="A19620" s="740"/>
    </row>
    <row r="19621" ht="14.25" customHeight="1">
      <c r="A19621" s="740"/>
    </row>
    <row r="19622" ht="14.25" customHeight="1">
      <c r="A19622" s="740"/>
    </row>
    <row r="19623" ht="14.25" customHeight="1">
      <c r="A19623" s="740"/>
    </row>
    <row r="19624" ht="14.25" customHeight="1">
      <c r="A19624" s="740"/>
    </row>
    <row r="19625" ht="14.25" customHeight="1">
      <c r="A19625" s="740"/>
    </row>
    <row r="19626" ht="14.25" customHeight="1">
      <c r="A19626" s="740"/>
    </row>
    <row r="19627" ht="14.25" customHeight="1">
      <c r="A19627" s="740"/>
    </row>
    <row r="19628" ht="14.25" customHeight="1">
      <c r="A19628" s="740"/>
    </row>
    <row r="19629" ht="14.25" customHeight="1">
      <c r="A19629" s="740"/>
    </row>
    <row r="19630" ht="14.25" customHeight="1">
      <c r="A19630" s="740"/>
    </row>
    <row r="19631" ht="14.25" customHeight="1">
      <c r="A19631" s="740"/>
    </row>
    <row r="19632" ht="14.25" customHeight="1">
      <c r="A19632" s="740"/>
    </row>
    <row r="19633" ht="14.25" customHeight="1">
      <c r="A19633" s="740"/>
    </row>
    <row r="19634" ht="14.25" customHeight="1">
      <c r="A19634" s="740"/>
    </row>
    <row r="19635" ht="14.25" customHeight="1">
      <c r="A19635" s="740"/>
    </row>
    <row r="19636" ht="14.25" customHeight="1">
      <c r="A19636" s="740"/>
    </row>
    <row r="19637" ht="14.25" customHeight="1">
      <c r="A19637" s="740"/>
    </row>
    <row r="19638" ht="14.25" customHeight="1">
      <c r="A19638" s="740"/>
    </row>
    <row r="19639" ht="14.25" customHeight="1">
      <c r="A19639" s="740"/>
    </row>
    <row r="19640" ht="14.25" customHeight="1">
      <c r="A19640" s="740"/>
    </row>
    <row r="19641" ht="14.25" customHeight="1">
      <c r="A19641" s="740"/>
    </row>
    <row r="19642" ht="14.25" customHeight="1">
      <c r="A19642" s="740"/>
    </row>
    <row r="19643" ht="14.25" customHeight="1">
      <c r="A19643" s="740"/>
    </row>
    <row r="19644" ht="14.25" customHeight="1">
      <c r="A19644" s="740"/>
    </row>
    <row r="19645" ht="14.25" customHeight="1">
      <c r="A19645" s="740"/>
    </row>
    <row r="19646" ht="14.25" customHeight="1">
      <c r="A19646" s="740"/>
    </row>
    <row r="19647" ht="14.25" customHeight="1">
      <c r="A19647" s="740"/>
    </row>
    <row r="19648" ht="14.25" customHeight="1">
      <c r="A19648" s="740"/>
    </row>
    <row r="19649" ht="14.25" customHeight="1">
      <c r="A19649" s="740"/>
    </row>
    <row r="19650" ht="14.25" customHeight="1">
      <c r="A19650" s="740"/>
    </row>
    <row r="19651" ht="14.25" customHeight="1">
      <c r="A19651" s="740"/>
    </row>
    <row r="19652" ht="14.25" customHeight="1">
      <c r="A19652" s="740"/>
    </row>
    <row r="19653" ht="14.25" customHeight="1">
      <c r="A19653" s="740"/>
    </row>
    <row r="19654" ht="14.25" customHeight="1">
      <c r="A19654" s="740"/>
    </row>
    <row r="19655" ht="14.25" customHeight="1">
      <c r="A19655" s="740"/>
    </row>
    <row r="19656" ht="14.25" customHeight="1">
      <c r="A19656" s="740"/>
    </row>
    <row r="19657" ht="14.25" customHeight="1">
      <c r="A19657" s="740"/>
    </row>
    <row r="19658" ht="14.25" customHeight="1">
      <c r="A19658" s="740"/>
    </row>
    <row r="19659" ht="14.25" customHeight="1">
      <c r="A19659" s="740"/>
    </row>
    <row r="19660" ht="14.25" customHeight="1">
      <c r="A19660" s="740"/>
    </row>
    <row r="19661" ht="14.25" customHeight="1">
      <c r="A19661" s="740"/>
    </row>
    <row r="19662" ht="14.25" customHeight="1">
      <c r="A19662" s="740"/>
    </row>
    <row r="19663" ht="14.25" customHeight="1">
      <c r="A19663" s="740"/>
    </row>
    <row r="19664" ht="14.25" customHeight="1">
      <c r="A19664" s="740"/>
    </row>
    <row r="19665" ht="14.25" customHeight="1">
      <c r="A19665" s="740"/>
    </row>
    <row r="19666" ht="14.25" customHeight="1">
      <c r="A19666" s="740"/>
    </row>
    <row r="19667" ht="14.25" customHeight="1">
      <c r="A19667" s="740"/>
    </row>
    <row r="19668" ht="14.25" customHeight="1">
      <c r="A19668" s="740"/>
    </row>
    <row r="19669" ht="14.25" customHeight="1">
      <c r="A19669" s="740"/>
    </row>
    <row r="19670" ht="14.25" customHeight="1">
      <c r="A19670" s="740"/>
    </row>
    <row r="19671" ht="14.25" customHeight="1">
      <c r="A19671" s="740"/>
    </row>
    <row r="19672" ht="14.25" customHeight="1">
      <c r="A19672" s="740"/>
    </row>
    <row r="19673" ht="14.25" customHeight="1">
      <c r="A19673" s="740"/>
    </row>
    <row r="19674" ht="14.25" customHeight="1">
      <c r="A19674" s="740"/>
    </row>
    <row r="19675" ht="14.25" customHeight="1">
      <c r="A19675" s="740"/>
    </row>
    <row r="19676" ht="14.25" customHeight="1">
      <c r="A19676" s="740"/>
    </row>
    <row r="19677" ht="14.25" customHeight="1">
      <c r="A19677" s="740"/>
    </row>
    <row r="19678" ht="14.25" customHeight="1">
      <c r="A19678" s="740"/>
    </row>
    <row r="19679" ht="14.25" customHeight="1">
      <c r="A19679" s="740"/>
    </row>
    <row r="19680" ht="14.25" customHeight="1">
      <c r="A19680" s="740"/>
    </row>
    <row r="19681" ht="14.25" customHeight="1">
      <c r="A19681" s="740"/>
    </row>
    <row r="19682" ht="14.25" customHeight="1">
      <c r="A19682" s="740"/>
    </row>
    <row r="19683" ht="14.25" customHeight="1">
      <c r="A19683" s="740"/>
    </row>
    <row r="19684" ht="14.25" customHeight="1">
      <c r="A19684" s="740"/>
    </row>
    <row r="19685" ht="14.25" customHeight="1">
      <c r="A19685" s="740"/>
    </row>
    <row r="19686" ht="14.25" customHeight="1">
      <c r="A19686" s="740"/>
    </row>
    <row r="19687" ht="14.25" customHeight="1">
      <c r="A19687" s="740"/>
    </row>
    <row r="19688" ht="14.25" customHeight="1">
      <c r="A19688" s="740"/>
    </row>
    <row r="19689" ht="14.25" customHeight="1">
      <c r="A19689" s="740"/>
    </row>
    <row r="19690" ht="14.25" customHeight="1">
      <c r="A19690" s="740"/>
    </row>
    <row r="19691" ht="14.25" customHeight="1">
      <c r="A19691" s="740"/>
    </row>
    <row r="19692" ht="14.25" customHeight="1">
      <c r="A19692" s="740"/>
    </row>
    <row r="19693" ht="14.25" customHeight="1">
      <c r="A19693" s="740"/>
    </row>
    <row r="19694" ht="14.25" customHeight="1">
      <c r="A19694" s="740"/>
    </row>
    <row r="19695" ht="14.25" customHeight="1">
      <c r="A19695" s="740"/>
    </row>
    <row r="19696" ht="14.25" customHeight="1">
      <c r="A19696" s="740"/>
    </row>
    <row r="19697" ht="14.25" customHeight="1">
      <c r="A19697" s="740"/>
    </row>
    <row r="19698" ht="14.25" customHeight="1">
      <c r="A19698" s="740"/>
    </row>
    <row r="19699" ht="14.25" customHeight="1">
      <c r="A19699" s="740"/>
    </row>
    <row r="19700" ht="14.25" customHeight="1">
      <c r="A19700" s="740"/>
    </row>
    <row r="19701" ht="14.25" customHeight="1">
      <c r="A19701" s="740"/>
    </row>
    <row r="19702" ht="14.25" customHeight="1">
      <c r="A19702" s="740"/>
    </row>
    <row r="19703" ht="14.25" customHeight="1">
      <c r="A19703" s="740"/>
    </row>
    <row r="19704" ht="14.25" customHeight="1">
      <c r="A19704" s="740"/>
    </row>
    <row r="19705" ht="14.25" customHeight="1">
      <c r="A19705" s="740"/>
    </row>
    <row r="19706" ht="14.25" customHeight="1">
      <c r="A19706" s="740"/>
    </row>
    <row r="19707" ht="14.25" customHeight="1">
      <c r="A19707" s="740"/>
    </row>
    <row r="19708" ht="14.25" customHeight="1">
      <c r="A19708" s="740"/>
    </row>
    <row r="19709" ht="14.25" customHeight="1">
      <c r="A19709" s="740"/>
    </row>
    <row r="19710" ht="14.25" customHeight="1">
      <c r="A19710" s="740"/>
    </row>
    <row r="19711" ht="14.25" customHeight="1">
      <c r="A19711" s="740"/>
    </row>
    <row r="19712" ht="14.25" customHeight="1">
      <c r="A19712" s="740"/>
    </row>
    <row r="19713" ht="14.25" customHeight="1">
      <c r="A19713" s="740"/>
    </row>
    <row r="19714" ht="14.25" customHeight="1">
      <c r="A19714" s="740"/>
    </row>
    <row r="19715" ht="14.25" customHeight="1">
      <c r="A19715" s="740"/>
    </row>
    <row r="19716" ht="14.25" customHeight="1">
      <c r="A19716" s="740"/>
    </row>
    <row r="19717" ht="14.25" customHeight="1">
      <c r="A19717" s="740"/>
    </row>
    <row r="19718" ht="14.25" customHeight="1">
      <c r="A19718" s="740"/>
    </row>
    <row r="19719" ht="14.25" customHeight="1">
      <c r="A19719" s="740"/>
    </row>
    <row r="19720" ht="14.25" customHeight="1">
      <c r="A19720" s="740"/>
    </row>
    <row r="19721" ht="14.25" customHeight="1">
      <c r="A19721" s="740"/>
    </row>
    <row r="19722" ht="14.25" customHeight="1">
      <c r="A19722" s="740"/>
    </row>
    <row r="19723" ht="14.25" customHeight="1">
      <c r="A19723" s="740"/>
    </row>
    <row r="19724" ht="14.25" customHeight="1">
      <c r="A19724" s="740"/>
    </row>
    <row r="19725" ht="14.25" customHeight="1">
      <c r="A19725" s="740"/>
    </row>
    <row r="19726" ht="14.25" customHeight="1">
      <c r="A19726" s="740"/>
    </row>
    <row r="19727" ht="14.25" customHeight="1">
      <c r="A19727" s="740"/>
    </row>
    <row r="19728" ht="14.25" customHeight="1">
      <c r="A19728" s="740"/>
    </row>
    <row r="19729" ht="14.25" customHeight="1">
      <c r="A19729" s="740"/>
    </row>
    <row r="19730" ht="14.25" customHeight="1">
      <c r="A19730" s="740"/>
    </row>
    <row r="19731" ht="14.25" customHeight="1">
      <c r="A19731" s="740"/>
    </row>
    <row r="19732" ht="14.25" customHeight="1">
      <c r="A19732" s="740"/>
    </row>
    <row r="19733" ht="14.25" customHeight="1">
      <c r="A19733" s="740"/>
    </row>
    <row r="19734" ht="14.25" customHeight="1">
      <c r="A19734" s="740"/>
    </row>
    <row r="19735" ht="14.25" customHeight="1">
      <c r="A19735" s="740"/>
    </row>
    <row r="19736" ht="14.25" customHeight="1">
      <c r="A19736" s="740"/>
    </row>
    <row r="19737" ht="14.25" customHeight="1">
      <c r="A19737" s="740"/>
    </row>
    <row r="19738" ht="14.25" customHeight="1">
      <c r="A19738" s="740"/>
    </row>
    <row r="19739" ht="14.25" customHeight="1">
      <c r="A19739" s="740"/>
    </row>
    <row r="19740" ht="14.25" customHeight="1">
      <c r="A19740" s="740"/>
    </row>
    <row r="19741" ht="14.25" customHeight="1">
      <c r="A19741" s="740"/>
    </row>
    <row r="19742" ht="14.25" customHeight="1">
      <c r="A19742" s="740"/>
    </row>
    <row r="19743" ht="14.25" customHeight="1">
      <c r="A19743" s="740"/>
    </row>
    <row r="19744" ht="14.25" customHeight="1">
      <c r="A19744" s="740"/>
    </row>
    <row r="19745" ht="14.25" customHeight="1">
      <c r="A19745" s="740"/>
    </row>
    <row r="19746" ht="14.25" customHeight="1">
      <c r="A19746" s="740"/>
    </row>
    <row r="19747" ht="14.25" customHeight="1">
      <c r="A19747" s="740"/>
    </row>
    <row r="19748" ht="14.25" customHeight="1">
      <c r="A19748" s="740"/>
    </row>
    <row r="19749" ht="14.25" customHeight="1">
      <c r="A19749" s="740"/>
    </row>
    <row r="19750" ht="14.25" customHeight="1">
      <c r="A19750" s="740"/>
    </row>
    <row r="19751" ht="14.25" customHeight="1">
      <c r="A19751" s="740"/>
    </row>
    <row r="19752" ht="14.25" customHeight="1">
      <c r="A19752" s="740"/>
    </row>
    <row r="19753" ht="14.25" customHeight="1">
      <c r="A19753" s="740"/>
    </row>
    <row r="19754" ht="14.25" customHeight="1">
      <c r="A19754" s="740"/>
    </row>
    <row r="19755" ht="14.25" customHeight="1">
      <c r="A19755" s="740"/>
    </row>
    <row r="19756" ht="14.25" customHeight="1">
      <c r="A19756" s="740"/>
    </row>
    <row r="19757" ht="14.25" customHeight="1">
      <c r="A19757" s="740"/>
    </row>
    <row r="19758" ht="14.25" customHeight="1">
      <c r="A19758" s="740"/>
    </row>
    <row r="19759" ht="14.25" customHeight="1">
      <c r="A19759" s="740"/>
    </row>
    <row r="19760" ht="14.25" customHeight="1">
      <c r="A19760" s="740"/>
    </row>
    <row r="19761" ht="14.25" customHeight="1">
      <c r="A19761" s="740"/>
    </row>
    <row r="19762" ht="14.25" customHeight="1">
      <c r="A19762" s="740"/>
    </row>
    <row r="19763" ht="14.25" customHeight="1">
      <c r="A19763" s="740"/>
    </row>
    <row r="19764" ht="14.25" customHeight="1">
      <c r="A19764" s="740"/>
    </row>
    <row r="19765" ht="14.25" customHeight="1">
      <c r="A19765" s="740"/>
    </row>
    <row r="19766" ht="14.25" customHeight="1">
      <c r="A19766" s="740"/>
    </row>
    <row r="19767" ht="14.25" customHeight="1">
      <c r="A19767" s="740"/>
    </row>
    <row r="19768" ht="14.25" customHeight="1">
      <c r="A19768" s="740"/>
    </row>
    <row r="19769" ht="14.25" customHeight="1">
      <c r="A19769" s="740"/>
    </row>
    <row r="19770" ht="14.25" customHeight="1">
      <c r="A19770" s="740"/>
    </row>
    <row r="19771" ht="14.25" customHeight="1">
      <c r="A19771" s="740"/>
    </row>
    <row r="19772" ht="14.25" customHeight="1">
      <c r="A19772" s="740"/>
    </row>
    <row r="19773" ht="14.25" customHeight="1">
      <c r="A19773" s="740"/>
    </row>
    <row r="19774" ht="14.25" customHeight="1">
      <c r="A19774" s="740"/>
    </row>
    <row r="19775" ht="14.25" customHeight="1">
      <c r="A19775" s="740"/>
    </row>
    <row r="19776" ht="14.25" customHeight="1">
      <c r="A19776" s="740"/>
    </row>
    <row r="19777" ht="14.25" customHeight="1">
      <c r="A19777" s="740"/>
    </row>
    <row r="19778" ht="14.25" customHeight="1">
      <c r="A19778" s="740"/>
    </row>
    <row r="19779" ht="14.25" customHeight="1">
      <c r="A19779" s="740"/>
    </row>
    <row r="19780" ht="14.25" customHeight="1">
      <c r="A19780" s="740"/>
    </row>
    <row r="19781" ht="14.25" customHeight="1">
      <c r="A19781" s="740"/>
    </row>
    <row r="19782" ht="14.25" customHeight="1">
      <c r="A19782" s="740"/>
    </row>
    <row r="19783" ht="14.25" customHeight="1">
      <c r="A19783" s="740"/>
    </row>
    <row r="19784" ht="14.25" customHeight="1">
      <c r="A19784" s="740"/>
    </row>
    <row r="19785" ht="14.25" customHeight="1">
      <c r="A19785" s="740"/>
    </row>
    <row r="19786" ht="14.25" customHeight="1">
      <c r="A19786" s="740"/>
    </row>
    <row r="19787" ht="14.25" customHeight="1">
      <c r="A19787" s="740"/>
    </row>
    <row r="19788" ht="14.25" customHeight="1">
      <c r="A19788" s="740"/>
    </row>
    <row r="19789" ht="14.25" customHeight="1">
      <c r="A19789" s="740"/>
    </row>
    <row r="19790" ht="14.25" customHeight="1">
      <c r="A19790" s="740"/>
    </row>
    <row r="19791" ht="14.25" customHeight="1">
      <c r="A19791" s="740"/>
    </row>
    <row r="19792" ht="14.25" customHeight="1">
      <c r="A19792" s="740"/>
    </row>
    <row r="19793" ht="14.25" customHeight="1">
      <c r="A19793" s="740"/>
    </row>
    <row r="19794" ht="14.25" customHeight="1">
      <c r="A19794" s="740"/>
    </row>
    <row r="19795" ht="14.25" customHeight="1">
      <c r="A19795" s="740"/>
    </row>
    <row r="19796" ht="14.25" customHeight="1">
      <c r="A19796" s="740"/>
    </row>
    <row r="19797" ht="14.25" customHeight="1">
      <c r="A19797" s="740"/>
    </row>
    <row r="19798" ht="14.25" customHeight="1">
      <c r="A19798" s="740"/>
    </row>
    <row r="19799" ht="14.25" customHeight="1">
      <c r="A19799" s="740"/>
    </row>
    <row r="19800" ht="14.25" customHeight="1">
      <c r="A19800" s="740"/>
    </row>
    <row r="19801" ht="14.25" customHeight="1">
      <c r="A19801" s="740"/>
    </row>
    <row r="19802" ht="14.25" customHeight="1">
      <c r="A19802" s="740"/>
    </row>
    <row r="19803" ht="14.25" customHeight="1">
      <c r="A19803" s="740"/>
    </row>
    <row r="19804" ht="14.25" customHeight="1">
      <c r="A19804" s="740"/>
    </row>
    <row r="19805" ht="14.25" customHeight="1">
      <c r="A19805" s="740"/>
    </row>
    <row r="19806" ht="14.25" customHeight="1">
      <c r="A19806" s="740"/>
    </row>
    <row r="19807" ht="14.25" customHeight="1">
      <c r="A19807" s="740"/>
    </row>
    <row r="19808" ht="14.25" customHeight="1">
      <c r="A19808" s="740"/>
    </row>
    <row r="19809" ht="14.25" customHeight="1">
      <c r="A19809" s="740"/>
    </row>
    <row r="19810" ht="14.25" customHeight="1">
      <c r="A19810" s="740"/>
    </row>
    <row r="19811" ht="14.25" customHeight="1">
      <c r="A19811" s="740"/>
    </row>
    <row r="19812" ht="14.25" customHeight="1">
      <c r="A19812" s="740"/>
    </row>
    <row r="19813" ht="14.25" customHeight="1">
      <c r="A19813" s="740"/>
    </row>
    <row r="19814" ht="14.25" customHeight="1">
      <c r="A19814" s="740"/>
    </row>
    <row r="19815" ht="14.25" customHeight="1">
      <c r="A19815" s="740"/>
    </row>
    <row r="19816" ht="14.25" customHeight="1">
      <c r="A19816" s="740"/>
    </row>
    <row r="19817" ht="14.25" customHeight="1">
      <c r="A19817" s="740"/>
    </row>
    <row r="19818" ht="14.25" customHeight="1">
      <c r="A19818" s="740"/>
    </row>
    <row r="19819" ht="14.25" customHeight="1">
      <c r="A19819" s="740"/>
    </row>
    <row r="19820" ht="14.25" customHeight="1">
      <c r="A19820" s="740"/>
    </row>
    <row r="19821" ht="14.25" customHeight="1">
      <c r="A19821" s="740"/>
    </row>
    <row r="19822" ht="14.25" customHeight="1">
      <c r="A19822" s="740"/>
    </row>
    <row r="19823" ht="14.25" customHeight="1">
      <c r="A19823" s="740"/>
    </row>
    <row r="19824" ht="14.25" customHeight="1">
      <c r="A19824" s="740"/>
    </row>
    <row r="19825" ht="14.25" customHeight="1">
      <c r="A19825" s="740"/>
    </row>
    <row r="19826" ht="14.25" customHeight="1">
      <c r="A19826" s="740"/>
    </row>
    <row r="19827" ht="14.25" customHeight="1">
      <c r="A19827" s="740"/>
    </row>
    <row r="19828" ht="14.25" customHeight="1">
      <c r="A19828" s="740"/>
    </row>
    <row r="19829" ht="14.25" customHeight="1">
      <c r="A19829" s="740"/>
    </row>
    <row r="19830" ht="14.25" customHeight="1">
      <c r="A19830" s="740"/>
    </row>
    <row r="19831" ht="14.25" customHeight="1">
      <c r="A19831" s="740"/>
    </row>
    <row r="19832" ht="14.25" customHeight="1">
      <c r="A19832" s="740"/>
    </row>
    <row r="19833" ht="14.25" customHeight="1">
      <c r="A19833" s="740"/>
    </row>
    <row r="19834" ht="14.25" customHeight="1">
      <c r="A19834" s="740"/>
    </row>
    <row r="19835" ht="14.25" customHeight="1">
      <c r="A19835" s="740"/>
    </row>
    <row r="19836" ht="14.25" customHeight="1">
      <c r="A19836" s="740"/>
    </row>
    <row r="19837" ht="14.25" customHeight="1">
      <c r="A19837" s="740"/>
    </row>
    <row r="19838" ht="14.25" customHeight="1">
      <c r="A19838" s="740"/>
    </row>
    <row r="19839" ht="14.25" customHeight="1">
      <c r="A19839" s="740"/>
    </row>
    <row r="19840" ht="14.25" customHeight="1">
      <c r="A19840" s="740"/>
    </row>
    <row r="19841" ht="14.25" customHeight="1">
      <c r="A19841" s="740"/>
    </row>
    <row r="19842" ht="14.25" customHeight="1">
      <c r="A19842" s="740"/>
    </row>
    <row r="19843" ht="14.25" customHeight="1">
      <c r="A19843" s="740"/>
    </row>
    <row r="19844" ht="14.25" customHeight="1">
      <c r="A19844" s="740"/>
    </row>
    <row r="19845" ht="14.25" customHeight="1">
      <c r="A19845" s="740"/>
    </row>
    <row r="19846" ht="14.25" customHeight="1">
      <c r="A19846" s="740"/>
    </row>
    <row r="19847" ht="14.25" customHeight="1">
      <c r="A19847" s="740"/>
    </row>
    <row r="19848" ht="14.25" customHeight="1">
      <c r="A19848" s="740"/>
    </row>
    <row r="19849" ht="14.25" customHeight="1">
      <c r="A19849" s="740"/>
    </row>
    <row r="19850" ht="14.25" customHeight="1">
      <c r="A19850" s="740"/>
    </row>
    <row r="19851" ht="14.25" customHeight="1">
      <c r="A19851" s="740"/>
    </row>
    <row r="19852" ht="14.25" customHeight="1">
      <c r="A19852" s="740"/>
    </row>
    <row r="19853" ht="14.25" customHeight="1">
      <c r="A19853" s="740"/>
    </row>
    <row r="19854" ht="14.25" customHeight="1">
      <c r="A19854" s="740"/>
    </row>
    <row r="19855" ht="14.25" customHeight="1">
      <c r="A19855" s="740"/>
    </row>
    <row r="19856" ht="14.25" customHeight="1">
      <c r="A19856" s="740"/>
    </row>
    <row r="19857" ht="14.25" customHeight="1">
      <c r="A19857" s="740"/>
    </row>
    <row r="19858" ht="14.25" customHeight="1">
      <c r="A19858" s="740"/>
    </row>
    <row r="19859" ht="14.25" customHeight="1">
      <c r="A19859" s="740"/>
    </row>
    <row r="19860" ht="14.25" customHeight="1">
      <c r="A19860" s="740"/>
    </row>
    <row r="19861" ht="14.25" customHeight="1">
      <c r="A19861" s="740"/>
    </row>
    <row r="19862" ht="14.25" customHeight="1">
      <c r="A19862" s="740"/>
    </row>
    <row r="19863" ht="14.25" customHeight="1">
      <c r="A19863" s="740"/>
    </row>
    <row r="19864" ht="14.25" customHeight="1">
      <c r="A19864" s="740"/>
    </row>
    <row r="19865" ht="14.25" customHeight="1">
      <c r="A19865" s="740"/>
    </row>
    <row r="19866" ht="14.25" customHeight="1">
      <c r="A19866" s="740"/>
    </row>
    <row r="19867" ht="14.25" customHeight="1">
      <c r="A19867" s="740"/>
    </row>
    <row r="19868" ht="14.25" customHeight="1">
      <c r="A19868" s="740"/>
    </row>
    <row r="19869" ht="14.25" customHeight="1">
      <c r="A19869" s="740"/>
    </row>
    <row r="19870" ht="14.25" customHeight="1">
      <c r="A19870" s="740"/>
    </row>
    <row r="19871" ht="14.25" customHeight="1">
      <c r="A19871" s="740"/>
    </row>
    <row r="19872" ht="14.25" customHeight="1">
      <c r="A19872" s="740"/>
    </row>
    <row r="19873" ht="14.25" customHeight="1">
      <c r="A19873" s="740"/>
    </row>
    <row r="19874" ht="14.25" customHeight="1">
      <c r="A19874" s="740"/>
    </row>
    <row r="19875" ht="14.25" customHeight="1">
      <c r="A19875" s="740"/>
    </row>
    <row r="19876" ht="14.25" customHeight="1">
      <c r="A19876" s="740"/>
    </row>
    <row r="19877" ht="14.25" customHeight="1">
      <c r="A19877" s="740"/>
    </row>
    <row r="19878" ht="14.25" customHeight="1">
      <c r="A19878" s="740"/>
    </row>
    <row r="19879" ht="14.25" customHeight="1">
      <c r="A19879" s="740"/>
    </row>
    <row r="19880" ht="14.25" customHeight="1">
      <c r="A19880" s="740"/>
    </row>
    <row r="19881" ht="14.25" customHeight="1">
      <c r="A19881" s="740"/>
    </row>
    <row r="19882" ht="14.25" customHeight="1">
      <c r="A19882" s="740"/>
    </row>
    <row r="19883" ht="14.25" customHeight="1">
      <c r="A19883" s="740"/>
    </row>
    <row r="19884" ht="14.25" customHeight="1">
      <c r="A19884" s="740"/>
    </row>
    <row r="19885" ht="14.25" customHeight="1">
      <c r="A19885" s="740"/>
    </row>
    <row r="19886" ht="14.25" customHeight="1">
      <c r="A19886" s="740"/>
    </row>
    <row r="19887" ht="14.25" customHeight="1">
      <c r="A19887" s="740"/>
    </row>
    <row r="19888" ht="14.25" customHeight="1">
      <c r="A19888" s="740"/>
    </row>
    <row r="19889" ht="14.25" customHeight="1">
      <c r="A19889" s="740"/>
    </row>
    <row r="19890" ht="14.25" customHeight="1">
      <c r="A19890" s="740"/>
    </row>
    <row r="19891" ht="14.25" customHeight="1">
      <c r="A19891" s="740"/>
    </row>
    <row r="19892" ht="14.25" customHeight="1">
      <c r="A19892" s="740"/>
    </row>
    <row r="19893" ht="14.25" customHeight="1">
      <c r="A19893" s="740"/>
    </row>
    <row r="19894" ht="14.25" customHeight="1">
      <c r="A19894" s="740"/>
    </row>
    <row r="19895" ht="14.25" customHeight="1">
      <c r="A19895" s="740"/>
    </row>
    <row r="19896" ht="14.25" customHeight="1">
      <c r="A19896" s="740"/>
    </row>
    <row r="19897" ht="14.25" customHeight="1">
      <c r="A19897" s="740"/>
    </row>
    <row r="19898" ht="14.25" customHeight="1">
      <c r="A19898" s="740"/>
    </row>
    <row r="19899" ht="14.25" customHeight="1">
      <c r="A19899" s="740"/>
    </row>
    <row r="19900" ht="14.25" customHeight="1">
      <c r="A19900" s="740"/>
    </row>
    <row r="19901" ht="14.25" customHeight="1">
      <c r="A19901" s="740"/>
    </row>
    <row r="19902" ht="14.25" customHeight="1">
      <c r="A19902" s="740"/>
    </row>
    <row r="19903" ht="14.25" customHeight="1">
      <c r="A19903" s="740"/>
    </row>
    <row r="19904" ht="14.25" customHeight="1">
      <c r="A19904" s="740"/>
    </row>
    <row r="19905" ht="14.25" customHeight="1">
      <c r="A19905" s="740"/>
    </row>
    <row r="19906" ht="14.25" customHeight="1">
      <c r="A19906" s="740"/>
    </row>
    <row r="19907" ht="14.25" customHeight="1">
      <c r="A19907" s="740"/>
    </row>
    <row r="19908" ht="14.25" customHeight="1">
      <c r="A19908" s="740"/>
    </row>
    <row r="19909" ht="14.25" customHeight="1">
      <c r="A19909" s="740"/>
    </row>
    <row r="19910" ht="14.25" customHeight="1">
      <c r="A19910" s="740"/>
    </row>
    <row r="19911" ht="14.25" customHeight="1">
      <c r="A19911" s="740"/>
    </row>
    <row r="19912" ht="14.25" customHeight="1">
      <c r="A19912" s="740"/>
    </row>
    <row r="19913" ht="14.25" customHeight="1">
      <c r="A19913" s="740"/>
    </row>
    <row r="19914" ht="14.25" customHeight="1">
      <c r="A19914" s="740"/>
    </row>
    <row r="19915" ht="14.25" customHeight="1">
      <c r="A19915" s="740"/>
    </row>
    <row r="19916" ht="14.25" customHeight="1">
      <c r="A19916" s="740"/>
    </row>
    <row r="19917" ht="14.25" customHeight="1">
      <c r="A19917" s="740"/>
    </row>
    <row r="19918" ht="14.25" customHeight="1">
      <c r="A19918" s="740"/>
    </row>
    <row r="19919" ht="14.25" customHeight="1">
      <c r="A19919" s="740"/>
    </row>
    <row r="19920" ht="14.25" customHeight="1">
      <c r="A19920" s="740"/>
    </row>
    <row r="19921" ht="14.25" customHeight="1">
      <c r="A19921" s="740"/>
    </row>
    <row r="19922" ht="14.25" customHeight="1">
      <c r="A19922" s="740"/>
    </row>
    <row r="19923" ht="14.25" customHeight="1">
      <c r="A19923" s="740"/>
    </row>
    <row r="19924" ht="14.25" customHeight="1">
      <c r="A19924" s="740"/>
    </row>
    <row r="19925" ht="14.25" customHeight="1">
      <c r="A19925" s="740"/>
    </row>
    <row r="19926" ht="14.25" customHeight="1">
      <c r="A19926" s="740"/>
    </row>
    <row r="19927" ht="14.25" customHeight="1">
      <c r="A19927" s="740"/>
    </row>
    <row r="19928" ht="14.25" customHeight="1">
      <c r="A19928" s="740"/>
    </row>
    <row r="19929" ht="14.25" customHeight="1">
      <c r="A19929" s="740"/>
    </row>
    <row r="19930" ht="14.25" customHeight="1">
      <c r="A19930" s="740"/>
    </row>
    <row r="19931" ht="14.25" customHeight="1">
      <c r="A19931" s="740"/>
    </row>
    <row r="19932" ht="14.25" customHeight="1">
      <c r="A19932" s="740"/>
    </row>
    <row r="19933" ht="14.25" customHeight="1">
      <c r="A19933" s="740"/>
    </row>
    <row r="19934" ht="14.25" customHeight="1">
      <c r="A19934" s="740"/>
    </row>
    <row r="19935" ht="14.25" customHeight="1">
      <c r="A19935" s="740"/>
    </row>
    <row r="19936" ht="14.25" customHeight="1">
      <c r="A19936" s="740"/>
    </row>
    <row r="19937" ht="14.25" customHeight="1">
      <c r="A19937" s="740"/>
    </row>
    <row r="19938" ht="14.25" customHeight="1">
      <c r="A19938" s="740"/>
    </row>
    <row r="19939" ht="14.25" customHeight="1">
      <c r="A19939" s="740"/>
    </row>
    <row r="19940" ht="14.25" customHeight="1">
      <c r="A19940" s="740"/>
    </row>
    <row r="19941" ht="14.25" customHeight="1">
      <c r="A19941" s="740"/>
    </row>
    <row r="19942" ht="14.25" customHeight="1">
      <c r="A19942" s="740"/>
    </row>
    <row r="19943" ht="14.25" customHeight="1">
      <c r="A19943" s="740"/>
    </row>
    <row r="19944" ht="14.25" customHeight="1">
      <c r="A19944" s="740"/>
    </row>
    <row r="19945" ht="14.25" customHeight="1">
      <c r="A19945" s="740"/>
    </row>
    <row r="19946" ht="14.25" customHeight="1">
      <c r="A19946" s="740"/>
    </row>
    <row r="19947" ht="14.25" customHeight="1">
      <c r="A19947" s="740"/>
    </row>
    <row r="19948" ht="14.25" customHeight="1">
      <c r="A19948" s="740"/>
    </row>
    <row r="19949" ht="14.25" customHeight="1">
      <c r="A19949" s="740"/>
    </row>
    <row r="19950" ht="14.25" customHeight="1">
      <c r="A19950" s="740"/>
    </row>
    <row r="19951" ht="14.25" customHeight="1">
      <c r="A19951" s="740"/>
    </row>
    <row r="19952" ht="14.25" customHeight="1">
      <c r="A19952" s="740"/>
    </row>
    <row r="19953" ht="14.25" customHeight="1">
      <c r="A19953" s="740"/>
    </row>
    <row r="19954" ht="14.25" customHeight="1">
      <c r="A19954" s="740"/>
    </row>
    <row r="19955" ht="14.25" customHeight="1">
      <c r="A19955" s="740"/>
    </row>
    <row r="19956" ht="14.25" customHeight="1">
      <c r="A19956" s="740"/>
    </row>
    <row r="19957" ht="14.25" customHeight="1">
      <c r="A19957" s="740"/>
    </row>
    <row r="19958" ht="14.25" customHeight="1">
      <c r="A19958" s="740"/>
    </row>
    <row r="19959" ht="14.25" customHeight="1">
      <c r="A19959" s="740"/>
    </row>
    <row r="19960" ht="14.25" customHeight="1">
      <c r="A19960" s="740"/>
    </row>
    <row r="19961" ht="14.25" customHeight="1">
      <c r="A19961" s="740"/>
    </row>
    <row r="19962" ht="14.25" customHeight="1">
      <c r="A19962" s="740"/>
    </row>
    <row r="19963" ht="14.25" customHeight="1">
      <c r="A19963" s="740"/>
    </row>
    <row r="19964" ht="14.25" customHeight="1">
      <c r="A19964" s="740"/>
    </row>
    <row r="19965" ht="14.25" customHeight="1">
      <c r="A19965" s="740"/>
    </row>
    <row r="19966" ht="14.25" customHeight="1">
      <c r="A19966" s="740"/>
    </row>
    <row r="19967" ht="14.25" customHeight="1">
      <c r="A19967" s="740"/>
    </row>
    <row r="19968" ht="14.25" customHeight="1">
      <c r="A19968" s="740"/>
    </row>
    <row r="19969" ht="14.25" customHeight="1">
      <c r="A19969" s="740"/>
    </row>
    <row r="19970" ht="14.25" customHeight="1">
      <c r="A19970" s="740"/>
    </row>
    <row r="19971" ht="14.25" customHeight="1">
      <c r="A19971" s="740"/>
    </row>
    <row r="19972" ht="14.25" customHeight="1">
      <c r="A19972" s="740"/>
    </row>
    <row r="19973" ht="14.25" customHeight="1">
      <c r="A19973" s="740"/>
    </row>
    <row r="19974" ht="14.25" customHeight="1">
      <c r="A19974" s="740"/>
    </row>
    <row r="19975" ht="14.25" customHeight="1">
      <c r="A19975" s="740"/>
    </row>
    <row r="19976" ht="14.25" customHeight="1">
      <c r="A19976" s="740"/>
    </row>
    <row r="19977" ht="14.25" customHeight="1">
      <c r="A19977" s="740"/>
    </row>
    <row r="19978" ht="14.25" customHeight="1">
      <c r="A19978" s="740"/>
    </row>
    <row r="19979" ht="14.25" customHeight="1">
      <c r="A19979" s="740"/>
    </row>
    <row r="19980" ht="14.25" customHeight="1">
      <c r="A19980" s="740"/>
    </row>
    <row r="19981" ht="14.25" customHeight="1">
      <c r="A19981" s="740"/>
    </row>
    <row r="19982" ht="14.25" customHeight="1">
      <c r="A19982" s="740"/>
    </row>
    <row r="19983" ht="14.25" customHeight="1">
      <c r="A19983" s="740"/>
    </row>
    <row r="19984" ht="14.25" customHeight="1">
      <c r="A19984" s="740"/>
    </row>
    <row r="19985" ht="14.25" customHeight="1">
      <c r="A19985" s="740"/>
    </row>
    <row r="19986" ht="14.25" customHeight="1">
      <c r="A19986" s="740"/>
    </row>
    <row r="19987" ht="14.25" customHeight="1">
      <c r="A19987" s="740"/>
    </row>
    <row r="19988" ht="14.25" customHeight="1">
      <c r="A19988" s="740"/>
    </row>
    <row r="19989" ht="14.25" customHeight="1">
      <c r="A19989" s="740"/>
    </row>
    <row r="19990" ht="14.25" customHeight="1">
      <c r="A19990" s="740"/>
    </row>
    <row r="19991" ht="14.25" customHeight="1">
      <c r="A19991" s="740"/>
    </row>
    <row r="19992" ht="14.25" customHeight="1">
      <c r="A19992" s="740"/>
    </row>
    <row r="19993" ht="14.25" customHeight="1">
      <c r="A19993" s="740"/>
    </row>
    <row r="19994" ht="14.25" customHeight="1">
      <c r="A19994" s="740"/>
    </row>
    <row r="19995" ht="14.25" customHeight="1">
      <c r="A19995" s="740"/>
    </row>
    <row r="19996" ht="14.25" customHeight="1">
      <c r="A19996" s="740"/>
    </row>
    <row r="19997" ht="14.25" customHeight="1">
      <c r="A19997" s="740"/>
    </row>
    <row r="19998" ht="14.25" customHeight="1">
      <c r="A19998" s="740"/>
    </row>
    <row r="19999" ht="14.25" customHeight="1">
      <c r="A19999" s="740"/>
    </row>
    <row r="20000" ht="14.25" customHeight="1">
      <c r="A20000" s="740"/>
    </row>
    <row r="20001" ht="14.25" customHeight="1">
      <c r="A20001" s="740"/>
    </row>
    <row r="20002" ht="14.25" customHeight="1">
      <c r="A20002" s="740"/>
    </row>
    <row r="20003" ht="14.25" customHeight="1">
      <c r="A20003" s="740"/>
    </row>
    <row r="20004" ht="14.25" customHeight="1">
      <c r="A20004" s="740"/>
    </row>
    <row r="20005" ht="14.25" customHeight="1">
      <c r="A20005" s="740"/>
    </row>
    <row r="20006" ht="14.25" customHeight="1">
      <c r="A20006" s="740"/>
    </row>
    <row r="20007" ht="14.25" customHeight="1">
      <c r="A20007" s="740"/>
    </row>
    <row r="20008" ht="14.25" customHeight="1">
      <c r="A20008" s="740"/>
    </row>
    <row r="20009" ht="14.25" customHeight="1">
      <c r="A20009" s="740"/>
    </row>
    <row r="20010" ht="14.25" customHeight="1">
      <c r="A20010" s="740"/>
    </row>
    <row r="20011" ht="14.25" customHeight="1">
      <c r="A20011" s="740"/>
    </row>
    <row r="20012" ht="14.25" customHeight="1">
      <c r="A20012" s="740"/>
    </row>
    <row r="20013" ht="14.25" customHeight="1">
      <c r="A20013" s="740"/>
    </row>
    <row r="20014" ht="14.25" customHeight="1">
      <c r="A20014" s="740"/>
    </row>
    <row r="20015" ht="14.25" customHeight="1">
      <c r="A20015" s="740"/>
    </row>
    <row r="20016" ht="14.25" customHeight="1">
      <c r="A20016" s="740"/>
    </row>
    <row r="20017" ht="14.25" customHeight="1">
      <c r="A20017" s="740"/>
    </row>
    <row r="20018" ht="14.25" customHeight="1">
      <c r="A20018" s="740"/>
    </row>
    <row r="20019" ht="14.25" customHeight="1">
      <c r="A20019" s="740"/>
    </row>
    <row r="20020" ht="14.25" customHeight="1">
      <c r="A20020" s="740"/>
    </row>
    <row r="20021" ht="14.25" customHeight="1">
      <c r="A20021" s="740"/>
    </row>
    <row r="20022" ht="14.25" customHeight="1">
      <c r="A20022" s="740"/>
    </row>
    <row r="20023" ht="14.25" customHeight="1">
      <c r="A20023" s="740"/>
    </row>
    <row r="20024" ht="14.25" customHeight="1">
      <c r="A20024" s="740"/>
    </row>
    <row r="20025" ht="14.25" customHeight="1">
      <c r="A20025" s="740"/>
    </row>
    <row r="20026" ht="14.25" customHeight="1">
      <c r="A20026" s="740"/>
    </row>
    <row r="20027" ht="14.25" customHeight="1">
      <c r="A20027" s="740"/>
    </row>
    <row r="20028" ht="14.25" customHeight="1">
      <c r="A20028" s="740"/>
    </row>
    <row r="20029" ht="14.25" customHeight="1">
      <c r="A20029" s="740"/>
    </row>
    <row r="20030" ht="14.25" customHeight="1">
      <c r="A20030" s="740"/>
    </row>
    <row r="20031" ht="14.25" customHeight="1">
      <c r="A20031" s="740"/>
    </row>
    <row r="20032" ht="14.25" customHeight="1">
      <c r="A20032" s="740"/>
    </row>
    <row r="20033" ht="14.25" customHeight="1">
      <c r="A20033" s="740"/>
    </row>
    <row r="20034" ht="14.25" customHeight="1">
      <c r="A20034" s="740"/>
    </row>
    <row r="20035" ht="14.25" customHeight="1">
      <c r="A20035" s="740"/>
    </row>
    <row r="20036" ht="14.25" customHeight="1">
      <c r="A20036" s="740"/>
    </row>
    <row r="20037" ht="14.25" customHeight="1">
      <c r="A20037" s="740"/>
    </row>
    <row r="20038" ht="14.25" customHeight="1">
      <c r="A20038" s="740"/>
    </row>
    <row r="20039" ht="14.25" customHeight="1">
      <c r="A20039" s="740"/>
    </row>
    <row r="20040" ht="14.25" customHeight="1">
      <c r="A20040" s="740"/>
    </row>
    <row r="20041" ht="14.25" customHeight="1">
      <c r="A20041" s="740"/>
    </row>
    <row r="20042" ht="14.25" customHeight="1">
      <c r="A20042" s="740"/>
    </row>
    <row r="20043" ht="14.25" customHeight="1">
      <c r="A20043" s="740"/>
    </row>
    <row r="20044" ht="14.25" customHeight="1">
      <c r="A20044" s="740"/>
    </row>
    <row r="20045" ht="14.25" customHeight="1">
      <c r="A20045" s="740"/>
    </row>
    <row r="20046" ht="14.25" customHeight="1">
      <c r="A20046" s="740"/>
    </row>
    <row r="20047" ht="14.25" customHeight="1">
      <c r="A20047" s="740"/>
    </row>
    <row r="20048" ht="14.25" customHeight="1">
      <c r="A20048" s="740"/>
    </row>
    <row r="20049" ht="14.25" customHeight="1">
      <c r="A20049" s="740"/>
    </row>
    <row r="20050" ht="14.25" customHeight="1">
      <c r="A20050" s="740"/>
    </row>
    <row r="20051" ht="14.25" customHeight="1">
      <c r="A20051" s="740"/>
    </row>
    <row r="20052" ht="14.25" customHeight="1">
      <c r="A20052" s="740"/>
    </row>
    <row r="20053" ht="14.25" customHeight="1">
      <c r="A20053" s="740"/>
    </row>
    <row r="20054" ht="14.25" customHeight="1">
      <c r="A20054" s="740"/>
    </row>
    <row r="20055" ht="14.25" customHeight="1">
      <c r="A20055" s="740"/>
    </row>
    <row r="20056" ht="14.25" customHeight="1">
      <c r="A20056" s="740"/>
    </row>
    <row r="20057" ht="14.25" customHeight="1">
      <c r="A20057" s="740"/>
    </row>
    <row r="20058" ht="14.25" customHeight="1">
      <c r="A20058" s="740"/>
    </row>
    <row r="20059" ht="14.25" customHeight="1">
      <c r="A20059" s="740"/>
    </row>
    <row r="20060" ht="14.25" customHeight="1">
      <c r="A20060" s="740"/>
    </row>
    <row r="20061" ht="14.25" customHeight="1">
      <c r="A20061" s="740"/>
    </row>
    <row r="20062" ht="14.25" customHeight="1">
      <c r="A20062" s="740"/>
    </row>
    <row r="20063" ht="14.25" customHeight="1">
      <c r="A20063" s="740"/>
    </row>
    <row r="20064" ht="14.25" customHeight="1">
      <c r="A20064" s="740"/>
    </row>
    <row r="20065" ht="14.25" customHeight="1">
      <c r="A20065" s="740"/>
    </row>
    <row r="20066" ht="14.25" customHeight="1">
      <c r="A20066" s="740"/>
    </row>
    <row r="20067" ht="14.25" customHeight="1">
      <c r="A20067" s="740"/>
    </row>
    <row r="20068" ht="14.25" customHeight="1">
      <c r="A20068" s="740"/>
    </row>
    <row r="20069" ht="14.25" customHeight="1">
      <c r="A20069" s="740"/>
    </row>
    <row r="20070" ht="14.25" customHeight="1">
      <c r="A20070" s="740"/>
    </row>
    <row r="20071" ht="14.25" customHeight="1">
      <c r="A20071" s="740"/>
    </row>
    <row r="20072" ht="14.25" customHeight="1">
      <c r="A20072" s="740"/>
    </row>
    <row r="20073" ht="14.25" customHeight="1">
      <c r="A20073" s="740"/>
    </row>
    <row r="20074" ht="14.25" customHeight="1">
      <c r="A20074" s="740"/>
    </row>
    <row r="20075" ht="14.25" customHeight="1">
      <c r="A20075" s="740"/>
    </row>
    <row r="20076" ht="14.25" customHeight="1">
      <c r="A20076" s="740"/>
    </row>
    <row r="20077" ht="14.25" customHeight="1">
      <c r="A20077" s="740"/>
    </row>
    <row r="20078" ht="14.25" customHeight="1">
      <c r="A20078" s="740"/>
    </row>
    <row r="20079" ht="14.25" customHeight="1">
      <c r="A20079" s="740"/>
    </row>
    <row r="20080" ht="14.25" customHeight="1">
      <c r="A20080" s="740"/>
    </row>
    <row r="20081" ht="14.25" customHeight="1">
      <c r="A20081" s="740"/>
    </row>
    <row r="20082" ht="14.25" customHeight="1">
      <c r="A20082" s="740"/>
    </row>
    <row r="20083" ht="14.25" customHeight="1">
      <c r="A20083" s="740"/>
    </row>
    <row r="20084" ht="14.25" customHeight="1">
      <c r="A20084" s="740"/>
    </row>
    <row r="20085" ht="14.25" customHeight="1">
      <c r="A20085" s="740"/>
    </row>
    <row r="20086" ht="14.25" customHeight="1">
      <c r="A20086" s="740"/>
    </row>
    <row r="20087" ht="14.25" customHeight="1">
      <c r="A20087" s="740"/>
    </row>
    <row r="20088" ht="14.25" customHeight="1">
      <c r="A20088" s="740"/>
    </row>
    <row r="20089" ht="14.25" customHeight="1">
      <c r="A20089" s="740"/>
    </row>
    <row r="20090" ht="14.25" customHeight="1">
      <c r="A20090" s="740"/>
    </row>
    <row r="20091" ht="14.25" customHeight="1">
      <c r="A20091" s="740"/>
    </row>
    <row r="20092" ht="14.25" customHeight="1">
      <c r="A20092" s="740"/>
    </row>
    <row r="20093" ht="14.25" customHeight="1">
      <c r="A20093" s="740"/>
    </row>
    <row r="20094" ht="14.25" customHeight="1">
      <c r="A20094" s="740"/>
    </row>
    <row r="20095" ht="14.25" customHeight="1">
      <c r="A20095" s="740"/>
    </row>
    <row r="20096" ht="14.25" customHeight="1">
      <c r="A20096" s="740"/>
    </row>
    <row r="20097" ht="14.25" customHeight="1">
      <c r="A20097" s="740"/>
    </row>
    <row r="20098" ht="14.25" customHeight="1">
      <c r="A20098" s="740"/>
    </row>
    <row r="20099" ht="14.25" customHeight="1">
      <c r="A20099" s="740"/>
    </row>
    <row r="20100" ht="14.25" customHeight="1">
      <c r="A20100" s="740"/>
    </row>
    <row r="20101" ht="14.25" customHeight="1">
      <c r="A20101" s="740"/>
    </row>
    <row r="20102" ht="14.25" customHeight="1">
      <c r="A20102" s="740"/>
    </row>
    <row r="20103" ht="14.25" customHeight="1">
      <c r="A20103" s="740"/>
    </row>
    <row r="20104" ht="14.25" customHeight="1">
      <c r="A20104" s="740"/>
    </row>
    <row r="20105" ht="14.25" customHeight="1">
      <c r="A20105" s="740"/>
    </row>
    <row r="20106" ht="14.25" customHeight="1">
      <c r="A20106" s="740"/>
    </row>
    <row r="20107" ht="14.25" customHeight="1">
      <c r="A20107" s="740"/>
    </row>
    <row r="20108" ht="14.25" customHeight="1">
      <c r="A20108" s="740"/>
    </row>
    <row r="20109" ht="14.25" customHeight="1">
      <c r="A20109" s="740"/>
    </row>
    <row r="20110" ht="14.25" customHeight="1">
      <c r="A20110" s="740"/>
    </row>
    <row r="20111" ht="14.25" customHeight="1">
      <c r="A20111" s="740"/>
    </row>
    <row r="20112" ht="14.25" customHeight="1">
      <c r="A20112" s="740"/>
    </row>
    <row r="20113" ht="14.25" customHeight="1">
      <c r="A20113" s="740"/>
    </row>
    <row r="20114" ht="14.25" customHeight="1">
      <c r="A20114" s="740"/>
    </row>
    <row r="20115" ht="14.25" customHeight="1">
      <c r="A20115" s="740"/>
    </row>
    <row r="20116" ht="14.25" customHeight="1">
      <c r="A20116" s="740"/>
    </row>
    <row r="20117" ht="14.25" customHeight="1">
      <c r="A20117" s="740"/>
    </row>
    <row r="20118" ht="14.25" customHeight="1">
      <c r="A20118" s="740"/>
    </row>
    <row r="20119" ht="14.25" customHeight="1">
      <c r="A20119" s="740"/>
    </row>
    <row r="20120" ht="14.25" customHeight="1">
      <c r="A20120" s="740"/>
    </row>
    <row r="20121" ht="14.25" customHeight="1">
      <c r="A20121" s="740"/>
    </row>
    <row r="20122" ht="14.25" customHeight="1">
      <c r="A20122" s="740"/>
    </row>
    <row r="20123" ht="14.25" customHeight="1">
      <c r="A20123" s="740"/>
    </row>
    <row r="20124" ht="14.25" customHeight="1">
      <c r="A20124" s="740"/>
    </row>
    <row r="20125" ht="14.25" customHeight="1">
      <c r="A20125" s="740"/>
    </row>
    <row r="20126" ht="14.25" customHeight="1">
      <c r="A20126" s="740"/>
    </row>
    <row r="20127" ht="14.25" customHeight="1">
      <c r="A20127" s="740"/>
    </row>
    <row r="20128" ht="14.25" customHeight="1">
      <c r="A20128" s="740"/>
    </row>
    <row r="20129" ht="14.25" customHeight="1">
      <c r="A20129" s="740"/>
    </row>
    <row r="20130" ht="14.25" customHeight="1">
      <c r="A20130" s="740"/>
    </row>
    <row r="20131" ht="14.25" customHeight="1">
      <c r="A20131" s="740"/>
    </row>
    <row r="20132" ht="14.25" customHeight="1">
      <c r="A20132" s="740"/>
    </row>
    <row r="20133" ht="14.25" customHeight="1">
      <c r="A20133" s="740"/>
    </row>
    <row r="20134" ht="14.25" customHeight="1">
      <c r="A20134" s="740"/>
    </row>
    <row r="20135" ht="14.25" customHeight="1">
      <c r="A20135" s="740"/>
    </row>
    <row r="20136" ht="14.25" customHeight="1">
      <c r="A20136" s="740"/>
    </row>
    <row r="20137" ht="14.25" customHeight="1">
      <c r="A20137" s="740"/>
    </row>
    <row r="20138" ht="14.25" customHeight="1">
      <c r="A20138" s="740"/>
    </row>
    <row r="20139" ht="14.25" customHeight="1">
      <c r="A20139" s="740"/>
    </row>
    <row r="20140" ht="14.25" customHeight="1">
      <c r="A20140" s="740"/>
    </row>
    <row r="20141" ht="14.25" customHeight="1">
      <c r="A20141" s="740"/>
    </row>
    <row r="20142" ht="14.25" customHeight="1">
      <c r="A20142" s="740"/>
    </row>
    <row r="20143" ht="14.25" customHeight="1">
      <c r="A20143" s="740"/>
    </row>
    <row r="20144" ht="14.25" customHeight="1">
      <c r="A20144" s="740"/>
    </row>
    <row r="20145" ht="14.25" customHeight="1">
      <c r="A20145" s="740"/>
    </row>
    <row r="20146" ht="14.25" customHeight="1">
      <c r="A20146" s="740"/>
    </row>
    <row r="20147" ht="14.25" customHeight="1">
      <c r="A20147" s="740"/>
    </row>
    <row r="20148" ht="14.25" customHeight="1">
      <c r="A20148" s="740"/>
    </row>
    <row r="20149" ht="14.25" customHeight="1">
      <c r="A20149" s="740"/>
    </row>
    <row r="20150" ht="14.25" customHeight="1">
      <c r="A20150" s="740"/>
    </row>
    <row r="20151" ht="14.25" customHeight="1">
      <c r="A20151" s="740"/>
    </row>
    <row r="20152" ht="14.25" customHeight="1">
      <c r="A20152" s="740"/>
    </row>
    <row r="20153" ht="14.25" customHeight="1">
      <c r="A20153" s="740"/>
    </row>
    <row r="20154" ht="14.25" customHeight="1">
      <c r="A20154" s="740"/>
    </row>
    <row r="20155" ht="14.25" customHeight="1">
      <c r="A20155" s="740"/>
    </row>
    <row r="20156" ht="14.25" customHeight="1">
      <c r="A20156" s="740"/>
    </row>
    <row r="20157" ht="14.25" customHeight="1">
      <c r="A20157" s="740"/>
    </row>
    <row r="20158" ht="14.25" customHeight="1">
      <c r="A20158" s="740"/>
    </row>
    <row r="20159" ht="14.25" customHeight="1">
      <c r="A20159" s="740"/>
    </row>
    <row r="20160" ht="14.25" customHeight="1">
      <c r="A20160" s="740"/>
    </row>
    <row r="20161" ht="14.25" customHeight="1">
      <c r="A20161" s="740"/>
    </row>
    <row r="20162" ht="14.25" customHeight="1">
      <c r="A20162" s="740"/>
    </row>
    <row r="20163" ht="14.25" customHeight="1">
      <c r="A20163" s="740"/>
    </row>
    <row r="20164" ht="14.25" customHeight="1">
      <c r="A20164" s="740"/>
    </row>
    <row r="20165" ht="14.25" customHeight="1">
      <c r="A20165" s="740"/>
    </row>
    <row r="20166" ht="14.25" customHeight="1">
      <c r="A20166" s="740"/>
    </row>
    <row r="20167" ht="14.25" customHeight="1">
      <c r="A20167" s="740"/>
    </row>
    <row r="20168" ht="14.25" customHeight="1">
      <c r="A20168" s="740"/>
    </row>
    <row r="20169" ht="14.25" customHeight="1">
      <c r="A20169" s="740"/>
    </row>
    <row r="20170" ht="14.25" customHeight="1">
      <c r="A20170" s="740"/>
    </row>
    <row r="20171" ht="14.25" customHeight="1">
      <c r="A20171" s="740"/>
    </row>
    <row r="20172" ht="14.25" customHeight="1">
      <c r="A20172" s="740"/>
    </row>
    <row r="20173" ht="14.25" customHeight="1">
      <c r="A20173" s="740"/>
    </row>
    <row r="20174" ht="14.25" customHeight="1">
      <c r="A20174" s="740"/>
    </row>
    <row r="20175" ht="14.25" customHeight="1">
      <c r="A20175" s="740"/>
    </row>
    <row r="20176" ht="14.25" customHeight="1">
      <c r="A20176" s="740"/>
    </row>
    <row r="20177" ht="14.25" customHeight="1">
      <c r="A20177" s="740"/>
    </row>
    <row r="20178" ht="14.25" customHeight="1">
      <c r="A20178" s="740"/>
    </row>
    <row r="20179" ht="14.25" customHeight="1">
      <c r="A20179" s="740"/>
    </row>
    <row r="20180" ht="14.25" customHeight="1">
      <c r="A20180" s="740"/>
    </row>
    <row r="20181" ht="14.25" customHeight="1">
      <c r="A20181" s="740"/>
    </row>
    <row r="20182" ht="14.25" customHeight="1">
      <c r="A20182" s="740"/>
    </row>
    <row r="20183" ht="14.25" customHeight="1">
      <c r="A20183" s="740"/>
    </row>
    <row r="20184" ht="14.25" customHeight="1">
      <c r="A20184" s="740"/>
    </row>
    <row r="20185" ht="14.25" customHeight="1">
      <c r="A20185" s="740"/>
    </row>
    <row r="20186" ht="14.25" customHeight="1">
      <c r="A20186" s="740"/>
    </row>
    <row r="20187" ht="14.25" customHeight="1">
      <c r="A20187" s="740"/>
    </row>
    <row r="20188" ht="14.25" customHeight="1">
      <c r="A20188" s="740"/>
    </row>
    <row r="20189" ht="14.25" customHeight="1">
      <c r="A20189" s="740"/>
    </row>
    <row r="20190" ht="14.25" customHeight="1">
      <c r="A20190" s="740"/>
    </row>
    <row r="20191" ht="14.25" customHeight="1">
      <c r="A20191" s="740"/>
    </row>
    <row r="20192" ht="14.25" customHeight="1">
      <c r="A20192" s="740"/>
    </row>
    <row r="20193" ht="14.25" customHeight="1">
      <c r="A20193" s="740"/>
    </row>
    <row r="20194" ht="14.25" customHeight="1">
      <c r="A20194" s="740"/>
    </row>
    <row r="20195" ht="14.25" customHeight="1">
      <c r="A20195" s="740"/>
    </row>
    <row r="20196" ht="14.25" customHeight="1">
      <c r="A20196" s="740"/>
    </row>
    <row r="20197" ht="14.25" customHeight="1">
      <c r="A20197" s="740"/>
    </row>
    <row r="20198" ht="14.25" customHeight="1">
      <c r="A20198" s="740"/>
    </row>
    <row r="20199" ht="14.25" customHeight="1">
      <c r="A20199" s="740"/>
    </row>
    <row r="20200" ht="14.25" customHeight="1">
      <c r="A20200" s="740"/>
    </row>
    <row r="20201" ht="14.25" customHeight="1">
      <c r="A20201" s="740"/>
    </row>
    <row r="20202" ht="14.25" customHeight="1">
      <c r="A20202" s="740"/>
    </row>
    <row r="20203" ht="14.25" customHeight="1">
      <c r="A20203" s="740"/>
    </row>
    <row r="20204" ht="14.25" customHeight="1">
      <c r="A20204" s="740"/>
    </row>
    <row r="20205" ht="14.25" customHeight="1">
      <c r="A20205" s="740"/>
    </row>
    <row r="20206" ht="14.25" customHeight="1">
      <c r="A20206" s="740"/>
    </row>
    <row r="20207" ht="14.25" customHeight="1">
      <c r="A20207" s="740"/>
    </row>
    <row r="20208" ht="14.25" customHeight="1">
      <c r="A20208" s="740"/>
    </row>
    <row r="20209" ht="14.25" customHeight="1">
      <c r="A20209" s="740"/>
    </row>
    <row r="20210" ht="14.25" customHeight="1">
      <c r="A20210" s="740"/>
    </row>
    <row r="20211" ht="14.25" customHeight="1">
      <c r="A20211" s="740"/>
    </row>
    <row r="20212" ht="14.25" customHeight="1">
      <c r="A20212" s="740"/>
    </row>
    <row r="20213" ht="14.25" customHeight="1">
      <c r="A20213" s="740"/>
    </row>
    <row r="20214" ht="14.25" customHeight="1">
      <c r="A20214" s="740"/>
    </row>
    <row r="20215" ht="14.25" customHeight="1">
      <c r="A20215" s="740"/>
    </row>
    <row r="20216" ht="14.25" customHeight="1">
      <c r="A20216" s="740"/>
    </row>
    <row r="20217" ht="14.25" customHeight="1">
      <c r="A20217" s="740"/>
    </row>
    <row r="20218" ht="14.25" customHeight="1">
      <c r="A20218" s="740"/>
    </row>
    <row r="20219" ht="14.25" customHeight="1">
      <c r="A20219" s="740"/>
    </row>
    <row r="20220" ht="14.25" customHeight="1">
      <c r="A20220" s="740"/>
    </row>
    <row r="20221" ht="14.25" customHeight="1">
      <c r="A20221" s="740"/>
    </row>
    <row r="20222" ht="14.25" customHeight="1">
      <c r="A20222" s="740"/>
    </row>
    <row r="20223" ht="14.25" customHeight="1">
      <c r="A20223" s="740"/>
    </row>
    <row r="20224" ht="14.25" customHeight="1">
      <c r="A20224" s="740"/>
    </row>
    <row r="20225" ht="14.25" customHeight="1">
      <c r="A20225" s="740"/>
    </row>
    <row r="20226" ht="14.25" customHeight="1">
      <c r="A20226" s="740"/>
    </row>
    <row r="20227" ht="14.25" customHeight="1">
      <c r="A20227" s="740"/>
    </row>
    <row r="20228" ht="14.25" customHeight="1">
      <c r="A20228" s="740"/>
    </row>
    <row r="20229" ht="14.25" customHeight="1">
      <c r="A20229" s="740"/>
    </row>
    <row r="20230" ht="14.25" customHeight="1">
      <c r="A20230" s="740"/>
    </row>
    <row r="20231" ht="14.25" customHeight="1">
      <c r="A20231" s="740"/>
    </row>
    <row r="20232" ht="14.25" customHeight="1">
      <c r="A20232" s="740"/>
    </row>
    <row r="20233" ht="14.25" customHeight="1">
      <c r="A20233" s="740"/>
    </row>
    <row r="20234" ht="14.25" customHeight="1">
      <c r="A20234" s="740"/>
    </row>
    <row r="20235" ht="14.25" customHeight="1">
      <c r="A20235" s="740"/>
    </row>
    <row r="20236" ht="14.25" customHeight="1">
      <c r="A20236" s="740"/>
    </row>
    <row r="20237" ht="14.25" customHeight="1">
      <c r="A20237" s="740"/>
    </row>
    <row r="20238" ht="14.25" customHeight="1">
      <c r="A20238" s="740"/>
    </row>
    <row r="20239" ht="14.25" customHeight="1">
      <c r="A20239" s="740"/>
    </row>
    <row r="20240" ht="14.25" customHeight="1">
      <c r="A20240" s="740"/>
    </row>
    <row r="20241" ht="14.25" customHeight="1">
      <c r="A20241" s="740"/>
    </row>
    <row r="20242" ht="14.25" customHeight="1">
      <c r="A20242" s="740"/>
    </row>
    <row r="20243" ht="14.25" customHeight="1">
      <c r="A20243" s="740"/>
    </row>
    <row r="20244" ht="14.25" customHeight="1">
      <c r="A20244" s="740"/>
    </row>
    <row r="20245" ht="14.25" customHeight="1">
      <c r="A20245" s="740"/>
    </row>
    <row r="20246" ht="14.25" customHeight="1">
      <c r="A20246" s="740"/>
    </row>
    <row r="20247" ht="14.25" customHeight="1">
      <c r="A20247" s="740"/>
    </row>
    <row r="20248" ht="14.25" customHeight="1">
      <c r="A20248" s="740"/>
    </row>
    <row r="20249" ht="14.25" customHeight="1">
      <c r="A20249" s="740"/>
    </row>
    <row r="20250" ht="14.25" customHeight="1">
      <c r="A20250" s="740"/>
    </row>
    <row r="20251" ht="14.25" customHeight="1">
      <c r="A20251" s="740"/>
    </row>
    <row r="20252" ht="14.25" customHeight="1">
      <c r="A20252" s="740"/>
    </row>
    <row r="20253" ht="14.25" customHeight="1">
      <c r="A20253" s="740"/>
    </row>
    <row r="20254" ht="14.25" customHeight="1">
      <c r="A20254" s="740"/>
    </row>
    <row r="20255" ht="14.25" customHeight="1">
      <c r="A20255" s="740"/>
    </row>
    <row r="20256" ht="14.25" customHeight="1">
      <c r="A20256" s="740"/>
    </row>
    <row r="20257" ht="14.25" customHeight="1">
      <c r="A20257" s="740"/>
    </row>
    <row r="20258" ht="14.25" customHeight="1">
      <c r="A20258" s="740"/>
    </row>
    <row r="20259" ht="14.25" customHeight="1">
      <c r="A20259" s="740"/>
    </row>
    <row r="20260" ht="14.25" customHeight="1">
      <c r="A20260" s="740"/>
    </row>
    <row r="20261" ht="14.25" customHeight="1">
      <c r="A20261" s="740"/>
    </row>
    <row r="20262" ht="14.25" customHeight="1">
      <c r="A20262" s="740"/>
    </row>
    <row r="20263" ht="14.25" customHeight="1">
      <c r="A20263" s="740"/>
    </row>
    <row r="20264" ht="14.25" customHeight="1">
      <c r="A20264" s="740"/>
    </row>
    <row r="20265" ht="14.25" customHeight="1">
      <c r="A20265" s="740"/>
    </row>
    <row r="20266" ht="14.25" customHeight="1">
      <c r="A20266" s="740"/>
    </row>
    <row r="20267" ht="14.25" customHeight="1">
      <c r="A20267" s="740"/>
    </row>
    <row r="20268" ht="14.25" customHeight="1">
      <c r="A20268" s="740"/>
    </row>
    <row r="20269" ht="14.25" customHeight="1">
      <c r="A20269" s="740"/>
    </row>
    <row r="20270" ht="14.25" customHeight="1">
      <c r="A20270" s="740"/>
    </row>
    <row r="20271" ht="14.25" customHeight="1">
      <c r="A20271" s="740"/>
    </row>
    <row r="20272" ht="14.25" customHeight="1">
      <c r="A20272" s="740"/>
    </row>
    <row r="20273" ht="14.25" customHeight="1">
      <c r="A20273" s="740"/>
    </row>
    <row r="20274" ht="14.25" customHeight="1">
      <c r="A20274" s="740"/>
    </row>
    <row r="20275" ht="14.25" customHeight="1">
      <c r="A20275" s="740"/>
    </row>
    <row r="20276" ht="14.25" customHeight="1">
      <c r="A20276" s="740"/>
    </row>
    <row r="20277" ht="14.25" customHeight="1">
      <c r="A20277" s="740"/>
    </row>
    <row r="20278" ht="14.25" customHeight="1">
      <c r="A20278" s="740"/>
    </row>
    <row r="20279" ht="14.25" customHeight="1">
      <c r="A20279" s="740"/>
    </row>
    <row r="20280" ht="14.25" customHeight="1">
      <c r="A20280" s="740"/>
    </row>
    <row r="20281" ht="14.25" customHeight="1">
      <c r="A20281" s="740"/>
    </row>
    <row r="20282" ht="14.25" customHeight="1">
      <c r="A20282" s="740"/>
    </row>
    <row r="20283" ht="14.25" customHeight="1">
      <c r="A20283" s="740"/>
    </row>
    <row r="20284" ht="14.25" customHeight="1">
      <c r="A20284" s="740"/>
    </row>
    <row r="20285" ht="14.25" customHeight="1">
      <c r="A20285" s="740"/>
    </row>
    <row r="20286" ht="14.25" customHeight="1">
      <c r="A20286" s="740"/>
    </row>
    <row r="20287" ht="14.25" customHeight="1">
      <c r="A20287" s="740"/>
    </row>
    <row r="20288" ht="14.25" customHeight="1">
      <c r="A20288" s="740"/>
    </row>
    <row r="20289" ht="14.25" customHeight="1">
      <c r="A20289" s="740"/>
    </row>
    <row r="20290" ht="14.25" customHeight="1">
      <c r="A20290" s="740"/>
    </row>
    <row r="20291" ht="14.25" customHeight="1">
      <c r="A20291" s="740"/>
    </row>
    <row r="20292" ht="14.25" customHeight="1">
      <c r="A20292" s="740"/>
    </row>
    <row r="20293" ht="14.25" customHeight="1">
      <c r="A20293" s="740"/>
    </row>
    <row r="20294" ht="14.25" customHeight="1">
      <c r="A20294" s="740"/>
    </row>
    <row r="20295" ht="14.25" customHeight="1">
      <c r="A20295" s="740"/>
    </row>
    <row r="20296" ht="14.25" customHeight="1">
      <c r="A20296" s="740"/>
    </row>
    <row r="20297" ht="14.25" customHeight="1">
      <c r="A20297" s="740"/>
    </row>
    <row r="20298" ht="14.25" customHeight="1">
      <c r="A20298" s="740"/>
    </row>
    <row r="20299" ht="14.25" customHeight="1">
      <c r="A20299" s="740"/>
    </row>
    <row r="20300" ht="14.25" customHeight="1">
      <c r="A20300" s="740"/>
    </row>
    <row r="20301" ht="14.25" customHeight="1">
      <c r="A20301" s="740"/>
    </row>
    <row r="20302" ht="14.25" customHeight="1">
      <c r="A20302" s="740"/>
    </row>
    <row r="20303" ht="14.25" customHeight="1">
      <c r="A20303" s="740"/>
    </row>
    <row r="20304" ht="14.25" customHeight="1">
      <c r="A20304" s="740"/>
    </row>
    <row r="20305" ht="14.25" customHeight="1">
      <c r="A20305" s="740"/>
    </row>
    <row r="20306" ht="14.25" customHeight="1">
      <c r="A20306" s="740"/>
    </row>
    <row r="20307" ht="14.25" customHeight="1">
      <c r="A20307" s="740"/>
    </row>
    <row r="20308" ht="14.25" customHeight="1">
      <c r="A20308" s="740"/>
    </row>
    <row r="20309" ht="14.25" customHeight="1">
      <c r="A20309" s="740"/>
    </row>
    <row r="20310" ht="14.25" customHeight="1">
      <c r="A20310" s="740"/>
    </row>
    <row r="20311" ht="14.25" customHeight="1">
      <c r="A20311" s="740"/>
    </row>
    <row r="20312" ht="14.25" customHeight="1">
      <c r="A20312" s="740"/>
    </row>
    <row r="20313" ht="14.25" customHeight="1">
      <c r="A20313" s="740"/>
    </row>
    <row r="20314" ht="14.25" customHeight="1">
      <c r="A20314" s="740"/>
    </row>
    <row r="20315" ht="14.25" customHeight="1">
      <c r="A20315" s="740"/>
    </row>
    <row r="20316" ht="14.25" customHeight="1">
      <c r="A20316" s="740"/>
    </row>
    <row r="20317" ht="14.25" customHeight="1">
      <c r="A20317" s="740"/>
    </row>
    <row r="20318" ht="14.25" customHeight="1">
      <c r="A20318" s="740"/>
    </row>
    <row r="20319" ht="14.25" customHeight="1">
      <c r="A20319" s="740"/>
    </row>
    <row r="20320" ht="14.25" customHeight="1">
      <c r="A20320" s="740"/>
    </row>
    <row r="20321" ht="14.25" customHeight="1">
      <c r="A20321" s="740"/>
    </row>
    <row r="20322" ht="14.25" customHeight="1">
      <c r="A20322" s="740"/>
    </row>
    <row r="20323" ht="14.25" customHeight="1">
      <c r="A20323" s="740"/>
    </row>
    <row r="20324" ht="14.25" customHeight="1">
      <c r="A20324" s="740"/>
    </row>
    <row r="20325" ht="14.25" customHeight="1">
      <c r="A20325" s="740"/>
    </row>
    <row r="20326" ht="14.25" customHeight="1">
      <c r="A20326" s="740"/>
    </row>
    <row r="20327" ht="14.25" customHeight="1">
      <c r="A20327" s="740"/>
    </row>
    <row r="20328" ht="14.25" customHeight="1">
      <c r="A20328" s="740"/>
    </row>
    <row r="20329" ht="14.25" customHeight="1">
      <c r="A20329" s="740"/>
    </row>
    <row r="20330" ht="14.25" customHeight="1">
      <c r="A20330" s="740"/>
    </row>
    <row r="20331" ht="14.25" customHeight="1">
      <c r="A20331" s="740"/>
    </row>
    <row r="20332" ht="14.25" customHeight="1">
      <c r="A20332" s="740"/>
    </row>
    <row r="20333" ht="14.25" customHeight="1">
      <c r="A20333" s="740"/>
    </row>
    <row r="20334" ht="14.25" customHeight="1">
      <c r="A20334" s="740"/>
    </row>
    <row r="20335" ht="14.25" customHeight="1">
      <c r="A20335" s="740"/>
    </row>
    <row r="20336" ht="14.25" customHeight="1">
      <c r="A20336" s="740"/>
    </row>
    <row r="20337" ht="14.25" customHeight="1">
      <c r="A20337" s="740"/>
    </row>
    <row r="20338" ht="14.25" customHeight="1">
      <c r="A20338" s="740"/>
    </row>
    <row r="20339" ht="14.25" customHeight="1">
      <c r="A20339" s="740"/>
    </row>
    <row r="20340" ht="14.25" customHeight="1">
      <c r="A20340" s="740"/>
    </row>
    <row r="20341" ht="14.25" customHeight="1">
      <c r="A20341" s="740"/>
    </row>
    <row r="20342" ht="14.25" customHeight="1">
      <c r="A20342" s="740"/>
    </row>
    <row r="20343" ht="14.25" customHeight="1">
      <c r="A20343" s="740"/>
    </row>
    <row r="20344" ht="14.25" customHeight="1">
      <c r="A20344" s="740"/>
    </row>
    <row r="20345" ht="14.25" customHeight="1">
      <c r="A20345" s="740"/>
    </row>
    <row r="20346" ht="14.25" customHeight="1">
      <c r="A20346" s="740"/>
    </row>
    <row r="20347" ht="14.25" customHeight="1">
      <c r="A20347" s="740"/>
    </row>
    <row r="20348" ht="14.25" customHeight="1">
      <c r="A20348" s="740"/>
    </row>
    <row r="20349" ht="14.25" customHeight="1">
      <c r="A20349" s="740"/>
    </row>
    <row r="20350" ht="14.25" customHeight="1">
      <c r="A20350" s="740"/>
    </row>
    <row r="20351" ht="14.25" customHeight="1">
      <c r="A20351" s="740"/>
    </row>
    <row r="20352" ht="14.25" customHeight="1">
      <c r="A20352" s="740"/>
    </row>
    <row r="20353" ht="14.25" customHeight="1">
      <c r="A20353" s="740"/>
    </row>
    <row r="20354" ht="14.25" customHeight="1">
      <c r="A20354" s="740"/>
    </row>
    <row r="20355" ht="14.25" customHeight="1">
      <c r="A20355" s="740"/>
    </row>
    <row r="20356" ht="14.25" customHeight="1">
      <c r="A20356" s="740"/>
    </row>
    <row r="20357" ht="14.25" customHeight="1">
      <c r="A20357" s="740"/>
    </row>
    <row r="20358" ht="14.25" customHeight="1">
      <c r="A20358" s="740"/>
    </row>
    <row r="20359" ht="14.25" customHeight="1">
      <c r="A20359" s="740"/>
    </row>
    <row r="20360" ht="14.25" customHeight="1">
      <c r="A20360" s="740"/>
    </row>
    <row r="20361" ht="14.25" customHeight="1">
      <c r="A20361" s="740"/>
    </row>
    <row r="20362" ht="14.25" customHeight="1">
      <c r="A20362" s="740"/>
    </row>
    <row r="20363" ht="14.25" customHeight="1">
      <c r="A20363" s="740"/>
    </row>
    <row r="20364" ht="14.25" customHeight="1">
      <c r="A20364" s="740"/>
    </row>
    <row r="20365" ht="14.25" customHeight="1">
      <c r="A20365" s="740"/>
    </row>
    <row r="20366" ht="14.25" customHeight="1">
      <c r="A20366" s="740"/>
    </row>
    <row r="20367" ht="14.25" customHeight="1">
      <c r="A20367" s="740"/>
    </row>
    <row r="20368" ht="14.25" customHeight="1">
      <c r="A20368" s="740"/>
    </row>
    <row r="20369" ht="14.25" customHeight="1">
      <c r="A20369" s="740"/>
    </row>
    <row r="20370" ht="14.25" customHeight="1">
      <c r="A20370" s="740"/>
    </row>
    <row r="20371" ht="14.25" customHeight="1">
      <c r="A20371" s="740"/>
    </row>
    <row r="20372" ht="14.25" customHeight="1">
      <c r="A20372" s="740"/>
    </row>
    <row r="20373" ht="14.25" customHeight="1">
      <c r="A20373" s="740"/>
    </row>
    <row r="20374" ht="14.25" customHeight="1">
      <c r="A20374" s="740"/>
    </row>
    <row r="20375" ht="14.25" customHeight="1">
      <c r="A20375" s="740"/>
    </row>
    <row r="20376" ht="14.25" customHeight="1">
      <c r="A20376" s="740"/>
    </row>
    <row r="20377" ht="14.25" customHeight="1">
      <c r="A20377" s="740"/>
    </row>
    <row r="20378" ht="14.25" customHeight="1">
      <c r="A20378" s="740"/>
    </row>
    <row r="20379" ht="14.25" customHeight="1">
      <c r="A20379" s="740"/>
    </row>
    <row r="20380" ht="14.25" customHeight="1">
      <c r="A20380" s="740"/>
    </row>
    <row r="20381" ht="14.25" customHeight="1">
      <c r="A20381" s="740"/>
    </row>
    <row r="20382" ht="14.25" customHeight="1">
      <c r="A20382" s="740"/>
    </row>
    <row r="20383" ht="14.25" customHeight="1">
      <c r="A20383" s="740"/>
    </row>
    <row r="20384" ht="14.25" customHeight="1">
      <c r="A20384" s="740"/>
    </row>
    <row r="20385" ht="14.25" customHeight="1">
      <c r="A20385" s="740"/>
    </row>
    <row r="20386" ht="14.25" customHeight="1">
      <c r="A20386" s="740"/>
    </row>
    <row r="20387" ht="14.25" customHeight="1">
      <c r="A20387" s="740"/>
    </row>
    <row r="20388" ht="14.25" customHeight="1">
      <c r="A20388" s="740"/>
    </row>
    <row r="20389" ht="14.25" customHeight="1">
      <c r="A20389" s="740"/>
    </row>
    <row r="20390" ht="14.25" customHeight="1">
      <c r="A20390" s="740"/>
    </row>
    <row r="20391" ht="14.25" customHeight="1">
      <c r="A20391" s="740"/>
    </row>
    <row r="20392" ht="14.25" customHeight="1">
      <c r="A20392" s="740"/>
    </row>
    <row r="20393" ht="14.25" customHeight="1">
      <c r="A20393" s="740"/>
    </row>
    <row r="20394" ht="14.25" customHeight="1">
      <c r="A20394" s="740"/>
    </row>
    <row r="20395" ht="14.25" customHeight="1">
      <c r="A20395" s="740"/>
    </row>
    <row r="20396" ht="14.25" customHeight="1">
      <c r="A20396" s="740"/>
    </row>
    <row r="20397" ht="14.25" customHeight="1">
      <c r="A20397" s="740"/>
    </row>
    <row r="20398" ht="14.25" customHeight="1">
      <c r="A20398" s="740"/>
    </row>
    <row r="20399" ht="14.25" customHeight="1">
      <c r="A20399" s="740"/>
    </row>
    <row r="20400" ht="14.25" customHeight="1">
      <c r="A20400" s="740"/>
    </row>
    <row r="20401" ht="14.25" customHeight="1">
      <c r="A20401" s="740"/>
    </row>
    <row r="20402" ht="14.25" customHeight="1">
      <c r="A20402" s="740"/>
    </row>
    <row r="20403" ht="14.25" customHeight="1">
      <c r="A20403" s="740"/>
    </row>
    <row r="20404" ht="14.25" customHeight="1">
      <c r="A20404" s="740"/>
    </row>
    <row r="20405" ht="14.25" customHeight="1">
      <c r="A20405" s="740"/>
    </row>
    <row r="20406" ht="14.25" customHeight="1">
      <c r="A20406" s="740"/>
    </row>
    <row r="20407" ht="14.25" customHeight="1">
      <c r="A20407" s="740"/>
    </row>
    <row r="20408" ht="14.25" customHeight="1">
      <c r="A20408" s="740"/>
    </row>
    <row r="20409" ht="14.25" customHeight="1">
      <c r="A20409" s="740"/>
    </row>
    <row r="20410" ht="14.25" customHeight="1">
      <c r="A20410" s="740"/>
    </row>
    <row r="20411" ht="14.25" customHeight="1">
      <c r="A20411" s="740"/>
    </row>
    <row r="20412" ht="14.25" customHeight="1">
      <c r="A20412" s="740"/>
    </row>
    <row r="20413" ht="14.25" customHeight="1">
      <c r="A20413" s="740"/>
    </row>
    <row r="20414" ht="14.25" customHeight="1">
      <c r="A20414" s="740"/>
    </row>
    <row r="20415" ht="14.25" customHeight="1">
      <c r="A20415" s="740"/>
    </row>
    <row r="20416" ht="14.25" customHeight="1">
      <c r="A20416" s="740"/>
    </row>
    <row r="20417" ht="14.25" customHeight="1">
      <c r="A20417" s="740"/>
    </row>
    <row r="20418" ht="14.25" customHeight="1">
      <c r="A20418" s="740"/>
    </row>
    <row r="20419" ht="14.25" customHeight="1">
      <c r="A20419" s="740"/>
    </row>
    <row r="20420" ht="14.25" customHeight="1">
      <c r="A20420" s="740"/>
    </row>
    <row r="20421" ht="14.25" customHeight="1">
      <c r="A20421" s="740"/>
    </row>
    <row r="20422" ht="14.25" customHeight="1">
      <c r="A20422" s="740"/>
    </row>
    <row r="20423" ht="14.25" customHeight="1">
      <c r="A20423" s="740"/>
    </row>
    <row r="20424" ht="14.25" customHeight="1">
      <c r="A20424" s="740"/>
    </row>
    <row r="20425" ht="14.25" customHeight="1">
      <c r="A20425" s="740"/>
    </row>
    <row r="20426" ht="14.25" customHeight="1">
      <c r="A20426" s="740"/>
    </row>
    <row r="20427" ht="14.25" customHeight="1">
      <c r="A20427" s="740"/>
    </row>
    <row r="20428" ht="14.25" customHeight="1">
      <c r="A20428" s="740"/>
    </row>
    <row r="20429" ht="14.25" customHeight="1">
      <c r="A20429" s="740"/>
    </row>
    <row r="20430" ht="14.25" customHeight="1">
      <c r="A20430" s="740"/>
    </row>
    <row r="20431" ht="14.25" customHeight="1">
      <c r="A20431" s="740"/>
    </row>
    <row r="20432" ht="14.25" customHeight="1">
      <c r="A20432" s="740"/>
    </row>
    <row r="20433" ht="14.25" customHeight="1">
      <c r="A20433" s="740"/>
    </row>
    <row r="20434" ht="14.25" customHeight="1">
      <c r="A20434" s="740"/>
    </row>
    <row r="20435" ht="14.25" customHeight="1">
      <c r="A20435" s="740"/>
    </row>
    <row r="20436" ht="14.25" customHeight="1">
      <c r="A20436" s="740"/>
    </row>
    <row r="20437" ht="14.25" customHeight="1">
      <c r="A20437" s="740"/>
    </row>
    <row r="20438" ht="14.25" customHeight="1">
      <c r="A20438" s="740"/>
    </row>
    <row r="20439" ht="14.25" customHeight="1">
      <c r="A20439" s="740"/>
    </row>
    <row r="20440" ht="14.25" customHeight="1">
      <c r="A20440" s="740"/>
    </row>
    <row r="20441" ht="14.25" customHeight="1">
      <c r="A20441" s="740"/>
    </row>
    <row r="20442" ht="14.25" customHeight="1">
      <c r="A20442" s="740"/>
    </row>
    <row r="20443" ht="14.25" customHeight="1">
      <c r="A20443" s="740"/>
    </row>
    <row r="20444" ht="14.25" customHeight="1">
      <c r="A20444" s="740"/>
    </row>
    <row r="20445" ht="14.25" customHeight="1">
      <c r="A20445" s="740"/>
    </row>
    <row r="20446" ht="14.25" customHeight="1">
      <c r="A20446" s="740"/>
    </row>
    <row r="20447" ht="14.25" customHeight="1">
      <c r="A20447" s="740"/>
    </row>
    <row r="20448" ht="14.25" customHeight="1">
      <c r="A20448" s="740"/>
    </row>
    <row r="20449" ht="14.25" customHeight="1">
      <c r="A20449" s="740"/>
    </row>
    <row r="20450" ht="14.25" customHeight="1">
      <c r="A20450" s="740"/>
    </row>
    <row r="20451" ht="14.25" customHeight="1">
      <c r="A20451" s="740"/>
    </row>
    <row r="20452" ht="14.25" customHeight="1">
      <c r="A20452" s="740"/>
    </row>
    <row r="20453" ht="14.25" customHeight="1">
      <c r="A20453" s="740"/>
    </row>
    <row r="20454" ht="14.25" customHeight="1">
      <c r="A20454" s="740"/>
    </row>
    <row r="20455" ht="14.25" customHeight="1">
      <c r="A20455" s="740"/>
    </row>
    <row r="20456" ht="14.25" customHeight="1">
      <c r="A20456" s="740"/>
    </row>
    <row r="20457" ht="14.25" customHeight="1">
      <c r="A20457" s="740"/>
    </row>
    <row r="20458" ht="14.25" customHeight="1">
      <c r="A20458" s="740"/>
    </row>
    <row r="20459" ht="14.25" customHeight="1">
      <c r="A20459" s="740"/>
    </row>
    <row r="20460" ht="14.25" customHeight="1">
      <c r="A20460" s="740"/>
    </row>
    <row r="20461" ht="14.25" customHeight="1">
      <c r="A20461" s="740"/>
    </row>
    <row r="20462" ht="14.25" customHeight="1">
      <c r="A20462" s="740"/>
    </row>
    <row r="20463" ht="14.25" customHeight="1">
      <c r="A20463" s="740"/>
    </row>
    <row r="20464" ht="14.25" customHeight="1">
      <c r="A20464" s="740"/>
    </row>
    <row r="20465" ht="14.25" customHeight="1">
      <c r="A20465" s="740"/>
    </row>
    <row r="20466" ht="14.25" customHeight="1">
      <c r="A20466" s="740"/>
    </row>
    <row r="20467" ht="14.25" customHeight="1">
      <c r="A20467" s="740"/>
    </row>
    <row r="20468" ht="14.25" customHeight="1">
      <c r="A20468" s="740"/>
    </row>
    <row r="20469" ht="14.25" customHeight="1">
      <c r="A20469" s="740"/>
    </row>
    <row r="20470" ht="14.25" customHeight="1">
      <c r="A20470" s="740"/>
    </row>
    <row r="20471" ht="14.25" customHeight="1">
      <c r="A20471" s="740"/>
    </row>
    <row r="20472" ht="14.25" customHeight="1">
      <c r="A20472" s="740"/>
    </row>
    <row r="20473" ht="14.25" customHeight="1">
      <c r="A20473" s="740"/>
    </row>
    <row r="20474" ht="14.25" customHeight="1">
      <c r="A20474" s="740"/>
    </row>
    <row r="20475" ht="14.25" customHeight="1">
      <c r="A20475" s="740"/>
    </row>
    <row r="20476" ht="14.25" customHeight="1">
      <c r="A20476" s="740"/>
    </row>
    <row r="20477" ht="14.25" customHeight="1">
      <c r="A20477" s="740"/>
    </row>
    <row r="20478" ht="14.25" customHeight="1">
      <c r="A20478" s="740"/>
    </row>
    <row r="20479" ht="14.25" customHeight="1">
      <c r="A20479" s="740"/>
    </row>
    <row r="20480" ht="14.25" customHeight="1">
      <c r="A20480" s="740"/>
    </row>
    <row r="20481" ht="14.25" customHeight="1">
      <c r="A20481" s="740"/>
    </row>
    <row r="20482" ht="14.25" customHeight="1">
      <c r="A20482" s="740"/>
    </row>
    <row r="20483" ht="14.25" customHeight="1">
      <c r="A20483" s="740"/>
    </row>
    <row r="20484" ht="14.25" customHeight="1">
      <c r="A20484" s="740"/>
    </row>
    <row r="20485" ht="14.25" customHeight="1">
      <c r="A20485" s="740"/>
    </row>
    <row r="20486" ht="14.25" customHeight="1">
      <c r="A20486" s="740"/>
    </row>
    <row r="20487" ht="14.25" customHeight="1">
      <c r="A20487" s="740"/>
    </row>
    <row r="20488" ht="14.25" customHeight="1">
      <c r="A20488" s="740"/>
    </row>
    <row r="20489" ht="14.25" customHeight="1">
      <c r="A20489" s="740"/>
    </row>
    <row r="20490" ht="14.25" customHeight="1">
      <c r="A20490" s="740"/>
    </row>
    <row r="20491" ht="14.25" customHeight="1">
      <c r="A20491" s="740"/>
    </row>
    <row r="20492" ht="14.25" customHeight="1">
      <c r="A20492" s="740"/>
    </row>
    <row r="20493" ht="14.25" customHeight="1">
      <c r="A20493" s="740"/>
    </row>
    <row r="20494" ht="14.25" customHeight="1">
      <c r="A20494" s="740"/>
    </row>
    <row r="20495" ht="14.25" customHeight="1">
      <c r="A20495" s="740"/>
    </row>
    <row r="20496" ht="14.25" customHeight="1">
      <c r="A20496" s="740"/>
    </row>
    <row r="20497" ht="14.25" customHeight="1">
      <c r="A20497" s="740"/>
    </row>
    <row r="20498" ht="14.25" customHeight="1">
      <c r="A20498" s="740"/>
    </row>
    <row r="20499" ht="14.25" customHeight="1">
      <c r="A20499" s="740"/>
    </row>
    <row r="20500" ht="14.25" customHeight="1">
      <c r="A20500" s="740"/>
    </row>
    <row r="20501" ht="14.25" customHeight="1">
      <c r="A20501" s="740"/>
    </row>
    <row r="20502" ht="14.25" customHeight="1">
      <c r="A20502" s="740"/>
    </row>
    <row r="20503" ht="14.25" customHeight="1">
      <c r="A20503" s="740"/>
    </row>
    <row r="20504" ht="14.25" customHeight="1">
      <c r="A20504" s="740"/>
    </row>
    <row r="20505" ht="14.25" customHeight="1">
      <c r="A20505" s="740"/>
    </row>
    <row r="20506" ht="14.25" customHeight="1">
      <c r="A20506" s="740"/>
    </row>
    <row r="20507" ht="14.25" customHeight="1">
      <c r="A20507" s="740"/>
    </row>
    <row r="20508" ht="14.25" customHeight="1">
      <c r="A20508" s="740"/>
    </row>
    <row r="20509" ht="14.25" customHeight="1">
      <c r="A20509" s="740"/>
    </row>
    <row r="20510" ht="14.25" customHeight="1">
      <c r="A20510" s="740"/>
    </row>
    <row r="20511" ht="14.25" customHeight="1">
      <c r="A20511" s="740"/>
    </row>
    <row r="20512" ht="14.25" customHeight="1">
      <c r="A20512" s="740"/>
    </row>
    <row r="20513" ht="14.25" customHeight="1">
      <c r="A20513" s="740"/>
    </row>
    <row r="20514" ht="14.25" customHeight="1">
      <c r="A20514" s="740"/>
    </row>
    <row r="20515" ht="14.25" customHeight="1">
      <c r="A20515" s="740"/>
    </row>
    <row r="20516" ht="14.25" customHeight="1">
      <c r="A20516" s="740"/>
    </row>
    <row r="20517" ht="14.25" customHeight="1">
      <c r="A20517" s="740"/>
    </row>
    <row r="20518" ht="14.25" customHeight="1">
      <c r="A20518" s="740"/>
    </row>
    <row r="20519" ht="14.25" customHeight="1">
      <c r="A20519" s="740"/>
    </row>
    <row r="20520" ht="14.25" customHeight="1">
      <c r="A20520" s="740"/>
    </row>
    <row r="20521" ht="14.25" customHeight="1">
      <c r="A20521" s="740"/>
    </row>
    <row r="20522" ht="14.25" customHeight="1">
      <c r="A20522" s="740"/>
    </row>
    <row r="20523" ht="14.25" customHeight="1">
      <c r="A20523" s="740"/>
    </row>
    <row r="20524" ht="14.25" customHeight="1">
      <c r="A20524" s="740"/>
    </row>
    <row r="20525" ht="14.25" customHeight="1">
      <c r="A20525" s="740"/>
    </row>
    <row r="20526" ht="14.25" customHeight="1">
      <c r="A20526" s="740"/>
    </row>
    <row r="20527" ht="14.25" customHeight="1">
      <c r="A20527" s="740"/>
    </row>
    <row r="20528" ht="14.25" customHeight="1">
      <c r="A20528" s="740"/>
    </row>
    <row r="20529" ht="14.25" customHeight="1">
      <c r="A20529" s="740"/>
    </row>
    <row r="20530" ht="14.25" customHeight="1">
      <c r="A20530" s="740"/>
    </row>
    <row r="20531" ht="14.25" customHeight="1">
      <c r="A20531" s="740"/>
    </row>
    <row r="20532" ht="14.25" customHeight="1">
      <c r="A20532" s="740"/>
    </row>
    <row r="20533" ht="14.25" customHeight="1">
      <c r="A20533" s="740"/>
    </row>
    <row r="20534" ht="14.25" customHeight="1">
      <c r="A20534" s="740"/>
    </row>
    <row r="20535" ht="14.25" customHeight="1">
      <c r="A20535" s="740"/>
    </row>
    <row r="20536" ht="14.25" customHeight="1">
      <c r="A20536" s="740"/>
    </row>
    <row r="20537" ht="14.25" customHeight="1">
      <c r="A20537" s="740"/>
    </row>
    <row r="20538" ht="14.25" customHeight="1">
      <c r="A20538" s="740"/>
    </row>
    <row r="20539" ht="14.25" customHeight="1">
      <c r="A20539" s="740"/>
    </row>
    <row r="20540" ht="14.25" customHeight="1">
      <c r="A20540" s="740"/>
    </row>
    <row r="20541" ht="14.25" customHeight="1">
      <c r="A20541" s="740"/>
    </row>
    <row r="20542" ht="14.25" customHeight="1">
      <c r="A20542" s="740"/>
    </row>
    <row r="20543" ht="14.25" customHeight="1">
      <c r="A20543" s="740"/>
    </row>
    <row r="20544" ht="14.25" customHeight="1">
      <c r="A20544" s="740"/>
    </row>
    <row r="20545" ht="14.25" customHeight="1">
      <c r="A20545" s="740"/>
    </row>
    <row r="20546" ht="14.25" customHeight="1">
      <c r="A20546" s="740"/>
    </row>
    <row r="20547" ht="14.25" customHeight="1">
      <c r="A20547" s="740"/>
    </row>
    <row r="20548" ht="14.25" customHeight="1">
      <c r="A20548" s="740"/>
    </row>
    <row r="20549" ht="14.25" customHeight="1">
      <c r="A20549" s="740"/>
    </row>
    <row r="20550" ht="14.25" customHeight="1">
      <c r="A20550" s="740"/>
    </row>
    <row r="20551" ht="14.25" customHeight="1">
      <c r="A20551" s="740"/>
    </row>
    <row r="20552" ht="14.25" customHeight="1">
      <c r="A20552" s="740"/>
    </row>
    <row r="20553" ht="14.25" customHeight="1">
      <c r="A20553" s="740"/>
    </row>
    <row r="20554" ht="14.25" customHeight="1">
      <c r="A20554" s="740"/>
    </row>
    <row r="20555" ht="14.25" customHeight="1">
      <c r="A20555" s="740"/>
    </row>
    <row r="20556" ht="14.25" customHeight="1">
      <c r="A20556" s="740"/>
    </row>
    <row r="20557" ht="14.25" customHeight="1">
      <c r="A20557" s="740"/>
    </row>
    <row r="20558" ht="14.25" customHeight="1">
      <c r="A20558" s="740"/>
    </row>
    <row r="20559" ht="14.25" customHeight="1">
      <c r="A20559" s="740"/>
    </row>
    <row r="20560" ht="14.25" customHeight="1">
      <c r="A20560" s="740"/>
    </row>
    <row r="20561" ht="14.25" customHeight="1">
      <c r="A20561" s="740"/>
    </row>
    <row r="20562" ht="14.25" customHeight="1">
      <c r="A20562" s="740"/>
    </row>
    <row r="20563" ht="14.25" customHeight="1">
      <c r="A20563" s="740"/>
    </row>
    <row r="20564" ht="14.25" customHeight="1">
      <c r="A20564" s="740"/>
    </row>
    <row r="20565" ht="14.25" customHeight="1">
      <c r="A20565" s="740"/>
    </row>
    <row r="20566" ht="14.25" customHeight="1">
      <c r="A20566" s="740"/>
    </row>
    <row r="20567" ht="14.25" customHeight="1">
      <c r="A20567" s="740"/>
    </row>
    <row r="20568" ht="14.25" customHeight="1">
      <c r="A20568" s="740"/>
    </row>
    <row r="20569" ht="14.25" customHeight="1">
      <c r="A20569" s="740"/>
    </row>
    <row r="20570" ht="14.25" customHeight="1">
      <c r="A20570" s="740"/>
    </row>
    <row r="20571" ht="14.25" customHeight="1">
      <c r="A20571" s="740"/>
    </row>
    <row r="20572" ht="14.25" customHeight="1">
      <c r="A20572" s="740"/>
    </row>
    <row r="20573" ht="14.25" customHeight="1">
      <c r="A20573" s="740"/>
    </row>
    <row r="20574" ht="14.25" customHeight="1">
      <c r="A20574" s="740"/>
    </row>
    <row r="20575" ht="14.25" customHeight="1">
      <c r="A20575" s="740"/>
    </row>
    <row r="20576" ht="14.25" customHeight="1">
      <c r="A20576" s="740"/>
    </row>
    <row r="20577" ht="14.25" customHeight="1">
      <c r="A20577" s="740"/>
    </row>
    <row r="20578" ht="14.25" customHeight="1">
      <c r="A20578" s="740"/>
    </row>
    <row r="20579" ht="14.25" customHeight="1">
      <c r="A20579" s="740"/>
    </row>
    <row r="20580" ht="14.25" customHeight="1">
      <c r="A20580" s="740"/>
    </row>
    <row r="20581" ht="14.25" customHeight="1">
      <c r="A20581" s="740"/>
    </row>
    <row r="20582" ht="14.25" customHeight="1">
      <c r="A20582" s="740"/>
    </row>
    <row r="20583" ht="14.25" customHeight="1">
      <c r="A20583" s="740"/>
    </row>
    <row r="20584" ht="14.25" customHeight="1">
      <c r="A20584" s="740"/>
    </row>
    <row r="20585" ht="14.25" customHeight="1">
      <c r="A20585" s="740"/>
    </row>
    <row r="20586" ht="14.25" customHeight="1">
      <c r="A20586" s="740"/>
    </row>
    <row r="20587" ht="14.25" customHeight="1">
      <c r="A20587" s="740"/>
    </row>
    <row r="20588" ht="14.25" customHeight="1">
      <c r="A20588" s="740"/>
    </row>
    <row r="20589" ht="14.25" customHeight="1">
      <c r="A20589" s="740"/>
    </row>
    <row r="20590" ht="14.25" customHeight="1">
      <c r="A20590" s="740"/>
    </row>
    <row r="20591" ht="14.25" customHeight="1">
      <c r="A20591" s="740"/>
    </row>
    <row r="20592" ht="14.25" customHeight="1">
      <c r="A20592" s="740"/>
    </row>
    <row r="20593" ht="14.25" customHeight="1">
      <c r="A20593" s="740"/>
    </row>
    <row r="20594" ht="14.25" customHeight="1">
      <c r="A20594" s="740"/>
    </row>
    <row r="20595" ht="14.25" customHeight="1">
      <c r="A20595" s="740"/>
    </row>
    <row r="20596" ht="14.25" customHeight="1">
      <c r="A20596" s="740"/>
    </row>
    <row r="20597" ht="14.25" customHeight="1">
      <c r="A20597" s="740"/>
    </row>
    <row r="20598" ht="14.25" customHeight="1">
      <c r="A20598" s="740"/>
    </row>
    <row r="20599" ht="14.25" customHeight="1">
      <c r="A20599" s="740"/>
    </row>
    <row r="20600" ht="14.25" customHeight="1">
      <c r="A20600" s="740"/>
    </row>
    <row r="20601" ht="14.25" customHeight="1">
      <c r="A20601" s="740"/>
    </row>
    <row r="20602" ht="14.25" customHeight="1">
      <c r="A20602" s="740"/>
    </row>
    <row r="20603" ht="14.25" customHeight="1">
      <c r="A20603" s="740"/>
    </row>
    <row r="20604" ht="14.25" customHeight="1">
      <c r="A20604" s="740"/>
    </row>
    <row r="20605" ht="14.25" customHeight="1">
      <c r="A20605" s="740"/>
    </row>
    <row r="20606" ht="14.25" customHeight="1">
      <c r="A20606" s="740"/>
    </row>
    <row r="20607" ht="14.25" customHeight="1">
      <c r="A20607" s="740"/>
    </row>
    <row r="20608" ht="14.25" customHeight="1">
      <c r="A20608" s="740"/>
    </row>
    <row r="20609" ht="14.25" customHeight="1">
      <c r="A20609" s="740"/>
    </row>
    <row r="20610" ht="14.25" customHeight="1">
      <c r="A20610" s="740"/>
    </row>
    <row r="20611" ht="14.25" customHeight="1">
      <c r="A20611" s="740"/>
    </row>
    <row r="20612" ht="14.25" customHeight="1">
      <c r="A20612" s="740"/>
    </row>
    <row r="20613" ht="14.25" customHeight="1">
      <c r="A20613" s="740"/>
    </row>
    <row r="20614" ht="14.25" customHeight="1">
      <c r="A20614" s="740"/>
    </row>
    <row r="20615" ht="14.25" customHeight="1">
      <c r="A20615" s="740"/>
    </row>
    <row r="20616" ht="14.25" customHeight="1">
      <c r="A20616" s="740"/>
    </row>
    <row r="20617" ht="14.25" customHeight="1">
      <c r="A20617" s="740"/>
    </row>
    <row r="20618" ht="14.25" customHeight="1">
      <c r="A20618" s="740"/>
    </row>
    <row r="20619" ht="14.25" customHeight="1">
      <c r="A20619" s="740"/>
    </row>
    <row r="20620" ht="14.25" customHeight="1">
      <c r="A20620" s="740"/>
    </row>
    <row r="20621" ht="14.25" customHeight="1">
      <c r="A20621" s="740"/>
    </row>
    <row r="20622" ht="14.25" customHeight="1">
      <c r="A20622" s="740"/>
    </row>
    <row r="20623" ht="14.25" customHeight="1">
      <c r="A20623" s="740"/>
    </row>
    <row r="20624" ht="14.25" customHeight="1">
      <c r="A20624" s="740"/>
    </row>
    <row r="20625" ht="14.25" customHeight="1">
      <c r="A20625" s="740"/>
    </row>
    <row r="20626" ht="14.25" customHeight="1">
      <c r="A20626" s="740"/>
    </row>
    <row r="20627" ht="14.25" customHeight="1">
      <c r="A20627" s="740"/>
    </row>
    <row r="20628" ht="14.25" customHeight="1">
      <c r="A20628" s="740"/>
    </row>
    <row r="20629" ht="14.25" customHeight="1">
      <c r="A20629" s="740"/>
    </row>
    <row r="20630" ht="14.25" customHeight="1">
      <c r="A20630" s="740"/>
    </row>
    <row r="20631" ht="14.25" customHeight="1">
      <c r="A20631" s="740"/>
    </row>
    <row r="20632" ht="14.25" customHeight="1">
      <c r="A20632" s="740"/>
    </row>
    <row r="20633" ht="14.25" customHeight="1">
      <c r="A20633" s="740"/>
    </row>
    <row r="20634" ht="14.25" customHeight="1">
      <c r="A20634" s="740"/>
    </row>
    <row r="20635" ht="14.25" customHeight="1">
      <c r="A20635" s="740"/>
    </row>
    <row r="20636" ht="14.25" customHeight="1">
      <c r="A20636" s="740"/>
    </row>
    <row r="20637" ht="14.25" customHeight="1">
      <c r="A20637" s="740"/>
    </row>
    <row r="20638" ht="14.25" customHeight="1">
      <c r="A20638" s="740"/>
    </row>
    <row r="20639" ht="14.25" customHeight="1">
      <c r="A20639" s="740"/>
    </row>
    <row r="20640" ht="14.25" customHeight="1">
      <c r="A20640" s="740"/>
    </row>
    <row r="20641" ht="14.25" customHeight="1">
      <c r="A20641" s="740"/>
    </row>
    <row r="20642" ht="14.25" customHeight="1">
      <c r="A20642" s="740"/>
    </row>
    <row r="20643" ht="14.25" customHeight="1">
      <c r="A20643" s="740"/>
    </row>
    <row r="20644" ht="14.25" customHeight="1">
      <c r="A20644" s="740"/>
    </row>
    <row r="20645" ht="14.25" customHeight="1">
      <c r="A20645" s="740"/>
    </row>
    <row r="20646" ht="14.25" customHeight="1">
      <c r="A20646" s="740"/>
    </row>
    <row r="20647" ht="14.25" customHeight="1">
      <c r="A20647" s="740"/>
    </row>
    <row r="20648" ht="14.25" customHeight="1">
      <c r="A20648" s="740"/>
    </row>
    <row r="20649" ht="14.25" customHeight="1">
      <c r="A20649" s="740"/>
    </row>
    <row r="20650" ht="14.25" customHeight="1">
      <c r="A20650" s="740"/>
    </row>
    <row r="20651" ht="14.25" customHeight="1">
      <c r="A20651" s="740"/>
    </row>
    <row r="20652" ht="14.25" customHeight="1">
      <c r="A20652" s="740"/>
    </row>
    <row r="20653" ht="14.25" customHeight="1">
      <c r="A20653" s="740"/>
    </row>
    <row r="20654" ht="14.25" customHeight="1">
      <c r="A20654" s="740"/>
    </row>
    <row r="20655" ht="14.25" customHeight="1">
      <c r="A20655" s="740"/>
    </row>
    <row r="20656" ht="14.25" customHeight="1">
      <c r="A20656" s="740"/>
    </row>
    <row r="20657" ht="14.25" customHeight="1">
      <c r="A20657" s="740"/>
    </row>
    <row r="20658" ht="14.25" customHeight="1">
      <c r="A20658" s="740"/>
    </row>
    <row r="20659" ht="14.25" customHeight="1">
      <c r="A20659" s="740"/>
    </row>
    <row r="20660" ht="14.25" customHeight="1">
      <c r="A20660" s="740"/>
    </row>
    <row r="20661" ht="14.25" customHeight="1">
      <c r="A20661" s="740"/>
    </row>
    <row r="20662" ht="14.25" customHeight="1">
      <c r="A20662" s="740"/>
    </row>
    <row r="20663" ht="14.25" customHeight="1">
      <c r="A20663" s="740"/>
    </row>
    <row r="20664" ht="14.25" customHeight="1">
      <c r="A20664" s="740"/>
    </row>
    <row r="20665" ht="14.25" customHeight="1">
      <c r="A20665" s="740"/>
    </row>
    <row r="20666" ht="14.25" customHeight="1">
      <c r="A20666" s="740"/>
    </row>
    <row r="20667" ht="14.25" customHeight="1">
      <c r="A20667" s="740"/>
    </row>
    <row r="20668" ht="14.25" customHeight="1">
      <c r="A20668" s="740"/>
    </row>
    <row r="20669" ht="14.25" customHeight="1">
      <c r="A20669" s="740"/>
    </row>
    <row r="20670" ht="14.25" customHeight="1">
      <c r="A20670" s="740"/>
    </row>
    <row r="20671" ht="14.25" customHeight="1">
      <c r="A20671" s="740"/>
    </row>
    <row r="20672" ht="14.25" customHeight="1">
      <c r="A20672" s="740"/>
    </row>
    <row r="20673" ht="14.25" customHeight="1">
      <c r="A20673" s="740"/>
    </row>
    <row r="20674" ht="14.25" customHeight="1">
      <c r="A20674" s="740"/>
    </row>
    <row r="20675" ht="14.25" customHeight="1">
      <c r="A20675" s="740"/>
    </row>
    <row r="20676" ht="14.25" customHeight="1">
      <c r="A20676" s="740"/>
    </row>
    <row r="20677" ht="14.25" customHeight="1">
      <c r="A20677" s="740"/>
    </row>
    <row r="20678" ht="14.25" customHeight="1">
      <c r="A20678" s="740"/>
    </row>
    <row r="20679" ht="14.25" customHeight="1">
      <c r="A20679" s="740"/>
    </row>
    <row r="20680" ht="14.25" customHeight="1">
      <c r="A20680" s="740"/>
    </row>
    <row r="20681" ht="14.25" customHeight="1">
      <c r="A20681" s="740"/>
    </row>
    <row r="20682" ht="14.25" customHeight="1">
      <c r="A20682" s="740"/>
    </row>
    <row r="20683" ht="14.25" customHeight="1">
      <c r="A20683" s="740"/>
    </row>
    <row r="20684" ht="14.25" customHeight="1">
      <c r="A20684" s="740"/>
    </row>
    <row r="20685" ht="14.25" customHeight="1">
      <c r="A20685" s="740"/>
    </row>
    <row r="20686" ht="14.25" customHeight="1">
      <c r="A20686" s="740"/>
    </row>
    <row r="20687" ht="14.25" customHeight="1">
      <c r="A20687" s="740"/>
    </row>
    <row r="20688" ht="14.25" customHeight="1">
      <c r="A20688" s="740"/>
    </row>
    <row r="20689" ht="14.25" customHeight="1">
      <c r="A20689" s="740"/>
    </row>
    <row r="20690" ht="14.25" customHeight="1">
      <c r="A20690" s="740"/>
    </row>
    <row r="20691" ht="14.25" customHeight="1">
      <c r="A20691" s="740"/>
    </row>
    <row r="20692" ht="14.25" customHeight="1">
      <c r="A20692" s="740"/>
    </row>
    <row r="20693" ht="14.25" customHeight="1">
      <c r="A20693" s="740"/>
    </row>
    <row r="20694" ht="14.25" customHeight="1">
      <c r="A20694" s="740"/>
    </row>
    <row r="20695" ht="14.25" customHeight="1">
      <c r="A20695" s="740"/>
    </row>
    <row r="20696" ht="14.25" customHeight="1">
      <c r="A20696" s="740"/>
    </row>
    <row r="20697" ht="14.25" customHeight="1">
      <c r="A20697" s="740"/>
    </row>
    <row r="20698" ht="14.25" customHeight="1">
      <c r="A20698" s="740"/>
    </row>
    <row r="20699" ht="14.25" customHeight="1">
      <c r="A20699" s="740"/>
    </row>
    <row r="20700" ht="14.25" customHeight="1">
      <c r="A20700" s="740"/>
    </row>
    <row r="20701" ht="14.25" customHeight="1">
      <c r="A20701" s="740"/>
    </row>
    <row r="20702" ht="14.25" customHeight="1">
      <c r="A20702" s="740"/>
    </row>
    <row r="20703" ht="14.25" customHeight="1">
      <c r="A20703" s="740"/>
    </row>
    <row r="20704" ht="14.25" customHeight="1">
      <c r="A20704" s="740"/>
    </row>
    <row r="20705" ht="14.25" customHeight="1">
      <c r="A20705" s="740"/>
    </row>
    <row r="20706" ht="14.25" customHeight="1">
      <c r="A20706" s="740"/>
    </row>
    <row r="20707" ht="14.25" customHeight="1">
      <c r="A20707" s="740"/>
    </row>
    <row r="20708" ht="14.25" customHeight="1">
      <c r="A20708" s="740"/>
    </row>
    <row r="20709" ht="14.25" customHeight="1">
      <c r="A20709" s="740"/>
    </row>
    <row r="20710" ht="14.25" customHeight="1">
      <c r="A20710" s="740"/>
    </row>
    <row r="20711" ht="14.25" customHeight="1">
      <c r="A20711" s="740"/>
    </row>
    <row r="20712" ht="14.25" customHeight="1">
      <c r="A20712" s="740"/>
    </row>
    <row r="20713" ht="14.25" customHeight="1">
      <c r="A20713" s="740"/>
    </row>
    <row r="20714" ht="14.25" customHeight="1">
      <c r="A20714" s="740"/>
    </row>
    <row r="20715" ht="14.25" customHeight="1">
      <c r="A20715" s="740"/>
    </row>
    <row r="20716" ht="14.25" customHeight="1">
      <c r="A20716" s="740"/>
    </row>
    <row r="20717" ht="14.25" customHeight="1">
      <c r="A20717" s="740"/>
    </row>
    <row r="20718" ht="14.25" customHeight="1">
      <c r="A20718" s="740"/>
    </row>
    <row r="20719" ht="14.25" customHeight="1">
      <c r="A20719" s="740"/>
    </row>
    <row r="20720" ht="14.25" customHeight="1">
      <c r="A20720" s="740"/>
    </row>
    <row r="20721" ht="14.25" customHeight="1">
      <c r="A20721" s="740"/>
    </row>
    <row r="20722" ht="14.25" customHeight="1">
      <c r="A20722" s="740"/>
    </row>
    <row r="20723" ht="14.25" customHeight="1">
      <c r="A20723" s="740"/>
    </row>
    <row r="20724" ht="14.25" customHeight="1">
      <c r="A20724" s="740"/>
    </row>
    <row r="20725" ht="14.25" customHeight="1">
      <c r="A20725" s="740"/>
    </row>
    <row r="20726" ht="14.25" customHeight="1">
      <c r="A20726" s="740"/>
    </row>
    <row r="20727" ht="14.25" customHeight="1">
      <c r="A20727" s="740"/>
    </row>
    <row r="20728" ht="14.25" customHeight="1">
      <c r="A20728" s="740"/>
    </row>
    <row r="20729" ht="14.25" customHeight="1">
      <c r="A20729" s="740"/>
    </row>
    <row r="20730" ht="14.25" customHeight="1">
      <c r="A20730" s="740"/>
    </row>
    <row r="20731" ht="14.25" customHeight="1">
      <c r="A20731" s="740"/>
    </row>
    <row r="20732" ht="14.25" customHeight="1">
      <c r="A20732" s="740"/>
    </row>
    <row r="20733" ht="14.25" customHeight="1">
      <c r="A20733" s="740"/>
    </row>
    <row r="20734" ht="14.25" customHeight="1">
      <c r="A20734" s="740"/>
    </row>
    <row r="20735" ht="14.25" customHeight="1">
      <c r="A20735" s="740"/>
    </row>
    <row r="20736" ht="14.25" customHeight="1">
      <c r="A20736" s="740"/>
    </row>
    <row r="20737" ht="14.25" customHeight="1">
      <c r="A20737" s="740"/>
    </row>
    <row r="20738" ht="14.25" customHeight="1">
      <c r="A20738" s="740"/>
    </row>
    <row r="20739" ht="14.25" customHeight="1">
      <c r="A20739" s="740"/>
    </row>
    <row r="20740" ht="14.25" customHeight="1">
      <c r="A20740" s="740"/>
    </row>
    <row r="20741" ht="14.25" customHeight="1">
      <c r="A20741" s="740"/>
    </row>
    <row r="20742" ht="14.25" customHeight="1">
      <c r="A20742" s="740"/>
    </row>
    <row r="20743" ht="14.25" customHeight="1">
      <c r="A20743" s="740"/>
    </row>
    <row r="20744" ht="14.25" customHeight="1">
      <c r="A20744" s="740"/>
    </row>
    <row r="20745" ht="14.25" customHeight="1">
      <c r="A20745" s="740"/>
    </row>
    <row r="20746" ht="14.25" customHeight="1">
      <c r="A20746" s="740"/>
    </row>
    <row r="20747" ht="14.25" customHeight="1">
      <c r="A20747" s="740"/>
    </row>
    <row r="20748" ht="14.25" customHeight="1">
      <c r="A20748" s="740"/>
    </row>
    <row r="20749" ht="14.25" customHeight="1">
      <c r="A20749" s="740"/>
    </row>
    <row r="20750" ht="14.25" customHeight="1">
      <c r="A20750" s="740"/>
    </row>
    <row r="20751" ht="14.25" customHeight="1">
      <c r="A20751" s="740"/>
    </row>
    <row r="20752" ht="14.25" customHeight="1">
      <c r="A20752" s="740"/>
    </row>
    <row r="20753" ht="14.25" customHeight="1">
      <c r="A20753" s="740"/>
    </row>
    <row r="20754" ht="14.25" customHeight="1">
      <c r="A20754" s="740"/>
    </row>
    <row r="20755" ht="14.25" customHeight="1">
      <c r="A20755" s="740"/>
    </row>
    <row r="20756" ht="14.25" customHeight="1">
      <c r="A20756" s="740"/>
    </row>
    <row r="20757" ht="14.25" customHeight="1">
      <c r="A20757" s="740"/>
    </row>
    <row r="20758" ht="14.25" customHeight="1">
      <c r="A20758" s="740"/>
    </row>
    <row r="20759" ht="14.25" customHeight="1">
      <c r="A20759" s="740"/>
    </row>
    <row r="20760" ht="14.25" customHeight="1">
      <c r="A20760" s="740"/>
    </row>
    <row r="20761" ht="14.25" customHeight="1">
      <c r="A20761" s="740"/>
    </row>
    <row r="20762" ht="14.25" customHeight="1">
      <c r="A20762" s="740"/>
    </row>
    <row r="20763" ht="14.25" customHeight="1">
      <c r="A20763" s="740"/>
    </row>
    <row r="20764" ht="14.25" customHeight="1">
      <c r="A20764" s="740"/>
    </row>
    <row r="20765" ht="14.25" customHeight="1">
      <c r="A20765" s="740"/>
    </row>
    <row r="20766" ht="14.25" customHeight="1">
      <c r="A20766" s="740"/>
    </row>
    <row r="20767" ht="14.25" customHeight="1">
      <c r="A20767" s="740"/>
    </row>
    <row r="20768" ht="14.25" customHeight="1">
      <c r="A20768" s="740"/>
    </row>
    <row r="20769" ht="14.25" customHeight="1">
      <c r="A20769" s="740"/>
    </row>
    <row r="20770" ht="14.25" customHeight="1">
      <c r="A20770" s="740"/>
    </row>
    <row r="20771" ht="14.25" customHeight="1">
      <c r="A20771" s="740"/>
    </row>
    <row r="20772" ht="14.25" customHeight="1">
      <c r="A20772" s="740"/>
    </row>
    <row r="20773" ht="14.25" customHeight="1">
      <c r="A20773" s="740"/>
    </row>
    <row r="20774" ht="14.25" customHeight="1">
      <c r="A20774" s="740"/>
    </row>
    <row r="20775" ht="14.25" customHeight="1">
      <c r="A20775" s="740"/>
    </row>
    <row r="20776" ht="14.25" customHeight="1">
      <c r="A20776" s="740"/>
    </row>
    <row r="20777" ht="14.25" customHeight="1">
      <c r="A20777" s="740"/>
    </row>
    <row r="20778" ht="14.25" customHeight="1">
      <c r="A20778" s="740"/>
    </row>
    <row r="20779" ht="14.25" customHeight="1">
      <c r="A20779" s="740"/>
    </row>
    <row r="20780" ht="14.25" customHeight="1">
      <c r="A20780" s="740"/>
    </row>
    <row r="20781" ht="14.25" customHeight="1">
      <c r="A20781" s="740"/>
    </row>
    <row r="20782" ht="14.25" customHeight="1">
      <c r="A20782" s="740"/>
    </row>
    <row r="20783" ht="14.25" customHeight="1">
      <c r="A20783" s="740"/>
    </row>
    <row r="20784" ht="14.25" customHeight="1">
      <c r="A20784" s="740"/>
    </row>
    <row r="20785" ht="14.25" customHeight="1">
      <c r="A20785" s="740"/>
    </row>
    <row r="20786" ht="14.25" customHeight="1">
      <c r="A20786" s="740"/>
    </row>
    <row r="20787" ht="14.25" customHeight="1">
      <c r="A20787" s="740"/>
    </row>
    <row r="20788" ht="14.25" customHeight="1">
      <c r="A20788" s="740"/>
    </row>
    <row r="20789" ht="14.25" customHeight="1">
      <c r="A20789" s="740"/>
    </row>
    <row r="20790" ht="14.25" customHeight="1">
      <c r="A20790" s="740"/>
    </row>
    <row r="20791" ht="14.25" customHeight="1">
      <c r="A20791" s="740"/>
    </row>
    <row r="20792" ht="14.25" customHeight="1">
      <c r="A20792" s="740"/>
    </row>
    <row r="20793" ht="14.25" customHeight="1">
      <c r="A20793" s="740"/>
    </row>
    <row r="20794" ht="14.25" customHeight="1">
      <c r="A20794" s="740"/>
    </row>
    <row r="20795" ht="14.25" customHeight="1">
      <c r="A20795" s="740"/>
    </row>
    <row r="20796" ht="14.25" customHeight="1">
      <c r="A20796" s="740"/>
    </row>
    <row r="20797" ht="14.25" customHeight="1">
      <c r="A20797" s="740"/>
    </row>
    <row r="20798" ht="14.25" customHeight="1">
      <c r="A20798" s="740"/>
    </row>
    <row r="20799" ht="14.25" customHeight="1">
      <c r="A20799" s="740"/>
    </row>
    <row r="20800" ht="14.25" customHeight="1">
      <c r="A20800" s="740"/>
    </row>
    <row r="20801" ht="14.25" customHeight="1">
      <c r="A20801" s="740"/>
    </row>
    <row r="20802" ht="14.25" customHeight="1">
      <c r="A20802" s="740"/>
    </row>
    <row r="20803" ht="14.25" customHeight="1">
      <c r="A20803" s="740"/>
    </row>
    <row r="20804" ht="14.25" customHeight="1">
      <c r="A20804" s="740"/>
    </row>
    <row r="20805" ht="14.25" customHeight="1">
      <c r="A20805" s="740"/>
    </row>
    <row r="20806" ht="14.25" customHeight="1">
      <c r="A20806" s="740"/>
    </row>
    <row r="20807" ht="14.25" customHeight="1">
      <c r="A20807" s="740"/>
    </row>
    <row r="20808" ht="14.25" customHeight="1">
      <c r="A20808" s="740"/>
    </row>
    <row r="20809" ht="14.25" customHeight="1">
      <c r="A20809" s="740"/>
    </row>
    <row r="20810" ht="14.25" customHeight="1">
      <c r="A20810" s="740"/>
    </row>
    <row r="20811" ht="14.25" customHeight="1">
      <c r="A20811" s="740"/>
    </row>
    <row r="20812" ht="14.25" customHeight="1">
      <c r="A20812" s="740"/>
    </row>
    <row r="20813" ht="14.25" customHeight="1">
      <c r="A20813" s="740"/>
    </row>
    <row r="20814" ht="14.25" customHeight="1">
      <c r="A20814" s="740"/>
    </row>
    <row r="20815" ht="14.25" customHeight="1">
      <c r="A20815" s="740"/>
    </row>
    <row r="20816" ht="14.25" customHeight="1">
      <c r="A20816" s="740"/>
    </row>
    <row r="20817" ht="14.25" customHeight="1">
      <c r="A20817" s="740"/>
    </row>
    <row r="20818" ht="14.25" customHeight="1">
      <c r="A20818" s="740"/>
    </row>
    <row r="20819" ht="14.25" customHeight="1">
      <c r="A20819" s="740"/>
    </row>
    <row r="20820" ht="14.25" customHeight="1">
      <c r="A20820" s="740"/>
    </row>
    <row r="20821" ht="14.25" customHeight="1">
      <c r="A20821" s="740"/>
    </row>
    <row r="20822" ht="14.25" customHeight="1">
      <c r="A20822" s="740"/>
    </row>
    <row r="20823" ht="14.25" customHeight="1">
      <c r="A20823" s="740"/>
    </row>
    <row r="20824" ht="14.25" customHeight="1">
      <c r="A20824" s="740"/>
    </row>
    <row r="20825" ht="14.25" customHeight="1">
      <c r="A20825" s="740"/>
    </row>
    <row r="20826" ht="14.25" customHeight="1">
      <c r="A20826" s="740"/>
    </row>
    <row r="20827" ht="14.25" customHeight="1">
      <c r="A20827" s="740"/>
    </row>
    <row r="20828" ht="14.25" customHeight="1">
      <c r="A20828" s="740"/>
    </row>
    <row r="20829" ht="14.25" customHeight="1">
      <c r="A20829" s="740"/>
    </row>
    <row r="20830" ht="14.25" customHeight="1">
      <c r="A20830" s="740"/>
    </row>
    <row r="20831" ht="14.25" customHeight="1">
      <c r="A20831" s="740"/>
    </row>
    <row r="20832" ht="14.25" customHeight="1">
      <c r="A20832" s="740"/>
    </row>
    <row r="20833" ht="14.25" customHeight="1">
      <c r="A20833" s="740"/>
    </row>
    <row r="20834" ht="14.25" customHeight="1">
      <c r="A20834" s="740"/>
    </row>
    <row r="20835" ht="14.25" customHeight="1">
      <c r="A20835" s="740"/>
    </row>
    <row r="20836" ht="14.25" customHeight="1">
      <c r="A20836" s="740"/>
    </row>
    <row r="20837" ht="14.25" customHeight="1">
      <c r="A20837" s="740"/>
    </row>
    <row r="20838" ht="14.25" customHeight="1">
      <c r="A20838" s="740"/>
    </row>
    <row r="20839" ht="14.25" customHeight="1">
      <c r="A20839" s="740"/>
    </row>
    <row r="20840" ht="14.25" customHeight="1">
      <c r="A20840" s="740"/>
    </row>
    <row r="20841" ht="14.25" customHeight="1">
      <c r="A20841" s="740"/>
    </row>
    <row r="20842" ht="14.25" customHeight="1">
      <c r="A20842" s="740"/>
    </row>
    <row r="20843" ht="14.25" customHeight="1">
      <c r="A20843" s="740"/>
    </row>
    <row r="20844" ht="14.25" customHeight="1">
      <c r="A20844" s="740"/>
    </row>
    <row r="20845" ht="14.25" customHeight="1">
      <c r="A20845" s="740"/>
    </row>
    <row r="20846" ht="14.25" customHeight="1">
      <c r="A20846" s="740"/>
    </row>
    <row r="20847" ht="14.25" customHeight="1">
      <c r="A20847" s="740"/>
    </row>
    <row r="20848" ht="14.25" customHeight="1">
      <c r="A20848" s="740"/>
    </row>
    <row r="20849" ht="14.25" customHeight="1">
      <c r="A20849" s="740"/>
    </row>
    <row r="20850" ht="14.25" customHeight="1">
      <c r="A20850" s="740"/>
    </row>
    <row r="20851" ht="14.25" customHeight="1">
      <c r="A20851" s="740"/>
    </row>
    <row r="20852" ht="14.25" customHeight="1">
      <c r="A20852" s="740"/>
    </row>
    <row r="20853" ht="14.25" customHeight="1">
      <c r="A20853" s="740"/>
    </row>
    <row r="20854" ht="14.25" customHeight="1">
      <c r="A20854" s="740"/>
    </row>
    <row r="20855" ht="14.25" customHeight="1">
      <c r="A20855" s="740"/>
    </row>
    <row r="20856" ht="14.25" customHeight="1">
      <c r="A20856" s="740"/>
    </row>
    <row r="20857" ht="14.25" customHeight="1">
      <c r="A20857" s="740"/>
    </row>
    <row r="20858" ht="14.25" customHeight="1">
      <c r="A20858" s="740"/>
    </row>
    <row r="20859" ht="14.25" customHeight="1">
      <c r="A20859" s="740"/>
    </row>
    <row r="20860" ht="14.25" customHeight="1">
      <c r="A20860" s="740"/>
    </row>
    <row r="20861" ht="14.25" customHeight="1">
      <c r="A20861" s="740"/>
    </row>
    <row r="20862" ht="14.25" customHeight="1">
      <c r="A20862" s="740"/>
    </row>
    <row r="20863" ht="14.25" customHeight="1">
      <c r="A20863" s="740"/>
    </row>
    <row r="20864" ht="14.25" customHeight="1">
      <c r="A20864" s="740"/>
    </row>
    <row r="20865" ht="14.25" customHeight="1">
      <c r="A20865" s="740"/>
    </row>
    <row r="20866" ht="14.25" customHeight="1">
      <c r="A20866" s="740"/>
    </row>
    <row r="20867" ht="14.25" customHeight="1">
      <c r="A20867" s="740"/>
    </row>
    <row r="20868" ht="14.25" customHeight="1">
      <c r="A20868" s="740"/>
    </row>
    <row r="20869" ht="14.25" customHeight="1">
      <c r="A20869" s="740"/>
    </row>
    <row r="20870" ht="14.25" customHeight="1">
      <c r="A20870" s="740"/>
    </row>
    <row r="20871" ht="14.25" customHeight="1">
      <c r="A20871" s="740"/>
    </row>
    <row r="20872" ht="14.25" customHeight="1">
      <c r="A20872" s="740"/>
    </row>
    <row r="20873" ht="14.25" customHeight="1">
      <c r="A20873" s="740"/>
    </row>
    <row r="20874" ht="14.25" customHeight="1">
      <c r="A20874" s="740"/>
    </row>
    <row r="20875" ht="14.25" customHeight="1">
      <c r="A20875" s="740"/>
    </row>
    <row r="20876" ht="14.25" customHeight="1">
      <c r="A20876" s="740"/>
    </row>
    <row r="20877" ht="14.25" customHeight="1">
      <c r="A20877" s="740"/>
    </row>
    <row r="20878" ht="14.25" customHeight="1">
      <c r="A20878" s="740"/>
    </row>
    <row r="20879" ht="14.25" customHeight="1">
      <c r="A20879" s="740"/>
    </row>
    <row r="20880" ht="14.25" customHeight="1">
      <c r="A20880" s="740"/>
    </row>
    <row r="20881" ht="14.25" customHeight="1">
      <c r="A20881" s="740"/>
    </row>
    <row r="20882" ht="14.25" customHeight="1">
      <c r="A20882" s="740"/>
    </row>
    <row r="20883" ht="14.25" customHeight="1">
      <c r="A20883" s="740"/>
    </row>
    <row r="20884" ht="14.25" customHeight="1">
      <c r="A20884" s="740"/>
    </row>
    <row r="20885" ht="14.25" customHeight="1">
      <c r="A20885" s="740"/>
    </row>
    <row r="20886" ht="14.25" customHeight="1">
      <c r="A20886" s="740"/>
    </row>
    <row r="20887" ht="14.25" customHeight="1">
      <c r="A20887" s="740"/>
    </row>
    <row r="20888" ht="14.25" customHeight="1">
      <c r="A20888" s="740"/>
    </row>
    <row r="20889" ht="14.25" customHeight="1">
      <c r="A20889" s="740"/>
    </row>
    <row r="20890" ht="14.25" customHeight="1">
      <c r="A20890" s="740"/>
    </row>
    <row r="20891" ht="14.25" customHeight="1">
      <c r="A20891" s="740"/>
    </row>
    <row r="20892" ht="14.25" customHeight="1">
      <c r="A20892" s="740"/>
    </row>
    <row r="20893" ht="14.25" customHeight="1">
      <c r="A20893" s="740"/>
    </row>
    <row r="20894" ht="14.25" customHeight="1">
      <c r="A20894" s="740"/>
    </row>
    <row r="20895" ht="14.25" customHeight="1">
      <c r="A20895" s="740"/>
    </row>
    <row r="20896" ht="14.25" customHeight="1">
      <c r="A20896" s="740"/>
    </row>
    <row r="20897" ht="14.25" customHeight="1">
      <c r="A20897" s="740"/>
    </row>
    <row r="20898" ht="14.25" customHeight="1">
      <c r="A20898" s="740"/>
    </row>
    <row r="20899" ht="14.25" customHeight="1">
      <c r="A20899" s="740"/>
    </row>
    <row r="20900" ht="14.25" customHeight="1">
      <c r="A20900" s="740"/>
    </row>
    <row r="20901" ht="14.25" customHeight="1">
      <c r="A20901" s="740"/>
    </row>
    <row r="20902" ht="14.25" customHeight="1">
      <c r="A20902" s="740"/>
    </row>
    <row r="20903" ht="14.25" customHeight="1">
      <c r="A20903" s="740"/>
    </row>
    <row r="20904" ht="14.25" customHeight="1">
      <c r="A20904" s="740"/>
    </row>
    <row r="20905" ht="14.25" customHeight="1">
      <c r="A20905" s="740"/>
    </row>
    <row r="20906" ht="14.25" customHeight="1">
      <c r="A20906" s="740"/>
    </row>
    <row r="20907" ht="14.25" customHeight="1">
      <c r="A20907" s="740"/>
    </row>
    <row r="20908" ht="14.25" customHeight="1">
      <c r="A20908" s="740"/>
    </row>
    <row r="20909" ht="14.25" customHeight="1">
      <c r="A20909" s="740"/>
    </row>
    <row r="20910" ht="14.25" customHeight="1">
      <c r="A20910" s="740"/>
    </row>
    <row r="20911" ht="14.25" customHeight="1">
      <c r="A20911" s="740"/>
    </row>
    <row r="20912" ht="14.25" customHeight="1">
      <c r="A20912" s="740"/>
    </row>
    <row r="20913" ht="14.25" customHeight="1">
      <c r="A20913" s="740"/>
    </row>
    <row r="20914" ht="14.25" customHeight="1">
      <c r="A20914" s="740"/>
    </row>
    <row r="20915" ht="14.25" customHeight="1">
      <c r="A20915" s="740"/>
    </row>
    <row r="20916" ht="14.25" customHeight="1">
      <c r="A20916" s="740"/>
    </row>
    <row r="20917" ht="14.25" customHeight="1">
      <c r="A20917" s="740"/>
    </row>
    <row r="20918" ht="14.25" customHeight="1">
      <c r="A20918" s="740"/>
    </row>
    <row r="20919" ht="14.25" customHeight="1">
      <c r="A20919" s="740"/>
    </row>
    <row r="20920" ht="14.25" customHeight="1">
      <c r="A20920" s="740"/>
    </row>
    <row r="20921" ht="14.25" customHeight="1">
      <c r="A20921" s="740"/>
    </row>
    <row r="20922" ht="14.25" customHeight="1">
      <c r="A20922" s="740"/>
    </row>
    <row r="20923" ht="14.25" customHeight="1">
      <c r="A20923" s="740"/>
    </row>
    <row r="20924" ht="14.25" customHeight="1">
      <c r="A20924" s="740"/>
    </row>
    <row r="20925" ht="14.25" customHeight="1">
      <c r="A20925" s="740"/>
    </row>
    <row r="20926" ht="14.25" customHeight="1">
      <c r="A20926" s="740"/>
    </row>
    <row r="20927" ht="14.25" customHeight="1">
      <c r="A20927" s="740"/>
    </row>
    <row r="20928" ht="14.25" customHeight="1">
      <c r="A20928" s="740"/>
    </row>
    <row r="20929" ht="14.25" customHeight="1">
      <c r="A20929" s="740"/>
    </row>
    <row r="20930" ht="14.25" customHeight="1">
      <c r="A20930" s="740"/>
    </row>
    <row r="20931" ht="14.25" customHeight="1">
      <c r="A20931" s="740"/>
    </row>
    <row r="20932" ht="14.25" customHeight="1">
      <c r="A20932" s="740"/>
    </row>
    <row r="20933" ht="14.25" customHeight="1">
      <c r="A20933" s="740"/>
    </row>
    <row r="20934" ht="14.25" customHeight="1">
      <c r="A20934" s="740"/>
    </row>
    <row r="20935" ht="14.25" customHeight="1">
      <c r="A20935" s="740"/>
    </row>
    <row r="20936" ht="14.25" customHeight="1">
      <c r="A20936" s="740"/>
    </row>
    <row r="20937" ht="14.25" customHeight="1">
      <c r="A20937" s="740"/>
    </row>
    <row r="20938" ht="14.25" customHeight="1">
      <c r="A20938" s="740"/>
    </row>
    <row r="20939" ht="14.25" customHeight="1">
      <c r="A20939" s="740"/>
    </row>
    <row r="20940" ht="14.25" customHeight="1">
      <c r="A20940" s="740"/>
    </row>
    <row r="20941" ht="14.25" customHeight="1">
      <c r="A20941" s="740"/>
    </row>
    <row r="20942" ht="14.25" customHeight="1">
      <c r="A20942" s="740"/>
    </row>
    <row r="20943" ht="14.25" customHeight="1">
      <c r="A20943" s="740"/>
    </row>
    <row r="20944" ht="14.25" customHeight="1">
      <c r="A20944" s="740"/>
    </row>
    <row r="20945" ht="14.25" customHeight="1">
      <c r="A20945" s="740"/>
    </row>
    <row r="20946" ht="14.25" customHeight="1">
      <c r="A20946" s="740"/>
    </row>
    <row r="20947" ht="14.25" customHeight="1">
      <c r="A20947" s="740"/>
    </row>
    <row r="20948" ht="14.25" customHeight="1">
      <c r="A20948" s="740"/>
    </row>
    <row r="20949" ht="14.25" customHeight="1">
      <c r="A20949" s="740"/>
    </row>
    <row r="20950" ht="14.25" customHeight="1">
      <c r="A20950" s="740"/>
    </row>
    <row r="20951" ht="14.25" customHeight="1">
      <c r="A20951" s="740"/>
    </row>
    <row r="20952" ht="14.25" customHeight="1">
      <c r="A20952" s="740"/>
    </row>
    <row r="20953" ht="14.25" customHeight="1">
      <c r="A20953" s="740"/>
    </row>
    <row r="20954" ht="14.25" customHeight="1">
      <c r="A20954" s="740"/>
    </row>
    <row r="20955" ht="14.25" customHeight="1">
      <c r="A20955" s="740"/>
    </row>
    <row r="20956" ht="14.25" customHeight="1">
      <c r="A20956" s="740"/>
    </row>
    <row r="20957" ht="14.25" customHeight="1">
      <c r="A20957" s="740"/>
    </row>
    <row r="20958" ht="14.25" customHeight="1">
      <c r="A20958" s="740"/>
    </row>
    <row r="20959" ht="14.25" customHeight="1">
      <c r="A20959" s="740"/>
    </row>
    <row r="20960" ht="14.25" customHeight="1">
      <c r="A20960" s="740"/>
    </row>
    <row r="20961" ht="14.25" customHeight="1">
      <c r="A20961" s="740"/>
    </row>
    <row r="20962" ht="14.25" customHeight="1">
      <c r="A20962" s="740"/>
    </row>
    <row r="20963" ht="14.25" customHeight="1">
      <c r="A20963" s="740"/>
    </row>
    <row r="20964" ht="14.25" customHeight="1">
      <c r="A20964" s="740"/>
    </row>
    <row r="20965" ht="14.25" customHeight="1">
      <c r="A20965" s="740"/>
    </row>
    <row r="20966" ht="14.25" customHeight="1">
      <c r="A20966" s="740"/>
    </row>
    <row r="20967" ht="14.25" customHeight="1">
      <c r="A20967" s="740"/>
    </row>
    <row r="20968" ht="14.25" customHeight="1">
      <c r="A20968" s="740"/>
    </row>
    <row r="20969" ht="14.25" customHeight="1">
      <c r="A20969" s="740"/>
    </row>
    <row r="20970" ht="14.25" customHeight="1">
      <c r="A20970" s="740"/>
    </row>
    <row r="20971" ht="14.25" customHeight="1">
      <c r="A20971" s="740"/>
    </row>
    <row r="20972" ht="14.25" customHeight="1">
      <c r="A20972" s="740"/>
    </row>
    <row r="20973" ht="14.25" customHeight="1">
      <c r="A20973" s="740"/>
    </row>
    <row r="20974" ht="14.25" customHeight="1">
      <c r="A20974" s="740"/>
    </row>
    <row r="20975" ht="14.25" customHeight="1">
      <c r="A20975" s="740"/>
    </row>
    <row r="20976" ht="14.25" customHeight="1">
      <c r="A20976" s="740"/>
    </row>
    <row r="20977" ht="14.25" customHeight="1">
      <c r="A20977" s="740"/>
    </row>
    <row r="20978" ht="14.25" customHeight="1">
      <c r="A20978" s="740"/>
    </row>
    <row r="20979" ht="14.25" customHeight="1">
      <c r="A20979" s="740"/>
    </row>
    <row r="20980" ht="14.25" customHeight="1">
      <c r="A20980" s="740"/>
    </row>
    <row r="20981" ht="14.25" customHeight="1">
      <c r="A20981" s="740"/>
    </row>
    <row r="20982" ht="14.25" customHeight="1">
      <c r="A20982" s="740"/>
    </row>
    <row r="20983" ht="14.25" customHeight="1">
      <c r="A20983" s="740"/>
    </row>
    <row r="20984" ht="14.25" customHeight="1">
      <c r="A20984" s="740"/>
    </row>
    <row r="20985" ht="14.25" customHeight="1">
      <c r="A20985" s="740"/>
    </row>
    <row r="20986" ht="14.25" customHeight="1">
      <c r="A20986" s="740"/>
    </row>
    <row r="20987" ht="14.25" customHeight="1">
      <c r="A20987" s="740"/>
    </row>
    <row r="20988" ht="14.25" customHeight="1">
      <c r="A20988" s="740"/>
    </row>
    <row r="20989" ht="14.25" customHeight="1">
      <c r="A20989" s="740"/>
    </row>
    <row r="20990" ht="14.25" customHeight="1">
      <c r="A20990" s="740"/>
    </row>
    <row r="20991" ht="14.25" customHeight="1">
      <c r="A20991" s="740"/>
    </row>
    <row r="20992" ht="14.25" customHeight="1">
      <c r="A20992" s="740"/>
    </row>
    <row r="20993" ht="14.25" customHeight="1">
      <c r="A20993" s="740"/>
    </row>
    <row r="20994" ht="14.25" customHeight="1">
      <c r="A20994" s="740"/>
    </row>
    <row r="20995" ht="14.25" customHeight="1">
      <c r="A20995" s="740"/>
    </row>
    <row r="20996" ht="14.25" customHeight="1">
      <c r="A20996" s="740"/>
    </row>
    <row r="20997" ht="14.25" customHeight="1">
      <c r="A20997" s="740"/>
    </row>
    <row r="20998" ht="14.25" customHeight="1">
      <c r="A20998" s="740"/>
    </row>
    <row r="20999" ht="14.25" customHeight="1">
      <c r="A20999" s="740"/>
    </row>
    <row r="21000" ht="14.25" customHeight="1">
      <c r="A21000" s="740"/>
    </row>
    <row r="21001" ht="14.25" customHeight="1">
      <c r="A21001" s="740"/>
    </row>
    <row r="21002" ht="14.25" customHeight="1">
      <c r="A21002" s="740"/>
    </row>
    <row r="21003" ht="14.25" customHeight="1">
      <c r="A21003" s="740"/>
    </row>
    <row r="21004" ht="14.25" customHeight="1">
      <c r="A21004" s="740"/>
    </row>
    <row r="21005" ht="14.25" customHeight="1">
      <c r="A21005" s="740"/>
    </row>
    <row r="21006" ht="14.25" customHeight="1">
      <c r="A21006" s="740"/>
    </row>
    <row r="21007" ht="14.25" customHeight="1">
      <c r="A21007" s="740"/>
    </row>
    <row r="21008" ht="14.25" customHeight="1">
      <c r="A21008" s="740"/>
    </row>
    <row r="21009" ht="14.25" customHeight="1">
      <c r="A21009" s="740"/>
    </row>
    <row r="21010" ht="14.25" customHeight="1">
      <c r="A21010" s="740"/>
    </row>
    <row r="21011" ht="14.25" customHeight="1">
      <c r="A21011" s="740"/>
    </row>
    <row r="21012" ht="14.25" customHeight="1">
      <c r="A21012" s="740"/>
    </row>
    <row r="21013" ht="14.25" customHeight="1">
      <c r="A21013" s="740"/>
    </row>
    <row r="21014" ht="14.25" customHeight="1">
      <c r="A21014" s="740"/>
    </row>
    <row r="21015" ht="14.25" customHeight="1">
      <c r="A21015" s="740"/>
    </row>
    <row r="21016" ht="14.25" customHeight="1">
      <c r="A21016" s="740"/>
    </row>
    <row r="21017" ht="14.25" customHeight="1">
      <c r="A21017" s="740"/>
    </row>
    <row r="21018" ht="14.25" customHeight="1">
      <c r="A21018" s="740"/>
    </row>
    <row r="21019" ht="14.25" customHeight="1">
      <c r="A21019" s="740"/>
    </row>
    <row r="21020" ht="14.25" customHeight="1">
      <c r="A21020" s="740"/>
    </row>
    <row r="21021" ht="14.25" customHeight="1">
      <c r="A21021" s="740"/>
    </row>
    <row r="21022" ht="14.25" customHeight="1">
      <c r="A21022" s="740"/>
    </row>
    <row r="21023" ht="14.25" customHeight="1">
      <c r="A21023" s="740"/>
    </row>
    <row r="21024" ht="14.25" customHeight="1">
      <c r="A21024" s="740"/>
    </row>
    <row r="21025" ht="14.25" customHeight="1">
      <c r="A21025" s="740"/>
    </row>
    <row r="21026" ht="14.25" customHeight="1">
      <c r="A21026" s="740"/>
    </row>
    <row r="21027" ht="14.25" customHeight="1">
      <c r="A21027" s="740"/>
    </row>
    <row r="21028" ht="14.25" customHeight="1">
      <c r="A21028" s="740"/>
    </row>
    <row r="21029" ht="14.25" customHeight="1">
      <c r="A21029" s="740"/>
    </row>
    <row r="21030" ht="14.25" customHeight="1">
      <c r="A21030" s="740"/>
    </row>
    <row r="21031" ht="14.25" customHeight="1">
      <c r="A21031" s="740"/>
    </row>
    <row r="21032" ht="14.25" customHeight="1">
      <c r="A21032" s="740"/>
    </row>
    <row r="21033" ht="14.25" customHeight="1">
      <c r="A21033" s="740"/>
    </row>
    <row r="21034" ht="14.25" customHeight="1">
      <c r="A21034" s="740"/>
    </row>
    <row r="21035" ht="14.25" customHeight="1">
      <c r="A21035" s="740"/>
    </row>
    <row r="21036" ht="14.25" customHeight="1">
      <c r="A21036" s="740"/>
    </row>
    <row r="21037" ht="14.25" customHeight="1">
      <c r="A21037" s="740"/>
    </row>
    <row r="21038" ht="14.25" customHeight="1">
      <c r="A21038" s="740"/>
    </row>
    <row r="21039" ht="14.25" customHeight="1">
      <c r="A21039" s="740"/>
    </row>
    <row r="21040" ht="14.25" customHeight="1">
      <c r="A21040" s="740"/>
    </row>
    <row r="21041" ht="14.25" customHeight="1">
      <c r="A21041" s="740"/>
    </row>
    <row r="21042" ht="14.25" customHeight="1">
      <c r="A21042" s="740"/>
    </row>
    <row r="21043" ht="14.25" customHeight="1">
      <c r="A21043" s="740"/>
    </row>
    <row r="21044" ht="14.25" customHeight="1">
      <c r="A21044" s="740"/>
    </row>
    <row r="21045" ht="14.25" customHeight="1">
      <c r="A21045" s="740"/>
    </row>
    <row r="21046" ht="14.25" customHeight="1">
      <c r="A21046" s="740"/>
    </row>
    <row r="21047" ht="14.25" customHeight="1">
      <c r="A21047" s="740"/>
    </row>
    <row r="21048" ht="14.25" customHeight="1">
      <c r="A21048" s="740"/>
    </row>
    <row r="21049" ht="14.25" customHeight="1">
      <c r="A21049" s="740"/>
    </row>
    <row r="21050" ht="14.25" customHeight="1">
      <c r="A21050" s="740"/>
    </row>
    <row r="21051" ht="14.25" customHeight="1">
      <c r="A21051" s="740"/>
    </row>
    <row r="21052" ht="14.25" customHeight="1">
      <c r="A21052" s="740"/>
    </row>
    <row r="21053" ht="14.25" customHeight="1">
      <c r="A21053" s="740"/>
    </row>
    <row r="21054" ht="14.25" customHeight="1">
      <c r="A21054" s="740"/>
    </row>
    <row r="21055" ht="14.25" customHeight="1">
      <c r="A21055" s="740"/>
    </row>
    <row r="21056" ht="14.25" customHeight="1">
      <c r="A21056" s="740"/>
    </row>
    <row r="21057" ht="14.25" customHeight="1">
      <c r="A21057" s="740"/>
    </row>
    <row r="21058" ht="14.25" customHeight="1">
      <c r="A21058" s="740"/>
    </row>
    <row r="21059" ht="14.25" customHeight="1">
      <c r="A21059" s="740"/>
    </row>
    <row r="21060" ht="14.25" customHeight="1">
      <c r="A21060" s="740"/>
    </row>
    <row r="21061" ht="14.25" customHeight="1">
      <c r="A21061" s="740"/>
    </row>
    <row r="21062" ht="14.25" customHeight="1">
      <c r="A21062" s="740"/>
    </row>
    <row r="21063" ht="14.25" customHeight="1">
      <c r="A21063" s="740"/>
    </row>
    <row r="21064" ht="14.25" customHeight="1">
      <c r="A21064" s="740"/>
    </row>
    <row r="21065" ht="14.25" customHeight="1">
      <c r="A21065" s="740"/>
    </row>
    <row r="21066" ht="14.25" customHeight="1">
      <c r="A21066" s="740"/>
    </row>
    <row r="21067" ht="14.25" customHeight="1">
      <c r="A21067" s="740"/>
    </row>
    <row r="21068" ht="14.25" customHeight="1">
      <c r="A21068" s="740"/>
    </row>
    <row r="21069" ht="14.25" customHeight="1">
      <c r="A21069" s="740"/>
    </row>
    <row r="21070" ht="14.25" customHeight="1">
      <c r="A21070" s="740"/>
    </row>
    <row r="21071" ht="14.25" customHeight="1">
      <c r="A21071" s="740"/>
    </row>
    <row r="21072" ht="14.25" customHeight="1">
      <c r="A21072" s="740"/>
    </row>
    <row r="21073" ht="14.25" customHeight="1">
      <c r="A21073" s="740"/>
    </row>
    <row r="21074" ht="14.25" customHeight="1">
      <c r="A21074" s="740"/>
    </row>
    <row r="21075" ht="14.25" customHeight="1">
      <c r="A21075" s="740"/>
    </row>
    <row r="21076" ht="14.25" customHeight="1">
      <c r="A21076" s="740"/>
    </row>
    <row r="21077" ht="14.25" customHeight="1">
      <c r="A21077" s="740"/>
    </row>
    <row r="21078" ht="14.25" customHeight="1">
      <c r="A21078" s="740"/>
    </row>
    <row r="21079" ht="14.25" customHeight="1">
      <c r="A21079" s="740"/>
    </row>
    <row r="21080" ht="14.25" customHeight="1">
      <c r="A21080" s="740"/>
    </row>
    <row r="21081" ht="14.25" customHeight="1">
      <c r="A21081" s="740"/>
    </row>
    <row r="21082" ht="14.25" customHeight="1">
      <c r="A21082" s="740"/>
    </row>
    <row r="21083" ht="14.25" customHeight="1">
      <c r="A21083" s="740"/>
    </row>
    <row r="21084" ht="14.25" customHeight="1">
      <c r="A21084" s="740"/>
    </row>
    <row r="21085" ht="14.25" customHeight="1">
      <c r="A21085" s="740"/>
    </row>
    <row r="21086" ht="14.25" customHeight="1">
      <c r="A21086" s="740"/>
    </row>
    <row r="21087" ht="14.25" customHeight="1">
      <c r="A21087" s="740"/>
    </row>
    <row r="21088" ht="14.25" customHeight="1">
      <c r="A21088" s="740"/>
    </row>
    <row r="21089" ht="14.25" customHeight="1">
      <c r="A21089" s="740"/>
    </row>
    <row r="21090" ht="14.25" customHeight="1">
      <c r="A21090" s="740"/>
    </row>
    <row r="21091" ht="14.25" customHeight="1">
      <c r="A21091" s="740"/>
    </row>
    <row r="21092" ht="14.25" customHeight="1">
      <c r="A21092" s="740"/>
    </row>
    <row r="21093" ht="14.25" customHeight="1">
      <c r="A21093" s="740"/>
    </row>
    <row r="21094" ht="14.25" customHeight="1">
      <c r="A21094" s="740"/>
    </row>
    <row r="21095" ht="14.25" customHeight="1">
      <c r="A21095" s="740"/>
    </row>
    <row r="21096" ht="14.25" customHeight="1">
      <c r="A21096" s="740"/>
    </row>
    <row r="21097" ht="14.25" customHeight="1">
      <c r="A21097" s="740"/>
    </row>
    <row r="21098" ht="14.25" customHeight="1">
      <c r="A21098" s="740"/>
    </row>
    <row r="21099" ht="14.25" customHeight="1">
      <c r="A21099" s="740"/>
    </row>
    <row r="21100" ht="14.25" customHeight="1">
      <c r="A21100" s="740"/>
    </row>
    <row r="21101" ht="14.25" customHeight="1">
      <c r="A21101" s="740"/>
    </row>
    <row r="21102" ht="14.25" customHeight="1">
      <c r="A21102" s="740"/>
    </row>
    <row r="21103" ht="14.25" customHeight="1">
      <c r="A21103" s="740"/>
    </row>
    <row r="21104" ht="14.25" customHeight="1">
      <c r="A21104" s="740"/>
    </row>
    <row r="21105" ht="14.25" customHeight="1">
      <c r="A21105" s="740"/>
    </row>
    <row r="21106" ht="14.25" customHeight="1">
      <c r="A21106" s="740"/>
    </row>
    <row r="21107" ht="14.25" customHeight="1">
      <c r="A21107" s="740"/>
    </row>
    <row r="21108" ht="14.25" customHeight="1">
      <c r="A21108" s="740"/>
    </row>
    <row r="21109" ht="14.25" customHeight="1">
      <c r="A21109" s="740"/>
    </row>
    <row r="21110" ht="14.25" customHeight="1">
      <c r="A21110" s="740"/>
    </row>
    <row r="21111" ht="14.25" customHeight="1">
      <c r="A21111" s="740"/>
    </row>
    <row r="21112" ht="14.25" customHeight="1">
      <c r="A21112" s="740"/>
    </row>
    <row r="21113" ht="14.25" customHeight="1">
      <c r="A21113" s="740"/>
    </row>
    <row r="21114" ht="14.25" customHeight="1">
      <c r="A21114" s="740"/>
    </row>
    <row r="21115" ht="14.25" customHeight="1">
      <c r="A21115" s="740"/>
    </row>
    <row r="21116" ht="14.25" customHeight="1">
      <c r="A21116" s="740"/>
    </row>
    <row r="21117" ht="14.25" customHeight="1">
      <c r="A21117" s="740"/>
    </row>
    <row r="21118" ht="14.25" customHeight="1">
      <c r="A21118" s="740"/>
    </row>
    <row r="21119" ht="14.25" customHeight="1">
      <c r="A21119" s="740"/>
    </row>
    <row r="21120" ht="14.25" customHeight="1">
      <c r="A21120" s="740"/>
    </row>
    <row r="21121" ht="14.25" customHeight="1">
      <c r="A21121" s="740"/>
    </row>
    <row r="21122" ht="14.25" customHeight="1">
      <c r="A21122" s="740"/>
    </row>
    <row r="21123" ht="14.25" customHeight="1">
      <c r="A21123" s="740"/>
    </row>
    <row r="21124" ht="14.25" customHeight="1">
      <c r="A21124" s="740"/>
    </row>
    <row r="21125" ht="14.25" customHeight="1">
      <c r="A21125" s="740"/>
    </row>
    <row r="21126" ht="14.25" customHeight="1">
      <c r="A21126" s="740"/>
    </row>
    <row r="21127" ht="14.25" customHeight="1">
      <c r="A21127" s="740"/>
    </row>
    <row r="21128" ht="14.25" customHeight="1">
      <c r="A21128" s="740"/>
    </row>
    <row r="21129" ht="14.25" customHeight="1">
      <c r="A21129" s="740"/>
    </row>
    <row r="21130" ht="14.25" customHeight="1">
      <c r="A21130" s="740"/>
    </row>
    <row r="21131" ht="14.25" customHeight="1">
      <c r="A21131" s="740"/>
    </row>
    <row r="21132" ht="14.25" customHeight="1">
      <c r="A21132" s="740"/>
    </row>
    <row r="21133" ht="14.25" customHeight="1">
      <c r="A21133" s="740"/>
    </row>
    <row r="21134" ht="14.25" customHeight="1">
      <c r="A21134" s="740"/>
    </row>
    <row r="21135" ht="14.25" customHeight="1">
      <c r="A21135" s="740"/>
    </row>
    <row r="21136" ht="14.25" customHeight="1">
      <c r="A21136" s="740"/>
    </row>
    <row r="21137" ht="14.25" customHeight="1">
      <c r="A21137" s="740"/>
    </row>
    <row r="21138" ht="14.25" customHeight="1">
      <c r="A21138" s="740"/>
    </row>
    <row r="21139" ht="14.25" customHeight="1">
      <c r="A21139" s="740"/>
    </row>
    <row r="21140" ht="14.25" customHeight="1">
      <c r="A21140" s="740"/>
    </row>
    <row r="21141" ht="14.25" customHeight="1">
      <c r="A21141" s="740"/>
    </row>
    <row r="21142" ht="14.25" customHeight="1">
      <c r="A21142" s="740"/>
    </row>
    <row r="21143" ht="14.25" customHeight="1">
      <c r="A21143" s="740"/>
    </row>
    <row r="21144" ht="14.25" customHeight="1">
      <c r="A21144" s="740"/>
    </row>
    <row r="21145" ht="14.25" customHeight="1">
      <c r="A21145" s="740"/>
    </row>
    <row r="21146" ht="14.25" customHeight="1">
      <c r="A21146" s="740"/>
    </row>
    <row r="21147" ht="14.25" customHeight="1">
      <c r="A21147" s="740"/>
    </row>
    <row r="21148" ht="14.25" customHeight="1">
      <c r="A21148" s="740"/>
    </row>
    <row r="21149" ht="14.25" customHeight="1">
      <c r="A21149" s="740"/>
    </row>
    <row r="21150" ht="14.25" customHeight="1">
      <c r="A21150" s="740"/>
    </row>
    <row r="21151" ht="14.25" customHeight="1">
      <c r="A21151" s="740"/>
    </row>
    <row r="21152" ht="14.25" customHeight="1">
      <c r="A21152" s="740"/>
    </row>
    <row r="21153" ht="14.25" customHeight="1">
      <c r="A21153" s="740"/>
    </row>
    <row r="21154" ht="14.25" customHeight="1">
      <c r="A21154" s="740"/>
    </row>
    <row r="21155" ht="14.25" customHeight="1">
      <c r="A21155" s="740"/>
    </row>
    <row r="21156" ht="14.25" customHeight="1">
      <c r="A21156" s="740"/>
    </row>
    <row r="21157" ht="14.25" customHeight="1">
      <c r="A21157" s="740"/>
    </row>
    <row r="21158" ht="14.25" customHeight="1">
      <c r="A21158" s="740"/>
    </row>
    <row r="21159" ht="14.25" customHeight="1">
      <c r="A21159" s="740"/>
    </row>
    <row r="21160" ht="14.25" customHeight="1">
      <c r="A21160" s="740"/>
    </row>
    <row r="21161" ht="14.25" customHeight="1">
      <c r="A21161" s="740"/>
    </row>
    <row r="21162" ht="14.25" customHeight="1">
      <c r="A21162" s="740"/>
    </row>
    <row r="21163" ht="14.25" customHeight="1">
      <c r="A21163" s="740"/>
    </row>
    <row r="21164" ht="14.25" customHeight="1">
      <c r="A21164" s="740"/>
    </row>
    <row r="21165" ht="14.25" customHeight="1">
      <c r="A21165" s="740"/>
    </row>
    <row r="21166" ht="14.25" customHeight="1">
      <c r="A21166" s="740"/>
    </row>
    <row r="21167" ht="14.25" customHeight="1">
      <c r="A21167" s="740"/>
    </row>
    <row r="21168" ht="14.25" customHeight="1">
      <c r="A21168" s="740"/>
    </row>
    <row r="21169" ht="14.25" customHeight="1">
      <c r="A21169" s="740"/>
    </row>
    <row r="21170" ht="14.25" customHeight="1">
      <c r="A21170" s="740"/>
    </row>
    <row r="21171" ht="14.25" customHeight="1">
      <c r="A21171" s="740"/>
    </row>
    <row r="21172" ht="14.25" customHeight="1">
      <c r="A21172" s="740"/>
    </row>
    <row r="21173" ht="14.25" customHeight="1">
      <c r="A21173" s="740"/>
    </row>
    <row r="21174" ht="14.25" customHeight="1">
      <c r="A21174" s="740"/>
    </row>
    <row r="21175" ht="14.25" customHeight="1">
      <c r="A21175" s="740"/>
    </row>
    <row r="21176" ht="14.25" customHeight="1">
      <c r="A21176" s="740"/>
    </row>
    <row r="21177" ht="14.25" customHeight="1">
      <c r="A21177" s="740"/>
    </row>
    <row r="21178" ht="14.25" customHeight="1">
      <c r="A21178" s="740"/>
    </row>
    <row r="21179" ht="14.25" customHeight="1">
      <c r="A21179" s="740"/>
    </row>
    <row r="21180" ht="14.25" customHeight="1">
      <c r="A21180" s="740"/>
    </row>
    <row r="21181" ht="14.25" customHeight="1">
      <c r="A21181" s="740"/>
    </row>
    <row r="21182" ht="14.25" customHeight="1">
      <c r="A21182" s="740"/>
    </row>
    <row r="21183" ht="14.25" customHeight="1">
      <c r="A21183" s="740"/>
    </row>
    <row r="21184" ht="14.25" customHeight="1">
      <c r="A21184" s="740"/>
    </row>
    <row r="21185" ht="14.25" customHeight="1">
      <c r="A21185" s="740"/>
    </row>
    <row r="21186" ht="14.25" customHeight="1">
      <c r="A21186" s="740"/>
    </row>
    <row r="21187" ht="14.25" customHeight="1">
      <c r="A21187" s="740"/>
    </row>
    <row r="21188" ht="14.25" customHeight="1">
      <c r="A21188" s="740"/>
    </row>
    <row r="21189" ht="14.25" customHeight="1">
      <c r="A21189" s="740"/>
    </row>
    <row r="21190" ht="14.25" customHeight="1">
      <c r="A21190" s="740"/>
    </row>
    <row r="21191" ht="14.25" customHeight="1">
      <c r="A21191" s="740"/>
    </row>
    <row r="21192" ht="14.25" customHeight="1">
      <c r="A21192" s="740"/>
    </row>
    <row r="21193" ht="14.25" customHeight="1">
      <c r="A21193" s="740"/>
    </row>
    <row r="21194" ht="14.25" customHeight="1">
      <c r="A21194" s="740"/>
    </row>
    <row r="21195" ht="14.25" customHeight="1">
      <c r="A21195" s="740"/>
    </row>
    <row r="21196" ht="14.25" customHeight="1">
      <c r="A21196" s="740"/>
    </row>
    <row r="21197" ht="14.25" customHeight="1">
      <c r="A21197" s="740"/>
    </row>
    <row r="21198" ht="14.25" customHeight="1">
      <c r="A21198" s="740"/>
    </row>
    <row r="21199" ht="14.25" customHeight="1">
      <c r="A21199" s="740"/>
    </row>
    <row r="21200" ht="14.25" customHeight="1">
      <c r="A21200" s="740"/>
    </row>
    <row r="21201" ht="14.25" customHeight="1">
      <c r="A21201" s="740"/>
    </row>
    <row r="21202" ht="14.25" customHeight="1">
      <c r="A21202" s="740"/>
    </row>
    <row r="21203" ht="14.25" customHeight="1">
      <c r="A21203" s="740"/>
    </row>
    <row r="21204" ht="14.25" customHeight="1">
      <c r="A21204" s="740"/>
    </row>
    <row r="21205" ht="14.25" customHeight="1">
      <c r="A21205" s="740"/>
    </row>
    <row r="21206" ht="14.25" customHeight="1">
      <c r="A21206" s="740"/>
    </row>
    <row r="21207" ht="14.25" customHeight="1">
      <c r="A21207" s="740"/>
    </row>
    <row r="21208" ht="14.25" customHeight="1">
      <c r="A21208" s="740"/>
    </row>
    <row r="21209" ht="14.25" customHeight="1">
      <c r="A21209" s="740"/>
    </row>
    <row r="21210" ht="14.25" customHeight="1">
      <c r="A21210" s="740"/>
    </row>
    <row r="21211" ht="14.25" customHeight="1">
      <c r="A21211" s="740"/>
    </row>
    <row r="21212" ht="14.25" customHeight="1">
      <c r="A21212" s="740"/>
    </row>
    <row r="21213" ht="14.25" customHeight="1">
      <c r="A21213" s="740"/>
    </row>
    <row r="21214" ht="14.25" customHeight="1">
      <c r="A21214" s="740"/>
    </row>
    <row r="21215" ht="14.25" customHeight="1">
      <c r="A21215" s="740"/>
    </row>
    <row r="21216" ht="14.25" customHeight="1">
      <c r="A21216" s="740"/>
    </row>
    <row r="21217" ht="14.25" customHeight="1">
      <c r="A21217" s="740"/>
    </row>
    <row r="21218" ht="14.25" customHeight="1">
      <c r="A21218" s="740"/>
    </row>
    <row r="21219" ht="14.25" customHeight="1">
      <c r="A21219" s="740"/>
    </row>
    <row r="21220" ht="14.25" customHeight="1">
      <c r="A21220" s="740"/>
    </row>
    <row r="21221" ht="14.25" customHeight="1">
      <c r="A21221" s="740"/>
    </row>
    <row r="21222" ht="14.25" customHeight="1">
      <c r="A21222" s="740"/>
    </row>
    <row r="21223" ht="14.25" customHeight="1">
      <c r="A21223" s="740"/>
    </row>
    <row r="21224" ht="14.25" customHeight="1">
      <c r="A21224" s="740"/>
    </row>
    <row r="21225" ht="14.25" customHeight="1">
      <c r="A21225" s="740"/>
    </row>
    <row r="21226" ht="14.25" customHeight="1">
      <c r="A21226" s="740"/>
    </row>
    <row r="21227" ht="14.25" customHeight="1">
      <c r="A21227" s="740"/>
    </row>
    <row r="21228" ht="14.25" customHeight="1">
      <c r="A21228" s="740"/>
    </row>
    <row r="21229" ht="14.25" customHeight="1">
      <c r="A21229" s="740"/>
    </row>
    <row r="21230" ht="14.25" customHeight="1">
      <c r="A21230" s="740"/>
    </row>
    <row r="21231" ht="14.25" customHeight="1">
      <c r="A21231" s="740"/>
    </row>
    <row r="21232" ht="14.25" customHeight="1">
      <c r="A21232" s="740"/>
    </row>
    <row r="21233" ht="14.25" customHeight="1">
      <c r="A21233" s="740"/>
    </row>
    <row r="21234" ht="14.25" customHeight="1">
      <c r="A21234" s="740"/>
    </row>
    <row r="21235" ht="14.25" customHeight="1">
      <c r="A21235" s="740"/>
    </row>
    <row r="21236" ht="14.25" customHeight="1">
      <c r="A21236" s="740"/>
    </row>
    <row r="21237" ht="14.25" customHeight="1">
      <c r="A21237" s="740"/>
    </row>
    <row r="21238" ht="14.25" customHeight="1">
      <c r="A21238" s="740"/>
    </row>
    <row r="21239" ht="14.25" customHeight="1">
      <c r="A21239" s="740"/>
    </row>
    <row r="21240" ht="14.25" customHeight="1">
      <c r="A21240" s="740"/>
    </row>
    <row r="21241" ht="14.25" customHeight="1">
      <c r="A21241" s="740"/>
    </row>
    <row r="21242" ht="14.25" customHeight="1">
      <c r="A21242" s="740"/>
    </row>
    <row r="21243" ht="14.25" customHeight="1">
      <c r="A21243" s="740"/>
    </row>
    <row r="21244" ht="14.25" customHeight="1">
      <c r="A21244" s="740"/>
    </row>
    <row r="21245" ht="14.25" customHeight="1">
      <c r="A21245" s="740"/>
    </row>
    <row r="21246" ht="14.25" customHeight="1">
      <c r="A21246" s="740"/>
    </row>
    <row r="21247" ht="14.25" customHeight="1">
      <c r="A21247" s="740"/>
    </row>
    <row r="21248" ht="14.25" customHeight="1">
      <c r="A21248" s="740"/>
    </row>
    <row r="21249" ht="14.25" customHeight="1">
      <c r="A21249" s="740"/>
    </row>
    <row r="21250" ht="14.25" customHeight="1">
      <c r="A21250" s="740"/>
    </row>
    <row r="21251" ht="14.25" customHeight="1">
      <c r="A21251" s="740"/>
    </row>
    <row r="21252" ht="14.25" customHeight="1">
      <c r="A21252" s="740"/>
    </row>
    <row r="21253" ht="14.25" customHeight="1">
      <c r="A21253" s="740"/>
    </row>
    <row r="21254" ht="14.25" customHeight="1">
      <c r="A21254" s="740"/>
    </row>
    <row r="21255" ht="14.25" customHeight="1">
      <c r="A21255" s="740"/>
    </row>
    <row r="21256" ht="14.25" customHeight="1">
      <c r="A21256" s="740"/>
    </row>
    <row r="21257" ht="14.25" customHeight="1">
      <c r="A21257" s="740"/>
    </row>
    <row r="21258" ht="14.25" customHeight="1">
      <c r="A21258" s="740"/>
    </row>
    <row r="21259" ht="14.25" customHeight="1">
      <c r="A21259" s="740"/>
    </row>
    <row r="21260" ht="14.25" customHeight="1">
      <c r="A21260" s="740"/>
    </row>
    <row r="21261" ht="14.25" customHeight="1">
      <c r="A21261" s="740"/>
    </row>
    <row r="21262" ht="14.25" customHeight="1">
      <c r="A21262" s="740"/>
    </row>
    <row r="21263" ht="14.25" customHeight="1">
      <c r="A21263" s="740"/>
    </row>
    <row r="21264" ht="14.25" customHeight="1">
      <c r="A21264" s="740"/>
    </row>
    <row r="21265" ht="14.25" customHeight="1">
      <c r="A21265" s="740"/>
    </row>
    <row r="21266" ht="14.25" customHeight="1">
      <c r="A21266" s="740"/>
    </row>
    <row r="21267" ht="14.25" customHeight="1">
      <c r="A21267" s="740"/>
    </row>
    <row r="21268" ht="14.25" customHeight="1">
      <c r="A21268" s="740"/>
    </row>
    <row r="21269" ht="14.25" customHeight="1">
      <c r="A21269" s="740"/>
    </row>
    <row r="21270" ht="14.25" customHeight="1">
      <c r="A21270" s="740"/>
    </row>
    <row r="21271" ht="14.25" customHeight="1">
      <c r="A21271" s="740"/>
    </row>
    <row r="21272" ht="14.25" customHeight="1">
      <c r="A21272" s="740"/>
    </row>
    <row r="21273" ht="14.25" customHeight="1">
      <c r="A21273" s="740"/>
    </row>
    <row r="21274" ht="14.25" customHeight="1">
      <c r="A21274" s="740"/>
    </row>
    <row r="21275" ht="14.25" customHeight="1">
      <c r="A21275" s="740"/>
    </row>
    <row r="21276" ht="14.25" customHeight="1">
      <c r="A21276" s="740"/>
    </row>
    <row r="21277" ht="14.25" customHeight="1">
      <c r="A21277" s="740"/>
    </row>
    <row r="21278" ht="14.25" customHeight="1">
      <c r="A21278" s="740"/>
    </row>
    <row r="21279" ht="14.25" customHeight="1">
      <c r="A21279" s="740"/>
    </row>
    <row r="21280" ht="14.25" customHeight="1">
      <c r="A21280" s="740"/>
    </row>
    <row r="21281" ht="14.25" customHeight="1">
      <c r="A21281" s="740"/>
    </row>
    <row r="21282" ht="14.25" customHeight="1">
      <c r="A21282" s="740"/>
    </row>
    <row r="21283" ht="14.25" customHeight="1">
      <c r="A21283" s="740"/>
    </row>
    <row r="21284" ht="14.25" customHeight="1">
      <c r="A21284" s="740"/>
    </row>
    <row r="21285" ht="14.25" customHeight="1">
      <c r="A21285" s="740"/>
    </row>
    <row r="21286" ht="14.25" customHeight="1">
      <c r="A21286" s="740"/>
    </row>
    <row r="21287" ht="14.25" customHeight="1">
      <c r="A21287" s="740"/>
    </row>
    <row r="21288" ht="14.25" customHeight="1">
      <c r="A21288" s="740"/>
    </row>
    <row r="21289" ht="14.25" customHeight="1">
      <c r="A21289" s="740"/>
    </row>
    <row r="21290" ht="14.25" customHeight="1">
      <c r="A21290" s="740"/>
    </row>
    <row r="21291" ht="14.25" customHeight="1">
      <c r="A21291" s="740"/>
    </row>
    <row r="21292" ht="14.25" customHeight="1">
      <c r="A21292" s="740"/>
    </row>
    <row r="21293" ht="14.25" customHeight="1">
      <c r="A21293" s="740"/>
    </row>
    <row r="21294" ht="14.25" customHeight="1">
      <c r="A21294" s="740"/>
    </row>
    <row r="21295" ht="14.25" customHeight="1">
      <c r="A21295" s="740"/>
    </row>
    <row r="21296" ht="14.25" customHeight="1">
      <c r="A21296" s="740"/>
    </row>
    <row r="21297" ht="14.25" customHeight="1">
      <c r="A21297" s="740"/>
    </row>
    <row r="21298" ht="14.25" customHeight="1">
      <c r="A21298" s="740"/>
    </row>
    <row r="21299" ht="14.25" customHeight="1">
      <c r="A21299" s="740"/>
    </row>
    <row r="21300" ht="14.25" customHeight="1">
      <c r="A21300" s="740"/>
    </row>
    <row r="21301" ht="14.25" customHeight="1">
      <c r="A21301" s="740"/>
    </row>
    <row r="21302" ht="14.25" customHeight="1">
      <c r="A21302" s="740"/>
    </row>
    <row r="21303" ht="14.25" customHeight="1">
      <c r="A21303" s="740"/>
    </row>
    <row r="21304" ht="14.25" customHeight="1">
      <c r="A21304" s="740"/>
    </row>
    <row r="21305" ht="14.25" customHeight="1">
      <c r="A21305" s="740"/>
    </row>
    <row r="21306" ht="14.25" customHeight="1">
      <c r="A21306" s="740"/>
    </row>
    <row r="21307" ht="14.25" customHeight="1">
      <c r="A21307" s="740"/>
    </row>
    <row r="21308" ht="14.25" customHeight="1">
      <c r="A21308" s="740"/>
    </row>
    <row r="21309" ht="14.25" customHeight="1">
      <c r="A21309" s="740"/>
    </row>
    <row r="21310" ht="14.25" customHeight="1">
      <c r="A21310" s="740"/>
    </row>
    <row r="21311" ht="14.25" customHeight="1">
      <c r="A21311" s="740"/>
    </row>
    <row r="21312" ht="14.25" customHeight="1">
      <c r="A21312" s="740"/>
    </row>
    <row r="21313" ht="14.25" customHeight="1">
      <c r="A21313" s="740"/>
    </row>
    <row r="21314" ht="14.25" customHeight="1">
      <c r="A21314" s="740"/>
    </row>
    <row r="21315" ht="14.25" customHeight="1">
      <c r="A21315" s="740"/>
    </row>
    <row r="21316" ht="14.25" customHeight="1">
      <c r="A21316" s="740"/>
    </row>
    <row r="21317" ht="14.25" customHeight="1">
      <c r="A21317" s="740"/>
    </row>
    <row r="21318" ht="14.25" customHeight="1">
      <c r="A21318" s="740"/>
    </row>
    <row r="21319" ht="14.25" customHeight="1">
      <c r="A21319" s="740"/>
    </row>
    <row r="21320" ht="14.25" customHeight="1">
      <c r="A21320" s="740"/>
    </row>
    <row r="21321" ht="14.25" customHeight="1">
      <c r="A21321" s="740"/>
    </row>
    <row r="21322" ht="14.25" customHeight="1">
      <c r="A21322" s="740"/>
    </row>
    <row r="21323" ht="14.25" customHeight="1">
      <c r="A21323" s="740"/>
    </row>
    <row r="21324" ht="14.25" customHeight="1">
      <c r="A21324" s="740"/>
    </row>
    <row r="21325" ht="14.25" customHeight="1">
      <c r="A21325" s="740"/>
    </row>
    <row r="21326" ht="14.25" customHeight="1">
      <c r="A21326" s="740"/>
    </row>
    <row r="21327" ht="14.25" customHeight="1">
      <c r="A21327" s="740"/>
    </row>
    <row r="21328" ht="14.25" customHeight="1">
      <c r="A21328" s="740"/>
    </row>
    <row r="21329" ht="14.25" customHeight="1">
      <c r="A21329" s="740"/>
    </row>
    <row r="21330" ht="14.25" customHeight="1">
      <c r="A21330" s="740"/>
    </row>
    <row r="21331" ht="14.25" customHeight="1">
      <c r="A21331" s="740"/>
    </row>
    <row r="21332" ht="14.25" customHeight="1">
      <c r="A21332" s="740"/>
    </row>
    <row r="21333" ht="14.25" customHeight="1">
      <c r="A21333" s="740"/>
    </row>
    <row r="21334" ht="14.25" customHeight="1">
      <c r="A21334" s="740"/>
    </row>
    <row r="21335" ht="14.25" customHeight="1">
      <c r="A21335" s="740"/>
    </row>
    <row r="21336" ht="14.25" customHeight="1">
      <c r="A21336" s="740"/>
    </row>
    <row r="21337" ht="14.25" customHeight="1">
      <c r="A21337" s="740"/>
    </row>
    <row r="21338" ht="14.25" customHeight="1">
      <c r="A21338" s="740"/>
    </row>
    <row r="21339" ht="14.25" customHeight="1">
      <c r="A21339" s="740"/>
    </row>
    <row r="21340" ht="14.25" customHeight="1">
      <c r="A21340" s="740"/>
    </row>
    <row r="21341" ht="14.25" customHeight="1">
      <c r="A21341" s="740"/>
    </row>
    <row r="21342" ht="14.25" customHeight="1">
      <c r="A21342" s="740"/>
    </row>
    <row r="21343" ht="14.25" customHeight="1">
      <c r="A21343" s="740"/>
    </row>
    <row r="21344" ht="14.25" customHeight="1">
      <c r="A21344" s="740"/>
    </row>
    <row r="21345" ht="14.25" customHeight="1">
      <c r="A21345" s="740"/>
    </row>
    <row r="21346" ht="14.25" customHeight="1">
      <c r="A21346" s="740"/>
    </row>
    <row r="21347" ht="14.25" customHeight="1">
      <c r="A21347" s="740"/>
    </row>
    <row r="21348" ht="14.25" customHeight="1">
      <c r="A21348" s="740"/>
    </row>
    <row r="21349" ht="14.25" customHeight="1">
      <c r="A21349" s="740"/>
    </row>
    <row r="21350" ht="14.25" customHeight="1">
      <c r="A21350" s="740"/>
    </row>
    <row r="21351" ht="14.25" customHeight="1">
      <c r="A21351" s="740"/>
    </row>
    <row r="21352" ht="14.25" customHeight="1">
      <c r="A21352" s="740"/>
    </row>
    <row r="21353" ht="14.25" customHeight="1">
      <c r="A21353" s="740"/>
    </row>
    <row r="21354" ht="14.25" customHeight="1">
      <c r="A21354" s="740"/>
    </row>
    <row r="21355" ht="14.25" customHeight="1">
      <c r="A21355" s="740"/>
    </row>
    <row r="21356" ht="14.25" customHeight="1">
      <c r="A21356" s="740"/>
    </row>
    <row r="21357" ht="14.25" customHeight="1">
      <c r="A21357" s="740"/>
    </row>
    <row r="21358" ht="14.25" customHeight="1">
      <c r="A21358" s="740"/>
    </row>
    <row r="21359" ht="14.25" customHeight="1">
      <c r="A21359" s="740"/>
    </row>
    <row r="21360" ht="14.25" customHeight="1">
      <c r="A21360" s="740"/>
    </row>
    <row r="21361" ht="14.25" customHeight="1">
      <c r="A21361" s="740"/>
    </row>
    <row r="21362" ht="14.25" customHeight="1">
      <c r="A21362" s="740"/>
    </row>
    <row r="21363" ht="14.25" customHeight="1">
      <c r="A21363" s="740"/>
    </row>
    <row r="21364" ht="14.25" customHeight="1">
      <c r="A21364" s="740"/>
    </row>
    <row r="21365" ht="14.25" customHeight="1">
      <c r="A21365" s="740"/>
    </row>
    <row r="21366" ht="14.25" customHeight="1">
      <c r="A21366" s="740"/>
    </row>
    <row r="21367" ht="14.25" customHeight="1">
      <c r="A21367" s="740"/>
    </row>
    <row r="21368" ht="14.25" customHeight="1">
      <c r="A21368" s="740"/>
    </row>
    <row r="21369" ht="14.25" customHeight="1">
      <c r="A21369" s="740"/>
    </row>
    <row r="21370" ht="14.25" customHeight="1">
      <c r="A21370" s="740"/>
    </row>
    <row r="21371" ht="14.25" customHeight="1">
      <c r="A21371" s="740"/>
    </row>
    <row r="21372" ht="14.25" customHeight="1">
      <c r="A21372" s="740"/>
    </row>
    <row r="21373" ht="14.25" customHeight="1">
      <c r="A21373" s="740"/>
    </row>
    <row r="21374" ht="14.25" customHeight="1">
      <c r="A21374" s="740"/>
    </row>
    <row r="21375" ht="14.25" customHeight="1">
      <c r="A21375" s="740"/>
    </row>
    <row r="21376" ht="14.25" customHeight="1">
      <c r="A21376" s="740"/>
    </row>
    <row r="21377" ht="14.25" customHeight="1">
      <c r="A21377" s="740"/>
    </row>
    <row r="21378" ht="14.25" customHeight="1">
      <c r="A21378" s="740"/>
    </row>
    <row r="21379" ht="14.25" customHeight="1">
      <c r="A21379" s="740"/>
    </row>
    <row r="21380" ht="14.25" customHeight="1">
      <c r="A21380" s="740"/>
    </row>
    <row r="21381" ht="14.25" customHeight="1">
      <c r="A21381" s="740"/>
    </row>
    <row r="21382" ht="14.25" customHeight="1">
      <c r="A21382" s="740"/>
    </row>
    <row r="21383" ht="14.25" customHeight="1">
      <c r="A21383" s="740"/>
    </row>
    <row r="21384" ht="14.25" customHeight="1">
      <c r="A21384" s="740"/>
    </row>
    <row r="21385" ht="14.25" customHeight="1">
      <c r="A21385" s="740"/>
    </row>
    <row r="21386" ht="14.25" customHeight="1">
      <c r="A21386" s="740"/>
    </row>
    <row r="21387" ht="14.25" customHeight="1">
      <c r="A21387" s="740"/>
    </row>
    <row r="21388" ht="14.25" customHeight="1">
      <c r="A21388" s="740"/>
    </row>
    <row r="21389" ht="14.25" customHeight="1">
      <c r="A21389" s="740"/>
    </row>
    <row r="21390" ht="14.25" customHeight="1">
      <c r="A21390" s="740"/>
    </row>
    <row r="21391" ht="14.25" customHeight="1">
      <c r="A21391" s="740"/>
    </row>
    <row r="21392" ht="14.25" customHeight="1">
      <c r="A21392" s="740"/>
    </row>
    <row r="21393" ht="14.25" customHeight="1">
      <c r="A21393" s="740"/>
    </row>
    <row r="21394" ht="14.25" customHeight="1">
      <c r="A21394" s="740"/>
    </row>
    <row r="21395" ht="14.25" customHeight="1">
      <c r="A21395" s="740"/>
    </row>
    <row r="21396" ht="14.25" customHeight="1">
      <c r="A21396" s="740"/>
    </row>
    <row r="21397" ht="14.25" customHeight="1">
      <c r="A21397" s="740"/>
    </row>
    <row r="21398" ht="14.25" customHeight="1">
      <c r="A21398" s="740"/>
    </row>
    <row r="21399" ht="14.25" customHeight="1">
      <c r="A21399" s="740"/>
    </row>
    <row r="21400" ht="14.25" customHeight="1">
      <c r="A21400" s="740"/>
    </row>
    <row r="21401" ht="14.25" customHeight="1">
      <c r="A21401" s="740"/>
    </row>
    <row r="21402" ht="14.25" customHeight="1">
      <c r="A21402" s="740"/>
    </row>
    <row r="21403" ht="14.25" customHeight="1">
      <c r="A21403" s="740"/>
    </row>
    <row r="21404" ht="14.25" customHeight="1">
      <c r="A21404" s="740"/>
    </row>
    <row r="21405" ht="14.25" customHeight="1">
      <c r="A21405" s="740"/>
    </row>
    <row r="21406" ht="14.25" customHeight="1">
      <c r="A21406" s="740"/>
    </row>
    <row r="21407" ht="14.25" customHeight="1">
      <c r="A21407" s="740"/>
    </row>
    <row r="21408" ht="14.25" customHeight="1">
      <c r="A21408" s="740"/>
    </row>
    <row r="21409" ht="14.25" customHeight="1">
      <c r="A21409" s="740"/>
    </row>
    <row r="21410" ht="14.25" customHeight="1">
      <c r="A21410" s="740"/>
    </row>
    <row r="21411" ht="14.25" customHeight="1">
      <c r="A21411" s="740"/>
    </row>
    <row r="21412" ht="14.25" customHeight="1">
      <c r="A21412" s="740"/>
    </row>
    <row r="21413" ht="14.25" customHeight="1">
      <c r="A21413" s="740"/>
    </row>
    <row r="21414" ht="14.25" customHeight="1">
      <c r="A21414" s="740"/>
    </row>
    <row r="21415" ht="14.25" customHeight="1">
      <c r="A21415" s="740"/>
    </row>
    <row r="21416" ht="14.25" customHeight="1">
      <c r="A21416" s="740"/>
    </row>
    <row r="21417" ht="14.25" customHeight="1">
      <c r="A21417" s="740"/>
    </row>
    <row r="21418" ht="14.25" customHeight="1">
      <c r="A21418" s="740"/>
    </row>
    <row r="21419" ht="14.25" customHeight="1">
      <c r="A21419" s="740"/>
    </row>
    <row r="21420" ht="14.25" customHeight="1">
      <c r="A21420" s="740"/>
    </row>
    <row r="21421" ht="14.25" customHeight="1">
      <c r="A21421" s="740"/>
    </row>
    <row r="21422" ht="14.25" customHeight="1">
      <c r="A21422" s="740"/>
    </row>
    <row r="21423" ht="14.25" customHeight="1">
      <c r="A21423" s="740"/>
    </row>
    <row r="21424" ht="14.25" customHeight="1">
      <c r="A21424" s="740"/>
    </row>
    <row r="21425" ht="14.25" customHeight="1">
      <c r="A21425" s="740"/>
    </row>
    <row r="21426" ht="14.25" customHeight="1">
      <c r="A21426" s="740"/>
    </row>
    <row r="21427" ht="14.25" customHeight="1">
      <c r="A21427" s="740"/>
    </row>
    <row r="21428" ht="14.25" customHeight="1">
      <c r="A21428" s="740"/>
    </row>
    <row r="21429" ht="14.25" customHeight="1">
      <c r="A21429" s="740"/>
    </row>
    <row r="21430" ht="14.25" customHeight="1">
      <c r="A21430" s="740"/>
    </row>
    <row r="21431" ht="14.25" customHeight="1">
      <c r="A21431" s="740"/>
    </row>
    <row r="21432" ht="14.25" customHeight="1">
      <c r="A21432" s="740"/>
    </row>
    <row r="21433" ht="14.25" customHeight="1">
      <c r="A21433" s="740"/>
    </row>
    <row r="21434" ht="14.25" customHeight="1">
      <c r="A21434" s="740"/>
    </row>
    <row r="21435" ht="14.25" customHeight="1">
      <c r="A21435" s="740"/>
    </row>
    <row r="21436" ht="14.25" customHeight="1">
      <c r="A21436" s="740"/>
    </row>
    <row r="21437" ht="14.25" customHeight="1">
      <c r="A21437" s="740"/>
    </row>
    <row r="21438" ht="14.25" customHeight="1">
      <c r="A21438" s="740"/>
    </row>
    <row r="21439" ht="14.25" customHeight="1">
      <c r="A21439" s="740"/>
    </row>
    <row r="21440" ht="14.25" customHeight="1">
      <c r="A21440" s="740"/>
    </row>
    <row r="21441" ht="14.25" customHeight="1">
      <c r="A21441" s="740"/>
    </row>
    <row r="21442" ht="14.25" customHeight="1">
      <c r="A21442" s="740"/>
    </row>
    <row r="21443" ht="14.25" customHeight="1">
      <c r="A21443" s="740"/>
    </row>
    <row r="21444" ht="14.25" customHeight="1">
      <c r="A21444" s="740"/>
    </row>
    <row r="21445" ht="14.25" customHeight="1">
      <c r="A21445" s="740"/>
    </row>
    <row r="21446" ht="14.25" customHeight="1">
      <c r="A21446" s="740"/>
    </row>
    <row r="21447" ht="14.25" customHeight="1">
      <c r="A21447" s="740"/>
    </row>
    <row r="21448" ht="14.25" customHeight="1">
      <c r="A21448" s="740"/>
    </row>
    <row r="21449" ht="14.25" customHeight="1">
      <c r="A21449" s="740"/>
    </row>
    <row r="21450" ht="14.25" customHeight="1">
      <c r="A21450" s="740"/>
    </row>
    <row r="21451" ht="14.25" customHeight="1">
      <c r="A21451" s="740"/>
    </row>
    <row r="21452" ht="14.25" customHeight="1">
      <c r="A21452" s="740"/>
    </row>
    <row r="21453" ht="14.25" customHeight="1">
      <c r="A21453" s="740"/>
    </row>
    <row r="21454" ht="14.25" customHeight="1">
      <c r="A21454" s="740"/>
    </row>
    <row r="21455" ht="14.25" customHeight="1">
      <c r="A21455" s="740"/>
    </row>
    <row r="21456" ht="14.25" customHeight="1">
      <c r="A21456" s="740"/>
    </row>
    <row r="21457" ht="14.25" customHeight="1">
      <c r="A21457" s="740"/>
    </row>
    <row r="21458" ht="14.25" customHeight="1">
      <c r="A21458" s="740"/>
    </row>
    <row r="21459" ht="14.25" customHeight="1">
      <c r="A21459" s="740"/>
    </row>
    <row r="21460" ht="14.25" customHeight="1">
      <c r="A21460" s="740"/>
    </row>
    <row r="21461" ht="14.25" customHeight="1">
      <c r="A21461" s="740"/>
    </row>
    <row r="21462" ht="14.25" customHeight="1">
      <c r="A21462" s="740"/>
    </row>
    <row r="21463" ht="14.25" customHeight="1">
      <c r="A21463" s="740"/>
    </row>
    <row r="21464" ht="14.25" customHeight="1">
      <c r="A21464" s="740"/>
    </row>
    <row r="21465" ht="14.25" customHeight="1">
      <c r="A21465" s="740"/>
    </row>
    <row r="21466" ht="14.25" customHeight="1">
      <c r="A21466" s="740"/>
    </row>
    <row r="21467" ht="14.25" customHeight="1">
      <c r="A21467" s="740"/>
    </row>
    <row r="21468" ht="14.25" customHeight="1">
      <c r="A21468" s="740"/>
    </row>
    <row r="21469" ht="14.25" customHeight="1">
      <c r="A21469" s="740"/>
    </row>
    <row r="21470" ht="14.25" customHeight="1">
      <c r="A21470" s="740"/>
    </row>
    <row r="21471" ht="14.25" customHeight="1">
      <c r="A21471" s="740"/>
    </row>
    <row r="21472" ht="14.25" customHeight="1">
      <c r="A21472" s="740"/>
    </row>
    <row r="21473" ht="14.25" customHeight="1">
      <c r="A21473" s="740"/>
    </row>
    <row r="21474" ht="14.25" customHeight="1">
      <c r="A21474" s="740"/>
    </row>
    <row r="21475" ht="14.25" customHeight="1">
      <c r="A21475" s="740"/>
    </row>
    <row r="21476" ht="14.25" customHeight="1">
      <c r="A21476" s="740"/>
    </row>
    <row r="21477" ht="14.25" customHeight="1">
      <c r="A21477" s="740"/>
    </row>
    <row r="21478" ht="14.25" customHeight="1">
      <c r="A21478" s="740"/>
    </row>
    <row r="21479" ht="14.25" customHeight="1">
      <c r="A21479" s="740"/>
    </row>
    <row r="21480" ht="14.25" customHeight="1">
      <c r="A21480" s="740"/>
    </row>
    <row r="21481" ht="14.25" customHeight="1">
      <c r="A21481" s="740"/>
    </row>
    <row r="21482" ht="14.25" customHeight="1">
      <c r="A21482" s="740"/>
    </row>
    <row r="21483" ht="14.25" customHeight="1">
      <c r="A21483" s="740"/>
    </row>
    <row r="21484" ht="14.25" customHeight="1">
      <c r="A21484" s="740"/>
    </row>
    <row r="21485" ht="14.25" customHeight="1">
      <c r="A21485" s="740"/>
    </row>
    <row r="21486" ht="14.25" customHeight="1">
      <c r="A21486" s="740"/>
    </row>
    <row r="21487" ht="14.25" customHeight="1">
      <c r="A21487" s="740"/>
    </row>
    <row r="21488" ht="14.25" customHeight="1">
      <c r="A21488" s="740"/>
    </row>
    <row r="21489" ht="14.25" customHeight="1">
      <c r="A21489" s="740"/>
    </row>
    <row r="21490" ht="14.25" customHeight="1">
      <c r="A21490" s="740"/>
    </row>
    <row r="21491" ht="14.25" customHeight="1">
      <c r="A21491" s="740"/>
    </row>
    <row r="21492" ht="14.25" customHeight="1">
      <c r="A21492" s="740"/>
    </row>
    <row r="21493" ht="14.25" customHeight="1">
      <c r="A21493" s="740"/>
    </row>
    <row r="21494" ht="14.25" customHeight="1">
      <c r="A21494" s="740"/>
    </row>
    <row r="21495" ht="14.25" customHeight="1">
      <c r="A21495" s="740"/>
    </row>
    <row r="21496" ht="14.25" customHeight="1">
      <c r="A21496" s="740"/>
    </row>
    <row r="21497" ht="14.25" customHeight="1">
      <c r="A21497" s="740"/>
    </row>
    <row r="21498" ht="14.25" customHeight="1">
      <c r="A21498" s="740"/>
    </row>
    <row r="21499" ht="14.25" customHeight="1">
      <c r="A21499" s="740"/>
    </row>
    <row r="21500" ht="14.25" customHeight="1">
      <c r="A21500" s="740"/>
    </row>
    <row r="21501" ht="14.25" customHeight="1">
      <c r="A21501" s="740"/>
    </row>
    <row r="21502" ht="14.25" customHeight="1">
      <c r="A21502" s="740"/>
    </row>
    <row r="21503" ht="14.25" customHeight="1">
      <c r="A21503" s="740"/>
    </row>
    <row r="21504" ht="14.25" customHeight="1">
      <c r="A21504" s="740"/>
    </row>
    <row r="21505" ht="14.25" customHeight="1">
      <c r="A21505" s="740"/>
    </row>
    <row r="21506" ht="14.25" customHeight="1">
      <c r="A21506" s="740"/>
    </row>
    <row r="21507" ht="14.25" customHeight="1">
      <c r="A21507" s="740"/>
    </row>
    <row r="21508" ht="14.25" customHeight="1">
      <c r="A21508" s="740"/>
    </row>
    <row r="21509" ht="14.25" customHeight="1">
      <c r="A21509" s="740"/>
    </row>
    <row r="21510" ht="14.25" customHeight="1">
      <c r="A21510" s="740"/>
    </row>
    <row r="21511" ht="14.25" customHeight="1">
      <c r="A21511" s="740"/>
    </row>
    <row r="21512" ht="14.25" customHeight="1">
      <c r="A21512" s="740"/>
    </row>
    <row r="21513" ht="14.25" customHeight="1">
      <c r="A21513" s="740"/>
    </row>
    <row r="21514" ht="14.25" customHeight="1">
      <c r="A21514" s="740"/>
    </row>
    <row r="21515" ht="14.25" customHeight="1">
      <c r="A21515" s="740"/>
    </row>
    <row r="21516" ht="14.25" customHeight="1">
      <c r="A21516" s="740"/>
    </row>
    <row r="21517" ht="14.25" customHeight="1">
      <c r="A21517" s="740"/>
    </row>
    <row r="21518" ht="14.25" customHeight="1">
      <c r="A21518" s="740"/>
    </row>
    <row r="21519" ht="14.25" customHeight="1">
      <c r="A21519" s="740"/>
    </row>
    <row r="21520" ht="14.25" customHeight="1">
      <c r="A21520" s="740"/>
    </row>
    <row r="21521" ht="14.25" customHeight="1">
      <c r="A21521" s="740"/>
    </row>
    <row r="21522" ht="14.25" customHeight="1">
      <c r="A21522" s="740"/>
    </row>
    <row r="21523" ht="14.25" customHeight="1">
      <c r="A21523" s="740"/>
    </row>
    <row r="21524" ht="14.25" customHeight="1">
      <c r="A21524" s="740"/>
    </row>
    <row r="21525" ht="14.25" customHeight="1">
      <c r="A21525" s="740"/>
    </row>
    <row r="21526" ht="14.25" customHeight="1">
      <c r="A21526" s="740"/>
    </row>
    <row r="21527" ht="14.25" customHeight="1">
      <c r="A21527" s="740"/>
    </row>
    <row r="21528" ht="14.25" customHeight="1">
      <c r="A21528" s="740"/>
    </row>
    <row r="21529" ht="14.25" customHeight="1">
      <c r="A21529" s="740"/>
    </row>
    <row r="21530" ht="14.25" customHeight="1">
      <c r="A21530" s="740"/>
    </row>
    <row r="21531" ht="14.25" customHeight="1">
      <c r="A21531" s="740"/>
    </row>
    <row r="21532" ht="14.25" customHeight="1">
      <c r="A21532" s="740"/>
    </row>
    <row r="21533" ht="14.25" customHeight="1">
      <c r="A21533" s="740"/>
    </row>
    <row r="21534" ht="14.25" customHeight="1">
      <c r="A21534" s="740"/>
    </row>
    <row r="21535" ht="14.25" customHeight="1">
      <c r="A21535" s="740"/>
    </row>
    <row r="21536" ht="14.25" customHeight="1">
      <c r="A21536" s="740"/>
    </row>
    <row r="21537" ht="14.25" customHeight="1">
      <c r="A21537" s="740"/>
    </row>
    <row r="21538" ht="14.25" customHeight="1">
      <c r="A21538" s="740"/>
    </row>
    <row r="21539" ht="14.25" customHeight="1">
      <c r="A21539" s="740"/>
    </row>
    <row r="21540" ht="14.25" customHeight="1">
      <c r="A21540" s="740"/>
    </row>
    <row r="21541" ht="14.25" customHeight="1">
      <c r="A21541" s="740"/>
    </row>
    <row r="21542" ht="14.25" customHeight="1">
      <c r="A21542" s="740"/>
    </row>
    <row r="21543" ht="14.25" customHeight="1">
      <c r="A21543" s="740"/>
    </row>
    <row r="21544" ht="14.25" customHeight="1">
      <c r="A21544" s="740"/>
    </row>
    <row r="21545" ht="14.25" customHeight="1">
      <c r="A21545" s="740"/>
    </row>
    <row r="21546" ht="14.25" customHeight="1">
      <c r="A21546" s="740"/>
    </row>
    <row r="21547" ht="14.25" customHeight="1">
      <c r="A21547" s="740"/>
    </row>
    <row r="21548" ht="14.25" customHeight="1">
      <c r="A21548" s="740"/>
    </row>
    <row r="21549" ht="14.25" customHeight="1">
      <c r="A21549" s="740"/>
    </row>
    <row r="21550" ht="14.25" customHeight="1">
      <c r="A21550" s="740"/>
    </row>
    <row r="21551" ht="14.25" customHeight="1">
      <c r="A21551" s="740"/>
    </row>
    <row r="21552" ht="14.25" customHeight="1">
      <c r="A21552" s="740"/>
    </row>
    <row r="21553" ht="14.25" customHeight="1">
      <c r="A21553" s="740"/>
    </row>
    <row r="21554" ht="14.25" customHeight="1">
      <c r="A21554" s="740"/>
    </row>
    <row r="21555" ht="14.25" customHeight="1">
      <c r="A21555" s="740"/>
    </row>
    <row r="21556" ht="14.25" customHeight="1">
      <c r="A21556" s="740"/>
    </row>
    <row r="21557" ht="14.25" customHeight="1">
      <c r="A21557" s="740"/>
    </row>
    <row r="21558" ht="14.25" customHeight="1">
      <c r="A21558" s="740"/>
    </row>
    <row r="21559" ht="14.25" customHeight="1">
      <c r="A21559" s="740"/>
    </row>
    <row r="21560" ht="14.25" customHeight="1">
      <c r="A21560" s="740"/>
    </row>
    <row r="21561" ht="14.25" customHeight="1">
      <c r="A21561" s="740"/>
    </row>
    <row r="21562" ht="14.25" customHeight="1">
      <c r="A21562" s="740"/>
    </row>
    <row r="21563" ht="14.25" customHeight="1">
      <c r="A21563" s="740"/>
    </row>
    <row r="21564" ht="14.25" customHeight="1">
      <c r="A21564" s="740"/>
    </row>
    <row r="21565" ht="14.25" customHeight="1">
      <c r="A21565" s="740"/>
    </row>
    <row r="21566" ht="14.25" customHeight="1">
      <c r="A21566" s="740"/>
    </row>
    <row r="21567" ht="14.25" customHeight="1">
      <c r="A21567" s="740"/>
    </row>
    <row r="21568" ht="14.25" customHeight="1">
      <c r="A21568" s="740"/>
    </row>
    <row r="21569" ht="14.25" customHeight="1">
      <c r="A21569" s="740"/>
    </row>
    <row r="21570" ht="14.25" customHeight="1">
      <c r="A21570" s="740"/>
    </row>
    <row r="21571" ht="14.25" customHeight="1">
      <c r="A21571" s="740"/>
    </row>
    <row r="21572" ht="14.25" customHeight="1">
      <c r="A21572" s="740"/>
    </row>
    <row r="21573" ht="14.25" customHeight="1">
      <c r="A21573" s="740"/>
    </row>
    <row r="21574" ht="14.25" customHeight="1">
      <c r="A21574" s="740"/>
    </row>
    <row r="21575" ht="14.25" customHeight="1">
      <c r="A21575" s="740"/>
    </row>
    <row r="21576" ht="14.25" customHeight="1">
      <c r="A21576" s="740"/>
    </row>
    <row r="21577" ht="14.25" customHeight="1">
      <c r="A21577" s="740"/>
    </row>
    <row r="21578" ht="14.25" customHeight="1">
      <c r="A21578" s="740"/>
    </row>
    <row r="21579" ht="14.25" customHeight="1">
      <c r="A21579" s="740"/>
    </row>
    <row r="21580" ht="14.25" customHeight="1">
      <c r="A21580" s="740"/>
    </row>
    <row r="21581" ht="14.25" customHeight="1">
      <c r="A21581" s="740"/>
    </row>
    <row r="21582" ht="14.25" customHeight="1">
      <c r="A21582" s="740"/>
    </row>
    <row r="21583" ht="14.25" customHeight="1">
      <c r="A21583" s="740"/>
    </row>
    <row r="21584" ht="14.25" customHeight="1">
      <c r="A21584" s="740"/>
    </row>
    <row r="21585" ht="14.25" customHeight="1">
      <c r="A21585" s="740"/>
    </row>
    <row r="21586" ht="14.25" customHeight="1">
      <c r="A21586" s="740"/>
    </row>
    <row r="21587" ht="14.25" customHeight="1">
      <c r="A21587" s="740"/>
    </row>
    <row r="21588" ht="14.25" customHeight="1">
      <c r="A21588" s="740"/>
    </row>
    <row r="21589" ht="14.25" customHeight="1">
      <c r="A21589" s="740"/>
    </row>
    <row r="21590" ht="14.25" customHeight="1">
      <c r="A21590" s="740"/>
    </row>
    <row r="21591" ht="14.25" customHeight="1">
      <c r="A21591" s="740"/>
    </row>
    <row r="21592" ht="14.25" customHeight="1">
      <c r="A21592" s="740"/>
    </row>
    <row r="21593" ht="14.25" customHeight="1">
      <c r="A21593" s="740"/>
    </row>
    <row r="21594" ht="14.25" customHeight="1">
      <c r="A21594" s="740"/>
    </row>
    <row r="21595" ht="14.25" customHeight="1">
      <c r="A21595" s="740"/>
    </row>
    <row r="21596" ht="14.25" customHeight="1">
      <c r="A21596" s="740"/>
    </row>
    <row r="21597" ht="14.25" customHeight="1">
      <c r="A21597" s="740"/>
    </row>
    <row r="21598" ht="14.25" customHeight="1">
      <c r="A21598" s="740"/>
    </row>
    <row r="21599" ht="14.25" customHeight="1">
      <c r="A21599" s="740"/>
    </row>
    <row r="21600" ht="14.25" customHeight="1">
      <c r="A21600" s="740"/>
    </row>
    <row r="21601" ht="14.25" customHeight="1">
      <c r="A21601" s="740"/>
    </row>
    <row r="21602" ht="14.25" customHeight="1">
      <c r="A21602" s="740"/>
    </row>
    <row r="21603" ht="14.25" customHeight="1">
      <c r="A21603" s="740"/>
    </row>
    <row r="21604" ht="14.25" customHeight="1">
      <c r="A21604" s="740"/>
    </row>
    <row r="21605" ht="14.25" customHeight="1">
      <c r="A21605" s="740"/>
    </row>
    <row r="21606" ht="14.25" customHeight="1">
      <c r="A21606" s="740"/>
    </row>
    <row r="21607" ht="14.25" customHeight="1">
      <c r="A21607" s="740"/>
    </row>
    <row r="21608" ht="14.25" customHeight="1">
      <c r="A21608" s="740"/>
    </row>
    <row r="21609" ht="14.25" customHeight="1">
      <c r="A21609" s="740"/>
    </row>
    <row r="21610" ht="14.25" customHeight="1">
      <c r="A21610" s="740"/>
    </row>
    <row r="21611" ht="14.25" customHeight="1">
      <c r="A21611" s="740"/>
    </row>
    <row r="21612" ht="14.25" customHeight="1">
      <c r="A21612" s="740"/>
    </row>
    <row r="21613" ht="14.25" customHeight="1">
      <c r="A21613" s="740"/>
    </row>
    <row r="21614" ht="14.25" customHeight="1">
      <c r="A21614" s="740"/>
    </row>
    <row r="21615" ht="14.25" customHeight="1">
      <c r="A21615" s="740"/>
    </row>
    <row r="21616" ht="14.25" customHeight="1">
      <c r="A21616" s="740"/>
    </row>
    <row r="21617" ht="14.25" customHeight="1">
      <c r="A21617" s="740"/>
    </row>
    <row r="21618" ht="14.25" customHeight="1">
      <c r="A21618" s="740"/>
    </row>
    <row r="21619" ht="14.25" customHeight="1">
      <c r="A21619" s="740"/>
    </row>
    <row r="21620" ht="14.25" customHeight="1">
      <c r="A21620" s="740"/>
    </row>
    <row r="21621" ht="14.25" customHeight="1">
      <c r="A21621" s="740"/>
    </row>
    <row r="21622" ht="14.25" customHeight="1">
      <c r="A21622" s="740"/>
    </row>
    <row r="21623" ht="14.25" customHeight="1">
      <c r="A21623" s="740"/>
    </row>
    <row r="21624" ht="14.25" customHeight="1">
      <c r="A21624" s="740"/>
    </row>
    <row r="21625" ht="14.25" customHeight="1">
      <c r="A21625" s="740"/>
    </row>
    <row r="21626" ht="14.25" customHeight="1">
      <c r="A21626" s="740"/>
    </row>
    <row r="21627" ht="14.25" customHeight="1">
      <c r="A21627" s="740"/>
    </row>
    <row r="21628" ht="14.25" customHeight="1">
      <c r="A21628" s="740"/>
    </row>
    <row r="21629" ht="14.25" customHeight="1">
      <c r="A21629" s="740"/>
    </row>
    <row r="21630" ht="14.25" customHeight="1">
      <c r="A21630" s="740"/>
    </row>
    <row r="21631" ht="14.25" customHeight="1">
      <c r="A21631" s="740"/>
    </row>
    <row r="21632" ht="14.25" customHeight="1">
      <c r="A21632" s="740"/>
    </row>
    <row r="21633" ht="14.25" customHeight="1">
      <c r="A21633" s="740"/>
    </row>
    <row r="21634" ht="14.25" customHeight="1">
      <c r="A21634" s="740"/>
    </row>
    <row r="21635" ht="14.25" customHeight="1">
      <c r="A21635" s="740"/>
    </row>
    <row r="21636" ht="14.25" customHeight="1">
      <c r="A21636" s="740"/>
    </row>
    <row r="21637" ht="14.25" customHeight="1">
      <c r="A21637" s="740"/>
    </row>
    <row r="21638" ht="14.25" customHeight="1">
      <c r="A21638" s="740"/>
    </row>
    <row r="21639" ht="14.25" customHeight="1">
      <c r="A21639" s="740"/>
    </row>
    <row r="21640" ht="14.25" customHeight="1">
      <c r="A21640" s="740"/>
    </row>
    <row r="21641" ht="14.25" customHeight="1">
      <c r="A21641" s="740"/>
    </row>
    <row r="21642" ht="14.25" customHeight="1">
      <c r="A21642" s="740"/>
    </row>
    <row r="21643" ht="14.25" customHeight="1">
      <c r="A21643" s="740"/>
    </row>
    <row r="21644" ht="14.25" customHeight="1">
      <c r="A21644" s="740"/>
    </row>
    <row r="21645" ht="14.25" customHeight="1">
      <c r="A21645" s="740"/>
    </row>
    <row r="21646" ht="14.25" customHeight="1">
      <c r="A21646" s="740"/>
    </row>
    <row r="21647" ht="14.25" customHeight="1">
      <c r="A21647" s="740"/>
    </row>
    <row r="21648" ht="14.25" customHeight="1">
      <c r="A21648" s="740"/>
    </row>
    <row r="21649" ht="14.25" customHeight="1">
      <c r="A21649" s="740"/>
    </row>
    <row r="21650" ht="14.25" customHeight="1">
      <c r="A21650" s="740"/>
    </row>
    <row r="21651" ht="14.25" customHeight="1">
      <c r="A21651" s="740"/>
    </row>
    <row r="21652" ht="14.25" customHeight="1">
      <c r="A21652" s="740"/>
    </row>
    <row r="21653" ht="14.25" customHeight="1">
      <c r="A21653" s="740"/>
    </row>
    <row r="21654" ht="14.25" customHeight="1">
      <c r="A21654" s="740"/>
    </row>
    <row r="21655" ht="14.25" customHeight="1">
      <c r="A21655" s="740"/>
    </row>
    <row r="21656" ht="14.25" customHeight="1">
      <c r="A21656" s="740"/>
    </row>
    <row r="21657" ht="14.25" customHeight="1">
      <c r="A21657" s="740"/>
    </row>
    <row r="21658" ht="14.25" customHeight="1">
      <c r="A21658" s="740"/>
    </row>
    <row r="21659" ht="14.25" customHeight="1">
      <c r="A21659" s="740"/>
    </row>
    <row r="21660" ht="14.25" customHeight="1">
      <c r="A21660" s="740"/>
    </row>
    <row r="21661" ht="14.25" customHeight="1">
      <c r="A21661" s="740"/>
    </row>
    <row r="21662" ht="14.25" customHeight="1">
      <c r="A21662" s="740"/>
    </row>
    <row r="21663" ht="14.25" customHeight="1">
      <c r="A21663" s="740"/>
    </row>
    <row r="21664" ht="14.25" customHeight="1">
      <c r="A21664" s="740"/>
    </row>
    <row r="21665" ht="14.25" customHeight="1">
      <c r="A21665" s="740"/>
    </row>
    <row r="21666" ht="14.25" customHeight="1">
      <c r="A21666" s="740"/>
    </row>
    <row r="21667" ht="14.25" customHeight="1">
      <c r="A21667" s="740"/>
    </row>
    <row r="21668" ht="14.25" customHeight="1">
      <c r="A21668" s="740"/>
    </row>
    <row r="21669" ht="14.25" customHeight="1">
      <c r="A21669" s="740"/>
    </row>
    <row r="21670" ht="14.25" customHeight="1">
      <c r="A21670" s="740"/>
    </row>
    <row r="21671" ht="14.25" customHeight="1">
      <c r="A21671" s="740"/>
    </row>
    <row r="21672" ht="14.25" customHeight="1">
      <c r="A21672" s="740"/>
    </row>
    <row r="21673" ht="14.25" customHeight="1">
      <c r="A21673" s="740"/>
    </row>
    <row r="21674" ht="14.25" customHeight="1">
      <c r="A21674" s="740"/>
    </row>
    <row r="21675" ht="14.25" customHeight="1">
      <c r="A21675" s="740"/>
    </row>
    <row r="21676" ht="14.25" customHeight="1">
      <c r="A21676" s="740"/>
    </row>
    <row r="21677" ht="14.25" customHeight="1">
      <c r="A21677" s="740"/>
    </row>
    <row r="21678" ht="14.25" customHeight="1">
      <c r="A21678" s="740"/>
    </row>
    <row r="21679" ht="14.25" customHeight="1">
      <c r="A21679" s="740"/>
    </row>
    <row r="21680" ht="14.25" customHeight="1">
      <c r="A21680" s="740"/>
    </row>
    <row r="21681" ht="14.25" customHeight="1">
      <c r="A21681" s="740"/>
    </row>
    <row r="21682" ht="14.25" customHeight="1">
      <c r="A21682" s="740"/>
    </row>
    <row r="21683" ht="14.25" customHeight="1">
      <c r="A21683" s="740"/>
    </row>
    <row r="21684" ht="14.25" customHeight="1">
      <c r="A21684" s="740"/>
    </row>
    <row r="21685" ht="14.25" customHeight="1">
      <c r="A21685" s="740"/>
    </row>
    <row r="21686" ht="14.25" customHeight="1">
      <c r="A21686" s="740"/>
    </row>
    <row r="21687" ht="14.25" customHeight="1">
      <c r="A21687" s="740"/>
    </row>
    <row r="21688" ht="14.25" customHeight="1">
      <c r="A21688" s="740"/>
    </row>
    <row r="21689" ht="14.25" customHeight="1">
      <c r="A21689" s="740"/>
    </row>
    <row r="21690" ht="14.25" customHeight="1">
      <c r="A21690" s="740"/>
    </row>
    <row r="21691" ht="14.25" customHeight="1">
      <c r="A21691" s="740"/>
    </row>
    <row r="21692" ht="14.25" customHeight="1">
      <c r="A21692" s="740"/>
    </row>
    <row r="21693" ht="14.25" customHeight="1">
      <c r="A21693" s="740"/>
    </row>
    <row r="21694" ht="14.25" customHeight="1">
      <c r="A21694" s="740"/>
    </row>
    <row r="21695" ht="14.25" customHeight="1">
      <c r="A21695" s="740"/>
    </row>
    <row r="21696" ht="14.25" customHeight="1">
      <c r="A21696" s="740"/>
    </row>
    <row r="21697" ht="14.25" customHeight="1">
      <c r="A21697" s="740"/>
    </row>
    <row r="21698" ht="14.25" customHeight="1">
      <c r="A21698" s="740"/>
    </row>
    <row r="21699" ht="14.25" customHeight="1">
      <c r="A21699" s="740"/>
    </row>
    <row r="21700" ht="14.25" customHeight="1">
      <c r="A21700" s="740"/>
    </row>
    <row r="21701" ht="14.25" customHeight="1">
      <c r="A21701" s="740"/>
    </row>
    <row r="21702" ht="14.25" customHeight="1">
      <c r="A21702" s="740"/>
    </row>
    <row r="21703" ht="14.25" customHeight="1">
      <c r="A21703" s="740"/>
    </row>
    <row r="21704" ht="14.25" customHeight="1">
      <c r="A21704" s="740"/>
    </row>
    <row r="21705" ht="14.25" customHeight="1">
      <c r="A21705" s="740"/>
    </row>
    <row r="21706" ht="14.25" customHeight="1">
      <c r="A21706" s="740"/>
    </row>
    <row r="21707" ht="14.25" customHeight="1">
      <c r="A21707" s="740"/>
    </row>
    <row r="21708" ht="14.25" customHeight="1">
      <c r="A21708" s="740"/>
    </row>
    <row r="21709" ht="14.25" customHeight="1">
      <c r="A21709" s="740"/>
    </row>
    <row r="21710" ht="14.25" customHeight="1">
      <c r="A21710" s="740"/>
    </row>
    <row r="21711" ht="14.25" customHeight="1">
      <c r="A21711" s="740"/>
    </row>
    <row r="21712" ht="14.25" customHeight="1">
      <c r="A21712" s="740"/>
    </row>
    <row r="21713" ht="14.25" customHeight="1">
      <c r="A21713" s="740"/>
    </row>
    <row r="21714" ht="14.25" customHeight="1">
      <c r="A21714" s="740"/>
    </row>
    <row r="21715" ht="14.25" customHeight="1">
      <c r="A21715" s="740"/>
    </row>
    <row r="21716" ht="14.25" customHeight="1">
      <c r="A21716" s="740"/>
    </row>
    <row r="21717" ht="14.25" customHeight="1">
      <c r="A21717" s="740"/>
    </row>
    <row r="21718" ht="14.25" customHeight="1">
      <c r="A21718" s="740"/>
    </row>
    <row r="21719" ht="14.25" customHeight="1">
      <c r="A21719" s="740"/>
    </row>
    <row r="21720" ht="14.25" customHeight="1">
      <c r="A21720" s="740"/>
    </row>
    <row r="21721" ht="14.25" customHeight="1">
      <c r="A21721" s="740"/>
    </row>
    <row r="21722" ht="14.25" customHeight="1">
      <c r="A21722" s="740"/>
    </row>
    <row r="21723" ht="14.25" customHeight="1">
      <c r="A21723" s="740"/>
    </row>
    <row r="21724" ht="14.25" customHeight="1">
      <c r="A21724" s="740"/>
    </row>
    <row r="21725" ht="14.25" customHeight="1">
      <c r="A21725" s="740"/>
    </row>
    <row r="21726" ht="14.25" customHeight="1">
      <c r="A21726" s="740"/>
    </row>
    <row r="21727" ht="14.25" customHeight="1">
      <c r="A21727" s="740"/>
    </row>
    <row r="21728" ht="14.25" customHeight="1">
      <c r="A21728" s="740"/>
    </row>
    <row r="21729" ht="14.25" customHeight="1">
      <c r="A21729" s="740"/>
    </row>
    <row r="21730" ht="14.25" customHeight="1">
      <c r="A21730" s="740"/>
    </row>
    <row r="21731" ht="14.25" customHeight="1">
      <c r="A21731" s="740"/>
    </row>
    <row r="21732" ht="14.25" customHeight="1">
      <c r="A21732" s="740"/>
    </row>
    <row r="21733" ht="14.25" customHeight="1">
      <c r="A21733" s="740"/>
    </row>
    <row r="21734" ht="14.25" customHeight="1">
      <c r="A21734" s="740"/>
    </row>
    <row r="21735" ht="14.25" customHeight="1">
      <c r="A21735" s="740"/>
    </row>
    <row r="21736" ht="14.25" customHeight="1">
      <c r="A21736" s="740"/>
    </row>
    <row r="21737" ht="14.25" customHeight="1">
      <c r="A21737" s="740"/>
    </row>
    <row r="21738" ht="14.25" customHeight="1">
      <c r="A21738" s="740"/>
    </row>
    <row r="21739" ht="14.25" customHeight="1">
      <c r="A21739" s="740"/>
    </row>
    <row r="21740" ht="14.25" customHeight="1">
      <c r="A21740" s="740"/>
    </row>
    <row r="21741" ht="14.25" customHeight="1">
      <c r="A21741" s="740"/>
    </row>
    <row r="21742" ht="14.25" customHeight="1">
      <c r="A21742" s="740"/>
    </row>
    <row r="21743" ht="14.25" customHeight="1">
      <c r="A21743" s="740"/>
    </row>
    <row r="21744" ht="14.25" customHeight="1">
      <c r="A21744" s="740"/>
    </row>
    <row r="21745" ht="14.25" customHeight="1">
      <c r="A21745" s="740"/>
    </row>
    <row r="21746" ht="14.25" customHeight="1">
      <c r="A21746" s="740"/>
    </row>
    <row r="21747" ht="14.25" customHeight="1">
      <c r="A21747" s="740"/>
    </row>
    <row r="21748" ht="14.25" customHeight="1">
      <c r="A21748" s="740"/>
    </row>
    <row r="21749" ht="14.25" customHeight="1">
      <c r="A21749" s="740"/>
    </row>
    <row r="21750" ht="14.25" customHeight="1">
      <c r="A21750" s="740"/>
    </row>
    <row r="21751" ht="14.25" customHeight="1">
      <c r="A21751" s="740"/>
    </row>
    <row r="21752" ht="14.25" customHeight="1">
      <c r="A21752" s="740"/>
    </row>
    <row r="21753" ht="14.25" customHeight="1">
      <c r="A21753" s="740"/>
    </row>
    <row r="21754" ht="14.25" customHeight="1">
      <c r="A21754" s="740"/>
    </row>
    <row r="21755" ht="14.25" customHeight="1">
      <c r="A21755" s="740"/>
    </row>
    <row r="21756" ht="14.25" customHeight="1">
      <c r="A21756" s="740"/>
    </row>
    <row r="21757" ht="14.25" customHeight="1">
      <c r="A21757" s="740"/>
    </row>
    <row r="21758" ht="14.25" customHeight="1">
      <c r="A21758" s="740"/>
    </row>
    <row r="21759" ht="14.25" customHeight="1">
      <c r="A21759" s="740"/>
    </row>
    <row r="21760" ht="14.25" customHeight="1">
      <c r="A21760" s="740"/>
    </row>
    <row r="21761" ht="14.25" customHeight="1">
      <c r="A21761" s="740"/>
    </row>
    <row r="21762" ht="14.25" customHeight="1">
      <c r="A21762" s="740"/>
    </row>
    <row r="21763" ht="14.25" customHeight="1">
      <c r="A21763" s="740"/>
    </row>
    <row r="21764" ht="14.25" customHeight="1">
      <c r="A21764" s="740"/>
    </row>
    <row r="21765" ht="14.25" customHeight="1">
      <c r="A21765" s="740"/>
    </row>
    <row r="21766" ht="14.25" customHeight="1">
      <c r="A21766" s="740"/>
    </row>
    <row r="21767" ht="14.25" customHeight="1">
      <c r="A21767" s="740"/>
    </row>
    <row r="21768" ht="14.25" customHeight="1">
      <c r="A21768" s="740"/>
    </row>
    <row r="21769" ht="14.25" customHeight="1">
      <c r="A21769" s="740"/>
    </row>
    <row r="21770" ht="14.25" customHeight="1">
      <c r="A21770" s="740"/>
    </row>
    <row r="21771" ht="14.25" customHeight="1">
      <c r="A21771" s="740"/>
    </row>
    <row r="21772" ht="14.25" customHeight="1">
      <c r="A21772" s="740"/>
    </row>
    <row r="21773" ht="14.25" customHeight="1">
      <c r="A21773" s="740"/>
    </row>
    <row r="21774" ht="14.25" customHeight="1">
      <c r="A21774" s="740"/>
    </row>
    <row r="21775" ht="14.25" customHeight="1">
      <c r="A21775" s="740"/>
    </row>
    <row r="21776" ht="14.25" customHeight="1">
      <c r="A21776" s="740"/>
    </row>
    <row r="21777" ht="14.25" customHeight="1">
      <c r="A21777" s="740"/>
    </row>
    <row r="21778" ht="14.25" customHeight="1">
      <c r="A21778" s="740"/>
    </row>
    <row r="21779" ht="14.25" customHeight="1">
      <c r="A21779" s="740"/>
    </row>
    <row r="21780" ht="14.25" customHeight="1">
      <c r="A21780" s="740"/>
    </row>
    <row r="21781" ht="14.25" customHeight="1">
      <c r="A21781" s="740"/>
    </row>
    <row r="21782" ht="14.25" customHeight="1">
      <c r="A21782" s="740"/>
    </row>
    <row r="21783" ht="14.25" customHeight="1">
      <c r="A21783" s="740"/>
    </row>
    <row r="21784" ht="14.25" customHeight="1">
      <c r="A21784" s="740"/>
    </row>
    <row r="21785" ht="14.25" customHeight="1">
      <c r="A21785" s="740"/>
    </row>
    <row r="21786" ht="14.25" customHeight="1">
      <c r="A21786" s="740"/>
    </row>
    <row r="21787" ht="14.25" customHeight="1">
      <c r="A21787" s="740"/>
    </row>
    <row r="21788" ht="14.25" customHeight="1">
      <c r="A21788" s="740"/>
    </row>
    <row r="21789" ht="14.25" customHeight="1">
      <c r="A21789" s="740"/>
    </row>
    <row r="21790" ht="14.25" customHeight="1">
      <c r="A21790" s="740"/>
    </row>
    <row r="21791" ht="14.25" customHeight="1">
      <c r="A21791" s="740"/>
    </row>
    <row r="21792" ht="14.25" customHeight="1">
      <c r="A21792" s="740"/>
    </row>
    <row r="21793" ht="14.25" customHeight="1">
      <c r="A21793" s="740"/>
    </row>
    <row r="21794" ht="14.25" customHeight="1">
      <c r="A21794" s="740"/>
    </row>
    <row r="21795" ht="14.25" customHeight="1">
      <c r="A21795" s="740"/>
    </row>
    <row r="21796" ht="14.25" customHeight="1">
      <c r="A21796" s="740"/>
    </row>
    <row r="21797" ht="14.25" customHeight="1">
      <c r="A21797" s="740"/>
    </row>
    <row r="21798" ht="14.25" customHeight="1">
      <c r="A21798" s="740"/>
    </row>
    <row r="21799" ht="14.25" customHeight="1">
      <c r="A21799" s="740"/>
    </row>
    <row r="21800" ht="14.25" customHeight="1">
      <c r="A21800" s="740"/>
    </row>
    <row r="21801" ht="14.25" customHeight="1">
      <c r="A21801" s="740"/>
    </row>
    <row r="21802" ht="14.25" customHeight="1">
      <c r="A21802" s="740"/>
    </row>
    <row r="21803" ht="14.25" customHeight="1">
      <c r="A21803" s="740"/>
    </row>
    <row r="21804" ht="14.25" customHeight="1">
      <c r="A21804" s="740"/>
    </row>
    <row r="21805" ht="14.25" customHeight="1">
      <c r="A21805" s="740"/>
    </row>
    <row r="21806" ht="14.25" customHeight="1">
      <c r="A21806" s="740"/>
    </row>
    <row r="21807" ht="14.25" customHeight="1">
      <c r="A21807" s="740"/>
    </row>
    <row r="21808" ht="14.25" customHeight="1">
      <c r="A21808" s="740"/>
    </row>
    <row r="21809" ht="14.25" customHeight="1">
      <c r="A21809" s="740"/>
    </row>
    <row r="21810" ht="14.25" customHeight="1">
      <c r="A21810" s="740"/>
    </row>
    <row r="21811" ht="14.25" customHeight="1">
      <c r="A21811" s="740"/>
    </row>
    <row r="21812" ht="14.25" customHeight="1">
      <c r="A21812" s="740"/>
    </row>
    <row r="21813" ht="14.25" customHeight="1">
      <c r="A21813" s="740"/>
    </row>
    <row r="21814" ht="14.25" customHeight="1">
      <c r="A21814" s="740"/>
    </row>
    <row r="21815" ht="14.25" customHeight="1">
      <c r="A21815" s="740"/>
    </row>
    <row r="21816" ht="14.25" customHeight="1">
      <c r="A21816" s="740"/>
    </row>
    <row r="21817" ht="14.25" customHeight="1">
      <c r="A21817" s="740"/>
    </row>
    <row r="21818" ht="14.25" customHeight="1">
      <c r="A21818" s="740"/>
    </row>
    <row r="21819" ht="14.25" customHeight="1">
      <c r="A21819" s="740"/>
    </row>
    <row r="21820" ht="14.25" customHeight="1">
      <c r="A21820" s="740"/>
    </row>
    <row r="21821" ht="14.25" customHeight="1">
      <c r="A21821" s="740"/>
    </row>
    <row r="21822" ht="14.25" customHeight="1">
      <c r="A21822" s="740"/>
    </row>
    <row r="21823" ht="14.25" customHeight="1">
      <c r="A21823" s="740"/>
    </row>
    <row r="21824" ht="14.25" customHeight="1">
      <c r="A21824" s="740"/>
    </row>
    <row r="21825" ht="14.25" customHeight="1">
      <c r="A21825" s="740"/>
    </row>
    <row r="21826" ht="14.25" customHeight="1">
      <c r="A21826" s="740"/>
    </row>
    <row r="21827" ht="14.25" customHeight="1">
      <c r="A21827" s="740"/>
    </row>
    <row r="21828" ht="14.25" customHeight="1">
      <c r="A21828" s="740"/>
    </row>
    <row r="21829" ht="14.25" customHeight="1">
      <c r="A21829" s="740"/>
    </row>
    <row r="21830" ht="14.25" customHeight="1">
      <c r="A21830" s="740"/>
    </row>
    <row r="21831" ht="14.25" customHeight="1">
      <c r="A21831" s="740"/>
    </row>
    <row r="21832" ht="14.25" customHeight="1">
      <c r="A21832" s="740"/>
    </row>
    <row r="21833" ht="14.25" customHeight="1">
      <c r="A21833" s="740"/>
    </row>
    <row r="21834" ht="14.25" customHeight="1">
      <c r="A21834" s="740"/>
    </row>
    <row r="21835" ht="14.25" customHeight="1">
      <c r="A21835" s="740"/>
    </row>
    <row r="21836" ht="14.25" customHeight="1">
      <c r="A21836" s="740"/>
    </row>
    <row r="21837" ht="14.25" customHeight="1">
      <c r="A21837" s="740"/>
    </row>
    <row r="21838" ht="14.25" customHeight="1">
      <c r="A21838" s="740"/>
    </row>
    <row r="21839" ht="14.25" customHeight="1">
      <c r="A21839" s="740"/>
    </row>
    <row r="21840" ht="14.25" customHeight="1">
      <c r="A21840" s="740"/>
    </row>
    <row r="21841" ht="14.25" customHeight="1">
      <c r="A21841" s="740"/>
    </row>
    <row r="21842" ht="14.25" customHeight="1">
      <c r="A21842" s="740"/>
    </row>
    <row r="21843" ht="14.25" customHeight="1">
      <c r="A21843" s="740"/>
    </row>
    <row r="21844" ht="14.25" customHeight="1">
      <c r="A21844" s="740"/>
    </row>
    <row r="21845" ht="14.25" customHeight="1">
      <c r="A21845" s="740"/>
    </row>
    <row r="21846" ht="14.25" customHeight="1">
      <c r="A21846" s="740"/>
    </row>
    <row r="21847" ht="14.25" customHeight="1">
      <c r="A21847" s="740"/>
    </row>
    <row r="21848" ht="14.25" customHeight="1">
      <c r="A21848" s="740"/>
    </row>
    <row r="21849" ht="14.25" customHeight="1">
      <c r="A21849" s="740"/>
    </row>
    <row r="21850" ht="14.25" customHeight="1">
      <c r="A21850" s="740"/>
    </row>
    <row r="21851" ht="14.25" customHeight="1">
      <c r="A21851" s="740"/>
    </row>
    <row r="21852" ht="14.25" customHeight="1">
      <c r="A21852" s="740"/>
    </row>
    <row r="21853" ht="14.25" customHeight="1">
      <c r="A21853" s="740"/>
    </row>
    <row r="21854" ht="14.25" customHeight="1">
      <c r="A21854" s="740"/>
    </row>
    <row r="21855" ht="14.25" customHeight="1">
      <c r="A21855" s="740"/>
    </row>
    <row r="21856" ht="14.25" customHeight="1">
      <c r="A21856" s="740"/>
    </row>
    <row r="21857" ht="14.25" customHeight="1">
      <c r="A21857" s="740"/>
    </row>
    <row r="21858" ht="14.25" customHeight="1">
      <c r="A21858" s="740"/>
    </row>
    <row r="21859" ht="14.25" customHeight="1">
      <c r="A21859" s="740"/>
    </row>
    <row r="21860" ht="14.25" customHeight="1">
      <c r="A21860" s="740"/>
    </row>
    <row r="21861" ht="14.25" customHeight="1">
      <c r="A21861" s="740"/>
    </row>
    <row r="21862" ht="14.25" customHeight="1">
      <c r="A21862" s="740"/>
    </row>
    <row r="21863" ht="14.25" customHeight="1">
      <c r="A21863" s="740"/>
    </row>
    <row r="21864" ht="14.25" customHeight="1">
      <c r="A21864" s="740"/>
    </row>
    <row r="21865" ht="14.25" customHeight="1">
      <c r="A21865" s="740"/>
    </row>
    <row r="21866" ht="14.25" customHeight="1">
      <c r="A21866" s="740"/>
    </row>
    <row r="21867" ht="14.25" customHeight="1">
      <c r="A21867" s="740"/>
    </row>
    <row r="21868" ht="14.25" customHeight="1">
      <c r="A21868" s="740"/>
    </row>
    <row r="21869" ht="14.25" customHeight="1">
      <c r="A21869" s="740"/>
    </row>
    <row r="21870" ht="14.25" customHeight="1">
      <c r="A21870" s="740"/>
    </row>
    <row r="21871" ht="14.25" customHeight="1">
      <c r="A21871" s="740"/>
    </row>
    <row r="21872" ht="14.25" customHeight="1">
      <c r="A21872" s="740"/>
    </row>
    <row r="21873" ht="14.25" customHeight="1">
      <c r="A21873" s="740"/>
    </row>
    <row r="21874" ht="14.25" customHeight="1">
      <c r="A21874" s="740"/>
    </row>
    <row r="21875" ht="14.25" customHeight="1">
      <c r="A21875" s="740"/>
    </row>
    <row r="21876" ht="14.25" customHeight="1">
      <c r="A21876" s="740"/>
    </row>
    <row r="21877" ht="14.25" customHeight="1">
      <c r="A21877" s="740"/>
    </row>
    <row r="21878" ht="14.25" customHeight="1">
      <c r="A21878" s="740"/>
    </row>
    <row r="21879" ht="14.25" customHeight="1">
      <c r="A21879" s="740"/>
    </row>
    <row r="21880" ht="14.25" customHeight="1">
      <c r="A21880" s="740"/>
    </row>
    <row r="21881" ht="14.25" customHeight="1">
      <c r="A21881" s="740"/>
    </row>
    <row r="21882" ht="14.25" customHeight="1">
      <c r="A21882" s="740"/>
    </row>
    <row r="21883" ht="14.25" customHeight="1">
      <c r="A21883" s="740"/>
    </row>
    <row r="21884" ht="14.25" customHeight="1">
      <c r="A21884" s="740"/>
    </row>
    <row r="21885" ht="14.25" customHeight="1">
      <c r="A21885" s="740"/>
    </row>
    <row r="21886" ht="14.25" customHeight="1">
      <c r="A21886" s="740"/>
    </row>
    <row r="21887" ht="14.25" customHeight="1">
      <c r="A21887" s="740"/>
    </row>
    <row r="21888" ht="14.25" customHeight="1">
      <c r="A21888" s="740"/>
    </row>
    <row r="21889" ht="14.25" customHeight="1">
      <c r="A21889" s="740"/>
    </row>
    <row r="21890" ht="14.25" customHeight="1">
      <c r="A21890" s="740"/>
    </row>
    <row r="21891" ht="14.25" customHeight="1">
      <c r="A21891" s="740"/>
    </row>
    <row r="21892" ht="14.25" customHeight="1">
      <c r="A21892" s="740"/>
    </row>
    <row r="21893" ht="14.25" customHeight="1">
      <c r="A21893" s="740"/>
    </row>
    <row r="21894" ht="14.25" customHeight="1">
      <c r="A21894" s="740"/>
    </row>
    <row r="21895" ht="14.25" customHeight="1">
      <c r="A21895" s="740"/>
    </row>
    <row r="21896" ht="14.25" customHeight="1">
      <c r="A21896" s="740"/>
    </row>
    <row r="21897" ht="14.25" customHeight="1">
      <c r="A21897" s="740"/>
    </row>
    <row r="21898" ht="14.25" customHeight="1">
      <c r="A21898" s="740"/>
    </row>
    <row r="21899" ht="14.25" customHeight="1">
      <c r="A21899" s="740"/>
    </row>
    <row r="21900" ht="14.25" customHeight="1">
      <c r="A21900" s="740"/>
    </row>
    <row r="21901" ht="14.25" customHeight="1">
      <c r="A21901" s="740"/>
    </row>
    <row r="21902" ht="14.25" customHeight="1">
      <c r="A21902" s="740"/>
    </row>
    <row r="21903" ht="14.25" customHeight="1">
      <c r="A21903" s="740"/>
    </row>
    <row r="21904" ht="14.25" customHeight="1">
      <c r="A21904" s="740"/>
    </row>
    <row r="21905" ht="14.25" customHeight="1">
      <c r="A21905" s="740"/>
    </row>
    <row r="21906" ht="14.25" customHeight="1">
      <c r="A21906" s="740"/>
    </row>
    <row r="21907" ht="14.25" customHeight="1">
      <c r="A21907" s="740"/>
    </row>
    <row r="21908" ht="14.25" customHeight="1">
      <c r="A21908" s="740"/>
    </row>
    <row r="21909" ht="14.25" customHeight="1">
      <c r="A21909" s="740"/>
    </row>
    <row r="21910" ht="14.25" customHeight="1">
      <c r="A21910" s="740"/>
    </row>
    <row r="21911" ht="14.25" customHeight="1">
      <c r="A21911" s="740"/>
    </row>
    <row r="21912" ht="14.25" customHeight="1">
      <c r="A21912" s="740"/>
    </row>
    <row r="21913" ht="14.25" customHeight="1">
      <c r="A21913" s="740"/>
    </row>
    <row r="21914" ht="14.25" customHeight="1">
      <c r="A21914" s="740"/>
    </row>
    <row r="21915" ht="14.25" customHeight="1">
      <c r="A21915" s="740"/>
    </row>
    <row r="21916" ht="14.25" customHeight="1">
      <c r="A21916" s="740"/>
    </row>
    <row r="21917" ht="14.25" customHeight="1">
      <c r="A21917" s="740"/>
    </row>
    <row r="21918" ht="14.25" customHeight="1">
      <c r="A21918" s="740"/>
    </row>
    <row r="21919" ht="14.25" customHeight="1">
      <c r="A21919" s="740"/>
    </row>
    <row r="21920" ht="14.25" customHeight="1">
      <c r="A21920" s="740"/>
    </row>
    <row r="21921" ht="14.25" customHeight="1">
      <c r="A21921" s="740"/>
    </row>
    <row r="21922" ht="14.25" customHeight="1">
      <c r="A21922" s="740"/>
    </row>
    <row r="21923" ht="14.25" customHeight="1">
      <c r="A21923" s="740"/>
    </row>
    <row r="21924" ht="14.25" customHeight="1">
      <c r="A21924" s="740"/>
    </row>
    <row r="21925" ht="14.25" customHeight="1">
      <c r="A21925" s="740"/>
    </row>
    <row r="21926" ht="14.25" customHeight="1">
      <c r="A21926" s="740"/>
    </row>
    <row r="21927" ht="14.25" customHeight="1">
      <c r="A21927" s="740"/>
    </row>
    <row r="21928" ht="14.25" customHeight="1">
      <c r="A21928" s="740"/>
    </row>
    <row r="21929" ht="14.25" customHeight="1">
      <c r="A21929" s="740"/>
    </row>
    <row r="21930" ht="14.25" customHeight="1">
      <c r="A21930" s="740"/>
    </row>
    <row r="21931" ht="14.25" customHeight="1">
      <c r="A21931" s="740"/>
    </row>
    <row r="21932" ht="14.25" customHeight="1">
      <c r="A21932" s="740"/>
    </row>
    <row r="21933" ht="14.25" customHeight="1">
      <c r="A21933" s="740"/>
    </row>
    <row r="21934" ht="14.25" customHeight="1">
      <c r="A21934" s="740"/>
    </row>
    <row r="21935" ht="14.25" customHeight="1">
      <c r="A21935" s="740"/>
    </row>
    <row r="21936" ht="14.25" customHeight="1">
      <c r="A21936" s="740"/>
    </row>
    <row r="21937" ht="14.25" customHeight="1">
      <c r="A21937" s="740"/>
    </row>
    <row r="21938" ht="14.25" customHeight="1">
      <c r="A21938" s="740"/>
    </row>
    <row r="21939" ht="14.25" customHeight="1">
      <c r="A21939" s="740"/>
    </row>
    <row r="21940" ht="14.25" customHeight="1">
      <c r="A21940" s="740"/>
    </row>
    <row r="21941" ht="14.25" customHeight="1">
      <c r="A21941" s="740"/>
    </row>
    <row r="21942" ht="14.25" customHeight="1">
      <c r="A21942" s="740"/>
    </row>
    <row r="21943" ht="14.25" customHeight="1">
      <c r="A21943" s="740"/>
    </row>
    <row r="21944" ht="14.25" customHeight="1">
      <c r="A21944" s="740"/>
    </row>
    <row r="21945" ht="14.25" customHeight="1">
      <c r="A21945" s="740"/>
    </row>
    <row r="21946" ht="14.25" customHeight="1">
      <c r="A21946" s="740"/>
    </row>
    <row r="21947" ht="14.25" customHeight="1">
      <c r="A21947" s="740"/>
    </row>
    <row r="21948" ht="14.25" customHeight="1">
      <c r="A21948" s="740"/>
    </row>
    <row r="21949" ht="14.25" customHeight="1">
      <c r="A21949" s="740"/>
    </row>
    <row r="21950" ht="14.25" customHeight="1">
      <c r="A21950" s="740"/>
    </row>
    <row r="21951" ht="14.25" customHeight="1">
      <c r="A21951" s="740"/>
    </row>
    <row r="21952" ht="14.25" customHeight="1">
      <c r="A21952" s="740"/>
    </row>
    <row r="21953" ht="14.25" customHeight="1">
      <c r="A21953" s="740"/>
    </row>
    <row r="21954" ht="14.25" customHeight="1">
      <c r="A21954" s="740"/>
    </row>
    <row r="21955" ht="14.25" customHeight="1">
      <c r="A21955" s="740"/>
    </row>
    <row r="21956" ht="14.25" customHeight="1">
      <c r="A21956" s="740"/>
    </row>
    <row r="21957" ht="14.25" customHeight="1">
      <c r="A21957" s="740"/>
    </row>
    <row r="21958" ht="14.25" customHeight="1">
      <c r="A21958" s="740"/>
    </row>
    <row r="21959" ht="14.25" customHeight="1">
      <c r="A21959" s="740"/>
    </row>
    <row r="21960" ht="14.25" customHeight="1">
      <c r="A21960" s="740"/>
    </row>
    <row r="21961" ht="14.25" customHeight="1">
      <c r="A21961" s="740"/>
    </row>
    <row r="21962" ht="14.25" customHeight="1">
      <c r="A21962" s="740"/>
    </row>
    <row r="21963" ht="14.25" customHeight="1">
      <c r="A21963" s="740"/>
    </row>
    <row r="21964" ht="14.25" customHeight="1">
      <c r="A21964" s="740"/>
    </row>
    <row r="21965" ht="14.25" customHeight="1">
      <c r="A21965" s="740"/>
    </row>
    <row r="21966" ht="14.25" customHeight="1">
      <c r="A21966" s="740"/>
    </row>
    <row r="21967" ht="14.25" customHeight="1">
      <c r="A21967" s="740"/>
    </row>
    <row r="21968" ht="14.25" customHeight="1">
      <c r="A21968" s="740"/>
    </row>
    <row r="21969" ht="14.25" customHeight="1">
      <c r="A21969" s="740"/>
    </row>
    <row r="21970" ht="14.25" customHeight="1">
      <c r="A21970" s="740"/>
    </row>
    <row r="21971" ht="14.25" customHeight="1">
      <c r="A21971" s="740"/>
    </row>
    <row r="21972" ht="14.25" customHeight="1">
      <c r="A21972" s="740"/>
    </row>
    <row r="21973" ht="14.25" customHeight="1">
      <c r="A21973" s="740"/>
    </row>
    <row r="21974" ht="14.25" customHeight="1">
      <c r="A21974" s="740"/>
    </row>
    <row r="21975" ht="14.25" customHeight="1">
      <c r="A21975" s="740"/>
    </row>
    <row r="21976" ht="14.25" customHeight="1">
      <c r="A21976" s="740"/>
    </row>
    <row r="21977" ht="14.25" customHeight="1">
      <c r="A21977" s="740"/>
    </row>
    <row r="21978" ht="14.25" customHeight="1">
      <c r="A21978" s="740"/>
    </row>
    <row r="21979" ht="14.25" customHeight="1">
      <c r="A21979" s="740"/>
    </row>
    <row r="21980" ht="14.25" customHeight="1">
      <c r="A21980" s="740"/>
    </row>
    <row r="21981" ht="14.25" customHeight="1">
      <c r="A21981" s="740"/>
    </row>
    <row r="21982" ht="14.25" customHeight="1">
      <c r="A21982" s="740"/>
    </row>
    <row r="21983" ht="14.25" customHeight="1">
      <c r="A21983" s="740"/>
    </row>
    <row r="21984" ht="14.25" customHeight="1">
      <c r="A21984" s="740"/>
    </row>
    <row r="21985" ht="14.25" customHeight="1">
      <c r="A21985" s="740"/>
    </row>
    <row r="21986" ht="14.25" customHeight="1">
      <c r="A21986" s="740"/>
    </row>
    <row r="21987" ht="14.25" customHeight="1">
      <c r="A21987" s="740"/>
    </row>
    <row r="21988" ht="14.25" customHeight="1">
      <c r="A21988" s="740"/>
    </row>
    <row r="21989" ht="14.25" customHeight="1">
      <c r="A21989" s="740"/>
    </row>
    <row r="21990" ht="14.25" customHeight="1">
      <c r="A21990" s="740"/>
    </row>
    <row r="21991" ht="14.25" customHeight="1">
      <c r="A21991" s="740"/>
    </row>
    <row r="21992" ht="14.25" customHeight="1">
      <c r="A21992" s="740"/>
    </row>
    <row r="21993" ht="14.25" customHeight="1">
      <c r="A21993" s="740"/>
    </row>
    <row r="21994" ht="14.25" customHeight="1">
      <c r="A21994" s="740"/>
    </row>
    <row r="21995" ht="14.25" customHeight="1">
      <c r="A21995" s="740"/>
    </row>
    <row r="21996" ht="14.25" customHeight="1">
      <c r="A21996" s="740"/>
    </row>
    <row r="21997" ht="14.25" customHeight="1">
      <c r="A21997" s="740"/>
    </row>
    <row r="21998" ht="14.25" customHeight="1">
      <c r="A21998" s="740"/>
    </row>
    <row r="21999" ht="14.25" customHeight="1">
      <c r="A21999" s="740"/>
    </row>
    <row r="22000" ht="14.25" customHeight="1">
      <c r="A22000" s="740"/>
    </row>
    <row r="22001" ht="14.25" customHeight="1">
      <c r="A22001" s="740"/>
    </row>
    <row r="22002" ht="14.25" customHeight="1">
      <c r="A22002" s="740"/>
    </row>
    <row r="22003" ht="14.25" customHeight="1">
      <c r="A22003" s="740"/>
    </row>
    <row r="22004" ht="14.25" customHeight="1">
      <c r="A22004" s="740"/>
    </row>
    <row r="22005" ht="14.25" customHeight="1">
      <c r="A22005" s="740"/>
    </row>
    <row r="22006" ht="14.25" customHeight="1">
      <c r="A22006" s="740"/>
    </row>
    <row r="22007" ht="14.25" customHeight="1">
      <c r="A22007" s="740"/>
    </row>
    <row r="22008" ht="14.25" customHeight="1">
      <c r="A22008" s="740"/>
    </row>
    <row r="22009" ht="14.25" customHeight="1">
      <c r="A22009" s="740"/>
    </row>
    <row r="22010" ht="14.25" customHeight="1">
      <c r="A22010" s="740"/>
    </row>
    <row r="22011" ht="14.25" customHeight="1">
      <c r="A22011" s="740"/>
    </row>
    <row r="22012" ht="14.25" customHeight="1">
      <c r="A22012" s="740"/>
    </row>
    <row r="22013" ht="14.25" customHeight="1">
      <c r="A22013" s="740"/>
    </row>
    <row r="22014" ht="14.25" customHeight="1">
      <c r="A22014" s="740"/>
    </row>
    <row r="22015" ht="14.25" customHeight="1">
      <c r="A22015" s="740"/>
    </row>
    <row r="22016" ht="14.25" customHeight="1">
      <c r="A22016" s="740"/>
    </row>
    <row r="22017" ht="14.25" customHeight="1">
      <c r="A22017" s="740"/>
    </row>
    <row r="22018" ht="14.25" customHeight="1">
      <c r="A22018" s="740"/>
    </row>
    <row r="22019" ht="14.25" customHeight="1">
      <c r="A22019" s="740"/>
    </row>
    <row r="22020" ht="14.25" customHeight="1">
      <c r="A22020" s="740"/>
    </row>
    <row r="22021" ht="14.25" customHeight="1">
      <c r="A22021" s="740"/>
    </row>
    <row r="22022" ht="14.25" customHeight="1">
      <c r="A22022" s="740"/>
    </row>
    <row r="22023" ht="14.25" customHeight="1">
      <c r="A22023" s="740"/>
    </row>
    <row r="22024" ht="14.25" customHeight="1">
      <c r="A22024" s="740"/>
    </row>
    <row r="22025" ht="14.25" customHeight="1">
      <c r="A22025" s="740"/>
    </row>
    <row r="22026" ht="14.25" customHeight="1">
      <c r="A22026" s="740"/>
    </row>
    <row r="22027" ht="14.25" customHeight="1">
      <c r="A22027" s="740"/>
    </row>
    <row r="22028" ht="14.25" customHeight="1">
      <c r="A22028" s="740"/>
    </row>
    <row r="22029" ht="14.25" customHeight="1">
      <c r="A22029" s="740"/>
    </row>
    <row r="22030" ht="14.25" customHeight="1">
      <c r="A22030" s="740"/>
    </row>
    <row r="22031" ht="14.25" customHeight="1">
      <c r="A22031" s="740"/>
    </row>
    <row r="22032" ht="14.25" customHeight="1">
      <c r="A22032" s="740"/>
    </row>
    <row r="22033" ht="14.25" customHeight="1">
      <c r="A22033" s="740"/>
    </row>
    <row r="22034" ht="14.25" customHeight="1">
      <c r="A22034" s="740"/>
    </row>
    <row r="22035" ht="14.25" customHeight="1">
      <c r="A22035" s="740"/>
    </row>
    <row r="22036" ht="14.25" customHeight="1">
      <c r="A22036" s="740"/>
    </row>
    <row r="22037" ht="14.25" customHeight="1">
      <c r="A22037" s="740"/>
    </row>
    <row r="22038" ht="14.25" customHeight="1">
      <c r="A22038" s="740"/>
    </row>
    <row r="22039" ht="14.25" customHeight="1">
      <c r="A22039" s="740"/>
    </row>
    <row r="22040" ht="14.25" customHeight="1">
      <c r="A22040" s="740"/>
    </row>
    <row r="22041" ht="14.25" customHeight="1">
      <c r="A22041" s="740"/>
    </row>
    <row r="22042" ht="14.25" customHeight="1">
      <c r="A22042" s="740"/>
    </row>
    <row r="22043" ht="14.25" customHeight="1">
      <c r="A22043" s="740"/>
    </row>
    <row r="22044" ht="14.25" customHeight="1">
      <c r="A22044" s="740"/>
    </row>
    <row r="22045" ht="14.25" customHeight="1">
      <c r="A22045" s="740"/>
    </row>
    <row r="22046" ht="14.25" customHeight="1">
      <c r="A22046" s="740"/>
    </row>
    <row r="22047" ht="14.25" customHeight="1">
      <c r="A22047" s="740"/>
    </row>
    <row r="22048" ht="14.25" customHeight="1">
      <c r="A22048" s="740"/>
    </row>
    <row r="22049" ht="14.25" customHeight="1">
      <c r="A22049" s="740"/>
    </row>
    <row r="22050" ht="14.25" customHeight="1">
      <c r="A22050" s="740"/>
    </row>
    <row r="22051" ht="14.25" customHeight="1">
      <c r="A22051" s="740"/>
    </row>
    <row r="22052" ht="14.25" customHeight="1">
      <c r="A22052" s="740"/>
    </row>
    <row r="22053" ht="14.25" customHeight="1">
      <c r="A22053" s="740"/>
    </row>
    <row r="22054" ht="14.25" customHeight="1">
      <c r="A22054" s="740"/>
    </row>
    <row r="22055" ht="14.25" customHeight="1">
      <c r="A22055" s="740"/>
    </row>
    <row r="22056" ht="14.25" customHeight="1">
      <c r="A22056" s="740"/>
    </row>
    <row r="22057" ht="14.25" customHeight="1">
      <c r="A22057" s="740"/>
    </row>
    <row r="22058" ht="14.25" customHeight="1">
      <c r="A22058" s="740"/>
    </row>
    <row r="22059" ht="14.25" customHeight="1">
      <c r="A22059" s="740"/>
    </row>
    <row r="22060" ht="14.25" customHeight="1">
      <c r="A22060" s="740"/>
    </row>
    <row r="22061" ht="14.25" customHeight="1">
      <c r="A22061" s="740"/>
    </row>
    <row r="22062" ht="14.25" customHeight="1">
      <c r="A22062" s="740"/>
    </row>
    <row r="22063" ht="14.25" customHeight="1">
      <c r="A22063" s="740"/>
    </row>
    <row r="22064" ht="14.25" customHeight="1">
      <c r="A22064" s="740"/>
    </row>
    <row r="22065" ht="14.25" customHeight="1">
      <c r="A22065" s="740"/>
    </row>
    <row r="22066" ht="14.25" customHeight="1">
      <c r="A22066" s="740"/>
    </row>
    <row r="22067" ht="14.25" customHeight="1">
      <c r="A22067" s="740"/>
    </row>
    <row r="22068" ht="14.25" customHeight="1">
      <c r="A22068" s="740"/>
    </row>
    <row r="22069" ht="14.25" customHeight="1">
      <c r="A22069" s="740"/>
    </row>
    <row r="22070" ht="14.25" customHeight="1">
      <c r="A22070" s="740"/>
    </row>
    <row r="22071" ht="14.25" customHeight="1">
      <c r="A22071" s="740"/>
    </row>
    <row r="22072" ht="14.25" customHeight="1">
      <c r="A22072" s="740"/>
    </row>
    <row r="22073" ht="14.25" customHeight="1">
      <c r="A22073" s="740"/>
    </row>
    <row r="22074" ht="14.25" customHeight="1">
      <c r="A22074" s="740"/>
    </row>
    <row r="22075" ht="14.25" customHeight="1">
      <c r="A22075" s="740"/>
    </row>
    <row r="22076" ht="14.25" customHeight="1">
      <c r="A22076" s="740"/>
    </row>
    <row r="22077" ht="14.25" customHeight="1">
      <c r="A22077" s="740"/>
    </row>
    <row r="22078" ht="14.25" customHeight="1">
      <c r="A22078" s="740"/>
    </row>
    <row r="22079" ht="14.25" customHeight="1">
      <c r="A22079" s="740"/>
    </row>
    <row r="22080" ht="14.25" customHeight="1">
      <c r="A22080" s="740"/>
    </row>
    <row r="22081" ht="14.25" customHeight="1">
      <c r="A22081" s="740"/>
    </row>
    <row r="22082" ht="14.25" customHeight="1">
      <c r="A22082" s="740"/>
    </row>
    <row r="22083" ht="14.25" customHeight="1">
      <c r="A22083" s="740"/>
    </row>
    <row r="22084" ht="14.25" customHeight="1">
      <c r="A22084" s="740"/>
    </row>
    <row r="22085" ht="14.25" customHeight="1">
      <c r="A22085" s="740"/>
    </row>
    <row r="22086" ht="14.25" customHeight="1">
      <c r="A22086" s="740"/>
    </row>
    <row r="22087" ht="14.25" customHeight="1">
      <c r="A22087" s="740"/>
    </row>
    <row r="22088" ht="14.25" customHeight="1">
      <c r="A22088" s="740"/>
    </row>
    <row r="22089" ht="14.25" customHeight="1">
      <c r="A22089" s="740"/>
    </row>
    <row r="22090" ht="14.25" customHeight="1">
      <c r="A22090" s="740"/>
    </row>
    <row r="22091" ht="14.25" customHeight="1">
      <c r="A22091" s="740"/>
    </row>
    <row r="22092" ht="14.25" customHeight="1">
      <c r="A22092" s="740"/>
    </row>
    <row r="22093" ht="14.25" customHeight="1">
      <c r="A22093" s="740"/>
    </row>
    <row r="22094" ht="14.25" customHeight="1">
      <c r="A22094" s="740"/>
    </row>
    <row r="22095" ht="14.25" customHeight="1">
      <c r="A22095" s="740"/>
    </row>
    <row r="22096" ht="14.25" customHeight="1">
      <c r="A22096" s="740"/>
    </row>
    <row r="22097" ht="14.25" customHeight="1">
      <c r="A22097" s="740"/>
    </row>
    <row r="22098" ht="14.25" customHeight="1">
      <c r="A22098" s="740"/>
    </row>
    <row r="22099" ht="14.25" customHeight="1">
      <c r="A22099" s="740"/>
    </row>
    <row r="22100" ht="14.25" customHeight="1">
      <c r="A22100" s="740"/>
    </row>
    <row r="22101" ht="14.25" customHeight="1">
      <c r="A22101" s="740"/>
    </row>
    <row r="22102" ht="14.25" customHeight="1">
      <c r="A22102" s="740"/>
    </row>
    <row r="22103" ht="14.25" customHeight="1">
      <c r="A22103" s="740"/>
    </row>
    <row r="22104" ht="14.25" customHeight="1">
      <c r="A22104" s="740"/>
    </row>
    <row r="22105" ht="14.25" customHeight="1">
      <c r="A22105" s="740"/>
    </row>
    <row r="22106" ht="14.25" customHeight="1">
      <c r="A22106" s="740"/>
    </row>
    <row r="22107" ht="14.25" customHeight="1">
      <c r="A22107" s="740"/>
    </row>
    <row r="22108" ht="14.25" customHeight="1">
      <c r="A22108" s="740"/>
    </row>
    <row r="22109" ht="14.25" customHeight="1">
      <c r="A22109" s="740"/>
    </row>
    <row r="22110" ht="14.25" customHeight="1">
      <c r="A22110" s="740"/>
    </row>
    <row r="22111" ht="14.25" customHeight="1">
      <c r="A22111" s="740"/>
    </row>
    <row r="22112" ht="14.25" customHeight="1">
      <c r="A22112" s="740"/>
    </row>
    <row r="22113" ht="14.25" customHeight="1">
      <c r="A22113" s="740"/>
    </row>
    <row r="22114" ht="14.25" customHeight="1">
      <c r="A22114" s="740"/>
    </row>
    <row r="22115" ht="14.25" customHeight="1">
      <c r="A22115" s="740"/>
    </row>
    <row r="22116" ht="14.25" customHeight="1">
      <c r="A22116" s="740"/>
    </row>
    <row r="22117" ht="14.25" customHeight="1">
      <c r="A22117" s="740"/>
    </row>
    <row r="22118" ht="14.25" customHeight="1">
      <c r="A22118" s="740"/>
    </row>
    <row r="22119" ht="14.25" customHeight="1">
      <c r="A22119" s="740"/>
    </row>
    <row r="22120" ht="14.25" customHeight="1">
      <c r="A22120" s="740"/>
    </row>
    <row r="22121" ht="14.25" customHeight="1">
      <c r="A22121" s="740"/>
    </row>
    <row r="22122" ht="14.25" customHeight="1">
      <c r="A22122" s="740"/>
    </row>
    <row r="22123" ht="14.25" customHeight="1">
      <c r="A22123" s="740"/>
    </row>
    <row r="22124" ht="14.25" customHeight="1">
      <c r="A22124" s="740"/>
    </row>
    <row r="22125" ht="14.25" customHeight="1">
      <c r="A22125" s="740"/>
    </row>
    <row r="22126" ht="14.25" customHeight="1">
      <c r="A22126" s="740"/>
    </row>
    <row r="22127" ht="14.25" customHeight="1">
      <c r="A22127" s="740"/>
    </row>
    <row r="22128" ht="14.25" customHeight="1">
      <c r="A22128" s="740"/>
    </row>
    <row r="22129" ht="14.25" customHeight="1">
      <c r="A22129" s="740"/>
    </row>
    <row r="22130" ht="14.25" customHeight="1">
      <c r="A22130" s="740"/>
    </row>
    <row r="22131" ht="14.25" customHeight="1">
      <c r="A22131" s="740"/>
    </row>
    <row r="22132" ht="14.25" customHeight="1">
      <c r="A22132" s="740"/>
    </row>
    <row r="22133" ht="14.25" customHeight="1">
      <c r="A22133" s="740"/>
    </row>
    <row r="22134" ht="14.25" customHeight="1">
      <c r="A22134" s="740"/>
    </row>
    <row r="22135" ht="14.25" customHeight="1">
      <c r="A22135" s="740"/>
    </row>
    <row r="22136" ht="14.25" customHeight="1">
      <c r="A22136" s="740"/>
    </row>
    <row r="22137" ht="14.25" customHeight="1">
      <c r="A22137" s="740"/>
    </row>
    <row r="22138" ht="14.25" customHeight="1">
      <c r="A22138" s="740"/>
    </row>
    <row r="22139" ht="14.25" customHeight="1">
      <c r="A22139" s="740"/>
    </row>
    <row r="22140" ht="14.25" customHeight="1">
      <c r="A22140" s="740"/>
    </row>
    <row r="22141" ht="14.25" customHeight="1">
      <c r="A22141" s="740"/>
    </row>
    <row r="22142" ht="14.25" customHeight="1">
      <c r="A22142" s="740"/>
    </row>
    <row r="22143" ht="14.25" customHeight="1">
      <c r="A22143" s="740"/>
    </row>
    <row r="22144" ht="14.25" customHeight="1">
      <c r="A22144" s="740"/>
    </row>
    <row r="22145" ht="14.25" customHeight="1">
      <c r="A22145" s="740"/>
    </row>
    <row r="22146" ht="14.25" customHeight="1">
      <c r="A22146" s="740"/>
    </row>
    <row r="22147" ht="14.25" customHeight="1">
      <c r="A22147" s="740"/>
    </row>
    <row r="22148" ht="14.25" customHeight="1">
      <c r="A22148" s="740"/>
    </row>
    <row r="22149" ht="14.25" customHeight="1">
      <c r="A22149" s="740"/>
    </row>
    <row r="22150" ht="14.25" customHeight="1">
      <c r="A22150" s="740"/>
    </row>
    <row r="22151" ht="14.25" customHeight="1">
      <c r="A22151" s="740"/>
    </row>
    <row r="22152" ht="14.25" customHeight="1">
      <c r="A22152" s="740"/>
    </row>
    <row r="22153" ht="14.25" customHeight="1">
      <c r="A22153" s="740"/>
    </row>
    <row r="22154" ht="14.25" customHeight="1">
      <c r="A22154" s="740"/>
    </row>
    <row r="22155" ht="14.25" customHeight="1">
      <c r="A22155" s="740"/>
    </row>
    <row r="22156" ht="14.25" customHeight="1">
      <c r="A22156" s="740"/>
    </row>
    <row r="22157" ht="14.25" customHeight="1">
      <c r="A22157" s="740"/>
    </row>
    <row r="22158" ht="14.25" customHeight="1">
      <c r="A22158" s="740"/>
    </row>
    <row r="22159" ht="14.25" customHeight="1">
      <c r="A22159" s="740"/>
    </row>
    <row r="22160" ht="14.25" customHeight="1">
      <c r="A22160" s="740"/>
    </row>
    <row r="22161" ht="14.25" customHeight="1">
      <c r="A22161" s="740"/>
    </row>
    <row r="22162" ht="14.25" customHeight="1">
      <c r="A22162" s="740"/>
    </row>
    <row r="22163" ht="14.25" customHeight="1">
      <c r="A22163" s="740"/>
    </row>
    <row r="22164" ht="14.25" customHeight="1">
      <c r="A22164" s="740"/>
    </row>
    <row r="22165" ht="14.25" customHeight="1">
      <c r="A22165" s="740"/>
    </row>
    <row r="22166" ht="14.25" customHeight="1">
      <c r="A22166" s="740"/>
    </row>
    <row r="22167" ht="14.25" customHeight="1">
      <c r="A22167" s="740"/>
    </row>
    <row r="22168" ht="14.25" customHeight="1">
      <c r="A22168" s="740"/>
    </row>
    <row r="22169" ht="14.25" customHeight="1">
      <c r="A22169" s="740"/>
    </row>
    <row r="22170" ht="14.25" customHeight="1">
      <c r="A22170" s="740"/>
    </row>
    <row r="22171" ht="14.25" customHeight="1">
      <c r="A22171" s="740"/>
    </row>
    <row r="22172" ht="14.25" customHeight="1">
      <c r="A22172" s="740"/>
    </row>
    <row r="22173" ht="14.25" customHeight="1">
      <c r="A22173" s="740"/>
    </row>
    <row r="22174" ht="14.25" customHeight="1">
      <c r="A22174" s="740"/>
    </row>
    <row r="22175" ht="14.25" customHeight="1">
      <c r="A22175" s="740"/>
    </row>
    <row r="22176" ht="14.25" customHeight="1">
      <c r="A22176" s="740"/>
    </row>
    <row r="22177" ht="14.25" customHeight="1">
      <c r="A22177" s="740"/>
    </row>
    <row r="22178" ht="14.25" customHeight="1">
      <c r="A22178" s="740"/>
    </row>
    <row r="22179" ht="14.25" customHeight="1">
      <c r="A22179" s="740"/>
    </row>
    <row r="22180" ht="14.25" customHeight="1">
      <c r="A22180" s="740"/>
    </row>
    <row r="22181" ht="14.25" customHeight="1">
      <c r="A22181" s="740"/>
    </row>
    <row r="22182" ht="14.25" customHeight="1">
      <c r="A22182" s="740"/>
    </row>
    <row r="22183" ht="14.25" customHeight="1">
      <c r="A22183" s="740"/>
    </row>
    <row r="22184" ht="14.25" customHeight="1">
      <c r="A22184" s="740"/>
    </row>
    <row r="22185" ht="14.25" customHeight="1">
      <c r="A22185" s="740"/>
    </row>
    <row r="22186" ht="14.25" customHeight="1">
      <c r="A22186" s="740"/>
    </row>
    <row r="22187" ht="14.25" customHeight="1">
      <c r="A22187" s="740"/>
    </row>
    <row r="22188" ht="14.25" customHeight="1">
      <c r="A22188" s="740"/>
    </row>
    <row r="22189" ht="14.25" customHeight="1">
      <c r="A22189" s="740"/>
    </row>
    <row r="22190" ht="14.25" customHeight="1">
      <c r="A22190" s="740"/>
    </row>
    <row r="22191" ht="14.25" customHeight="1">
      <c r="A22191" s="740"/>
    </row>
    <row r="22192" ht="14.25" customHeight="1">
      <c r="A22192" s="740"/>
    </row>
    <row r="22193" ht="14.25" customHeight="1">
      <c r="A22193" s="740"/>
    </row>
    <row r="22194" ht="14.25" customHeight="1">
      <c r="A22194" s="740"/>
    </row>
    <row r="22195" ht="14.25" customHeight="1">
      <c r="A22195" s="740"/>
    </row>
    <row r="22196" ht="14.25" customHeight="1">
      <c r="A22196" s="740"/>
    </row>
    <row r="22197" ht="14.25" customHeight="1">
      <c r="A22197" s="740"/>
    </row>
    <row r="22198" ht="14.25" customHeight="1">
      <c r="A22198" s="740"/>
    </row>
    <row r="22199" ht="14.25" customHeight="1">
      <c r="A22199" s="740"/>
    </row>
    <row r="22200" ht="14.25" customHeight="1">
      <c r="A22200" s="740"/>
    </row>
    <row r="22201" ht="14.25" customHeight="1">
      <c r="A22201" s="740"/>
    </row>
    <row r="22202" ht="14.25" customHeight="1">
      <c r="A22202" s="740"/>
    </row>
    <row r="22203" ht="14.25" customHeight="1">
      <c r="A22203" s="740"/>
    </row>
    <row r="22204" ht="14.25" customHeight="1">
      <c r="A22204" s="740"/>
    </row>
    <row r="22205" ht="14.25" customHeight="1">
      <c r="A22205" s="740"/>
    </row>
    <row r="22206" ht="14.25" customHeight="1">
      <c r="A22206" s="740"/>
    </row>
    <row r="22207" ht="14.25" customHeight="1">
      <c r="A22207" s="740"/>
    </row>
    <row r="22208" ht="14.25" customHeight="1">
      <c r="A22208" s="740"/>
    </row>
    <row r="22209" ht="14.25" customHeight="1">
      <c r="A22209" s="740"/>
    </row>
    <row r="22210" ht="14.25" customHeight="1">
      <c r="A22210" s="740"/>
    </row>
    <row r="22211" ht="14.25" customHeight="1">
      <c r="A22211" s="740"/>
    </row>
    <row r="22212" ht="14.25" customHeight="1">
      <c r="A22212" s="740"/>
    </row>
    <row r="22213" ht="14.25" customHeight="1">
      <c r="A22213" s="740"/>
    </row>
    <row r="22214" ht="14.25" customHeight="1">
      <c r="A22214" s="740"/>
    </row>
    <row r="22215" ht="14.25" customHeight="1">
      <c r="A22215" s="740"/>
    </row>
    <row r="22216" ht="14.25" customHeight="1">
      <c r="A22216" s="740"/>
    </row>
    <row r="22217" ht="14.25" customHeight="1">
      <c r="A22217" s="740"/>
    </row>
    <row r="22218" ht="14.25" customHeight="1">
      <c r="A22218" s="740"/>
    </row>
    <row r="22219" ht="14.25" customHeight="1">
      <c r="A22219" s="740"/>
    </row>
    <row r="22220" ht="14.25" customHeight="1">
      <c r="A22220" s="740"/>
    </row>
    <row r="22221" ht="14.25" customHeight="1">
      <c r="A22221" s="740"/>
    </row>
    <row r="22222" ht="14.25" customHeight="1">
      <c r="A22222" s="740"/>
    </row>
    <row r="22223" ht="14.25" customHeight="1">
      <c r="A22223" s="740"/>
    </row>
    <row r="22224" ht="14.25" customHeight="1">
      <c r="A22224" s="740"/>
    </row>
    <row r="22225" ht="14.25" customHeight="1">
      <c r="A22225" s="740"/>
    </row>
    <row r="22226" ht="14.25" customHeight="1">
      <c r="A22226" s="740"/>
    </row>
    <row r="22227" ht="14.25" customHeight="1">
      <c r="A22227" s="740"/>
    </row>
    <row r="22228" ht="14.25" customHeight="1">
      <c r="A22228" s="740"/>
    </row>
    <row r="22229" ht="14.25" customHeight="1">
      <c r="A22229" s="740"/>
    </row>
    <row r="22230" ht="14.25" customHeight="1">
      <c r="A22230" s="740"/>
    </row>
    <row r="22231" ht="14.25" customHeight="1">
      <c r="A22231" s="740"/>
    </row>
    <row r="22232" ht="14.25" customHeight="1">
      <c r="A22232" s="740"/>
    </row>
    <row r="22233" ht="14.25" customHeight="1">
      <c r="A22233" s="740"/>
    </row>
    <row r="22234" ht="14.25" customHeight="1">
      <c r="A22234" s="740"/>
    </row>
    <row r="22235" ht="14.25" customHeight="1">
      <c r="A22235" s="740"/>
    </row>
    <row r="22236" ht="14.25" customHeight="1">
      <c r="A22236" s="740"/>
    </row>
    <row r="22237" ht="14.25" customHeight="1">
      <c r="A22237" s="740"/>
    </row>
    <row r="22238" ht="14.25" customHeight="1">
      <c r="A22238" s="740"/>
    </row>
    <row r="22239" ht="14.25" customHeight="1">
      <c r="A22239" s="740"/>
    </row>
    <row r="22240" ht="14.25" customHeight="1">
      <c r="A22240" s="740"/>
    </row>
    <row r="22241" ht="14.25" customHeight="1">
      <c r="A22241" s="740"/>
    </row>
    <row r="22242" ht="14.25" customHeight="1">
      <c r="A22242" s="740"/>
    </row>
    <row r="22243" ht="14.25" customHeight="1">
      <c r="A22243" s="740"/>
    </row>
    <row r="22244" ht="14.25" customHeight="1">
      <c r="A22244" s="740"/>
    </row>
    <row r="22245" ht="14.25" customHeight="1">
      <c r="A22245" s="740"/>
    </row>
    <row r="22246" ht="14.25" customHeight="1">
      <c r="A22246" s="740"/>
    </row>
    <row r="22247" ht="14.25" customHeight="1">
      <c r="A22247" s="740"/>
    </row>
    <row r="22248" ht="14.25" customHeight="1">
      <c r="A22248" s="740"/>
    </row>
    <row r="22249" ht="14.25" customHeight="1">
      <c r="A22249" s="740"/>
    </row>
    <row r="22250" ht="14.25" customHeight="1">
      <c r="A22250" s="740"/>
    </row>
    <row r="22251" ht="14.25" customHeight="1">
      <c r="A22251" s="740"/>
    </row>
    <row r="22252" ht="14.25" customHeight="1">
      <c r="A22252" s="740"/>
    </row>
    <row r="22253" ht="14.25" customHeight="1">
      <c r="A22253" s="740"/>
    </row>
    <row r="22254" ht="14.25" customHeight="1">
      <c r="A22254" s="740"/>
    </row>
    <row r="22255" ht="14.25" customHeight="1">
      <c r="A22255" s="740"/>
    </row>
    <row r="22256" ht="14.25" customHeight="1">
      <c r="A22256" s="740"/>
    </row>
    <row r="22257" ht="14.25" customHeight="1">
      <c r="A22257" s="740"/>
    </row>
    <row r="22258" ht="14.25" customHeight="1">
      <c r="A22258" s="740"/>
    </row>
    <row r="22259" ht="14.25" customHeight="1">
      <c r="A22259" s="740"/>
    </row>
    <row r="22260" ht="14.25" customHeight="1">
      <c r="A22260" s="740"/>
    </row>
    <row r="22261" ht="14.25" customHeight="1">
      <c r="A22261" s="740"/>
    </row>
    <row r="22262" ht="14.25" customHeight="1">
      <c r="A22262" s="740"/>
    </row>
    <row r="22263" ht="14.25" customHeight="1">
      <c r="A22263" s="740"/>
    </row>
    <row r="22264" ht="14.25" customHeight="1">
      <c r="A22264" s="740"/>
    </row>
    <row r="22265" ht="14.25" customHeight="1">
      <c r="A22265" s="740"/>
    </row>
    <row r="22266" ht="14.25" customHeight="1">
      <c r="A22266" s="740"/>
    </row>
    <row r="22267" ht="14.25" customHeight="1">
      <c r="A22267" s="740"/>
    </row>
    <row r="22268" ht="14.25" customHeight="1">
      <c r="A22268" s="740"/>
    </row>
    <row r="22269" ht="14.25" customHeight="1">
      <c r="A22269" s="740"/>
    </row>
    <row r="22270" ht="14.25" customHeight="1">
      <c r="A22270" s="740"/>
    </row>
    <row r="22271" ht="14.25" customHeight="1">
      <c r="A22271" s="740"/>
    </row>
    <row r="22272" ht="14.25" customHeight="1">
      <c r="A22272" s="740"/>
    </row>
    <row r="22273" ht="14.25" customHeight="1">
      <c r="A22273" s="740"/>
    </row>
    <row r="22274" ht="14.25" customHeight="1">
      <c r="A22274" s="740"/>
    </row>
    <row r="22275" ht="14.25" customHeight="1">
      <c r="A22275" s="740"/>
    </row>
    <row r="22276" ht="14.25" customHeight="1">
      <c r="A22276" s="740"/>
    </row>
    <row r="22277" ht="14.25" customHeight="1">
      <c r="A22277" s="740"/>
    </row>
    <row r="22278" ht="14.25" customHeight="1">
      <c r="A22278" s="740"/>
    </row>
    <row r="22279" ht="14.25" customHeight="1">
      <c r="A22279" s="740"/>
    </row>
    <row r="22280" ht="14.25" customHeight="1">
      <c r="A22280" s="740"/>
    </row>
    <row r="22281" ht="14.25" customHeight="1">
      <c r="A22281" s="740"/>
    </row>
    <row r="22282" ht="14.25" customHeight="1">
      <c r="A22282" s="740"/>
    </row>
    <row r="22283" ht="14.25" customHeight="1">
      <c r="A22283" s="740"/>
    </row>
    <row r="22284" ht="14.25" customHeight="1">
      <c r="A22284" s="740"/>
    </row>
    <row r="22285" ht="14.25" customHeight="1">
      <c r="A22285" s="740"/>
    </row>
    <row r="22286" ht="14.25" customHeight="1">
      <c r="A22286" s="740"/>
    </row>
    <row r="22287" ht="14.25" customHeight="1">
      <c r="A22287" s="740"/>
    </row>
    <row r="22288" ht="14.25" customHeight="1">
      <c r="A22288" s="740"/>
    </row>
    <row r="22289" ht="14.25" customHeight="1">
      <c r="A22289" s="740"/>
    </row>
    <row r="22290" ht="14.25" customHeight="1">
      <c r="A22290" s="740"/>
    </row>
    <row r="22291" ht="14.25" customHeight="1">
      <c r="A22291" s="740"/>
    </row>
    <row r="22292" ht="14.25" customHeight="1">
      <c r="A22292" s="740"/>
    </row>
    <row r="22293" ht="14.25" customHeight="1">
      <c r="A22293" s="740"/>
    </row>
    <row r="22294" ht="14.25" customHeight="1">
      <c r="A22294" s="740"/>
    </row>
    <row r="22295" ht="14.25" customHeight="1">
      <c r="A22295" s="740"/>
    </row>
    <row r="22296" ht="14.25" customHeight="1">
      <c r="A22296" s="740"/>
    </row>
    <row r="22297" ht="14.25" customHeight="1">
      <c r="A22297" s="740"/>
    </row>
    <row r="22298" ht="14.25" customHeight="1">
      <c r="A22298" s="740"/>
    </row>
    <row r="22299" ht="14.25" customHeight="1">
      <c r="A22299" s="740"/>
    </row>
    <row r="22300" ht="14.25" customHeight="1">
      <c r="A22300" s="740"/>
    </row>
    <row r="22301" ht="14.25" customHeight="1">
      <c r="A22301" s="740"/>
    </row>
    <row r="22302" ht="14.25" customHeight="1">
      <c r="A22302" s="740"/>
    </row>
    <row r="22303" ht="14.25" customHeight="1">
      <c r="A22303" s="740"/>
    </row>
    <row r="22304" ht="14.25" customHeight="1">
      <c r="A22304" s="740"/>
    </row>
    <row r="22305" ht="14.25" customHeight="1">
      <c r="A22305" s="740"/>
    </row>
    <row r="22306" ht="14.25" customHeight="1">
      <c r="A22306" s="740"/>
    </row>
    <row r="22307" ht="14.25" customHeight="1">
      <c r="A22307" s="740"/>
    </row>
    <row r="22308" ht="14.25" customHeight="1">
      <c r="A22308" s="740"/>
    </row>
    <row r="22309" ht="14.25" customHeight="1">
      <c r="A22309" s="740"/>
    </row>
    <row r="22310" ht="14.25" customHeight="1">
      <c r="A22310" s="740"/>
    </row>
    <row r="22311" ht="14.25" customHeight="1">
      <c r="A22311" s="740"/>
    </row>
    <row r="22312" ht="14.25" customHeight="1">
      <c r="A22312" s="740"/>
    </row>
    <row r="22313" ht="14.25" customHeight="1">
      <c r="A22313" s="740"/>
    </row>
    <row r="22314" ht="14.25" customHeight="1">
      <c r="A22314" s="740"/>
    </row>
    <row r="22315" ht="14.25" customHeight="1">
      <c r="A22315" s="740"/>
    </row>
    <row r="22316" ht="14.25" customHeight="1">
      <c r="A22316" s="740"/>
    </row>
    <row r="22317" ht="14.25" customHeight="1">
      <c r="A22317" s="740"/>
    </row>
    <row r="22318" ht="14.25" customHeight="1">
      <c r="A22318" s="740"/>
    </row>
    <row r="22319" ht="14.25" customHeight="1">
      <c r="A22319" s="740"/>
    </row>
    <row r="22320" ht="14.25" customHeight="1">
      <c r="A22320" s="740"/>
    </row>
    <row r="22321" ht="14.25" customHeight="1">
      <c r="A22321" s="740"/>
    </row>
    <row r="22322" ht="14.25" customHeight="1">
      <c r="A22322" s="740"/>
    </row>
    <row r="22323" ht="14.25" customHeight="1">
      <c r="A22323" s="740"/>
    </row>
    <row r="22324" ht="14.25" customHeight="1">
      <c r="A22324" s="740"/>
    </row>
    <row r="22325" ht="14.25" customHeight="1">
      <c r="A22325" s="740"/>
    </row>
    <row r="22326" ht="14.25" customHeight="1">
      <c r="A22326" s="740"/>
    </row>
    <row r="22327" ht="14.25" customHeight="1">
      <c r="A22327" s="740"/>
    </row>
    <row r="22328" ht="14.25" customHeight="1">
      <c r="A22328" s="740"/>
    </row>
    <row r="22329" ht="14.25" customHeight="1">
      <c r="A22329" s="740"/>
    </row>
    <row r="22330" ht="14.25" customHeight="1">
      <c r="A22330" s="740"/>
    </row>
    <row r="22331" ht="14.25" customHeight="1">
      <c r="A22331" s="740"/>
    </row>
    <row r="22332" ht="14.25" customHeight="1">
      <c r="A22332" s="740"/>
    </row>
    <row r="22333" ht="14.25" customHeight="1">
      <c r="A22333" s="740"/>
    </row>
    <row r="22334" ht="14.25" customHeight="1">
      <c r="A22334" s="740"/>
    </row>
    <row r="22335" ht="14.25" customHeight="1">
      <c r="A22335" s="740"/>
    </row>
    <row r="22336" ht="14.25" customHeight="1">
      <c r="A22336" s="740"/>
    </row>
    <row r="22337" ht="14.25" customHeight="1">
      <c r="A22337" s="740"/>
    </row>
    <row r="22338" ht="14.25" customHeight="1">
      <c r="A22338" s="740"/>
    </row>
    <row r="22339" ht="14.25" customHeight="1">
      <c r="A22339" s="740"/>
    </row>
    <row r="22340" ht="14.25" customHeight="1">
      <c r="A22340" s="740"/>
    </row>
    <row r="22341" ht="14.25" customHeight="1">
      <c r="A22341" s="740"/>
    </row>
    <row r="22342" ht="14.25" customHeight="1">
      <c r="A22342" s="740"/>
    </row>
    <row r="22343" ht="14.25" customHeight="1">
      <c r="A22343" s="740"/>
    </row>
    <row r="22344" ht="14.25" customHeight="1">
      <c r="A22344" s="740"/>
    </row>
    <row r="22345" ht="14.25" customHeight="1">
      <c r="A22345" s="740"/>
    </row>
    <row r="22346" ht="14.25" customHeight="1">
      <c r="A22346" s="740"/>
    </row>
    <row r="22347" ht="14.25" customHeight="1">
      <c r="A22347" s="740"/>
    </row>
    <row r="22348" ht="14.25" customHeight="1">
      <c r="A22348" s="740"/>
    </row>
    <row r="22349" ht="14.25" customHeight="1">
      <c r="A22349" s="740"/>
    </row>
    <row r="22350" ht="14.25" customHeight="1">
      <c r="A22350" s="740"/>
    </row>
    <row r="22351" ht="14.25" customHeight="1">
      <c r="A22351" s="740"/>
    </row>
    <row r="22352" ht="14.25" customHeight="1">
      <c r="A22352" s="740"/>
    </row>
    <row r="22353" ht="14.25" customHeight="1">
      <c r="A22353" s="740"/>
    </row>
    <row r="22354" ht="14.25" customHeight="1">
      <c r="A22354" s="740"/>
    </row>
    <row r="22355" ht="14.25" customHeight="1">
      <c r="A22355" s="740"/>
    </row>
    <row r="22356" ht="14.25" customHeight="1">
      <c r="A22356" s="740"/>
    </row>
    <row r="22357" ht="14.25" customHeight="1">
      <c r="A22357" s="740"/>
    </row>
    <row r="22358" ht="14.25" customHeight="1">
      <c r="A22358" s="740"/>
    </row>
    <row r="22359" ht="14.25" customHeight="1">
      <c r="A22359" s="740"/>
    </row>
    <row r="22360" ht="14.25" customHeight="1">
      <c r="A22360" s="740"/>
    </row>
    <row r="22361" ht="14.25" customHeight="1">
      <c r="A22361" s="740"/>
    </row>
    <row r="22362" ht="14.25" customHeight="1">
      <c r="A22362" s="740"/>
    </row>
    <row r="22363" ht="14.25" customHeight="1">
      <c r="A22363" s="740"/>
    </row>
    <row r="22364" ht="14.25" customHeight="1">
      <c r="A22364" s="740"/>
    </row>
    <row r="22365" ht="14.25" customHeight="1">
      <c r="A22365" s="740"/>
    </row>
    <row r="22366" ht="14.25" customHeight="1">
      <c r="A22366" s="740"/>
    </row>
    <row r="22367" ht="14.25" customHeight="1">
      <c r="A22367" s="740"/>
    </row>
    <row r="22368" ht="14.25" customHeight="1">
      <c r="A22368" s="740"/>
    </row>
    <row r="22369" ht="14.25" customHeight="1">
      <c r="A22369" s="740"/>
    </row>
    <row r="22370" ht="14.25" customHeight="1">
      <c r="A22370" s="740"/>
    </row>
    <row r="22371" ht="14.25" customHeight="1">
      <c r="A22371" s="740"/>
    </row>
    <row r="22372" ht="14.25" customHeight="1">
      <c r="A22372" s="740"/>
    </row>
    <row r="22373" ht="14.25" customHeight="1">
      <c r="A22373" s="740"/>
    </row>
    <row r="22374" ht="14.25" customHeight="1">
      <c r="A22374" s="740"/>
    </row>
    <row r="22375" ht="14.25" customHeight="1">
      <c r="A22375" s="740"/>
    </row>
    <row r="22376" ht="14.25" customHeight="1">
      <c r="A22376" s="740"/>
    </row>
    <row r="22377" ht="14.25" customHeight="1">
      <c r="A22377" s="740"/>
    </row>
    <row r="22378" ht="14.25" customHeight="1">
      <c r="A22378" s="740"/>
    </row>
    <row r="22379" ht="14.25" customHeight="1">
      <c r="A22379" s="740"/>
    </row>
    <row r="22380" ht="14.25" customHeight="1">
      <c r="A22380" s="740"/>
    </row>
    <row r="22381" ht="14.25" customHeight="1">
      <c r="A22381" s="740"/>
    </row>
    <row r="22382" ht="14.25" customHeight="1">
      <c r="A22382" s="740"/>
    </row>
    <row r="22383" ht="14.25" customHeight="1">
      <c r="A22383" s="740"/>
    </row>
    <row r="22384" ht="14.25" customHeight="1">
      <c r="A22384" s="740"/>
    </row>
    <row r="22385" ht="14.25" customHeight="1">
      <c r="A22385" s="740"/>
    </row>
    <row r="22386" ht="14.25" customHeight="1">
      <c r="A22386" s="740"/>
    </row>
    <row r="22387" ht="14.25" customHeight="1">
      <c r="A22387" s="740"/>
    </row>
    <row r="22388" ht="14.25" customHeight="1">
      <c r="A22388" s="740"/>
    </row>
    <row r="22389" ht="14.25" customHeight="1">
      <c r="A22389" s="740"/>
    </row>
    <row r="22390" ht="14.25" customHeight="1">
      <c r="A22390" s="740"/>
    </row>
    <row r="22391" ht="14.25" customHeight="1">
      <c r="A22391" s="740"/>
    </row>
    <row r="22392" ht="14.25" customHeight="1">
      <c r="A22392" s="740"/>
    </row>
    <row r="22393" ht="14.25" customHeight="1">
      <c r="A22393" s="740"/>
    </row>
    <row r="22394" ht="14.25" customHeight="1">
      <c r="A22394" s="740"/>
    </row>
    <row r="22395" ht="14.25" customHeight="1">
      <c r="A22395" s="740"/>
    </row>
    <row r="22396" ht="14.25" customHeight="1">
      <c r="A22396" s="740"/>
    </row>
    <row r="22397" ht="14.25" customHeight="1">
      <c r="A22397" s="740"/>
    </row>
    <row r="22398" ht="14.25" customHeight="1">
      <c r="A22398" s="740"/>
    </row>
    <row r="22399" ht="14.25" customHeight="1">
      <c r="A22399" s="740"/>
    </row>
    <row r="22400" ht="14.25" customHeight="1">
      <c r="A22400" s="740"/>
    </row>
    <row r="22401" ht="14.25" customHeight="1">
      <c r="A22401" s="740"/>
    </row>
    <row r="22402" ht="14.25" customHeight="1">
      <c r="A22402" s="740"/>
    </row>
    <row r="22403" ht="14.25" customHeight="1">
      <c r="A22403" s="740"/>
    </row>
    <row r="22404" ht="14.25" customHeight="1">
      <c r="A22404" s="740"/>
    </row>
    <row r="22405" ht="14.25" customHeight="1">
      <c r="A22405" s="740"/>
    </row>
    <row r="22406" ht="14.25" customHeight="1">
      <c r="A22406" s="740"/>
    </row>
    <row r="22407" ht="14.25" customHeight="1">
      <c r="A22407" s="740"/>
    </row>
    <row r="22408" ht="14.25" customHeight="1">
      <c r="A22408" s="740"/>
    </row>
    <row r="22409" ht="14.25" customHeight="1">
      <c r="A22409" s="740"/>
    </row>
    <row r="22410" ht="14.25" customHeight="1">
      <c r="A22410" s="740"/>
    </row>
    <row r="22411" ht="14.25" customHeight="1">
      <c r="A22411" s="740"/>
    </row>
    <row r="22412" ht="14.25" customHeight="1">
      <c r="A22412" s="740"/>
    </row>
    <row r="22413" ht="14.25" customHeight="1">
      <c r="A22413" s="740"/>
    </row>
    <row r="22414" ht="14.25" customHeight="1">
      <c r="A22414" s="740"/>
    </row>
    <row r="22415" ht="14.25" customHeight="1">
      <c r="A22415" s="740"/>
    </row>
    <row r="22416" ht="14.25" customHeight="1">
      <c r="A22416" s="740"/>
    </row>
    <row r="22417" ht="14.25" customHeight="1">
      <c r="A22417" s="740"/>
    </row>
    <row r="22418" ht="14.25" customHeight="1">
      <c r="A22418" s="740"/>
    </row>
    <row r="22419" ht="14.25" customHeight="1">
      <c r="A22419" s="740"/>
    </row>
    <row r="22420" ht="14.25" customHeight="1">
      <c r="A22420" s="740"/>
    </row>
    <row r="22421" ht="14.25" customHeight="1">
      <c r="A22421" s="740"/>
    </row>
    <row r="22422" ht="14.25" customHeight="1">
      <c r="A22422" s="740"/>
    </row>
    <row r="22423" ht="14.25" customHeight="1">
      <c r="A22423" s="740"/>
    </row>
    <row r="22424" ht="14.25" customHeight="1">
      <c r="A22424" s="740"/>
    </row>
    <row r="22425" ht="14.25" customHeight="1">
      <c r="A22425" s="740"/>
    </row>
    <row r="22426" ht="14.25" customHeight="1">
      <c r="A22426" s="740"/>
    </row>
    <row r="22427" ht="14.25" customHeight="1">
      <c r="A22427" s="740"/>
    </row>
    <row r="22428" ht="14.25" customHeight="1">
      <c r="A22428" s="740"/>
    </row>
    <row r="22429" ht="14.25" customHeight="1">
      <c r="A22429" s="740"/>
    </row>
    <row r="22430" ht="14.25" customHeight="1">
      <c r="A22430" s="740"/>
    </row>
    <row r="22431" ht="14.25" customHeight="1">
      <c r="A22431" s="740"/>
    </row>
    <row r="22432" ht="14.25" customHeight="1">
      <c r="A22432" s="740"/>
    </row>
    <row r="22433" ht="14.25" customHeight="1">
      <c r="A22433" s="740"/>
    </row>
    <row r="22434" ht="14.25" customHeight="1">
      <c r="A22434" s="740"/>
    </row>
    <row r="22435" ht="14.25" customHeight="1">
      <c r="A22435" s="740"/>
    </row>
    <row r="22436" ht="14.25" customHeight="1">
      <c r="A22436" s="740"/>
    </row>
    <row r="22437" ht="14.25" customHeight="1">
      <c r="A22437" s="740"/>
    </row>
    <row r="22438" ht="14.25" customHeight="1">
      <c r="A22438" s="740"/>
    </row>
    <row r="22439" ht="14.25" customHeight="1">
      <c r="A22439" s="740"/>
    </row>
    <row r="22440" ht="14.25" customHeight="1">
      <c r="A22440" s="740"/>
    </row>
    <row r="22441" ht="14.25" customHeight="1">
      <c r="A22441" s="740"/>
    </row>
    <row r="22442" ht="14.25" customHeight="1">
      <c r="A22442" s="740"/>
    </row>
    <row r="22443" ht="14.25" customHeight="1">
      <c r="A22443" s="740"/>
    </row>
    <row r="22444" ht="14.25" customHeight="1">
      <c r="A22444" s="740"/>
    </row>
    <row r="22445" ht="14.25" customHeight="1">
      <c r="A22445" s="740"/>
    </row>
    <row r="22446" ht="14.25" customHeight="1">
      <c r="A22446" s="740"/>
    </row>
    <row r="22447" ht="14.25" customHeight="1">
      <c r="A22447" s="740"/>
    </row>
    <row r="22448" ht="14.25" customHeight="1">
      <c r="A22448" s="740"/>
    </row>
    <row r="22449" ht="14.25" customHeight="1">
      <c r="A22449" s="740"/>
    </row>
    <row r="22450" ht="14.25" customHeight="1">
      <c r="A22450" s="740"/>
    </row>
    <row r="22451" ht="14.25" customHeight="1">
      <c r="A22451" s="740"/>
    </row>
    <row r="22452" ht="14.25" customHeight="1">
      <c r="A22452" s="740"/>
    </row>
    <row r="22453" ht="14.25" customHeight="1">
      <c r="A22453" s="740"/>
    </row>
    <row r="22454" ht="14.25" customHeight="1">
      <c r="A22454" s="740"/>
    </row>
    <row r="22455" ht="14.25" customHeight="1">
      <c r="A22455" s="740"/>
    </row>
    <row r="22456" ht="14.25" customHeight="1">
      <c r="A22456" s="740"/>
    </row>
    <row r="22457" ht="14.25" customHeight="1">
      <c r="A22457" s="740"/>
    </row>
    <row r="22458" ht="14.25" customHeight="1">
      <c r="A22458" s="740"/>
    </row>
    <row r="22459" ht="14.25" customHeight="1">
      <c r="A22459" s="740"/>
    </row>
    <row r="22460" ht="14.25" customHeight="1">
      <c r="A22460" s="740"/>
    </row>
    <row r="22461" ht="14.25" customHeight="1">
      <c r="A22461" s="740"/>
    </row>
    <row r="22462" ht="14.25" customHeight="1">
      <c r="A22462" s="740"/>
    </row>
    <row r="22463" ht="14.25" customHeight="1">
      <c r="A22463" s="740"/>
    </row>
    <row r="22464" ht="14.25" customHeight="1">
      <c r="A22464" s="740"/>
    </row>
    <row r="22465" ht="14.25" customHeight="1">
      <c r="A22465" s="740"/>
    </row>
    <row r="22466" ht="14.25" customHeight="1">
      <c r="A22466" s="740"/>
    </row>
    <row r="22467" ht="14.25" customHeight="1">
      <c r="A22467" s="740"/>
    </row>
    <row r="22468" ht="14.25" customHeight="1">
      <c r="A22468" s="740"/>
    </row>
    <row r="22469" ht="14.25" customHeight="1">
      <c r="A22469" s="740"/>
    </row>
    <row r="22470" ht="14.25" customHeight="1">
      <c r="A22470" s="740"/>
    </row>
    <row r="22471" ht="14.25" customHeight="1">
      <c r="A22471" s="740"/>
    </row>
    <row r="22472" ht="14.25" customHeight="1">
      <c r="A22472" s="740"/>
    </row>
    <row r="22473" ht="14.25" customHeight="1">
      <c r="A22473" s="740"/>
    </row>
    <row r="22474" ht="14.25" customHeight="1">
      <c r="A22474" s="740"/>
    </row>
    <row r="22475" ht="14.25" customHeight="1">
      <c r="A22475" s="740"/>
    </row>
    <row r="22476" ht="14.25" customHeight="1">
      <c r="A22476" s="740"/>
    </row>
    <row r="22477" ht="14.25" customHeight="1">
      <c r="A22477" s="740"/>
    </row>
    <row r="22478" ht="14.25" customHeight="1">
      <c r="A22478" s="740"/>
    </row>
    <row r="22479" ht="14.25" customHeight="1">
      <c r="A22479" s="740"/>
    </row>
    <row r="22480" ht="14.25" customHeight="1">
      <c r="A22480" s="740"/>
    </row>
    <row r="22481" ht="14.25" customHeight="1">
      <c r="A22481" s="740"/>
    </row>
    <row r="22482" ht="14.25" customHeight="1">
      <c r="A22482" s="740"/>
    </row>
    <row r="22483" ht="14.25" customHeight="1">
      <c r="A22483" s="740"/>
    </row>
    <row r="22484" ht="14.25" customHeight="1">
      <c r="A22484" s="740"/>
    </row>
    <row r="22485" ht="14.25" customHeight="1">
      <c r="A22485" s="740"/>
    </row>
    <row r="22486" ht="14.25" customHeight="1">
      <c r="A22486" s="740"/>
    </row>
    <row r="22487" ht="14.25" customHeight="1">
      <c r="A22487" s="740"/>
    </row>
    <row r="22488" ht="14.25" customHeight="1">
      <c r="A22488" s="740"/>
    </row>
    <row r="22489" ht="14.25" customHeight="1">
      <c r="A22489" s="740"/>
    </row>
    <row r="22490" ht="14.25" customHeight="1">
      <c r="A22490" s="740"/>
    </row>
    <row r="22491" ht="14.25" customHeight="1">
      <c r="A22491" s="740"/>
    </row>
    <row r="22492" ht="14.25" customHeight="1">
      <c r="A22492" s="740"/>
    </row>
    <row r="22493" ht="14.25" customHeight="1">
      <c r="A22493" s="740"/>
    </row>
    <row r="22494" ht="14.25" customHeight="1">
      <c r="A22494" s="740"/>
    </row>
    <row r="22495" ht="14.25" customHeight="1">
      <c r="A22495" s="740"/>
    </row>
    <row r="22496" ht="14.25" customHeight="1">
      <c r="A22496" s="740"/>
    </row>
    <row r="22497" ht="14.25" customHeight="1">
      <c r="A22497" s="740"/>
    </row>
    <row r="22498" ht="14.25" customHeight="1">
      <c r="A22498" s="740"/>
    </row>
    <row r="22499" ht="14.25" customHeight="1">
      <c r="A22499" s="740"/>
    </row>
    <row r="22500" ht="14.25" customHeight="1">
      <c r="A22500" s="740"/>
    </row>
    <row r="22501" ht="14.25" customHeight="1">
      <c r="A22501" s="740"/>
    </row>
    <row r="22502" ht="14.25" customHeight="1">
      <c r="A22502" s="740"/>
    </row>
    <row r="22503" ht="14.25" customHeight="1">
      <c r="A22503" s="740"/>
    </row>
    <row r="22504" ht="14.25" customHeight="1">
      <c r="A22504" s="740"/>
    </row>
    <row r="22505" ht="14.25" customHeight="1">
      <c r="A22505" s="740"/>
    </row>
    <row r="22506" ht="14.25" customHeight="1">
      <c r="A22506" s="740"/>
    </row>
    <row r="22507" ht="14.25" customHeight="1">
      <c r="A22507" s="740"/>
    </row>
    <row r="22508" ht="14.25" customHeight="1">
      <c r="A22508" s="740"/>
    </row>
    <row r="22509" ht="14.25" customHeight="1">
      <c r="A22509" s="740"/>
    </row>
    <row r="22510" ht="14.25" customHeight="1">
      <c r="A22510" s="740"/>
    </row>
    <row r="22511" ht="14.25" customHeight="1">
      <c r="A22511" s="740"/>
    </row>
    <row r="22512" ht="14.25" customHeight="1">
      <c r="A22512" s="740"/>
    </row>
    <row r="22513" ht="14.25" customHeight="1">
      <c r="A22513" s="740"/>
    </row>
    <row r="22514" ht="14.25" customHeight="1">
      <c r="A22514" s="740"/>
    </row>
    <row r="22515" ht="14.25" customHeight="1">
      <c r="A22515" s="740"/>
    </row>
    <row r="22516" ht="14.25" customHeight="1">
      <c r="A22516" s="740"/>
    </row>
    <row r="22517" ht="14.25" customHeight="1">
      <c r="A22517" s="740"/>
    </row>
    <row r="22518" ht="14.25" customHeight="1">
      <c r="A22518" s="740"/>
    </row>
    <row r="22519" ht="14.25" customHeight="1">
      <c r="A22519" s="740"/>
    </row>
    <row r="22520" ht="14.25" customHeight="1">
      <c r="A22520" s="740"/>
    </row>
    <row r="22521" ht="14.25" customHeight="1">
      <c r="A22521" s="740"/>
    </row>
    <row r="22522" ht="14.25" customHeight="1">
      <c r="A22522" s="740"/>
    </row>
    <row r="22523" ht="14.25" customHeight="1">
      <c r="A22523" s="740"/>
    </row>
    <row r="22524" ht="14.25" customHeight="1">
      <c r="A22524" s="740"/>
    </row>
    <row r="22525" ht="14.25" customHeight="1">
      <c r="A22525" s="740"/>
    </row>
    <row r="22526" ht="14.25" customHeight="1">
      <c r="A22526" s="740"/>
    </row>
    <row r="22527" ht="14.25" customHeight="1">
      <c r="A22527" s="740"/>
    </row>
    <row r="22528" ht="14.25" customHeight="1">
      <c r="A22528" s="740"/>
    </row>
    <row r="22529" ht="14.25" customHeight="1">
      <c r="A22529" s="740"/>
    </row>
    <row r="22530" ht="14.25" customHeight="1">
      <c r="A22530" s="740"/>
    </row>
    <row r="22531" ht="14.25" customHeight="1">
      <c r="A22531" s="740"/>
    </row>
    <row r="22532" ht="14.25" customHeight="1">
      <c r="A22532" s="740"/>
    </row>
    <row r="22533" ht="14.25" customHeight="1">
      <c r="A22533" s="740"/>
    </row>
    <row r="22534" ht="14.25" customHeight="1">
      <c r="A22534" s="740"/>
    </row>
    <row r="22535" ht="14.25" customHeight="1">
      <c r="A22535" s="740"/>
    </row>
    <row r="22536" ht="14.25" customHeight="1">
      <c r="A22536" s="740"/>
    </row>
    <row r="22537" ht="14.25" customHeight="1">
      <c r="A22537" s="740"/>
    </row>
    <row r="22538" ht="14.25" customHeight="1">
      <c r="A22538" s="740"/>
    </row>
    <row r="22539" ht="14.25" customHeight="1">
      <c r="A22539" s="740"/>
    </row>
    <row r="22540" ht="14.25" customHeight="1">
      <c r="A22540" s="740"/>
    </row>
    <row r="22541" ht="14.25" customHeight="1">
      <c r="A22541" s="740"/>
    </row>
    <row r="22542" ht="14.25" customHeight="1">
      <c r="A22542" s="740"/>
    </row>
    <row r="22543" ht="14.25" customHeight="1">
      <c r="A22543" s="740"/>
    </row>
    <row r="22544" ht="14.25" customHeight="1">
      <c r="A22544" s="740"/>
    </row>
    <row r="22545" ht="14.25" customHeight="1">
      <c r="A22545" s="740"/>
    </row>
    <row r="22546" ht="14.25" customHeight="1">
      <c r="A22546" s="740"/>
    </row>
    <row r="22547" ht="14.25" customHeight="1">
      <c r="A22547" s="740"/>
    </row>
    <row r="22548" ht="14.25" customHeight="1">
      <c r="A22548" s="740"/>
    </row>
    <row r="22549" ht="14.25" customHeight="1">
      <c r="A22549" s="740"/>
    </row>
    <row r="22550" ht="14.25" customHeight="1">
      <c r="A22550" s="740"/>
    </row>
    <row r="22551" ht="14.25" customHeight="1">
      <c r="A22551" s="740"/>
    </row>
    <row r="22552" ht="14.25" customHeight="1">
      <c r="A22552" s="740"/>
    </row>
    <row r="22553" ht="14.25" customHeight="1">
      <c r="A22553" s="740"/>
    </row>
    <row r="22554" ht="14.25" customHeight="1">
      <c r="A22554" s="740"/>
    </row>
    <row r="22555" ht="14.25" customHeight="1">
      <c r="A22555" s="740"/>
    </row>
    <row r="22556" ht="14.25" customHeight="1">
      <c r="A22556" s="740"/>
    </row>
    <row r="22557" ht="14.25" customHeight="1">
      <c r="A22557" s="740"/>
    </row>
    <row r="22558" ht="14.25" customHeight="1">
      <c r="A22558" s="740"/>
    </row>
    <row r="22559" ht="14.25" customHeight="1">
      <c r="A22559" s="740"/>
    </row>
    <row r="22560" ht="14.25" customHeight="1">
      <c r="A22560" s="740"/>
    </row>
    <row r="22561" ht="14.25" customHeight="1">
      <c r="A22561" s="740"/>
    </row>
    <row r="22562" ht="14.25" customHeight="1">
      <c r="A22562" s="740"/>
    </row>
    <row r="22563" ht="14.25" customHeight="1">
      <c r="A22563" s="740"/>
    </row>
    <row r="22564" ht="14.25" customHeight="1">
      <c r="A22564" s="740"/>
    </row>
    <row r="22565" ht="14.25" customHeight="1">
      <c r="A22565" s="740"/>
    </row>
    <row r="22566" ht="14.25" customHeight="1">
      <c r="A22566" s="740"/>
    </row>
    <row r="22567" ht="14.25" customHeight="1">
      <c r="A22567" s="740"/>
    </row>
    <row r="22568" ht="14.25" customHeight="1">
      <c r="A22568" s="740"/>
    </row>
    <row r="22569" ht="14.25" customHeight="1">
      <c r="A22569" s="740"/>
    </row>
    <row r="22570" ht="14.25" customHeight="1">
      <c r="A22570" s="740"/>
    </row>
    <row r="22571" ht="14.25" customHeight="1">
      <c r="A22571" s="740"/>
    </row>
    <row r="22572" ht="14.25" customHeight="1">
      <c r="A22572" s="740"/>
    </row>
    <row r="22573" ht="14.25" customHeight="1">
      <c r="A22573" s="740"/>
    </row>
    <row r="22574" ht="14.25" customHeight="1">
      <c r="A22574" s="740"/>
    </row>
    <row r="22575" ht="14.25" customHeight="1">
      <c r="A22575" s="740"/>
    </row>
    <row r="22576" ht="14.25" customHeight="1">
      <c r="A22576" s="740"/>
    </row>
    <row r="22577" ht="14.25" customHeight="1">
      <c r="A22577" s="740"/>
    </row>
    <row r="22578" ht="14.25" customHeight="1">
      <c r="A22578" s="740"/>
    </row>
    <row r="22579" ht="14.25" customHeight="1">
      <c r="A22579" s="740"/>
    </row>
    <row r="22580" ht="14.25" customHeight="1">
      <c r="A22580" s="740"/>
    </row>
    <row r="22581" ht="14.25" customHeight="1">
      <c r="A22581" s="740"/>
    </row>
    <row r="22582" ht="14.25" customHeight="1">
      <c r="A22582" s="740"/>
    </row>
    <row r="22583" ht="14.25" customHeight="1">
      <c r="A22583" s="740"/>
    </row>
    <row r="22584" ht="14.25" customHeight="1">
      <c r="A22584" s="740"/>
    </row>
    <row r="22585" ht="14.25" customHeight="1">
      <c r="A22585" s="740"/>
    </row>
    <row r="22586" ht="14.25" customHeight="1">
      <c r="A22586" s="740"/>
    </row>
    <row r="22587" ht="14.25" customHeight="1">
      <c r="A22587" s="740"/>
    </row>
    <row r="22588" ht="14.25" customHeight="1">
      <c r="A22588" s="740"/>
    </row>
    <row r="22589" ht="14.25" customHeight="1">
      <c r="A22589" s="740"/>
    </row>
    <row r="22590" ht="14.25" customHeight="1">
      <c r="A22590" s="740"/>
    </row>
    <row r="22591" ht="14.25" customHeight="1">
      <c r="A22591" s="740"/>
    </row>
    <row r="22592" ht="14.25" customHeight="1">
      <c r="A22592" s="740"/>
    </row>
    <row r="22593" ht="14.25" customHeight="1">
      <c r="A22593" s="740"/>
    </row>
    <row r="22594" ht="14.25" customHeight="1">
      <c r="A22594" s="740"/>
    </row>
    <row r="22595" ht="14.25" customHeight="1">
      <c r="A22595" s="740"/>
    </row>
    <row r="22596" ht="14.25" customHeight="1">
      <c r="A22596" s="740"/>
    </row>
    <row r="22597" ht="14.25" customHeight="1">
      <c r="A22597" s="740"/>
    </row>
    <row r="22598" ht="14.25" customHeight="1">
      <c r="A22598" s="740"/>
    </row>
    <row r="22599" ht="14.25" customHeight="1">
      <c r="A22599" s="740"/>
    </row>
    <row r="22600" ht="14.25" customHeight="1">
      <c r="A22600" s="740"/>
    </row>
    <row r="22601" ht="14.25" customHeight="1">
      <c r="A22601" s="740"/>
    </row>
    <row r="22602" ht="14.25" customHeight="1">
      <c r="A22602" s="740"/>
    </row>
    <row r="22603" ht="14.25" customHeight="1">
      <c r="A22603" s="740"/>
    </row>
    <row r="22604" ht="14.25" customHeight="1">
      <c r="A22604" s="740"/>
    </row>
    <row r="22605" ht="14.25" customHeight="1">
      <c r="A22605" s="740"/>
    </row>
    <row r="22606" ht="14.25" customHeight="1">
      <c r="A22606" s="740"/>
    </row>
    <row r="22607" ht="14.25" customHeight="1">
      <c r="A22607" s="740"/>
    </row>
    <row r="22608" ht="14.25" customHeight="1">
      <c r="A22608" s="740"/>
    </row>
    <row r="22609" ht="14.25" customHeight="1">
      <c r="A22609" s="740"/>
    </row>
    <row r="22610" ht="14.25" customHeight="1">
      <c r="A22610" s="740"/>
    </row>
    <row r="22611" ht="14.25" customHeight="1">
      <c r="A22611" s="740"/>
    </row>
    <row r="22612" ht="14.25" customHeight="1">
      <c r="A22612" s="740"/>
    </row>
    <row r="22613" ht="14.25" customHeight="1">
      <c r="A22613" s="740"/>
    </row>
    <row r="22614" ht="14.25" customHeight="1">
      <c r="A22614" s="740"/>
    </row>
    <row r="22615" ht="14.25" customHeight="1">
      <c r="A22615" s="740"/>
    </row>
    <row r="22616" ht="14.25" customHeight="1">
      <c r="A22616" s="740"/>
    </row>
    <row r="22617" ht="14.25" customHeight="1">
      <c r="A22617" s="740"/>
    </row>
    <row r="22618" ht="14.25" customHeight="1">
      <c r="A22618" s="740"/>
    </row>
    <row r="22619" ht="14.25" customHeight="1">
      <c r="A22619" s="740"/>
    </row>
    <row r="22620" ht="14.25" customHeight="1">
      <c r="A22620" s="740"/>
    </row>
    <row r="22621" ht="14.25" customHeight="1">
      <c r="A22621" s="740"/>
    </row>
    <row r="22622" ht="14.25" customHeight="1">
      <c r="A22622" s="740"/>
    </row>
    <row r="22623" ht="14.25" customHeight="1">
      <c r="A22623" s="740"/>
    </row>
    <row r="22624" ht="14.25" customHeight="1">
      <c r="A22624" s="740"/>
    </row>
    <row r="22625" ht="14.25" customHeight="1">
      <c r="A22625" s="740"/>
    </row>
    <row r="22626" ht="14.25" customHeight="1">
      <c r="A22626" s="740"/>
    </row>
    <row r="22627" ht="14.25" customHeight="1">
      <c r="A22627" s="740"/>
    </row>
    <row r="22628" ht="14.25" customHeight="1">
      <c r="A22628" s="740"/>
    </row>
    <row r="22629" ht="14.25" customHeight="1">
      <c r="A22629" s="740"/>
    </row>
    <row r="22630" ht="14.25" customHeight="1">
      <c r="A22630" s="740"/>
    </row>
    <row r="22631" ht="14.25" customHeight="1">
      <c r="A22631" s="740"/>
    </row>
    <row r="22632" ht="14.25" customHeight="1">
      <c r="A22632" s="740"/>
    </row>
    <row r="22633" ht="14.25" customHeight="1">
      <c r="A22633" s="740"/>
    </row>
    <row r="22634" ht="14.25" customHeight="1">
      <c r="A22634" s="740"/>
    </row>
    <row r="22635" ht="14.25" customHeight="1">
      <c r="A22635" s="740"/>
    </row>
    <row r="22636" ht="14.25" customHeight="1">
      <c r="A22636" s="740"/>
    </row>
    <row r="22637" ht="14.25" customHeight="1">
      <c r="A22637" s="740"/>
    </row>
    <row r="22638" ht="14.25" customHeight="1">
      <c r="A22638" s="740"/>
    </row>
    <row r="22639" ht="14.25" customHeight="1">
      <c r="A22639" s="740"/>
    </row>
    <row r="22640" ht="14.25" customHeight="1">
      <c r="A22640" s="740"/>
    </row>
    <row r="22641" ht="14.25" customHeight="1">
      <c r="A22641" s="740"/>
    </row>
    <row r="22642" ht="14.25" customHeight="1">
      <c r="A22642" s="740"/>
    </row>
    <row r="22643" ht="14.25" customHeight="1">
      <c r="A22643" s="740"/>
    </row>
    <row r="22644" ht="14.25" customHeight="1">
      <c r="A22644" s="740"/>
    </row>
    <row r="22645" ht="14.25" customHeight="1">
      <c r="A22645" s="740"/>
    </row>
    <row r="22646" ht="14.25" customHeight="1">
      <c r="A22646" s="740"/>
    </row>
    <row r="22647" ht="14.25" customHeight="1">
      <c r="A22647" s="740"/>
    </row>
    <row r="22648" ht="14.25" customHeight="1">
      <c r="A22648" s="740"/>
    </row>
    <row r="22649" ht="14.25" customHeight="1">
      <c r="A22649" s="740"/>
    </row>
    <row r="22650" ht="14.25" customHeight="1">
      <c r="A22650" s="740"/>
    </row>
    <row r="22651" ht="14.25" customHeight="1">
      <c r="A22651" s="740"/>
    </row>
    <row r="22652" ht="14.25" customHeight="1">
      <c r="A22652" s="740"/>
    </row>
    <row r="22653" ht="14.25" customHeight="1">
      <c r="A22653" s="740"/>
    </row>
    <row r="22654" ht="14.25" customHeight="1">
      <c r="A22654" s="740"/>
    </row>
    <row r="22655" ht="14.25" customHeight="1">
      <c r="A22655" s="740"/>
    </row>
    <row r="22656" ht="14.25" customHeight="1">
      <c r="A22656" s="740"/>
    </row>
    <row r="22657" ht="14.25" customHeight="1">
      <c r="A22657" s="740"/>
    </row>
    <row r="22658" ht="14.25" customHeight="1">
      <c r="A22658" s="740"/>
    </row>
    <row r="22659" ht="14.25" customHeight="1">
      <c r="A22659" s="740"/>
    </row>
    <row r="22660" ht="14.25" customHeight="1">
      <c r="A22660" s="740"/>
    </row>
    <row r="22661" ht="14.25" customHeight="1">
      <c r="A22661" s="740"/>
    </row>
    <row r="22662" ht="14.25" customHeight="1">
      <c r="A22662" s="740"/>
    </row>
    <row r="22663" ht="14.25" customHeight="1">
      <c r="A22663" s="740"/>
    </row>
    <row r="22664" ht="14.25" customHeight="1">
      <c r="A22664" s="740"/>
    </row>
    <row r="22665" ht="14.25" customHeight="1">
      <c r="A22665" s="740"/>
    </row>
    <row r="22666" ht="14.25" customHeight="1">
      <c r="A22666" s="740"/>
    </row>
    <row r="22667" ht="14.25" customHeight="1">
      <c r="A22667" s="740"/>
    </row>
    <row r="22668" ht="14.25" customHeight="1">
      <c r="A22668" s="740"/>
    </row>
    <row r="22669" ht="14.25" customHeight="1">
      <c r="A22669" s="740"/>
    </row>
    <row r="22670" ht="14.25" customHeight="1">
      <c r="A22670" s="740"/>
    </row>
    <row r="22671" ht="14.25" customHeight="1">
      <c r="A22671" s="740"/>
    </row>
    <row r="22672" ht="14.25" customHeight="1">
      <c r="A22672" s="740"/>
    </row>
    <row r="22673" ht="14.25" customHeight="1">
      <c r="A22673" s="740"/>
    </row>
    <row r="22674" ht="14.25" customHeight="1">
      <c r="A22674" s="740"/>
    </row>
    <row r="22675" ht="14.25" customHeight="1">
      <c r="A22675" s="740"/>
    </row>
    <row r="22676" ht="14.25" customHeight="1">
      <c r="A22676" s="740"/>
    </row>
    <row r="22677" ht="14.25" customHeight="1">
      <c r="A22677" s="740"/>
    </row>
    <row r="22678" ht="14.25" customHeight="1">
      <c r="A22678" s="740"/>
    </row>
    <row r="22679" ht="14.25" customHeight="1">
      <c r="A22679" s="740"/>
    </row>
    <row r="22680" ht="14.25" customHeight="1">
      <c r="A22680" s="740"/>
    </row>
    <row r="22681" ht="14.25" customHeight="1">
      <c r="A22681" s="740"/>
    </row>
    <row r="22682" ht="14.25" customHeight="1">
      <c r="A22682" s="740"/>
    </row>
    <row r="22683" ht="14.25" customHeight="1">
      <c r="A22683" s="740"/>
    </row>
    <row r="22684" ht="14.25" customHeight="1">
      <c r="A22684" s="740"/>
    </row>
    <row r="22685" ht="14.25" customHeight="1">
      <c r="A22685" s="740"/>
    </row>
    <row r="22686" ht="14.25" customHeight="1">
      <c r="A22686" s="740"/>
    </row>
    <row r="22687" ht="14.25" customHeight="1">
      <c r="A22687" s="740"/>
    </row>
    <row r="22688" ht="14.25" customHeight="1">
      <c r="A22688" s="740"/>
    </row>
    <row r="22689" ht="14.25" customHeight="1">
      <c r="A22689" s="740"/>
    </row>
    <row r="22690" ht="14.25" customHeight="1">
      <c r="A22690" s="740"/>
    </row>
    <row r="22691" ht="14.25" customHeight="1">
      <c r="A22691" s="740"/>
    </row>
    <row r="22692" ht="14.25" customHeight="1">
      <c r="A22692" s="740"/>
    </row>
    <row r="22693" ht="14.25" customHeight="1">
      <c r="A22693" s="740"/>
    </row>
    <row r="22694" ht="14.25" customHeight="1">
      <c r="A22694" s="740"/>
    </row>
    <row r="22695" ht="14.25" customHeight="1">
      <c r="A22695" s="740"/>
    </row>
    <row r="22696" ht="14.25" customHeight="1">
      <c r="A22696" s="740"/>
    </row>
    <row r="22697" ht="14.25" customHeight="1">
      <c r="A22697" s="740"/>
    </row>
    <row r="22698" ht="14.25" customHeight="1">
      <c r="A22698" s="740"/>
    </row>
    <row r="22699" ht="14.25" customHeight="1">
      <c r="A22699" s="740"/>
    </row>
    <row r="22700" ht="14.25" customHeight="1">
      <c r="A22700" s="740"/>
    </row>
    <row r="22701" ht="14.25" customHeight="1">
      <c r="A22701" s="740"/>
    </row>
    <row r="22702" ht="14.25" customHeight="1">
      <c r="A22702" s="740"/>
    </row>
    <row r="22703" ht="14.25" customHeight="1">
      <c r="A22703" s="740"/>
    </row>
    <row r="22704" ht="14.25" customHeight="1">
      <c r="A22704" s="740"/>
    </row>
    <row r="22705" ht="14.25" customHeight="1">
      <c r="A22705" s="740"/>
    </row>
    <row r="22706" ht="14.25" customHeight="1">
      <c r="A22706" s="740"/>
    </row>
    <row r="22707" ht="14.25" customHeight="1">
      <c r="A22707" s="740"/>
    </row>
    <row r="22708" ht="14.25" customHeight="1">
      <c r="A22708" s="740"/>
    </row>
    <row r="22709" ht="14.25" customHeight="1">
      <c r="A22709" s="740"/>
    </row>
    <row r="22710" ht="14.25" customHeight="1">
      <c r="A22710" s="740"/>
    </row>
    <row r="22711" ht="14.25" customHeight="1">
      <c r="A22711" s="740"/>
    </row>
    <row r="22712" ht="14.25" customHeight="1">
      <c r="A22712" s="740"/>
    </row>
    <row r="22713" ht="14.25" customHeight="1">
      <c r="A22713" s="740"/>
    </row>
    <row r="22714" ht="14.25" customHeight="1">
      <c r="A22714" s="740"/>
    </row>
    <row r="22715" ht="14.25" customHeight="1">
      <c r="A22715" s="740"/>
    </row>
    <row r="22716" ht="14.25" customHeight="1">
      <c r="A22716" s="740"/>
    </row>
    <row r="22717" ht="14.25" customHeight="1">
      <c r="A22717" s="740"/>
    </row>
    <row r="22718" ht="14.25" customHeight="1">
      <c r="A22718" s="740"/>
    </row>
    <row r="22719" ht="14.25" customHeight="1">
      <c r="A22719" s="740"/>
    </row>
    <row r="22720" ht="14.25" customHeight="1">
      <c r="A22720" s="740"/>
    </row>
    <row r="22721" ht="14.25" customHeight="1">
      <c r="A22721" s="740"/>
    </row>
    <row r="22722" ht="14.25" customHeight="1">
      <c r="A22722" s="740"/>
    </row>
    <row r="22723" ht="14.25" customHeight="1">
      <c r="A22723" s="740"/>
    </row>
    <row r="22724" ht="14.25" customHeight="1">
      <c r="A22724" s="740"/>
    </row>
    <row r="22725" ht="14.25" customHeight="1">
      <c r="A22725" s="740"/>
    </row>
    <row r="22726" ht="14.25" customHeight="1">
      <c r="A22726" s="740"/>
    </row>
    <row r="22727" ht="14.25" customHeight="1">
      <c r="A22727" s="740"/>
    </row>
    <row r="22728" ht="14.25" customHeight="1">
      <c r="A22728" s="740"/>
    </row>
    <row r="22729" ht="14.25" customHeight="1">
      <c r="A22729" s="740"/>
    </row>
    <row r="22730" ht="14.25" customHeight="1">
      <c r="A22730" s="740"/>
    </row>
    <row r="22731" ht="14.25" customHeight="1">
      <c r="A22731" s="740"/>
    </row>
    <row r="22732" ht="14.25" customHeight="1">
      <c r="A22732" s="740"/>
    </row>
    <row r="22733" ht="14.25" customHeight="1">
      <c r="A22733" s="740"/>
    </row>
    <row r="22734" ht="14.25" customHeight="1">
      <c r="A22734" s="740"/>
    </row>
    <row r="22735" ht="14.25" customHeight="1">
      <c r="A22735" s="740"/>
    </row>
    <row r="22736" ht="14.25" customHeight="1">
      <c r="A22736" s="740"/>
    </row>
    <row r="22737" ht="14.25" customHeight="1">
      <c r="A22737" s="740"/>
    </row>
    <row r="22738" ht="14.25" customHeight="1">
      <c r="A22738" s="740"/>
    </row>
    <row r="22739" ht="14.25" customHeight="1">
      <c r="A22739" s="740"/>
    </row>
    <row r="22740" ht="14.25" customHeight="1">
      <c r="A22740" s="740"/>
    </row>
    <row r="22741" ht="14.25" customHeight="1">
      <c r="A22741" s="740"/>
    </row>
    <row r="22742" ht="14.25" customHeight="1">
      <c r="A22742" s="740"/>
    </row>
    <row r="22743" ht="14.25" customHeight="1">
      <c r="A22743" s="740"/>
    </row>
    <row r="22744" ht="14.25" customHeight="1">
      <c r="A22744" s="740"/>
    </row>
    <row r="22745" ht="14.25" customHeight="1">
      <c r="A22745" s="740"/>
    </row>
    <row r="22746" ht="14.25" customHeight="1">
      <c r="A22746" s="740"/>
    </row>
    <row r="22747" ht="14.25" customHeight="1">
      <c r="A22747" s="740"/>
    </row>
    <row r="22748" ht="14.25" customHeight="1">
      <c r="A22748" s="740"/>
    </row>
    <row r="22749" ht="14.25" customHeight="1">
      <c r="A22749" s="740"/>
    </row>
    <row r="22750" ht="14.25" customHeight="1">
      <c r="A22750" s="740"/>
    </row>
    <row r="22751" ht="14.25" customHeight="1">
      <c r="A22751" s="740"/>
    </row>
    <row r="22752" ht="14.25" customHeight="1">
      <c r="A22752" s="740"/>
    </row>
    <row r="22753" ht="14.25" customHeight="1">
      <c r="A22753" s="740"/>
    </row>
    <row r="22754" ht="14.25" customHeight="1">
      <c r="A22754" s="740"/>
    </row>
    <row r="22755" ht="14.25" customHeight="1">
      <c r="A22755" s="740"/>
    </row>
    <row r="22756" ht="14.25" customHeight="1">
      <c r="A22756" s="740"/>
    </row>
    <row r="22757" ht="14.25" customHeight="1">
      <c r="A22757" s="740"/>
    </row>
    <row r="22758" ht="14.25" customHeight="1">
      <c r="A22758" s="740"/>
    </row>
    <row r="22759" ht="14.25" customHeight="1">
      <c r="A22759" s="740"/>
    </row>
    <row r="22760" ht="14.25" customHeight="1">
      <c r="A22760" s="740"/>
    </row>
    <row r="22761" ht="14.25" customHeight="1">
      <c r="A22761" s="740"/>
    </row>
    <row r="22762" ht="14.25" customHeight="1">
      <c r="A22762" s="740"/>
    </row>
    <row r="22763" ht="14.25" customHeight="1">
      <c r="A22763" s="740"/>
    </row>
    <row r="22764" ht="14.25" customHeight="1">
      <c r="A22764" s="740"/>
    </row>
    <row r="22765" ht="14.25" customHeight="1">
      <c r="A22765" s="740"/>
    </row>
    <row r="22766" ht="14.25" customHeight="1">
      <c r="A22766" s="740"/>
    </row>
    <row r="22767" ht="14.25" customHeight="1">
      <c r="A22767" s="740"/>
    </row>
    <row r="22768" ht="14.25" customHeight="1">
      <c r="A22768" s="740"/>
    </row>
    <row r="22769" ht="14.25" customHeight="1">
      <c r="A22769" s="740"/>
    </row>
    <row r="22770" ht="14.25" customHeight="1">
      <c r="A22770" s="740"/>
    </row>
    <row r="22771" ht="14.25" customHeight="1">
      <c r="A22771" s="740"/>
    </row>
    <row r="22772" ht="14.25" customHeight="1">
      <c r="A22772" s="740"/>
    </row>
    <row r="22773" ht="14.25" customHeight="1">
      <c r="A22773" s="740"/>
    </row>
    <row r="22774" ht="14.25" customHeight="1">
      <c r="A22774" s="740"/>
    </row>
    <row r="22775" ht="14.25" customHeight="1">
      <c r="A22775" s="740"/>
    </row>
    <row r="22776" ht="14.25" customHeight="1">
      <c r="A22776" s="740"/>
    </row>
    <row r="22777" ht="14.25" customHeight="1">
      <c r="A22777" s="740"/>
    </row>
    <row r="22778" ht="14.25" customHeight="1">
      <c r="A22778" s="740"/>
    </row>
    <row r="22779" ht="14.25" customHeight="1">
      <c r="A22779" s="740"/>
    </row>
    <row r="22780" ht="14.25" customHeight="1">
      <c r="A22780" s="740"/>
    </row>
    <row r="22781" ht="14.25" customHeight="1">
      <c r="A22781" s="740"/>
    </row>
    <row r="22782" ht="14.25" customHeight="1">
      <c r="A22782" s="740"/>
    </row>
    <row r="22783" ht="14.25" customHeight="1">
      <c r="A22783" s="740"/>
    </row>
    <row r="22784" ht="14.25" customHeight="1">
      <c r="A22784" s="740"/>
    </row>
    <row r="22785" ht="14.25" customHeight="1">
      <c r="A22785" s="740"/>
    </row>
    <row r="22786" ht="14.25" customHeight="1">
      <c r="A22786" s="740"/>
    </row>
    <row r="22787" ht="14.25" customHeight="1">
      <c r="A22787" s="740"/>
    </row>
    <row r="22788" ht="14.25" customHeight="1">
      <c r="A22788" s="740"/>
    </row>
    <row r="22789" ht="14.25" customHeight="1">
      <c r="A22789" s="740"/>
    </row>
    <row r="22790" ht="14.25" customHeight="1">
      <c r="A22790" s="740"/>
    </row>
    <row r="22791" ht="14.25" customHeight="1">
      <c r="A22791" s="740"/>
    </row>
    <row r="22792" ht="14.25" customHeight="1">
      <c r="A22792" s="740"/>
    </row>
    <row r="22793" ht="14.25" customHeight="1">
      <c r="A22793" s="740"/>
    </row>
    <row r="22794" ht="14.25" customHeight="1">
      <c r="A22794" s="740"/>
    </row>
    <row r="22795" ht="14.25" customHeight="1">
      <c r="A22795" s="740"/>
    </row>
    <row r="22796" ht="14.25" customHeight="1">
      <c r="A22796" s="740"/>
    </row>
    <row r="22797" ht="14.25" customHeight="1">
      <c r="A22797" s="740"/>
    </row>
    <row r="22798" ht="14.25" customHeight="1">
      <c r="A22798" s="740"/>
    </row>
    <row r="22799" ht="14.25" customHeight="1">
      <c r="A22799" s="740"/>
    </row>
    <row r="22800" ht="14.25" customHeight="1">
      <c r="A22800" s="740"/>
    </row>
    <row r="22801" ht="14.25" customHeight="1">
      <c r="A22801" s="740"/>
    </row>
    <row r="22802" ht="14.25" customHeight="1">
      <c r="A22802" s="740"/>
    </row>
    <row r="22803" ht="14.25" customHeight="1">
      <c r="A22803" s="740"/>
    </row>
    <row r="22804" ht="14.25" customHeight="1">
      <c r="A22804" s="740"/>
    </row>
    <row r="22805" ht="14.25" customHeight="1">
      <c r="A22805" s="740"/>
    </row>
    <row r="22806" ht="14.25" customHeight="1">
      <c r="A22806" s="740"/>
    </row>
    <row r="22807" ht="14.25" customHeight="1">
      <c r="A22807" s="740"/>
    </row>
    <row r="22808" ht="14.25" customHeight="1">
      <c r="A22808" s="740"/>
    </row>
    <row r="22809" ht="14.25" customHeight="1">
      <c r="A22809" s="740"/>
    </row>
    <row r="22810" ht="14.25" customHeight="1">
      <c r="A22810" s="740"/>
    </row>
    <row r="22811" ht="14.25" customHeight="1">
      <c r="A22811" s="740"/>
    </row>
    <row r="22812" ht="14.25" customHeight="1">
      <c r="A22812" s="740"/>
    </row>
    <row r="22813" ht="14.25" customHeight="1">
      <c r="A22813" s="740"/>
    </row>
    <row r="22814" ht="14.25" customHeight="1">
      <c r="A22814" s="740"/>
    </row>
    <row r="22815" ht="14.25" customHeight="1">
      <c r="A22815" s="740"/>
    </row>
    <row r="22816" ht="14.25" customHeight="1">
      <c r="A22816" s="740"/>
    </row>
    <row r="22817" ht="14.25" customHeight="1">
      <c r="A22817" s="740"/>
    </row>
    <row r="22818" ht="14.25" customHeight="1">
      <c r="A22818" s="740"/>
    </row>
    <row r="22819" ht="14.25" customHeight="1">
      <c r="A22819" s="740"/>
    </row>
    <row r="22820" ht="14.25" customHeight="1">
      <c r="A22820" s="740"/>
    </row>
    <row r="22821" ht="14.25" customHeight="1">
      <c r="A22821" s="740"/>
    </row>
    <row r="22822" ht="14.25" customHeight="1">
      <c r="A22822" s="740"/>
    </row>
    <row r="22823" ht="14.25" customHeight="1">
      <c r="A22823" s="740"/>
    </row>
    <row r="22824" ht="14.25" customHeight="1">
      <c r="A22824" s="740"/>
    </row>
    <row r="22825" ht="14.25" customHeight="1">
      <c r="A22825" s="740"/>
    </row>
    <row r="22826" ht="14.25" customHeight="1">
      <c r="A22826" s="740"/>
    </row>
    <row r="22827" ht="14.25" customHeight="1">
      <c r="A22827" s="740"/>
    </row>
    <row r="22828" ht="14.25" customHeight="1">
      <c r="A22828" s="740"/>
    </row>
    <row r="22829" ht="14.25" customHeight="1">
      <c r="A22829" s="740"/>
    </row>
    <row r="22830" ht="14.25" customHeight="1">
      <c r="A22830" s="740"/>
    </row>
    <row r="22831" ht="14.25" customHeight="1">
      <c r="A22831" s="740"/>
    </row>
    <row r="22832" ht="14.25" customHeight="1">
      <c r="A22832" s="740"/>
    </row>
    <row r="22833" ht="14.25" customHeight="1">
      <c r="A22833" s="740"/>
    </row>
    <row r="22834" ht="14.25" customHeight="1">
      <c r="A22834" s="740"/>
    </row>
    <row r="22835" ht="14.25" customHeight="1">
      <c r="A22835" s="740"/>
    </row>
    <row r="22836" ht="14.25" customHeight="1">
      <c r="A22836" s="740"/>
    </row>
    <row r="22837" ht="14.25" customHeight="1">
      <c r="A22837" s="740"/>
    </row>
    <row r="22838" ht="14.25" customHeight="1">
      <c r="A22838" s="740"/>
    </row>
    <row r="22839" ht="14.25" customHeight="1">
      <c r="A22839" s="740"/>
    </row>
    <row r="22840" ht="14.25" customHeight="1">
      <c r="A22840" s="740"/>
    </row>
    <row r="22841" ht="14.25" customHeight="1">
      <c r="A22841" s="740"/>
    </row>
    <row r="22842" ht="14.25" customHeight="1">
      <c r="A22842" s="740"/>
    </row>
    <row r="22843" ht="14.25" customHeight="1">
      <c r="A22843" s="740"/>
    </row>
    <row r="22844" ht="14.25" customHeight="1">
      <c r="A22844" s="740"/>
    </row>
    <row r="22845" ht="14.25" customHeight="1">
      <c r="A22845" s="740"/>
    </row>
    <row r="22846" ht="14.25" customHeight="1">
      <c r="A22846" s="740"/>
    </row>
    <row r="22847" ht="14.25" customHeight="1">
      <c r="A22847" s="740"/>
    </row>
    <row r="22848" ht="14.25" customHeight="1">
      <c r="A22848" s="740"/>
    </row>
    <row r="22849" ht="14.25" customHeight="1">
      <c r="A22849" s="740"/>
    </row>
    <row r="22850" ht="14.25" customHeight="1">
      <c r="A22850" s="740"/>
    </row>
    <row r="22851" ht="14.25" customHeight="1">
      <c r="A22851" s="740"/>
    </row>
    <row r="22852" ht="14.25" customHeight="1">
      <c r="A22852" s="740"/>
    </row>
    <row r="22853" ht="14.25" customHeight="1">
      <c r="A22853" s="740"/>
    </row>
    <row r="22854" ht="14.25" customHeight="1">
      <c r="A22854" s="740"/>
    </row>
    <row r="22855" ht="14.25" customHeight="1">
      <c r="A22855" s="740"/>
    </row>
    <row r="22856" ht="14.25" customHeight="1">
      <c r="A22856" s="740"/>
    </row>
    <row r="22857" ht="14.25" customHeight="1">
      <c r="A22857" s="740"/>
    </row>
    <row r="22858" ht="14.25" customHeight="1">
      <c r="A22858" s="740"/>
    </row>
    <row r="22859" ht="14.25" customHeight="1">
      <c r="A22859" s="740"/>
    </row>
    <row r="22860" ht="14.25" customHeight="1">
      <c r="A22860" s="740"/>
    </row>
    <row r="22861" ht="14.25" customHeight="1">
      <c r="A22861" s="740"/>
    </row>
    <row r="22862" ht="14.25" customHeight="1">
      <c r="A22862" s="740"/>
    </row>
    <row r="22863" ht="14.25" customHeight="1">
      <c r="A22863" s="740"/>
    </row>
    <row r="22864" ht="14.25" customHeight="1">
      <c r="A22864" s="740"/>
    </row>
    <row r="22865" ht="14.25" customHeight="1">
      <c r="A22865" s="740"/>
    </row>
    <row r="22866" ht="14.25" customHeight="1">
      <c r="A22866" s="740"/>
    </row>
    <row r="22867" ht="14.25" customHeight="1">
      <c r="A22867" s="740"/>
    </row>
    <row r="22868" ht="14.25" customHeight="1">
      <c r="A22868" s="740"/>
    </row>
    <row r="22869" ht="14.25" customHeight="1">
      <c r="A22869" s="740"/>
    </row>
    <row r="22870" ht="14.25" customHeight="1">
      <c r="A22870" s="740"/>
    </row>
    <row r="22871" ht="14.25" customHeight="1">
      <c r="A22871" s="740"/>
    </row>
    <row r="22872" ht="14.25" customHeight="1">
      <c r="A22872" s="740"/>
    </row>
    <row r="22873" ht="14.25" customHeight="1">
      <c r="A22873" s="740"/>
    </row>
    <row r="22874" ht="14.25" customHeight="1">
      <c r="A22874" s="740"/>
    </row>
    <row r="22875" ht="14.25" customHeight="1">
      <c r="A22875" s="740"/>
    </row>
    <row r="22876" ht="14.25" customHeight="1">
      <c r="A22876" s="740"/>
    </row>
    <row r="22877" ht="14.25" customHeight="1">
      <c r="A22877" s="740"/>
    </row>
    <row r="22878" ht="14.25" customHeight="1">
      <c r="A22878" s="740"/>
    </row>
    <row r="22879" ht="14.25" customHeight="1">
      <c r="A22879" s="740"/>
    </row>
    <row r="22880" ht="14.25" customHeight="1">
      <c r="A22880" s="740"/>
    </row>
    <row r="22881" ht="14.25" customHeight="1">
      <c r="A22881" s="740"/>
    </row>
    <row r="22882" ht="14.25" customHeight="1">
      <c r="A22882" s="740"/>
    </row>
    <row r="22883" ht="14.25" customHeight="1">
      <c r="A22883" s="740"/>
    </row>
    <row r="22884" ht="14.25" customHeight="1">
      <c r="A22884" s="740"/>
    </row>
    <row r="22885" ht="14.25" customHeight="1">
      <c r="A22885" s="740"/>
    </row>
    <row r="22886" ht="14.25" customHeight="1">
      <c r="A22886" s="740"/>
    </row>
    <row r="22887" ht="14.25" customHeight="1">
      <c r="A22887" s="740"/>
    </row>
    <row r="22888" ht="14.25" customHeight="1">
      <c r="A22888" s="740"/>
    </row>
    <row r="22889" ht="14.25" customHeight="1">
      <c r="A22889" s="740"/>
    </row>
    <row r="22890" ht="14.25" customHeight="1">
      <c r="A22890" s="740"/>
    </row>
    <row r="22891" ht="14.25" customHeight="1">
      <c r="A22891" s="740"/>
    </row>
    <row r="22892" ht="14.25" customHeight="1">
      <c r="A22892" s="740"/>
    </row>
    <row r="22893" ht="14.25" customHeight="1">
      <c r="A22893" s="740"/>
    </row>
    <row r="22894" ht="14.25" customHeight="1">
      <c r="A22894" s="740"/>
    </row>
    <row r="22895" ht="14.25" customHeight="1">
      <c r="A22895" s="740"/>
    </row>
    <row r="22896" ht="14.25" customHeight="1">
      <c r="A22896" s="740"/>
    </row>
    <row r="22897" ht="14.25" customHeight="1">
      <c r="A22897" s="740"/>
    </row>
    <row r="22898" ht="14.25" customHeight="1">
      <c r="A22898" s="740"/>
    </row>
    <row r="22899" ht="14.25" customHeight="1">
      <c r="A22899" s="740"/>
    </row>
    <row r="22900" ht="14.25" customHeight="1">
      <c r="A22900" s="740"/>
    </row>
    <row r="22901" ht="14.25" customHeight="1">
      <c r="A22901" s="740"/>
    </row>
    <row r="22902" ht="14.25" customHeight="1">
      <c r="A22902" s="740"/>
    </row>
    <row r="22903" ht="14.25" customHeight="1">
      <c r="A22903" s="740"/>
    </row>
    <row r="22904" ht="14.25" customHeight="1">
      <c r="A22904" s="740"/>
    </row>
    <row r="22905" ht="14.25" customHeight="1">
      <c r="A22905" s="740"/>
    </row>
    <row r="22906" ht="14.25" customHeight="1">
      <c r="A22906" s="740"/>
    </row>
    <row r="22907" ht="14.25" customHeight="1">
      <c r="A22907" s="740"/>
    </row>
    <row r="22908" ht="14.25" customHeight="1">
      <c r="A22908" s="740"/>
    </row>
    <row r="22909" ht="14.25" customHeight="1">
      <c r="A22909" s="740"/>
    </row>
    <row r="22910" ht="14.25" customHeight="1">
      <c r="A22910" s="740"/>
    </row>
    <row r="22911" ht="14.25" customHeight="1">
      <c r="A22911" s="740"/>
    </row>
    <row r="22912" ht="14.25" customHeight="1">
      <c r="A22912" s="740"/>
    </row>
    <row r="22913" ht="14.25" customHeight="1">
      <c r="A22913" s="740"/>
    </row>
    <row r="22914" ht="14.25" customHeight="1">
      <c r="A22914" s="740"/>
    </row>
    <row r="22915" ht="14.25" customHeight="1">
      <c r="A22915" s="740"/>
    </row>
    <row r="22916" ht="14.25" customHeight="1">
      <c r="A22916" s="740"/>
    </row>
    <row r="22917" ht="14.25" customHeight="1">
      <c r="A22917" s="740"/>
    </row>
    <row r="22918" ht="14.25" customHeight="1">
      <c r="A22918" s="740"/>
    </row>
    <row r="22919" ht="14.25" customHeight="1">
      <c r="A22919" s="740"/>
    </row>
    <row r="22920" ht="14.25" customHeight="1">
      <c r="A22920" s="740"/>
    </row>
    <row r="22921" ht="14.25" customHeight="1">
      <c r="A22921" s="740"/>
    </row>
    <row r="22922" ht="14.25" customHeight="1">
      <c r="A22922" s="740"/>
    </row>
    <row r="22923" ht="14.25" customHeight="1">
      <c r="A22923" s="740"/>
    </row>
    <row r="22924" ht="14.25" customHeight="1">
      <c r="A22924" s="740"/>
    </row>
    <row r="22925" ht="14.25" customHeight="1">
      <c r="A22925" s="740"/>
    </row>
    <row r="22926" ht="14.25" customHeight="1">
      <c r="A22926" s="740"/>
    </row>
    <row r="22927" ht="14.25" customHeight="1">
      <c r="A22927" s="740"/>
    </row>
    <row r="22928" ht="14.25" customHeight="1">
      <c r="A22928" s="740"/>
    </row>
    <row r="22929" ht="14.25" customHeight="1">
      <c r="A22929" s="740"/>
    </row>
    <row r="22930" ht="14.25" customHeight="1">
      <c r="A22930" s="740"/>
    </row>
    <row r="22931" ht="14.25" customHeight="1">
      <c r="A22931" s="740"/>
    </row>
    <row r="22932" ht="14.25" customHeight="1">
      <c r="A22932" s="740"/>
    </row>
    <row r="22933" ht="14.25" customHeight="1">
      <c r="A22933" s="740"/>
    </row>
    <row r="22934" ht="14.25" customHeight="1">
      <c r="A22934" s="740"/>
    </row>
    <row r="22935" ht="14.25" customHeight="1">
      <c r="A22935" s="740"/>
    </row>
    <row r="22936" ht="14.25" customHeight="1">
      <c r="A22936" s="740"/>
    </row>
    <row r="22937" ht="14.25" customHeight="1">
      <c r="A22937" s="740"/>
    </row>
    <row r="22938" ht="14.25" customHeight="1">
      <c r="A22938" s="740"/>
    </row>
    <row r="22939" ht="14.25" customHeight="1">
      <c r="A22939" s="740"/>
    </row>
    <row r="22940" ht="14.25" customHeight="1">
      <c r="A22940" s="740"/>
    </row>
    <row r="22941" ht="14.25" customHeight="1">
      <c r="A22941" s="740"/>
    </row>
    <row r="22942" ht="14.25" customHeight="1">
      <c r="A22942" s="740"/>
    </row>
    <row r="22943" ht="14.25" customHeight="1">
      <c r="A22943" s="740"/>
    </row>
    <row r="22944" ht="14.25" customHeight="1">
      <c r="A22944" s="740"/>
    </row>
    <row r="22945" ht="14.25" customHeight="1">
      <c r="A22945" s="740"/>
    </row>
    <row r="22946" ht="14.25" customHeight="1">
      <c r="A22946" s="740"/>
    </row>
    <row r="22947" ht="14.25" customHeight="1">
      <c r="A22947" s="740"/>
    </row>
    <row r="22948" ht="14.25" customHeight="1">
      <c r="A22948" s="740"/>
    </row>
    <row r="22949" ht="14.25" customHeight="1">
      <c r="A22949" s="740"/>
    </row>
    <row r="22950" ht="14.25" customHeight="1">
      <c r="A22950" s="740"/>
    </row>
    <row r="22951" ht="14.25" customHeight="1">
      <c r="A22951" s="740"/>
    </row>
    <row r="22952" ht="14.25" customHeight="1">
      <c r="A22952" s="740"/>
    </row>
    <row r="22953" ht="14.25" customHeight="1">
      <c r="A22953" s="740"/>
    </row>
    <row r="22954" ht="14.25" customHeight="1">
      <c r="A22954" s="740"/>
    </row>
    <row r="22955" ht="14.25" customHeight="1">
      <c r="A22955" s="740"/>
    </row>
    <row r="22956" ht="14.25" customHeight="1">
      <c r="A22956" s="740"/>
    </row>
    <row r="22957" ht="14.25" customHeight="1">
      <c r="A22957" s="740"/>
    </row>
    <row r="22958" ht="14.25" customHeight="1">
      <c r="A22958" s="740"/>
    </row>
    <row r="22959" ht="14.25" customHeight="1">
      <c r="A22959" s="740"/>
    </row>
    <row r="22960" ht="14.25" customHeight="1">
      <c r="A22960" s="740"/>
    </row>
    <row r="22961" ht="14.25" customHeight="1">
      <c r="A22961" s="740"/>
    </row>
    <row r="22962" ht="14.25" customHeight="1">
      <c r="A22962" s="740"/>
    </row>
    <row r="22963" ht="14.25" customHeight="1">
      <c r="A22963" s="740"/>
    </row>
    <row r="22964" ht="14.25" customHeight="1">
      <c r="A22964" s="740"/>
    </row>
    <row r="22965" ht="14.25" customHeight="1">
      <c r="A22965" s="740"/>
    </row>
    <row r="22966" ht="14.25" customHeight="1">
      <c r="A22966" s="740"/>
    </row>
    <row r="22967" ht="14.25" customHeight="1">
      <c r="A22967" s="740"/>
    </row>
    <row r="22968" ht="14.25" customHeight="1">
      <c r="A22968" s="740"/>
    </row>
    <row r="22969" ht="14.25" customHeight="1">
      <c r="A22969" s="740"/>
    </row>
    <row r="22970" ht="14.25" customHeight="1">
      <c r="A22970" s="740"/>
    </row>
    <row r="22971" ht="14.25" customHeight="1">
      <c r="A22971" s="740"/>
    </row>
    <row r="22972" ht="14.25" customHeight="1">
      <c r="A22972" s="740"/>
    </row>
    <row r="22973" ht="14.25" customHeight="1">
      <c r="A22973" s="740"/>
    </row>
    <row r="22974" ht="14.25" customHeight="1">
      <c r="A22974" s="740"/>
    </row>
    <row r="22975" ht="14.25" customHeight="1">
      <c r="A22975" s="740"/>
    </row>
    <row r="22976" ht="14.25" customHeight="1">
      <c r="A22976" s="740"/>
    </row>
    <row r="22977" ht="14.25" customHeight="1">
      <c r="A22977" s="740"/>
    </row>
    <row r="22978" ht="14.25" customHeight="1">
      <c r="A22978" s="740"/>
    </row>
    <row r="22979" ht="14.25" customHeight="1">
      <c r="A22979" s="740"/>
    </row>
    <row r="22980" ht="14.25" customHeight="1">
      <c r="A22980" s="740"/>
    </row>
    <row r="22981" ht="14.25" customHeight="1">
      <c r="A22981" s="740"/>
    </row>
    <row r="22982" ht="14.25" customHeight="1">
      <c r="A22982" s="740"/>
    </row>
    <row r="22983" ht="14.25" customHeight="1">
      <c r="A22983" s="740"/>
    </row>
    <row r="22984" ht="14.25" customHeight="1">
      <c r="A22984" s="740"/>
    </row>
    <row r="22985" ht="14.25" customHeight="1">
      <c r="A22985" s="740"/>
    </row>
    <row r="22986" ht="14.25" customHeight="1">
      <c r="A22986" s="740"/>
    </row>
    <row r="22987" ht="14.25" customHeight="1">
      <c r="A22987" s="740"/>
    </row>
    <row r="22988" ht="14.25" customHeight="1">
      <c r="A22988" s="740"/>
    </row>
    <row r="22989" ht="14.25" customHeight="1">
      <c r="A22989" s="740"/>
    </row>
    <row r="22990" ht="14.25" customHeight="1">
      <c r="A22990" s="740"/>
    </row>
    <row r="22991" ht="14.25" customHeight="1">
      <c r="A22991" s="740"/>
    </row>
    <row r="22992" ht="14.25" customHeight="1">
      <c r="A22992" s="740"/>
    </row>
    <row r="22993" ht="14.25" customHeight="1">
      <c r="A22993" s="740"/>
    </row>
    <row r="22994" ht="14.25" customHeight="1">
      <c r="A22994" s="740"/>
    </row>
    <row r="22995" ht="14.25" customHeight="1">
      <c r="A22995" s="740"/>
    </row>
    <row r="22996" ht="14.25" customHeight="1">
      <c r="A22996" s="740"/>
    </row>
    <row r="22997" ht="14.25" customHeight="1">
      <c r="A22997" s="740"/>
    </row>
    <row r="22998" ht="14.25" customHeight="1">
      <c r="A22998" s="740"/>
    </row>
    <row r="22999" ht="14.25" customHeight="1">
      <c r="A22999" s="740"/>
    </row>
    <row r="23000" ht="14.25" customHeight="1">
      <c r="A23000" s="740"/>
    </row>
    <row r="23001" ht="14.25" customHeight="1">
      <c r="A23001" s="740"/>
    </row>
    <row r="23002" ht="14.25" customHeight="1">
      <c r="A23002" s="740"/>
    </row>
    <row r="23003" ht="14.25" customHeight="1">
      <c r="A23003" s="740"/>
    </row>
    <row r="23004" ht="14.25" customHeight="1">
      <c r="A23004" s="740"/>
    </row>
    <row r="23005" ht="14.25" customHeight="1">
      <c r="A23005" s="740"/>
    </row>
    <row r="23006" ht="14.25" customHeight="1">
      <c r="A23006" s="740"/>
    </row>
    <row r="23007" ht="14.25" customHeight="1">
      <c r="A23007" s="740"/>
    </row>
    <row r="23008" ht="14.25" customHeight="1">
      <c r="A23008" s="740"/>
    </row>
    <row r="23009" ht="14.25" customHeight="1">
      <c r="A23009" s="740"/>
    </row>
    <row r="23010" ht="14.25" customHeight="1">
      <c r="A23010" s="740"/>
    </row>
    <row r="23011" ht="14.25" customHeight="1">
      <c r="A23011" s="740"/>
    </row>
    <row r="23012" ht="14.25" customHeight="1">
      <c r="A23012" s="740"/>
    </row>
    <row r="23013" ht="14.25" customHeight="1">
      <c r="A23013" s="740"/>
    </row>
    <row r="23014" ht="14.25" customHeight="1">
      <c r="A23014" s="740"/>
    </row>
    <row r="23015" ht="14.25" customHeight="1">
      <c r="A23015" s="740"/>
    </row>
    <row r="23016" ht="14.25" customHeight="1">
      <c r="A23016" s="740"/>
    </row>
    <row r="23017" ht="14.25" customHeight="1">
      <c r="A23017" s="740"/>
    </row>
    <row r="23018" ht="14.25" customHeight="1">
      <c r="A23018" s="740"/>
    </row>
    <row r="23019" ht="14.25" customHeight="1">
      <c r="A23019" s="740"/>
    </row>
    <row r="23020" ht="14.25" customHeight="1">
      <c r="A23020" s="740"/>
    </row>
    <row r="23021" ht="14.25" customHeight="1">
      <c r="A23021" s="740"/>
    </row>
    <row r="23022" ht="14.25" customHeight="1">
      <c r="A23022" s="740"/>
    </row>
    <row r="23023" ht="14.25" customHeight="1">
      <c r="A23023" s="740"/>
    </row>
    <row r="23024" ht="14.25" customHeight="1">
      <c r="A23024" s="740"/>
    </row>
    <row r="23025" ht="14.25" customHeight="1">
      <c r="A23025" s="740"/>
    </row>
    <row r="23026" ht="14.25" customHeight="1">
      <c r="A23026" s="740"/>
    </row>
    <row r="23027" ht="14.25" customHeight="1">
      <c r="A23027" s="740"/>
    </row>
    <row r="23028" ht="14.25" customHeight="1">
      <c r="A23028" s="740"/>
    </row>
    <row r="23029" ht="14.25" customHeight="1">
      <c r="A23029" s="740"/>
    </row>
    <row r="23030" ht="14.25" customHeight="1">
      <c r="A23030" s="740"/>
    </row>
    <row r="23031" ht="14.25" customHeight="1">
      <c r="A23031" s="740"/>
    </row>
    <row r="23032" ht="14.25" customHeight="1">
      <c r="A23032" s="740"/>
    </row>
    <row r="23033" ht="14.25" customHeight="1">
      <c r="A23033" s="740"/>
    </row>
    <row r="23034" ht="14.25" customHeight="1">
      <c r="A23034" s="740"/>
    </row>
    <row r="23035" ht="14.25" customHeight="1">
      <c r="A23035" s="740"/>
    </row>
    <row r="23036" ht="14.25" customHeight="1">
      <c r="A23036" s="740"/>
    </row>
    <row r="23037" ht="14.25" customHeight="1">
      <c r="A23037" s="740"/>
    </row>
    <row r="23038" ht="14.25" customHeight="1">
      <c r="A23038" s="740"/>
    </row>
    <row r="23039" ht="14.25" customHeight="1">
      <c r="A23039" s="740"/>
    </row>
    <row r="23040" ht="14.25" customHeight="1">
      <c r="A23040" s="740"/>
    </row>
    <row r="23041" ht="14.25" customHeight="1">
      <c r="A23041" s="740"/>
    </row>
    <row r="23042" ht="14.25" customHeight="1">
      <c r="A23042" s="740"/>
    </row>
    <row r="23043" ht="14.25" customHeight="1">
      <c r="A23043" s="740"/>
    </row>
    <row r="23044" ht="14.25" customHeight="1">
      <c r="A23044" s="740"/>
    </row>
    <row r="23045" ht="14.25" customHeight="1">
      <c r="A23045" s="740"/>
    </row>
    <row r="23046" ht="14.25" customHeight="1">
      <c r="A23046" s="740"/>
    </row>
    <row r="23047" ht="14.25" customHeight="1">
      <c r="A23047" s="740"/>
    </row>
    <row r="23048" ht="14.25" customHeight="1">
      <c r="A23048" s="740"/>
    </row>
    <row r="23049" ht="14.25" customHeight="1">
      <c r="A23049" s="740"/>
    </row>
    <row r="23050" ht="14.25" customHeight="1">
      <c r="A23050" s="740"/>
    </row>
    <row r="23051" ht="14.25" customHeight="1">
      <c r="A23051" s="740"/>
    </row>
    <row r="23052" ht="14.25" customHeight="1">
      <c r="A23052" s="740"/>
    </row>
    <row r="23053" ht="14.25" customHeight="1">
      <c r="A23053" s="740"/>
    </row>
    <row r="23054" ht="14.25" customHeight="1">
      <c r="A23054" s="740"/>
    </row>
    <row r="23055" ht="14.25" customHeight="1">
      <c r="A23055" s="740"/>
    </row>
    <row r="23056" ht="14.25" customHeight="1">
      <c r="A23056" s="740"/>
    </row>
    <row r="23057" ht="14.25" customHeight="1">
      <c r="A23057" s="740"/>
    </row>
    <row r="23058" ht="14.25" customHeight="1">
      <c r="A23058" s="740"/>
    </row>
    <row r="23059" ht="14.25" customHeight="1">
      <c r="A23059" s="740"/>
    </row>
    <row r="23060" ht="14.25" customHeight="1">
      <c r="A23060" s="740"/>
    </row>
    <row r="23061" ht="14.25" customHeight="1">
      <c r="A23061" s="740"/>
    </row>
    <row r="23062" ht="14.25" customHeight="1">
      <c r="A23062" s="740"/>
    </row>
    <row r="23063" ht="14.25" customHeight="1">
      <c r="A23063" s="740"/>
    </row>
    <row r="23064" ht="14.25" customHeight="1">
      <c r="A23064" s="740"/>
    </row>
    <row r="23065" ht="14.25" customHeight="1">
      <c r="A23065" s="740"/>
    </row>
    <row r="23066" ht="14.25" customHeight="1">
      <c r="A23066" s="740"/>
    </row>
    <row r="23067" ht="14.25" customHeight="1">
      <c r="A23067" s="740"/>
    </row>
    <row r="23068" ht="14.25" customHeight="1">
      <c r="A23068" s="740"/>
    </row>
    <row r="23069" ht="14.25" customHeight="1">
      <c r="A23069" s="740"/>
    </row>
    <row r="23070" ht="14.25" customHeight="1">
      <c r="A23070" s="740"/>
    </row>
    <row r="23071" ht="14.25" customHeight="1">
      <c r="A23071" s="740"/>
    </row>
    <row r="23072" ht="14.25" customHeight="1">
      <c r="A23072" s="740"/>
    </row>
    <row r="23073" ht="14.25" customHeight="1">
      <c r="A23073" s="740"/>
    </row>
    <row r="23074" ht="14.25" customHeight="1">
      <c r="A23074" s="740"/>
    </row>
    <row r="23075" ht="14.25" customHeight="1">
      <c r="A23075" s="740"/>
    </row>
    <row r="23076" ht="14.25" customHeight="1">
      <c r="A23076" s="740"/>
    </row>
    <row r="23077" ht="14.25" customHeight="1">
      <c r="A23077" s="740"/>
    </row>
    <row r="23078" ht="14.25" customHeight="1">
      <c r="A23078" s="740"/>
    </row>
    <row r="23079" ht="14.25" customHeight="1">
      <c r="A23079" s="740"/>
    </row>
    <row r="23080" ht="14.25" customHeight="1">
      <c r="A23080" s="740"/>
    </row>
    <row r="23081" ht="14.25" customHeight="1">
      <c r="A23081" s="740"/>
    </row>
    <row r="23082" ht="14.25" customHeight="1">
      <c r="A23082" s="740"/>
    </row>
    <row r="23083" ht="14.25" customHeight="1">
      <c r="A23083" s="740"/>
    </row>
    <row r="23084" ht="14.25" customHeight="1">
      <c r="A23084" s="740"/>
    </row>
    <row r="23085" ht="14.25" customHeight="1">
      <c r="A23085" s="740"/>
    </row>
    <row r="23086" ht="14.25" customHeight="1">
      <c r="A23086" s="740"/>
    </row>
    <row r="23087" ht="14.25" customHeight="1">
      <c r="A23087" s="740"/>
    </row>
    <row r="23088" ht="14.25" customHeight="1">
      <c r="A23088" s="740"/>
    </row>
    <row r="23089" ht="14.25" customHeight="1">
      <c r="A23089" s="740"/>
    </row>
    <row r="23090" ht="14.25" customHeight="1">
      <c r="A23090" s="740"/>
    </row>
    <row r="23091" ht="14.25" customHeight="1">
      <c r="A23091" s="740"/>
    </row>
    <row r="23092" ht="14.25" customHeight="1">
      <c r="A23092" s="740"/>
    </row>
    <row r="23093" ht="14.25" customHeight="1">
      <c r="A23093" s="740"/>
    </row>
    <row r="23094" ht="14.25" customHeight="1">
      <c r="A23094" s="740"/>
    </row>
    <row r="23095" ht="14.25" customHeight="1">
      <c r="A23095" s="740"/>
    </row>
    <row r="23096" ht="14.25" customHeight="1">
      <c r="A23096" s="740"/>
    </row>
    <row r="23097" ht="14.25" customHeight="1">
      <c r="A23097" s="740"/>
    </row>
    <row r="23098" ht="14.25" customHeight="1">
      <c r="A23098" s="740"/>
    </row>
    <row r="23099" ht="14.25" customHeight="1">
      <c r="A23099" s="740"/>
    </row>
    <row r="23100" ht="14.25" customHeight="1">
      <c r="A23100" s="740"/>
    </row>
    <row r="23101" ht="14.25" customHeight="1">
      <c r="A23101" s="740"/>
    </row>
    <row r="23102" ht="14.25" customHeight="1">
      <c r="A23102" s="740"/>
    </row>
    <row r="23103" ht="14.25" customHeight="1">
      <c r="A23103" s="740"/>
    </row>
    <row r="23104" ht="14.25" customHeight="1">
      <c r="A23104" s="740"/>
    </row>
    <row r="23105" ht="14.25" customHeight="1">
      <c r="A23105" s="740"/>
    </row>
    <row r="23106" ht="14.25" customHeight="1">
      <c r="A23106" s="740"/>
    </row>
    <row r="23107" ht="14.25" customHeight="1">
      <c r="A23107" s="740"/>
    </row>
    <row r="23108" ht="14.25" customHeight="1">
      <c r="A23108" s="740"/>
    </row>
    <row r="23109" ht="14.25" customHeight="1">
      <c r="A23109" s="740"/>
    </row>
    <row r="23110" ht="14.25" customHeight="1">
      <c r="A23110" s="740"/>
    </row>
    <row r="23111" ht="14.25" customHeight="1">
      <c r="A23111" s="740"/>
    </row>
    <row r="23112" ht="14.25" customHeight="1">
      <c r="A23112" s="740"/>
    </row>
    <row r="23113" ht="14.25" customHeight="1">
      <c r="A23113" s="740"/>
    </row>
    <row r="23114" ht="14.25" customHeight="1">
      <c r="A23114" s="740"/>
    </row>
    <row r="23115" ht="14.25" customHeight="1">
      <c r="A23115" s="740"/>
    </row>
    <row r="23116" ht="14.25" customHeight="1">
      <c r="A23116" s="740"/>
    </row>
    <row r="23117" ht="14.25" customHeight="1">
      <c r="A23117" s="740"/>
    </row>
    <row r="23118" ht="14.25" customHeight="1">
      <c r="A23118" s="740"/>
    </row>
    <row r="23119" ht="14.25" customHeight="1">
      <c r="A23119" s="740"/>
    </row>
    <row r="23120" ht="14.25" customHeight="1">
      <c r="A23120" s="740"/>
    </row>
    <row r="23121" ht="14.25" customHeight="1">
      <c r="A23121" s="740"/>
    </row>
    <row r="23122" ht="14.25" customHeight="1">
      <c r="A23122" s="740"/>
    </row>
    <row r="23123" ht="14.25" customHeight="1">
      <c r="A23123" s="740"/>
    </row>
    <row r="23124" ht="14.25" customHeight="1">
      <c r="A23124" s="740"/>
    </row>
    <row r="23125" ht="14.25" customHeight="1">
      <c r="A23125" s="740"/>
    </row>
    <row r="23126" ht="14.25" customHeight="1">
      <c r="A23126" s="740"/>
    </row>
    <row r="23127" ht="14.25" customHeight="1">
      <c r="A23127" s="740"/>
    </row>
    <row r="23128" ht="14.25" customHeight="1">
      <c r="A23128" s="740"/>
    </row>
    <row r="23129" ht="14.25" customHeight="1">
      <c r="A23129" s="740"/>
    </row>
    <row r="23130" ht="14.25" customHeight="1">
      <c r="A23130" s="740"/>
    </row>
    <row r="23131" ht="14.25" customHeight="1">
      <c r="A23131" s="740"/>
    </row>
    <row r="23132" ht="14.25" customHeight="1">
      <c r="A23132" s="740"/>
    </row>
    <row r="23133" ht="14.25" customHeight="1">
      <c r="A23133" s="740"/>
    </row>
    <row r="23134" ht="14.25" customHeight="1">
      <c r="A23134" s="740"/>
    </row>
    <row r="23135" ht="14.25" customHeight="1">
      <c r="A23135" s="740"/>
    </row>
    <row r="23136" ht="14.25" customHeight="1">
      <c r="A23136" s="740"/>
    </row>
    <row r="23137" ht="14.25" customHeight="1">
      <c r="A23137" s="740"/>
    </row>
    <row r="23138" ht="14.25" customHeight="1">
      <c r="A23138" s="740"/>
    </row>
    <row r="23139" ht="14.25" customHeight="1">
      <c r="A23139" s="740"/>
    </row>
    <row r="23140" ht="14.25" customHeight="1">
      <c r="A23140" s="740"/>
    </row>
    <row r="23141" ht="14.25" customHeight="1">
      <c r="A23141" s="740"/>
    </row>
    <row r="23142" ht="14.25" customHeight="1">
      <c r="A23142" s="740"/>
    </row>
    <row r="23143" ht="14.25" customHeight="1">
      <c r="A23143" s="740"/>
    </row>
    <row r="23144" ht="14.25" customHeight="1">
      <c r="A23144" s="740"/>
    </row>
    <row r="23145" ht="14.25" customHeight="1">
      <c r="A23145" s="740"/>
    </row>
    <row r="23146" ht="14.25" customHeight="1">
      <c r="A23146" s="740"/>
    </row>
    <row r="23147" ht="14.25" customHeight="1">
      <c r="A23147" s="740"/>
    </row>
    <row r="23148" ht="14.25" customHeight="1">
      <c r="A23148" s="740"/>
    </row>
    <row r="23149" ht="14.25" customHeight="1">
      <c r="A23149" s="740"/>
    </row>
    <row r="23150" ht="14.25" customHeight="1">
      <c r="A23150" s="740"/>
    </row>
    <row r="23151" ht="14.25" customHeight="1">
      <c r="A23151" s="740"/>
    </row>
    <row r="23152" ht="14.25" customHeight="1">
      <c r="A23152" s="740"/>
    </row>
    <row r="23153" ht="14.25" customHeight="1">
      <c r="A23153" s="740"/>
    </row>
    <row r="23154" ht="14.25" customHeight="1">
      <c r="A23154" s="740"/>
    </row>
    <row r="23155" ht="14.25" customHeight="1">
      <c r="A23155" s="740"/>
    </row>
    <row r="23156" ht="14.25" customHeight="1">
      <c r="A23156" s="740"/>
    </row>
    <row r="23157" ht="14.25" customHeight="1">
      <c r="A23157" s="740"/>
    </row>
    <row r="23158" ht="14.25" customHeight="1">
      <c r="A23158" s="740"/>
    </row>
    <row r="23159" ht="14.25" customHeight="1">
      <c r="A23159" s="740"/>
    </row>
    <row r="23160" ht="14.25" customHeight="1">
      <c r="A23160" s="740"/>
    </row>
    <row r="23161" ht="14.25" customHeight="1">
      <c r="A23161" s="740"/>
    </row>
    <row r="23162" ht="14.25" customHeight="1">
      <c r="A23162" s="740"/>
    </row>
    <row r="23163" ht="14.25" customHeight="1">
      <c r="A23163" s="740"/>
    </row>
    <row r="23164" ht="14.25" customHeight="1">
      <c r="A23164" s="740"/>
    </row>
    <row r="23165" ht="14.25" customHeight="1">
      <c r="A23165" s="740"/>
    </row>
    <row r="23166" ht="14.25" customHeight="1">
      <c r="A23166" s="740"/>
    </row>
    <row r="23167" ht="14.25" customHeight="1">
      <c r="A23167" s="740"/>
    </row>
    <row r="23168" ht="14.25" customHeight="1">
      <c r="A23168" s="740"/>
    </row>
    <row r="23169" ht="14.25" customHeight="1">
      <c r="A23169" s="740"/>
    </row>
    <row r="23170" ht="14.25" customHeight="1">
      <c r="A23170" s="740"/>
    </row>
    <row r="23171" ht="14.25" customHeight="1">
      <c r="A23171" s="740"/>
    </row>
    <row r="23172" ht="14.25" customHeight="1">
      <c r="A23172" s="740"/>
    </row>
    <row r="23173" ht="14.25" customHeight="1">
      <c r="A23173" s="740"/>
    </row>
    <row r="23174" ht="14.25" customHeight="1">
      <c r="A23174" s="740"/>
    </row>
    <row r="23175" ht="14.25" customHeight="1">
      <c r="A23175" s="740"/>
    </row>
    <row r="23176" ht="14.25" customHeight="1">
      <c r="A23176" s="740"/>
    </row>
    <row r="23177" ht="14.25" customHeight="1">
      <c r="A23177" s="740"/>
    </row>
    <row r="23178" ht="14.25" customHeight="1">
      <c r="A23178" s="740"/>
    </row>
    <row r="23179" ht="14.25" customHeight="1">
      <c r="A23179" s="740"/>
    </row>
    <row r="23180" ht="14.25" customHeight="1">
      <c r="A23180" s="740"/>
    </row>
    <row r="23181" ht="14.25" customHeight="1">
      <c r="A23181" s="740"/>
    </row>
    <row r="23182" ht="14.25" customHeight="1">
      <c r="A23182" s="740"/>
    </row>
    <row r="23183" ht="14.25" customHeight="1">
      <c r="A23183" s="740"/>
    </row>
    <row r="23184" ht="14.25" customHeight="1">
      <c r="A23184" s="740"/>
    </row>
    <row r="23185" ht="14.25" customHeight="1">
      <c r="A23185" s="740"/>
    </row>
    <row r="23186" ht="14.25" customHeight="1">
      <c r="A23186" s="740"/>
    </row>
    <row r="23187" ht="14.25" customHeight="1">
      <c r="A23187" s="740"/>
    </row>
    <row r="23188" ht="14.25" customHeight="1">
      <c r="A23188" s="740"/>
    </row>
    <row r="23189" ht="14.25" customHeight="1">
      <c r="A23189" s="740"/>
    </row>
    <row r="23190" ht="14.25" customHeight="1">
      <c r="A23190" s="740"/>
    </row>
    <row r="23191" ht="14.25" customHeight="1">
      <c r="A23191" s="740"/>
    </row>
    <row r="23192" ht="14.25" customHeight="1">
      <c r="A23192" s="740"/>
    </row>
    <row r="23193" ht="14.25" customHeight="1">
      <c r="A23193" s="740"/>
    </row>
    <row r="23194" ht="14.25" customHeight="1">
      <c r="A23194" s="740"/>
    </row>
    <row r="23195" ht="14.25" customHeight="1">
      <c r="A23195" s="740"/>
    </row>
    <row r="23196" ht="14.25" customHeight="1">
      <c r="A23196" s="740"/>
    </row>
    <row r="23197" ht="14.25" customHeight="1">
      <c r="A23197" s="740"/>
    </row>
    <row r="23198" ht="14.25" customHeight="1">
      <c r="A23198" s="740"/>
    </row>
    <row r="23199" ht="14.25" customHeight="1">
      <c r="A23199" s="740"/>
    </row>
    <row r="23200" ht="14.25" customHeight="1">
      <c r="A23200" s="740"/>
    </row>
    <row r="23201" ht="14.25" customHeight="1">
      <c r="A23201" s="740"/>
    </row>
    <row r="23202" ht="14.25" customHeight="1">
      <c r="A23202" s="740"/>
    </row>
    <row r="23203" ht="14.25" customHeight="1">
      <c r="A23203" s="740"/>
    </row>
    <row r="23204" ht="14.25" customHeight="1">
      <c r="A23204" s="740"/>
    </row>
    <row r="23205" ht="14.25" customHeight="1">
      <c r="A23205" s="740"/>
    </row>
    <row r="23206" ht="14.25" customHeight="1">
      <c r="A23206" s="740"/>
    </row>
    <row r="23207" ht="14.25" customHeight="1">
      <c r="A23207" s="740"/>
    </row>
    <row r="23208" ht="14.25" customHeight="1">
      <c r="A23208" s="740"/>
    </row>
    <row r="23209" ht="14.25" customHeight="1">
      <c r="A23209" s="740"/>
    </row>
    <row r="23210" ht="14.25" customHeight="1">
      <c r="A23210" s="740"/>
    </row>
    <row r="23211" ht="14.25" customHeight="1">
      <c r="A23211" s="740"/>
    </row>
    <row r="23212" ht="14.25" customHeight="1">
      <c r="A23212" s="740"/>
    </row>
    <row r="23213" ht="14.25" customHeight="1">
      <c r="A23213" s="740"/>
    </row>
    <row r="23214" ht="14.25" customHeight="1">
      <c r="A23214" s="740"/>
    </row>
    <row r="23215" ht="14.25" customHeight="1">
      <c r="A23215" s="740"/>
    </row>
    <row r="23216" ht="14.25" customHeight="1">
      <c r="A23216" s="740"/>
    </row>
    <row r="23217" ht="14.25" customHeight="1">
      <c r="A23217" s="740"/>
    </row>
    <row r="23218" ht="14.25" customHeight="1">
      <c r="A23218" s="740"/>
    </row>
    <row r="23219" ht="14.25" customHeight="1">
      <c r="A23219" s="740"/>
    </row>
    <row r="23220" ht="14.25" customHeight="1">
      <c r="A23220" s="740"/>
    </row>
    <row r="23221" ht="14.25" customHeight="1">
      <c r="A23221" s="740"/>
    </row>
    <row r="23222" ht="14.25" customHeight="1">
      <c r="A23222" s="740"/>
    </row>
    <row r="23223" ht="14.25" customHeight="1">
      <c r="A23223" s="740"/>
    </row>
    <row r="23224" ht="14.25" customHeight="1">
      <c r="A23224" s="740"/>
    </row>
    <row r="23225" ht="14.25" customHeight="1">
      <c r="A23225" s="740"/>
    </row>
    <row r="23226" ht="14.25" customHeight="1">
      <c r="A23226" s="740"/>
    </row>
    <row r="23227" ht="14.25" customHeight="1">
      <c r="A23227" s="740"/>
    </row>
    <row r="23228" ht="14.25" customHeight="1">
      <c r="A23228" s="740"/>
    </row>
    <row r="23229" ht="14.25" customHeight="1">
      <c r="A23229" s="740"/>
    </row>
    <row r="23230" ht="14.25" customHeight="1">
      <c r="A23230" s="740"/>
    </row>
    <row r="23231" ht="14.25" customHeight="1">
      <c r="A23231" s="740"/>
    </row>
    <row r="23232" ht="14.25" customHeight="1">
      <c r="A23232" s="740"/>
    </row>
    <row r="23233" ht="14.25" customHeight="1">
      <c r="A23233" s="740"/>
    </row>
    <row r="23234" ht="14.25" customHeight="1">
      <c r="A23234" s="740"/>
    </row>
    <row r="23235" ht="14.25" customHeight="1">
      <c r="A23235" s="740"/>
    </row>
    <row r="23236" ht="14.25" customHeight="1">
      <c r="A23236" s="740"/>
    </row>
    <row r="23237" ht="14.25" customHeight="1">
      <c r="A23237" s="740"/>
    </row>
    <row r="23238" ht="14.25" customHeight="1">
      <c r="A23238" s="740"/>
    </row>
    <row r="23239" ht="14.25" customHeight="1">
      <c r="A23239" s="740"/>
    </row>
    <row r="23240" ht="14.25" customHeight="1">
      <c r="A23240" s="740"/>
    </row>
    <row r="23241" ht="14.25" customHeight="1">
      <c r="A23241" s="740"/>
    </row>
    <row r="23242" ht="14.25" customHeight="1">
      <c r="A23242" s="740"/>
    </row>
    <row r="23243" ht="14.25" customHeight="1">
      <c r="A23243" s="740"/>
    </row>
    <row r="23244" ht="14.25" customHeight="1">
      <c r="A23244" s="740"/>
    </row>
    <row r="23245" ht="14.25" customHeight="1">
      <c r="A23245" s="740"/>
    </row>
    <row r="23246" ht="14.25" customHeight="1">
      <c r="A23246" s="740"/>
    </row>
    <row r="23247" ht="14.25" customHeight="1">
      <c r="A23247" s="740"/>
    </row>
    <row r="23248" ht="14.25" customHeight="1">
      <c r="A23248" s="740"/>
    </row>
    <row r="23249" ht="14.25" customHeight="1">
      <c r="A23249" s="740"/>
    </row>
    <row r="23250" ht="14.25" customHeight="1">
      <c r="A23250" s="740"/>
    </row>
    <row r="23251" ht="14.25" customHeight="1">
      <c r="A23251" s="740"/>
    </row>
    <row r="23252" ht="14.25" customHeight="1">
      <c r="A23252" s="740"/>
    </row>
    <row r="23253" ht="14.25" customHeight="1">
      <c r="A23253" s="740"/>
    </row>
    <row r="23254" ht="14.25" customHeight="1">
      <c r="A23254" s="740"/>
    </row>
    <row r="23255" ht="14.25" customHeight="1">
      <c r="A23255" s="740"/>
    </row>
    <row r="23256" ht="14.25" customHeight="1">
      <c r="A23256" s="740"/>
    </row>
    <row r="23257" ht="14.25" customHeight="1">
      <c r="A23257" s="740"/>
    </row>
    <row r="23258" ht="14.25" customHeight="1">
      <c r="A23258" s="740"/>
    </row>
    <row r="23259" ht="14.25" customHeight="1">
      <c r="A23259" s="740"/>
    </row>
    <row r="23260" ht="14.25" customHeight="1">
      <c r="A23260" s="740"/>
    </row>
    <row r="23261" ht="14.25" customHeight="1">
      <c r="A23261" s="740"/>
    </row>
    <row r="23262" ht="14.25" customHeight="1">
      <c r="A23262" s="740"/>
    </row>
    <row r="23263" ht="14.25" customHeight="1">
      <c r="A23263" s="740"/>
    </row>
    <row r="23264" ht="14.25" customHeight="1">
      <c r="A23264" s="740"/>
    </row>
    <row r="23265" ht="14.25" customHeight="1">
      <c r="A23265" s="740"/>
    </row>
    <row r="23266" ht="14.25" customHeight="1">
      <c r="A23266" s="740"/>
    </row>
    <row r="23267" ht="14.25" customHeight="1">
      <c r="A23267" s="740"/>
    </row>
    <row r="23268" ht="14.25" customHeight="1">
      <c r="A23268" s="740"/>
    </row>
    <row r="23269" ht="14.25" customHeight="1">
      <c r="A23269" s="740"/>
    </row>
    <row r="23270" ht="14.25" customHeight="1">
      <c r="A23270" s="740"/>
    </row>
    <row r="23271" ht="14.25" customHeight="1">
      <c r="A23271" s="740"/>
    </row>
    <row r="23272" ht="14.25" customHeight="1">
      <c r="A23272" s="740"/>
    </row>
    <row r="23273" ht="14.25" customHeight="1">
      <c r="A23273" s="740"/>
    </row>
    <row r="23274" ht="14.25" customHeight="1">
      <c r="A23274" s="740"/>
    </row>
    <row r="23275" ht="14.25" customHeight="1">
      <c r="A23275" s="740"/>
    </row>
    <row r="23276" ht="14.25" customHeight="1">
      <c r="A23276" s="740"/>
    </row>
    <row r="23277" ht="14.25" customHeight="1">
      <c r="A23277" s="740"/>
    </row>
    <row r="23278" ht="14.25" customHeight="1">
      <c r="A23278" s="740"/>
    </row>
    <row r="23279" ht="14.25" customHeight="1">
      <c r="A23279" s="740"/>
    </row>
    <row r="23280" ht="14.25" customHeight="1">
      <c r="A23280" s="740"/>
    </row>
    <row r="23281" ht="14.25" customHeight="1">
      <c r="A23281" s="740"/>
    </row>
    <row r="23282" ht="14.25" customHeight="1">
      <c r="A23282" s="740"/>
    </row>
    <row r="23283" ht="14.25" customHeight="1">
      <c r="A23283" s="740"/>
    </row>
    <row r="23284" ht="14.25" customHeight="1">
      <c r="A23284" s="740"/>
    </row>
    <row r="23285" ht="14.25" customHeight="1">
      <c r="A23285" s="740"/>
    </row>
    <row r="23286" ht="14.25" customHeight="1">
      <c r="A23286" s="740"/>
    </row>
    <row r="23287" ht="14.25" customHeight="1">
      <c r="A23287" s="740"/>
    </row>
    <row r="23288" ht="14.25" customHeight="1">
      <c r="A23288" s="740"/>
    </row>
    <row r="23289" ht="14.25" customHeight="1">
      <c r="A23289" s="740"/>
    </row>
    <row r="23290" ht="14.25" customHeight="1">
      <c r="A23290" s="740"/>
    </row>
    <row r="23291" ht="14.25" customHeight="1">
      <c r="A23291" s="740"/>
    </row>
    <row r="23292" ht="14.25" customHeight="1">
      <c r="A23292" s="740"/>
    </row>
    <row r="23293" ht="14.25" customHeight="1">
      <c r="A23293" s="740"/>
    </row>
    <row r="23294" ht="14.25" customHeight="1">
      <c r="A23294" s="740"/>
    </row>
    <row r="23295" ht="14.25" customHeight="1">
      <c r="A23295" s="740"/>
    </row>
    <row r="23296" ht="14.25" customHeight="1">
      <c r="A23296" s="740"/>
    </row>
    <row r="23297" ht="14.25" customHeight="1">
      <c r="A23297" s="740"/>
    </row>
    <row r="23298" ht="14.25" customHeight="1">
      <c r="A23298" s="740"/>
    </row>
    <row r="23299" ht="14.25" customHeight="1">
      <c r="A23299" s="740"/>
    </row>
    <row r="23300" ht="14.25" customHeight="1">
      <c r="A23300" s="740"/>
    </row>
    <row r="23301" ht="14.25" customHeight="1">
      <c r="A23301" s="740"/>
    </row>
    <row r="23302" ht="14.25" customHeight="1">
      <c r="A23302" s="740"/>
    </row>
    <row r="23303" ht="14.25" customHeight="1">
      <c r="A23303" s="740"/>
    </row>
    <row r="23304" ht="14.25" customHeight="1">
      <c r="A23304" s="740"/>
    </row>
    <row r="23305" ht="14.25" customHeight="1">
      <c r="A23305" s="740"/>
    </row>
    <row r="23306" ht="14.25" customHeight="1">
      <c r="A23306" s="740"/>
    </row>
    <row r="23307" ht="14.25" customHeight="1">
      <c r="A23307" s="740"/>
    </row>
    <row r="23308" ht="14.25" customHeight="1">
      <c r="A23308" s="740"/>
    </row>
    <row r="23309" ht="14.25" customHeight="1">
      <c r="A23309" s="740"/>
    </row>
    <row r="23310" ht="14.25" customHeight="1">
      <c r="A23310" s="740"/>
    </row>
    <row r="23311" ht="14.25" customHeight="1">
      <c r="A23311" s="740"/>
    </row>
    <row r="23312" ht="14.25" customHeight="1">
      <c r="A23312" s="740"/>
    </row>
    <row r="23313" ht="14.25" customHeight="1">
      <c r="A23313" s="740"/>
    </row>
    <row r="23314" ht="14.25" customHeight="1">
      <c r="A23314" s="740"/>
    </row>
    <row r="23315" ht="14.25" customHeight="1">
      <c r="A23315" s="740"/>
    </row>
    <row r="23316" ht="14.25" customHeight="1">
      <c r="A23316" s="740"/>
    </row>
    <row r="23317" ht="14.25" customHeight="1">
      <c r="A23317" s="740"/>
    </row>
    <row r="23318" ht="14.25" customHeight="1">
      <c r="A23318" s="740"/>
    </row>
    <row r="23319" ht="14.25" customHeight="1">
      <c r="A23319" s="740"/>
    </row>
    <row r="23320" ht="14.25" customHeight="1">
      <c r="A23320" s="740"/>
    </row>
    <row r="23321" ht="14.25" customHeight="1">
      <c r="A23321" s="740"/>
    </row>
    <row r="23322" ht="14.25" customHeight="1">
      <c r="A23322" s="740"/>
    </row>
    <row r="23323" ht="14.25" customHeight="1">
      <c r="A23323" s="740"/>
    </row>
    <row r="23324" ht="14.25" customHeight="1">
      <c r="A23324" s="740"/>
    </row>
    <row r="23325" ht="14.25" customHeight="1">
      <c r="A23325" s="740"/>
    </row>
    <row r="23326" ht="14.25" customHeight="1">
      <c r="A23326" s="740"/>
    </row>
    <row r="23327" ht="14.25" customHeight="1">
      <c r="A23327" s="740"/>
    </row>
    <row r="23328" ht="14.25" customHeight="1">
      <c r="A23328" s="740"/>
    </row>
    <row r="23329" ht="14.25" customHeight="1">
      <c r="A23329" s="740"/>
    </row>
    <row r="23330" ht="14.25" customHeight="1">
      <c r="A23330" s="740"/>
    </row>
    <row r="23331" ht="14.25" customHeight="1">
      <c r="A23331" s="740"/>
    </row>
    <row r="23332" ht="14.25" customHeight="1">
      <c r="A23332" s="740"/>
    </row>
    <row r="23333" ht="14.25" customHeight="1">
      <c r="A23333" s="740"/>
    </row>
    <row r="23334" ht="14.25" customHeight="1">
      <c r="A23334" s="740"/>
    </row>
    <row r="23335" ht="14.25" customHeight="1">
      <c r="A23335" s="740"/>
    </row>
    <row r="23336" ht="14.25" customHeight="1">
      <c r="A23336" s="740"/>
    </row>
    <row r="23337" ht="14.25" customHeight="1">
      <c r="A23337" s="740"/>
    </row>
    <row r="23338" ht="14.25" customHeight="1">
      <c r="A23338" s="740"/>
    </row>
    <row r="23339" ht="14.25" customHeight="1">
      <c r="A23339" s="740"/>
    </row>
    <row r="23340" ht="14.25" customHeight="1">
      <c r="A23340" s="740"/>
    </row>
    <row r="23341" ht="14.25" customHeight="1">
      <c r="A23341" s="740"/>
    </row>
    <row r="23342" ht="14.25" customHeight="1">
      <c r="A23342" s="740"/>
    </row>
    <row r="23343" ht="14.25" customHeight="1">
      <c r="A23343" s="740"/>
    </row>
    <row r="23344" ht="14.25" customHeight="1">
      <c r="A23344" s="740"/>
    </row>
    <row r="23345" ht="14.25" customHeight="1">
      <c r="A23345" s="740"/>
    </row>
    <row r="23346" ht="14.25" customHeight="1">
      <c r="A23346" s="740"/>
    </row>
    <row r="23347" ht="14.25" customHeight="1">
      <c r="A23347" s="740"/>
    </row>
    <row r="23348" ht="14.25" customHeight="1">
      <c r="A23348" s="740"/>
    </row>
    <row r="23349" ht="14.25" customHeight="1">
      <c r="A23349" s="740"/>
    </row>
    <row r="23350" ht="14.25" customHeight="1">
      <c r="A23350" s="740"/>
    </row>
    <row r="23351" ht="14.25" customHeight="1">
      <c r="A23351" s="740"/>
    </row>
    <row r="23352" ht="14.25" customHeight="1">
      <c r="A23352" s="740"/>
    </row>
    <row r="23353" ht="14.25" customHeight="1">
      <c r="A23353" s="740"/>
    </row>
    <row r="23354" ht="14.25" customHeight="1">
      <c r="A23354" s="740"/>
    </row>
    <row r="23355" ht="14.25" customHeight="1">
      <c r="A23355" s="740"/>
    </row>
    <row r="23356" ht="14.25" customHeight="1">
      <c r="A23356" s="740"/>
    </row>
    <row r="23357" ht="14.25" customHeight="1">
      <c r="A23357" s="740"/>
    </row>
    <row r="23358" ht="14.25" customHeight="1">
      <c r="A23358" s="740"/>
    </row>
    <row r="23359" ht="14.25" customHeight="1">
      <c r="A23359" s="740"/>
    </row>
    <row r="23360" ht="14.25" customHeight="1">
      <c r="A23360" s="740"/>
    </row>
    <row r="23361" ht="14.25" customHeight="1">
      <c r="A23361" s="740"/>
    </row>
    <row r="23362" ht="14.25" customHeight="1">
      <c r="A23362" s="740"/>
    </row>
    <row r="23363" ht="14.25" customHeight="1">
      <c r="A23363" s="740"/>
    </row>
    <row r="23364" ht="14.25" customHeight="1">
      <c r="A23364" s="740"/>
    </row>
    <row r="23365" ht="14.25" customHeight="1">
      <c r="A23365" s="740"/>
    </row>
    <row r="23366" ht="14.25" customHeight="1">
      <c r="A23366" s="740"/>
    </row>
    <row r="23367" ht="14.25" customHeight="1">
      <c r="A23367" s="740"/>
    </row>
    <row r="23368" ht="14.25" customHeight="1">
      <c r="A23368" s="740"/>
    </row>
    <row r="23369" ht="14.25" customHeight="1">
      <c r="A23369" s="740"/>
    </row>
    <row r="23370" ht="14.25" customHeight="1">
      <c r="A23370" s="740"/>
    </row>
    <row r="23371" ht="14.25" customHeight="1">
      <c r="A23371" s="740"/>
    </row>
    <row r="23372" ht="14.25" customHeight="1">
      <c r="A23372" s="740"/>
    </row>
    <row r="23373" ht="14.25" customHeight="1">
      <c r="A23373" s="740"/>
    </row>
    <row r="23374" ht="14.25" customHeight="1">
      <c r="A23374" s="740"/>
    </row>
    <row r="23375" ht="14.25" customHeight="1">
      <c r="A23375" s="740"/>
    </row>
    <row r="23376" ht="14.25" customHeight="1">
      <c r="A23376" s="740"/>
    </row>
    <row r="23377" ht="14.25" customHeight="1">
      <c r="A23377" s="740"/>
    </row>
    <row r="23378" ht="14.25" customHeight="1">
      <c r="A23378" s="740"/>
    </row>
    <row r="23379" ht="14.25" customHeight="1">
      <c r="A23379" s="740"/>
    </row>
    <row r="23380" ht="14.25" customHeight="1">
      <c r="A23380" s="740"/>
    </row>
    <row r="23381" ht="14.25" customHeight="1">
      <c r="A23381" s="740"/>
    </row>
    <row r="23382" ht="14.25" customHeight="1">
      <c r="A23382" s="740"/>
    </row>
    <row r="23383" ht="14.25" customHeight="1">
      <c r="A23383" s="740"/>
    </row>
    <row r="23384" ht="14.25" customHeight="1">
      <c r="A23384" s="740"/>
    </row>
    <row r="23385" ht="14.25" customHeight="1">
      <c r="A23385" s="740"/>
    </row>
    <row r="23386" ht="14.25" customHeight="1">
      <c r="A23386" s="740"/>
    </row>
    <row r="23387" ht="14.25" customHeight="1">
      <c r="A23387" s="740"/>
    </row>
    <row r="23388" ht="14.25" customHeight="1">
      <c r="A23388" s="740"/>
    </row>
    <row r="23389" ht="14.25" customHeight="1">
      <c r="A23389" s="740"/>
    </row>
    <row r="23390" ht="14.25" customHeight="1">
      <c r="A23390" s="740"/>
    </row>
    <row r="23391" ht="14.25" customHeight="1">
      <c r="A23391" s="740"/>
    </row>
    <row r="23392" ht="14.25" customHeight="1">
      <c r="A23392" s="740"/>
    </row>
    <row r="23393" ht="14.25" customHeight="1">
      <c r="A23393" s="740"/>
    </row>
    <row r="23394" ht="14.25" customHeight="1">
      <c r="A23394" s="740"/>
    </row>
    <row r="23395" ht="14.25" customHeight="1">
      <c r="A23395" s="740"/>
    </row>
    <row r="23396" ht="14.25" customHeight="1">
      <c r="A23396" s="740"/>
    </row>
    <row r="23397" ht="14.25" customHeight="1">
      <c r="A23397" s="740"/>
    </row>
    <row r="23398" ht="14.25" customHeight="1">
      <c r="A23398" s="740"/>
    </row>
    <row r="23399" ht="14.25" customHeight="1">
      <c r="A23399" s="740"/>
    </row>
    <row r="23400" ht="14.25" customHeight="1">
      <c r="A23400" s="740"/>
    </row>
    <row r="23401" ht="14.25" customHeight="1">
      <c r="A23401" s="740"/>
    </row>
    <row r="23402" ht="14.25" customHeight="1">
      <c r="A23402" s="740"/>
    </row>
    <row r="23403" ht="14.25" customHeight="1">
      <c r="A23403" s="740"/>
    </row>
    <row r="23404" ht="14.25" customHeight="1">
      <c r="A23404" s="740"/>
    </row>
    <row r="23405" ht="14.25" customHeight="1">
      <c r="A23405" s="740"/>
    </row>
    <row r="23406" ht="14.25" customHeight="1">
      <c r="A23406" s="740"/>
    </row>
    <row r="23407" ht="14.25" customHeight="1">
      <c r="A23407" s="740"/>
    </row>
    <row r="23408" ht="14.25" customHeight="1">
      <c r="A23408" s="740"/>
    </row>
    <row r="23409" ht="14.25" customHeight="1">
      <c r="A23409" s="740"/>
    </row>
    <row r="23410" ht="14.25" customHeight="1">
      <c r="A23410" s="740"/>
    </row>
    <row r="23411" ht="14.25" customHeight="1">
      <c r="A23411" s="740"/>
    </row>
    <row r="23412" ht="14.25" customHeight="1">
      <c r="A23412" s="740"/>
    </row>
    <row r="23413" ht="14.25" customHeight="1">
      <c r="A23413" s="740"/>
    </row>
    <row r="23414" ht="14.25" customHeight="1">
      <c r="A23414" s="740"/>
    </row>
    <row r="23415" ht="14.25" customHeight="1">
      <c r="A23415" s="740"/>
    </row>
    <row r="23416" ht="14.25" customHeight="1">
      <c r="A23416" s="740"/>
    </row>
    <row r="23417" ht="14.25" customHeight="1">
      <c r="A23417" s="740"/>
    </row>
    <row r="23418" ht="14.25" customHeight="1">
      <c r="A23418" s="740"/>
    </row>
    <row r="23419" ht="14.25" customHeight="1">
      <c r="A23419" s="740"/>
    </row>
    <row r="23420" ht="14.25" customHeight="1">
      <c r="A23420" s="740"/>
    </row>
    <row r="23421" ht="14.25" customHeight="1">
      <c r="A23421" s="740"/>
    </row>
    <row r="23422" ht="14.25" customHeight="1">
      <c r="A23422" s="740"/>
    </row>
    <row r="23423" ht="14.25" customHeight="1">
      <c r="A23423" s="740"/>
    </row>
    <row r="23424" ht="14.25" customHeight="1">
      <c r="A23424" s="740"/>
    </row>
    <row r="23425" ht="14.25" customHeight="1">
      <c r="A23425" s="740"/>
    </row>
    <row r="23426" ht="14.25" customHeight="1">
      <c r="A23426" s="740"/>
    </row>
    <row r="23427" ht="14.25" customHeight="1">
      <c r="A23427" s="740"/>
    </row>
    <row r="23428" ht="14.25" customHeight="1">
      <c r="A23428" s="740"/>
    </row>
    <row r="23429" ht="14.25" customHeight="1">
      <c r="A23429" s="740"/>
    </row>
    <row r="23430" ht="14.25" customHeight="1">
      <c r="A23430" s="740"/>
    </row>
    <row r="23431" ht="14.25" customHeight="1">
      <c r="A23431" s="740"/>
    </row>
    <row r="23432" ht="14.25" customHeight="1">
      <c r="A23432" s="740"/>
    </row>
    <row r="23433" ht="14.25" customHeight="1">
      <c r="A23433" s="740"/>
    </row>
    <row r="23434" ht="14.25" customHeight="1">
      <c r="A23434" s="740"/>
    </row>
    <row r="23435" ht="14.25" customHeight="1">
      <c r="A23435" s="740"/>
    </row>
    <row r="23436" ht="14.25" customHeight="1">
      <c r="A23436" s="740"/>
    </row>
    <row r="23437" ht="14.25" customHeight="1">
      <c r="A23437" s="740"/>
    </row>
    <row r="23438" ht="14.25" customHeight="1">
      <c r="A23438" s="740"/>
    </row>
    <row r="23439" ht="14.25" customHeight="1">
      <c r="A23439" s="740"/>
    </row>
    <row r="23440" ht="14.25" customHeight="1">
      <c r="A23440" s="740"/>
    </row>
    <row r="23441" ht="14.25" customHeight="1">
      <c r="A23441" s="740"/>
    </row>
    <row r="23442" ht="14.25" customHeight="1">
      <c r="A23442" s="740"/>
    </row>
    <row r="23443" ht="14.25" customHeight="1">
      <c r="A23443" s="740"/>
    </row>
    <row r="23444" ht="14.25" customHeight="1">
      <c r="A23444" s="740"/>
    </row>
    <row r="23445" ht="14.25" customHeight="1">
      <c r="A23445" s="740"/>
    </row>
    <row r="23446" ht="14.25" customHeight="1">
      <c r="A23446" s="740"/>
    </row>
    <row r="23447" ht="14.25" customHeight="1">
      <c r="A23447" s="740"/>
    </row>
    <row r="23448" ht="14.25" customHeight="1">
      <c r="A23448" s="740"/>
    </row>
    <row r="23449" ht="14.25" customHeight="1">
      <c r="A23449" s="740"/>
    </row>
    <row r="23450" ht="14.25" customHeight="1">
      <c r="A23450" s="740"/>
    </row>
    <row r="23451" ht="14.25" customHeight="1">
      <c r="A23451" s="740"/>
    </row>
    <row r="23452" ht="14.25" customHeight="1">
      <c r="A23452" s="740"/>
    </row>
    <row r="23453" ht="14.25" customHeight="1">
      <c r="A23453" s="740"/>
    </row>
    <row r="23454" ht="14.25" customHeight="1">
      <c r="A23454" s="740"/>
    </row>
    <row r="23455" ht="14.25" customHeight="1">
      <c r="A23455" s="740"/>
    </row>
    <row r="23456" ht="14.25" customHeight="1">
      <c r="A23456" s="740"/>
    </row>
    <row r="23457" ht="14.25" customHeight="1">
      <c r="A23457" s="740"/>
    </row>
    <row r="23458" ht="14.25" customHeight="1">
      <c r="A23458" s="740"/>
    </row>
    <row r="23459" ht="14.25" customHeight="1">
      <c r="A23459" s="740"/>
    </row>
    <row r="23460" ht="14.25" customHeight="1">
      <c r="A23460" s="740"/>
    </row>
    <row r="23461" ht="14.25" customHeight="1">
      <c r="A23461" s="740"/>
    </row>
    <row r="23462" ht="14.25" customHeight="1">
      <c r="A23462" s="740"/>
    </row>
    <row r="23463" ht="14.25" customHeight="1">
      <c r="A23463" s="740"/>
    </row>
    <row r="23464" ht="14.25" customHeight="1">
      <c r="A23464" s="740"/>
    </row>
    <row r="23465" ht="14.25" customHeight="1">
      <c r="A23465" s="740"/>
    </row>
    <row r="23466" ht="14.25" customHeight="1">
      <c r="A23466" s="740"/>
    </row>
    <row r="23467" ht="14.25" customHeight="1">
      <c r="A23467" s="740"/>
    </row>
    <row r="23468" ht="14.25" customHeight="1">
      <c r="A23468" s="740"/>
    </row>
    <row r="23469" ht="14.25" customHeight="1">
      <c r="A23469" s="740"/>
    </row>
    <row r="23470" ht="14.25" customHeight="1">
      <c r="A23470" s="740"/>
    </row>
    <row r="23471" ht="14.25" customHeight="1">
      <c r="A23471" s="740"/>
    </row>
    <row r="23472" ht="14.25" customHeight="1">
      <c r="A23472" s="740"/>
    </row>
    <row r="23473" ht="14.25" customHeight="1">
      <c r="A23473" s="740"/>
    </row>
    <row r="23474" ht="14.25" customHeight="1">
      <c r="A23474" s="740"/>
    </row>
    <row r="23475" ht="14.25" customHeight="1">
      <c r="A23475" s="740"/>
    </row>
    <row r="23476" ht="14.25" customHeight="1">
      <c r="A23476" s="740"/>
    </row>
    <row r="23477" ht="14.25" customHeight="1">
      <c r="A23477" s="740"/>
    </row>
    <row r="23478" ht="14.25" customHeight="1">
      <c r="A23478" s="740"/>
    </row>
    <row r="23479" ht="14.25" customHeight="1">
      <c r="A23479" s="740"/>
    </row>
    <row r="23480" ht="14.25" customHeight="1">
      <c r="A23480" s="740"/>
    </row>
    <row r="23481" ht="14.25" customHeight="1">
      <c r="A23481" s="740"/>
    </row>
    <row r="23482" ht="14.25" customHeight="1">
      <c r="A23482" s="740"/>
    </row>
    <row r="23483" ht="14.25" customHeight="1">
      <c r="A23483" s="740"/>
    </row>
    <row r="23484" ht="14.25" customHeight="1">
      <c r="A23484" s="740"/>
    </row>
    <row r="23485" ht="14.25" customHeight="1">
      <c r="A23485" s="740"/>
    </row>
    <row r="23486" ht="14.25" customHeight="1">
      <c r="A23486" s="740"/>
    </row>
    <row r="23487" ht="14.25" customHeight="1">
      <c r="A23487" s="740"/>
    </row>
    <row r="23488" ht="14.25" customHeight="1">
      <c r="A23488" s="740"/>
    </row>
    <row r="23489" ht="14.25" customHeight="1">
      <c r="A23489" s="740"/>
    </row>
    <row r="23490" ht="14.25" customHeight="1">
      <c r="A23490" s="740"/>
    </row>
    <row r="23491" ht="14.25" customHeight="1">
      <c r="A23491" s="740"/>
    </row>
    <row r="23492" ht="14.25" customHeight="1">
      <c r="A23492" s="740"/>
    </row>
    <row r="23493" ht="14.25" customHeight="1">
      <c r="A23493" s="740"/>
    </row>
    <row r="23494" ht="14.25" customHeight="1">
      <c r="A23494" s="740"/>
    </row>
    <row r="23495" ht="14.25" customHeight="1">
      <c r="A23495" s="740"/>
    </row>
    <row r="23496" ht="14.25" customHeight="1">
      <c r="A23496" s="740"/>
    </row>
    <row r="23497" ht="14.25" customHeight="1">
      <c r="A23497" s="740"/>
    </row>
    <row r="23498" ht="14.25" customHeight="1">
      <c r="A23498" s="740"/>
    </row>
    <row r="23499" ht="14.25" customHeight="1">
      <c r="A23499" s="740"/>
    </row>
    <row r="23500" ht="14.25" customHeight="1">
      <c r="A23500" s="740"/>
    </row>
    <row r="23501" ht="14.25" customHeight="1">
      <c r="A23501" s="740"/>
    </row>
    <row r="23502" ht="14.25" customHeight="1">
      <c r="A23502" s="740"/>
    </row>
    <row r="23503" ht="14.25" customHeight="1">
      <c r="A23503" s="740"/>
    </row>
    <row r="23504" ht="14.25" customHeight="1">
      <c r="A23504" s="740"/>
    </row>
    <row r="23505" ht="14.25" customHeight="1">
      <c r="A23505" s="740"/>
    </row>
    <row r="23506" ht="14.25" customHeight="1">
      <c r="A23506" s="740"/>
    </row>
    <row r="23507" ht="14.25" customHeight="1">
      <c r="A23507" s="740"/>
    </row>
    <row r="23508" ht="14.25" customHeight="1">
      <c r="A23508" s="740"/>
    </row>
    <row r="23509" ht="14.25" customHeight="1">
      <c r="A23509" s="740"/>
    </row>
    <row r="23510" ht="14.25" customHeight="1">
      <c r="A23510" s="740"/>
    </row>
    <row r="23511" ht="14.25" customHeight="1">
      <c r="A23511" s="740"/>
    </row>
    <row r="23512" ht="14.25" customHeight="1">
      <c r="A23512" s="740"/>
    </row>
    <row r="23513" ht="14.25" customHeight="1">
      <c r="A23513" s="740"/>
    </row>
    <row r="23514" ht="14.25" customHeight="1">
      <c r="A23514" s="740"/>
    </row>
    <row r="23515" ht="14.25" customHeight="1">
      <c r="A23515" s="740"/>
    </row>
    <row r="23516" ht="14.25" customHeight="1">
      <c r="A23516" s="740"/>
    </row>
    <row r="23517" ht="14.25" customHeight="1">
      <c r="A23517" s="740"/>
    </row>
    <row r="23518" ht="14.25" customHeight="1">
      <c r="A23518" s="740"/>
    </row>
    <row r="23519" ht="14.25" customHeight="1">
      <c r="A23519" s="740"/>
    </row>
    <row r="23520" ht="14.25" customHeight="1">
      <c r="A23520" s="740"/>
    </row>
    <row r="23521" ht="14.25" customHeight="1">
      <c r="A23521" s="740"/>
    </row>
    <row r="23522" ht="14.25" customHeight="1">
      <c r="A23522" s="740"/>
    </row>
    <row r="23523" ht="14.25" customHeight="1">
      <c r="A23523" s="740"/>
    </row>
    <row r="23524" ht="14.25" customHeight="1">
      <c r="A23524" s="740"/>
    </row>
    <row r="23525" ht="14.25" customHeight="1">
      <c r="A23525" s="740"/>
    </row>
    <row r="23526" ht="14.25" customHeight="1">
      <c r="A23526" s="740"/>
    </row>
    <row r="23527" ht="14.25" customHeight="1">
      <c r="A23527" s="740"/>
    </row>
    <row r="23528" ht="14.25" customHeight="1">
      <c r="A23528" s="740"/>
    </row>
    <row r="23529" ht="14.25" customHeight="1">
      <c r="A23529" s="740"/>
    </row>
    <row r="23530" ht="14.25" customHeight="1">
      <c r="A23530" s="740"/>
    </row>
    <row r="23531" ht="14.25" customHeight="1">
      <c r="A23531" s="740"/>
    </row>
    <row r="23532" ht="14.25" customHeight="1">
      <c r="A23532" s="740"/>
    </row>
    <row r="23533" ht="14.25" customHeight="1">
      <c r="A23533" s="740"/>
    </row>
    <row r="23534" ht="14.25" customHeight="1">
      <c r="A23534" s="740"/>
    </row>
    <row r="23535" ht="14.25" customHeight="1">
      <c r="A23535" s="740"/>
    </row>
    <row r="23536" ht="14.25" customHeight="1">
      <c r="A23536" s="740"/>
    </row>
    <row r="23537" ht="14.25" customHeight="1">
      <c r="A23537" s="740"/>
    </row>
    <row r="23538" ht="14.25" customHeight="1">
      <c r="A23538" s="740"/>
    </row>
    <row r="23539" ht="14.25" customHeight="1">
      <c r="A23539" s="740"/>
    </row>
    <row r="23540" ht="14.25" customHeight="1">
      <c r="A23540" s="740"/>
    </row>
    <row r="23541" ht="14.25" customHeight="1">
      <c r="A23541" s="740"/>
    </row>
    <row r="23542" ht="14.25" customHeight="1">
      <c r="A23542" s="740"/>
    </row>
    <row r="23543" ht="14.25" customHeight="1">
      <c r="A23543" s="740"/>
    </row>
    <row r="23544" ht="14.25" customHeight="1">
      <c r="A23544" s="740"/>
    </row>
    <row r="23545" ht="14.25" customHeight="1">
      <c r="A23545" s="740"/>
    </row>
    <row r="23546" ht="14.25" customHeight="1">
      <c r="A23546" s="740"/>
    </row>
    <row r="23547" ht="14.25" customHeight="1">
      <c r="A23547" s="740"/>
    </row>
    <row r="23548" ht="14.25" customHeight="1">
      <c r="A23548" s="740"/>
    </row>
    <row r="23549" ht="14.25" customHeight="1">
      <c r="A23549" s="740"/>
    </row>
    <row r="23550" ht="14.25" customHeight="1">
      <c r="A23550" s="740"/>
    </row>
    <row r="23551" ht="14.25" customHeight="1">
      <c r="A23551" s="740"/>
    </row>
    <row r="23552" ht="14.25" customHeight="1">
      <c r="A23552" s="740"/>
    </row>
    <row r="23553" ht="14.25" customHeight="1">
      <c r="A23553" s="740"/>
    </row>
    <row r="23554" ht="14.25" customHeight="1">
      <c r="A23554" s="740"/>
    </row>
    <row r="23555" ht="14.25" customHeight="1">
      <c r="A23555" s="740"/>
    </row>
    <row r="23556" ht="14.25" customHeight="1">
      <c r="A23556" s="740"/>
    </row>
    <row r="23557" ht="14.25" customHeight="1">
      <c r="A23557" s="740"/>
    </row>
    <row r="23558" ht="14.25" customHeight="1">
      <c r="A23558" s="740"/>
    </row>
    <row r="23559" ht="14.25" customHeight="1">
      <c r="A23559" s="740"/>
    </row>
    <row r="23560" ht="14.25" customHeight="1">
      <c r="A23560" s="740"/>
    </row>
    <row r="23561" ht="14.25" customHeight="1">
      <c r="A23561" s="740"/>
    </row>
    <row r="23562" ht="14.25" customHeight="1">
      <c r="A23562" s="740"/>
    </row>
    <row r="23563" ht="14.25" customHeight="1">
      <c r="A23563" s="740"/>
    </row>
    <row r="23564" ht="14.25" customHeight="1">
      <c r="A23564" s="740"/>
    </row>
    <row r="23565" ht="14.25" customHeight="1">
      <c r="A23565" s="740"/>
    </row>
    <row r="23566" ht="14.25" customHeight="1">
      <c r="A23566" s="740"/>
    </row>
    <row r="23567" ht="14.25" customHeight="1">
      <c r="A23567" s="740"/>
    </row>
    <row r="23568" ht="14.25" customHeight="1">
      <c r="A23568" s="740"/>
    </row>
    <row r="23569" ht="14.25" customHeight="1">
      <c r="A23569" s="740"/>
    </row>
    <row r="23570" ht="14.25" customHeight="1">
      <c r="A23570" s="740"/>
    </row>
    <row r="23571" ht="14.25" customHeight="1">
      <c r="A23571" s="740"/>
    </row>
    <row r="23572" ht="14.25" customHeight="1">
      <c r="A23572" s="740"/>
    </row>
    <row r="23573" ht="14.25" customHeight="1">
      <c r="A23573" s="740"/>
    </row>
    <row r="23574" ht="14.25" customHeight="1">
      <c r="A23574" s="740"/>
    </row>
    <row r="23575" ht="14.25" customHeight="1">
      <c r="A23575" s="740"/>
    </row>
    <row r="23576" ht="14.25" customHeight="1">
      <c r="A23576" s="740"/>
    </row>
    <row r="23577" ht="14.25" customHeight="1">
      <c r="A23577" s="740"/>
    </row>
    <row r="23578" ht="14.25" customHeight="1">
      <c r="A23578" s="740"/>
    </row>
    <row r="23579" ht="14.25" customHeight="1">
      <c r="A23579" s="740"/>
    </row>
    <row r="23580" ht="14.25" customHeight="1">
      <c r="A23580" s="740"/>
    </row>
    <row r="23581" ht="14.25" customHeight="1">
      <c r="A23581" s="740"/>
    </row>
    <row r="23582" ht="14.25" customHeight="1">
      <c r="A23582" s="740"/>
    </row>
    <row r="23583" ht="14.25" customHeight="1">
      <c r="A23583" s="740"/>
    </row>
    <row r="23584" ht="14.25" customHeight="1">
      <c r="A23584" s="740"/>
    </row>
    <row r="23585" ht="14.25" customHeight="1">
      <c r="A23585" s="740"/>
    </row>
    <row r="23586" ht="14.25" customHeight="1">
      <c r="A23586" s="740"/>
    </row>
    <row r="23587" ht="14.25" customHeight="1">
      <c r="A23587" s="740"/>
    </row>
    <row r="23588" ht="14.25" customHeight="1">
      <c r="A23588" s="740"/>
    </row>
    <row r="23589" ht="14.25" customHeight="1">
      <c r="A23589" s="740"/>
    </row>
    <row r="23590" ht="14.25" customHeight="1">
      <c r="A23590" s="740"/>
    </row>
    <row r="23591" ht="14.25" customHeight="1">
      <c r="A23591" s="740"/>
    </row>
    <row r="23592" ht="14.25" customHeight="1">
      <c r="A23592" s="740"/>
    </row>
    <row r="23593" ht="14.25" customHeight="1">
      <c r="A23593" s="740"/>
    </row>
    <row r="23594" ht="14.25" customHeight="1">
      <c r="A23594" s="740"/>
    </row>
    <row r="23595" ht="14.25" customHeight="1">
      <c r="A23595" s="740"/>
    </row>
    <row r="23596" ht="14.25" customHeight="1">
      <c r="A23596" s="740"/>
    </row>
    <row r="23597" ht="14.25" customHeight="1">
      <c r="A23597" s="740"/>
    </row>
    <row r="23598" ht="14.25" customHeight="1">
      <c r="A23598" s="740"/>
    </row>
    <row r="23599" ht="14.25" customHeight="1">
      <c r="A23599" s="740"/>
    </row>
    <row r="23600" ht="14.25" customHeight="1">
      <c r="A23600" s="740"/>
    </row>
    <row r="23601" ht="14.25" customHeight="1">
      <c r="A23601" s="740"/>
    </row>
    <row r="23602" ht="14.25" customHeight="1">
      <c r="A23602" s="740"/>
    </row>
    <row r="23603" ht="14.25" customHeight="1">
      <c r="A23603" s="740"/>
    </row>
    <row r="23604" ht="14.25" customHeight="1">
      <c r="A23604" s="740"/>
    </row>
    <row r="23605" ht="14.25" customHeight="1">
      <c r="A23605" s="740"/>
    </row>
    <row r="23606" ht="14.25" customHeight="1">
      <c r="A23606" s="740"/>
    </row>
    <row r="23607" ht="14.25" customHeight="1">
      <c r="A23607" s="740"/>
    </row>
    <row r="23608" ht="14.25" customHeight="1">
      <c r="A23608" s="740"/>
    </row>
    <row r="23609" ht="14.25" customHeight="1">
      <c r="A23609" s="740"/>
    </row>
    <row r="23610" ht="14.25" customHeight="1">
      <c r="A23610" s="740"/>
    </row>
    <row r="23611" ht="14.25" customHeight="1">
      <c r="A23611" s="740"/>
    </row>
    <row r="23612" ht="14.25" customHeight="1">
      <c r="A23612" s="740"/>
    </row>
    <row r="23613" ht="14.25" customHeight="1">
      <c r="A23613" s="740"/>
    </row>
    <row r="23614" ht="14.25" customHeight="1">
      <c r="A23614" s="740"/>
    </row>
    <row r="23615" ht="14.25" customHeight="1">
      <c r="A23615" s="740"/>
    </row>
    <row r="23616" ht="14.25" customHeight="1">
      <c r="A23616" s="740"/>
    </row>
    <row r="23617" ht="14.25" customHeight="1">
      <c r="A23617" s="740"/>
    </row>
    <row r="23618" ht="14.25" customHeight="1">
      <c r="A23618" s="740"/>
    </row>
    <row r="23619" ht="14.25" customHeight="1">
      <c r="A23619" s="740"/>
    </row>
    <row r="23620" ht="14.25" customHeight="1">
      <c r="A23620" s="740"/>
    </row>
    <row r="23621" ht="14.25" customHeight="1">
      <c r="A23621" s="740"/>
    </row>
    <row r="23622" ht="14.25" customHeight="1">
      <c r="A23622" s="740"/>
    </row>
    <row r="23623" ht="14.25" customHeight="1">
      <c r="A23623" s="740"/>
    </row>
    <row r="23624" ht="14.25" customHeight="1">
      <c r="A23624" s="740"/>
    </row>
    <row r="23625" ht="14.25" customHeight="1">
      <c r="A23625" s="740"/>
    </row>
    <row r="23626" ht="14.25" customHeight="1">
      <c r="A23626" s="740"/>
    </row>
    <row r="23627" ht="14.25" customHeight="1">
      <c r="A23627" s="740"/>
    </row>
    <row r="23628" ht="14.25" customHeight="1">
      <c r="A23628" s="740"/>
    </row>
    <row r="23629" ht="14.25" customHeight="1">
      <c r="A23629" s="740"/>
    </row>
    <row r="23630" ht="14.25" customHeight="1">
      <c r="A23630" s="740"/>
    </row>
    <row r="23631" ht="14.25" customHeight="1">
      <c r="A23631" s="740"/>
    </row>
    <row r="23632" ht="14.25" customHeight="1">
      <c r="A23632" s="740"/>
    </row>
    <row r="23633" ht="14.25" customHeight="1">
      <c r="A23633" s="740"/>
    </row>
    <row r="23634" ht="14.25" customHeight="1">
      <c r="A23634" s="740"/>
    </row>
    <row r="23635" ht="14.25" customHeight="1">
      <c r="A23635" s="740"/>
    </row>
    <row r="23636" ht="14.25" customHeight="1">
      <c r="A23636" s="740"/>
    </row>
    <row r="23637" ht="14.25" customHeight="1">
      <c r="A23637" s="740"/>
    </row>
    <row r="23638" ht="14.25" customHeight="1">
      <c r="A23638" s="740"/>
    </row>
    <row r="23639" ht="14.25" customHeight="1">
      <c r="A23639" s="740"/>
    </row>
    <row r="23640" ht="14.25" customHeight="1">
      <c r="A23640" s="740"/>
    </row>
    <row r="23641" ht="14.25" customHeight="1">
      <c r="A23641" s="740"/>
    </row>
    <row r="23642" ht="14.25" customHeight="1">
      <c r="A23642" s="740"/>
    </row>
    <row r="23643" ht="14.25" customHeight="1">
      <c r="A23643" s="740"/>
    </row>
    <row r="23644" ht="14.25" customHeight="1">
      <c r="A23644" s="740"/>
    </row>
    <row r="23645" ht="14.25" customHeight="1">
      <c r="A23645" s="740"/>
    </row>
    <row r="23646" ht="14.25" customHeight="1">
      <c r="A23646" s="740"/>
    </row>
    <row r="23647" ht="14.25" customHeight="1">
      <c r="A23647" s="740"/>
    </row>
    <row r="23648" ht="14.25" customHeight="1">
      <c r="A23648" s="740"/>
    </row>
    <row r="23649" ht="14.25" customHeight="1">
      <c r="A23649" s="740"/>
    </row>
    <row r="23650" ht="14.25" customHeight="1">
      <c r="A23650" s="740"/>
    </row>
    <row r="23651" ht="14.25" customHeight="1">
      <c r="A23651" s="740"/>
    </row>
    <row r="23652" ht="14.25" customHeight="1">
      <c r="A23652" s="740"/>
    </row>
    <row r="23653" ht="14.25" customHeight="1">
      <c r="A23653" s="740"/>
    </row>
    <row r="23654" ht="14.25" customHeight="1">
      <c r="A23654" s="740"/>
    </row>
    <row r="23655" ht="14.25" customHeight="1">
      <c r="A23655" s="740"/>
    </row>
    <row r="23656" ht="14.25" customHeight="1">
      <c r="A23656" s="740"/>
    </row>
    <row r="23657" ht="14.25" customHeight="1">
      <c r="A23657" s="740"/>
    </row>
    <row r="23658" ht="14.25" customHeight="1">
      <c r="A23658" s="740"/>
    </row>
    <row r="23659" ht="14.25" customHeight="1">
      <c r="A23659" s="740"/>
    </row>
    <row r="23660" ht="14.25" customHeight="1">
      <c r="A23660" s="740"/>
    </row>
    <row r="23661" ht="14.25" customHeight="1">
      <c r="A23661" s="740"/>
    </row>
    <row r="23662" ht="14.25" customHeight="1">
      <c r="A23662" s="740"/>
    </row>
    <row r="23663" ht="14.25" customHeight="1">
      <c r="A23663" s="740"/>
    </row>
    <row r="23664" ht="14.25" customHeight="1">
      <c r="A23664" s="740"/>
    </row>
    <row r="23665" ht="14.25" customHeight="1">
      <c r="A23665" s="740"/>
    </row>
    <row r="23666" ht="14.25" customHeight="1">
      <c r="A23666" s="740"/>
    </row>
    <row r="23667" ht="14.25" customHeight="1">
      <c r="A23667" s="740"/>
    </row>
    <row r="23668" ht="14.25" customHeight="1">
      <c r="A23668" s="740"/>
    </row>
    <row r="23669" ht="14.25" customHeight="1">
      <c r="A23669" s="740"/>
    </row>
    <row r="23670" ht="14.25" customHeight="1">
      <c r="A23670" s="740"/>
    </row>
    <row r="23671" ht="14.25" customHeight="1">
      <c r="A23671" s="740"/>
    </row>
    <row r="23672" ht="14.25" customHeight="1">
      <c r="A23672" s="740"/>
    </row>
    <row r="23673" ht="14.25" customHeight="1">
      <c r="A23673" s="740"/>
    </row>
    <row r="23674" ht="14.25" customHeight="1">
      <c r="A23674" s="740"/>
    </row>
    <row r="23675" ht="14.25" customHeight="1">
      <c r="A23675" s="740"/>
    </row>
    <row r="23676" ht="14.25" customHeight="1">
      <c r="A23676" s="740"/>
    </row>
    <row r="23677" ht="14.25" customHeight="1">
      <c r="A23677" s="740"/>
    </row>
    <row r="23678" ht="14.25" customHeight="1">
      <c r="A23678" s="740"/>
    </row>
    <row r="23679" ht="14.25" customHeight="1">
      <c r="A23679" s="740"/>
    </row>
    <row r="23680" ht="14.25" customHeight="1">
      <c r="A23680" s="740"/>
    </row>
    <row r="23681" ht="14.25" customHeight="1">
      <c r="A23681" s="740"/>
    </row>
    <row r="23682" ht="14.25" customHeight="1">
      <c r="A23682" s="740"/>
    </row>
    <row r="23683" ht="14.25" customHeight="1">
      <c r="A23683" s="740"/>
    </row>
    <row r="23684" ht="14.25" customHeight="1">
      <c r="A23684" s="740"/>
    </row>
    <row r="23685" ht="14.25" customHeight="1">
      <c r="A23685" s="740"/>
    </row>
    <row r="23686" ht="14.25" customHeight="1">
      <c r="A23686" s="740"/>
    </row>
    <row r="23687" ht="14.25" customHeight="1">
      <c r="A23687" s="740"/>
    </row>
    <row r="23688" ht="14.25" customHeight="1">
      <c r="A23688" s="740"/>
    </row>
    <row r="23689" ht="14.25" customHeight="1">
      <c r="A23689" s="740"/>
    </row>
    <row r="23690" ht="14.25" customHeight="1">
      <c r="A23690" s="740"/>
    </row>
    <row r="23691" ht="14.25" customHeight="1">
      <c r="A23691" s="740"/>
    </row>
    <row r="23692" ht="14.25" customHeight="1">
      <c r="A23692" s="740"/>
    </row>
    <row r="23693" ht="14.25" customHeight="1">
      <c r="A23693" s="740"/>
    </row>
    <row r="23694" ht="14.25" customHeight="1">
      <c r="A23694" s="740"/>
    </row>
    <row r="23695" ht="14.25" customHeight="1">
      <c r="A23695" s="740"/>
    </row>
    <row r="23696" ht="14.25" customHeight="1">
      <c r="A23696" s="740"/>
    </row>
    <row r="23697" ht="14.25" customHeight="1">
      <c r="A23697" s="740"/>
    </row>
    <row r="23698" ht="14.25" customHeight="1">
      <c r="A23698" s="740"/>
    </row>
    <row r="23699" ht="14.25" customHeight="1">
      <c r="A23699" s="740"/>
    </row>
    <row r="23700" ht="14.25" customHeight="1">
      <c r="A23700" s="740"/>
    </row>
    <row r="23701" ht="14.25" customHeight="1">
      <c r="A23701" s="740"/>
    </row>
    <row r="23702" ht="14.25" customHeight="1">
      <c r="A23702" s="740"/>
    </row>
    <row r="23703" ht="14.25" customHeight="1">
      <c r="A23703" s="740"/>
    </row>
    <row r="23704" ht="14.25" customHeight="1">
      <c r="A23704" s="740"/>
    </row>
    <row r="23705" ht="14.25" customHeight="1">
      <c r="A23705" s="740"/>
    </row>
    <row r="23706" ht="14.25" customHeight="1">
      <c r="A23706" s="740"/>
    </row>
    <row r="23707" ht="14.25" customHeight="1">
      <c r="A23707" s="740"/>
    </row>
    <row r="23708" ht="14.25" customHeight="1">
      <c r="A23708" s="740"/>
    </row>
    <row r="23709" ht="14.25" customHeight="1">
      <c r="A23709" s="740"/>
    </row>
    <row r="23710" ht="14.25" customHeight="1">
      <c r="A23710" s="740"/>
    </row>
    <row r="23711" ht="14.25" customHeight="1">
      <c r="A23711" s="740"/>
    </row>
    <row r="23712" ht="14.25" customHeight="1">
      <c r="A23712" s="740"/>
    </row>
    <row r="23713" ht="14.25" customHeight="1">
      <c r="A23713" s="740"/>
    </row>
    <row r="23714" ht="14.25" customHeight="1">
      <c r="A23714" s="740"/>
    </row>
    <row r="23715" ht="14.25" customHeight="1">
      <c r="A23715" s="740"/>
    </row>
    <row r="23716" ht="14.25" customHeight="1">
      <c r="A23716" s="740"/>
    </row>
    <row r="23717" ht="14.25" customHeight="1">
      <c r="A23717" s="740"/>
    </row>
    <row r="23718" ht="14.25" customHeight="1">
      <c r="A23718" s="740"/>
    </row>
    <row r="23719" ht="14.25" customHeight="1">
      <c r="A23719" s="740"/>
    </row>
    <row r="23720" ht="14.25" customHeight="1">
      <c r="A23720" s="740"/>
    </row>
    <row r="23721" ht="14.25" customHeight="1">
      <c r="A23721" s="740"/>
    </row>
    <row r="23722" ht="14.25" customHeight="1">
      <c r="A23722" s="740"/>
    </row>
    <row r="23723" ht="14.25" customHeight="1">
      <c r="A23723" s="740"/>
    </row>
    <row r="23724" ht="14.25" customHeight="1">
      <c r="A23724" s="740"/>
    </row>
    <row r="23725" ht="14.25" customHeight="1">
      <c r="A23725" s="740"/>
    </row>
    <row r="23726" ht="14.25" customHeight="1">
      <c r="A23726" s="740"/>
    </row>
    <row r="23727" ht="14.25" customHeight="1">
      <c r="A23727" s="740"/>
    </row>
    <row r="23728" ht="14.25" customHeight="1">
      <c r="A23728" s="740"/>
    </row>
    <row r="23729" ht="14.25" customHeight="1">
      <c r="A23729" s="740"/>
    </row>
    <row r="23730" ht="14.25" customHeight="1">
      <c r="A23730" s="740"/>
    </row>
    <row r="23731" ht="14.25" customHeight="1">
      <c r="A23731" s="740"/>
    </row>
    <row r="23732" ht="14.25" customHeight="1">
      <c r="A23732" s="740"/>
    </row>
    <row r="23733" ht="14.25" customHeight="1">
      <c r="A23733" s="740"/>
    </row>
    <row r="23734" ht="14.25" customHeight="1">
      <c r="A23734" s="740"/>
    </row>
    <row r="23735" ht="14.25" customHeight="1">
      <c r="A23735" s="740"/>
    </row>
    <row r="23736" ht="14.25" customHeight="1">
      <c r="A23736" s="740"/>
    </row>
    <row r="23737" ht="14.25" customHeight="1">
      <c r="A23737" s="740"/>
    </row>
    <row r="23738" ht="14.25" customHeight="1">
      <c r="A23738" s="740"/>
    </row>
    <row r="23739" ht="14.25" customHeight="1">
      <c r="A23739" s="740"/>
    </row>
    <row r="23740" ht="14.25" customHeight="1">
      <c r="A23740" s="740"/>
    </row>
    <row r="23741" ht="14.25" customHeight="1">
      <c r="A23741" s="740"/>
    </row>
    <row r="23742" ht="14.25" customHeight="1">
      <c r="A23742" s="740"/>
    </row>
    <row r="23743" ht="14.25" customHeight="1">
      <c r="A23743" s="740"/>
    </row>
    <row r="23744" ht="14.25" customHeight="1">
      <c r="A23744" s="740"/>
    </row>
    <row r="23745" ht="14.25" customHeight="1">
      <c r="A23745" s="740"/>
    </row>
    <row r="23746" ht="14.25" customHeight="1">
      <c r="A23746" s="740"/>
    </row>
    <row r="23747" ht="14.25" customHeight="1">
      <c r="A23747" s="740"/>
    </row>
    <row r="23748" ht="14.25" customHeight="1">
      <c r="A23748" s="740"/>
    </row>
    <row r="23749" ht="14.25" customHeight="1">
      <c r="A23749" s="740"/>
    </row>
    <row r="23750" ht="14.25" customHeight="1">
      <c r="A23750" s="740"/>
    </row>
    <row r="23751" ht="14.25" customHeight="1">
      <c r="A23751" s="740"/>
    </row>
    <row r="23752" ht="14.25" customHeight="1">
      <c r="A23752" s="740"/>
    </row>
    <row r="23753" ht="14.25" customHeight="1">
      <c r="A23753" s="740"/>
    </row>
    <row r="23754" ht="14.25" customHeight="1">
      <c r="A23754" s="740"/>
    </row>
    <row r="23755" ht="14.25" customHeight="1">
      <c r="A23755" s="740"/>
    </row>
    <row r="23756" ht="14.25" customHeight="1">
      <c r="A23756" s="740"/>
    </row>
    <row r="23757" ht="14.25" customHeight="1">
      <c r="A23757" s="740"/>
    </row>
    <row r="23758" ht="14.25" customHeight="1">
      <c r="A23758" s="740"/>
    </row>
    <row r="23759" ht="14.25" customHeight="1">
      <c r="A23759" s="740"/>
    </row>
    <row r="23760" ht="14.25" customHeight="1">
      <c r="A23760" s="740"/>
    </row>
    <row r="23761" ht="14.25" customHeight="1">
      <c r="A23761" s="740"/>
    </row>
    <row r="23762" ht="14.25" customHeight="1">
      <c r="A23762" s="740"/>
    </row>
    <row r="23763" ht="14.25" customHeight="1">
      <c r="A23763" s="740"/>
    </row>
    <row r="23764" ht="14.25" customHeight="1">
      <c r="A23764" s="740"/>
    </row>
    <row r="23765" ht="14.25" customHeight="1">
      <c r="A23765" s="740"/>
    </row>
    <row r="23766" ht="14.25" customHeight="1">
      <c r="A23766" s="740"/>
    </row>
    <row r="23767" ht="14.25" customHeight="1">
      <c r="A23767" s="740"/>
    </row>
    <row r="23768" ht="14.25" customHeight="1">
      <c r="A23768" s="740"/>
    </row>
    <row r="23769" ht="14.25" customHeight="1">
      <c r="A23769" s="740"/>
    </row>
    <row r="23770" ht="14.25" customHeight="1">
      <c r="A23770" s="740"/>
    </row>
    <row r="23771" ht="14.25" customHeight="1">
      <c r="A23771" s="740"/>
    </row>
    <row r="23772" ht="14.25" customHeight="1">
      <c r="A23772" s="740"/>
    </row>
    <row r="23773" ht="14.25" customHeight="1">
      <c r="A23773" s="740"/>
    </row>
    <row r="23774" ht="14.25" customHeight="1">
      <c r="A23774" s="740"/>
    </row>
    <row r="23775" ht="14.25" customHeight="1">
      <c r="A23775" s="740"/>
    </row>
    <row r="23776" ht="14.25" customHeight="1">
      <c r="A23776" s="740"/>
    </row>
    <row r="23777" ht="14.25" customHeight="1">
      <c r="A23777" s="740"/>
    </row>
    <row r="23778" ht="14.25" customHeight="1">
      <c r="A23778" s="740"/>
    </row>
    <row r="23779" ht="14.25" customHeight="1">
      <c r="A23779" s="740"/>
    </row>
    <row r="23780" ht="14.25" customHeight="1">
      <c r="A23780" s="740"/>
    </row>
    <row r="23781" ht="14.25" customHeight="1">
      <c r="A23781" s="740"/>
    </row>
    <row r="23782" ht="14.25" customHeight="1">
      <c r="A23782" s="740"/>
    </row>
    <row r="23783" ht="14.25" customHeight="1">
      <c r="A23783" s="740"/>
    </row>
    <row r="23784" ht="14.25" customHeight="1">
      <c r="A23784" s="740"/>
    </row>
    <row r="23785" ht="14.25" customHeight="1">
      <c r="A23785" s="740"/>
    </row>
    <row r="23786" ht="14.25" customHeight="1">
      <c r="A23786" s="740"/>
    </row>
    <row r="23787" ht="14.25" customHeight="1">
      <c r="A23787" s="740"/>
    </row>
    <row r="23788" ht="14.25" customHeight="1">
      <c r="A23788" s="740"/>
    </row>
    <row r="23789" ht="14.25" customHeight="1">
      <c r="A23789" s="740"/>
    </row>
    <row r="23790" ht="14.25" customHeight="1">
      <c r="A23790" s="740"/>
    </row>
    <row r="23791" ht="14.25" customHeight="1">
      <c r="A23791" s="740"/>
    </row>
    <row r="23792" ht="14.25" customHeight="1">
      <c r="A23792" s="740"/>
    </row>
    <row r="23793" ht="14.25" customHeight="1">
      <c r="A23793" s="740"/>
    </row>
    <row r="23794" ht="14.25" customHeight="1">
      <c r="A23794" s="740"/>
    </row>
    <row r="23795" ht="14.25" customHeight="1">
      <c r="A23795" s="740"/>
    </row>
    <row r="23796" ht="14.25" customHeight="1">
      <c r="A23796" s="740"/>
    </row>
    <row r="23797" ht="14.25" customHeight="1">
      <c r="A23797" s="740"/>
    </row>
    <row r="23798" ht="14.25" customHeight="1">
      <c r="A23798" s="740"/>
    </row>
    <row r="23799" ht="14.25" customHeight="1">
      <c r="A23799" s="740"/>
    </row>
    <row r="23800" ht="14.25" customHeight="1">
      <c r="A23800" s="740"/>
    </row>
    <row r="23801" ht="14.25" customHeight="1">
      <c r="A23801" s="740"/>
    </row>
    <row r="23802" ht="14.25" customHeight="1">
      <c r="A23802" s="740"/>
    </row>
    <row r="23803" ht="14.25" customHeight="1">
      <c r="A23803" s="740"/>
    </row>
    <row r="23804" ht="14.25" customHeight="1">
      <c r="A23804" s="740"/>
    </row>
    <row r="23805" ht="14.25" customHeight="1">
      <c r="A23805" s="740"/>
    </row>
    <row r="23806" ht="14.25" customHeight="1">
      <c r="A23806" s="740"/>
    </row>
    <row r="23807" ht="14.25" customHeight="1">
      <c r="A23807" s="740"/>
    </row>
    <row r="23808" ht="14.25" customHeight="1">
      <c r="A23808" s="740"/>
    </row>
    <row r="23809" ht="14.25" customHeight="1">
      <c r="A23809" s="740"/>
    </row>
    <row r="23810" ht="14.25" customHeight="1">
      <c r="A23810" s="740"/>
    </row>
    <row r="23811" ht="14.25" customHeight="1">
      <c r="A23811" s="740"/>
    </row>
    <row r="23812" ht="14.25" customHeight="1">
      <c r="A23812" s="740"/>
    </row>
    <row r="23813" ht="14.25" customHeight="1">
      <c r="A23813" s="740"/>
    </row>
    <row r="23814" ht="14.25" customHeight="1">
      <c r="A23814" s="740"/>
    </row>
    <row r="23815" ht="14.25" customHeight="1">
      <c r="A23815" s="740"/>
    </row>
    <row r="23816" ht="14.25" customHeight="1">
      <c r="A23816" s="740"/>
    </row>
    <row r="23817" ht="14.25" customHeight="1">
      <c r="A23817" s="740"/>
    </row>
    <row r="23818" ht="14.25" customHeight="1">
      <c r="A23818" s="740"/>
    </row>
    <row r="23819" ht="14.25" customHeight="1">
      <c r="A23819" s="740"/>
    </row>
    <row r="23820" ht="14.25" customHeight="1">
      <c r="A23820" s="740"/>
    </row>
    <row r="23821" ht="14.25" customHeight="1">
      <c r="A23821" s="740"/>
    </row>
    <row r="23822" ht="14.25" customHeight="1">
      <c r="A23822" s="740"/>
    </row>
    <row r="23823" ht="14.25" customHeight="1">
      <c r="A23823" s="740"/>
    </row>
    <row r="23824" ht="14.25" customHeight="1">
      <c r="A23824" s="740"/>
    </row>
    <row r="23825" ht="14.25" customHeight="1">
      <c r="A23825" s="740"/>
    </row>
    <row r="23826" ht="14.25" customHeight="1">
      <c r="A23826" s="740"/>
    </row>
    <row r="23827" ht="14.25" customHeight="1">
      <c r="A23827" s="740"/>
    </row>
    <row r="23828" ht="14.25" customHeight="1">
      <c r="A23828" s="740"/>
    </row>
    <row r="23829" ht="14.25" customHeight="1">
      <c r="A23829" s="740"/>
    </row>
    <row r="23830" ht="14.25" customHeight="1">
      <c r="A23830" s="740"/>
    </row>
    <row r="23831" ht="14.25" customHeight="1">
      <c r="A23831" s="740"/>
    </row>
    <row r="23832" ht="14.25" customHeight="1">
      <c r="A23832" s="740"/>
    </row>
    <row r="23833" ht="14.25" customHeight="1">
      <c r="A23833" s="740"/>
    </row>
    <row r="23834" ht="14.25" customHeight="1">
      <c r="A23834" s="740"/>
    </row>
    <row r="23835" ht="14.25" customHeight="1">
      <c r="A23835" s="740"/>
    </row>
    <row r="23836" ht="14.25" customHeight="1">
      <c r="A23836" s="740"/>
    </row>
    <row r="23837" ht="14.25" customHeight="1">
      <c r="A23837" s="740"/>
    </row>
    <row r="23838" ht="14.25" customHeight="1">
      <c r="A23838" s="740"/>
    </row>
    <row r="23839" ht="14.25" customHeight="1">
      <c r="A23839" s="740"/>
    </row>
    <row r="23840" ht="14.25" customHeight="1">
      <c r="A23840" s="740"/>
    </row>
    <row r="23841" ht="14.25" customHeight="1">
      <c r="A23841" s="740"/>
    </row>
    <row r="23842" ht="14.25" customHeight="1">
      <c r="A23842" s="740"/>
    </row>
    <row r="23843" ht="14.25" customHeight="1">
      <c r="A23843" s="740"/>
    </row>
    <row r="23844" ht="14.25" customHeight="1">
      <c r="A23844" s="740"/>
    </row>
    <row r="23845" ht="14.25" customHeight="1">
      <c r="A23845" s="740"/>
    </row>
    <row r="23846" ht="14.25" customHeight="1">
      <c r="A23846" s="740"/>
    </row>
    <row r="23847" ht="14.25" customHeight="1">
      <c r="A23847" s="740"/>
    </row>
    <row r="23848" ht="14.25" customHeight="1">
      <c r="A23848" s="740"/>
    </row>
    <row r="23849" ht="14.25" customHeight="1">
      <c r="A23849" s="740"/>
    </row>
    <row r="23850" ht="14.25" customHeight="1">
      <c r="A23850" s="740"/>
    </row>
    <row r="23851" ht="14.25" customHeight="1">
      <c r="A23851" s="740"/>
    </row>
    <row r="23852" ht="14.25" customHeight="1">
      <c r="A23852" s="740"/>
    </row>
    <row r="23853" ht="14.25" customHeight="1">
      <c r="A23853" s="740"/>
    </row>
    <row r="23854" ht="14.25" customHeight="1">
      <c r="A23854" s="740"/>
    </row>
    <row r="23855" ht="14.25" customHeight="1">
      <c r="A23855" s="740"/>
    </row>
    <row r="23856" ht="14.25" customHeight="1">
      <c r="A23856" s="740"/>
    </row>
    <row r="23857" ht="14.25" customHeight="1">
      <c r="A23857" s="740"/>
    </row>
    <row r="23858" ht="14.25" customHeight="1">
      <c r="A23858" s="740"/>
    </row>
    <row r="23859" ht="14.25" customHeight="1">
      <c r="A23859" s="740"/>
    </row>
    <row r="23860" ht="14.25" customHeight="1">
      <c r="A23860" s="740"/>
    </row>
    <row r="23861" ht="14.25" customHeight="1">
      <c r="A23861" s="740"/>
    </row>
    <row r="23862" ht="14.25" customHeight="1">
      <c r="A23862" s="740"/>
    </row>
    <row r="23863" ht="14.25" customHeight="1">
      <c r="A23863" s="740"/>
    </row>
    <row r="23864" ht="14.25" customHeight="1">
      <c r="A23864" s="740"/>
    </row>
    <row r="23865" ht="14.25" customHeight="1">
      <c r="A23865" s="740"/>
    </row>
    <row r="23866" ht="14.25" customHeight="1">
      <c r="A23866" s="740"/>
    </row>
    <row r="23867" ht="14.25" customHeight="1">
      <c r="A23867" s="740"/>
    </row>
    <row r="23868" ht="14.25" customHeight="1">
      <c r="A23868" s="740"/>
    </row>
    <row r="23869" ht="14.25" customHeight="1">
      <c r="A23869" s="740"/>
    </row>
    <row r="23870" ht="14.25" customHeight="1">
      <c r="A23870" s="740"/>
    </row>
    <row r="23871" ht="14.25" customHeight="1">
      <c r="A23871" s="740"/>
    </row>
    <row r="23872" ht="14.25" customHeight="1">
      <c r="A23872" s="740"/>
    </row>
    <row r="23873" ht="14.25" customHeight="1">
      <c r="A23873" s="740"/>
    </row>
    <row r="23874" ht="14.25" customHeight="1">
      <c r="A23874" s="740"/>
    </row>
    <row r="23875" ht="14.25" customHeight="1">
      <c r="A23875" s="740"/>
    </row>
    <row r="23876" ht="14.25" customHeight="1">
      <c r="A23876" s="740"/>
    </row>
    <row r="23877" ht="14.25" customHeight="1">
      <c r="A23877" s="740"/>
    </row>
    <row r="23878" ht="14.25" customHeight="1">
      <c r="A23878" s="740"/>
    </row>
    <row r="23879" ht="14.25" customHeight="1">
      <c r="A23879" s="740"/>
    </row>
    <row r="23880" ht="14.25" customHeight="1">
      <c r="A23880" s="740"/>
    </row>
    <row r="23881" ht="14.25" customHeight="1">
      <c r="A23881" s="740"/>
    </row>
    <row r="23882" ht="14.25" customHeight="1">
      <c r="A23882" s="740"/>
    </row>
    <row r="23883" ht="14.25" customHeight="1">
      <c r="A23883" s="740"/>
    </row>
    <row r="23884" ht="14.25" customHeight="1">
      <c r="A23884" s="740"/>
    </row>
    <row r="23885" ht="14.25" customHeight="1">
      <c r="A23885" s="740"/>
    </row>
    <row r="23886" ht="14.25" customHeight="1">
      <c r="A23886" s="740"/>
    </row>
    <row r="23887" ht="14.25" customHeight="1">
      <c r="A23887" s="740"/>
    </row>
    <row r="23888" ht="14.25" customHeight="1">
      <c r="A23888" s="740"/>
    </row>
    <row r="23889" ht="14.25" customHeight="1">
      <c r="A23889" s="740"/>
    </row>
    <row r="23890" ht="14.25" customHeight="1">
      <c r="A23890" s="740"/>
    </row>
    <row r="23891" ht="14.25" customHeight="1">
      <c r="A23891" s="740"/>
    </row>
    <row r="23892" ht="14.25" customHeight="1">
      <c r="A23892" s="740"/>
    </row>
    <row r="23893" ht="14.25" customHeight="1">
      <c r="A23893" s="740"/>
    </row>
    <row r="23894" ht="14.25" customHeight="1">
      <c r="A23894" s="740"/>
    </row>
    <row r="23895" ht="14.25" customHeight="1">
      <c r="A23895" s="740"/>
    </row>
    <row r="23896" ht="14.25" customHeight="1">
      <c r="A23896" s="740"/>
    </row>
    <row r="23897" ht="14.25" customHeight="1">
      <c r="A23897" s="740"/>
    </row>
    <row r="23898" ht="14.25" customHeight="1">
      <c r="A23898" s="740"/>
    </row>
    <row r="23899" ht="14.25" customHeight="1">
      <c r="A23899" s="740"/>
    </row>
    <row r="23900" ht="14.25" customHeight="1">
      <c r="A23900" s="740"/>
    </row>
    <row r="23901" ht="14.25" customHeight="1">
      <c r="A23901" s="740"/>
    </row>
    <row r="23902" ht="14.25" customHeight="1">
      <c r="A23902" s="740"/>
    </row>
    <row r="23903" ht="14.25" customHeight="1">
      <c r="A23903" s="740"/>
    </row>
    <row r="23904" ht="14.25" customHeight="1">
      <c r="A23904" s="740"/>
    </row>
    <row r="23905" ht="14.25" customHeight="1">
      <c r="A23905" s="740"/>
    </row>
    <row r="23906" ht="14.25" customHeight="1">
      <c r="A23906" s="740"/>
    </row>
    <row r="23907" ht="14.25" customHeight="1">
      <c r="A23907" s="740"/>
    </row>
    <row r="23908" ht="14.25" customHeight="1">
      <c r="A23908" s="740"/>
    </row>
    <row r="23909" ht="14.25" customHeight="1">
      <c r="A23909" s="740"/>
    </row>
    <row r="23910" ht="14.25" customHeight="1">
      <c r="A23910" s="740"/>
    </row>
    <row r="23911" ht="14.25" customHeight="1">
      <c r="A23911" s="740"/>
    </row>
    <row r="23912" ht="14.25" customHeight="1">
      <c r="A23912" s="740"/>
    </row>
    <row r="23913" ht="14.25" customHeight="1">
      <c r="A23913" s="740"/>
    </row>
    <row r="23914" ht="14.25" customHeight="1">
      <c r="A23914" s="740"/>
    </row>
    <row r="23915" ht="14.25" customHeight="1">
      <c r="A23915" s="740"/>
    </row>
    <row r="23916" ht="14.25" customHeight="1">
      <c r="A23916" s="740"/>
    </row>
    <row r="23917" ht="14.25" customHeight="1">
      <c r="A23917" s="740"/>
    </row>
    <row r="23918" ht="14.25" customHeight="1">
      <c r="A23918" s="740"/>
    </row>
    <row r="23919" ht="14.25" customHeight="1">
      <c r="A23919" s="740"/>
    </row>
    <row r="23920" ht="14.25" customHeight="1">
      <c r="A23920" s="740"/>
    </row>
    <row r="23921" ht="14.25" customHeight="1">
      <c r="A23921" s="740"/>
    </row>
    <row r="23922" ht="14.25" customHeight="1">
      <c r="A23922" s="740"/>
    </row>
    <row r="23923" ht="14.25" customHeight="1">
      <c r="A23923" s="740"/>
    </row>
    <row r="23924" ht="14.25" customHeight="1">
      <c r="A23924" s="740"/>
    </row>
    <row r="23925" ht="14.25" customHeight="1">
      <c r="A23925" s="740"/>
    </row>
    <row r="23926" ht="14.25" customHeight="1">
      <c r="A23926" s="740"/>
    </row>
    <row r="23927" ht="14.25" customHeight="1">
      <c r="A23927" s="740"/>
    </row>
    <row r="23928" ht="14.25" customHeight="1">
      <c r="A23928" s="740"/>
    </row>
    <row r="23929" ht="14.25" customHeight="1">
      <c r="A23929" s="740"/>
    </row>
    <row r="23930" ht="14.25" customHeight="1">
      <c r="A23930" s="740"/>
    </row>
    <row r="23931" ht="14.25" customHeight="1">
      <c r="A23931" s="740"/>
    </row>
    <row r="23932" ht="14.25" customHeight="1">
      <c r="A23932" s="740"/>
    </row>
    <row r="23933" ht="14.25" customHeight="1">
      <c r="A23933" s="740"/>
    </row>
    <row r="23934" ht="14.25" customHeight="1">
      <c r="A23934" s="740"/>
    </row>
    <row r="23935" ht="14.25" customHeight="1">
      <c r="A23935" s="740"/>
    </row>
    <row r="23936" ht="14.25" customHeight="1">
      <c r="A23936" s="740"/>
    </row>
    <row r="23937" ht="14.25" customHeight="1">
      <c r="A23937" s="740"/>
    </row>
    <row r="23938" ht="14.25" customHeight="1">
      <c r="A23938" s="740"/>
    </row>
    <row r="23939" ht="14.25" customHeight="1">
      <c r="A23939" s="740"/>
    </row>
    <row r="23940" ht="14.25" customHeight="1">
      <c r="A23940" s="740"/>
    </row>
    <row r="23941" ht="14.25" customHeight="1">
      <c r="A23941" s="740"/>
    </row>
    <row r="23942" ht="14.25" customHeight="1">
      <c r="A23942" s="740"/>
    </row>
    <row r="23943" ht="14.25" customHeight="1">
      <c r="A23943" s="740"/>
    </row>
    <row r="23944" ht="14.25" customHeight="1">
      <c r="A23944" s="740"/>
    </row>
    <row r="23945" ht="14.25" customHeight="1">
      <c r="A23945" s="740"/>
    </row>
    <row r="23946" ht="14.25" customHeight="1">
      <c r="A23946" s="740"/>
    </row>
    <row r="23947" ht="14.25" customHeight="1">
      <c r="A23947" s="740"/>
    </row>
    <row r="23948" ht="14.25" customHeight="1">
      <c r="A23948" s="740"/>
    </row>
    <row r="23949" ht="14.25" customHeight="1">
      <c r="A23949" s="740"/>
    </row>
    <row r="23950" ht="14.25" customHeight="1">
      <c r="A23950" s="740"/>
    </row>
    <row r="23951" ht="14.25" customHeight="1">
      <c r="A23951" s="740"/>
    </row>
    <row r="23952" ht="14.25" customHeight="1">
      <c r="A23952" s="740"/>
    </row>
    <row r="23953" ht="14.25" customHeight="1">
      <c r="A23953" s="740"/>
    </row>
    <row r="23954" ht="14.25" customHeight="1">
      <c r="A23954" s="740"/>
    </row>
    <row r="23955" ht="14.25" customHeight="1">
      <c r="A23955" s="740"/>
    </row>
    <row r="23956" ht="14.25" customHeight="1">
      <c r="A23956" s="740"/>
    </row>
    <row r="23957" ht="14.25" customHeight="1">
      <c r="A23957" s="740"/>
    </row>
    <row r="23958" ht="14.25" customHeight="1">
      <c r="A23958" s="740"/>
    </row>
    <row r="23959" ht="14.25" customHeight="1">
      <c r="A23959" s="740"/>
    </row>
    <row r="23960" ht="14.25" customHeight="1">
      <c r="A23960" s="740"/>
    </row>
    <row r="23961" ht="14.25" customHeight="1">
      <c r="A23961" s="740"/>
    </row>
    <row r="23962" ht="14.25" customHeight="1">
      <c r="A23962" s="740"/>
    </row>
    <row r="23963" ht="14.25" customHeight="1">
      <c r="A23963" s="740"/>
    </row>
    <row r="23964" ht="14.25" customHeight="1">
      <c r="A23964" s="740"/>
    </row>
    <row r="23965" ht="14.25" customHeight="1">
      <c r="A23965" s="740"/>
    </row>
    <row r="23966" ht="14.25" customHeight="1">
      <c r="A23966" s="740"/>
    </row>
    <row r="23967" ht="14.25" customHeight="1">
      <c r="A23967" s="740"/>
    </row>
    <row r="23968" ht="14.25" customHeight="1">
      <c r="A23968" s="740"/>
    </row>
    <row r="23969" ht="14.25" customHeight="1">
      <c r="A23969" s="740"/>
    </row>
    <row r="23970" ht="14.25" customHeight="1">
      <c r="A23970" s="740"/>
    </row>
    <row r="23971" ht="14.25" customHeight="1">
      <c r="A23971" s="740"/>
    </row>
    <row r="23972" ht="14.25" customHeight="1">
      <c r="A23972" s="740"/>
    </row>
    <row r="23973" ht="14.25" customHeight="1">
      <c r="A23973" s="740"/>
    </row>
    <row r="23974" ht="14.25" customHeight="1">
      <c r="A23974" s="740"/>
    </row>
    <row r="23975" ht="14.25" customHeight="1">
      <c r="A23975" s="740"/>
    </row>
    <row r="23976" ht="14.25" customHeight="1">
      <c r="A23976" s="740"/>
    </row>
    <row r="23977" ht="14.25" customHeight="1">
      <c r="A23977" s="740"/>
    </row>
    <row r="23978" ht="14.25" customHeight="1">
      <c r="A23978" s="740"/>
    </row>
    <row r="23979" ht="14.25" customHeight="1">
      <c r="A23979" s="740"/>
    </row>
    <row r="23980" ht="14.25" customHeight="1">
      <c r="A23980" s="740"/>
    </row>
    <row r="23981" ht="14.25" customHeight="1">
      <c r="A23981" s="740"/>
    </row>
    <row r="23982" ht="14.25" customHeight="1">
      <c r="A23982" s="740"/>
    </row>
    <row r="23983" ht="14.25" customHeight="1">
      <c r="A23983" s="740"/>
    </row>
    <row r="23984" ht="14.25" customHeight="1">
      <c r="A23984" s="740"/>
    </row>
    <row r="23985" ht="14.25" customHeight="1">
      <c r="A23985" s="740"/>
    </row>
    <row r="23986" ht="14.25" customHeight="1">
      <c r="A23986" s="740"/>
    </row>
    <row r="23987" ht="14.25" customHeight="1">
      <c r="A23987" s="740"/>
    </row>
    <row r="23988" ht="14.25" customHeight="1">
      <c r="A23988" s="740"/>
    </row>
    <row r="23989" ht="14.25" customHeight="1">
      <c r="A23989" s="740"/>
    </row>
    <row r="23990" ht="14.25" customHeight="1">
      <c r="A23990" s="740"/>
    </row>
    <row r="23991" ht="14.25" customHeight="1">
      <c r="A23991" s="740"/>
    </row>
    <row r="23992" ht="14.25" customHeight="1">
      <c r="A23992" s="740"/>
    </row>
    <row r="23993" ht="14.25" customHeight="1">
      <c r="A23993" s="740"/>
    </row>
    <row r="23994" ht="14.25" customHeight="1">
      <c r="A23994" s="740"/>
    </row>
    <row r="23995" ht="14.25" customHeight="1">
      <c r="A23995" s="740"/>
    </row>
    <row r="23996" ht="14.25" customHeight="1">
      <c r="A23996" s="740"/>
    </row>
    <row r="23997" ht="14.25" customHeight="1">
      <c r="A23997" s="740"/>
    </row>
    <row r="23998" ht="14.25" customHeight="1">
      <c r="A23998" s="740"/>
    </row>
    <row r="23999" ht="14.25" customHeight="1">
      <c r="A23999" s="740"/>
    </row>
    <row r="24000" ht="14.25" customHeight="1">
      <c r="A24000" s="740"/>
    </row>
    <row r="24001" ht="14.25" customHeight="1">
      <c r="A24001" s="740"/>
    </row>
    <row r="24002" ht="14.25" customHeight="1">
      <c r="A24002" s="740"/>
    </row>
    <row r="24003" ht="14.25" customHeight="1">
      <c r="A24003" s="740"/>
    </row>
    <row r="24004" ht="14.25" customHeight="1">
      <c r="A24004" s="740"/>
    </row>
    <row r="24005" ht="14.25" customHeight="1">
      <c r="A24005" s="740"/>
    </row>
    <row r="24006" ht="14.25" customHeight="1">
      <c r="A24006" s="740"/>
    </row>
    <row r="24007" ht="14.25" customHeight="1">
      <c r="A24007" s="740"/>
    </row>
    <row r="24008" ht="14.25" customHeight="1">
      <c r="A24008" s="740"/>
    </row>
    <row r="24009" ht="14.25" customHeight="1">
      <c r="A24009" s="740"/>
    </row>
    <row r="24010" ht="14.25" customHeight="1">
      <c r="A24010" s="740"/>
    </row>
    <row r="24011" ht="14.25" customHeight="1">
      <c r="A24011" s="740"/>
    </row>
    <row r="24012" ht="14.25" customHeight="1">
      <c r="A24012" s="740"/>
    </row>
    <row r="24013" ht="14.25" customHeight="1">
      <c r="A24013" s="740"/>
    </row>
    <row r="24014" ht="14.25" customHeight="1">
      <c r="A24014" s="740"/>
    </row>
    <row r="24015" ht="14.25" customHeight="1">
      <c r="A24015" s="740"/>
    </row>
    <row r="24016" ht="14.25" customHeight="1">
      <c r="A24016" s="740"/>
    </row>
    <row r="24017" ht="14.25" customHeight="1">
      <c r="A24017" s="740"/>
    </row>
    <row r="24018" ht="14.25" customHeight="1">
      <c r="A24018" s="740"/>
    </row>
    <row r="24019" ht="14.25" customHeight="1">
      <c r="A24019" s="740"/>
    </row>
    <row r="24020" ht="14.25" customHeight="1">
      <c r="A24020" s="740"/>
    </row>
    <row r="24021" ht="14.25" customHeight="1">
      <c r="A24021" s="740"/>
    </row>
    <row r="24022" ht="14.25" customHeight="1">
      <c r="A24022" s="740"/>
    </row>
    <row r="24023" ht="14.25" customHeight="1">
      <c r="A24023" s="740"/>
    </row>
    <row r="24024" ht="14.25" customHeight="1">
      <c r="A24024" s="740"/>
    </row>
    <row r="24025" ht="14.25" customHeight="1">
      <c r="A24025" s="740"/>
    </row>
    <row r="24026" ht="14.25" customHeight="1">
      <c r="A24026" s="740"/>
    </row>
    <row r="24027" ht="14.25" customHeight="1">
      <c r="A24027" s="740"/>
    </row>
    <row r="24028" ht="14.25" customHeight="1">
      <c r="A24028" s="740"/>
    </row>
    <row r="24029" ht="14.25" customHeight="1">
      <c r="A24029" s="740"/>
    </row>
    <row r="24030" ht="14.25" customHeight="1">
      <c r="A24030" s="740"/>
    </row>
    <row r="24031" ht="14.25" customHeight="1">
      <c r="A24031" s="740"/>
    </row>
    <row r="24032" ht="14.25" customHeight="1">
      <c r="A24032" s="740"/>
    </row>
    <row r="24033" ht="14.25" customHeight="1">
      <c r="A24033" s="740"/>
    </row>
    <row r="24034" ht="14.25" customHeight="1">
      <c r="A24034" s="740"/>
    </row>
    <row r="24035" ht="14.25" customHeight="1">
      <c r="A24035" s="740"/>
    </row>
    <row r="24036" ht="14.25" customHeight="1">
      <c r="A24036" s="740"/>
    </row>
    <row r="24037" ht="14.25" customHeight="1">
      <c r="A24037" s="740"/>
    </row>
    <row r="24038" ht="14.25" customHeight="1">
      <c r="A24038" s="740"/>
    </row>
    <row r="24039" ht="14.25" customHeight="1">
      <c r="A24039" s="740"/>
    </row>
    <row r="24040" ht="14.25" customHeight="1">
      <c r="A24040" s="740"/>
    </row>
    <row r="24041" ht="14.25" customHeight="1">
      <c r="A24041" s="740"/>
    </row>
    <row r="24042" ht="14.25" customHeight="1">
      <c r="A24042" s="740"/>
    </row>
    <row r="24043" ht="14.25" customHeight="1">
      <c r="A24043" s="740"/>
    </row>
    <row r="24044" ht="14.25" customHeight="1">
      <c r="A24044" s="740"/>
    </row>
    <row r="24045" ht="14.25" customHeight="1">
      <c r="A24045" s="740"/>
    </row>
    <row r="24046" ht="14.25" customHeight="1">
      <c r="A24046" s="740"/>
    </row>
    <row r="24047" ht="14.25" customHeight="1">
      <c r="A24047" s="740"/>
    </row>
    <row r="24048" ht="14.25" customHeight="1">
      <c r="A24048" s="740"/>
    </row>
    <row r="24049" ht="14.25" customHeight="1">
      <c r="A24049" s="740"/>
    </row>
    <row r="24050" ht="14.25" customHeight="1">
      <c r="A24050" s="740"/>
    </row>
    <row r="24051" ht="14.25" customHeight="1">
      <c r="A24051" s="740"/>
    </row>
    <row r="24052" ht="14.25" customHeight="1">
      <c r="A24052" s="740"/>
    </row>
    <row r="24053" ht="14.25" customHeight="1">
      <c r="A24053" s="740"/>
    </row>
    <row r="24054" ht="14.25" customHeight="1">
      <c r="A24054" s="740"/>
    </row>
    <row r="24055" ht="14.25" customHeight="1">
      <c r="A24055" s="740"/>
    </row>
    <row r="24056" ht="14.25" customHeight="1">
      <c r="A24056" s="740"/>
    </row>
    <row r="24057" ht="14.25" customHeight="1">
      <c r="A24057" s="740"/>
    </row>
    <row r="24058" ht="14.25" customHeight="1">
      <c r="A24058" s="740"/>
    </row>
    <row r="24059" ht="14.25" customHeight="1">
      <c r="A24059" s="740"/>
    </row>
    <row r="24060" ht="14.25" customHeight="1">
      <c r="A24060" s="740"/>
    </row>
    <row r="24061" ht="14.25" customHeight="1">
      <c r="A24061" s="740"/>
    </row>
    <row r="24062" ht="14.25" customHeight="1">
      <c r="A24062" s="740"/>
    </row>
    <row r="24063" ht="14.25" customHeight="1">
      <c r="A24063" s="740"/>
    </row>
    <row r="24064" ht="14.25" customHeight="1">
      <c r="A24064" s="740"/>
    </row>
    <row r="24065" ht="14.25" customHeight="1">
      <c r="A24065" s="740"/>
    </row>
    <row r="24066" ht="14.25" customHeight="1">
      <c r="A24066" s="740"/>
    </row>
    <row r="24067" ht="14.25" customHeight="1">
      <c r="A24067" s="740"/>
    </row>
    <row r="24068" ht="14.25" customHeight="1">
      <c r="A24068" s="740"/>
    </row>
    <row r="24069" ht="14.25" customHeight="1">
      <c r="A24069" s="740"/>
    </row>
    <row r="24070" ht="14.25" customHeight="1">
      <c r="A24070" s="740"/>
    </row>
    <row r="24071" ht="14.25" customHeight="1">
      <c r="A24071" s="740"/>
    </row>
    <row r="24072" ht="14.25" customHeight="1">
      <c r="A24072" s="740"/>
    </row>
    <row r="24073" ht="14.25" customHeight="1">
      <c r="A24073" s="740"/>
    </row>
    <row r="24074" ht="14.25" customHeight="1">
      <c r="A24074" s="740"/>
    </row>
    <row r="24075" ht="14.25" customHeight="1">
      <c r="A24075" s="740"/>
    </row>
    <row r="24076" ht="14.25" customHeight="1">
      <c r="A24076" s="740"/>
    </row>
    <row r="24077" ht="14.25" customHeight="1">
      <c r="A24077" s="740"/>
    </row>
    <row r="24078" ht="14.25" customHeight="1">
      <c r="A24078" s="740"/>
    </row>
    <row r="24079" ht="14.25" customHeight="1">
      <c r="A24079" s="740"/>
    </row>
    <row r="24080" ht="14.25" customHeight="1">
      <c r="A24080" s="740"/>
    </row>
    <row r="24081" ht="14.25" customHeight="1">
      <c r="A24081" s="740"/>
    </row>
    <row r="24082" ht="14.25" customHeight="1">
      <c r="A24082" s="740"/>
    </row>
    <row r="24083" ht="14.25" customHeight="1">
      <c r="A24083" s="740"/>
    </row>
    <row r="24084" ht="14.25" customHeight="1">
      <c r="A24084" s="740"/>
    </row>
    <row r="24085" ht="14.25" customHeight="1">
      <c r="A24085" s="740"/>
    </row>
    <row r="24086" ht="14.25" customHeight="1">
      <c r="A24086" s="740"/>
    </row>
    <row r="24087" ht="14.25" customHeight="1">
      <c r="A24087" s="740"/>
    </row>
    <row r="24088" ht="14.25" customHeight="1">
      <c r="A24088" s="740"/>
    </row>
    <row r="24089" ht="14.25" customHeight="1">
      <c r="A24089" s="740"/>
    </row>
    <row r="24090" ht="14.25" customHeight="1">
      <c r="A24090" s="740"/>
    </row>
    <row r="24091" ht="14.25" customHeight="1">
      <c r="A24091" s="740"/>
    </row>
    <row r="24092" ht="14.25" customHeight="1">
      <c r="A24092" s="740"/>
    </row>
    <row r="24093" ht="14.25" customHeight="1">
      <c r="A24093" s="740"/>
    </row>
    <row r="24094" ht="14.25" customHeight="1">
      <c r="A24094" s="740"/>
    </row>
    <row r="24095" ht="14.25" customHeight="1">
      <c r="A24095" s="740"/>
    </row>
    <row r="24096" ht="14.25" customHeight="1">
      <c r="A24096" s="740"/>
    </row>
    <row r="24097" ht="14.25" customHeight="1">
      <c r="A24097" s="740"/>
    </row>
    <row r="24098" ht="14.25" customHeight="1">
      <c r="A24098" s="740"/>
    </row>
    <row r="24099" ht="14.25" customHeight="1">
      <c r="A24099" s="740"/>
    </row>
    <row r="24100" ht="14.25" customHeight="1">
      <c r="A24100" s="740"/>
    </row>
    <row r="24101" ht="14.25" customHeight="1">
      <c r="A24101" s="740"/>
    </row>
    <row r="24102" ht="14.25" customHeight="1">
      <c r="A24102" s="740"/>
    </row>
    <row r="24103" ht="14.25" customHeight="1">
      <c r="A24103" s="740"/>
    </row>
    <row r="24104" ht="14.25" customHeight="1">
      <c r="A24104" s="740"/>
    </row>
    <row r="24105" ht="14.25" customHeight="1">
      <c r="A24105" s="740"/>
    </row>
    <row r="24106" ht="14.25" customHeight="1">
      <c r="A24106" s="740"/>
    </row>
    <row r="24107" ht="14.25" customHeight="1">
      <c r="A24107" s="740"/>
    </row>
    <row r="24108" ht="14.25" customHeight="1">
      <c r="A24108" s="740"/>
    </row>
    <row r="24109" ht="14.25" customHeight="1">
      <c r="A24109" s="740"/>
    </row>
    <row r="24110" ht="14.25" customHeight="1">
      <c r="A24110" s="740"/>
    </row>
    <row r="24111" ht="14.25" customHeight="1">
      <c r="A24111" s="740"/>
    </row>
    <row r="24112" ht="14.25" customHeight="1">
      <c r="A24112" s="740"/>
    </row>
    <row r="24113" ht="14.25" customHeight="1">
      <c r="A24113" s="740"/>
    </row>
    <row r="24114" ht="14.25" customHeight="1">
      <c r="A24114" s="740"/>
    </row>
    <row r="24115" ht="14.25" customHeight="1">
      <c r="A24115" s="740"/>
    </row>
    <row r="24116" ht="14.25" customHeight="1">
      <c r="A24116" s="740"/>
    </row>
    <row r="24117" ht="14.25" customHeight="1">
      <c r="A24117" s="740"/>
    </row>
    <row r="24118" ht="14.25" customHeight="1">
      <c r="A24118" s="740"/>
    </row>
    <row r="24119" ht="14.25" customHeight="1">
      <c r="A24119" s="740"/>
    </row>
    <row r="24120" ht="14.25" customHeight="1">
      <c r="A24120" s="740"/>
    </row>
    <row r="24121" ht="14.25" customHeight="1">
      <c r="A24121" s="740"/>
    </row>
    <row r="24122" ht="14.25" customHeight="1">
      <c r="A24122" s="740"/>
    </row>
    <row r="24123" ht="14.25" customHeight="1">
      <c r="A24123" s="740"/>
    </row>
    <row r="24124" ht="14.25" customHeight="1">
      <c r="A24124" s="740"/>
    </row>
    <row r="24125" ht="14.25" customHeight="1">
      <c r="A24125" s="740"/>
    </row>
    <row r="24126" ht="14.25" customHeight="1">
      <c r="A24126" s="740"/>
    </row>
    <row r="24127" ht="14.25" customHeight="1">
      <c r="A24127" s="740"/>
    </row>
    <row r="24128" ht="14.25" customHeight="1">
      <c r="A24128" s="740"/>
    </row>
    <row r="24129" ht="14.25" customHeight="1">
      <c r="A24129" s="740"/>
    </row>
    <row r="24130" ht="14.25" customHeight="1">
      <c r="A24130" s="740"/>
    </row>
    <row r="24131" ht="14.25" customHeight="1">
      <c r="A24131" s="740"/>
    </row>
    <row r="24132" ht="14.25" customHeight="1">
      <c r="A24132" s="740"/>
    </row>
    <row r="24133" ht="14.25" customHeight="1">
      <c r="A24133" s="740"/>
    </row>
    <row r="24134" ht="14.25" customHeight="1">
      <c r="A24134" s="740"/>
    </row>
    <row r="24135" ht="14.25" customHeight="1">
      <c r="A24135" s="740"/>
    </row>
    <row r="24136" ht="14.25" customHeight="1">
      <c r="A24136" s="740"/>
    </row>
    <row r="24137" ht="14.25" customHeight="1">
      <c r="A24137" s="740"/>
    </row>
    <row r="24138" ht="14.25" customHeight="1">
      <c r="A24138" s="740"/>
    </row>
    <row r="24139" ht="14.25" customHeight="1">
      <c r="A24139" s="740"/>
    </row>
    <row r="24140" ht="14.25" customHeight="1">
      <c r="A24140" s="740"/>
    </row>
    <row r="24141" ht="14.25" customHeight="1">
      <c r="A24141" s="740"/>
    </row>
    <row r="24142" ht="14.25" customHeight="1">
      <c r="A24142" s="740"/>
    </row>
    <row r="24143" ht="14.25" customHeight="1">
      <c r="A24143" s="740"/>
    </row>
    <row r="24144" ht="14.25" customHeight="1">
      <c r="A24144" s="740"/>
    </row>
    <row r="24145" ht="14.25" customHeight="1">
      <c r="A24145" s="740"/>
    </row>
    <row r="24146" ht="14.25" customHeight="1">
      <c r="A24146" s="740"/>
    </row>
    <row r="24147" ht="14.25" customHeight="1">
      <c r="A24147" s="740"/>
    </row>
    <row r="24148" ht="14.25" customHeight="1">
      <c r="A24148" s="740"/>
    </row>
    <row r="24149" ht="14.25" customHeight="1">
      <c r="A24149" s="740"/>
    </row>
    <row r="24150" ht="14.25" customHeight="1">
      <c r="A24150" s="740"/>
    </row>
    <row r="24151" ht="14.25" customHeight="1">
      <c r="A24151" s="740"/>
    </row>
    <row r="24152" ht="14.25" customHeight="1">
      <c r="A24152" s="740"/>
    </row>
    <row r="24153" ht="14.25" customHeight="1">
      <c r="A24153" s="740"/>
    </row>
    <row r="24154" ht="14.25" customHeight="1">
      <c r="A24154" s="740"/>
    </row>
    <row r="24155" ht="14.25" customHeight="1">
      <c r="A24155" s="740"/>
    </row>
    <row r="24156" ht="14.25" customHeight="1">
      <c r="A24156" s="740"/>
    </row>
    <row r="24157" ht="14.25" customHeight="1">
      <c r="A24157" s="740"/>
    </row>
    <row r="24158" ht="14.25" customHeight="1">
      <c r="A24158" s="740"/>
    </row>
    <row r="24159" ht="14.25" customHeight="1">
      <c r="A24159" s="740"/>
    </row>
    <row r="24160" ht="14.25" customHeight="1">
      <c r="A24160" s="740"/>
    </row>
    <row r="24161" ht="14.25" customHeight="1">
      <c r="A24161" s="740"/>
    </row>
    <row r="24162" ht="14.25" customHeight="1">
      <c r="A24162" s="740"/>
    </row>
    <row r="24163" ht="14.25" customHeight="1">
      <c r="A24163" s="740"/>
    </row>
    <row r="24164" ht="14.25" customHeight="1">
      <c r="A24164" s="740"/>
    </row>
    <row r="24165" ht="14.25" customHeight="1">
      <c r="A24165" s="740"/>
    </row>
    <row r="24166" ht="14.25" customHeight="1">
      <c r="A24166" s="740"/>
    </row>
    <row r="24167" ht="14.25" customHeight="1">
      <c r="A24167" s="740"/>
    </row>
    <row r="24168" ht="14.25" customHeight="1">
      <c r="A24168" s="740"/>
    </row>
    <row r="24169" ht="14.25" customHeight="1">
      <c r="A24169" s="740"/>
    </row>
    <row r="24170" ht="14.25" customHeight="1">
      <c r="A24170" s="740"/>
    </row>
    <row r="24171" ht="14.25" customHeight="1">
      <c r="A24171" s="740"/>
    </row>
    <row r="24172" ht="14.25" customHeight="1">
      <c r="A24172" s="740"/>
    </row>
    <row r="24173" ht="14.25" customHeight="1">
      <c r="A24173" s="740"/>
    </row>
    <row r="24174" ht="14.25" customHeight="1">
      <c r="A24174" s="740"/>
    </row>
    <row r="24175" ht="14.25" customHeight="1">
      <c r="A24175" s="740"/>
    </row>
    <row r="24176" ht="14.25" customHeight="1">
      <c r="A24176" s="740"/>
    </row>
    <row r="24177" ht="14.25" customHeight="1">
      <c r="A24177" s="740"/>
    </row>
    <row r="24178" ht="14.25" customHeight="1">
      <c r="A24178" s="740"/>
    </row>
    <row r="24179" ht="14.25" customHeight="1">
      <c r="A24179" s="740"/>
    </row>
    <row r="24180" ht="14.25" customHeight="1">
      <c r="A24180" s="740"/>
    </row>
    <row r="24181" ht="14.25" customHeight="1">
      <c r="A24181" s="740"/>
    </row>
    <row r="24182" ht="14.25" customHeight="1">
      <c r="A24182" s="740"/>
    </row>
    <row r="24183" ht="14.25" customHeight="1">
      <c r="A24183" s="740"/>
    </row>
    <row r="24184" ht="14.25" customHeight="1">
      <c r="A24184" s="740"/>
    </row>
    <row r="24185" ht="14.25" customHeight="1">
      <c r="A24185" s="740"/>
    </row>
    <row r="24186" ht="14.25" customHeight="1">
      <c r="A24186" s="740"/>
    </row>
    <row r="24187" ht="14.25" customHeight="1">
      <c r="A24187" s="740"/>
    </row>
    <row r="24188" ht="14.25" customHeight="1">
      <c r="A24188" s="740"/>
    </row>
    <row r="24189" ht="14.25" customHeight="1">
      <c r="A24189" s="740"/>
    </row>
    <row r="24190" ht="14.25" customHeight="1">
      <c r="A24190" s="740"/>
    </row>
    <row r="24191" ht="14.25" customHeight="1">
      <c r="A24191" s="740"/>
    </row>
    <row r="24192" ht="14.25" customHeight="1">
      <c r="A24192" s="740"/>
    </row>
    <row r="24193" ht="14.25" customHeight="1">
      <c r="A24193" s="740"/>
    </row>
    <row r="24194" ht="14.25" customHeight="1">
      <c r="A24194" s="740"/>
    </row>
    <row r="24195" ht="14.25" customHeight="1">
      <c r="A24195" s="740"/>
    </row>
    <row r="24196" ht="14.25" customHeight="1">
      <c r="A24196" s="740"/>
    </row>
    <row r="24197" ht="14.25" customHeight="1">
      <c r="A24197" s="740"/>
    </row>
    <row r="24198" ht="14.25" customHeight="1">
      <c r="A24198" s="740"/>
    </row>
    <row r="24199" ht="14.25" customHeight="1">
      <c r="A24199" s="740"/>
    </row>
    <row r="24200" ht="14.25" customHeight="1">
      <c r="A24200" s="740"/>
    </row>
    <row r="24201" ht="14.25" customHeight="1">
      <c r="A24201" s="740"/>
    </row>
    <row r="24202" ht="14.25" customHeight="1">
      <c r="A24202" s="740"/>
    </row>
    <row r="24203" ht="14.25" customHeight="1">
      <c r="A24203" s="740"/>
    </row>
    <row r="24204" ht="14.25" customHeight="1">
      <c r="A24204" s="740"/>
    </row>
    <row r="24205" ht="14.25" customHeight="1">
      <c r="A24205" s="740"/>
    </row>
    <row r="24206" ht="14.25" customHeight="1">
      <c r="A24206" s="740"/>
    </row>
    <row r="24207" ht="14.25" customHeight="1">
      <c r="A24207" s="740"/>
    </row>
    <row r="24208" ht="14.25" customHeight="1">
      <c r="A24208" s="740"/>
    </row>
    <row r="24209" ht="14.25" customHeight="1">
      <c r="A24209" s="740"/>
    </row>
    <row r="24210" ht="14.25" customHeight="1">
      <c r="A24210" s="740"/>
    </row>
    <row r="24211" ht="14.25" customHeight="1">
      <c r="A24211" s="740"/>
    </row>
    <row r="24212" ht="14.25" customHeight="1">
      <c r="A24212" s="740"/>
    </row>
    <row r="24213" ht="14.25" customHeight="1">
      <c r="A24213" s="740"/>
    </row>
    <row r="24214" ht="14.25" customHeight="1">
      <c r="A24214" s="740"/>
    </row>
    <row r="24215" ht="14.25" customHeight="1">
      <c r="A24215" s="740"/>
    </row>
    <row r="24216" ht="14.25" customHeight="1">
      <c r="A24216" s="740"/>
    </row>
    <row r="24217" ht="14.25" customHeight="1">
      <c r="A24217" s="740"/>
    </row>
    <row r="24218" ht="14.25" customHeight="1">
      <c r="A24218" s="740"/>
    </row>
    <row r="24219" ht="14.25" customHeight="1">
      <c r="A24219" s="740"/>
    </row>
    <row r="24220" ht="14.25" customHeight="1">
      <c r="A24220" s="740"/>
    </row>
    <row r="24221" ht="14.25" customHeight="1">
      <c r="A24221" s="740"/>
    </row>
    <row r="24222" ht="14.25" customHeight="1">
      <c r="A24222" s="740"/>
    </row>
    <row r="24223" ht="14.25" customHeight="1">
      <c r="A24223" s="740"/>
    </row>
    <row r="24224" ht="14.25" customHeight="1">
      <c r="A24224" s="740"/>
    </row>
    <row r="24225" ht="14.25" customHeight="1">
      <c r="A24225" s="740"/>
    </row>
    <row r="24226" ht="14.25" customHeight="1">
      <c r="A24226" s="740"/>
    </row>
    <row r="24227" ht="14.25" customHeight="1">
      <c r="A24227" s="740"/>
    </row>
    <row r="24228" ht="14.25" customHeight="1">
      <c r="A24228" s="740"/>
    </row>
    <row r="24229" ht="14.25" customHeight="1">
      <c r="A24229" s="740"/>
    </row>
    <row r="24230" ht="14.25" customHeight="1">
      <c r="A24230" s="740"/>
    </row>
    <row r="24231" ht="14.25" customHeight="1">
      <c r="A24231" s="740"/>
    </row>
    <row r="24232" ht="14.25" customHeight="1">
      <c r="A24232" s="740"/>
    </row>
    <row r="24233" ht="14.25" customHeight="1">
      <c r="A24233" s="740"/>
    </row>
    <row r="24234" ht="14.25" customHeight="1">
      <c r="A24234" s="740"/>
    </row>
    <row r="24235" ht="14.25" customHeight="1">
      <c r="A24235" s="740"/>
    </row>
    <row r="24236" ht="14.25" customHeight="1">
      <c r="A24236" s="740"/>
    </row>
    <row r="24237" ht="14.25" customHeight="1">
      <c r="A24237" s="740"/>
    </row>
    <row r="24238" ht="14.25" customHeight="1">
      <c r="A24238" s="740"/>
    </row>
    <row r="24239" ht="14.25" customHeight="1">
      <c r="A24239" s="740"/>
    </row>
    <row r="24240" ht="14.25" customHeight="1">
      <c r="A24240" s="740"/>
    </row>
    <row r="24241" ht="14.25" customHeight="1">
      <c r="A24241" s="740"/>
    </row>
    <row r="24242" ht="14.25" customHeight="1">
      <c r="A24242" s="740"/>
    </row>
    <row r="24243" ht="14.25" customHeight="1">
      <c r="A24243" s="740"/>
    </row>
    <row r="24244" ht="14.25" customHeight="1">
      <c r="A24244" s="740"/>
    </row>
    <row r="24245" ht="14.25" customHeight="1">
      <c r="A24245" s="740"/>
    </row>
    <row r="24246" ht="14.25" customHeight="1">
      <c r="A24246" s="740"/>
    </row>
    <row r="24247" ht="14.25" customHeight="1">
      <c r="A24247" s="740"/>
    </row>
    <row r="24248" ht="14.25" customHeight="1">
      <c r="A24248" s="740"/>
    </row>
    <row r="24249" ht="14.25" customHeight="1">
      <c r="A24249" s="740"/>
    </row>
    <row r="24250" ht="14.25" customHeight="1">
      <c r="A24250" s="740"/>
    </row>
    <row r="24251" ht="14.25" customHeight="1">
      <c r="A24251" s="740"/>
    </row>
    <row r="24252" ht="14.25" customHeight="1">
      <c r="A24252" s="740"/>
    </row>
    <row r="24253" ht="14.25" customHeight="1">
      <c r="A24253" s="740"/>
    </row>
    <row r="24254" ht="14.25" customHeight="1">
      <c r="A24254" s="740"/>
    </row>
    <row r="24255" ht="14.25" customHeight="1">
      <c r="A24255" s="740"/>
    </row>
    <row r="24256" ht="14.25" customHeight="1">
      <c r="A24256" s="740"/>
    </row>
    <row r="24257" ht="14.25" customHeight="1">
      <c r="A24257" s="740"/>
    </row>
    <row r="24258" ht="14.25" customHeight="1">
      <c r="A24258" s="740"/>
    </row>
    <row r="24259" ht="14.25" customHeight="1">
      <c r="A24259" s="740"/>
    </row>
    <row r="24260" ht="14.25" customHeight="1">
      <c r="A24260" s="740"/>
    </row>
    <row r="24261" ht="14.25" customHeight="1">
      <c r="A24261" s="740"/>
    </row>
    <row r="24262" ht="14.25" customHeight="1">
      <c r="A24262" s="740"/>
    </row>
    <row r="24263" ht="14.25" customHeight="1">
      <c r="A24263" s="740"/>
    </row>
    <row r="24264" ht="14.25" customHeight="1">
      <c r="A24264" s="740"/>
    </row>
    <row r="24265" ht="14.25" customHeight="1">
      <c r="A24265" s="740"/>
    </row>
    <row r="24266" ht="14.25" customHeight="1">
      <c r="A24266" s="740"/>
    </row>
    <row r="24267" ht="14.25" customHeight="1">
      <c r="A24267" s="740"/>
    </row>
    <row r="24268" ht="14.25" customHeight="1">
      <c r="A24268" s="740"/>
    </row>
    <row r="24269" ht="14.25" customHeight="1">
      <c r="A24269" s="740"/>
    </row>
    <row r="24270" ht="14.25" customHeight="1">
      <c r="A24270" s="740"/>
    </row>
    <row r="24271" ht="14.25" customHeight="1">
      <c r="A24271" s="740"/>
    </row>
    <row r="24272" ht="14.25" customHeight="1">
      <c r="A24272" s="740"/>
    </row>
    <row r="24273" ht="14.25" customHeight="1">
      <c r="A24273" s="740"/>
    </row>
    <row r="24274" ht="14.25" customHeight="1">
      <c r="A24274" s="740"/>
    </row>
    <row r="24275" ht="14.25" customHeight="1">
      <c r="A24275" s="740"/>
    </row>
    <row r="24276" ht="14.25" customHeight="1">
      <c r="A24276" s="740"/>
    </row>
    <row r="24277" ht="14.25" customHeight="1">
      <c r="A24277" s="740"/>
    </row>
    <row r="24278" ht="14.25" customHeight="1">
      <c r="A24278" s="740"/>
    </row>
    <row r="24279" ht="14.25" customHeight="1">
      <c r="A24279" s="740"/>
    </row>
    <row r="24280" ht="14.25" customHeight="1">
      <c r="A24280" s="740"/>
    </row>
    <row r="24281" ht="14.25" customHeight="1">
      <c r="A24281" s="740"/>
    </row>
    <row r="24282" ht="14.25" customHeight="1">
      <c r="A24282" s="740"/>
    </row>
    <row r="24283" ht="14.25" customHeight="1">
      <c r="A24283" s="740"/>
    </row>
    <row r="24284" ht="14.25" customHeight="1">
      <c r="A24284" s="740"/>
    </row>
    <row r="24285" ht="14.25" customHeight="1">
      <c r="A24285" s="740"/>
    </row>
    <row r="24286" ht="14.25" customHeight="1">
      <c r="A24286" s="740"/>
    </row>
    <row r="24287" ht="14.25" customHeight="1">
      <c r="A24287" s="740"/>
    </row>
    <row r="24288" ht="14.25" customHeight="1">
      <c r="A24288" s="740"/>
    </row>
    <row r="24289" ht="14.25" customHeight="1">
      <c r="A24289" s="740"/>
    </row>
    <row r="24290" ht="14.25" customHeight="1">
      <c r="A24290" s="740"/>
    </row>
    <row r="24291" ht="14.25" customHeight="1">
      <c r="A24291" s="740"/>
    </row>
    <row r="24292" ht="14.25" customHeight="1">
      <c r="A24292" s="740"/>
    </row>
    <row r="24293" ht="14.25" customHeight="1">
      <c r="A24293" s="740"/>
    </row>
    <row r="24294" ht="14.25" customHeight="1">
      <c r="A24294" s="740"/>
    </row>
    <row r="24295" ht="14.25" customHeight="1">
      <c r="A24295" s="740"/>
    </row>
    <row r="24296" ht="14.25" customHeight="1">
      <c r="A24296" s="740"/>
    </row>
    <row r="24297" ht="14.25" customHeight="1">
      <c r="A24297" s="740"/>
    </row>
    <row r="24298" ht="14.25" customHeight="1">
      <c r="A24298" s="740"/>
    </row>
    <row r="24299" ht="14.25" customHeight="1">
      <c r="A24299" s="740"/>
    </row>
    <row r="24300" ht="14.25" customHeight="1">
      <c r="A24300" s="740"/>
    </row>
    <row r="24301" ht="14.25" customHeight="1">
      <c r="A24301" s="740"/>
    </row>
    <row r="24302" ht="14.25" customHeight="1">
      <c r="A24302" s="740"/>
    </row>
    <row r="24303" ht="14.25" customHeight="1">
      <c r="A24303" s="740"/>
    </row>
    <row r="24304" ht="14.25" customHeight="1">
      <c r="A24304" s="740"/>
    </row>
    <row r="24305" ht="14.25" customHeight="1">
      <c r="A24305" s="740"/>
    </row>
    <row r="24306" ht="14.25" customHeight="1">
      <c r="A24306" s="740"/>
    </row>
    <row r="24307" ht="14.25" customHeight="1">
      <c r="A24307" s="740"/>
    </row>
    <row r="24308" ht="14.25" customHeight="1">
      <c r="A24308" s="740"/>
    </row>
    <row r="24309" ht="14.25" customHeight="1">
      <c r="A24309" s="740"/>
    </row>
    <row r="24310" ht="14.25" customHeight="1">
      <c r="A24310" s="740"/>
    </row>
    <row r="24311" ht="14.25" customHeight="1">
      <c r="A24311" s="740"/>
    </row>
    <row r="24312" ht="14.25" customHeight="1">
      <c r="A24312" s="740"/>
    </row>
    <row r="24313" ht="14.25" customHeight="1">
      <c r="A24313" s="740"/>
    </row>
    <row r="24314" ht="14.25" customHeight="1">
      <c r="A24314" s="740"/>
    </row>
    <row r="24315" ht="14.25" customHeight="1">
      <c r="A24315" s="740"/>
    </row>
    <row r="24316" ht="14.25" customHeight="1">
      <c r="A24316" s="740"/>
    </row>
    <row r="24317" ht="14.25" customHeight="1">
      <c r="A24317" s="740"/>
    </row>
    <row r="24318" ht="14.25" customHeight="1">
      <c r="A24318" s="740"/>
    </row>
    <row r="24319" ht="14.25" customHeight="1">
      <c r="A24319" s="740"/>
    </row>
    <row r="24320" ht="14.25" customHeight="1">
      <c r="A24320" s="740"/>
    </row>
    <row r="24321" ht="14.25" customHeight="1">
      <c r="A24321" s="740"/>
    </row>
    <row r="24322" ht="14.25" customHeight="1">
      <c r="A24322" s="740"/>
    </row>
    <row r="24323" ht="14.25" customHeight="1">
      <c r="A24323" s="740"/>
    </row>
    <row r="24324" ht="14.25" customHeight="1">
      <c r="A24324" s="740"/>
    </row>
    <row r="24325" ht="14.25" customHeight="1">
      <c r="A24325" s="740"/>
    </row>
    <row r="24326" ht="14.25" customHeight="1">
      <c r="A24326" s="740"/>
    </row>
    <row r="24327" ht="14.25" customHeight="1">
      <c r="A24327" s="740"/>
    </row>
    <row r="24328" ht="14.25" customHeight="1">
      <c r="A24328" s="740"/>
    </row>
    <row r="24329" ht="14.25" customHeight="1">
      <c r="A24329" s="740"/>
    </row>
    <row r="24330" ht="14.25" customHeight="1">
      <c r="A24330" s="740"/>
    </row>
    <row r="24331" ht="14.25" customHeight="1">
      <c r="A24331" s="740"/>
    </row>
    <row r="24332" ht="14.25" customHeight="1">
      <c r="A24332" s="740"/>
    </row>
    <row r="24333" ht="14.25" customHeight="1">
      <c r="A24333" s="740"/>
    </row>
    <row r="24334" ht="14.25" customHeight="1">
      <c r="A24334" s="740"/>
    </row>
    <row r="24335" ht="14.25" customHeight="1">
      <c r="A24335" s="740"/>
    </row>
    <row r="24336" ht="14.25" customHeight="1">
      <c r="A24336" s="740"/>
    </row>
    <row r="24337" ht="14.25" customHeight="1">
      <c r="A24337" s="740"/>
    </row>
    <row r="24338" ht="14.25" customHeight="1">
      <c r="A24338" s="740"/>
    </row>
    <row r="24339" ht="14.25" customHeight="1">
      <c r="A24339" s="740"/>
    </row>
    <row r="24340" ht="14.25" customHeight="1">
      <c r="A24340" s="740"/>
    </row>
    <row r="24341" ht="14.25" customHeight="1">
      <c r="A24341" s="740"/>
    </row>
    <row r="24342" ht="14.25" customHeight="1">
      <c r="A24342" s="740"/>
    </row>
    <row r="24343" ht="14.25" customHeight="1">
      <c r="A24343" s="740"/>
    </row>
    <row r="24344" ht="14.25" customHeight="1">
      <c r="A24344" s="740"/>
    </row>
    <row r="24345" ht="14.25" customHeight="1">
      <c r="A24345" s="740"/>
    </row>
    <row r="24346" ht="14.25" customHeight="1">
      <c r="A24346" s="740"/>
    </row>
    <row r="24347" ht="14.25" customHeight="1">
      <c r="A24347" s="740"/>
    </row>
    <row r="24348" ht="14.25" customHeight="1">
      <c r="A24348" s="740"/>
    </row>
    <row r="24349" ht="14.25" customHeight="1">
      <c r="A24349" s="740"/>
    </row>
    <row r="24350" ht="14.25" customHeight="1">
      <c r="A24350" s="740"/>
    </row>
    <row r="24351" ht="14.25" customHeight="1">
      <c r="A24351" s="740"/>
    </row>
    <row r="24352" ht="14.25" customHeight="1">
      <c r="A24352" s="740"/>
    </row>
    <row r="24353" ht="14.25" customHeight="1">
      <c r="A24353" s="740"/>
    </row>
    <row r="24354" ht="14.25" customHeight="1">
      <c r="A24354" s="740"/>
    </row>
    <row r="24355" ht="14.25" customHeight="1">
      <c r="A24355" s="740"/>
    </row>
    <row r="24356" ht="14.25" customHeight="1">
      <c r="A24356" s="740"/>
    </row>
    <row r="24357" ht="14.25" customHeight="1">
      <c r="A24357" s="740"/>
    </row>
    <row r="24358" ht="14.25" customHeight="1">
      <c r="A24358" s="740"/>
    </row>
    <row r="24359" ht="14.25" customHeight="1">
      <c r="A24359" s="740"/>
    </row>
    <row r="24360" ht="14.25" customHeight="1">
      <c r="A24360" s="740"/>
    </row>
    <row r="24361" ht="14.25" customHeight="1">
      <c r="A24361" s="740"/>
    </row>
    <row r="24362" ht="14.25" customHeight="1">
      <c r="A24362" s="740"/>
    </row>
    <row r="24363" ht="14.25" customHeight="1">
      <c r="A24363" s="740"/>
    </row>
    <row r="24364" ht="14.25" customHeight="1">
      <c r="A24364" s="740"/>
    </row>
    <row r="24365" ht="14.25" customHeight="1">
      <c r="A24365" s="740"/>
    </row>
    <row r="24366" ht="14.25" customHeight="1">
      <c r="A24366" s="740"/>
    </row>
    <row r="24367" ht="14.25" customHeight="1">
      <c r="A24367" s="740"/>
    </row>
    <row r="24368" ht="14.25" customHeight="1">
      <c r="A24368" s="740"/>
    </row>
    <row r="24369" ht="14.25" customHeight="1">
      <c r="A24369" s="740"/>
    </row>
    <row r="24370" ht="14.25" customHeight="1">
      <c r="A24370" s="740"/>
    </row>
    <row r="24371" ht="14.25" customHeight="1">
      <c r="A24371" s="740"/>
    </row>
    <row r="24372" ht="14.25" customHeight="1">
      <c r="A24372" s="740"/>
    </row>
    <row r="24373" ht="14.25" customHeight="1">
      <c r="A24373" s="740"/>
    </row>
    <row r="24374" ht="14.25" customHeight="1">
      <c r="A24374" s="740"/>
    </row>
    <row r="24375" ht="14.25" customHeight="1">
      <c r="A24375" s="740"/>
    </row>
    <row r="24376" ht="14.25" customHeight="1">
      <c r="A24376" s="740"/>
    </row>
    <row r="24377" ht="14.25" customHeight="1">
      <c r="A24377" s="740"/>
    </row>
    <row r="24378" ht="14.25" customHeight="1">
      <c r="A24378" s="740"/>
    </row>
    <row r="24379" ht="14.25" customHeight="1">
      <c r="A24379" s="740"/>
    </row>
    <row r="24380" ht="14.25" customHeight="1">
      <c r="A24380" s="740"/>
    </row>
    <row r="24381" ht="14.25" customHeight="1">
      <c r="A24381" s="740"/>
    </row>
    <row r="24382" ht="14.25" customHeight="1">
      <c r="A24382" s="740"/>
    </row>
    <row r="24383" ht="14.25" customHeight="1">
      <c r="A24383" s="740"/>
    </row>
    <row r="24384" ht="14.25" customHeight="1">
      <c r="A24384" s="740"/>
    </row>
    <row r="24385" ht="14.25" customHeight="1">
      <c r="A24385" s="740"/>
    </row>
    <row r="24386" ht="14.25" customHeight="1">
      <c r="A24386" s="740"/>
    </row>
    <row r="24387" ht="14.25" customHeight="1">
      <c r="A24387" s="740"/>
    </row>
    <row r="24388" ht="14.25" customHeight="1">
      <c r="A24388" s="740"/>
    </row>
    <row r="24389" ht="14.25" customHeight="1">
      <c r="A24389" s="740"/>
    </row>
    <row r="24390" ht="14.25" customHeight="1">
      <c r="A24390" s="740"/>
    </row>
    <row r="24391" ht="14.25" customHeight="1">
      <c r="A24391" s="740"/>
    </row>
    <row r="24392" ht="14.25" customHeight="1">
      <c r="A24392" s="740"/>
    </row>
    <row r="24393" ht="14.25" customHeight="1">
      <c r="A24393" s="740"/>
    </row>
    <row r="24394" ht="14.25" customHeight="1">
      <c r="A24394" s="740"/>
    </row>
    <row r="24395" ht="14.25" customHeight="1">
      <c r="A24395" s="740"/>
    </row>
    <row r="24396" ht="14.25" customHeight="1">
      <c r="A24396" s="740"/>
    </row>
    <row r="24397" ht="14.25" customHeight="1">
      <c r="A24397" s="740"/>
    </row>
    <row r="24398" ht="14.25" customHeight="1">
      <c r="A24398" s="740"/>
    </row>
    <row r="24399" ht="14.25" customHeight="1">
      <c r="A24399" s="740"/>
    </row>
    <row r="24400" ht="14.25" customHeight="1">
      <c r="A24400" s="740"/>
    </row>
    <row r="24401" ht="14.25" customHeight="1">
      <c r="A24401" s="740"/>
    </row>
    <row r="24402" ht="14.25" customHeight="1">
      <c r="A24402" s="740"/>
    </row>
    <row r="24403" ht="14.25" customHeight="1">
      <c r="A24403" s="740"/>
    </row>
    <row r="24404" ht="14.25" customHeight="1">
      <c r="A24404" s="740"/>
    </row>
    <row r="24405" ht="14.25" customHeight="1">
      <c r="A24405" s="740"/>
    </row>
    <row r="24406" ht="14.25" customHeight="1">
      <c r="A24406" s="740"/>
    </row>
    <row r="24407" ht="14.25" customHeight="1">
      <c r="A24407" s="740"/>
    </row>
    <row r="24408" ht="14.25" customHeight="1">
      <c r="A24408" s="740"/>
    </row>
    <row r="24409" ht="14.25" customHeight="1">
      <c r="A24409" s="740"/>
    </row>
    <row r="24410" ht="14.25" customHeight="1">
      <c r="A24410" s="740"/>
    </row>
    <row r="24411" ht="14.25" customHeight="1">
      <c r="A24411" s="740"/>
    </row>
    <row r="24412" ht="14.25" customHeight="1">
      <c r="A24412" s="740"/>
    </row>
    <row r="24413" ht="14.25" customHeight="1">
      <c r="A24413" s="740"/>
    </row>
    <row r="24414" ht="14.25" customHeight="1">
      <c r="A24414" s="740"/>
    </row>
    <row r="24415" ht="14.25" customHeight="1">
      <c r="A24415" s="740"/>
    </row>
    <row r="24416" ht="14.25" customHeight="1">
      <c r="A24416" s="740"/>
    </row>
    <row r="24417" ht="14.25" customHeight="1">
      <c r="A24417" s="740"/>
    </row>
    <row r="24418" ht="14.25" customHeight="1">
      <c r="A24418" s="740"/>
    </row>
    <row r="24419" ht="14.25" customHeight="1">
      <c r="A24419" s="740"/>
    </row>
    <row r="24420" ht="14.25" customHeight="1">
      <c r="A24420" s="740"/>
    </row>
    <row r="24421" ht="14.25" customHeight="1">
      <c r="A24421" s="740"/>
    </row>
    <row r="24422" ht="14.25" customHeight="1">
      <c r="A24422" s="740"/>
    </row>
    <row r="24423" ht="14.25" customHeight="1">
      <c r="A24423" s="740"/>
    </row>
    <row r="24424" ht="14.25" customHeight="1">
      <c r="A24424" s="740"/>
    </row>
    <row r="24425" ht="14.25" customHeight="1">
      <c r="A24425" s="740"/>
    </row>
    <row r="24426" ht="14.25" customHeight="1">
      <c r="A24426" s="740"/>
    </row>
    <row r="24427" ht="14.25" customHeight="1">
      <c r="A24427" s="740"/>
    </row>
    <row r="24428" ht="14.25" customHeight="1">
      <c r="A24428" s="740"/>
    </row>
    <row r="24429" ht="14.25" customHeight="1">
      <c r="A24429" s="740"/>
    </row>
    <row r="24430" ht="14.25" customHeight="1">
      <c r="A24430" s="740"/>
    </row>
    <row r="24431" ht="14.25" customHeight="1">
      <c r="A24431" s="740"/>
    </row>
    <row r="24432" ht="14.25" customHeight="1">
      <c r="A24432" s="740"/>
    </row>
    <row r="24433" ht="14.25" customHeight="1">
      <c r="A24433" s="740"/>
    </row>
    <row r="24434" ht="14.25" customHeight="1">
      <c r="A24434" s="740"/>
    </row>
    <row r="24435" ht="14.25" customHeight="1">
      <c r="A24435" s="740"/>
    </row>
    <row r="24436" ht="14.25" customHeight="1">
      <c r="A24436" s="740"/>
    </row>
    <row r="24437" ht="14.25" customHeight="1">
      <c r="A24437" s="740"/>
    </row>
    <row r="24438" ht="14.25" customHeight="1">
      <c r="A24438" s="740"/>
    </row>
    <row r="24439" ht="14.25" customHeight="1">
      <c r="A24439" s="740"/>
    </row>
    <row r="24440" ht="14.25" customHeight="1">
      <c r="A24440" s="740"/>
    </row>
    <row r="24441" ht="14.25" customHeight="1">
      <c r="A24441" s="740"/>
    </row>
    <row r="24442" ht="14.25" customHeight="1">
      <c r="A24442" s="740"/>
    </row>
    <row r="24443" ht="14.25" customHeight="1">
      <c r="A24443" s="740"/>
    </row>
    <row r="24444" ht="14.25" customHeight="1">
      <c r="A24444" s="740"/>
    </row>
    <row r="24445" ht="14.25" customHeight="1">
      <c r="A24445" s="740"/>
    </row>
    <row r="24446" ht="14.25" customHeight="1">
      <c r="A24446" s="740"/>
    </row>
    <row r="24447" ht="14.25" customHeight="1">
      <c r="A24447" s="740"/>
    </row>
    <row r="24448" ht="14.25" customHeight="1">
      <c r="A24448" s="740"/>
    </row>
    <row r="24449" ht="14.25" customHeight="1">
      <c r="A24449" s="740"/>
    </row>
    <row r="24450" ht="14.25" customHeight="1">
      <c r="A24450" s="740"/>
    </row>
    <row r="24451" ht="14.25" customHeight="1">
      <c r="A24451" s="740"/>
    </row>
    <row r="24452" ht="14.25" customHeight="1">
      <c r="A24452" s="740"/>
    </row>
    <row r="24453" ht="14.25" customHeight="1">
      <c r="A24453" s="740"/>
    </row>
    <row r="24454" ht="14.25" customHeight="1">
      <c r="A24454" s="740"/>
    </row>
    <row r="24455" ht="14.25" customHeight="1">
      <c r="A24455" s="740"/>
    </row>
    <row r="24456" ht="14.25" customHeight="1">
      <c r="A24456" s="740"/>
    </row>
    <row r="24457" ht="14.25" customHeight="1">
      <c r="A24457" s="740"/>
    </row>
    <row r="24458" ht="14.25" customHeight="1">
      <c r="A24458" s="740"/>
    </row>
    <row r="24459" ht="14.25" customHeight="1">
      <c r="A24459" s="740"/>
    </row>
    <row r="24460" ht="14.25" customHeight="1">
      <c r="A24460" s="740"/>
    </row>
    <row r="24461" ht="14.25" customHeight="1">
      <c r="A24461" s="740"/>
    </row>
    <row r="24462" ht="14.25" customHeight="1">
      <c r="A24462" s="740"/>
    </row>
    <row r="24463" ht="14.25" customHeight="1">
      <c r="A24463" s="740"/>
    </row>
    <row r="24464" ht="14.25" customHeight="1">
      <c r="A24464" s="740"/>
    </row>
    <row r="24465" ht="14.25" customHeight="1">
      <c r="A24465" s="740"/>
    </row>
    <row r="24466" ht="14.25" customHeight="1">
      <c r="A24466" s="740"/>
    </row>
    <row r="24467" ht="14.25" customHeight="1">
      <c r="A24467" s="740"/>
    </row>
    <row r="24468" ht="14.25" customHeight="1">
      <c r="A24468" s="740"/>
    </row>
    <row r="24469" ht="14.25" customHeight="1">
      <c r="A24469" s="740"/>
    </row>
    <row r="24470" ht="14.25" customHeight="1">
      <c r="A24470" s="740"/>
    </row>
    <row r="24471" ht="14.25" customHeight="1">
      <c r="A24471" s="740"/>
    </row>
    <row r="24472" ht="14.25" customHeight="1">
      <c r="A24472" s="740"/>
    </row>
    <row r="24473" ht="14.25" customHeight="1">
      <c r="A24473" s="740"/>
    </row>
    <row r="24474" ht="14.25" customHeight="1">
      <c r="A24474" s="740"/>
    </row>
    <row r="24475" ht="14.25" customHeight="1">
      <c r="A24475" s="740"/>
    </row>
    <row r="24476" ht="14.25" customHeight="1">
      <c r="A24476" s="740"/>
    </row>
    <row r="24477" ht="14.25" customHeight="1">
      <c r="A24477" s="740"/>
    </row>
    <row r="24478" ht="14.25" customHeight="1">
      <c r="A24478" s="740"/>
    </row>
    <row r="24479" ht="14.25" customHeight="1">
      <c r="A24479" s="740"/>
    </row>
    <row r="24480" ht="14.25" customHeight="1">
      <c r="A24480" s="740"/>
    </row>
    <row r="24481" ht="14.25" customHeight="1">
      <c r="A24481" s="740"/>
    </row>
    <row r="24482" ht="14.25" customHeight="1">
      <c r="A24482" s="740"/>
    </row>
    <row r="24483" ht="14.25" customHeight="1">
      <c r="A24483" s="740"/>
    </row>
    <row r="24484" ht="14.25" customHeight="1">
      <c r="A24484" s="740"/>
    </row>
    <row r="24485" ht="14.25" customHeight="1">
      <c r="A24485" s="740"/>
    </row>
    <row r="24486" ht="14.25" customHeight="1">
      <c r="A24486" s="740"/>
    </row>
    <row r="24487" ht="14.25" customHeight="1">
      <c r="A24487" s="740"/>
    </row>
    <row r="24488" ht="14.25" customHeight="1">
      <c r="A24488" s="740"/>
    </row>
    <row r="24489" ht="14.25" customHeight="1">
      <c r="A24489" s="740"/>
    </row>
    <row r="24490" ht="14.25" customHeight="1">
      <c r="A24490" s="740"/>
    </row>
    <row r="24491" ht="14.25" customHeight="1">
      <c r="A24491" s="740"/>
    </row>
    <row r="24492" ht="14.25" customHeight="1">
      <c r="A24492" s="740"/>
    </row>
    <row r="24493" ht="14.25" customHeight="1">
      <c r="A24493" s="740"/>
    </row>
    <row r="24494" ht="14.25" customHeight="1">
      <c r="A24494" s="740"/>
    </row>
    <row r="24495" ht="14.25" customHeight="1">
      <c r="A24495" s="740"/>
    </row>
    <row r="24496" ht="14.25" customHeight="1">
      <c r="A24496" s="740"/>
    </row>
    <row r="24497" ht="14.25" customHeight="1">
      <c r="A24497" s="740"/>
    </row>
    <row r="24498" ht="14.25" customHeight="1">
      <c r="A24498" s="740"/>
    </row>
    <row r="24499" ht="14.25" customHeight="1">
      <c r="A24499" s="740"/>
    </row>
    <row r="24500" ht="14.25" customHeight="1">
      <c r="A24500" s="740"/>
    </row>
    <row r="24501" ht="14.25" customHeight="1">
      <c r="A24501" s="740"/>
    </row>
    <row r="24502" ht="14.25" customHeight="1">
      <c r="A24502" s="740"/>
    </row>
    <row r="24503" ht="14.25" customHeight="1">
      <c r="A24503" s="740"/>
    </row>
    <row r="24504" ht="14.25" customHeight="1">
      <c r="A24504" s="740"/>
    </row>
    <row r="24505" ht="14.25" customHeight="1">
      <c r="A24505" s="740"/>
    </row>
    <row r="24506" ht="14.25" customHeight="1">
      <c r="A24506" s="740"/>
    </row>
    <row r="24507" ht="14.25" customHeight="1">
      <c r="A24507" s="740"/>
    </row>
    <row r="24508" ht="14.25" customHeight="1">
      <c r="A24508" s="740"/>
    </row>
    <row r="24509" ht="14.25" customHeight="1">
      <c r="A24509" s="740"/>
    </row>
    <row r="24510" ht="14.25" customHeight="1">
      <c r="A24510" s="740"/>
    </row>
    <row r="24511" ht="14.25" customHeight="1">
      <c r="A24511" s="740"/>
    </row>
    <row r="24512" ht="14.25" customHeight="1">
      <c r="A24512" s="740"/>
    </row>
    <row r="24513" ht="14.25" customHeight="1">
      <c r="A24513" s="740"/>
    </row>
    <row r="24514" ht="14.25" customHeight="1">
      <c r="A24514" s="740"/>
    </row>
    <row r="24515" ht="14.25" customHeight="1">
      <c r="A24515" s="740"/>
    </row>
    <row r="24516" ht="14.25" customHeight="1">
      <c r="A24516" s="740"/>
    </row>
    <row r="24517" ht="14.25" customHeight="1">
      <c r="A24517" s="740"/>
    </row>
    <row r="24518" ht="14.25" customHeight="1">
      <c r="A24518" s="740"/>
    </row>
    <row r="24519" ht="14.25" customHeight="1">
      <c r="A24519" s="740"/>
    </row>
    <row r="24520" ht="14.25" customHeight="1">
      <c r="A24520" s="740"/>
    </row>
    <row r="24521" ht="14.25" customHeight="1">
      <c r="A24521" s="740"/>
    </row>
    <row r="24522" ht="14.25" customHeight="1">
      <c r="A24522" s="740"/>
    </row>
    <row r="24523" ht="14.25" customHeight="1">
      <c r="A24523" s="740"/>
    </row>
    <row r="24524" ht="14.25" customHeight="1">
      <c r="A24524" s="740"/>
    </row>
    <row r="24525" ht="14.25" customHeight="1">
      <c r="A24525" s="740"/>
    </row>
    <row r="24526" ht="14.25" customHeight="1">
      <c r="A24526" s="740"/>
    </row>
    <row r="24527" ht="14.25" customHeight="1">
      <c r="A24527" s="740"/>
    </row>
    <row r="24528" ht="14.25" customHeight="1">
      <c r="A24528" s="740"/>
    </row>
    <row r="24529" ht="14.25" customHeight="1">
      <c r="A24529" s="740"/>
    </row>
    <row r="24530" ht="14.25" customHeight="1">
      <c r="A24530" s="740"/>
    </row>
    <row r="24531" ht="14.25" customHeight="1">
      <c r="A24531" s="740"/>
    </row>
    <row r="24532" ht="14.25" customHeight="1">
      <c r="A24532" s="740"/>
    </row>
    <row r="24533" ht="14.25" customHeight="1">
      <c r="A24533" s="740"/>
    </row>
    <row r="24534" ht="14.25" customHeight="1">
      <c r="A24534" s="740"/>
    </row>
    <row r="24535" ht="14.25" customHeight="1">
      <c r="A24535" s="740"/>
    </row>
    <row r="24536" ht="14.25" customHeight="1">
      <c r="A24536" s="740"/>
    </row>
    <row r="24537" ht="14.25" customHeight="1">
      <c r="A24537" s="740"/>
    </row>
    <row r="24538" ht="14.25" customHeight="1">
      <c r="A24538" s="740"/>
    </row>
    <row r="24539" ht="14.25" customHeight="1">
      <c r="A24539" s="740"/>
    </row>
    <row r="24540" ht="14.25" customHeight="1">
      <c r="A24540" s="740"/>
    </row>
    <row r="24541" ht="14.25" customHeight="1">
      <c r="A24541" s="740"/>
    </row>
    <row r="24542" ht="14.25" customHeight="1">
      <c r="A24542" s="740"/>
    </row>
    <row r="24543" ht="14.25" customHeight="1">
      <c r="A24543" s="740"/>
    </row>
    <row r="24544" ht="14.25" customHeight="1">
      <c r="A24544" s="740"/>
    </row>
    <row r="24545" ht="14.25" customHeight="1">
      <c r="A24545" s="740"/>
    </row>
    <row r="24546" ht="14.25" customHeight="1">
      <c r="A24546" s="740"/>
    </row>
    <row r="24547" ht="14.25" customHeight="1">
      <c r="A24547" s="740"/>
    </row>
    <row r="24548" ht="14.25" customHeight="1">
      <c r="A24548" s="740"/>
    </row>
    <row r="24549" ht="14.25" customHeight="1">
      <c r="A24549" s="740"/>
    </row>
    <row r="24550" ht="14.25" customHeight="1">
      <c r="A24550" s="740"/>
    </row>
    <row r="24551" ht="14.25" customHeight="1">
      <c r="A24551" s="740"/>
    </row>
    <row r="24552" ht="14.25" customHeight="1">
      <c r="A24552" s="740"/>
    </row>
    <row r="24553" ht="14.25" customHeight="1">
      <c r="A24553" s="740"/>
    </row>
    <row r="24554" ht="14.25" customHeight="1">
      <c r="A24554" s="740"/>
    </row>
    <row r="24555" ht="14.25" customHeight="1">
      <c r="A24555" s="740"/>
    </row>
    <row r="24556" ht="14.25" customHeight="1">
      <c r="A24556" s="740"/>
    </row>
    <row r="24557" ht="14.25" customHeight="1">
      <c r="A24557" s="740"/>
    </row>
    <row r="24558" ht="14.25" customHeight="1">
      <c r="A24558" s="740"/>
    </row>
    <row r="24559" ht="14.25" customHeight="1">
      <c r="A24559" s="740"/>
    </row>
    <row r="24560" ht="14.25" customHeight="1">
      <c r="A24560" s="740"/>
    </row>
    <row r="24561" ht="14.25" customHeight="1">
      <c r="A24561" s="740"/>
    </row>
    <row r="24562" ht="14.25" customHeight="1">
      <c r="A24562" s="740"/>
    </row>
    <row r="24563" ht="14.25" customHeight="1">
      <c r="A24563" s="740"/>
    </row>
    <row r="24564" ht="14.25" customHeight="1">
      <c r="A24564" s="740"/>
    </row>
    <row r="24565" ht="14.25" customHeight="1">
      <c r="A24565" s="740"/>
    </row>
    <row r="24566" ht="14.25" customHeight="1">
      <c r="A24566" s="740"/>
    </row>
    <row r="24567" ht="14.25" customHeight="1">
      <c r="A24567" s="740"/>
    </row>
    <row r="24568" ht="14.25" customHeight="1">
      <c r="A24568" s="740"/>
    </row>
    <row r="24569" ht="14.25" customHeight="1">
      <c r="A24569" s="740"/>
    </row>
    <row r="24570" ht="14.25" customHeight="1">
      <c r="A24570" s="740"/>
    </row>
    <row r="24571" ht="14.25" customHeight="1">
      <c r="A24571" s="740"/>
    </row>
    <row r="24572" ht="14.25" customHeight="1">
      <c r="A24572" s="740"/>
    </row>
    <row r="24573" ht="14.25" customHeight="1">
      <c r="A24573" s="740"/>
    </row>
    <row r="24574" ht="14.25" customHeight="1">
      <c r="A24574" s="740"/>
    </row>
    <row r="24575" ht="14.25" customHeight="1">
      <c r="A24575" s="740"/>
    </row>
    <row r="24576" ht="14.25" customHeight="1">
      <c r="A24576" s="740"/>
    </row>
    <row r="24577" ht="14.25" customHeight="1">
      <c r="A24577" s="740"/>
    </row>
    <row r="24578" ht="14.25" customHeight="1">
      <c r="A24578" s="740"/>
    </row>
    <row r="24579" ht="14.25" customHeight="1">
      <c r="A24579" s="740"/>
    </row>
    <row r="24580" ht="14.25" customHeight="1">
      <c r="A24580" s="740"/>
    </row>
    <row r="24581" ht="14.25" customHeight="1">
      <c r="A24581" s="740"/>
    </row>
    <row r="24582" ht="14.25" customHeight="1">
      <c r="A24582" s="740"/>
    </row>
    <row r="24583" ht="14.25" customHeight="1">
      <c r="A24583" s="740"/>
    </row>
    <row r="24584" ht="14.25" customHeight="1">
      <c r="A24584" s="740"/>
    </row>
    <row r="24585" ht="14.25" customHeight="1">
      <c r="A24585" s="740"/>
    </row>
    <row r="24586" ht="14.25" customHeight="1">
      <c r="A24586" s="740"/>
    </row>
    <row r="24587" ht="14.25" customHeight="1">
      <c r="A24587" s="740"/>
    </row>
    <row r="24588" ht="14.25" customHeight="1">
      <c r="A24588" s="740"/>
    </row>
    <row r="24589" ht="14.25" customHeight="1">
      <c r="A24589" s="740"/>
    </row>
    <row r="24590" ht="14.25" customHeight="1">
      <c r="A24590" s="740"/>
    </row>
    <row r="24591" ht="14.25" customHeight="1">
      <c r="A24591" s="740"/>
    </row>
    <row r="24592" ht="14.25" customHeight="1">
      <c r="A24592" s="740"/>
    </row>
    <row r="24593" ht="14.25" customHeight="1">
      <c r="A24593" s="740"/>
    </row>
    <row r="24594" ht="14.25" customHeight="1">
      <c r="A24594" s="740"/>
    </row>
    <row r="24595" ht="14.25" customHeight="1">
      <c r="A24595" s="740"/>
    </row>
    <row r="24596" ht="14.25" customHeight="1">
      <c r="A24596" s="740"/>
    </row>
    <row r="24597" ht="14.25" customHeight="1">
      <c r="A24597" s="740"/>
    </row>
    <row r="24598" ht="14.25" customHeight="1">
      <c r="A24598" s="740"/>
    </row>
    <row r="24599" ht="14.25" customHeight="1">
      <c r="A24599" s="740"/>
    </row>
    <row r="24600" ht="14.25" customHeight="1">
      <c r="A24600" s="740"/>
    </row>
    <row r="24601" ht="14.25" customHeight="1">
      <c r="A24601" s="740"/>
    </row>
    <row r="24602" ht="14.25" customHeight="1">
      <c r="A24602" s="740"/>
    </row>
    <row r="24603" ht="14.25" customHeight="1">
      <c r="A24603" s="740"/>
    </row>
    <row r="24604" ht="14.25" customHeight="1">
      <c r="A24604" s="740"/>
    </row>
    <row r="24605" ht="14.25" customHeight="1">
      <c r="A24605" s="740"/>
    </row>
    <row r="24606" ht="14.25" customHeight="1">
      <c r="A24606" s="740"/>
    </row>
    <row r="24607" ht="14.25" customHeight="1">
      <c r="A24607" s="740"/>
    </row>
    <row r="24608" ht="14.25" customHeight="1">
      <c r="A24608" s="740"/>
    </row>
    <row r="24609" ht="14.25" customHeight="1">
      <c r="A24609" s="740"/>
    </row>
    <row r="24610" ht="14.25" customHeight="1">
      <c r="A24610" s="740"/>
    </row>
    <row r="24611" ht="14.25" customHeight="1">
      <c r="A24611" s="740"/>
    </row>
    <row r="24612" ht="14.25" customHeight="1">
      <c r="A24612" s="740"/>
    </row>
    <row r="24613" ht="14.25" customHeight="1">
      <c r="A24613" s="740"/>
    </row>
    <row r="24614" ht="14.25" customHeight="1">
      <c r="A24614" s="740"/>
    </row>
    <row r="24615" ht="14.25" customHeight="1">
      <c r="A24615" s="740"/>
    </row>
    <row r="24616" ht="14.25" customHeight="1">
      <c r="A24616" s="740"/>
    </row>
    <row r="24617" ht="14.25" customHeight="1">
      <c r="A24617" s="740"/>
    </row>
    <row r="24618" ht="14.25" customHeight="1">
      <c r="A24618" s="740"/>
    </row>
    <row r="24619" ht="14.25" customHeight="1">
      <c r="A24619" s="740"/>
    </row>
    <row r="24620" ht="14.25" customHeight="1">
      <c r="A24620" s="740"/>
    </row>
    <row r="24621" ht="14.25" customHeight="1">
      <c r="A24621" s="740"/>
    </row>
    <row r="24622" ht="14.25" customHeight="1">
      <c r="A24622" s="740"/>
    </row>
    <row r="24623" ht="14.25" customHeight="1">
      <c r="A24623" s="740"/>
    </row>
    <row r="24624" ht="14.25" customHeight="1">
      <c r="A24624" s="740"/>
    </row>
    <row r="24625" ht="14.25" customHeight="1">
      <c r="A24625" s="740"/>
    </row>
    <row r="24626" ht="14.25" customHeight="1">
      <c r="A24626" s="740"/>
    </row>
    <row r="24627" ht="14.25" customHeight="1">
      <c r="A24627" s="740"/>
    </row>
    <row r="24628" ht="14.25" customHeight="1">
      <c r="A24628" s="740"/>
    </row>
    <row r="24629" ht="14.25" customHeight="1">
      <c r="A24629" s="740"/>
    </row>
    <row r="24630" ht="14.25" customHeight="1">
      <c r="A24630" s="740"/>
    </row>
    <row r="24631" ht="14.25" customHeight="1">
      <c r="A24631" s="740"/>
    </row>
    <row r="24632" ht="14.25" customHeight="1">
      <c r="A24632" s="740"/>
    </row>
    <row r="24633" ht="14.25" customHeight="1">
      <c r="A24633" s="740"/>
    </row>
    <row r="24634" ht="14.25" customHeight="1">
      <c r="A24634" s="740"/>
    </row>
    <row r="24635" ht="14.25" customHeight="1">
      <c r="A24635" s="740"/>
    </row>
    <row r="24636" ht="14.25" customHeight="1">
      <c r="A24636" s="740"/>
    </row>
    <row r="24637" ht="14.25" customHeight="1">
      <c r="A24637" s="740"/>
    </row>
    <row r="24638" ht="14.25" customHeight="1">
      <c r="A24638" s="740"/>
    </row>
    <row r="24639" ht="14.25" customHeight="1">
      <c r="A24639" s="740"/>
    </row>
    <row r="24640" ht="14.25" customHeight="1">
      <c r="A24640" s="740"/>
    </row>
    <row r="24641" ht="14.25" customHeight="1">
      <c r="A24641" s="740"/>
    </row>
    <row r="24642" ht="14.25" customHeight="1">
      <c r="A24642" s="740"/>
    </row>
    <row r="24643" ht="14.25" customHeight="1">
      <c r="A24643" s="740"/>
    </row>
    <row r="24644" ht="14.25" customHeight="1">
      <c r="A24644" s="740"/>
    </row>
    <row r="24645" ht="14.25" customHeight="1">
      <c r="A24645" s="740"/>
    </row>
    <row r="24646" ht="14.25" customHeight="1">
      <c r="A24646" s="740"/>
    </row>
    <row r="24647" ht="14.25" customHeight="1">
      <c r="A24647" s="740"/>
    </row>
    <row r="24648" ht="14.25" customHeight="1">
      <c r="A24648" s="740"/>
    </row>
    <row r="24649" ht="14.25" customHeight="1">
      <c r="A24649" s="740"/>
    </row>
    <row r="24650" ht="14.25" customHeight="1">
      <c r="A24650" s="740"/>
    </row>
    <row r="24651" ht="14.25" customHeight="1">
      <c r="A24651" s="740"/>
    </row>
    <row r="24652" ht="14.25" customHeight="1">
      <c r="A24652" s="740"/>
    </row>
    <row r="24653" ht="14.25" customHeight="1">
      <c r="A24653" s="740"/>
    </row>
    <row r="24654" ht="14.25" customHeight="1">
      <c r="A24654" s="740"/>
    </row>
    <row r="24655" ht="14.25" customHeight="1">
      <c r="A24655" s="740"/>
    </row>
    <row r="24656" ht="14.25" customHeight="1">
      <c r="A24656" s="740"/>
    </row>
    <row r="24657" ht="14.25" customHeight="1">
      <c r="A24657" s="740"/>
    </row>
    <row r="24658" ht="14.25" customHeight="1">
      <c r="A24658" s="740"/>
    </row>
    <row r="24659" ht="14.25" customHeight="1">
      <c r="A24659" s="740"/>
    </row>
    <row r="24660" ht="14.25" customHeight="1">
      <c r="A24660" s="740"/>
    </row>
    <row r="24661" ht="14.25" customHeight="1">
      <c r="A24661" s="740"/>
    </row>
    <row r="24662" ht="14.25" customHeight="1">
      <c r="A24662" s="740"/>
    </row>
    <row r="24663" ht="14.25" customHeight="1">
      <c r="A24663" s="740"/>
    </row>
    <row r="24664" ht="14.25" customHeight="1">
      <c r="A24664" s="740"/>
    </row>
    <row r="24665" ht="14.25" customHeight="1">
      <c r="A24665" s="740"/>
    </row>
    <row r="24666" ht="14.25" customHeight="1">
      <c r="A24666" s="740"/>
    </row>
    <row r="24667" ht="14.25" customHeight="1">
      <c r="A24667" s="740"/>
    </row>
    <row r="24668" ht="14.25" customHeight="1">
      <c r="A24668" s="740"/>
    </row>
    <row r="24669" ht="14.25" customHeight="1">
      <c r="A24669" s="740"/>
    </row>
    <row r="24670" ht="14.25" customHeight="1">
      <c r="A24670" s="740"/>
    </row>
    <row r="24671" ht="14.25" customHeight="1">
      <c r="A24671" s="740"/>
    </row>
    <row r="24672" ht="14.25" customHeight="1">
      <c r="A24672" s="740"/>
    </row>
    <row r="24673" ht="14.25" customHeight="1">
      <c r="A24673" s="740"/>
    </row>
    <row r="24674" ht="14.25" customHeight="1">
      <c r="A24674" s="740"/>
    </row>
    <row r="24675" ht="14.25" customHeight="1">
      <c r="A24675" s="740"/>
    </row>
    <row r="24676" ht="14.25" customHeight="1">
      <c r="A24676" s="740"/>
    </row>
    <row r="24677" ht="14.25" customHeight="1">
      <c r="A24677" s="740"/>
    </row>
    <row r="24678" ht="14.25" customHeight="1">
      <c r="A24678" s="740"/>
    </row>
    <row r="24679" ht="14.25" customHeight="1">
      <c r="A24679" s="740"/>
    </row>
    <row r="24680" ht="14.25" customHeight="1">
      <c r="A24680" s="740"/>
    </row>
    <row r="24681" ht="14.25" customHeight="1">
      <c r="A24681" s="740"/>
    </row>
    <row r="24682" ht="14.25" customHeight="1">
      <c r="A24682" s="740"/>
    </row>
    <row r="24683" ht="14.25" customHeight="1">
      <c r="A24683" s="740"/>
    </row>
    <row r="24684" ht="14.25" customHeight="1">
      <c r="A24684" s="740"/>
    </row>
    <row r="24685" ht="14.25" customHeight="1">
      <c r="A24685" s="740"/>
    </row>
    <row r="24686" ht="14.25" customHeight="1">
      <c r="A24686" s="740"/>
    </row>
    <row r="24687" ht="14.25" customHeight="1">
      <c r="A24687" s="740"/>
    </row>
    <row r="24688" ht="14.25" customHeight="1">
      <c r="A24688" s="740"/>
    </row>
    <row r="24689" ht="14.25" customHeight="1">
      <c r="A24689" s="740"/>
    </row>
    <row r="24690" ht="14.25" customHeight="1">
      <c r="A24690" s="740"/>
    </row>
    <row r="24691" ht="14.25" customHeight="1">
      <c r="A24691" s="740"/>
    </row>
    <row r="24692" ht="14.25" customHeight="1">
      <c r="A24692" s="740"/>
    </row>
    <row r="24693" ht="14.25" customHeight="1">
      <c r="A24693" s="740"/>
    </row>
    <row r="24694" ht="14.25" customHeight="1">
      <c r="A24694" s="740"/>
    </row>
    <row r="24695" ht="14.25" customHeight="1">
      <c r="A24695" s="740"/>
    </row>
    <row r="24696" ht="14.25" customHeight="1">
      <c r="A24696" s="740"/>
    </row>
    <row r="24697" ht="14.25" customHeight="1">
      <c r="A24697" s="740"/>
    </row>
    <row r="24698" ht="14.25" customHeight="1">
      <c r="A24698" s="740"/>
    </row>
    <row r="24699" ht="14.25" customHeight="1">
      <c r="A24699" s="740"/>
    </row>
    <row r="24700" ht="14.25" customHeight="1">
      <c r="A24700" s="740"/>
    </row>
    <row r="24701" ht="14.25" customHeight="1">
      <c r="A24701" s="740"/>
    </row>
    <row r="24702" ht="14.25" customHeight="1">
      <c r="A24702" s="740"/>
    </row>
    <row r="24703" ht="14.25" customHeight="1">
      <c r="A24703" s="740"/>
    </row>
    <row r="24704" ht="14.25" customHeight="1">
      <c r="A24704" s="740"/>
    </row>
    <row r="24705" ht="14.25" customHeight="1">
      <c r="A24705" s="740"/>
    </row>
    <row r="24706" ht="14.25" customHeight="1">
      <c r="A24706" s="740"/>
    </row>
    <row r="24707" ht="14.25" customHeight="1">
      <c r="A24707" s="740"/>
    </row>
    <row r="24708" ht="14.25" customHeight="1">
      <c r="A24708" s="740"/>
    </row>
    <row r="24709" ht="14.25" customHeight="1">
      <c r="A24709" s="740"/>
    </row>
    <row r="24710" ht="14.25" customHeight="1">
      <c r="A24710" s="740"/>
    </row>
    <row r="24711" ht="14.25" customHeight="1">
      <c r="A24711" s="740"/>
    </row>
    <row r="24712" ht="14.25" customHeight="1">
      <c r="A24712" s="740"/>
    </row>
    <row r="24713" ht="14.25" customHeight="1">
      <c r="A24713" s="740"/>
    </row>
    <row r="24714" ht="14.25" customHeight="1">
      <c r="A24714" s="740"/>
    </row>
    <row r="24715" ht="14.25" customHeight="1">
      <c r="A24715" s="740"/>
    </row>
    <row r="24716" ht="14.25" customHeight="1">
      <c r="A24716" s="740"/>
    </row>
    <row r="24717" ht="14.25" customHeight="1">
      <c r="A24717" s="740"/>
    </row>
    <row r="24718" ht="14.25" customHeight="1">
      <c r="A24718" s="740"/>
    </row>
    <row r="24719" ht="14.25" customHeight="1">
      <c r="A24719" s="740"/>
    </row>
    <row r="24720" ht="14.25" customHeight="1">
      <c r="A24720" s="740"/>
    </row>
    <row r="24721" ht="14.25" customHeight="1">
      <c r="A24721" s="740"/>
    </row>
    <row r="24722" ht="14.25" customHeight="1">
      <c r="A24722" s="740"/>
    </row>
    <row r="24723" ht="14.25" customHeight="1">
      <c r="A24723" s="740"/>
    </row>
    <row r="24724" ht="14.25" customHeight="1">
      <c r="A24724" s="740"/>
    </row>
    <row r="24725" ht="14.25" customHeight="1">
      <c r="A24725" s="740"/>
    </row>
    <row r="24726" ht="14.25" customHeight="1">
      <c r="A24726" s="740"/>
    </row>
    <row r="24727" ht="14.25" customHeight="1">
      <c r="A24727" s="740"/>
    </row>
    <row r="24728" ht="14.25" customHeight="1">
      <c r="A24728" s="740"/>
    </row>
    <row r="24729" ht="14.25" customHeight="1">
      <c r="A24729" s="740"/>
    </row>
    <row r="24730" ht="14.25" customHeight="1">
      <c r="A24730" s="740"/>
    </row>
    <row r="24731" ht="14.25" customHeight="1">
      <c r="A24731" s="740"/>
    </row>
    <row r="24732" ht="14.25" customHeight="1">
      <c r="A24732" s="740"/>
    </row>
    <row r="24733" ht="14.25" customHeight="1">
      <c r="A24733" s="740"/>
    </row>
    <row r="24734" ht="14.25" customHeight="1">
      <c r="A24734" s="740"/>
    </row>
    <row r="24735" ht="14.25" customHeight="1">
      <c r="A24735" s="740"/>
    </row>
    <row r="24736" ht="14.25" customHeight="1">
      <c r="A24736" s="740"/>
    </row>
    <row r="24737" ht="14.25" customHeight="1">
      <c r="A24737" s="740"/>
    </row>
    <row r="24738" ht="14.25" customHeight="1">
      <c r="A24738" s="740"/>
    </row>
    <row r="24739" ht="14.25" customHeight="1">
      <c r="A24739" s="740"/>
    </row>
    <row r="24740" ht="14.25" customHeight="1">
      <c r="A24740" s="740"/>
    </row>
    <row r="24741" ht="14.25" customHeight="1">
      <c r="A24741" s="740"/>
    </row>
    <row r="24742" ht="14.25" customHeight="1">
      <c r="A24742" s="740"/>
    </row>
    <row r="24743" ht="14.25" customHeight="1">
      <c r="A24743" s="740"/>
    </row>
    <row r="24744" ht="14.25" customHeight="1">
      <c r="A24744" s="740"/>
    </row>
    <row r="24745" ht="14.25" customHeight="1">
      <c r="A24745" s="740"/>
    </row>
    <row r="24746" ht="14.25" customHeight="1">
      <c r="A24746" s="740"/>
    </row>
    <row r="24747" ht="14.25" customHeight="1">
      <c r="A24747" s="740"/>
    </row>
    <row r="24748" ht="14.25" customHeight="1">
      <c r="A24748" s="740"/>
    </row>
    <row r="24749" ht="14.25" customHeight="1">
      <c r="A24749" s="740"/>
    </row>
    <row r="24750" ht="14.25" customHeight="1">
      <c r="A24750" s="740"/>
    </row>
    <row r="24751" ht="14.25" customHeight="1">
      <c r="A24751" s="740"/>
    </row>
    <row r="24752" ht="14.25" customHeight="1">
      <c r="A24752" s="740"/>
    </row>
    <row r="24753" ht="14.25" customHeight="1">
      <c r="A24753" s="740"/>
    </row>
    <row r="24754" ht="14.25" customHeight="1">
      <c r="A24754" s="740"/>
    </row>
    <row r="24755" ht="14.25" customHeight="1">
      <c r="A24755" s="740"/>
    </row>
    <row r="24756" ht="14.25" customHeight="1">
      <c r="A24756" s="740"/>
    </row>
    <row r="24757" ht="14.25" customHeight="1">
      <c r="A24757" s="740"/>
    </row>
    <row r="24758" ht="14.25" customHeight="1">
      <c r="A24758" s="740"/>
    </row>
    <row r="24759" ht="14.25" customHeight="1">
      <c r="A24759" s="740"/>
    </row>
    <row r="24760" ht="14.25" customHeight="1">
      <c r="A24760" s="740"/>
    </row>
    <row r="24761" ht="14.25" customHeight="1">
      <c r="A24761" s="740"/>
    </row>
    <row r="24762" ht="14.25" customHeight="1">
      <c r="A24762" s="740"/>
    </row>
    <row r="24763" ht="14.25" customHeight="1">
      <c r="A24763" s="740"/>
    </row>
    <row r="24764" ht="14.25" customHeight="1">
      <c r="A24764" s="740"/>
    </row>
    <row r="24765" ht="14.25" customHeight="1">
      <c r="A24765" s="740"/>
    </row>
    <row r="24766" ht="14.25" customHeight="1">
      <c r="A24766" s="740"/>
    </row>
    <row r="24767" ht="14.25" customHeight="1">
      <c r="A24767" s="740"/>
    </row>
    <row r="24768" ht="14.25" customHeight="1">
      <c r="A24768" s="740"/>
    </row>
    <row r="24769" ht="14.25" customHeight="1">
      <c r="A24769" s="740"/>
    </row>
    <row r="24770" ht="14.25" customHeight="1">
      <c r="A24770" s="740"/>
    </row>
    <row r="24771" ht="14.25" customHeight="1">
      <c r="A24771" s="740"/>
    </row>
    <row r="24772" ht="14.25" customHeight="1">
      <c r="A24772" s="740"/>
    </row>
    <row r="24773" ht="14.25" customHeight="1">
      <c r="A24773" s="740"/>
    </row>
    <row r="24774" ht="14.25" customHeight="1">
      <c r="A24774" s="740"/>
    </row>
    <row r="24775" ht="14.25" customHeight="1">
      <c r="A24775" s="740"/>
    </row>
    <row r="24776" ht="14.25" customHeight="1">
      <c r="A24776" s="740"/>
    </row>
    <row r="24777" ht="14.25" customHeight="1">
      <c r="A24777" s="740"/>
    </row>
    <row r="24778" ht="14.25" customHeight="1">
      <c r="A24778" s="740"/>
    </row>
    <row r="24779" ht="14.25" customHeight="1">
      <c r="A24779" s="740"/>
    </row>
    <row r="24780" ht="14.25" customHeight="1">
      <c r="A24780" s="740"/>
    </row>
    <row r="24781" ht="14.25" customHeight="1">
      <c r="A24781" s="740"/>
    </row>
    <row r="24782" ht="14.25" customHeight="1">
      <c r="A24782" s="740"/>
    </row>
    <row r="24783" ht="14.25" customHeight="1">
      <c r="A24783" s="740"/>
    </row>
    <row r="24784" ht="14.25" customHeight="1">
      <c r="A24784" s="740"/>
    </row>
    <row r="24785" ht="14.25" customHeight="1">
      <c r="A24785" s="740"/>
    </row>
    <row r="24786" ht="14.25" customHeight="1">
      <c r="A24786" s="740"/>
    </row>
    <row r="24787" ht="14.25" customHeight="1">
      <c r="A24787" s="740"/>
    </row>
    <row r="24788" ht="14.25" customHeight="1">
      <c r="A24788" s="740"/>
    </row>
    <row r="24789" ht="14.25" customHeight="1">
      <c r="A24789" s="740"/>
    </row>
    <row r="24790" ht="14.25" customHeight="1">
      <c r="A24790" s="740"/>
    </row>
    <row r="24791" ht="14.25" customHeight="1">
      <c r="A24791" s="740"/>
    </row>
    <row r="24792" ht="14.25" customHeight="1">
      <c r="A24792" s="740"/>
    </row>
    <row r="24793" ht="14.25" customHeight="1">
      <c r="A24793" s="740"/>
    </row>
    <row r="24794" ht="14.25" customHeight="1">
      <c r="A24794" s="740"/>
    </row>
    <row r="24795" ht="14.25" customHeight="1">
      <c r="A24795" s="740"/>
    </row>
    <row r="24796" ht="14.25" customHeight="1">
      <c r="A24796" s="740"/>
    </row>
    <row r="24797" ht="14.25" customHeight="1">
      <c r="A24797" s="740"/>
    </row>
    <row r="24798" ht="14.25" customHeight="1">
      <c r="A24798" s="740"/>
    </row>
    <row r="24799" ht="14.25" customHeight="1">
      <c r="A24799" s="740"/>
    </row>
    <row r="24800" ht="14.25" customHeight="1">
      <c r="A24800" s="740"/>
    </row>
    <row r="24801" ht="14.25" customHeight="1">
      <c r="A24801" s="740"/>
    </row>
    <row r="24802" ht="14.25" customHeight="1">
      <c r="A24802" s="740"/>
    </row>
    <row r="24803" ht="14.25" customHeight="1">
      <c r="A24803" s="740"/>
    </row>
    <row r="24804" ht="14.25" customHeight="1">
      <c r="A24804" s="740"/>
    </row>
    <row r="24805" ht="14.25" customHeight="1">
      <c r="A24805" s="740"/>
    </row>
    <row r="24806" ht="14.25" customHeight="1">
      <c r="A24806" s="740"/>
    </row>
    <row r="24807" ht="14.25" customHeight="1">
      <c r="A24807" s="740"/>
    </row>
    <row r="24808" ht="14.25" customHeight="1">
      <c r="A24808" s="740"/>
    </row>
    <row r="24809" ht="14.25" customHeight="1">
      <c r="A24809" s="740"/>
    </row>
    <row r="24810" ht="14.25" customHeight="1">
      <c r="A24810" s="740"/>
    </row>
    <row r="24811" ht="14.25" customHeight="1">
      <c r="A24811" s="740"/>
    </row>
    <row r="24812" ht="14.25" customHeight="1">
      <c r="A24812" s="740"/>
    </row>
    <row r="24813" ht="14.25" customHeight="1">
      <c r="A24813" s="740"/>
    </row>
    <row r="24814" ht="14.25" customHeight="1">
      <c r="A24814" s="740"/>
    </row>
    <row r="24815" ht="14.25" customHeight="1">
      <c r="A24815" s="740"/>
    </row>
    <row r="24816" ht="14.25" customHeight="1">
      <c r="A24816" s="740"/>
    </row>
    <row r="24817" ht="14.25" customHeight="1">
      <c r="A24817" s="740"/>
    </row>
    <row r="24818" ht="14.25" customHeight="1">
      <c r="A24818" s="740"/>
    </row>
    <row r="24819" ht="14.25" customHeight="1">
      <c r="A24819" s="740"/>
    </row>
    <row r="24820" ht="14.25" customHeight="1">
      <c r="A24820" s="740"/>
    </row>
    <row r="24821" ht="14.25" customHeight="1">
      <c r="A24821" s="740"/>
    </row>
    <row r="24822" ht="14.25" customHeight="1">
      <c r="A24822" s="740"/>
    </row>
    <row r="24823" ht="14.25" customHeight="1">
      <c r="A24823" s="740"/>
    </row>
    <row r="24824" ht="14.25" customHeight="1">
      <c r="A24824" s="740"/>
    </row>
    <row r="24825" ht="14.25" customHeight="1">
      <c r="A24825" s="740"/>
    </row>
    <row r="24826" ht="14.25" customHeight="1">
      <c r="A24826" s="740"/>
    </row>
    <row r="24827" ht="14.25" customHeight="1">
      <c r="A24827" s="740"/>
    </row>
    <row r="24828" ht="14.25" customHeight="1">
      <c r="A24828" s="740"/>
    </row>
    <row r="24829" ht="14.25" customHeight="1">
      <c r="A24829" s="740"/>
    </row>
    <row r="24830" ht="14.25" customHeight="1">
      <c r="A24830" s="740"/>
    </row>
    <row r="24831" ht="14.25" customHeight="1">
      <c r="A24831" s="740"/>
    </row>
    <row r="24832" ht="14.25" customHeight="1">
      <c r="A24832" s="740"/>
    </row>
    <row r="24833" ht="14.25" customHeight="1">
      <c r="A24833" s="740"/>
    </row>
    <row r="24834" ht="14.25" customHeight="1">
      <c r="A24834" s="740"/>
    </row>
    <row r="24835" ht="14.25" customHeight="1">
      <c r="A24835" s="740"/>
    </row>
    <row r="24836" ht="14.25" customHeight="1">
      <c r="A24836" s="740"/>
    </row>
    <row r="24837" ht="14.25" customHeight="1">
      <c r="A24837" s="740"/>
    </row>
    <row r="24838" ht="14.25" customHeight="1">
      <c r="A24838" s="740"/>
    </row>
    <row r="24839" ht="14.25" customHeight="1">
      <c r="A24839" s="740"/>
    </row>
    <row r="24840" ht="14.25" customHeight="1">
      <c r="A24840" s="740"/>
    </row>
    <row r="24841" ht="14.25" customHeight="1">
      <c r="A24841" s="740"/>
    </row>
    <row r="24842" ht="14.25" customHeight="1">
      <c r="A24842" s="740"/>
    </row>
    <row r="24843" ht="14.25" customHeight="1">
      <c r="A24843" s="740"/>
    </row>
    <row r="24844" ht="14.25" customHeight="1">
      <c r="A24844" s="740"/>
    </row>
    <row r="24845" ht="14.25" customHeight="1">
      <c r="A24845" s="740"/>
    </row>
    <row r="24846" ht="14.25" customHeight="1">
      <c r="A24846" s="740"/>
    </row>
    <row r="24847" ht="14.25" customHeight="1">
      <c r="A24847" s="740"/>
    </row>
    <row r="24848" ht="14.25" customHeight="1">
      <c r="A24848" s="740"/>
    </row>
    <row r="24849" ht="14.25" customHeight="1">
      <c r="A24849" s="740"/>
    </row>
    <row r="24850" ht="14.25" customHeight="1">
      <c r="A24850" s="740"/>
    </row>
    <row r="24851" ht="14.25" customHeight="1">
      <c r="A24851" s="740"/>
    </row>
    <row r="24852" ht="14.25" customHeight="1">
      <c r="A24852" s="740"/>
    </row>
    <row r="24853" ht="14.25" customHeight="1">
      <c r="A24853" s="740"/>
    </row>
    <row r="24854" ht="14.25" customHeight="1">
      <c r="A24854" s="740"/>
    </row>
    <row r="24855" ht="14.25" customHeight="1">
      <c r="A24855" s="740"/>
    </row>
    <row r="24856" ht="14.25" customHeight="1">
      <c r="A24856" s="740"/>
    </row>
    <row r="24857" ht="14.25" customHeight="1">
      <c r="A24857" s="740"/>
    </row>
    <row r="24858" ht="14.25" customHeight="1">
      <c r="A24858" s="740"/>
    </row>
    <row r="24859" ht="14.25" customHeight="1">
      <c r="A24859" s="740"/>
    </row>
    <row r="24860" ht="14.25" customHeight="1">
      <c r="A24860" s="740"/>
    </row>
    <row r="24861" ht="14.25" customHeight="1">
      <c r="A24861" s="740"/>
    </row>
    <row r="24862" ht="14.25" customHeight="1">
      <c r="A24862" s="740"/>
    </row>
    <row r="24863" ht="14.25" customHeight="1">
      <c r="A24863" s="740"/>
    </row>
    <row r="24864" ht="14.25" customHeight="1">
      <c r="A24864" s="740"/>
    </row>
    <row r="24865" ht="14.25" customHeight="1">
      <c r="A24865" s="740"/>
    </row>
    <row r="24866" ht="14.25" customHeight="1">
      <c r="A24866" s="740"/>
    </row>
    <row r="24867" ht="14.25" customHeight="1">
      <c r="A24867" s="740"/>
    </row>
    <row r="24868" ht="14.25" customHeight="1">
      <c r="A24868" s="740"/>
    </row>
    <row r="24869" ht="14.25" customHeight="1">
      <c r="A24869" s="740"/>
    </row>
    <row r="24870" ht="14.25" customHeight="1">
      <c r="A24870" s="740"/>
    </row>
    <row r="24871" ht="14.25" customHeight="1">
      <c r="A24871" s="740"/>
    </row>
    <row r="24872" ht="14.25" customHeight="1">
      <c r="A24872" s="740"/>
    </row>
    <row r="24873" ht="14.25" customHeight="1">
      <c r="A24873" s="740"/>
    </row>
    <row r="24874" ht="14.25" customHeight="1">
      <c r="A24874" s="740"/>
    </row>
    <row r="24875" ht="14.25" customHeight="1">
      <c r="A24875" s="740"/>
    </row>
    <row r="24876" ht="14.25" customHeight="1">
      <c r="A24876" s="740"/>
    </row>
    <row r="24877" ht="14.25" customHeight="1">
      <c r="A24877" s="740"/>
    </row>
    <row r="24878" ht="14.25" customHeight="1">
      <c r="A24878" s="740"/>
    </row>
    <row r="24879" ht="14.25" customHeight="1">
      <c r="A24879" s="740"/>
    </row>
    <row r="24880" ht="14.25" customHeight="1">
      <c r="A24880" s="740"/>
    </row>
    <row r="24881" ht="14.25" customHeight="1">
      <c r="A24881" s="740"/>
    </row>
    <row r="24882" ht="14.25" customHeight="1">
      <c r="A24882" s="740"/>
    </row>
    <row r="24883" ht="14.25" customHeight="1">
      <c r="A24883" s="740"/>
    </row>
    <row r="24884" ht="14.25" customHeight="1">
      <c r="A24884" s="740"/>
    </row>
    <row r="24885" ht="14.25" customHeight="1">
      <c r="A24885" s="740"/>
    </row>
    <row r="24886" ht="14.25" customHeight="1">
      <c r="A24886" s="740"/>
    </row>
    <row r="24887" ht="14.25" customHeight="1">
      <c r="A24887" s="740"/>
    </row>
    <row r="24888" ht="14.25" customHeight="1">
      <c r="A24888" s="740"/>
    </row>
    <row r="24889" ht="14.25" customHeight="1">
      <c r="A24889" s="740"/>
    </row>
    <row r="24890" ht="14.25" customHeight="1">
      <c r="A24890" s="740"/>
    </row>
    <row r="24891" ht="14.25" customHeight="1">
      <c r="A24891" s="740"/>
    </row>
    <row r="24892" ht="14.25" customHeight="1">
      <c r="A24892" s="740"/>
    </row>
    <row r="24893" ht="14.25" customHeight="1">
      <c r="A24893" s="740"/>
    </row>
    <row r="24894" ht="14.25" customHeight="1">
      <c r="A24894" s="740"/>
    </row>
    <row r="24895" ht="14.25" customHeight="1">
      <c r="A24895" s="740"/>
    </row>
    <row r="24896" ht="14.25" customHeight="1">
      <c r="A24896" s="740"/>
    </row>
    <row r="24897" ht="14.25" customHeight="1">
      <c r="A24897" s="740"/>
    </row>
    <row r="24898" ht="14.25" customHeight="1">
      <c r="A24898" s="740"/>
    </row>
    <row r="24899" ht="14.25" customHeight="1">
      <c r="A24899" s="740"/>
    </row>
    <row r="24900" ht="14.25" customHeight="1">
      <c r="A24900" s="740"/>
    </row>
    <row r="24901" ht="14.25" customHeight="1">
      <c r="A24901" s="740"/>
    </row>
    <row r="24902" ht="14.25" customHeight="1">
      <c r="A24902" s="740"/>
    </row>
    <row r="24903" ht="14.25" customHeight="1">
      <c r="A24903" s="740"/>
    </row>
    <row r="24904" ht="14.25" customHeight="1">
      <c r="A24904" s="740"/>
    </row>
    <row r="24905" ht="14.25" customHeight="1">
      <c r="A24905" s="740"/>
    </row>
    <row r="24906" ht="14.25" customHeight="1">
      <c r="A24906" s="740"/>
    </row>
    <row r="24907" ht="14.25" customHeight="1">
      <c r="A24907" s="740"/>
    </row>
    <row r="24908" ht="14.25" customHeight="1">
      <c r="A24908" s="740"/>
    </row>
    <row r="24909" ht="14.25" customHeight="1">
      <c r="A24909" s="740"/>
    </row>
    <row r="24910" ht="14.25" customHeight="1">
      <c r="A24910" s="740"/>
    </row>
    <row r="24911" ht="14.25" customHeight="1">
      <c r="A24911" s="740"/>
    </row>
    <row r="24912" ht="14.25" customHeight="1">
      <c r="A24912" s="740"/>
    </row>
    <row r="24913" ht="14.25" customHeight="1">
      <c r="A24913" s="740"/>
    </row>
    <row r="24914" ht="14.25" customHeight="1">
      <c r="A24914" s="740"/>
    </row>
    <row r="24915" ht="14.25" customHeight="1">
      <c r="A24915" s="740"/>
    </row>
    <row r="24916" ht="14.25" customHeight="1">
      <c r="A24916" s="740"/>
    </row>
    <row r="24917" ht="14.25" customHeight="1">
      <c r="A24917" s="740"/>
    </row>
    <row r="24918" ht="14.25" customHeight="1">
      <c r="A24918" s="740"/>
    </row>
    <row r="24919" ht="14.25" customHeight="1">
      <c r="A24919" s="740"/>
    </row>
    <row r="24920" ht="14.25" customHeight="1">
      <c r="A24920" s="740"/>
    </row>
    <row r="24921" ht="14.25" customHeight="1">
      <c r="A24921" s="740"/>
    </row>
    <row r="24922" ht="14.25" customHeight="1">
      <c r="A24922" s="740"/>
    </row>
    <row r="24923" ht="14.25" customHeight="1">
      <c r="A24923" s="740"/>
    </row>
    <row r="24924" ht="14.25" customHeight="1">
      <c r="A24924" s="740"/>
    </row>
    <row r="24925" ht="14.25" customHeight="1">
      <c r="A24925" s="740"/>
    </row>
    <row r="24926" ht="14.25" customHeight="1">
      <c r="A24926" s="740"/>
    </row>
    <row r="24927" ht="14.25" customHeight="1">
      <c r="A24927" s="740"/>
    </row>
    <row r="24928" ht="14.25" customHeight="1">
      <c r="A24928" s="740"/>
    </row>
    <row r="24929" ht="14.25" customHeight="1">
      <c r="A24929" s="740"/>
    </row>
    <row r="24930" ht="14.25" customHeight="1">
      <c r="A24930" s="740"/>
    </row>
    <row r="24931" ht="14.25" customHeight="1">
      <c r="A24931" s="740"/>
    </row>
    <row r="24932" ht="14.25" customHeight="1">
      <c r="A24932" s="740"/>
    </row>
    <row r="24933" ht="14.25" customHeight="1">
      <c r="A24933" s="740"/>
    </row>
    <row r="24934" ht="14.25" customHeight="1">
      <c r="A24934" s="740"/>
    </row>
    <row r="24935" ht="14.25" customHeight="1">
      <c r="A24935" s="740"/>
    </row>
    <row r="24936" ht="14.25" customHeight="1">
      <c r="A24936" s="740"/>
    </row>
    <row r="24937" ht="14.25" customHeight="1">
      <c r="A24937" s="740"/>
    </row>
    <row r="24938" ht="14.25" customHeight="1">
      <c r="A24938" s="740"/>
    </row>
    <row r="24939" ht="14.25" customHeight="1">
      <c r="A24939" s="740"/>
    </row>
    <row r="24940" ht="14.25" customHeight="1">
      <c r="A24940" s="740"/>
    </row>
    <row r="24941" ht="14.25" customHeight="1">
      <c r="A24941" s="740"/>
    </row>
    <row r="24942" ht="14.25" customHeight="1">
      <c r="A24942" s="740"/>
    </row>
    <row r="24943" ht="14.25" customHeight="1">
      <c r="A24943" s="740"/>
    </row>
    <row r="24944" ht="14.25" customHeight="1">
      <c r="A24944" s="740"/>
    </row>
    <row r="24945" ht="14.25" customHeight="1">
      <c r="A24945" s="740"/>
    </row>
    <row r="24946" ht="14.25" customHeight="1">
      <c r="A24946" s="740"/>
    </row>
    <row r="24947" ht="14.25" customHeight="1">
      <c r="A24947" s="740"/>
    </row>
    <row r="24948" ht="14.25" customHeight="1">
      <c r="A24948" s="740"/>
    </row>
    <row r="24949" ht="14.25" customHeight="1">
      <c r="A24949" s="740"/>
    </row>
    <row r="24950" ht="14.25" customHeight="1">
      <c r="A24950" s="740"/>
    </row>
    <row r="24951" ht="14.25" customHeight="1">
      <c r="A24951" s="740"/>
    </row>
    <row r="24952" ht="14.25" customHeight="1">
      <c r="A24952" s="740"/>
    </row>
    <row r="24953" ht="14.25" customHeight="1">
      <c r="A24953" s="740"/>
    </row>
    <row r="24954" ht="14.25" customHeight="1">
      <c r="A24954" s="740"/>
    </row>
    <row r="24955" ht="14.25" customHeight="1">
      <c r="A24955" s="740"/>
    </row>
    <row r="24956" ht="14.25" customHeight="1">
      <c r="A24956" s="740"/>
    </row>
    <row r="24957" ht="14.25" customHeight="1">
      <c r="A24957" s="740"/>
    </row>
    <row r="24958" ht="14.25" customHeight="1">
      <c r="A24958" s="740"/>
    </row>
    <row r="24959" ht="14.25" customHeight="1">
      <c r="A24959" s="740"/>
    </row>
    <row r="24960" ht="14.25" customHeight="1">
      <c r="A24960" s="740"/>
    </row>
    <row r="24961" ht="14.25" customHeight="1">
      <c r="A24961" s="740"/>
    </row>
    <row r="24962" ht="14.25" customHeight="1">
      <c r="A24962" s="740"/>
    </row>
    <row r="24963" ht="14.25" customHeight="1">
      <c r="A24963" s="740"/>
    </row>
    <row r="24964" ht="14.25" customHeight="1">
      <c r="A24964" s="740"/>
    </row>
    <row r="24965" ht="14.25" customHeight="1">
      <c r="A24965" s="740"/>
    </row>
    <row r="24966" ht="14.25" customHeight="1">
      <c r="A24966" s="740"/>
    </row>
    <row r="24967" ht="14.25" customHeight="1">
      <c r="A24967" s="740"/>
    </row>
    <row r="24968" ht="14.25" customHeight="1">
      <c r="A24968" s="740"/>
    </row>
    <row r="24969" ht="14.25" customHeight="1">
      <c r="A24969" s="740"/>
    </row>
    <row r="24970" ht="14.25" customHeight="1">
      <c r="A24970" s="740"/>
    </row>
    <row r="24971" ht="14.25" customHeight="1">
      <c r="A24971" s="740"/>
    </row>
    <row r="24972" ht="14.25" customHeight="1">
      <c r="A24972" s="740"/>
    </row>
    <row r="24973" ht="14.25" customHeight="1">
      <c r="A24973" s="740"/>
    </row>
    <row r="24974" ht="14.25" customHeight="1">
      <c r="A24974" s="740"/>
    </row>
    <row r="24975" ht="14.25" customHeight="1">
      <c r="A24975" s="740"/>
    </row>
    <row r="24976" ht="14.25" customHeight="1">
      <c r="A24976" s="740"/>
    </row>
    <row r="24977" ht="14.25" customHeight="1">
      <c r="A24977" s="740"/>
    </row>
    <row r="24978" ht="14.25" customHeight="1">
      <c r="A24978" s="740"/>
    </row>
    <row r="24979" ht="14.25" customHeight="1">
      <c r="A24979" s="740"/>
    </row>
    <row r="24980" ht="14.25" customHeight="1">
      <c r="A24980" s="740"/>
    </row>
    <row r="24981" ht="14.25" customHeight="1">
      <c r="A24981" s="740"/>
    </row>
    <row r="24982" ht="14.25" customHeight="1">
      <c r="A24982" s="740"/>
    </row>
    <row r="24983" ht="14.25" customHeight="1">
      <c r="A24983" s="740"/>
    </row>
    <row r="24984" ht="14.25" customHeight="1">
      <c r="A24984" s="740"/>
    </row>
    <row r="24985" ht="14.25" customHeight="1">
      <c r="A24985" s="740"/>
    </row>
    <row r="24986" ht="14.25" customHeight="1">
      <c r="A24986" s="740"/>
    </row>
    <row r="24987" ht="14.25" customHeight="1">
      <c r="A24987" s="740"/>
    </row>
    <row r="24988" ht="14.25" customHeight="1">
      <c r="A24988" s="740"/>
    </row>
    <row r="24989" ht="14.25" customHeight="1">
      <c r="A24989" s="740"/>
    </row>
    <row r="24990" ht="14.25" customHeight="1">
      <c r="A24990" s="740"/>
    </row>
    <row r="24991" ht="14.25" customHeight="1">
      <c r="A24991" s="740"/>
    </row>
    <row r="24992" ht="14.25" customHeight="1">
      <c r="A24992" s="740"/>
    </row>
    <row r="24993" ht="14.25" customHeight="1">
      <c r="A24993" s="740"/>
    </row>
    <row r="24994" ht="14.25" customHeight="1">
      <c r="A24994" s="740"/>
    </row>
    <row r="24995" ht="14.25" customHeight="1">
      <c r="A24995" s="740"/>
    </row>
    <row r="24996" ht="14.25" customHeight="1">
      <c r="A24996" s="740"/>
    </row>
    <row r="24997" ht="14.25" customHeight="1">
      <c r="A24997" s="740"/>
    </row>
    <row r="24998" ht="14.25" customHeight="1">
      <c r="A24998" s="740"/>
    </row>
    <row r="24999" ht="14.25" customHeight="1">
      <c r="A24999" s="740"/>
    </row>
    <row r="25000" ht="14.25" customHeight="1">
      <c r="A25000" s="740"/>
    </row>
    <row r="25001" ht="14.25" customHeight="1">
      <c r="A25001" s="740"/>
    </row>
    <row r="25002" ht="14.25" customHeight="1">
      <c r="A25002" s="740"/>
    </row>
    <row r="25003" ht="14.25" customHeight="1">
      <c r="A25003" s="740"/>
    </row>
    <row r="25004" ht="14.25" customHeight="1">
      <c r="A25004" s="740"/>
    </row>
    <row r="25005" ht="14.25" customHeight="1">
      <c r="A25005" s="740"/>
    </row>
    <row r="25006" ht="14.25" customHeight="1">
      <c r="A25006" s="740"/>
    </row>
    <row r="25007" ht="14.25" customHeight="1">
      <c r="A25007" s="740"/>
    </row>
    <row r="25008" ht="14.25" customHeight="1">
      <c r="A25008" s="740"/>
    </row>
    <row r="25009" ht="14.25" customHeight="1">
      <c r="A25009" s="740"/>
    </row>
    <row r="25010" ht="14.25" customHeight="1">
      <c r="A25010" s="740"/>
    </row>
    <row r="25011" ht="14.25" customHeight="1">
      <c r="A25011" s="740"/>
    </row>
    <row r="25012" ht="14.25" customHeight="1">
      <c r="A25012" s="740"/>
    </row>
    <row r="25013" ht="14.25" customHeight="1">
      <c r="A25013" s="740"/>
    </row>
    <row r="25014" ht="14.25" customHeight="1">
      <c r="A25014" s="740"/>
    </row>
    <row r="25015" ht="14.25" customHeight="1">
      <c r="A25015" s="740"/>
    </row>
    <row r="25016" ht="14.25" customHeight="1">
      <c r="A25016" s="740"/>
    </row>
    <row r="25017" ht="14.25" customHeight="1">
      <c r="A25017" s="740"/>
    </row>
    <row r="25018" ht="14.25" customHeight="1">
      <c r="A25018" s="740"/>
    </row>
    <row r="25019" ht="14.25" customHeight="1">
      <c r="A25019" s="740"/>
    </row>
    <row r="25020" ht="14.25" customHeight="1">
      <c r="A25020" s="740"/>
    </row>
    <row r="25021" ht="14.25" customHeight="1">
      <c r="A25021" s="740"/>
    </row>
    <row r="25022" ht="14.25" customHeight="1">
      <c r="A25022" s="740"/>
    </row>
    <row r="25023" ht="14.25" customHeight="1">
      <c r="A25023" s="740"/>
    </row>
    <row r="25024" ht="14.25" customHeight="1">
      <c r="A25024" s="740"/>
    </row>
    <row r="25025" ht="14.25" customHeight="1">
      <c r="A25025" s="740"/>
    </row>
    <row r="25026" ht="14.25" customHeight="1">
      <c r="A25026" s="740"/>
    </row>
    <row r="25027" ht="14.25" customHeight="1">
      <c r="A25027" s="740"/>
    </row>
    <row r="25028" ht="14.25" customHeight="1">
      <c r="A25028" s="740"/>
    </row>
    <row r="25029" ht="14.25" customHeight="1">
      <c r="A25029" s="740"/>
    </row>
    <row r="25030" ht="14.25" customHeight="1">
      <c r="A25030" s="740"/>
    </row>
    <row r="25031" ht="14.25" customHeight="1">
      <c r="A25031" s="740"/>
    </row>
    <row r="25032" ht="14.25" customHeight="1">
      <c r="A25032" s="740"/>
    </row>
    <row r="25033" ht="14.25" customHeight="1">
      <c r="A25033" s="740"/>
    </row>
    <row r="25034" ht="14.25" customHeight="1">
      <c r="A25034" s="740"/>
    </row>
    <row r="25035" ht="14.25" customHeight="1">
      <c r="A25035" s="740"/>
    </row>
    <row r="25036" ht="14.25" customHeight="1">
      <c r="A25036" s="740"/>
    </row>
    <row r="25037" ht="14.25" customHeight="1">
      <c r="A25037" s="740"/>
    </row>
    <row r="25038" ht="14.25" customHeight="1">
      <c r="A25038" s="740"/>
    </row>
    <row r="25039" ht="14.25" customHeight="1">
      <c r="A25039" s="740"/>
    </row>
    <row r="25040" ht="14.25" customHeight="1">
      <c r="A25040" s="740"/>
    </row>
    <row r="25041" ht="14.25" customHeight="1">
      <c r="A25041" s="740"/>
    </row>
    <row r="25042" ht="14.25" customHeight="1">
      <c r="A25042" s="740"/>
    </row>
    <row r="25043" ht="14.25" customHeight="1">
      <c r="A25043" s="740"/>
    </row>
    <row r="25044" ht="14.25" customHeight="1">
      <c r="A25044" s="740"/>
    </row>
    <row r="25045" ht="14.25" customHeight="1">
      <c r="A25045" s="740"/>
    </row>
    <row r="25046" ht="14.25" customHeight="1">
      <c r="A25046" s="740"/>
    </row>
    <row r="25047" ht="14.25" customHeight="1">
      <c r="A25047" s="740"/>
    </row>
    <row r="25048" ht="14.25" customHeight="1">
      <c r="A25048" s="740"/>
    </row>
    <row r="25049" ht="14.25" customHeight="1">
      <c r="A25049" s="740"/>
    </row>
    <row r="25050" ht="14.25" customHeight="1">
      <c r="A25050" s="740"/>
    </row>
    <row r="25051" ht="14.25" customHeight="1">
      <c r="A25051" s="740"/>
    </row>
    <row r="25052" ht="14.25" customHeight="1">
      <c r="A25052" s="740"/>
    </row>
    <row r="25053" ht="14.25" customHeight="1">
      <c r="A25053" s="740"/>
    </row>
    <row r="25054" ht="14.25" customHeight="1">
      <c r="A25054" s="740"/>
    </row>
    <row r="25055" ht="14.25" customHeight="1">
      <c r="A25055" s="740"/>
    </row>
    <row r="25056" ht="14.25" customHeight="1">
      <c r="A25056" s="740"/>
    </row>
    <row r="25057" ht="14.25" customHeight="1">
      <c r="A25057" s="740"/>
    </row>
    <row r="25058" ht="14.25" customHeight="1">
      <c r="A25058" s="740"/>
    </row>
    <row r="25059" ht="14.25" customHeight="1">
      <c r="A25059" s="740"/>
    </row>
    <row r="25060" ht="14.25" customHeight="1">
      <c r="A25060" s="740"/>
    </row>
    <row r="25061" ht="14.25" customHeight="1">
      <c r="A25061" s="740"/>
    </row>
    <row r="25062" ht="14.25" customHeight="1">
      <c r="A25062" s="740"/>
    </row>
    <row r="25063" ht="14.25" customHeight="1">
      <c r="A25063" s="740"/>
    </row>
    <row r="25064" ht="14.25" customHeight="1">
      <c r="A25064" s="740"/>
    </row>
    <row r="25065" ht="14.25" customHeight="1">
      <c r="A25065" s="740"/>
    </row>
    <row r="25066" ht="14.25" customHeight="1">
      <c r="A25066" s="740"/>
    </row>
    <row r="25067" ht="14.25" customHeight="1">
      <c r="A25067" s="740"/>
    </row>
    <row r="25068" ht="14.25" customHeight="1">
      <c r="A25068" s="740"/>
    </row>
    <row r="25069" ht="14.25" customHeight="1">
      <c r="A25069" s="740"/>
    </row>
    <row r="25070" ht="14.25" customHeight="1">
      <c r="A25070" s="740"/>
    </row>
    <row r="25071" ht="14.25" customHeight="1">
      <c r="A25071" s="740"/>
    </row>
    <row r="25072" ht="14.25" customHeight="1">
      <c r="A25072" s="740"/>
    </row>
    <row r="25073" ht="14.25" customHeight="1">
      <c r="A25073" s="740"/>
    </row>
    <row r="25074" ht="14.25" customHeight="1">
      <c r="A25074" s="740"/>
    </row>
    <row r="25075" ht="14.25" customHeight="1">
      <c r="A25075" s="740"/>
    </row>
    <row r="25076" ht="14.25" customHeight="1">
      <c r="A25076" s="740"/>
    </row>
    <row r="25077" ht="14.25" customHeight="1">
      <c r="A25077" s="740"/>
    </row>
    <row r="25078" ht="14.25" customHeight="1">
      <c r="A25078" s="740"/>
    </row>
    <row r="25079" ht="14.25" customHeight="1">
      <c r="A25079" s="740"/>
    </row>
    <row r="25080" ht="14.25" customHeight="1">
      <c r="A25080" s="740"/>
    </row>
    <row r="25081" ht="14.25" customHeight="1">
      <c r="A25081" s="740"/>
    </row>
    <row r="25082" ht="14.25" customHeight="1">
      <c r="A25082" s="740"/>
    </row>
    <row r="25083" ht="14.25" customHeight="1">
      <c r="A25083" s="740"/>
    </row>
    <row r="25084" ht="14.25" customHeight="1">
      <c r="A25084" s="740"/>
    </row>
    <row r="25085" ht="14.25" customHeight="1">
      <c r="A25085" s="740"/>
    </row>
    <row r="25086" ht="14.25" customHeight="1">
      <c r="A25086" s="740"/>
    </row>
    <row r="25087" ht="14.25" customHeight="1">
      <c r="A25087" s="740"/>
    </row>
    <row r="25088" ht="14.25" customHeight="1">
      <c r="A25088" s="740"/>
    </row>
    <row r="25089" ht="14.25" customHeight="1">
      <c r="A25089" s="740"/>
    </row>
    <row r="25090" ht="14.25" customHeight="1">
      <c r="A25090" s="740"/>
    </row>
    <row r="25091" ht="14.25" customHeight="1">
      <c r="A25091" s="740"/>
    </row>
    <row r="25092" ht="14.25" customHeight="1">
      <c r="A25092" s="740"/>
    </row>
    <row r="25093" ht="14.25" customHeight="1">
      <c r="A25093" s="740"/>
    </row>
    <row r="25094" ht="14.25" customHeight="1">
      <c r="A25094" s="740"/>
    </row>
    <row r="25095" ht="14.25" customHeight="1">
      <c r="A25095" s="740"/>
    </row>
    <row r="25096" ht="14.25" customHeight="1">
      <c r="A25096" s="740"/>
    </row>
    <row r="25097" ht="14.25" customHeight="1">
      <c r="A25097" s="740"/>
    </row>
    <row r="25098" ht="14.25" customHeight="1">
      <c r="A25098" s="740"/>
    </row>
    <row r="25099" ht="14.25" customHeight="1">
      <c r="A25099" s="740"/>
    </row>
    <row r="25100" ht="14.25" customHeight="1">
      <c r="A25100" s="740"/>
    </row>
    <row r="25101" ht="14.25" customHeight="1">
      <c r="A25101" s="740"/>
    </row>
    <row r="25102" ht="14.25" customHeight="1">
      <c r="A25102" s="740"/>
    </row>
    <row r="25103" ht="14.25" customHeight="1">
      <c r="A25103" s="740"/>
    </row>
    <row r="25104" ht="14.25" customHeight="1">
      <c r="A25104" s="740"/>
    </row>
    <row r="25105" ht="14.25" customHeight="1">
      <c r="A25105" s="740"/>
    </row>
    <row r="25106" ht="14.25" customHeight="1">
      <c r="A25106" s="740"/>
    </row>
    <row r="25107" ht="14.25" customHeight="1">
      <c r="A25107" s="740"/>
    </row>
    <row r="25108" ht="14.25" customHeight="1">
      <c r="A25108" s="740"/>
    </row>
    <row r="25109" ht="14.25" customHeight="1">
      <c r="A25109" s="740"/>
    </row>
    <row r="25110" ht="14.25" customHeight="1">
      <c r="A25110" s="740"/>
    </row>
    <row r="25111" ht="14.25" customHeight="1">
      <c r="A25111" s="740"/>
    </row>
    <row r="25112" ht="14.25" customHeight="1">
      <c r="A25112" s="740"/>
    </row>
    <row r="25113" ht="14.25" customHeight="1">
      <c r="A25113" s="740"/>
    </row>
    <row r="25114" ht="14.25" customHeight="1">
      <c r="A25114" s="740"/>
    </row>
    <row r="25115" ht="14.25" customHeight="1">
      <c r="A25115" s="740"/>
    </row>
    <row r="25116" ht="14.25" customHeight="1">
      <c r="A25116" s="740"/>
    </row>
    <row r="25117" ht="14.25" customHeight="1">
      <c r="A25117" s="740"/>
    </row>
    <row r="25118" ht="14.25" customHeight="1">
      <c r="A25118" s="740"/>
    </row>
    <row r="25119" ht="14.25" customHeight="1">
      <c r="A25119" s="740"/>
    </row>
    <row r="25120" ht="14.25" customHeight="1">
      <c r="A25120" s="740"/>
    </row>
    <row r="25121" ht="14.25" customHeight="1">
      <c r="A25121" s="740"/>
    </row>
    <row r="25122" ht="14.25" customHeight="1">
      <c r="A25122" s="740"/>
    </row>
    <row r="25123" ht="14.25" customHeight="1">
      <c r="A25123" s="740"/>
    </row>
    <row r="25124" ht="14.25" customHeight="1">
      <c r="A25124" s="740"/>
    </row>
    <row r="25125" ht="14.25" customHeight="1">
      <c r="A25125" s="740"/>
    </row>
    <row r="25126" ht="14.25" customHeight="1">
      <c r="A25126" s="740"/>
    </row>
    <row r="25127" ht="14.25" customHeight="1">
      <c r="A25127" s="740"/>
    </row>
    <row r="25128" ht="14.25" customHeight="1">
      <c r="A25128" s="740"/>
    </row>
    <row r="25129" ht="14.25" customHeight="1">
      <c r="A25129" s="740"/>
    </row>
    <row r="25130" ht="14.25" customHeight="1">
      <c r="A25130" s="740"/>
    </row>
    <row r="25131" ht="14.25" customHeight="1">
      <c r="A25131" s="740"/>
    </row>
    <row r="25132" ht="14.25" customHeight="1">
      <c r="A25132" s="740"/>
    </row>
    <row r="25133" ht="14.25" customHeight="1">
      <c r="A25133" s="740"/>
    </row>
    <row r="25134" ht="14.25" customHeight="1">
      <c r="A25134" s="740"/>
    </row>
    <row r="25135" ht="14.25" customHeight="1">
      <c r="A25135" s="740"/>
    </row>
    <row r="25136" ht="14.25" customHeight="1">
      <c r="A25136" s="740"/>
    </row>
    <row r="25137" ht="14.25" customHeight="1">
      <c r="A25137" s="740"/>
    </row>
    <row r="25138" ht="14.25" customHeight="1">
      <c r="A25138" s="740"/>
    </row>
    <row r="25139" ht="14.25" customHeight="1">
      <c r="A25139" s="740"/>
    </row>
    <row r="25140" ht="14.25" customHeight="1">
      <c r="A25140" s="740"/>
    </row>
    <row r="25141" ht="14.25" customHeight="1">
      <c r="A25141" s="740"/>
    </row>
    <row r="25142" ht="14.25" customHeight="1">
      <c r="A25142" s="740"/>
    </row>
    <row r="25143" ht="14.25" customHeight="1">
      <c r="A25143" s="740"/>
    </row>
    <row r="25144" ht="14.25" customHeight="1">
      <c r="A25144" s="740"/>
    </row>
    <row r="25145" ht="14.25" customHeight="1">
      <c r="A25145" s="740"/>
    </row>
    <row r="25146" ht="14.25" customHeight="1">
      <c r="A25146" s="740"/>
    </row>
    <row r="25147" ht="14.25" customHeight="1">
      <c r="A25147" s="740"/>
    </row>
    <row r="25148" ht="14.25" customHeight="1">
      <c r="A25148" s="740"/>
    </row>
    <row r="25149" ht="14.25" customHeight="1">
      <c r="A25149" s="740"/>
    </row>
    <row r="25150" ht="14.25" customHeight="1">
      <c r="A25150" s="740"/>
    </row>
    <row r="25151" ht="14.25" customHeight="1">
      <c r="A25151" s="740"/>
    </row>
    <row r="25152" ht="14.25" customHeight="1">
      <c r="A25152" s="740"/>
    </row>
    <row r="25153" ht="14.25" customHeight="1">
      <c r="A25153" s="740"/>
    </row>
    <row r="25154" ht="14.25" customHeight="1">
      <c r="A25154" s="740"/>
    </row>
    <row r="25155" ht="14.25" customHeight="1">
      <c r="A25155" s="740"/>
    </row>
    <row r="25156" ht="14.25" customHeight="1">
      <c r="A25156" s="740"/>
    </row>
    <row r="25157" ht="14.25" customHeight="1">
      <c r="A25157" s="740"/>
    </row>
    <row r="25158" ht="14.25" customHeight="1">
      <c r="A25158" s="740"/>
    </row>
    <row r="25159" ht="14.25" customHeight="1">
      <c r="A25159" s="740"/>
    </row>
    <row r="25160" ht="14.25" customHeight="1">
      <c r="A25160" s="740"/>
    </row>
    <row r="25161" ht="14.25" customHeight="1">
      <c r="A25161" s="740"/>
    </row>
    <row r="25162" ht="14.25" customHeight="1">
      <c r="A25162" s="740"/>
    </row>
    <row r="25163" ht="14.25" customHeight="1">
      <c r="A25163" s="740"/>
    </row>
    <row r="25164" ht="14.25" customHeight="1">
      <c r="A25164" s="740"/>
    </row>
    <row r="25165" ht="14.25" customHeight="1">
      <c r="A25165" s="740"/>
    </row>
    <row r="25166" ht="14.25" customHeight="1">
      <c r="A25166" s="740"/>
    </row>
    <row r="25167" ht="14.25" customHeight="1">
      <c r="A25167" s="740"/>
    </row>
    <row r="25168" ht="14.25" customHeight="1">
      <c r="A25168" s="740"/>
    </row>
    <row r="25169" ht="14.25" customHeight="1">
      <c r="A25169" s="740"/>
    </row>
    <row r="25170" ht="14.25" customHeight="1">
      <c r="A25170" s="740"/>
    </row>
    <row r="25171" ht="14.25" customHeight="1">
      <c r="A25171" s="740"/>
    </row>
    <row r="25172" ht="14.25" customHeight="1">
      <c r="A25172" s="740"/>
    </row>
    <row r="25173" ht="14.25" customHeight="1">
      <c r="A25173" s="740"/>
    </row>
    <row r="25174" ht="14.25" customHeight="1">
      <c r="A25174" s="740"/>
    </row>
    <row r="25175" ht="14.25" customHeight="1">
      <c r="A25175" s="740"/>
    </row>
    <row r="25176" ht="14.25" customHeight="1">
      <c r="A25176" s="740"/>
    </row>
    <row r="25177" ht="14.25" customHeight="1">
      <c r="A25177" s="740"/>
    </row>
    <row r="25178" ht="14.25" customHeight="1">
      <c r="A25178" s="740"/>
    </row>
    <row r="25179" ht="14.25" customHeight="1">
      <c r="A25179" s="740"/>
    </row>
    <row r="25180" ht="14.25" customHeight="1">
      <c r="A25180" s="740"/>
    </row>
    <row r="25181" ht="14.25" customHeight="1">
      <c r="A25181" s="740"/>
    </row>
    <row r="25182" ht="14.25" customHeight="1">
      <c r="A25182" s="740"/>
    </row>
    <row r="25183" ht="14.25" customHeight="1">
      <c r="A25183" s="740"/>
    </row>
    <row r="25184" ht="14.25" customHeight="1">
      <c r="A25184" s="740"/>
    </row>
    <row r="25185" ht="14.25" customHeight="1">
      <c r="A25185" s="740"/>
    </row>
    <row r="25186" ht="14.25" customHeight="1">
      <c r="A25186" s="740"/>
    </row>
    <row r="25187" ht="14.25" customHeight="1">
      <c r="A25187" s="740"/>
    </row>
    <row r="25188" ht="14.25" customHeight="1">
      <c r="A25188" s="740"/>
    </row>
    <row r="25189" ht="14.25" customHeight="1">
      <c r="A25189" s="740"/>
    </row>
    <row r="25190" ht="14.25" customHeight="1">
      <c r="A25190" s="740"/>
    </row>
    <row r="25191" ht="14.25" customHeight="1">
      <c r="A25191" s="740"/>
    </row>
    <row r="25192" ht="14.25" customHeight="1">
      <c r="A25192" s="740"/>
    </row>
    <row r="25193" ht="14.25" customHeight="1">
      <c r="A25193" s="740"/>
    </row>
    <row r="25194" ht="14.25" customHeight="1">
      <c r="A25194" s="740"/>
    </row>
    <row r="25195" ht="14.25" customHeight="1">
      <c r="A25195" s="740"/>
    </row>
    <row r="25196" ht="14.25" customHeight="1">
      <c r="A25196" s="740"/>
    </row>
    <row r="25197" ht="14.25" customHeight="1">
      <c r="A25197" s="740"/>
    </row>
    <row r="25198" ht="14.25" customHeight="1">
      <c r="A25198" s="740"/>
    </row>
    <row r="25199" ht="14.25" customHeight="1">
      <c r="A25199" s="740"/>
    </row>
    <row r="25200" ht="14.25" customHeight="1">
      <c r="A25200" s="740"/>
    </row>
    <row r="25201" ht="14.25" customHeight="1">
      <c r="A25201" s="740"/>
    </row>
    <row r="25202" ht="14.25" customHeight="1">
      <c r="A25202" s="740"/>
    </row>
    <row r="25203" ht="14.25" customHeight="1">
      <c r="A25203" s="740"/>
    </row>
    <row r="25204" ht="14.25" customHeight="1">
      <c r="A25204" s="740"/>
    </row>
    <row r="25205" ht="14.25" customHeight="1">
      <c r="A25205" s="740"/>
    </row>
    <row r="25206" ht="14.25" customHeight="1">
      <c r="A25206" s="740"/>
    </row>
    <row r="25207" ht="14.25" customHeight="1">
      <c r="A25207" s="740"/>
    </row>
    <row r="25208" ht="14.25" customHeight="1">
      <c r="A25208" s="740"/>
    </row>
    <row r="25209" ht="14.25" customHeight="1">
      <c r="A25209" s="740"/>
    </row>
    <row r="25210" ht="14.25" customHeight="1">
      <c r="A25210" s="740"/>
    </row>
    <row r="25211" ht="14.25" customHeight="1">
      <c r="A25211" s="740"/>
    </row>
    <row r="25212" ht="14.25" customHeight="1">
      <c r="A25212" s="740"/>
    </row>
    <row r="25213" ht="14.25" customHeight="1">
      <c r="A25213" s="740"/>
    </row>
    <row r="25214" ht="14.25" customHeight="1">
      <c r="A25214" s="740"/>
    </row>
    <row r="25215" ht="14.25" customHeight="1">
      <c r="A25215" s="740"/>
    </row>
    <row r="25216" ht="14.25" customHeight="1">
      <c r="A25216" s="740"/>
    </row>
    <row r="25217" ht="14.25" customHeight="1">
      <c r="A25217" s="740"/>
    </row>
    <row r="25218" ht="14.25" customHeight="1">
      <c r="A25218" s="740"/>
    </row>
    <row r="25219" ht="14.25" customHeight="1">
      <c r="A25219" s="740"/>
    </row>
    <row r="25220" ht="14.25" customHeight="1">
      <c r="A25220" s="740"/>
    </row>
    <row r="25221" ht="14.25" customHeight="1">
      <c r="A25221" s="740"/>
    </row>
    <row r="25222" ht="14.25" customHeight="1">
      <c r="A25222" s="740"/>
    </row>
    <row r="25223" ht="14.25" customHeight="1">
      <c r="A25223" s="740"/>
    </row>
    <row r="25224" ht="14.25" customHeight="1">
      <c r="A25224" s="740"/>
    </row>
    <row r="25225" ht="14.25" customHeight="1">
      <c r="A25225" s="740"/>
    </row>
    <row r="25226" ht="14.25" customHeight="1">
      <c r="A25226" s="740"/>
    </row>
    <row r="25227" ht="14.25" customHeight="1">
      <c r="A25227" s="740"/>
    </row>
    <row r="25228" ht="14.25" customHeight="1">
      <c r="A25228" s="740"/>
    </row>
    <row r="25229" ht="14.25" customHeight="1">
      <c r="A25229" s="740"/>
    </row>
    <row r="25230" ht="14.25" customHeight="1">
      <c r="A25230" s="740"/>
    </row>
    <row r="25231" ht="14.25" customHeight="1">
      <c r="A25231" s="740"/>
    </row>
    <row r="25232" ht="14.25" customHeight="1">
      <c r="A25232" s="740"/>
    </row>
    <row r="25233" ht="14.25" customHeight="1">
      <c r="A25233" s="740"/>
    </row>
    <row r="25234" ht="14.25" customHeight="1">
      <c r="A25234" s="740"/>
    </row>
    <row r="25235" ht="14.25" customHeight="1">
      <c r="A25235" s="740"/>
    </row>
    <row r="25236" ht="14.25" customHeight="1">
      <c r="A25236" s="740"/>
    </row>
    <row r="25237" ht="14.25" customHeight="1">
      <c r="A25237" s="740"/>
    </row>
    <row r="25238" ht="14.25" customHeight="1">
      <c r="A25238" s="740"/>
    </row>
    <row r="25239" ht="14.25" customHeight="1">
      <c r="A25239" s="740"/>
    </row>
    <row r="25240" ht="14.25" customHeight="1">
      <c r="A25240" s="740"/>
    </row>
    <row r="25241" ht="14.25" customHeight="1">
      <c r="A25241" s="740"/>
    </row>
    <row r="25242" ht="14.25" customHeight="1">
      <c r="A25242" s="740"/>
    </row>
    <row r="25243" ht="14.25" customHeight="1">
      <c r="A25243" s="740"/>
    </row>
    <row r="25244" ht="14.25" customHeight="1">
      <c r="A25244" s="740"/>
    </row>
    <row r="25245" ht="14.25" customHeight="1">
      <c r="A25245" s="740"/>
    </row>
    <row r="25246" ht="14.25" customHeight="1">
      <c r="A25246" s="740"/>
    </row>
    <row r="25247" ht="14.25" customHeight="1">
      <c r="A25247" s="740"/>
    </row>
    <row r="25248" ht="14.25" customHeight="1">
      <c r="A25248" s="740"/>
    </row>
    <row r="25249" ht="14.25" customHeight="1">
      <c r="A25249" s="740"/>
    </row>
    <row r="25250" ht="14.25" customHeight="1">
      <c r="A25250" s="740"/>
    </row>
    <row r="25251" ht="14.25" customHeight="1">
      <c r="A25251" s="740"/>
    </row>
    <row r="25252" ht="14.25" customHeight="1">
      <c r="A25252" s="740"/>
    </row>
    <row r="25253" ht="14.25" customHeight="1">
      <c r="A25253" s="740"/>
    </row>
    <row r="25254" ht="14.25" customHeight="1">
      <c r="A25254" s="740"/>
    </row>
    <row r="25255" ht="14.25" customHeight="1">
      <c r="A25255" s="740"/>
    </row>
    <row r="25256" ht="14.25" customHeight="1">
      <c r="A25256" s="740"/>
    </row>
    <row r="25257" ht="14.25" customHeight="1">
      <c r="A25257" s="740"/>
    </row>
    <row r="25258" ht="14.25" customHeight="1">
      <c r="A25258" s="740"/>
    </row>
    <row r="25259" ht="14.25" customHeight="1">
      <c r="A25259" s="740"/>
    </row>
    <row r="25260" ht="14.25" customHeight="1">
      <c r="A25260" s="740"/>
    </row>
    <row r="25261" ht="14.25" customHeight="1">
      <c r="A25261" s="740"/>
    </row>
    <row r="25262" ht="14.25" customHeight="1">
      <c r="A25262" s="740"/>
    </row>
    <row r="25263" ht="14.25" customHeight="1">
      <c r="A25263" s="740"/>
    </row>
    <row r="25264" ht="14.25" customHeight="1">
      <c r="A25264" s="740"/>
    </row>
    <row r="25265" ht="14.25" customHeight="1">
      <c r="A25265" s="740"/>
    </row>
    <row r="25266" ht="14.25" customHeight="1">
      <c r="A25266" s="740"/>
    </row>
    <row r="25267" ht="14.25" customHeight="1">
      <c r="A25267" s="740"/>
    </row>
    <row r="25268" ht="14.25" customHeight="1">
      <c r="A25268" s="740"/>
    </row>
    <row r="25269" ht="14.25" customHeight="1">
      <c r="A25269" s="740"/>
    </row>
    <row r="25270" ht="14.25" customHeight="1">
      <c r="A25270" s="740"/>
    </row>
    <row r="25271" ht="14.25" customHeight="1">
      <c r="A25271" s="740"/>
    </row>
    <row r="25272" ht="14.25" customHeight="1">
      <c r="A25272" s="740"/>
    </row>
    <row r="25273" ht="14.25" customHeight="1">
      <c r="A25273" s="740"/>
    </row>
    <row r="25274" ht="14.25" customHeight="1">
      <c r="A25274" s="740"/>
    </row>
    <row r="25275" ht="14.25" customHeight="1">
      <c r="A25275" s="740"/>
    </row>
    <row r="25276" ht="14.25" customHeight="1">
      <c r="A25276" s="740"/>
    </row>
    <row r="25277" ht="14.25" customHeight="1">
      <c r="A25277" s="740"/>
    </row>
    <row r="25278" ht="14.25" customHeight="1">
      <c r="A25278" s="740"/>
    </row>
    <row r="25279" ht="14.25" customHeight="1">
      <c r="A25279" s="740"/>
    </row>
    <row r="25280" ht="14.25" customHeight="1">
      <c r="A25280" s="740"/>
    </row>
    <row r="25281" ht="14.25" customHeight="1">
      <c r="A25281" s="740"/>
    </row>
    <row r="25282" ht="14.25" customHeight="1">
      <c r="A25282" s="740"/>
    </row>
    <row r="25283" ht="14.25" customHeight="1">
      <c r="A25283" s="740"/>
    </row>
    <row r="25284" ht="14.25" customHeight="1">
      <c r="A25284" s="740"/>
    </row>
    <row r="25285" ht="14.25" customHeight="1">
      <c r="A25285" s="740"/>
    </row>
    <row r="25286" ht="14.25" customHeight="1">
      <c r="A25286" s="740"/>
    </row>
    <row r="25287" ht="14.25" customHeight="1">
      <c r="A25287" s="740"/>
    </row>
    <row r="25288" ht="14.25" customHeight="1">
      <c r="A25288" s="740"/>
    </row>
    <row r="25289" ht="14.25" customHeight="1">
      <c r="A25289" s="740"/>
    </row>
    <row r="25290" ht="14.25" customHeight="1">
      <c r="A25290" s="740"/>
    </row>
    <row r="25291" ht="14.25" customHeight="1">
      <c r="A25291" s="740"/>
    </row>
    <row r="25292" ht="14.25" customHeight="1">
      <c r="A25292" s="740"/>
    </row>
    <row r="25293" ht="14.25" customHeight="1">
      <c r="A25293" s="740"/>
    </row>
    <row r="25294" ht="14.25" customHeight="1">
      <c r="A25294" s="740"/>
    </row>
    <row r="25295" ht="14.25" customHeight="1">
      <c r="A25295" s="740"/>
    </row>
    <row r="25296" ht="14.25" customHeight="1">
      <c r="A25296" s="740"/>
    </row>
    <row r="25297" ht="14.25" customHeight="1">
      <c r="A25297" s="740"/>
    </row>
    <row r="25298" ht="14.25" customHeight="1">
      <c r="A25298" s="740"/>
    </row>
    <row r="25299" ht="14.25" customHeight="1">
      <c r="A25299" s="740"/>
    </row>
    <row r="25300" ht="14.25" customHeight="1">
      <c r="A25300" s="740"/>
    </row>
    <row r="25301" ht="14.25" customHeight="1">
      <c r="A25301" s="740"/>
    </row>
    <row r="25302" ht="14.25" customHeight="1">
      <c r="A25302" s="740"/>
    </row>
    <row r="25303" ht="14.25" customHeight="1">
      <c r="A25303" s="740"/>
    </row>
    <row r="25304" ht="14.25" customHeight="1">
      <c r="A25304" s="740"/>
    </row>
    <row r="25305" ht="14.25" customHeight="1">
      <c r="A25305" s="740"/>
    </row>
    <row r="25306" ht="14.25" customHeight="1">
      <c r="A25306" s="740"/>
    </row>
    <row r="25307" ht="14.25" customHeight="1">
      <c r="A25307" s="740"/>
    </row>
    <row r="25308" ht="14.25" customHeight="1">
      <c r="A25308" s="740"/>
    </row>
    <row r="25309" ht="14.25" customHeight="1">
      <c r="A25309" s="740"/>
    </row>
    <row r="25310" ht="14.25" customHeight="1">
      <c r="A25310" s="740"/>
    </row>
    <row r="25311" ht="14.25" customHeight="1">
      <c r="A25311" s="740"/>
    </row>
    <row r="25312" ht="14.25" customHeight="1">
      <c r="A25312" s="740"/>
    </row>
    <row r="25313" ht="14.25" customHeight="1">
      <c r="A25313" s="740"/>
    </row>
    <row r="25314" ht="14.25" customHeight="1">
      <c r="A25314" s="740"/>
    </row>
    <row r="25315" ht="14.25" customHeight="1">
      <c r="A25315" s="740"/>
    </row>
    <row r="25316" ht="14.25" customHeight="1">
      <c r="A25316" s="740"/>
    </row>
    <row r="25317" ht="14.25" customHeight="1">
      <c r="A25317" s="740"/>
    </row>
    <row r="25318" ht="14.25" customHeight="1">
      <c r="A25318" s="740"/>
    </row>
    <row r="25319" ht="14.25" customHeight="1">
      <c r="A25319" s="740"/>
    </row>
    <row r="25320" ht="14.25" customHeight="1">
      <c r="A25320" s="740"/>
    </row>
    <row r="25321" ht="14.25" customHeight="1">
      <c r="A25321" s="740"/>
    </row>
    <row r="25322" ht="14.25" customHeight="1">
      <c r="A25322" s="740"/>
    </row>
    <row r="25323" ht="14.25" customHeight="1">
      <c r="A25323" s="740"/>
    </row>
    <row r="25324" ht="14.25" customHeight="1">
      <c r="A25324" s="740"/>
    </row>
    <row r="25325" ht="14.25" customHeight="1">
      <c r="A25325" s="740"/>
    </row>
    <row r="25326" ht="14.25" customHeight="1">
      <c r="A25326" s="740"/>
    </row>
    <row r="25327" ht="14.25" customHeight="1">
      <c r="A25327" s="740"/>
    </row>
    <row r="25328" ht="14.25" customHeight="1">
      <c r="A25328" s="740"/>
    </row>
    <row r="25329" ht="14.25" customHeight="1">
      <c r="A25329" s="740"/>
    </row>
    <row r="25330" ht="14.25" customHeight="1">
      <c r="A25330" s="740"/>
    </row>
    <row r="25331" ht="14.25" customHeight="1">
      <c r="A25331" s="740"/>
    </row>
    <row r="25332" ht="14.25" customHeight="1">
      <c r="A25332" s="740"/>
    </row>
    <row r="25333" ht="14.25" customHeight="1">
      <c r="A25333" s="740"/>
    </row>
    <row r="25334" ht="14.25" customHeight="1">
      <c r="A25334" s="740"/>
    </row>
    <row r="25335" ht="14.25" customHeight="1">
      <c r="A25335" s="740"/>
    </row>
    <row r="25336" ht="14.25" customHeight="1">
      <c r="A25336" s="740"/>
    </row>
    <row r="25337" ht="14.25" customHeight="1">
      <c r="A25337" s="740"/>
    </row>
    <row r="25338" ht="14.25" customHeight="1">
      <c r="A25338" s="740"/>
    </row>
    <row r="25339" ht="14.25" customHeight="1">
      <c r="A25339" s="740"/>
    </row>
    <row r="25340" ht="14.25" customHeight="1">
      <c r="A25340" s="740"/>
    </row>
    <row r="25341" ht="14.25" customHeight="1">
      <c r="A25341" s="740"/>
    </row>
    <row r="25342" ht="14.25" customHeight="1">
      <c r="A25342" s="740"/>
    </row>
    <row r="25343" ht="14.25" customHeight="1">
      <c r="A25343" s="740"/>
    </row>
    <row r="25344" ht="14.25" customHeight="1">
      <c r="A25344" s="740"/>
    </row>
    <row r="25345" ht="14.25" customHeight="1">
      <c r="A25345" s="740"/>
    </row>
    <row r="25346" ht="14.25" customHeight="1">
      <c r="A25346" s="740"/>
    </row>
    <row r="25347" ht="14.25" customHeight="1">
      <c r="A25347" s="740"/>
    </row>
    <row r="25348" ht="14.25" customHeight="1">
      <c r="A25348" s="740"/>
    </row>
    <row r="25349" ht="14.25" customHeight="1">
      <c r="A25349" s="740"/>
    </row>
    <row r="25350" ht="14.25" customHeight="1">
      <c r="A25350" s="740"/>
    </row>
    <row r="25351" ht="14.25" customHeight="1">
      <c r="A25351" s="740"/>
    </row>
    <row r="25352" ht="14.25" customHeight="1">
      <c r="A25352" s="740"/>
    </row>
    <row r="25353" ht="14.25" customHeight="1">
      <c r="A25353" s="740"/>
    </row>
    <row r="25354" ht="14.25" customHeight="1">
      <c r="A25354" s="740"/>
    </row>
    <row r="25355" ht="14.25" customHeight="1">
      <c r="A25355" s="740"/>
    </row>
    <row r="25356" ht="14.25" customHeight="1">
      <c r="A25356" s="740"/>
    </row>
    <row r="25357" ht="14.25" customHeight="1">
      <c r="A25357" s="740"/>
    </row>
    <row r="25358" ht="14.25" customHeight="1">
      <c r="A25358" s="740"/>
    </row>
    <row r="25359" ht="14.25" customHeight="1">
      <c r="A25359" s="740"/>
    </row>
    <row r="25360" ht="14.25" customHeight="1">
      <c r="A25360" s="740"/>
    </row>
    <row r="25361" ht="14.25" customHeight="1">
      <c r="A25361" s="740"/>
    </row>
    <row r="25362" ht="14.25" customHeight="1">
      <c r="A25362" s="740"/>
    </row>
    <row r="25363" ht="14.25" customHeight="1">
      <c r="A25363" s="740"/>
    </row>
    <row r="25364" ht="14.25" customHeight="1">
      <c r="A25364" s="740"/>
    </row>
    <row r="25365" ht="14.25" customHeight="1">
      <c r="A25365" s="740"/>
    </row>
    <row r="25366" ht="14.25" customHeight="1">
      <c r="A25366" s="740"/>
    </row>
    <row r="25367" ht="14.25" customHeight="1">
      <c r="A25367" s="740"/>
    </row>
    <row r="25368" ht="14.25" customHeight="1">
      <c r="A25368" s="740"/>
    </row>
    <row r="25369" ht="14.25" customHeight="1">
      <c r="A25369" s="740"/>
    </row>
    <row r="25370" ht="14.25" customHeight="1">
      <c r="A25370" s="740"/>
    </row>
    <row r="25371" ht="14.25" customHeight="1">
      <c r="A25371" s="740"/>
    </row>
    <row r="25372" ht="14.25" customHeight="1">
      <c r="A25372" s="740"/>
    </row>
    <row r="25373" ht="14.25" customHeight="1">
      <c r="A25373" s="740"/>
    </row>
    <row r="25374" ht="14.25" customHeight="1">
      <c r="A25374" s="740"/>
    </row>
    <row r="25375" ht="14.25" customHeight="1">
      <c r="A25375" s="740"/>
    </row>
    <row r="25376" ht="14.25" customHeight="1">
      <c r="A25376" s="740"/>
    </row>
    <row r="25377" ht="14.25" customHeight="1">
      <c r="A25377" s="740"/>
    </row>
    <row r="25378" ht="14.25" customHeight="1">
      <c r="A25378" s="740"/>
    </row>
    <row r="25379" ht="14.25" customHeight="1">
      <c r="A25379" s="740"/>
    </row>
    <row r="25380" ht="14.25" customHeight="1">
      <c r="A25380" s="740"/>
    </row>
    <row r="25381" ht="14.25" customHeight="1">
      <c r="A25381" s="740"/>
    </row>
    <row r="25382" ht="14.25" customHeight="1">
      <c r="A25382" s="740"/>
    </row>
    <row r="25383" ht="14.25" customHeight="1">
      <c r="A25383" s="740"/>
    </row>
    <row r="25384" ht="14.25" customHeight="1">
      <c r="A25384" s="740"/>
    </row>
    <row r="25385" ht="14.25" customHeight="1">
      <c r="A25385" s="740"/>
    </row>
    <row r="25386" ht="14.25" customHeight="1">
      <c r="A25386" s="740"/>
    </row>
    <row r="25387" ht="14.25" customHeight="1">
      <c r="A25387" s="740"/>
    </row>
    <row r="25388" ht="14.25" customHeight="1">
      <c r="A25388" s="740"/>
    </row>
    <row r="25389" ht="14.25" customHeight="1">
      <c r="A25389" s="740"/>
    </row>
    <row r="25390" ht="14.25" customHeight="1">
      <c r="A25390" s="740"/>
    </row>
    <row r="25391" ht="14.25" customHeight="1">
      <c r="A25391" s="740"/>
    </row>
    <row r="25392" ht="14.25" customHeight="1">
      <c r="A25392" s="740"/>
    </row>
    <row r="25393" ht="14.25" customHeight="1">
      <c r="A25393" s="740"/>
    </row>
    <row r="25394" ht="14.25" customHeight="1">
      <c r="A25394" s="740"/>
    </row>
    <row r="25395" ht="14.25" customHeight="1">
      <c r="A25395" s="740"/>
    </row>
    <row r="25396" ht="14.25" customHeight="1">
      <c r="A25396" s="740"/>
    </row>
    <row r="25397" ht="14.25" customHeight="1">
      <c r="A25397" s="740"/>
    </row>
    <row r="25398" ht="14.25" customHeight="1">
      <c r="A25398" s="740"/>
    </row>
    <row r="25399" ht="14.25" customHeight="1">
      <c r="A25399" s="740"/>
    </row>
    <row r="25400" ht="14.25" customHeight="1">
      <c r="A25400" s="740"/>
    </row>
    <row r="25401" ht="14.25" customHeight="1">
      <c r="A25401" s="740"/>
    </row>
    <row r="25402" ht="14.25" customHeight="1">
      <c r="A25402" s="740"/>
    </row>
    <row r="25403" ht="14.25" customHeight="1">
      <c r="A25403" s="740"/>
    </row>
    <row r="25404" ht="14.25" customHeight="1">
      <c r="A25404" s="740"/>
    </row>
    <row r="25405" ht="14.25" customHeight="1">
      <c r="A25405" s="740"/>
    </row>
    <row r="25406" ht="14.25" customHeight="1">
      <c r="A25406" s="740"/>
    </row>
    <row r="25407" ht="14.25" customHeight="1">
      <c r="A25407" s="740"/>
    </row>
    <row r="25408" ht="14.25" customHeight="1">
      <c r="A25408" s="740"/>
    </row>
    <row r="25409" ht="14.25" customHeight="1">
      <c r="A25409" s="740"/>
    </row>
    <row r="25410" ht="14.25" customHeight="1">
      <c r="A25410" s="740"/>
    </row>
    <row r="25411" ht="14.25" customHeight="1">
      <c r="A25411" s="740"/>
    </row>
    <row r="25412" ht="14.25" customHeight="1">
      <c r="A25412" s="740"/>
    </row>
    <row r="25413" ht="14.25" customHeight="1">
      <c r="A25413" s="740"/>
    </row>
    <row r="25414" ht="14.25" customHeight="1">
      <c r="A25414" s="740"/>
    </row>
    <row r="25415" ht="14.25" customHeight="1">
      <c r="A25415" s="740"/>
    </row>
    <row r="25416" ht="14.25" customHeight="1">
      <c r="A25416" s="740"/>
    </row>
    <row r="25417" ht="14.25" customHeight="1">
      <c r="A25417" s="740"/>
    </row>
    <row r="25418" ht="14.25" customHeight="1">
      <c r="A25418" s="740"/>
    </row>
    <row r="25419" ht="14.25" customHeight="1">
      <c r="A25419" s="740"/>
    </row>
    <row r="25420" ht="14.25" customHeight="1">
      <c r="A25420" s="740"/>
    </row>
    <row r="25421" ht="14.25" customHeight="1">
      <c r="A25421" s="740"/>
    </row>
    <row r="25422" ht="14.25" customHeight="1">
      <c r="A25422" s="740"/>
    </row>
    <row r="25423" ht="14.25" customHeight="1">
      <c r="A25423" s="740"/>
    </row>
    <row r="25424" ht="14.25" customHeight="1">
      <c r="A25424" s="740"/>
    </row>
    <row r="25425" ht="14.25" customHeight="1">
      <c r="A25425" s="740"/>
    </row>
    <row r="25426" ht="14.25" customHeight="1">
      <c r="A25426" s="740"/>
    </row>
    <row r="25427" ht="14.25" customHeight="1">
      <c r="A25427" s="740"/>
    </row>
    <row r="25428" ht="14.25" customHeight="1">
      <c r="A25428" s="740"/>
    </row>
    <row r="25429" ht="14.25" customHeight="1">
      <c r="A25429" s="740"/>
    </row>
    <row r="25430" ht="14.25" customHeight="1">
      <c r="A25430" s="740"/>
    </row>
    <row r="25431" ht="14.25" customHeight="1">
      <c r="A25431" s="740"/>
    </row>
    <row r="25432" ht="14.25" customHeight="1">
      <c r="A25432" s="740"/>
    </row>
    <row r="25433" ht="14.25" customHeight="1">
      <c r="A25433" s="740"/>
    </row>
    <row r="25434" ht="14.25" customHeight="1">
      <c r="A25434" s="740"/>
    </row>
    <row r="25435" ht="14.25" customHeight="1">
      <c r="A25435" s="740"/>
    </row>
    <row r="25436" ht="14.25" customHeight="1">
      <c r="A25436" s="740"/>
    </row>
    <row r="25437" ht="14.25" customHeight="1">
      <c r="A25437" s="740"/>
    </row>
    <row r="25438" ht="14.25" customHeight="1">
      <c r="A25438" s="740"/>
    </row>
    <row r="25439" ht="14.25" customHeight="1">
      <c r="A25439" s="740"/>
    </row>
    <row r="25440" ht="14.25" customHeight="1">
      <c r="A25440" s="740"/>
    </row>
    <row r="25441" ht="14.25" customHeight="1">
      <c r="A25441" s="740"/>
    </row>
    <row r="25442" ht="14.25" customHeight="1">
      <c r="A25442" s="740"/>
    </row>
    <row r="25443" ht="14.25" customHeight="1">
      <c r="A25443" s="740"/>
    </row>
    <row r="25444" ht="14.25" customHeight="1">
      <c r="A25444" s="740"/>
    </row>
    <row r="25445" ht="14.25" customHeight="1">
      <c r="A25445" s="740"/>
    </row>
    <row r="25446" ht="14.25" customHeight="1">
      <c r="A25446" s="740"/>
    </row>
    <row r="25447" ht="14.25" customHeight="1">
      <c r="A25447" s="740"/>
    </row>
    <row r="25448" ht="14.25" customHeight="1">
      <c r="A25448" s="740"/>
    </row>
    <row r="25449" ht="14.25" customHeight="1">
      <c r="A25449" s="740"/>
    </row>
    <row r="25450" ht="14.25" customHeight="1">
      <c r="A25450" s="740"/>
    </row>
    <row r="25451" ht="14.25" customHeight="1">
      <c r="A25451" s="740"/>
    </row>
    <row r="25452" ht="14.25" customHeight="1">
      <c r="A25452" s="740"/>
    </row>
    <row r="25453" ht="14.25" customHeight="1">
      <c r="A25453" s="740"/>
    </row>
    <row r="25454" ht="14.25" customHeight="1">
      <c r="A25454" s="740"/>
    </row>
    <row r="25455" ht="14.25" customHeight="1">
      <c r="A25455" s="740"/>
    </row>
    <row r="25456" ht="14.25" customHeight="1">
      <c r="A25456" s="740"/>
    </row>
    <row r="25457" ht="14.25" customHeight="1">
      <c r="A25457" s="740"/>
    </row>
    <row r="25458" ht="14.25" customHeight="1">
      <c r="A25458" s="740"/>
    </row>
    <row r="25459" ht="14.25" customHeight="1">
      <c r="A25459" s="740"/>
    </row>
    <row r="25460" ht="14.25" customHeight="1">
      <c r="A25460" s="740"/>
    </row>
    <row r="25461" ht="14.25" customHeight="1">
      <c r="A25461" s="740"/>
    </row>
    <row r="25462" ht="14.25" customHeight="1">
      <c r="A25462" s="740"/>
    </row>
    <row r="25463" ht="14.25" customHeight="1">
      <c r="A25463" s="740"/>
    </row>
    <row r="25464" ht="14.25" customHeight="1">
      <c r="A25464" s="740"/>
    </row>
    <row r="25465" ht="14.25" customHeight="1">
      <c r="A25465" s="740"/>
    </row>
    <row r="25466" ht="14.25" customHeight="1">
      <c r="A25466" s="740"/>
    </row>
    <row r="25467" ht="14.25" customHeight="1">
      <c r="A25467" s="740"/>
    </row>
    <row r="25468" ht="14.25" customHeight="1">
      <c r="A25468" s="740"/>
    </row>
    <row r="25469" ht="14.25" customHeight="1">
      <c r="A25469" s="740"/>
    </row>
    <row r="25470" ht="14.25" customHeight="1">
      <c r="A25470" s="740"/>
    </row>
    <row r="25471" ht="14.25" customHeight="1">
      <c r="A25471" s="740"/>
    </row>
    <row r="25472" ht="14.25" customHeight="1">
      <c r="A25472" s="740"/>
    </row>
    <row r="25473" ht="14.25" customHeight="1">
      <c r="A25473" s="740"/>
    </row>
    <row r="25474" ht="14.25" customHeight="1">
      <c r="A25474" s="740"/>
    </row>
    <row r="25475" ht="14.25" customHeight="1">
      <c r="A25475" s="740"/>
    </row>
    <row r="25476" ht="14.25" customHeight="1">
      <c r="A25476" s="740"/>
    </row>
    <row r="25477" ht="14.25" customHeight="1">
      <c r="A25477" s="740"/>
    </row>
    <row r="25478" ht="14.25" customHeight="1">
      <c r="A25478" s="740"/>
    </row>
    <row r="25479" ht="14.25" customHeight="1">
      <c r="A25479" s="740"/>
    </row>
    <row r="25480" ht="14.25" customHeight="1">
      <c r="A25480" s="740"/>
    </row>
    <row r="25481" ht="14.25" customHeight="1">
      <c r="A25481" s="740"/>
    </row>
    <row r="25482" ht="14.25" customHeight="1">
      <c r="A25482" s="740"/>
    </row>
    <row r="25483" ht="14.25" customHeight="1">
      <c r="A25483" s="740"/>
    </row>
    <row r="25484" ht="14.25" customHeight="1">
      <c r="A25484" s="740"/>
    </row>
    <row r="25485" ht="14.25" customHeight="1">
      <c r="A25485" s="740"/>
    </row>
    <row r="25486" ht="14.25" customHeight="1">
      <c r="A25486" s="740"/>
    </row>
    <row r="25487" ht="14.25" customHeight="1">
      <c r="A25487" s="740"/>
    </row>
    <row r="25488" ht="14.25" customHeight="1">
      <c r="A25488" s="740"/>
    </row>
    <row r="25489" ht="14.25" customHeight="1">
      <c r="A25489" s="740"/>
    </row>
    <row r="25490" ht="14.25" customHeight="1">
      <c r="A25490" s="740"/>
    </row>
    <row r="25491" ht="14.25" customHeight="1">
      <c r="A25491" s="740"/>
    </row>
    <row r="25492" ht="14.25" customHeight="1">
      <c r="A25492" s="740"/>
    </row>
    <row r="25493" ht="14.25" customHeight="1">
      <c r="A25493" s="740"/>
    </row>
    <row r="25494" ht="14.25" customHeight="1">
      <c r="A25494" s="740"/>
    </row>
    <row r="25495" ht="14.25" customHeight="1">
      <c r="A25495" s="740"/>
    </row>
    <row r="25496" ht="14.25" customHeight="1">
      <c r="A25496" s="740"/>
    </row>
    <row r="25497" ht="14.25" customHeight="1">
      <c r="A25497" s="740"/>
    </row>
    <row r="25498" ht="14.25" customHeight="1">
      <c r="A25498" s="740"/>
    </row>
    <row r="25499" ht="14.25" customHeight="1">
      <c r="A25499" s="740"/>
    </row>
    <row r="25500" ht="14.25" customHeight="1">
      <c r="A25500" s="740"/>
    </row>
    <row r="25501" ht="14.25" customHeight="1">
      <c r="A25501" s="740"/>
    </row>
    <row r="25502" ht="14.25" customHeight="1">
      <c r="A25502" s="740"/>
    </row>
    <row r="25503" ht="14.25" customHeight="1">
      <c r="A25503" s="740"/>
    </row>
    <row r="25504" ht="14.25" customHeight="1">
      <c r="A25504" s="740"/>
    </row>
    <row r="25505" ht="14.25" customHeight="1">
      <c r="A25505" s="740"/>
    </row>
    <row r="25506" ht="14.25" customHeight="1">
      <c r="A25506" s="740"/>
    </row>
    <row r="25507" ht="14.25" customHeight="1">
      <c r="A25507" s="740"/>
    </row>
    <row r="25508" ht="14.25" customHeight="1">
      <c r="A25508" s="740"/>
    </row>
    <row r="25509" ht="14.25" customHeight="1">
      <c r="A25509" s="740"/>
    </row>
    <row r="25510" ht="14.25" customHeight="1">
      <c r="A25510" s="740"/>
    </row>
    <row r="25511" ht="14.25" customHeight="1">
      <c r="A25511" s="740"/>
    </row>
    <row r="25512" ht="14.25" customHeight="1">
      <c r="A25512" s="740"/>
    </row>
    <row r="25513" ht="14.25" customHeight="1">
      <c r="A25513" s="740"/>
    </row>
    <row r="25514" ht="14.25" customHeight="1">
      <c r="A25514" s="740"/>
    </row>
    <row r="25515" ht="14.25" customHeight="1">
      <c r="A25515" s="740"/>
    </row>
    <row r="25516" ht="14.25" customHeight="1">
      <c r="A25516" s="740"/>
    </row>
    <row r="25517" ht="14.25" customHeight="1">
      <c r="A25517" s="740"/>
    </row>
    <row r="25518" ht="14.25" customHeight="1">
      <c r="A25518" s="740"/>
    </row>
    <row r="25519" ht="14.25" customHeight="1">
      <c r="A25519" s="740"/>
    </row>
    <row r="25520" ht="14.25" customHeight="1">
      <c r="A25520" s="740"/>
    </row>
    <row r="25521" ht="14.25" customHeight="1">
      <c r="A25521" s="740"/>
    </row>
    <row r="25522" ht="14.25" customHeight="1">
      <c r="A25522" s="740"/>
    </row>
    <row r="25523" ht="14.25" customHeight="1">
      <c r="A25523" s="740"/>
    </row>
    <row r="25524" ht="14.25" customHeight="1">
      <c r="A25524" s="740"/>
    </row>
    <row r="25525" ht="14.25" customHeight="1">
      <c r="A25525" s="740"/>
    </row>
    <row r="25526" ht="14.25" customHeight="1">
      <c r="A25526" s="740"/>
    </row>
    <row r="25527" ht="14.25" customHeight="1">
      <c r="A25527" s="740"/>
    </row>
    <row r="25528" ht="14.25" customHeight="1">
      <c r="A25528" s="740"/>
    </row>
    <row r="25529" ht="14.25" customHeight="1">
      <c r="A25529" s="740"/>
    </row>
    <row r="25530" ht="14.25" customHeight="1">
      <c r="A25530" s="740"/>
    </row>
    <row r="25531" ht="14.25" customHeight="1">
      <c r="A25531" s="740"/>
    </row>
    <row r="25532" ht="14.25" customHeight="1">
      <c r="A25532" s="740"/>
    </row>
    <row r="25533" ht="14.25" customHeight="1">
      <c r="A25533" s="740"/>
    </row>
    <row r="25534" ht="14.25" customHeight="1">
      <c r="A25534" s="740"/>
    </row>
    <row r="25535" ht="14.25" customHeight="1">
      <c r="A25535" s="740"/>
    </row>
    <row r="25536" ht="14.25" customHeight="1">
      <c r="A25536" s="740"/>
    </row>
    <row r="25537" ht="14.25" customHeight="1">
      <c r="A25537" s="740"/>
    </row>
    <row r="25538" ht="14.25" customHeight="1">
      <c r="A25538" s="740"/>
    </row>
    <row r="25539" ht="14.25" customHeight="1">
      <c r="A25539" s="740"/>
    </row>
    <row r="25540" ht="14.25" customHeight="1">
      <c r="A25540" s="740"/>
    </row>
    <row r="25541" ht="14.25" customHeight="1">
      <c r="A25541" s="740"/>
    </row>
    <row r="25542" ht="14.25" customHeight="1">
      <c r="A25542" s="740"/>
    </row>
    <row r="25543" ht="14.25" customHeight="1">
      <c r="A25543" s="740"/>
    </row>
    <row r="25544" ht="14.25" customHeight="1">
      <c r="A25544" s="740"/>
    </row>
    <row r="25545" ht="14.25" customHeight="1">
      <c r="A25545" s="740"/>
    </row>
    <row r="25546" ht="14.25" customHeight="1">
      <c r="A25546" s="740"/>
    </row>
    <row r="25547" ht="14.25" customHeight="1">
      <c r="A25547" s="740"/>
    </row>
    <row r="25548" ht="14.25" customHeight="1">
      <c r="A25548" s="740"/>
    </row>
    <row r="25549" ht="14.25" customHeight="1">
      <c r="A25549" s="740"/>
    </row>
    <row r="25550" ht="14.25" customHeight="1">
      <c r="A25550" s="740"/>
    </row>
    <row r="25551" ht="14.25" customHeight="1">
      <c r="A25551" s="740"/>
    </row>
    <row r="25552" ht="14.25" customHeight="1">
      <c r="A25552" s="740"/>
    </row>
    <row r="25553" ht="14.25" customHeight="1">
      <c r="A25553" s="740"/>
    </row>
    <row r="25554" ht="14.25" customHeight="1">
      <c r="A25554" s="740"/>
    </row>
    <row r="25555" ht="14.25" customHeight="1">
      <c r="A25555" s="740"/>
    </row>
    <row r="25556" ht="14.25" customHeight="1">
      <c r="A25556" s="740"/>
    </row>
    <row r="25557" ht="14.25" customHeight="1">
      <c r="A25557" s="740"/>
    </row>
    <row r="25558" ht="14.25" customHeight="1">
      <c r="A25558" s="740"/>
    </row>
    <row r="25559" ht="14.25" customHeight="1">
      <c r="A25559" s="740"/>
    </row>
    <row r="25560" ht="14.25" customHeight="1">
      <c r="A25560" s="740"/>
    </row>
    <row r="25561" ht="14.25" customHeight="1">
      <c r="A25561" s="740"/>
    </row>
    <row r="25562" ht="14.25" customHeight="1">
      <c r="A25562" s="740"/>
    </row>
    <row r="25563" ht="14.25" customHeight="1">
      <c r="A25563" s="740"/>
    </row>
    <row r="25564" ht="14.25" customHeight="1">
      <c r="A25564" s="740"/>
    </row>
    <row r="25565" ht="14.25" customHeight="1">
      <c r="A25565" s="740"/>
    </row>
    <row r="25566" ht="14.25" customHeight="1">
      <c r="A25566" s="740"/>
    </row>
    <row r="25567" ht="14.25" customHeight="1">
      <c r="A25567" s="740"/>
    </row>
    <row r="25568" ht="14.25" customHeight="1">
      <c r="A25568" s="740"/>
    </row>
    <row r="25569" ht="14.25" customHeight="1">
      <c r="A25569" s="740"/>
    </row>
    <row r="25570" ht="14.25" customHeight="1">
      <c r="A25570" s="740"/>
    </row>
    <row r="25571" ht="14.25" customHeight="1">
      <c r="A25571" s="740"/>
    </row>
    <row r="25572" ht="14.25" customHeight="1">
      <c r="A25572" s="740"/>
    </row>
    <row r="25573" ht="14.25" customHeight="1">
      <c r="A25573" s="740"/>
    </row>
    <row r="25574" ht="14.25" customHeight="1">
      <c r="A25574" s="740"/>
    </row>
    <row r="25575" ht="14.25" customHeight="1">
      <c r="A25575" s="740"/>
    </row>
    <row r="25576" ht="14.25" customHeight="1">
      <c r="A25576" s="740"/>
    </row>
    <row r="25577" ht="14.25" customHeight="1">
      <c r="A25577" s="740"/>
    </row>
    <row r="25578" ht="14.25" customHeight="1">
      <c r="A25578" s="740"/>
    </row>
    <row r="25579" ht="14.25" customHeight="1">
      <c r="A25579" s="740"/>
    </row>
    <row r="25580" ht="14.25" customHeight="1">
      <c r="A25580" s="740"/>
    </row>
    <row r="25581" ht="14.25" customHeight="1">
      <c r="A25581" s="740"/>
    </row>
    <row r="25582" ht="14.25" customHeight="1">
      <c r="A25582" s="740"/>
    </row>
    <row r="25583" ht="14.25" customHeight="1">
      <c r="A25583" s="740"/>
    </row>
    <row r="25584" ht="14.25" customHeight="1">
      <c r="A25584" s="740"/>
    </row>
    <row r="25585" ht="14.25" customHeight="1">
      <c r="A25585" s="740"/>
    </row>
    <row r="25586" ht="14.25" customHeight="1">
      <c r="A25586" s="740"/>
    </row>
    <row r="25587" ht="14.25" customHeight="1">
      <c r="A25587" s="740"/>
    </row>
    <row r="25588" ht="14.25" customHeight="1">
      <c r="A25588" s="740"/>
    </row>
    <row r="25589" ht="14.25" customHeight="1">
      <c r="A25589" s="740"/>
    </row>
    <row r="25590" ht="14.25" customHeight="1">
      <c r="A25590" s="740"/>
    </row>
    <row r="25591" ht="14.25" customHeight="1">
      <c r="A25591" s="740"/>
    </row>
    <row r="25592" ht="14.25" customHeight="1">
      <c r="A25592" s="740"/>
    </row>
    <row r="25593" ht="14.25" customHeight="1">
      <c r="A25593" s="740"/>
    </row>
    <row r="25594" ht="14.25" customHeight="1">
      <c r="A25594" s="740"/>
    </row>
    <row r="25595" ht="14.25" customHeight="1">
      <c r="A25595" s="740"/>
    </row>
    <row r="25596" ht="14.25" customHeight="1">
      <c r="A25596" s="740"/>
    </row>
    <row r="25597" ht="14.25" customHeight="1">
      <c r="A25597" s="740"/>
    </row>
    <row r="25598" ht="14.25" customHeight="1">
      <c r="A25598" s="740"/>
    </row>
    <row r="25599" ht="14.25" customHeight="1">
      <c r="A25599" s="740"/>
    </row>
    <row r="25600" ht="14.25" customHeight="1">
      <c r="A25600" s="740"/>
    </row>
    <row r="25601" ht="14.25" customHeight="1">
      <c r="A25601" s="740"/>
    </row>
    <row r="25602" ht="14.25" customHeight="1">
      <c r="A25602" s="740"/>
    </row>
    <row r="25603" ht="14.25" customHeight="1">
      <c r="A25603" s="740"/>
    </row>
    <row r="25604" ht="14.25" customHeight="1">
      <c r="A25604" s="740"/>
    </row>
    <row r="25605" ht="14.25" customHeight="1">
      <c r="A25605" s="740"/>
    </row>
    <row r="25606" ht="14.25" customHeight="1">
      <c r="A25606" s="740"/>
    </row>
    <row r="25607" ht="14.25" customHeight="1">
      <c r="A25607" s="740"/>
    </row>
    <row r="25608" ht="14.25" customHeight="1">
      <c r="A25608" s="740"/>
    </row>
    <row r="25609" ht="14.25" customHeight="1">
      <c r="A25609" s="740"/>
    </row>
    <row r="25610" ht="14.25" customHeight="1">
      <c r="A25610" s="740"/>
    </row>
    <row r="25611" ht="14.25" customHeight="1">
      <c r="A25611" s="740"/>
    </row>
    <row r="25612" ht="14.25" customHeight="1">
      <c r="A25612" s="740"/>
    </row>
    <row r="25613" ht="14.25" customHeight="1">
      <c r="A25613" s="740"/>
    </row>
    <row r="25614" ht="14.25" customHeight="1">
      <c r="A25614" s="740"/>
    </row>
    <row r="25615" ht="14.25" customHeight="1">
      <c r="A25615" s="740"/>
    </row>
    <row r="25616" ht="14.25" customHeight="1">
      <c r="A25616" s="740"/>
    </row>
    <row r="25617" ht="14.25" customHeight="1">
      <c r="A25617" s="740"/>
    </row>
    <row r="25618" ht="14.25" customHeight="1">
      <c r="A25618" s="740"/>
    </row>
    <row r="25619" ht="14.25" customHeight="1">
      <c r="A25619" s="740"/>
    </row>
    <row r="25620" ht="14.25" customHeight="1">
      <c r="A25620" s="740"/>
    </row>
    <row r="25621" ht="14.25" customHeight="1">
      <c r="A25621" s="740"/>
    </row>
    <row r="25622" ht="14.25" customHeight="1">
      <c r="A25622" s="740"/>
    </row>
    <row r="25623" ht="14.25" customHeight="1">
      <c r="A25623" s="740"/>
    </row>
    <row r="25624" ht="14.25" customHeight="1">
      <c r="A25624" s="740"/>
    </row>
    <row r="25625" ht="14.25" customHeight="1">
      <c r="A25625" s="740"/>
    </row>
    <row r="25626" ht="14.25" customHeight="1">
      <c r="A25626" s="740"/>
    </row>
    <row r="25627" ht="14.25" customHeight="1">
      <c r="A25627" s="740"/>
    </row>
    <row r="25628" ht="14.25" customHeight="1">
      <c r="A25628" s="740"/>
    </row>
    <row r="25629" ht="14.25" customHeight="1">
      <c r="A25629" s="740"/>
    </row>
    <row r="25630" ht="14.25" customHeight="1">
      <c r="A25630" s="740"/>
    </row>
    <row r="25631" ht="14.25" customHeight="1">
      <c r="A25631" s="740"/>
    </row>
    <row r="25632" ht="14.25" customHeight="1">
      <c r="A25632" s="740"/>
    </row>
    <row r="25633" ht="14.25" customHeight="1">
      <c r="A25633" s="740"/>
    </row>
    <row r="25634" ht="14.25" customHeight="1">
      <c r="A25634" s="740"/>
    </row>
    <row r="25635" ht="14.25" customHeight="1">
      <c r="A25635" s="740"/>
    </row>
    <row r="25636" ht="14.25" customHeight="1">
      <c r="A25636" s="740"/>
    </row>
    <row r="25637" ht="14.25" customHeight="1">
      <c r="A25637" s="740"/>
    </row>
    <row r="25638" ht="14.25" customHeight="1">
      <c r="A25638" s="740"/>
    </row>
    <row r="25639" ht="14.25" customHeight="1">
      <c r="A25639" s="740"/>
    </row>
    <row r="25640" ht="14.25" customHeight="1">
      <c r="A25640" s="740"/>
    </row>
    <row r="25641" ht="14.25" customHeight="1">
      <c r="A25641" s="740"/>
    </row>
    <row r="25642" ht="14.25" customHeight="1">
      <c r="A25642" s="740"/>
    </row>
    <row r="25643" ht="14.25" customHeight="1">
      <c r="A25643" s="740"/>
    </row>
    <row r="25644" ht="14.25" customHeight="1">
      <c r="A25644" s="740"/>
    </row>
    <row r="25645" ht="14.25" customHeight="1">
      <c r="A25645" s="740"/>
    </row>
    <row r="25646" ht="14.25" customHeight="1">
      <c r="A25646" s="740"/>
    </row>
    <row r="25647" ht="14.25" customHeight="1">
      <c r="A25647" s="740"/>
    </row>
    <row r="25648" ht="14.25" customHeight="1">
      <c r="A25648" s="740"/>
    </row>
    <row r="25649" ht="14.25" customHeight="1">
      <c r="A25649" s="740"/>
    </row>
    <row r="25650" ht="14.25" customHeight="1">
      <c r="A25650" s="740"/>
    </row>
    <row r="25651" ht="14.25" customHeight="1">
      <c r="A25651" s="740"/>
    </row>
    <row r="25652" ht="14.25" customHeight="1">
      <c r="A25652" s="740"/>
    </row>
    <row r="25653" ht="14.25" customHeight="1">
      <c r="A25653" s="740"/>
    </row>
    <row r="25654" ht="14.25" customHeight="1">
      <c r="A25654" s="740"/>
    </row>
    <row r="25655" ht="14.25" customHeight="1">
      <c r="A25655" s="740"/>
    </row>
    <row r="25656" ht="14.25" customHeight="1">
      <c r="A25656" s="740"/>
    </row>
    <row r="25657" ht="14.25" customHeight="1">
      <c r="A25657" s="740"/>
    </row>
    <row r="25658" ht="14.25" customHeight="1">
      <c r="A25658" s="740"/>
    </row>
    <row r="25659" ht="14.25" customHeight="1">
      <c r="A25659" s="740"/>
    </row>
    <row r="25660" ht="14.25" customHeight="1">
      <c r="A25660" s="740"/>
    </row>
    <row r="25661" ht="14.25" customHeight="1">
      <c r="A25661" s="740"/>
    </row>
    <row r="25662" ht="14.25" customHeight="1">
      <c r="A25662" s="740"/>
    </row>
    <row r="25663" ht="14.25" customHeight="1">
      <c r="A25663" s="740"/>
    </row>
    <row r="25664" ht="14.25" customHeight="1">
      <c r="A25664" s="740"/>
    </row>
    <row r="25665" ht="14.25" customHeight="1">
      <c r="A25665" s="740"/>
    </row>
    <row r="25666" ht="14.25" customHeight="1">
      <c r="A25666" s="740"/>
    </row>
    <row r="25667" ht="14.25" customHeight="1">
      <c r="A25667" s="740"/>
    </row>
    <row r="25668" ht="14.25" customHeight="1">
      <c r="A25668" s="740"/>
    </row>
    <row r="25669" ht="14.25" customHeight="1">
      <c r="A25669" s="740"/>
    </row>
    <row r="25670" ht="14.25" customHeight="1">
      <c r="A25670" s="740"/>
    </row>
    <row r="25671" ht="14.25" customHeight="1">
      <c r="A25671" s="740"/>
    </row>
    <row r="25672" ht="14.25" customHeight="1">
      <c r="A25672" s="740"/>
    </row>
    <row r="25673" ht="14.25" customHeight="1">
      <c r="A25673" s="740"/>
    </row>
    <row r="25674" ht="14.25" customHeight="1">
      <c r="A25674" s="740"/>
    </row>
    <row r="25675" ht="14.25" customHeight="1">
      <c r="A25675" s="740"/>
    </row>
    <row r="25676" ht="14.25" customHeight="1">
      <c r="A25676" s="740"/>
    </row>
    <row r="25677" ht="14.25" customHeight="1">
      <c r="A25677" s="740"/>
    </row>
    <row r="25678" ht="14.25" customHeight="1">
      <c r="A25678" s="740"/>
    </row>
    <row r="25679" ht="14.25" customHeight="1">
      <c r="A25679" s="740"/>
    </row>
    <row r="25680" ht="14.25" customHeight="1">
      <c r="A25680" s="740"/>
    </row>
    <row r="25681" ht="14.25" customHeight="1">
      <c r="A25681" s="740"/>
    </row>
    <row r="25682" ht="14.25" customHeight="1">
      <c r="A25682" s="740"/>
    </row>
    <row r="25683" ht="14.25" customHeight="1">
      <c r="A25683" s="740"/>
    </row>
    <row r="25684" ht="14.25" customHeight="1">
      <c r="A25684" s="740"/>
    </row>
    <row r="25685" ht="14.25" customHeight="1">
      <c r="A25685" s="740"/>
    </row>
    <row r="25686" ht="14.25" customHeight="1">
      <c r="A25686" s="740"/>
    </row>
    <row r="25687" ht="14.25" customHeight="1">
      <c r="A25687" s="740"/>
    </row>
    <row r="25688" ht="14.25" customHeight="1">
      <c r="A25688" s="740"/>
    </row>
    <row r="25689" ht="14.25" customHeight="1">
      <c r="A25689" s="740"/>
    </row>
    <row r="25690" ht="14.25" customHeight="1">
      <c r="A25690" s="740"/>
    </row>
    <row r="25691" ht="14.25" customHeight="1">
      <c r="A25691" s="740"/>
    </row>
    <row r="25692" ht="14.25" customHeight="1">
      <c r="A25692" s="740"/>
    </row>
    <row r="25693" ht="14.25" customHeight="1">
      <c r="A25693" s="740"/>
    </row>
    <row r="25694" ht="14.25" customHeight="1">
      <c r="A25694" s="740"/>
    </row>
    <row r="25695" ht="14.25" customHeight="1">
      <c r="A25695" s="740"/>
    </row>
    <row r="25696" ht="14.25" customHeight="1">
      <c r="A25696" s="740"/>
    </row>
    <row r="25697" ht="14.25" customHeight="1">
      <c r="A25697" s="740"/>
    </row>
    <row r="25698" ht="14.25" customHeight="1">
      <c r="A25698" s="740"/>
    </row>
    <row r="25699" ht="14.25" customHeight="1">
      <c r="A25699" s="740"/>
    </row>
    <row r="25700" ht="14.25" customHeight="1">
      <c r="A25700" s="740"/>
    </row>
    <row r="25701" ht="14.25" customHeight="1">
      <c r="A25701" s="740"/>
    </row>
    <row r="25702" ht="14.25" customHeight="1">
      <c r="A25702" s="740"/>
    </row>
    <row r="25703" ht="14.25" customHeight="1">
      <c r="A25703" s="740"/>
    </row>
    <row r="25704" ht="14.25" customHeight="1">
      <c r="A25704" s="740"/>
    </row>
    <row r="25705" ht="14.25" customHeight="1">
      <c r="A25705" s="740"/>
    </row>
    <row r="25706" ht="14.25" customHeight="1">
      <c r="A25706" s="740"/>
    </row>
    <row r="25707" ht="14.25" customHeight="1">
      <c r="A25707" s="740"/>
    </row>
    <row r="25708" ht="14.25" customHeight="1">
      <c r="A25708" s="740"/>
    </row>
    <row r="25709" ht="14.25" customHeight="1">
      <c r="A25709" s="740"/>
    </row>
    <row r="25710" ht="14.25" customHeight="1">
      <c r="A25710" s="740"/>
    </row>
    <row r="25711" ht="14.25" customHeight="1">
      <c r="A25711" s="740"/>
    </row>
    <row r="25712" ht="14.25" customHeight="1">
      <c r="A25712" s="740"/>
    </row>
    <row r="25713" ht="14.25" customHeight="1">
      <c r="A25713" s="740"/>
    </row>
    <row r="25714" ht="14.25" customHeight="1">
      <c r="A25714" s="740"/>
    </row>
    <row r="25715" ht="14.25" customHeight="1">
      <c r="A25715" s="740"/>
    </row>
    <row r="25716" ht="14.25" customHeight="1">
      <c r="A25716" s="740"/>
    </row>
    <row r="25717" ht="14.25" customHeight="1">
      <c r="A25717" s="740"/>
    </row>
    <row r="25718" ht="14.25" customHeight="1">
      <c r="A25718" s="740"/>
    </row>
    <row r="25719" ht="14.25" customHeight="1">
      <c r="A25719" s="740"/>
    </row>
    <row r="25720" ht="14.25" customHeight="1">
      <c r="A25720" s="740"/>
    </row>
    <row r="25721" ht="14.25" customHeight="1">
      <c r="A25721" s="740"/>
    </row>
    <row r="25722" ht="14.25" customHeight="1">
      <c r="A25722" s="740"/>
    </row>
    <row r="25723" ht="14.25" customHeight="1">
      <c r="A25723" s="740"/>
    </row>
    <row r="25724" ht="14.25" customHeight="1">
      <c r="A25724" s="740"/>
    </row>
    <row r="25725" ht="14.25" customHeight="1">
      <c r="A25725" s="740"/>
    </row>
    <row r="25726" ht="14.25" customHeight="1">
      <c r="A25726" s="740"/>
    </row>
    <row r="25727" ht="14.25" customHeight="1">
      <c r="A25727" s="740"/>
    </row>
    <row r="25728" ht="14.25" customHeight="1">
      <c r="A25728" s="740"/>
    </row>
    <row r="25729" ht="14.25" customHeight="1">
      <c r="A25729" s="740"/>
    </row>
    <row r="25730" ht="14.25" customHeight="1">
      <c r="A25730" s="740"/>
    </row>
    <row r="25731" ht="14.25" customHeight="1">
      <c r="A25731" s="740"/>
    </row>
    <row r="25732" ht="14.25" customHeight="1">
      <c r="A25732" s="740"/>
    </row>
    <row r="25733" ht="14.25" customHeight="1">
      <c r="A25733" s="740"/>
    </row>
    <row r="25734" ht="14.25" customHeight="1">
      <c r="A25734" s="740"/>
    </row>
    <row r="25735" ht="14.25" customHeight="1">
      <c r="A25735" s="740"/>
    </row>
    <row r="25736" ht="14.25" customHeight="1">
      <c r="A25736" s="740"/>
    </row>
    <row r="25737" ht="14.25" customHeight="1">
      <c r="A25737" s="740"/>
    </row>
    <row r="25738" ht="14.25" customHeight="1">
      <c r="A25738" s="740"/>
    </row>
    <row r="25739" ht="14.25" customHeight="1">
      <c r="A25739" s="740"/>
    </row>
    <row r="25740" ht="14.25" customHeight="1">
      <c r="A25740" s="740"/>
    </row>
    <row r="25741" ht="14.25" customHeight="1">
      <c r="A25741" s="740"/>
    </row>
    <row r="25742" ht="14.25" customHeight="1">
      <c r="A25742" s="740"/>
    </row>
    <row r="25743" ht="14.25" customHeight="1">
      <c r="A25743" s="740"/>
    </row>
    <row r="25744" ht="14.25" customHeight="1">
      <c r="A25744" s="740"/>
    </row>
    <row r="25745" ht="14.25" customHeight="1">
      <c r="A25745" s="740"/>
    </row>
    <row r="25746" ht="14.25" customHeight="1">
      <c r="A25746" s="740"/>
    </row>
    <row r="25747" ht="14.25" customHeight="1">
      <c r="A25747" s="740"/>
    </row>
    <row r="25748" ht="14.25" customHeight="1">
      <c r="A25748" s="740"/>
    </row>
    <row r="25749" ht="14.25" customHeight="1">
      <c r="A25749" s="740"/>
    </row>
    <row r="25750" ht="14.25" customHeight="1">
      <c r="A25750" s="740"/>
    </row>
    <row r="25751" ht="14.25" customHeight="1">
      <c r="A25751" s="740"/>
    </row>
    <row r="25752" ht="14.25" customHeight="1">
      <c r="A25752" s="740"/>
    </row>
    <row r="25753" ht="14.25" customHeight="1">
      <c r="A25753" s="740"/>
    </row>
    <row r="25754" ht="14.25" customHeight="1">
      <c r="A25754" s="740"/>
    </row>
    <row r="25755" ht="14.25" customHeight="1">
      <c r="A25755" s="740"/>
    </row>
    <row r="25756" ht="14.25" customHeight="1">
      <c r="A25756" s="740"/>
    </row>
    <row r="25757" ht="14.25" customHeight="1">
      <c r="A25757" s="740"/>
    </row>
    <row r="25758" ht="14.25" customHeight="1">
      <c r="A25758" s="740"/>
    </row>
    <row r="25759" ht="14.25" customHeight="1">
      <c r="A25759" s="740"/>
    </row>
    <row r="25760" ht="14.25" customHeight="1">
      <c r="A25760" s="740"/>
    </row>
    <row r="25761" ht="14.25" customHeight="1">
      <c r="A25761" s="740"/>
    </row>
    <row r="25762" ht="14.25" customHeight="1">
      <c r="A25762" s="740"/>
    </row>
    <row r="25763" ht="14.25" customHeight="1">
      <c r="A25763" s="740"/>
    </row>
    <row r="25764" ht="14.25" customHeight="1">
      <c r="A25764" s="740"/>
    </row>
    <row r="25765" ht="14.25" customHeight="1">
      <c r="A25765" s="740"/>
    </row>
    <row r="25766" ht="14.25" customHeight="1">
      <c r="A25766" s="740"/>
    </row>
    <row r="25767" ht="14.25" customHeight="1">
      <c r="A25767" s="740"/>
    </row>
    <row r="25768" ht="14.25" customHeight="1">
      <c r="A25768" s="740"/>
    </row>
    <row r="25769" ht="14.25" customHeight="1">
      <c r="A25769" s="740"/>
    </row>
    <row r="25770" ht="14.25" customHeight="1">
      <c r="A25770" s="740"/>
    </row>
    <row r="25771" ht="14.25" customHeight="1">
      <c r="A25771" s="740"/>
    </row>
    <row r="25772" ht="14.25" customHeight="1">
      <c r="A25772" s="740"/>
    </row>
    <row r="25773" ht="14.25" customHeight="1">
      <c r="A25773" s="740"/>
    </row>
    <row r="25774" ht="14.25" customHeight="1">
      <c r="A25774" s="740"/>
    </row>
    <row r="25775" ht="14.25" customHeight="1">
      <c r="A25775" s="740"/>
    </row>
    <row r="25776" ht="14.25" customHeight="1">
      <c r="A25776" s="740"/>
    </row>
    <row r="25777" ht="14.25" customHeight="1">
      <c r="A25777" s="740"/>
    </row>
    <row r="25778" ht="14.25" customHeight="1">
      <c r="A25778" s="740"/>
    </row>
    <row r="25779" ht="14.25" customHeight="1">
      <c r="A25779" s="740"/>
    </row>
    <row r="25780" ht="14.25" customHeight="1">
      <c r="A25780" s="740"/>
    </row>
    <row r="25781" ht="14.25" customHeight="1">
      <c r="A25781" s="740"/>
    </row>
    <row r="25782" ht="14.25" customHeight="1">
      <c r="A25782" s="740"/>
    </row>
    <row r="25783" ht="14.25" customHeight="1">
      <c r="A25783" s="740"/>
    </row>
    <row r="25784" ht="14.25" customHeight="1">
      <c r="A25784" s="740"/>
    </row>
    <row r="25785" ht="14.25" customHeight="1">
      <c r="A25785" s="740"/>
    </row>
    <row r="25786" ht="14.25" customHeight="1">
      <c r="A25786" s="740"/>
    </row>
    <row r="25787" ht="14.25" customHeight="1">
      <c r="A25787" s="740"/>
    </row>
    <row r="25788" ht="14.25" customHeight="1">
      <c r="A25788" s="740"/>
    </row>
    <row r="25789" ht="14.25" customHeight="1">
      <c r="A25789" s="740"/>
    </row>
    <row r="25790" ht="14.25" customHeight="1">
      <c r="A25790" s="740"/>
    </row>
    <row r="25791" ht="14.25" customHeight="1">
      <c r="A25791" s="740"/>
    </row>
    <row r="25792" ht="14.25" customHeight="1">
      <c r="A25792" s="740"/>
    </row>
    <row r="25793" ht="14.25" customHeight="1">
      <c r="A25793" s="740"/>
    </row>
    <row r="25794" ht="14.25" customHeight="1">
      <c r="A25794" s="740"/>
    </row>
    <row r="25795" ht="14.25" customHeight="1">
      <c r="A25795" s="740"/>
    </row>
    <row r="25796" ht="14.25" customHeight="1">
      <c r="A25796" s="740"/>
    </row>
    <row r="25797" ht="14.25" customHeight="1">
      <c r="A25797" s="740"/>
    </row>
    <row r="25798" ht="14.25" customHeight="1">
      <c r="A25798" s="740"/>
    </row>
    <row r="25799" ht="14.25" customHeight="1">
      <c r="A25799" s="740"/>
    </row>
    <row r="25800" ht="14.25" customHeight="1">
      <c r="A25800" s="740"/>
    </row>
    <row r="25801" ht="14.25" customHeight="1">
      <c r="A25801" s="740"/>
    </row>
    <row r="25802" ht="14.25" customHeight="1">
      <c r="A25802" s="740"/>
    </row>
    <row r="25803" ht="14.25" customHeight="1">
      <c r="A25803" s="740"/>
    </row>
    <row r="25804" ht="14.25" customHeight="1">
      <c r="A25804" s="740"/>
    </row>
    <row r="25805" ht="14.25" customHeight="1">
      <c r="A25805" s="740"/>
    </row>
    <row r="25806" ht="14.25" customHeight="1">
      <c r="A25806" s="740"/>
    </row>
    <row r="25807" ht="14.25" customHeight="1">
      <c r="A25807" s="740"/>
    </row>
    <row r="25808" ht="14.25" customHeight="1">
      <c r="A25808" s="740"/>
    </row>
    <row r="25809" ht="14.25" customHeight="1">
      <c r="A25809" s="740"/>
    </row>
    <row r="25810" ht="14.25" customHeight="1">
      <c r="A25810" s="740"/>
    </row>
    <row r="25811" ht="14.25" customHeight="1">
      <c r="A25811" s="740"/>
    </row>
    <row r="25812" ht="14.25" customHeight="1">
      <c r="A25812" s="740"/>
    </row>
    <row r="25813" ht="14.25" customHeight="1">
      <c r="A25813" s="740"/>
    </row>
    <row r="25814" ht="14.25" customHeight="1">
      <c r="A25814" s="740"/>
    </row>
    <row r="25815" ht="14.25" customHeight="1">
      <c r="A25815" s="740"/>
    </row>
    <row r="25816" ht="14.25" customHeight="1">
      <c r="A25816" s="740"/>
    </row>
    <row r="25817" ht="14.25" customHeight="1">
      <c r="A25817" s="740"/>
    </row>
    <row r="25818" ht="14.25" customHeight="1">
      <c r="A25818" s="740"/>
    </row>
    <row r="25819" ht="14.25" customHeight="1">
      <c r="A25819" s="740"/>
    </row>
    <row r="25820" ht="14.25" customHeight="1">
      <c r="A25820" s="740"/>
    </row>
    <row r="25821" ht="14.25" customHeight="1">
      <c r="A25821" s="740"/>
    </row>
    <row r="25822" ht="14.25" customHeight="1">
      <c r="A25822" s="740"/>
    </row>
    <row r="25823" ht="14.25" customHeight="1">
      <c r="A25823" s="740"/>
    </row>
    <row r="25824" ht="14.25" customHeight="1">
      <c r="A25824" s="740"/>
    </row>
    <row r="25825" ht="14.25" customHeight="1">
      <c r="A25825" s="740"/>
    </row>
    <row r="25826" ht="14.25" customHeight="1">
      <c r="A25826" s="740"/>
    </row>
    <row r="25827" ht="14.25" customHeight="1">
      <c r="A25827" s="740"/>
    </row>
    <row r="25828" ht="14.25" customHeight="1">
      <c r="A25828" s="740"/>
    </row>
    <row r="25829" ht="14.25" customHeight="1">
      <c r="A25829" s="740"/>
    </row>
    <row r="25830" ht="14.25" customHeight="1">
      <c r="A25830" s="740"/>
    </row>
    <row r="25831" ht="14.25" customHeight="1">
      <c r="A25831" s="740"/>
    </row>
    <row r="25832" ht="14.25" customHeight="1">
      <c r="A25832" s="740"/>
    </row>
    <row r="25833" ht="14.25" customHeight="1">
      <c r="A25833" s="740"/>
    </row>
    <row r="25834" ht="14.25" customHeight="1">
      <c r="A25834" s="740"/>
    </row>
    <row r="25835" ht="14.25" customHeight="1">
      <c r="A25835" s="740"/>
    </row>
    <row r="25836" ht="14.25" customHeight="1">
      <c r="A25836" s="740"/>
    </row>
    <row r="25837" ht="14.25" customHeight="1">
      <c r="A25837" s="740"/>
    </row>
    <row r="25838" ht="14.25" customHeight="1">
      <c r="A25838" s="740"/>
    </row>
    <row r="25839" ht="14.25" customHeight="1">
      <c r="A25839" s="740"/>
    </row>
    <row r="25840" ht="14.25" customHeight="1">
      <c r="A25840" s="740"/>
    </row>
    <row r="25841" ht="14.25" customHeight="1">
      <c r="A25841" s="740"/>
    </row>
    <row r="25842" ht="14.25" customHeight="1">
      <c r="A25842" s="740"/>
    </row>
    <row r="25843" ht="14.25" customHeight="1">
      <c r="A25843" s="740"/>
    </row>
    <row r="25844" ht="14.25" customHeight="1">
      <c r="A25844" s="740"/>
    </row>
    <row r="25845" ht="14.25" customHeight="1">
      <c r="A25845" s="740"/>
    </row>
    <row r="25846" ht="14.25" customHeight="1">
      <c r="A25846" s="740"/>
    </row>
    <row r="25847" ht="14.25" customHeight="1">
      <c r="A25847" s="740"/>
    </row>
    <row r="25848" ht="14.25" customHeight="1">
      <c r="A25848" s="740"/>
    </row>
    <row r="25849" ht="14.25" customHeight="1">
      <c r="A25849" s="740"/>
    </row>
    <row r="25850" ht="14.25" customHeight="1">
      <c r="A25850" s="740"/>
    </row>
    <row r="25851" ht="14.25" customHeight="1">
      <c r="A25851" s="740"/>
    </row>
    <row r="25852" ht="14.25" customHeight="1">
      <c r="A25852" s="740"/>
    </row>
    <row r="25853" ht="14.25" customHeight="1">
      <c r="A25853" s="740"/>
    </row>
    <row r="25854" ht="14.25" customHeight="1">
      <c r="A25854" s="740"/>
    </row>
    <row r="25855" ht="14.25" customHeight="1">
      <c r="A25855" s="740"/>
    </row>
    <row r="25856" ht="14.25" customHeight="1">
      <c r="A25856" s="740"/>
    </row>
    <row r="25857" ht="14.25" customHeight="1">
      <c r="A25857" s="740"/>
    </row>
    <row r="25858" ht="14.25" customHeight="1">
      <c r="A25858" s="740"/>
    </row>
    <row r="25859" ht="14.25" customHeight="1">
      <c r="A25859" s="740"/>
    </row>
    <row r="25860" ht="14.25" customHeight="1">
      <c r="A25860" s="740"/>
    </row>
    <row r="25861" ht="14.25" customHeight="1">
      <c r="A25861" s="740"/>
    </row>
    <row r="25862" ht="14.25" customHeight="1">
      <c r="A25862" s="740"/>
    </row>
    <row r="25863" ht="14.25" customHeight="1">
      <c r="A25863" s="740"/>
    </row>
    <row r="25864" ht="14.25" customHeight="1">
      <c r="A25864" s="740"/>
    </row>
    <row r="25865" ht="14.25" customHeight="1">
      <c r="A25865" s="740"/>
    </row>
    <row r="25866" ht="14.25" customHeight="1">
      <c r="A25866" s="740"/>
    </row>
    <row r="25867" ht="14.25" customHeight="1">
      <c r="A25867" s="740"/>
    </row>
    <row r="25868" ht="14.25" customHeight="1">
      <c r="A25868" s="740"/>
    </row>
    <row r="25869" ht="14.25" customHeight="1">
      <c r="A25869" s="740"/>
    </row>
    <row r="25870" ht="14.25" customHeight="1">
      <c r="A25870" s="740"/>
    </row>
    <row r="25871" ht="14.25" customHeight="1">
      <c r="A25871" s="740"/>
    </row>
    <row r="25872" ht="14.25" customHeight="1">
      <c r="A25872" s="740"/>
    </row>
    <row r="25873" ht="14.25" customHeight="1">
      <c r="A25873" s="740"/>
    </row>
    <row r="25874" ht="14.25" customHeight="1">
      <c r="A25874" s="740"/>
    </row>
    <row r="25875" ht="14.25" customHeight="1">
      <c r="A25875" s="740"/>
    </row>
    <row r="25876" ht="14.25" customHeight="1">
      <c r="A25876" s="740"/>
    </row>
    <row r="25877" ht="14.25" customHeight="1">
      <c r="A25877" s="740"/>
    </row>
    <row r="25878" ht="14.25" customHeight="1">
      <c r="A25878" s="740"/>
    </row>
    <row r="25879" ht="14.25" customHeight="1">
      <c r="A25879" s="740"/>
    </row>
    <row r="25880" ht="14.25" customHeight="1">
      <c r="A25880" s="740"/>
    </row>
    <row r="25881" ht="14.25" customHeight="1">
      <c r="A25881" s="740"/>
    </row>
    <row r="25882" ht="14.25" customHeight="1">
      <c r="A25882" s="740"/>
    </row>
    <row r="25883" ht="14.25" customHeight="1">
      <c r="A25883" s="740"/>
    </row>
    <row r="25884" ht="14.25" customHeight="1">
      <c r="A25884" s="740"/>
    </row>
    <row r="25885" ht="14.25" customHeight="1">
      <c r="A25885" s="740"/>
    </row>
    <row r="25886" ht="14.25" customHeight="1">
      <c r="A25886" s="740"/>
    </row>
    <row r="25887" ht="14.25" customHeight="1">
      <c r="A25887" s="740"/>
    </row>
    <row r="25888" ht="14.25" customHeight="1">
      <c r="A25888" s="740"/>
    </row>
    <row r="25889" ht="14.25" customHeight="1">
      <c r="A25889" s="740"/>
    </row>
    <row r="25890" ht="14.25" customHeight="1">
      <c r="A25890" s="740"/>
    </row>
    <row r="25891" ht="14.25" customHeight="1">
      <c r="A25891" s="740"/>
    </row>
    <row r="25892" ht="14.25" customHeight="1">
      <c r="A25892" s="740"/>
    </row>
    <row r="25893" ht="14.25" customHeight="1">
      <c r="A25893" s="740"/>
    </row>
    <row r="25894" ht="14.25" customHeight="1">
      <c r="A25894" s="740"/>
    </row>
    <row r="25895" ht="14.25" customHeight="1">
      <c r="A25895" s="740"/>
    </row>
    <row r="25896" ht="14.25" customHeight="1">
      <c r="A25896" s="740"/>
    </row>
    <row r="25897" ht="14.25" customHeight="1">
      <c r="A25897" s="740"/>
    </row>
    <row r="25898" ht="14.25" customHeight="1">
      <c r="A25898" s="740"/>
    </row>
    <row r="25899" ht="14.25" customHeight="1">
      <c r="A25899" s="740"/>
    </row>
    <row r="25900" ht="14.25" customHeight="1">
      <c r="A25900" s="740"/>
    </row>
    <row r="25901" ht="14.25" customHeight="1">
      <c r="A25901" s="740"/>
    </row>
    <row r="25902" ht="14.25" customHeight="1">
      <c r="A25902" s="740"/>
    </row>
    <row r="25903" ht="14.25" customHeight="1">
      <c r="A25903" s="740"/>
    </row>
    <row r="25904" ht="14.25" customHeight="1">
      <c r="A25904" s="740"/>
    </row>
    <row r="25905" ht="14.25" customHeight="1">
      <c r="A25905" s="740"/>
    </row>
    <row r="25906" ht="14.25" customHeight="1">
      <c r="A25906" s="740"/>
    </row>
    <row r="25907" ht="14.25" customHeight="1">
      <c r="A25907" s="740"/>
    </row>
    <row r="25908" ht="14.25" customHeight="1">
      <c r="A25908" s="740"/>
    </row>
    <row r="25909" ht="14.25" customHeight="1">
      <c r="A25909" s="740"/>
    </row>
    <row r="25910" ht="14.25" customHeight="1">
      <c r="A25910" s="740"/>
    </row>
    <row r="25911" ht="14.25" customHeight="1">
      <c r="A25911" s="740"/>
    </row>
    <row r="25912" ht="14.25" customHeight="1">
      <c r="A25912" s="740"/>
    </row>
    <row r="25913" ht="14.25" customHeight="1">
      <c r="A25913" s="740"/>
    </row>
    <row r="25914" ht="14.25" customHeight="1">
      <c r="A25914" s="740"/>
    </row>
    <row r="25915" ht="14.25" customHeight="1">
      <c r="A25915" s="740"/>
    </row>
    <row r="25916" ht="14.25" customHeight="1">
      <c r="A25916" s="740"/>
    </row>
    <row r="25917" ht="14.25" customHeight="1">
      <c r="A25917" s="740"/>
    </row>
    <row r="25918" ht="14.25" customHeight="1">
      <c r="A25918" s="740"/>
    </row>
    <row r="25919" ht="14.25" customHeight="1">
      <c r="A25919" s="740"/>
    </row>
    <row r="25920" ht="14.25" customHeight="1">
      <c r="A25920" s="740"/>
    </row>
    <row r="25921" ht="14.25" customHeight="1">
      <c r="A25921" s="740"/>
    </row>
    <row r="25922" ht="14.25" customHeight="1">
      <c r="A25922" s="740"/>
    </row>
    <row r="25923" ht="14.25" customHeight="1">
      <c r="A25923" s="740"/>
    </row>
    <row r="25924" ht="14.25" customHeight="1">
      <c r="A25924" s="740"/>
    </row>
    <row r="25925" ht="14.25" customHeight="1">
      <c r="A25925" s="740"/>
    </row>
    <row r="25926" ht="14.25" customHeight="1">
      <c r="A25926" s="740"/>
    </row>
    <row r="25927" ht="14.25" customHeight="1">
      <c r="A25927" s="740"/>
    </row>
    <row r="25928" ht="14.25" customHeight="1">
      <c r="A25928" s="740"/>
    </row>
    <row r="25929" ht="14.25" customHeight="1">
      <c r="A25929" s="740"/>
    </row>
    <row r="25930" ht="14.25" customHeight="1">
      <c r="A25930" s="740"/>
    </row>
    <row r="25931" ht="14.25" customHeight="1">
      <c r="A25931" s="740"/>
    </row>
    <row r="25932" ht="14.25" customHeight="1">
      <c r="A25932" s="740"/>
    </row>
    <row r="25933" ht="14.25" customHeight="1">
      <c r="A25933" s="740"/>
    </row>
    <row r="25934" ht="14.25" customHeight="1">
      <c r="A25934" s="740"/>
    </row>
    <row r="25935" ht="14.25" customHeight="1">
      <c r="A25935" s="740"/>
    </row>
    <row r="25936" ht="14.25" customHeight="1">
      <c r="A25936" s="740"/>
    </row>
    <row r="25937" ht="14.25" customHeight="1">
      <c r="A25937" s="740"/>
    </row>
    <row r="25938" ht="14.25" customHeight="1">
      <c r="A25938" s="740"/>
    </row>
    <row r="25939" ht="14.25" customHeight="1">
      <c r="A25939" s="740"/>
    </row>
    <row r="25940" ht="14.25" customHeight="1">
      <c r="A25940" s="740"/>
    </row>
    <row r="25941" ht="14.25" customHeight="1">
      <c r="A25941" s="740"/>
    </row>
    <row r="25942" ht="14.25" customHeight="1">
      <c r="A25942" s="740"/>
    </row>
    <row r="25943" ht="14.25" customHeight="1">
      <c r="A25943" s="740"/>
    </row>
    <row r="25944" ht="14.25" customHeight="1">
      <c r="A25944" s="740"/>
    </row>
    <row r="25945" ht="14.25" customHeight="1">
      <c r="A25945" s="740"/>
    </row>
    <row r="25946" ht="14.25" customHeight="1">
      <c r="A25946" s="740"/>
    </row>
    <row r="25947" ht="14.25" customHeight="1">
      <c r="A25947" s="740"/>
    </row>
    <row r="25948" ht="14.25" customHeight="1">
      <c r="A25948" s="740"/>
    </row>
    <row r="25949" ht="14.25" customHeight="1">
      <c r="A25949" s="740"/>
    </row>
    <row r="25950" ht="14.25" customHeight="1">
      <c r="A25950" s="740"/>
    </row>
    <row r="25951" ht="14.25" customHeight="1">
      <c r="A25951" s="740"/>
    </row>
    <row r="25952" ht="14.25" customHeight="1">
      <c r="A25952" s="740"/>
    </row>
    <row r="25953" ht="14.25" customHeight="1">
      <c r="A25953" s="740"/>
    </row>
    <row r="25954" ht="14.25" customHeight="1">
      <c r="A25954" s="740"/>
    </row>
    <row r="25955" ht="14.25" customHeight="1">
      <c r="A25955" s="740"/>
    </row>
    <row r="25956" ht="14.25" customHeight="1">
      <c r="A25956" s="740"/>
    </row>
    <row r="25957" ht="14.25" customHeight="1">
      <c r="A25957" s="740"/>
    </row>
    <row r="25958" ht="14.25" customHeight="1">
      <c r="A25958" s="740"/>
    </row>
    <row r="25959" ht="14.25" customHeight="1">
      <c r="A25959" s="740"/>
    </row>
    <row r="25960" ht="14.25" customHeight="1">
      <c r="A25960" s="740"/>
    </row>
    <row r="25961" ht="14.25" customHeight="1">
      <c r="A25961" s="740"/>
    </row>
    <row r="25962" ht="14.25" customHeight="1">
      <c r="A25962" s="740"/>
    </row>
    <row r="25963" ht="14.25" customHeight="1">
      <c r="A25963" s="740"/>
    </row>
    <row r="25964" ht="14.25" customHeight="1">
      <c r="A25964" s="740"/>
    </row>
    <row r="25965" ht="14.25" customHeight="1">
      <c r="A25965" s="740"/>
    </row>
    <row r="25966" ht="14.25" customHeight="1">
      <c r="A25966" s="740"/>
    </row>
    <row r="25967" ht="14.25" customHeight="1">
      <c r="A25967" s="740"/>
    </row>
    <row r="25968" ht="14.25" customHeight="1">
      <c r="A25968" s="740"/>
    </row>
    <row r="25969" ht="14.25" customHeight="1">
      <c r="A25969" s="740"/>
    </row>
    <row r="25970" ht="14.25" customHeight="1">
      <c r="A25970" s="740"/>
    </row>
    <row r="25971" ht="14.25" customHeight="1">
      <c r="A25971" s="740"/>
    </row>
    <row r="25972" ht="14.25" customHeight="1">
      <c r="A25972" s="740"/>
    </row>
    <row r="25973" ht="14.25" customHeight="1">
      <c r="A25973" s="740"/>
    </row>
    <row r="25974" ht="14.25" customHeight="1">
      <c r="A25974" s="740"/>
    </row>
    <row r="25975" ht="14.25" customHeight="1">
      <c r="A25975" s="740"/>
    </row>
    <row r="25976" ht="14.25" customHeight="1">
      <c r="A25976" s="740"/>
    </row>
    <row r="25977" ht="14.25" customHeight="1">
      <c r="A25977" s="740"/>
    </row>
    <row r="25978" ht="14.25" customHeight="1">
      <c r="A25978" s="740"/>
    </row>
    <row r="25979" ht="14.25" customHeight="1">
      <c r="A25979" s="740"/>
    </row>
    <row r="25980" ht="14.25" customHeight="1">
      <c r="A25980" s="740"/>
    </row>
    <row r="25981" ht="14.25" customHeight="1">
      <c r="A25981" s="740"/>
    </row>
    <row r="25982" ht="14.25" customHeight="1">
      <c r="A25982" s="740"/>
    </row>
    <row r="25983" ht="14.25" customHeight="1">
      <c r="A25983" s="740"/>
    </row>
    <row r="25984" ht="14.25" customHeight="1">
      <c r="A25984" s="740"/>
    </row>
    <row r="25985" ht="14.25" customHeight="1">
      <c r="A25985" s="740"/>
    </row>
    <row r="25986" ht="14.25" customHeight="1">
      <c r="A25986" s="740"/>
    </row>
    <row r="25987" ht="14.25" customHeight="1">
      <c r="A25987" s="740"/>
    </row>
    <row r="25988" ht="14.25" customHeight="1">
      <c r="A25988" s="740"/>
    </row>
    <row r="25989" ht="14.25" customHeight="1">
      <c r="A25989" s="740"/>
    </row>
    <row r="25990" ht="14.25" customHeight="1">
      <c r="A25990" s="740"/>
    </row>
    <row r="25991" ht="14.25" customHeight="1">
      <c r="A25991" s="740"/>
    </row>
    <row r="25992" ht="14.25" customHeight="1">
      <c r="A25992" s="740"/>
    </row>
    <row r="25993" ht="14.25" customHeight="1">
      <c r="A25993" s="740"/>
    </row>
    <row r="25994" ht="14.25" customHeight="1">
      <c r="A25994" s="740"/>
    </row>
    <row r="25995" ht="14.25" customHeight="1">
      <c r="A25995" s="740"/>
    </row>
    <row r="25996" ht="14.25" customHeight="1">
      <c r="A25996" s="740"/>
    </row>
    <row r="25997" ht="14.25" customHeight="1">
      <c r="A25997" s="740"/>
    </row>
    <row r="25998" ht="14.25" customHeight="1">
      <c r="A25998" s="740"/>
    </row>
    <row r="25999" ht="14.25" customHeight="1">
      <c r="A25999" s="740"/>
    </row>
    <row r="26000" ht="14.25" customHeight="1">
      <c r="A26000" s="740"/>
    </row>
    <row r="26001" ht="14.25" customHeight="1">
      <c r="A26001" s="740"/>
    </row>
    <row r="26002" ht="14.25" customHeight="1">
      <c r="A26002" s="740"/>
    </row>
    <row r="26003" ht="14.25" customHeight="1">
      <c r="A26003" s="740"/>
    </row>
    <row r="26004" ht="14.25" customHeight="1">
      <c r="A26004" s="740"/>
    </row>
    <row r="26005" ht="14.25" customHeight="1">
      <c r="A26005" s="740"/>
    </row>
    <row r="26006" ht="14.25" customHeight="1">
      <c r="A26006" s="740"/>
    </row>
    <row r="26007" ht="14.25" customHeight="1">
      <c r="A26007" s="740"/>
    </row>
    <row r="26008" ht="14.25" customHeight="1">
      <c r="A26008" s="740"/>
    </row>
    <row r="26009" ht="14.25" customHeight="1">
      <c r="A26009" s="740"/>
    </row>
    <row r="26010" ht="14.25" customHeight="1">
      <c r="A26010" s="740"/>
    </row>
    <row r="26011" ht="14.25" customHeight="1">
      <c r="A26011" s="740"/>
    </row>
    <row r="26012" ht="14.25" customHeight="1">
      <c r="A26012" s="740"/>
    </row>
    <row r="26013" ht="14.25" customHeight="1">
      <c r="A26013" s="740"/>
    </row>
    <row r="26014" ht="14.25" customHeight="1">
      <c r="A26014" s="740"/>
    </row>
    <row r="26015" ht="14.25" customHeight="1">
      <c r="A26015" s="740"/>
    </row>
    <row r="26016" ht="14.25" customHeight="1">
      <c r="A26016" s="740"/>
    </row>
    <row r="26017" ht="14.25" customHeight="1">
      <c r="A26017" s="740"/>
    </row>
    <row r="26018" ht="14.25" customHeight="1">
      <c r="A26018" s="740"/>
    </row>
    <row r="26019" ht="14.25" customHeight="1">
      <c r="A26019" s="740"/>
    </row>
    <row r="26020" ht="14.25" customHeight="1">
      <c r="A26020" s="740"/>
    </row>
    <row r="26021" ht="14.25" customHeight="1">
      <c r="A26021" s="740"/>
    </row>
    <row r="26022" ht="14.25" customHeight="1">
      <c r="A26022" s="740"/>
    </row>
    <row r="26023" ht="14.25" customHeight="1">
      <c r="A26023" s="740"/>
    </row>
    <row r="26024" ht="14.25" customHeight="1">
      <c r="A26024" s="740"/>
    </row>
    <row r="26025" ht="14.25" customHeight="1">
      <c r="A26025" s="740"/>
    </row>
    <row r="26026" ht="14.25" customHeight="1">
      <c r="A26026" s="740"/>
    </row>
    <row r="26027" ht="14.25" customHeight="1">
      <c r="A26027" s="740"/>
    </row>
    <row r="26028" ht="14.25" customHeight="1">
      <c r="A26028" s="740"/>
    </row>
    <row r="26029" ht="14.25" customHeight="1">
      <c r="A26029" s="740"/>
    </row>
    <row r="26030" ht="14.25" customHeight="1">
      <c r="A26030" s="740"/>
    </row>
    <row r="26031" ht="14.25" customHeight="1">
      <c r="A26031" s="740"/>
    </row>
    <row r="26032" ht="14.25" customHeight="1">
      <c r="A26032" s="740"/>
    </row>
    <row r="26033" ht="14.25" customHeight="1">
      <c r="A26033" s="740"/>
    </row>
    <row r="26034" ht="14.25" customHeight="1">
      <c r="A26034" s="740"/>
    </row>
    <row r="26035" ht="14.25" customHeight="1">
      <c r="A26035" s="740"/>
    </row>
    <row r="26036" ht="14.25" customHeight="1">
      <c r="A26036" s="740"/>
    </row>
    <row r="26037" ht="14.25" customHeight="1">
      <c r="A26037" s="740"/>
    </row>
    <row r="26038" ht="14.25" customHeight="1">
      <c r="A26038" s="740"/>
    </row>
    <row r="26039" ht="14.25" customHeight="1">
      <c r="A26039" s="740"/>
    </row>
    <row r="26040" ht="14.25" customHeight="1">
      <c r="A26040" s="740"/>
    </row>
    <row r="26041" ht="14.25" customHeight="1">
      <c r="A26041" s="740"/>
    </row>
    <row r="26042" ht="14.25" customHeight="1">
      <c r="A26042" s="740"/>
    </row>
    <row r="26043" ht="14.25" customHeight="1">
      <c r="A26043" s="740"/>
    </row>
    <row r="26044" ht="14.25" customHeight="1">
      <c r="A26044" s="740"/>
    </row>
    <row r="26045" ht="14.25" customHeight="1">
      <c r="A26045" s="740"/>
    </row>
    <row r="26046" ht="14.25" customHeight="1">
      <c r="A26046" s="740"/>
    </row>
    <row r="26047" ht="14.25" customHeight="1">
      <c r="A26047" s="740"/>
    </row>
    <row r="26048" ht="14.25" customHeight="1">
      <c r="A26048" s="740"/>
    </row>
    <row r="26049" ht="14.25" customHeight="1">
      <c r="A26049" s="740"/>
    </row>
    <row r="26050" ht="14.25" customHeight="1">
      <c r="A26050" s="740"/>
    </row>
    <row r="26051" ht="14.25" customHeight="1">
      <c r="A26051" s="740"/>
    </row>
    <row r="26052" ht="14.25" customHeight="1">
      <c r="A26052" s="740"/>
    </row>
    <row r="26053" ht="14.25" customHeight="1">
      <c r="A26053" s="740"/>
    </row>
    <row r="26054" ht="14.25" customHeight="1">
      <c r="A26054" s="740"/>
    </row>
    <row r="26055" ht="14.25" customHeight="1">
      <c r="A26055" s="740"/>
    </row>
    <row r="26056" ht="14.25" customHeight="1">
      <c r="A26056" s="740"/>
    </row>
    <row r="26057" ht="14.25" customHeight="1">
      <c r="A26057" s="740"/>
    </row>
    <row r="26058" ht="14.25" customHeight="1">
      <c r="A26058" s="740"/>
    </row>
    <row r="26059" ht="14.25" customHeight="1">
      <c r="A26059" s="740"/>
    </row>
    <row r="26060" ht="14.25" customHeight="1">
      <c r="A26060" s="740"/>
    </row>
    <row r="26061" ht="14.25" customHeight="1">
      <c r="A26061" s="740"/>
    </row>
    <row r="26062" ht="14.25" customHeight="1">
      <c r="A26062" s="740"/>
    </row>
    <row r="26063" ht="14.25" customHeight="1">
      <c r="A26063" s="740"/>
    </row>
    <row r="26064" ht="14.25" customHeight="1">
      <c r="A26064" s="740"/>
    </row>
    <row r="26065" ht="14.25" customHeight="1">
      <c r="A26065" s="740"/>
    </row>
    <row r="26066" ht="14.25" customHeight="1">
      <c r="A26066" s="740"/>
    </row>
    <row r="26067" ht="14.25" customHeight="1">
      <c r="A26067" s="740"/>
    </row>
    <row r="26068" ht="14.25" customHeight="1">
      <c r="A26068" s="740"/>
    </row>
    <row r="26069" ht="14.25" customHeight="1">
      <c r="A26069" s="740"/>
    </row>
    <row r="26070" ht="14.25" customHeight="1">
      <c r="A26070" s="740"/>
    </row>
    <row r="26071" ht="14.25" customHeight="1">
      <c r="A26071" s="740"/>
    </row>
    <row r="26072" ht="14.25" customHeight="1">
      <c r="A26072" s="740"/>
    </row>
    <row r="26073" ht="14.25" customHeight="1">
      <c r="A26073" s="740"/>
    </row>
    <row r="26074" ht="14.25" customHeight="1">
      <c r="A26074" s="740"/>
    </row>
    <row r="26075" ht="14.25" customHeight="1">
      <c r="A26075" s="740"/>
    </row>
    <row r="26076" ht="14.25" customHeight="1">
      <c r="A26076" s="740"/>
    </row>
    <row r="26077" ht="14.25" customHeight="1">
      <c r="A26077" s="740"/>
    </row>
    <row r="26078" ht="14.25" customHeight="1">
      <c r="A26078" s="740"/>
    </row>
    <row r="26079" ht="14.25" customHeight="1">
      <c r="A26079" s="740"/>
    </row>
    <row r="26080" ht="14.25" customHeight="1">
      <c r="A26080" s="740"/>
    </row>
    <row r="26081" ht="14.25" customHeight="1">
      <c r="A26081" s="740"/>
    </row>
    <row r="26082" ht="14.25" customHeight="1">
      <c r="A26082" s="740"/>
    </row>
    <row r="26083" ht="14.25" customHeight="1">
      <c r="A26083" s="740"/>
    </row>
    <row r="26084" ht="14.25" customHeight="1">
      <c r="A26084" s="740"/>
    </row>
    <row r="26085" ht="14.25" customHeight="1">
      <c r="A26085" s="740"/>
    </row>
    <row r="26086" ht="14.25" customHeight="1">
      <c r="A26086" s="740"/>
    </row>
    <row r="26087" ht="14.25" customHeight="1">
      <c r="A26087" s="740"/>
    </row>
    <row r="26088" ht="14.25" customHeight="1">
      <c r="A26088" s="740"/>
    </row>
    <row r="26089" ht="14.25" customHeight="1">
      <c r="A26089" s="740"/>
    </row>
    <row r="26090" ht="14.25" customHeight="1">
      <c r="A26090" s="740"/>
    </row>
    <row r="26091" ht="14.25" customHeight="1">
      <c r="A26091" s="740"/>
    </row>
    <row r="26092" ht="14.25" customHeight="1">
      <c r="A26092" s="740"/>
    </row>
    <row r="26093" ht="14.25" customHeight="1">
      <c r="A26093" s="740"/>
    </row>
    <row r="26094" ht="14.25" customHeight="1">
      <c r="A26094" s="740"/>
    </row>
    <row r="26095" ht="14.25" customHeight="1">
      <c r="A26095" s="740"/>
    </row>
    <row r="26096" ht="14.25" customHeight="1">
      <c r="A26096" s="740"/>
    </row>
    <row r="26097" ht="14.25" customHeight="1">
      <c r="A26097" s="740"/>
    </row>
    <row r="26098" ht="14.25" customHeight="1">
      <c r="A26098" s="740"/>
    </row>
    <row r="26099" ht="14.25" customHeight="1">
      <c r="A26099" s="740"/>
    </row>
    <row r="26100" ht="14.25" customHeight="1">
      <c r="A26100" s="740"/>
    </row>
    <row r="26101" ht="14.25" customHeight="1">
      <c r="A26101" s="740"/>
    </row>
    <row r="26102" ht="14.25" customHeight="1">
      <c r="A26102" s="740"/>
    </row>
    <row r="26103" ht="14.25" customHeight="1">
      <c r="A26103" s="740"/>
    </row>
    <row r="26104" ht="14.25" customHeight="1">
      <c r="A26104" s="740"/>
    </row>
    <row r="26105" ht="14.25" customHeight="1">
      <c r="A26105" s="740"/>
    </row>
    <row r="26106" ht="14.25" customHeight="1">
      <c r="A26106" s="740"/>
    </row>
    <row r="26107" ht="14.25" customHeight="1">
      <c r="A26107" s="740"/>
    </row>
    <row r="26108" ht="14.25" customHeight="1">
      <c r="A26108" s="740"/>
    </row>
    <row r="26109" ht="14.25" customHeight="1">
      <c r="A26109" s="740"/>
    </row>
    <row r="26110" ht="14.25" customHeight="1">
      <c r="A26110" s="740"/>
    </row>
    <row r="26111" ht="14.25" customHeight="1">
      <c r="A26111" s="740"/>
    </row>
    <row r="26112" ht="14.25" customHeight="1">
      <c r="A26112" s="740"/>
    </row>
    <row r="26113" ht="14.25" customHeight="1">
      <c r="A26113" s="740"/>
    </row>
    <row r="26114" ht="14.25" customHeight="1">
      <c r="A26114" s="740"/>
    </row>
    <row r="26115" ht="14.25" customHeight="1">
      <c r="A26115" s="740"/>
    </row>
    <row r="26116" ht="14.25" customHeight="1">
      <c r="A26116" s="740"/>
    </row>
    <row r="26117" ht="14.25" customHeight="1">
      <c r="A26117" s="740"/>
    </row>
    <row r="26118" ht="14.25" customHeight="1">
      <c r="A26118" s="740"/>
    </row>
    <row r="26119" ht="14.25" customHeight="1">
      <c r="A26119" s="740"/>
    </row>
    <row r="26120" ht="14.25" customHeight="1">
      <c r="A26120" s="740"/>
    </row>
    <row r="26121" ht="14.25" customHeight="1">
      <c r="A26121" s="740"/>
    </row>
    <row r="26122" ht="14.25" customHeight="1">
      <c r="A26122" s="740"/>
    </row>
    <row r="26123" ht="14.25" customHeight="1">
      <c r="A26123" s="740"/>
    </row>
    <row r="26124" ht="14.25" customHeight="1">
      <c r="A26124" s="740"/>
    </row>
    <row r="26125" ht="14.25" customHeight="1">
      <c r="A26125" s="740"/>
    </row>
    <row r="26126" ht="14.25" customHeight="1">
      <c r="A26126" s="740"/>
    </row>
    <row r="26127" ht="14.25" customHeight="1">
      <c r="A26127" s="740"/>
    </row>
    <row r="26128" ht="14.25" customHeight="1">
      <c r="A26128" s="740"/>
    </row>
    <row r="26129" ht="14.25" customHeight="1">
      <c r="A26129" s="740"/>
    </row>
    <row r="26130" ht="14.25" customHeight="1">
      <c r="A26130" s="740"/>
    </row>
    <row r="26131" ht="14.25" customHeight="1">
      <c r="A26131" s="740"/>
    </row>
    <row r="26132" ht="14.25" customHeight="1">
      <c r="A26132" s="740"/>
    </row>
    <row r="26133" ht="14.25" customHeight="1">
      <c r="A26133" s="740"/>
    </row>
    <row r="26134" ht="14.25" customHeight="1">
      <c r="A26134" s="740"/>
    </row>
    <row r="26135" ht="14.25" customHeight="1">
      <c r="A26135" s="740"/>
    </row>
    <row r="26136" ht="14.25" customHeight="1">
      <c r="A26136" s="740"/>
    </row>
    <row r="26137" ht="14.25" customHeight="1">
      <c r="A26137" s="740"/>
    </row>
    <row r="26138" ht="14.25" customHeight="1">
      <c r="A26138" s="740"/>
    </row>
    <row r="26139" ht="14.25" customHeight="1">
      <c r="A26139" s="740"/>
    </row>
    <row r="26140" ht="14.25" customHeight="1">
      <c r="A26140" s="740"/>
    </row>
    <row r="26141" ht="14.25" customHeight="1">
      <c r="A26141" s="740"/>
    </row>
    <row r="26142" ht="14.25" customHeight="1">
      <c r="A26142" s="740"/>
    </row>
    <row r="26143" ht="14.25" customHeight="1">
      <c r="A26143" s="740"/>
    </row>
    <row r="26144" ht="14.25" customHeight="1">
      <c r="A26144" s="740"/>
    </row>
    <row r="26145" ht="14.25" customHeight="1">
      <c r="A26145" s="740"/>
    </row>
    <row r="26146" ht="14.25" customHeight="1">
      <c r="A26146" s="740"/>
    </row>
    <row r="26147" ht="14.25" customHeight="1">
      <c r="A26147" s="740"/>
    </row>
    <row r="26148" ht="14.25" customHeight="1">
      <c r="A26148" s="740"/>
    </row>
    <row r="26149" ht="14.25" customHeight="1">
      <c r="A26149" s="740"/>
    </row>
    <row r="26150" ht="14.25" customHeight="1">
      <c r="A26150" s="740"/>
    </row>
    <row r="26151" ht="14.25" customHeight="1">
      <c r="A26151" s="740"/>
    </row>
    <row r="26152" ht="14.25" customHeight="1">
      <c r="A26152" s="740"/>
    </row>
    <row r="26153" ht="14.25" customHeight="1">
      <c r="A26153" s="740"/>
    </row>
    <row r="26154" ht="14.25" customHeight="1">
      <c r="A26154" s="740"/>
    </row>
    <row r="26155" ht="14.25" customHeight="1">
      <c r="A26155" s="740"/>
    </row>
    <row r="26156" ht="14.25" customHeight="1">
      <c r="A26156" s="740"/>
    </row>
    <row r="26157" ht="14.25" customHeight="1">
      <c r="A26157" s="740"/>
    </row>
    <row r="26158" ht="14.25" customHeight="1">
      <c r="A26158" s="740"/>
    </row>
    <row r="26159" ht="14.25" customHeight="1">
      <c r="A26159" s="740"/>
    </row>
    <row r="26160" ht="14.25" customHeight="1">
      <c r="A26160" s="740"/>
    </row>
    <row r="26161" ht="14.25" customHeight="1">
      <c r="A26161" s="740"/>
    </row>
    <row r="26162" ht="14.25" customHeight="1">
      <c r="A26162" s="740"/>
    </row>
    <row r="26163" ht="14.25" customHeight="1">
      <c r="A26163" s="740"/>
    </row>
    <row r="26164" ht="14.25" customHeight="1">
      <c r="A26164" s="740"/>
    </row>
    <row r="26165" ht="14.25" customHeight="1">
      <c r="A26165" s="740"/>
    </row>
    <row r="26166" ht="14.25" customHeight="1">
      <c r="A26166" s="740"/>
    </row>
    <row r="26167" ht="14.25" customHeight="1">
      <c r="A26167" s="740"/>
    </row>
    <row r="26168" ht="14.25" customHeight="1">
      <c r="A26168" s="740"/>
    </row>
    <row r="26169" ht="14.25" customHeight="1">
      <c r="A26169" s="740"/>
    </row>
    <row r="26170" ht="14.25" customHeight="1">
      <c r="A26170" s="740"/>
    </row>
    <row r="26171" ht="14.25" customHeight="1">
      <c r="A26171" s="740"/>
    </row>
    <row r="26172" ht="14.25" customHeight="1">
      <c r="A26172" s="740"/>
    </row>
    <row r="26173" ht="14.25" customHeight="1">
      <c r="A26173" s="740"/>
    </row>
    <row r="26174" ht="14.25" customHeight="1">
      <c r="A26174" s="740"/>
    </row>
    <row r="26175" ht="14.25" customHeight="1">
      <c r="A26175" s="740"/>
    </row>
    <row r="26176" ht="14.25" customHeight="1">
      <c r="A26176" s="740"/>
    </row>
    <row r="26177" ht="14.25" customHeight="1">
      <c r="A26177" s="740"/>
    </row>
    <row r="26178" ht="14.25" customHeight="1">
      <c r="A26178" s="740"/>
    </row>
    <row r="26179" ht="14.25" customHeight="1">
      <c r="A26179" s="740"/>
    </row>
    <row r="26180" ht="14.25" customHeight="1">
      <c r="A26180" s="740"/>
    </row>
    <row r="26181" ht="14.25" customHeight="1">
      <c r="A26181" s="740"/>
    </row>
    <row r="26182" ht="14.25" customHeight="1">
      <c r="A26182" s="740"/>
    </row>
    <row r="26183" ht="14.25" customHeight="1">
      <c r="A26183" s="740"/>
    </row>
    <row r="26184" ht="14.25" customHeight="1">
      <c r="A26184" s="740"/>
    </row>
    <row r="26185" ht="14.25" customHeight="1">
      <c r="A26185" s="740"/>
    </row>
    <row r="26186" ht="14.25" customHeight="1">
      <c r="A26186" s="740"/>
    </row>
    <row r="26187" ht="14.25" customHeight="1">
      <c r="A26187" s="740"/>
    </row>
    <row r="26188" ht="14.25" customHeight="1">
      <c r="A26188" s="740"/>
    </row>
    <row r="26189" ht="14.25" customHeight="1">
      <c r="A26189" s="740"/>
    </row>
    <row r="26190" ht="14.25" customHeight="1">
      <c r="A26190" s="740"/>
    </row>
    <row r="26191" ht="14.25" customHeight="1">
      <c r="A26191" s="740"/>
    </row>
    <row r="26192" ht="14.25" customHeight="1">
      <c r="A26192" s="740"/>
    </row>
    <row r="26193" ht="14.25" customHeight="1">
      <c r="A26193" s="740"/>
    </row>
    <row r="26194" ht="14.25" customHeight="1">
      <c r="A26194" s="740"/>
    </row>
    <row r="26195" ht="14.25" customHeight="1">
      <c r="A26195" s="740"/>
    </row>
    <row r="26196" ht="14.25" customHeight="1">
      <c r="A26196" s="740"/>
    </row>
    <row r="26197" ht="14.25" customHeight="1">
      <c r="A26197" s="740"/>
    </row>
    <row r="26198" ht="14.25" customHeight="1">
      <c r="A26198" s="740"/>
    </row>
    <row r="26199" ht="14.25" customHeight="1">
      <c r="A26199" s="740"/>
    </row>
    <row r="26200" ht="14.25" customHeight="1">
      <c r="A26200" s="740"/>
    </row>
    <row r="26201" ht="14.25" customHeight="1">
      <c r="A26201" s="740"/>
    </row>
    <row r="26202" ht="14.25" customHeight="1">
      <c r="A26202" s="740"/>
    </row>
    <row r="26203" ht="14.25" customHeight="1">
      <c r="A26203" s="740"/>
    </row>
    <row r="26204" ht="14.25" customHeight="1">
      <c r="A26204" s="740"/>
    </row>
    <row r="26205" ht="14.25" customHeight="1">
      <c r="A26205" s="740"/>
    </row>
    <row r="26206" ht="14.25" customHeight="1">
      <c r="A26206" s="740"/>
    </row>
    <row r="26207" ht="14.25" customHeight="1">
      <c r="A26207" s="740"/>
    </row>
    <row r="26208" ht="14.25" customHeight="1">
      <c r="A26208" s="740"/>
    </row>
    <row r="26209" ht="14.25" customHeight="1">
      <c r="A26209" s="740"/>
    </row>
    <row r="26210" ht="14.25" customHeight="1">
      <c r="A26210" s="740"/>
    </row>
    <row r="26211" ht="14.25" customHeight="1">
      <c r="A26211" s="740"/>
    </row>
    <row r="26212" ht="14.25" customHeight="1">
      <c r="A26212" s="740"/>
    </row>
    <row r="26213" ht="14.25" customHeight="1">
      <c r="A26213" s="740"/>
    </row>
    <row r="26214" ht="14.25" customHeight="1">
      <c r="A26214" s="740"/>
    </row>
    <row r="26215" ht="14.25" customHeight="1">
      <c r="A26215" s="740"/>
    </row>
    <row r="26216" ht="14.25" customHeight="1">
      <c r="A26216" s="740"/>
    </row>
    <row r="26217" ht="14.25" customHeight="1">
      <c r="A26217" s="740"/>
    </row>
    <row r="26218" ht="14.25" customHeight="1">
      <c r="A26218" s="740"/>
    </row>
    <row r="26219" ht="14.25" customHeight="1">
      <c r="A26219" s="740"/>
    </row>
    <row r="26220" ht="14.25" customHeight="1">
      <c r="A26220" s="740"/>
    </row>
    <row r="26221" ht="14.25" customHeight="1">
      <c r="A26221" s="740"/>
    </row>
    <row r="26222" ht="14.25" customHeight="1">
      <c r="A26222" s="740"/>
    </row>
    <row r="26223" ht="14.25" customHeight="1">
      <c r="A26223" s="740"/>
    </row>
    <row r="26224" ht="14.25" customHeight="1">
      <c r="A26224" s="740"/>
    </row>
    <row r="26225" ht="14.25" customHeight="1">
      <c r="A26225" s="740"/>
    </row>
    <row r="26226" ht="14.25" customHeight="1">
      <c r="A26226" s="740"/>
    </row>
    <row r="26227" ht="14.25" customHeight="1">
      <c r="A26227" s="740"/>
    </row>
    <row r="26228" ht="14.25" customHeight="1">
      <c r="A26228" s="740"/>
    </row>
    <row r="26229" ht="14.25" customHeight="1">
      <c r="A26229" s="740"/>
    </row>
    <row r="26230" ht="14.25" customHeight="1">
      <c r="A26230" s="740"/>
    </row>
    <row r="26231" ht="14.25" customHeight="1">
      <c r="A26231" s="740"/>
    </row>
    <row r="26232" ht="14.25" customHeight="1">
      <c r="A26232" s="740"/>
    </row>
    <row r="26233" ht="14.25" customHeight="1">
      <c r="A26233" s="740"/>
    </row>
    <row r="26234" ht="14.25" customHeight="1">
      <c r="A26234" s="740"/>
    </row>
    <row r="26235" ht="14.25" customHeight="1">
      <c r="A26235" s="740"/>
    </row>
    <row r="26236" ht="14.25" customHeight="1">
      <c r="A26236" s="740"/>
    </row>
    <row r="26237" ht="14.25" customHeight="1">
      <c r="A26237" s="740"/>
    </row>
    <row r="26238" ht="14.25" customHeight="1">
      <c r="A26238" s="740"/>
    </row>
    <row r="26239" ht="14.25" customHeight="1">
      <c r="A26239" s="740"/>
    </row>
    <row r="26240" ht="14.25" customHeight="1">
      <c r="A26240" s="740"/>
    </row>
    <row r="26241" ht="14.25" customHeight="1">
      <c r="A26241" s="740"/>
    </row>
    <row r="26242" ht="14.25" customHeight="1">
      <c r="A26242" s="740"/>
    </row>
    <row r="26243" ht="14.25" customHeight="1">
      <c r="A26243" s="740"/>
    </row>
    <row r="26244" ht="14.25" customHeight="1">
      <c r="A26244" s="740"/>
    </row>
    <row r="26245" ht="14.25" customHeight="1">
      <c r="A26245" s="740"/>
    </row>
    <row r="26246" ht="14.25" customHeight="1">
      <c r="A26246" s="740"/>
    </row>
    <row r="26247" ht="14.25" customHeight="1">
      <c r="A26247" s="740"/>
    </row>
    <row r="26248" ht="14.25" customHeight="1">
      <c r="A26248" s="740"/>
    </row>
    <row r="26249" ht="14.25" customHeight="1">
      <c r="A26249" s="740"/>
    </row>
    <row r="26250" ht="14.25" customHeight="1">
      <c r="A26250" s="740"/>
    </row>
    <row r="26251" ht="14.25" customHeight="1">
      <c r="A26251" s="740"/>
    </row>
    <row r="26252" ht="14.25" customHeight="1">
      <c r="A26252" s="740"/>
    </row>
    <row r="26253" ht="14.25" customHeight="1">
      <c r="A26253" s="740"/>
    </row>
    <row r="26254" ht="14.25" customHeight="1">
      <c r="A26254" s="740"/>
    </row>
    <row r="26255" ht="14.25" customHeight="1">
      <c r="A26255" s="740"/>
    </row>
    <row r="26256" ht="14.25" customHeight="1">
      <c r="A26256" s="740"/>
    </row>
    <row r="26257" ht="14.25" customHeight="1">
      <c r="A26257" s="740"/>
    </row>
    <row r="26258" ht="14.25" customHeight="1">
      <c r="A26258" s="740"/>
    </row>
    <row r="26259" ht="14.25" customHeight="1">
      <c r="A26259" s="740"/>
    </row>
    <row r="26260" ht="14.25" customHeight="1">
      <c r="A26260" s="740"/>
    </row>
    <row r="26261" ht="14.25" customHeight="1">
      <c r="A26261" s="740"/>
    </row>
    <row r="26262" ht="14.25" customHeight="1">
      <c r="A26262" s="740"/>
    </row>
    <row r="26263" ht="14.25" customHeight="1">
      <c r="A26263" s="740"/>
    </row>
    <row r="26264" ht="14.25" customHeight="1">
      <c r="A26264" s="740"/>
    </row>
    <row r="26265" ht="14.25" customHeight="1">
      <c r="A26265" s="740"/>
    </row>
    <row r="26266" ht="14.25" customHeight="1">
      <c r="A26266" s="740"/>
    </row>
    <row r="26267" ht="14.25" customHeight="1">
      <c r="A26267" s="740"/>
    </row>
    <row r="26268" ht="14.25" customHeight="1">
      <c r="A26268" s="740"/>
    </row>
    <row r="26269" ht="14.25" customHeight="1">
      <c r="A26269" s="740"/>
    </row>
    <row r="26270" ht="14.25" customHeight="1">
      <c r="A26270" s="740"/>
    </row>
    <row r="26271" ht="14.25" customHeight="1">
      <c r="A26271" s="740"/>
    </row>
    <row r="26272" ht="14.25" customHeight="1">
      <c r="A26272" s="740"/>
    </row>
    <row r="26273" ht="14.25" customHeight="1">
      <c r="A26273" s="740"/>
    </row>
    <row r="26274" ht="14.25" customHeight="1">
      <c r="A26274" s="740"/>
    </row>
    <row r="26275" ht="14.25" customHeight="1">
      <c r="A26275" s="740"/>
    </row>
    <row r="26276" ht="14.25" customHeight="1">
      <c r="A26276" s="740"/>
    </row>
    <row r="26277" ht="14.25" customHeight="1">
      <c r="A26277" s="740"/>
    </row>
    <row r="26278" ht="14.25" customHeight="1">
      <c r="A26278" s="740"/>
    </row>
    <row r="26279" ht="14.25" customHeight="1">
      <c r="A26279" s="740"/>
    </row>
    <row r="26280" ht="14.25" customHeight="1">
      <c r="A26280" s="740"/>
    </row>
    <row r="26281" ht="14.25" customHeight="1">
      <c r="A26281" s="740"/>
    </row>
    <row r="26282" ht="14.25" customHeight="1">
      <c r="A26282" s="740"/>
    </row>
    <row r="26283" ht="14.25" customHeight="1">
      <c r="A26283" s="740"/>
    </row>
    <row r="26284" ht="14.25" customHeight="1">
      <c r="A26284" s="740"/>
    </row>
    <row r="26285" ht="14.25" customHeight="1">
      <c r="A26285" s="740"/>
    </row>
    <row r="26286" ht="14.25" customHeight="1">
      <c r="A26286" s="740"/>
    </row>
    <row r="26287" ht="14.25" customHeight="1">
      <c r="A26287" s="740"/>
    </row>
    <row r="26288" ht="14.25" customHeight="1">
      <c r="A26288" s="740"/>
    </row>
    <row r="26289" ht="14.25" customHeight="1">
      <c r="A26289" s="740"/>
    </row>
    <row r="26290" ht="14.25" customHeight="1">
      <c r="A26290" s="740"/>
    </row>
    <row r="26291" ht="14.25" customHeight="1">
      <c r="A26291" s="740"/>
    </row>
    <row r="26292" ht="14.25" customHeight="1">
      <c r="A26292" s="740"/>
    </row>
    <row r="26293" ht="14.25" customHeight="1">
      <c r="A26293" s="740"/>
    </row>
    <row r="26294" ht="14.25" customHeight="1">
      <c r="A26294" s="740"/>
    </row>
    <row r="26295" ht="14.25" customHeight="1">
      <c r="A26295" s="740"/>
    </row>
    <row r="26296" ht="14.25" customHeight="1">
      <c r="A26296" s="740"/>
    </row>
    <row r="26297" ht="14.25" customHeight="1">
      <c r="A26297" s="740"/>
    </row>
    <row r="26298" ht="14.25" customHeight="1">
      <c r="A26298" s="740"/>
    </row>
    <row r="26299" ht="14.25" customHeight="1">
      <c r="A26299" s="740"/>
    </row>
    <row r="26300" ht="14.25" customHeight="1">
      <c r="A26300" s="740"/>
    </row>
    <row r="26301" ht="14.25" customHeight="1">
      <c r="A26301" s="740"/>
    </row>
    <row r="26302" ht="14.25" customHeight="1">
      <c r="A26302" s="740"/>
    </row>
    <row r="26303" ht="14.25" customHeight="1">
      <c r="A26303" s="740"/>
    </row>
    <row r="26304" ht="14.25" customHeight="1">
      <c r="A26304" s="740"/>
    </row>
    <row r="26305" ht="14.25" customHeight="1">
      <c r="A26305" s="740"/>
    </row>
    <row r="26306" ht="14.25" customHeight="1">
      <c r="A26306" s="740"/>
    </row>
    <row r="26307" ht="14.25" customHeight="1">
      <c r="A26307" s="740"/>
    </row>
    <row r="26308" ht="14.25" customHeight="1">
      <c r="A26308" s="740"/>
    </row>
    <row r="26309" ht="14.25" customHeight="1">
      <c r="A26309" s="740"/>
    </row>
    <row r="26310" ht="14.25" customHeight="1">
      <c r="A26310" s="740"/>
    </row>
    <row r="26311" ht="14.25" customHeight="1">
      <c r="A26311" s="740"/>
    </row>
    <row r="26312" ht="14.25" customHeight="1">
      <c r="A26312" s="740"/>
    </row>
    <row r="26313" ht="14.25" customHeight="1">
      <c r="A26313" s="740"/>
    </row>
    <row r="26314" ht="14.25" customHeight="1">
      <c r="A26314" s="740"/>
    </row>
    <row r="26315" ht="14.25" customHeight="1">
      <c r="A26315" s="740"/>
    </row>
    <row r="26316" ht="14.25" customHeight="1">
      <c r="A26316" s="740"/>
    </row>
    <row r="26317" ht="14.25" customHeight="1">
      <c r="A26317" s="740"/>
    </row>
    <row r="26318" ht="14.25" customHeight="1">
      <c r="A26318" s="740"/>
    </row>
    <row r="26319" ht="14.25" customHeight="1">
      <c r="A26319" s="740"/>
    </row>
    <row r="26320" ht="14.25" customHeight="1">
      <c r="A26320" s="740"/>
    </row>
    <row r="26321" ht="14.25" customHeight="1">
      <c r="A26321" s="740"/>
    </row>
    <row r="26322" ht="14.25" customHeight="1">
      <c r="A26322" s="740"/>
    </row>
    <row r="26323" ht="14.25" customHeight="1">
      <c r="A26323" s="740"/>
    </row>
    <row r="26324" ht="14.25" customHeight="1">
      <c r="A26324" s="740"/>
    </row>
    <row r="26325" ht="14.25" customHeight="1">
      <c r="A26325" s="740"/>
    </row>
    <row r="26326" ht="14.25" customHeight="1">
      <c r="A26326" s="740"/>
    </row>
    <row r="26327" ht="14.25" customHeight="1">
      <c r="A26327" s="740"/>
    </row>
    <row r="26328" ht="14.25" customHeight="1">
      <c r="A26328" s="740"/>
    </row>
    <row r="26329" ht="14.25" customHeight="1">
      <c r="A26329" s="740"/>
    </row>
    <row r="26330" ht="14.25" customHeight="1">
      <c r="A26330" s="740"/>
    </row>
    <row r="26331" ht="14.25" customHeight="1">
      <c r="A26331" s="740"/>
    </row>
    <row r="26332" ht="14.25" customHeight="1">
      <c r="A26332" s="740"/>
    </row>
    <row r="26333" ht="14.25" customHeight="1">
      <c r="A26333" s="740"/>
    </row>
    <row r="26334" ht="14.25" customHeight="1">
      <c r="A26334" s="740"/>
    </row>
    <row r="26335" ht="14.25" customHeight="1">
      <c r="A26335" s="740"/>
    </row>
    <row r="26336" ht="14.25" customHeight="1">
      <c r="A26336" s="740"/>
    </row>
    <row r="26337" ht="14.25" customHeight="1">
      <c r="A26337" s="740"/>
    </row>
    <row r="26338" ht="14.25" customHeight="1">
      <c r="A26338" s="740"/>
    </row>
    <row r="26339" ht="14.25" customHeight="1">
      <c r="A26339" s="740"/>
    </row>
    <row r="26340" ht="14.25" customHeight="1">
      <c r="A26340" s="740"/>
    </row>
    <row r="26341" ht="14.25" customHeight="1">
      <c r="A26341" s="740"/>
    </row>
    <row r="26342" ht="14.25" customHeight="1">
      <c r="A26342" s="740"/>
    </row>
    <row r="26343" ht="14.25" customHeight="1">
      <c r="A26343" s="740"/>
    </row>
    <row r="26344" ht="14.25" customHeight="1">
      <c r="A26344" s="740"/>
    </row>
    <row r="26345" ht="14.25" customHeight="1">
      <c r="A26345" s="740"/>
    </row>
    <row r="26346" ht="14.25" customHeight="1">
      <c r="A26346" s="740"/>
    </row>
    <row r="26347" ht="14.25" customHeight="1">
      <c r="A26347" s="740"/>
    </row>
    <row r="26348" ht="14.25" customHeight="1">
      <c r="A26348" s="740"/>
    </row>
    <row r="26349" ht="14.25" customHeight="1">
      <c r="A26349" s="740"/>
    </row>
    <row r="26350" ht="14.25" customHeight="1">
      <c r="A26350" s="740"/>
    </row>
    <row r="26351" ht="14.25" customHeight="1">
      <c r="A26351" s="740"/>
    </row>
    <row r="26352" ht="14.25" customHeight="1">
      <c r="A26352" s="740"/>
    </row>
    <row r="26353" ht="14.25" customHeight="1">
      <c r="A26353" s="740"/>
    </row>
    <row r="26354" ht="14.25" customHeight="1">
      <c r="A26354" s="740"/>
    </row>
    <row r="26355" ht="14.25" customHeight="1">
      <c r="A26355" s="740"/>
    </row>
    <row r="26356" ht="14.25" customHeight="1">
      <c r="A26356" s="740"/>
    </row>
    <row r="26357" ht="14.25" customHeight="1">
      <c r="A26357" s="740"/>
    </row>
    <row r="26358" ht="14.25" customHeight="1">
      <c r="A26358" s="740"/>
    </row>
    <row r="26359" ht="14.25" customHeight="1">
      <c r="A26359" s="740"/>
    </row>
    <row r="26360" ht="14.25" customHeight="1">
      <c r="A26360" s="740"/>
    </row>
    <row r="26361" ht="14.25" customHeight="1">
      <c r="A26361" s="740"/>
    </row>
    <row r="26362" ht="14.25" customHeight="1">
      <c r="A26362" s="740"/>
    </row>
    <row r="26363" ht="14.25" customHeight="1">
      <c r="A26363" s="740"/>
    </row>
    <row r="26364" ht="14.25" customHeight="1">
      <c r="A26364" s="740"/>
    </row>
    <row r="26365" ht="14.25" customHeight="1">
      <c r="A26365" s="740"/>
    </row>
    <row r="26366" ht="14.25" customHeight="1">
      <c r="A26366" s="740"/>
    </row>
    <row r="26367" ht="14.25" customHeight="1">
      <c r="A26367" s="740"/>
    </row>
    <row r="26368" ht="14.25" customHeight="1">
      <c r="A26368" s="740"/>
    </row>
    <row r="26369" ht="14.25" customHeight="1">
      <c r="A26369" s="740"/>
    </row>
    <row r="26370" ht="14.25" customHeight="1">
      <c r="A26370" s="740"/>
    </row>
    <row r="26371" ht="14.25" customHeight="1">
      <c r="A26371" s="740"/>
    </row>
    <row r="26372" ht="14.25" customHeight="1">
      <c r="A26372" s="740"/>
    </row>
    <row r="26373" ht="14.25" customHeight="1">
      <c r="A26373" s="740"/>
    </row>
    <row r="26374" ht="14.25" customHeight="1">
      <c r="A26374" s="740"/>
    </row>
    <row r="26375" ht="14.25" customHeight="1">
      <c r="A26375" s="740"/>
    </row>
    <row r="26376" ht="14.25" customHeight="1">
      <c r="A26376" s="740"/>
    </row>
    <row r="26377" ht="14.25" customHeight="1">
      <c r="A26377" s="740"/>
    </row>
    <row r="26378" ht="14.25" customHeight="1">
      <c r="A26378" s="740"/>
    </row>
    <row r="26379" ht="14.25" customHeight="1">
      <c r="A26379" s="740"/>
    </row>
    <row r="26380" ht="14.25" customHeight="1">
      <c r="A26380" s="740"/>
    </row>
    <row r="26381" ht="14.25" customHeight="1">
      <c r="A26381" s="740"/>
    </row>
    <row r="26382" ht="14.25" customHeight="1">
      <c r="A26382" s="740"/>
    </row>
    <row r="26383" ht="14.25" customHeight="1">
      <c r="A26383" s="740"/>
    </row>
    <row r="26384" ht="14.25" customHeight="1">
      <c r="A26384" s="740"/>
    </row>
    <row r="26385" ht="14.25" customHeight="1">
      <c r="A26385" s="740"/>
    </row>
    <row r="26386" ht="14.25" customHeight="1">
      <c r="A26386" s="740"/>
    </row>
    <row r="26387" ht="14.25" customHeight="1">
      <c r="A26387" s="740"/>
    </row>
    <row r="26388" ht="14.25" customHeight="1">
      <c r="A26388" s="740"/>
    </row>
    <row r="26389" ht="14.25" customHeight="1">
      <c r="A26389" s="740"/>
    </row>
    <row r="26390" ht="14.25" customHeight="1">
      <c r="A26390" s="740"/>
    </row>
    <row r="26391" ht="14.25" customHeight="1">
      <c r="A26391" s="740"/>
    </row>
    <row r="26392" ht="14.25" customHeight="1">
      <c r="A26392" s="740"/>
    </row>
    <row r="26393" ht="14.25" customHeight="1">
      <c r="A26393" s="740"/>
    </row>
    <row r="26394" ht="14.25" customHeight="1">
      <c r="A26394" s="740"/>
    </row>
    <row r="26395" ht="14.25" customHeight="1">
      <c r="A26395" s="740"/>
    </row>
    <row r="26396" ht="14.25" customHeight="1">
      <c r="A26396" s="740"/>
    </row>
    <row r="26397" ht="14.25" customHeight="1">
      <c r="A26397" s="740"/>
    </row>
    <row r="26398" ht="14.25" customHeight="1">
      <c r="A26398" s="740"/>
    </row>
    <row r="26399" ht="14.25" customHeight="1">
      <c r="A26399" s="740"/>
    </row>
    <row r="26400" ht="14.25" customHeight="1">
      <c r="A26400" s="740"/>
    </row>
    <row r="26401" ht="14.25" customHeight="1">
      <c r="A26401" s="740"/>
    </row>
    <row r="26402" ht="14.25" customHeight="1">
      <c r="A26402" s="740"/>
    </row>
    <row r="26403" ht="14.25" customHeight="1">
      <c r="A26403" s="740"/>
    </row>
    <row r="26404" ht="14.25" customHeight="1">
      <c r="A26404" s="740"/>
    </row>
    <row r="26405" ht="14.25" customHeight="1">
      <c r="A26405" s="740"/>
    </row>
    <row r="26406" ht="14.25" customHeight="1">
      <c r="A26406" s="740"/>
    </row>
    <row r="26407" ht="14.25" customHeight="1">
      <c r="A26407" s="740"/>
    </row>
    <row r="26408" ht="14.25" customHeight="1">
      <c r="A26408" s="740"/>
    </row>
    <row r="26409" ht="14.25" customHeight="1">
      <c r="A26409" s="740"/>
    </row>
    <row r="26410" ht="14.25" customHeight="1">
      <c r="A26410" s="740"/>
    </row>
    <row r="26411" ht="14.25" customHeight="1">
      <c r="A26411" s="740"/>
    </row>
    <row r="26412" ht="14.25" customHeight="1">
      <c r="A26412" s="740"/>
    </row>
    <row r="26413" ht="14.25" customHeight="1">
      <c r="A26413" s="740"/>
    </row>
    <row r="26414" ht="14.25" customHeight="1">
      <c r="A26414" s="740"/>
    </row>
    <row r="26415" ht="14.25" customHeight="1">
      <c r="A26415" s="740"/>
    </row>
    <row r="26416" ht="14.25" customHeight="1">
      <c r="A26416" s="740"/>
    </row>
    <row r="26417" ht="14.25" customHeight="1">
      <c r="A26417" s="740"/>
    </row>
    <row r="26418" ht="14.25" customHeight="1">
      <c r="A26418" s="740"/>
    </row>
    <row r="26419" ht="14.25" customHeight="1">
      <c r="A26419" s="740"/>
    </row>
    <row r="26420" ht="14.25" customHeight="1">
      <c r="A26420" s="740"/>
    </row>
    <row r="26421" ht="14.25" customHeight="1">
      <c r="A26421" s="740"/>
    </row>
    <row r="26422" ht="14.25" customHeight="1">
      <c r="A26422" s="740"/>
    </row>
    <row r="26423" ht="14.25" customHeight="1">
      <c r="A26423" s="740"/>
    </row>
    <row r="26424" ht="14.25" customHeight="1">
      <c r="A26424" s="740"/>
    </row>
    <row r="26425" ht="14.25" customHeight="1">
      <c r="A26425" s="740"/>
    </row>
    <row r="26426" ht="14.25" customHeight="1">
      <c r="A26426" s="740"/>
    </row>
    <row r="26427" ht="14.25" customHeight="1">
      <c r="A26427" s="740"/>
    </row>
    <row r="26428" ht="14.25" customHeight="1">
      <c r="A26428" s="740"/>
    </row>
    <row r="26429" ht="14.25" customHeight="1">
      <c r="A26429" s="740"/>
    </row>
    <row r="26430" ht="14.25" customHeight="1">
      <c r="A26430" s="740"/>
    </row>
    <row r="26431" ht="14.25" customHeight="1">
      <c r="A26431" s="740"/>
    </row>
    <row r="26432" ht="14.25" customHeight="1">
      <c r="A26432" s="740"/>
    </row>
    <row r="26433" ht="14.25" customHeight="1">
      <c r="A26433" s="740"/>
    </row>
    <row r="26434" ht="14.25" customHeight="1">
      <c r="A26434" s="740"/>
    </row>
    <row r="26435" ht="14.25" customHeight="1">
      <c r="A26435" s="740"/>
    </row>
    <row r="26436" ht="14.25" customHeight="1">
      <c r="A26436" s="740"/>
    </row>
    <row r="26437" ht="14.25" customHeight="1">
      <c r="A26437" s="740"/>
    </row>
    <row r="26438" ht="14.25" customHeight="1">
      <c r="A26438" s="740"/>
    </row>
    <row r="26439" ht="14.25" customHeight="1">
      <c r="A26439" s="740"/>
    </row>
    <row r="26440" ht="14.25" customHeight="1">
      <c r="A26440" s="740"/>
    </row>
    <row r="26441" ht="14.25" customHeight="1">
      <c r="A26441" s="740"/>
    </row>
    <row r="26442" ht="14.25" customHeight="1">
      <c r="A26442" s="740"/>
    </row>
    <row r="26443" ht="14.25" customHeight="1">
      <c r="A26443" s="740"/>
    </row>
    <row r="26444" ht="14.25" customHeight="1">
      <c r="A26444" s="740"/>
    </row>
    <row r="26445" ht="14.25" customHeight="1">
      <c r="A26445" s="740"/>
    </row>
    <row r="26446" ht="14.25" customHeight="1">
      <c r="A26446" s="740"/>
    </row>
    <row r="26447" ht="14.25" customHeight="1">
      <c r="A26447" s="740"/>
    </row>
    <row r="26448" ht="14.25" customHeight="1">
      <c r="A26448" s="740"/>
    </row>
    <row r="26449" ht="14.25" customHeight="1">
      <c r="A26449" s="740"/>
    </row>
    <row r="26450" ht="14.25" customHeight="1">
      <c r="A26450" s="740"/>
    </row>
    <row r="26451" ht="14.25" customHeight="1">
      <c r="A26451" s="740"/>
    </row>
    <row r="26452" ht="14.25" customHeight="1">
      <c r="A26452" s="740"/>
    </row>
    <row r="26453" ht="14.25" customHeight="1">
      <c r="A26453" s="740"/>
    </row>
    <row r="26454" ht="14.25" customHeight="1">
      <c r="A26454" s="740"/>
    </row>
    <row r="26455" ht="14.25" customHeight="1">
      <c r="A26455" s="740"/>
    </row>
    <row r="26456" ht="14.25" customHeight="1">
      <c r="A26456" s="740"/>
    </row>
    <row r="26457" ht="14.25" customHeight="1">
      <c r="A26457" s="740"/>
    </row>
    <row r="26458" ht="14.25" customHeight="1">
      <c r="A26458" s="740"/>
    </row>
    <row r="26459" ht="14.25" customHeight="1">
      <c r="A26459" s="740"/>
    </row>
    <row r="26460" ht="14.25" customHeight="1">
      <c r="A26460" s="740"/>
    </row>
    <row r="26461" ht="14.25" customHeight="1">
      <c r="A26461" s="740"/>
    </row>
    <row r="26462" ht="14.25" customHeight="1">
      <c r="A26462" s="740"/>
    </row>
    <row r="26463" ht="14.25" customHeight="1">
      <c r="A26463" s="740"/>
    </row>
    <row r="26464" ht="14.25" customHeight="1">
      <c r="A26464" s="740"/>
    </row>
    <row r="26465" ht="14.25" customHeight="1">
      <c r="A26465" s="740"/>
    </row>
    <row r="26466" ht="14.25" customHeight="1">
      <c r="A26466" s="740"/>
    </row>
    <row r="26467" ht="14.25" customHeight="1">
      <c r="A26467" s="740"/>
    </row>
    <row r="26468" ht="14.25" customHeight="1">
      <c r="A26468" s="740"/>
    </row>
    <row r="26469" ht="14.25" customHeight="1">
      <c r="A26469" s="740"/>
    </row>
    <row r="26470" ht="14.25" customHeight="1">
      <c r="A26470" s="740"/>
    </row>
    <row r="26471" ht="14.25" customHeight="1">
      <c r="A26471" s="740"/>
    </row>
    <row r="26472" ht="14.25" customHeight="1">
      <c r="A26472" s="740"/>
    </row>
    <row r="26473" ht="14.25" customHeight="1">
      <c r="A26473" s="740"/>
    </row>
    <row r="26474" ht="14.25" customHeight="1">
      <c r="A26474" s="740"/>
    </row>
    <row r="26475" ht="14.25" customHeight="1">
      <c r="A26475" s="740"/>
    </row>
    <row r="26476" ht="14.25" customHeight="1">
      <c r="A26476" s="740"/>
    </row>
    <row r="26477" ht="14.25" customHeight="1">
      <c r="A26477" s="740"/>
    </row>
    <row r="26478" ht="14.25" customHeight="1">
      <c r="A26478" s="740"/>
    </row>
    <row r="26479" ht="14.25" customHeight="1">
      <c r="A26479" s="740"/>
    </row>
    <row r="26480" ht="14.25" customHeight="1">
      <c r="A26480" s="740"/>
    </row>
    <row r="26481" ht="14.25" customHeight="1">
      <c r="A26481" s="740"/>
    </row>
    <row r="26482" ht="14.25" customHeight="1">
      <c r="A26482" s="740"/>
    </row>
    <row r="26483" ht="14.25" customHeight="1">
      <c r="A26483" s="740"/>
    </row>
    <row r="26484" ht="14.25" customHeight="1">
      <c r="A26484" s="740"/>
    </row>
    <row r="26485" ht="14.25" customHeight="1">
      <c r="A26485" s="740"/>
    </row>
    <row r="26486" ht="14.25" customHeight="1">
      <c r="A26486" s="740"/>
    </row>
    <row r="26487" ht="14.25" customHeight="1">
      <c r="A26487" s="740"/>
    </row>
    <row r="26488" ht="14.25" customHeight="1">
      <c r="A26488" s="740"/>
    </row>
    <row r="26489" ht="14.25" customHeight="1">
      <c r="A26489" s="740"/>
    </row>
    <row r="26490" ht="14.25" customHeight="1">
      <c r="A26490" s="740"/>
    </row>
    <row r="26491" ht="14.25" customHeight="1">
      <c r="A26491" s="740"/>
    </row>
    <row r="26492" ht="14.25" customHeight="1">
      <c r="A26492" s="740"/>
    </row>
    <row r="26493" ht="14.25" customHeight="1">
      <c r="A26493" s="740"/>
    </row>
    <row r="26494" ht="14.25" customHeight="1">
      <c r="A26494" s="740"/>
    </row>
    <row r="26495" ht="14.25" customHeight="1">
      <c r="A26495" s="740"/>
    </row>
    <row r="26496" ht="14.25" customHeight="1">
      <c r="A26496" s="740"/>
    </row>
    <row r="26497" ht="14.25" customHeight="1">
      <c r="A26497" s="740"/>
    </row>
    <row r="26498" ht="14.25" customHeight="1">
      <c r="A26498" s="740"/>
    </row>
    <row r="26499" ht="14.25" customHeight="1">
      <c r="A26499" s="740"/>
    </row>
    <row r="26500" ht="14.25" customHeight="1">
      <c r="A26500" s="740"/>
    </row>
    <row r="26501" ht="14.25" customHeight="1">
      <c r="A26501" s="740"/>
    </row>
    <row r="26502" ht="14.25" customHeight="1">
      <c r="A26502" s="740"/>
    </row>
    <row r="26503" ht="14.25" customHeight="1">
      <c r="A26503" s="740"/>
    </row>
    <row r="26504" ht="14.25" customHeight="1">
      <c r="A26504" s="740"/>
    </row>
    <row r="26505" ht="14.25" customHeight="1">
      <c r="A26505" s="740"/>
    </row>
    <row r="26506" ht="14.25" customHeight="1">
      <c r="A26506" s="740"/>
    </row>
    <row r="26507" ht="14.25" customHeight="1">
      <c r="A26507" s="740"/>
    </row>
    <row r="26508" ht="14.25" customHeight="1">
      <c r="A26508" s="740"/>
    </row>
    <row r="26509" ht="14.25" customHeight="1">
      <c r="A26509" s="740"/>
    </row>
    <row r="26510" ht="14.25" customHeight="1">
      <c r="A26510" s="740"/>
    </row>
    <row r="26511" ht="14.25" customHeight="1">
      <c r="A26511" s="740"/>
    </row>
    <row r="26512" ht="14.25" customHeight="1">
      <c r="A26512" s="740"/>
    </row>
    <row r="26513" ht="14.25" customHeight="1">
      <c r="A26513" s="740"/>
    </row>
    <row r="26514" ht="14.25" customHeight="1">
      <c r="A26514" s="740"/>
    </row>
    <row r="26515" ht="14.25" customHeight="1">
      <c r="A26515" s="740"/>
    </row>
    <row r="26516" ht="14.25" customHeight="1">
      <c r="A26516" s="740"/>
    </row>
    <row r="26517" ht="14.25" customHeight="1">
      <c r="A26517" s="740"/>
    </row>
    <row r="26518" ht="14.25" customHeight="1">
      <c r="A26518" s="740"/>
    </row>
    <row r="26519" ht="14.25" customHeight="1">
      <c r="A26519" s="740"/>
    </row>
    <row r="26520" ht="14.25" customHeight="1">
      <c r="A26520" s="740"/>
    </row>
    <row r="26521" ht="14.25" customHeight="1">
      <c r="A26521" s="740"/>
    </row>
    <row r="26522" ht="14.25" customHeight="1">
      <c r="A26522" s="740"/>
    </row>
    <row r="26523" ht="14.25" customHeight="1">
      <c r="A26523" s="740"/>
    </row>
    <row r="26524" ht="14.25" customHeight="1">
      <c r="A26524" s="740"/>
    </row>
    <row r="26525" ht="14.25" customHeight="1">
      <c r="A26525" s="740"/>
    </row>
    <row r="26526" ht="14.25" customHeight="1">
      <c r="A26526" s="740"/>
    </row>
    <row r="26527" ht="14.25" customHeight="1">
      <c r="A26527" s="740"/>
    </row>
    <row r="26528" ht="14.25" customHeight="1">
      <c r="A26528" s="740"/>
    </row>
    <row r="26529" ht="14.25" customHeight="1">
      <c r="A26529" s="740"/>
    </row>
    <row r="26530" ht="14.25" customHeight="1">
      <c r="A26530" s="740"/>
    </row>
    <row r="26531" ht="14.25" customHeight="1">
      <c r="A26531" s="740"/>
    </row>
    <row r="26532" ht="14.25" customHeight="1">
      <c r="A26532" s="740"/>
    </row>
    <row r="26533" ht="14.25" customHeight="1">
      <c r="A26533" s="740"/>
    </row>
    <row r="26534" ht="14.25" customHeight="1">
      <c r="A26534" s="740"/>
    </row>
    <row r="26535" ht="14.25" customHeight="1">
      <c r="A26535" s="740"/>
    </row>
    <row r="26536" ht="14.25" customHeight="1">
      <c r="A26536" s="740"/>
    </row>
    <row r="26537" ht="14.25" customHeight="1">
      <c r="A26537" s="740"/>
    </row>
    <row r="26538" ht="14.25" customHeight="1">
      <c r="A26538" s="740"/>
    </row>
    <row r="26539" ht="14.25" customHeight="1">
      <c r="A26539" s="740"/>
    </row>
    <row r="26540" ht="14.25" customHeight="1">
      <c r="A26540" s="740"/>
    </row>
    <row r="26541" ht="14.25" customHeight="1">
      <c r="A26541" s="740"/>
    </row>
    <row r="26542" ht="14.25" customHeight="1">
      <c r="A26542" s="740"/>
    </row>
    <row r="26543" ht="14.25" customHeight="1">
      <c r="A26543" s="740"/>
    </row>
    <row r="26544" ht="14.25" customHeight="1">
      <c r="A26544" s="740"/>
    </row>
    <row r="26545" ht="14.25" customHeight="1">
      <c r="A26545" s="740"/>
    </row>
    <row r="26546" ht="14.25" customHeight="1">
      <c r="A26546" s="740"/>
    </row>
    <row r="26547" ht="14.25" customHeight="1">
      <c r="A26547" s="740"/>
    </row>
    <row r="26548" ht="14.25" customHeight="1">
      <c r="A26548" s="740"/>
    </row>
    <row r="26549" ht="14.25" customHeight="1">
      <c r="A26549" s="740"/>
    </row>
    <row r="26550" ht="14.25" customHeight="1">
      <c r="A26550" s="740"/>
    </row>
    <row r="26551" ht="14.25" customHeight="1">
      <c r="A26551" s="740"/>
    </row>
    <row r="26552" ht="14.25" customHeight="1">
      <c r="A26552" s="740"/>
    </row>
    <row r="26553" ht="14.25" customHeight="1">
      <c r="A26553" s="740"/>
    </row>
    <row r="26554" ht="14.25" customHeight="1">
      <c r="A26554" s="740"/>
    </row>
    <row r="26555" ht="14.25" customHeight="1">
      <c r="A26555" s="740"/>
    </row>
    <row r="26556" ht="14.25" customHeight="1">
      <c r="A26556" s="740"/>
    </row>
    <row r="26557" ht="14.25" customHeight="1">
      <c r="A26557" s="740"/>
    </row>
    <row r="26558" ht="14.25" customHeight="1">
      <c r="A26558" s="740"/>
    </row>
    <row r="26559" ht="14.25" customHeight="1">
      <c r="A26559" s="740"/>
    </row>
    <row r="26560" ht="14.25" customHeight="1">
      <c r="A26560" s="740"/>
    </row>
    <row r="26561" ht="14.25" customHeight="1">
      <c r="A26561" s="740"/>
    </row>
    <row r="26562" ht="14.25" customHeight="1">
      <c r="A26562" s="740"/>
    </row>
    <row r="26563" ht="14.25" customHeight="1">
      <c r="A26563" s="740"/>
    </row>
    <row r="26564" ht="14.25" customHeight="1">
      <c r="A26564" s="740"/>
    </row>
    <row r="26565" ht="14.25" customHeight="1">
      <c r="A26565" s="740"/>
    </row>
    <row r="26566" ht="14.25" customHeight="1">
      <c r="A26566" s="740"/>
    </row>
    <row r="26567" ht="14.25" customHeight="1">
      <c r="A26567" s="740"/>
    </row>
    <row r="26568" ht="14.25" customHeight="1">
      <c r="A26568" s="740"/>
    </row>
    <row r="26569" ht="14.25" customHeight="1">
      <c r="A26569" s="740"/>
    </row>
    <row r="26570" ht="14.25" customHeight="1">
      <c r="A26570" s="740"/>
    </row>
    <row r="26571" ht="14.25" customHeight="1">
      <c r="A26571" s="740"/>
    </row>
    <row r="26572" ht="14.25" customHeight="1">
      <c r="A26572" s="740"/>
    </row>
    <row r="26573" ht="14.25" customHeight="1">
      <c r="A26573" s="740"/>
    </row>
    <row r="26574" ht="14.25" customHeight="1">
      <c r="A26574" s="740"/>
    </row>
    <row r="26575" ht="14.25" customHeight="1">
      <c r="A26575" s="740"/>
    </row>
    <row r="26576" ht="14.25" customHeight="1">
      <c r="A26576" s="740"/>
    </row>
    <row r="26577" ht="14.25" customHeight="1">
      <c r="A26577" s="740"/>
    </row>
    <row r="26578" ht="14.25" customHeight="1">
      <c r="A26578" s="740"/>
    </row>
    <row r="26579" ht="14.25" customHeight="1">
      <c r="A26579" s="740"/>
    </row>
    <row r="26580" ht="14.25" customHeight="1">
      <c r="A26580" s="740"/>
    </row>
    <row r="26581" ht="14.25" customHeight="1">
      <c r="A26581" s="740"/>
    </row>
    <row r="26582" ht="14.25" customHeight="1">
      <c r="A26582" s="740"/>
    </row>
    <row r="26583" ht="14.25" customHeight="1">
      <c r="A26583" s="740"/>
    </row>
    <row r="26584" ht="14.25" customHeight="1">
      <c r="A26584" s="740"/>
    </row>
    <row r="26585" ht="14.25" customHeight="1">
      <c r="A26585" s="740"/>
    </row>
    <row r="26586" ht="14.25" customHeight="1">
      <c r="A26586" s="740"/>
    </row>
    <row r="26587" ht="14.25" customHeight="1">
      <c r="A26587" s="740"/>
    </row>
    <row r="26588" ht="14.25" customHeight="1">
      <c r="A26588" s="740"/>
    </row>
    <row r="26589" ht="14.25" customHeight="1">
      <c r="A26589" s="740"/>
    </row>
    <row r="26590" ht="14.25" customHeight="1">
      <c r="A26590" s="740"/>
    </row>
    <row r="26591" ht="14.25" customHeight="1">
      <c r="A26591" s="740"/>
    </row>
    <row r="26592" ht="14.25" customHeight="1">
      <c r="A26592" s="740"/>
    </row>
    <row r="26593" ht="14.25" customHeight="1">
      <c r="A26593" s="740"/>
    </row>
    <row r="26594" ht="14.25" customHeight="1">
      <c r="A26594" s="740"/>
    </row>
    <row r="26595" ht="14.25" customHeight="1">
      <c r="A26595" s="740"/>
    </row>
    <row r="26596" ht="14.25" customHeight="1">
      <c r="A26596" s="740"/>
    </row>
    <row r="26597" ht="14.25" customHeight="1">
      <c r="A26597" s="740"/>
    </row>
    <row r="26598" ht="14.25" customHeight="1">
      <c r="A26598" s="740"/>
    </row>
    <row r="26599" ht="14.25" customHeight="1">
      <c r="A26599" s="740"/>
    </row>
    <row r="26600" ht="14.25" customHeight="1">
      <c r="A26600" s="740"/>
    </row>
    <row r="26601" ht="14.25" customHeight="1">
      <c r="A26601" s="740"/>
    </row>
    <row r="26602" ht="14.25" customHeight="1">
      <c r="A26602" s="740"/>
    </row>
    <row r="26603" ht="14.25" customHeight="1">
      <c r="A26603" s="740"/>
    </row>
    <row r="26604" ht="14.25" customHeight="1">
      <c r="A26604" s="740"/>
    </row>
    <row r="26605" ht="14.25" customHeight="1">
      <c r="A26605" s="740"/>
    </row>
    <row r="26606" ht="14.25" customHeight="1">
      <c r="A26606" s="740"/>
    </row>
    <row r="26607" ht="14.25" customHeight="1">
      <c r="A26607" s="740"/>
    </row>
    <row r="26608" ht="14.25" customHeight="1">
      <c r="A26608" s="740"/>
    </row>
    <row r="26609" ht="14.25" customHeight="1">
      <c r="A26609" s="740"/>
    </row>
    <row r="26610" ht="14.25" customHeight="1">
      <c r="A26610" s="740"/>
    </row>
    <row r="26611" ht="14.25" customHeight="1">
      <c r="A26611" s="740"/>
    </row>
    <row r="26612" ht="14.25" customHeight="1">
      <c r="A26612" s="740"/>
    </row>
    <row r="26613" ht="14.25" customHeight="1">
      <c r="A26613" s="740"/>
    </row>
    <row r="26614" ht="14.25" customHeight="1">
      <c r="A26614" s="740"/>
    </row>
    <row r="26615" ht="14.25" customHeight="1">
      <c r="A26615" s="740"/>
    </row>
    <row r="26616" ht="14.25" customHeight="1">
      <c r="A26616" s="740"/>
    </row>
    <row r="26617" ht="14.25" customHeight="1">
      <c r="A26617" s="740"/>
    </row>
    <row r="26618" ht="14.25" customHeight="1">
      <c r="A26618" s="740"/>
    </row>
    <row r="26619" ht="14.25" customHeight="1">
      <c r="A26619" s="740"/>
    </row>
    <row r="26620" ht="14.25" customHeight="1">
      <c r="A26620" s="740"/>
    </row>
    <row r="26621" ht="14.25" customHeight="1">
      <c r="A26621" s="740"/>
    </row>
    <row r="26622" ht="14.25" customHeight="1">
      <c r="A26622" s="740"/>
    </row>
    <row r="26623" ht="14.25" customHeight="1">
      <c r="A26623" s="740"/>
    </row>
    <row r="26624" ht="14.25" customHeight="1">
      <c r="A26624" s="740"/>
    </row>
    <row r="26625" ht="14.25" customHeight="1">
      <c r="A26625" s="740"/>
    </row>
    <row r="26626" ht="14.25" customHeight="1">
      <c r="A26626" s="740"/>
    </row>
    <row r="26627" ht="14.25" customHeight="1">
      <c r="A26627" s="740"/>
    </row>
    <row r="26628" ht="14.25" customHeight="1">
      <c r="A26628" s="740"/>
    </row>
    <row r="26629" ht="14.25" customHeight="1">
      <c r="A26629" s="740"/>
    </row>
    <row r="26630" ht="14.25" customHeight="1">
      <c r="A26630" s="740"/>
    </row>
    <row r="26631" ht="14.25" customHeight="1">
      <c r="A26631" s="740"/>
    </row>
    <row r="26632" ht="14.25" customHeight="1">
      <c r="A26632" s="740"/>
    </row>
    <row r="26633" ht="14.25" customHeight="1">
      <c r="A26633" s="740"/>
    </row>
    <row r="26634" ht="14.25" customHeight="1">
      <c r="A26634" s="740"/>
    </row>
    <row r="26635" ht="14.25" customHeight="1">
      <c r="A26635" s="740"/>
    </row>
    <row r="26636" ht="14.25" customHeight="1">
      <c r="A26636" s="740"/>
    </row>
    <row r="26637" ht="14.25" customHeight="1">
      <c r="A26637" s="740"/>
    </row>
    <row r="26638" ht="14.25" customHeight="1">
      <c r="A26638" s="740"/>
    </row>
    <row r="26639" ht="14.25" customHeight="1">
      <c r="A26639" s="740"/>
    </row>
    <row r="26640" ht="14.25" customHeight="1">
      <c r="A26640" s="740"/>
    </row>
    <row r="26641" ht="14.25" customHeight="1">
      <c r="A26641" s="740"/>
    </row>
    <row r="26642" ht="14.25" customHeight="1">
      <c r="A26642" s="740"/>
    </row>
    <row r="26643" ht="14.25" customHeight="1">
      <c r="A26643" s="740"/>
    </row>
    <row r="26644" ht="14.25" customHeight="1">
      <c r="A26644" s="740"/>
    </row>
    <row r="26645" ht="14.25" customHeight="1">
      <c r="A26645" s="740"/>
    </row>
    <row r="26646" ht="14.25" customHeight="1">
      <c r="A26646" s="740"/>
    </row>
    <row r="26647" ht="14.25" customHeight="1">
      <c r="A26647" s="740"/>
    </row>
    <row r="26648" ht="14.25" customHeight="1">
      <c r="A26648" s="740"/>
    </row>
    <row r="26649" ht="14.25" customHeight="1">
      <c r="A26649" s="740"/>
    </row>
    <row r="26650" ht="14.25" customHeight="1">
      <c r="A26650" s="740"/>
    </row>
    <row r="26651" ht="14.25" customHeight="1">
      <c r="A26651" s="740"/>
    </row>
    <row r="26652" ht="14.25" customHeight="1">
      <c r="A26652" s="740"/>
    </row>
    <row r="26653" ht="14.25" customHeight="1">
      <c r="A26653" s="740"/>
    </row>
    <row r="26654" ht="14.25" customHeight="1">
      <c r="A26654" s="740"/>
    </row>
    <row r="26655" ht="14.25" customHeight="1">
      <c r="A26655" s="740"/>
    </row>
    <row r="26656" ht="14.25" customHeight="1">
      <c r="A26656" s="740"/>
    </row>
    <row r="26657" ht="14.25" customHeight="1">
      <c r="A26657" s="740"/>
    </row>
    <row r="26658" ht="14.25" customHeight="1">
      <c r="A26658" s="740"/>
    </row>
    <row r="26659" ht="14.25" customHeight="1">
      <c r="A26659" s="740"/>
    </row>
    <row r="26660" ht="14.25" customHeight="1">
      <c r="A26660" s="740"/>
    </row>
    <row r="26661" ht="14.25" customHeight="1">
      <c r="A26661" s="740"/>
    </row>
    <row r="26662" ht="14.25" customHeight="1">
      <c r="A26662" s="740"/>
    </row>
    <row r="26663" ht="14.25" customHeight="1">
      <c r="A26663" s="740"/>
    </row>
    <row r="26664" ht="14.25" customHeight="1">
      <c r="A26664" s="740"/>
    </row>
    <row r="26665" ht="14.25" customHeight="1">
      <c r="A26665" s="740"/>
    </row>
    <row r="26666" ht="14.25" customHeight="1">
      <c r="A26666" s="740"/>
    </row>
    <row r="26667" ht="14.25" customHeight="1">
      <c r="A26667" s="740"/>
    </row>
    <row r="26668" ht="14.25" customHeight="1">
      <c r="A26668" s="740"/>
    </row>
    <row r="26669" ht="14.25" customHeight="1">
      <c r="A26669" s="740"/>
    </row>
    <row r="26670" ht="14.25" customHeight="1">
      <c r="A26670" s="740"/>
    </row>
    <row r="26671" ht="14.25" customHeight="1">
      <c r="A26671" s="740"/>
    </row>
    <row r="26672" ht="14.25" customHeight="1">
      <c r="A26672" s="740"/>
    </row>
    <row r="26673" ht="14.25" customHeight="1">
      <c r="A26673" s="740"/>
    </row>
    <row r="26674" ht="14.25" customHeight="1">
      <c r="A26674" s="740"/>
    </row>
    <row r="26675" ht="14.25" customHeight="1">
      <c r="A26675" s="740"/>
    </row>
    <row r="26676" ht="14.25" customHeight="1">
      <c r="A26676" s="740"/>
    </row>
    <row r="26677" ht="14.25" customHeight="1">
      <c r="A26677" s="740"/>
    </row>
    <row r="26678" ht="14.25" customHeight="1">
      <c r="A26678" s="740"/>
    </row>
    <row r="26679" ht="14.25" customHeight="1">
      <c r="A26679" s="740"/>
    </row>
    <row r="26680" ht="14.25" customHeight="1">
      <c r="A26680" s="740"/>
    </row>
    <row r="26681" ht="14.25" customHeight="1">
      <c r="A26681" s="740"/>
    </row>
    <row r="26682" ht="14.25" customHeight="1">
      <c r="A26682" s="740"/>
    </row>
    <row r="26683" ht="14.25" customHeight="1">
      <c r="A26683" s="740"/>
    </row>
    <row r="26684" ht="14.25" customHeight="1">
      <c r="A26684" s="740"/>
    </row>
    <row r="26685" ht="14.25" customHeight="1">
      <c r="A26685" s="740"/>
    </row>
    <row r="26686" ht="14.25" customHeight="1">
      <c r="A26686" s="740"/>
    </row>
    <row r="26687" ht="14.25" customHeight="1">
      <c r="A26687" s="740"/>
    </row>
    <row r="26688" ht="14.25" customHeight="1">
      <c r="A26688" s="740"/>
    </row>
    <row r="26689" ht="14.25" customHeight="1">
      <c r="A26689" s="740"/>
    </row>
    <row r="26690" ht="14.25" customHeight="1">
      <c r="A26690" s="740"/>
    </row>
    <row r="26691" ht="14.25" customHeight="1">
      <c r="A26691" s="740"/>
    </row>
    <row r="26692" ht="14.25" customHeight="1">
      <c r="A26692" s="740"/>
    </row>
    <row r="26693" ht="14.25" customHeight="1">
      <c r="A26693" s="740"/>
    </row>
    <row r="26694" ht="14.25" customHeight="1">
      <c r="A26694" s="740"/>
    </row>
    <row r="26695" ht="14.25" customHeight="1">
      <c r="A26695" s="740"/>
    </row>
    <row r="26696" ht="14.25" customHeight="1">
      <c r="A26696" s="740"/>
    </row>
    <row r="26697" ht="14.25" customHeight="1">
      <c r="A26697" s="740"/>
    </row>
    <row r="26698" ht="14.25" customHeight="1">
      <c r="A26698" s="740"/>
    </row>
    <row r="26699" ht="14.25" customHeight="1">
      <c r="A26699" s="740"/>
    </row>
    <row r="26700" ht="14.25" customHeight="1">
      <c r="A26700" s="740"/>
    </row>
    <row r="26701" ht="14.25" customHeight="1">
      <c r="A26701" s="740"/>
    </row>
    <row r="26702" ht="14.25" customHeight="1">
      <c r="A26702" s="740"/>
    </row>
    <row r="26703" ht="14.25" customHeight="1">
      <c r="A26703" s="740"/>
    </row>
    <row r="26704" ht="14.25" customHeight="1">
      <c r="A26704" s="740"/>
    </row>
    <row r="26705" ht="14.25" customHeight="1">
      <c r="A26705" s="740"/>
    </row>
    <row r="26706" ht="14.25" customHeight="1">
      <c r="A26706" s="740"/>
    </row>
    <row r="26707" ht="14.25" customHeight="1">
      <c r="A26707" s="740"/>
    </row>
    <row r="26708" ht="14.25" customHeight="1">
      <c r="A26708" s="740"/>
    </row>
    <row r="26709" ht="14.25" customHeight="1">
      <c r="A26709" s="740"/>
    </row>
    <row r="26710" ht="14.25" customHeight="1">
      <c r="A26710" s="740"/>
    </row>
    <row r="26711" ht="14.25" customHeight="1">
      <c r="A26711" s="740"/>
    </row>
    <row r="26712" ht="14.25" customHeight="1">
      <c r="A26712" s="740"/>
    </row>
    <row r="26713" ht="14.25" customHeight="1">
      <c r="A26713" s="740"/>
    </row>
    <row r="26714" ht="14.25" customHeight="1">
      <c r="A26714" s="740"/>
    </row>
    <row r="26715" ht="14.25" customHeight="1">
      <c r="A26715" s="740"/>
    </row>
    <row r="26716" ht="14.25" customHeight="1">
      <c r="A26716" s="740"/>
    </row>
    <row r="26717" ht="14.25" customHeight="1">
      <c r="A26717" s="740"/>
    </row>
    <row r="26718" ht="14.25" customHeight="1">
      <c r="A26718" s="740"/>
    </row>
    <row r="26719" ht="14.25" customHeight="1">
      <c r="A26719" s="740"/>
    </row>
    <row r="26720" ht="14.25" customHeight="1">
      <c r="A26720" s="740"/>
    </row>
    <row r="26721" ht="14.25" customHeight="1">
      <c r="A26721" s="740"/>
    </row>
    <row r="26722" ht="14.25" customHeight="1">
      <c r="A26722" s="740"/>
    </row>
    <row r="26723" ht="14.25" customHeight="1">
      <c r="A26723" s="740"/>
    </row>
    <row r="26724" ht="14.25" customHeight="1">
      <c r="A26724" s="740"/>
    </row>
    <row r="26725" ht="14.25" customHeight="1">
      <c r="A26725" s="740"/>
    </row>
    <row r="26726" ht="14.25" customHeight="1">
      <c r="A26726" s="740"/>
    </row>
    <row r="26727" ht="14.25" customHeight="1">
      <c r="A26727" s="740"/>
    </row>
    <row r="26728" ht="14.25" customHeight="1">
      <c r="A26728" s="740"/>
    </row>
    <row r="26729" ht="14.25" customHeight="1">
      <c r="A26729" s="740"/>
    </row>
    <row r="26730" ht="14.25" customHeight="1">
      <c r="A26730" s="740"/>
    </row>
    <row r="26731" ht="14.25" customHeight="1">
      <c r="A26731" s="740"/>
    </row>
    <row r="26732" ht="14.25" customHeight="1">
      <c r="A26732" s="740"/>
    </row>
    <row r="26733" ht="14.25" customHeight="1">
      <c r="A26733" s="740"/>
    </row>
    <row r="26734" ht="14.25" customHeight="1">
      <c r="A26734" s="740"/>
    </row>
    <row r="26735" ht="14.25" customHeight="1">
      <c r="A26735" s="740"/>
    </row>
    <row r="26736" ht="14.25" customHeight="1">
      <c r="A26736" s="740"/>
    </row>
    <row r="26737" ht="14.25" customHeight="1">
      <c r="A26737" s="740"/>
    </row>
    <row r="26738" ht="14.25" customHeight="1">
      <c r="A26738" s="740"/>
    </row>
    <row r="26739" ht="14.25" customHeight="1">
      <c r="A26739" s="740"/>
    </row>
    <row r="26740" ht="14.25" customHeight="1">
      <c r="A26740" s="740"/>
    </row>
    <row r="26741" ht="14.25" customHeight="1">
      <c r="A26741" s="740"/>
    </row>
    <row r="26742" ht="14.25" customHeight="1">
      <c r="A26742" s="740"/>
    </row>
    <row r="26743" ht="14.25" customHeight="1">
      <c r="A26743" s="740"/>
    </row>
    <row r="26744" ht="14.25" customHeight="1">
      <c r="A26744" s="740"/>
    </row>
    <row r="26745" ht="14.25" customHeight="1">
      <c r="A26745" s="740"/>
    </row>
    <row r="26746" ht="14.25" customHeight="1">
      <c r="A26746" s="740"/>
    </row>
    <row r="26747" ht="14.25" customHeight="1">
      <c r="A26747" s="740"/>
    </row>
    <row r="26748" ht="14.25" customHeight="1">
      <c r="A26748" s="740"/>
    </row>
    <row r="26749" ht="14.25" customHeight="1">
      <c r="A26749" s="740"/>
    </row>
    <row r="26750" ht="14.25" customHeight="1">
      <c r="A26750" s="740"/>
    </row>
    <row r="26751" ht="14.25" customHeight="1">
      <c r="A26751" s="740"/>
    </row>
    <row r="26752" ht="14.25" customHeight="1">
      <c r="A26752" s="740"/>
    </row>
    <row r="26753" ht="14.25" customHeight="1">
      <c r="A26753" s="740"/>
    </row>
    <row r="26754" ht="14.25" customHeight="1">
      <c r="A26754" s="740"/>
    </row>
    <row r="26755" ht="14.25" customHeight="1">
      <c r="A26755" s="740"/>
    </row>
    <row r="26756" ht="14.25" customHeight="1">
      <c r="A26756" s="740"/>
    </row>
    <row r="26757" ht="14.25" customHeight="1">
      <c r="A26757" s="740"/>
    </row>
    <row r="26758" ht="14.25" customHeight="1">
      <c r="A26758" s="740"/>
    </row>
    <row r="26759" ht="14.25" customHeight="1">
      <c r="A26759" s="740"/>
    </row>
    <row r="26760" ht="14.25" customHeight="1">
      <c r="A26760" s="740"/>
    </row>
    <row r="26761" ht="14.25" customHeight="1">
      <c r="A26761" s="740"/>
    </row>
    <row r="26762" ht="14.25" customHeight="1">
      <c r="A26762" s="740"/>
    </row>
    <row r="26763" ht="14.25" customHeight="1">
      <c r="A26763" s="740"/>
    </row>
    <row r="26764" ht="14.25" customHeight="1">
      <c r="A26764" s="740"/>
    </row>
    <row r="26765" ht="14.25" customHeight="1">
      <c r="A26765" s="740"/>
    </row>
    <row r="26766" ht="14.25" customHeight="1">
      <c r="A26766" s="740"/>
    </row>
    <row r="26767" ht="14.25" customHeight="1">
      <c r="A26767" s="740"/>
    </row>
    <row r="26768" ht="14.25" customHeight="1">
      <c r="A26768" s="740"/>
    </row>
    <row r="26769" ht="14.25" customHeight="1">
      <c r="A26769" s="740"/>
    </row>
    <row r="26770" ht="14.25" customHeight="1">
      <c r="A26770" s="740"/>
    </row>
    <row r="26771" ht="14.25" customHeight="1">
      <c r="A26771" s="740"/>
    </row>
    <row r="26772" ht="14.25" customHeight="1">
      <c r="A26772" s="740"/>
    </row>
    <row r="26773" ht="14.25" customHeight="1">
      <c r="A26773" s="740"/>
    </row>
    <row r="26774" ht="14.25" customHeight="1">
      <c r="A26774" s="740"/>
    </row>
    <row r="26775" ht="14.25" customHeight="1">
      <c r="A26775" s="740"/>
    </row>
    <row r="26776" ht="14.25" customHeight="1">
      <c r="A26776" s="740"/>
    </row>
    <row r="26777" ht="14.25" customHeight="1">
      <c r="A26777" s="740"/>
    </row>
    <row r="26778" ht="14.25" customHeight="1">
      <c r="A26778" s="740"/>
    </row>
    <row r="26779" ht="14.25" customHeight="1">
      <c r="A26779" s="740"/>
    </row>
    <row r="26780" ht="14.25" customHeight="1">
      <c r="A26780" s="740"/>
    </row>
    <row r="26781" ht="14.25" customHeight="1">
      <c r="A26781" s="740"/>
    </row>
    <row r="26782" ht="14.25" customHeight="1">
      <c r="A26782" s="740"/>
    </row>
    <row r="26783" ht="14.25" customHeight="1">
      <c r="A26783" s="740"/>
    </row>
    <row r="26784" ht="14.25" customHeight="1">
      <c r="A26784" s="740"/>
    </row>
    <row r="26785" ht="14.25" customHeight="1">
      <c r="A26785" s="740"/>
    </row>
    <row r="26786" ht="14.25" customHeight="1">
      <c r="A26786" s="740"/>
    </row>
    <row r="26787" ht="14.25" customHeight="1">
      <c r="A26787" s="740"/>
    </row>
    <row r="26788" ht="14.25" customHeight="1">
      <c r="A26788" s="740"/>
    </row>
    <row r="26789" ht="14.25" customHeight="1">
      <c r="A26789" s="740"/>
    </row>
    <row r="26790" ht="14.25" customHeight="1">
      <c r="A26790" s="740"/>
    </row>
    <row r="26791" ht="14.25" customHeight="1">
      <c r="A26791" s="740"/>
    </row>
    <row r="26792" ht="14.25" customHeight="1">
      <c r="A26792" s="740"/>
    </row>
    <row r="26793" ht="14.25" customHeight="1">
      <c r="A26793" s="740"/>
    </row>
    <row r="26794" ht="14.25" customHeight="1">
      <c r="A26794" s="740"/>
    </row>
    <row r="26795" ht="14.25" customHeight="1">
      <c r="A26795" s="740"/>
    </row>
    <row r="26796" ht="14.25" customHeight="1">
      <c r="A26796" s="740"/>
    </row>
    <row r="26797" ht="14.25" customHeight="1">
      <c r="A26797" s="740"/>
    </row>
    <row r="26798" ht="14.25" customHeight="1">
      <c r="A26798" s="740"/>
    </row>
    <row r="26799" ht="14.25" customHeight="1">
      <c r="A26799" s="740"/>
    </row>
    <row r="26800" ht="14.25" customHeight="1">
      <c r="A26800" s="740"/>
    </row>
    <row r="26801" ht="14.25" customHeight="1">
      <c r="A26801" s="740"/>
    </row>
    <row r="26802" ht="14.25" customHeight="1">
      <c r="A26802" s="740"/>
    </row>
    <row r="26803" ht="14.25" customHeight="1">
      <c r="A26803" s="740"/>
    </row>
    <row r="26804" ht="14.25" customHeight="1">
      <c r="A26804" s="740"/>
    </row>
    <row r="26805" ht="14.25" customHeight="1">
      <c r="A26805" s="740"/>
    </row>
    <row r="26806" ht="14.25" customHeight="1">
      <c r="A26806" s="740"/>
    </row>
    <row r="26807" ht="14.25" customHeight="1">
      <c r="A26807" s="740"/>
    </row>
    <row r="26808" ht="14.25" customHeight="1">
      <c r="A26808" s="740"/>
    </row>
    <row r="26809" ht="14.25" customHeight="1">
      <c r="A26809" s="740"/>
    </row>
    <row r="26810" ht="14.25" customHeight="1">
      <c r="A26810" s="740"/>
    </row>
    <row r="26811" ht="14.25" customHeight="1">
      <c r="A26811" s="740"/>
    </row>
    <row r="26812" ht="14.25" customHeight="1">
      <c r="A26812" s="740"/>
    </row>
    <row r="26813" ht="14.25" customHeight="1">
      <c r="A26813" s="740"/>
    </row>
    <row r="26814" ht="14.25" customHeight="1">
      <c r="A26814" s="740"/>
    </row>
    <row r="26815" ht="14.25" customHeight="1">
      <c r="A26815" s="740"/>
    </row>
    <row r="26816" ht="14.25" customHeight="1">
      <c r="A26816" s="740"/>
    </row>
    <row r="26817" ht="14.25" customHeight="1">
      <c r="A26817" s="740"/>
    </row>
    <row r="26818" ht="14.25" customHeight="1">
      <c r="A26818" s="740"/>
    </row>
    <row r="26819" ht="14.25" customHeight="1">
      <c r="A26819" s="740"/>
    </row>
    <row r="26820" ht="14.25" customHeight="1">
      <c r="A26820" s="740"/>
    </row>
    <row r="26821" ht="14.25" customHeight="1">
      <c r="A26821" s="740"/>
    </row>
    <row r="26822" ht="14.25" customHeight="1">
      <c r="A26822" s="740"/>
    </row>
    <row r="26823" ht="14.25" customHeight="1">
      <c r="A26823" s="740"/>
    </row>
    <row r="26824" ht="14.25" customHeight="1">
      <c r="A26824" s="740"/>
    </row>
    <row r="26825" ht="14.25" customHeight="1">
      <c r="A26825" s="740"/>
    </row>
    <row r="26826" ht="14.25" customHeight="1">
      <c r="A26826" s="740"/>
    </row>
    <row r="26827" ht="14.25" customHeight="1">
      <c r="A26827" s="740"/>
    </row>
    <row r="26828" ht="14.25" customHeight="1">
      <c r="A26828" s="740"/>
    </row>
    <row r="26829" ht="14.25" customHeight="1">
      <c r="A26829" s="740"/>
    </row>
    <row r="26830" ht="14.25" customHeight="1">
      <c r="A26830" s="740"/>
    </row>
    <row r="26831" ht="14.25" customHeight="1">
      <c r="A26831" s="740"/>
    </row>
    <row r="26832" ht="14.25" customHeight="1">
      <c r="A26832" s="740"/>
    </row>
    <row r="26833" ht="14.25" customHeight="1">
      <c r="A26833" s="740"/>
    </row>
    <row r="26834" ht="14.25" customHeight="1">
      <c r="A26834" s="740"/>
    </row>
    <row r="26835" ht="14.25" customHeight="1">
      <c r="A26835" s="740"/>
    </row>
    <row r="26836" ht="14.25" customHeight="1">
      <c r="A26836" s="740"/>
    </row>
    <row r="26837" ht="14.25" customHeight="1">
      <c r="A26837" s="740"/>
    </row>
    <row r="26838" ht="14.25" customHeight="1">
      <c r="A26838" s="740"/>
    </row>
    <row r="26839" ht="14.25" customHeight="1">
      <c r="A26839" s="740"/>
    </row>
    <row r="26840" ht="14.25" customHeight="1">
      <c r="A26840" s="740"/>
    </row>
    <row r="26841" ht="14.25" customHeight="1">
      <c r="A26841" s="740"/>
    </row>
    <row r="26842" ht="14.25" customHeight="1">
      <c r="A26842" s="740"/>
    </row>
    <row r="26843" ht="14.25" customHeight="1">
      <c r="A26843" s="740"/>
    </row>
    <row r="26844" ht="14.25" customHeight="1">
      <c r="A26844" s="740"/>
    </row>
    <row r="26845" ht="14.25" customHeight="1">
      <c r="A26845" s="740"/>
    </row>
    <row r="26846" ht="14.25" customHeight="1">
      <c r="A26846" s="740"/>
    </row>
    <row r="26847" ht="14.25" customHeight="1">
      <c r="A26847" s="740"/>
    </row>
    <row r="26848" ht="14.25" customHeight="1">
      <c r="A26848" s="740"/>
    </row>
    <row r="26849" ht="14.25" customHeight="1">
      <c r="A26849" s="740"/>
    </row>
    <row r="26850" ht="14.25" customHeight="1">
      <c r="A26850" s="740"/>
    </row>
    <row r="26851" ht="14.25" customHeight="1">
      <c r="A26851" s="740"/>
    </row>
    <row r="26852" ht="14.25" customHeight="1">
      <c r="A26852" s="740"/>
    </row>
    <row r="26853" ht="14.25" customHeight="1">
      <c r="A26853" s="740"/>
    </row>
    <row r="26854" ht="14.25" customHeight="1">
      <c r="A26854" s="740"/>
    </row>
    <row r="26855" ht="14.25" customHeight="1">
      <c r="A26855" s="740"/>
    </row>
    <row r="26856" ht="14.25" customHeight="1">
      <c r="A26856" s="740"/>
    </row>
    <row r="26857" ht="14.25" customHeight="1">
      <c r="A26857" s="740"/>
    </row>
    <row r="26858" ht="14.25" customHeight="1">
      <c r="A26858" s="740"/>
    </row>
    <row r="26859" ht="14.25" customHeight="1">
      <c r="A26859" s="740"/>
    </row>
    <row r="26860" ht="14.25" customHeight="1">
      <c r="A26860" s="740"/>
    </row>
    <row r="26861" ht="14.25" customHeight="1">
      <c r="A26861" s="740"/>
    </row>
    <row r="26862" ht="14.25" customHeight="1">
      <c r="A26862" s="740"/>
    </row>
    <row r="26863" ht="14.25" customHeight="1">
      <c r="A26863" s="740"/>
    </row>
    <row r="26864" ht="14.25" customHeight="1">
      <c r="A26864" s="740"/>
    </row>
    <row r="26865" ht="14.25" customHeight="1">
      <c r="A26865" s="740"/>
    </row>
    <row r="26866" ht="14.25" customHeight="1">
      <c r="A26866" s="740"/>
    </row>
    <row r="26867" ht="14.25" customHeight="1">
      <c r="A26867" s="740"/>
    </row>
    <row r="26868" ht="14.25" customHeight="1">
      <c r="A26868" s="740"/>
    </row>
    <row r="26869" ht="14.25" customHeight="1">
      <c r="A26869" s="740"/>
    </row>
    <row r="26870" ht="14.25" customHeight="1">
      <c r="A26870" s="740"/>
    </row>
    <row r="26871" ht="14.25" customHeight="1">
      <c r="A26871" s="740"/>
    </row>
    <row r="26872" ht="14.25" customHeight="1">
      <c r="A26872" s="740"/>
    </row>
    <row r="26873" ht="14.25" customHeight="1">
      <c r="A26873" s="740"/>
    </row>
    <row r="26874" ht="14.25" customHeight="1">
      <c r="A26874" s="740"/>
    </row>
    <row r="26875" ht="14.25" customHeight="1">
      <c r="A26875" s="740"/>
    </row>
    <row r="26876" ht="14.25" customHeight="1">
      <c r="A26876" s="740"/>
    </row>
    <row r="26877" ht="14.25" customHeight="1">
      <c r="A26877" s="740"/>
    </row>
    <row r="26878" ht="14.25" customHeight="1">
      <c r="A26878" s="740"/>
    </row>
    <row r="26879" ht="14.25" customHeight="1">
      <c r="A26879" s="740"/>
    </row>
    <row r="26880" ht="14.25" customHeight="1">
      <c r="A26880" s="740"/>
    </row>
    <row r="26881" ht="14.25" customHeight="1">
      <c r="A26881" s="740"/>
    </row>
    <row r="26882" ht="14.25" customHeight="1">
      <c r="A26882" s="740"/>
    </row>
    <row r="26883" ht="14.25" customHeight="1">
      <c r="A26883" s="740"/>
    </row>
    <row r="26884" ht="14.25" customHeight="1">
      <c r="A26884" s="740"/>
    </row>
    <row r="26885" ht="14.25" customHeight="1">
      <c r="A26885" s="740"/>
    </row>
    <row r="26886" ht="14.25" customHeight="1">
      <c r="A26886" s="740"/>
    </row>
    <row r="26887" ht="14.25" customHeight="1">
      <c r="A26887" s="740"/>
    </row>
    <row r="26888" ht="14.25" customHeight="1">
      <c r="A26888" s="740"/>
    </row>
    <row r="26889" ht="14.25" customHeight="1">
      <c r="A26889" s="740"/>
    </row>
    <row r="26890" ht="14.25" customHeight="1">
      <c r="A26890" s="740"/>
    </row>
    <row r="26891" ht="14.25" customHeight="1">
      <c r="A26891" s="740"/>
    </row>
    <row r="26892" ht="14.25" customHeight="1">
      <c r="A26892" s="740"/>
    </row>
    <row r="26893" ht="14.25" customHeight="1">
      <c r="A26893" s="740"/>
    </row>
    <row r="26894" ht="14.25" customHeight="1">
      <c r="A26894" s="740"/>
    </row>
    <row r="26895" ht="14.25" customHeight="1">
      <c r="A26895" s="740"/>
    </row>
    <row r="26896" ht="14.25" customHeight="1">
      <c r="A26896" s="740"/>
    </row>
    <row r="26897" ht="14.25" customHeight="1">
      <c r="A26897" s="740"/>
    </row>
    <row r="26898" ht="14.25" customHeight="1">
      <c r="A26898" s="740"/>
    </row>
    <row r="26899" ht="14.25" customHeight="1">
      <c r="A26899" s="740"/>
    </row>
    <row r="26900" ht="14.25" customHeight="1">
      <c r="A26900" s="740"/>
    </row>
    <row r="26901" ht="14.25" customHeight="1">
      <c r="A26901" s="740"/>
    </row>
    <row r="26902" ht="14.25" customHeight="1">
      <c r="A26902" s="740"/>
    </row>
    <row r="26903" ht="14.25" customHeight="1">
      <c r="A26903" s="740"/>
    </row>
    <row r="26904" ht="14.25" customHeight="1">
      <c r="A26904" s="740"/>
    </row>
    <row r="26905" ht="14.25" customHeight="1">
      <c r="A26905" s="740"/>
    </row>
    <row r="26906" ht="14.25" customHeight="1">
      <c r="A26906" s="740"/>
    </row>
    <row r="26907" ht="14.25" customHeight="1">
      <c r="A26907" s="740"/>
    </row>
    <row r="26908" ht="14.25" customHeight="1">
      <c r="A26908" s="740"/>
    </row>
    <row r="26909" ht="14.25" customHeight="1">
      <c r="A26909" s="740"/>
    </row>
    <row r="26910" ht="14.25" customHeight="1">
      <c r="A26910" s="740"/>
    </row>
    <row r="26911" ht="14.25" customHeight="1">
      <c r="A26911" s="740"/>
    </row>
    <row r="26912" ht="14.25" customHeight="1">
      <c r="A26912" s="740"/>
    </row>
    <row r="26913" ht="14.25" customHeight="1">
      <c r="A26913" s="740"/>
    </row>
    <row r="26914" ht="14.25" customHeight="1">
      <c r="A26914" s="740"/>
    </row>
    <row r="26915" ht="14.25" customHeight="1">
      <c r="A26915" s="740"/>
    </row>
    <row r="26916" ht="14.25" customHeight="1">
      <c r="A26916" s="740"/>
    </row>
    <row r="26917" ht="14.25" customHeight="1">
      <c r="A26917" s="740"/>
    </row>
    <row r="26918" ht="14.25" customHeight="1">
      <c r="A26918" s="740"/>
    </row>
    <row r="26919" ht="14.25" customHeight="1">
      <c r="A26919" s="740"/>
    </row>
    <row r="26920" ht="14.25" customHeight="1">
      <c r="A26920" s="740"/>
    </row>
    <row r="26921" ht="14.25" customHeight="1">
      <c r="A26921" s="740"/>
    </row>
    <row r="26922" ht="14.25" customHeight="1">
      <c r="A26922" s="740"/>
    </row>
    <row r="26923" ht="14.25" customHeight="1">
      <c r="A26923" s="740"/>
    </row>
    <row r="26924" ht="14.25" customHeight="1">
      <c r="A26924" s="740"/>
    </row>
    <row r="26925" ht="14.25" customHeight="1">
      <c r="A26925" s="740"/>
    </row>
    <row r="26926" ht="14.25" customHeight="1">
      <c r="A26926" s="740"/>
    </row>
    <row r="26927" ht="14.25" customHeight="1">
      <c r="A26927" s="740"/>
    </row>
    <row r="26928" ht="14.25" customHeight="1">
      <c r="A26928" s="740"/>
    </row>
    <row r="26929" ht="14.25" customHeight="1">
      <c r="A26929" s="740"/>
    </row>
    <row r="26930" ht="14.25" customHeight="1">
      <c r="A26930" s="740"/>
    </row>
    <row r="26931" ht="14.25" customHeight="1">
      <c r="A26931" s="740"/>
    </row>
    <row r="26932" ht="14.25" customHeight="1">
      <c r="A26932" s="740"/>
    </row>
    <row r="26933" ht="14.25" customHeight="1">
      <c r="A26933" s="740"/>
    </row>
    <row r="26934" ht="14.25" customHeight="1">
      <c r="A26934" s="740"/>
    </row>
    <row r="26935" ht="14.25" customHeight="1">
      <c r="A26935" s="740"/>
    </row>
    <row r="26936" ht="14.25" customHeight="1">
      <c r="A26936" s="740"/>
    </row>
    <row r="26937" ht="14.25" customHeight="1">
      <c r="A26937" s="740"/>
    </row>
    <row r="26938" ht="14.25" customHeight="1">
      <c r="A26938" s="740"/>
    </row>
    <row r="26939" ht="14.25" customHeight="1">
      <c r="A26939" s="740"/>
    </row>
    <row r="26940" ht="14.25" customHeight="1">
      <c r="A26940" s="740"/>
    </row>
    <row r="26941" ht="14.25" customHeight="1">
      <c r="A26941" s="740"/>
    </row>
    <row r="26942" ht="14.25" customHeight="1">
      <c r="A26942" s="740"/>
    </row>
    <row r="26943" ht="14.25" customHeight="1">
      <c r="A26943" s="740"/>
    </row>
    <row r="26944" ht="14.25" customHeight="1">
      <c r="A26944" s="740"/>
    </row>
    <row r="26945" ht="14.25" customHeight="1">
      <c r="A26945" s="740"/>
    </row>
    <row r="26946" ht="14.25" customHeight="1">
      <c r="A26946" s="740"/>
    </row>
    <row r="26947" ht="14.25" customHeight="1">
      <c r="A26947" s="740"/>
    </row>
    <row r="26948" ht="14.25" customHeight="1">
      <c r="A26948" s="740"/>
    </row>
    <row r="26949" ht="14.25" customHeight="1">
      <c r="A26949" s="740"/>
    </row>
    <row r="26950" ht="14.25" customHeight="1">
      <c r="A26950" s="740"/>
    </row>
    <row r="26951" ht="14.25" customHeight="1">
      <c r="A26951" s="740"/>
    </row>
    <row r="26952" ht="14.25" customHeight="1">
      <c r="A26952" s="740"/>
    </row>
    <row r="26953" ht="14.25" customHeight="1">
      <c r="A26953" s="740"/>
    </row>
    <row r="26954" ht="14.25" customHeight="1">
      <c r="A26954" s="740"/>
    </row>
    <row r="26955" ht="14.25" customHeight="1">
      <c r="A26955" s="740"/>
    </row>
    <row r="26956" ht="14.25" customHeight="1">
      <c r="A26956" s="740"/>
    </row>
    <row r="26957" ht="14.25" customHeight="1">
      <c r="A26957" s="740"/>
    </row>
    <row r="26958" ht="14.25" customHeight="1">
      <c r="A26958" s="740"/>
    </row>
    <row r="26959" ht="14.25" customHeight="1">
      <c r="A26959" s="740"/>
    </row>
    <row r="26960" ht="14.25" customHeight="1">
      <c r="A26960" s="740"/>
    </row>
    <row r="26961" ht="14.25" customHeight="1">
      <c r="A26961" s="740"/>
    </row>
    <row r="26962" ht="14.25" customHeight="1">
      <c r="A26962" s="740"/>
    </row>
    <row r="26963" ht="14.25" customHeight="1">
      <c r="A26963" s="740"/>
    </row>
    <row r="26964" ht="14.25" customHeight="1">
      <c r="A26964" s="740"/>
    </row>
    <row r="26965" ht="14.25" customHeight="1">
      <c r="A26965" s="740"/>
    </row>
    <row r="26966" ht="14.25" customHeight="1">
      <c r="A26966" s="740"/>
    </row>
    <row r="26967" ht="14.25" customHeight="1">
      <c r="A26967" s="740"/>
    </row>
    <row r="26968" ht="14.25" customHeight="1">
      <c r="A26968" s="740"/>
    </row>
    <row r="26969" ht="14.25" customHeight="1">
      <c r="A26969" s="740"/>
    </row>
    <row r="26970" ht="14.25" customHeight="1">
      <c r="A26970" s="740"/>
    </row>
    <row r="26971" ht="14.25" customHeight="1">
      <c r="A26971" s="740"/>
    </row>
    <row r="26972" ht="14.25" customHeight="1">
      <c r="A26972" s="740"/>
    </row>
    <row r="26973" ht="14.25" customHeight="1">
      <c r="A26973" s="740"/>
    </row>
    <row r="26974" ht="14.25" customHeight="1">
      <c r="A26974" s="740"/>
    </row>
    <row r="26975" ht="14.25" customHeight="1">
      <c r="A26975" s="740"/>
    </row>
    <row r="26976" ht="14.25" customHeight="1">
      <c r="A26976" s="740"/>
    </row>
    <row r="26977" ht="14.25" customHeight="1">
      <c r="A26977" s="740"/>
    </row>
    <row r="26978" ht="14.25" customHeight="1">
      <c r="A26978" s="740"/>
    </row>
    <row r="26979" ht="14.25" customHeight="1">
      <c r="A26979" s="740"/>
    </row>
    <row r="26980" ht="14.25" customHeight="1">
      <c r="A26980" s="740"/>
    </row>
    <row r="26981" ht="14.25" customHeight="1">
      <c r="A26981" s="740"/>
    </row>
    <row r="26982" ht="14.25" customHeight="1">
      <c r="A26982" s="740"/>
    </row>
    <row r="26983" ht="14.25" customHeight="1">
      <c r="A26983" s="740"/>
    </row>
    <row r="26984" ht="14.25" customHeight="1">
      <c r="A26984" s="740"/>
    </row>
    <row r="26985" ht="14.25" customHeight="1">
      <c r="A26985" s="740"/>
    </row>
    <row r="26986" ht="14.25" customHeight="1">
      <c r="A26986" s="740"/>
    </row>
    <row r="26987" ht="14.25" customHeight="1">
      <c r="A26987" s="740"/>
    </row>
    <row r="26988" ht="14.25" customHeight="1">
      <c r="A26988" s="740"/>
    </row>
    <row r="26989" ht="14.25" customHeight="1">
      <c r="A26989" s="740"/>
    </row>
    <row r="26990" ht="14.25" customHeight="1">
      <c r="A26990" s="740"/>
    </row>
    <row r="26991" ht="14.25" customHeight="1">
      <c r="A26991" s="740"/>
    </row>
    <row r="26992" ht="14.25" customHeight="1">
      <c r="A26992" s="740"/>
    </row>
    <row r="26993" ht="14.25" customHeight="1">
      <c r="A26993" s="740"/>
    </row>
    <row r="26994" ht="14.25" customHeight="1">
      <c r="A26994" s="740"/>
    </row>
    <row r="26995" ht="14.25" customHeight="1">
      <c r="A26995" s="740"/>
    </row>
    <row r="26996" ht="14.25" customHeight="1">
      <c r="A26996" s="740"/>
    </row>
    <row r="26997" ht="14.25" customHeight="1">
      <c r="A26997" s="740"/>
    </row>
    <row r="26998" ht="14.25" customHeight="1">
      <c r="A26998" s="740"/>
    </row>
    <row r="26999" ht="14.25" customHeight="1">
      <c r="A26999" s="740"/>
    </row>
    <row r="27000" ht="14.25" customHeight="1">
      <c r="A27000" s="740"/>
    </row>
    <row r="27001" ht="14.25" customHeight="1">
      <c r="A27001" s="740"/>
    </row>
    <row r="27002" ht="14.25" customHeight="1">
      <c r="A27002" s="740"/>
    </row>
    <row r="27003" ht="14.25" customHeight="1">
      <c r="A27003" s="740"/>
    </row>
    <row r="27004" ht="14.25" customHeight="1">
      <c r="A27004" s="740"/>
    </row>
    <row r="27005" ht="14.25" customHeight="1">
      <c r="A27005" s="740"/>
    </row>
    <row r="27006" ht="14.25" customHeight="1">
      <c r="A27006" s="740"/>
    </row>
    <row r="27007" ht="14.25" customHeight="1">
      <c r="A27007" s="740"/>
    </row>
    <row r="27008" ht="14.25" customHeight="1">
      <c r="A27008" s="740"/>
    </row>
    <row r="27009" ht="14.25" customHeight="1">
      <c r="A27009" s="740"/>
    </row>
    <row r="27010" ht="14.25" customHeight="1">
      <c r="A27010" s="740"/>
    </row>
    <row r="27011" ht="14.25" customHeight="1">
      <c r="A27011" s="740"/>
    </row>
    <row r="27012" ht="14.25" customHeight="1">
      <c r="A27012" s="740"/>
    </row>
    <row r="27013" ht="14.25" customHeight="1">
      <c r="A27013" s="740"/>
    </row>
    <row r="27014" ht="14.25" customHeight="1">
      <c r="A27014" s="740"/>
    </row>
    <row r="27015" ht="14.25" customHeight="1">
      <c r="A27015" s="740"/>
    </row>
    <row r="27016" ht="14.25" customHeight="1">
      <c r="A27016" s="740"/>
    </row>
    <row r="27017" ht="14.25" customHeight="1">
      <c r="A27017" s="740"/>
    </row>
    <row r="27018" ht="14.25" customHeight="1">
      <c r="A27018" s="740"/>
    </row>
    <row r="27019" ht="14.25" customHeight="1">
      <c r="A27019" s="740"/>
    </row>
    <row r="27020" ht="14.25" customHeight="1">
      <c r="A27020" s="740"/>
    </row>
    <row r="27021" ht="14.25" customHeight="1">
      <c r="A27021" s="740"/>
    </row>
    <row r="27022" ht="14.25" customHeight="1">
      <c r="A27022" s="740"/>
    </row>
    <row r="27023" ht="14.25" customHeight="1">
      <c r="A27023" s="740"/>
    </row>
    <row r="27024" ht="14.25" customHeight="1">
      <c r="A27024" s="740"/>
    </row>
    <row r="27025" ht="14.25" customHeight="1">
      <c r="A27025" s="740"/>
    </row>
    <row r="27026" ht="14.25" customHeight="1">
      <c r="A27026" s="740"/>
    </row>
    <row r="27027" ht="14.25" customHeight="1">
      <c r="A27027" s="740"/>
    </row>
    <row r="27028" ht="14.25" customHeight="1">
      <c r="A27028" s="740"/>
    </row>
    <row r="27029" ht="14.25" customHeight="1">
      <c r="A27029" s="740"/>
    </row>
    <row r="27030" ht="14.25" customHeight="1">
      <c r="A27030" s="740"/>
    </row>
    <row r="27031" ht="14.25" customHeight="1">
      <c r="A27031" s="740"/>
    </row>
    <row r="27032" ht="14.25" customHeight="1">
      <c r="A27032" s="740"/>
    </row>
    <row r="27033" ht="14.25" customHeight="1">
      <c r="A27033" s="740"/>
    </row>
    <row r="27034" ht="14.25" customHeight="1">
      <c r="A27034" s="740"/>
    </row>
    <row r="27035" ht="14.25" customHeight="1">
      <c r="A27035" s="740"/>
    </row>
    <row r="27036" ht="14.25" customHeight="1">
      <c r="A27036" s="740"/>
    </row>
    <row r="27037" ht="14.25" customHeight="1">
      <c r="A27037" s="740"/>
    </row>
    <row r="27038" ht="14.25" customHeight="1">
      <c r="A27038" s="740"/>
    </row>
    <row r="27039" ht="14.25" customHeight="1">
      <c r="A27039" s="740"/>
    </row>
    <row r="27040" ht="14.25" customHeight="1">
      <c r="A27040" s="740"/>
    </row>
    <row r="27041" ht="14.25" customHeight="1">
      <c r="A27041" s="740"/>
    </row>
    <row r="27042" ht="14.25" customHeight="1">
      <c r="A27042" s="740"/>
    </row>
    <row r="27043" ht="14.25" customHeight="1">
      <c r="A27043" s="740"/>
    </row>
    <row r="27044" ht="14.25" customHeight="1">
      <c r="A27044" s="740"/>
    </row>
    <row r="27045" ht="14.25" customHeight="1">
      <c r="A27045" s="740"/>
    </row>
    <row r="27046" ht="14.25" customHeight="1">
      <c r="A27046" s="740"/>
    </row>
    <row r="27047" ht="14.25" customHeight="1">
      <c r="A27047" s="740"/>
    </row>
    <row r="27048" ht="14.25" customHeight="1">
      <c r="A27048" s="740"/>
    </row>
    <row r="27049" ht="14.25" customHeight="1">
      <c r="A27049" s="740"/>
    </row>
    <row r="27050" ht="14.25" customHeight="1">
      <c r="A27050" s="740"/>
    </row>
    <row r="27051" ht="14.25" customHeight="1">
      <c r="A27051" s="740"/>
    </row>
    <row r="27052" ht="14.25" customHeight="1">
      <c r="A27052" s="740"/>
    </row>
    <row r="27053" ht="14.25" customHeight="1">
      <c r="A27053" s="740"/>
    </row>
    <row r="27054" ht="14.25" customHeight="1">
      <c r="A27054" s="740"/>
    </row>
    <row r="27055" ht="14.25" customHeight="1">
      <c r="A27055" s="740"/>
    </row>
    <row r="27056" ht="14.25" customHeight="1">
      <c r="A27056" s="740"/>
    </row>
    <row r="27057" ht="14.25" customHeight="1">
      <c r="A27057" s="740"/>
    </row>
    <row r="27058" ht="14.25" customHeight="1">
      <c r="A27058" s="740"/>
    </row>
    <row r="27059" ht="14.25" customHeight="1">
      <c r="A27059" s="740"/>
    </row>
    <row r="27060" ht="14.25" customHeight="1">
      <c r="A27060" s="740"/>
    </row>
    <row r="27061" ht="14.25" customHeight="1">
      <c r="A27061" s="740"/>
    </row>
    <row r="27062" ht="14.25" customHeight="1">
      <c r="A27062" s="740"/>
    </row>
    <row r="27063" ht="14.25" customHeight="1">
      <c r="A27063" s="740"/>
    </row>
    <row r="27064" ht="14.25" customHeight="1">
      <c r="A27064" s="740"/>
    </row>
    <row r="27065" ht="14.25" customHeight="1">
      <c r="A27065" s="740"/>
    </row>
    <row r="27066" ht="14.25" customHeight="1">
      <c r="A27066" s="740"/>
    </row>
    <row r="27067" ht="14.25" customHeight="1">
      <c r="A27067" s="740"/>
    </row>
    <row r="27068" ht="14.25" customHeight="1">
      <c r="A27068" s="740"/>
    </row>
    <row r="27069" ht="14.25" customHeight="1">
      <c r="A27069" s="740"/>
    </row>
    <row r="27070" ht="14.25" customHeight="1">
      <c r="A27070" s="740"/>
    </row>
    <row r="27071" ht="14.25" customHeight="1">
      <c r="A27071" s="740"/>
    </row>
    <row r="27072" ht="14.25" customHeight="1">
      <c r="A27072" s="740"/>
    </row>
    <row r="27073" ht="14.25" customHeight="1">
      <c r="A27073" s="740"/>
    </row>
    <row r="27074" ht="14.25" customHeight="1">
      <c r="A27074" s="740"/>
    </row>
    <row r="27075" ht="14.25" customHeight="1">
      <c r="A27075" s="740"/>
    </row>
    <row r="27076" ht="14.25" customHeight="1">
      <c r="A27076" s="740"/>
    </row>
    <row r="27077" ht="14.25" customHeight="1">
      <c r="A27077" s="740"/>
    </row>
    <row r="27078" ht="14.25" customHeight="1">
      <c r="A27078" s="740"/>
    </row>
    <row r="27079" ht="14.25" customHeight="1">
      <c r="A27079" s="740"/>
    </row>
    <row r="27080" ht="14.25" customHeight="1">
      <c r="A27080" s="740"/>
    </row>
    <row r="27081" ht="14.25" customHeight="1">
      <c r="A27081" s="740"/>
    </row>
    <row r="27082" ht="14.25" customHeight="1">
      <c r="A27082" s="740"/>
    </row>
    <row r="27083" ht="14.25" customHeight="1">
      <c r="A27083" s="740"/>
    </row>
    <row r="27084" ht="14.25" customHeight="1">
      <c r="A27084" s="740"/>
    </row>
    <row r="27085" ht="14.25" customHeight="1">
      <c r="A27085" s="740"/>
    </row>
    <row r="27086" ht="14.25" customHeight="1">
      <c r="A27086" s="740"/>
    </row>
    <row r="27087" ht="14.25" customHeight="1">
      <c r="A27087" s="740"/>
    </row>
    <row r="27088" ht="14.25" customHeight="1">
      <c r="A27088" s="740"/>
    </row>
    <row r="27089" ht="14.25" customHeight="1">
      <c r="A27089" s="740"/>
    </row>
    <row r="27090" ht="14.25" customHeight="1">
      <c r="A27090" s="740"/>
    </row>
    <row r="27091" ht="14.25" customHeight="1">
      <c r="A27091" s="740"/>
    </row>
    <row r="27092" ht="14.25" customHeight="1">
      <c r="A27092" s="740"/>
    </row>
    <row r="27093" ht="14.25" customHeight="1">
      <c r="A27093" s="740"/>
    </row>
    <row r="27094" ht="14.25" customHeight="1">
      <c r="A27094" s="740"/>
    </row>
    <row r="27095" ht="14.25" customHeight="1">
      <c r="A27095" s="740"/>
    </row>
    <row r="27096" ht="14.25" customHeight="1">
      <c r="A27096" s="740"/>
    </row>
    <row r="27097" ht="14.25" customHeight="1">
      <c r="A27097" s="740"/>
    </row>
    <row r="27098" ht="14.25" customHeight="1">
      <c r="A27098" s="740"/>
    </row>
    <row r="27099" ht="14.25" customHeight="1">
      <c r="A27099" s="740"/>
    </row>
    <row r="27100" ht="14.25" customHeight="1">
      <c r="A27100" s="740"/>
    </row>
    <row r="27101" ht="14.25" customHeight="1">
      <c r="A27101" s="740"/>
    </row>
    <row r="27102" ht="14.25" customHeight="1">
      <c r="A27102" s="740"/>
    </row>
    <row r="27103" ht="14.25" customHeight="1">
      <c r="A27103" s="740"/>
    </row>
    <row r="27104" ht="14.25" customHeight="1">
      <c r="A27104" s="740"/>
    </row>
    <row r="27105" ht="14.25" customHeight="1">
      <c r="A27105" s="740"/>
    </row>
    <row r="27106" ht="14.25" customHeight="1">
      <c r="A27106" s="740"/>
    </row>
    <row r="27107" ht="14.25" customHeight="1">
      <c r="A27107" s="740"/>
    </row>
    <row r="27108" ht="14.25" customHeight="1">
      <c r="A27108" s="740"/>
    </row>
    <row r="27109" ht="14.25" customHeight="1">
      <c r="A27109" s="740"/>
    </row>
    <row r="27110" ht="14.25" customHeight="1">
      <c r="A27110" s="740"/>
    </row>
    <row r="27111" ht="14.25" customHeight="1">
      <c r="A27111" s="740"/>
    </row>
    <row r="27112" ht="14.25" customHeight="1">
      <c r="A27112" s="740"/>
    </row>
    <row r="27113" ht="14.25" customHeight="1">
      <c r="A27113" s="740"/>
    </row>
    <row r="27114" ht="14.25" customHeight="1">
      <c r="A27114" s="740"/>
    </row>
    <row r="27115" ht="14.25" customHeight="1">
      <c r="A27115" s="740"/>
    </row>
    <row r="27116" ht="14.25" customHeight="1">
      <c r="A27116" s="740"/>
    </row>
    <row r="27117" ht="14.25" customHeight="1">
      <c r="A27117" s="740"/>
    </row>
    <row r="27118" ht="14.25" customHeight="1">
      <c r="A27118" s="740"/>
    </row>
    <row r="27119" ht="14.25" customHeight="1">
      <c r="A27119" s="740"/>
    </row>
    <row r="27120" ht="14.25" customHeight="1">
      <c r="A27120" s="740"/>
    </row>
    <row r="27121" ht="14.25" customHeight="1">
      <c r="A27121" s="740"/>
    </row>
    <row r="27122" ht="14.25" customHeight="1">
      <c r="A27122" s="740"/>
    </row>
    <row r="27123" ht="14.25" customHeight="1">
      <c r="A27123" s="740"/>
    </row>
    <row r="27124" ht="14.25" customHeight="1">
      <c r="A27124" s="740"/>
    </row>
    <row r="27125" ht="14.25" customHeight="1">
      <c r="A27125" s="740"/>
    </row>
    <row r="27126" ht="14.25" customHeight="1">
      <c r="A27126" s="740"/>
    </row>
    <row r="27127" ht="14.25" customHeight="1">
      <c r="A27127" s="740"/>
    </row>
    <row r="27128" ht="14.25" customHeight="1">
      <c r="A27128" s="740"/>
    </row>
    <row r="27129" ht="14.25" customHeight="1">
      <c r="A27129" s="740"/>
    </row>
    <row r="27130" ht="14.25" customHeight="1">
      <c r="A27130" s="740"/>
    </row>
    <row r="27131" ht="14.25" customHeight="1">
      <c r="A27131" s="740"/>
    </row>
    <row r="27132" ht="14.25" customHeight="1">
      <c r="A27132" s="740"/>
    </row>
    <row r="27133" ht="14.25" customHeight="1">
      <c r="A27133" s="740"/>
    </row>
    <row r="27134" ht="14.25" customHeight="1">
      <c r="A27134" s="740"/>
    </row>
    <row r="27135" ht="14.25" customHeight="1">
      <c r="A27135" s="740"/>
    </row>
    <row r="27136" ht="14.25" customHeight="1">
      <c r="A27136" s="740"/>
    </row>
    <row r="27137" ht="14.25" customHeight="1">
      <c r="A27137" s="740"/>
    </row>
    <row r="27138" ht="14.25" customHeight="1">
      <c r="A27138" s="740"/>
    </row>
    <row r="27139" ht="14.25" customHeight="1">
      <c r="A27139" s="740"/>
    </row>
    <row r="27140" ht="14.25" customHeight="1">
      <c r="A27140" s="740"/>
    </row>
    <row r="27141" ht="14.25" customHeight="1">
      <c r="A27141" s="740"/>
    </row>
    <row r="27142" ht="14.25" customHeight="1">
      <c r="A27142" s="740"/>
    </row>
    <row r="27143" ht="14.25" customHeight="1">
      <c r="A27143" s="740"/>
    </row>
    <row r="27144" ht="14.25" customHeight="1">
      <c r="A27144" s="740"/>
    </row>
    <row r="27145" ht="14.25" customHeight="1">
      <c r="A27145" s="740"/>
    </row>
    <row r="27146" ht="14.25" customHeight="1">
      <c r="A27146" s="740"/>
    </row>
    <row r="27147" ht="14.25" customHeight="1">
      <c r="A27147" s="740"/>
    </row>
    <row r="27148" ht="14.25" customHeight="1">
      <c r="A27148" s="740"/>
    </row>
    <row r="27149" ht="14.25" customHeight="1">
      <c r="A27149" s="740"/>
    </row>
    <row r="27150" ht="14.25" customHeight="1">
      <c r="A27150" s="740"/>
    </row>
    <row r="27151" ht="14.25" customHeight="1">
      <c r="A27151" s="740"/>
    </row>
    <row r="27152" ht="14.25" customHeight="1">
      <c r="A27152" s="740"/>
    </row>
    <row r="27153" ht="14.25" customHeight="1">
      <c r="A27153" s="740"/>
    </row>
    <row r="27154" ht="14.25" customHeight="1">
      <c r="A27154" s="740"/>
    </row>
    <row r="27155" ht="14.25" customHeight="1">
      <c r="A27155" s="740"/>
    </row>
    <row r="27156" ht="14.25" customHeight="1">
      <c r="A27156" s="740"/>
    </row>
    <row r="27157" ht="14.25" customHeight="1">
      <c r="A27157" s="740"/>
    </row>
    <row r="27158" ht="14.25" customHeight="1">
      <c r="A27158" s="740"/>
    </row>
    <row r="27159" ht="14.25" customHeight="1">
      <c r="A27159" s="740"/>
    </row>
    <row r="27160" ht="14.25" customHeight="1">
      <c r="A27160" s="740"/>
    </row>
    <row r="27161" ht="14.25" customHeight="1">
      <c r="A27161" s="740"/>
    </row>
    <row r="27162" ht="14.25" customHeight="1">
      <c r="A27162" s="740"/>
    </row>
    <row r="27163" ht="14.25" customHeight="1">
      <c r="A27163" s="740"/>
    </row>
    <row r="27164" ht="14.25" customHeight="1">
      <c r="A27164" s="740"/>
    </row>
    <row r="27165" ht="14.25" customHeight="1">
      <c r="A27165" s="740"/>
    </row>
    <row r="27166" ht="14.25" customHeight="1">
      <c r="A27166" s="740"/>
    </row>
    <row r="27167" ht="14.25" customHeight="1">
      <c r="A27167" s="740"/>
    </row>
    <row r="27168" ht="14.25" customHeight="1">
      <c r="A27168" s="740"/>
    </row>
    <row r="27169" ht="14.25" customHeight="1">
      <c r="A27169" s="740"/>
    </row>
    <row r="27170" ht="14.25" customHeight="1">
      <c r="A27170" s="740"/>
    </row>
    <row r="27171" ht="14.25" customHeight="1">
      <c r="A27171" s="740"/>
    </row>
    <row r="27172" ht="14.25" customHeight="1">
      <c r="A27172" s="740"/>
    </row>
    <row r="27173" ht="14.25" customHeight="1">
      <c r="A27173" s="740"/>
    </row>
    <row r="27174" ht="14.25" customHeight="1">
      <c r="A27174" s="740"/>
    </row>
    <row r="27175" ht="14.25" customHeight="1">
      <c r="A27175" s="740"/>
    </row>
    <row r="27176" ht="14.25" customHeight="1">
      <c r="A27176" s="740"/>
    </row>
    <row r="27177" ht="14.25" customHeight="1">
      <c r="A27177" s="740"/>
    </row>
    <row r="27178" ht="14.25" customHeight="1">
      <c r="A27178" s="740"/>
    </row>
    <row r="27179" ht="14.25" customHeight="1">
      <c r="A27179" s="740"/>
    </row>
    <row r="27180" ht="14.25" customHeight="1">
      <c r="A27180" s="740"/>
    </row>
    <row r="27181" ht="14.25" customHeight="1">
      <c r="A27181" s="740"/>
    </row>
    <row r="27182" ht="14.25" customHeight="1">
      <c r="A27182" s="740"/>
    </row>
    <row r="27183" ht="14.25" customHeight="1">
      <c r="A27183" s="740"/>
    </row>
    <row r="27184" ht="14.25" customHeight="1">
      <c r="A27184" s="740"/>
    </row>
    <row r="27185" ht="14.25" customHeight="1">
      <c r="A27185" s="740"/>
    </row>
    <row r="27186" ht="14.25" customHeight="1">
      <c r="A27186" s="740"/>
    </row>
    <row r="27187" ht="14.25" customHeight="1">
      <c r="A27187" s="740"/>
    </row>
    <row r="27188" ht="14.25" customHeight="1">
      <c r="A27188" s="740"/>
    </row>
    <row r="27189" ht="14.25" customHeight="1">
      <c r="A27189" s="740"/>
    </row>
    <row r="27190" ht="14.25" customHeight="1">
      <c r="A27190" s="740"/>
    </row>
    <row r="27191" ht="14.25" customHeight="1">
      <c r="A27191" s="740"/>
    </row>
    <row r="27192" ht="14.25" customHeight="1">
      <c r="A27192" s="740"/>
    </row>
    <row r="27193" ht="14.25" customHeight="1">
      <c r="A27193" s="740"/>
    </row>
    <row r="27194" ht="14.25" customHeight="1">
      <c r="A27194" s="740"/>
    </row>
    <row r="27195" ht="14.25" customHeight="1">
      <c r="A27195" s="740"/>
    </row>
    <row r="27196" ht="14.25" customHeight="1">
      <c r="A27196" s="740"/>
    </row>
    <row r="27197" ht="14.25" customHeight="1">
      <c r="A27197" s="740"/>
    </row>
    <row r="27198" ht="14.25" customHeight="1">
      <c r="A27198" s="740"/>
    </row>
    <row r="27199" ht="14.25" customHeight="1">
      <c r="A27199" s="740"/>
    </row>
    <row r="27200" ht="14.25" customHeight="1">
      <c r="A27200" s="740"/>
    </row>
    <row r="27201" ht="14.25" customHeight="1">
      <c r="A27201" s="740"/>
    </row>
    <row r="27202" ht="14.25" customHeight="1">
      <c r="A27202" s="740"/>
    </row>
    <row r="27203" ht="14.25" customHeight="1">
      <c r="A27203" s="740"/>
    </row>
    <row r="27204" ht="14.25" customHeight="1">
      <c r="A27204" s="740"/>
    </row>
    <row r="27205" ht="14.25" customHeight="1">
      <c r="A27205" s="740"/>
    </row>
    <row r="27206" ht="14.25" customHeight="1">
      <c r="A27206" s="740"/>
    </row>
    <row r="27207" ht="14.25" customHeight="1">
      <c r="A27207" s="740"/>
    </row>
    <row r="27208" ht="14.25" customHeight="1">
      <c r="A27208" s="740"/>
    </row>
    <row r="27209" ht="14.25" customHeight="1">
      <c r="A27209" s="740"/>
    </row>
    <row r="27210" ht="14.25" customHeight="1">
      <c r="A27210" s="740"/>
    </row>
    <row r="27211" ht="14.25" customHeight="1">
      <c r="A27211" s="740"/>
    </row>
    <row r="27212" ht="14.25" customHeight="1">
      <c r="A27212" s="740"/>
    </row>
    <row r="27213" ht="14.25" customHeight="1">
      <c r="A27213" s="740"/>
    </row>
    <row r="27214" ht="14.25" customHeight="1">
      <c r="A27214" s="740"/>
    </row>
    <row r="27215" ht="14.25" customHeight="1">
      <c r="A27215" s="740"/>
    </row>
    <row r="27216" ht="14.25" customHeight="1">
      <c r="A27216" s="740"/>
    </row>
    <row r="27217" ht="14.25" customHeight="1">
      <c r="A27217" s="740"/>
    </row>
    <row r="27218" ht="14.25" customHeight="1">
      <c r="A27218" s="740"/>
    </row>
    <row r="27219" ht="14.25" customHeight="1">
      <c r="A27219" s="740"/>
    </row>
    <row r="27220" ht="14.25" customHeight="1">
      <c r="A27220" s="740"/>
    </row>
    <row r="27221" ht="14.25" customHeight="1">
      <c r="A27221" s="740"/>
    </row>
    <row r="27222" ht="14.25" customHeight="1">
      <c r="A27222" s="740"/>
    </row>
    <row r="27223" ht="14.25" customHeight="1">
      <c r="A27223" s="740"/>
    </row>
    <row r="27224" ht="14.25" customHeight="1">
      <c r="A27224" s="740"/>
    </row>
    <row r="27225" ht="14.25" customHeight="1">
      <c r="A27225" s="740"/>
    </row>
    <row r="27226" ht="14.25" customHeight="1">
      <c r="A27226" s="740"/>
    </row>
    <row r="27227" ht="14.25" customHeight="1">
      <c r="A27227" s="740"/>
    </row>
    <row r="27228" ht="14.25" customHeight="1">
      <c r="A27228" s="740"/>
    </row>
    <row r="27229" ht="14.25" customHeight="1">
      <c r="A27229" s="740"/>
    </row>
    <row r="27230" ht="14.25" customHeight="1">
      <c r="A27230" s="740"/>
    </row>
    <row r="27231" ht="14.25" customHeight="1">
      <c r="A27231" s="740"/>
    </row>
    <row r="27232" ht="14.25" customHeight="1">
      <c r="A27232" s="740"/>
    </row>
    <row r="27233" ht="14.25" customHeight="1">
      <c r="A27233" s="740"/>
    </row>
    <row r="27234" ht="14.25" customHeight="1">
      <c r="A27234" s="740"/>
    </row>
    <row r="27235" ht="14.25" customHeight="1">
      <c r="A27235" s="740"/>
    </row>
    <row r="27236" ht="14.25" customHeight="1">
      <c r="A27236" s="740"/>
    </row>
    <row r="27237" ht="14.25" customHeight="1">
      <c r="A27237" s="740"/>
    </row>
    <row r="27238" ht="14.25" customHeight="1">
      <c r="A27238" s="740"/>
    </row>
    <row r="27239" ht="14.25" customHeight="1">
      <c r="A27239" s="740"/>
    </row>
    <row r="27240" ht="14.25" customHeight="1">
      <c r="A27240" s="740"/>
    </row>
    <row r="27241" ht="14.25" customHeight="1">
      <c r="A27241" s="740"/>
    </row>
    <row r="27242" ht="14.25" customHeight="1">
      <c r="A27242" s="740"/>
    </row>
    <row r="27243" ht="14.25" customHeight="1">
      <c r="A27243" s="740"/>
    </row>
    <row r="27244" ht="14.25" customHeight="1">
      <c r="A27244" s="740"/>
    </row>
    <row r="27245" ht="14.25" customHeight="1">
      <c r="A27245" s="740"/>
    </row>
    <row r="27246" ht="14.25" customHeight="1">
      <c r="A27246" s="740"/>
    </row>
    <row r="27247" ht="14.25" customHeight="1">
      <c r="A27247" s="740"/>
    </row>
    <row r="27248" ht="14.25" customHeight="1">
      <c r="A27248" s="740"/>
    </row>
    <row r="27249" ht="14.25" customHeight="1">
      <c r="A27249" s="740"/>
    </row>
    <row r="27250" ht="14.25" customHeight="1">
      <c r="A27250" s="740"/>
    </row>
    <row r="27251" ht="14.25" customHeight="1">
      <c r="A27251" s="740"/>
    </row>
    <row r="27252" ht="14.25" customHeight="1">
      <c r="A27252" s="740"/>
    </row>
    <row r="27253" ht="14.25" customHeight="1">
      <c r="A27253" s="740"/>
    </row>
    <row r="27254" ht="14.25" customHeight="1">
      <c r="A27254" s="740"/>
    </row>
    <row r="27255" ht="14.25" customHeight="1">
      <c r="A27255" s="740"/>
    </row>
    <row r="27256" ht="14.25" customHeight="1">
      <c r="A27256" s="740"/>
    </row>
    <row r="27257" ht="14.25" customHeight="1">
      <c r="A27257" s="740"/>
    </row>
    <row r="27258" ht="14.25" customHeight="1">
      <c r="A27258" s="740"/>
    </row>
    <row r="27259" ht="14.25" customHeight="1">
      <c r="A27259" s="740"/>
    </row>
    <row r="27260" ht="14.25" customHeight="1">
      <c r="A27260" s="740"/>
    </row>
    <row r="27261" ht="14.25" customHeight="1">
      <c r="A27261" s="740"/>
    </row>
    <row r="27262" ht="14.25" customHeight="1">
      <c r="A27262" s="740"/>
    </row>
    <row r="27263" ht="14.25" customHeight="1">
      <c r="A27263" s="740"/>
    </row>
    <row r="27264" ht="14.25" customHeight="1">
      <c r="A27264" s="740"/>
    </row>
    <row r="27265" ht="14.25" customHeight="1">
      <c r="A27265" s="740"/>
    </row>
    <row r="27266" ht="14.25" customHeight="1">
      <c r="A27266" s="740"/>
    </row>
    <row r="27267" ht="14.25" customHeight="1">
      <c r="A27267" s="740"/>
    </row>
    <row r="27268" ht="14.25" customHeight="1">
      <c r="A27268" s="740"/>
    </row>
    <row r="27269" ht="14.25" customHeight="1">
      <c r="A27269" s="740"/>
    </row>
    <row r="27270" ht="14.25" customHeight="1">
      <c r="A27270" s="740"/>
    </row>
    <row r="27271" ht="14.25" customHeight="1">
      <c r="A27271" s="740"/>
    </row>
    <row r="27272" ht="14.25" customHeight="1">
      <c r="A27272" s="740"/>
    </row>
    <row r="27273" ht="14.25" customHeight="1">
      <c r="A27273" s="740"/>
    </row>
    <row r="27274" ht="14.25" customHeight="1">
      <c r="A27274" s="740"/>
    </row>
    <row r="27275" ht="14.25" customHeight="1">
      <c r="A27275" s="740"/>
    </row>
    <row r="27276" ht="14.25" customHeight="1">
      <c r="A27276" s="740"/>
    </row>
    <row r="27277" ht="14.25" customHeight="1">
      <c r="A27277" s="740"/>
    </row>
    <row r="27278" ht="14.25" customHeight="1">
      <c r="A27278" s="740"/>
    </row>
    <row r="27279" ht="14.25" customHeight="1">
      <c r="A27279" s="740"/>
    </row>
    <row r="27280" ht="14.25" customHeight="1">
      <c r="A27280" s="740"/>
    </row>
    <row r="27281" ht="14.25" customHeight="1">
      <c r="A27281" s="740"/>
    </row>
    <row r="27282" ht="14.25" customHeight="1">
      <c r="A27282" s="740"/>
    </row>
    <row r="27283" ht="14.25" customHeight="1">
      <c r="A27283" s="740"/>
    </row>
    <row r="27284" ht="14.25" customHeight="1">
      <c r="A27284" s="740"/>
    </row>
    <row r="27285" ht="14.25" customHeight="1">
      <c r="A27285" s="740"/>
    </row>
    <row r="27286" ht="14.25" customHeight="1">
      <c r="A27286" s="740"/>
    </row>
    <row r="27287" ht="14.25" customHeight="1">
      <c r="A27287" s="740"/>
    </row>
    <row r="27288" ht="14.25" customHeight="1">
      <c r="A27288" s="740"/>
    </row>
    <row r="27289" ht="14.25" customHeight="1">
      <c r="A27289" s="740"/>
    </row>
    <row r="27290" ht="14.25" customHeight="1">
      <c r="A27290" s="740"/>
    </row>
    <row r="27291" ht="14.25" customHeight="1">
      <c r="A27291" s="740"/>
    </row>
    <row r="27292" ht="14.25" customHeight="1">
      <c r="A27292" s="740"/>
    </row>
    <row r="27293" ht="14.25" customHeight="1">
      <c r="A27293" s="740"/>
    </row>
    <row r="27294" ht="14.25" customHeight="1">
      <c r="A27294" s="740"/>
    </row>
    <row r="27295" ht="14.25" customHeight="1">
      <c r="A27295" s="740"/>
    </row>
    <row r="27296" ht="14.25" customHeight="1">
      <c r="A27296" s="740"/>
    </row>
    <row r="27297" ht="14.25" customHeight="1">
      <c r="A27297" s="740"/>
    </row>
    <row r="27298" ht="14.25" customHeight="1">
      <c r="A27298" s="740"/>
    </row>
    <row r="27299" ht="14.25" customHeight="1">
      <c r="A27299" s="740"/>
    </row>
    <row r="27300" ht="14.25" customHeight="1">
      <c r="A27300" s="740"/>
    </row>
    <row r="27301" ht="14.25" customHeight="1">
      <c r="A27301" s="740"/>
    </row>
    <row r="27302" ht="14.25" customHeight="1">
      <c r="A27302" s="740"/>
    </row>
    <row r="27303" ht="14.25" customHeight="1">
      <c r="A27303" s="740"/>
    </row>
    <row r="27304" ht="14.25" customHeight="1">
      <c r="A27304" s="740"/>
    </row>
    <row r="27305" ht="14.25" customHeight="1">
      <c r="A27305" s="740"/>
    </row>
    <row r="27306" ht="14.25" customHeight="1">
      <c r="A27306" s="740"/>
    </row>
    <row r="27307" ht="14.25" customHeight="1">
      <c r="A27307" s="740"/>
    </row>
    <row r="27308" ht="14.25" customHeight="1">
      <c r="A27308" s="740"/>
    </row>
    <row r="27309" ht="14.25" customHeight="1">
      <c r="A27309" s="740"/>
    </row>
    <row r="27310" ht="14.25" customHeight="1">
      <c r="A27310" s="740"/>
    </row>
    <row r="27311" ht="14.25" customHeight="1">
      <c r="A27311" s="740"/>
    </row>
    <row r="27312" ht="14.25" customHeight="1">
      <c r="A27312" s="740"/>
    </row>
    <row r="27313" ht="14.25" customHeight="1">
      <c r="A27313" s="740"/>
    </row>
    <row r="27314" ht="14.25" customHeight="1">
      <c r="A27314" s="740"/>
    </row>
    <row r="27315" ht="14.25" customHeight="1">
      <c r="A27315" s="740"/>
    </row>
    <row r="27316" ht="14.25" customHeight="1">
      <c r="A27316" s="740"/>
    </row>
    <row r="27317" ht="14.25" customHeight="1">
      <c r="A27317" s="740"/>
    </row>
    <row r="27318" ht="14.25" customHeight="1">
      <c r="A27318" s="740"/>
    </row>
    <row r="27319" ht="14.25" customHeight="1">
      <c r="A27319" s="740"/>
    </row>
    <row r="27320" ht="14.25" customHeight="1">
      <c r="A27320" s="740"/>
    </row>
    <row r="27321" ht="14.25" customHeight="1">
      <c r="A27321" s="740"/>
    </row>
    <row r="27322" ht="14.25" customHeight="1">
      <c r="A27322" s="740"/>
    </row>
    <row r="27323" ht="14.25" customHeight="1">
      <c r="A27323" s="740"/>
    </row>
    <row r="27324" ht="14.25" customHeight="1">
      <c r="A27324" s="740"/>
    </row>
    <row r="27325" ht="14.25" customHeight="1">
      <c r="A27325" s="740"/>
    </row>
    <row r="27326" ht="14.25" customHeight="1">
      <c r="A27326" s="740"/>
    </row>
    <row r="27327" ht="14.25" customHeight="1">
      <c r="A27327" s="740"/>
    </row>
    <row r="27328" ht="14.25" customHeight="1">
      <c r="A27328" s="740"/>
    </row>
    <row r="27329" ht="14.25" customHeight="1">
      <c r="A27329" s="740"/>
    </row>
    <row r="27330" ht="14.25" customHeight="1">
      <c r="A27330" s="740"/>
    </row>
    <row r="27331" ht="14.25" customHeight="1">
      <c r="A27331" s="740"/>
    </row>
    <row r="27332" ht="14.25" customHeight="1">
      <c r="A27332" s="740"/>
    </row>
    <row r="27333" ht="14.25" customHeight="1">
      <c r="A27333" s="740"/>
    </row>
    <row r="27334" ht="14.25" customHeight="1">
      <c r="A27334" s="740"/>
    </row>
    <row r="27335" ht="14.25" customHeight="1">
      <c r="A27335" s="740"/>
    </row>
    <row r="27336" ht="14.25" customHeight="1">
      <c r="A27336" s="740"/>
    </row>
    <row r="27337" ht="14.25" customHeight="1">
      <c r="A27337" s="740"/>
    </row>
    <row r="27338" ht="14.25" customHeight="1">
      <c r="A27338" s="740"/>
    </row>
    <row r="27339" ht="14.25" customHeight="1">
      <c r="A27339" s="740"/>
    </row>
    <row r="27340" ht="14.25" customHeight="1">
      <c r="A27340" s="740"/>
    </row>
    <row r="27341" ht="14.25" customHeight="1">
      <c r="A27341" s="740"/>
    </row>
    <row r="27342" ht="14.25" customHeight="1">
      <c r="A27342" s="740"/>
    </row>
    <row r="27343" ht="14.25" customHeight="1">
      <c r="A27343" s="740"/>
    </row>
    <row r="27344" ht="14.25" customHeight="1">
      <c r="A27344" s="740"/>
    </row>
    <row r="27345" ht="14.25" customHeight="1">
      <c r="A27345" s="740"/>
    </row>
    <row r="27346" ht="14.25" customHeight="1">
      <c r="A27346" s="740"/>
    </row>
    <row r="27347" ht="14.25" customHeight="1">
      <c r="A27347" s="740"/>
    </row>
    <row r="27348" ht="14.25" customHeight="1">
      <c r="A27348" s="740"/>
    </row>
    <row r="27349" ht="14.25" customHeight="1">
      <c r="A27349" s="740"/>
    </row>
    <row r="27350" ht="14.25" customHeight="1">
      <c r="A27350" s="740"/>
    </row>
    <row r="27351" ht="14.25" customHeight="1">
      <c r="A27351" s="740"/>
    </row>
    <row r="27352" ht="14.25" customHeight="1">
      <c r="A27352" s="740"/>
    </row>
    <row r="27353" ht="14.25" customHeight="1">
      <c r="A27353" s="740"/>
    </row>
    <row r="27354" ht="14.25" customHeight="1">
      <c r="A27354" s="740"/>
    </row>
    <row r="27355" ht="14.25" customHeight="1">
      <c r="A27355" s="740"/>
    </row>
    <row r="27356" ht="14.25" customHeight="1">
      <c r="A27356" s="740"/>
    </row>
    <row r="27357" ht="14.25" customHeight="1">
      <c r="A27357" s="740"/>
    </row>
    <row r="27358" ht="14.25" customHeight="1">
      <c r="A27358" s="740"/>
    </row>
    <row r="27359" ht="14.25" customHeight="1">
      <c r="A27359" s="740"/>
    </row>
    <row r="27360" ht="14.25" customHeight="1">
      <c r="A27360" s="740"/>
    </row>
    <row r="27361" ht="14.25" customHeight="1">
      <c r="A27361" s="740"/>
    </row>
    <row r="27362" ht="14.25" customHeight="1">
      <c r="A27362" s="740"/>
    </row>
    <row r="27363" ht="14.25" customHeight="1">
      <c r="A27363" s="740"/>
    </row>
    <row r="27364" ht="14.25" customHeight="1">
      <c r="A27364" s="740"/>
    </row>
    <row r="27365" ht="14.25" customHeight="1">
      <c r="A27365" s="740"/>
    </row>
    <row r="27366" ht="14.25" customHeight="1">
      <c r="A27366" s="740"/>
    </row>
    <row r="27367" ht="14.25" customHeight="1">
      <c r="A27367" s="740"/>
    </row>
    <row r="27368" ht="14.25" customHeight="1">
      <c r="A27368" s="740"/>
    </row>
    <row r="27369" ht="14.25" customHeight="1">
      <c r="A27369" s="740"/>
    </row>
    <row r="27370" ht="14.25" customHeight="1">
      <c r="A27370" s="740"/>
    </row>
    <row r="27371" ht="14.25" customHeight="1">
      <c r="A27371" s="740"/>
    </row>
    <row r="27372" ht="14.25" customHeight="1">
      <c r="A27372" s="740"/>
    </row>
    <row r="27373" ht="14.25" customHeight="1">
      <c r="A27373" s="740"/>
    </row>
    <row r="27374" ht="14.25" customHeight="1">
      <c r="A27374" s="740"/>
    </row>
    <row r="27375" ht="14.25" customHeight="1">
      <c r="A27375" s="740"/>
    </row>
    <row r="27376" ht="14.25" customHeight="1">
      <c r="A27376" s="740"/>
    </row>
    <row r="27377" ht="14.25" customHeight="1">
      <c r="A27377" s="740"/>
    </row>
    <row r="27378" ht="14.25" customHeight="1">
      <c r="A27378" s="740"/>
    </row>
    <row r="27379" ht="14.25" customHeight="1">
      <c r="A27379" s="740"/>
    </row>
    <row r="27380" ht="14.25" customHeight="1">
      <c r="A27380" s="740"/>
    </row>
    <row r="27381" ht="14.25" customHeight="1">
      <c r="A27381" s="740"/>
    </row>
    <row r="27382" ht="14.25" customHeight="1">
      <c r="A27382" s="740"/>
    </row>
    <row r="27383" ht="14.25" customHeight="1">
      <c r="A27383" s="740"/>
    </row>
    <row r="27384" ht="14.25" customHeight="1">
      <c r="A27384" s="740"/>
    </row>
    <row r="27385" ht="14.25" customHeight="1">
      <c r="A27385" s="740"/>
    </row>
    <row r="27386" ht="14.25" customHeight="1">
      <c r="A27386" s="740"/>
    </row>
    <row r="27387" ht="14.25" customHeight="1">
      <c r="A27387" s="740"/>
    </row>
    <row r="27388" ht="14.25" customHeight="1">
      <c r="A27388" s="740"/>
    </row>
    <row r="27389" ht="14.25" customHeight="1">
      <c r="A27389" s="740"/>
    </row>
    <row r="27390" ht="14.25" customHeight="1">
      <c r="A27390" s="740"/>
    </row>
    <row r="27391" ht="14.25" customHeight="1">
      <c r="A27391" s="740"/>
    </row>
    <row r="27392" ht="14.25" customHeight="1">
      <c r="A27392" s="740"/>
    </row>
    <row r="27393" ht="14.25" customHeight="1">
      <c r="A27393" s="740"/>
    </row>
    <row r="27394" ht="14.25" customHeight="1">
      <c r="A27394" s="740"/>
    </row>
    <row r="27395" ht="14.25" customHeight="1">
      <c r="A27395" s="740"/>
    </row>
    <row r="27396" ht="14.25" customHeight="1">
      <c r="A27396" s="740"/>
    </row>
    <row r="27397" ht="14.25" customHeight="1">
      <c r="A27397" s="740"/>
    </row>
    <row r="27398" ht="14.25" customHeight="1">
      <c r="A27398" s="740"/>
    </row>
    <row r="27399" ht="14.25" customHeight="1">
      <c r="A27399" s="740"/>
    </row>
    <row r="27400" ht="14.25" customHeight="1">
      <c r="A27400" s="740"/>
    </row>
    <row r="27401" ht="14.25" customHeight="1">
      <c r="A27401" s="740"/>
    </row>
    <row r="27402" ht="14.25" customHeight="1">
      <c r="A27402" s="740"/>
    </row>
    <row r="27403" ht="14.25" customHeight="1">
      <c r="A27403" s="740"/>
    </row>
    <row r="27404" ht="14.25" customHeight="1">
      <c r="A27404" s="740"/>
    </row>
    <row r="27405" ht="14.25" customHeight="1">
      <c r="A27405" s="740"/>
    </row>
    <row r="27406" ht="14.25" customHeight="1">
      <c r="A27406" s="740"/>
    </row>
    <row r="27407" ht="14.25" customHeight="1">
      <c r="A27407" s="740"/>
    </row>
    <row r="27408" ht="14.25" customHeight="1">
      <c r="A27408" s="740"/>
    </row>
    <row r="27409" ht="14.25" customHeight="1">
      <c r="A27409" s="740"/>
    </row>
    <row r="27410" ht="14.25" customHeight="1">
      <c r="A27410" s="740"/>
    </row>
    <row r="27411" ht="14.25" customHeight="1">
      <c r="A27411" s="740"/>
    </row>
    <row r="27412" ht="14.25" customHeight="1">
      <c r="A27412" s="740"/>
    </row>
    <row r="27413" ht="14.25" customHeight="1">
      <c r="A27413" s="740"/>
    </row>
    <row r="27414" ht="14.25" customHeight="1">
      <c r="A27414" s="740"/>
    </row>
    <row r="27415" ht="14.25" customHeight="1">
      <c r="A27415" s="740"/>
    </row>
    <row r="27416" ht="14.25" customHeight="1">
      <c r="A27416" s="740"/>
    </row>
    <row r="27417" ht="14.25" customHeight="1">
      <c r="A27417" s="740"/>
    </row>
    <row r="27418" ht="14.25" customHeight="1">
      <c r="A27418" s="740"/>
    </row>
    <row r="27419" ht="14.25" customHeight="1">
      <c r="A27419" s="740"/>
    </row>
    <row r="27420" ht="14.25" customHeight="1">
      <c r="A27420" s="740"/>
    </row>
    <row r="27421" ht="14.25" customHeight="1">
      <c r="A27421" s="740"/>
    </row>
    <row r="27422" ht="14.25" customHeight="1">
      <c r="A27422" s="740"/>
    </row>
    <row r="27423" ht="14.25" customHeight="1">
      <c r="A27423" s="740"/>
    </row>
    <row r="27424" ht="14.25" customHeight="1">
      <c r="A27424" s="740"/>
    </row>
    <row r="27425" ht="14.25" customHeight="1">
      <c r="A27425" s="740"/>
    </row>
    <row r="27426" ht="14.25" customHeight="1">
      <c r="A27426" s="740"/>
    </row>
    <row r="27427" ht="14.25" customHeight="1">
      <c r="A27427" s="740"/>
    </row>
    <row r="27428" ht="14.25" customHeight="1">
      <c r="A27428" s="740"/>
    </row>
    <row r="27429" ht="14.25" customHeight="1">
      <c r="A27429" s="740"/>
    </row>
    <row r="27430" ht="14.25" customHeight="1">
      <c r="A27430" s="740"/>
    </row>
    <row r="27431" ht="14.25" customHeight="1">
      <c r="A27431" s="740"/>
    </row>
    <row r="27432" ht="14.25" customHeight="1">
      <c r="A27432" s="740"/>
    </row>
    <row r="27433" ht="14.25" customHeight="1">
      <c r="A27433" s="740"/>
    </row>
    <row r="27434" ht="14.25" customHeight="1">
      <c r="A27434" s="740"/>
    </row>
    <row r="27435" ht="14.25" customHeight="1">
      <c r="A27435" s="740"/>
    </row>
    <row r="27436" ht="14.25" customHeight="1">
      <c r="A27436" s="740"/>
    </row>
    <row r="27437" ht="14.25" customHeight="1">
      <c r="A27437" s="740"/>
    </row>
    <row r="27438" ht="14.25" customHeight="1">
      <c r="A27438" s="740"/>
    </row>
    <row r="27439" ht="14.25" customHeight="1">
      <c r="A27439" s="740"/>
    </row>
    <row r="27440" ht="14.25" customHeight="1">
      <c r="A27440" s="740"/>
    </row>
    <row r="27441" ht="14.25" customHeight="1">
      <c r="A27441" s="740"/>
    </row>
    <row r="27442" ht="14.25" customHeight="1">
      <c r="A27442" s="740"/>
    </row>
    <row r="27443" ht="14.25" customHeight="1">
      <c r="A27443" s="740"/>
    </row>
    <row r="27444" ht="14.25" customHeight="1">
      <c r="A27444" s="740"/>
    </row>
    <row r="27445" ht="14.25" customHeight="1">
      <c r="A27445" s="740"/>
    </row>
    <row r="27446" ht="14.25" customHeight="1">
      <c r="A27446" s="740"/>
    </row>
    <row r="27447" ht="14.25" customHeight="1">
      <c r="A27447" s="740"/>
    </row>
    <row r="27448" ht="14.25" customHeight="1">
      <c r="A27448" s="740"/>
    </row>
    <row r="27449" ht="14.25" customHeight="1">
      <c r="A27449" s="740"/>
    </row>
    <row r="27450" ht="14.25" customHeight="1">
      <c r="A27450" s="740"/>
    </row>
    <row r="27451" ht="14.25" customHeight="1">
      <c r="A27451" s="740"/>
    </row>
    <row r="27452" ht="14.25" customHeight="1">
      <c r="A27452" s="740"/>
    </row>
    <row r="27453" ht="14.25" customHeight="1">
      <c r="A27453" s="740"/>
    </row>
    <row r="27454" ht="14.25" customHeight="1">
      <c r="A27454" s="740"/>
    </row>
    <row r="27455" ht="14.25" customHeight="1">
      <c r="A27455" s="740"/>
    </row>
    <row r="27456" ht="14.25" customHeight="1">
      <c r="A27456" s="740"/>
    </row>
    <row r="27457" ht="14.25" customHeight="1">
      <c r="A27457" s="740"/>
    </row>
    <row r="27458" ht="14.25" customHeight="1">
      <c r="A27458" s="740"/>
    </row>
    <row r="27459" ht="14.25" customHeight="1">
      <c r="A27459" s="740"/>
    </row>
    <row r="27460" ht="14.25" customHeight="1">
      <c r="A27460" s="740"/>
    </row>
    <row r="27461" ht="14.25" customHeight="1">
      <c r="A27461" s="740"/>
    </row>
    <row r="27462" ht="14.25" customHeight="1">
      <c r="A27462" s="740"/>
    </row>
    <row r="27463" ht="14.25" customHeight="1">
      <c r="A27463" s="740"/>
    </row>
    <row r="27464" ht="14.25" customHeight="1">
      <c r="A27464" s="740"/>
    </row>
    <row r="27465" ht="14.25" customHeight="1">
      <c r="A27465" s="740"/>
    </row>
    <row r="27466" ht="14.25" customHeight="1">
      <c r="A27466" s="740"/>
    </row>
    <row r="27467" ht="14.25" customHeight="1">
      <c r="A27467" s="740"/>
    </row>
    <row r="27468" ht="14.25" customHeight="1">
      <c r="A27468" s="740"/>
    </row>
    <row r="27469" ht="14.25" customHeight="1">
      <c r="A27469" s="740"/>
    </row>
    <row r="27470" ht="14.25" customHeight="1">
      <c r="A27470" s="740"/>
    </row>
    <row r="27471" ht="14.25" customHeight="1">
      <c r="A27471" s="740"/>
    </row>
    <row r="27472" ht="14.25" customHeight="1">
      <c r="A27472" s="740"/>
    </row>
    <row r="27473" ht="14.25" customHeight="1">
      <c r="A27473" s="740"/>
    </row>
    <row r="27474" ht="14.25" customHeight="1">
      <c r="A27474" s="740"/>
    </row>
    <row r="27475" ht="14.25" customHeight="1">
      <c r="A27475" s="740"/>
    </row>
    <row r="27476" ht="14.25" customHeight="1">
      <c r="A27476" s="740"/>
    </row>
    <row r="27477" ht="14.25" customHeight="1">
      <c r="A27477" s="740"/>
    </row>
    <row r="27478" ht="14.25" customHeight="1">
      <c r="A27478" s="740"/>
    </row>
    <row r="27479" ht="14.25" customHeight="1">
      <c r="A27479" s="740"/>
    </row>
    <row r="27480" ht="14.25" customHeight="1">
      <c r="A27480" s="740"/>
    </row>
    <row r="27481" ht="14.25" customHeight="1">
      <c r="A27481" s="740"/>
    </row>
    <row r="27482" ht="14.25" customHeight="1">
      <c r="A27482" s="740"/>
    </row>
    <row r="27483" ht="14.25" customHeight="1">
      <c r="A27483" s="740"/>
    </row>
    <row r="27484" ht="14.25" customHeight="1">
      <c r="A27484" s="740"/>
    </row>
    <row r="27485" ht="14.25" customHeight="1">
      <c r="A27485" s="740"/>
    </row>
    <row r="27486" ht="14.25" customHeight="1">
      <c r="A27486" s="740"/>
    </row>
    <row r="27487" ht="14.25" customHeight="1">
      <c r="A27487" s="740"/>
    </row>
    <row r="27488" ht="14.25" customHeight="1">
      <c r="A27488" s="740"/>
    </row>
    <row r="27489" ht="14.25" customHeight="1">
      <c r="A27489" s="740"/>
    </row>
    <row r="27490" ht="14.25" customHeight="1">
      <c r="A27490" s="740"/>
    </row>
    <row r="27491" ht="14.25" customHeight="1">
      <c r="A27491" s="740"/>
    </row>
    <row r="27492" ht="14.25" customHeight="1">
      <c r="A27492" s="740"/>
    </row>
    <row r="27493" ht="14.25" customHeight="1">
      <c r="A27493" s="740"/>
    </row>
    <row r="27494" ht="14.25" customHeight="1">
      <c r="A27494" s="740"/>
    </row>
    <row r="27495" ht="14.25" customHeight="1">
      <c r="A27495" s="740"/>
    </row>
    <row r="27496" ht="14.25" customHeight="1">
      <c r="A27496" s="740"/>
    </row>
    <row r="27497" ht="14.25" customHeight="1">
      <c r="A27497" s="740"/>
    </row>
    <row r="27498" ht="14.25" customHeight="1">
      <c r="A27498" s="740"/>
    </row>
    <row r="27499" ht="14.25" customHeight="1">
      <c r="A27499" s="740"/>
    </row>
    <row r="27500" ht="14.25" customHeight="1">
      <c r="A27500" s="740"/>
    </row>
    <row r="27501" ht="14.25" customHeight="1">
      <c r="A27501" s="740"/>
    </row>
    <row r="27502" ht="14.25" customHeight="1">
      <c r="A27502" s="740"/>
    </row>
    <row r="27503" ht="14.25" customHeight="1">
      <c r="A27503" s="740"/>
    </row>
    <row r="27504" ht="14.25" customHeight="1">
      <c r="A27504" s="740"/>
    </row>
    <row r="27505" ht="14.25" customHeight="1">
      <c r="A27505" s="740"/>
    </row>
    <row r="27506" ht="14.25" customHeight="1">
      <c r="A27506" s="740"/>
    </row>
    <row r="27507" ht="14.25" customHeight="1">
      <c r="A27507" s="740"/>
    </row>
    <row r="27508" ht="14.25" customHeight="1">
      <c r="A27508" s="740"/>
    </row>
    <row r="27509" ht="14.25" customHeight="1">
      <c r="A27509" s="740"/>
    </row>
    <row r="27510" ht="14.25" customHeight="1">
      <c r="A27510" s="740"/>
    </row>
    <row r="27511" ht="14.25" customHeight="1">
      <c r="A27511" s="740"/>
    </row>
    <row r="27512" ht="14.25" customHeight="1">
      <c r="A27512" s="740"/>
    </row>
    <row r="27513" ht="14.25" customHeight="1">
      <c r="A27513" s="740"/>
    </row>
    <row r="27514" ht="14.25" customHeight="1">
      <c r="A27514" s="740"/>
    </row>
    <row r="27515" ht="14.25" customHeight="1">
      <c r="A27515" s="740"/>
    </row>
    <row r="27516" ht="14.25" customHeight="1">
      <c r="A27516" s="740"/>
    </row>
    <row r="27517" ht="14.25" customHeight="1">
      <c r="A27517" s="740"/>
    </row>
    <row r="27518" ht="14.25" customHeight="1">
      <c r="A27518" s="740"/>
    </row>
    <row r="27519" ht="14.25" customHeight="1">
      <c r="A27519" s="740"/>
    </row>
    <row r="27520" ht="14.25" customHeight="1">
      <c r="A27520" s="740"/>
    </row>
    <row r="27521" ht="14.25" customHeight="1">
      <c r="A27521" s="740"/>
    </row>
    <row r="27522" ht="14.25" customHeight="1">
      <c r="A27522" s="740"/>
    </row>
    <row r="27523" ht="14.25" customHeight="1">
      <c r="A27523" s="740"/>
    </row>
    <row r="27524" ht="14.25" customHeight="1">
      <c r="A27524" s="740"/>
    </row>
    <row r="27525" ht="14.25" customHeight="1">
      <c r="A27525" s="740"/>
    </row>
    <row r="27526" ht="14.25" customHeight="1">
      <c r="A27526" s="740"/>
    </row>
    <row r="27527" ht="14.25" customHeight="1">
      <c r="A27527" s="740"/>
    </row>
    <row r="27528" ht="14.25" customHeight="1">
      <c r="A27528" s="740"/>
    </row>
    <row r="27529" ht="14.25" customHeight="1">
      <c r="A27529" s="740"/>
    </row>
    <row r="27530" ht="14.25" customHeight="1">
      <c r="A27530" s="740"/>
    </row>
    <row r="27531" ht="14.25" customHeight="1">
      <c r="A27531" s="740"/>
    </row>
    <row r="27532" ht="14.25" customHeight="1">
      <c r="A27532" s="740"/>
    </row>
    <row r="27533" ht="14.25" customHeight="1">
      <c r="A27533" s="740"/>
    </row>
    <row r="27534" ht="14.25" customHeight="1">
      <c r="A27534" s="740"/>
    </row>
    <row r="27535" ht="14.25" customHeight="1">
      <c r="A27535" s="740"/>
    </row>
    <row r="27536" ht="14.25" customHeight="1">
      <c r="A27536" s="740"/>
    </row>
    <row r="27537" ht="14.25" customHeight="1">
      <c r="A27537" s="740"/>
    </row>
    <row r="27538" ht="14.25" customHeight="1">
      <c r="A27538" s="740"/>
    </row>
    <row r="27539" ht="14.25" customHeight="1">
      <c r="A27539" s="740"/>
    </row>
    <row r="27540" ht="14.25" customHeight="1">
      <c r="A27540" s="740"/>
    </row>
    <row r="27541" ht="14.25" customHeight="1">
      <c r="A27541" s="740"/>
    </row>
    <row r="27542" ht="14.25" customHeight="1">
      <c r="A27542" s="740"/>
    </row>
    <row r="27543" ht="14.25" customHeight="1">
      <c r="A27543" s="740"/>
    </row>
    <row r="27544" ht="14.25" customHeight="1">
      <c r="A27544" s="740"/>
    </row>
    <row r="27545" ht="14.25" customHeight="1">
      <c r="A27545" s="740"/>
    </row>
    <row r="27546" ht="14.25" customHeight="1">
      <c r="A27546" s="740"/>
    </row>
    <row r="27547" ht="14.25" customHeight="1">
      <c r="A27547" s="740"/>
    </row>
    <row r="27548" ht="14.25" customHeight="1">
      <c r="A27548" s="740"/>
    </row>
    <row r="27549" ht="14.25" customHeight="1">
      <c r="A27549" s="740"/>
    </row>
    <row r="27550" ht="14.25" customHeight="1">
      <c r="A27550" s="740"/>
    </row>
    <row r="27551" ht="14.25" customHeight="1">
      <c r="A27551" s="740"/>
    </row>
    <row r="27552" ht="14.25" customHeight="1">
      <c r="A27552" s="740"/>
    </row>
    <row r="27553" ht="14.25" customHeight="1">
      <c r="A27553" s="740"/>
    </row>
    <row r="27554" ht="14.25" customHeight="1">
      <c r="A27554" s="740"/>
    </row>
    <row r="27555" ht="14.25" customHeight="1">
      <c r="A27555" s="740"/>
    </row>
    <row r="27556" ht="14.25" customHeight="1">
      <c r="A27556" s="740"/>
    </row>
    <row r="27557" ht="14.25" customHeight="1">
      <c r="A27557" s="740"/>
    </row>
    <row r="27558" ht="14.25" customHeight="1">
      <c r="A27558" s="740"/>
    </row>
    <row r="27559" ht="14.25" customHeight="1">
      <c r="A27559" s="740"/>
    </row>
    <row r="27560" ht="14.25" customHeight="1">
      <c r="A27560" s="740"/>
    </row>
    <row r="27561" ht="14.25" customHeight="1">
      <c r="A27561" s="740"/>
    </row>
    <row r="27562" ht="14.25" customHeight="1">
      <c r="A27562" s="740"/>
    </row>
    <row r="27563" ht="14.25" customHeight="1">
      <c r="A27563" s="740"/>
    </row>
    <row r="27564" ht="14.25" customHeight="1">
      <c r="A27564" s="740"/>
    </row>
    <row r="27565" ht="14.25" customHeight="1">
      <c r="A27565" s="740"/>
    </row>
    <row r="27566" ht="14.25" customHeight="1">
      <c r="A27566" s="740"/>
    </row>
    <row r="27567" ht="14.25" customHeight="1">
      <c r="A27567" s="740"/>
    </row>
    <row r="27568" ht="14.25" customHeight="1">
      <c r="A27568" s="740"/>
    </row>
    <row r="27569" ht="14.25" customHeight="1">
      <c r="A27569" s="740"/>
    </row>
    <row r="27570" ht="14.25" customHeight="1">
      <c r="A27570" s="740"/>
    </row>
    <row r="27571" ht="14.25" customHeight="1">
      <c r="A27571" s="740"/>
    </row>
    <row r="27572" ht="14.25" customHeight="1">
      <c r="A27572" s="740"/>
    </row>
    <row r="27573" ht="14.25" customHeight="1">
      <c r="A27573" s="740"/>
    </row>
    <row r="27574" ht="14.25" customHeight="1">
      <c r="A27574" s="740"/>
    </row>
    <row r="27575" ht="14.25" customHeight="1">
      <c r="A27575" s="740"/>
    </row>
    <row r="27576" ht="14.25" customHeight="1">
      <c r="A27576" s="740"/>
    </row>
    <row r="27577" ht="14.25" customHeight="1">
      <c r="A27577" s="740"/>
    </row>
    <row r="27578" ht="14.25" customHeight="1">
      <c r="A27578" s="740"/>
    </row>
    <row r="27579" ht="14.25" customHeight="1">
      <c r="A27579" s="740"/>
    </row>
    <row r="27580" ht="14.25" customHeight="1">
      <c r="A27580" s="740"/>
    </row>
    <row r="27581" ht="14.25" customHeight="1">
      <c r="A27581" s="740"/>
    </row>
    <row r="27582" ht="14.25" customHeight="1">
      <c r="A27582" s="740"/>
    </row>
    <row r="27583" ht="14.25" customHeight="1">
      <c r="A27583" s="740"/>
    </row>
    <row r="27584" ht="14.25" customHeight="1">
      <c r="A27584" s="740"/>
    </row>
    <row r="27585" ht="14.25" customHeight="1">
      <c r="A27585" s="740"/>
    </row>
    <row r="27586" ht="14.25" customHeight="1">
      <c r="A27586" s="740"/>
    </row>
    <row r="27587" ht="14.25" customHeight="1">
      <c r="A27587" s="740"/>
    </row>
    <row r="27588" ht="14.25" customHeight="1">
      <c r="A27588" s="740"/>
    </row>
    <row r="27589" ht="14.25" customHeight="1">
      <c r="A27589" s="740"/>
    </row>
    <row r="27590" ht="14.25" customHeight="1">
      <c r="A27590" s="740"/>
    </row>
    <row r="27591" ht="14.25" customHeight="1">
      <c r="A27591" s="740"/>
    </row>
    <row r="27592" ht="14.25" customHeight="1">
      <c r="A27592" s="740"/>
    </row>
    <row r="27593" ht="14.25" customHeight="1">
      <c r="A27593" s="740"/>
    </row>
    <row r="27594" ht="14.25" customHeight="1">
      <c r="A27594" s="740"/>
    </row>
    <row r="27595" ht="14.25" customHeight="1">
      <c r="A27595" s="740"/>
    </row>
    <row r="27596" ht="14.25" customHeight="1">
      <c r="A27596" s="740"/>
    </row>
    <row r="27597" ht="14.25" customHeight="1">
      <c r="A27597" s="740"/>
    </row>
    <row r="27598" ht="14.25" customHeight="1">
      <c r="A27598" s="740"/>
    </row>
    <row r="27599" ht="14.25" customHeight="1">
      <c r="A27599" s="740"/>
    </row>
    <row r="27600" ht="14.25" customHeight="1">
      <c r="A27600" s="740"/>
    </row>
    <row r="27601" ht="14.25" customHeight="1">
      <c r="A27601" s="740"/>
    </row>
    <row r="27602" ht="14.25" customHeight="1">
      <c r="A27602" s="740"/>
    </row>
    <row r="27603" ht="14.25" customHeight="1">
      <c r="A27603" s="740"/>
    </row>
    <row r="27604" ht="14.25" customHeight="1">
      <c r="A27604" s="740"/>
    </row>
    <row r="27605" ht="14.25" customHeight="1">
      <c r="A27605" s="740"/>
    </row>
    <row r="27606" ht="14.25" customHeight="1">
      <c r="A27606" s="740"/>
    </row>
    <row r="27607" ht="14.25" customHeight="1">
      <c r="A27607" s="740"/>
    </row>
    <row r="27608" ht="14.25" customHeight="1">
      <c r="A27608" s="740"/>
    </row>
    <row r="27609" ht="14.25" customHeight="1">
      <c r="A27609" s="740"/>
    </row>
    <row r="27610" ht="14.25" customHeight="1">
      <c r="A27610" s="740"/>
    </row>
    <row r="27611" ht="14.25" customHeight="1">
      <c r="A27611" s="740"/>
    </row>
    <row r="27612" ht="14.25" customHeight="1">
      <c r="A27612" s="740"/>
    </row>
    <row r="27613" ht="14.25" customHeight="1">
      <c r="A27613" s="740"/>
    </row>
    <row r="27614" ht="14.25" customHeight="1">
      <c r="A27614" s="740"/>
    </row>
    <row r="27615" ht="14.25" customHeight="1">
      <c r="A27615" s="740"/>
    </row>
    <row r="27616" ht="14.25" customHeight="1">
      <c r="A27616" s="740"/>
    </row>
    <row r="27617" ht="14.25" customHeight="1">
      <c r="A27617" s="740"/>
    </row>
    <row r="27618" ht="14.25" customHeight="1">
      <c r="A27618" s="740"/>
    </row>
    <row r="27619" ht="14.25" customHeight="1">
      <c r="A27619" s="740"/>
    </row>
    <row r="27620" ht="14.25" customHeight="1">
      <c r="A27620" s="740"/>
    </row>
    <row r="27621" ht="14.25" customHeight="1">
      <c r="A27621" s="740"/>
    </row>
    <row r="27622" ht="14.25" customHeight="1">
      <c r="A27622" s="740"/>
    </row>
    <row r="27623" ht="14.25" customHeight="1">
      <c r="A27623" s="740"/>
    </row>
    <row r="27624" ht="14.25" customHeight="1">
      <c r="A27624" s="740"/>
    </row>
    <row r="27625" ht="14.25" customHeight="1">
      <c r="A27625" s="740"/>
    </row>
    <row r="27626" ht="14.25" customHeight="1">
      <c r="A27626" s="740"/>
    </row>
    <row r="27627" ht="14.25" customHeight="1">
      <c r="A27627" s="740"/>
    </row>
    <row r="27628" ht="14.25" customHeight="1">
      <c r="A27628" s="740"/>
    </row>
    <row r="27629" ht="14.25" customHeight="1">
      <c r="A27629" s="740"/>
    </row>
    <row r="27630" ht="14.25" customHeight="1">
      <c r="A27630" s="740"/>
    </row>
    <row r="27631" ht="14.25" customHeight="1">
      <c r="A27631" s="740"/>
    </row>
    <row r="27632" ht="14.25" customHeight="1">
      <c r="A27632" s="740"/>
    </row>
    <row r="27633" ht="14.25" customHeight="1">
      <c r="A27633" s="740"/>
    </row>
    <row r="27634" ht="14.25" customHeight="1">
      <c r="A27634" s="740"/>
    </row>
    <row r="27635" ht="14.25" customHeight="1">
      <c r="A27635" s="740"/>
    </row>
    <row r="27636" ht="14.25" customHeight="1">
      <c r="A27636" s="740"/>
    </row>
    <row r="27637" ht="14.25" customHeight="1">
      <c r="A27637" s="740"/>
    </row>
    <row r="27638" ht="14.25" customHeight="1">
      <c r="A27638" s="740"/>
    </row>
    <row r="27639" ht="14.25" customHeight="1">
      <c r="A27639" s="740"/>
    </row>
    <row r="27640" ht="14.25" customHeight="1">
      <c r="A27640" s="740"/>
    </row>
    <row r="27641" ht="14.25" customHeight="1">
      <c r="A27641" s="740"/>
    </row>
    <row r="27642" ht="14.25" customHeight="1">
      <c r="A27642" s="740"/>
    </row>
    <row r="27643" ht="14.25" customHeight="1">
      <c r="A27643" s="740"/>
    </row>
    <row r="27644" ht="14.25" customHeight="1">
      <c r="A27644" s="740"/>
    </row>
    <row r="27645" ht="14.25" customHeight="1">
      <c r="A27645" s="740"/>
    </row>
    <row r="27646" ht="14.25" customHeight="1">
      <c r="A27646" s="740"/>
    </row>
    <row r="27647" ht="14.25" customHeight="1">
      <c r="A27647" s="740"/>
    </row>
    <row r="27648" ht="14.25" customHeight="1">
      <c r="A27648" s="740"/>
    </row>
    <row r="27649" ht="14.25" customHeight="1">
      <c r="A27649" s="740"/>
    </row>
    <row r="27650" ht="14.25" customHeight="1">
      <c r="A27650" s="740"/>
    </row>
    <row r="27651" ht="14.25" customHeight="1">
      <c r="A27651" s="740"/>
    </row>
    <row r="27652" ht="14.25" customHeight="1">
      <c r="A27652" s="740"/>
    </row>
    <row r="27653" ht="14.25" customHeight="1">
      <c r="A27653" s="740"/>
    </row>
    <row r="27654" ht="14.25" customHeight="1">
      <c r="A27654" s="740"/>
    </row>
    <row r="27655" ht="14.25" customHeight="1">
      <c r="A27655" s="740"/>
    </row>
    <row r="27656" ht="14.25" customHeight="1">
      <c r="A27656" s="740"/>
    </row>
    <row r="27657" ht="14.25" customHeight="1">
      <c r="A27657" s="740"/>
    </row>
    <row r="27658" ht="14.25" customHeight="1">
      <c r="A27658" s="740"/>
    </row>
    <row r="27659" ht="14.25" customHeight="1">
      <c r="A27659" s="740"/>
    </row>
    <row r="27660" ht="14.25" customHeight="1">
      <c r="A27660" s="740"/>
    </row>
    <row r="27661" ht="14.25" customHeight="1">
      <c r="A27661" s="740"/>
    </row>
    <row r="27662" ht="14.25" customHeight="1">
      <c r="A27662" s="740"/>
    </row>
    <row r="27663" ht="14.25" customHeight="1">
      <c r="A27663" s="740"/>
    </row>
    <row r="27664" ht="14.25" customHeight="1">
      <c r="A27664" s="740"/>
    </row>
    <row r="27665" ht="14.25" customHeight="1">
      <c r="A27665" s="740"/>
    </row>
    <row r="27666" ht="14.25" customHeight="1">
      <c r="A27666" s="740"/>
    </row>
    <row r="27667" ht="14.25" customHeight="1">
      <c r="A27667" s="740"/>
    </row>
    <row r="27668" ht="14.25" customHeight="1">
      <c r="A27668" s="740"/>
    </row>
    <row r="27669" ht="14.25" customHeight="1">
      <c r="A27669" s="740"/>
    </row>
    <row r="27670" ht="14.25" customHeight="1">
      <c r="A27670" s="740"/>
    </row>
    <row r="27671" ht="14.25" customHeight="1">
      <c r="A27671" s="740"/>
    </row>
    <row r="27672" ht="14.25" customHeight="1">
      <c r="A27672" s="740"/>
    </row>
    <row r="27673" ht="14.25" customHeight="1">
      <c r="A27673" s="740"/>
    </row>
    <row r="27674" ht="14.25" customHeight="1">
      <c r="A27674" s="740"/>
    </row>
    <row r="27675" ht="14.25" customHeight="1">
      <c r="A27675" s="740"/>
    </row>
    <row r="27676" ht="14.25" customHeight="1">
      <c r="A27676" s="740"/>
    </row>
    <row r="27677" ht="14.25" customHeight="1">
      <c r="A27677" s="740"/>
    </row>
    <row r="27678" ht="14.25" customHeight="1">
      <c r="A27678" s="740"/>
    </row>
    <row r="27679" ht="14.25" customHeight="1">
      <c r="A27679" s="740"/>
    </row>
    <row r="27680" ht="14.25" customHeight="1">
      <c r="A27680" s="740"/>
    </row>
    <row r="27681" ht="14.25" customHeight="1">
      <c r="A27681" s="740"/>
    </row>
    <row r="27682" ht="14.25" customHeight="1">
      <c r="A27682" s="740"/>
    </row>
    <row r="27683" ht="14.25" customHeight="1">
      <c r="A27683" s="740"/>
    </row>
    <row r="27684" ht="14.25" customHeight="1">
      <c r="A27684" s="740"/>
    </row>
    <row r="27685" ht="14.25" customHeight="1">
      <c r="A27685" s="740"/>
    </row>
    <row r="27686" ht="14.25" customHeight="1">
      <c r="A27686" s="740"/>
    </row>
    <row r="27687" ht="14.25" customHeight="1">
      <c r="A27687" s="740"/>
    </row>
    <row r="27688" ht="14.25" customHeight="1">
      <c r="A27688" s="740"/>
    </row>
    <row r="27689" ht="14.25" customHeight="1">
      <c r="A27689" s="740"/>
    </row>
    <row r="27690" ht="14.25" customHeight="1">
      <c r="A27690" s="740"/>
    </row>
    <row r="27691" ht="14.25" customHeight="1">
      <c r="A27691" s="740"/>
    </row>
    <row r="27692" ht="14.25" customHeight="1">
      <c r="A27692" s="740"/>
    </row>
    <row r="27693" ht="14.25" customHeight="1">
      <c r="A27693" s="740"/>
    </row>
    <row r="27694" ht="14.25" customHeight="1">
      <c r="A27694" s="740"/>
    </row>
    <row r="27695" ht="14.25" customHeight="1">
      <c r="A27695" s="740"/>
    </row>
    <row r="27696" ht="14.25" customHeight="1">
      <c r="A27696" s="740"/>
    </row>
    <row r="27697" ht="14.25" customHeight="1">
      <c r="A27697" s="740"/>
    </row>
    <row r="27698" ht="14.25" customHeight="1">
      <c r="A27698" s="740"/>
    </row>
    <row r="27699" ht="14.25" customHeight="1">
      <c r="A27699" s="740"/>
    </row>
    <row r="27700" ht="14.25" customHeight="1">
      <c r="A27700" s="740"/>
    </row>
    <row r="27701" ht="14.25" customHeight="1">
      <c r="A27701" s="740"/>
    </row>
    <row r="27702" ht="14.25" customHeight="1">
      <c r="A27702" s="740"/>
    </row>
    <row r="27703" ht="14.25" customHeight="1">
      <c r="A27703" s="740"/>
    </row>
    <row r="27704" ht="14.25" customHeight="1">
      <c r="A27704" s="740"/>
    </row>
    <row r="27705" ht="14.25" customHeight="1">
      <c r="A27705" s="740"/>
    </row>
    <row r="27706" ht="14.25" customHeight="1">
      <c r="A27706" s="740"/>
    </row>
    <row r="27707" ht="14.25" customHeight="1">
      <c r="A27707" s="740"/>
    </row>
    <row r="27708" ht="14.25" customHeight="1">
      <c r="A27708" s="740"/>
    </row>
    <row r="27709" ht="14.25" customHeight="1">
      <c r="A27709" s="740"/>
    </row>
    <row r="27710" ht="14.25" customHeight="1">
      <c r="A27710" s="740"/>
    </row>
    <row r="27711" ht="14.25" customHeight="1">
      <c r="A27711" s="740"/>
    </row>
    <row r="27712" ht="14.25" customHeight="1">
      <c r="A27712" s="740"/>
    </row>
    <row r="27713" ht="14.25" customHeight="1">
      <c r="A27713" s="740"/>
    </row>
    <row r="27714" ht="14.25" customHeight="1">
      <c r="A27714" s="740"/>
    </row>
    <row r="27715" ht="14.25" customHeight="1">
      <c r="A27715" s="740"/>
    </row>
    <row r="27716" ht="14.25" customHeight="1">
      <c r="A27716" s="740"/>
    </row>
    <row r="27717" ht="14.25" customHeight="1">
      <c r="A27717" s="740"/>
    </row>
    <row r="27718" ht="14.25" customHeight="1">
      <c r="A27718" s="740"/>
    </row>
    <row r="27719" ht="14.25" customHeight="1">
      <c r="A27719" s="740"/>
    </row>
    <row r="27720" ht="14.25" customHeight="1">
      <c r="A27720" s="740"/>
    </row>
    <row r="27721" ht="14.25" customHeight="1">
      <c r="A27721" s="740"/>
    </row>
    <row r="27722" ht="14.25" customHeight="1">
      <c r="A27722" s="740"/>
    </row>
    <row r="27723" ht="14.25" customHeight="1">
      <c r="A27723" s="740"/>
    </row>
    <row r="27724" ht="14.25" customHeight="1">
      <c r="A27724" s="740"/>
    </row>
    <row r="27725" ht="14.25" customHeight="1">
      <c r="A27725" s="740"/>
    </row>
    <row r="27726" ht="14.25" customHeight="1">
      <c r="A27726" s="740"/>
    </row>
    <row r="27727" ht="14.25" customHeight="1">
      <c r="A27727" s="740"/>
    </row>
    <row r="27728" ht="14.25" customHeight="1">
      <c r="A27728" s="740"/>
    </row>
    <row r="27729" ht="14.25" customHeight="1">
      <c r="A27729" s="740"/>
    </row>
    <row r="27730" ht="14.25" customHeight="1">
      <c r="A27730" s="740"/>
    </row>
    <row r="27731" ht="14.25" customHeight="1">
      <c r="A27731" s="740"/>
    </row>
    <row r="27732" ht="14.25" customHeight="1">
      <c r="A27732" s="740"/>
    </row>
    <row r="27733" ht="14.25" customHeight="1">
      <c r="A27733" s="740"/>
    </row>
    <row r="27734" ht="14.25" customHeight="1">
      <c r="A27734" s="740"/>
    </row>
    <row r="27735" ht="14.25" customHeight="1">
      <c r="A27735" s="740"/>
    </row>
    <row r="27736" ht="14.25" customHeight="1">
      <c r="A27736" s="740"/>
    </row>
    <row r="27737" ht="14.25" customHeight="1">
      <c r="A27737" s="740"/>
    </row>
    <row r="27738" ht="14.25" customHeight="1">
      <c r="A27738" s="740"/>
    </row>
    <row r="27739" ht="14.25" customHeight="1">
      <c r="A27739" s="740"/>
    </row>
    <row r="27740" ht="14.25" customHeight="1">
      <c r="A27740" s="740"/>
    </row>
    <row r="27741" ht="14.25" customHeight="1">
      <c r="A27741" s="740"/>
    </row>
    <row r="27742" ht="14.25" customHeight="1">
      <c r="A27742" s="740"/>
    </row>
    <row r="27743" ht="14.25" customHeight="1">
      <c r="A27743" s="740"/>
    </row>
    <row r="27744" ht="14.25" customHeight="1">
      <c r="A27744" s="740"/>
    </row>
    <row r="27745" ht="14.25" customHeight="1">
      <c r="A27745" s="740"/>
    </row>
    <row r="27746" ht="14.25" customHeight="1">
      <c r="A27746" s="740"/>
    </row>
    <row r="27747" ht="14.25" customHeight="1">
      <c r="A27747" s="740"/>
    </row>
    <row r="27748" ht="14.25" customHeight="1">
      <c r="A27748" s="740"/>
    </row>
    <row r="27749" ht="14.25" customHeight="1">
      <c r="A27749" s="740"/>
    </row>
    <row r="27750" ht="14.25" customHeight="1">
      <c r="A27750" s="740"/>
    </row>
    <row r="27751" ht="14.25" customHeight="1">
      <c r="A27751" s="740"/>
    </row>
    <row r="27752" ht="14.25" customHeight="1">
      <c r="A27752" s="740"/>
    </row>
    <row r="27753" ht="14.25" customHeight="1">
      <c r="A27753" s="740"/>
    </row>
    <row r="27754" ht="14.25" customHeight="1">
      <c r="A27754" s="740"/>
    </row>
    <row r="27755" ht="14.25" customHeight="1">
      <c r="A27755" s="740"/>
    </row>
    <row r="27756" ht="14.25" customHeight="1">
      <c r="A27756" s="740"/>
    </row>
    <row r="27757" ht="14.25" customHeight="1">
      <c r="A27757" s="740"/>
    </row>
    <row r="27758" ht="14.25" customHeight="1">
      <c r="A27758" s="740"/>
    </row>
    <row r="27759" ht="14.25" customHeight="1">
      <c r="A27759" s="740"/>
    </row>
    <row r="27760" ht="14.25" customHeight="1">
      <c r="A27760" s="740"/>
    </row>
    <row r="27761" ht="14.25" customHeight="1">
      <c r="A27761" s="740"/>
    </row>
    <row r="27762" ht="14.25" customHeight="1">
      <c r="A27762" s="740"/>
    </row>
    <row r="27763" ht="14.25" customHeight="1">
      <c r="A27763" s="740"/>
    </row>
    <row r="27764" ht="14.25" customHeight="1">
      <c r="A27764" s="740"/>
    </row>
    <row r="27765" ht="14.25" customHeight="1">
      <c r="A27765" s="740"/>
    </row>
    <row r="27766" ht="14.25" customHeight="1">
      <c r="A27766" s="740"/>
    </row>
    <row r="27767" ht="14.25" customHeight="1">
      <c r="A27767" s="740"/>
    </row>
    <row r="27768" ht="14.25" customHeight="1">
      <c r="A27768" s="740"/>
    </row>
    <row r="27769" ht="14.25" customHeight="1">
      <c r="A27769" s="740"/>
    </row>
    <row r="27770" ht="14.25" customHeight="1">
      <c r="A27770" s="740"/>
    </row>
    <row r="27771" ht="14.25" customHeight="1">
      <c r="A27771" s="740"/>
    </row>
    <row r="27772" ht="14.25" customHeight="1">
      <c r="A27772" s="740"/>
    </row>
    <row r="27773" ht="14.25" customHeight="1">
      <c r="A27773" s="740"/>
    </row>
    <row r="27774" ht="14.25" customHeight="1">
      <c r="A27774" s="740"/>
    </row>
    <row r="27775" ht="14.25" customHeight="1">
      <c r="A27775" s="740"/>
    </row>
    <row r="27776" ht="14.25" customHeight="1">
      <c r="A27776" s="740"/>
    </row>
    <row r="27777" ht="14.25" customHeight="1">
      <c r="A27777" s="740"/>
    </row>
    <row r="27778" ht="14.25" customHeight="1">
      <c r="A27778" s="740"/>
    </row>
    <row r="27779" ht="14.25" customHeight="1">
      <c r="A27779" s="740"/>
    </row>
    <row r="27780" ht="14.25" customHeight="1">
      <c r="A27780" s="740"/>
    </row>
    <row r="27781" ht="14.25" customHeight="1">
      <c r="A27781" s="740"/>
    </row>
    <row r="27782" ht="14.25" customHeight="1">
      <c r="A27782" s="740"/>
    </row>
    <row r="27783" ht="14.25" customHeight="1">
      <c r="A27783" s="740"/>
    </row>
    <row r="27784" ht="14.25" customHeight="1">
      <c r="A27784" s="740"/>
    </row>
    <row r="27785" ht="14.25" customHeight="1">
      <c r="A27785" s="740"/>
    </row>
    <row r="27786" ht="14.25" customHeight="1">
      <c r="A27786" s="740"/>
    </row>
    <row r="27787" ht="14.25" customHeight="1">
      <c r="A27787" s="740"/>
    </row>
    <row r="27788" ht="14.25" customHeight="1">
      <c r="A27788" s="740"/>
    </row>
    <row r="27789" ht="14.25" customHeight="1">
      <c r="A27789" s="740"/>
    </row>
    <row r="27790" ht="14.25" customHeight="1">
      <c r="A27790" s="740"/>
    </row>
    <row r="27791" ht="14.25" customHeight="1">
      <c r="A27791" s="740"/>
    </row>
    <row r="27792" ht="14.25" customHeight="1">
      <c r="A27792" s="740"/>
    </row>
    <row r="27793" ht="14.25" customHeight="1">
      <c r="A27793" s="740"/>
    </row>
    <row r="27794" ht="14.25" customHeight="1">
      <c r="A27794" s="740"/>
    </row>
    <row r="27795" ht="14.25" customHeight="1">
      <c r="A27795" s="740"/>
    </row>
    <row r="27796" ht="14.25" customHeight="1">
      <c r="A27796" s="740"/>
    </row>
    <row r="27797" ht="14.25" customHeight="1">
      <c r="A27797" s="740"/>
    </row>
    <row r="27798" ht="14.25" customHeight="1">
      <c r="A27798" s="740"/>
    </row>
    <row r="27799" ht="14.25" customHeight="1">
      <c r="A27799" s="740"/>
    </row>
    <row r="27800" ht="14.25" customHeight="1">
      <c r="A27800" s="740"/>
    </row>
    <row r="27801" ht="14.25" customHeight="1">
      <c r="A27801" s="740"/>
    </row>
    <row r="27802" ht="14.25" customHeight="1">
      <c r="A27802" s="740"/>
    </row>
    <row r="27803" ht="14.25" customHeight="1">
      <c r="A27803" s="740"/>
    </row>
    <row r="27804" ht="14.25" customHeight="1">
      <c r="A27804" s="740"/>
    </row>
    <row r="27805" ht="14.25" customHeight="1">
      <c r="A27805" s="740"/>
    </row>
    <row r="27806" ht="14.25" customHeight="1">
      <c r="A27806" s="740"/>
    </row>
    <row r="27807" ht="14.25" customHeight="1">
      <c r="A27807" s="740"/>
    </row>
    <row r="27808" ht="14.25" customHeight="1">
      <c r="A27808" s="740"/>
    </row>
    <row r="27809" ht="14.25" customHeight="1">
      <c r="A27809" s="740"/>
    </row>
    <row r="27810" ht="14.25" customHeight="1">
      <c r="A27810" s="740"/>
    </row>
    <row r="27811" ht="14.25" customHeight="1">
      <c r="A27811" s="740"/>
    </row>
    <row r="27812" ht="14.25" customHeight="1">
      <c r="A27812" s="740"/>
    </row>
    <row r="27813" ht="14.25" customHeight="1">
      <c r="A27813" s="740"/>
    </row>
    <row r="27814" ht="14.25" customHeight="1">
      <c r="A27814" s="740"/>
    </row>
    <row r="27815" ht="14.25" customHeight="1">
      <c r="A27815" s="740"/>
    </row>
    <row r="27816" ht="14.25" customHeight="1">
      <c r="A27816" s="740"/>
    </row>
    <row r="27817" ht="14.25" customHeight="1">
      <c r="A27817" s="740"/>
    </row>
    <row r="27818" ht="14.25" customHeight="1">
      <c r="A27818" s="740"/>
    </row>
    <row r="27819" ht="14.25" customHeight="1">
      <c r="A27819" s="740"/>
    </row>
    <row r="27820" ht="14.25" customHeight="1">
      <c r="A27820" s="740"/>
    </row>
    <row r="27821" ht="14.25" customHeight="1">
      <c r="A27821" s="740"/>
    </row>
    <row r="27822" ht="14.25" customHeight="1">
      <c r="A27822" s="740"/>
    </row>
    <row r="27823" ht="14.25" customHeight="1">
      <c r="A27823" s="740"/>
    </row>
    <row r="27824" ht="14.25" customHeight="1">
      <c r="A27824" s="740"/>
    </row>
    <row r="27825" ht="14.25" customHeight="1">
      <c r="A27825" s="740"/>
    </row>
    <row r="27826" ht="14.25" customHeight="1">
      <c r="A27826" s="740"/>
    </row>
    <row r="27827" ht="14.25" customHeight="1">
      <c r="A27827" s="740"/>
    </row>
    <row r="27828" ht="14.25" customHeight="1">
      <c r="A27828" s="740"/>
    </row>
    <row r="27829" ht="14.25" customHeight="1">
      <c r="A27829" s="740"/>
    </row>
    <row r="27830" ht="14.25" customHeight="1">
      <c r="A27830" s="740"/>
    </row>
    <row r="27831" ht="14.25" customHeight="1">
      <c r="A27831" s="740"/>
    </row>
    <row r="27832" ht="14.25" customHeight="1">
      <c r="A27832" s="740"/>
    </row>
    <row r="27833" ht="14.25" customHeight="1">
      <c r="A27833" s="740"/>
    </row>
    <row r="27834" ht="14.25" customHeight="1">
      <c r="A27834" s="740"/>
    </row>
    <row r="27835" ht="14.25" customHeight="1">
      <c r="A27835" s="740"/>
    </row>
    <row r="27836" ht="14.25" customHeight="1">
      <c r="A27836" s="740"/>
    </row>
    <row r="27837" ht="14.25" customHeight="1">
      <c r="A27837" s="740"/>
    </row>
    <row r="27838" ht="14.25" customHeight="1">
      <c r="A27838" s="740"/>
    </row>
    <row r="27839" ht="14.25" customHeight="1">
      <c r="A27839" s="740"/>
    </row>
    <row r="27840" ht="14.25" customHeight="1">
      <c r="A27840" s="740"/>
    </row>
    <row r="27841" ht="14.25" customHeight="1">
      <c r="A27841" s="740"/>
    </row>
    <row r="27842" ht="14.25" customHeight="1">
      <c r="A27842" s="740"/>
    </row>
    <row r="27843" ht="14.25" customHeight="1">
      <c r="A27843" s="740"/>
    </row>
    <row r="27844" ht="14.25" customHeight="1">
      <c r="A27844" s="740"/>
    </row>
    <row r="27845" ht="14.25" customHeight="1">
      <c r="A27845" s="740"/>
    </row>
    <row r="27846" ht="14.25" customHeight="1">
      <c r="A27846" s="740"/>
    </row>
    <row r="27847" ht="14.25" customHeight="1">
      <c r="A27847" s="740"/>
    </row>
    <row r="27848" ht="14.25" customHeight="1">
      <c r="A27848" s="740"/>
    </row>
    <row r="27849" ht="14.25" customHeight="1">
      <c r="A27849" s="740"/>
    </row>
    <row r="27850" ht="14.25" customHeight="1">
      <c r="A27850" s="740"/>
    </row>
    <row r="27851" ht="14.25" customHeight="1">
      <c r="A27851" s="740"/>
    </row>
    <row r="27852" ht="14.25" customHeight="1">
      <c r="A27852" s="740"/>
    </row>
    <row r="27853" ht="14.25" customHeight="1">
      <c r="A27853" s="740"/>
    </row>
    <row r="27854" ht="14.25" customHeight="1">
      <c r="A27854" s="740"/>
    </row>
    <row r="27855" ht="14.25" customHeight="1">
      <c r="A27855" s="740"/>
    </row>
    <row r="27856" ht="14.25" customHeight="1">
      <c r="A27856" s="740"/>
    </row>
    <row r="27857" ht="14.25" customHeight="1">
      <c r="A27857" s="740"/>
    </row>
    <row r="27858" ht="14.25" customHeight="1">
      <c r="A27858" s="740"/>
    </row>
    <row r="27859" ht="14.25" customHeight="1">
      <c r="A27859" s="740"/>
    </row>
    <row r="27860" ht="14.25" customHeight="1">
      <c r="A27860" s="740"/>
    </row>
    <row r="27861" ht="14.25" customHeight="1">
      <c r="A27861" s="740"/>
    </row>
    <row r="27862" ht="14.25" customHeight="1">
      <c r="A27862" s="740"/>
    </row>
    <row r="27863" ht="14.25" customHeight="1">
      <c r="A27863" s="740"/>
    </row>
    <row r="27864" ht="14.25" customHeight="1">
      <c r="A27864" s="740"/>
    </row>
    <row r="27865" ht="14.25" customHeight="1">
      <c r="A27865" s="740"/>
    </row>
    <row r="27866" ht="14.25" customHeight="1">
      <c r="A27866" s="740"/>
    </row>
    <row r="27867" ht="14.25" customHeight="1">
      <c r="A27867" s="740"/>
    </row>
    <row r="27868" ht="14.25" customHeight="1">
      <c r="A27868" s="740"/>
    </row>
    <row r="27869" ht="14.25" customHeight="1">
      <c r="A27869" s="740"/>
    </row>
    <row r="27870" ht="14.25" customHeight="1">
      <c r="A27870" s="740"/>
    </row>
    <row r="27871" ht="14.25" customHeight="1">
      <c r="A27871" s="740"/>
    </row>
    <row r="27872" ht="14.25" customHeight="1">
      <c r="A27872" s="740"/>
    </row>
    <row r="27873" ht="14.25" customHeight="1">
      <c r="A27873" s="740"/>
    </row>
    <row r="27874" ht="14.25" customHeight="1">
      <c r="A27874" s="740"/>
    </row>
    <row r="27875" ht="14.25" customHeight="1">
      <c r="A27875" s="740"/>
    </row>
    <row r="27876" ht="14.25" customHeight="1">
      <c r="A27876" s="740"/>
    </row>
    <row r="27877" ht="14.25" customHeight="1">
      <c r="A27877" s="740"/>
    </row>
    <row r="27878" ht="14.25" customHeight="1">
      <c r="A27878" s="740"/>
    </row>
    <row r="27879" ht="14.25" customHeight="1">
      <c r="A27879" s="740"/>
    </row>
    <row r="27880" ht="14.25" customHeight="1">
      <c r="A27880" s="740"/>
    </row>
    <row r="27881" ht="14.25" customHeight="1">
      <c r="A27881" s="740"/>
    </row>
    <row r="27882" ht="14.25" customHeight="1">
      <c r="A27882" s="740"/>
    </row>
    <row r="27883" ht="14.25" customHeight="1">
      <c r="A27883" s="740"/>
    </row>
    <row r="27884" ht="14.25" customHeight="1">
      <c r="A27884" s="740"/>
    </row>
    <row r="27885" ht="14.25" customHeight="1">
      <c r="A27885" s="740"/>
    </row>
    <row r="27886" ht="14.25" customHeight="1">
      <c r="A27886" s="740"/>
    </row>
    <row r="27887" ht="14.25" customHeight="1">
      <c r="A27887" s="740"/>
    </row>
    <row r="27888" ht="14.25" customHeight="1">
      <c r="A27888" s="740"/>
    </row>
    <row r="27889" ht="14.25" customHeight="1">
      <c r="A27889" s="740"/>
    </row>
    <row r="27890" ht="14.25" customHeight="1">
      <c r="A27890" s="740"/>
    </row>
    <row r="27891" ht="14.25" customHeight="1">
      <c r="A27891" s="740"/>
    </row>
    <row r="27892" ht="14.25" customHeight="1">
      <c r="A27892" s="740"/>
    </row>
    <row r="27893" ht="14.25" customHeight="1">
      <c r="A27893" s="740"/>
    </row>
    <row r="27894" ht="14.25" customHeight="1">
      <c r="A27894" s="740"/>
    </row>
    <row r="27895" ht="14.25" customHeight="1">
      <c r="A27895" s="740"/>
    </row>
    <row r="27896" ht="14.25" customHeight="1">
      <c r="A27896" s="740"/>
    </row>
    <row r="27897" ht="14.25" customHeight="1">
      <c r="A27897" s="740"/>
    </row>
    <row r="27898" ht="14.25" customHeight="1">
      <c r="A27898" s="740"/>
    </row>
    <row r="27899" ht="14.25" customHeight="1">
      <c r="A27899" s="740"/>
    </row>
    <row r="27900" ht="14.25" customHeight="1">
      <c r="A27900" s="740"/>
    </row>
    <row r="27901" ht="14.25" customHeight="1">
      <c r="A27901" s="740"/>
    </row>
    <row r="27902" ht="14.25" customHeight="1">
      <c r="A27902" s="740"/>
    </row>
    <row r="27903" ht="14.25" customHeight="1">
      <c r="A27903" s="740"/>
    </row>
    <row r="27904" ht="14.25" customHeight="1">
      <c r="A27904" s="740"/>
    </row>
    <row r="27905" ht="14.25" customHeight="1">
      <c r="A27905" s="740"/>
    </row>
    <row r="27906" ht="14.25" customHeight="1">
      <c r="A27906" s="740"/>
    </row>
    <row r="27907" ht="14.25" customHeight="1">
      <c r="A27907" s="740"/>
    </row>
    <row r="27908" ht="14.25" customHeight="1">
      <c r="A27908" s="740"/>
    </row>
    <row r="27909" ht="14.25" customHeight="1">
      <c r="A27909" s="740"/>
    </row>
    <row r="27910" ht="14.25" customHeight="1">
      <c r="A27910" s="740"/>
    </row>
    <row r="27911" ht="14.25" customHeight="1">
      <c r="A27911" s="740"/>
    </row>
    <row r="27912" ht="14.25" customHeight="1">
      <c r="A27912" s="740"/>
    </row>
    <row r="27913" ht="14.25" customHeight="1">
      <c r="A27913" s="740"/>
    </row>
    <row r="27914" ht="14.25" customHeight="1">
      <c r="A27914" s="740"/>
    </row>
    <row r="27915" ht="14.25" customHeight="1">
      <c r="A27915" s="740"/>
    </row>
    <row r="27916" ht="14.25" customHeight="1">
      <c r="A27916" s="740"/>
    </row>
    <row r="27917" ht="14.25" customHeight="1">
      <c r="A27917" s="740"/>
    </row>
    <row r="27918" ht="14.25" customHeight="1">
      <c r="A27918" s="740"/>
    </row>
    <row r="27919" ht="14.25" customHeight="1">
      <c r="A27919" s="740"/>
    </row>
    <row r="27920" ht="14.25" customHeight="1">
      <c r="A27920" s="740"/>
    </row>
    <row r="27921" ht="14.25" customHeight="1">
      <c r="A27921" s="740"/>
    </row>
    <row r="27922" ht="14.25" customHeight="1">
      <c r="A27922" s="740"/>
    </row>
    <row r="27923" ht="14.25" customHeight="1">
      <c r="A27923" s="740"/>
    </row>
    <row r="27924" ht="14.25" customHeight="1">
      <c r="A27924" s="740"/>
    </row>
    <row r="27925" ht="14.25" customHeight="1">
      <c r="A27925" s="740"/>
    </row>
    <row r="27926" ht="14.25" customHeight="1">
      <c r="A27926" s="740"/>
    </row>
    <row r="27927" ht="14.25" customHeight="1">
      <c r="A27927" s="740"/>
    </row>
    <row r="27928" ht="14.25" customHeight="1">
      <c r="A27928" s="740"/>
    </row>
    <row r="27929" ht="14.25" customHeight="1">
      <c r="A27929" s="740"/>
    </row>
    <row r="27930" ht="14.25" customHeight="1">
      <c r="A27930" s="740"/>
    </row>
    <row r="27931" ht="14.25" customHeight="1">
      <c r="A27931" s="740"/>
    </row>
    <row r="27932" ht="14.25" customHeight="1">
      <c r="A27932" s="740"/>
    </row>
    <row r="27933" ht="14.25" customHeight="1">
      <c r="A27933" s="740"/>
    </row>
    <row r="27934" ht="14.25" customHeight="1">
      <c r="A27934" s="740"/>
    </row>
    <row r="27935" ht="14.25" customHeight="1">
      <c r="A27935" s="740"/>
    </row>
    <row r="27936" ht="14.25" customHeight="1">
      <c r="A27936" s="740"/>
    </row>
    <row r="27937" ht="14.25" customHeight="1">
      <c r="A27937" s="740"/>
    </row>
    <row r="27938" ht="14.25" customHeight="1">
      <c r="A27938" s="740"/>
    </row>
    <row r="27939" ht="14.25" customHeight="1">
      <c r="A27939" s="740"/>
    </row>
    <row r="27940" ht="14.25" customHeight="1">
      <c r="A27940" s="740"/>
    </row>
    <row r="27941" ht="14.25" customHeight="1">
      <c r="A27941" s="740"/>
    </row>
    <row r="27942" ht="14.25" customHeight="1">
      <c r="A27942" s="740"/>
    </row>
    <row r="27943" ht="14.25" customHeight="1">
      <c r="A27943" s="740"/>
    </row>
    <row r="27944" ht="14.25" customHeight="1">
      <c r="A27944" s="740"/>
    </row>
    <row r="27945" ht="14.25" customHeight="1">
      <c r="A27945" s="740"/>
    </row>
    <row r="27946" ht="14.25" customHeight="1">
      <c r="A27946" s="740"/>
    </row>
    <row r="27947" ht="14.25" customHeight="1">
      <c r="A27947" s="740"/>
    </row>
    <row r="27948" ht="14.25" customHeight="1">
      <c r="A27948" s="740"/>
    </row>
    <row r="27949" ht="14.25" customHeight="1">
      <c r="A27949" s="740"/>
    </row>
    <row r="27950" ht="14.25" customHeight="1">
      <c r="A27950" s="740"/>
    </row>
    <row r="27951" ht="14.25" customHeight="1">
      <c r="A27951" s="740"/>
    </row>
    <row r="27952" ht="14.25" customHeight="1">
      <c r="A27952" s="740"/>
    </row>
    <row r="27953" ht="14.25" customHeight="1">
      <c r="A27953" s="740"/>
    </row>
    <row r="27954" ht="14.25" customHeight="1">
      <c r="A27954" s="740"/>
    </row>
    <row r="27955" ht="14.25" customHeight="1">
      <c r="A27955" s="740"/>
    </row>
    <row r="27956" ht="14.25" customHeight="1">
      <c r="A27956" s="740"/>
    </row>
    <row r="27957" ht="14.25" customHeight="1">
      <c r="A27957" s="740"/>
    </row>
    <row r="27958" ht="14.25" customHeight="1">
      <c r="A27958" s="740"/>
    </row>
    <row r="27959" ht="14.25" customHeight="1">
      <c r="A27959" s="740"/>
    </row>
    <row r="27960" ht="14.25" customHeight="1">
      <c r="A27960" s="740"/>
    </row>
    <row r="27961" ht="14.25" customHeight="1">
      <c r="A27961" s="740"/>
    </row>
    <row r="27962" ht="14.25" customHeight="1">
      <c r="A27962" s="740"/>
    </row>
    <row r="27963" ht="14.25" customHeight="1">
      <c r="A27963" s="740"/>
    </row>
    <row r="27964" ht="14.25" customHeight="1">
      <c r="A27964" s="740"/>
    </row>
    <row r="27965" ht="14.25" customHeight="1">
      <c r="A27965" s="740"/>
    </row>
    <row r="27966" ht="14.25" customHeight="1">
      <c r="A27966" s="740"/>
    </row>
    <row r="27967" ht="14.25" customHeight="1">
      <c r="A27967" s="740"/>
    </row>
    <row r="27968" ht="14.25" customHeight="1">
      <c r="A27968" s="740"/>
    </row>
    <row r="27969" ht="14.25" customHeight="1">
      <c r="A27969" s="740"/>
    </row>
    <row r="27970" ht="14.25" customHeight="1">
      <c r="A27970" s="740"/>
    </row>
    <row r="27971" ht="14.25" customHeight="1">
      <c r="A27971" s="740"/>
    </row>
    <row r="27972" ht="14.25" customHeight="1">
      <c r="A27972" s="740"/>
    </row>
    <row r="27973" ht="14.25" customHeight="1">
      <c r="A27973" s="740"/>
    </row>
    <row r="27974" ht="14.25" customHeight="1">
      <c r="A27974" s="740"/>
    </row>
    <row r="27975" ht="14.25" customHeight="1">
      <c r="A27975" s="740"/>
    </row>
    <row r="27976" ht="14.25" customHeight="1">
      <c r="A27976" s="740"/>
    </row>
    <row r="27977" ht="14.25" customHeight="1">
      <c r="A27977" s="740"/>
    </row>
    <row r="27978" ht="14.25" customHeight="1">
      <c r="A27978" s="740"/>
    </row>
    <row r="27979" ht="14.25" customHeight="1">
      <c r="A27979" s="740"/>
    </row>
    <row r="27980" ht="14.25" customHeight="1">
      <c r="A27980" s="740"/>
    </row>
    <row r="27981" ht="14.25" customHeight="1">
      <c r="A27981" s="740"/>
    </row>
    <row r="27982" ht="14.25" customHeight="1">
      <c r="A27982" s="740"/>
    </row>
    <row r="27983" ht="14.25" customHeight="1">
      <c r="A27983" s="740"/>
    </row>
    <row r="27984" ht="14.25" customHeight="1">
      <c r="A27984" s="740"/>
    </row>
    <row r="27985" ht="14.25" customHeight="1">
      <c r="A27985" s="740"/>
    </row>
    <row r="27986" ht="14.25" customHeight="1">
      <c r="A27986" s="740"/>
    </row>
    <row r="27987" ht="14.25" customHeight="1">
      <c r="A27987" s="740"/>
    </row>
    <row r="27988" ht="14.25" customHeight="1">
      <c r="A27988" s="740"/>
    </row>
    <row r="27989" ht="14.25" customHeight="1">
      <c r="A27989" s="740"/>
    </row>
    <row r="27990" ht="14.25" customHeight="1">
      <c r="A27990" s="740"/>
    </row>
    <row r="27991" ht="14.25" customHeight="1">
      <c r="A27991" s="740"/>
    </row>
    <row r="27992" ht="14.25" customHeight="1">
      <c r="A27992" s="740"/>
    </row>
    <row r="27993" ht="14.25" customHeight="1">
      <c r="A27993" s="740"/>
    </row>
    <row r="27994" ht="14.25" customHeight="1">
      <c r="A27994" s="740"/>
    </row>
    <row r="27995" ht="14.25" customHeight="1">
      <c r="A27995" s="740"/>
    </row>
    <row r="27996" ht="14.25" customHeight="1">
      <c r="A27996" s="740"/>
    </row>
    <row r="27997" ht="14.25" customHeight="1">
      <c r="A27997" s="740"/>
    </row>
    <row r="27998" ht="14.25" customHeight="1">
      <c r="A27998" s="740"/>
    </row>
    <row r="27999" ht="14.25" customHeight="1">
      <c r="A27999" s="740"/>
    </row>
    <row r="28000" ht="14.25" customHeight="1">
      <c r="A28000" s="740"/>
    </row>
    <row r="28001" ht="14.25" customHeight="1">
      <c r="A28001" s="740"/>
    </row>
    <row r="28002" ht="14.25" customHeight="1">
      <c r="A28002" s="740"/>
    </row>
    <row r="28003" ht="14.25" customHeight="1">
      <c r="A28003" s="740"/>
    </row>
    <row r="28004" ht="14.25" customHeight="1">
      <c r="A28004" s="740"/>
    </row>
    <row r="28005" ht="14.25" customHeight="1">
      <c r="A28005" s="740"/>
    </row>
    <row r="28006" ht="14.25" customHeight="1">
      <c r="A28006" s="740"/>
    </row>
    <row r="28007" ht="14.25" customHeight="1">
      <c r="A28007" s="740"/>
    </row>
    <row r="28008" ht="14.25" customHeight="1">
      <c r="A28008" s="740"/>
    </row>
    <row r="28009" ht="14.25" customHeight="1">
      <c r="A28009" s="740"/>
    </row>
    <row r="28010" ht="14.25" customHeight="1">
      <c r="A28010" s="740"/>
    </row>
    <row r="28011" ht="14.25" customHeight="1">
      <c r="A28011" s="740"/>
    </row>
    <row r="28012" ht="14.25" customHeight="1">
      <c r="A28012" s="740"/>
    </row>
    <row r="28013" ht="14.25" customHeight="1">
      <c r="A28013" s="740"/>
    </row>
    <row r="28014" ht="14.25" customHeight="1">
      <c r="A28014" s="740"/>
    </row>
    <row r="28015" ht="14.25" customHeight="1">
      <c r="A28015" s="740"/>
    </row>
    <row r="28016" ht="14.25" customHeight="1">
      <c r="A28016" s="740"/>
    </row>
    <row r="28017" ht="14.25" customHeight="1">
      <c r="A28017" s="740"/>
    </row>
    <row r="28018" ht="14.25" customHeight="1">
      <c r="A28018" s="740"/>
    </row>
    <row r="28019" ht="14.25" customHeight="1">
      <c r="A28019" s="740"/>
    </row>
    <row r="28020" ht="14.25" customHeight="1">
      <c r="A28020" s="740"/>
    </row>
    <row r="28021" ht="14.25" customHeight="1">
      <c r="A28021" s="740"/>
    </row>
    <row r="28022" ht="14.25" customHeight="1">
      <c r="A28022" s="740"/>
    </row>
    <row r="28023" ht="14.25" customHeight="1">
      <c r="A28023" s="740"/>
    </row>
    <row r="28024" ht="14.25" customHeight="1">
      <c r="A28024" s="740"/>
    </row>
    <row r="28025" ht="14.25" customHeight="1">
      <c r="A28025" s="740"/>
    </row>
    <row r="28026" ht="14.25" customHeight="1">
      <c r="A28026" s="740"/>
    </row>
    <row r="28027" ht="14.25" customHeight="1">
      <c r="A28027" s="740"/>
    </row>
    <row r="28028" ht="14.25" customHeight="1">
      <c r="A28028" s="740"/>
    </row>
    <row r="28029" ht="14.25" customHeight="1">
      <c r="A28029" s="740"/>
    </row>
    <row r="28030" ht="14.25" customHeight="1">
      <c r="A28030" s="740"/>
    </row>
    <row r="28031" ht="14.25" customHeight="1">
      <c r="A28031" s="740"/>
    </row>
    <row r="28032" ht="14.25" customHeight="1">
      <c r="A28032" s="740"/>
    </row>
    <row r="28033" ht="14.25" customHeight="1">
      <c r="A28033" s="740"/>
    </row>
    <row r="28034" ht="14.25" customHeight="1">
      <c r="A28034" s="740"/>
    </row>
    <row r="28035" ht="14.25" customHeight="1">
      <c r="A28035" s="740"/>
    </row>
    <row r="28036" ht="14.25" customHeight="1">
      <c r="A28036" s="740"/>
    </row>
    <row r="28037" ht="14.25" customHeight="1">
      <c r="A28037" s="740"/>
    </row>
    <row r="28038" ht="14.25" customHeight="1">
      <c r="A28038" s="740"/>
    </row>
    <row r="28039" ht="14.25" customHeight="1">
      <c r="A28039" s="740"/>
    </row>
    <row r="28040" ht="14.25" customHeight="1">
      <c r="A28040" s="740"/>
    </row>
    <row r="28041" ht="14.25" customHeight="1">
      <c r="A28041" s="740"/>
    </row>
    <row r="28042" ht="14.25" customHeight="1">
      <c r="A28042" s="740"/>
    </row>
    <row r="28043" ht="14.25" customHeight="1">
      <c r="A28043" s="740"/>
    </row>
    <row r="28044" ht="14.25" customHeight="1">
      <c r="A28044" s="740"/>
    </row>
    <row r="28045" ht="14.25" customHeight="1">
      <c r="A28045" s="740"/>
    </row>
    <row r="28046" ht="14.25" customHeight="1">
      <c r="A28046" s="740"/>
    </row>
    <row r="28047" ht="14.25" customHeight="1">
      <c r="A28047" s="740"/>
    </row>
    <row r="28048" ht="14.25" customHeight="1">
      <c r="A28048" s="740"/>
    </row>
    <row r="28049" ht="14.25" customHeight="1">
      <c r="A28049" s="740"/>
    </row>
    <row r="28050" ht="14.25" customHeight="1">
      <c r="A28050" s="740"/>
    </row>
    <row r="28051" ht="14.25" customHeight="1">
      <c r="A28051" s="740"/>
    </row>
    <row r="28052" ht="14.25" customHeight="1">
      <c r="A28052" s="740"/>
    </row>
    <row r="28053" ht="14.25" customHeight="1">
      <c r="A28053" s="740"/>
    </row>
    <row r="28054" ht="14.25" customHeight="1">
      <c r="A28054" s="740"/>
    </row>
    <row r="28055" ht="14.25" customHeight="1">
      <c r="A28055" s="740"/>
    </row>
    <row r="28056" ht="14.25" customHeight="1">
      <c r="A28056" s="740"/>
    </row>
    <row r="28057" ht="14.25" customHeight="1">
      <c r="A28057" s="740"/>
    </row>
    <row r="28058" ht="14.25" customHeight="1">
      <c r="A28058" s="740"/>
    </row>
    <row r="28059" ht="14.25" customHeight="1">
      <c r="A28059" s="740"/>
    </row>
    <row r="28060" ht="14.25" customHeight="1">
      <c r="A28060" s="740"/>
    </row>
    <row r="28061" ht="14.25" customHeight="1">
      <c r="A28061" s="740"/>
    </row>
    <row r="28062" ht="14.25" customHeight="1">
      <c r="A28062" s="740"/>
    </row>
    <row r="28063" ht="14.25" customHeight="1">
      <c r="A28063" s="740"/>
    </row>
    <row r="28064" ht="14.25" customHeight="1">
      <c r="A28064" s="740"/>
    </row>
    <row r="28065" ht="14.25" customHeight="1">
      <c r="A28065" s="740"/>
    </row>
    <row r="28066" ht="14.25" customHeight="1">
      <c r="A28066" s="740"/>
    </row>
    <row r="28067" ht="14.25" customHeight="1">
      <c r="A28067" s="740"/>
    </row>
    <row r="28068" ht="14.25" customHeight="1">
      <c r="A28068" s="740"/>
    </row>
    <row r="28069" ht="14.25" customHeight="1">
      <c r="A28069" s="740"/>
    </row>
    <row r="28070" ht="14.25" customHeight="1">
      <c r="A28070" s="740"/>
    </row>
    <row r="28071" ht="14.25" customHeight="1">
      <c r="A28071" s="740"/>
    </row>
    <row r="28072" ht="14.25" customHeight="1">
      <c r="A28072" s="740"/>
    </row>
    <row r="28073" ht="14.25" customHeight="1">
      <c r="A28073" s="740"/>
    </row>
    <row r="28074" ht="14.25" customHeight="1">
      <c r="A28074" s="740"/>
    </row>
    <row r="28075" ht="14.25" customHeight="1">
      <c r="A28075" s="740"/>
    </row>
    <row r="28076" ht="14.25" customHeight="1">
      <c r="A28076" s="740"/>
    </row>
    <row r="28077" ht="14.25" customHeight="1">
      <c r="A28077" s="740"/>
    </row>
    <row r="28078" ht="14.25" customHeight="1">
      <c r="A28078" s="740"/>
    </row>
    <row r="28079" ht="14.25" customHeight="1">
      <c r="A28079" s="740"/>
    </row>
    <row r="28080" ht="14.25" customHeight="1">
      <c r="A28080" s="740"/>
    </row>
    <row r="28081" ht="14.25" customHeight="1">
      <c r="A28081" s="740"/>
    </row>
    <row r="28082" ht="14.25" customHeight="1">
      <c r="A28082" s="740"/>
    </row>
    <row r="28083" ht="14.25" customHeight="1">
      <c r="A28083" s="740"/>
    </row>
    <row r="28084" ht="14.25" customHeight="1">
      <c r="A28084" s="740"/>
    </row>
    <row r="28085" ht="14.25" customHeight="1">
      <c r="A28085" s="740"/>
    </row>
    <row r="28086" ht="14.25" customHeight="1">
      <c r="A28086" s="740"/>
    </row>
    <row r="28087" ht="14.25" customHeight="1">
      <c r="A28087" s="740"/>
    </row>
    <row r="28088" ht="14.25" customHeight="1">
      <c r="A28088" s="740"/>
    </row>
    <row r="28089" ht="14.25" customHeight="1">
      <c r="A28089" s="740"/>
    </row>
    <row r="28090" ht="14.25" customHeight="1">
      <c r="A28090" s="740"/>
    </row>
    <row r="28091" ht="14.25" customHeight="1">
      <c r="A28091" s="740"/>
    </row>
    <row r="28092" ht="14.25" customHeight="1">
      <c r="A28092" s="740"/>
    </row>
    <row r="28093" ht="14.25" customHeight="1">
      <c r="A28093" s="740"/>
    </row>
    <row r="28094" ht="14.25" customHeight="1">
      <c r="A28094" s="740"/>
    </row>
    <row r="28095" ht="14.25" customHeight="1">
      <c r="A28095" s="740"/>
    </row>
    <row r="28096" ht="14.25" customHeight="1">
      <c r="A28096" s="740"/>
    </row>
    <row r="28097" ht="14.25" customHeight="1">
      <c r="A28097" s="740"/>
    </row>
    <row r="28098" ht="14.25" customHeight="1">
      <c r="A28098" s="740"/>
    </row>
    <row r="28099" ht="14.25" customHeight="1">
      <c r="A28099" s="740"/>
    </row>
    <row r="28100" ht="14.25" customHeight="1">
      <c r="A28100" s="740"/>
    </row>
    <row r="28101" ht="14.25" customHeight="1">
      <c r="A28101" s="740"/>
    </row>
    <row r="28102" ht="14.25" customHeight="1">
      <c r="A28102" s="740"/>
    </row>
    <row r="28103" ht="14.25" customHeight="1">
      <c r="A28103" s="740"/>
    </row>
    <row r="28104" ht="14.25" customHeight="1">
      <c r="A28104" s="740"/>
    </row>
    <row r="28105" ht="14.25" customHeight="1">
      <c r="A28105" s="740"/>
    </row>
    <row r="28106" ht="14.25" customHeight="1">
      <c r="A28106" s="740"/>
    </row>
    <row r="28107" ht="14.25" customHeight="1">
      <c r="A28107" s="740"/>
    </row>
    <row r="28108" ht="14.25" customHeight="1">
      <c r="A28108" s="740"/>
    </row>
    <row r="28109" ht="14.25" customHeight="1">
      <c r="A28109" s="740"/>
    </row>
    <row r="28110" ht="14.25" customHeight="1">
      <c r="A28110" s="740"/>
    </row>
    <row r="28111" ht="14.25" customHeight="1">
      <c r="A28111" s="740"/>
    </row>
    <row r="28112" ht="14.25" customHeight="1">
      <c r="A28112" s="740"/>
    </row>
    <row r="28113" ht="14.25" customHeight="1">
      <c r="A28113" s="740"/>
    </row>
    <row r="28114" ht="14.25" customHeight="1">
      <c r="A28114" s="740"/>
    </row>
    <row r="28115" ht="14.25" customHeight="1">
      <c r="A28115" s="740"/>
    </row>
    <row r="28116" ht="14.25" customHeight="1">
      <c r="A28116" s="740"/>
    </row>
    <row r="28117" ht="14.25" customHeight="1">
      <c r="A28117" s="740"/>
    </row>
    <row r="28118" ht="14.25" customHeight="1">
      <c r="A28118" s="740"/>
    </row>
    <row r="28119" ht="14.25" customHeight="1">
      <c r="A28119" s="740"/>
    </row>
    <row r="28120" ht="14.25" customHeight="1">
      <c r="A28120" s="740"/>
    </row>
    <row r="28121" ht="14.25" customHeight="1">
      <c r="A28121" s="740"/>
    </row>
    <row r="28122" ht="14.25" customHeight="1">
      <c r="A28122" s="740"/>
    </row>
    <row r="28123" ht="14.25" customHeight="1">
      <c r="A28123" s="740"/>
    </row>
    <row r="28124" ht="14.25" customHeight="1">
      <c r="A28124" s="740"/>
    </row>
    <row r="28125" ht="14.25" customHeight="1">
      <c r="A28125" s="740"/>
    </row>
    <row r="28126" ht="14.25" customHeight="1">
      <c r="A28126" s="740"/>
    </row>
    <row r="28127" ht="14.25" customHeight="1">
      <c r="A28127" s="740"/>
    </row>
    <row r="28128" ht="14.25" customHeight="1">
      <c r="A28128" s="740"/>
    </row>
    <row r="28129" ht="14.25" customHeight="1">
      <c r="A28129" s="740"/>
    </row>
    <row r="28130" ht="14.25" customHeight="1">
      <c r="A28130" s="740"/>
    </row>
    <row r="28131" ht="14.25" customHeight="1">
      <c r="A28131" s="740"/>
    </row>
    <row r="28132" ht="14.25" customHeight="1">
      <c r="A28132" s="740"/>
    </row>
    <row r="28133" ht="14.25" customHeight="1">
      <c r="A28133" s="740"/>
    </row>
    <row r="28134" ht="14.25" customHeight="1">
      <c r="A28134" s="740"/>
    </row>
    <row r="28135" ht="14.25" customHeight="1">
      <c r="A28135" s="740"/>
    </row>
    <row r="28136" ht="14.25" customHeight="1">
      <c r="A28136" s="740"/>
    </row>
    <row r="28137" ht="14.25" customHeight="1">
      <c r="A28137" s="740"/>
    </row>
    <row r="28138" ht="14.25" customHeight="1">
      <c r="A28138" s="740"/>
    </row>
    <row r="28139" ht="14.25" customHeight="1">
      <c r="A28139" s="740"/>
    </row>
    <row r="28140" ht="14.25" customHeight="1">
      <c r="A28140" s="740"/>
    </row>
    <row r="28141" ht="14.25" customHeight="1">
      <c r="A28141" s="740"/>
    </row>
    <row r="28142" ht="14.25" customHeight="1">
      <c r="A28142" s="740"/>
    </row>
    <row r="28143" ht="14.25" customHeight="1">
      <c r="A28143" s="740"/>
    </row>
    <row r="28144" ht="14.25" customHeight="1">
      <c r="A28144" s="740"/>
    </row>
    <row r="28145" ht="14.25" customHeight="1">
      <c r="A28145" s="740"/>
    </row>
    <row r="28146" ht="14.25" customHeight="1">
      <c r="A28146" s="740"/>
    </row>
    <row r="28147" ht="14.25" customHeight="1">
      <c r="A28147" s="740"/>
    </row>
    <row r="28148" ht="14.25" customHeight="1">
      <c r="A28148" s="740"/>
    </row>
    <row r="28149" ht="14.25" customHeight="1">
      <c r="A28149" s="740"/>
    </row>
    <row r="28150" ht="14.25" customHeight="1">
      <c r="A28150" s="740"/>
    </row>
    <row r="28151" ht="14.25" customHeight="1">
      <c r="A28151" s="740"/>
    </row>
    <row r="28152" ht="14.25" customHeight="1">
      <c r="A28152" s="740"/>
    </row>
    <row r="28153" ht="14.25" customHeight="1">
      <c r="A28153" s="740"/>
    </row>
    <row r="28154" ht="14.25" customHeight="1">
      <c r="A28154" s="740"/>
    </row>
    <row r="28155" ht="14.25" customHeight="1">
      <c r="A28155" s="740"/>
    </row>
    <row r="28156" ht="14.25" customHeight="1">
      <c r="A28156" s="740"/>
    </row>
    <row r="28157" ht="14.25" customHeight="1">
      <c r="A28157" s="740"/>
    </row>
    <row r="28158" ht="14.25" customHeight="1">
      <c r="A28158" s="740"/>
    </row>
    <row r="28159" ht="14.25" customHeight="1">
      <c r="A28159" s="740"/>
    </row>
    <row r="28160" ht="14.25" customHeight="1">
      <c r="A28160" s="740"/>
    </row>
    <row r="28161" ht="14.25" customHeight="1">
      <c r="A28161" s="740"/>
    </row>
    <row r="28162" ht="14.25" customHeight="1">
      <c r="A28162" s="740"/>
    </row>
    <row r="28163" ht="14.25" customHeight="1">
      <c r="A28163" s="740"/>
    </row>
    <row r="28164" ht="14.25" customHeight="1">
      <c r="A28164" s="740"/>
    </row>
    <row r="28165" ht="14.25" customHeight="1">
      <c r="A28165" s="740"/>
    </row>
    <row r="28166" ht="14.25" customHeight="1">
      <c r="A28166" s="740"/>
    </row>
    <row r="28167" ht="14.25" customHeight="1">
      <c r="A28167" s="740"/>
    </row>
    <row r="28168" ht="14.25" customHeight="1">
      <c r="A28168" s="740"/>
    </row>
    <row r="28169" ht="14.25" customHeight="1">
      <c r="A28169" s="740"/>
    </row>
    <row r="28170" ht="14.25" customHeight="1">
      <c r="A28170" s="740"/>
    </row>
    <row r="28171" ht="14.25" customHeight="1">
      <c r="A28171" s="740"/>
    </row>
    <row r="28172" ht="14.25" customHeight="1">
      <c r="A28172" s="740"/>
    </row>
    <row r="28173" ht="14.25" customHeight="1">
      <c r="A28173" s="740"/>
    </row>
    <row r="28174" ht="14.25" customHeight="1">
      <c r="A28174" s="740"/>
    </row>
    <row r="28175" ht="14.25" customHeight="1">
      <c r="A28175" s="740"/>
    </row>
    <row r="28176" ht="14.25" customHeight="1">
      <c r="A28176" s="740"/>
    </row>
    <row r="28177" ht="14.25" customHeight="1">
      <c r="A28177" s="740"/>
    </row>
    <row r="28178" ht="14.25" customHeight="1">
      <c r="A28178" s="740"/>
    </row>
    <row r="28179" ht="14.25" customHeight="1">
      <c r="A28179" s="740"/>
    </row>
    <row r="28180" ht="14.25" customHeight="1">
      <c r="A28180" s="740"/>
    </row>
    <row r="28181" ht="14.25" customHeight="1">
      <c r="A28181" s="740"/>
    </row>
    <row r="28182" ht="14.25" customHeight="1">
      <c r="A28182" s="740"/>
    </row>
    <row r="28183" ht="14.25" customHeight="1">
      <c r="A28183" s="740"/>
    </row>
    <row r="28184" ht="14.25" customHeight="1">
      <c r="A28184" s="740"/>
    </row>
    <row r="28185" ht="14.25" customHeight="1">
      <c r="A28185" s="740"/>
    </row>
    <row r="28186" ht="14.25" customHeight="1">
      <c r="A28186" s="740"/>
    </row>
    <row r="28187" ht="14.25" customHeight="1">
      <c r="A28187" s="740"/>
    </row>
    <row r="28188" ht="14.25" customHeight="1">
      <c r="A28188" s="740"/>
    </row>
    <row r="28189" ht="14.25" customHeight="1">
      <c r="A28189" s="740"/>
    </row>
    <row r="28190" ht="14.25" customHeight="1">
      <c r="A28190" s="740"/>
    </row>
    <row r="28191" ht="14.25" customHeight="1">
      <c r="A28191" s="740"/>
    </row>
    <row r="28192" ht="14.25" customHeight="1">
      <c r="A28192" s="740"/>
    </row>
    <row r="28193" ht="14.25" customHeight="1">
      <c r="A28193" s="740"/>
    </row>
    <row r="28194" ht="14.25" customHeight="1">
      <c r="A28194" s="740"/>
    </row>
    <row r="28195" ht="14.25" customHeight="1">
      <c r="A28195" s="740"/>
    </row>
    <row r="28196" ht="14.25" customHeight="1">
      <c r="A28196" s="740"/>
    </row>
    <row r="28197" ht="14.25" customHeight="1">
      <c r="A28197" s="740"/>
    </row>
    <row r="28198" ht="14.25" customHeight="1">
      <c r="A28198" s="740"/>
    </row>
    <row r="28199" ht="14.25" customHeight="1">
      <c r="A28199" s="740"/>
    </row>
    <row r="28200" ht="14.25" customHeight="1">
      <c r="A28200" s="740"/>
    </row>
    <row r="28201" ht="14.25" customHeight="1">
      <c r="A28201" s="740"/>
    </row>
    <row r="28202" ht="14.25" customHeight="1">
      <c r="A28202" s="740"/>
    </row>
    <row r="28203" ht="14.25" customHeight="1">
      <c r="A28203" s="740"/>
    </row>
    <row r="28204" ht="14.25" customHeight="1">
      <c r="A28204" s="740"/>
    </row>
    <row r="28205" ht="14.25" customHeight="1">
      <c r="A28205" s="740"/>
    </row>
    <row r="28206" ht="14.25" customHeight="1">
      <c r="A28206" s="740"/>
    </row>
    <row r="28207" ht="14.25" customHeight="1">
      <c r="A28207" s="740"/>
    </row>
    <row r="28208" ht="14.25" customHeight="1">
      <c r="A28208" s="740"/>
    </row>
    <row r="28209" ht="14.25" customHeight="1">
      <c r="A28209" s="740"/>
    </row>
    <row r="28210" ht="14.25" customHeight="1">
      <c r="A28210" s="740"/>
    </row>
    <row r="28211" ht="14.25" customHeight="1">
      <c r="A28211" s="740"/>
    </row>
    <row r="28212" ht="14.25" customHeight="1">
      <c r="A28212" s="740"/>
    </row>
    <row r="28213" ht="14.25" customHeight="1">
      <c r="A28213" s="740"/>
    </row>
    <row r="28214" ht="14.25" customHeight="1">
      <c r="A28214" s="740"/>
    </row>
    <row r="28215" ht="14.25" customHeight="1">
      <c r="A28215" s="740"/>
    </row>
    <row r="28216" ht="14.25" customHeight="1">
      <c r="A28216" s="740"/>
    </row>
    <row r="28217" ht="14.25" customHeight="1">
      <c r="A28217" s="740"/>
    </row>
    <row r="28218" ht="14.25" customHeight="1">
      <c r="A28218" s="740"/>
    </row>
    <row r="28219" ht="14.25" customHeight="1">
      <c r="A28219" s="740"/>
    </row>
    <row r="28220" ht="14.25" customHeight="1">
      <c r="A28220" s="740"/>
    </row>
    <row r="28221" ht="14.25" customHeight="1">
      <c r="A28221" s="740"/>
    </row>
    <row r="28222" ht="14.25" customHeight="1">
      <c r="A28222" s="740"/>
    </row>
    <row r="28223" ht="14.25" customHeight="1">
      <c r="A28223" s="740"/>
    </row>
    <row r="28224" ht="14.25" customHeight="1">
      <c r="A28224" s="740"/>
    </row>
    <row r="28225" ht="14.25" customHeight="1">
      <c r="A28225" s="740"/>
    </row>
    <row r="28226" ht="14.25" customHeight="1">
      <c r="A28226" s="740"/>
    </row>
    <row r="28227" ht="14.25" customHeight="1">
      <c r="A28227" s="740"/>
    </row>
    <row r="28228" ht="14.25" customHeight="1">
      <c r="A28228" s="740"/>
    </row>
    <row r="28229" ht="14.25" customHeight="1">
      <c r="A28229" s="740"/>
    </row>
    <row r="28230" ht="14.25" customHeight="1">
      <c r="A28230" s="740"/>
    </row>
    <row r="28231" ht="14.25" customHeight="1">
      <c r="A28231" s="740"/>
    </row>
    <row r="28232" ht="14.25" customHeight="1">
      <c r="A28232" s="740"/>
    </row>
    <row r="28233" ht="14.25" customHeight="1">
      <c r="A28233" s="740"/>
    </row>
    <row r="28234" ht="14.25" customHeight="1">
      <c r="A28234" s="740"/>
    </row>
    <row r="28235" ht="14.25" customHeight="1">
      <c r="A28235" s="740"/>
    </row>
    <row r="28236" ht="14.25" customHeight="1">
      <c r="A28236" s="740"/>
    </row>
    <row r="28237" ht="14.25" customHeight="1">
      <c r="A28237" s="740"/>
    </row>
    <row r="28238" ht="14.25" customHeight="1">
      <c r="A28238" s="740"/>
    </row>
    <row r="28239" ht="14.25" customHeight="1">
      <c r="A28239" s="740"/>
    </row>
    <row r="28240" ht="14.25" customHeight="1">
      <c r="A28240" s="740"/>
    </row>
    <row r="28241" ht="14.25" customHeight="1">
      <c r="A28241" s="740"/>
    </row>
    <row r="28242" ht="14.25" customHeight="1">
      <c r="A28242" s="740"/>
    </row>
    <row r="28243" ht="14.25" customHeight="1">
      <c r="A28243" s="740"/>
    </row>
    <row r="28244" ht="14.25" customHeight="1">
      <c r="A28244" s="740"/>
    </row>
    <row r="28245" ht="14.25" customHeight="1">
      <c r="A28245" s="740"/>
    </row>
    <row r="28246" ht="14.25" customHeight="1">
      <c r="A28246" s="740"/>
    </row>
    <row r="28247" ht="14.25" customHeight="1">
      <c r="A28247" s="740"/>
    </row>
    <row r="28248" ht="14.25" customHeight="1">
      <c r="A28248" s="740"/>
    </row>
    <row r="28249" ht="14.25" customHeight="1">
      <c r="A28249" s="740"/>
    </row>
    <row r="28250" ht="14.25" customHeight="1">
      <c r="A28250" s="740"/>
    </row>
    <row r="28251" ht="14.25" customHeight="1">
      <c r="A28251" s="740"/>
    </row>
    <row r="28252" ht="14.25" customHeight="1">
      <c r="A28252" s="740"/>
    </row>
    <row r="28253" ht="14.25" customHeight="1">
      <c r="A28253" s="740"/>
    </row>
    <row r="28254" ht="14.25" customHeight="1">
      <c r="A28254" s="740"/>
    </row>
    <row r="28255" ht="14.25" customHeight="1">
      <c r="A28255" s="740"/>
    </row>
    <row r="28256" ht="14.25" customHeight="1">
      <c r="A28256" s="740"/>
    </row>
    <row r="28257" ht="14.25" customHeight="1">
      <c r="A28257" s="740"/>
    </row>
    <row r="28258" ht="14.25" customHeight="1">
      <c r="A28258" s="740"/>
    </row>
    <row r="28259" ht="14.25" customHeight="1">
      <c r="A28259" s="740"/>
    </row>
    <row r="28260" ht="14.25" customHeight="1">
      <c r="A28260" s="740"/>
    </row>
    <row r="28261" ht="14.25" customHeight="1">
      <c r="A28261" s="740"/>
    </row>
    <row r="28262" ht="14.25" customHeight="1">
      <c r="A28262" s="740"/>
    </row>
    <row r="28263" ht="14.25" customHeight="1">
      <c r="A28263" s="740"/>
    </row>
    <row r="28264" ht="14.25" customHeight="1">
      <c r="A28264" s="740"/>
    </row>
    <row r="28265" ht="14.25" customHeight="1">
      <c r="A28265" s="740"/>
    </row>
    <row r="28266" ht="14.25" customHeight="1">
      <c r="A28266" s="740"/>
    </row>
    <row r="28267" ht="14.25" customHeight="1">
      <c r="A28267" s="740"/>
    </row>
    <row r="28268" ht="14.25" customHeight="1">
      <c r="A28268" s="740"/>
    </row>
    <row r="28269" ht="14.25" customHeight="1">
      <c r="A28269" s="740"/>
    </row>
    <row r="28270" ht="14.25" customHeight="1">
      <c r="A28270" s="740"/>
    </row>
    <row r="28271" ht="14.25" customHeight="1">
      <c r="A28271" s="740"/>
    </row>
    <row r="28272" ht="14.25" customHeight="1">
      <c r="A28272" s="740"/>
    </row>
    <row r="28273" ht="14.25" customHeight="1">
      <c r="A28273" s="740"/>
    </row>
    <row r="28274" ht="14.25" customHeight="1">
      <c r="A28274" s="740"/>
    </row>
    <row r="28275" ht="14.25" customHeight="1">
      <c r="A28275" s="740"/>
    </row>
    <row r="28276" ht="14.25" customHeight="1">
      <c r="A28276" s="740"/>
    </row>
    <row r="28277" ht="14.25" customHeight="1">
      <c r="A28277" s="740"/>
    </row>
    <row r="28278" ht="14.25" customHeight="1">
      <c r="A28278" s="740"/>
    </row>
    <row r="28279" ht="14.25" customHeight="1">
      <c r="A28279" s="740"/>
    </row>
    <row r="28280" ht="14.25" customHeight="1">
      <c r="A28280" s="740"/>
    </row>
    <row r="28281" ht="14.25" customHeight="1">
      <c r="A28281" s="740"/>
    </row>
    <row r="28282" ht="14.25" customHeight="1">
      <c r="A28282" s="740"/>
    </row>
    <row r="28283" ht="14.25" customHeight="1">
      <c r="A28283" s="740"/>
    </row>
    <row r="28284" ht="14.25" customHeight="1">
      <c r="A28284" s="740"/>
    </row>
    <row r="28285" ht="14.25" customHeight="1">
      <c r="A28285" s="740"/>
    </row>
    <row r="28286" ht="14.25" customHeight="1">
      <c r="A28286" s="740"/>
    </row>
    <row r="28287" ht="14.25" customHeight="1">
      <c r="A28287" s="740"/>
    </row>
    <row r="28288" ht="14.25" customHeight="1">
      <c r="A28288" s="740"/>
    </row>
    <row r="28289" ht="14.25" customHeight="1">
      <c r="A28289" s="740"/>
    </row>
    <row r="28290" ht="14.25" customHeight="1">
      <c r="A28290" s="740"/>
    </row>
    <row r="28291" ht="14.25" customHeight="1">
      <c r="A28291" s="740"/>
    </row>
    <row r="28292" ht="14.25" customHeight="1">
      <c r="A28292" s="740"/>
    </row>
    <row r="28293" ht="14.25" customHeight="1">
      <c r="A28293" s="740"/>
    </row>
    <row r="28294" ht="14.25" customHeight="1">
      <c r="A28294" s="740"/>
    </row>
    <row r="28295" ht="14.25" customHeight="1">
      <c r="A28295" s="740"/>
    </row>
    <row r="28296" ht="14.25" customHeight="1">
      <c r="A28296" s="740"/>
    </row>
    <row r="28297" ht="14.25" customHeight="1">
      <c r="A28297" s="740"/>
    </row>
    <row r="28298" ht="14.25" customHeight="1">
      <c r="A28298" s="740"/>
    </row>
    <row r="28299" ht="14.25" customHeight="1">
      <c r="A28299" s="740"/>
    </row>
    <row r="28300" ht="14.25" customHeight="1">
      <c r="A28300" s="740"/>
    </row>
    <row r="28301" ht="14.25" customHeight="1">
      <c r="A28301" s="740"/>
    </row>
    <row r="28302" ht="14.25" customHeight="1">
      <c r="A28302" s="740"/>
    </row>
    <row r="28303" ht="14.25" customHeight="1">
      <c r="A28303" s="740"/>
    </row>
    <row r="28304" ht="14.25" customHeight="1">
      <c r="A28304" s="740"/>
    </row>
    <row r="28305" ht="14.25" customHeight="1">
      <c r="A28305" s="740"/>
    </row>
    <row r="28306" ht="14.25" customHeight="1">
      <c r="A28306" s="740"/>
    </row>
    <row r="28307" ht="14.25" customHeight="1">
      <c r="A28307" s="740"/>
    </row>
    <row r="28308" ht="14.25" customHeight="1">
      <c r="A28308" s="740"/>
    </row>
    <row r="28309" ht="14.25" customHeight="1">
      <c r="A28309" s="740"/>
    </row>
    <row r="28310" ht="14.25" customHeight="1">
      <c r="A28310" s="740"/>
    </row>
    <row r="28311" ht="14.25" customHeight="1">
      <c r="A28311" s="740"/>
    </row>
    <row r="28312" ht="14.25" customHeight="1">
      <c r="A28312" s="740"/>
    </row>
    <row r="28313" ht="14.25" customHeight="1">
      <c r="A28313" s="740"/>
    </row>
    <row r="28314" ht="14.25" customHeight="1">
      <c r="A28314" s="740"/>
    </row>
    <row r="28315" ht="14.25" customHeight="1">
      <c r="A28315" s="740"/>
    </row>
    <row r="28316" ht="14.25" customHeight="1">
      <c r="A28316" s="740"/>
    </row>
    <row r="28317" ht="14.25" customHeight="1">
      <c r="A28317" s="740"/>
    </row>
    <row r="28318" ht="14.25" customHeight="1">
      <c r="A28318" s="740"/>
    </row>
    <row r="28319" ht="14.25" customHeight="1">
      <c r="A28319" s="740"/>
    </row>
    <row r="28320" ht="14.25" customHeight="1">
      <c r="A28320" s="740"/>
    </row>
    <row r="28321" ht="14.25" customHeight="1">
      <c r="A28321" s="740"/>
    </row>
    <row r="28322" ht="14.25" customHeight="1">
      <c r="A28322" s="740"/>
    </row>
    <row r="28323" ht="14.25" customHeight="1">
      <c r="A28323" s="740"/>
    </row>
    <row r="28324" ht="14.25" customHeight="1">
      <c r="A28324" s="740"/>
    </row>
    <row r="28325" ht="14.25" customHeight="1">
      <c r="A28325" s="740"/>
    </row>
    <row r="28326" ht="14.25" customHeight="1">
      <c r="A28326" s="740"/>
    </row>
    <row r="28327" ht="14.25" customHeight="1">
      <c r="A28327" s="740"/>
    </row>
    <row r="28328" ht="14.25" customHeight="1">
      <c r="A28328" s="740"/>
    </row>
    <row r="28329" ht="14.25" customHeight="1">
      <c r="A28329" s="740"/>
    </row>
    <row r="28330" ht="14.25" customHeight="1">
      <c r="A28330" s="740"/>
    </row>
    <row r="28331" ht="14.25" customHeight="1">
      <c r="A28331" s="740"/>
    </row>
    <row r="28332" ht="14.25" customHeight="1">
      <c r="A28332" s="740"/>
    </row>
    <row r="28333" ht="14.25" customHeight="1">
      <c r="A28333" s="740"/>
    </row>
    <row r="28334" ht="14.25" customHeight="1">
      <c r="A28334" s="740"/>
    </row>
    <row r="28335" ht="14.25" customHeight="1">
      <c r="A28335" s="740"/>
    </row>
    <row r="28336" ht="14.25" customHeight="1">
      <c r="A28336" s="740"/>
    </row>
    <row r="28337" ht="14.25" customHeight="1">
      <c r="A28337" s="740"/>
    </row>
    <row r="28338" ht="14.25" customHeight="1">
      <c r="A28338" s="740"/>
    </row>
    <row r="28339" ht="14.25" customHeight="1">
      <c r="A28339" s="740"/>
    </row>
    <row r="28340" ht="14.25" customHeight="1">
      <c r="A28340" s="740"/>
    </row>
    <row r="28341" ht="14.25" customHeight="1">
      <c r="A28341" s="740"/>
    </row>
    <row r="28342" ht="14.25" customHeight="1">
      <c r="A28342" s="740"/>
    </row>
    <row r="28343" ht="14.25" customHeight="1">
      <c r="A28343" s="740"/>
    </row>
    <row r="28344" ht="14.25" customHeight="1">
      <c r="A28344" s="740"/>
    </row>
    <row r="28345" ht="14.25" customHeight="1">
      <c r="A28345" s="740"/>
    </row>
    <row r="28346" ht="14.25" customHeight="1">
      <c r="A28346" s="740"/>
    </row>
    <row r="28347" ht="14.25" customHeight="1">
      <c r="A28347" s="740"/>
    </row>
    <row r="28348" ht="14.25" customHeight="1">
      <c r="A28348" s="740"/>
    </row>
    <row r="28349" ht="14.25" customHeight="1">
      <c r="A28349" s="740"/>
    </row>
    <row r="28350" ht="14.25" customHeight="1">
      <c r="A28350" s="740"/>
    </row>
    <row r="28351" ht="14.25" customHeight="1">
      <c r="A28351" s="740"/>
    </row>
    <row r="28352" ht="14.25" customHeight="1">
      <c r="A28352" s="740"/>
    </row>
    <row r="28353" ht="14.25" customHeight="1">
      <c r="A28353" s="740"/>
    </row>
    <row r="28354" ht="14.25" customHeight="1">
      <c r="A28354" s="740"/>
    </row>
    <row r="28355" ht="14.25" customHeight="1">
      <c r="A28355" s="740"/>
    </row>
    <row r="28356" ht="14.25" customHeight="1">
      <c r="A28356" s="740"/>
    </row>
    <row r="28357" ht="14.25" customHeight="1">
      <c r="A28357" s="740"/>
    </row>
    <row r="28358" ht="14.25" customHeight="1">
      <c r="A28358" s="740"/>
    </row>
    <row r="28359" ht="14.25" customHeight="1">
      <c r="A28359" s="740"/>
    </row>
    <row r="28360" ht="14.25" customHeight="1">
      <c r="A28360" s="740"/>
    </row>
    <row r="28361" ht="14.25" customHeight="1">
      <c r="A28361" s="740"/>
    </row>
    <row r="28362" ht="14.25" customHeight="1">
      <c r="A28362" s="740"/>
    </row>
    <row r="28363" ht="14.25" customHeight="1">
      <c r="A28363" s="740"/>
    </row>
    <row r="28364" ht="14.25" customHeight="1">
      <c r="A28364" s="740"/>
    </row>
    <row r="28365" ht="14.25" customHeight="1">
      <c r="A28365" s="740"/>
    </row>
    <row r="28366" ht="14.25" customHeight="1">
      <c r="A28366" s="740"/>
    </row>
    <row r="28367" ht="14.25" customHeight="1">
      <c r="A28367" s="740"/>
    </row>
    <row r="28368" ht="14.25" customHeight="1">
      <c r="A28368" s="740"/>
    </row>
    <row r="28369" ht="14.25" customHeight="1">
      <c r="A28369" s="740"/>
    </row>
    <row r="28370" ht="14.25" customHeight="1">
      <c r="A28370" s="740"/>
    </row>
    <row r="28371" ht="14.25" customHeight="1">
      <c r="A28371" s="740"/>
    </row>
    <row r="28372" ht="14.25" customHeight="1">
      <c r="A28372" s="740"/>
    </row>
    <row r="28373" ht="14.25" customHeight="1">
      <c r="A28373" s="740"/>
    </row>
    <row r="28374" ht="14.25" customHeight="1">
      <c r="A28374" s="740"/>
    </row>
    <row r="28375" ht="14.25" customHeight="1">
      <c r="A28375" s="740"/>
    </row>
    <row r="28376" ht="14.25" customHeight="1">
      <c r="A28376" s="740"/>
    </row>
    <row r="28377" ht="14.25" customHeight="1">
      <c r="A28377" s="740"/>
    </row>
    <row r="28378" ht="14.25" customHeight="1">
      <c r="A28378" s="740"/>
    </row>
    <row r="28379" ht="14.25" customHeight="1">
      <c r="A28379" s="740"/>
    </row>
    <row r="28380" ht="14.25" customHeight="1">
      <c r="A28380" s="740"/>
    </row>
    <row r="28381" ht="14.25" customHeight="1">
      <c r="A28381" s="740"/>
    </row>
    <row r="28382" ht="14.25" customHeight="1">
      <c r="A28382" s="740"/>
    </row>
    <row r="28383" ht="14.25" customHeight="1">
      <c r="A28383" s="740"/>
    </row>
    <row r="28384" ht="14.25" customHeight="1">
      <c r="A28384" s="740"/>
    </row>
    <row r="28385" ht="14.25" customHeight="1">
      <c r="A28385" s="740"/>
    </row>
    <row r="28386" ht="14.25" customHeight="1">
      <c r="A28386" s="740"/>
    </row>
    <row r="28387" ht="14.25" customHeight="1">
      <c r="A28387" s="740"/>
    </row>
    <row r="28388" ht="14.25" customHeight="1">
      <c r="A28388" s="740"/>
    </row>
    <row r="28389" ht="14.25" customHeight="1">
      <c r="A28389" s="740"/>
    </row>
    <row r="28390" ht="14.25" customHeight="1">
      <c r="A28390" s="740"/>
    </row>
    <row r="28391" ht="14.25" customHeight="1">
      <c r="A28391" s="740"/>
    </row>
    <row r="28392" ht="14.25" customHeight="1">
      <c r="A28392" s="740"/>
    </row>
    <row r="28393" ht="14.25" customHeight="1">
      <c r="A28393" s="740"/>
    </row>
    <row r="28394" ht="14.25" customHeight="1">
      <c r="A28394" s="740"/>
    </row>
    <row r="28395" ht="14.25" customHeight="1">
      <c r="A28395" s="740"/>
    </row>
    <row r="28396" ht="14.25" customHeight="1">
      <c r="A28396" s="740"/>
    </row>
    <row r="28397" ht="14.25" customHeight="1">
      <c r="A28397" s="740"/>
    </row>
    <row r="28398" ht="14.25" customHeight="1">
      <c r="A28398" s="740"/>
    </row>
    <row r="28399" ht="14.25" customHeight="1">
      <c r="A28399" s="740"/>
    </row>
    <row r="28400" ht="14.25" customHeight="1">
      <c r="A28400" s="740"/>
    </row>
    <row r="28401" ht="14.25" customHeight="1">
      <c r="A28401" s="740"/>
    </row>
    <row r="28402" ht="14.25" customHeight="1">
      <c r="A28402" s="740"/>
    </row>
    <row r="28403" ht="14.25" customHeight="1">
      <c r="A28403" s="740"/>
    </row>
    <row r="28404" ht="14.25" customHeight="1">
      <c r="A28404" s="740"/>
    </row>
    <row r="28405" ht="14.25" customHeight="1">
      <c r="A28405" s="740"/>
    </row>
    <row r="28406" ht="14.25" customHeight="1">
      <c r="A28406" s="740"/>
    </row>
    <row r="28407" ht="14.25" customHeight="1">
      <c r="A28407" s="740"/>
    </row>
    <row r="28408" ht="14.25" customHeight="1">
      <c r="A28408" s="740"/>
    </row>
    <row r="28409" ht="14.25" customHeight="1">
      <c r="A28409" s="740"/>
    </row>
    <row r="28410" ht="14.25" customHeight="1">
      <c r="A28410" s="740"/>
    </row>
    <row r="28411" ht="14.25" customHeight="1">
      <c r="A28411" s="740"/>
    </row>
    <row r="28412" ht="14.25" customHeight="1">
      <c r="A28412" s="740"/>
    </row>
    <row r="28413" ht="14.25" customHeight="1">
      <c r="A28413" s="740"/>
    </row>
    <row r="28414" ht="14.25" customHeight="1">
      <c r="A28414" s="740"/>
    </row>
    <row r="28415" ht="14.25" customHeight="1">
      <c r="A28415" s="740"/>
    </row>
    <row r="28416" ht="14.25" customHeight="1">
      <c r="A28416" s="740"/>
    </row>
    <row r="28417" ht="14.25" customHeight="1">
      <c r="A28417" s="740"/>
    </row>
    <row r="28418" ht="14.25" customHeight="1">
      <c r="A28418" s="740"/>
    </row>
    <row r="28419" ht="14.25" customHeight="1">
      <c r="A28419" s="740"/>
    </row>
    <row r="28420" ht="14.25" customHeight="1">
      <c r="A28420" s="740"/>
    </row>
    <row r="28421" ht="14.25" customHeight="1">
      <c r="A28421" s="740"/>
    </row>
    <row r="28422" ht="14.25" customHeight="1">
      <c r="A28422" s="740"/>
    </row>
    <row r="28423" ht="14.25" customHeight="1">
      <c r="A28423" s="740"/>
    </row>
    <row r="28424" ht="14.25" customHeight="1">
      <c r="A28424" s="740"/>
    </row>
    <row r="28425" ht="14.25" customHeight="1">
      <c r="A28425" s="740"/>
    </row>
    <row r="28426" ht="14.25" customHeight="1">
      <c r="A28426" s="740"/>
    </row>
    <row r="28427" ht="14.25" customHeight="1">
      <c r="A28427" s="740"/>
    </row>
    <row r="28428" ht="14.25" customHeight="1">
      <c r="A28428" s="740"/>
    </row>
    <row r="28429" ht="14.25" customHeight="1">
      <c r="A28429" s="740"/>
    </row>
    <row r="28430" ht="14.25" customHeight="1">
      <c r="A28430" s="740"/>
    </row>
    <row r="28431" ht="14.25" customHeight="1">
      <c r="A28431" s="740"/>
    </row>
    <row r="28432" ht="14.25" customHeight="1">
      <c r="A28432" s="740"/>
    </row>
    <row r="28433" ht="14.25" customHeight="1">
      <c r="A28433" s="740"/>
    </row>
    <row r="28434" ht="14.25" customHeight="1">
      <c r="A28434" s="740"/>
    </row>
    <row r="28435" ht="14.25" customHeight="1">
      <c r="A28435" s="740"/>
    </row>
    <row r="28436" ht="14.25" customHeight="1">
      <c r="A28436" s="740"/>
    </row>
    <row r="28437" ht="14.25" customHeight="1">
      <c r="A28437" s="740"/>
    </row>
    <row r="28438" ht="14.25" customHeight="1">
      <c r="A28438" s="740"/>
    </row>
    <row r="28439" ht="14.25" customHeight="1">
      <c r="A28439" s="740"/>
    </row>
    <row r="28440" ht="14.25" customHeight="1">
      <c r="A28440" s="740"/>
    </row>
    <row r="28441" ht="14.25" customHeight="1">
      <c r="A28441" s="740"/>
    </row>
    <row r="28442" ht="14.25" customHeight="1">
      <c r="A28442" s="740"/>
    </row>
    <row r="28443" ht="14.25" customHeight="1">
      <c r="A28443" s="740"/>
    </row>
    <row r="28444" ht="14.25" customHeight="1">
      <c r="A28444" s="740"/>
    </row>
    <row r="28445" ht="14.25" customHeight="1">
      <c r="A28445" s="740"/>
    </row>
    <row r="28446" ht="14.25" customHeight="1">
      <c r="A28446" s="740"/>
    </row>
    <row r="28447" ht="14.25" customHeight="1">
      <c r="A28447" s="740"/>
    </row>
    <row r="28448" ht="14.25" customHeight="1">
      <c r="A28448" s="740"/>
    </row>
    <row r="28449" ht="14.25" customHeight="1">
      <c r="A28449" s="740"/>
    </row>
    <row r="28450" ht="14.25" customHeight="1">
      <c r="A28450" s="740"/>
    </row>
    <row r="28451" ht="14.25" customHeight="1">
      <c r="A28451" s="740"/>
    </row>
    <row r="28452" ht="14.25" customHeight="1">
      <c r="A28452" s="740"/>
    </row>
    <row r="28453" ht="14.25" customHeight="1">
      <c r="A28453" s="740"/>
    </row>
    <row r="28454" ht="14.25" customHeight="1">
      <c r="A28454" s="740"/>
    </row>
    <row r="28455" ht="14.25" customHeight="1">
      <c r="A28455" s="740"/>
    </row>
    <row r="28456" ht="14.25" customHeight="1">
      <c r="A28456" s="740"/>
    </row>
    <row r="28457" ht="14.25" customHeight="1">
      <c r="A28457" s="740"/>
    </row>
    <row r="28458" ht="14.25" customHeight="1">
      <c r="A28458" s="740"/>
    </row>
    <row r="28459" ht="14.25" customHeight="1">
      <c r="A28459" s="740"/>
    </row>
    <row r="28460" ht="14.25" customHeight="1">
      <c r="A28460" s="740"/>
    </row>
    <row r="28461" ht="14.25" customHeight="1">
      <c r="A28461" s="740"/>
    </row>
    <row r="28462" ht="14.25" customHeight="1">
      <c r="A28462" s="740"/>
    </row>
    <row r="28463" ht="14.25" customHeight="1">
      <c r="A28463" s="740"/>
    </row>
    <row r="28464" ht="14.25" customHeight="1">
      <c r="A28464" s="740"/>
    </row>
    <row r="28465" ht="14.25" customHeight="1">
      <c r="A28465" s="740"/>
    </row>
    <row r="28466" ht="14.25" customHeight="1">
      <c r="A28466" s="740"/>
    </row>
    <row r="28467" ht="14.25" customHeight="1">
      <c r="A28467" s="740"/>
    </row>
    <row r="28468" ht="14.25" customHeight="1">
      <c r="A28468" s="740"/>
    </row>
    <row r="28469" ht="14.25" customHeight="1">
      <c r="A28469" s="740"/>
    </row>
    <row r="28470" ht="14.25" customHeight="1">
      <c r="A28470" s="740"/>
    </row>
    <row r="28471" ht="14.25" customHeight="1">
      <c r="A28471" s="740"/>
    </row>
    <row r="28472" ht="14.25" customHeight="1">
      <c r="A28472" s="740"/>
    </row>
    <row r="28473" ht="14.25" customHeight="1">
      <c r="A28473" s="740"/>
    </row>
    <row r="28474" ht="14.25" customHeight="1">
      <c r="A28474" s="740"/>
    </row>
    <row r="28475" ht="14.25" customHeight="1">
      <c r="A28475" s="740"/>
    </row>
    <row r="28476" ht="14.25" customHeight="1">
      <c r="A28476" s="740"/>
    </row>
    <row r="28477" ht="14.25" customHeight="1">
      <c r="A28477" s="740"/>
    </row>
    <row r="28478" ht="14.25" customHeight="1">
      <c r="A28478" s="740"/>
    </row>
    <row r="28479" ht="14.25" customHeight="1">
      <c r="A28479" s="740"/>
    </row>
    <row r="28480" ht="14.25" customHeight="1">
      <c r="A28480" s="740"/>
    </row>
    <row r="28481" ht="14.25" customHeight="1">
      <c r="A28481" s="740"/>
    </row>
    <row r="28482" ht="14.25" customHeight="1">
      <c r="A28482" s="740"/>
    </row>
    <row r="28483" ht="14.25" customHeight="1">
      <c r="A28483" s="740"/>
    </row>
    <row r="28484" ht="14.25" customHeight="1">
      <c r="A28484" s="740"/>
    </row>
    <row r="28485" ht="14.25" customHeight="1">
      <c r="A28485" s="740"/>
    </row>
    <row r="28486" ht="14.25" customHeight="1">
      <c r="A28486" s="740"/>
    </row>
    <row r="28487" ht="14.25" customHeight="1">
      <c r="A28487" s="740"/>
    </row>
    <row r="28488" ht="14.25" customHeight="1">
      <c r="A28488" s="740"/>
    </row>
    <row r="28489" ht="14.25" customHeight="1">
      <c r="A28489" s="740"/>
    </row>
    <row r="28490" ht="14.25" customHeight="1">
      <c r="A28490" s="740"/>
    </row>
    <row r="28491" ht="14.25" customHeight="1">
      <c r="A28491" s="740"/>
    </row>
    <row r="28492" ht="14.25" customHeight="1">
      <c r="A28492" s="740"/>
    </row>
    <row r="28493" ht="14.25" customHeight="1">
      <c r="A28493" s="740"/>
    </row>
    <row r="28494" ht="14.25" customHeight="1">
      <c r="A28494" s="740"/>
    </row>
    <row r="28495" ht="14.25" customHeight="1">
      <c r="A28495" s="740"/>
    </row>
    <row r="28496" ht="14.25" customHeight="1">
      <c r="A28496" s="740"/>
    </row>
    <row r="28497" ht="14.25" customHeight="1">
      <c r="A28497" s="740"/>
    </row>
    <row r="28498" ht="14.25" customHeight="1">
      <c r="A28498" s="740"/>
    </row>
    <row r="28499" ht="14.25" customHeight="1">
      <c r="A28499" s="740"/>
    </row>
    <row r="28500" ht="14.25" customHeight="1">
      <c r="A28500" s="740"/>
    </row>
    <row r="28501" ht="14.25" customHeight="1">
      <c r="A28501" s="740"/>
    </row>
    <row r="28502" ht="14.25" customHeight="1">
      <c r="A28502" s="740"/>
    </row>
    <row r="28503" ht="14.25" customHeight="1">
      <c r="A28503" s="740"/>
    </row>
    <row r="28504" ht="14.25" customHeight="1">
      <c r="A28504" s="740"/>
    </row>
    <row r="28505" ht="14.25" customHeight="1">
      <c r="A28505" s="740"/>
    </row>
    <row r="28506" ht="14.25" customHeight="1">
      <c r="A28506" s="740"/>
    </row>
    <row r="28507" ht="14.25" customHeight="1">
      <c r="A28507" s="740"/>
    </row>
    <row r="28508" ht="14.25" customHeight="1">
      <c r="A28508" s="740"/>
    </row>
    <row r="28509" ht="14.25" customHeight="1">
      <c r="A28509" s="740"/>
    </row>
    <row r="28510" ht="14.25" customHeight="1">
      <c r="A28510" s="740"/>
    </row>
    <row r="28511" ht="14.25" customHeight="1">
      <c r="A28511" s="740"/>
    </row>
    <row r="28512" ht="14.25" customHeight="1">
      <c r="A28512" s="740"/>
    </row>
    <row r="28513" ht="14.25" customHeight="1">
      <c r="A28513" s="740"/>
    </row>
    <row r="28514" ht="14.25" customHeight="1">
      <c r="A28514" s="740"/>
    </row>
    <row r="28515" ht="14.25" customHeight="1">
      <c r="A28515" s="740"/>
    </row>
    <row r="28516" ht="14.25" customHeight="1">
      <c r="A28516" s="740"/>
    </row>
    <row r="28517" ht="14.25" customHeight="1">
      <c r="A28517" s="740"/>
    </row>
    <row r="28518" ht="14.25" customHeight="1">
      <c r="A28518" s="740"/>
    </row>
    <row r="28519" ht="14.25" customHeight="1">
      <c r="A28519" s="740"/>
    </row>
    <row r="28520" ht="14.25" customHeight="1">
      <c r="A28520" s="740"/>
    </row>
    <row r="28521" ht="14.25" customHeight="1">
      <c r="A28521" s="740"/>
    </row>
    <row r="28522" ht="14.25" customHeight="1">
      <c r="A28522" s="740"/>
    </row>
    <row r="28523" ht="14.25" customHeight="1">
      <c r="A28523" s="740"/>
    </row>
    <row r="28524" ht="14.25" customHeight="1">
      <c r="A28524" s="740"/>
    </row>
    <row r="28525" ht="14.25" customHeight="1">
      <c r="A28525" s="740"/>
    </row>
    <row r="28526" ht="14.25" customHeight="1">
      <c r="A28526" s="740"/>
    </row>
    <row r="28527" ht="14.25" customHeight="1">
      <c r="A28527" s="740"/>
    </row>
    <row r="28528" ht="14.25" customHeight="1">
      <c r="A28528" s="740"/>
    </row>
    <row r="28529" ht="14.25" customHeight="1">
      <c r="A28529" s="740"/>
    </row>
    <row r="28530" ht="14.25" customHeight="1">
      <c r="A28530" s="740"/>
    </row>
    <row r="28531" ht="14.25" customHeight="1">
      <c r="A28531" s="740"/>
    </row>
    <row r="28532" ht="14.25" customHeight="1">
      <c r="A28532" s="740"/>
    </row>
    <row r="28533" ht="14.25" customHeight="1">
      <c r="A28533" s="740"/>
    </row>
    <row r="28534" ht="14.25" customHeight="1">
      <c r="A28534" s="740"/>
    </row>
    <row r="28535" ht="14.25" customHeight="1">
      <c r="A28535" s="740"/>
    </row>
    <row r="28536" ht="14.25" customHeight="1">
      <c r="A28536" s="740"/>
    </row>
    <row r="28537" ht="14.25" customHeight="1">
      <c r="A28537" s="740"/>
    </row>
    <row r="28538" ht="14.25" customHeight="1">
      <c r="A28538" s="740"/>
    </row>
    <row r="28539" ht="14.25" customHeight="1">
      <c r="A28539" s="740"/>
    </row>
    <row r="28540" ht="14.25" customHeight="1">
      <c r="A28540" s="740"/>
    </row>
    <row r="28541" ht="14.25" customHeight="1">
      <c r="A28541" s="740"/>
    </row>
    <row r="28542" ht="14.25" customHeight="1">
      <c r="A28542" s="740"/>
    </row>
    <row r="28543" ht="14.25" customHeight="1">
      <c r="A28543" s="740"/>
    </row>
    <row r="28544" ht="14.25" customHeight="1">
      <c r="A28544" s="740"/>
    </row>
    <row r="28545" ht="14.25" customHeight="1">
      <c r="A28545" s="740"/>
    </row>
    <row r="28546" ht="14.25" customHeight="1">
      <c r="A28546" s="740"/>
    </row>
    <row r="28547" ht="14.25" customHeight="1">
      <c r="A28547" s="740"/>
    </row>
    <row r="28548" ht="14.25" customHeight="1">
      <c r="A28548" s="740"/>
    </row>
    <row r="28549" ht="14.25" customHeight="1">
      <c r="A28549" s="740"/>
    </row>
    <row r="28550" ht="14.25" customHeight="1">
      <c r="A28550" s="740"/>
    </row>
    <row r="28551" ht="14.25" customHeight="1">
      <c r="A28551" s="740"/>
    </row>
    <row r="28552" ht="14.25" customHeight="1">
      <c r="A28552" s="740"/>
    </row>
    <row r="28553" ht="14.25" customHeight="1">
      <c r="A28553" s="740"/>
    </row>
    <row r="28554" ht="14.25" customHeight="1">
      <c r="A28554" s="740"/>
    </row>
    <row r="28555" ht="14.25" customHeight="1">
      <c r="A28555" s="740"/>
    </row>
    <row r="28556" ht="14.25" customHeight="1">
      <c r="A28556" s="740"/>
    </row>
    <row r="28557" ht="14.25" customHeight="1">
      <c r="A28557" s="740"/>
    </row>
    <row r="28558" ht="14.25" customHeight="1">
      <c r="A28558" s="740"/>
    </row>
    <row r="28559" ht="14.25" customHeight="1">
      <c r="A28559" s="740"/>
    </row>
    <row r="28560" ht="14.25" customHeight="1">
      <c r="A28560" s="740"/>
    </row>
    <row r="28561" ht="14.25" customHeight="1">
      <c r="A28561" s="740"/>
    </row>
    <row r="28562" ht="14.25" customHeight="1">
      <c r="A28562" s="740"/>
    </row>
    <row r="28563" ht="14.25" customHeight="1">
      <c r="A28563" s="740"/>
    </row>
    <row r="28564" ht="14.25" customHeight="1">
      <c r="A28564" s="740"/>
    </row>
    <row r="28565" ht="14.25" customHeight="1">
      <c r="A28565" s="740"/>
    </row>
    <row r="28566" ht="14.25" customHeight="1">
      <c r="A28566" s="740"/>
    </row>
    <row r="28567" ht="14.25" customHeight="1">
      <c r="A28567" s="740"/>
    </row>
    <row r="28568" ht="14.25" customHeight="1">
      <c r="A28568" s="740"/>
    </row>
    <row r="28569" ht="14.25" customHeight="1">
      <c r="A28569" s="740"/>
    </row>
    <row r="28570" ht="14.25" customHeight="1">
      <c r="A28570" s="740"/>
    </row>
    <row r="28571" ht="14.25" customHeight="1">
      <c r="A28571" s="740"/>
    </row>
    <row r="28572" ht="14.25" customHeight="1">
      <c r="A28572" s="740"/>
    </row>
    <row r="28573" ht="14.25" customHeight="1">
      <c r="A28573" s="740"/>
    </row>
    <row r="28574" ht="14.25" customHeight="1">
      <c r="A28574" s="740"/>
    </row>
    <row r="28575" ht="14.25" customHeight="1">
      <c r="A28575" s="740"/>
    </row>
    <row r="28576" ht="14.25" customHeight="1">
      <c r="A28576" s="740"/>
    </row>
    <row r="28577" ht="14.25" customHeight="1">
      <c r="A28577" s="740"/>
    </row>
    <row r="28578" ht="14.25" customHeight="1">
      <c r="A28578" s="740"/>
    </row>
    <row r="28579" ht="14.25" customHeight="1">
      <c r="A28579" s="740"/>
    </row>
    <row r="28580" ht="14.25" customHeight="1">
      <c r="A28580" s="740"/>
    </row>
    <row r="28581" ht="14.25" customHeight="1">
      <c r="A28581" s="740"/>
    </row>
    <row r="28582" ht="14.25" customHeight="1">
      <c r="A28582" s="740"/>
    </row>
    <row r="28583" ht="14.25" customHeight="1">
      <c r="A28583" s="740"/>
    </row>
    <row r="28584" ht="14.25" customHeight="1">
      <c r="A28584" s="740"/>
    </row>
    <row r="28585" ht="14.25" customHeight="1">
      <c r="A28585" s="740"/>
    </row>
    <row r="28586" ht="14.25" customHeight="1">
      <c r="A28586" s="740"/>
    </row>
    <row r="28587" ht="14.25" customHeight="1">
      <c r="A28587" s="740"/>
    </row>
    <row r="28588" ht="14.25" customHeight="1">
      <c r="A28588" s="740"/>
    </row>
    <row r="28589" ht="14.25" customHeight="1">
      <c r="A28589" s="740"/>
    </row>
    <row r="28590" ht="14.25" customHeight="1">
      <c r="A28590" s="740"/>
    </row>
    <row r="28591" ht="14.25" customHeight="1">
      <c r="A28591" s="740"/>
    </row>
    <row r="28592" ht="14.25" customHeight="1">
      <c r="A28592" s="740"/>
    </row>
    <row r="28593" ht="14.25" customHeight="1">
      <c r="A28593" s="740"/>
    </row>
    <row r="28594" ht="14.25" customHeight="1">
      <c r="A28594" s="740"/>
    </row>
    <row r="28595" ht="14.25" customHeight="1">
      <c r="A28595" s="740"/>
    </row>
    <row r="28596" ht="14.25" customHeight="1">
      <c r="A28596" s="740"/>
    </row>
    <row r="28597" ht="14.25" customHeight="1">
      <c r="A28597" s="740"/>
    </row>
    <row r="28598" ht="14.25" customHeight="1">
      <c r="A28598" s="740"/>
    </row>
    <row r="28599" ht="14.25" customHeight="1">
      <c r="A28599" s="740"/>
    </row>
    <row r="28600" ht="14.25" customHeight="1">
      <c r="A28600" s="740"/>
    </row>
    <row r="28601" ht="14.25" customHeight="1">
      <c r="A28601" s="740"/>
    </row>
    <row r="28602" ht="14.25" customHeight="1">
      <c r="A28602" s="740"/>
    </row>
    <row r="28603" ht="14.25" customHeight="1">
      <c r="A28603" s="740"/>
    </row>
    <row r="28604" ht="14.25" customHeight="1">
      <c r="A28604" s="740"/>
    </row>
    <row r="28605" ht="14.25" customHeight="1">
      <c r="A28605" s="740"/>
    </row>
    <row r="28606" ht="14.25" customHeight="1">
      <c r="A28606" s="740"/>
    </row>
    <row r="28607" ht="14.25" customHeight="1">
      <c r="A28607" s="740"/>
    </row>
    <row r="28608" ht="14.25" customHeight="1">
      <c r="A28608" s="740"/>
    </row>
    <row r="28609" ht="14.25" customHeight="1">
      <c r="A28609" s="740"/>
    </row>
    <row r="28610" ht="14.25" customHeight="1">
      <c r="A28610" s="740"/>
    </row>
    <row r="28611" ht="14.25" customHeight="1">
      <c r="A28611" s="740"/>
    </row>
    <row r="28612" ht="14.25" customHeight="1">
      <c r="A28612" s="740"/>
    </row>
    <row r="28613" ht="14.25" customHeight="1">
      <c r="A28613" s="740"/>
    </row>
    <row r="28614" ht="14.25" customHeight="1">
      <c r="A28614" s="740"/>
    </row>
    <row r="28615" ht="14.25" customHeight="1">
      <c r="A28615" s="740"/>
    </row>
    <row r="28616" ht="14.25" customHeight="1">
      <c r="A28616" s="740"/>
    </row>
    <row r="28617" ht="14.25" customHeight="1">
      <c r="A28617" s="740"/>
    </row>
    <row r="28618" ht="14.25" customHeight="1">
      <c r="A28618" s="740"/>
    </row>
    <row r="28619" ht="14.25" customHeight="1">
      <c r="A28619" s="740"/>
    </row>
    <row r="28620" ht="14.25" customHeight="1">
      <c r="A28620" s="740"/>
    </row>
    <row r="28621" ht="14.25" customHeight="1">
      <c r="A28621" s="740"/>
    </row>
    <row r="28622" ht="14.25" customHeight="1">
      <c r="A28622" s="740"/>
    </row>
    <row r="28623" ht="14.25" customHeight="1">
      <c r="A28623" s="740"/>
    </row>
    <row r="28624" ht="14.25" customHeight="1">
      <c r="A28624" s="740"/>
    </row>
    <row r="28625" ht="14.25" customHeight="1">
      <c r="A28625" s="740"/>
    </row>
    <row r="28626" ht="14.25" customHeight="1">
      <c r="A28626" s="740"/>
    </row>
    <row r="28627" ht="14.25" customHeight="1">
      <c r="A28627" s="740"/>
    </row>
    <row r="28628" ht="14.25" customHeight="1">
      <c r="A28628" s="740"/>
    </row>
    <row r="28629" ht="14.25" customHeight="1">
      <c r="A28629" s="740"/>
    </row>
    <row r="28630" ht="14.25" customHeight="1">
      <c r="A28630" s="740"/>
    </row>
    <row r="28631" ht="14.25" customHeight="1">
      <c r="A28631" s="740"/>
    </row>
    <row r="28632" ht="14.25" customHeight="1">
      <c r="A28632" s="740"/>
    </row>
    <row r="28633" ht="14.25" customHeight="1">
      <c r="A28633" s="740"/>
    </row>
    <row r="28634" ht="14.25" customHeight="1">
      <c r="A28634" s="740"/>
    </row>
    <row r="28635" ht="14.25" customHeight="1">
      <c r="A28635" s="740"/>
    </row>
    <row r="28636" ht="14.25" customHeight="1">
      <c r="A28636" s="740"/>
    </row>
    <row r="28637" ht="14.25" customHeight="1">
      <c r="A28637" s="740"/>
    </row>
    <row r="28638" ht="14.25" customHeight="1">
      <c r="A28638" s="740"/>
    </row>
    <row r="28639" ht="14.25" customHeight="1">
      <c r="A28639" s="740"/>
    </row>
    <row r="28640" ht="14.25" customHeight="1">
      <c r="A28640" s="740"/>
    </row>
    <row r="28641" ht="14.25" customHeight="1">
      <c r="A28641" s="740"/>
    </row>
    <row r="28642" ht="14.25" customHeight="1">
      <c r="A28642" s="740"/>
    </row>
    <row r="28643" ht="14.25" customHeight="1">
      <c r="A28643" s="740"/>
    </row>
    <row r="28644" ht="14.25" customHeight="1">
      <c r="A28644" s="740"/>
    </row>
    <row r="28645" ht="14.25" customHeight="1">
      <c r="A28645" s="740"/>
    </row>
    <row r="28646" ht="14.25" customHeight="1">
      <c r="A28646" s="740"/>
    </row>
    <row r="28647" ht="14.25" customHeight="1">
      <c r="A28647" s="740"/>
    </row>
    <row r="28648" ht="14.25" customHeight="1">
      <c r="A28648" s="740"/>
    </row>
    <row r="28649" ht="14.25" customHeight="1">
      <c r="A28649" s="740"/>
    </row>
    <row r="28650" ht="14.25" customHeight="1">
      <c r="A28650" s="740"/>
    </row>
    <row r="28651" ht="14.25" customHeight="1">
      <c r="A28651" s="740"/>
    </row>
    <row r="28652" ht="14.25" customHeight="1">
      <c r="A28652" s="740"/>
    </row>
    <row r="28653" ht="14.25" customHeight="1">
      <c r="A28653" s="740"/>
    </row>
    <row r="28654" ht="14.25" customHeight="1">
      <c r="A28654" s="740"/>
    </row>
    <row r="28655" ht="14.25" customHeight="1">
      <c r="A28655" s="740"/>
    </row>
    <row r="28656" ht="14.25" customHeight="1">
      <c r="A28656" s="740"/>
    </row>
    <row r="28657" ht="14.25" customHeight="1">
      <c r="A28657" s="740"/>
    </row>
    <row r="28658" ht="14.25" customHeight="1">
      <c r="A28658" s="740"/>
    </row>
    <row r="28659" ht="14.25" customHeight="1">
      <c r="A28659" s="740"/>
    </row>
    <row r="28660" ht="14.25" customHeight="1">
      <c r="A28660" s="740"/>
    </row>
    <row r="28661" ht="14.25" customHeight="1">
      <c r="A28661" s="740"/>
    </row>
    <row r="28662" ht="14.25" customHeight="1">
      <c r="A28662" s="740"/>
    </row>
    <row r="28663" ht="14.25" customHeight="1">
      <c r="A28663" s="740"/>
    </row>
    <row r="28664" ht="14.25" customHeight="1">
      <c r="A28664" s="740"/>
    </row>
    <row r="28665" ht="14.25" customHeight="1">
      <c r="A28665" s="740"/>
    </row>
    <row r="28666" ht="14.25" customHeight="1">
      <c r="A28666" s="740"/>
    </row>
    <row r="28667" ht="14.25" customHeight="1">
      <c r="A28667" s="740"/>
    </row>
    <row r="28668" ht="14.25" customHeight="1">
      <c r="A28668" s="740"/>
    </row>
    <row r="28669" ht="14.25" customHeight="1">
      <c r="A28669" s="740"/>
    </row>
    <row r="28670" ht="14.25" customHeight="1">
      <c r="A28670" s="740"/>
    </row>
    <row r="28671" ht="14.25" customHeight="1">
      <c r="A28671" s="740"/>
    </row>
    <row r="28672" ht="14.25" customHeight="1">
      <c r="A28672" s="740"/>
    </row>
    <row r="28673" ht="14.25" customHeight="1">
      <c r="A28673" s="740"/>
    </row>
    <row r="28674" ht="14.25" customHeight="1">
      <c r="A28674" s="740"/>
    </row>
    <row r="28675" ht="14.25" customHeight="1">
      <c r="A28675" s="740"/>
    </row>
    <row r="28676" ht="14.25" customHeight="1">
      <c r="A28676" s="740"/>
    </row>
    <row r="28677" ht="14.25" customHeight="1">
      <c r="A28677" s="740"/>
    </row>
    <row r="28678" ht="14.25" customHeight="1">
      <c r="A28678" s="740"/>
    </row>
    <row r="28679" ht="14.25" customHeight="1">
      <c r="A28679" s="740"/>
    </row>
    <row r="28680" ht="14.25" customHeight="1">
      <c r="A28680" s="740"/>
    </row>
    <row r="28681" ht="14.25" customHeight="1">
      <c r="A28681" s="740"/>
    </row>
    <row r="28682" ht="14.25" customHeight="1">
      <c r="A28682" s="740"/>
    </row>
    <row r="28683" ht="14.25" customHeight="1">
      <c r="A28683" s="740"/>
    </row>
    <row r="28684" ht="14.25" customHeight="1">
      <c r="A28684" s="740"/>
    </row>
    <row r="28685" ht="14.25" customHeight="1">
      <c r="A28685" s="740"/>
    </row>
    <row r="28686" ht="14.25" customHeight="1">
      <c r="A28686" s="740"/>
    </row>
    <row r="28687" ht="14.25" customHeight="1">
      <c r="A28687" s="740"/>
    </row>
    <row r="28688" ht="14.25" customHeight="1">
      <c r="A28688" s="740"/>
    </row>
    <row r="28689" ht="14.25" customHeight="1">
      <c r="A28689" s="740"/>
    </row>
    <row r="28690" ht="14.25" customHeight="1">
      <c r="A28690" s="740"/>
    </row>
    <row r="28691" ht="14.25" customHeight="1">
      <c r="A28691" s="740"/>
    </row>
    <row r="28692" ht="14.25" customHeight="1">
      <c r="A28692" s="740"/>
    </row>
    <row r="28693" ht="14.25" customHeight="1">
      <c r="A28693" s="740"/>
    </row>
    <row r="28694" ht="14.25" customHeight="1">
      <c r="A28694" s="740"/>
    </row>
    <row r="28695" ht="14.25" customHeight="1">
      <c r="A28695" s="740"/>
    </row>
    <row r="28696" ht="14.25" customHeight="1">
      <c r="A28696" s="740"/>
    </row>
    <row r="28697" ht="14.25" customHeight="1">
      <c r="A28697" s="740"/>
    </row>
    <row r="28698" ht="14.25" customHeight="1">
      <c r="A28698" s="740"/>
    </row>
    <row r="28699" ht="14.25" customHeight="1">
      <c r="A28699" s="740"/>
    </row>
    <row r="28700" ht="14.25" customHeight="1">
      <c r="A28700" s="740"/>
    </row>
    <row r="28701" ht="14.25" customHeight="1">
      <c r="A28701" s="740"/>
    </row>
    <row r="28702" ht="14.25" customHeight="1">
      <c r="A28702" s="740"/>
    </row>
    <row r="28703" ht="14.25" customHeight="1">
      <c r="A28703" s="740"/>
    </row>
    <row r="28704" ht="14.25" customHeight="1">
      <c r="A28704" s="740"/>
    </row>
    <row r="28705" ht="14.25" customHeight="1">
      <c r="A28705" s="740"/>
    </row>
    <row r="28706" ht="14.25" customHeight="1">
      <c r="A28706" s="740"/>
    </row>
    <row r="28707" ht="14.25" customHeight="1">
      <c r="A28707" s="740"/>
    </row>
    <row r="28708" ht="14.25" customHeight="1">
      <c r="A28708" s="740"/>
    </row>
    <row r="28709" ht="14.25" customHeight="1">
      <c r="A28709" s="740"/>
    </row>
    <row r="28710" ht="14.25" customHeight="1">
      <c r="A28710" s="740"/>
    </row>
    <row r="28711" ht="14.25" customHeight="1">
      <c r="A28711" s="740"/>
    </row>
    <row r="28712" ht="14.25" customHeight="1">
      <c r="A28712" s="740"/>
    </row>
    <row r="28713" ht="14.25" customHeight="1">
      <c r="A28713" s="740"/>
    </row>
    <row r="28714" ht="14.25" customHeight="1">
      <c r="A28714" s="740"/>
    </row>
    <row r="28715" ht="14.25" customHeight="1">
      <c r="A28715" s="740"/>
    </row>
    <row r="28716" ht="14.25" customHeight="1">
      <c r="A28716" s="740"/>
    </row>
    <row r="28717" ht="14.25" customHeight="1">
      <c r="A28717" s="740"/>
    </row>
    <row r="28718" ht="14.25" customHeight="1">
      <c r="A28718" s="740"/>
    </row>
    <row r="28719" ht="14.25" customHeight="1">
      <c r="A28719" s="740"/>
    </row>
    <row r="28720" ht="14.25" customHeight="1">
      <c r="A28720" s="740"/>
    </row>
    <row r="28721" ht="14.25" customHeight="1">
      <c r="A28721" s="740"/>
    </row>
    <row r="28722" ht="14.25" customHeight="1">
      <c r="A28722" s="740"/>
    </row>
    <row r="28723" ht="14.25" customHeight="1">
      <c r="A28723" s="740"/>
    </row>
    <row r="28724" ht="14.25" customHeight="1">
      <c r="A28724" s="740"/>
    </row>
    <row r="28725" ht="14.25" customHeight="1">
      <c r="A28725" s="740"/>
    </row>
    <row r="28726" ht="14.25" customHeight="1">
      <c r="A28726" s="740"/>
    </row>
    <row r="28727" ht="14.25" customHeight="1">
      <c r="A28727" s="740"/>
    </row>
    <row r="28728" ht="14.25" customHeight="1">
      <c r="A28728" s="740"/>
    </row>
    <row r="28729" ht="14.25" customHeight="1">
      <c r="A28729" s="740"/>
    </row>
    <row r="28730" ht="14.25" customHeight="1">
      <c r="A28730" s="740"/>
    </row>
    <row r="28731" ht="14.25" customHeight="1">
      <c r="A28731" s="740"/>
    </row>
    <row r="28732" ht="14.25" customHeight="1">
      <c r="A28732" s="740"/>
    </row>
    <row r="28733" ht="14.25" customHeight="1">
      <c r="A28733" s="740"/>
    </row>
    <row r="28734" ht="14.25" customHeight="1">
      <c r="A28734" s="740"/>
    </row>
    <row r="28735" ht="14.25" customHeight="1">
      <c r="A28735" s="740"/>
    </row>
    <row r="28736" ht="14.25" customHeight="1">
      <c r="A28736" s="740"/>
    </row>
    <row r="28737" ht="14.25" customHeight="1">
      <c r="A28737" s="740"/>
    </row>
    <row r="28738" ht="14.25" customHeight="1">
      <c r="A28738" s="740"/>
    </row>
    <row r="28739" ht="14.25" customHeight="1">
      <c r="A28739" s="740"/>
    </row>
    <row r="28740" ht="14.25" customHeight="1">
      <c r="A28740" s="740"/>
    </row>
    <row r="28741" ht="14.25" customHeight="1">
      <c r="A28741" s="740"/>
    </row>
    <row r="28742" ht="14.25" customHeight="1">
      <c r="A28742" s="740"/>
    </row>
    <row r="28743" ht="14.25" customHeight="1">
      <c r="A28743" s="740"/>
    </row>
    <row r="28744" ht="14.25" customHeight="1">
      <c r="A28744" s="740"/>
    </row>
    <row r="28745" ht="14.25" customHeight="1">
      <c r="A28745" s="740"/>
    </row>
    <row r="28746" ht="14.25" customHeight="1">
      <c r="A28746" s="740"/>
    </row>
    <row r="28747" ht="14.25" customHeight="1">
      <c r="A28747" s="740"/>
    </row>
    <row r="28748" ht="14.25" customHeight="1">
      <c r="A28748" s="740"/>
    </row>
    <row r="28749" ht="14.25" customHeight="1">
      <c r="A28749" s="740"/>
    </row>
    <row r="28750" ht="14.25" customHeight="1">
      <c r="A28750" s="740"/>
    </row>
    <row r="28751" ht="14.25" customHeight="1">
      <c r="A28751" s="740"/>
    </row>
    <row r="28752" ht="14.25" customHeight="1">
      <c r="A28752" s="740"/>
    </row>
    <row r="28753" ht="14.25" customHeight="1">
      <c r="A28753" s="740"/>
    </row>
    <row r="28754" ht="14.25" customHeight="1">
      <c r="A28754" s="740"/>
    </row>
    <row r="28755" ht="14.25" customHeight="1">
      <c r="A28755" s="740"/>
    </row>
    <row r="28756" ht="14.25" customHeight="1">
      <c r="A28756" s="740"/>
    </row>
    <row r="28757" ht="14.25" customHeight="1">
      <c r="A28757" s="740"/>
    </row>
    <row r="28758" ht="14.25" customHeight="1">
      <c r="A28758" s="740"/>
    </row>
    <row r="28759" ht="14.25" customHeight="1">
      <c r="A28759" s="740"/>
    </row>
    <row r="28760" ht="14.25" customHeight="1">
      <c r="A28760" s="740"/>
    </row>
    <row r="28761" ht="14.25" customHeight="1">
      <c r="A28761" s="740"/>
    </row>
    <row r="28762" ht="14.25" customHeight="1">
      <c r="A28762" s="740"/>
    </row>
    <row r="28763" ht="14.25" customHeight="1">
      <c r="A28763" s="740"/>
    </row>
    <row r="28764" ht="14.25" customHeight="1">
      <c r="A28764" s="740"/>
    </row>
    <row r="28765" ht="14.25" customHeight="1">
      <c r="A28765" s="740"/>
    </row>
    <row r="28766" ht="14.25" customHeight="1">
      <c r="A28766" s="740"/>
    </row>
    <row r="28767" ht="14.25" customHeight="1">
      <c r="A28767" s="740"/>
    </row>
    <row r="28768" ht="14.25" customHeight="1">
      <c r="A28768" s="740"/>
    </row>
    <row r="28769" ht="14.25" customHeight="1">
      <c r="A28769" s="740"/>
    </row>
    <row r="28770" ht="14.25" customHeight="1">
      <c r="A28770" s="740"/>
    </row>
    <row r="28771" ht="14.25" customHeight="1">
      <c r="A28771" s="740"/>
    </row>
    <row r="28772" ht="14.25" customHeight="1">
      <c r="A28772" s="740"/>
    </row>
    <row r="28773" ht="14.25" customHeight="1">
      <c r="A28773" s="740"/>
    </row>
    <row r="28774" ht="14.25" customHeight="1">
      <c r="A28774" s="740"/>
    </row>
    <row r="28775" ht="14.25" customHeight="1">
      <c r="A28775" s="740"/>
    </row>
    <row r="28776" ht="14.25" customHeight="1">
      <c r="A28776" s="740"/>
    </row>
    <row r="28777" ht="14.25" customHeight="1">
      <c r="A28777" s="740"/>
    </row>
    <row r="28778" ht="14.25" customHeight="1">
      <c r="A28778" s="740"/>
    </row>
    <row r="28779" ht="14.25" customHeight="1">
      <c r="A28779" s="740"/>
    </row>
    <row r="28780" ht="14.25" customHeight="1">
      <c r="A28780" s="740"/>
    </row>
    <row r="28781" ht="14.25" customHeight="1">
      <c r="A28781" s="740"/>
    </row>
    <row r="28782" ht="14.25" customHeight="1">
      <c r="A28782" s="740"/>
    </row>
    <row r="28783" ht="14.25" customHeight="1">
      <c r="A28783" s="740"/>
    </row>
    <row r="28784" ht="14.25" customHeight="1">
      <c r="A28784" s="740"/>
    </row>
    <row r="28785" ht="14.25" customHeight="1">
      <c r="A28785" s="740"/>
    </row>
    <row r="28786" ht="14.25" customHeight="1">
      <c r="A28786" s="740"/>
    </row>
    <row r="28787" ht="14.25" customHeight="1">
      <c r="A28787" s="740"/>
    </row>
    <row r="28788" ht="14.25" customHeight="1">
      <c r="A28788" s="740"/>
    </row>
    <row r="28789" ht="14.25" customHeight="1">
      <c r="A28789" s="740"/>
    </row>
    <row r="28790" ht="14.25" customHeight="1">
      <c r="A28790" s="740"/>
    </row>
    <row r="28791" ht="14.25" customHeight="1">
      <c r="A28791" s="740"/>
    </row>
    <row r="28792" ht="14.25" customHeight="1">
      <c r="A28792" s="740"/>
    </row>
    <row r="28793" ht="14.25" customHeight="1">
      <c r="A28793" s="740"/>
    </row>
    <row r="28794" ht="14.25" customHeight="1">
      <c r="A28794" s="740"/>
    </row>
    <row r="28795" ht="14.25" customHeight="1">
      <c r="A28795" s="740"/>
    </row>
    <row r="28796" ht="14.25" customHeight="1">
      <c r="A28796" s="740"/>
    </row>
    <row r="28797" ht="14.25" customHeight="1">
      <c r="A28797" s="740"/>
    </row>
    <row r="28798" ht="14.25" customHeight="1">
      <c r="A28798" s="740"/>
    </row>
    <row r="28799" ht="14.25" customHeight="1">
      <c r="A28799" s="740"/>
    </row>
    <row r="28800" ht="14.25" customHeight="1">
      <c r="A28800" s="740"/>
    </row>
    <row r="28801" ht="14.25" customHeight="1">
      <c r="A28801" s="740"/>
    </row>
    <row r="28802" ht="14.25" customHeight="1">
      <c r="A28802" s="740"/>
    </row>
    <row r="28803" ht="14.25" customHeight="1">
      <c r="A28803" s="740"/>
    </row>
    <row r="28804" ht="14.25" customHeight="1">
      <c r="A28804" s="740"/>
    </row>
    <row r="28805" ht="14.25" customHeight="1">
      <c r="A28805" s="740"/>
    </row>
    <row r="28806" ht="14.25" customHeight="1">
      <c r="A28806" s="740"/>
    </row>
    <row r="28807" ht="14.25" customHeight="1">
      <c r="A28807" s="740"/>
    </row>
    <row r="28808" ht="14.25" customHeight="1">
      <c r="A28808" s="740"/>
    </row>
    <row r="28809" ht="14.25" customHeight="1">
      <c r="A28809" s="740"/>
    </row>
    <row r="28810" ht="14.25" customHeight="1">
      <c r="A28810" s="740"/>
    </row>
    <row r="28811" ht="14.25" customHeight="1">
      <c r="A28811" s="740"/>
    </row>
    <row r="28812" ht="14.25" customHeight="1">
      <c r="A28812" s="740"/>
    </row>
    <row r="28813" ht="14.25" customHeight="1">
      <c r="A28813" s="740"/>
    </row>
    <row r="28814" ht="14.25" customHeight="1">
      <c r="A28814" s="740"/>
    </row>
    <row r="28815" ht="14.25" customHeight="1">
      <c r="A28815" s="740"/>
    </row>
    <row r="28816" ht="14.25" customHeight="1">
      <c r="A28816" s="740"/>
    </row>
    <row r="28817" ht="14.25" customHeight="1">
      <c r="A28817" s="740"/>
    </row>
    <row r="28818" ht="14.25" customHeight="1">
      <c r="A28818" s="740"/>
    </row>
    <row r="28819" ht="14.25" customHeight="1">
      <c r="A28819" s="740"/>
    </row>
    <row r="28820" ht="14.25" customHeight="1">
      <c r="A28820" s="740"/>
    </row>
    <row r="28821" ht="14.25" customHeight="1">
      <c r="A28821" s="740"/>
    </row>
    <row r="28822" ht="14.25" customHeight="1">
      <c r="A28822" s="740"/>
    </row>
    <row r="28823" ht="14.25" customHeight="1">
      <c r="A28823" s="740"/>
    </row>
    <row r="28824" ht="14.25" customHeight="1">
      <c r="A28824" s="740"/>
    </row>
    <row r="28825" ht="14.25" customHeight="1">
      <c r="A28825" s="740"/>
    </row>
    <row r="28826" ht="14.25" customHeight="1">
      <c r="A28826" s="740"/>
    </row>
    <row r="28827" ht="14.25" customHeight="1">
      <c r="A28827" s="740"/>
    </row>
    <row r="28828" ht="14.25" customHeight="1">
      <c r="A28828" s="740"/>
    </row>
    <row r="28829" ht="14.25" customHeight="1">
      <c r="A28829" s="740"/>
    </row>
    <row r="28830" ht="14.25" customHeight="1">
      <c r="A28830" s="740"/>
    </row>
    <row r="28831" ht="14.25" customHeight="1">
      <c r="A28831" s="740"/>
    </row>
    <row r="28832" ht="14.25" customHeight="1">
      <c r="A28832" s="740"/>
    </row>
    <row r="28833" ht="14.25" customHeight="1">
      <c r="A28833" s="740"/>
    </row>
    <row r="28834" ht="14.25" customHeight="1">
      <c r="A28834" s="740"/>
    </row>
    <row r="28835" ht="14.25" customHeight="1">
      <c r="A28835" s="740"/>
    </row>
    <row r="28836" ht="14.25" customHeight="1">
      <c r="A28836" s="740"/>
    </row>
    <row r="28837" ht="14.25" customHeight="1">
      <c r="A28837" s="740"/>
    </row>
    <row r="28838" ht="14.25" customHeight="1">
      <c r="A28838" s="740"/>
    </row>
    <row r="28839" ht="14.25" customHeight="1">
      <c r="A28839" s="740"/>
    </row>
    <row r="28840" ht="14.25" customHeight="1">
      <c r="A28840" s="740"/>
    </row>
    <row r="28841" ht="14.25" customHeight="1">
      <c r="A28841" s="740"/>
    </row>
    <row r="28842" ht="14.25" customHeight="1">
      <c r="A28842" s="740"/>
    </row>
    <row r="28843" ht="14.25" customHeight="1">
      <c r="A28843" s="740"/>
    </row>
    <row r="28844" ht="14.25" customHeight="1">
      <c r="A28844" s="740"/>
    </row>
    <row r="28845" ht="14.25" customHeight="1">
      <c r="A28845" s="740"/>
    </row>
    <row r="28846" ht="14.25" customHeight="1">
      <c r="A28846" s="740"/>
    </row>
    <row r="28847" ht="14.25" customHeight="1">
      <c r="A28847" s="740"/>
    </row>
    <row r="28848" ht="14.25" customHeight="1">
      <c r="A28848" s="740"/>
    </row>
    <row r="28849" ht="14.25" customHeight="1">
      <c r="A28849" s="740"/>
    </row>
    <row r="28850" ht="14.25" customHeight="1">
      <c r="A28850" s="740"/>
    </row>
    <row r="28851" ht="14.25" customHeight="1">
      <c r="A28851" s="740"/>
    </row>
    <row r="28852" ht="14.25" customHeight="1">
      <c r="A28852" s="740"/>
    </row>
    <row r="28853" ht="14.25" customHeight="1">
      <c r="A28853" s="740"/>
    </row>
    <row r="28854" ht="14.25" customHeight="1">
      <c r="A28854" s="740"/>
    </row>
    <row r="28855" ht="14.25" customHeight="1">
      <c r="A28855" s="740"/>
    </row>
    <row r="28856" ht="14.25" customHeight="1">
      <c r="A28856" s="740"/>
    </row>
    <row r="28857" ht="14.25" customHeight="1">
      <c r="A28857" s="740"/>
    </row>
    <row r="28858" ht="14.25" customHeight="1">
      <c r="A28858" s="740"/>
    </row>
    <row r="28859" ht="14.25" customHeight="1">
      <c r="A28859" s="740"/>
    </row>
    <row r="28860" ht="14.25" customHeight="1">
      <c r="A28860" s="740"/>
    </row>
    <row r="28861" ht="14.25" customHeight="1">
      <c r="A28861" s="740"/>
    </row>
    <row r="28862" ht="14.25" customHeight="1">
      <c r="A28862" s="740"/>
    </row>
    <row r="28863" ht="14.25" customHeight="1">
      <c r="A28863" s="740"/>
    </row>
    <row r="28864" ht="14.25" customHeight="1">
      <c r="A28864" s="740"/>
    </row>
    <row r="28865" ht="14.25" customHeight="1">
      <c r="A28865" s="740"/>
    </row>
    <row r="28866" ht="14.25" customHeight="1">
      <c r="A28866" s="740"/>
    </row>
    <row r="28867" ht="14.25" customHeight="1">
      <c r="A28867" s="740"/>
    </row>
    <row r="28868" ht="14.25" customHeight="1">
      <c r="A28868" s="740"/>
    </row>
    <row r="28869" ht="14.25" customHeight="1">
      <c r="A28869" s="740"/>
    </row>
    <row r="28870" ht="14.25" customHeight="1">
      <c r="A28870" s="740"/>
    </row>
    <row r="28871" ht="14.25" customHeight="1">
      <c r="A28871" s="740"/>
    </row>
    <row r="28872" ht="14.25" customHeight="1">
      <c r="A28872" s="740"/>
    </row>
    <row r="28873" ht="14.25" customHeight="1">
      <c r="A28873" s="740"/>
    </row>
    <row r="28874" ht="14.25" customHeight="1">
      <c r="A28874" s="740"/>
    </row>
    <row r="28875" ht="14.25" customHeight="1">
      <c r="A28875" s="740"/>
    </row>
    <row r="28876" ht="14.25" customHeight="1">
      <c r="A28876" s="740"/>
    </row>
    <row r="28877" ht="14.25" customHeight="1">
      <c r="A28877" s="740"/>
    </row>
    <row r="28878" ht="14.25" customHeight="1">
      <c r="A28878" s="740"/>
    </row>
    <row r="28879" ht="14.25" customHeight="1">
      <c r="A28879" s="740"/>
    </row>
    <row r="28880" ht="14.25" customHeight="1">
      <c r="A28880" s="740"/>
    </row>
    <row r="28881" ht="14.25" customHeight="1">
      <c r="A28881" s="740"/>
    </row>
    <row r="28882" ht="14.25" customHeight="1">
      <c r="A28882" s="740"/>
    </row>
    <row r="28883" ht="14.25" customHeight="1">
      <c r="A28883" s="740"/>
    </row>
    <row r="28884" ht="14.25" customHeight="1">
      <c r="A28884" s="740"/>
    </row>
    <row r="28885" ht="14.25" customHeight="1">
      <c r="A28885" s="740"/>
    </row>
    <row r="28886" ht="14.25" customHeight="1">
      <c r="A28886" s="740"/>
    </row>
    <row r="28887" ht="14.25" customHeight="1">
      <c r="A28887" s="740"/>
    </row>
    <row r="28888" ht="14.25" customHeight="1">
      <c r="A28888" s="740"/>
    </row>
    <row r="28889" ht="14.25" customHeight="1">
      <c r="A28889" s="740"/>
    </row>
    <row r="28890" ht="14.25" customHeight="1">
      <c r="A28890" s="740"/>
    </row>
    <row r="28891" ht="14.25" customHeight="1">
      <c r="A28891" s="740"/>
    </row>
    <row r="28892" ht="14.25" customHeight="1">
      <c r="A28892" s="740"/>
    </row>
    <row r="28893" ht="14.25" customHeight="1">
      <c r="A28893" s="740"/>
    </row>
    <row r="28894" ht="14.25" customHeight="1">
      <c r="A28894" s="740"/>
    </row>
    <row r="28895" ht="14.25" customHeight="1">
      <c r="A28895" s="740"/>
    </row>
    <row r="28896" ht="14.25" customHeight="1">
      <c r="A28896" s="740"/>
    </row>
    <row r="28897" ht="14.25" customHeight="1">
      <c r="A28897" s="740"/>
    </row>
    <row r="28898" ht="14.25" customHeight="1">
      <c r="A28898" s="740"/>
    </row>
    <row r="28899" ht="14.25" customHeight="1">
      <c r="A28899" s="740"/>
    </row>
    <row r="28900" ht="14.25" customHeight="1">
      <c r="A28900" s="740"/>
    </row>
    <row r="28901" ht="14.25" customHeight="1">
      <c r="A28901" s="740"/>
    </row>
    <row r="28902" ht="14.25" customHeight="1">
      <c r="A28902" s="740"/>
    </row>
    <row r="28903" ht="14.25" customHeight="1">
      <c r="A28903" s="740"/>
    </row>
    <row r="28904" ht="14.25" customHeight="1">
      <c r="A28904" s="740"/>
    </row>
    <row r="28905" ht="14.25" customHeight="1">
      <c r="A28905" s="740"/>
    </row>
    <row r="28906" ht="14.25" customHeight="1">
      <c r="A28906" s="740"/>
    </row>
    <row r="28907" ht="14.25" customHeight="1">
      <c r="A28907" s="740"/>
    </row>
    <row r="28908" ht="14.25" customHeight="1">
      <c r="A28908" s="740"/>
    </row>
    <row r="28909" ht="14.25" customHeight="1">
      <c r="A28909" s="740"/>
    </row>
    <row r="28910" ht="14.25" customHeight="1">
      <c r="A28910" s="740"/>
    </row>
    <row r="28911" ht="14.25" customHeight="1">
      <c r="A28911" s="740"/>
    </row>
    <row r="28912" ht="14.25" customHeight="1">
      <c r="A28912" s="740"/>
    </row>
    <row r="28913" ht="14.25" customHeight="1">
      <c r="A28913" s="740"/>
    </row>
    <row r="28914" ht="14.25" customHeight="1">
      <c r="A28914" s="740"/>
    </row>
    <row r="28915" ht="14.25" customHeight="1">
      <c r="A28915" s="740"/>
    </row>
    <row r="28916" ht="14.25" customHeight="1">
      <c r="A28916" s="740"/>
    </row>
    <row r="28917" ht="14.25" customHeight="1">
      <c r="A28917" s="740"/>
    </row>
    <row r="28918" ht="14.25" customHeight="1">
      <c r="A28918" s="740"/>
    </row>
    <row r="28919" ht="14.25" customHeight="1">
      <c r="A28919" s="740"/>
    </row>
    <row r="28920" ht="14.25" customHeight="1">
      <c r="A28920" s="740"/>
    </row>
    <row r="28921" ht="14.25" customHeight="1">
      <c r="A28921" s="740"/>
    </row>
    <row r="28922" ht="14.25" customHeight="1">
      <c r="A28922" s="740"/>
    </row>
    <row r="28923" ht="14.25" customHeight="1">
      <c r="A28923" s="740"/>
    </row>
    <row r="28924" ht="14.25" customHeight="1">
      <c r="A28924" s="740"/>
    </row>
    <row r="28925" ht="14.25" customHeight="1">
      <c r="A28925" s="740"/>
    </row>
    <row r="28926" ht="14.25" customHeight="1">
      <c r="A28926" s="740"/>
    </row>
    <row r="28927" ht="14.25" customHeight="1">
      <c r="A28927" s="740"/>
    </row>
    <row r="28928" ht="14.25" customHeight="1">
      <c r="A28928" s="740"/>
    </row>
    <row r="28929" ht="14.25" customHeight="1">
      <c r="A28929" s="740"/>
    </row>
    <row r="28930" ht="14.25" customHeight="1">
      <c r="A28930" s="740"/>
    </row>
    <row r="28931" ht="14.25" customHeight="1">
      <c r="A28931" s="740"/>
    </row>
    <row r="28932" ht="14.25" customHeight="1">
      <c r="A28932" s="740"/>
    </row>
    <row r="28933" ht="14.25" customHeight="1">
      <c r="A28933" s="740"/>
    </row>
    <row r="28934" ht="14.25" customHeight="1">
      <c r="A28934" s="740"/>
    </row>
    <row r="28935" ht="14.25" customHeight="1">
      <c r="A28935" s="740"/>
    </row>
    <row r="28936" ht="14.25" customHeight="1">
      <c r="A28936" s="740"/>
    </row>
    <row r="28937" ht="14.25" customHeight="1">
      <c r="A28937" s="740"/>
    </row>
    <row r="28938" ht="14.25" customHeight="1">
      <c r="A28938" s="740"/>
    </row>
    <row r="28939" ht="14.25" customHeight="1">
      <c r="A28939" s="740"/>
    </row>
    <row r="28940" ht="14.25" customHeight="1">
      <c r="A28940" s="740"/>
    </row>
    <row r="28941" ht="14.25" customHeight="1">
      <c r="A28941" s="740"/>
    </row>
    <row r="28942" ht="14.25" customHeight="1">
      <c r="A28942" s="740"/>
    </row>
    <row r="28943" ht="14.25" customHeight="1">
      <c r="A28943" s="740"/>
    </row>
    <row r="28944" ht="14.25" customHeight="1">
      <c r="A28944" s="740"/>
    </row>
    <row r="28945" ht="14.25" customHeight="1">
      <c r="A28945" s="740"/>
    </row>
    <row r="28946" ht="14.25" customHeight="1">
      <c r="A28946" s="740"/>
    </row>
    <row r="28947" ht="14.25" customHeight="1">
      <c r="A28947" s="740"/>
    </row>
    <row r="28948" ht="14.25" customHeight="1">
      <c r="A28948" s="740"/>
    </row>
    <row r="28949" ht="14.25" customHeight="1">
      <c r="A28949" s="740"/>
    </row>
    <row r="28950" ht="14.25" customHeight="1">
      <c r="A28950" s="740"/>
    </row>
    <row r="28951" ht="14.25" customHeight="1">
      <c r="A28951" s="740"/>
    </row>
    <row r="28952" ht="14.25" customHeight="1">
      <c r="A28952" s="740"/>
    </row>
    <row r="28953" ht="14.25" customHeight="1">
      <c r="A28953" s="740"/>
    </row>
    <row r="28954" ht="14.25" customHeight="1">
      <c r="A28954" s="740"/>
    </row>
    <row r="28955" ht="14.25" customHeight="1">
      <c r="A28955" s="740"/>
    </row>
    <row r="28956" ht="14.25" customHeight="1">
      <c r="A28956" s="740"/>
    </row>
    <row r="28957" ht="14.25" customHeight="1">
      <c r="A28957" s="740"/>
    </row>
    <row r="28958" ht="14.25" customHeight="1">
      <c r="A28958" s="740"/>
    </row>
    <row r="28959" ht="14.25" customHeight="1">
      <c r="A28959" s="740"/>
    </row>
    <row r="28960" ht="14.25" customHeight="1">
      <c r="A28960" s="740"/>
    </row>
    <row r="28961" ht="14.25" customHeight="1">
      <c r="A28961" s="740"/>
    </row>
    <row r="28962" ht="14.25" customHeight="1">
      <c r="A28962" s="740"/>
    </row>
    <row r="28963" ht="14.25" customHeight="1">
      <c r="A28963" s="740"/>
    </row>
    <row r="28964" ht="14.25" customHeight="1">
      <c r="A28964" s="740"/>
    </row>
    <row r="28965" ht="14.25" customHeight="1">
      <c r="A28965" s="740"/>
    </row>
    <row r="28966" ht="14.25" customHeight="1">
      <c r="A28966" s="740"/>
    </row>
    <row r="28967" ht="14.25" customHeight="1">
      <c r="A28967" s="740"/>
    </row>
    <row r="28968" ht="14.25" customHeight="1">
      <c r="A28968" s="740"/>
    </row>
    <row r="28969" ht="14.25" customHeight="1">
      <c r="A28969" s="740"/>
    </row>
    <row r="28970" ht="14.25" customHeight="1">
      <c r="A28970" s="740"/>
    </row>
    <row r="28971" ht="14.25" customHeight="1">
      <c r="A28971" s="740"/>
    </row>
    <row r="28972" ht="14.25" customHeight="1">
      <c r="A28972" s="740"/>
    </row>
    <row r="28973" ht="14.25" customHeight="1">
      <c r="A28973" s="740"/>
    </row>
    <row r="28974" ht="14.25" customHeight="1">
      <c r="A28974" s="740"/>
    </row>
    <row r="28975" ht="14.25" customHeight="1">
      <c r="A28975" s="740"/>
    </row>
    <row r="28976" ht="14.25" customHeight="1">
      <c r="A28976" s="740"/>
    </row>
    <row r="28977" ht="14.25" customHeight="1">
      <c r="A28977" s="740"/>
    </row>
    <row r="28978" ht="14.25" customHeight="1">
      <c r="A28978" s="740"/>
    </row>
    <row r="28979" ht="14.25" customHeight="1">
      <c r="A28979" s="740"/>
    </row>
    <row r="28980" ht="14.25" customHeight="1">
      <c r="A28980" s="740"/>
    </row>
    <row r="28981" ht="14.25" customHeight="1">
      <c r="A28981" s="740"/>
    </row>
    <row r="28982" ht="14.25" customHeight="1">
      <c r="A28982" s="740"/>
    </row>
    <row r="28983" ht="14.25" customHeight="1">
      <c r="A28983" s="740"/>
    </row>
    <row r="28984" ht="14.25" customHeight="1">
      <c r="A28984" s="740"/>
    </row>
    <row r="28985" ht="14.25" customHeight="1">
      <c r="A28985" s="740"/>
    </row>
    <row r="28986" ht="14.25" customHeight="1">
      <c r="A28986" s="740"/>
    </row>
    <row r="28987" ht="14.25" customHeight="1">
      <c r="A28987" s="740"/>
    </row>
    <row r="28988" ht="14.25" customHeight="1">
      <c r="A28988" s="740"/>
    </row>
    <row r="28989" ht="14.25" customHeight="1">
      <c r="A28989" s="740"/>
    </row>
    <row r="28990" ht="14.25" customHeight="1">
      <c r="A28990" s="740"/>
    </row>
    <row r="28991" ht="14.25" customHeight="1">
      <c r="A28991" s="740"/>
    </row>
    <row r="28992" ht="14.25" customHeight="1">
      <c r="A28992" s="740"/>
    </row>
    <row r="28993" ht="14.25" customHeight="1">
      <c r="A28993" s="740"/>
    </row>
    <row r="28994" ht="14.25" customHeight="1">
      <c r="A28994" s="740"/>
    </row>
    <row r="28995" ht="14.25" customHeight="1">
      <c r="A28995" s="740"/>
    </row>
    <row r="28996" ht="14.25" customHeight="1">
      <c r="A28996" s="740"/>
    </row>
    <row r="28997" ht="14.25" customHeight="1">
      <c r="A28997" s="740"/>
    </row>
    <row r="28998" ht="14.25" customHeight="1">
      <c r="A28998" s="740"/>
    </row>
    <row r="28999" ht="14.25" customHeight="1">
      <c r="A28999" s="740"/>
    </row>
    <row r="29000" ht="14.25" customHeight="1">
      <c r="A29000" s="740"/>
    </row>
    <row r="29001" ht="14.25" customHeight="1">
      <c r="A29001" s="740"/>
    </row>
    <row r="29002" ht="14.25" customHeight="1">
      <c r="A29002" s="740"/>
    </row>
    <row r="29003" ht="14.25" customHeight="1">
      <c r="A29003" s="740"/>
    </row>
    <row r="29004" ht="14.25" customHeight="1">
      <c r="A29004" s="740"/>
    </row>
    <row r="29005" ht="14.25" customHeight="1">
      <c r="A29005" s="740"/>
    </row>
    <row r="29006" ht="14.25" customHeight="1">
      <c r="A29006" s="740"/>
    </row>
    <row r="29007" ht="14.25" customHeight="1">
      <c r="A29007" s="740"/>
    </row>
    <row r="29008" ht="14.25" customHeight="1">
      <c r="A29008" s="740"/>
    </row>
    <row r="29009" ht="14.25" customHeight="1">
      <c r="A29009" s="740"/>
    </row>
    <row r="29010" ht="14.25" customHeight="1">
      <c r="A29010" s="740"/>
    </row>
    <row r="29011" ht="14.25" customHeight="1">
      <c r="A29011" s="740"/>
    </row>
    <row r="29012" ht="14.25" customHeight="1">
      <c r="A29012" s="740"/>
    </row>
    <row r="29013" ht="14.25" customHeight="1">
      <c r="A29013" s="740"/>
    </row>
    <row r="29014" ht="14.25" customHeight="1">
      <c r="A29014" s="740"/>
    </row>
    <row r="29015" ht="14.25" customHeight="1">
      <c r="A29015" s="740"/>
    </row>
    <row r="29016" ht="14.25" customHeight="1">
      <c r="A29016" s="740"/>
    </row>
    <row r="29017" ht="14.25" customHeight="1">
      <c r="A29017" s="740"/>
    </row>
    <row r="29018" ht="14.25" customHeight="1">
      <c r="A29018" s="740"/>
    </row>
    <row r="29019" ht="14.25" customHeight="1">
      <c r="A29019" s="740"/>
    </row>
    <row r="29020" ht="14.25" customHeight="1">
      <c r="A29020" s="740"/>
    </row>
    <row r="29021" ht="14.25" customHeight="1">
      <c r="A29021" s="740"/>
    </row>
    <row r="29022" ht="14.25" customHeight="1">
      <c r="A29022" s="740"/>
    </row>
    <row r="29023" ht="14.25" customHeight="1">
      <c r="A29023" s="740"/>
    </row>
    <row r="29024" ht="14.25" customHeight="1">
      <c r="A29024" s="740"/>
    </row>
    <row r="29025" ht="14.25" customHeight="1">
      <c r="A29025" s="740"/>
    </row>
    <row r="29026" ht="14.25" customHeight="1">
      <c r="A29026" s="740"/>
    </row>
    <row r="29027" ht="14.25" customHeight="1">
      <c r="A29027" s="740"/>
    </row>
    <row r="29028" ht="14.25" customHeight="1">
      <c r="A29028" s="740"/>
    </row>
    <row r="29029" ht="14.25" customHeight="1">
      <c r="A29029" s="740"/>
    </row>
    <row r="29030" ht="14.25" customHeight="1">
      <c r="A29030" s="740"/>
    </row>
    <row r="29031" ht="14.25" customHeight="1">
      <c r="A29031" s="740"/>
    </row>
    <row r="29032" ht="14.25" customHeight="1">
      <c r="A29032" s="740"/>
    </row>
    <row r="29033" ht="14.25" customHeight="1">
      <c r="A29033" s="740"/>
    </row>
    <row r="29034" ht="14.25" customHeight="1">
      <c r="A29034" s="740"/>
    </row>
    <row r="29035" ht="14.25" customHeight="1">
      <c r="A29035" s="740"/>
    </row>
    <row r="29036" ht="14.25" customHeight="1">
      <c r="A29036" s="740"/>
    </row>
    <row r="29037" ht="14.25" customHeight="1">
      <c r="A29037" s="740"/>
    </row>
    <row r="29038" ht="14.25" customHeight="1">
      <c r="A29038" s="740"/>
    </row>
    <row r="29039" ht="14.25" customHeight="1">
      <c r="A29039" s="740"/>
    </row>
    <row r="29040" ht="14.25" customHeight="1">
      <c r="A29040" s="740"/>
    </row>
    <row r="29041" ht="14.25" customHeight="1">
      <c r="A29041" s="740"/>
    </row>
    <row r="29042" ht="14.25" customHeight="1">
      <c r="A29042" s="740"/>
    </row>
    <row r="29043" ht="14.25" customHeight="1">
      <c r="A29043" s="740"/>
    </row>
    <row r="29044" ht="14.25" customHeight="1">
      <c r="A29044" s="740"/>
    </row>
    <row r="29045" ht="14.25" customHeight="1">
      <c r="A29045" s="740"/>
    </row>
    <row r="29046" ht="14.25" customHeight="1">
      <c r="A29046" s="740"/>
    </row>
    <row r="29047" ht="14.25" customHeight="1">
      <c r="A29047" s="740"/>
    </row>
    <row r="29048" ht="14.25" customHeight="1">
      <c r="A29048" s="740"/>
    </row>
    <row r="29049" ht="14.25" customHeight="1">
      <c r="A29049" s="740"/>
    </row>
    <row r="29050" ht="14.25" customHeight="1">
      <c r="A29050" s="740"/>
    </row>
    <row r="29051" ht="14.25" customHeight="1">
      <c r="A29051" s="740"/>
    </row>
    <row r="29052" ht="14.25" customHeight="1">
      <c r="A29052" s="740"/>
    </row>
    <row r="29053" ht="14.25" customHeight="1">
      <c r="A29053" s="740"/>
    </row>
    <row r="29054" ht="14.25" customHeight="1">
      <c r="A29054" s="740"/>
    </row>
    <row r="29055" ht="14.25" customHeight="1">
      <c r="A29055" s="740"/>
    </row>
    <row r="29056" ht="14.25" customHeight="1">
      <c r="A29056" s="740"/>
    </row>
    <row r="29057" ht="14.25" customHeight="1">
      <c r="A29057" s="740"/>
    </row>
    <row r="29058" ht="14.25" customHeight="1">
      <c r="A29058" s="740"/>
    </row>
    <row r="29059" ht="14.25" customHeight="1">
      <c r="A29059" s="740"/>
    </row>
    <row r="29060" ht="14.25" customHeight="1">
      <c r="A29060" s="740"/>
    </row>
    <row r="29061" ht="14.25" customHeight="1">
      <c r="A29061" s="740"/>
    </row>
    <row r="29062" ht="14.25" customHeight="1">
      <c r="A29062" s="740"/>
    </row>
    <row r="29063" ht="14.25" customHeight="1">
      <c r="A29063" s="740"/>
    </row>
    <row r="29064" ht="14.25" customHeight="1">
      <c r="A29064" s="740"/>
    </row>
    <row r="29065" ht="14.25" customHeight="1">
      <c r="A29065" s="740"/>
    </row>
    <row r="29066" ht="14.25" customHeight="1">
      <c r="A29066" s="740"/>
    </row>
    <row r="29067" ht="14.25" customHeight="1">
      <c r="A29067" s="740"/>
    </row>
    <row r="29068" ht="14.25" customHeight="1">
      <c r="A29068" s="740"/>
    </row>
    <row r="29069" ht="14.25" customHeight="1">
      <c r="A29069" s="740"/>
    </row>
    <row r="29070" ht="14.25" customHeight="1">
      <c r="A29070" s="740"/>
    </row>
    <row r="29071" ht="14.25" customHeight="1">
      <c r="A29071" s="740"/>
    </row>
    <row r="29072" ht="14.25" customHeight="1">
      <c r="A29072" s="740"/>
    </row>
    <row r="29073" ht="14.25" customHeight="1">
      <c r="A29073" s="740"/>
    </row>
    <row r="29074" ht="14.25" customHeight="1">
      <c r="A29074" s="740"/>
    </row>
    <row r="29075" ht="14.25" customHeight="1">
      <c r="A29075" s="740"/>
    </row>
    <row r="29076" ht="14.25" customHeight="1">
      <c r="A29076" s="740"/>
    </row>
    <row r="29077" ht="14.25" customHeight="1">
      <c r="A29077" s="740"/>
    </row>
    <row r="29078" ht="14.25" customHeight="1">
      <c r="A29078" s="740"/>
    </row>
    <row r="29079" ht="14.25" customHeight="1">
      <c r="A29079" s="740"/>
    </row>
    <row r="29080" ht="14.25" customHeight="1">
      <c r="A29080" s="740"/>
    </row>
    <row r="29081" ht="14.25" customHeight="1">
      <c r="A29081" s="740"/>
    </row>
    <row r="29082" ht="14.25" customHeight="1">
      <c r="A29082" s="740"/>
    </row>
    <row r="29083" ht="14.25" customHeight="1">
      <c r="A29083" s="740"/>
    </row>
    <row r="29084" ht="14.25" customHeight="1">
      <c r="A29084" s="740"/>
    </row>
    <row r="29085" ht="14.25" customHeight="1">
      <c r="A29085" s="740"/>
    </row>
    <row r="29086" ht="14.25" customHeight="1">
      <c r="A29086" s="740"/>
    </row>
    <row r="29087" ht="14.25" customHeight="1">
      <c r="A29087" s="740"/>
    </row>
    <row r="29088" ht="14.25" customHeight="1">
      <c r="A29088" s="740"/>
    </row>
    <row r="29089" ht="14.25" customHeight="1">
      <c r="A29089" s="740"/>
    </row>
    <row r="29090" ht="14.25" customHeight="1">
      <c r="A29090" s="740"/>
    </row>
    <row r="29091" ht="14.25" customHeight="1">
      <c r="A29091" s="740"/>
    </row>
    <row r="29092" ht="14.25" customHeight="1">
      <c r="A29092" s="740"/>
    </row>
    <row r="29093" ht="14.25" customHeight="1">
      <c r="A29093" s="740"/>
    </row>
    <row r="29094" ht="14.25" customHeight="1">
      <c r="A29094" s="740"/>
    </row>
    <row r="29095" ht="14.25" customHeight="1">
      <c r="A29095" s="740"/>
    </row>
    <row r="29096" ht="14.25" customHeight="1">
      <c r="A29096" s="740"/>
    </row>
    <row r="29097" ht="14.25" customHeight="1">
      <c r="A29097" s="740"/>
    </row>
    <row r="29098" ht="14.25" customHeight="1">
      <c r="A29098" s="740"/>
    </row>
    <row r="29099" ht="14.25" customHeight="1">
      <c r="A29099" s="740"/>
    </row>
    <row r="29100" ht="14.25" customHeight="1">
      <c r="A29100" s="740"/>
    </row>
    <row r="29101" ht="14.25" customHeight="1">
      <c r="A29101" s="740"/>
    </row>
    <row r="29102" ht="14.25" customHeight="1">
      <c r="A29102" s="740"/>
    </row>
    <row r="29103" ht="14.25" customHeight="1">
      <c r="A29103" s="740"/>
    </row>
    <row r="29104" ht="14.25" customHeight="1">
      <c r="A29104" s="740"/>
    </row>
    <row r="29105" ht="14.25" customHeight="1">
      <c r="A29105" s="740"/>
    </row>
    <row r="29106" ht="14.25" customHeight="1">
      <c r="A29106" s="740"/>
    </row>
    <row r="29107" ht="14.25" customHeight="1">
      <c r="A29107" s="740"/>
    </row>
    <row r="29108" ht="14.25" customHeight="1">
      <c r="A29108" s="740"/>
    </row>
    <row r="29109" ht="14.25" customHeight="1">
      <c r="A29109" s="740"/>
    </row>
    <row r="29110" ht="14.25" customHeight="1">
      <c r="A29110" s="740"/>
    </row>
    <row r="29111" ht="14.25" customHeight="1">
      <c r="A29111" s="740"/>
    </row>
    <row r="29112" ht="14.25" customHeight="1">
      <c r="A29112" s="740"/>
    </row>
    <row r="29113" ht="14.25" customHeight="1">
      <c r="A29113" s="740"/>
    </row>
    <row r="29114" ht="14.25" customHeight="1">
      <c r="A29114" s="740"/>
    </row>
    <row r="29115" ht="14.25" customHeight="1">
      <c r="A29115" s="740"/>
    </row>
    <row r="29116" ht="14.25" customHeight="1">
      <c r="A29116" s="740"/>
    </row>
    <row r="29117" ht="14.25" customHeight="1">
      <c r="A29117" s="740"/>
    </row>
    <row r="29118" ht="14.25" customHeight="1">
      <c r="A29118" s="740"/>
    </row>
    <row r="29119" ht="14.25" customHeight="1">
      <c r="A29119" s="740"/>
    </row>
    <row r="29120" ht="14.25" customHeight="1">
      <c r="A29120" s="740"/>
    </row>
    <row r="29121" ht="14.25" customHeight="1">
      <c r="A29121" s="740"/>
    </row>
    <row r="29122" ht="14.25" customHeight="1">
      <c r="A29122" s="740"/>
    </row>
    <row r="29123" ht="14.25" customHeight="1">
      <c r="A29123" s="740"/>
    </row>
    <row r="29124" ht="14.25" customHeight="1">
      <c r="A29124" s="740"/>
    </row>
    <row r="29125" ht="14.25" customHeight="1">
      <c r="A29125" s="740"/>
    </row>
    <row r="29126" ht="14.25" customHeight="1">
      <c r="A29126" s="740"/>
    </row>
    <row r="29127" ht="14.25" customHeight="1">
      <c r="A29127" s="740"/>
    </row>
    <row r="29128" ht="14.25" customHeight="1">
      <c r="A29128" s="740"/>
    </row>
    <row r="29129" ht="14.25" customHeight="1">
      <c r="A29129" s="740"/>
    </row>
    <row r="29130" ht="14.25" customHeight="1">
      <c r="A29130" s="740"/>
    </row>
    <row r="29131" ht="14.25" customHeight="1">
      <c r="A29131" s="740"/>
    </row>
    <row r="29132" ht="14.25" customHeight="1">
      <c r="A29132" s="740"/>
    </row>
    <row r="29133" ht="14.25" customHeight="1">
      <c r="A29133" s="740"/>
    </row>
    <row r="29134" ht="14.25" customHeight="1">
      <c r="A29134" s="740"/>
    </row>
    <row r="29135" ht="14.25" customHeight="1">
      <c r="A29135" s="740"/>
    </row>
    <row r="29136" ht="14.25" customHeight="1">
      <c r="A29136" s="740"/>
    </row>
    <row r="29137" ht="14.25" customHeight="1">
      <c r="A29137" s="740"/>
    </row>
    <row r="29138" ht="14.25" customHeight="1">
      <c r="A29138" s="740"/>
    </row>
    <row r="29139" ht="14.25" customHeight="1">
      <c r="A29139" s="740"/>
    </row>
    <row r="29140" ht="14.25" customHeight="1">
      <c r="A29140" s="740"/>
    </row>
    <row r="29141" ht="14.25" customHeight="1">
      <c r="A29141" s="740"/>
    </row>
    <row r="29142" ht="14.25" customHeight="1">
      <c r="A29142" s="740"/>
    </row>
    <row r="29143" ht="14.25" customHeight="1">
      <c r="A29143" s="740"/>
    </row>
    <row r="29144" ht="14.25" customHeight="1">
      <c r="A29144" s="740"/>
    </row>
    <row r="29145" ht="14.25" customHeight="1">
      <c r="A29145" s="740"/>
    </row>
    <row r="29146" ht="14.25" customHeight="1">
      <c r="A29146" s="740"/>
    </row>
    <row r="29147" ht="14.25" customHeight="1">
      <c r="A29147" s="740"/>
    </row>
    <row r="29148" ht="14.25" customHeight="1">
      <c r="A29148" s="740"/>
    </row>
    <row r="29149" ht="14.25" customHeight="1">
      <c r="A29149" s="740"/>
    </row>
    <row r="29150" ht="14.25" customHeight="1">
      <c r="A29150" s="740"/>
    </row>
    <row r="29151" ht="14.25" customHeight="1">
      <c r="A29151" s="740"/>
    </row>
    <row r="29152" ht="14.25" customHeight="1">
      <c r="A29152" s="740"/>
    </row>
    <row r="29153" ht="14.25" customHeight="1">
      <c r="A29153" s="740"/>
    </row>
    <row r="29154" ht="14.25" customHeight="1">
      <c r="A29154" s="740"/>
    </row>
    <row r="29155" ht="14.25" customHeight="1">
      <c r="A29155" s="740"/>
    </row>
    <row r="29156" ht="14.25" customHeight="1">
      <c r="A29156" s="740"/>
    </row>
    <row r="29157" ht="14.25" customHeight="1">
      <c r="A29157" s="740"/>
    </row>
    <row r="29158" ht="14.25" customHeight="1">
      <c r="A29158" s="740"/>
    </row>
    <row r="29159" ht="14.25" customHeight="1">
      <c r="A29159" s="740"/>
    </row>
    <row r="29160" ht="14.25" customHeight="1">
      <c r="A29160" s="740"/>
    </row>
    <row r="29161" ht="14.25" customHeight="1">
      <c r="A29161" s="740"/>
    </row>
    <row r="29162" ht="14.25" customHeight="1">
      <c r="A29162" s="740"/>
    </row>
    <row r="29163" ht="14.25" customHeight="1">
      <c r="A29163" s="740"/>
    </row>
    <row r="29164" ht="14.25" customHeight="1">
      <c r="A29164" s="740"/>
    </row>
    <row r="29165" ht="14.25" customHeight="1">
      <c r="A29165" s="740"/>
    </row>
    <row r="29166" ht="14.25" customHeight="1">
      <c r="A29166" s="740"/>
    </row>
    <row r="29167" ht="14.25" customHeight="1">
      <c r="A29167" s="740"/>
    </row>
    <row r="29168" ht="14.25" customHeight="1">
      <c r="A29168" s="740"/>
    </row>
    <row r="29169" ht="14.25" customHeight="1">
      <c r="A29169" s="740"/>
    </row>
    <row r="29170" ht="14.25" customHeight="1">
      <c r="A29170" s="740"/>
    </row>
    <row r="29171" ht="14.25" customHeight="1">
      <c r="A29171" s="740"/>
    </row>
    <row r="29172" ht="14.25" customHeight="1">
      <c r="A29172" s="740"/>
    </row>
    <row r="29173" ht="14.25" customHeight="1">
      <c r="A29173" s="740"/>
    </row>
    <row r="29174" ht="14.25" customHeight="1">
      <c r="A29174" s="740"/>
    </row>
    <row r="29175" ht="14.25" customHeight="1">
      <c r="A29175" s="740"/>
    </row>
    <row r="29176" ht="14.25" customHeight="1">
      <c r="A29176" s="740"/>
    </row>
    <row r="29177" ht="14.25" customHeight="1">
      <c r="A29177" s="740"/>
    </row>
    <row r="29178" ht="14.25" customHeight="1">
      <c r="A29178" s="740"/>
    </row>
    <row r="29179" ht="14.25" customHeight="1">
      <c r="A29179" s="740"/>
    </row>
    <row r="29180" ht="14.25" customHeight="1">
      <c r="A29180" s="740"/>
    </row>
    <row r="29181" ht="14.25" customHeight="1">
      <c r="A29181" s="740"/>
    </row>
    <row r="29182" ht="14.25" customHeight="1">
      <c r="A29182" s="740"/>
    </row>
    <row r="29183" ht="14.25" customHeight="1">
      <c r="A29183" s="740"/>
    </row>
    <row r="29184" ht="14.25" customHeight="1">
      <c r="A29184" s="740"/>
    </row>
    <row r="29185" ht="14.25" customHeight="1">
      <c r="A29185" s="740"/>
    </row>
    <row r="29186" ht="14.25" customHeight="1">
      <c r="A29186" s="740"/>
    </row>
    <row r="29187" ht="14.25" customHeight="1">
      <c r="A29187" s="740"/>
    </row>
    <row r="29188" ht="14.25" customHeight="1">
      <c r="A29188" s="740"/>
    </row>
    <row r="29189" ht="14.25" customHeight="1">
      <c r="A29189" s="740"/>
    </row>
    <row r="29190" ht="14.25" customHeight="1">
      <c r="A29190" s="740"/>
    </row>
    <row r="29191" ht="14.25" customHeight="1">
      <c r="A29191" s="740"/>
    </row>
    <row r="29192" ht="14.25" customHeight="1">
      <c r="A29192" s="740"/>
    </row>
    <row r="29193" ht="14.25" customHeight="1">
      <c r="A29193" s="740"/>
    </row>
    <row r="29194" ht="14.25" customHeight="1">
      <c r="A29194" s="740"/>
    </row>
    <row r="29195" ht="14.25" customHeight="1">
      <c r="A29195" s="740"/>
    </row>
    <row r="29196" ht="14.25" customHeight="1">
      <c r="A29196" s="740"/>
    </row>
    <row r="29197" ht="14.25" customHeight="1">
      <c r="A29197" s="740"/>
    </row>
    <row r="29198" ht="14.25" customHeight="1">
      <c r="A29198" s="740"/>
    </row>
    <row r="29199" ht="14.25" customHeight="1">
      <c r="A29199" s="740"/>
    </row>
    <row r="29200" ht="14.25" customHeight="1">
      <c r="A29200" s="740"/>
    </row>
    <row r="29201" ht="14.25" customHeight="1">
      <c r="A29201" s="740"/>
    </row>
    <row r="29202" ht="14.25" customHeight="1">
      <c r="A29202" s="740"/>
    </row>
    <row r="29203" ht="14.25" customHeight="1">
      <c r="A29203" s="740"/>
    </row>
    <row r="29204" ht="14.25" customHeight="1">
      <c r="A29204" s="740"/>
    </row>
    <row r="29205" ht="14.25" customHeight="1">
      <c r="A29205" s="740"/>
    </row>
    <row r="29206" ht="14.25" customHeight="1">
      <c r="A29206" s="740"/>
    </row>
    <row r="29207" ht="14.25" customHeight="1">
      <c r="A29207" s="740"/>
    </row>
    <row r="29208" ht="14.25" customHeight="1">
      <c r="A29208" s="740"/>
    </row>
    <row r="29209" ht="14.25" customHeight="1">
      <c r="A29209" s="740"/>
    </row>
    <row r="29210" ht="14.25" customHeight="1">
      <c r="A29210" s="740"/>
    </row>
    <row r="29211" ht="14.25" customHeight="1">
      <c r="A29211" s="740"/>
    </row>
    <row r="29212" ht="14.25" customHeight="1">
      <c r="A29212" s="740"/>
    </row>
    <row r="29213" ht="14.25" customHeight="1">
      <c r="A29213" s="740"/>
    </row>
    <row r="29214" ht="14.25" customHeight="1">
      <c r="A29214" s="740"/>
    </row>
    <row r="29215" ht="14.25" customHeight="1">
      <c r="A29215" s="740"/>
    </row>
    <row r="29216" ht="14.25" customHeight="1">
      <c r="A29216" s="740"/>
    </row>
    <row r="29217" ht="14.25" customHeight="1">
      <c r="A29217" s="740"/>
    </row>
    <row r="29218" ht="14.25" customHeight="1">
      <c r="A29218" s="740"/>
    </row>
    <row r="29219" ht="14.25" customHeight="1">
      <c r="A29219" s="740"/>
    </row>
    <row r="29220" ht="14.25" customHeight="1">
      <c r="A29220" s="740"/>
    </row>
    <row r="29221" ht="14.25" customHeight="1">
      <c r="A29221" s="740"/>
    </row>
    <row r="29222" ht="14.25" customHeight="1">
      <c r="A29222" s="740"/>
    </row>
    <row r="29223" ht="14.25" customHeight="1">
      <c r="A29223" s="740"/>
    </row>
    <row r="29224" ht="14.25" customHeight="1">
      <c r="A29224" s="740"/>
    </row>
    <row r="29225" ht="14.25" customHeight="1">
      <c r="A29225" s="740"/>
    </row>
    <row r="29226" ht="14.25" customHeight="1">
      <c r="A29226" s="740"/>
    </row>
    <row r="29227" ht="14.25" customHeight="1">
      <c r="A29227" s="740"/>
    </row>
    <row r="29228" ht="14.25" customHeight="1">
      <c r="A29228" s="740"/>
    </row>
    <row r="29229" ht="14.25" customHeight="1">
      <c r="A29229" s="740"/>
    </row>
    <row r="29230" ht="14.25" customHeight="1">
      <c r="A29230" s="740"/>
    </row>
    <row r="29231" ht="14.25" customHeight="1">
      <c r="A29231" s="740"/>
    </row>
    <row r="29232" ht="14.25" customHeight="1">
      <c r="A29232" s="740"/>
    </row>
    <row r="29233" ht="14.25" customHeight="1">
      <c r="A29233" s="740"/>
    </row>
    <row r="29234" ht="14.25" customHeight="1">
      <c r="A29234" s="740"/>
    </row>
    <row r="29235" ht="14.25" customHeight="1">
      <c r="A29235" s="740"/>
    </row>
    <row r="29236" ht="14.25" customHeight="1">
      <c r="A29236" s="740"/>
    </row>
    <row r="29237" ht="14.25" customHeight="1">
      <c r="A29237" s="740"/>
    </row>
    <row r="29238" ht="14.25" customHeight="1">
      <c r="A29238" s="740"/>
    </row>
    <row r="29239" ht="14.25" customHeight="1">
      <c r="A29239" s="740"/>
    </row>
    <row r="29240" ht="14.25" customHeight="1">
      <c r="A29240" s="740"/>
    </row>
    <row r="29241" ht="14.25" customHeight="1">
      <c r="A29241" s="740"/>
    </row>
    <row r="29242" ht="14.25" customHeight="1">
      <c r="A29242" s="740"/>
    </row>
    <row r="29243" ht="14.25" customHeight="1">
      <c r="A29243" s="740"/>
    </row>
    <row r="29244" ht="14.25" customHeight="1">
      <c r="A29244" s="740"/>
    </row>
    <row r="29245" ht="14.25" customHeight="1">
      <c r="A29245" s="740"/>
    </row>
    <row r="29246" ht="14.25" customHeight="1">
      <c r="A29246" s="740"/>
    </row>
    <row r="29247" ht="14.25" customHeight="1">
      <c r="A29247" s="740"/>
    </row>
    <row r="29248" ht="14.25" customHeight="1">
      <c r="A29248" s="740"/>
    </row>
    <row r="29249" ht="14.25" customHeight="1">
      <c r="A29249" s="740"/>
    </row>
    <row r="29250" ht="14.25" customHeight="1">
      <c r="A29250" s="740"/>
    </row>
    <row r="29251" ht="14.25" customHeight="1">
      <c r="A29251" s="740"/>
    </row>
    <row r="29252" ht="14.25" customHeight="1">
      <c r="A29252" s="740"/>
    </row>
    <row r="29253" ht="14.25" customHeight="1">
      <c r="A29253" s="740"/>
    </row>
    <row r="29254" ht="14.25" customHeight="1">
      <c r="A29254" s="740"/>
    </row>
    <row r="29255" ht="14.25" customHeight="1">
      <c r="A29255" s="740"/>
    </row>
    <row r="29256" ht="14.25" customHeight="1">
      <c r="A29256" s="740"/>
    </row>
    <row r="29257" ht="14.25" customHeight="1">
      <c r="A29257" s="740"/>
    </row>
    <row r="29258" ht="14.25" customHeight="1">
      <c r="A29258" s="740"/>
    </row>
    <row r="29259" ht="14.25" customHeight="1">
      <c r="A29259" s="740"/>
    </row>
    <row r="29260" ht="14.25" customHeight="1">
      <c r="A29260" s="740"/>
    </row>
    <row r="29261" ht="14.25" customHeight="1">
      <c r="A29261" s="740"/>
    </row>
    <row r="29262" ht="14.25" customHeight="1">
      <c r="A29262" s="740"/>
    </row>
    <row r="29263" ht="14.25" customHeight="1">
      <c r="A29263" s="740"/>
    </row>
    <row r="29264" ht="14.25" customHeight="1">
      <c r="A29264" s="740"/>
    </row>
    <row r="29265" ht="14.25" customHeight="1">
      <c r="A29265" s="740"/>
    </row>
    <row r="29266" ht="14.25" customHeight="1">
      <c r="A29266" s="740"/>
    </row>
    <row r="29267" ht="14.25" customHeight="1">
      <c r="A29267" s="740"/>
    </row>
    <row r="29268" ht="14.25" customHeight="1">
      <c r="A29268" s="740"/>
    </row>
    <row r="29269" ht="14.25" customHeight="1">
      <c r="A29269" s="740"/>
    </row>
    <row r="29270" ht="14.25" customHeight="1">
      <c r="A29270" s="740"/>
    </row>
    <row r="29271" ht="14.25" customHeight="1">
      <c r="A29271" s="740"/>
    </row>
    <row r="29272" ht="14.25" customHeight="1">
      <c r="A29272" s="740"/>
    </row>
    <row r="29273" ht="14.25" customHeight="1">
      <c r="A29273" s="740"/>
    </row>
    <row r="29274" ht="14.25" customHeight="1">
      <c r="A29274" s="740"/>
    </row>
    <row r="29275" ht="14.25" customHeight="1">
      <c r="A29275" s="740"/>
    </row>
    <row r="29276" ht="14.25" customHeight="1">
      <c r="A29276" s="740"/>
    </row>
    <row r="29277" ht="14.25" customHeight="1">
      <c r="A29277" s="740"/>
    </row>
    <row r="29278" ht="14.25" customHeight="1">
      <c r="A29278" s="740"/>
    </row>
    <row r="29279" ht="14.25" customHeight="1">
      <c r="A29279" s="740"/>
    </row>
    <row r="29280" ht="14.25" customHeight="1">
      <c r="A29280" s="740"/>
    </row>
    <row r="29281" ht="14.25" customHeight="1">
      <c r="A29281" s="740"/>
    </row>
    <row r="29282" ht="14.25" customHeight="1">
      <c r="A29282" s="740"/>
    </row>
    <row r="29283" ht="14.25" customHeight="1">
      <c r="A29283" s="740"/>
    </row>
    <row r="29284" ht="14.25" customHeight="1">
      <c r="A29284" s="740"/>
    </row>
    <row r="29285" ht="14.25" customHeight="1">
      <c r="A29285" s="740"/>
    </row>
    <row r="29286" ht="14.25" customHeight="1">
      <c r="A29286" s="740"/>
    </row>
    <row r="29287" ht="14.25" customHeight="1">
      <c r="A29287" s="740"/>
    </row>
    <row r="29288" ht="14.25" customHeight="1">
      <c r="A29288" s="740"/>
    </row>
    <row r="29289" ht="14.25" customHeight="1">
      <c r="A29289" s="740"/>
    </row>
    <row r="29290" ht="14.25" customHeight="1">
      <c r="A29290" s="740"/>
    </row>
    <row r="29291" ht="14.25" customHeight="1">
      <c r="A29291" s="740"/>
    </row>
    <row r="29292" ht="14.25" customHeight="1">
      <c r="A29292" s="740"/>
    </row>
    <row r="29293" ht="14.25" customHeight="1">
      <c r="A29293" s="740"/>
    </row>
    <row r="29294" ht="14.25" customHeight="1">
      <c r="A29294" s="740"/>
    </row>
    <row r="29295" ht="14.25" customHeight="1">
      <c r="A29295" s="740"/>
    </row>
    <row r="29296" ht="14.25" customHeight="1">
      <c r="A29296" s="740"/>
    </row>
    <row r="29297" ht="14.25" customHeight="1">
      <c r="A29297" s="740"/>
    </row>
    <row r="29298" ht="14.25" customHeight="1">
      <c r="A29298" s="740"/>
    </row>
    <row r="29299" ht="14.25" customHeight="1">
      <c r="A29299" s="740"/>
    </row>
    <row r="29300" ht="14.25" customHeight="1">
      <c r="A29300" s="740"/>
    </row>
    <row r="29301" ht="14.25" customHeight="1">
      <c r="A29301" s="740"/>
    </row>
    <row r="29302" ht="14.25" customHeight="1">
      <c r="A29302" s="740"/>
    </row>
    <row r="29303" ht="14.25" customHeight="1">
      <c r="A29303" s="740"/>
    </row>
    <row r="29304" ht="14.25" customHeight="1">
      <c r="A29304" s="740"/>
    </row>
    <row r="29305" ht="14.25" customHeight="1">
      <c r="A29305" s="740"/>
    </row>
    <row r="29306" ht="14.25" customHeight="1">
      <c r="A29306" s="740"/>
    </row>
    <row r="29307" ht="14.25" customHeight="1">
      <c r="A29307" s="740"/>
    </row>
    <row r="29308" ht="14.25" customHeight="1">
      <c r="A29308" s="740"/>
    </row>
    <row r="29309" ht="14.25" customHeight="1">
      <c r="A29309" s="740"/>
    </row>
    <row r="29310" ht="14.25" customHeight="1">
      <c r="A29310" s="740"/>
    </row>
    <row r="29311" ht="14.25" customHeight="1">
      <c r="A29311" s="740"/>
    </row>
    <row r="29312" ht="14.25" customHeight="1">
      <c r="A29312" s="740"/>
    </row>
    <row r="29313" ht="14.25" customHeight="1">
      <c r="A29313" s="740"/>
    </row>
    <row r="29314" ht="14.25" customHeight="1">
      <c r="A29314" s="740"/>
    </row>
    <row r="29315" ht="14.25" customHeight="1">
      <c r="A29315" s="740"/>
    </row>
    <row r="29316" ht="14.25" customHeight="1">
      <c r="A29316" s="740"/>
    </row>
    <row r="29317" ht="14.25" customHeight="1">
      <c r="A29317" s="740"/>
    </row>
    <row r="29318" ht="14.25" customHeight="1">
      <c r="A29318" s="740"/>
    </row>
    <row r="29319" ht="14.25" customHeight="1">
      <c r="A29319" s="740"/>
    </row>
    <row r="29320" ht="14.25" customHeight="1">
      <c r="A29320" s="740"/>
    </row>
    <row r="29321" ht="14.25" customHeight="1">
      <c r="A29321" s="740"/>
    </row>
    <row r="29322" ht="14.25" customHeight="1">
      <c r="A29322" s="740"/>
    </row>
    <row r="29323" ht="14.25" customHeight="1">
      <c r="A29323" s="740"/>
    </row>
    <row r="29324" ht="14.25" customHeight="1">
      <c r="A29324" s="740"/>
    </row>
    <row r="29325" ht="14.25" customHeight="1">
      <c r="A29325" s="740"/>
    </row>
    <row r="29326" ht="14.25" customHeight="1">
      <c r="A29326" s="740"/>
    </row>
    <row r="29327" ht="14.25" customHeight="1">
      <c r="A29327" s="740"/>
    </row>
    <row r="29328" ht="14.25" customHeight="1">
      <c r="A29328" s="740"/>
    </row>
    <row r="29329" ht="14.25" customHeight="1">
      <c r="A29329" s="740"/>
    </row>
    <row r="29330" ht="14.25" customHeight="1">
      <c r="A29330" s="740"/>
    </row>
    <row r="29331" ht="14.25" customHeight="1">
      <c r="A29331" s="740"/>
    </row>
    <row r="29332" ht="14.25" customHeight="1">
      <c r="A29332" s="740"/>
    </row>
    <row r="29333" ht="14.25" customHeight="1">
      <c r="A29333" s="740"/>
    </row>
    <row r="29334" ht="14.25" customHeight="1">
      <c r="A29334" s="740"/>
    </row>
    <row r="29335" ht="14.25" customHeight="1">
      <c r="A29335" s="740"/>
    </row>
    <row r="29336" ht="14.25" customHeight="1">
      <c r="A29336" s="740"/>
    </row>
    <row r="29337" ht="14.25" customHeight="1">
      <c r="A29337" s="740"/>
    </row>
    <row r="29338" ht="14.25" customHeight="1">
      <c r="A29338" s="740"/>
    </row>
    <row r="29339" ht="14.25" customHeight="1">
      <c r="A29339" s="740"/>
    </row>
    <row r="29340" ht="14.25" customHeight="1">
      <c r="A29340" s="740"/>
    </row>
    <row r="29341" ht="14.25" customHeight="1">
      <c r="A29341" s="740"/>
    </row>
    <row r="29342" ht="14.25" customHeight="1">
      <c r="A29342" s="740"/>
    </row>
    <row r="29343" ht="14.25" customHeight="1">
      <c r="A29343" s="740"/>
    </row>
    <row r="29344" ht="14.25" customHeight="1">
      <c r="A29344" s="740"/>
    </row>
    <row r="29345" ht="14.25" customHeight="1">
      <c r="A29345" s="740"/>
    </row>
    <row r="29346" ht="14.25" customHeight="1">
      <c r="A29346" s="740"/>
    </row>
    <row r="29347" ht="14.25" customHeight="1">
      <c r="A29347" s="740"/>
    </row>
    <row r="29348" ht="14.25" customHeight="1">
      <c r="A29348" s="740"/>
    </row>
    <row r="29349" ht="14.25" customHeight="1">
      <c r="A29349" s="740"/>
    </row>
    <row r="29350" ht="14.25" customHeight="1">
      <c r="A29350" s="740"/>
    </row>
    <row r="29351" ht="14.25" customHeight="1">
      <c r="A29351" s="740"/>
    </row>
    <row r="29352" ht="14.25" customHeight="1">
      <c r="A29352" s="740"/>
    </row>
    <row r="29353" ht="14.25" customHeight="1">
      <c r="A29353" s="740"/>
    </row>
    <row r="29354" ht="14.25" customHeight="1">
      <c r="A29354" s="740"/>
    </row>
    <row r="29355" ht="14.25" customHeight="1">
      <c r="A29355" s="740"/>
    </row>
    <row r="29356" ht="14.25" customHeight="1">
      <c r="A29356" s="740"/>
    </row>
    <row r="29357" ht="14.25" customHeight="1">
      <c r="A29357" s="740"/>
    </row>
    <row r="29358" ht="14.25" customHeight="1">
      <c r="A29358" s="740"/>
    </row>
    <row r="29359" ht="14.25" customHeight="1">
      <c r="A29359" s="740"/>
    </row>
    <row r="29360" ht="14.25" customHeight="1">
      <c r="A29360" s="740"/>
    </row>
    <row r="29361" ht="14.25" customHeight="1">
      <c r="A29361" s="740"/>
    </row>
    <row r="29362" ht="14.25" customHeight="1">
      <c r="A29362" s="740"/>
    </row>
    <row r="29363" ht="14.25" customHeight="1">
      <c r="A29363" s="740"/>
    </row>
    <row r="29364" ht="14.25" customHeight="1">
      <c r="A29364" s="740"/>
    </row>
    <row r="29365" ht="14.25" customHeight="1">
      <c r="A29365" s="740"/>
    </row>
    <row r="29366" ht="14.25" customHeight="1">
      <c r="A29366" s="740"/>
    </row>
    <row r="29367" ht="14.25" customHeight="1">
      <c r="A29367" s="740"/>
    </row>
    <row r="29368" ht="14.25" customHeight="1">
      <c r="A29368" s="740"/>
    </row>
    <row r="29369" ht="14.25" customHeight="1">
      <c r="A29369" s="740"/>
    </row>
    <row r="29370" ht="14.25" customHeight="1">
      <c r="A29370" s="740"/>
    </row>
    <row r="29371" ht="14.25" customHeight="1">
      <c r="A29371" s="740"/>
    </row>
    <row r="29372" ht="14.25" customHeight="1">
      <c r="A29372" s="740"/>
    </row>
    <row r="29373" ht="14.25" customHeight="1">
      <c r="A29373" s="740"/>
    </row>
    <row r="29374" ht="14.25" customHeight="1">
      <c r="A29374" s="740"/>
    </row>
    <row r="29375" ht="14.25" customHeight="1">
      <c r="A29375" s="740"/>
    </row>
    <row r="29376" ht="14.25" customHeight="1">
      <c r="A29376" s="740"/>
    </row>
    <row r="29377" ht="14.25" customHeight="1">
      <c r="A29377" s="740"/>
    </row>
    <row r="29378" ht="14.25" customHeight="1">
      <c r="A29378" s="740"/>
    </row>
    <row r="29379" ht="14.25" customHeight="1">
      <c r="A29379" s="740"/>
    </row>
    <row r="29380" ht="14.25" customHeight="1">
      <c r="A29380" s="740"/>
    </row>
    <row r="29381" ht="14.25" customHeight="1">
      <c r="A29381" s="740"/>
    </row>
    <row r="29382" ht="14.25" customHeight="1">
      <c r="A29382" s="740"/>
    </row>
    <row r="29383" ht="14.25" customHeight="1">
      <c r="A29383" s="740"/>
    </row>
    <row r="29384" ht="14.25" customHeight="1">
      <c r="A29384" s="740"/>
    </row>
    <row r="29385" ht="14.25" customHeight="1">
      <c r="A29385" s="740"/>
    </row>
    <row r="29386" ht="14.25" customHeight="1">
      <c r="A29386" s="740"/>
    </row>
    <row r="29387" ht="14.25" customHeight="1">
      <c r="A29387" s="740"/>
    </row>
    <row r="29388" ht="14.25" customHeight="1">
      <c r="A29388" s="740"/>
    </row>
    <row r="29389" ht="14.25" customHeight="1">
      <c r="A29389" s="740"/>
    </row>
    <row r="29390" ht="14.25" customHeight="1">
      <c r="A29390" s="740"/>
    </row>
    <row r="29391" ht="14.25" customHeight="1">
      <c r="A29391" s="740"/>
    </row>
    <row r="29392" ht="14.25" customHeight="1">
      <c r="A29392" s="740"/>
    </row>
    <row r="29393" ht="14.25" customHeight="1">
      <c r="A29393" s="740"/>
    </row>
    <row r="29394" ht="14.25" customHeight="1">
      <c r="A29394" s="740"/>
    </row>
    <row r="29395" ht="14.25" customHeight="1">
      <c r="A29395" s="740"/>
    </row>
    <row r="29396" ht="14.25" customHeight="1">
      <c r="A29396" s="740"/>
    </row>
    <row r="29397" ht="14.25" customHeight="1">
      <c r="A29397" s="740"/>
    </row>
    <row r="29398" ht="14.25" customHeight="1">
      <c r="A29398" s="740"/>
    </row>
    <row r="29399" ht="14.25" customHeight="1">
      <c r="A29399" s="740"/>
    </row>
    <row r="29400" ht="14.25" customHeight="1">
      <c r="A29400" s="740"/>
    </row>
    <row r="29401" ht="14.25" customHeight="1">
      <c r="A29401" s="740"/>
    </row>
    <row r="29402" ht="14.25" customHeight="1">
      <c r="A29402" s="740"/>
    </row>
    <row r="29403" ht="14.25" customHeight="1">
      <c r="A29403" s="740"/>
    </row>
    <row r="29404" ht="14.25" customHeight="1">
      <c r="A29404" s="740"/>
    </row>
    <row r="29405" ht="14.25" customHeight="1">
      <c r="A29405" s="740"/>
    </row>
    <row r="29406" ht="14.25" customHeight="1">
      <c r="A29406" s="740"/>
    </row>
    <row r="29407" ht="14.25" customHeight="1">
      <c r="A29407" s="740"/>
    </row>
    <row r="29408" ht="14.25" customHeight="1">
      <c r="A29408" s="740"/>
    </row>
    <row r="29409" ht="14.25" customHeight="1">
      <c r="A29409" s="740"/>
    </row>
    <row r="29410" ht="14.25" customHeight="1">
      <c r="A29410" s="740"/>
    </row>
    <row r="29411" ht="14.25" customHeight="1">
      <c r="A29411" s="740"/>
    </row>
    <row r="29412" ht="14.25" customHeight="1">
      <c r="A29412" s="740"/>
    </row>
    <row r="29413" ht="14.25" customHeight="1">
      <c r="A29413" s="740"/>
    </row>
    <row r="29414" ht="14.25" customHeight="1">
      <c r="A29414" s="740"/>
    </row>
    <row r="29415" ht="14.25" customHeight="1">
      <c r="A29415" s="740"/>
    </row>
    <row r="29416" ht="14.25" customHeight="1">
      <c r="A29416" s="740"/>
    </row>
    <row r="29417" ht="14.25" customHeight="1">
      <c r="A29417" s="740"/>
    </row>
    <row r="29418" ht="14.25" customHeight="1">
      <c r="A29418" s="740"/>
    </row>
    <row r="29419" ht="14.25" customHeight="1">
      <c r="A29419" s="740"/>
    </row>
    <row r="29420" ht="14.25" customHeight="1">
      <c r="A29420" s="740"/>
    </row>
    <row r="29421" ht="14.25" customHeight="1">
      <c r="A29421" s="740"/>
    </row>
    <row r="29422" ht="14.25" customHeight="1">
      <c r="A29422" s="740"/>
    </row>
    <row r="29423" ht="14.25" customHeight="1">
      <c r="A29423" s="740"/>
    </row>
    <row r="29424" ht="14.25" customHeight="1">
      <c r="A29424" s="740"/>
    </row>
    <row r="29425" ht="14.25" customHeight="1">
      <c r="A29425" s="740"/>
    </row>
    <row r="29426" ht="14.25" customHeight="1">
      <c r="A29426" s="740"/>
    </row>
    <row r="29427" ht="14.25" customHeight="1">
      <c r="A29427" s="740"/>
    </row>
    <row r="29428" ht="14.25" customHeight="1">
      <c r="A29428" s="740"/>
    </row>
    <row r="29429" ht="14.25" customHeight="1">
      <c r="A29429" s="740"/>
    </row>
    <row r="29430" ht="14.25" customHeight="1">
      <c r="A29430" s="740"/>
    </row>
    <row r="29431" ht="14.25" customHeight="1">
      <c r="A29431" s="740"/>
    </row>
    <row r="29432" ht="14.25" customHeight="1">
      <c r="A29432" s="740"/>
    </row>
    <row r="29433" ht="14.25" customHeight="1">
      <c r="A29433" s="740"/>
    </row>
    <row r="29434" ht="14.25" customHeight="1">
      <c r="A29434" s="740"/>
    </row>
    <row r="29435" ht="14.25" customHeight="1">
      <c r="A29435" s="740"/>
    </row>
    <row r="29436" ht="14.25" customHeight="1">
      <c r="A29436" s="740"/>
    </row>
    <row r="29437" ht="14.25" customHeight="1">
      <c r="A29437" s="740"/>
    </row>
    <row r="29438" ht="14.25" customHeight="1">
      <c r="A29438" s="740"/>
    </row>
    <row r="29439" ht="14.25" customHeight="1">
      <c r="A29439" s="740"/>
    </row>
    <row r="29440" ht="14.25" customHeight="1">
      <c r="A29440" s="740"/>
    </row>
    <row r="29441" ht="14.25" customHeight="1">
      <c r="A29441" s="740"/>
    </row>
    <row r="29442" ht="14.25" customHeight="1">
      <c r="A29442" s="740"/>
    </row>
    <row r="29443" ht="14.25" customHeight="1">
      <c r="A29443" s="740"/>
    </row>
    <row r="29444" ht="14.25" customHeight="1">
      <c r="A29444" s="740"/>
    </row>
    <row r="29445" ht="14.25" customHeight="1">
      <c r="A29445" s="740"/>
    </row>
    <row r="29446" ht="14.25" customHeight="1">
      <c r="A29446" s="740"/>
    </row>
    <row r="29447" ht="14.25" customHeight="1">
      <c r="A29447" s="740"/>
    </row>
    <row r="29448" ht="14.25" customHeight="1">
      <c r="A29448" s="740"/>
    </row>
    <row r="29449" ht="14.25" customHeight="1">
      <c r="A29449" s="740"/>
    </row>
    <row r="29450" ht="14.25" customHeight="1">
      <c r="A29450" s="740"/>
    </row>
    <row r="29451" ht="14.25" customHeight="1">
      <c r="A29451" s="740"/>
    </row>
    <row r="29452" ht="14.25" customHeight="1">
      <c r="A29452" s="740"/>
    </row>
    <row r="29453" ht="14.25" customHeight="1">
      <c r="A29453" s="740"/>
    </row>
    <row r="29454" ht="14.25" customHeight="1">
      <c r="A29454" s="740"/>
    </row>
    <row r="29455" ht="14.25" customHeight="1">
      <c r="A29455" s="740"/>
    </row>
    <row r="29456" ht="14.25" customHeight="1">
      <c r="A29456" s="740"/>
    </row>
    <row r="29457" ht="14.25" customHeight="1">
      <c r="A29457" s="740"/>
    </row>
    <row r="29458" ht="14.25" customHeight="1">
      <c r="A29458" s="740"/>
    </row>
    <row r="29459" ht="14.25" customHeight="1">
      <c r="A29459" s="740"/>
    </row>
    <row r="29460" ht="14.25" customHeight="1">
      <c r="A29460" s="740"/>
    </row>
    <row r="29461" ht="14.25" customHeight="1">
      <c r="A29461" s="740"/>
    </row>
    <row r="29462" ht="14.25" customHeight="1">
      <c r="A29462" s="740"/>
    </row>
    <row r="29463" ht="14.25" customHeight="1">
      <c r="A29463" s="740"/>
    </row>
    <row r="29464" ht="14.25" customHeight="1">
      <c r="A29464" s="740"/>
    </row>
    <row r="29465" ht="14.25" customHeight="1">
      <c r="A29465" s="740"/>
    </row>
    <row r="29466" ht="14.25" customHeight="1">
      <c r="A29466" s="740"/>
    </row>
    <row r="29467" ht="14.25" customHeight="1">
      <c r="A29467" s="740"/>
    </row>
    <row r="29468" ht="14.25" customHeight="1">
      <c r="A29468" s="740"/>
    </row>
    <row r="29469" ht="14.25" customHeight="1">
      <c r="A29469" s="740"/>
    </row>
    <row r="29470" ht="14.25" customHeight="1">
      <c r="A29470" s="740"/>
    </row>
    <row r="29471" ht="14.25" customHeight="1">
      <c r="A29471" s="740"/>
    </row>
    <row r="29472" ht="14.25" customHeight="1">
      <c r="A29472" s="740"/>
    </row>
    <row r="29473" ht="14.25" customHeight="1">
      <c r="A29473" s="740"/>
    </row>
    <row r="29474" ht="14.25" customHeight="1">
      <c r="A29474" s="740"/>
    </row>
    <row r="29475" ht="14.25" customHeight="1">
      <c r="A29475" s="740"/>
    </row>
    <row r="29476" ht="14.25" customHeight="1">
      <c r="A29476" s="740"/>
    </row>
    <row r="29477" ht="14.25" customHeight="1">
      <c r="A29477" s="740"/>
    </row>
    <row r="29478" ht="14.25" customHeight="1">
      <c r="A29478" s="740"/>
    </row>
    <row r="29479" ht="14.25" customHeight="1">
      <c r="A29479" s="740"/>
    </row>
    <row r="29480" ht="14.25" customHeight="1">
      <c r="A29480" s="740"/>
    </row>
    <row r="29481" ht="14.25" customHeight="1">
      <c r="A29481" s="740"/>
    </row>
    <row r="29482" ht="14.25" customHeight="1">
      <c r="A29482" s="740"/>
    </row>
    <row r="29483" ht="14.25" customHeight="1">
      <c r="A29483" s="740"/>
    </row>
    <row r="29484" ht="14.25" customHeight="1">
      <c r="A29484" s="740"/>
    </row>
    <row r="29485" ht="14.25" customHeight="1">
      <c r="A29485" s="740"/>
    </row>
    <row r="29486" ht="14.25" customHeight="1">
      <c r="A29486" s="740"/>
    </row>
    <row r="29487" ht="14.25" customHeight="1">
      <c r="A29487" s="740"/>
    </row>
    <row r="29488" ht="14.25" customHeight="1">
      <c r="A29488" s="740"/>
    </row>
    <row r="29489" ht="14.25" customHeight="1">
      <c r="A29489" s="740"/>
    </row>
    <row r="29490" ht="14.25" customHeight="1">
      <c r="A29490" s="740"/>
    </row>
    <row r="29491" ht="14.25" customHeight="1">
      <c r="A29491" s="740"/>
    </row>
    <row r="29492" ht="14.25" customHeight="1">
      <c r="A29492" s="740"/>
    </row>
    <row r="29493" ht="14.25" customHeight="1">
      <c r="A29493" s="740"/>
    </row>
    <row r="29494" ht="14.25" customHeight="1">
      <c r="A29494" s="740"/>
    </row>
    <row r="29495" ht="14.25" customHeight="1">
      <c r="A29495" s="740"/>
    </row>
    <row r="29496" ht="14.25" customHeight="1">
      <c r="A29496" s="740"/>
    </row>
    <row r="29497" ht="14.25" customHeight="1">
      <c r="A29497" s="740"/>
    </row>
    <row r="29498" ht="14.25" customHeight="1">
      <c r="A29498" s="740"/>
    </row>
    <row r="29499" ht="14.25" customHeight="1">
      <c r="A29499" s="740"/>
    </row>
    <row r="29500" ht="14.25" customHeight="1">
      <c r="A29500" s="740"/>
    </row>
    <row r="29501" ht="14.25" customHeight="1">
      <c r="A29501" s="740"/>
    </row>
    <row r="29502" ht="14.25" customHeight="1">
      <c r="A29502" s="740"/>
    </row>
    <row r="29503" ht="14.25" customHeight="1">
      <c r="A29503" s="740"/>
    </row>
    <row r="29504" ht="14.25" customHeight="1">
      <c r="A29504" s="740"/>
    </row>
    <row r="29505" ht="14.25" customHeight="1">
      <c r="A29505" s="740"/>
    </row>
    <row r="29506" ht="14.25" customHeight="1">
      <c r="A29506" s="740"/>
    </row>
    <row r="29507" ht="14.25" customHeight="1">
      <c r="A29507" s="740"/>
    </row>
    <row r="29508" ht="14.25" customHeight="1">
      <c r="A29508" s="740"/>
    </row>
    <row r="29509" ht="14.25" customHeight="1">
      <c r="A29509" s="740"/>
    </row>
    <row r="29510" ht="14.25" customHeight="1">
      <c r="A29510" s="740"/>
    </row>
    <row r="29511" ht="14.25" customHeight="1">
      <c r="A29511" s="740"/>
    </row>
    <row r="29512" ht="14.25" customHeight="1">
      <c r="A29512" s="740"/>
    </row>
    <row r="29513" ht="14.25" customHeight="1">
      <c r="A29513" s="740"/>
    </row>
    <row r="29514" ht="14.25" customHeight="1">
      <c r="A29514" s="740"/>
    </row>
    <row r="29515" ht="14.25" customHeight="1">
      <c r="A29515" s="740"/>
    </row>
    <row r="29516" ht="14.25" customHeight="1">
      <c r="A29516" s="740"/>
    </row>
    <row r="29517" ht="14.25" customHeight="1">
      <c r="A29517" s="740"/>
    </row>
    <row r="29518" ht="14.25" customHeight="1">
      <c r="A29518" s="740"/>
    </row>
    <row r="29519" ht="14.25" customHeight="1">
      <c r="A29519" s="740"/>
    </row>
    <row r="29520" ht="14.25" customHeight="1">
      <c r="A29520" s="740"/>
    </row>
    <row r="29521" ht="14.25" customHeight="1">
      <c r="A29521" s="740"/>
    </row>
    <row r="29522" ht="14.25" customHeight="1">
      <c r="A29522" s="740"/>
    </row>
    <row r="29523" ht="14.25" customHeight="1">
      <c r="A29523" s="740"/>
    </row>
    <row r="29524" ht="14.25" customHeight="1">
      <c r="A29524" s="740"/>
    </row>
    <row r="29525" ht="14.25" customHeight="1">
      <c r="A29525" s="740"/>
    </row>
    <row r="29526" ht="14.25" customHeight="1">
      <c r="A29526" s="740"/>
    </row>
    <row r="29527" ht="14.25" customHeight="1">
      <c r="A29527" s="740"/>
    </row>
    <row r="29528" ht="14.25" customHeight="1">
      <c r="A29528" s="740"/>
    </row>
    <row r="29529" ht="14.25" customHeight="1">
      <c r="A29529" s="740"/>
    </row>
    <row r="29530" ht="14.25" customHeight="1">
      <c r="A29530" s="740"/>
    </row>
    <row r="29531" ht="14.25" customHeight="1">
      <c r="A29531" s="740"/>
    </row>
    <row r="29532" ht="14.25" customHeight="1">
      <c r="A29532" s="740"/>
    </row>
    <row r="29533" ht="14.25" customHeight="1">
      <c r="A29533" s="740"/>
    </row>
    <row r="29534" ht="14.25" customHeight="1">
      <c r="A29534" s="740"/>
    </row>
    <row r="29535" ht="14.25" customHeight="1">
      <c r="A29535" s="740"/>
    </row>
    <row r="29536" ht="14.25" customHeight="1">
      <c r="A29536" s="740"/>
    </row>
    <row r="29537" ht="14.25" customHeight="1">
      <c r="A29537" s="740"/>
    </row>
    <row r="29538" ht="14.25" customHeight="1">
      <c r="A29538" s="740"/>
    </row>
    <row r="29539" ht="14.25" customHeight="1">
      <c r="A29539" s="740"/>
    </row>
    <row r="29540" ht="14.25" customHeight="1">
      <c r="A29540" s="740"/>
    </row>
    <row r="29541" ht="14.25" customHeight="1">
      <c r="A29541" s="740"/>
    </row>
    <row r="29542" ht="14.25" customHeight="1">
      <c r="A29542" s="740"/>
    </row>
    <row r="29543" ht="14.25" customHeight="1">
      <c r="A29543" s="740"/>
    </row>
    <row r="29544" ht="14.25" customHeight="1">
      <c r="A29544" s="740"/>
    </row>
    <row r="29545" ht="14.25" customHeight="1">
      <c r="A29545" s="740"/>
    </row>
    <row r="29546" ht="14.25" customHeight="1">
      <c r="A29546" s="740"/>
    </row>
    <row r="29547" ht="14.25" customHeight="1">
      <c r="A29547" s="740"/>
    </row>
    <row r="29548" ht="14.25" customHeight="1">
      <c r="A29548" s="740"/>
    </row>
    <row r="29549" ht="14.25" customHeight="1">
      <c r="A29549" s="740"/>
    </row>
    <row r="29550" ht="14.25" customHeight="1">
      <c r="A29550" s="740"/>
    </row>
    <row r="29551" ht="14.25" customHeight="1">
      <c r="A29551" s="740"/>
    </row>
    <row r="29552" ht="14.25" customHeight="1">
      <c r="A29552" s="740"/>
    </row>
    <row r="29553" ht="14.25" customHeight="1">
      <c r="A29553" s="740"/>
    </row>
    <row r="29554" ht="14.25" customHeight="1">
      <c r="A29554" s="740"/>
    </row>
    <row r="29555" ht="14.25" customHeight="1">
      <c r="A29555" s="740"/>
    </row>
    <row r="29556" ht="14.25" customHeight="1">
      <c r="A29556" s="740"/>
    </row>
    <row r="29557" ht="14.25" customHeight="1">
      <c r="A29557" s="740"/>
    </row>
    <row r="29558" ht="14.25" customHeight="1">
      <c r="A29558" s="740"/>
    </row>
    <row r="29559" ht="14.25" customHeight="1">
      <c r="A29559" s="740"/>
    </row>
    <row r="29560" ht="14.25" customHeight="1">
      <c r="A29560" s="740"/>
    </row>
    <row r="29561" ht="14.25" customHeight="1">
      <c r="A29561" s="740"/>
    </row>
    <row r="29562" ht="14.25" customHeight="1">
      <c r="A29562" s="740"/>
    </row>
    <row r="29563" ht="14.25" customHeight="1">
      <c r="A29563" s="740"/>
    </row>
    <row r="29564" ht="14.25" customHeight="1">
      <c r="A29564" s="740"/>
    </row>
    <row r="29565" ht="14.25" customHeight="1">
      <c r="A29565" s="740"/>
    </row>
    <row r="29566" ht="14.25" customHeight="1">
      <c r="A29566" s="740"/>
    </row>
    <row r="29567" ht="14.25" customHeight="1">
      <c r="A29567" s="740"/>
    </row>
    <row r="29568" ht="14.25" customHeight="1">
      <c r="A29568" s="740"/>
    </row>
    <row r="29569" ht="14.25" customHeight="1">
      <c r="A29569" s="740"/>
    </row>
    <row r="29570" ht="14.25" customHeight="1">
      <c r="A29570" s="740"/>
    </row>
    <row r="29571" ht="14.25" customHeight="1">
      <c r="A29571" s="740"/>
    </row>
    <row r="29572" ht="14.25" customHeight="1">
      <c r="A29572" s="740"/>
    </row>
    <row r="29573" ht="14.25" customHeight="1">
      <c r="A29573" s="740"/>
    </row>
    <row r="29574" ht="14.25" customHeight="1">
      <c r="A29574" s="740"/>
    </row>
    <row r="29575" ht="14.25" customHeight="1">
      <c r="A29575" s="740"/>
    </row>
    <row r="29576" ht="14.25" customHeight="1">
      <c r="A29576" s="740"/>
    </row>
    <row r="29577" ht="14.25" customHeight="1">
      <c r="A29577" s="740"/>
    </row>
    <row r="29578" ht="14.25" customHeight="1">
      <c r="A29578" s="740"/>
    </row>
    <row r="29579" ht="14.25" customHeight="1">
      <c r="A29579" s="740"/>
    </row>
    <row r="29580" ht="14.25" customHeight="1">
      <c r="A29580" s="740"/>
    </row>
    <row r="29581" ht="14.25" customHeight="1">
      <c r="A29581" s="740"/>
    </row>
    <row r="29582" ht="14.25" customHeight="1">
      <c r="A29582" s="740"/>
    </row>
    <row r="29583" ht="14.25" customHeight="1">
      <c r="A29583" s="740"/>
    </row>
    <row r="29584" ht="14.25" customHeight="1">
      <c r="A29584" s="740"/>
    </row>
    <row r="29585" ht="14.25" customHeight="1">
      <c r="A29585" s="740"/>
    </row>
    <row r="29586" ht="14.25" customHeight="1">
      <c r="A29586" s="740"/>
    </row>
    <row r="29587" ht="14.25" customHeight="1">
      <c r="A29587" s="740"/>
    </row>
    <row r="29588" ht="14.25" customHeight="1">
      <c r="A29588" s="740"/>
    </row>
    <row r="29589" ht="14.25" customHeight="1">
      <c r="A29589" s="740"/>
    </row>
    <row r="29590" ht="14.25" customHeight="1">
      <c r="A29590" s="740"/>
    </row>
    <row r="29591" ht="14.25" customHeight="1">
      <c r="A29591" s="740"/>
    </row>
    <row r="29592" ht="14.25" customHeight="1">
      <c r="A29592" s="740"/>
    </row>
    <row r="29593" ht="14.25" customHeight="1">
      <c r="A29593" s="740"/>
    </row>
    <row r="29594" ht="14.25" customHeight="1">
      <c r="A29594" s="740"/>
    </row>
    <row r="29595" ht="14.25" customHeight="1">
      <c r="A29595" s="740"/>
    </row>
    <row r="29596" ht="14.25" customHeight="1">
      <c r="A29596" s="740"/>
    </row>
    <row r="29597" ht="14.25" customHeight="1">
      <c r="A29597" s="740"/>
    </row>
    <row r="29598" ht="14.25" customHeight="1">
      <c r="A29598" s="740"/>
    </row>
    <row r="29599" ht="14.25" customHeight="1">
      <c r="A29599" s="740"/>
    </row>
    <row r="29600" ht="14.25" customHeight="1">
      <c r="A29600" s="740"/>
    </row>
    <row r="29601" ht="14.25" customHeight="1">
      <c r="A29601" s="740"/>
    </row>
    <row r="29602" ht="14.25" customHeight="1">
      <c r="A29602" s="740"/>
    </row>
    <row r="29603" ht="14.25" customHeight="1">
      <c r="A29603" s="740"/>
    </row>
    <row r="29604" ht="14.25" customHeight="1">
      <c r="A29604" s="740"/>
    </row>
    <row r="29605" ht="14.25" customHeight="1">
      <c r="A29605" s="740"/>
    </row>
    <row r="29606" ht="14.25" customHeight="1">
      <c r="A29606" s="740"/>
    </row>
    <row r="29607" ht="14.25" customHeight="1">
      <c r="A29607" s="740"/>
    </row>
    <row r="29608" ht="14.25" customHeight="1">
      <c r="A29608" s="740"/>
    </row>
    <row r="29609" ht="14.25" customHeight="1">
      <c r="A29609" s="740"/>
    </row>
    <row r="29610" ht="14.25" customHeight="1">
      <c r="A29610" s="740"/>
    </row>
    <row r="29611" ht="14.25" customHeight="1">
      <c r="A29611" s="740"/>
    </row>
    <row r="29612" ht="14.25" customHeight="1">
      <c r="A29612" s="740"/>
    </row>
    <row r="29613" ht="14.25" customHeight="1">
      <c r="A29613" s="740"/>
    </row>
    <row r="29614" ht="14.25" customHeight="1">
      <c r="A29614" s="740"/>
    </row>
    <row r="29615" ht="14.25" customHeight="1">
      <c r="A29615" s="740"/>
    </row>
    <row r="29616" ht="14.25" customHeight="1">
      <c r="A29616" s="740"/>
    </row>
    <row r="29617" ht="14.25" customHeight="1">
      <c r="A29617" s="740"/>
    </row>
    <row r="29618" ht="14.25" customHeight="1">
      <c r="A29618" s="740"/>
    </row>
    <row r="29619" ht="14.25" customHeight="1">
      <c r="A29619" s="740"/>
    </row>
    <row r="29620" ht="14.25" customHeight="1">
      <c r="A29620" s="740"/>
    </row>
    <row r="29621" ht="14.25" customHeight="1">
      <c r="A29621" s="740"/>
    </row>
    <row r="29622" ht="14.25" customHeight="1">
      <c r="A29622" s="740"/>
    </row>
    <row r="29623" ht="14.25" customHeight="1">
      <c r="A29623" s="740"/>
    </row>
    <row r="29624" ht="14.25" customHeight="1">
      <c r="A29624" s="740"/>
    </row>
    <row r="29625" ht="14.25" customHeight="1">
      <c r="A29625" s="740"/>
    </row>
    <row r="29626" ht="14.25" customHeight="1">
      <c r="A29626" s="740"/>
    </row>
    <row r="29627" ht="14.25" customHeight="1">
      <c r="A29627" s="740"/>
    </row>
    <row r="29628" ht="14.25" customHeight="1">
      <c r="A29628" s="740"/>
    </row>
    <row r="29629" ht="14.25" customHeight="1">
      <c r="A29629" s="740"/>
    </row>
    <row r="29630" ht="14.25" customHeight="1">
      <c r="A29630" s="740"/>
    </row>
    <row r="29631" ht="14.25" customHeight="1">
      <c r="A29631" s="740"/>
    </row>
    <row r="29632" ht="14.25" customHeight="1">
      <c r="A29632" s="740"/>
    </row>
    <row r="29633" ht="14.25" customHeight="1">
      <c r="A29633" s="740"/>
    </row>
    <row r="29634" ht="14.25" customHeight="1">
      <c r="A29634" s="740"/>
    </row>
    <row r="29635" ht="14.25" customHeight="1">
      <c r="A29635" s="740"/>
    </row>
    <row r="29636" ht="14.25" customHeight="1">
      <c r="A29636" s="740"/>
    </row>
    <row r="29637" ht="14.25" customHeight="1">
      <c r="A29637" s="740"/>
    </row>
    <row r="29638" ht="14.25" customHeight="1">
      <c r="A29638" s="740"/>
    </row>
    <row r="29639" ht="14.25" customHeight="1">
      <c r="A29639" s="740"/>
    </row>
    <row r="29640" ht="14.25" customHeight="1">
      <c r="A29640" s="740"/>
    </row>
    <row r="29641" ht="14.25" customHeight="1">
      <c r="A29641" s="740"/>
    </row>
    <row r="29642" ht="14.25" customHeight="1">
      <c r="A29642" s="740"/>
    </row>
    <row r="29643" ht="14.25" customHeight="1">
      <c r="A29643" s="740"/>
    </row>
    <row r="29644" ht="14.25" customHeight="1">
      <c r="A29644" s="740"/>
    </row>
    <row r="29645" ht="14.25" customHeight="1">
      <c r="A29645" s="740"/>
    </row>
    <row r="29646" ht="14.25" customHeight="1">
      <c r="A29646" s="740"/>
    </row>
    <row r="29647" ht="14.25" customHeight="1">
      <c r="A29647" s="740"/>
    </row>
    <row r="29648" ht="14.25" customHeight="1">
      <c r="A29648" s="740"/>
    </row>
    <row r="29649" ht="14.25" customHeight="1">
      <c r="A29649" s="740"/>
    </row>
    <row r="29650" ht="14.25" customHeight="1">
      <c r="A29650" s="740"/>
    </row>
    <row r="29651" ht="14.25" customHeight="1">
      <c r="A29651" s="740"/>
    </row>
    <row r="29652" ht="14.25" customHeight="1">
      <c r="A29652" s="740"/>
    </row>
    <row r="29653" ht="14.25" customHeight="1">
      <c r="A29653" s="740"/>
    </row>
    <row r="29654" ht="14.25" customHeight="1">
      <c r="A29654" s="740"/>
    </row>
    <row r="29655" ht="14.25" customHeight="1">
      <c r="A29655" s="740"/>
    </row>
    <row r="29656" ht="14.25" customHeight="1">
      <c r="A29656" s="740"/>
    </row>
    <row r="29657" ht="14.25" customHeight="1">
      <c r="A29657" s="740"/>
    </row>
    <row r="29658" ht="14.25" customHeight="1">
      <c r="A29658" s="740"/>
    </row>
    <row r="29659" ht="14.25" customHeight="1">
      <c r="A29659" s="740"/>
    </row>
    <row r="29660" ht="14.25" customHeight="1">
      <c r="A29660" s="740"/>
    </row>
    <row r="29661" ht="14.25" customHeight="1">
      <c r="A29661" s="740"/>
    </row>
    <row r="29662" ht="14.25" customHeight="1">
      <c r="A29662" s="740"/>
    </row>
    <row r="29663" ht="14.25" customHeight="1">
      <c r="A29663" s="740"/>
    </row>
    <row r="29664" ht="14.25" customHeight="1">
      <c r="A29664" s="740"/>
    </row>
    <row r="29665" ht="14.25" customHeight="1">
      <c r="A29665" s="740"/>
    </row>
    <row r="29666" ht="14.25" customHeight="1">
      <c r="A29666" s="740"/>
    </row>
    <row r="29667" ht="14.25" customHeight="1">
      <c r="A29667" s="740"/>
    </row>
    <row r="29668" ht="14.25" customHeight="1">
      <c r="A29668" s="740"/>
    </row>
    <row r="29669" ht="14.25" customHeight="1">
      <c r="A29669" s="740"/>
    </row>
    <row r="29670" ht="14.25" customHeight="1">
      <c r="A29670" s="740"/>
    </row>
    <row r="29671" ht="14.25" customHeight="1">
      <c r="A29671" s="740"/>
    </row>
    <row r="29672" ht="14.25" customHeight="1">
      <c r="A29672" s="740"/>
    </row>
    <row r="29673" ht="14.25" customHeight="1">
      <c r="A29673" s="740"/>
    </row>
    <row r="29674" ht="14.25" customHeight="1">
      <c r="A29674" s="740"/>
    </row>
    <row r="29675" ht="14.25" customHeight="1">
      <c r="A29675" s="740"/>
    </row>
    <row r="29676" ht="14.25" customHeight="1">
      <c r="A29676" s="740"/>
    </row>
    <row r="29677" ht="14.25" customHeight="1">
      <c r="A29677" s="740"/>
    </row>
    <row r="29678" ht="14.25" customHeight="1">
      <c r="A29678" s="740"/>
    </row>
    <row r="29679" ht="14.25" customHeight="1">
      <c r="A29679" s="740"/>
    </row>
    <row r="29680" ht="14.25" customHeight="1">
      <c r="A29680" s="740"/>
    </row>
    <row r="29681" ht="14.25" customHeight="1">
      <c r="A29681" s="740"/>
    </row>
    <row r="29682" ht="14.25" customHeight="1">
      <c r="A29682" s="740"/>
    </row>
    <row r="29683" ht="14.25" customHeight="1">
      <c r="A29683" s="740"/>
    </row>
    <row r="29684" ht="14.25" customHeight="1">
      <c r="A29684" s="740"/>
    </row>
    <row r="29685" ht="14.25" customHeight="1">
      <c r="A29685" s="740"/>
    </row>
    <row r="29686" ht="14.25" customHeight="1">
      <c r="A29686" s="740"/>
    </row>
    <row r="29687" ht="14.25" customHeight="1">
      <c r="A29687" s="740"/>
    </row>
    <row r="29688" ht="14.25" customHeight="1">
      <c r="A29688" s="740"/>
    </row>
    <row r="29689" ht="14.25" customHeight="1">
      <c r="A29689" s="740"/>
    </row>
    <row r="29690" ht="14.25" customHeight="1">
      <c r="A29690" s="740"/>
    </row>
    <row r="29691" ht="14.25" customHeight="1">
      <c r="A29691" s="740"/>
    </row>
    <row r="29692" ht="14.25" customHeight="1">
      <c r="A29692" s="740"/>
    </row>
    <row r="29693" ht="14.25" customHeight="1">
      <c r="A29693" s="740"/>
    </row>
    <row r="29694" ht="14.25" customHeight="1">
      <c r="A29694" s="740"/>
    </row>
    <row r="29695" ht="14.25" customHeight="1">
      <c r="A29695" s="740"/>
    </row>
    <row r="29696" ht="14.25" customHeight="1">
      <c r="A29696" s="740"/>
    </row>
    <row r="29697" ht="14.25" customHeight="1">
      <c r="A29697" s="740"/>
    </row>
    <row r="29698" ht="14.25" customHeight="1">
      <c r="A29698" s="740"/>
    </row>
    <row r="29699" ht="14.25" customHeight="1">
      <c r="A29699" s="740"/>
    </row>
    <row r="29700" ht="14.25" customHeight="1">
      <c r="A29700" s="740"/>
    </row>
    <row r="29701" ht="14.25" customHeight="1">
      <c r="A29701" s="740"/>
    </row>
    <row r="29702" ht="14.25" customHeight="1">
      <c r="A29702" s="740"/>
    </row>
    <row r="29703" ht="14.25" customHeight="1">
      <c r="A29703" s="740"/>
    </row>
    <row r="29704" ht="14.25" customHeight="1">
      <c r="A29704" s="740"/>
    </row>
    <row r="29705" ht="14.25" customHeight="1">
      <c r="A29705" s="740"/>
    </row>
    <row r="29706" ht="14.25" customHeight="1">
      <c r="A29706" s="740"/>
    </row>
    <row r="29707" ht="14.25" customHeight="1">
      <c r="A29707" s="740"/>
    </row>
    <row r="29708" ht="14.25" customHeight="1">
      <c r="A29708" s="740"/>
    </row>
    <row r="29709" ht="14.25" customHeight="1">
      <c r="A29709" s="740"/>
    </row>
    <row r="29710" ht="14.25" customHeight="1">
      <c r="A29710" s="740"/>
    </row>
    <row r="29711" ht="14.25" customHeight="1">
      <c r="A29711" s="740"/>
    </row>
    <row r="29712" ht="14.25" customHeight="1">
      <c r="A29712" s="740"/>
    </row>
    <row r="29713" ht="14.25" customHeight="1">
      <c r="A29713" s="740"/>
    </row>
    <row r="29714" ht="14.25" customHeight="1">
      <c r="A29714" s="740"/>
    </row>
    <row r="29715" ht="14.25" customHeight="1">
      <c r="A29715" s="740"/>
    </row>
    <row r="29716" ht="14.25" customHeight="1">
      <c r="A29716" s="740"/>
    </row>
    <row r="29717" ht="14.25" customHeight="1">
      <c r="A29717" s="740"/>
    </row>
    <row r="29718" ht="14.25" customHeight="1">
      <c r="A29718" s="740"/>
    </row>
    <row r="29719" ht="14.25" customHeight="1">
      <c r="A29719" s="740"/>
    </row>
    <row r="29720" ht="14.25" customHeight="1">
      <c r="A29720" s="740"/>
    </row>
    <row r="29721" ht="14.25" customHeight="1">
      <c r="A29721" s="740"/>
    </row>
    <row r="29722" ht="14.25" customHeight="1">
      <c r="A29722" s="740"/>
    </row>
    <row r="29723" ht="14.25" customHeight="1">
      <c r="A29723" s="740"/>
    </row>
    <row r="29724" ht="14.25" customHeight="1">
      <c r="A29724" s="740"/>
    </row>
    <row r="29725" ht="14.25" customHeight="1">
      <c r="A29725" s="740"/>
    </row>
    <row r="29726" ht="14.25" customHeight="1">
      <c r="A29726" s="740"/>
    </row>
    <row r="29727" ht="14.25" customHeight="1">
      <c r="A29727" s="740"/>
    </row>
    <row r="29728" ht="14.25" customHeight="1">
      <c r="A29728" s="740"/>
    </row>
    <row r="29729" ht="14.25" customHeight="1">
      <c r="A29729" s="740"/>
    </row>
    <row r="29730" ht="14.25" customHeight="1">
      <c r="A29730" s="740"/>
    </row>
    <row r="29731" ht="14.25" customHeight="1">
      <c r="A29731" s="740"/>
    </row>
    <row r="29732" ht="14.25" customHeight="1">
      <c r="A29732" s="740"/>
    </row>
    <row r="29733" ht="14.25" customHeight="1">
      <c r="A29733" s="740"/>
    </row>
    <row r="29734" ht="14.25" customHeight="1">
      <c r="A29734" s="740"/>
    </row>
    <row r="29735" ht="14.25" customHeight="1">
      <c r="A29735" s="740"/>
    </row>
    <row r="29736" ht="14.25" customHeight="1">
      <c r="A29736" s="740"/>
    </row>
    <row r="29737" ht="14.25" customHeight="1">
      <c r="A29737" s="740"/>
    </row>
    <row r="29738" ht="14.25" customHeight="1">
      <c r="A29738" s="740"/>
    </row>
    <row r="29739" ht="14.25" customHeight="1">
      <c r="A29739" s="740"/>
    </row>
    <row r="29740" ht="14.25" customHeight="1">
      <c r="A29740" s="740"/>
    </row>
    <row r="29741" ht="14.25" customHeight="1">
      <c r="A29741" s="740"/>
    </row>
    <row r="29742" ht="14.25" customHeight="1">
      <c r="A29742" s="740"/>
    </row>
    <row r="29743" ht="14.25" customHeight="1">
      <c r="A29743" s="740"/>
    </row>
    <row r="29744" ht="14.25" customHeight="1">
      <c r="A29744" s="740"/>
    </row>
    <row r="29745" ht="14.25" customHeight="1">
      <c r="A29745" s="740"/>
    </row>
    <row r="29746" ht="14.25" customHeight="1">
      <c r="A29746" s="740"/>
    </row>
    <row r="29747" ht="14.25" customHeight="1">
      <c r="A29747" s="740"/>
    </row>
    <row r="29748" ht="14.25" customHeight="1">
      <c r="A29748" s="740"/>
    </row>
    <row r="29749" ht="14.25" customHeight="1">
      <c r="A29749" s="740"/>
    </row>
    <row r="29750" ht="14.25" customHeight="1">
      <c r="A29750" s="740"/>
    </row>
    <row r="29751" ht="14.25" customHeight="1">
      <c r="A29751" s="740"/>
    </row>
    <row r="29752" ht="14.25" customHeight="1">
      <c r="A29752" s="740"/>
    </row>
    <row r="29753" ht="14.25" customHeight="1">
      <c r="A29753" s="740"/>
    </row>
    <row r="29754" ht="14.25" customHeight="1">
      <c r="A29754" s="740"/>
    </row>
    <row r="29755" ht="14.25" customHeight="1">
      <c r="A29755" s="740"/>
    </row>
    <row r="29756" ht="14.25" customHeight="1">
      <c r="A29756" s="740"/>
    </row>
    <row r="29757" ht="14.25" customHeight="1">
      <c r="A29757" s="740"/>
    </row>
    <row r="29758" ht="14.25" customHeight="1">
      <c r="A29758" s="740"/>
    </row>
    <row r="29759" ht="14.25" customHeight="1">
      <c r="A29759" s="740"/>
    </row>
    <row r="29760" ht="14.25" customHeight="1">
      <c r="A29760" s="740"/>
    </row>
    <row r="29761" ht="14.25" customHeight="1">
      <c r="A29761" s="740"/>
    </row>
    <row r="29762" ht="14.25" customHeight="1">
      <c r="A29762" s="740"/>
    </row>
    <row r="29763" ht="14.25" customHeight="1">
      <c r="A29763" s="740"/>
    </row>
    <row r="29764" ht="14.25" customHeight="1">
      <c r="A29764" s="740"/>
    </row>
    <row r="29765" ht="14.25" customHeight="1">
      <c r="A29765" s="740"/>
    </row>
    <row r="29766" ht="14.25" customHeight="1">
      <c r="A29766" s="740"/>
    </row>
    <row r="29767" ht="14.25" customHeight="1">
      <c r="A29767" s="740"/>
    </row>
    <row r="29768" ht="14.25" customHeight="1">
      <c r="A29768" s="740"/>
    </row>
    <row r="29769" ht="14.25" customHeight="1">
      <c r="A29769" s="740"/>
    </row>
    <row r="29770" ht="14.25" customHeight="1">
      <c r="A29770" s="740"/>
    </row>
    <row r="29771" ht="14.25" customHeight="1">
      <c r="A29771" s="740"/>
    </row>
    <row r="29772" ht="14.25" customHeight="1">
      <c r="A29772" s="740"/>
    </row>
    <row r="29773" ht="14.25" customHeight="1">
      <c r="A29773" s="740"/>
    </row>
    <row r="29774" ht="14.25" customHeight="1">
      <c r="A29774" s="740"/>
    </row>
    <row r="29775" ht="14.25" customHeight="1">
      <c r="A29775" s="740"/>
    </row>
    <row r="29776" ht="14.25" customHeight="1">
      <c r="A29776" s="740"/>
    </row>
    <row r="29777" ht="14.25" customHeight="1">
      <c r="A29777" s="740"/>
    </row>
    <row r="29778" ht="14.25" customHeight="1">
      <c r="A29778" s="740"/>
    </row>
    <row r="29779" ht="14.25" customHeight="1">
      <c r="A29779" s="740"/>
    </row>
    <row r="29780" ht="14.25" customHeight="1">
      <c r="A29780" s="740"/>
    </row>
    <row r="29781" ht="14.25" customHeight="1">
      <c r="A29781" s="740"/>
    </row>
    <row r="29782" ht="14.25" customHeight="1">
      <c r="A29782" s="740"/>
    </row>
    <row r="29783" ht="14.25" customHeight="1">
      <c r="A29783" s="740"/>
    </row>
    <row r="29784" ht="14.25" customHeight="1">
      <c r="A29784" s="740"/>
    </row>
    <row r="29785" ht="14.25" customHeight="1">
      <c r="A29785" s="740"/>
    </row>
    <row r="29786" ht="14.25" customHeight="1">
      <c r="A29786" s="740"/>
    </row>
    <row r="29787" ht="14.25" customHeight="1">
      <c r="A29787" s="740"/>
    </row>
    <row r="29788" ht="14.25" customHeight="1">
      <c r="A29788" s="740"/>
    </row>
    <row r="29789" ht="14.25" customHeight="1">
      <c r="A29789" s="740"/>
    </row>
    <row r="29790" ht="14.25" customHeight="1">
      <c r="A29790" s="740"/>
    </row>
    <row r="29791" ht="14.25" customHeight="1">
      <c r="A29791" s="740"/>
    </row>
    <row r="29792" ht="14.25" customHeight="1">
      <c r="A29792" s="740"/>
    </row>
    <row r="29793" ht="14.25" customHeight="1">
      <c r="A29793" s="740"/>
    </row>
    <row r="29794" ht="14.25" customHeight="1">
      <c r="A29794" s="740"/>
    </row>
    <row r="29795" ht="14.25" customHeight="1">
      <c r="A29795" s="740"/>
    </row>
    <row r="29796" ht="14.25" customHeight="1">
      <c r="A29796" s="740"/>
    </row>
    <row r="29797" ht="14.25" customHeight="1">
      <c r="A29797" s="740"/>
    </row>
    <row r="29798" ht="14.25" customHeight="1">
      <c r="A29798" s="740"/>
    </row>
    <row r="29799" ht="14.25" customHeight="1">
      <c r="A29799" s="740"/>
    </row>
    <row r="29800" ht="14.25" customHeight="1">
      <c r="A29800" s="740"/>
    </row>
    <row r="29801" ht="14.25" customHeight="1">
      <c r="A29801" s="740"/>
    </row>
    <row r="29802" ht="14.25" customHeight="1">
      <c r="A29802" s="740"/>
    </row>
    <row r="29803" ht="14.25" customHeight="1">
      <c r="A29803" s="740"/>
    </row>
    <row r="29804" ht="14.25" customHeight="1">
      <c r="A29804" s="740"/>
    </row>
    <row r="29805" ht="14.25" customHeight="1">
      <c r="A29805" s="740"/>
    </row>
    <row r="29806" ht="14.25" customHeight="1">
      <c r="A29806" s="740"/>
    </row>
    <row r="29807" ht="14.25" customHeight="1">
      <c r="A29807" s="740"/>
    </row>
    <row r="29808" ht="14.25" customHeight="1">
      <c r="A29808" s="740"/>
    </row>
    <row r="29809" ht="14.25" customHeight="1">
      <c r="A29809" s="740"/>
    </row>
    <row r="29810" ht="14.25" customHeight="1">
      <c r="A29810" s="740"/>
    </row>
    <row r="29811" ht="14.25" customHeight="1">
      <c r="A29811" s="740"/>
    </row>
    <row r="29812" ht="14.25" customHeight="1">
      <c r="A29812" s="740"/>
    </row>
    <row r="29813" ht="14.25" customHeight="1">
      <c r="A29813" s="740"/>
    </row>
    <row r="29814" ht="14.25" customHeight="1">
      <c r="A29814" s="740"/>
    </row>
    <row r="29815" ht="14.25" customHeight="1">
      <c r="A29815" s="740"/>
    </row>
    <row r="29816" ht="14.25" customHeight="1">
      <c r="A29816" s="740"/>
    </row>
    <row r="29817" ht="14.25" customHeight="1">
      <c r="A29817" s="740"/>
    </row>
    <row r="29818" ht="14.25" customHeight="1">
      <c r="A29818" s="740"/>
    </row>
    <row r="29819" ht="14.25" customHeight="1">
      <c r="A29819" s="740"/>
    </row>
    <row r="29820" ht="14.25" customHeight="1">
      <c r="A29820" s="740"/>
    </row>
    <row r="29821" ht="14.25" customHeight="1">
      <c r="A29821" s="740"/>
    </row>
    <row r="29822" ht="14.25" customHeight="1">
      <c r="A29822" s="740"/>
    </row>
    <row r="29823" ht="14.25" customHeight="1">
      <c r="A29823" s="740"/>
    </row>
    <row r="29824" ht="14.25" customHeight="1">
      <c r="A29824" s="740"/>
    </row>
    <row r="29825" ht="14.25" customHeight="1">
      <c r="A29825" s="740"/>
    </row>
    <row r="29826" ht="14.25" customHeight="1">
      <c r="A29826" s="740"/>
    </row>
    <row r="29827" ht="14.25" customHeight="1">
      <c r="A29827" s="740"/>
    </row>
    <row r="29828" ht="14.25" customHeight="1">
      <c r="A29828" s="740"/>
    </row>
    <row r="29829" ht="14.25" customHeight="1">
      <c r="A29829" s="740"/>
    </row>
    <row r="29830" ht="14.25" customHeight="1">
      <c r="A29830" s="740"/>
    </row>
    <row r="29831" ht="14.25" customHeight="1">
      <c r="A29831" s="740"/>
    </row>
    <row r="29832" ht="14.25" customHeight="1">
      <c r="A29832" s="740"/>
    </row>
    <row r="29833" ht="14.25" customHeight="1">
      <c r="A29833" s="740"/>
    </row>
    <row r="29834" ht="14.25" customHeight="1">
      <c r="A29834" s="740"/>
    </row>
    <row r="29835" ht="14.25" customHeight="1">
      <c r="A29835" s="740"/>
    </row>
    <row r="29836" ht="14.25" customHeight="1">
      <c r="A29836" s="740"/>
    </row>
    <row r="29837" ht="14.25" customHeight="1">
      <c r="A29837" s="740"/>
    </row>
    <row r="29838" ht="14.25" customHeight="1">
      <c r="A29838" s="740"/>
    </row>
    <row r="29839" ht="14.25" customHeight="1">
      <c r="A29839" s="740"/>
    </row>
    <row r="29840" ht="14.25" customHeight="1">
      <c r="A29840" s="740"/>
    </row>
    <row r="29841" ht="14.25" customHeight="1">
      <c r="A29841" s="740"/>
    </row>
    <row r="29842" ht="14.25" customHeight="1">
      <c r="A29842" s="740"/>
    </row>
    <row r="29843" ht="14.25" customHeight="1">
      <c r="A29843" s="740"/>
    </row>
    <row r="29844" ht="14.25" customHeight="1">
      <c r="A29844" s="740"/>
    </row>
    <row r="29845" ht="14.25" customHeight="1">
      <c r="A29845" s="740"/>
    </row>
    <row r="29846" ht="14.25" customHeight="1">
      <c r="A29846" s="740"/>
    </row>
    <row r="29847" ht="14.25" customHeight="1">
      <c r="A29847" s="740"/>
    </row>
    <row r="29848" ht="14.25" customHeight="1">
      <c r="A29848" s="740"/>
    </row>
    <row r="29849" ht="14.25" customHeight="1">
      <c r="A29849" s="740"/>
    </row>
    <row r="29850" ht="14.25" customHeight="1">
      <c r="A29850" s="740"/>
    </row>
    <row r="29851" ht="14.25" customHeight="1">
      <c r="A29851" s="740"/>
    </row>
    <row r="29852" ht="14.25" customHeight="1">
      <c r="A29852" s="740"/>
    </row>
    <row r="29853" ht="14.25" customHeight="1">
      <c r="A29853" s="740"/>
    </row>
    <row r="29854" ht="14.25" customHeight="1">
      <c r="A29854" s="740"/>
    </row>
    <row r="29855" ht="14.25" customHeight="1">
      <c r="A29855" s="740"/>
    </row>
    <row r="29856" ht="14.25" customHeight="1">
      <c r="A29856" s="740"/>
    </row>
    <row r="29857" ht="14.25" customHeight="1">
      <c r="A29857" s="740"/>
    </row>
    <row r="29858" ht="14.25" customHeight="1">
      <c r="A29858" s="740"/>
    </row>
    <row r="29859" ht="14.25" customHeight="1">
      <c r="A29859" s="740"/>
    </row>
    <row r="29860" ht="14.25" customHeight="1">
      <c r="A29860" s="740"/>
    </row>
    <row r="29861" ht="14.25" customHeight="1">
      <c r="A29861" s="740"/>
    </row>
    <row r="29862" ht="14.25" customHeight="1">
      <c r="A29862" s="740"/>
    </row>
    <row r="29863" ht="14.25" customHeight="1">
      <c r="A29863" s="740"/>
    </row>
    <row r="29864" ht="14.25" customHeight="1">
      <c r="A29864" s="740"/>
    </row>
    <row r="29865" ht="14.25" customHeight="1">
      <c r="A29865" s="740"/>
    </row>
    <row r="29866" ht="14.25" customHeight="1">
      <c r="A29866" s="740"/>
    </row>
    <row r="29867" ht="14.25" customHeight="1">
      <c r="A29867" s="740"/>
    </row>
    <row r="29868" ht="14.25" customHeight="1">
      <c r="A29868" s="740"/>
    </row>
    <row r="29869" ht="14.25" customHeight="1">
      <c r="A29869" s="740"/>
    </row>
    <row r="29870" ht="14.25" customHeight="1">
      <c r="A29870" s="740"/>
    </row>
    <row r="29871" ht="14.25" customHeight="1">
      <c r="A29871" s="740"/>
    </row>
    <row r="29872" ht="14.25" customHeight="1">
      <c r="A29872" s="740"/>
    </row>
    <row r="29873" ht="14.25" customHeight="1">
      <c r="A29873" s="740"/>
    </row>
    <row r="29874" ht="14.25" customHeight="1">
      <c r="A29874" s="740"/>
    </row>
    <row r="29875" ht="14.25" customHeight="1">
      <c r="A29875" s="740"/>
    </row>
    <row r="29876" ht="14.25" customHeight="1">
      <c r="A29876" s="740"/>
    </row>
    <row r="29877" ht="14.25" customHeight="1">
      <c r="A29877" s="740"/>
    </row>
    <row r="29878" ht="14.25" customHeight="1">
      <c r="A29878" s="740"/>
    </row>
    <row r="29879" ht="14.25" customHeight="1">
      <c r="A29879" s="740"/>
    </row>
    <row r="29880" ht="14.25" customHeight="1">
      <c r="A29880" s="740"/>
    </row>
    <row r="29881" ht="14.25" customHeight="1">
      <c r="A29881" s="740"/>
    </row>
    <row r="29882" ht="14.25" customHeight="1">
      <c r="A29882" s="740"/>
    </row>
    <row r="29883" ht="14.25" customHeight="1">
      <c r="A29883" s="740"/>
    </row>
    <row r="29884" ht="14.25" customHeight="1">
      <c r="A29884" s="740"/>
    </row>
    <row r="29885" ht="14.25" customHeight="1">
      <c r="A29885" s="740"/>
    </row>
    <row r="29886" ht="14.25" customHeight="1">
      <c r="A29886" s="740"/>
    </row>
    <row r="29887" ht="14.25" customHeight="1">
      <c r="A29887" s="740"/>
    </row>
    <row r="29888" ht="14.25" customHeight="1">
      <c r="A29888" s="740"/>
    </row>
    <row r="29889" ht="14.25" customHeight="1">
      <c r="A29889" s="740"/>
    </row>
    <row r="29890" ht="14.25" customHeight="1">
      <c r="A29890" s="740"/>
    </row>
    <row r="29891" ht="14.25" customHeight="1">
      <c r="A29891" s="740"/>
    </row>
    <row r="29892" ht="14.25" customHeight="1">
      <c r="A29892" s="740"/>
    </row>
    <row r="29893" ht="14.25" customHeight="1">
      <c r="A29893" s="740"/>
    </row>
    <row r="29894" ht="14.25" customHeight="1">
      <c r="A29894" s="740"/>
    </row>
    <row r="29895" ht="14.25" customHeight="1">
      <c r="A29895" s="740"/>
    </row>
    <row r="29896" ht="14.25" customHeight="1">
      <c r="A29896" s="740"/>
    </row>
    <row r="29897" ht="14.25" customHeight="1">
      <c r="A29897" s="740"/>
    </row>
    <row r="29898" ht="14.25" customHeight="1">
      <c r="A29898" s="740"/>
    </row>
    <row r="29899" ht="14.25" customHeight="1">
      <c r="A29899" s="740"/>
    </row>
    <row r="29900" ht="14.25" customHeight="1">
      <c r="A29900" s="740"/>
    </row>
    <row r="29901" ht="14.25" customHeight="1">
      <c r="A29901" s="740"/>
    </row>
    <row r="29902" ht="14.25" customHeight="1">
      <c r="A29902" s="740"/>
    </row>
    <row r="29903" ht="14.25" customHeight="1">
      <c r="A29903" s="740"/>
    </row>
    <row r="29904" ht="14.25" customHeight="1">
      <c r="A29904" s="740"/>
    </row>
    <row r="29905" ht="14.25" customHeight="1">
      <c r="A29905" s="740"/>
    </row>
    <row r="29906" ht="14.25" customHeight="1">
      <c r="A29906" s="740"/>
    </row>
    <row r="29907" ht="14.25" customHeight="1">
      <c r="A29907" s="740"/>
    </row>
    <row r="29908" ht="14.25" customHeight="1">
      <c r="A29908" s="740"/>
    </row>
    <row r="29909" ht="14.25" customHeight="1">
      <c r="A29909" s="740"/>
    </row>
    <row r="29910" ht="14.25" customHeight="1">
      <c r="A29910" s="740"/>
    </row>
    <row r="29911" ht="14.25" customHeight="1">
      <c r="A29911" s="740"/>
    </row>
    <row r="29912" ht="14.25" customHeight="1">
      <c r="A29912" s="740"/>
    </row>
    <row r="29913" ht="14.25" customHeight="1">
      <c r="A29913" s="740"/>
    </row>
    <row r="29914" ht="14.25" customHeight="1">
      <c r="A29914" s="740"/>
    </row>
    <row r="29915" ht="14.25" customHeight="1">
      <c r="A29915" s="740"/>
    </row>
    <row r="29916" ht="14.25" customHeight="1">
      <c r="A29916" s="740"/>
    </row>
    <row r="29917" ht="14.25" customHeight="1">
      <c r="A29917" s="740"/>
    </row>
    <row r="29918" ht="14.25" customHeight="1">
      <c r="A29918" s="740"/>
    </row>
    <row r="29919" ht="14.25" customHeight="1">
      <c r="A29919" s="740"/>
    </row>
    <row r="29920" ht="14.25" customHeight="1">
      <c r="A29920" s="740"/>
    </row>
    <row r="29921" ht="14.25" customHeight="1">
      <c r="A29921" s="740"/>
    </row>
    <row r="29922" ht="14.25" customHeight="1">
      <c r="A29922" s="740"/>
    </row>
    <row r="29923" ht="14.25" customHeight="1">
      <c r="A29923" s="740"/>
    </row>
    <row r="29924" ht="14.25" customHeight="1">
      <c r="A29924" s="740"/>
    </row>
    <row r="29925" ht="14.25" customHeight="1">
      <c r="A29925" s="740"/>
    </row>
    <row r="29926" ht="14.25" customHeight="1">
      <c r="A29926" s="740"/>
    </row>
    <row r="29927" ht="14.25" customHeight="1">
      <c r="A29927" s="740"/>
    </row>
    <row r="29928" ht="14.25" customHeight="1">
      <c r="A29928" s="740"/>
    </row>
    <row r="29929" ht="14.25" customHeight="1">
      <c r="A29929" s="740"/>
    </row>
    <row r="29930" ht="14.25" customHeight="1">
      <c r="A29930" s="740"/>
    </row>
    <row r="29931" ht="14.25" customHeight="1">
      <c r="A29931" s="740"/>
    </row>
    <row r="29932" ht="14.25" customHeight="1">
      <c r="A29932" s="740"/>
    </row>
    <row r="29933" ht="14.25" customHeight="1">
      <c r="A29933" s="740"/>
    </row>
    <row r="29934" ht="14.25" customHeight="1">
      <c r="A29934" s="740"/>
    </row>
    <row r="29935" ht="14.25" customHeight="1">
      <c r="A29935" s="740"/>
    </row>
    <row r="29936" ht="14.25" customHeight="1">
      <c r="A29936" s="740"/>
    </row>
    <row r="29937" ht="14.25" customHeight="1">
      <c r="A29937" s="740"/>
    </row>
    <row r="29938" ht="14.25" customHeight="1">
      <c r="A29938" s="740"/>
    </row>
    <row r="29939" ht="14.25" customHeight="1">
      <c r="A29939" s="740"/>
    </row>
    <row r="29940" ht="14.25" customHeight="1">
      <c r="A29940" s="740"/>
    </row>
    <row r="29941" ht="14.25" customHeight="1">
      <c r="A29941" s="740"/>
    </row>
    <row r="29942" ht="14.25" customHeight="1">
      <c r="A29942" s="740"/>
    </row>
    <row r="29943" ht="14.25" customHeight="1">
      <c r="A29943" s="740"/>
    </row>
    <row r="29944" ht="14.25" customHeight="1">
      <c r="A29944" s="740"/>
    </row>
    <row r="29945" ht="14.25" customHeight="1">
      <c r="A29945" s="740"/>
    </row>
    <row r="29946" ht="14.25" customHeight="1">
      <c r="A29946" s="740"/>
    </row>
    <row r="29947" ht="14.25" customHeight="1">
      <c r="A29947" s="740"/>
    </row>
    <row r="29948" ht="14.25" customHeight="1">
      <c r="A29948" s="740"/>
    </row>
    <row r="29949" ht="14.25" customHeight="1">
      <c r="A29949" s="740"/>
    </row>
    <row r="29950" ht="14.25" customHeight="1">
      <c r="A29950" s="740"/>
    </row>
    <row r="29951" ht="14.25" customHeight="1">
      <c r="A29951" s="740"/>
    </row>
    <row r="29952" ht="14.25" customHeight="1">
      <c r="A29952" s="740"/>
    </row>
    <row r="29953" ht="14.25" customHeight="1">
      <c r="A29953" s="740"/>
    </row>
    <row r="29954" ht="14.25" customHeight="1">
      <c r="A29954" s="740"/>
    </row>
    <row r="29955" ht="14.25" customHeight="1">
      <c r="A29955" s="740"/>
    </row>
    <row r="29956" ht="14.25" customHeight="1">
      <c r="A29956" s="740"/>
    </row>
    <row r="29957" ht="14.25" customHeight="1">
      <c r="A29957" s="740"/>
    </row>
    <row r="29958" ht="14.25" customHeight="1">
      <c r="A29958" s="740"/>
    </row>
    <row r="29959" ht="14.25" customHeight="1">
      <c r="A29959" s="740"/>
    </row>
    <row r="29960" ht="14.25" customHeight="1">
      <c r="A29960" s="740"/>
    </row>
    <row r="29961" ht="14.25" customHeight="1">
      <c r="A29961" s="740"/>
    </row>
    <row r="29962" ht="14.25" customHeight="1">
      <c r="A29962" s="740"/>
    </row>
    <row r="29963" ht="14.25" customHeight="1">
      <c r="A29963" s="740"/>
    </row>
    <row r="29964" ht="14.25" customHeight="1">
      <c r="A29964" s="740"/>
    </row>
    <row r="29965" ht="14.25" customHeight="1">
      <c r="A29965" s="740"/>
    </row>
    <row r="29966" ht="14.25" customHeight="1">
      <c r="A29966" s="740"/>
    </row>
    <row r="29967" ht="14.25" customHeight="1">
      <c r="A29967" s="740"/>
    </row>
    <row r="29968" ht="14.25" customHeight="1">
      <c r="A29968" s="740"/>
    </row>
    <row r="29969" ht="14.25" customHeight="1">
      <c r="A29969" s="740"/>
    </row>
    <row r="29970" ht="14.25" customHeight="1">
      <c r="A29970" s="740"/>
    </row>
    <row r="29971" ht="14.25" customHeight="1">
      <c r="A29971" s="740"/>
    </row>
    <row r="29972" ht="14.25" customHeight="1">
      <c r="A29972" s="740"/>
    </row>
    <row r="29973" ht="14.25" customHeight="1">
      <c r="A29973" s="740"/>
    </row>
    <row r="29974" ht="14.25" customHeight="1">
      <c r="A29974" s="740"/>
    </row>
    <row r="29975" ht="14.25" customHeight="1">
      <c r="A29975" s="740"/>
    </row>
    <row r="29976" ht="14.25" customHeight="1">
      <c r="A29976" s="740"/>
    </row>
    <row r="29977" ht="14.25" customHeight="1">
      <c r="A29977" s="740"/>
    </row>
    <row r="29978" ht="14.25" customHeight="1">
      <c r="A29978" s="740"/>
    </row>
    <row r="29979" ht="14.25" customHeight="1">
      <c r="A29979" s="740"/>
    </row>
    <row r="29980" ht="14.25" customHeight="1">
      <c r="A29980" s="740"/>
    </row>
    <row r="29981" ht="14.25" customHeight="1">
      <c r="A29981" s="740"/>
    </row>
    <row r="29982" ht="14.25" customHeight="1">
      <c r="A29982" s="740"/>
    </row>
    <row r="29983" ht="14.25" customHeight="1">
      <c r="A29983" s="740"/>
    </row>
    <row r="29984" ht="14.25" customHeight="1">
      <c r="A29984" s="740"/>
    </row>
    <row r="29985" ht="14.25" customHeight="1">
      <c r="A29985" s="740"/>
    </row>
    <row r="29986" ht="14.25" customHeight="1">
      <c r="A29986" s="740"/>
    </row>
    <row r="29987" ht="14.25" customHeight="1">
      <c r="A29987" s="740"/>
    </row>
    <row r="29988" ht="14.25" customHeight="1">
      <c r="A29988" s="740"/>
    </row>
    <row r="29989" ht="14.25" customHeight="1">
      <c r="A29989" s="740"/>
    </row>
    <row r="29990" ht="14.25" customHeight="1">
      <c r="A29990" s="740"/>
    </row>
    <row r="29991" ht="14.25" customHeight="1">
      <c r="A29991" s="740"/>
    </row>
    <row r="29992" ht="14.25" customHeight="1">
      <c r="A29992" s="740"/>
    </row>
    <row r="29993" ht="14.25" customHeight="1">
      <c r="A29993" s="740"/>
    </row>
    <row r="29994" ht="14.25" customHeight="1">
      <c r="A29994" s="740"/>
    </row>
    <row r="29995" ht="14.25" customHeight="1">
      <c r="A29995" s="740"/>
    </row>
    <row r="29996" ht="14.25" customHeight="1">
      <c r="A29996" s="740"/>
    </row>
    <row r="29997" ht="14.25" customHeight="1">
      <c r="A29997" s="740"/>
    </row>
    <row r="29998" ht="14.25" customHeight="1">
      <c r="A29998" s="740"/>
    </row>
    <row r="29999" ht="14.25" customHeight="1">
      <c r="A29999" s="740"/>
    </row>
    <row r="30000" ht="14.25" customHeight="1">
      <c r="A30000" s="740"/>
    </row>
    <row r="30001" ht="14.25" customHeight="1">
      <c r="A30001" s="740"/>
    </row>
    <row r="30002" ht="14.25" customHeight="1">
      <c r="A30002" s="740"/>
    </row>
    <row r="30003" ht="14.25" customHeight="1">
      <c r="A30003" s="740"/>
    </row>
    <row r="30004" ht="14.25" customHeight="1">
      <c r="A30004" s="740"/>
    </row>
    <row r="30005" ht="14.25" customHeight="1">
      <c r="A30005" s="740"/>
    </row>
    <row r="30006" ht="14.25" customHeight="1">
      <c r="A30006" s="740"/>
    </row>
    <row r="30007" ht="14.25" customHeight="1">
      <c r="A30007" s="740"/>
    </row>
    <row r="30008" ht="14.25" customHeight="1">
      <c r="A30008" s="740"/>
    </row>
    <row r="30009" ht="14.25" customHeight="1">
      <c r="A30009" s="740"/>
    </row>
    <row r="30010" ht="14.25" customHeight="1">
      <c r="A30010" s="740"/>
    </row>
    <row r="30011" ht="14.25" customHeight="1">
      <c r="A30011" s="740"/>
    </row>
    <row r="30012" ht="14.25" customHeight="1">
      <c r="A30012" s="740"/>
    </row>
    <row r="30013" ht="14.25" customHeight="1">
      <c r="A30013" s="740"/>
    </row>
    <row r="30014" ht="14.25" customHeight="1">
      <c r="A30014" s="740"/>
    </row>
    <row r="30015" ht="14.25" customHeight="1">
      <c r="A30015" s="740"/>
    </row>
    <row r="30016" ht="14.25" customHeight="1">
      <c r="A30016" s="740"/>
    </row>
    <row r="30017" ht="14.25" customHeight="1">
      <c r="A30017" s="740"/>
    </row>
    <row r="30018" ht="14.25" customHeight="1">
      <c r="A30018" s="740"/>
    </row>
    <row r="30019" ht="14.25" customHeight="1">
      <c r="A30019" s="740"/>
    </row>
    <row r="30020" ht="14.25" customHeight="1">
      <c r="A30020" s="740"/>
    </row>
    <row r="30021" ht="14.25" customHeight="1">
      <c r="A30021" s="740"/>
    </row>
    <row r="30022" ht="14.25" customHeight="1">
      <c r="A30022" s="740"/>
    </row>
    <row r="30023" ht="14.25" customHeight="1">
      <c r="A30023" s="740"/>
    </row>
    <row r="30024" ht="14.25" customHeight="1">
      <c r="A30024" s="740"/>
    </row>
    <row r="30025" ht="14.25" customHeight="1">
      <c r="A30025" s="740"/>
    </row>
    <row r="30026" ht="14.25" customHeight="1">
      <c r="A30026" s="740"/>
    </row>
    <row r="30027" ht="14.25" customHeight="1">
      <c r="A30027" s="740"/>
    </row>
    <row r="30028" ht="14.25" customHeight="1">
      <c r="A30028" s="740"/>
    </row>
    <row r="30029" ht="14.25" customHeight="1">
      <c r="A30029" s="740"/>
    </row>
    <row r="30030" ht="14.25" customHeight="1">
      <c r="A30030" s="740"/>
    </row>
    <row r="30031" ht="14.25" customHeight="1">
      <c r="A30031" s="740"/>
    </row>
    <row r="30032" ht="14.25" customHeight="1">
      <c r="A30032" s="740"/>
    </row>
    <row r="30033" ht="14.25" customHeight="1">
      <c r="A30033" s="740"/>
    </row>
    <row r="30034" ht="14.25" customHeight="1">
      <c r="A30034" s="740"/>
    </row>
    <row r="30035" ht="14.25" customHeight="1">
      <c r="A30035" s="740"/>
    </row>
    <row r="30036" ht="14.25" customHeight="1">
      <c r="A30036" s="740"/>
    </row>
    <row r="30037" ht="14.25" customHeight="1">
      <c r="A30037" s="740"/>
    </row>
    <row r="30038" ht="14.25" customHeight="1">
      <c r="A30038" s="740"/>
    </row>
    <row r="30039" ht="14.25" customHeight="1">
      <c r="A30039" s="740"/>
    </row>
    <row r="30040" ht="14.25" customHeight="1">
      <c r="A30040" s="740"/>
    </row>
    <row r="30041" ht="14.25" customHeight="1">
      <c r="A30041" s="740"/>
    </row>
    <row r="30042" ht="14.25" customHeight="1">
      <c r="A30042" s="740"/>
    </row>
    <row r="30043" ht="14.25" customHeight="1">
      <c r="A30043" s="740"/>
    </row>
    <row r="30044" ht="14.25" customHeight="1">
      <c r="A30044" s="740"/>
    </row>
    <row r="30045" ht="14.25" customHeight="1">
      <c r="A30045" s="740"/>
    </row>
    <row r="30046" ht="14.25" customHeight="1">
      <c r="A30046" s="740"/>
    </row>
    <row r="30047" ht="14.25" customHeight="1">
      <c r="A30047" s="740"/>
    </row>
    <row r="30048" ht="14.25" customHeight="1">
      <c r="A30048" s="740"/>
    </row>
    <row r="30049" ht="14.25" customHeight="1">
      <c r="A30049" s="740"/>
    </row>
    <row r="30050" ht="14.25" customHeight="1">
      <c r="A30050" s="740"/>
    </row>
    <row r="30051" ht="14.25" customHeight="1">
      <c r="A30051" s="740"/>
    </row>
    <row r="30052" ht="14.25" customHeight="1">
      <c r="A30052" s="740"/>
    </row>
    <row r="30053" ht="14.25" customHeight="1">
      <c r="A30053" s="740"/>
    </row>
    <row r="30054" ht="14.25" customHeight="1">
      <c r="A30054" s="740"/>
    </row>
    <row r="30055" ht="14.25" customHeight="1">
      <c r="A30055" s="740"/>
    </row>
    <row r="30056" ht="14.25" customHeight="1">
      <c r="A30056" s="740"/>
    </row>
    <row r="30057" ht="14.25" customHeight="1">
      <c r="A30057" s="740"/>
    </row>
    <row r="30058" ht="14.25" customHeight="1">
      <c r="A30058" s="740"/>
    </row>
    <row r="30059" ht="14.25" customHeight="1">
      <c r="A30059" s="740"/>
    </row>
    <row r="30060" ht="14.25" customHeight="1">
      <c r="A30060" s="740"/>
    </row>
    <row r="30061" ht="14.25" customHeight="1">
      <c r="A30061" s="740"/>
    </row>
    <row r="30062" ht="14.25" customHeight="1">
      <c r="A30062" s="740"/>
    </row>
    <row r="30063" ht="14.25" customHeight="1">
      <c r="A30063" s="740"/>
    </row>
    <row r="30064" ht="14.25" customHeight="1">
      <c r="A30064" s="740"/>
    </row>
    <row r="30065" ht="14.25" customHeight="1">
      <c r="A30065" s="740"/>
    </row>
    <row r="30066" ht="14.25" customHeight="1">
      <c r="A30066" s="740"/>
    </row>
    <row r="30067" ht="14.25" customHeight="1">
      <c r="A30067" s="740"/>
    </row>
    <row r="30068" ht="14.25" customHeight="1">
      <c r="A30068" s="740"/>
    </row>
    <row r="30069" ht="14.25" customHeight="1">
      <c r="A30069" s="740"/>
    </row>
    <row r="30070" ht="14.25" customHeight="1">
      <c r="A30070" s="740"/>
    </row>
    <row r="30071" ht="14.25" customHeight="1">
      <c r="A30071" s="740"/>
    </row>
    <row r="30072" ht="14.25" customHeight="1">
      <c r="A30072" s="740"/>
    </row>
    <row r="30073" ht="14.25" customHeight="1">
      <c r="A30073" s="740"/>
    </row>
    <row r="30074" ht="14.25" customHeight="1">
      <c r="A30074" s="740"/>
    </row>
    <row r="30075" ht="14.25" customHeight="1">
      <c r="A30075" s="740"/>
    </row>
    <row r="30076" ht="14.25" customHeight="1">
      <c r="A30076" s="740"/>
    </row>
    <row r="30077" ht="14.25" customHeight="1">
      <c r="A30077" s="740"/>
    </row>
    <row r="30078" ht="14.25" customHeight="1">
      <c r="A30078" s="740"/>
    </row>
    <row r="30079" ht="14.25" customHeight="1">
      <c r="A30079" s="740"/>
    </row>
    <row r="30080" ht="14.25" customHeight="1">
      <c r="A30080" s="740"/>
    </row>
    <row r="30081" ht="14.25" customHeight="1">
      <c r="A30081" s="740"/>
    </row>
    <row r="30082" ht="14.25" customHeight="1">
      <c r="A30082" s="740"/>
    </row>
    <row r="30083" ht="14.25" customHeight="1">
      <c r="A30083" s="740"/>
    </row>
    <row r="30084" ht="14.25" customHeight="1">
      <c r="A30084" s="740"/>
    </row>
    <row r="30085" ht="14.25" customHeight="1">
      <c r="A30085" s="740"/>
    </row>
    <row r="30086" ht="14.25" customHeight="1">
      <c r="A30086" s="740"/>
    </row>
    <row r="30087" ht="14.25" customHeight="1">
      <c r="A30087" s="740"/>
    </row>
    <row r="30088" ht="14.25" customHeight="1">
      <c r="A30088" s="740"/>
    </row>
    <row r="30089" ht="14.25" customHeight="1">
      <c r="A30089" s="740"/>
    </row>
    <row r="30090" ht="14.25" customHeight="1">
      <c r="A30090" s="740"/>
    </row>
    <row r="30091" ht="14.25" customHeight="1">
      <c r="A30091" s="740"/>
    </row>
    <row r="30092" ht="14.25" customHeight="1">
      <c r="A30092" s="740"/>
    </row>
    <row r="30093" ht="14.25" customHeight="1">
      <c r="A30093" s="740"/>
    </row>
    <row r="30094" ht="14.25" customHeight="1">
      <c r="A30094" s="740"/>
    </row>
    <row r="30095" ht="14.25" customHeight="1">
      <c r="A30095" s="740"/>
    </row>
    <row r="30096" ht="14.25" customHeight="1">
      <c r="A30096" s="740"/>
    </row>
    <row r="30097" ht="14.25" customHeight="1">
      <c r="A30097" s="740"/>
    </row>
    <row r="30098" ht="14.25" customHeight="1">
      <c r="A30098" s="740"/>
    </row>
    <row r="30099" ht="14.25" customHeight="1">
      <c r="A30099" s="740"/>
    </row>
    <row r="30100" ht="14.25" customHeight="1">
      <c r="A30100" s="740"/>
    </row>
    <row r="30101" ht="14.25" customHeight="1">
      <c r="A30101" s="740"/>
    </row>
    <row r="30102" ht="14.25" customHeight="1">
      <c r="A30102" s="740"/>
    </row>
    <row r="30103" ht="14.25" customHeight="1">
      <c r="A30103" s="740"/>
    </row>
    <row r="30104" ht="14.25" customHeight="1">
      <c r="A30104" s="740"/>
    </row>
    <row r="30105" ht="14.25" customHeight="1">
      <c r="A30105" s="740"/>
    </row>
    <row r="30106" ht="14.25" customHeight="1">
      <c r="A30106" s="740"/>
    </row>
    <row r="30107" ht="14.25" customHeight="1">
      <c r="A30107" s="740"/>
    </row>
    <row r="30108" ht="14.25" customHeight="1">
      <c r="A30108" s="740"/>
    </row>
    <row r="30109" ht="14.25" customHeight="1">
      <c r="A30109" s="740"/>
    </row>
    <row r="30110" ht="14.25" customHeight="1">
      <c r="A30110" s="740"/>
    </row>
    <row r="30111" ht="14.25" customHeight="1">
      <c r="A30111" s="740"/>
    </row>
    <row r="30112" ht="14.25" customHeight="1">
      <c r="A30112" s="740"/>
    </row>
    <row r="30113" ht="14.25" customHeight="1">
      <c r="A30113" s="740"/>
    </row>
    <row r="30114" ht="14.25" customHeight="1">
      <c r="A30114" s="740"/>
    </row>
    <row r="30115" ht="14.25" customHeight="1">
      <c r="A30115" s="740"/>
    </row>
    <row r="30116" ht="14.25" customHeight="1">
      <c r="A30116" s="740"/>
    </row>
    <row r="30117" ht="14.25" customHeight="1">
      <c r="A30117" s="740"/>
    </row>
    <row r="30118" ht="14.25" customHeight="1">
      <c r="A30118" s="740"/>
    </row>
    <row r="30119" ht="14.25" customHeight="1">
      <c r="A30119" s="740"/>
    </row>
    <row r="30120" ht="14.25" customHeight="1">
      <c r="A30120" s="740"/>
    </row>
    <row r="30121" ht="14.25" customHeight="1">
      <c r="A30121" s="740"/>
    </row>
    <row r="30122" ht="14.25" customHeight="1">
      <c r="A30122" s="740"/>
    </row>
    <row r="30123" ht="14.25" customHeight="1">
      <c r="A30123" s="740"/>
    </row>
    <row r="30124" ht="14.25" customHeight="1">
      <c r="A30124" s="740"/>
    </row>
    <row r="30125" ht="14.25" customHeight="1">
      <c r="A30125" s="740"/>
    </row>
    <row r="30126" ht="14.25" customHeight="1">
      <c r="A30126" s="740"/>
    </row>
    <row r="30127" ht="14.25" customHeight="1">
      <c r="A30127" s="740"/>
    </row>
    <row r="30128" ht="14.25" customHeight="1">
      <c r="A30128" s="740"/>
    </row>
    <row r="30129" ht="14.25" customHeight="1">
      <c r="A30129" s="740"/>
    </row>
    <row r="30130" ht="14.25" customHeight="1">
      <c r="A30130" s="740"/>
    </row>
    <row r="30131" ht="14.25" customHeight="1">
      <c r="A30131" s="740"/>
    </row>
    <row r="30132" ht="14.25" customHeight="1">
      <c r="A30132" s="740"/>
    </row>
    <row r="30133" ht="14.25" customHeight="1">
      <c r="A30133" s="740"/>
    </row>
    <row r="30134" ht="14.25" customHeight="1">
      <c r="A30134" s="740"/>
    </row>
    <row r="30135" ht="14.25" customHeight="1">
      <c r="A30135" s="740"/>
    </row>
    <row r="30136" ht="14.25" customHeight="1">
      <c r="A30136" s="740"/>
    </row>
    <row r="30137" ht="14.25" customHeight="1">
      <c r="A30137" s="740"/>
    </row>
    <row r="30138" ht="14.25" customHeight="1">
      <c r="A30138" s="740"/>
    </row>
    <row r="30139" ht="14.25" customHeight="1">
      <c r="A30139" s="740"/>
    </row>
    <row r="30140" ht="14.25" customHeight="1">
      <c r="A30140" s="740"/>
    </row>
    <row r="30141" ht="14.25" customHeight="1">
      <c r="A30141" s="740"/>
    </row>
    <row r="30142" ht="14.25" customHeight="1">
      <c r="A30142" s="740"/>
    </row>
    <row r="30143" ht="14.25" customHeight="1">
      <c r="A30143" s="740"/>
    </row>
    <row r="30144" ht="14.25" customHeight="1">
      <c r="A30144" s="740"/>
    </row>
    <row r="30145" ht="14.25" customHeight="1">
      <c r="A30145" s="740"/>
    </row>
    <row r="30146" ht="14.25" customHeight="1">
      <c r="A30146" s="740"/>
    </row>
    <row r="30147" ht="14.25" customHeight="1">
      <c r="A30147" s="740"/>
    </row>
    <row r="30148" ht="14.25" customHeight="1">
      <c r="A30148" s="740"/>
    </row>
    <row r="30149" ht="14.25" customHeight="1">
      <c r="A30149" s="740"/>
    </row>
    <row r="30150" ht="14.25" customHeight="1">
      <c r="A30150" s="740"/>
    </row>
    <row r="30151" ht="14.25" customHeight="1">
      <c r="A30151" s="740"/>
    </row>
    <row r="30152" ht="14.25" customHeight="1">
      <c r="A30152" s="740"/>
    </row>
    <row r="30153" ht="14.25" customHeight="1">
      <c r="A30153" s="740"/>
    </row>
    <row r="30154" ht="14.25" customHeight="1">
      <c r="A30154" s="740"/>
    </row>
    <row r="30155" ht="14.25" customHeight="1">
      <c r="A30155" s="740"/>
    </row>
    <row r="30156" ht="14.25" customHeight="1">
      <c r="A30156" s="740"/>
    </row>
    <row r="30157" ht="14.25" customHeight="1">
      <c r="A30157" s="740"/>
    </row>
    <row r="30158" ht="14.25" customHeight="1">
      <c r="A30158" s="740"/>
    </row>
    <row r="30159" ht="14.25" customHeight="1">
      <c r="A30159" s="740"/>
    </row>
    <row r="30160" ht="14.25" customHeight="1">
      <c r="A30160" s="740"/>
    </row>
    <row r="30161" ht="14.25" customHeight="1">
      <c r="A30161" s="740"/>
    </row>
    <row r="30162" ht="14.25" customHeight="1">
      <c r="A30162" s="740"/>
    </row>
    <row r="30163" ht="14.25" customHeight="1">
      <c r="A30163" s="740"/>
    </row>
    <row r="30164" ht="14.25" customHeight="1">
      <c r="A30164" s="740"/>
    </row>
    <row r="30165" ht="14.25" customHeight="1">
      <c r="A30165" s="740"/>
    </row>
    <row r="30166" ht="14.25" customHeight="1">
      <c r="A30166" s="740"/>
    </row>
    <row r="30167" ht="14.25" customHeight="1">
      <c r="A30167" s="740"/>
    </row>
    <row r="30168" ht="14.25" customHeight="1">
      <c r="A30168" s="740"/>
    </row>
    <row r="30169" ht="14.25" customHeight="1">
      <c r="A30169" s="740"/>
    </row>
    <row r="30170" ht="14.25" customHeight="1">
      <c r="A30170" s="740"/>
    </row>
    <row r="30171" ht="14.25" customHeight="1">
      <c r="A30171" s="740"/>
    </row>
    <row r="30172" ht="14.25" customHeight="1">
      <c r="A30172" s="740"/>
    </row>
    <row r="30173" ht="14.25" customHeight="1">
      <c r="A30173" s="740"/>
    </row>
    <row r="30174" ht="14.25" customHeight="1">
      <c r="A30174" s="740"/>
    </row>
    <row r="30175" ht="14.25" customHeight="1">
      <c r="A30175" s="740"/>
    </row>
    <row r="30176" ht="14.25" customHeight="1">
      <c r="A30176" s="740"/>
    </row>
    <row r="30177" ht="14.25" customHeight="1">
      <c r="A30177" s="740"/>
    </row>
    <row r="30178" ht="14.25" customHeight="1">
      <c r="A30178" s="740"/>
    </row>
    <row r="30179" ht="14.25" customHeight="1">
      <c r="A30179" s="740"/>
    </row>
    <row r="30180" ht="14.25" customHeight="1">
      <c r="A30180" s="740"/>
    </row>
    <row r="30181" ht="14.25" customHeight="1">
      <c r="A30181" s="740"/>
    </row>
    <row r="30182" ht="14.25" customHeight="1">
      <c r="A30182" s="740"/>
    </row>
    <row r="30183" ht="14.25" customHeight="1">
      <c r="A30183" s="740"/>
    </row>
    <row r="30184" ht="14.25" customHeight="1">
      <c r="A30184" s="740"/>
    </row>
    <row r="30185" ht="14.25" customHeight="1">
      <c r="A30185" s="740"/>
    </row>
    <row r="30186" ht="14.25" customHeight="1">
      <c r="A30186" s="740"/>
    </row>
    <row r="30187" ht="14.25" customHeight="1">
      <c r="A30187" s="740"/>
    </row>
    <row r="30188" ht="14.25" customHeight="1">
      <c r="A30188" s="740"/>
    </row>
    <row r="30189" ht="14.25" customHeight="1">
      <c r="A30189" s="740"/>
    </row>
    <row r="30190" ht="14.25" customHeight="1">
      <c r="A30190" s="740"/>
    </row>
    <row r="30191" ht="14.25" customHeight="1">
      <c r="A30191" s="740"/>
    </row>
    <row r="30192" ht="14.25" customHeight="1">
      <c r="A30192" s="740"/>
    </row>
    <row r="30193" ht="14.25" customHeight="1">
      <c r="A30193" s="740"/>
    </row>
    <row r="30194" ht="14.25" customHeight="1">
      <c r="A30194" s="740"/>
    </row>
    <row r="30195" ht="14.25" customHeight="1">
      <c r="A30195" s="740"/>
    </row>
    <row r="30196" ht="14.25" customHeight="1">
      <c r="A30196" s="740"/>
    </row>
    <row r="30197" ht="14.25" customHeight="1">
      <c r="A30197" s="740"/>
    </row>
    <row r="30198" ht="14.25" customHeight="1">
      <c r="A30198" s="740"/>
    </row>
    <row r="30199" ht="14.25" customHeight="1">
      <c r="A30199" s="740"/>
    </row>
    <row r="30200" ht="14.25" customHeight="1">
      <c r="A30200" s="740"/>
    </row>
    <row r="30201" ht="14.25" customHeight="1">
      <c r="A30201" s="740"/>
    </row>
    <row r="30202" ht="14.25" customHeight="1">
      <c r="A30202" s="740"/>
    </row>
    <row r="30203" ht="14.25" customHeight="1">
      <c r="A30203" s="740"/>
    </row>
    <row r="30204" ht="14.25" customHeight="1">
      <c r="A30204" s="740"/>
    </row>
    <row r="30205" ht="14.25" customHeight="1">
      <c r="A30205" s="740"/>
    </row>
    <row r="30206" ht="14.25" customHeight="1">
      <c r="A30206" s="740"/>
    </row>
    <row r="30207" ht="14.25" customHeight="1">
      <c r="A30207" s="740"/>
    </row>
    <row r="30208" ht="14.25" customHeight="1">
      <c r="A30208" s="740"/>
    </row>
    <row r="30209" ht="14.25" customHeight="1">
      <c r="A30209" s="740"/>
    </row>
    <row r="30210" ht="14.25" customHeight="1">
      <c r="A30210" s="740"/>
    </row>
    <row r="30211" ht="14.25" customHeight="1">
      <c r="A30211" s="740"/>
    </row>
    <row r="30212" ht="14.25" customHeight="1">
      <c r="A30212" s="740"/>
    </row>
    <row r="30213" ht="14.25" customHeight="1">
      <c r="A30213" s="740"/>
    </row>
    <row r="30214" ht="14.25" customHeight="1">
      <c r="A30214" s="740"/>
    </row>
    <row r="30215" ht="14.25" customHeight="1">
      <c r="A30215" s="740"/>
    </row>
    <row r="30216" ht="14.25" customHeight="1">
      <c r="A30216" s="740"/>
    </row>
    <row r="30217" ht="14.25" customHeight="1">
      <c r="A30217" s="740"/>
    </row>
    <row r="30218" ht="14.25" customHeight="1">
      <c r="A30218" s="740"/>
    </row>
    <row r="30219" ht="14.25" customHeight="1">
      <c r="A30219" s="740"/>
    </row>
    <row r="30220" ht="14.25" customHeight="1">
      <c r="A30220" s="740"/>
    </row>
    <row r="30221" ht="14.25" customHeight="1">
      <c r="A30221" s="740"/>
    </row>
    <row r="30222" ht="14.25" customHeight="1">
      <c r="A30222" s="740"/>
    </row>
    <row r="30223" ht="14.25" customHeight="1">
      <c r="A30223" s="740"/>
    </row>
    <row r="30224" ht="14.25" customHeight="1">
      <c r="A30224" s="740"/>
    </row>
    <row r="30225" ht="14.25" customHeight="1">
      <c r="A30225" s="740"/>
    </row>
    <row r="30226" ht="14.25" customHeight="1">
      <c r="A30226" s="740"/>
    </row>
    <row r="30227" ht="14.25" customHeight="1">
      <c r="A30227" s="740"/>
    </row>
    <row r="30228" ht="14.25" customHeight="1">
      <c r="A30228" s="740"/>
    </row>
    <row r="30229" ht="14.25" customHeight="1">
      <c r="A30229" s="740"/>
    </row>
    <row r="30230" ht="14.25" customHeight="1">
      <c r="A30230" s="740"/>
    </row>
    <row r="30231" ht="14.25" customHeight="1">
      <c r="A30231" s="740"/>
    </row>
    <row r="30232" ht="14.25" customHeight="1">
      <c r="A30232" s="740"/>
    </row>
    <row r="30233" ht="14.25" customHeight="1">
      <c r="A30233" s="740"/>
    </row>
    <row r="30234" ht="14.25" customHeight="1">
      <c r="A30234" s="740"/>
    </row>
    <row r="30235" ht="14.25" customHeight="1">
      <c r="A30235" s="740"/>
    </row>
    <row r="30236" ht="14.25" customHeight="1">
      <c r="A30236" s="740"/>
    </row>
    <row r="30237" ht="14.25" customHeight="1">
      <c r="A30237" s="740"/>
    </row>
    <row r="30238" ht="14.25" customHeight="1">
      <c r="A30238" s="740"/>
    </row>
    <row r="30239" ht="14.25" customHeight="1">
      <c r="A30239" s="740"/>
    </row>
    <row r="30240" ht="14.25" customHeight="1">
      <c r="A30240" s="740"/>
    </row>
    <row r="30241" ht="14.25" customHeight="1">
      <c r="A30241" s="740"/>
    </row>
    <row r="30242" ht="14.25" customHeight="1">
      <c r="A30242" s="740"/>
    </row>
    <row r="30243" ht="14.25" customHeight="1">
      <c r="A30243" s="740"/>
    </row>
    <row r="30244" ht="14.25" customHeight="1">
      <c r="A30244" s="740"/>
    </row>
    <row r="30245" ht="14.25" customHeight="1">
      <c r="A30245" s="740"/>
    </row>
    <row r="30246" ht="14.25" customHeight="1">
      <c r="A30246" s="740"/>
    </row>
    <row r="30247" ht="14.25" customHeight="1">
      <c r="A30247" s="740"/>
    </row>
    <row r="30248" ht="14.25" customHeight="1">
      <c r="A30248" s="740"/>
    </row>
    <row r="30249" ht="14.25" customHeight="1">
      <c r="A30249" s="740"/>
    </row>
    <row r="30250" ht="14.25" customHeight="1">
      <c r="A30250" s="740"/>
    </row>
    <row r="30251" ht="14.25" customHeight="1">
      <c r="A30251" s="740"/>
    </row>
    <row r="30252" ht="14.25" customHeight="1">
      <c r="A30252" s="740"/>
    </row>
    <row r="30253" ht="14.25" customHeight="1">
      <c r="A30253" s="740"/>
    </row>
    <row r="30254" ht="14.25" customHeight="1">
      <c r="A30254" s="740"/>
    </row>
    <row r="30255" ht="14.25" customHeight="1">
      <c r="A30255" s="740"/>
    </row>
    <row r="30256" ht="14.25" customHeight="1">
      <c r="A30256" s="740"/>
    </row>
    <row r="30257" ht="14.25" customHeight="1">
      <c r="A30257" s="740"/>
    </row>
    <row r="30258" ht="14.25" customHeight="1">
      <c r="A30258" s="740"/>
    </row>
    <row r="30259" ht="14.25" customHeight="1">
      <c r="A30259" s="740"/>
    </row>
    <row r="30260" ht="14.25" customHeight="1">
      <c r="A30260" s="740"/>
    </row>
    <row r="30261" ht="14.25" customHeight="1">
      <c r="A30261" s="740"/>
    </row>
    <row r="30262" ht="14.25" customHeight="1">
      <c r="A30262" s="740"/>
    </row>
    <row r="30263" ht="14.25" customHeight="1">
      <c r="A30263" s="740"/>
    </row>
    <row r="30264" ht="14.25" customHeight="1">
      <c r="A30264" s="740"/>
    </row>
    <row r="30265" ht="14.25" customHeight="1">
      <c r="A30265" s="740"/>
    </row>
    <row r="30266" ht="14.25" customHeight="1">
      <c r="A30266" s="740"/>
    </row>
    <row r="30267" ht="14.25" customHeight="1">
      <c r="A30267" s="740"/>
    </row>
    <row r="30268" ht="14.25" customHeight="1">
      <c r="A30268" s="740"/>
    </row>
    <row r="30269" ht="14.25" customHeight="1">
      <c r="A30269" s="740"/>
    </row>
    <row r="30270" ht="14.25" customHeight="1">
      <c r="A30270" s="740"/>
    </row>
    <row r="30271" ht="14.25" customHeight="1">
      <c r="A30271" s="740"/>
    </row>
    <row r="30272" ht="14.25" customHeight="1">
      <c r="A30272" s="740"/>
    </row>
    <row r="30273" ht="14.25" customHeight="1">
      <c r="A30273" s="740"/>
    </row>
    <row r="30274" ht="14.25" customHeight="1">
      <c r="A30274" s="740"/>
    </row>
    <row r="30275" ht="14.25" customHeight="1">
      <c r="A30275" s="740"/>
    </row>
    <row r="30276" ht="14.25" customHeight="1">
      <c r="A30276" s="740"/>
    </row>
    <row r="30277" ht="14.25" customHeight="1">
      <c r="A30277" s="740"/>
    </row>
    <row r="30278" ht="14.25" customHeight="1">
      <c r="A30278" s="740"/>
    </row>
    <row r="30279" ht="14.25" customHeight="1">
      <c r="A30279" s="740"/>
    </row>
    <row r="30280" ht="14.25" customHeight="1">
      <c r="A30280" s="740"/>
    </row>
    <row r="30281" ht="14.25" customHeight="1">
      <c r="A30281" s="740"/>
    </row>
    <row r="30282" ht="14.25" customHeight="1">
      <c r="A30282" s="740"/>
    </row>
    <row r="30283" ht="14.25" customHeight="1">
      <c r="A30283" s="740"/>
    </row>
    <row r="30284" ht="14.25" customHeight="1">
      <c r="A30284" s="740"/>
    </row>
    <row r="30285" ht="14.25" customHeight="1">
      <c r="A30285" s="740"/>
    </row>
    <row r="30286" ht="14.25" customHeight="1">
      <c r="A30286" s="740"/>
    </row>
    <row r="30287" ht="14.25" customHeight="1">
      <c r="A30287" s="740"/>
    </row>
    <row r="30288" ht="14.25" customHeight="1">
      <c r="A30288" s="740"/>
    </row>
    <row r="30289" ht="14.25" customHeight="1">
      <c r="A30289" s="740"/>
    </row>
    <row r="30290" ht="14.25" customHeight="1">
      <c r="A30290" s="740"/>
    </row>
    <row r="30291" ht="14.25" customHeight="1">
      <c r="A30291" s="740"/>
    </row>
    <row r="30292" ht="14.25" customHeight="1">
      <c r="A30292" s="740"/>
    </row>
    <row r="30293" ht="14.25" customHeight="1">
      <c r="A30293" s="740"/>
    </row>
    <row r="30294" ht="14.25" customHeight="1">
      <c r="A30294" s="740"/>
    </row>
    <row r="30295" ht="14.25" customHeight="1">
      <c r="A30295" s="740"/>
    </row>
    <row r="30296" ht="14.25" customHeight="1">
      <c r="A30296" s="740"/>
    </row>
    <row r="30297" ht="14.25" customHeight="1">
      <c r="A30297" s="740"/>
    </row>
    <row r="30298" ht="14.25" customHeight="1">
      <c r="A30298" s="740"/>
    </row>
    <row r="30299" ht="14.25" customHeight="1">
      <c r="A30299" s="740"/>
    </row>
    <row r="30300" ht="14.25" customHeight="1">
      <c r="A30300" s="740"/>
    </row>
    <row r="30301" ht="14.25" customHeight="1">
      <c r="A30301" s="740"/>
    </row>
    <row r="30302" ht="14.25" customHeight="1">
      <c r="A30302" s="740"/>
    </row>
    <row r="30303" ht="14.25" customHeight="1">
      <c r="A30303" s="740"/>
    </row>
    <row r="30304" ht="14.25" customHeight="1">
      <c r="A30304" s="740"/>
    </row>
    <row r="30305" ht="14.25" customHeight="1">
      <c r="A30305" s="740"/>
    </row>
    <row r="30306" ht="14.25" customHeight="1">
      <c r="A30306" s="740"/>
    </row>
    <row r="30307" ht="14.25" customHeight="1">
      <c r="A30307" s="740"/>
    </row>
    <row r="30308" ht="14.25" customHeight="1">
      <c r="A30308" s="740"/>
    </row>
    <row r="30309" ht="14.25" customHeight="1">
      <c r="A30309" s="740"/>
    </row>
    <row r="30310" ht="14.25" customHeight="1">
      <c r="A30310" s="740"/>
    </row>
    <row r="30311" ht="14.25" customHeight="1">
      <c r="A30311" s="740"/>
    </row>
    <row r="30312" ht="14.25" customHeight="1">
      <c r="A30312" s="740"/>
    </row>
    <row r="30313" ht="14.25" customHeight="1">
      <c r="A30313" s="740"/>
    </row>
    <row r="30314" ht="14.25" customHeight="1">
      <c r="A30314" s="740"/>
    </row>
    <row r="30315" ht="14.25" customHeight="1">
      <c r="A30315" s="740"/>
    </row>
    <row r="30316" ht="14.25" customHeight="1">
      <c r="A30316" s="740"/>
    </row>
    <row r="30317" ht="14.25" customHeight="1">
      <c r="A30317" s="740"/>
    </row>
    <row r="30318" ht="14.25" customHeight="1">
      <c r="A30318" s="740"/>
    </row>
    <row r="30319" ht="14.25" customHeight="1">
      <c r="A30319" s="740"/>
    </row>
    <row r="30320" ht="14.25" customHeight="1">
      <c r="A30320" s="740"/>
    </row>
    <row r="30321" ht="14.25" customHeight="1">
      <c r="A30321" s="740"/>
    </row>
    <row r="30322" ht="14.25" customHeight="1">
      <c r="A30322" s="740"/>
    </row>
    <row r="30323" ht="14.25" customHeight="1">
      <c r="A30323" s="740"/>
    </row>
    <row r="30324" ht="14.25" customHeight="1">
      <c r="A30324" s="740"/>
    </row>
    <row r="30325" ht="14.25" customHeight="1">
      <c r="A30325" s="740"/>
    </row>
    <row r="30326" ht="14.25" customHeight="1">
      <c r="A30326" s="740"/>
    </row>
    <row r="30327" ht="14.25" customHeight="1">
      <c r="A30327" s="740"/>
    </row>
    <row r="30328" ht="14.25" customHeight="1">
      <c r="A30328" s="740"/>
    </row>
    <row r="30329" ht="14.25" customHeight="1">
      <c r="A30329" s="740"/>
    </row>
    <row r="30330" ht="14.25" customHeight="1">
      <c r="A30330" s="740"/>
    </row>
    <row r="30331" ht="14.25" customHeight="1">
      <c r="A30331" s="740"/>
    </row>
    <row r="30332" ht="14.25" customHeight="1">
      <c r="A30332" s="740"/>
    </row>
    <row r="30333" ht="14.25" customHeight="1">
      <c r="A30333" s="740"/>
    </row>
    <row r="30334" ht="14.25" customHeight="1">
      <c r="A30334" s="740"/>
    </row>
    <row r="30335" ht="14.25" customHeight="1">
      <c r="A30335" s="740"/>
    </row>
    <row r="30336" ht="14.25" customHeight="1">
      <c r="A30336" s="740"/>
    </row>
    <row r="30337" ht="14.25" customHeight="1">
      <c r="A30337" s="740"/>
    </row>
    <row r="30338" ht="14.25" customHeight="1">
      <c r="A30338" s="740"/>
    </row>
    <row r="30339" ht="14.25" customHeight="1">
      <c r="A30339" s="740"/>
    </row>
    <row r="30340" ht="14.25" customHeight="1">
      <c r="A30340" s="740"/>
    </row>
    <row r="30341" ht="14.25" customHeight="1">
      <c r="A30341" s="740"/>
    </row>
    <row r="30342" ht="14.25" customHeight="1">
      <c r="A30342" s="740"/>
    </row>
    <row r="30343" ht="14.25" customHeight="1">
      <c r="A30343" s="740"/>
    </row>
    <row r="30344" ht="14.25" customHeight="1">
      <c r="A30344" s="740"/>
    </row>
    <row r="30345" ht="14.25" customHeight="1">
      <c r="A30345" s="740"/>
    </row>
    <row r="30346" ht="14.25" customHeight="1">
      <c r="A30346" s="740"/>
    </row>
    <row r="30347" ht="14.25" customHeight="1">
      <c r="A30347" s="740"/>
    </row>
    <row r="30348" ht="14.25" customHeight="1">
      <c r="A30348" s="740"/>
    </row>
    <row r="30349" ht="14.25" customHeight="1">
      <c r="A30349" s="740"/>
    </row>
    <row r="30350" ht="14.25" customHeight="1">
      <c r="A30350" s="740"/>
    </row>
    <row r="30351" ht="14.25" customHeight="1">
      <c r="A30351" s="740"/>
    </row>
    <row r="30352" ht="14.25" customHeight="1">
      <c r="A30352" s="740"/>
    </row>
    <row r="30353" ht="14.25" customHeight="1">
      <c r="A30353" s="740"/>
    </row>
    <row r="30354" ht="14.25" customHeight="1">
      <c r="A30354" s="740"/>
    </row>
    <row r="30355" ht="14.25" customHeight="1">
      <c r="A30355" s="740"/>
    </row>
    <row r="30356" ht="14.25" customHeight="1">
      <c r="A30356" s="740"/>
    </row>
    <row r="30357" ht="14.25" customHeight="1">
      <c r="A30357" s="740"/>
    </row>
    <row r="30358" ht="14.25" customHeight="1">
      <c r="A30358" s="740"/>
    </row>
    <row r="30359" ht="14.25" customHeight="1">
      <c r="A30359" s="740"/>
    </row>
    <row r="30360" ht="14.25" customHeight="1">
      <c r="A30360" s="740"/>
    </row>
    <row r="30361" ht="14.25" customHeight="1">
      <c r="A30361" s="740"/>
    </row>
    <row r="30362" ht="14.25" customHeight="1">
      <c r="A30362" s="740"/>
    </row>
    <row r="30363" ht="14.25" customHeight="1">
      <c r="A30363" s="740"/>
    </row>
    <row r="30364" ht="14.25" customHeight="1">
      <c r="A30364" s="740"/>
    </row>
    <row r="30365" ht="14.25" customHeight="1">
      <c r="A30365" s="740"/>
    </row>
    <row r="30366" ht="14.25" customHeight="1">
      <c r="A30366" s="740"/>
    </row>
    <row r="30367" ht="14.25" customHeight="1">
      <c r="A30367" s="740"/>
    </row>
    <row r="30368" ht="14.25" customHeight="1">
      <c r="A30368" s="740"/>
    </row>
    <row r="30369" ht="14.25" customHeight="1">
      <c r="A30369" s="740"/>
    </row>
    <row r="30370" ht="14.25" customHeight="1">
      <c r="A30370" s="740"/>
    </row>
    <row r="30371" ht="14.25" customHeight="1">
      <c r="A30371" s="740"/>
    </row>
    <row r="30372" ht="14.25" customHeight="1">
      <c r="A30372" s="740"/>
    </row>
    <row r="30373" ht="14.25" customHeight="1">
      <c r="A30373" s="740"/>
    </row>
    <row r="30374" ht="14.25" customHeight="1">
      <c r="A30374" s="740"/>
    </row>
    <row r="30375" ht="14.25" customHeight="1">
      <c r="A30375" s="740"/>
    </row>
    <row r="30376" ht="14.25" customHeight="1">
      <c r="A30376" s="740"/>
    </row>
    <row r="30377" ht="14.25" customHeight="1">
      <c r="A30377" s="740"/>
    </row>
    <row r="30378" ht="14.25" customHeight="1">
      <c r="A30378" s="740"/>
    </row>
    <row r="30379" ht="14.25" customHeight="1">
      <c r="A30379" s="740"/>
    </row>
    <row r="30380" ht="14.25" customHeight="1">
      <c r="A30380" s="740"/>
    </row>
    <row r="30381" ht="14.25" customHeight="1">
      <c r="A30381" s="740"/>
    </row>
    <row r="30382" ht="14.25" customHeight="1">
      <c r="A30382" s="740"/>
    </row>
    <row r="30383" ht="14.25" customHeight="1">
      <c r="A30383" s="740"/>
    </row>
    <row r="30384" ht="14.25" customHeight="1">
      <c r="A30384" s="740"/>
    </row>
    <row r="30385" ht="14.25" customHeight="1">
      <c r="A30385" s="740"/>
    </row>
    <row r="30386" ht="14.25" customHeight="1">
      <c r="A30386" s="740"/>
    </row>
    <row r="30387" ht="14.25" customHeight="1">
      <c r="A30387" s="740"/>
    </row>
    <row r="30388" ht="14.25" customHeight="1">
      <c r="A30388" s="740"/>
    </row>
    <row r="30389" ht="14.25" customHeight="1">
      <c r="A30389" s="740"/>
    </row>
    <row r="30390" ht="14.25" customHeight="1">
      <c r="A30390" s="740"/>
    </row>
    <row r="30391" ht="14.25" customHeight="1">
      <c r="A30391" s="740"/>
    </row>
    <row r="30392" ht="14.25" customHeight="1">
      <c r="A30392" s="740"/>
    </row>
    <row r="30393" ht="14.25" customHeight="1">
      <c r="A30393" s="740"/>
    </row>
    <row r="30394" ht="14.25" customHeight="1">
      <c r="A30394" s="740"/>
    </row>
    <row r="30395" ht="14.25" customHeight="1">
      <c r="A30395" s="740"/>
    </row>
    <row r="30396" ht="14.25" customHeight="1">
      <c r="A30396" s="740"/>
    </row>
    <row r="30397" ht="14.25" customHeight="1">
      <c r="A30397" s="740"/>
    </row>
    <row r="30398" ht="14.25" customHeight="1">
      <c r="A30398" s="740"/>
    </row>
    <row r="30399" ht="14.25" customHeight="1">
      <c r="A30399" s="740"/>
    </row>
    <row r="30400" ht="14.25" customHeight="1">
      <c r="A30400" s="740"/>
    </row>
    <row r="30401" ht="14.25" customHeight="1">
      <c r="A30401" s="740"/>
    </row>
    <row r="30402" ht="14.25" customHeight="1">
      <c r="A30402" s="740"/>
    </row>
    <row r="30403" ht="14.25" customHeight="1">
      <c r="A30403" s="740"/>
    </row>
    <row r="30404" ht="14.25" customHeight="1">
      <c r="A30404" s="740"/>
    </row>
    <row r="30405" ht="14.25" customHeight="1">
      <c r="A30405" s="740"/>
    </row>
    <row r="30406" ht="14.25" customHeight="1">
      <c r="A30406" s="740"/>
    </row>
    <row r="30407" ht="14.25" customHeight="1">
      <c r="A30407" s="740"/>
    </row>
    <row r="30408" ht="14.25" customHeight="1">
      <c r="A30408" s="740"/>
    </row>
    <row r="30409" ht="14.25" customHeight="1">
      <c r="A30409" s="740"/>
    </row>
    <row r="30410" ht="14.25" customHeight="1">
      <c r="A30410" s="740"/>
    </row>
    <row r="30411" ht="14.25" customHeight="1">
      <c r="A30411" s="740"/>
    </row>
    <row r="30412" ht="14.25" customHeight="1">
      <c r="A30412" s="740"/>
    </row>
    <row r="30413" ht="14.25" customHeight="1">
      <c r="A30413" s="740"/>
    </row>
    <row r="30414" ht="14.25" customHeight="1">
      <c r="A30414" s="740"/>
    </row>
    <row r="30415" ht="14.25" customHeight="1">
      <c r="A30415" s="740"/>
    </row>
    <row r="30416" ht="14.25" customHeight="1">
      <c r="A30416" s="740"/>
    </row>
    <row r="30417" ht="14.25" customHeight="1">
      <c r="A30417" s="740"/>
    </row>
    <row r="30418" ht="14.25" customHeight="1">
      <c r="A30418" s="740"/>
    </row>
    <row r="30419" ht="14.25" customHeight="1">
      <c r="A30419" s="740"/>
    </row>
    <row r="30420" ht="14.25" customHeight="1">
      <c r="A30420" s="740"/>
    </row>
    <row r="30421" ht="14.25" customHeight="1">
      <c r="A30421" s="740"/>
    </row>
    <row r="30422" ht="14.25" customHeight="1">
      <c r="A30422" s="740"/>
    </row>
    <row r="30423" ht="14.25" customHeight="1">
      <c r="A30423" s="740"/>
    </row>
    <row r="30424" ht="14.25" customHeight="1">
      <c r="A30424" s="740"/>
    </row>
    <row r="30425" ht="14.25" customHeight="1">
      <c r="A30425" s="740"/>
    </row>
    <row r="30426" ht="14.25" customHeight="1">
      <c r="A30426" s="740"/>
    </row>
    <row r="30427" ht="14.25" customHeight="1">
      <c r="A30427" s="740"/>
    </row>
    <row r="30428" ht="14.25" customHeight="1">
      <c r="A30428" s="740"/>
    </row>
    <row r="30429" ht="14.25" customHeight="1">
      <c r="A30429" s="740"/>
    </row>
    <row r="30430" ht="14.25" customHeight="1">
      <c r="A30430" s="740"/>
    </row>
    <row r="30431" ht="14.25" customHeight="1">
      <c r="A30431" s="740"/>
    </row>
    <row r="30432" ht="14.25" customHeight="1">
      <c r="A30432" s="740"/>
    </row>
    <row r="30433" ht="14.25" customHeight="1">
      <c r="A30433" s="740"/>
    </row>
    <row r="30434" ht="14.25" customHeight="1">
      <c r="A30434" s="740"/>
    </row>
    <row r="30435" ht="14.25" customHeight="1">
      <c r="A30435" s="740"/>
    </row>
    <row r="30436" ht="14.25" customHeight="1">
      <c r="A30436" s="740"/>
    </row>
    <row r="30437" ht="14.25" customHeight="1">
      <c r="A30437" s="740"/>
    </row>
    <row r="30438" ht="14.25" customHeight="1">
      <c r="A30438" s="740"/>
    </row>
    <row r="30439" ht="14.25" customHeight="1">
      <c r="A30439" s="740"/>
    </row>
    <row r="30440" ht="14.25" customHeight="1">
      <c r="A30440" s="740"/>
    </row>
    <row r="30441" ht="14.25" customHeight="1">
      <c r="A30441" s="740"/>
    </row>
    <row r="30442" ht="14.25" customHeight="1">
      <c r="A30442" s="740"/>
    </row>
    <row r="30443" ht="14.25" customHeight="1">
      <c r="A30443" s="740"/>
    </row>
    <row r="30444" ht="14.25" customHeight="1">
      <c r="A30444" s="740"/>
    </row>
    <row r="30445" ht="14.25" customHeight="1">
      <c r="A30445" s="740"/>
    </row>
    <row r="30446" ht="14.25" customHeight="1">
      <c r="A30446" s="740"/>
    </row>
    <row r="30447" ht="14.25" customHeight="1">
      <c r="A30447" s="740"/>
    </row>
    <row r="30448" ht="14.25" customHeight="1">
      <c r="A30448" s="740"/>
    </row>
    <row r="30449" ht="14.25" customHeight="1">
      <c r="A30449" s="740"/>
    </row>
    <row r="30450" ht="14.25" customHeight="1">
      <c r="A30450" s="740"/>
    </row>
    <row r="30451" ht="14.25" customHeight="1">
      <c r="A30451" s="740"/>
    </row>
    <row r="30452" ht="14.25" customHeight="1">
      <c r="A30452" s="740"/>
    </row>
    <row r="30453" ht="14.25" customHeight="1">
      <c r="A30453" s="740"/>
    </row>
    <row r="30454" ht="14.25" customHeight="1">
      <c r="A30454" s="740"/>
    </row>
    <row r="30455" ht="14.25" customHeight="1">
      <c r="A30455" s="740"/>
    </row>
    <row r="30456" ht="14.25" customHeight="1">
      <c r="A30456" s="740"/>
    </row>
    <row r="30457" ht="14.25" customHeight="1">
      <c r="A30457" s="740"/>
    </row>
    <row r="30458" ht="14.25" customHeight="1">
      <c r="A30458" s="740"/>
    </row>
    <row r="30459" ht="14.25" customHeight="1">
      <c r="A30459" s="740"/>
    </row>
    <row r="30460" ht="14.25" customHeight="1">
      <c r="A30460" s="740"/>
    </row>
    <row r="30461" ht="14.25" customHeight="1">
      <c r="A30461" s="740"/>
    </row>
    <row r="30462" ht="14.25" customHeight="1">
      <c r="A30462" s="740"/>
    </row>
    <row r="30463" ht="14.25" customHeight="1">
      <c r="A30463" s="740"/>
    </row>
    <row r="30464" ht="14.25" customHeight="1">
      <c r="A30464" s="740"/>
    </row>
    <row r="30465" ht="14.25" customHeight="1">
      <c r="A30465" s="740"/>
    </row>
    <row r="30466" ht="14.25" customHeight="1">
      <c r="A30466" s="740"/>
    </row>
    <row r="30467" ht="14.25" customHeight="1">
      <c r="A30467" s="740"/>
    </row>
    <row r="30468" ht="14.25" customHeight="1">
      <c r="A30468" s="740"/>
    </row>
    <row r="30469" ht="14.25" customHeight="1">
      <c r="A30469" s="740"/>
    </row>
    <row r="30470" ht="14.25" customHeight="1">
      <c r="A30470" s="740"/>
    </row>
    <row r="30471" ht="14.25" customHeight="1">
      <c r="A30471" s="740"/>
    </row>
    <row r="30472" ht="14.25" customHeight="1">
      <c r="A30472" s="740"/>
    </row>
    <row r="30473" ht="14.25" customHeight="1">
      <c r="A30473" s="740"/>
    </row>
    <row r="30474" ht="14.25" customHeight="1">
      <c r="A30474" s="740"/>
    </row>
    <row r="30475" ht="14.25" customHeight="1">
      <c r="A30475" s="740"/>
    </row>
    <row r="30476" ht="14.25" customHeight="1">
      <c r="A30476" s="740"/>
    </row>
    <row r="30477" ht="14.25" customHeight="1">
      <c r="A30477" s="740"/>
    </row>
    <row r="30478" ht="14.25" customHeight="1">
      <c r="A30478" s="740"/>
    </row>
    <row r="30479" ht="14.25" customHeight="1">
      <c r="A30479" s="740"/>
    </row>
    <row r="30480" ht="14.25" customHeight="1">
      <c r="A30480" s="740"/>
    </row>
    <row r="30481" ht="14.25" customHeight="1">
      <c r="A30481" s="740"/>
    </row>
    <row r="30482" ht="14.25" customHeight="1">
      <c r="A30482" s="740"/>
    </row>
    <row r="30483" ht="14.25" customHeight="1">
      <c r="A30483" s="740"/>
    </row>
    <row r="30484" ht="14.25" customHeight="1">
      <c r="A30484" s="740"/>
    </row>
    <row r="30485" ht="14.25" customHeight="1">
      <c r="A30485" s="740"/>
    </row>
    <row r="30486" ht="14.25" customHeight="1">
      <c r="A30486" s="740"/>
    </row>
    <row r="30487" ht="14.25" customHeight="1">
      <c r="A30487" s="740"/>
    </row>
    <row r="30488" ht="14.25" customHeight="1">
      <c r="A30488" s="740"/>
    </row>
    <row r="30489" ht="14.25" customHeight="1">
      <c r="A30489" s="740"/>
    </row>
    <row r="30490" ht="14.25" customHeight="1">
      <c r="A30490" s="740"/>
    </row>
    <row r="30491" ht="14.25" customHeight="1">
      <c r="A30491" s="740"/>
    </row>
    <row r="30492" ht="14.25" customHeight="1">
      <c r="A30492" s="740"/>
    </row>
    <row r="30493" ht="14.25" customHeight="1">
      <c r="A30493" s="740"/>
    </row>
    <row r="30494" ht="14.25" customHeight="1">
      <c r="A30494" s="740"/>
    </row>
    <row r="30495" ht="14.25" customHeight="1">
      <c r="A30495" s="740"/>
    </row>
    <row r="30496" ht="14.25" customHeight="1">
      <c r="A30496" s="740"/>
    </row>
    <row r="30497" ht="14.25" customHeight="1">
      <c r="A30497" s="740"/>
    </row>
    <row r="30498" ht="14.25" customHeight="1">
      <c r="A30498" s="740"/>
    </row>
    <row r="30499" ht="14.25" customHeight="1">
      <c r="A30499" s="740"/>
    </row>
    <row r="30500" ht="14.25" customHeight="1">
      <c r="A30500" s="740"/>
    </row>
    <row r="30501" ht="14.25" customHeight="1">
      <c r="A30501" s="740"/>
    </row>
    <row r="30502" ht="14.25" customHeight="1">
      <c r="A30502" s="740"/>
    </row>
    <row r="30503" ht="14.25" customHeight="1">
      <c r="A30503" s="740"/>
    </row>
    <row r="30504" ht="14.25" customHeight="1">
      <c r="A30504" s="740"/>
    </row>
    <row r="30505" ht="14.25" customHeight="1">
      <c r="A30505" s="740"/>
    </row>
    <row r="30506" ht="14.25" customHeight="1">
      <c r="A30506" s="740"/>
    </row>
    <row r="30507" ht="14.25" customHeight="1">
      <c r="A30507" s="740"/>
    </row>
    <row r="30508" ht="14.25" customHeight="1">
      <c r="A30508" s="740"/>
    </row>
    <row r="30509" ht="14.25" customHeight="1">
      <c r="A30509" s="740"/>
    </row>
    <row r="30510" ht="14.25" customHeight="1">
      <c r="A30510" s="740"/>
    </row>
    <row r="30511" ht="14.25" customHeight="1">
      <c r="A30511" s="740"/>
    </row>
    <row r="30512" ht="14.25" customHeight="1">
      <c r="A30512" s="740"/>
    </row>
    <row r="30513" ht="14.25" customHeight="1">
      <c r="A30513" s="740"/>
    </row>
    <row r="30514" ht="14.25" customHeight="1">
      <c r="A30514" s="740"/>
    </row>
    <row r="30515" ht="14.25" customHeight="1">
      <c r="A30515" s="740"/>
    </row>
    <row r="30516" ht="14.25" customHeight="1">
      <c r="A30516" s="740"/>
    </row>
    <row r="30517" ht="14.25" customHeight="1">
      <c r="A30517" s="740"/>
    </row>
    <row r="30518" ht="14.25" customHeight="1">
      <c r="A30518" s="740"/>
    </row>
    <row r="30519" ht="14.25" customHeight="1">
      <c r="A30519" s="740"/>
    </row>
    <row r="30520" ht="14.25" customHeight="1">
      <c r="A30520" s="740"/>
    </row>
    <row r="30521" ht="14.25" customHeight="1">
      <c r="A30521" s="740"/>
    </row>
    <row r="30522" ht="14.25" customHeight="1">
      <c r="A30522" s="740"/>
    </row>
    <row r="30523" ht="14.25" customHeight="1">
      <c r="A30523" s="740"/>
    </row>
    <row r="30524" ht="14.25" customHeight="1">
      <c r="A30524" s="740"/>
    </row>
    <row r="30525" ht="14.25" customHeight="1">
      <c r="A30525" s="740"/>
    </row>
    <row r="30526" ht="14.25" customHeight="1">
      <c r="A30526" s="740"/>
    </row>
    <row r="30527" ht="14.25" customHeight="1">
      <c r="A30527" s="740"/>
    </row>
    <row r="30528" ht="14.25" customHeight="1">
      <c r="A30528" s="740"/>
    </row>
    <row r="30529" ht="14.25" customHeight="1">
      <c r="A30529" s="740"/>
    </row>
    <row r="30530" ht="14.25" customHeight="1">
      <c r="A30530" s="740"/>
    </row>
    <row r="30531" ht="14.25" customHeight="1">
      <c r="A30531" s="740"/>
    </row>
    <row r="30532" ht="14.25" customHeight="1">
      <c r="A30532" s="740"/>
    </row>
    <row r="30533" ht="14.25" customHeight="1">
      <c r="A30533" s="740"/>
    </row>
    <row r="30534" ht="14.25" customHeight="1">
      <c r="A30534" s="740"/>
    </row>
    <row r="30535" ht="14.25" customHeight="1">
      <c r="A30535" s="740"/>
    </row>
    <row r="30536" ht="14.25" customHeight="1">
      <c r="A30536" s="740"/>
    </row>
    <row r="30537" ht="14.25" customHeight="1">
      <c r="A30537" s="740"/>
    </row>
    <row r="30538" ht="14.25" customHeight="1">
      <c r="A30538" s="740"/>
    </row>
    <row r="30539" ht="14.25" customHeight="1">
      <c r="A30539" s="740"/>
    </row>
    <row r="30540" ht="14.25" customHeight="1">
      <c r="A30540" s="740"/>
    </row>
    <row r="30541" ht="14.25" customHeight="1">
      <c r="A30541" s="740"/>
    </row>
    <row r="30542" ht="14.25" customHeight="1">
      <c r="A30542" s="740"/>
    </row>
    <row r="30543" ht="14.25" customHeight="1">
      <c r="A30543" s="740"/>
    </row>
    <row r="30544" ht="14.25" customHeight="1">
      <c r="A30544" s="740"/>
    </row>
    <row r="30545" ht="14.25" customHeight="1">
      <c r="A30545" s="740"/>
    </row>
    <row r="30546" ht="14.25" customHeight="1">
      <c r="A30546" s="740"/>
    </row>
    <row r="30547" ht="14.25" customHeight="1">
      <c r="A30547" s="740"/>
    </row>
    <row r="30548" ht="14.25" customHeight="1">
      <c r="A30548" s="740"/>
    </row>
    <row r="30549" ht="14.25" customHeight="1">
      <c r="A30549" s="740"/>
    </row>
    <row r="30550" ht="14.25" customHeight="1">
      <c r="A30550" s="740"/>
    </row>
    <row r="30551" ht="14.25" customHeight="1">
      <c r="A30551" s="740"/>
    </row>
    <row r="30552" ht="14.25" customHeight="1">
      <c r="A30552" s="740"/>
    </row>
    <row r="30553" ht="14.25" customHeight="1">
      <c r="A30553" s="740"/>
    </row>
    <row r="30554" ht="14.25" customHeight="1">
      <c r="A30554" s="740"/>
    </row>
    <row r="30555" ht="14.25" customHeight="1">
      <c r="A30555" s="740"/>
    </row>
    <row r="30556" ht="14.25" customHeight="1">
      <c r="A30556" s="740"/>
    </row>
    <row r="30557" ht="14.25" customHeight="1">
      <c r="A30557" s="740"/>
    </row>
    <row r="30558" ht="14.25" customHeight="1">
      <c r="A30558" s="740"/>
    </row>
    <row r="30559" ht="14.25" customHeight="1">
      <c r="A30559" s="740"/>
    </row>
    <row r="30560" ht="14.25" customHeight="1">
      <c r="A30560" s="740"/>
    </row>
    <row r="30561" ht="14.25" customHeight="1">
      <c r="A30561" s="740"/>
    </row>
    <row r="30562" ht="14.25" customHeight="1">
      <c r="A30562" s="740"/>
    </row>
    <row r="30563" ht="14.25" customHeight="1">
      <c r="A30563" s="740"/>
    </row>
    <row r="30564" ht="14.25" customHeight="1">
      <c r="A30564" s="740"/>
    </row>
    <row r="30565" ht="14.25" customHeight="1">
      <c r="A30565" s="740"/>
    </row>
    <row r="30566" ht="14.25" customHeight="1">
      <c r="A30566" s="740"/>
    </row>
    <row r="30567" ht="14.25" customHeight="1">
      <c r="A30567" s="740"/>
    </row>
    <row r="30568" ht="14.25" customHeight="1">
      <c r="A30568" s="740"/>
    </row>
    <row r="30569" ht="14.25" customHeight="1">
      <c r="A30569" s="740"/>
    </row>
    <row r="30570" ht="14.25" customHeight="1">
      <c r="A30570" s="740"/>
    </row>
    <row r="30571" ht="14.25" customHeight="1">
      <c r="A30571" s="740"/>
    </row>
    <row r="30572" ht="14.25" customHeight="1">
      <c r="A30572" s="740"/>
    </row>
    <row r="30573" ht="14.25" customHeight="1">
      <c r="A30573" s="740"/>
    </row>
    <row r="30574" ht="14.25" customHeight="1">
      <c r="A30574" s="740"/>
    </row>
    <row r="30575" ht="14.25" customHeight="1">
      <c r="A30575" s="740"/>
    </row>
    <row r="30576" ht="14.25" customHeight="1">
      <c r="A30576" s="740"/>
    </row>
    <row r="30577" ht="14.25" customHeight="1">
      <c r="A30577" s="740"/>
    </row>
    <row r="30578" ht="14.25" customHeight="1">
      <c r="A30578" s="740"/>
    </row>
    <row r="30579" ht="14.25" customHeight="1">
      <c r="A30579" s="740"/>
    </row>
    <row r="30580" ht="14.25" customHeight="1">
      <c r="A30580" s="740"/>
    </row>
    <row r="30581" ht="14.25" customHeight="1">
      <c r="A30581" s="740"/>
    </row>
    <row r="30582" ht="14.25" customHeight="1">
      <c r="A30582" s="740"/>
    </row>
    <row r="30583" ht="14.25" customHeight="1">
      <c r="A30583" s="740"/>
    </row>
    <row r="30584" ht="14.25" customHeight="1">
      <c r="A30584" s="740"/>
    </row>
    <row r="30585" ht="14.25" customHeight="1">
      <c r="A30585" s="740"/>
    </row>
    <row r="30586" ht="14.25" customHeight="1">
      <c r="A30586" s="740"/>
    </row>
    <row r="30587" ht="14.25" customHeight="1">
      <c r="A30587" s="740"/>
    </row>
    <row r="30588" ht="14.25" customHeight="1">
      <c r="A30588" s="740"/>
    </row>
    <row r="30589" ht="14.25" customHeight="1">
      <c r="A30589" s="740"/>
    </row>
    <row r="30590" ht="14.25" customHeight="1">
      <c r="A30590" s="740"/>
    </row>
    <row r="30591" ht="14.25" customHeight="1">
      <c r="A30591" s="740"/>
    </row>
    <row r="30592" ht="14.25" customHeight="1">
      <c r="A30592" s="740"/>
    </row>
    <row r="30593" ht="14.25" customHeight="1">
      <c r="A30593" s="740"/>
    </row>
    <row r="30594" ht="14.25" customHeight="1">
      <c r="A30594" s="740"/>
    </row>
    <row r="30595" ht="14.25" customHeight="1">
      <c r="A30595" s="740"/>
    </row>
    <row r="30596" ht="14.25" customHeight="1">
      <c r="A30596" s="740"/>
    </row>
    <row r="30597" ht="14.25" customHeight="1">
      <c r="A30597" s="740"/>
    </row>
    <row r="30598" ht="14.25" customHeight="1">
      <c r="A30598" s="740"/>
    </row>
    <row r="30599" ht="14.25" customHeight="1">
      <c r="A30599" s="740"/>
    </row>
    <row r="30600" ht="14.25" customHeight="1">
      <c r="A30600" s="740"/>
    </row>
    <row r="30601" ht="14.25" customHeight="1">
      <c r="A30601" s="740"/>
    </row>
    <row r="30602" ht="14.25" customHeight="1">
      <c r="A30602" s="740"/>
    </row>
    <row r="30603" ht="14.25" customHeight="1">
      <c r="A30603" s="740"/>
    </row>
    <row r="30604" ht="14.25" customHeight="1">
      <c r="A30604" s="740"/>
    </row>
    <row r="30605" ht="14.25" customHeight="1">
      <c r="A30605" s="740"/>
    </row>
    <row r="30606" ht="14.25" customHeight="1">
      <c r="A30606" s="740"/>
    </row>
    <row r="30607" ht="14.25" customHeight="1">
      <c r="A30607" s="740"/>
    </row>
    <row r="30608" ht="14.25" customHeight="1">
      <c r="A30608" s="740"/>
    </row>
    <row r="30609" ht="14.25" customHeight="1">
      <c r="A30609" s="740"/>
    </row>
    <row r="30610" ht="14.25" customHeight="1">
      <c r="A30610" s="740"/>
    </row>
    <row r="30611" ht="14.25" customHeight="1">
      <c r="A30611" s="740"/>
    </row>
    <row r="30612" ht="14.25" customHeight="1">
      <c r="A30612" s="740"/>
    </row>
    <row r="30613" ht="14.25" customHeight="1">
      <c r="A30613" s="740"/>
    </row>
    <row r="30614" ht="14.25" customHeight="1">
      <c r="A30614" s="740"/>
    </row>
    <row r="30615" ht="14.25" customHeight="1">
      <c r="A30615" s="740"/>
    </row>
    <row r="30616" ht="14.25" customHeight="1">
      <c r="A30616" s="740"/>
    </row>
    <row r="30617" ht="14.25" customHeight="1">
      <c r="A30617" s="740"/>
    </row>
    <row r="30618" ht="14.25" customHeight="1">
      <c r="A30618" s="740"/>
    </row>
    <row r="30619" ht="14.25" customHeight="1">
      <c r="A30619" s="740"/>
    </row>
    <row r="30620" ht="14.25" customHeight="1">
      <c r="A30620" s="740"/>
    </row>
    <row r="30621" ht="14.25" customHeight="1">
      <c r="A30621" s="740"/>
    </row>
    <row r="30622" ht="14.25" customHeight="1">
      <c r="A30622" s="740"/>
    </row>
    <row r="30623" ht="14.25" customHeight="1">
      <c r="A30623" s="740"/>
    </row>
    <row r="30624" ht="14.25" customHeight="1">
      <c r="A30624" s="740"/>
    </row>
    <row r="30625" ht="14.25" customHeight="1">
      <c r="A30625" s="740"/>
    </row>
    <row r="30626" ht="14.25" customHeight="1">
      <c r="A30626" s="740"/>
    </row>
    <row r="30627" ht="14.25" customHeight="1">
      <c r="A30627" s="740"/>
    </row>
    <row r="30628" ht="14.25" customHeight="1">
      <c r="A30628" s="740"/>
    </row>
    <row r="30629" ht="14.25" customHeight="1">
      <c r="A30629" s="740"/>
    </row>
    <row r="30630" ht="14.25" customHeight="1">
      <c r="A30630" s="740"/>
    </row>
    <row r="30631" ht="14.25" customHeight="1">
      <c r="A30631" s="740"/>
    </row>
    <row r="30632" ht="14.25" customHeight="1">
      <c r="A30632" s="740"/>
    </row>
    <row r="30633" ht="14.25" customHeight="1">
      <c r="A30633" s="740"/>
    </row>
    <row r="30634" ht="14.25" customHeight="1">
      <c r="A30634" s="740"/>
    </row>
    <row r="30635" ht="14.25" customHeight="1">
      <c r="A30635" s="740"/>
    </row>
    <row r="30636" ht="14.25" customHeight="1">
      <c r="A30636" s="740"/>
    </row>
    <row r="30637" ht="14.25" customHeight="1">
      <c r="A30637" s="740"/>
    </row>
    <row r="30638" ht="14.25" customHeight="1">
      <c r="A30638" s="740"/>
    </row>
    <row r="30639" ht="14.25" customHeight="1">
      <c r="A30639" s="740"/>
    </row>
    <row r="30640" ht="14.25" customHeight="1">
      <c r="A30640" s="740"/>
    </row>
    <row r="30641" ht="14.25" customHeight="1">
      <c r="A30641" s="740"/>
    </row>
    <row r="30642" ht="14.25" customHeight="1">
      <c r="A30642" s="740"/>
    </row>
    <row r="30643" ht="14.25" customHeight="1">
      <c r="A30643" s="740"/>
    </row>
    <row r="30644" ht="14.25" customHeight="1">
      <c r="A30644" s="740"/>
    </row>
    <row r="30645" ht="14.25" customHeight="1">
      <c r="A30645" s="740"/>
    </row>
    <row r="30646" ht="14.25" customHeight="1">
      <c r="A30646" s="740"/>
    </row>
    <row r="30647" ht="14.25" customHeight="1">
      <c r="A30647" s="740"/>
    </row>
    <row r="30648" ht="14.25" customHeight="1">
      <c r="A30648" s="740"/>
    </row>
    <row r="30649" ht="14.25" customHeight="1">
      <c r="A30649" s="740"/>
    </row>
    <row r="30650" ht="14.25" customHeight="1">
      <c r="A30650" s="740"/>
    </row>
    <row r="30651" ht="14.25" customHeight="1">
      <c r="A30651" s="740"/>
    </row>
    <row r="30652" ht="14.25" customHeight="1">
      <c r="A30652" s="740"/>
    </row>
    <row r="30653" ht="14.25" customHeight="1">
      <c r="A30653" s="740"/>
    </row>
    <row r="30654" ht="14.25" customHeight="1">
      <c r="A30654" s="740"/>
    </row>
    <row r="30655" ht="14.25" customHeight="1">
      <c r="A30655" s="740"/>
    </row>
    <row r="30656" ht="14.25" customHeight="1">
      <c r="A30656" s="740"/>
    </row>
    <row r="30657" ht="14.25" customHeight="1">
      <c r="A30657" s="740"/>
    </row>
    <row r="30658" ht="14.25" customHeight="1">
      <c r="A30658" s="740"/>
    </row>
    <row r="30659" ht="14.25" customHeight="1">
      <c r="A30659" s="740"/>
    </row>
    <row r="30660" ht="14.25" customHeight="1">
      <c r="A30660" s="740"/>
    </row>
    <row r="30661" ht="14.25" customHeight="1">
      <c r="A30661" s="740"/>
    </row>
    <row r="30662" ht="14.25" customHeight="1">
      <c r="A30662" s="740"/>
    </row>
    <row r="30663" ht="14.25" customHeight="1">
      <c r="A30663" s="740"/>
    </row>
    <row r="30664" ht="14.25" customHeight="1">
      <c r="A30664" s="740"/>
    </row>
    <row r="30665" ht="14.25" customHeight="1">
      <c r="A30665" s="740"/>
    </row>
    <row r="30666" ht="14.25" customHeight="1">
      <c r="A30666" s="740"/>
    </row>
    <row r="30667" ht="14.25" customHeight="1">
      <c r="A30667" s="740"/>
    </row>
    <row r="30668" ht="14.25" customHeight="1">
      <c r="A30668" s="740"/>
    </row>
    <row r="30669" ht="14.25" customHeight="1">
      <c r="A30669" s="740"/>
    </row>
    <row r="30670" ht="14.25" customHeight="1">
      <c r="A30670" s="740"/>
    </row>
    <row r="30671" ht="14.25" customHeight="1">
      <c r="A30671" s="740"/>
    </row>
    <row r="30672" ht="14.25" customHeight="1">
      <c r="A30672" s="740"/>
    </row>
    <row r="30673" ht="14.25" customHeight="1">
      <c r="A30673" s="740"/>
    </row>
    <row r="30674" ht="14.25" customHeight="1">
      <c r="A30674" s="740"/>
    </row>
    <row r="30675" ht="14.25" customHeight="1">
      <c r="A30675" s="740"/>
    </row>
    <row r="30676" ht="14.25" customHeight="1">
      <c r="A30676" s="740"/>
    </row>
    <row r="30677" ht="14.25" customHeight="1">
      <c r="A30677" s="740"/>
    </row>
    <row r="30678" ht="14.25" customHeight="1">
      <c r="A30678" s="740"/>
    </row>
    <row r="30679" ht="14.25" customHeight="1">
      <c r="A30679" s="740"/>
    </row>
    <row r="30680" ht="14.25" customHeight="1">
      <c r="A30680" s="740"/>
    </row>
    <row r="30681" ht="14.25" customHeight="1">
      <c r="A30681" s="740"/>
    </row>
    <row r="30682" ht="14.25" customHeight="1">
      <c r="A30682" s="740"/>
    </row>
    <row r="30683" ht="14.25" customHeight="1">
      <c r="A30683" s="740"/>
    </row>
    <row r="30684" ht="14.25" customHeight="1">
      <c r="A30684" s="740"/>
    </row>
    <row r="30685" ht="14.25" customHeight="1">
      <c r="A30685" s="740"/>
    </row>
    <row r="30686" ht="14.25" customHeight="1">
      <c r="A30686" s="740"/>
    </row>
    <row r="30687" ht="14.25" customHeight="1">
      <c r="A30687" s="740"/>
    </row>
    <row r="30688" ht="14.25" customHeight="1">
      <c r="A30688" s="740"/>
    </row>
    <row r="30689" ht="14.25" customHeight="1">
      <c r="A30689" s="740"/>
    </row>
    <row r="30690" ht="14.25" customHeight="1">
      <c r="A30690" s="740"/>
    </row>
    <row r="30691" ht="14.25" customHeight="1">
      <c r="A30691" s="740"/>
    </row>
    <row r="30692" ht="14.25" customHeight="1">
      <c r="A30692" s="740"/>
    </row>
    <row r="30693" ht="14.25" customHeight="1">
      <c r="A30693" s="740"/>
    </row>
    <row r="30694" ht="14.25" customHeight="1">
      <c r="A30694" s="740"/>
    </row>
    <row r="30695" ht="14.25" customHeight="1">
      <c r="A30695" s="740"/>
    </row>
    <row r="30696" ht="14.25" customHeight="1">
      <c r="A30696" s="740"/>
    </row>
    <row r="30697" ht="14.25" customHeight="1">
      <c r="A30697" s="740"/>
    </row>
    <row r="30698" ht="14.25" customHeight="1">
      <c r="A30698" s="740"/>
    </row>
    <row r="30699" ht="14.25" customHeight="1">
      <c r="A30699" s="740"/>
    </row>
    <row r="30700" ht="14.25" customHeight="1">
      <c r="A30700" s="740"/>
    </row>
    <row r="30701" ht="14.25" customHeight="1">
      <c r="A30701" s="740"/>
    </row>
    <row r="30702" ht="14.25" customHeight="1">
      <c r="A30702" s="740"/>
    </row>
    <row r="30703" ht="14.25" customHeight="1">
      <c r="A30703" s="740"/>
    </row>
    <row r="30704" ht="14.25" customHeight="1">
      <c r="A30704" s="740"/>
    </row>
    <row r="30705" ht="14.25" customHeight="1">
      <c r="A30705" s="740"/>
    </row>
    <row r="30706" ht="14.25" customHeight="1">
      <c r="A30706" s="740"/>
    </row>
    <row r="30707" ht="14.25" customHeight="1">
      <c r="A30707" s="740"/>
    </row>
    <row r="30708" ht="14.25" customHeight="1">
      <c r="A30708" s="740"/>
    </row>
    <row r="30709" ht="14.25" customHeight="1">
      <c r="A30709" s="740"/>
    </row>
    <row r="30710" ht="14.25" customHeight="1">
      <c r="A30710" s="740"/>
    </row>
    <row r="30711" ht="14.25" customHeight="1">
      <c r="A30711" s="740"/>
    </row>
    <row r="30712" ht="14.25" customHeight="1">
      <c r="A30712" s="740"/>
    </row>
    <row r="30713" ht="14.25" customHeight="1">
      <c r="A30713" s="740"/>
    </row>
    <row r="30714" ht="14.25" customHeight="1">
      <c r="A30714" s="740"/>
    </row>
    <row r="30715" ht="14.25" customHeight="1">
      <c r="A30715" s="740"/>
    </row>
    <row r="30716" ht="14.25" customHeight="1">
      <c r="A30716" s="740"/>
    </row>
    <row r="30717" ht="14.25" customHeight="1">
      <c r="A30717" s="740"/>
    </row>
    <row r="30718" ht="14.25" customHeight="1">
      <c r="A30718" s="740"/>
    </row>
    <row r="30719" ht="14.25" customHeight="1">
      <c r="A30719" s="740"/>
    </row>
    <row r="30720" ht="14.25" customHeight="1">
      <c r="A30720" s="740"/>
    </row>
    <row r="30721" ht="14.25" customHeight="1">
      <c r="A30721" s="740"/>
    </row>
    <row r="30722" ht="14.25" customHeight="1">
      <c r="A30722" s="740"/>
    </row>
    <row r="30723" ht="14.25" customHeight="1">
      <c r="A30723" s="740"/>
    </row>
    <row r="30724" ht="14.25" customHeight="1">
      <c r="A30724" s="740"/>
    </row>
    <row r="30725" ht="14.25" customHeight="1">
      <c r="A30725" s="740"/>
    </row>
    <row r="30726" ht="14.25" customHeight="1">
      <c r="A30726" s="740"/>
    </row>
    <row r="30727" ht="14.25" customHeight="1">
      <c r="A30727" s="740"/>
    </row>
    <row r="30728" ht="14.25" customHeight="1">
      <c r="A30728" s="740"/>
    </row>
    <row r="30729" ht="14.25" customHeight="1">
      <c r="A30729" s="740"/>
    </row>
    <row r="30730" ht="14.25" customHeight="1">
      <c r="A30730" s="740"/>
    </row>
    <row r="30731" ht="14.25" customHeight="1">
      <c r="A30731" s="740"/>
    </row>
    <row r="30732" ht="14.25" customHeight="1">
      <c r="A30732" s="740"/>
    </row>
    <row r="30733" ht="14.25" customHeight="1">
      <c r="A30733" s="740"/>
    </row>
    <row r="30734" ht="14.25" customHeight="1">
      <c r="A30734" s="740"/>
    </row>
    <row r="30735" ht="14.25" customHeight="1">
      <c r="A30735" s="740"/>
    </row>
    <row r="30736" ht="14.25" customHeight="1">
      <c r="A30736" s="740"/>
    </row>
    <row r="30737" ht="14.25" customHeight="1">
      <c r="A30737" s="740"/>
    </row>
    <row r="30738" ht="14.25" customHeight="1">
      <c r="A30738" s="740"/>
    </row>
    <row r="30739" ht="14.25" customHeight="1">
      <c r="A30739" s="740"/>
    </row>
    <row r="30740" ht="14.25" customHeight="1">
      <c r="A30740" s="740"/>
    </row>
    <row r="30741" ht="14.25" customHeight="1">
      <c r="A30741" s="740"/>
    </row>
    <row r="30742" ht="14.25" customHeight="1">
      <c r="A30742" s="740"/>
    </row>
    <row r="30743" ht="14.25" customHeight="1">
      <c r="A30743" s="740"/>
    </row>
    <row r="30744" ht="14.25" customHeight="1">
      <c r="A30744" s="740"/>
    </row>
    <row r="30745" ht="14.25" customHeight="1">
      <c r="A30745" s="740"/>
    </row>
    <row r="30746" ht="14.25" customHeight="1">
      <c r="A30746" s="740"/>
    </row>
    <row r="30747" ht="14.25" customHeight="1">
      <c r="A30747" s="740"/>
    </row>
    <row r="30748" ht="14.25" customHeight="1">
      <c r="A30748" s="740"/>
    </row>
    <row r="30749" ht="14.25" customHeight="1">
      <c r="A30749" s="740"/>
    </row>
    <row r="30750" ht="14.25" customHeight="1">
      <c r="A30750" s="740"/>
    </row>
    <row r="30751" ht="14.25" customHeight="1">
      <c r="A30751" s="740"/>
    </row>
    <row r="30752" ht="14.25" customHeight="1">
      <c r="A30752" s="740"/>
    </row>
    <row r="30753" ht="14.25" customHeight="1">
      <c r="A30753" s="740"/>
    </row>
    <row r="30754" ht="14.25" customHeight="1">
      <c r="A30754" s="740"/>
    </row>
    <row r="30755" ht="14.25" customHeight="1">
      <c r="A30755" s="740"/>
    </row>
    <row r="30756" ht="14.25" customHeight="1">
      <c r="A30756" s="740"/>
    </row>
    <row r="30757" ht="14.25" customHeight="1">
      <c r="A30757" s="740"/>
    </row>
    <row r="30758" ht="14.25" customHeight="1">
      <c r="A30758" s="740"/>
    </row>
    <row r="30759" ht="14.25" customHeight="1">
      <c r="A30759" s="740"/>
    </row>
    <row r="30760" ht="14.25" customHeight="1">
      <c r="A30760" s="740"/>
    </row>
    <row r="30761" ht="14.25" customHeight="1">
      <c r="A30761" s="740"/>
    </row>
    <row r="30762" ht="14.25" customHeight="1">
      <c r="A30762" s="740"/>
    </row>
    <row r="30763" ht="14.25" customHeight="1">
      <c r="A30763" s="740"/>
    </row>
    <row r="30764" ht="14.25" customHeight="1">
      <c r="A30764" s="740"/>
    </row>
    <row r="30765" ht="14.25" customHeight="1">
      <c r="A30765" s="740"/>
    </row>
    <row r="30766" ht="14.25" customHeight="1">
      <c r="A30766" s="740"/>
    </row>
    <row r="30767" ht="14.25" customHeight="1">
      <c r="A30767" s="740"/>
    </row>
    <row r="30768" ht="14.25" customHeight="1">
      <c r="A30768" s="740"/>
    </row>
    <row r="30769" ht="14.25" customHeight="1">
      <c r="A30769" s="740"/>
    </row>
    <row r="30770" ht="14.25" customHeight="1">
      <c r="A30770" s="740"/>
    </row>
    <row r="30771" ht="14.25" customHeight="1">
      <c r="A30771" s="740"/>
    </row>
    <row r="30772" ht="14.25" customHeight="1">
      <c r="A30772" s="740"/>
    </row>
    <row r="30773" ht="14.25" customHeight="1">
      <c r="A30773" s="740"/>
    </row>
    <row r="30774" ht="14.25" customHeight="1">
      <c r="A30774" s="740"/>
    </row>
    <row r="30775" ht="14.25" customHeight="1">
      <c r="A30775" s="740"/>
    </row>
    <row r="30776" ht="14.25" customHeight="1">
      <c r="A30776" s="740"/>
    </row>
    <row r="30777" ht="14.25" customHeight="1">
      <c r="A30777" s="740"/>
    </row>
    <row r="30778" ht="14.25" customHeight="1">
      <c r="A30778" s="740"/>
    </row>
    <row r="30779" ht="14.25" customHeight="1">
      <c r="A30779" s="740"/>
    </row>
    <row r="30780" ht="14.25" customHeight="1">
      <c r="A30780" s="740"/>
    </row>
    <row r="30781" ht="14.25" customHeight="1">
      <c r="A30781" s="740"/>
    </row>
    <row r="30782" ht="14.25" customHeight="1">
      <c r="A30782" s="740"/>
    </row>
    <row r="30783" ht="14.25" customHeight="1">
      <c r="A30783" s="740"/>
    </row>
    <row r="30784" ht="14.25" customHeight="1">
      <c r="A30784" s="740"/>
    </row>
    <row r="30785" ht="14.25" customHeight="1">
      <c r="A30785" s="740"/>
    </row>
    <row r="30786" ht="14.25" customHeight="1">
      <c r="A30786" s="740"/>
    </row>
    <row r="30787" ht="14.25" customHeight="1">
      <c r="A30787" s="740"/>
    </row>
    <row r="30788" ht="14.25" customHeight="1">
      <c r="A30788" s="740"/>
    </row>
    <row r="30789" ht="14.25" customHeight="1">
      <c r="A30789" s="740"/>
    </row>
    <row r="30790" ht="14.25" customHeight="1">
      <c r="A30790" s="740"/>
    </row>
    <row r="30791" ht="14.25" customHeight="1">
      <c r="A30791" s="740"/>
    </row>
    <row r="30792" ht="14.25" customHeight="1">
      <c r="A30792" s="740"/>
    </row>
    <row r="30793" ht="14.25" customHeight="1">
      <c r="A30793" s="740"/>
    </row>
    <row r="30794" ht="14.25" customHeight="1">
      <c r="A30794" s="740"/>
    </row>
    <row r="30795" ht="14.25" customHeight="1">
      <c r="A30795" s="740"/>
    </row>
    <row r="30796" ht="14.25" customHeight="1">
      <c r="A30796" s="740"/>
    </row>
    <row r="30797" ht="14.25" customHeight="1">
      <c r="A30797" s="740"/>
    </row>
    <row r="30798" ht="14.25" customHeight="1">
      <c r="A30798" s="740"/>
    </row>
    <row r="30799" ht="14.25" customHeight="1">
      <c r="A30799" s="740"/>
    </row>
    <row r="30800" ht="14.25" customHeight="1">
      <c r="A30800" s="740"/>
    </row>
    <row r="30801" ht="14.25" customHeight="1">
      <c r="A30801" s="740"/>
    </row>
    <row r="30802" ht="14.25" customHeight="1">
      <c r="A30802" s="740"/>
    </row>
    <row r="30803" ht="14.25" customHeight="1">
      <c r="A30803" s="740"/>
    </row>
    <row r="30804" ht="14.25" customHeight="1">
      <c r="A30804" s="740"/>
    </row>
    <row r="30805" ht="14.25" customHeight="1">
      <c r="A30805" s="740"/>
    </row>
    <row r="30806" ht="14.25" customHeight="1">
      <c r="A30806" s="740"/>
    </row>
    <row r="30807" ht="14.25" customHeight="1">
      <c r="A30807" s="740"/>
    </row>
    <row r="30808" ht="14.25" customHeight="1">
      <c r="A30808" s="740"/>
    </row>
    <row r="30809" ht="14.25" customHeight="1">
      <c r="A30809" s="740"/>
    </row>
    <row r="30810" ht="14.25" customHeight="1">
      <c r="A30810" s="740"/>
    </row>
    <row r="30811" ht="14.25" customHeight="1">
      <c r="A30811" s="740"/>
    </row>
    <row r="30812" ht="14.25" customHeight="1">
      <c r="A30812" s="740"/>
    </row>
    <row r="30813" ht="14.25" customHeight="1">
      <c r="A30813" s="740"/>
    </row>
    <row r="30814" ht="14.25" customHeight="1">
      <c r="A30814" s="740"/>
    </row>
    <row r="30815" ht="14.25" customHeight="1">
      <c r="A30815" s="740"/>
    </row>
    <row r="30816" ht="14.25" customHeight="1">
      <c r="A30816" s="740"/>
    </row>
    <row r="30817" ht="14.25" customHeight="1">
      <c r="A30817" s="740"/>
    </row>
    <row r="30818" ht="14.25" customHeight="1">
      <c r="A30818" s="740"/>
    </row>
    <row r="30819" ht="14.25" customHeight="1">
      <c r="A30819" s="740"/>
    </row>
    <row r="30820" ht="14.25" customHeight="1">
      <c r="A30820" s="740"/>
    </row>
    <row r="30821" ht="14.25" customHeight="1">
      <c r="A30821" s="740"/>
    </row>
    <row r="30822" ht="14.25" customHeight="1">
      <c r="A30822" s="740"/>
    </row>
    <row r="30823" ht="14.25" customHeight="1">
      <c r="A30823" s="740"/>
    </row>
    <row r="30824" ht="14.25" customHeight="1">
      <c r="A30824" s="740"/>
    </row>
    <row r="30825" ht="14.25" customHeight="1">
      <c r="A30825" s="740"/>
    </row>
    <row r="30826" ht="14.25" customHeight="1">
      <c r="A30826" s="740"/>
    </row>
    <row r="30827" ht="14.25" customHeight="1">
      <c r="A30827" s="740"/>
    </row>
    <row r="30828" ht="14.25" customHeight="1">
      <c r="A30828" s="740"/>
    </row>
    <row r="30829" ht="14.25" customHeight="1">
      <c r="A30829" s="740"/>
    </row>
    <row r="30830" ht="14.25" customHeight="1">
      <c r="A30830" s="740"/>
    </row>
    <row r="30831" ht="14.25" customHeight="1">
      <c r="A30831" s="740"/>
    </row>
    <row r="30832" ht="14.25" customHeight="1">
      <c r="A30832" s="740"/>
    </row>
    <row r="30833" ht="14.25" customHeight="1">
      <c r="A30833" s="740"/>
    </row>
    <row r="30834" ht="14.25" customHeight="1">
      <c r="A30834" s="740"/>
    </row>
    <row r="30835" ht="14.25" customHeight="1">
      <c r="A30835" s="740"/>
    </row>
    <row r="30836" ht="14.25" customHeight="1">
      <c r="A30836" s="740"/>
    </row>
    <row r="30837" ht="14.25" customHeight="1">
      <c r="A30837" s="740"/>
    </row>
    <row r="30838" ht="14.25" customHeight="1">
      <c r="A30838" s="740"/>
    </row>
    <row r="30839" ht="14.25" customHeight="1">
      <c r="A30839" s="740"/>
    </row>
    <row r="30840" ht="14.25" customHeight="1">
      <c r="A30840" s="740"/>
    </row>
    <row r="30841" ht="14.25" customHeight="1">
      <c r="A30841" s="740"/>
    </row>
    <row r="30842" ht="14.25" customHeight="1">
      <c r="A30842" s="740"/>
    </row>
    <row r="30843" ht="14.25" customHeight="1">
      <c r="A30843" s="740"/>
    </row>
    <row r="30844" ht="14.25" customHeight="1">
      <c r="A30844" s="740"/>
    </row>
    <row r="30845" ht="14.25" customHeight="1">
      <c r="A30845" s="740"/>
    </row>
    <row r="30846" ht="14.25" customHeight="1">
      <c r="A30846" s="740"/>
    </row>
    <row r="30847" ht="14.25" customHeight="1">
      <c r="A30847" s="740"/>
    </row>
    <row r="30848" ht="14.25" customHeight="1">
      <c r="A30848" s="740"/>
    </row>
    <row r="30849" ht="14.25" customHeight="1">
      <c r="A30849" s="740"/>
    </row>
    <row r="30850" ht="14.25" customHeight="1">
      <c r="A30850" s="740"/>
    </row>
    <row r="30851" ht="14.25" customHeight="1">
      <c r="A30851" s="740"/>
    </row>
    <row r="30852" ht="14.25" customHeight="1">
      <c r="A30852" s="740"/>
    </row>
    <row r="30853" ht="14.25" customHeight="1">
      <c r="A30853" s="740"/>
    </row>
    <row r="30854" ht="14.25" customHeight="1">
      <c r="A30854" s="740"/>
    </row>
    <row r="30855" ht="14.25" customHeight="1">
      <c r="A30855" s="740"/>
    </row>
    <row r="30856" ht="14.25" customHeight="1">
      <c r="A30856" s="740"/>
    </row>
    <row r="30857" ht="14.25" customHeight="1">
      <c r="A30857" s="740"/>
    </row>
    <row r="30858" ht="14.25" customHeight="1">
      <c r="A30858" s="740"/>
    </row>
    <row r="30859" ht="14.25" customHeight="1">
      <c r="A30859" s="740"/>
    </row>
    <row r="30860" ht="14.25" customHeight="1">
      <c r="A30860" s="740"/>
    </row>
    <row r="30861" ht="14.25" customHeight="1">
      <c r="A30861" s="740"/>
    </row>
    <row r="30862" ht="14.25" customHeight="1">
      <c r="A30862" s="740"/>
    </row>
    <row r="30863" ht="14.25" customHeight="1">
      <c r="A30863" s="740"/>
    </row>
    <row r="30864" ht="14.25" customHeight="1">
      <c r="A30864" s="740"/>
    </row>
    <row r="30865" ht="14.25" customHeight="1">
      <c r="A30865" s="740"/>
    </row>
    <row r="30866" ht="14.25" customHeight="1">
      <c r="A30866" s="740"/>
    </row>
    <row r="30867" ht="14.25" customHeight="1">
      <c r="A30867" s="740"/>
    </row>
    <row r="30868" ht="14.25" customHeight="1">
      <c r="A30868" s="740"/>
    </row>
    <row r="30869" ht="14.25" customHeight="1">
      <c r="A30869" s="740"/>
    </row>
    <row r="30870" ht="14.25" customHeight="1">
      <c r="A30870" s="740"/>
    </row>
    <row r="30871" ht="14.25" customHeight="1">
      <c r="A30871" s="740"/>
    </row>
    <row r="30872" ht="14.25" customHeight="1">
      <c r="A30872" s="740"/>
    </row>
    <row r="30873" ht="14.25" customHeight="1">
      <c r="A30873" s="740"/>
    </row>
    <row r="30874" ht="14.25" customHeight="1">
      <c r="A30874" s="740"/>
    </row>
    <row r="30875" ht="14.25" customHeight="1">
      <c r="A30875" s="740"/>
    </row>
    <row r="30876" ht="14.25" customHeight="1">
      <c r="A30876" s="740"/>
    </row>
    <row r="30877" ht="14.25" customHeight="1">
      <c r="A30877" s="740"/>
    </row>
    <row r="30878" ht="14.25" customHeight="1">
      <c r="A30878" s="740"/>
    </row>
    <row r="30879" ht="14.25" customHeight="1">
      <c r="A30879" s="740"/>
    </row>
    <row r="30880" ht="14.25" customHeight="1">
      <c r="A30880" s="740"/>
    </row>
    <row r="30881" ht="14.25" customHeight="1">
      <c r="A30881" s="740"/>
    </row>
    <row r="30882" ht="14.25" customHeight="1">
      <c r="A30882" s="740"/>
    </row>
    <row r="30883" ht="14.25" customHeight="1">
      <c r="A30883" s="740"/>
    </row>
    <row r="30884" ht="14.25" customHeight="1">
      <c r="A30884" s="740"/>
    </row>
    <row r="30885" ht="14.25" customHeight="1">
      <c r="A30885" s="740"/>
    </row>
    <row r="30886" ht="14.25" customHeight="1">
      <c r="A30886" s="740"/>
    </row>
    <row r="30887" ht="14.25" customHeight="1">
      <c r="A30887" s="740"/>
    </row>
    <row r="30888" ht="14.25" customHeight="1">
      <c r="A30888" s="740"/>
    </row>
    <row r="30889" ht="14.25" customHeight="1">
      <c r="A30889" s="740"/>
    </row>
    <row r="30890" ht="14.25" customHeight="1">
      <c r="A30890" s="740"/>
    </row>
    <row r="30891" ht="14.25" customHeight="1">
      <c r="A30891" s="740"/>
    </row>
    <row r="30892" ht="14.25" customHeight="1">
      <c r="A30892" s="740"/>
    </row>
    <row r="30893" ht="14.25" customHeight="1">
      <c r="A30893" s="740"/>
    </row>
    <row r="30894" ht="14.25" customHeight="1">
      <c r="A30894" s="740"/>
    </row>
    <row r="30895" ht="14.25" customHeight="1">
      <c r="A30895" s="740"/>
    </row>
    <row r="30896" ht="14.25" customHeight="1">
      <c r="A30896" s="740"/>
    </row>
    <row r="30897" ht="14.25" customHeight="1">
      <c r="A30897" s="740"/>
    </row>
    <row r="30898" ht="14.25" customHeight="1">
      <c r="A30898" s="740"/>
    </row>
    <row r="30899" ht="14.25" customHeight="1">
      <c r="A30899" s="740"/>
    </row>
    <row r="30900" ht="14.25" customHeight="1">
      <c r="A30900" s="740"/>
    </row>
    <row r="30901" ht="14.25" customHeight="1">
      <c r="A30901" s="740"/>
    </row>
    <row r="30902" ht="14.25" customHeight="1">
      <c r="A30902" s="740"/>
    </row>
    <row r="30903" ht="14.25" customHeight="1">
      <c r="A30903" s="740"/>
    </row>
    <row r="30904" ht="14.25" customHeight="1">
      <c r="A30904" s="740"/>
    </row>
    <row r="30905" ht="14.25" customHeight="1">
      <c r="A30905" s="740"/>
    </row>
    <row r="30906" ht="14.25" customHeight="1">
      <c r="A30906" s="740"/>
    </row>
    <row r="30907" ht="14.25" customHeight="1">
      <c r="A30907" s="740"/>
    </row>
    <row r="30908" ht="14.25" customHeight="1">
      <c r="A30908" s="740"/>
    </row>
    <row r="30909" ht="14.25" customHeight="1">
      <c r="A30909" s="740"/>
    </row>
    <row r="30910" ht="14.25" customHeight="1">
      <c r="A30910" s="740"/>
    </row>
    <row r="30911" ht="14.25" customHeight="1">
      <c r="A30911" s="740"/>
    </row>
    <row r="30912" ht="14.25" customHeight="1">
      <c r="A30912" s="740"/>
    </row>
    <row r="30913" ht="14.25" customHeight="1">
      <c r="A30913" s="740"/>
    </row>
    <row r="30914" ht="14.25" customHeight="1">
      <c r="A30914" s="740"/>
    </row>
    <row r="30915" ht="14.25" customHeight="1">
      <c r="A30915" s="740"/>
    </row>
    <row r="30916" ht="14.25" customHeight="1">
      <c r="A30916" s="740"/>
    </row>
    <row r="30917" ht="14.25" customHeight="1">
      <c r="A30917" s="740"/>
    </row>
    <row r="30918" ht="14.25" customHeight="1">
      <c r="A30918" s="740"/>
    </row>
    <row r="30919" ht="14.25" customHeight="1">
      <c r="A30919" s="740"/>
    </row>
    <row r="30920" ht="14.25" customHeight="1">
      <c r="A30920" s="740"/>
    </row>
    <row r="30921" ht="14.25" customHeight="1">
      <c r="A30921" s="740"/>
    </row>
    <row r="30922" ht="14.25" customHeight="1">
      <c r="A30922" s="740"/>
    </row>
    <row r="30923" ht="14.25" customHeight="1">
      <c r="A30923" s="740"/>
    </row>
    <row r="30924" ht="14.25" customHeight="1">
      <c r="A30924" s="740"/>
    </row>
    <row r="30925" ht="14.25" customHeight="1">
      <c r="A30925" s="740"/>
    </row>
    <row r="30926" ht="14.25" customHeight="1">
      <c r="A30926" s="740"/>
    </row>
    <row r="30927" ht="14.25" customHeight="1">
      <c r="A30927" s="740"/>
    </row>
    <row r="30928" ht="14.25" customHeight="1">
      <c r="A30928" s="740"/>
    </row>
    <row r="30929" ht="14.25" customHeight="1">
      <c r="A30929" s="740"/>
    </row>
    <row r="30930" ht="14.25" customHeight="1">
      <c r="A30930" s="740"/>
    </row>
    <row r="30931" ht="14.25" customHeight="1">
      <c r="A30931" s="740"/>
    </row>
    <row r="30932" ht="14.25" customHeight="1">
      <c r="A30932" s="740"/>
    </row>
    <row r="30933" ht="14.25" customHeight="1">
      <c r="A30933" s="740"/>
    </row>
    <row r="30934" ht="14.25" customHeight="1">
      <c r="A30934" s="740"/>
    </row>
    <row r="30935" ht="14.25" customHeight="1">
      <c r="A30935" s="740"/>
    </row>
    <row r="30936" ht="14.25" customHeight="1">
      <c r="A30936" s="740"/>
    </row>
    <row r="30937" ht="14.25" customHeight="1">
      <c r="A30937" s="740"/>
    </row>
    <row r="30938" ht="14.25" customHeight="1">
      <c r="A30938" s="740"/>
    </row>
    <row r="30939" ht="14.25" customHeight="1">
      <c r="A30939" s="740"/>
    </row>
    <row r="30940" ht="14.25" customHeight="1">
      <c r="A30940" s="740"/>
    </row>
    <row r="30941" ht="14.25" customHeight="1">
      <c r="A30941" s="740"/>
    </row>
    <row r="30942" ht="14.25" customHeight="1">
      <c r="A30942" s="740"/>
    </row>
    <row r="30943" ht="14.25" customHeight="1">
      <c r="A30943" s="740"/>
    </row>
    <row r="30944" ht="14.25" customHeight="1">
      <c r="A30944" s="740"/>
    </row>
    <row r="30945" ht="14.25" customHeight="1">
      <c r="A30945" s="740"/>
    </row>
    <row r="30946" ht="14.25" customHeight="1">
      <c r="A30946" s="740"/>
    </row>
    <row r="30947" ht="14.25" customHeight="1">
      <c r="A30947" s="740"/>
    </row>
    <row r="30948" ht="14.25" customHeight="1">
      <c r="A30948" s="740"/>
    </row>
    <row r="30949" ht="14.25" customHeight="1">
      <c r="A30949" s="740"/>
    </row>
    <row r="30950" ht="14.25" customHeight="1">
      <c r="A30950" s="740"/>
    </row>
    <row r="30951" ht="14.25" customHeight="1">
      <c r="A30951" s="740"/>
    </row>
    <row r="30952" ht="14.25" customHeight="1">
      <c r="A30952" s="740"/>
    </row>
    <row r="30953" ht="14.25" customHeight="1">
      <c r="A30953" s="740"/>
    </row>
    <row r="30954" ht="14.25" customHeight="1">
      <c r="A30954" s="740"/>
    </row>
    <row r="30955" ht="14.25" customHeight="1">
      <c r="A30955" s="740"/>
    </row>
    <row r="30956" ht="14.25" customHeight="1">
      <c r="A30956" s="740"/>
    </row>
    <row r="30957" ht="14.25" customHeight="1">
      <c r="A30957" s="740"/>
    </row>
    <row r="30958" ht="14.25" customHeight="1">
      <c r="A30958" s="740"/>
    </row>
    <row r="30959" ht="14.25" customHeight="1">
      <c r="A30959" s="740"/>
    </row>
    <row r="30960" ht="14.25" customHeight="1">
      <c r="A30960" s="740"/>
    </row>
    <row r="30961" ht="14.25" customHeight="1">
      <c r="A30961" s="740"/>
    </row>
    <row r="30962" ht="14.25" customHeight="1">
      <c r="A30962" s="740"/>
    </row>
    <row r="30963" ht="14.25" customHeight="1">
      <c r="A30963" s="740"/>
    </row>
    <row r="30964" ht="14.25" customHeight="1">
      <c r="A30964" s="740"/>
    </row>
    <row r="30965" ht="14.25" customHeight="1">
      <c r="A30965" s="740"/>
    </row>
    <row r="30966" ht="14.25" customHeight="1">
      <c r="A30966" s="740"/>
    </row>
    <row r="30967" ht="14.25" customHeight="1">
      <c r="A30967" s="740"/>
    </row>
    <row r="30968" ht="14.25" customHeight="1">
      <c r="A30968" s="740"/>
    </row>
    <row r="30969" ht="14.25" customHeight="1">
      <c r="A30969" s="740"/>
    </row>
    <row r="30970" ht="14.25" customHeight="1">
      <c r="A30970" s="740"/>
    </row>
    <row r="30971" ht="14.25" customHeight="1">
      <c r="A30971" s="740"/>
    </row>
    <row r="30972" ht="14.25" customHeight="1">
      <c r="A30972" s="740"/>
    </row>
    <row r="30973" ht="14.25" customHeight="1">
      <c r="A30973" s="740"/>
    </row>
    <row r="30974" ht="14.25" customHeight="1">
      <c r="A30974" s="740"/>
    </row>
    <row r="30975" ht="14.25" customHeight="1">
      <c r="A30975" s="740"/>
    </row>
    <row r="30976" ht="14.25" customHeight="1">
      <c r="A30976" s="740"/>
    </row>
    <row r="30977" ht="14.25" customHeight="1">
      <c r="A30977" s="740"/>
    </row>
    <row r="30978" ht="14.25" customHeight="1">
      <c r="A30978" s="740"/>
    </row>
    <row r="30979" ht="14.25" customHeight="1">
      <c r="A30979" s="740"/>
    </row>
    <row r="30980" ht="14.25" customHeight="1">
      <c r="A30980" s="740"/>
    </row>
    <row r="30981" ht="14.25" customHeight="1">
      <c r="A30981" s="740"/>
    </row>
    <row r="30982" ht="14.25" customHeight="1">
      <c r="A30982" s="740"/>
    </row>
    <row r="30983" ht="14.25" customHeight="1">
      <c r="A30983" s="740"/>
    </row>
    <row r="30984" ht="14.25" customHeight="1">
      <c r="A30984" s="740"/>
    </row>
    <row r="30985" ht="14.25" customHeight="1">
      <c r="A30985" s="740"/>
    </row>
    <row r="30986" ht="14.25" customHeight="1">
      <c r="A30986" s="740"/>
    </row>
    <row r="30987" ht="14.25" customHeight="1">
      <c r="A30987" s="740"/>
    </row>
    <row r="30988" ht="14.25" customHeight="1">
      <c r="A30988" s="740"/>
    </row>
    <row r="30989" ht="14.25" customHeight="1">
      <c r="A30989" s="740"/>
    </row>
    <row r="30990" ht="14.25" customHeight="1">
      <c r="A30990" s="740"/>
    </row>
    <row r="30991" ht="14.25" customHeight="1">
      <c r="A30991" s="740"/>
    </row>
    <row r="30992" ht="14.25" customHeight="1">
      <c r="A30992" s="740"/>
    </row>
    <row r="30993" ht="14.25" customHeight="1">
      <c r="A30993" s="740"/>
    </row>
    <row r="30994" ht="14.25" customHeight="1">
      <c r="A30994" s="740"/>
    </row>
    <row r="30995" ht="14.25" customHeight="1">
      <c r="A30995" s="740"/>
    </row>
    <row r="30996" ht="14.25" customHeight="1">
      <c r="A30996" s="740"/>
    </row>
    <row r="30997" ht="14.25" customHeight="1">
      <c r="A30997" s="740"/>
    </row>
    <row r="30998" ht="14.25" customHeight="1">
      <c r="A30998" s="740"/>
    </row>
    <row r="30999" ht="14.25" customHeight="1">
      <c r="A30999" s="740"/>
    </row>
    <row r="31000" ht="14.25" customHeight="1">
      <c r="A31000" s="740"/>
    </row>
    <row r="31001" ht="14.25" customHeight="1">
      <c r="A31001" s="740"/>
    </row>
    <row r="31002" ht="14.25" customHeight="1">
      <c r="A31002" s="740"/>
    </row>
    <row r="31003" ht="14.25" customHeight="1">
      <c r="A31003" s="740"/>
    </row>
    <row r="31004" ht="14.25" customHeight="1">
      <c r="A31004" s="740"/>
    </row>
    <row r="31005" ht="14.25" customHeight="1">
      <c r="A31005" s="740"/>
    </row>
    <row r="31006" ht="14.25" customHeight="1">
      <c r="A31006" s="740"/>
    </row>
    <row r="31007" ht="14.25" customHeight="1">
      <c r="A31007" s="740"/>
    </row>
    <row r="31008" ht="14.25" customHeight="1">
      <c r="A31008" s="740"/>
    </row>
    <row r="31009" ht="14.25" customHeight="1">
      <c r="A31009" s="740"/>
    </row>
    <row r="31010" ht="14.25" customHeight="1">
      <c r="A31010" s="740"/>
    </row>
    <row r="31011" ht="14.25" customHeight="1">
      <c r="A31011" s="740"/>
    </row>
    <row r="31012" ht="14.25" customHeight="1">
      <c r="A31012" s="740"/>
    </row>
    <row r="31013" ht="14.25" customHeight="1">
      <c r="A31013" s="740"/>
    </row>
    <row r="31014" ht="14.25" customHeight="1">
      <c r="A31014" s="740"/>
    </row>
    <row r="31015" ht="14.25" customHeight="1">
      <c r="A31015" s="740"/>
    </row>
    <row r="31016" ht="14.25" customHeight="1">
      <c r="A31016" s="740"/>
    </row>
    <row r="31017" ht="14.25" customHeight="1">
      <c r="A31017" s="740"/>
    </row>
    <row r="31018" ht="14.25" customHeight="1">
      <c r="A31018" s="740"/>
    </row>
    <row r="31019" ht="14.25" customHeight="1">
      <c r="A31019" s="740"/>
    </row>
    <row r="31020" ht="14.25" customHeight="1">
      <c r="A31020" s="740"/>
    </row>
    <row r="31021" ht="14.25" customHeight="1">
      <c r="A31021" s="740"/>
    </row>
    <row r="31022" ht="14.25" customHeight="1">
      <c r="A31022" s="740"/>
    </row>
    <row r="31023" ht="14.25" customHeight="1">
      <c r="A31023" s="740"/>
    </row>
    <row r="31024" ht="14.25" customHeight="1">
      <c r="A31024" s="740"/>
    </row>
    <row r="31025" ht="14.25" customHeight="1">
      <c r="A31025" s="740"/>
    </row>
    <row r="31026" ht="14.25" customHeight="1">
      <c r="A31026" s="740"/>
    </row>
    <row r="31027" ht="14.25" customHeight="1">
      <c r="A31027" s="740"/>
    </row>
    <row r="31028" ht="14.25" customHeight="1">
      <c r="A31028" s="740"/>
    </row>
    <row r="31029" ht="14.25" customHeight="1">
      <c r="A31029" s="740"/>
    </row>
    <row r="31030" ht="14.25" customHeight="1">
      <c r="A31030" s="740"/>
    </row>
    <row r="31031" ht="14.25" customHeight="1">
      <c r="A31031" s="740"/>
    </row>
    <row r="31032" ht="14.25" customHeight="1">
      <c r="A31032" s="740"/>
    </row>
    <row r="31033" ht="14.25" customHeight="1">
      <c r="A31033" s="740"/>
    </row>
    <row r="31034" ht="14.25" customHeight="1">
      <c r="A31034" s="740"/>
    </row>
    <row r="31035" ht="14.25" customHeight="1">
      <c r="A31035" s="740"/>
    </row>
    <row r="31036" ht="14.25" customHeight="1">
      <c r="A31036" s="740"/>
    </row>
    <row r="31037" ht="14.25" customHeight="1">
      <c r="A31037" s="740"/>
    </row>
    <row r="31038" ht="14.25" customHeight="1">
      <c r="A31038" s="740"/>
    </row>
    <row r="31039" ht="14.25" customHeight="1">
      <c r="A31039" s="740"/>
    </row>
    <row r="31040" ht="14.25" customHeight="1">
      <c r="A31040" s="740"/>
    </row>
    <row r="31041" ht="14.25" customHeight="1">
      <c r="A31041" s="740"/>
    </row>
    <row r="31042" ht="14.25" customHeight="1">
      <c r="A31042" s="740"/>
    </row>
    <row r="31043" ht="14.25" customHeight="1">
      <c r="A31043" s="740"/>
    </row>
    <row r="31044" ht="14.25" customHeight="1">
      <c r="A31044" s="740"/>
    </row>
    <row r="31045" ht="14.25" customHeight="1">
      <c r="A31045" s="740"/>
    </row>
    <row r="31046" ht="14.25" customHeight="1">
      <c r="A31046" s="740"/>
    </row>
    <row r="31047" ht="14.25" customHeight="1">
      <c r="A31047" s="740"/>
    </row>
    <row r="31048" ht="14.25" customHeight="1">
      <c r="A31048" s="740"/>
    </row>
    <row r="31049" ht="14.25" customHeight="1">
      <c r="A31049" s="740"/>
    </row>
    <row r="31050" ht="14.25" customHeight="1">
      <c r="A31050" s="740"/>
    </row>
    <row r="31051" ht="14.25" customHeight="1">
      <c r="A31051" s="740"/>
    </row>
    <row r="31052" ht="14.25" customHeight="1">
      <c r="A31052" s="740"/>
    </row>
    <row r="31053" ht="14.25" customHeight="1">
      <c r="A31053" s="740"/>
    </row>
    <row r="31054" ht="14.25" customHeight="1">
      <c r="A31054" s="740"/>
    </row>
    <row r="31055" ht="14.25" customHeight="1">
      <c r="A31055" s="740"/>
    </row>
    <row r="31056" ht="14.25" customHeight="1">
      <c r="A31056" s="740"/>
    </row>
    <row r="31057" ht="14.25" customHeight="1">
      <c r="A31057" s="740"/>
    </row>
    <row r="31058" ht="14.25" customHeight="1">
      <c r="A31058" s="740"/>
    </row>
    <row r="31059" ht="14.25" customHeight="1">
      <c r="A31059" s="740"/>
    </row>
    <row r="31060" ht="14.25" customHeight="1">
      <c r="A31060" s="740"/>
    </row>
    <row r="31061" ht="14.25" customHeight="1">
      <c r="A31061" s="740"/>
    </row>
    <row r="31062" ht="14.25" customHeight="1">
      <c r="A31062" s="740"/>
    </row>
    <row r="31063" ht="14.25" customHeight="1">
      <c r="A31063" s="740"/>
    </row>
    <row r="31064" ht="14.25" customHeight="1">
      <c r="A31064" s="740"/>
    </row>
    <row r="31065" ht="14.25" customHeight="1">
      <c r="A31065" s="740"/>
    </row>
    <row r="31066" ht="14.25" customHeight="1">
      <c r="A31066" s="740"/>
    </row>
    <row r="31067" ht="14.25" customHeight="1">
      <c r="A31067" s="740"/>
    </row>
    <row r="31068" ht="14.25" customHeight="1">
      <c r="A31068" s="740"/>
    </row>
    <row r="31069" ht="14.25" customHeight="1">
      <c r="A31069" s="740"/>
    </row>
    <row r="31070" ht="14.25" customHeight="1">
      <c r="A31070" s="740"/>
    </row>
    <row r="31071" ht="14.25" customHeight="1">
      <c r="A31071" s="740"/>
    </row>
    <row r="31072" ht="14.25" customHeight="1">
      <c r="A31072" s="740"/>
    </row>
    <row r="31073" ht="14.25" customHeight="1">
      <c r="A31073" s="740"/>
    </row>
    <row r="31074" ht="14.25" customHeight="1">
      <c r="A31074" s="740"/>
    </row>
    <row r="31075" ht="14.25" customHeight="1">
      <c r="A31075" s="740"/>
    </row>
    <row r="31076" ht="14.25" customHeight="1">
      <c r="A31076" s="740"/>
    </row>
    <row r="31077" ht="14.25" customHeight="1">
      <c r="A31077" s="740"/>
    </row>
    <row r="31078" ht="14.25" customHeight="1">
      <c r="A31078" s="740"/>
    </row>
    <row r="31079" ht="14.25" customHeight="1">
      <c r="A31079" s="740"/>
    </row>
    <row r="31080" ht="14.25" customHeight="1">
      <c r="A31080" s="740"/>
    </row>
    <row r="31081" ht="14.25" customHeight="1">
      <c r="A31081" s="740"/>
    </row>
    <row r="31082" ht="14.25" customHeight="1">
      <c r="A31082" s="740"/>
    </row>
    <row r="31083" ht="14.25" customHeight="1">
      <c r="A31083" s="740"/>
    </row>
    <row r="31084" ht="14.25" customHeight="1">
      <c r="A31084" s="740"/>
    </row>
    <row r="31085" ht="14.25" customHeight="1">
      <c r="A31085" s="740"/>
    </row>
    <row r="31086" ht="14.25" customHeight="1">
      <c r="A31086" s="740"/>
    </row>
    <row r="31087" ht="14.25" customHeight="1">
      <c r="A31087" s="740"/>
    </row>
    <row r="31088" ht="14.25" customHeight="1">
      <c r="A31088" s="740"/>
    </row>
    <row r="31089" ht="14.25" customHeight="1">
      <c r="A31089" s="740"/>
    </row>
    <row r="31090" ht="14.25" customHeight="1">
      <c r="A31090" s="740"/>
    </row>
    <row r="31091" ht="14.25" customHeight="1">
      <c r="A31091" s="740"/>
    </row>
    <row r="31092" ht="14.25" customHeight="1">
      <c r="A31092" s="740"/>
    </row>
    <row r="31093" ht="14.25" customHeight="1">
      <c r="A31093" s="740"/>
    </row>
    <row r="31094" ht="14.25" customHeight="1">
      <c r="A31094" s="740"/>
    </row>
    <row r="31095" ht="14.25" customHeight="1">
      <c r="A31095" s="740"/>
    </row>
    <row r="31096" ht="14.25" customHeight="1">
      <c r="A31096" s="740"/>
    </row>
    <row r="31097" ht="14.25" customHeight="1">
      <c r="A31097" s="740"/>
    </row>
    <row r="31098" ht="14.25" customHeight="1">
      <c r="A31098" s="740"/>
    </row>
    <row r="31099" ht="14.25" customHeight="1">
      <c r="A31099" s="740"/>
    </row>
    <row r="31100" ht="14.25" customHeight="1">
      <c r="A31100" s="740"/>
    </row>
    <row r="31101" ht="14.25" customHeight="1">
      <c r="A31101" s="740"/>
    </row>
    <row r="31102" ht="14.25" customHeight="1">
      <c r="A31102" s="740"/>
    </row>
    <row r="31103" ht="14.25" customHeight="1">
      <c r="A31103" s="740"/>
    </row>
    <row r="31104" ht="14.25" customHeight="1">
      <c r="A31104" s="740"/>
    </row>
    <row r="31105" ht="14.25" customHeight="1">
      <c r="A31105" s="740"/>
    </row>
    <row r="31106" ht="14.25" customHeight="1">
      <c r="A31106" s="740"/>
    </row>
    <row r="31107" ht="14.25" customHeight="1">
      <c r="A31107" s="740"/>
    </row>
    <row r="31108" ht="14.25" customHeight="1">
      <c r="A31108" s="740"/>
    </row>
    <row r="31109" ht="14.25" customHeight="1">
      <c r="A31109" s="740"/>
    </row>
    <row r="31110" ht="14.25" customHeight="1">
      <c r="A31110" s="740"/>
    </row>
    <row r="31111" ht="14.25" customHeight="1">
      <c r="A31111" s="740"/>
    </row>
    <row r="31112" ht="14.25" customHeight="1">
      <c r="A31112" s="740"/>
    </row>
    <row r="31113" ht="14.25" customHeight="1">
      <c r="A31113" s="740"/>
    </row>
    <row r="31114" ht="14.25" customHeight="1">
      <c r="A31114" s="740"/>
    </row>
    <row r="31115" ht="14.25" customHeight="1">
      <c r="A31115" s="740"/>
    </row>
    <row r="31116" ht="14.25" customHeight="1">
      <c r="A31116" s="740"/>
    </row>
    <row r="31117" ht="14.25" customHeight="1">
      <c r="A31117" s="740"/>
    </row>
    <row r="31118" ht="14.25" customHeight="1">
      <c r="A31118" s="740"/>
    </row>
    <row r="31119" ht="14.25" customHeight="1">
      <c r="A31119" s="740"/>
    </row>
    <row r="31120" ht="14.25" customHeight="1">
      <c r="A31120" s="740"/>
    </row>
    <row r="31121" ht="14.25" customHeight="1">
      <c r="A31121" s="740"/>
    </row>
    <row r="31122" ht="14.25" customHeight="1">
      <c r="A31122" s="740"/>
    </row>
    <row r="31123" ht="14.25" customHeight="1">
      <c r="A31123" s="740"/>
    </row>
    <row r="31124" ht="14.25" customHeight="1">
      <c r="A31124" s="740"/>
    </row>
    <row r="31125" ht="14.25" customHeight="1">
      <c r="A31125" s="740"/>
    </row>
    <row r="31126" ht="14.25" customHeight="1">
      <c r="A31126" s="740"/>
    </row>
    <row r="31127" ht="14.25" customHeight="1">
      <c r="A31127" s="740"/>
    </row>
    <row r="31128" ht="14.25" customHeight="1">
      <c r="A31128" s="740"/>
    </row>
    <row r="31129" ht="14.25" customHeight="1">
      <c r="A31129" s="740"/>
    </row>
    <row r="31130" ht="14.25" customHeight="1">
      <c r="A31130" s="740"/>
    </row>
    <row r="31131" ht="14.25" customHeight="1">
      <c r="A31131" s="740"/>
    </row>
    <row r="31132" ht="14.25" customHeight="1">
      <c r="A31132" s="740"/>
    </row>
    <row r="31133" ht="14.25" customHeight="1">
      <c r="A31133" s="740"/>
    </row>
    <row r="31134" ht="14.25" customHeight="1">
      <c r="A31134" s="740"/>
    </row>
    <row r="31135" ht="14.25" customHeight="1">
      <c r="A31135" s="740"/>
    </row>
    <row r="31136" ht="14.25" customHeight="1">
      <c r="A31136" s="740"/>
    </row>
    <row r="31137" ht="14.25" customHeight="1">
      <c r="A31137" s="740"/>
    </row>
    <row r="31138" ht="14.25" customHeight="1">
      <c r="A31138" s="740"/>
    </row>
    <row r="31139" ht="14.25" customHeight="1">
      <c r="A31139" s="740"/>
    </row>
    <row r="31140" ht="14.25" customHeight="1">
      <c r="A31140" s="740"/>
    </row>
    <row r="31141" ht="14.25" customHeight="1">
      <c r="A31141" s="740"/>
    </row>
    <row r="31142" ht="14.25" customHeight="1">
      <c r="A31142" s="740"/>
    </row>
    <row r="31143" ht="14.25" customHeight="1">
      <c r="A31143" s="740"/>
    </row>
    <row r="31144" ht="14.25" customHeight="1">
      <c r="A31144" s="740"/>
    </row>
    <row r="31145" ht="14.25" customHeight="1">
      <c r="A31145" s="740"/>
    </row>
    <row r="31146" ht="14.25" customHeight="1">
      <c r="A31146" s="740"/>
    </row>
    <row r="31147" ht="14.25" customHeight="1">
      <c r="A31147" s="740"/>
    </row>
    <row r="31148" ht="14.25" customHeight="1">
      <c r="A31148" s="740"/>
    </row>
    <row r="31149" ht="14.25" customHeight="1">
      <c r="A31149" s="740"/>
    </row>
    <row r="31150" ht="14.25" customHeight="1">
      <c r="A31150" s="740"/>
    </row>
    <row r="31151" ht="14.25" customHeight="1">
      <c r="A31151" s="740"/>
    </row>
    <row r="31152" ht="14.25" customHeight="1">
      <c r="A31152" s="740"/>
    </row>
    <row r="31153" ht="14.25" customHeight="1">
      <c r="A31153" s="740"/>
    </row>
    <row r="31154" ht="14.25" customHeight="1">
      <c r="A31154" s="740"/>
    </row>
    <row r="31155" ht="14.25" customHeight="1">
      <c r="A31155" s="740"/>
    </row>
    <row r="31156" ht="14.25" customHeight="1">
      <c r="A31156" s="740"/>
    </row>
    <row r="31157" ht="14.25" customHeight="1">
      <c r="A31157" s="740"/>
    </row>
    <row r="31158" ht="14.25" customHeight="1">
      <c r="A31158" s="740"/>
    </row>
    <row r="31159" ht="14.25" customHeight="1">
      <c r="A31159" s="740"/>
    </row>
    <row r="31160" ht="14.25" customHeight="1">
      <c r="A31160" s="740"/>
    </row>
    <row r="31161" ht="14.25" customHeight="1">
      <c r="A31161" s="740"/>
    </row>
    <row r="31162" ht="14.25" customHeight="1">
      <c r="A31162" s="740"/>
    </row>
    <row r="31163" ht="14.25" customHeight="1">
      <c r="A31163" s="740"/>
    </row>
    <row r="31164" ht="14.25" customHeight="1">
      <c r="A31164" s="740"/>
    </row>
    <row r="31165" ht="14.25" customHeight="1">
      <c r="A31165" s="740"/>
    </row>
    <row r="31166" ht="14.25" customHeight="1">
      <c r="A31166" s="740"/>
    </row>
    <row r="31167" ht="14.25" customHeight="1">
      <c r="A31167" s="740"/>
    </row>
    <row r="31168" ht="14.25" customHeight="1">
      <c r="A31168" s="740"/>
    </row>
    <row r="31169" ht="14.25" customHeight="1">
      <c r="A31169" s="740"/>
    </row>
    <row r="31170" ht="14.25" customHeight="1">
      <c r="A31170" s="740"/>
    </row>
    <row r="31171" ht="14.25" customHeight="1">
      <c r="A31171" s="740"/>
    </row>
    <row r="31172" ht="14.25" customHeight="1">
      <c r="A31172" s="740"/>
    </row>
    <row r="31173" ht="14.25" customHeight="1">
      <c r="A31173" s="740"/>
    </row>
    <row r="31174" ht="14.25" customHeight="1">
      <c r="A31174" s="740"/>
    </row>
    <row r="31175" ht="14.25" customHeight="1">
      <c r="A31175" s="740"/>
    </row>
    <row r="31176" ht="14.25" customHeight="1">
      <c r="A31176" s="740"/>
    </row>
    <row r="31177" ht="14.25" customHeight="1">
      <c r="A31177" s="740"/>
    </row>
    <row r="31178" ht="14.25" customHeight="1">
      <c r="A31178" s="740"/>
    </row>
    <row r="31179" ht="14.25" customHeight="1">
      <c r="A31179" s="740"/>
    </row>
    <row r="31180" ht="14.25" customHeight="1">
      <c r="A31180" s="740"/>
    </row>
    <row r="31181" ht="14.25" customHeight="1">
      <c r="A31181" s="740"/>
    </row>
    <row r="31182" ht="14.25" customHeight="1">
      <c r="A31182" s="740"/>
    </row>
    <row r="31183" ht="14.25" customHeight="1">
      <c r="A31183" s="740"/>
    </row>
    <row r="31184" ht="14.25" customHeight="1">
      <c r="A31184" s="740"/>
    </row>
    <row r="31185" ht="14.25" customHeight="1">
      <c r="A31185" s="740"/>
    </row>
    <row r="31186" ht="14.25" customHeight="1">
      <c r="A31186" s="740"/>
    </row>
    <row r="31187" ht="14.25" customHeight="1">
      <c r="A31187" s="740"/>
    </row>
    <row r="31188" ht="14.25" customHeight="1">
      <c r="A31188" s="740"/>
    </row>
    <row r="31189" ht="14.25" customHeight="1">
      <c r="A31189" s="740"/>
    </row>
    <row r="31190" ht="14.25" customHeight="1">
      <c r="A31190" s="740"/>
    </row>
    <row r="31191" ht="14.25" customHeight="1">
      <c r="A31191" s="740"/>
    </row>
    <row r="31192" ht="14.25" customHeight="1">
      <c r="A31192" s="740"/>
    </row>
    <row r="31193" ht="14.25" customHeight="1">
      <c r="A31193" s="740"/>
    </row>
    <row r="31194" ht="14.25" customHeight="1">
      <c r="A31194" s="740"/>
    </row>
    <row r="31195" ht="14.25" customHeight="1">
      <c r="A31195" s="740"/>
    </row>
    <row r="31196" ht="14.25" customHeight="1">
      <c r="A31196" s="740"/>
    </row>
    <row r="31197" ht="14.25" customHeight="1">
      <c r="A31197" s="740"/>
    </row>
    <row r="31198" ht="14.25" customHeight="1">
      <c r="A31198" s="740"/>
    </row>
    <row r="31199" ht="14.25" customHeight="1">
      <c r="A31199" s="740"/>
    </row>
    <row r="31200" ht="14.25" customHeight="1">
      <c r="A31200" s="740"/>
    </row>
    <row r="31201" ht="14.25" customHeight="1">
      <c r="A31201" s="740"/>
    </row>
    <row r="31202" ht="14.25" customHeight="1">
      <c r="A31202" s="740"/>
    </row>
    <row r="31203" ht="14.25" customHeight="1">
      <c r="A31203" s="740"/>
    </row>
    <row r="31204" ht="14.25" customHeight="1">
      <c r="A31204" s="740"/>
    </row>
    <row r="31205" ht="14.25" customHeight="1">
      <c r="A31205" s="740"/>
    </row>
    <row r="31206" ht="14.25" customHeight="1">
      <c r="A31206" s="740"/>
    </row>
    <row r="31207" ht="14.25" customHeight="1">
      <c r="A31207" s="740"/>
    </row>
    <row r="31208" ht="14.25" customHeight="1">
      <c r="A31208" s="740"/>
    </row>
    <row r="31209" ht="14.25" customHeight="1">
      <c r="A31209" s="740"/>
    </row>
    <row r="31210" ht="14.25" customHeight="1">
      <c r="A31210" s="740"/>
    </row>
    <row r="31211" ht="14.25" customHeight="1">
      <c r="A31211" s="740"/>
    </row>
    <row r="31212" ht="14.25" customHeight="1">
      <c r="A31212" s="740"/>
    </row>
    <row r="31213" ht="14.25" customHeight="1">
      <c r="A31213" s="740"/>
    </row>
    <row r="31214" ht="14.25" customHeight="1">
      <c r="A31214" s="740"/>
    </row>
    <row r="31215" ht="14.25" customHeight="1">
      <c r="A31215" s="740"/>
    </row>
    <row r="31216" ht="14.25" customHeight="1">
      <c r="A31216" s="740"/>
    </row>
    <row r="31217" ht="14.25" customHeight="1">
      <c r="A31217" s="740"/>
    </row>
    <row r="31218" ht="14.25" customHeight="1">
      <c r="A31218" s="740"/>
    </row>
    <row r="31219" ht="14.25" customHeight="1">
      <c r="A31219" s="740"/>
    </row>
    <row r="31220" ht="14.25" customHeight="1">
      <c r="A31220" s="740"/>
    </row>
    <row r="31221" ht="14.25" customHeight="1">
      <c r="A31221" s="740"/>
    </row>
    <row r="31222" ht="14.25" customHeight="1">
      <c r="A31222" s="740"/>
    </row>
    <row r="31223" ht="14.25" customHeight="1">
      <c r="A31223" s="740"/>
    </row>
    <row r="31224" ht="14.25" customHeight="1">
      <c r="A31224" s="740"/>
    </row>
    <row r="31225" ht="14.25" customHeight="1">
      <c r="A31225" s="740"/>
    </row>
    <row r="31226" ht="14.25" customHeight="1">
      <c r="A31226" s="740"/>
    </row>
    <row r="31227" ht="14.25" customHeight="1">
      <c r="A31227" s="740"/>
    </row>
    <row r="31228" ht="14.25" customHeight="1">
      <c r="A31228" s="740"/>
    </row>
    <row r="31229" ht="14.25" customHeight="1">
      <c r="A31229" s="740"/>
    </row>
    <row r="31230" ht="14.25" customHeight="1">
      <c r="A31230" s="740"/>
    </row>
    <row r="31231" ht="14.25" customHeight="1">
      <c r="A31231" s="740"/>
    </row>
    <row r="31232" ht="14.25" customHeight="1">
      <c r="A31232" s="740"/>
    </row>
    <row r="31233" ht="14.25" customHeight="1">
      <c r="A31233" s="740"/>
    </row>
    <row r="31234" ht="14.25" customHeight="1">
      <c r="A31234" s="740"/>
    </row>
    <row r="31235" ht="14.25" customHeight="1">
      <c r="A31235" s="740"/>
    </row>
    <row r="31236" ht="14.25" customHeight="1">
      <c r="A31236" s="740"/>
    </row>
    <row r="31237" ht="14.25" customHeight="1">
      <c r="A31237" s="740"/>
    </row>
    <row r="31238" ht="14.25" customHeight="1">
      <c r="A31238" s="740"/>
    </row>
    <row r="31239" ht="14.25" customHeight="1">
      <c r="A31239" s="740"/>
    </row>
    <row r="31240" ht="14.25" customHeight="1">
      <c r="A31240" s="740"/>
    </row>
    <row r="31241" ht="14.25" customHeight="1">
      <c r="A31241" s="740"/>
    </row>
    <row r="31242" ht="14.25" customHeight="1">
      <c r="A31242" s="740"/>
    </row>
    <row r="31243" ht="14.25" customHeight="1">
      <c r="A31243" s="740"/>
    </row>
    <row r="31244" ht="14.25" customHeight="1">
      <c r="A31244" s="740"/>
    </row>
    <row r="31245" ht="14.25" customHeight="1">
      <c r="A31245" s="740"/>
    </row>
    <row r="31246" ht="14.25" customHeight="1">
      <c r="A31246" s="740"/>
    </row>
    <row r="31247" ht="14.25" customHeight="1">
      <c r="A31247" s="740"/>
    </row>
    <row r="31248" ht="14.25" customHeight="1">
      <c r="A31248" s="740"/>
    </row>
    <row r="31249" ht="14.25" customHeight="1">
      <c r="A31249" s="740"/>
    </row>
    <row r="31250" ht="14.25" customHeight="1">
      <c r="A31250" s="740"/>
    </row>
    <row r="31251" ht="14.25" customHeight="1">
      <c r="A31251" s="740"/>
    </row>
    <row r="31252" ht="14.25" customHeight="1">
      <c r="A31252" s="740"/>
    </row>
    <row r="31253" ht="14.25" customHeight="1">
      <c r="A31253" s="740"/>
    </row>
    <row r="31254" ht="14.25" customHeight="1">
      <c r="A31254" s="740"/>
    </row>
    <row r="31255" ht="14.25" customHeight="1">
      <c r="A31255" s="740"/>
    </row>
    <row r="31256" ht="14.25" customHeight="1">
      <c r="A31256" s="740"/>
    </row>
    <row r="31257" ht="14.25" customHeight="1">
      <c r="A31257" s="740"/>
    </row>
    <row r="31258" ht="14.25" customHeight="1">
      <c r="A31258" s="740"/>
    </row>
    <row r="31259" ht="14.25" customHeight="1">
      <c r="A31259" s="740"/>
    </row>
    <row r="31260" ht="14.25" customHeight="1">
      <c r="A31260" s="740"/>
    </row>
    <row r="31261" ht="14.25" customHeight="1">
      <c r="A31261" s="740"/>
    </row>
    <row r="31262" ht="14.25" customHeight="1">
      <c r="A31262" s="740"/>
    </row>
    <row r="31263" ht="14.25" customHeight="1">
      <c r="A31263" s="740"/>
    </row>
    <row r="31264" ht="14.25" customHeight="1">
      <c r="A31264" s="740"/>
    </row>
    <row r="31265" ht="14.25" customHeight="1">
      <c r="A31265" s="740"/>
    </row>
    <row r="31266" ht="14.25" customHeight="1">
      <c r="A31266" s="740"/>
    </row>
    <row r="31267" ht="14.25" customHeight="1">
      <c r="A31267" s="740"/>
    </row>
    <row r="31268" ht="14.25" customHeight="1">
      <c r="A31268" s="740"/>
    </row>
    <row r="31269" ht="14.25" customHeight="1">
      <c r="A31269" s="740"/>
    </row>
    <row r="31270" ht="14.25" customHeight="1">
      <c r="A31270" s="740"/>
    </row>
    <row r="31271" ht="14.25" customHeight="1">
      <c r="A31271" s="740"/>
    </row>
    <row r="31272" ht="14.25" customHeight="1">
      <c r="A31272" s="740"/>
    </row>
    <row r="31273" ht="14.25" customHeight="1">
      <c r="A31273" s="740"/>
    </row>
    <row r="31274" ht="14.25" customHeight="1">
      <c r="A31274" s="740"/>
    </row>
    <row r="31275" ht="14.25" customHeight="1">
      <c r="A31275" s="740"/>
    </row>
    <row r="31276" ht="14.25" customHeight="1">
      <c r="A31276" s="740"/>
    </row>
    <row r="31277" ht="14.25" customHeight="1">
      <c r="A31277" s="740"/>
    </row>
    <row r="31278" ht="14.25" customHeight="1">
      <c r="A31278" s="740"/>
    </row>
    <row r="31279" ht="14.25" customHeight="1">
      <c r="A31279" s="740"/>
    </row>
    <row r="31280" ht="14.25" customHeight="1">
      <c r="A31280" s="740"/>
    </row>
    <row r="31281" ht="14.25" customHeight="1">
      <c r="A31281" s="740"/>
    </row>
    <row r="31282" ht="14.25" customHeight="1">
      <c r="A31282" s="740"/>
    </row>
    <row r="31283" ht="14.25" customHeight="1">
      <c r="A31283" s="740"/>
    </row>
    <row r="31284" ht="14.25" customHeight="1">
      <c r="A31284" s="740"/>
    </row>
    <row r="31285" ht="14.25" customHeight="1">
      <c r="A31285" s="740"/>
    </row>
    <row r="31286" ht="14.25" customHeight="1">
      <c r="A31286" s="740"/>
    </row>
    <row r="31287" ht="14.25" customHeight="1">
      <c r="A31287" s="740"/>
    </row>
    <row r="31288" ht="14.25" customHeight="1">
      <c r="A31288" s="740"/>
    </row>
    <row r="31289" ht="14.25" customHeight="1">
      <c r="A31289" s="740"/>
    </row>
    <row r="31290" ht="14.25" customHeight="1">
      <c r="A31290" s="740"/>
    </row>
    <row r="31291" ht="14.25" customHeight="1">
      <c r="A31291" s="740"/>
    </row>
    <row r="31292" ht="14.25" customHeight="1">
      <c r="A31292" s="740"/>
    </row>
    <row r="31293" ht="14.25" customHeight="1">
      <c r="A31293" s="740"/>
    </row>
    <row r="31294" ht="14.25" customHeight="1">
      <c r="A31294" s="740"/>
    </row>
    <row r="31295" ht="14.25" customHeight="1">
      <c r="A31295" s="740"/>
    </row>
    <row r="31296" ht="14.25" customHeight="1">
      <c r="A31296" s="740"/>
    </row>
    <row r="31297" ht="14.25" customHeight="1">
      <c r="A31297" s="740"/>
    </row>
    <row r="31298" ht="14.25" customHeight="1">
      <c r="A31298" s="740"/>
    </row>
    <row r="31299" ht="14.25" customHeight="1">
      <c r="A31299" s="740"/>
    </row>
    <row r="31300" ht="14.25" customHeight="1">
      <c r="A31300" s="740"/>
    </row>
    <row r="31301" ht="14.25" customHeight="1">
      <c r="A31301" s="740"/>
    </row>
    <row r="31302" ht="14.25" customHeight="1">
      <c r="A31302" s="740"/>
    </row>
    <row r="31303" ht="14.25" customHeight="1">
      <c r="A31303" s="740"/>
    </row>
    <row r="31304" ht="14.25" customHeight="1">
      <c r="A31304" s="740"/>
    </row>
    <row r="31305" ht="14.25" customHeight="1">
      <c r="A31305" s="740"/>
    </row>
    <row r="31306" ht="14.25" customHeight="1">
      <c r="A31306" s="740"/>
    </row>
    <row r="31307" ht="14.25" customHeight="1">
      <c r="A31307" s="740"/>
    </row>
    <row r="31308" ht="14.25" customHeight="1">
      <c r="A31308" s="740"/>
    </row>
    <row r="31309" ht="14.25" customHeight="1">
      <c r="A31309" s="740"/>
    </row>
    <row r="31310" ht="14.25" customHeight="1">
      <c r="A31310" s="740"/>
    </row>
    <row r="31311" ht="14.25" customHeight="1">
      <c r="A31311" s="740"/>
    </row>
    <row r="31312" ht="14.25" customHeight="1">
      <c r="A31312" s="740"/>
    </row>
    <row r="31313" ht="14.25" customHeight="1">
      <c r="A31313" s="740"/>
    </row>
    <row r="31314" ht="14.25" customHeight="1">
      <c r="A31314" s="740"/>
    </row>
    <row r="31315" ht="14.25" customHeight="1">
      <c r="A31315" s="740"/>
    </row>
    <row r="31316" ht="14.25" customHeight="1">
      <c r="A31316" s="740"/>
    </row>
    <row r="31317" ht="14.25" customHeight="1">
      <c r="A31317" s="740"/>
    </row>
    <row r="31318" ht="14.25" customHeight="1">
      <c r="A31318" s="740"/>
    </row>
    <row r="31319" ht="14.25" customHeight="1">
      <c r="A31319" s="740"/>
    </row>
    <row r="31320" ht="14.25" customHeight="1">
      <c r="A31320" s="740"/>
    </row>
    <row r="31321" ht="14.25" customHeight="1">
      <c r="A31321" s="740"/>
    </row>
    <row r="31322" ht="14.25" customHeight="1">
      <c r="A31322" s="740"/>
    </row>
    <row r="31323" ht="14.25" customHeight="1">
      <c r="A31323" s="740"/>
    </row>
    <row r="31324" ht="14.25" customHeight="1">
      <c r="A31324" s="740"/>
    </row>
    <row r="31325" ht="14.25" customHeight="1">
      <c r="A31325" s="740"/>
    </row>
    <row r="31326" ht="14.25" customHeight="1">
      <c r="A31326" s="740"/>
    </row>
    <row r="31327" ht="14.25" customHeight="1">
      <c r="A31327" s="740"/>
    </row>
    <row r="31328" ht="14.25" customHeight="1">
      <c r="A31328" s="740"/>
    </row>
    <row r="31329" ht="14.25" customHeight="1">
      <c r="A31329" s="740"/>
    </row>
    <row r="31330" ht="14.25" customHeight="1">
      <c r="A31330" s="740"/>
    </row>
    <row r="31331" ht="14.25" customHeight="1">
      <c r="A31331" s="740"/>
    </row>
    <row r="31332" ht="14.25" customHeight="1">
      <c r="A31332" s="740"/>
    </row>
    <row r="31333" ht="14.25" customHeight="1">
      <c r="A31333" s="740"/>
    </row>
    <row r="31334" ht="14.25" customHeight="1">
      <c r="A31334" s="740"/>
    </row>
    <row r="31335" ht="14.25" customHeight="1">
      <c r="A31335" s="740"/>
    </row>
    <row r="31336" ht="14.25" customHeight="1">
      <c r="A31336" s="740"/>
    </row>
    <row r="31337" ht="14.25" customHeight="1">
      <c r="A31337" s="740"/>
    </row>
    <row r="31338" ht="14.25" customHeight="1">
      <c r="A31338" s="740"/>
    </row>
    <row r="31339" ht="14.25" customHeight="1">
      <c r="A31339" s="740"/>
    </row>
    <row r="31340" ht="14.25" customHeight="1">
      <c r="A31340" s="740"/>
    </row>
    <row r="31341" ht="14.25" customHeight="1">
      <c r="A31341" s="740"/>
    </row>
    <row r="31342" ht="14.25" customHeight="1">
      <c r="A31342" s="740"/>
    </row>
    <row r="31343" ht="14.25" customHeight="1">
      <c r="A31343" s="740"/>
    </row>
    <row r="31344" ht="14.25" customHeight="1">
      <c r="A31344" s="740"/>
    </row>
    <row r="31345" ht="14.25" customHeight="1">
      <c r="A31345" s="740"/>
    </row>
    <row r="31346" ht="14.25" customHeight="1">
      <c r="A31346" s="740"/>
    </row>
    <row r="31347" ht="14.25" customHeight="1">
      <c r="A31347" s="740"/>
    </row>
    <row r="31348" ht="14.25" customHeight="1">
      <c r="A31348" s="740"/>
    </row>
    <row r="31349" ht="14.25" customHeight="1">
      <c r="A31349" s="740"/>
    </row>
    <row r="31350" ht="14.25" customHeight="1">
      <c r="A31350" s="740"/>
    </row>
    <row r="31351" ht="14.25" customHeight="1">
      <c r="A31351" s="740"/>
    </row>
    <row r="31352" ht="14.25" customHeight="1">
      <c r="A31352" s="740"/>
    </row>
    <row r="31353" ht="14.25" customHeight="1">
      <c r="A31353" s="740"/>
    </row>
    <row r="31354" ht="14.25" customHeight="1">
      <c r="A31354" s="740"/>
    </row>
    <row r="31355" ht="14.25" customHeight="1">
      <c r="A31355" s="740"/>
    </row>
    <row r="31356" ht="14.25" customHeight="1">
      <c r="A31356" s="740"/>
    </row>
    <row r="31357" ht="14.25" customHeight="1">
      <c r="A31357" s="740"/>
    </row>
    <row r="31358" ht="14.25" customHeight="1">
      <c r="A31358" s="740"/>
    </row>
    <row r="31359" ht="14.25" customHeight="1">
      <c r="A31359" s="740"/>
    </row>
    <row r="31360" ht="14.25" customHeight="1">
      <c r="A31360" s="740"/>
    </row>
    <row r="31361" ht="14.25" customHeight="1">
      <c r="A31361" s="740"/>
    </row>
    <row r="31362" ht="14.25" customHeight="1">
      <c r="A31362" s="740"/>
    </row>
    <row r="31363" ht="14.25" customHeight="1">
      <c r="A31363" s="740"/>
    </row>
    <row r="31364" ht="14.25" customHeight="1">
      <c r="A31364" s="740"/>
    </row>
    <row r="31365" ht="14.25" customHeight="1">
      <c r="A31365" s="740"/>
    </row>
    <row r="31366" ht="14.25" customHeight="1">
      <c r="A31366" s="740"/>
    </row>
    <row r="31367" ht="14.25" customHeight="1">
      <c r="A31367" s="740"/>
    </row>
    <row r="31368" ht="14.25" customHeight="1">
      <c r="A31368" s="740"/>
    </row>
    <row r="31369" ht="14.25" customHeight="1">
      <c r="A31369" s="740"/>
    </row>
    <row r="31370" ht="14.25" customHeight="1">
      <c r="A31370" s="740"/>
    </row>
    <row r="31371" ht="14.25" customHeight="1">
      <c r="A31371" s="740"/>
    </row>
    <row r="31372" ht="14.25" customHeight="1">
      <c r="A31372" s="740"/>
    </row>
    <row r="31373" ht="14.25" customHeight="1">
      <c r="A31373" s="740"/>
    </row>
    <row r="31374" ht="14.25" customHeight="1">
      <c r="A31374" s="740"/>
    </row>
    <row r="31375" ht="14.25" customHeight="1">
      <c r="A31375" s="740"/>
    </row>
    <row r="31376" ht="14.25" customHeight="1">
      <c r="A31376" s="740"/>
    </row>
    <row r="31377" ht="14.25" customHeight="1">
      <c r="A31377" s="740"/>
    </row>
    <row r="31378" ht="14.25" customHeight="1">
      <c r="A31378" s="740"/>
    </row>
    <row r="31379" ht="14.25" customHeight="1">
      <c r="A31379" s="740"/>
    </row>
    <row r="31380" ht="14.25" customHeight="1">
      <c r="A31380" s="740"/>
    </row>
    <row r="31381" ht="14.25" customHeight="1">
      <c r="A31381" s="740"/>
    </row>
    <row r="31382" ht="14.25" customHeight="1">
      <c r="A31382" s="740"/>
    </row>
    <row r="31383" ht="14.25" customHeight="1">
      <c r="A31383" s="740"/>
    </row>
    <row r="31384" ht="14.25" customHeight="1">
      <c r="A31384" s="740"/>
    </row>
    <row r="31385" ht="14.25" customHeight="1">
      <c r="A31385" s="740"/>
    </row>
    <row r="31386" ht="14.25" customHeight="1">
      <c r="A31386" s="740"/>
    </row>
    <row r="31387" ht="14.25" customHeight="1">
      <c r="A31387" s="740"/>
    </row>
    <row r="31388" ht="14.25" customHeight="1">
      <c r="A31388" s="740"/>
    </row>
    <row r="31389" ht="14.25" customHeight="1">
      <c r="A31389" s="740"/>
    </row>
    <row r="31390" ht="14.25" customHeight="1">
      <c r="A31390" s="740"/>
    </row>
    <row r="31391" ht="14.25" customHeight="1">
      <c r="A31391" s="740"/>
    </row>
    <row r="31392" ht="14.25" customHeight="1">
      <c r="A31392" s="740"/>
    </row>
    <row r="31393" ht="14.25" customHeight="1">
      <c r="A31393" s="740"/>
    </row>
    <row r="31394" ht="14.25" customHeight="1">
      <c r="A31394" s="740"/>
    </row>
    <row r="31395" ht="14.25" customHeight="1">
      <c r="A31395" s="740"/>
    </row>
    <row r="31396" ht="14.25" customHeight="1">
      <c r="A31396" s="740"/>
    </row>
    <row r="31397" ht="14.25" customHeight="1">
      <c r="A31397" s="740"/>
    </row>
    <row r="31398" ht="14.25" customHeight="1">
      <c r="A31398" s="740"/>
    </row>
    <row r="31399" ht="14.25" customHeight="1">
      <c r="A31399" s="740"/>
    </row>
    <row r="31400" ht="14.25" customHeight="1">
      <c r="A31400" s="740"/>
    </row>
    <row r="31401" ht="14.25" customHeight="1">
      <c r="A31401" s="740"/>
    </row>
    <row r="31402" ht="14.25" customHeight="1">
      <c r="A31402" s="740"/>
    </row>
    <row r="31403" ht="14.25" customHeight="1">
      <c r="A31403" s="740"/>
    </row>
    <row r="31404" ht="14.25" customHeight="1">
      <c r="A31404" s="740"/>
    </row>
    <row r="31405" ht="14.25" customHeight="1">
      <c r="A31405" s="740"/>
    </row>
    <row r="31406" ht="14.25" customHeight="1">
      <c r="A31406" s="740"/>
    </row>
    <row r="31407" ht="14.25" customHeight="1">
      <c r="A31407" s="740"/>
    </row>
    <row r="31408" ht="14.25" customHeight="1">
      <c r="A31408" s="740"/>
    </row>
    <row r="31409" ht="14.25" customHeight="1">
      <c r="A31409" s="740"/>
    </row>
    <row r="31410" ht="14.25" customHeight="1">
      <c r="A31410" s="740"/>
    </row>
    <row r="31411" ht="14.25" customHeight="1">
      <c r="A31411" s="740"/>
    </row>
    <row r="31412" ht="14.25" customHeight="1">
      <c r="A31412" s="740"/>
    </row>
    <row r="31413" ht="14.25" customHeight="1">
      <c r="A31413" s="740"/>
    </row>
    <row r="31414" ht="14.25" customHeight="1">
      <c r="A31414" s="740"/>
    </row>
    <row r="31415" ht="14.25" customHeight="1">
      <c r="A31415" s="740"/>
    </row>
    <row r="31416" ht="14.25" customHeight="1">
      <c r="A31416" s="740"/>
    </row>
    <row r="31417" ht="14.25" customHeight="1">
      <c r="A31417" s="740"/>
    </row>
    <row r="31418" ht="14.25" customHeight="1">
      <c r="A31418" s="740"/>
    </row>
    <row r="31419" ht="14.25" customHeight="1">
      <c r="A31419" s="740"/>
    </row>
    <row r="31420" ht="14.25" customHeight="1">
      <c r="A31420" s="740"/>
    </row>
    <row r="31421" ht="14.25" customHeight="1">
      <c r="A31421" s="740"/>
    </row>
    <row r="31422" ht="14.25" customHeight="1">
      <c r="A31422" s="740"/>
    </row>
    <row r="31423" ht="14.25" customHeight="1">
      <c r="A31423" s="740"/>
    </row>
    <row r="31424" ht="14.25" customHeight="1">
      <c r="A31424" s="740"/>
    </row>
    <row r="31425" ht="14.25" customHeight="1">
      <c r="A31425" s="740"/>
    </row>
    <row r="31426" ht="14.25" customHeight="1">
      <c r="A31426" s="740"/>
    </row>
    <row r="31427" ht="14.25" customHeight="1">
      <c r="A31427" s="740"/>
    </row>
    <row r="31428" ht="14.25" customHeight="1">
      <c r="A31428" s="740"/>
    </row>
    <row r="31429" ht="14.25" customHeight="1">
      <c r="A31429" s="740"/>
    </row>
    <row r="31430" ht="14.25" customHeight="1">
      <c r="A31430" s="740"/>
    </row>
    <row r="31431" ht="14.25" customHeight="1">
      <c r="A31431" s="740"/>
    </row>
    <row r="31432" ht="14.25" customHeight="1">
      <c r="A31432" s="740"/>
    </row>
    <row r="31433" ht="14.25" customHeight="1">
      <c r="A31433" s="740"/>
    </row>
    <row r="31434" ht="14.25" customHeight="1">
      <c r="A31434" s="740"/>
    </row>
    <row r="31435" ht="14.25" customHeight="1">
      <c r="A31435" s="740"/>
    </row>
    <row r="31436" ht="14.25" customHeight="1">
      <c r="A31436" s="740"/>
    </row>
    <row r="31437" ht="14.25" customHeight="1">
      <c r="A31437" s="740"/>
    </row>
    <row r="31438" ht="14.25" customHeight="1">
      <c r="A31438" s="740"/>
    </row>
    <row r="31439" ht="14.25" customHeight="1">
      <c r="A31439" s="740"/>
    </row>
    <row r="31440" ht="14.25" customHeight="1">
      <c r="A31440" s="740"/>
    </row>
    <row r="31441" ht="14.25" customHeight="1">
      <c r="A31441" s="740"/>
    </row>
    <row r="31442" ht="14.25" customHeight="1">
      <c r="A31442" s="740"/>
    </row>
    <row r="31443" ht="14.25" customHeight="1">
      <c r="A31443" s="740"/>
    </row>
    <row r="31444" ht="14.25" customHeight="1">
      <c r="A31444" s="740"/>
    </row>
    <row r="31445" ht="14.25" customHeight="1">
      <c r="A31445" s="740"/>
    </row>
    <row r="31446" ht="14.25" customHeight="1">
      <c r="A31446" s="740"/>
    </row>
    <row r="31447" ht="14.25" customHeight="1">
      <c r="A31447" s="740"/>
    </row>
    <row r="31448" ht="14.25" customHeight="1">
      <c r="A31448" s="740"/>
    </row>
    <row r="31449" ht="14.25" customHeight="1">
      <c r="A31449" s="740"/>
    </row>
    <row r="31450" ht="14.25" customHeight="1">
      <c r="A31450" s="740"/>
    </row>
    <row r="31451" ht="14.25" customHeight="1">
      <c r="A31451" s="740"/>
    </row>
    <row r="31452" ht="14.25" customHeight="1">
      <c r="A31452" s="740"/>
    </row>
    <row r="31453" ht="14.25" customHeight="1">
      <c r="A31453" s="740"/>
    </row>
    <row r="31454" ht="14.25" customHeight="1">
      <c r="A31454" s="740"/>
    </row>
    <row r="31455" ht="14.25" customHeight="1">
      <c r="A31455" s="740"/>
    </row>
    <row r="31456" ht="14.25" customHeight="1">
      <c r="A31456" s="740"/>
    </row>
    <row r="31457" ht="14.25" customHeight="1">
      <c r="A31457" s="740"/>
    </row>
    <row r="31458" ht="14.25" customHeight="1">
      <c r="A31458" s="740"/>
    </row>
    <row r="31459" ht="14.25" customHeight="1">
      <c r="A31459" s="740"/>
    </row>
    <row r="31460" ht="14.25" customHeight="1">
      <c r="A31460" s="740"/>
    </row>
    <row r="31461" ht="14.25" customHeight="1">
      <c r="A31461" s="740"/>
    </row>
    <row r="31462" ht="14.25" customHeight="1">
      <c r="A31462" s="740"/>
    </row>
    <row r="31463" ht="14.25" customHeight="1">
      <c r="A31463" s="740"/>
    </row>
    <row r="31464" ht="14.25" customHeight="1">
      <c r="A31464" s="740"/>
    </row>
    <row r="31465" ht="14.25" customHeight="1">
      <c r="A31465" s="740"/>
    </row>
    <row r="31466" ht="14.25" customHeight="1">
      <c r="A31466" s="740"/>
    </row>
    <row r="31467" ht="14.25" customHeight="1">
      <c r="A31467" s="740"/>
    </row>
    <row r="31468" ht="14.25" customHeight="1">
      <c r="A31468" s="740"/>
    </row>
    <row r="31469" ht="14.25" customHeight="1">
      <c r="A31469" s="740"/>
    </row>
    <row r="31470" ht="14.25" customHeight="1">
      <c r="A31470" s="740"/>
    </row>
    <row r="31471" ht="14.25" customHeight="1">
      <c r="A31471" s="740"/>
    </row>
    <row r="31472" ht="14.25" customHeight="1">
      <c r="A31472" s="740"/>
    </row>
    <row r="31473" ht="14.25" customHeight="1">
      <c r="A31473" s="740"/>
    </row>
    <row r="31474" ht="14.25" customHeight="1">
      <c r="A31474" s="740"/>
    </row>
    <row r="31475" ht="14.25" customHeight="1">
      <c r="A31475" s="740"/>
    </row>
    <row r="31476" ht="14.25" customHeight="1">
      <c r="A31476" s="740"/>
    </row>
    <row r="31477" ht="14.25" customHeight="1">
      <c r="A31477" s="740"/>
    </row>
    <row r="31478" ht="14.25" customHeight="1">
      <c r="A31478" s="740"/>
    </row>
    <row r="31479" ht="14.25" customHeight="1">
      <c r="A31479" s="740"/>
    </row>
    <row r="31480" ht="14.25" customHeight="1">
      <c r="A31480" s="740"/>
    </row>
    <row r="31481" ht="14.25" customHeight="1">
      <c r="A31481" s="740"/>
    </row>
    <row r="31482" ht="14.25" customHeight="1">
      <c r="A31482" s="740"/>
    </row>
    <row r="31483" ht="14.25" customHeight="1">
      <c r="A31483" s="740"/>
    </row>
    <row r="31484" ht="14.25" customHeight="1">
      <c r="A31484" s="740"/>
    </row>
    <row r="31485" ht="14.25" customHeight="1">
      <c r="A31485" s="740"/>
    </row>
    <row r="31486" ht="14.25" customHeight="1">
      <c r="A31486" s="740"/>
    </row>
    <row r="31487" ht="14.25" customHeight="1">
      <c r="A31487" s="740"/>
    </row>
    <row r="31488" ht="14.25" customHeight="1">
      <c r="A31488" s="740"/>
    </row>
    <row r="31489" ht="14.25" customHeight="1">
      <c r="A31489" s="740"/>
    </row>
    <row r="31490" ht="14.25" customHeight="1">
      <c r="A31490" s="740"/>
    </row>
    <row r="31491" ht="14.25" customHeight="1">
      <c r="A31491" s="740"/>
    </row>
    <row r="31492" ht="14.25" customHeight="1">
      <c r="A31492" s="740"/>
    </row>
    <row r="31493" ht="14.25" customHeight="1">
      <c r="A31493" s="740"/>
    </row>
    <row r="31494" ht="14.25" customHeight="1">
      <c r="A31494" s="740"/>
    </row>
    <row r="31495" ht="14.25" customHeight="1">
      <c r="A31495" s="740"/>
    </row>
    <row r="31496" ht="14.25" customHeight="1">
      <c r="A31496" s="740"/>
    </row>
    <row r="31497" ht="14.25" customHeight="1">
      <c r="A31497" s="740"/>
    </row>
    <row r="31498" ht="14.25" customHeight="1">
      <c r="A31498" s="740"/>
    </row>
    <row r="31499" ht="14.25" customHeight="1">
      <c r="A31499" s="740"/>
    </row>
    <row r="31500" ht="14.25" customHeight="1">
      <c r="A31500" s="740"/>
    </row>
    <row r="31501" ht="14.25" customHeight="1">
      <c r="A31501" s="740"/>
    </row>
    <row r="31502" ht="14.25" customHeight="1">
      <c r="A31502" s="740"/>
    </row>
    <row r="31503" ht="14.25" customHeight="1">
      <c r="A31503" s="740"/>
    </row>
    <row r="31504" ht="14.25" customHeight="1">
      <c r="A31504" s="740"/>
    </row>
    <row r="31505" ht="14.25" customHeight="1">
      <c r="A31505" s="740"/>
    </row>
    <row r="31506" ht="14.25" customHeight="1">
      <c r="A31506" s="740"/>
    </row>
    <row r="31507" ht="14.25" customHeight="1">
      <c r="A31507" s="740"/>
    </row>
    <row r="31508" ht="14.25" customHeight="1">
      <c r="A31508" s="740"/>
    </row>
    <row r="31509" ht="14.25" customHeight="1">
      <c r="A31509" s="740"/>
    </row>
    <row r="31510" ht="14.25" customHeight="1">
      <c r="A31510" s="740"/>
    </row>
    <row r="31511" ht="14.25" customHeight="1">
      <c r="A31511" s="740"/>
    </row>
    <row r="31512" ht="14.25" customHeight="1">
      <c r="A31512" s="740"/>
    </row>
    <row r="31513" ht="14.25" customHeight="1">
      <c r="A31513" s="740"/>
    </row>
    <row r="31514" ht="14.25" customHeight="1">
      <c r="A31514" s="740"/>
    </row>
    <row r="31515" ht="14.25" customHeight="1">
      <c r="A31515" s="740"/>
    </row>
    <row r="31516" ht="14.25" customHeight="1">
      <c r="A31516" s="740"/>
    </row>
    <row r="31517" ht="14.25" customHeight="1">
      <c r="A31517" s="740"/>
    </row>
    <row r="31518" ht="14.25" customHeight="1">
      <c r="A31518" s="740"/>
    </row>
    <row r="31519" ht="14.25" customHeight="1">
      <c r="A31519" s="740"/>
    </row>
    <row r="31520" ht="14.25" customHeight="1">
      <c r="A31520" s="740"/>
    </row>
    <row r="31521" ht="14.25" customHeight="1">
      <c r="A31521" s="740"/>
    </row>
    <row r="31522" ht="14.25" customHeight="1">
      <c r="A31522" s="740"/>
    </row>
    <row r="31523" ht="14.25" customHeight="1">
      <c r="A31523" s="740"/>
    </row>
    <row r="31524" ht="14.25" customHeight="1">
      <c r="A31524" s="740"/>
    </row>
    <row r="31525" ht="14.25" customHeight="1">
      <c r="A31525" s="740"/>
    </row>
    <row r="31526" ht="14.25" customHeight="1">
      <c r="A31526" s="740"/>
    </row>
    <row r="31527" ht="14.25" customHeight="1">
      <c r="A31527" s="740"/>
    </row>
    <row r="31528" ht="14.25" customHeight="1">
      <c r="A31528" s="740"/>
    </row>
    <row r="31529" ht="14.25" customHeight="1">
      <c r="A31529" s="740"/>
    </row>
    <row r="31530" ht="14.25" customHeight="1">
      <c r="A31530" s="740"/>
    </row>
    <row r="31531" ht="14.25" customHeight="1">
      <c r="A31531" s="740"/>
    </row>
    <row r="31532" ht="14.25" customHeight="1">
      <c r="A31532" s="740"/>
    </row>
    <row r="31533" ht="14.25" customHeight="1">
      <c r="A31533" s="740"/>
    </row>
    <row r="31534" ht="14.25" customHeight="1">
      <c r="A31534" s="740"/>
    </row>
    <row r="31535" ht="14.25" customHeight="1">
      <c r="A31535" s="740"/>
    </row>
    <row r="31536" ht="14.25" customHeight="1">
      <c r="A31536" s="740"/>
    </row>
    <row r="31537" ht="14.25" customHeight="1">
      <c r="A31537" s="740"/>
    </row>
    <row r="31538" ht="14.25" customHeight="1">
      <c r="A31538" s="740"/>
    </row>
    <row r="31539" ht="14.25" customHeight="1">
      <c r="A31539" s="740"/>
    </row>
    <row r="31540" ht="14.25" customHeight="1">
      <c r="A31540" s="740"/>
    </row>
    <row r="31541" ht="14.25" customHeight="1">
      <c r="A31541" s="740"/>
    </row>
    <row r="31542" ht="14.25" customHeight="1">
      <c r="A31542" s="740"/>
    </row>
    <row r="31543" ht="14.25" customHeight="1">
      <c r="A31543" s="740"/>
    </row>
    <row r="31544" ht="14.25" customHeight="1">
      <c r="A31544" s="740"/>
    </row>
    <row r="31545" ht="14.25" customHeight="1">
      <c r="A31545" s="740"/>
    </row>
    <row r="31546" ht="14.25" customHeight="1">
      <c r="A31546" s="740"/>
    </row>
    <row r="31547" ht="14.25" customHeight="1">
      <c r="A31547" s="740"/>
    </row>
    <row r="31548" ht="14.25" customHeight="1">
      <c r="A31548" s="740"/>
    </row>
    <row r="31549" ht="14.25" customHeight="1">
      <c r="A31549" s="740"/>
    </row>
    <row r="31550" ht="14.25" customHeight="1">
      <c r="A31550" s="740"/>
    </row>
    <row r="31551" ht="14.25" customHeight="1">
      <c r="A31551" s="740"/>
    </row>
    <row r="31552" ht="14.25" customHeight="1">
      <c r="A31552" s="740"/>
    </row>
    <row r="31553" ht="14.25" customHeight="1">
      <c r="A31553" s="740"/>
    </row>
    <row r="31554" ht="14.25" customHeight="1">
      <c r="A31554" s="740"/>
    </row>
    <row r="31555" ht="14.25" customHeight="1">
      <c r="A31555" s="740"/>
    </row>
    <row r="31556" ht="14.25" customHeight="1">
      <c r="A31556" s="740"/>
    </row>
    <row r="31557" ht="14.25" customHeight="1">
      <c r="A31557" s="740"/>
    </row>
    <row r="31558" ht="14.25" customHeight="1">
      <c r="A31558" s="740"/>
    </row>
    <row r="31559" ht="14.25" customHeight="1">
      <c r="A31559" s="740"/>
    </row>
    <row r="31560" ht="14.25" customHeight="1">
      <c r="A31560" s="740"/>
    </row>
    <row r="31561" ht="14.25" customHeight="1">
      <c r="A31561" s="740"/>
    </row>
    <row r="31562" ht="14.25" customHeight="1">
      <c r="A31562" s="740"/>
    </row>
    <row r="31563" ht="14.25" customHeight="1">
      <c r="A31563" s="740"/>
    </row>
    <row r="31564" ht="14.25" customHeight="1">
      <c r="A31564" s="740"/>
    </row>
    <row r="31565" ht="14.25" customHeight="1">
      <c r="A31565" s="740"/>
    </row>
    <row r="31566" ht="14.25" customHeight="1">
      <c r="A31566" s="740"/>
    </row>
    <row r="31567" ht="14.25" customHeight="1">
      <c r="A31567" s="740"/>
    </row>
    <row r="31568" ht="14.25" customHeight="1">
      <c r="A31568" s="740"/>
    </row>
    <row r="31569" ht="14.25" customHeight="1">
      <c r="A31569" s="740"/>
    </row>
    <row r="31570" ht="14.25" customHeight="1">
      <c r="A31570" s="740"/>
    </row>
    <row r="31571" ht="14.25" customHeight="1">
      <c r="A31571" s="740"/>
    </row>
    <row r="31572" ht="14.25" customHeight="1">
      <c r="A31572" s="740"/>
    </row>
    <row r="31573" ht="14.25" customHeight="1">
      <c r="A31573" s="740"/>
    </row>
    <row r="31574" ht="14.25" customHeight="1">
      <c r="A31574" s="740"/>
    </row>
    <row r="31575" ht="14.25" customHeight="1">
      <c r="A31575" s="740"/>
    </row>
    <row r="31576" ht="14.25" customHeight="1">
      <c r="A31576" s="740"/>
    </row>
    <row r="31577" ht="14.25" customHeight="1">
      <c r="A31577" s="740"/>
    </row>
    <row r="31578" ht="14.25" customHeight="1">
      <c r="A31578" s="740"/>
    </row>
    <row r="31579" ht="14.25" customHeight="1">
      <c r="A31579" s="740"/>
    </row>
    <row r="31580" ht="14.25" customHeight="1">
      <c r="A31580" s="740"/>
    </row>
    <row r="31581" ht="14.25" customHeight="1">
      <c r="A31581" s="740"/>
    </row>
    <row r="31582" ht="14.25" customHeight="1">
      <c r="A31582" s="740"/>
    </row>
    <row r="31583" ht="14.25" customHeight="1">
      <c r="A31583" s="740"/>
    </row>
    <row r="31584" ht="14.25" customHeight="1">
      <c r="A31584" s="740"/>
    </row>
    <row r="31585" ht="14.25" customHeight="1">
      <c r="A31585" s="740"/>
    </row>
    <row r="31586" ht="14.25" customHeight="1">
      <c r="A31586" s="740"/>
    </row>
    <row r="31587" ht="14.25" customHeight="1">
      <c r="A31587" s="740"/>
    </row>
    <row r="31588" ht="14.25" customHeight="1">
      <c r="A31588" s="740"/>
    </row>
    <row r="31589" ht="14.25" customHeight="1">
      <c r="A31589" s="740"/>
    </row>
    <row r="31590" ht="14.25" customHeight="1">
      <c r="A31590" s="740"/>
    </row>
    <row r="31591" ht="14.25" customHeight="1">
      <c r="A31591" s="740"/>
    </row>
    <row r="31592" ht="14.25" customHeight="1">
      <c r="A31592" s="740"/>
    </row>
    <row r="31593" ht="14.25" customHeight="1">
      <c r="A31593" s="740"/>
    </row>
    <row r="31594" ht="14.25" customHeight="1">
      <c r="A31594" s="740"/>
    </row>
    <row r="31595" ht="14.25" customHeight="1">
      <c r="A31595" s="740"/>
    </row>
    <row r="31596" ht="14.25" customHeight="1">
      <c r="A31596" s="740"/>
    </row>
    <row r="31597" ht="14.25" customHeight="1">
      <c r="A31597" s="740"/>
    </row>
    <row r="31598" ht="14.25" customHeight="1">
      <c r="A31598" s="740"/>
    </row>
    <row r="31599" ht="14.25" customHeight="1">
      <c r="A31599" s="740"/>
    </row>
    <row r="31600" ht="14.25" customHeight="1">
      <c r="A31600" s="740"/>
    </row>
    <row r="31601" ht="14.25" customHeight="1">
      <c r="A31601" s="740"/>
    </row>
    <row r="31602" ht="14.25" customHeight="1">
      <c r="A31602" s="740"/>
    </row>
    <row r="31603" ht="14.25" customHeight="1">
      <c r="A31603" s="740"/>
    </row>
    <row r="31604" ht="14.25" customHeight="1">
      <c r="A31604" s="740"/>
    </row>
    <row r="31605" ht="14.25" customHeight="1">
      <c r="A31605" s="740"/>
    </row>
    <row r="31606" ht="14.25" customHeight="1">
      <c r="A31606" s="740"/>
    </row>
    <row r="31607" ht="14.25" customHeight="1">
      <c r="A31607" s="740"/>
    </row>
    <row r="31608" ht="14.25" customHeight="1">
      <c r="A31608" s="740"/>
    </row>
    <row r="31609" ht="14.25" customHeight="1">
      <c r="A31609" s="740"/>
    </row>
    <row r="31610" ht="14.25" customHeight="1">
      <c r="A31610" s="740"/>
    </row>
    <row r="31611" ht="14.25" customHeight="1">
      <c r="A31611" s="740"/>
    </row>
    <row r="31612" ht="14.25" customHeight="1">
      <c r="A31612" s="740"/>
    </row>
    <row r="31613" ht="14.25" customHeight="1">
      <c r="A31613" s="740"/>
    </row>
    <row r="31614" ht="14.25" customHeight="1">
      <c r="A31614" s="740"/>
    </row>
    <row r="31615" ht="14.25" customHeight="1">
      <c r="A31615" s="740"/>
    </row>
    <row r="31616" ht="14.25" customHeight="1">
      <c r="A31616" s="740"/>
    </row>
    <row r="31617" ht="14.25" customHeight="1">
      <c r="A31617" s="740"/>
    </row>
    <row r="31618" ht="14.25" customHeight="1">
      <c r="A31618" s="740"/>
    </row>
    <row r="31619" ht="14.25" customHeight="1">
      <c r="A31619" s="740"/>
    </row>
    <row r="31620" ht="14.25" customHeight="1">
      <c r="A31620" s="740"/>
    </row>
    <row r="31621" ht="14.25" customHeight="1">
      <c r="A31621" s="740"/>
    </row>
    <row r="31622" ht="14.25" customHeight="1">
      <c r="A31622" s="740"/>
    </row>
    <row r="31623" ht="14.25" customHeight="1">
      <c r="A31623" s="740"/>
    </row>
    <row r="31624" ht="14.25" customHeight="1">
      <c r="A31624" s="740"/>
    </row>
    <row r="31625" ht="14.25" customHeight="1">
      <c r="A31625" s="740"/>
    </row>
    <row r="31626" ht="14.25" customHeight="1">
      <c r="A31626" s="740"/>
    </row>
    <row r="31627" ht="14.25" customHeight="1">
      <c r="A31627" s="740"/>
    </row>
    <row r="31628" ht="14.25" customHeight="1">
      <c r="A31628" s="740"/>
    </row>
    <row r="31629" ht="14.25" customHeight="1">
      <c r="A31629" s="740"/>
    </row>
    <row r="31630" ht="14.25" customHeight="1">
      <c r="A31630" s="740"/>
    </row>
    <row r="31631" ht="14.25" customHeight="1">
      <c r="A31631" s="740"/>
    </row>
    <row r="31632" ht="14.25" customHeight="1">
      <c r="A31632" s="740"/>
    </row>
    <row r="31633" ht="14.25" customHeight="1">
      <c r="A31633" s="740"/>
    </row>
    <row r="31634" ht="14.25" customHeight="1">
      <c r="A31634" s="740"/>
    </row>
    <row r="31635" ht="14.25" customHeight="1">
      <c r="A31635" s="740"/>
    </row>
    <row r="31636" ht="14.25" customHeight="1">
      <c r="A31636" s="740"/>
    </row>
    <row r="31637" ht="14.25" customHeight="1">
      <c r="A31637" s="740"/>
    </row>
    <row r="31638" ht="14.25" customHeight="1">
      <c r="A31638" s="740"/>
    </row>
    <row r="31639" ht="14.25" customHeight="1">
      <c r="A31639" s="740"/>
    </row>
    <row r="31640" ht="14.25" customHeight="1">
      <c r="A31640" s="740"/>
    </row>
    <row r="31641" ht="14.25" customHeight="1">
      <c r="A31641" s="740"/>
    </row>
    <row r="31642" ht="14.25" customHeight="1">
      <c r="A31642" s="740"/>
    </row>
    <row r="31643" ht="14.25" customHeight="1">
      <c r="A31643" s="740"/>
    </row>
    <row r="31644" ht="14.25" customHeight="1">
      <c r="A31644" s="740"/>
    </row>
    <row r="31645" ht="14.25" customHeight="1">
      <c r="A31645" s="740"/>
    </row>
    <row r="31646" ht="14.25" customHeight="1">
      <c r="A31646" s="740"/>
    </row>
    <row r="31647" ht="14.25" customHeight="1">
      <c r="A31647" s="740"/>
    </row>
    <row r="31648" ht="14.25" customHeight="1">
      <c r="A31648" s="740"/>
    </row>
    <row r="31649" ht="14.25" customHeight="1">
      <c r="A31649" s="740"/>
    </row>
    <row r="31650" ht="14.25" customHeight="1">
      <c r="A31650" s="740"/>
    </row>
    <row r="31651" ht="14.25" customHeight="1">
      <c r="A31651" s="740"/>
    </row>
    <row r="31652" ht="14.25" customHeight="1">
      <c r="A31652" s="740"/>
    </row>
    <row r="31653" ht="14.25" customHeight="1">
      <c r="A31653" s="740"/>
    </row>
    <row r="31654" ht="14.25" customHeight="1">
      <c r="A31654" s="740"/>
    </row>
    <row r="31655" ht="14.25" customHeight="1">
      <c r="A31655" s="740"/>
    </row>
    <row r="31656" ht="14.25" customHeight="1">
      <c r="A31656" s="740"/>
    </row>
    <row r="31657" ht="14.25" customHeight="1">
      <c r="A31657" s="740"/>
    </row>
    <row r="31658" ht="14.25" customHeight="1">
      <c r="A31658" s="740"/>
    </row>
    <row r="31659" ht="14.25" customHeight="1">
      <c r="A31659" s="740"/>
    </row>
    <row r="31660" ht="14.25" customHeight="1">
      <c r="A31660" s="740"/>
    </row>
    <row r="31661" ht="14.25" customHeight="1">
      <c r="A31661" s="740"/>
    </row>
    <row r="31662" ht="14.25" customHeight="1">
      <c r="A31662" s="740"/>
    </row>
    <row r="31663" ht="14.25" customHeight="1">
      <c r="A31663" s="740"/>
    </row>
    <row r="31664" ht="14.25" customHeight="1">
      <c r="A31664" s="740"/>
    </row>
    <row r="31665" ht="14.25" customHeight="1">
      <c r="A31665" s="740"/>
    </row>
    <row r="31666" ht="14.25" customHeight="1">
      <c r="A31666" s="740"/>
    </row>
    <row r="31667" ht="14.25" customHeight="1">
      <c r="A31667" s="740"/>
    </row>
    <row r="31668" ht="14.25" customHeight="1">
      <c r="A31668" s="740"/>
    </row>
    <row r="31669" ht="14.25" customHeight="1">
      <c r="A31669" s="740"/>
    </row>
    <row r="31670" ht="14.25" customHeight="1">
      <c r="A31670" s="740"/>
    </row>
    <row r="31671" ht="14.25" customHeight="1">
      <c r="A31671" s="740"/>
    </row>
    <row r="31672" ht="14.25" customHeight="1">
      <c r="A31672" s="740"/>
    </row>
    <row r="31673" ht="14.25" customHeight="1">
      <c r="A31673" s="740"/>
    </row>
    <row r="31674" ht="14.25" customHeight="1">
      <c r="A31674" s="740"/>
    </row>
    <row r="31675" ht="14.25" customHeight="1">
      <c r="A31675" s="740"/>
    </row>
    <row r="31676" ht="14.25" customHeight="1">
      <c r="A31676" s="740"/>
    </row>
    <row r="31677" ht="14.25" customHeight="1">
      <c r="A31677" s="740"/>
    </row>
    <row r="31678" ht="14.25" customHeight="1">
      <c r="A31678" s="740"/>
    </row>
    <row r="31679" ht="14.25" customHeight="1">
      <c r="A31679" s="740"/>
    </row>
    <row r="31680" ht="14.25" customHeight="1">
      <c r="A31680" s="740"/>
    </row>
    <row r="31681" ht="14.25" customHeight="1">
      <c r="A31681" s="740"/>
    </row>
    <row r="31682" ht="14.25" customHeight="1">
      <c r="A31682" s="740"/>
    </row>
    <row r="31683" ht="14.25" customHeight="1">
      <c r="A31683" s="740"/>
    </row>
    <row r="31684" ht="14.25" customHeight="1">
      <c r="A31684" s="740"/>
    </row>
    <row r="31685" ht="14.25" customHeight="1">
      <c r="A31685" s="740"/>
    </row>
    <row r="31686" ht="14.25" customHeight="1">
      <c r="A31686" s="740"/>
    </row>
    <row r="31687" ht="14.25" customHeight="1">
      <c r="A31687" s="740"/>
    </row>
    <row r="31688" ht="14.25" customHeight="1">
      <c r="A31688" s="740"/>
    </row>
    <row r="31689" ht="14.25" customHeight="1">
      <c r="A31689" s="740"/>
    </row>
    <row r="31690" ht="14.25" customHeight="1">
      <c r="A31690" s="740"/>
    </row>
    <row r="31691" ht="14.25" customHeight="1">
      <c r="A31691" s="740"/>
    </row>
    <row r="31692" ht="14.25" customHeight="1">
      <c r="A31692" s="740"/>
    </row>
    <row r="31693" ht="14.25" customHeight="1">
      <c r="A31693" s="740"/>
    </row>
    <row r="31694" ht="14.25" customHeight="1">
      <c r="A31694" s="740"/>
    </row>
    <row r="31695" ht="14.25" customHeight="1">
      <c r="A31695" s="740"/>
    </row>
    <row r="31696" ht="14.25" customHeight="1">
      <c r="A31696" s="740"/>
    </row>
    <row r="31697" ht="14.25" customHeight="1">
      <c r="A31697" s="740"/>
    </row>
    <row r="31698" ht="14.25" customHeight="1">
      <c r="A31698" s="740"/>
    </row>
    <row r="31699" ht="14.25" customHeight="1">
      <c r="A31699" s="740"/>
    </row>
    <row r="31700" ht="14.25" customHeight="1">
      <c r="A31700" s="740"/>
    </row>
    <row r="31701" ht="14.25" customHeight="1">
      <c r="A31701" s="740"/>
    </row>
    <row r="31702" ht="14.25" customHeight="1">
      <c r="A31702" s="740"/>
    </row>
    <row r="31703" ht="14.25" customHeight="1">
      <c r="A31703" s="740"/>
    </row>
    <row r="31704" ht="14.25" customHeight="1">
      <c r="A31704" s="740"/>
    </row>
    <row r="31705" ht="14.25" customHeight="1">
      <c r="A31705" s="740"/>
    </row>
    <row r="31706" ht="14.25" customHeight="1">
      <c r="A31706" s="740"/>
    </row>
    <row r="31707" ht="14.25" customHeight="1">
      <c r="A31707" s="740"/>
    </row>
    <row r="31708" ht="14.25" customHeight="1">
      <c r="A31708" s="740"/>
    </row>
    <row r="31709" ht="14.25" customHeight="1">
      <c r="A31709" s="740"/>
    </row>
    <row r="31710" ht="14.25" customHeight="1">
      <c r="A31710" s="740"/>
    </row>
    <row r="31711" ht="14.25" customHeight="1">
      <c r="A31711" s="740"/>
    </row>
    <row r="31712" ht="14.25" customHeight="1">
      <c r="A31712" s="740"/>
    </row>
    <row r="31713" ht="14.25" customHeight="1">
      <c r="A31713" s="740"/>
    </row>
    <row r="31714" ht="14.25" customHeight="1">
      <c r="A31714" s="740"/>
    </row>
    <row r="31715" ht="14.25" customHeight="1">
      <c r="A31715" s="740"/>
    </row>
    <row r="31716" ht="14.25" customHeight="1">
      <c r="A31716" s="740"/>
    </row>
    <row r="31717" ht="14.25" customHeight="1">
      <c r="A31717" s="740"/>
    </row>
    <row r="31718" ht="14.25" customHeight="1">
      <c r="A31718" s="740"/>
    </row>
    <row r="31719" ht="14.25" customHeight="1">
      <c r="A31719" s="740"/>
    </row>
    <row r="31720" ht="14.25" customHeight="1">
      <c r="A31720" s="740"/>
    </row>
    <row r="31721" ht="14.25" customHeight="1">
      <c r="A31721" s="740"/>
    </row>
    <row r="31722" ht="14.25" customHeight="1">
      <c r="A31722" s="740"/>
    </row>
    <row r="31723" ht="14.25" customHeight="1">
      <c r="A31723" s="740"/>
    </row>
    <row r="31724" ht="14.25" customHeight="1">
      <c r="A31724" s="740"/>
    </row>
    <row r="31725" ht="14.25" customHeight="1">
      <c r="A31725" s="740"/>
    </row>
    <row r="31726" ht="14.25" customHeight="1">
      <c r="A31726" s="740"/>
    </row>
    <row r="31727" ht="14.25" customHeight="1">
      <c r="A31727" s="740"/>
    </row>
    <row r="31728" ht="14.25" customHeight="1">
      <c r="A31728" s="740"/>
    </row>
    <row r="31729" ht="14.25" customHeight="1">
      <c r="A31729" s="740"/>
    </row>
    <row r="31730" ht="14.25" customHeight="1">
      <c r="A31730" s="740"/>
    </row>
    <row r="31731" ht="14.25" customHeight="1">
      <c r="A31731" s="740"/>
    </row>
    <row r="31732" ht="14.25" customHeight="1">
      <c r="A31732" s="740"/>
    </row>
    <row r="31733" ht="14.25" customHeight="1">
      <c r="A31733" s="740"/>
    </row>
    <row r="31734" ht="14.25" customHeight="1">
      <c r="A31734" s="740"/>
    </row>
    <row r="31735" ht="14.25" customHeight="1">
      <c r="A31735" s="740"/>
    </row>
    <row r="31736" ht="14.25" customHeight="1">
      <c r="A31736" s="740"/>
    </row>
    <row r="31737" ht="14.25" customHeight="1">
      <c r="A31737" s="740"/>
    </row>
    <row r="31738" ht="14.25" customHeight="1">
      <c r="A31738" s="740"/>
    </row>
    <row r="31739" ht="14.25" customHeight="1">
      <c r="A31739" s="740"/>
    </row>
    <row r="31740" ht="14.25" customHeight="1">
      <c r="A31740" s="740"/>
    </row>
    <row r="31741" ht="14.25" customHeight="1">
      <c r="A31741" s="740"/>
    </row>
    <row r="31742" ht="14.25" customHeight="1">
      <c r="A31742" s="740"/>
    </row>
    <row r="31743" ht="14.25" customHeight="1">
      <c r="A31743" s="740"/>
    </row>
    <row r="31744" ht="14.25" customHeight="1">
      <c r="A31744" s="740"/>
    </row>
    <row r="31745" ht="14.25" customHeight="1">
      <c r="A31745" s="740"/>
    </row>
    <row r="31746" ht="14.25" customHeight="1">
      <c r="A31746" s="740"/>
    </row>
    <row r="31747" ht="14.25" customHeight="1">
      <c r="A31747" s="740"/>
    </row>
    <row r="31748" ht="14.25" customHeight="1">
      <c r="A31748" s="740"/>
    </row>
    <row r="31749" ht="14.25" customHeight="1">
      <c r="A31749" s="740"/>
    </row>
    <row r="31750" ht="14.25" customHeight="1">
      <c r="A31750" s="740"/>
    </row>
    <row r="31751" ht="14.25" customHeight="1">
      <c r="A31751" s="740"/>
    </row>
    <row r="31752" ht="14.25" customHeight="1">
      <c r="A31752" s="740"/>
    </row>
    <row r="31753" ht="14.25" customHeight="1">
      <c r="A31753" s="740"/>
    </row>
    <row r="31754" ht="14.25" customHeight="1">
      <c r="A31754" s="740"/>
    </row>
    <row r="31755" ht="14.25" customHeight="1">
      <c r="A31755" s="740"/>
    </row>
    <row r="31756" ht="14.25" customHeight="1">
      <c r="A31756" s="740"/>
    </row>
    <row r="31757" ht="14.25" customHeight="1">
      <c r="A31757" s="740"/>
    </row>
    <row r="31758" ht="14.25" customHeight="1">
      <c r="A31758" s="740"/>
    </row>
    <row r="31759" ht="14.25" customHeight="1">
      <c r="A31759" s="740"/>
    </row>
    <row r="31760" ht="14.25" customHeight="1">
      <c r="A31760" s="740"/>
    </row>
    <row r="31761" ht="14.25" customHeight="1">
      <c r="A31761" s="740"/>
    </row>
    <row r="31762" ht="14.25" customHeight="1">
      <c r="A31762" s="740"/>
    </row>
    <row r="31763" ht="14.25" customHeight="1">
      <c r="A31763" s="740"/>
    </row>
    <row r="31764" ht="14.25" customHeight="1">
      <c r="A31764" s="740"/>
    </row>
    <row r="31765" ht="14.25" customHeight="1">
      <c r="A31765" s="740"/>
    </row>
    <row r="31766" ht="14.25" customHeight="1">
      <c r="A31766" s="740"/>
    </row>
    <row r="31767" ht="14.25" customHeight="1">
      <c r="A31767" s="740"/>
    </row>
    <row r="31768" ht="14.25" customHeight="1">
      <c r="A31768" s="740"/>
    </row>
    <row r="31769" ht="14.25" customHeight="1">
      <c r="A31769" s="740"/>
    </row>
    <row r="31770" ht="14.25" customHeight="1">
      <c r="A31770" s="740"/>
    </row>
    <row r="31771" ht="14.25" customHeight="1">
      <c r="A31771" s="740"/>
    </row>
    <row r="31772" ht="14.25" customHeight="1">
      <c r="A31772" s="740"/>
    </row>
    <row r="31773" ht="14.25" customHeight="1">
      <c r="A31773" s="740"/>
    </row>
    <row r="31774" ht="14.25" customHeight="1">
      <c r="A31774" s="740"/>
    </row>
    <row r="31775" ht="14.25" customHeight="1">
      <c r="A31775" s="740"/>
    </row>
    <row r="31776" ht="14.25" customHeight="1">
      <c r="A31776" s="740"/>
    </row>
    <row r="31777" ht="14.25" customHeight="1">
      <c r="A31777" s="740"/>
    </row>
    <row r="31778" ht="14.25" customHeight="1">
      <c r="A31778" s="740"/>
    </row>
    <row r="31779" ht="14.25" customHeight="1">
      <c r="A31779" s="740"/>
    </row>
    <row r="31780" ht="14.25" customHeight="1">
      <c r="A31780" s="740"/>
    </row>
    <row r="31781" ht="14.25" customHeight="1">
      <c r="A31781" s="740"/>
    </row>
    <row r="31782" ht="14.25" customHeight="1">
      <c r="A31782" s="740"/>
    </row>
    <row r="31783" ht="14.25" customHeight="1">
      <c r="A31783" s="740"/>
    </row>
    <row r="31784" ht="14.25" customHeight="1">
      <c r="A31784" s="740"/>
    </row>
    <row r="31785" ht="14.25" customHeight="1">
      <c r="A31785" s="740"/>
    </row>
    <row r="31786" ht="14.25" customHeight="1">
      <c r="A31786" s="740"/>
    </row>
    <row r="31787" ht="14.25" customHeight="1">
      <c r="A31787" s="740"/>
    </row>
    <row r="31788" ht="14.25" customHeight="1">
      <c r="A31788" s="740"/>
    </row>
    <row r="31789" ht="14.25" customHeight="1">
      <c r="A31789" s="740"/>
    </row>
    <row r="31790" ht="14.25" customHeight="1">
      <c r="A31790" s="740"/>
    </row>
    <row r="31791" ht="14.25" customHeight="1">
      <c r="A31791" s="740"/>
    </row>
    <row r="31792" ht="14.25" customHeight="1">
      <c r="A31792" s="740"/>
    </row>
    <row r="31793" ht="14.25" customHeight="1">
      <c r="A31793" s="740"/>
    </row>
    <row r="31794" ht="14.25" customHeight="1">
      <c r="A31794" s="740"/>
    </row>
    <row r="31795" ht="14.25" customHeight="1">
      <c r="A31795" s="740"/>
    </row>
    <row r="31796" ht="14.25" customHeight="1">
      <c r="A31796" s="740"/>
    </row>
    <row r="31797" ht="14.25" customHeight="1">
      <c r="A31797" s="740"/>
    </row>
    <row r="31798" ht="14.25" customHeight="1">
      <c r="A31798" s="740"/>
    </row>
    <row r="31799" ht="14.25" customHeight="1">
      <c r="A31799" s="740"/>
    </row>
    <row r="31800" ht="14.25" customHeight="1">
      <c r="A31800" s="740"/>
    </row>
    <row r="31801" ht="14.25" customHeight="1">
      <c r="A31801" s="740"/>
    </row>
    <row r="31802" ht="14.25" customHeight="1">
      <c r="A31802" s="740"/>
    </row>
    <row r="31803" ht="14.25" customHeight="1">
      <c r="A31803" s="740"/>
    </row>
    <row r="31804" ht="14.25" customHeight="1">
      <c r="A31804" s="740"/>
    </row>
    <row r="31805" ht="14.25" customHeight="1">
      <c r="A31805" s="740"/>
    </row>
    <row r="31806" ht="14.25" customHeight="1">
      <c r="A31806" s="740"/>
    </row>
    <row r="31807" ht="14.25" customHeight="1">
      <c r="A31807" s="740"/>
    </row>
    <row r="31808" ht="14.25" customHeight="1">
      <c r="A31808" s="740"/>
    </row>
    <row r="31809" ht="14.25" customHeight="1">
      <c r="A31809" s="740"/>
    </row>
    <row r="31810" ht="14.25" customHeight="1">
      <c r="A31810" s="740"/>
    </row>
    <row r="31811" ht="14.25" customHeight="1">
      <c r="A31811" s="740"/>
    </row>
    <row r="31812" ht="14.25" customHeight="1">
      <c r="A31812" s="740"/>
    </row>
    <row r="31813" ht="14.25" customHeight="1">
      <c r="A31813" s="740"/>
    </row>
    <row r="31814" ht="14.25" customHeight="1">
      <c r="A31814" s="740"/>
    </row>
    <row r="31815" ht="14.25" customHeight="1">
      <c r="A31815" s="740"/>
    </row>
    <row r="31816" ht="14.25" customHeight="1">
      <c r="A31816" s="740"/>
    </row>
    <row r="31817" ht="14.25" customHeight="1">
      <c r="A31817" s="740"/>
    </row>
    <row r="31818" ht="14.25" customHeight="1">
      <c r="A31818" s="740"/>
    </row>
    <row r="31819" ht="14.25" customHeight="1">
      <c r="A31819" s="740"/>
    </row>
    <row r="31820" ht="14.25" customHeight="1">
      <c r="A31820" s="740"/>
    </row>
    <row r="31821" ht="14.25" customHeight="1">
      <c r="A31821" s="740"/>
    </row>
    <row r="31822" ht="14.25" customHeight="1">
      <c r="A31822" s="740"/>
    </row>
    <row r="31823" ht="14.25" customHeight="1">
      <c r="A31823" s="740"/>
    </row>
    <row r="31824" ht="14.25" customHeight="1">
      <c r="A31824" s="740"/>
    </row>
    <row r="31825" ht="14.25" customHeight="1">
      <c r="A31825" s="740"/>
    </row>
    <row r="31826" ht="14.25" customHeight="1">
      <c r="A31826" s="740"/>
    </row>
    <row r="31827" ht="14.25" customHeight="1">
      <c r="A31827" s="740"/>
    </row>
    <row r="31828" ht="14.25" customHeight="1">
      <c r="A31828" s="740"/>
    </row>
    <row r="31829" ht="14.25" customHeight="1">
      <c r="A31829" s="740"/>
    </row>
    <row r="31830" ht="14.25" customHeight="1">
      <c r="A31830" s="740"/>
    </row>
    <row r="31831" ht="14.25" customHeight="1">
      <c r="A31831" s="740"/>
    </row>
    <row r="31832" ht="14.25" customHeight="1">
      <c r="A31832" s="740"/>
    </row>
    <row r="31833" ht="14.25" customHeight="1">
      <c r="A31833" s="740"/>
    </row>
    <row r="31834" ht="14.25" customHeight="1">
      <c r="A31834" s="740"/>
    </row>
    <row r="31835" ht="14.25" customHeight="1">
      <c r="A31835" s="740"/>
    </row>
    <row r="31836" ht="14.25" customHeight="1">
      <c r="A31836" s="740"/>
    </row>
    <row r="31837" ht="14.25" customHeight="1">
      <c r="A31837" s="740"/>
    </row>
    <row r="31838" ht="14.25" customHeight="1">
      <c r="A31838" s="740"/>
    </row>
    <row r="31839" ht="14.25" customHeight="1">
      <c r="A31839" s="740"/>
    </row>
    <row r="31840" ht="14.25" customHeight="1">
      <c r="A31840" s="740"/>
    </row>
    <row r="31841" ht="14.25" customHeight="1">
      <c r="A31841" s="740"/>
    </row>
    <row r="31842" ht="14.25" customHeight="1">
      <c r="A31842" s="740"/>
    </row>
    <row r="31843" ht="14.25" customHeight="1">
      <c r="A31843" s="740"/>
    </row>
    <row r="31844" ht="14.25" customHeight="1">
      <c r="A31844" s="740"/>
    </row>
    <row r="31845" ht="14.25" customHeight="1">
      <c r="A31845" s="740"/>
    </row>
    <row r="31846" ht="14.25" customHeight="1">
      <c r="A31846" s="740"/>
    </row>
    <row r="31847" ht="14.25" customHeight="1">
      <c r="A31847" s="740"/>
    </row>
    <row r="31848" ht="14.25" customHeight="1">
      <c r="A31848" s="740"/>
    </row>
    <row r="31849" ht="14.25" customHeight="1">
      <c r="A31849" s="740"/>
    </row>
    <row r="31850" ht="14.25" customHeight="1">
      <c r="A31850" s="740"/>
    </row>
    <row r="31851" ht="14.25" customHeight="1">
      <c r="A31851" s="740"/>
    </row>
    <row r="31852" ht="14.25" customHeight="1">
      <c r="A31852" s="740"/>
    </row>
    <row r="31853" ht="14.25" customHeight="1">
      <c r="A31853" s="740"/>
    </row>
    <row r="31854" ht="14.25" customHeight="1">
      <c r="A31854" s="740"/>
    </row>
    <row r="31855" ht="14.25" customHeight="1">
      <c r="A31855" s="740"/>
    </row>
    <row r="31856" ht="14.25" customHeight="1">
      <c r="A31856" s="740"/>
    </row>
    <row r="31857" ht="14.25" customHeight="1">
      <c r="A31857" s="740"/>
    </row>
    <row r="31858" ht="14.25" customHeight="1">
      <c r="A31858" s="740"/>
    </row>
    <row r="31859" ht="14.25" customHeight="1">
      <c r="A31859" s="740"/>
    </row>
    <row r="31860" ht="14.25" customHeight="1">
      <c r="A31860" s="740"/>
    </row>
    <row r="31861" ht="14.25" customHeight="1">
      <c r="A31861" s="740"/>
    </row>
    <row r="31862" ht="14.25" customHeight="1">
      <c r="A31862" s="740"/>
    </row>
    <row r="31863" ht="14.25" customHeight="1">
      <c r="A31863" s="740"/>
    </row>
    <row r="31864" ht="14.25" customHeight="1">
      <c r="A31864" s="740"/>
    </row>
    <row r="31865" ht="14.25" customHeight="1">
      <c r="A31865" s="740"/>
    </row>
    <row r="31866" ht="14.25" customHeight="1">
      <c r="A31866" s="740"/>
    </row>
    <row r="31867" ht="14.25" customHeight="1">
      <c r="A31867" s="740"/>
    </row>
    <row r="31868" ht="14.25" customHeight="1">
      <c r="A31868" s="740"/>
    </row>
    <row r="31869" ht="14.25" customHeight="1">
      <c r="A31869" s="740"/>
    </row>
    <row r="31870" ht="14.25" customHeight="1">
      <c r="A31870" s="740"/>
    </row>
    <row r="31871" ht="14.25" customHeight="1">
      <c r="A31871" s="740"/>
    </row>
    <row r="31872" ht="14.25" customHeight="1">
      <c r="A31872" s="740"/>
    </row>
    <row r="31873" ht="14.25" customHeight="1">
      <c r="A31873" s="740"/>
    </row>
    <row r="31874" ht="14.25" customHeight="1">
      <c r="A31874" s="740"/>
    </row>
    <row r="31875" ht="14.25" customHeight="1">
      <c r="A31875" s="740"/>
    </row>
    <row r="31876" ht="14.25" customHeight="1">
      <c r="A31876" s="740"/>
    </row>
    <row r="31877" ht="14.25" customHeight="1">
      <c r="A31877" s="740"/>
    </row>
    <row r="31878" ht="14.25" customHeight="1">
      <c r="A31878" s="740"/>
    </row>
    <row r="31879" ht="14.25" customHeight="1">
      <c r="A31879" s="740"/>
    </row>
    <row r="31880" ht="14.25" customHeight="1">
      <c r="A31880" s="740"/>
    </row>
    <row r="31881" ht="14.25" customHeight="1">
      <c r="A31881" s="740"/>
    </row>
    <row r="31882" ht="14.25" customHeight="1">
      <c r="A31882" s="740"/>
    </row>
    <row r="31883" ht="14.25" customHeight="1">
      <c r="A31883" s="740"/>
    </row>
    <row r="31884" ht="14.25" customHeight="1">
      <c r="A31884" s="740"/>
    </row>
    <row r="31885" ht="14.25" customHeight="1">
      <c r="A31885" s="740"/>
    </row>
    <row r="31886" ht="14.25" customHeight="1">
      <c r="A31886" s="740"/>
    </row>
    <row r="31887" ht="14.25" customHeight="1">
      <c r="A31887" s="740"/>
    </row>
    <row r="31888" ht="14.25" customHeight="1">
      <c r="A31888" s="740"/>
    </row>
    <row r="31889" ht="14.25" customHeight="1">
      <c r="A31889" s="740"/>
    </row>
    <row r="31890" ht="14.25" customHeight="1">
      <c r="A31890" s="740"/>
    </row>
    <row r="31891" ht="14.25" customHeight="1">
      <c r="A31891" s="740"/>
    </row>
    <row r="31892" ht="14.25" customHeight="1">
      <c r="A31892" s="740"/>
    </row>
    <row r="31893" ht="14.25" customHeight="1">
      <c r="A31893" s="740"/>
    </row>
    <row r="31894" ht="14.25" customHeight="1">
      <c r="A31894" s="740"/>
    </row>
    <row r="31895" ht="14.25" customHeight="1">
      <c r="A31895" s="740"/>
    </row>
    <row r="31896" ht="14.25" customHeight="1">
      <c r="A31896" s="740"/>
    </row>
    <row r="31897" ht="14.25" customHeight="1">
      <c r="A31897" s="740"/>
    </row>
    <row r="31898" ht="14.25" customHeight="1">
      <c r="A31898" s="740"/>
    </row>
    <row r="31899" ht="14.25" customHeight="1">
      <c r="A31899" s="740"/>
    </row>
    <row r="31900" ht="14.25" customHeight="1">
      <c r="A31900" s="740"/>
    </row>
    <row r="31901" ht="14.25" customHeight="1">
      <c r="A31901" s="740"/>
    </row>
    <row r="31902" ht="14.25" customHeight="1">
      <c r="A31902" s="740"/>
    </row>
    <row r="31903" ht="14.25" customHeight="1">
      <c r="A31903" s="740"/>
    </row>
    <row r="31904" ht="14.25" customHeight="1">
      <c r="A31904" s="740"/>
    </row>
    <row r="31905" ht="14.25" customHeight="1">
      <c r="A31905" s="740"/>
    </row>
    <row r="31906" ht="14.25" customHeight="1">
      <c r="A31906" s="740"/>
    </row>
    <row r="31907" ht="14.25" customHeight="1">
      <c r="A31907" s="740"/>
    </row>
    <row r="31908" ht="14.25" customHeight="1">
      <c r="A31908" s="740"/>
    </row>
    <row r="31909" ht="14.25" customHeight="1">
      <c r="A31909" s="740"/>
    </row>
    <row r="31910" ht="14.25" customHeight="1">
      <c r="A31910" s="740"/>
    </row>
    <row r="31911" ht="14.25" customHeight="1">
      <c r="A31911" s="740"/>
    </row>
    <row r="31912" ht="14.25" customHeight="1">
      <c r="A31912" s="740"/>
    </row>
    <row r="31913" ht="14.25" customHeight="1">
      <c r="A31913" s="740"/>
    </row>
    <row r="31914" ht="14.25" customHeight="1">
      <c r="A31914" s="740"/>
    </row>
    <row r="31915" ht="14.25" customHeight="1">
      <c r="A31915" s="740"/>
    </row>
    <row r="31916" ht="14.25" customHeight="1">
      <c r="A31916" s="740"/>
    </row>
    <row r="31917" ht="14.25" customHeight="1">
      <c r="A31917" s="740"/>
    </row>
    <row r="31918" ht="14.25" customHeight="1">
      <c r="A31918" s="740"/>
    </row>
    <row r="31919" ht="14.25" customHeight="1">
      <c r="A31919" s="740"/>
    </row>
    <row r="31920" ht="14.25" customHeight="1">
      <c r="A31920" s="740"/>
    </row>
    <row r="31921" ht="14.25" customHeight="1">
      <c r="A31921" s="740"/>
    </row>
    <row r="31922" ht="14.25" customHeight="1">
      <c r="A31922" s="740"/>
    </row>
    <row r="31923" ht="14.25" customHeight="1">
      <c r="A31923" s="740"/>
    </row>
    <row r="31924" ht="14.25" customHeight="1">
      <c r="A31924" s="740"/>
    </row>
    <row r="31925" ht="14.25" customHeight="1">
      <c r="A31925" s="740"/>
    </row>
    <row r="31926" ht="14.25" customHeight="1">
      <c r="A31926" s="740"/>
    </row>
    <row r="31927" ht="14.25" customHeight="1">
      <c r="A31927" s="740"/>
    </row>
    <row r="31928" ht="14.25" customHeight="1">
      <c r="A31928" s="740"/>
    </row>
    <row r="31929" ht="14.25" customHeight="1">
      <c r="A31929" s="740"/>
    </row>
    <row r="31930" ht="14.25" customHeight="1">
      <c r="A31930" s="740"/>
    </row>
    <row r="31931" ht="14.25" customHeight="1">
      <c r="A31931" s="740"/>
    </row>
    <row r="31932" ht="14.25" customHeight="1">
      <c r="A31932" s="740"/>
    </row>
    <row r="31933" ht="14.25" customHeight="1">
      <c r="A31933" s="740"/>
    </row>
    <row r="31934" ht="14.25" customHeight="1">
      <c r="A31934" s="740"/>
    </row>
    <row r="31935" ht="14.25" customHeight="1">
      <c r="A31935" s="740"/>
    </row>
    <row r="31936" ht="14.25" customHeight="1">
      <c r="A31936" s="740"/>
    </row>
    <row r="31937" ht="14.25" customHeight="1">
      <c r="A31937" s="740"/>
    </row>
    <row r="31938" ht="14.25" customHeight="1">
      <c r="A31938" s="740"/>
    </row>
    <row r="31939" ht="14.25" customHeight="1">
      <c r="A31939" s="740"/>
    </row>
    <row r="31940" ht="14.25" customHeight="1">
      <c r="A31940" s="740"/>
    </row>
    <row r="31941" ht="14.25" customHeight="1">
      <c r="A31941" s="740"/>
    </row>
    <row r="31942" ht="14.25" customHeight="1">
      <c r="A31942" s="740"/>
    </row>
    <row r="31943" ht="14.25" customHeight="1">
      <c r="A31943" s="740"/>
    </row>
    <row r="31944" ht="14.25" customHeight="1">
      <c r="A31944" s="740"/>
    </row>
    <row r="31945" ht="14.25" customHeight="1">
      <c r="A31945" s="740"/>
    </row>
    <row r="31946" ht="14.25" customHeight="1">
      <c r="A31946" s="740"/>
    </row>
    <row r="31947" ht="14.25" customHeight="1">
      <c r="A31947" s="740"/>
    </row>
    <row r="31948" ht="14.25" customHeight="1">
      <c r="A31948" s="740"/>
    </row>
    <row r="31949" ht="14.25" customHeight="1">
      <c r="A31949" s="740"/>
    </row>
    <row r="31950" ht="14.25" customHeight="1">
      <c r="A31950" s="740"/>
    </row>
    <row r="31951" ht="14.25" customHeight="1">
      <c r="A31951" s="740"/>
    </row>
    <row r="31952" ht="14.25" customHeight="1">
      <c r="A31952" s="740"/>
    </row>
    <row r="31953" ht="14.25" customHeight="1">
      <c r="A31953" s="740"/>
    </row>
    <row r="31954" ht="14.25" customHeight="1">
      <c r="A31954" s="740"/>
    </row>
    <row r="31955" ht="14.25" customHeight="1">
      <c r="A31955" s="740"/>
    </row>
    <row r="31956" ht="14.25" customHeight="1">
      <c r="A31956" s="740"/>
    </row>
    <row r="31957" ht="14.25" customHeight="1">
      <c r="A31957" s="740"/>
    </row>
    <row r="31958" ht="14.25" customHeight="1">
      <c r="A31958" s="740"/>
    </row>
    <row r="31959" ht="14.25" customHeight="1">
      <c r="A31959" s="740"/>
    </row>
    <row r="31960" ht="14.25" customHeight="1">
      <c r="A31960" s="740"/>
    </row>
    <row r="31961" ht="14.25" customHeight="1">
      <c r="A31961" s="740"/>
    </row>
    <row r="31962" ht="14.25" customHeight="1">
      <c r="A31962" s="740"/>
    </row>
    <row r="31963" ht="14.25" customHeight="1">
      <c r="A31963" s="740"/>
    </row>
    <row r="31964" ht="14.25" customHeight="1">
      <c r="A31964" s="740"/>
    </row>
    <row r="31965" ht="14.25" customHeight="1">
      <c r="A31965" s="740"/>
    </row>
    <row r="31966" ht="14.25" customHeight="1">
      <c r="A31966" s="740"/>
    </row>
    <row r="31967" ht="14.25" customHeight="1">
      <c r="A31967" s="740"/>
    </row>
    <row r="31968" ht="14.25" customHeight="1">
      <c r="A31968" s="740"/>
    </row>
    <row r="31969" ht="14.25" customHeight="1">
      <c r="A31969" s="740"/>
    </row>
    <row r="31970" ht="14.25" customHeight="1">
      <c r="A31970" s="740"/>
    </row>
    <row r="31971" ht="14.25" customHeight="1">
      <c r="A31971" s="740"/>
    </row>
    <row r="31972" ht="14.25" customHeight="1">
      <c r="A31972" s="740"/>
    </row>
    <row r="31973" ht="14.25" customHeight="1">
      <c r="A31973" s="740"/>
    </row>
    <row r="31974" ht="14.25" customHeight="1">
      <c r="A31974" s="740"/>
    </row>
    <row r="31975" ht="14.25" customHeight="1">
      <c r="A31975" s="740"/>
    </row>
    <row r="31976" ht="14.25" customHeight="1">
      <c r="A31976" s="740"/>
    </row>
    <row r="31977" ht="14.25" customHeight="1">
      <c r="A31977" s="740"/>
    </row>
    <row r="31978" ht="14.25" customHeight="1">
      <c r="A31978" s="740"/>
    </row>
    <row r="31979" ht="14.25" customHeight="1">
      <c r="A31979" s="740"/>
    </row>
    <row r="31980" ht="14.25" customHeight="1">
      <c r="A31980" s="740"/>
    </row>
    <row r="31981" ht="14.25" customHeight="1">
      <c r="A31981" s="740"/>
    </row>
    <row r="31982" ht="14.25" customHeight="1">
      <c r="A31982" s="740"/>
    </row>
    <row r="31983" ht="14.25" customHeight="1">
      <c r="A31983" s="740"/>
    </row>
    <row r="31984" ht="14.25" customHeight="1">
      <c r="A31984" s="740"/>
    </row>
    <row r="31985" ht="14.25" customHeight="1">
      <c r="A31985" s="740"/>
    </row>
    <row r="31986" ht="14.25" customHeight="1">
      <c r="A31986" s="740"/>
    </row>
    <row r="31987" ht="14.25" customHeight="1">
      <c r="A31987" s="740"/>
    </row>
    <row r="31988" ht="14.25" customHeight="1">
      <c r="A31988" s="740"/>
    </row>
    <row r="31989" ht="14.25" customHeight="1">
      <c r="A31989" s="740"/>
    </row>
    <row r="31990" ht="14.25" customHeight="1">
      <c r="A31990" s="740"/>
    </row>
    <row r="31991" ht="14.25" customHeight="1">
      <c r="A31991" s="740"/>
    </row>
    <row r="31992" ht="14.25" customHeight="1">
      <c r="A31992" s="740"/>
    </row>
    <row r="31993" ht="14.25" customHeight="1">
      <c r="A31993" s="740"/>
    </row>
    <row r="31994" ht="14.25" customHeight="1">
      <c r="A31994" s="740"/>
    </row>
    <row r="31995" ht="14.25" customHeight="1">
      <c r="A31995" s="740"/>
    </row>
    <row r="31996" ht="14.25" customHeight="1">
      <c r="A31996" s="740"/>
    </row>
    <row r="31997" ht="14.25" customHeight="1">
      <c r="A31997" s="740"/>
    </row>
    <row r="31998" ht="14.25" customHeight="1">
      <c r="A31998" s="740"/>
    </row>
    <row r="31999" ht="14.25" customHeight="1">
      <c r="A31999" s="740"/>
    </row>
    <row r="32000" ht="14.25" customHeight="1">
      <c r="A32000" s="740"/>
    </row>
    <row r="32001" ht="14.25" customHeight="1">
      <c r="A32001" s="740"/>
    </row>
    <row r="32002" ht="14.25" customHeight="1">
      <c r="A32002" s="740"/>
    </row>
    <row r="32003" ht="14.25" customHeight="1">
      <c r="A32003" s="740"/>
    </row>
    <row r="32004" ht="14.25" customHeight="1">
      <c r="A32004" s="740"/>
    </row>
    <row r="32005" ht="14.25" customHeight="1">
      <c r="A32005" s="740"/>
    </row>
    <row r="32006" ht="14.25" customHeight="1">
      <c r="A32006" s="740"/>
    </row>
    <row r="32007" ht="14.25" customHeight="1">
      <c r="A32007" s="740"/>
    </row>
    <row r="32008" ht="14.25" customHeight="1">
      <c r="A32008" s="740"/>
    </row>
    <row r="32009" ht="14.25" customHeight="1">
      <c r="A32009" s="740"/>
    </row>
    <row r="32010" ht="14.25" customHeight="1">
      <c r="A32010" s="740"/>
    </row>
    <row r="32011" ht="14.25" customHeight="1">
      <c r="A32011" s="740"/>
    </row>
    <row r="32012" ht="14.25" customHeight="1">
      <c r="A32012" s="740"/>
    </row>
    <row r="32013" ht="14.25" customHeight="1">
      <c r="A32013" s="740"/>
    </row>
    <row r="32014" ht="14.25" customHeight="1">
      <c r="A32014" s="740"/>
    </row>
    <row r="32015" ht="14.25" customHeight="1">
      <c r="A32015" s="740"/>
    </row>
    <row r="32016" ht="14.25" customHeight="1">
      <c r="A32016" s="740"/>
    </row>
    <row r="32017" ht="14.25" customHeight="1">
      <c r="A32017" s="740"/>
    </row>
    <row r="32018" ht="14.25" customHeight="1">
      <c r="A32018" s="740"/>
    </row>
    <row r="32019" ht="14.25" customHeight="1">
      <c r="A32019" s="740"/>
    </row>
    <row r="32020" ht="14.25" customHeight="1">
      <c r="A32020" s="740"/>
    </row>
    <row r="32021" ht="14.25" customHeight="1">
      <c r="A32021" s="740"/>
    </row>
    <row r="32022" ht="14.25" customHeight="1">
      <c r="A32022" s="740"/>
    </row>
    <row r="32023" ht="14.25" customHeight="1">
      <c r="A32023" s="740"/>
    </row>
    <row r="32024" ht="14.25" customHeight="1">
      <c r="A32024" s="740"/>
    </row>
    <row r="32025" ht="14.25" customHeight="1">
      <c r="A32025" s="740"/>
    </row>
    <row r="32026" ht="14.25" customHeight="1">
      <c r="A32026" s="740"/>
    </row>
    <row r="32027" ht="14.25" customHeight="1">
      <c r="A32027" s="740"/>
    </row>
    <row r="32028" ht="14.25" customHeight="1">
      <c r="A32028" s="740"/>
    </row>
    <row r="32029" ht="14.25" customHeight="1">
      <c r="A32029" s="740"/>
    </row>
    <row r="32030" ht="14.25" customHeight="1">
      <c r="A32030" s="740"/>
    </row>
    <row r="32031" ht="14.25" customHeight="1">
      <c r="A32031" s="740"/>
    </row>
    <row r="32032" ht="14.25" customHeight="1">
      <c r="A32032" s="740"/>
    </row>
    <row r="32033" ht="14.25" customHeight="1">
      <c r="A32033" s="740"/>
    </row>
    <row r="32034" ht="14.25" customHeight="1">
      <c r="A32034" s="740"/>
    </row>
    <row r="32035" ht="14.25" customHeight="1">
      <c r="A32035" s="740"/>
    </row>
    <row r="32036" ht="14.25" customHeight="1">
      <c r="A32036" s="740"/>
    </row>
    <row r="32037" ht="14.25" customHeight="1">
      <c r="A32037" s="740"/>
    </row>
    <row r="32038" ht="14.25" customHeight="1">
      <c r="A32038" s="740"/>
    </row>
    <row r="32039" ht="14.25" customHeight="1">
      <c r="A32039" s="740"/>
    </row>
    <row r="32040" ht="14.25" customHeight="1">
      <c r="A32040" s="740"/>
    </row>
    <row r="32041" ht="14.25" customHeight="1">
      <c r="A32041" s="740"/>
    </row>
    <row r="32042" ht="14.25" customHeight="1">
      <c r="A32042" s="740"/>
    </row>
    <row r="32043" ht="14.25" customHeight="1">
      <c r="A32043" s="740"/>
    </row>
    <row r="32044" ht="14.25" customHeight="1">
      <c r="A32044" s="740"/>
    </row>
    <row r="32045" ht="14.25" customHeight="1">
      <c r="A32045" s="740"/>
    </row>
    <row r="32046" ht="14.25" customHeight="1">
      <c r="A32046" s="740"/>
    </row>
    <row r="32047" ht="14.25" customHeight="1">
      <c r="A32047" s="740"/>
    </row>
    <row r="32048" ht="14.25" customHeight="1">
      <c r="A32048" s="740"/>
    </row>
    <row r="32049" ht="14.25" customHeight="1">
      <c r="A32049" s="740"/>
    </row>
    <row r="32050" ht="14.25" customHeight="1">
      <c r="A32050" s="740"/>
    </row>
    <row r="32051" ht="14.25" customHeight="1">
      <c r="A32051" s="740"/>
    </row>
    <row r="32052" ht="14.25" customHeight="1">
      <c r="A32052" s="740"/>
    </row>
    <row r="32053" ht="14.25" customHeight="1">
      <c r="A32053" s="740"/>
    </row>
    <row r="32054" ht="14.25" customHeight="1">
      <c r="A32054" s="740"/>
    </row>
    <row r="32055" ht="14.25" customHeight="1">
      <c r="A32055" s="740"/>
    </row>
    <row r="32056" ht="14.25" customHeight="1">
      <c r="A32056" s="740"/>
    </row>
    <row r="32057" ht="14.25" customHeight="1">
      <c r="A32057" s="740"/>
    </row>
    <row r="32058" ht="14.25" customHeight="1">
      <c r="A32058" s="740"/>
    </row>
    <row r="32059" ht="14.25" customHeight="1">
      <c r="A32059" s="740"/>
    </row>
    <row r="32060" ht="14.25" customHeight="1">
      <c r="A32060" s="740"/>
    </row>
    <row r="32061" ht="14.25" customHeight="1">
      <c r="A32061" s="740"/>
    </row>
    <row r="32062" ht="14.25" customHeight="1">
      <c r="A32062" s="740"/>
    </row>
    <row r="32063" ht="14.25" customHeight="1">
      <c r="A32063" s="740"/>
    </row>
    <row r="32064" ht="14.25" customHeight="1">
      <c r="A32064" s="740"/>
    </row>
    <row r="32065" ht="14.25" customHeight="1">
      <c r="A32065" s="740"/>
    </row>
    <row r="32066" ht="14.25" customHeight="1">
      <c r="A32066" s="740"/>
    </row>
    <row r="32067" ht="14.25" customHeight="1">
      <c r="A32067" s="740"/>
    </row>
    <row r="32068" ht="14.25" customHeight="1">
      <c r="A32068" s="740"/>
    </row>
    <row r="32069" ht="14.25" customHeight="1">
      <c r="A32069" s="740"/>
    </row>
    <row r="32070" ht="14.25" customHeight="1">
      <c r="A32070" s="740"/>
    </row>
    <row r="32071" ht="14.25" customHeight="1">
      <c r="A32071" s="740"/>
    </row>
    <row r="32072" ht="14.25" customHeight="1">
      <c r="A32072" s="740"/>
    </row>
    <row r="32073" ht="14.25" customHeight="1">
      <c r="A32073" s="740"/>
    </row>
    <row r="32074" ht="14.25" customHeight="1">
      <c r="A32074" s="740"/>
    </row>
    <row r="32075" ht="14.25" customHeight="1">
      <c r="A32075" s="740"/>
    </row>
    <row r="32076" ht="14.25" customHeight="1">
      <c r="A32076" s="740"/>
    </row>
    <row r="32077" ht="14.25" customHeight="1">
      <c r="A32077" s="740"/>
    </row>
    <row r="32078" ht="14.25" customHeight="1">
      <c r="A32078" s="740"/>
    </row>
    <row r="32079" ht="14.25" customHeight="1">
      <c r="A32079" s="740"/>
    </row>
    <row r="32080" ht="14.25" customHeight="1">
      <c r="A32080" s="740"/>
    </row>
    <row r="32081" ht="14.25" customHeight="1">
      <c r="A32081" s="740"/>
    </row>
    <row r="32082" ht="14.25" customHeight="1">
      <c r="A32082" s="740"/>
    </row>
    <row r="32083" ht="14.25" customHeight="1">
      <c r="A32083" s="740"/>
    </row>
    <row r="32084" ht="14.25" customHeight="1">
      <c r="A32084" s="740"/>
    </row>
    <row r="32085" ht="14.25" customHeight="1">
      <c r="A32085" s="740"/>
    </row>
    <row r="32086" ht="14.25" customHeight="1">
      <c r="A32086" s="740"/>
    </row>
    <row r="32087" ht="14.25" customHeight="1">
      <c r="A32087" s="740"/>
    </row>
    <row r="32088" ht="14.25" customHeight="1">
      <c r="A32088" s="740"/>
    </row>
    <row r="32089" ht="14.25" customHeight="1">
      <c r="A32089" s="740"/>
    </row>
    <row r="32090" ht="14.25" customHeight="1">
      <c r="A32090" s="740"/>
    </row>
    <row r="32091" ht="14.25" customHeight="1">
      <c r="A32091" s="740"/>
    </row>
    <row r="32092" ht="14.25" customHeight="1">
      <c r="A32092" s="740"/>
    </row>
    <row r="32093" ht="14.25" customHeight="1">
      <c r="A32093" s="740"/>
    </row>
    <row r="32094" ht="14.25" customHeight="1">
      <c r="A32094" s="740"/>
    </row>
    <row r="32095" ht="14.25" customHeight="1">
      <c r="A32095" s="740"/>
    </row>
    <row r="32096" ht="14.25" customHeight="1">
      <c r="A32096" s="740"/>
    </row>
    <row r="32097" ht="14.25" customHeight="1">
      <c r="A32097" s="740"/>
    </row>
    <row r="32098" ht="14.25" customHeight="1">
      <c r="A32098" s="740"/>
    </row>
    <row r="32099" ht="14.25" customHeight="1">
      <c r="A32099" s="740"/>
    </row>
    <row r="32100" ht="14.25" customHeight="1">
      <c r="A32100" s="740"/>
    </row>
    <row r="32101" ht="14.25" customHeight="1">
      <c r="A32101" s="740"/>
    </row>
    <row r="32102" ht="14.25" customHeight="1">
      <c r="A32102" s="740"/>
    </row>
    <row r="32103" ht="14.25" customHeight="1">
      <c r="A32103" s="740"/>
    </row>
    <row r="32104" ht="14.25" customHeight="1">
      <c r="A32104" s="740"/>
    </row>
    <row r="32105" ht="14.25" customHeight="1">
      <c r="A32105" s="740"/>
    </row>
    <row r="32106" ht="14.25" customHeight="1">
      <c r="A32106" s="740"/>
    </row>
    <row r="32107" ht="14.25" customHeight="1">
      <c r="A32107" s="740"/>
    </row>
    <row r="32108" ht="14.25" customHeight="1">
      <c r="A32108" s="740"/>
    </row>
    <row r="32109" ht="14.25" customHeight="1">
      <c r="A32109" s="740"/>
    </row>
    <row r="32110" ht="14.25" customHeight="1">
      <c r="A32110" s="740"/>
    </row>
    <row r="32111" ht="14.25" customHeight="1">
      <c r="A32111" s="740"/>
    </row>
    <row r="32112" ht="14.25" customHeight="1">
      <c r="A32112" s="740"/>
    </row>
    <row r="32113" ht="14.25" customHeight="1">
      <c r="A32113" s="740"/>
    </row>
    <row r="32114" ht="14.25" customHeight="1">
      <c r="A32114" s="740"/>
    </row>
    <row r="32115" ht="14.25" customHeight="1">
      <c r="A32115" s="740"/>
    </row>
    <row r="32116" ht="14.25" customHeight="1">
      <c r="A32116" s="740"/>
    </row>
    <row r="32117" ht="14.25" customHeight="1">
      <c r="A32117" s="740"/>
    </row>
    <row r="32118" ht="14.25" customHeight="1">
      <c r="A32118" s="740"/>
    </row>
    <row r="32119" ht="14.25" customHeight="1">
      <c r="A32119" s="740"/>
    </row>
    <row r="32120" ht="14.25" customHeight="1">
      <c r="A32120" s="740"/>
    </row>
    <row r="32121" ht="14.25" customHeight="1">
      <c r="A32121" s="740"/>
    </row>
    <row r="32122" ht="14.25" customHeight="1">
      <c r="A32122" s="740"/>
    </row>
    <row r="32123" ht="14.25" customHeight="1">
      <c r="A32123" s="740"/>
    </row>
    <row r="32124" ht="14.25" customHeight="1">
      <c r="A32124" s="740"/>
    </row>
    <row r="32125" ht="14.25" customHeight="1">
      <c r="A32125" s="740"/>
    </row>
    <row r="32126" ht="14.25" customHeight="1">
      <c r="A32126" s="740"/>
    </row>
    <row r="32127" ht="14.25" customHeight="1">
      <c r="A32127" s="740"/>
    </row>
    <row r="32128" ht="14.25" customHeight="1">
      <c r="A32128" s="740"/>
    </row>
    <row r="32129" ht="14.25" customHeight="1">
      <c r="A32129" s="740"/>
    </row>
    <row r="32130" ht="14.25" customHeight="1">
      <c r="A32130" s="740"/>
    </row>
    <row r="32131" ht="14.25" customHeight="1">
      <c r="A32131" s="740"/>
    </row>
    <row r="32132" ht="14.25" customHeight="1">
      <c r="A32132" s="740"/>
    </row>
    <row r="32133" ht="14.25" customHeight="1">
      <c r="A32133" s="740"/>
    </row>
    <row r="32134" ht="14.25" customHeight="1">
      <c r="A32134" s="740"/>
    </row>
    <row r="32135" ht="14.25" customHeight="1">
      <c r="A32135" s="740"/>
    </row>
    <row r="32136" ht="14.25" customHeight="1">
      <c r="A32136" s="740"/>
    </row>
    <row r="32137" ht="14.25" customHeight="1">
      <c r="A32137" s="740"/>
    </row>
    <row r="32138" ht="14.25" customHeight="1">
      <c r="A32138" s="740"/>
    </row>
    <row r="32139" ht="14.25" customHeight="1">
      <c r="A32139" s="740"/>
    </row>
    <row r="32140" ht="14.25" customHeight="1">
      <c r="A32140" s="740"/>
    </row>
    <row r="32141" ht="14.25" customHeight="1">
      <c r="A32141" s="740"/>
    </row>
    <row r="32142" ht="14.25" customHeight="1">
      <c r="A32142" s="740"/>
    </row>
    <row r="32143" ht="14.25" customHeight="1">
      <c r="A32143" s="740"/>
    </row>
    <row r="32144" ht="14.25" customHeight="1">
      <c r="A32144" s="740"/>
    </row>
    <row r="32145" ht="14.25" customHeight="1">
      <c r="A32145" s="740"/>
    </row>
    <row r="32146" ht="14.25" customHeight="1">
      <c r="A32146" s="740"/>
    </row>
    <row r="32147" ht="14.25" customHeight="1">
      <c r="A32147" s="740"/>
    </row>
    <row r="32148" ht="14.25" customHeight="1">
      <c r="A32148" s="740"/>
    </row>
    <row r="32149" ht="14.25" customHeight="1">
      <c r="A32149" s="740"/>
    </row>
    <row r="32150" ht="14.25" customHeight="1">
      <c r="A32150" s="740"/>
    </row>
    <row r="32151" ht="14.25" customHeight="1">
      <c r="A32151" s="740"/>
    </row>
    <row r="32152" ht="14.25" customHeight="1">
      <c r="A32152" s="740"/>
    </row>
    <row r="32153" ht="14.25" customHeight="1">
      <c r="A32153" s="740"/>
    </row>
    <row r="32154" ht="14.25" customHeight="1">
      <c r="A32154" s="740"/>
    </row>
    <row r="32155" ht="14.25" customHeight="1">
      <c r="A32155" s="740"/>
    </row>
    <row r="32156" ht="14.25" customHeight="1">
      <c r="A32156" s="740"/>
    </row>
    <row r="32157" ht="14.25" customHeight="1">
      <c r="A32157" s="740"/>
    </row>
    <row r="32158" ht="14.25" customHeight="1">
      <c r="A32158" s="740"/>
    </row>
    <row r="32159" ht="14.25" customHeight="1">
      <c r="A32159" s="740"/>
    </row>
    <row r="32160" ht="14.25" customHeight="1">
      <c r="A32160" s="740"/>
    </row>
    <row r="32161" ht="14.25" customHeight="1">
      <c r="A32161" s="740"/>
    </row>
    <row r="32162" ht="14.25" customHeight="1">
      <c r="A32162" s="740"/>
    </row>
    <row r="32163" ht="14.25" customHeight="1">
      <c r="A32163" s="740"/>
    </row>
    <row r="32164" ht="14.25" customHeight="1">
      <c r="A32164" s="740"/>
    </row>
    <row r="32165" ht="14.25" customHeight="1">
      <c r="A32165" s="740"/>
    </row>
    <row r="32166" ht="14.25" customHeight="1">
      <c r="A32166" s="740"/>
    </row>
    <row r="32167" ht="14.25" customHeight="1">
      <c r="A32167" s="740"/>
    </row>
    <row r="32168" ht="14.25" customHeight="1">
      <c r="A32168" s="740"/>
    </row>
    <row r="32169" ht="14.25" customHeight="1">
      <c r="A32169" s="740"/>
    </row>
    <row r="32170" ht="14.25" customHeight="1">
      <c r="A32170" s="740"/>
    </row>
    <row r="32171" ht="14.25" customHeight="1">
      <c r="A32171" s="740"/>
    </row>
    <row r="32172" ht="14.25" customHeight="1">
      <c r="A32172" s="740"/>
    </row>
    <row r="32173" ht="14.25" customHeight="1">
      <c r="A32173" s="740"/>
    </row>
    <row r="32174" ht="14.25" customHeight="1">
      <c r="A32174" s="740"/>
    </row>
    <row r="32175" ht="14.25" customHeight="1">
      <c r="A32175" s="740"/>
    </row>
    <row r="32176" ht="14.25" customHeight="1">
      <c r="A32176" s="740"/>
    </row>
    <row r="32177" ht="14.25" customHeight="1">
      <c r="A32177" s="740"/>
    </row>
    <row r="32178" ht="14.25" customHeight="1">
      <c r="A32178" s="740"/>
    </row>
    <row r="32179" ht="14.25" customHeight="1">
      <c r="A32179" s="740"/>
    </row>
    <row r="32180" ht="14.25" customHeight="1">
      <c r="A32180" s="740"/>
    </row>
    <row r="32181" ht="14.25" customHeight="1">
      <c r="A32181" s="740"/>
    </row>
    <row r="32182" ht="14.25" customHeight="1">
      <c r="A32182" s="740"/>
    </row>
    <row r="32183" ht="14.25" customHeight="1">
      <c r="A32183" s="740"/>
    </row>
    <row r="32184" ht="14.25" customHeight="1">
      <c r="A32184" s="740"/>
    </row>
    <row r="32185" ht="14.25" customHeight="1">
      <c r="A32185" s="740"/>
    </row>
    <row r="32186" ht="14.25" customHeight="1">
      <c r="A32186" s="740"/>
    </row>
    <row r="32187" ht="14.25" customHeight="1">
      <c r="A32187" s="740"/>
    </row>
    <row r="32188" ht="14.25" customHeight="1">
      <c r="A32188" s="740"/>
    </row>
    <row r="32189" ht="14.25" customHeight="1">
      <c r="A32189" s="740"/>
    </row>
    <row r="32190" ht="14.25" customHeight="1">
      <c r="A32190" s="740"/>
    </row>
    <row r="32191" ht="14.25" customHeight="1">
      <c r="A32191" s="740"/>
    </row>
    <row r="32192" ht="14.25" customHeight="1">
      <c r="A32192" s="740"/>
    </row>
    <row r="32193" ht="14.25" customHeight="1">
      <c r="A32193" s="740"/>
    </row>
    <row r="32194" ht="14.25" customHeight="1">
      <c r="A32194" s="740"/>
    </row>
    <row r="32195" ht="14.25" customHeight="1">
      <c r="A32195" s="740"/>
    </row>
    <row r="32196" ht="14.25" customHeight="1">
      <c r="A32196" s="740"/>
    </row>
    <row r="32197" ht="14.25" customHeight="1">
      <c r="A32197" s="740"/>
    </row>
    <row r="32198" ht="14.25" customHeight="1">
      <c r="A32198" s="740"/>
    </row>
    <row r="32199" ht="14.25" customHeight="1">
      <c r="A32199" s="740"/>
    </row>
    <row r="32200" ht="14.25" customHeight="1">
      <c r="A32200" s="740"/>
    </row>
    <row r="32201" ht="14.25" customHeight="1">
      <c r="A32201" s="740"/>
    </row>
    <row r="32202" ht="14.25" customHeight="1">
      <c r="A32202" s="740"/>
    </row>
    <row r="32203" ht="14.25" customHeight="1">
      <c r="A32203" s="740"/>
    </row>
    <row r="32204" ht="14.25" customHeight="1">
      <c r="A32204" s="740"/>
    </row>
    <row r="32205" ht="14.25" customHeight="1">
      <c r="A32205" s="740"/>
    </row>
    <row r="32206" ht="14.25" customHeight="1">
      <c r="A32206" s="740"/>
    </row>
    <row r="32207" ht="14.25" customHeight="1">
      <c r="A32207" s="740"/>
    </row>
    <row r="32208" ht="14.25" customHeight="1">
      <c r="A32208" s="740"/>
    </row>
    <row r="32209" ht="14.25" customHeight="1">
      <c r="A32209" s="740"/>
    </row>
    <row r="32210" ht="14.25" customHeight="1">
      <c r="A32210" s="740"/>
    </row>
    <row r="32211" ht="14.25" customHeight="1">
      <c r="A32211" s="740"/>
    </row>
    <row r="32212" ht="14.25" customHeight="1">
      <c r="A32212" s="740"/>
    </row>
    <row r="32213" ht="14.25" customHeight="1">
      <c r="A32213" s="740"/>
    </row>
    <row r="32214" ht="14.25" customHeight="1">
      <c r="A32214" s="740"/>
    </row>
    <row r="32215" ht="14.25" customHeight="1">
      <c r="A32215" s="740"/>
    </row>
    <row r="32216" ht="14.25" customHeight="1">
      <c r="A32216" s="740"/>
    </row>
    <row r="32217" ht="14.25" customHeight="1">
      <c r="A32217" s="740"/>
    </row>
    <row r="32218" ht="14.25" customHeight="1">
      <c r="A32218" s="740"/>
    </row>
    <row r="32219" ht="14.25" customHeight="1">
      <c r="A32219" s="740"/>
    </row>
    <row r="32220" ht="14.25" customHeight="1">
      <c r="A32220" s="740"/>
    </row>
    <row r="32221" ht="14.25" customHeight="1">
      <c r="A32221" s="740"/>
    </row>
    <row r="32222" ht="14.25" customHeight="1">
      <c r="A32222" s="740"/>
    </row>
    <row r="32223" ht="14.25" customHeight="1">
      <c r="A32223" s="740"/>
    </row>
    <row r="32224" ht="14.25" customHeight="1">
      <c r="A32224" s="740"/>
    </row>
    <row r="32225" ht="14.25" customHeight="1">
      <c r="A32225" s="740"/>
    </row>
    <row r="32226" ht="14.25" customHeight="1">
      <c r="A32226" s="740"/>
    </row>
    <row r="32227" ht="14.25" customHeight="1">
      <c r="A32227" s="740"/>
    </row>
    <row r="32228" ht="14.25" customHeight="1">
      <c r="A32228" s="740"/>
    </row>
    <row r="32229" ht="14.25" customHeight="1">
      <c r="A32229" s="740"/>
    </row>
    <row r="32230" ht="14.25" customHeight="1">
      <c r="A32230" s="740"/>
    </row>
    <row r="32231" ht="14.25" customHeight="1">
      <c r="A32231" s="740"/>
    </row>
    <row r="32232" ht="14.25" customHeight="1">
      <c r="A32232" s="740"/>
    </row>
    <row r="32233" ht="14.25" customHeight="1">
      <c r="A32233" s="740"/>
    </row>
    <row r="32234" ht="14.25" customHeight="1">
      <c r="A32234" s="740"/>
    </row>
    <row r="32235" ht="14.25" customHeight="1">
      <c r="A32235" s="740"/>
    </row>
    <row r="32236" ht="14.25" customHeight="1">
      <c r="A32236" s="740"/>
    </row>
    <row r="32237" ht="14.25" customHeight="1">
      <c r="A32237" s="740"/>
    </row>
    <row r="32238" ht="14.25" customHeight="1">
      <c r="A32238" s="740"/>
    </row>
    <row r="32239" ht="14.25" customHeight="1">
      <c r="A32239" s="740"/>
    </row>
    <row r="32240" ht="14.25" customHeight="1">
      <c r="A32240" s="740"/>
    </row>
    <row r="32241" ht="14.25" customHeight="1">
      <c r="A32241" s="740"/>
    </row>
    <row r="32242" ht="14.25" customHeight="1">
      <c r="A32242" s="740"/>
    </row>
    <row r="32243" ht="14.25" customHeight="1">
      <c r="A32243" s="740"/>
    </row>
    <row r="32244" ht="14.25" customHeight="1">
      <c r="A32244" s="740"/>
    </row>
    <row r="32245" ht="14.25" customHeight="1">
      <c r="A32245" s="740"/>
    </row>
    <row r="32246" ht="14.25" customHeight="1">
      <c r="A32246" s="740"/>
    </row>
    <row r="32247" ht="14.25" customHeight="1">
      <c r="A32247" s="740"/>
    </row>
    <row r="32248" ht="14.25" customHeight="1">
      <c r="A32248" s="740"/>
    </row>
    <row r="32249" ht="14.25" customHeight="1">
      <c r="A32249" s="740"/>
    </row>
    <row r="32250" ht="14.25" customHeight="1">
      <c r="A32250" s="740"/>
    </row>
    <row r="32251" ht="14.25" customHeight="1">
      <c r="A32251" s="740"/>
    </row>
    <row r="32252" ht="14.25" customHeight="1">
      <c r="A32252" s="740"/>
    </row>
    <row r="32253" ht="14.25" customHeight="1">
      <c r="A32253" s="740"/>
    </row>
    <row r="32254" ht="14.25" customHeight="1">
      <c r="A32254" s="740"/>
    </row>
    <row r="32255" ht="14.25" customHeight="1">
      <c r="A32255" s="740"/>
    </row>
    <row r="32256" ht="14.25" customHeight="1">
      <c r="A32256" s="740"/>
    </row>
    <row r="32257" ht="14.25" customHeight="1">
      <c r="A32257" s="740"/>
    </row>
    <row r="32258" ht="14.25" customHeight="1">
      <c r="A32258" s="740"/>
    </row>
    <row r="32259" ht="14.25" customHeight="1">
      <c r="A32259" s="740"/>
    </row>
    <row r="32260" ht="14.25" customHeight="1">
      <c r="A32260" s="740"/>
    </row>
    <row r="32261" ht="14.25" customHeight="1">
      <c r="A32261" s="740"/>
    </row>
    <row r="32262" ht="14.25" customHeight="1">
      <c r="A32262" s="740"/>
    </row>
    <row r="32263" ht="14.25" customHeight="1">
      <c r="A32263" s="740"/>
    </row>
    <row r="32264" ht="14.25" customHeight="1">
      <c r="A32264" s="740"/>
    </row>
    <row r="32265" ht="14.25" customHeight="1">
      <c r="A32265" s="740"/>
    </row>
    <row r="32266" ht="14.25" customHeight="1">
      <c r="A32266" s="740"/>
    </row>
    <row r="32267" ht="14.25" customHeight="1">
      <c r="A32267" s="740"/>
    </row>
    <row r="32268" ht="14.25" customHeight="1">
      <c r="A32268" s="740"/>
    </row>
    <row r="32269" ht="14.25" customHeight="1">
      <c r="A32269" s="740"/>
    </row>
    <row r="32270" ht="14.25" customHeight="1">
      <c r="A32270" s="740"/>
    </row>
    <row r="32271" ht="14.25" customHeight="1">
      <c r="A32271" s="740"/>
    </row>
    <row r="32272" ht="14.25" customHeight="1">
      <c r="A32272" s="740"/>
    </row>
    <row r="32273" ht="14.25" customHeight="1">
      <c r="A32273" s="740"/>
    </row>
    <row r="32274" ht="14.25" customHeight="1">
      <c r="A32274" s="740"/>
    </row>
    <row r="32275" ht="14.25" customHeight="1">
      <c r="A32275" s="740"/>
    </row>
    <row r="32276" ht="14.25" customHeight="1">
      <c r="A32276" s="740"/>
    </row>
    <row r="32277" ht="14.25" customHeight="1">
      <c r="A32277" s="740"/>
    </row>
    <row r="32278" ht="14.25" customHeight="1">
      <c r="A32278" s="740"/>
    </row>
    <row r="32279" ht="14.25" customHeight="1">
      <c r="A32279" s="740"/>
    </row>
    <row r="32280" ht="14.25" customHeight="1">
      <c r="A32280" s="740"/>
    </row>
    <row r="32281" ht="14.25" customHeight="1">
      <c r="A32281" s="740"/>
    </row>
    <row r="32282" ht="14.25" customHeight="1">
      <c r="A32282" s="740"/>
    </row>
    <row r="32283" ht="14.25" customHeight="1">
      <c r="A32283" s="740"/>
    </row>
    <row r="32284" ht="14.25" customHeight="1">
      <c r="A32284" s="740"/>
    </row>
    <row r="32285" ht="14.25" customHeight="1">
      <c r="A32285" s="740"/>
    </row>
    <row r="32286" ht="14.25" customHeight="1">
      <c r="A32286" s="740"/>
    </row>
    <row r="32287" ht="14.25" customHeight="1">
      <c r="A32287" s="740"/>
    </row>
    <row r="32288" ht="14.25" customHeight="1">
      <c r="A32288" s="740"/>
    </row>
    <row r="32289" ht="14.25" customHeight="1">
      <c r="A32289" s="740"/>
    </row>
    <row r="32290" ht="14.25" customHeight="1">
      <c r="A32290" s="740"/>
    </row>
    <row r="32291" ht="14.25" customHeight="1">
      <c r="A32291" s="740"/>
    </row>
    <row r="32292" ht="14.25" customHeight="1">
      <c r="A32292" s="740"/>
    </row>
    <row r="32293" ht="14.25" customHeight="1">
      <c r="A32293" s="740"/>
    </row>
    <row r="32294" ht="14.25" customHeight="1">
      <c r="A32294" s="740"/>
    </row>
    <row r="32295" ht="14.25" customHeight="1">
      <c r="A32295" s="740"/>
    </row>
    <row r="32296" ht="14.25" customHeight="1">
      <c r="A32296" s="740"/>
    </row>
    <row r="32297" ht="14.25" customHeight="1">
      <c r="A32297" s="740"/>
    </row>
    <row r="32298" ht="14.25" customHeight="1">
      <c r="A32298" s="740"/>
    </row>
    <row r="32299" ht="14.25" customHeight="1">
      <c r="A32299" s="740"/>
    </row>
    <row r="32300" ht="14.25" customHeight="1">
      <c r="A32300" s="740"/>
    </row>
    <row r="32301" ht="14.25" customHeight="1">
      <c r="A32301" s="740"/>
    </row>
    <row r="32302" ht="14.25" customHeight="1">
      <c r="A32302" s="740"/>
    </row>
    <row r="32303" ht="14.25" customHeight="1">
      <c r="A32303" s="740"/>
    </row>
    <row r="32304" ht="14.25" customHeight="1">
      <c r="A32304" s="740"/>
    </row>
    <row r="32305" ht="14.25" customHeight="1">
      <c r="A32305" s="740"/>
    </row>
    <row r="32306" ht="14.25" customHeight="1">
      <c r="A32306" s="740"/>
    </row>
    <row r="32307" ht="14.25" customHeight="1">
      <c r="A32307" s="740"/>
    </row>
    <row r="32308" ht="14.25" customHeight="1">
      <c r="A32308" s="740"/>
    </row>
    <row r="32309" ht="14.25" customHeight="1">
      <c r="A32309" s="740"/>
    </row>
    <row r="32310" ht="14.25" customHeight="1">
      <c r="A32310" s="740"/>
    </row>
    <row r="32311" ht="14.25" customHeight="1">
      <c r="A32311" s="740"/>
    </row>
    <row r="32312" ht="14.25" customHeight="1">
      <c r="A32312" s="740"/>
    </row>
    <row r="32313" ht="14.25" customHeight="1">
      <c r="A32313" s="740"/>
    </row>
    <row r="32314" ht="14.25" customHeight="1">
      <c r="A32314" s="740"/>
    </row>
    <row r="32315" ht="14.25" customHeight="1">
      <c r="A32315" s="740"/>
    </row>
    <row r="32316" ht="14.25" customHeight="1">
      <c r="A32316" s="740"/>
    </row>
    <row r="32317" ht="14.25" customHeight="1">
      <c r="A32317" s="740"/>
    </row>
    <row r="32318" ht="14.25" customHeight="1">
      <c r="A32318" s="740"/>
    </row>
    <row r="32319" ht="14.25" customHeight="1">
      <c r="A32319" s="740"/>
    </row>
    <row r="32320" ht="14.25" customHeight="1">
      <c r="A32320" s="740"/>
    </row>
    <row r="32321" ht="14.25" customHeight="1">
      <c r="A32321" s="740"/>
    </row>
    <row r="32322" ht="14.25" customHeight="1">
      <c r="A32322" s="740"/>
    </row>
    <row r="32323" ht="14.25" customHeight="1">
      <c r="A32323" s="740"/>
    </row>
    <row r="32324" ht="14.25" customHeight="1">
      <c r="A32324" s="740"/>
    </row>
    <row r="32325" ht="14.25" customHeight="1">
      <c r="A32325" s="740"/>
    </row>
    <row r="32326" ht="14.25" customHeight="1">
      <c r="A32326" s="740"/>
    </row>
    <row r="32327" ht="14.25" customHeight="1">
      <c r="A32327" s="740"/>
    </row>
    <row r="32328" ht="14.25" customHeight="1">
      <c r="A32328" s="740"/>
    </row>
    <row r="32329" ht="14.25" customHeight="1">
      <c r="A32329" s="740"/>
    </row>
    <row r="32330" ht="14.25" customHeight="1">
      <c r="A32330" s="740"/>
    </row>
    <row r="32331" ht="14.25" customHeight="1">
      <c r="A32331" s="740"/>
    </row>
    <row r="32332" ht="14.25" customHeight="1">
      <c r="A32332" s="740"/>
    </row>
    <row r="32333" ht="14.25" customHeight="1">
      <c r="A32333" s="740"/>
    </row>
    <row r="32334" ht="14.25" customHeight="1">
      <c r="A32334" s="740"/>
    </row>
    <row r="32335" ht="14.25" customHeight="1">
      <c r="A32335" s="740"/>
    </row>
    <row r="32336" ht="14.25" customHeight="1">
      <c r="A32336" s="740"/>
    </row>
    <row r="32337" ht="14.25" customHeight="1">
      <c r="A32337" s="740"/>
    </row>
    <row r="32338" ht="14.25" customHeight="1">
      <c r="A32338" s="740"/>
    </row>
    <row r="32339" ht="14.25" customHeight="1">
      <c r="A32339" s="740"/>
    </row>
    <row r="32340" ht="14.25" customHeight="1">
      <c r="A32340" s="740"/>
    </row>
    <row r="32341" ht="14.25" customHeight="1">
      <c r="A32341" s="740"/>
    </row>
    <row r="32342" ht="14.25" customHeight="1">
      <c r="A32342" s="740"/>
    </row>
    <row r="32343" ht="14.25" customHeight="1">
      <c r="A32343" s="740"/>
    </row>
    <row r="32344" ht="14.25" customHeight="1">
      <c r="A32344" s="740"/>
    </row>
    <row r="32345" ht="14.25" customHeight="1">
      <c r="A32345" s="740"/>
    </row>
    <row r="32346" ht="14.25" customHeight="1">
      <c r="A32346" s="740"/>
    </row>
    <row r="32347" ht="14.25" customHeight="1">
      <c r="A32347" s="740"/>
    </row>
    <row r="32348" ht="14.25" customHeight="1">
      <c r="A32348" s="740"/>
    </row>
    <row r="32349" ht="14.25" customHeight="1">
      <c r="A32349" s="740"/>
    </row>
    <row r="32350" ht="14.25" customHeight="1">
      <c r="A32350" s="740"/>
    </row>
    <row r="32351" ht="14.25" customHeight="1">
      <c r="A32351" s="740"/>
    </row>
    <row r="32352" ht="14.25" customHeight="1">
      <c r="A32352" s="740"/>
    </row>
    <row r="32353" ht="14.25" customHeight="1">
      <c r="A32353" s="740"/>
    </row>
    <row r="32354" ht="14.25" customHeight="1">
      <c r="A32354" s="740"/>
    </row>
    <row r="32355" ht="14.25" customHeight="1">
      <c r="A32355" s="740"/>
    </row>
    <row r="32356" ht="14.25" customHeight="1">
      <c r="A32356" s="740"/>
    </row>
    <row r="32357" ht="14.25" customHeight="1">
      <c r="A32357" s="740"/>
    </row>
    <row r="32358" ht="14.25" customHeight="1">
      <c r="A32358" s="740"/>
    </row>
    <row r="32359" ht="14.25" customHeight="1">
      <c r="A32359" s="740"/>
    </row>
    <row r="32360" ht="14.25" customHeight="1">
      <c r="A32360" s="740"/>
    </row>
    <row r="32361" ht="14.25" customHeight="1">
      <c r="A32361" s="740"/>
    </row>
    <row r="32362" ht="14.25" customHeight="1">
      <c r="A32362" s="740"/>
    </row>
    <row r="32363" ht="14.25" customHeight="1">
      <c r="A32363" s="740"/>
    </row>
    <row r="32364" ht="14.25" customHeight="1">
      <c r="A32364" s="740"/>
    </row>
    <row r="32365" ht="14.25" customHeight="1">
      <c r="A32365" s="740"/>
    </row>
    <row r="32366" ht="14.25" customHeight="1">
      <c r="A32366" s="740"/>
    </row>
    <row r="32367" ht="14.25" customHeight="1">
      <c r="A32367" s="740"/>
    </row>
    <row r="32368" ht="14.25" customHeight="1">
      <c r="A32368" s="740"/>
    </row>
    <row r="32369" ht="14.25" customHeight="1">
      <c r="A32369" s="740"/>
    </row>
    <row r="32370" ht="14.25" customHeight="1">
      <c r="A32370" s="740"/>
    </row>
    <row r="32371" ht="14.25" customHeight="1">
      <c r="A32371" s="740"/>
    </row>
    <row r="32372" ht="14.25" customHeight="1">
      <c r="A32372" s="740"/>
    </row>
    <row r="32373" ht="14.25" customHeight="1">
      <c r="A32373" s="740"/>
    </row>
    <row r="32374" ht="14.25" customHeight="1">
      <c r="A32374" s="740"/>
    </row>
    <row r="32375" ht="14.25" customHeight="1">
      <c r="A32375" s="740"/>
    </row>
    <row r="32376" ht="14.25" customHeight="1">
      <c r="A32376" s="740"/>
    </row>
    <row r="32377" ht="14.25" customHeight="1">
      <c r="A32377" s="740"/>
    </row>
    <row r="32378" ht="14.25" customHeight="1">
      <c r="A32378" s="740"/>
    </row>
    <row r="32379" ht="14.25" customHeight="1">
      <c r="A32379" s="740"/>
    </row>
    <row r="32380" ht="14.25" customHeight="1">
      <c r="A32380" s="740"/>
    </row>
    <row r="32381" ht="14.25" customHeight="1">
      <c r="A32381" s="740"/>
    </row>
    <row r="32382" ht="14.25" customHeight="1">
      <c r="A32382" s="740"/>
    </row>
    <row r="32383" ht="14.25" customHeight="1">
      <c r="A32383" s="740"/>
    </row>
    <row r="32384" ht="14.25" customHeight="1">
      <c r="A32384" s="740"/>
    </row>
    <row r="32385" ht="14.25" customHeight="1">
      <c r="A32385" s="740"/>
    </row>
    <row r="32386" ht="14.25" customHeight="1">
      <c r="A32386" s="740"/>
    </row>
    <row r="32387" ht="14.25" customHeight="1">
      <c r="A32387" s="740"/>
    </row>
    <row r="32388" ht="14.25" customHeight="1">
      <c r="A32388" s="740"/>
    </row>
    <row r="32389" ht="14.25" customHeight="1">
      <c r="A32389" s="740"/>
    </row>
    <row r="32390" ht="14.25" customHeight="1">
      <c r="A32390" s="740"/>
    </row>
    <row r="32391" ht="14.25" customHeight="1">
      <c r="A32391" s="740"/>
    </row>
    <row r="32392" ht="14.25" customHeight="1">
      <c r="A32392" s="740"/>
    </row>
    <row r="32393" ht="14.25" customHeight="1">
      <c r="A32393" s="740"/>
    </row>
    <row r="32394" ht="14.25" customHeight="1">
      <c r="A32394" s="740"/>
    </row>
    <row r="32395" ht="14.25" customHeight="1">
      <c r="A32395" s="740"/>
    </row>
    <row r="32396" ht="14.25" customHeight="1">
      <c r="A32396" s="740"/>
    </row>
    <row r="32397" ht="14.25" customHeight="1">
      <c r="A32397" s="740"/>
    </row>
    <row r="32398" ht="14.25" customHeight="1">
      <c r="A32398" s="740"/>
    </row>
    <row r="32399" ht="14.25" customHeight="1">
      <c r="A32399" s="740"/>
    </row>
    <row r="32400" ht="14.25" customHeight="1">
      <c r="A32400" s="740"/>
    </row>
    <row r="32401" ht="14.25" customHeight="1">
      <c r="A32401" s="740"/>
    </row>
    <row r="32402" ht="14.25" customHeight="1">
      <c r="A32402" s="740"/>
    </row>
    <row r="32403" ht="14.25" customHeight="1">
      <c r="A32403" s="740"/>
    </row>
    <row r="32404" ht="14.25" customHeight="1">
      <c r="A32404" s="740"/>
    </row>
    <row r="32405" ht="14.25" customHeight="1">
      <c r="A32405" s="740"/>
    </row>
    <row r="32406" ht="14.25" customHeight="1">
      <c r="A32406" s="740"/>
    </row>
    <row r="32407" ht="14.25" customHeight="1">
      <c r="A32407" s="740"/>
    </row>
    <row r="32408" ht="14.25" customHeight="1">
      <c r="A32408" s="740"/>
    </row>
    <row r="32409" ht="14.25" customHeight="1">
      <c r="A32409" s="740"/>
    </row>
    <row r="32410" ht="14.25" customHeight="1">
      <c r="A32410" s="740"/>
    </row>
    <row r="32411" ht="14.25" customHeight="1">
      <c r="A32411" s="740"/>
    </row>
    <row r="32412" ht="14.25" customHeight="1">
      <c r="A32412" s="740"/>
    </row>
    <row r="32413" ht="14.25" customHeight="1">
      <c r="A32413" s="740"/>
    </row>
    <row r="32414" ht="14.25" customHeight="1">
      <c r="A32414" s="740"/>
    </row>
    <row r="32415" ht="14.25" customHeight="1">
      <c r="A32415" s="740"/>
    </row>
    <row r="32416" ht="14.25" customHeight="1">
      <c r="A32416" s="740"/>
    </row>
    <row r="32417" ht="14.25" customHeight="1">
      <c r="A32417" s="740"/>
    </row>
    <row r="32418" ht="14.25" customHeight="1">
      <c r="A32418" s="740"/>
    </row>
    <row r="32419" ht="14.25" customHeight="1">
      <c r="A32419" s="740"/>
    </row>
    <row r="32420" ht="14.25" customHeight="1">
      <c r="A32420" s="740"/>
    </row>
    <row r="32421" ht="14.25" customHeight="1">
      <c r="A32421" s="740"/>
    </row>
    <row r="32422" ht="14.25" customHeight="1">
      <c r="A32422" s="740"/>
    </row>
    <row r="32423" ht="14.25" customHeight="1">
      <c r="A32423" s="740"/>
    </row>
    <row r="32424" ht="14.25" customHeight="1">
      <c r="A32424" s="740"/>
    </row>
    <row r="32425" ht="14.25" customHeight="1">
      <c r="A32425" s="740"/>
    </row>
    <row r="32426" ht="14.25" customHeight="1">
      <c r="A32426" s="740"/>
    </row>
    <row r="32427" ht="14.25" customHeight="1">
      <c r="A32427" s="740"/>
    </row>
    <row r="32428" ht="14.25" customHeight="1">
      <c r="A32428" s="740"/>
    </row>
    <row r="32429" ht="14.25" customHeight="1">
      <c r="A32429" s="740"/>
    </row>
    <row r="32430" ht="14.25" customHeight="1">
      <c r="A32430" s="740"/>
    </row>
    <row r="32431" ht="14.25" customHeight="1">
      <c r="A32431" s="740"/>
    </row>
    <row r="32432" ht="14.25" customHeight="1">
      <c r="A32432" s="740"/>
    </row>
    <row r="32433" ht="14.25" customHeight="1">
      <c r="A32433" s="740"/>
    </row>
    <row r="32434" ht="14.25" customHeight="1">
      <c r="A32434" s="740"/>
    </row>
    <row r="32435" ht="14.25" customHeight="1">
      <c r="A32435" s="740"/>
    </row>
    <row r="32436" ht="14.25" customHeight="1">
      <c r="A32436" s="740"/>
    </row>
    <row r="32437" ht="14.25" customHeight="1">
      <c r="A32437" s="740"/>
    </row>
    <row r="32438" ht="14.25" customHeight="1">
      <c r="A32438" s="740"/>
    </row>
    <row r="32439" ht="14.25" customHeight="1">
      <c r="A32439" s="740"/>
    </row>
    <row r="32440" ht="14.25" customHeight="1">
      <c r="A32440" s="740"/>
    </row>
    <row r="32441" ht="14.25" customHeight="1">
      <c r="A32441" s="740"/>
    </row>
    <row r="32442" ht="14.25" customHeight="1">
      <c r="A32442" s="740"/>
    </row>
    <row r="32443" ht="14.25" customHeight="1">
      <c r="A32443" s="740"/>
    </row>
    <row r="32444" ht="14.25" customHeight="1">
      <c r="A32444" s="740"/>
    </row>
    <row r="32445" ht="14.25" customHeight="1">
      <c r="A32445" s="740"/>
    </row>
    <row r="32446" ht="14.25" customHeight="1">
      <c r="A32446" s="740"/>
    </row>
    <row r="32447" ht="14.25" customHeight="1">
      <c r="A32447" s="740"/>
    </row>
    <row r="32448" ht="14.25" customHeight="1">
      <c r="A32448" s="740"/>
    </row>
    <row r="32449" ht="14.25" customHeight="1">
      <c r="A32449" s="740"/>
    </row>
    <row r="32450" ht="14.25" customHeight="1">
      <c r="A32450" s="740"/>
    </row>
    <row r="32451" ht="14.25" customHeight="1">
      <c r="A32451" s="740"/>
    </row>
    <row r="32452" ht="14.25" customHeight="1">
      <c r="A32452" s="740"/>
    </row>
    <row r="32453" ht="14.25" customHeight="1">
      <c r="A32453" s="740"/>
    </row>
    <row r="32454" ht="14.25" customHeight="1">
      <c r="A32454" s="740"/>
    </row>
    <row r="32455" ht="14.25" customHeight="1">
      <c r="A32455" s="740"/>
    </row>
    <row r="32456" ht="14.25" customHeight="1">
      <c r="A32456" s="740"/>
    </row>
    <row r="32457" ht="14.25" customHeight="1">
      <c r="A32457" s="740"/>
    </row>
    <row r="32458" ht="14.25" customHeight="1">
      <c r="A32458" s="740"/>
    </row>
    <row r="32459" ht="14.25" customHeight="1">
      <c r="A32459" s="740"/>
    </row>
    <row r="32460" ht="14.25" customHeight="1">
      <c r="A32460" s="740"/>
    </row>
    <row r="32461" ht="14.25" customHeight="1">
      <c r="A32461" s="740"/>
    </row>
    <row r="32462" ht="14.25" customHeight="1">
      <c r="A32462" s="740"/>
    </row>
    <row r="32463" ht="14.25" customHeight="1">
      <c r="A32463" s="740"/>
    </row>
    <row r="32464" ht="14.25" customHeight="1">
      <c r="A32464" s="740"/>
    </row>
    <row r="32465" ht="14.25" customHeight="1">
      <c r="A32465" s="740"/>
    </row>
    <row r="32466" ht="14.25" customHeight="1">
      <c r="A32466" s="740"/>
    </row>
    <row r="32467" ht="14.25" customHeight="1">
      <c r="A32467" s="740"/>
    </row>
    <row r="32468" ht="14.25" customHeight="1">
      <c r="A32468" s="740"/>
    </row>
    <row r="32469" ht="14.25" customHeight="1">
      <c r="A32469" s="740"/>
    </row>
    <row r="32470" ht="14.25" customHeight="1">
      <c r="A32470" s="740"/>
    </row>
    <row r="32471" ht="14.25" customHeight="1">
      <c r="A32471" s="740"/>
    </row>
    <row r="32472" ht="14.25" customHeight="1">
      <c r="A32472" s="740"/>
    </row>
    <row r="32473" ht="14.25" customHeight="1">
      <c r="A32473" s="740"/>
    </row>
    <row r="32474" ht="14.25" customHeight="1">
      <c r="A32474" s="740"/>
    </row>
    <row r="32475" ht="14.25" customHeight="1">
      <c r="A32475" s="740"/>
    </row>
    <row r="32476" ht="14.25" customHeight="1">
      <c r="A32476" s="740"/>
    </row>
    <row r="32477" ht="14.25" customHeight="1">
      <c r="A32477" s="740"/>
    </row>
    <row r="32478" ht="14.25" customHeight="1">
      <c r="A32478" s="740"/>
    </row>
    <row r="32479" ht="14.25" customHeight="1">
      <c r="A32479" s="740"/>
    </row>
    <row r="32480" ht="14.25" customHeight="1">
      <c r="A32480" s="740"/>
    </row>
    <row r="32481" ht="14.25" customHeight="1">
      <c r="A32481" s="740"/>
    </row>
    <row r="32482" ht="14.25" customHeight="1">
      <c r="A32482" s="740"/>
    </row>
    <row r="32483" ht="14.25" customHeight="1">
      <c r="A32483" s="740"/>
    </row>
    <row r="32484" ht="14.25" customHeight="1">
      <c r="A32484" s="740"/>
    </row>
    <row r="32485" ht="14.25" customHeight="1">
      <c r="A32485" s="740"/>
    </row>
    <row r="32486" ht="14.25" customHeight="1">
      <c r="A32486" s="740"/>
    </row>
    <row r="32487" ht="14.25" customHeight="1">
      <c r="A32487" s="740"/>
    </row>
    <row r="32488" ht="14.25" customHeight="1">
      <c r="A32488" s="740"/>
    </row>
    <row r="32489" ht="14.25" customHeight="1">
      <c r="A32489" s="740"/>
    </row>
    <row r="32490" ht="14.25" customHeight="1">
      <c r="A32490" s="740"/>
    </row>
    <row r="32491" ht="14.25" customHeight="1">
      <c r="A32491" s="740"/>
    </row>
    <row r="32492" ht="14.25" customHeight="1">
      <c r="A32492" s="740"/>
    </row>
    <row r="32493" ht="14.25" customHeight="1">
      <c r="A32493" s="740"/>
    </row>
    <row r="32494" ht="14.25" customHeight="1">
      <c r="A32494" s="740"/>
    </row>
    <row r="32495" ht="14.25" customHeight="1">
      <c r="A32495" s="740"/>
    </row>
    <row r="32496" ht="14.25" customHeight="1">
      <c r="A32496" s="740"/>
    </row>
    <row r="32497" ht="14.25" customHeight="1">
      <c r="A32497" s="740"/>
    </row>
    <row r="32498" ht="14.25" customHeight="1">
      <c r="A32498" s="740"/>
    </row>
    <row r="32499" ht="14.25" customHeight="1">
      <c r="A32499" s="740"/>
    </row>
    <row r="32500" ht="14.25" customHeight="1">
      <c r="A32500" s="740"/>
    </row>
    <row r="32501" ht="14.25" customHeight="1">
      <c r="A32501" s="740"/>
    </row>
    <row r="32502" ht="14.25" customHeight="1">
      <c r="A32502" s="740"/>
    </row>
    <row r="32503" ht="14.25" customHeight="1">
      <c r="A32503" s="740"/>
    </row>
    <row r="32504" ht="14.25" customHeight="1">
      <c r="A32504" s="740"/>
    </row>
    <row r="32505" ht="14.25" customHeight="1">
      <c r="A32505" s="740"/>
    </row>
    <row r="32506" ht="14.25" customHeight="1">
      <c r="A32506" s="740"/>
    </row>
    <row r="32507" ht="14.25" customHeight="1">
      <c r="A32507" s="740"/>
    </row>
    <row r="32508" ht="14.25" customHeight="1">
      <c r="A32508" s="740"/>
    </row>
    <row r="32509" ht="14.25" customHeight="1">
      <c r="A32509" s="740"/>
    </row>
    <row r="32510" ht="14.25" customHeight="1">
      <c r="A32510" s="740"/>
    </row>
    <row r="32511" ht="14.25" customHeight="1">
      <c r="A32511" s="740"/>
    </row>
    <row r="32512" ht="14.25" customHeight="1">
      <c r="A32512" s="740"/>
    </row>
    <row r="32513" ht="14.25" customHeight="1">
      <c r="A32513" s="740"/>
    </row>
    <row r="32514" ht="14.25" customHeight="1">
      <c r="A32514" s="740"/>
    </row>
    <row r="32515" ht="14.25" customHeight="1">
      <c r="A32515" s="740"/>
    </row>
    <row r="32516" ht="14.25" customHeight="1">
      <c r="A32516" s="740"/>
    </row>
    <row r="32517" ht="14.25" customHeight="1">
      <c r="A32517" s="740"/>
    </row>
    <row r="32518" ht="14.25" customHeight="1">
      <c r="A32518" s="740"/>
    </row>
    <row r="32519" ht="14.25" customHeight="1">
      <c r="A32519" s="740"/>
    </row>
    <row r="32520" ht="14.25" customHeight="1">
      <c r="A32520" s="740"/>
    </row>
    <row r="32521" ht="14.25" customHeight="1">
      <c r="A32521" s="740"/>
    </row>
    <row r="32522" ht="14.25" customHeight="1">
      <c r="A32522" s="740"/>
    </row>
    <row r="32523" ht="14.25" customHeight="1">
      <c r="A32523" s="740"/>
    </row>
    <row r="32524" ht="14.25" customHeight="1">
      <c r="A32524" s="740"/>
    </row>
    <row r="32525" ht="14.25" customHeight="1">
      <c r="A32525" s="740"/>
    </row>
    <row r="32526" ht="14.25" customHeight="1">
      <c r="A32526" s="740"/>
    </row>
    <row r="32527" ht="14.25" customHeight="1">
      <c r="A32527" s="740"/>
    </row>
    <row r="32528" ht="14.25" customHeight="1">
      <c r="A32528" s="740"/>
    </row>
    <row r="32529" ht="14.25" customHeight="1">
      <c r="A32529" s="740"/>
    </row>
    <row r="32530" ht="14.25" customHeight="1">
      <c r="A32530" s="740"/>
    </row>
    <row r="32531" ht="14.25" customHeight="1">
      <c r="A32531" s="740"/>
    </row>
    <row r="32532" ht="14.25" customHeight="1">
      <c r="A32532" s="740"/>
    </row>
    <row r="32533" ht="14.25" customHeight="1">
      <c r="A32533" s="740"/>
    </row>
    <row r="32534" ht="14.25" customHeight="1">
      <c r="A32534" s="740"/>
    </row>
    <row r="32535" ht="14.25" customHeight="1">
      <c r="A32535" s="740"/>
    </row>
    <row r="32536" ht="14.25" customHeight="1">
      <c r="A32536" s="740"/>
    </row>
    <row r="32537" ht="14.25" customHeight="1">
      <c r="A32537" s="740"/>
    </row>
    <row r="32538" ht="14.25" customHeight="1">
      <c r="A32538" s="740"/>
    </row>
    <row r="32539" ht="14.25" customHeight="1">
      <c r="A32539" s="740"/>
    </row>
    <row r="32540" ht="14.25" customHeight="1">
      <c r="A32540" s="740"/>
    </row>
    <row r="32541" ht="14.25" customHeight="1">
      <c r="A32541" s="740"/>
    </row>
    <row r="32542" ht="14.25" customHeight="1">
      <c r="A32542" s="740"/>
    </row>
    <row r="32543" ht="14.25" customHeight="1">
      <c r="A32543" s="740"/>
    </row>
    <row r="32544" ht="14.25" customHeight="1">
      <c r="A32544" s="740"/>
    </row>
    <row r="32545" ht="14.25" customHeight="1">
      <c r="A32545" s="740"/>
    </row>
    <row r="32546" ht="14.25" customHeight="1">
      <c r="A32546" s="740"/>
    </row>
    <row r="32547" ht="14.25" customHeight="1">
      <c r="A32547" s="740"/>
    </row>
    <row r="32548" ht="14.25" customHeight="1">
      <c r="A32548" s="740"/>
    </row>
    <row r="32549" ht="14.25" customHeight="1">
      <c r="A32549" s="740"/>
    </row>
    <row r="32550" ht="14.25" customHeight="1">
      <c r="A32550" s="740"/>
    </row>
    <row r="32551" ht="14.25" customHeight="1">
      <c r="A32551" s="740"/>
    </row>
    <row r="32552" ht="14.25" customHeight="1">
      <c r="A32552" s="740"/>
    </row>
    <row r="32553" ht="14.25" customHeight="1">
      <c r="A32553" s="740"/>
    </row>
    <row r="32554" ht="14.25" customHeight="1">
      <c r="A32554" s="740"/>
    </row>
    <row r="32555" ht="14.25" customHeight="1">
      <c r="A32555" s="740"/>
    </row>
    <row r="32556" ht="14.25" customHeight="1">
      <c r="A32556" s="740"/>
    </row>
    <row r="32557" ht="14.25" customHeight="1">
      <c r="A32557" s="740"/>
    </row>
    <row r="32558" ht="14.25" customHeight="1">
      <c r="A32558" s="740"/>
    </row>
    <row r="32559" ht="14.25" customHeight="1">
      <c r="A32559" s="740"/>
    </row>
    <row r="32560" ht="14.25" customHeight="1">
      <c r="A32560" s="740"/>
    </row>
    <row r="32561" ht="14.25" customHeight="1">
      <c r="A32561" s="740"/>
    </row>
    <row r="32562" ht="14.25" customHeight="1">
      <c r="A32562" s="740"/>
    </row>
    <row r="32563" ht="14.25" customHeight="1">
      <c r="A32563" s="740"/>
    </row>
    <row r="32564" ht="14.25" customHeight="1">
      <c r="A32564" s="740"/>
    </row>
    <row r="32565" ht="14.25" customHeight="1">
      <c r="A32565" s="740"/>
    </row>
    <row r="32566" ht="14.25" customHeight="1">
      <c r="A32566" s="740"/>
    </row>
    <row r="32567" ht="14.25" customHeight="1">
      <c r="A32567" s="740"/>
    </row>
    <row r="32568" ht="14.25" customHeight="1">
      <c r="A32568" s="740"/>
    </row>
    <row r="32569" ht="14.25" customHeight="1">
      <c r="A32569" s="740"/>
    </row>
    <row r="32570" ht="14.25" customHeight="1">
      <c r="A32570" s="740"/>
    </row>
    <row r="32571" ht="14.25" customHeight="1">
      <c r="A32571" s="740"/>
    </row>
    <row r="32572" ht="14.25" customHeight="1">
      <c r="A32572" s="740"/>
    </row>
    <row r="32573" ht="14.25" customHeight="1">
      <c r="A32573" s="740"/>
    </row>
    <row r="32574" ht="14.25" customHeight="1">
      <c r="A32574" s="740"/>
    </row>
    <row r="32575" ht="14.25" customHeight="1">
      <c r="A32575" s="740"/>
    </row>
    <row r="32576" ht="14.25" customHeight="1">
      <c r="A32576" s="740"/>
    </row>
    <row r="32577" ht="14.25" customHeight="1">
      <c r="A32577" s="740"/>
    </row>
    <row r="32578" ht="14.25" customHeight="1">
      <c r="A32578" s="740"/>
    </row>
    <row r="32579" ht="14.25" customHeight="1">
      <c r="A32579" s="740"/>
    </row>
    <row r="32580" ht="14.25" customHeight="1">
      <c r="A32580" s="740"/>
    </row>
    <row r="32581" ht="14.25" customHeight="1">
      <c r="A32581" s="740"/>
    </row>
    <row r="32582" ht="14.25" customHeight="1">
      <c r="A32582" s="740"/>
    </row>
    <row r="32583" ht="14.25" customHeight="1">
      <c r="A32583" s="740"/>
    </row>
    <row r="32584" ht="14.25" customHeight="1">
      <c r="A32584" s="740"/>
    </row>
    <row r="32585" ht="14.25" customHeight="1">
      <c r="A32585" s="740"/>
    </row>
    <row r="32586" ht="14.25" customHeight="1">
      <c r="A32586" s="740"/>
    </row>
    <row r="32587" ht="14.25" customHeight="1">
      <c r="A32587" s="740"/>
    </row>
    <row r="32588" ht="14.25" customHeight="1">
      <c r="A32588" s="740"/>
    </row>
    <row r="32589" ht="14.25" customHeight="1">
      <c r="A32589" s="740"/>
    </row>
    <row r="32590" ht="14.25" customHeight="1">
      <c r="A32590" s="740"/>
    </row>
    <row r="32591" ht="14.25" customHeight="1">
      <c r="A32591" s="740"/>
    </row>
    <row r="32592" ht="14.25" customHeight="1">
      <c r="A32592" s="740"/>
    </row>
    <row r="32593" ht="14.25" customHeight="1">
      <c r="A32593" s="740"/>
    </row>
    <row r="32594" ht="14.25" customHeight="1">
      <c r="A32594" s="740"/>
    </row>
    <row r="32595" ht="14.25" customHeight="1">
      <c r="A32595" s="740"/>
    </row>
    <row r="32596" ht="14.25" customHeight="1">
      <c r="A32596" s="740"/>
    </row>
    <row r="32597" ht="14.25" customHeight="1">
      <c r="A32597" s="740"/>
    </row>
    <row r="32598" ht="14.25" customHeight="1">
      <c r="A32598" s="740"/>
    </row>
    <row r="32599" ht="14.25" customHeight="1">
      <c r="A32599" s="740"/>
    </row>
    <row r="32600" ht="14.25" customHeight="1">
      <c r="A32600" s="740"/>
    </row>
    <row r="32601" ht="14.25" customHeight="1">
      <c r="A32601" s="740"/>
    </row>
    <row r="32602" ht="14.25" customHeight="1">
      <c r="A32602" s="740"/>
    </row>
    <row r="32603" ht="14.25" customHeight="1">
      <c r="A32603" s="740"/>
    </row>
    <row r="32604" ht="14.25" customHeight="1">
      <c r="A32604" s="740"/>
    </row>
    <row r="32605" ht="14.25" customHeight="1">
      <c r="A32605" s="740"/>
    </row>
    <row r="32606" ht="14.25" customHeight="1">
      <c r="A32606" s="740"/>
    </row>
    <row r="32607" ht="14.25" customHeight="1">
      <c r="A32607" s="740"/>
    </row>
    <row r="32608" ht="14.25" customHeight="1">
      <c r="A32608" s="740"/>
    </row>
    <row r="32609" ht="14.25" customHeight="1">
      <c r="A32609" s="740"/>
    </row>
    <row r="32610" ht="14.25" customHeight="1">
      <c r="A32610" s="740"/>
    </row>
    <row r="32611" ht="14.25" customHeight="1">
      <c r="A32611" s="740"/>
    </row>
    <row r="32612" ht="14.25" customHeight="1">
      <c r="A32612" s="740"/>
    </row>
    <row r="32613" ht="14.25" customHeight="1">
      <c r="A32613" s="740"/>
    </row>
    <row r="32614" ht="14.25" customHeight="1">
      <c r="A32614" s="740"/>
    </row>
    <row r="32615" ht="14.25" customHeight="1">
      <c r="A32615" s="740"/>
    </row>
    <row r="32616" ht="14.25" customHeight="1">
      <c r="A32616" s="740"/>
    </row>
    <row r="32617" ht="14.25" customHeight="1">
      <c r="A32617" s="740"/>
    </row>
    <row r="32618" ht="14.25" customHeight="1">
      <c r="A32618" s="740"/>
    </row>
    <row r="32619" ht="14.25" customHeight="1">
      <c r="A32619" s="740"/>
    </row>
    <row r="32620" ht="14.25" customHeight="1">
      <c r="A32620" s="740"/>
    </row>
    <row r="32621" ht="14.25" customHeight="1">
      <c r="A32621" s="740"/>
    </row>
    <row r="32622" ht="14.25" customHeight="1">
      <c r="A32622" s="740"/>
    </row>
    <row r="32623" ht="14.25" customHeight="1">
      <c r="A32623" s="740"/>
    </row>
    <row r="32624" ht="14.25" customHeight="1">
      <c r="A32624" s="740"/>
    </row>
    <row r="32625" ht="14.25" customHeight="1">
      <c r="A32625" s="740"/>
    </row>
    <row r="32626" ht="14.25" customHeight="1">
      <c r="A32626" s="740"/>
    </row>
    <row r="32627" ht="14.25" customHeight="1">
      <c r="A32627" s="740"/>
    </row>
    <row r="32628" ht="14.25" customHeight="1">
      <c r="A32628" s="740"/>
    </row>
    <row r="32629" ht="14.25" customHeight="1">
      <c r="A32629" s="740"/>
    </row>
    <row r="32630" ht="14.25" customHeight="1">
      <c r="A32630" s="740"/>
    </row>
    <row r="32631" ht="14.25" customHeight="1">
      <c r="A32631" s="740"/>
    </row>
    <row r="32632" ht="14.25" customHeight="1">
      <c r="A32632" s="740"/>
    </row>
    <row r="32633" ht="14.25" customHeight="1">
      <c r="A32633" s="740"/>
    </row>
    <row r="32634" ht="14.25" customHeight="1">
      <c r="A32634" s="740"/>
    </row>
    <row r="32635" ht="14.25" customHeight="1">
      <c r="A32635" s="740"/>
    </row>
    <row r="32636" ht="14.25" customHeight="1">
      <c r="A32636" s="740"/>
    </row>
    <row r="32637" ht="14.25" customHeight="1">
      <c r="A32637" s="740"/>
    </row>
    <row r="32638" ht="14.25" customHeight="1">
      <c r="A32638" s="740"/>
    </row>
    <row r="32639" ht="14.25" customHeight="1">
      <c r="A32639" s="740"/>
    </row>
    <row r="32640" ht="14.25" customHeight="1">
      <c r="A32640" s="740"/>
    </row>
    <row r="32641" ht="14.25" customHeight="1">
      <c r="A32641" s="740"/>
    </row>
    <row r="32642" ht="14.25" customHeight="1">
      <c r="A32642" s="740"/>
    </row>
    <row r="32643" ht="14.25" customHeight="1">
      <c r="A32643" s="740"/>
    </row>
    <row r="32644" ht="14.25" customHeight="1">
      <c r="A32644" s="740"/>
    </row>
    <row r="32645" ht="14.25" customHeight="1">
      <c r="A32645" s="740"/>
    </row>
    <row r="32646" ht="14.25" customHeight="1">
      <c r="A32646" s="740"/>
    </row>
    <row r="32647" ht="14.25" customHeight="1">
      <c r="A32647" s="740"/>
    </row>
    <row r="32648" ht="14.25" customHeight="1">
      <c r="A32648" s="740"/>
    </row>
    <row r="32649" ht="14.25" customHeight="1">
      <c r="A32649" s="740"/>
    </row>
    <row r="32650" ht="14.25" customHeight="1">
      <c r="A32650" s="740"/>
    </row>
    <row r="32651" ht="14.25" customHeight="1">
      <c r="A32651" s="740"/>
    </row>
    <row r="32652" ht="14.25" customHeight="1">
      <c r="A32652" s="740"/>
    </row>
    <row r="32653" ht="14.25" customHeight="1">
      <c r="A32653" s="740"/>
    </row>
    <row r="32654" ht="14.25" customHeight="1">
      <c r="A32654" s="740"/>
    </row>
    <row r="32655" ht="14.25" customHeight="1">
      <c r="A32655" s="740"/>
    </row>
    <row r="32656" ht="14.25" customHeight="1">
      <c r="A32656" s="740"/>
    </row>
    <row r="32657" ht="14.25" customHeight="1">
      <c r="A32657" s="740"/>
    </row>
    <row r="32658" ht="14.25" customHeight="1">
      <c r="A32658" s="740"/>
    </row>
    <row r="32659" ht="14.25" customHeight="1">
      <c r="A32659" s="740"/>
    </row>
    <row r="32660" ht="14.25" customHeight="1">
      <c r="A32660" s="740"/>
    </row>
    <row r="32661" ht="14.25" customHeight="1">
      <c r="A32661" s="740"/>
    </row>
    <row r="32662" ht="14.25" customHeight="1">
      <c r="A32662" s="740"/>
    </row>
    <row r="32663" ht="14.25" customHeight="1">
      <c r="A32663" s="740"/>
    </row>
    <row r="32664" ht="14.25" customHeight="1">
      <c r="A32664" s="740"/>
    </row>
    <row r="32665" ht="14.25" customHeight="1">
      <c r="A32665" s="740"/>
    </row>
    <row r="32666" ht="14.25" customHeight="1">
      <c r="A32666" s="740"/>
    </row>
    <row r="32667" ht="14.25" customHeight="1">
      <c r="A32667" s="740"/>
    </row>
    <row r="32668" ht="14.25" customHeight="1">
      <c r="A32668" s="740"/>
    </row>
    <row r="32669" ht="14.25" customHeight="1">
      <c r="A32669" s="740"/>
    </row>
    <row r="32670" ht="14.25" customHeight="1">
      <c r="A32670" s="740"/>
    </row>
    <row r="32671" ht="14.25" customHeight="1">
      <c r="A32671" s="740"/>
    </row>
    <row r="32672" ht="14.25" customHeight="1">
      <c r="A32672" s="740"/>
    </row>
    <row r="32673" ht="14.25" customHeight="1">
      <c r="A32673" s="740"/>
    </row>
    <row r="32674" ht="14.25" customHeight="1">
      <c r="A32674" s="740"/>
    </row>
    <row r="32675" ht="14.25" customHeight="1">
      <c r="A32675" s="740"/>
    </row>
    <row r="32676" ht="14.25" customHeight="1">
      <c r="A32676" s="740"/>
    </row>
    <row r="32677" ht="14.25" customHeight="1">
      <c r="A32677" s="740"/>
    </row>
    <row r="32678" ht="14.25" customHeight="1">
      <c r="A32678" s="740"/>
    </row>
    <row r="32679" ht="14.25" customHeight="1">
      <c r="A32679" s="740"/>
    </row>
    <row r="32680" ht="14.25" customHeight="1">
      <c r="A32680" s="740"/>
    </row>
    <row r="32681" ht="14.25" customHeight="1">
      <c r="A32681" s="740"/>
    </row>
    <row r="32682" ht="14.25" customHeight="1">
      <c r="A32682" s="740"/>
    </row>
    <row r="32683" ht="14.25" customHeight="1">
      <c r="A32683" s="740"/>
    </row>
    <row r="32684" ht="14.25" customHeight="1">
      <c r="A32684" s="740"/>
    </row>
    <row r="32685" ht="14.25" customHeight="1">
      <c r="A32685" s="740"/>
    </row>
    <row r="32686" ht="14.25" customHeight="1">
      <c r="A32686" s="740"/>
    </row>
    <row r="32687" ht="14.25" customHeight="1">
      <c r="A32687" s="740"/>
    </row>
    <row r="32688" ht="14.25" customHeight="1">
      <c r="A32688" s="740"/>
    </row>
    <row r="32689" ht="14.25" customHeight="1">
      <c r="A32689" s="740"/>
    </row>
    <row r="32690" ht="14.25" customHeight="1">
      <c r="A32690" s="740"/>
    </row>
    <row r="32691" ht="14.25" customHeight="1">
      <c r="A32691" s="740"/>
    </row>
    <row r="32692" ht="14.25" customHeight="1">
      <c r="A32692" s="740"/>
    </row>
    <row r="32693" ht="14.25" customHeight="1">
      <c r="A32693" s="740"/>
    </row>
    <row r="32694" ht="14.25" customHeight="1">
      <c r="A32694" s="740"/>
    </row>
    <row r="32695" ht="14.25" customHeight="1">
      <c r="A32695" s="740"/>
    </row>
    <row r="32696" ht="14.25" customHeight="1">
      <c r="A32696" s="740"/>
    </row>
    <row r="32697" ht="14.25" customHeight="1">
      <c r="A32697" s="740"/>
    </row>
    <row r="32698" ht="14.25" customHeight="1">
      <c r="A32698" s="740"/>
    </row>
    <row r="32699" ht="14.25" customHeight="1">
      <c r="A32699" s="740"/>
    </row>
    <row r="32700" ht="14.25" customHeight="1">
      <c r="A32700" s="740"/>
    </row>
    <row r="32701" ht="14.25" customHeight="1">
      <c r="A32701" s="740"/>
    </row>
    <row r="32702" ht="14.25" customHeight="1">
      <c r="A32702" s="740"/>
    </row>
    <row r="32703" ht="14.25" customHeight="1">
      <c r="A32703" s="740"/>
    </row>
    <row r="32704" ht="14.25" customHeight="1">
      <c r="A32704" s="740"/>
    </row>
    <row r="32705" ht="14.25" customHeight="1">
      <c r="A32705" s="740"/>
    </row>
    <row r="32706" ht="14.25" customHeight="1">
      <c r="A32706" s="740"/>
    </row>
    <row r="32707" ht="14.25" customHeight="1">
      <c r="A32707" s="740"/>
    </row>
    <row r="32708" ht="14.25" customHeight="1">
      <c r="A32708" s="740"/>
    </row>
    <row r="32709" ht="14.25" customHeight="1">
      <c r="A32709" s="740"/>
    </row>
    <row r="32710" ht="14.25" customHeight="1">
      <c r="A32710" s="740"/>
    </row>
    <row r="32711" ht="14.25" customHeight="1">
      <c r="A32711" s="740"/>
    </row>
    <row r="32712" ht="14.25" customHeight="1">
      <c r="A32712" s="740"/>
    </row>
    <row r="32713" ht="14.25" customHeight="1">
      <c r="A32713" s="740"/>
    </row>
    <row r="32714" ht="14.25" customHeight="1">
      <c r="A32714" s="740"/>
    </row>
    <row r="32715" ht="14.25" customHeight="1">
      <c r="A32715" s="740"/>
    </row>
    <row r="32716" ht="14.25" customHeight="1">
      <c r="A32716" s="740"/>
    </row>
    <row r="32717" ht="14.25" customHeight="1">
      <c r="A32717" s="740"/>
    </row>
    <row r="32718" ht="14.25" customHeight="1">
      <c r="A32718" s="740"/>
    </row>
    <row r="32719" ht="14.25" customHeight="1">
      <c r="A32719" s="740"/>
    </row>
    <row r="32720" ht="14.25" customHeight="1">
      <c r="A32720" s="740"/>
    </row>
    <row r="32721" ht="14.25" customHeight="1">
      <c r="A32721" s="740"/>
    </row>
    <row r="32722" ht="14.25" customHeight="1">
      <c r="A32722" s="740"/>
    </row>
    <row r="32723" ht="14.25" customHeight="1">
      <c r="A32723" s="740"/>
    </row>
    <row r="32724" ht="14.25" customHeight="1">
      <c r="A32724" s="740"/>
    </row>
    <row r="32725" ht="14.25" customHeight="1">
      <c r="A32725" s="740"/>
    </row>
    <row r="32726" ht="14.25" customHeight="1">
      <c r="A32726" s="740"/>
    </row>
    <row r="32727" ht="14.25" customHeight="1">
      <c r="A32727" s="740"/>
    </row>
    <row r="32728" ht="14.25" customHeight="1">
      <c r="A32728" s="740"/>
    </row>
    <row r="32729" ht="14.25" customHeight="1">
      <c r="A32729" s="740"/>
    </row>
    <row r="32730" ht="14.25" customHeight="1">
      <c r="A32730" s="740"/>
    </row>
    <row r="32731" ht="14.25" customHeight="1">
      <c r="A32731" s="740"/>
    </row>
    <row r="32732" ht="14.25" customHeight="1">
      <c r="A32732" s="740"/>
    </row>
    <row r="32733" ht="14.25" customHeight="1">
      <c r="A32733" s="740"/>
    </row>
    <row r="32734" ht="14.25" customHeight="1">
      <c r="A32734" s="740"/>
    </row>
    <row r="32735" ht="14.25" customHeight="1">
      <c r="A32735" s="740"/>
    </row>
    <row r="32736" ht="14.25" customHeight="1">
      <c r="A32736" s="740"/>
    </row>
    <row r="32737" ht="14.25" customHeight="1">
      <c r="A32737" s="740"/>
    </row>
    <row r="32738" ht="14.25" customHeight="1">
      <c r="A32738" s="740"/>
    </row>
    <row r="32739" ht="14.25" customHeight="1">
      <c r="A32739" s="740"/>
    </row>
    <row r="32740" ht="14.25" customHeight="1">
      <c r="A32740" s="740"/>
    </row>
    <row r="32741" ht="14.25" customHeight="1">
      <c r="A32741" s="740"/>
    </row>
    <row r="32742" ht="14.25" customHeight="1">
      <c r="A32742" s="740"/>
    </row>
    <row r="32743" ht="14.25" customHeight="1">
      <c r="A32743" s="740"/>
    </row>
    <row r="32744" ht="14.25" customHeight="1">
      <c r="A32744" s="740"/>
    </row>
    <row r="32745" ht="14.25" customHeight="1">
      <c r="A32745" s="740"/>
    </row>
    <row r="32746" ht="14.25" customHeight="1">
      <c r="A32746" s="740"/>
    </row>
    <row r="32747" ht="14.25" customHeight="1">
      <c r="A32747" s="740"/>
    </row>
    <row r="32748" ht="14.25" customHeight="1">
      <c r="A32748" s="740"/>
    </row>
    <row r="32749" ht="14.25" customHeight="1">
      <c r="A32749" s="740"/>
    </row>
    <row r="32750" ht="14.25" customHeight="1">
      <c r="A32750" s="740"/>
    </row>
    <row r="32751" ht="14.25" customHeight="1">
      <c r="A32751" s="740"/>
    </row>
    <row r="32752" ht="14.25" customHeight="1">
      <c r="A32752" s="740"/>
    </row>
    <row r="32753" ht="14.25" customHeight="1">
      <c r="A32753" s="740"/>
    </row>
    <row r="32754" ht="14.25" customHeight="1">
      <c r="A32754" s="740"/>
    </row>
    <row r="32755" ht="14.25" customHeight="1">
      <c r="A32755" s="740"/>
    </row>
    <row r="32756" ht="14.25" customHeight="1">
      <c r="A32756" s="740"/>
    </row>
    <row r="32757" ht="14.25" customHeight="1">
      <c r="A32757" s="740"/>
    </row>
    <row r="32758" ht="14.25" customHeight="1">
      <c r="A32758" s="740"/>
    </row>
    <row r="32759" ht="14.25" customHeight="1">
      <c r="A32759" s="740"/>
    </row>
    <row r="32760" ht="14.25" customHeight="1">
      <c r="A32760" s="740"/>
    </row>
    <row r="32761" ht="14.25" customHeight="1">
      <c r="A32761" s="740"/>
    </row>
    <row r="32762" ht="14.25" customHeight="1">
      <c r="A32762" s="740"/>
    </row>
    <row r="32763" ht="14.25" customHeight="1">
      <c r="A32763" s="740"/>
    </row>
    <row r="32764" ht="14.25" customHeight="1">
      <c r="A32764" s="740"/>
    </row>
    <row r="32765" ht="14.25" customHeight="1">
      <c r="A32765" s="740"/>
    </row>
    <row r="32766" ht="14.25" customHeight="1">
      <c r="A32766" s="740"/>
    </row>
    <row r="32767" ht="14.25" customHeight="1">
      <c r="A32767" s="740"/>
    </row>
    <row r="32768" ht="14.25" customHeight="1">
      <c r="A32768" s="740"/>
    </row>
    <row r="32769" ht="14.25" customHeight="1">
      <c r="A32769" s="740"/>
    </row>
    <row r="32770" ht="14.25" customHeight="1">
      <c r="A32770" s="740"/>
    </row>
    <row r="32771" ht="14.25" customHeight="1">
      <c r="A32771" s="740"/>
    </row>
    <row r="32772" ht="14.25" customHeight="1">
      <c r="A32772" s="740"/>
    </row>
    <row r="32773" ht="14.25" customHeight="1">
      <c r="A32773" s="740"/>
    </row>
    <row r="32774" ht="14.25" customHeight="1">
      <c r="A32774" s="740"/>
    </row>
    <row r="32775" ht="14.25" customHeight="1">
      <c r="A32775" s="740"/>
    </row>
    <row r="32776" ht="14.25" customHeight="1">
      <c r="A32776" s="740"/>
    </row>
    <row r="32777" ht="14.25" customHeight="1">
      <c r="A32777" s="740"/>
    </row>
    <row r="32778" ht="14.25" customHeight="1">
      <c r="A32778" s="740"/>
    </row>
    <row r="32779" ht="14.25" customHeight="1">
      <c r="A32779" s="740"/>
    </row>
    <row r="32780" ht="14.25" customHeight="1">
      <c r="A32780" s="740"/>
    </row>
    <row r="32781" ht="14.25" customHeight="1">
      <c r="A32781" s="740"/>
    </row>
    <row r="32782" ht="14.25" customHeight="1">
      <c r="A32782" s="740"/>
    </row>
    <row r="32783" ht="14.25" customHeight="1">
      <c r="A32783" s="740"/>
    </row>
    <row r="32784" ht="14.25" customHeight="1">
      <c r="A32784" s="740"/>
    </row>
    <row r="32785" ht="14.25" customHeight="1">
      <c r="A32785" s="740"/>
    </row>
    <row r="32786" ht="14.25" customHeight="1">
      <c r="A32786" s="740"/>
    </row>
    <row r="32787" ht="14.25" customHeight="1">
      <c r="A32787" s="740"/>
    </row>
    <row r="32788" ht="14.25" customHeight="1">
      <c r="A32788" s="740"/>
    </row>
    <row r="32789" ht="14.25" customHeight="1">
      <c r="A32789" s="740"/>
    </row>
    <row r="32790" ht="14.25" customHeight="1">
      <c r="A32790" s="740"/>
    </row>
    <row r="32791" ht="14.25" customHeight="1">
      <c r="A32791" s="740"/>
    </row>
    <row r="32792" ht="14.25" customHeight="1">
      <c r="A32792" s="740"/>
    </row>
    <row r="32793" ht="14.25" customHeight="1">
      <c r="A32793" s="740"/>
    </row>
    <row r="32794" ht="14.25" customHeight="1">
      <c r="A32794" s="740"/>
    </row>
    <row r="32795" ht="14.25" customHeight="1">
      <c r="A32795" s="740"/>
    </row>
    <row r="32796" ht="14.25" customHeight="1">
      <c r="A32796" s="740"/>
    </row>
    <row r="32797" ht="14.25" customHeight="1">
      <c r="A32797" s="740"/>
    </row>
    <row r="32798" ht="14.25" customHeight="1">
      <c r="A32798" s="740"/>
    </row>
    <row r="32799" ht="14.25" customHeight="1">
      <c r="A32799" s="740"/>
    </row>
    <row r="32800" ht="14.25" customHeight="1">
      <c r="A32800" s="740"/>
    </row>
    <row r="32801" ht="14.25" customHeight="1">
      <c r="A32801" s="740"/>
    </row>
    <row r="32802" ht="14.25" customHeight="1">
      <c r="A32802" s="740"/>
    </row>
    <row r="32803" ht="14.25" customHeight="1">
      <c r="A32803" s="740"/>
    </row>
    <row r="32804" ht="14.25" customHeight="1">
      <c r="A32804" s="740"/>
    </row>
    <row r="32805" ht="14.25" customHeight="1">
      <c r="A32805" s="740"/>
    </row>
    <row r="32806" ht="14.25" customHeight="1">
      <c r="A32806" s="740"/>
    </row>
    <row r="32807" ht="14.25" customHeight="1">
      <c r="A32807" s="740"/>
    </row>
    <row r="32808" ht="14.25" customHeight="1">
      <c r="A32808" s="740"/>
    </row>
    <row r="32809" ht="14.25" customHeight="1">
      <c r="A32809" s="740"/>
    </row>
    <row r="32810" ht="14.25" customHeight="1">
      <c r="A32810" s="740"/>
    </row>
    <row r="32811" ht="14.25" customHeight="1">
      <c r="A32811" s="740"/>
    </row>
    <row r="32812" ht="14.25" customHeight="1">
      <c r="A32812" s="740"/>
    </row>
    <row r="32813" ht="14.25" customHeight="1">
      <c r="A32813" s="740"/>
    </row>
    <row r="32814" ht="14.25" customHeight="1">
      <c r="A32814" s="740"/>
    </row>
    <row r="32815" ht="14.25" customHeight="1">
      <c r="A32815" s="740"/>
    </row>
    <row r="32816" ht="14.25" customHeight="1">
      <c r="A32816" s="740"/>
    </row>
    <row r="32817" ht="14.25" customHeight="1">
      <c r="A32817" s="740"/>
    </row>
    <row r="32818" ht="14.25" customHeight="1">
      <c r="A32818" s="740"/>
    </row>
    <row r="32819" ht="14.25" customHeight="1">
      <c r="A32819" s="740"/>
    </row>
    <row r="32820" ht="14.25" customHeight="1">
      <c r="A32820" s="740"/>
    </row>
    <row r="32821" ht="14.25" customHeight="1">
      <c r="A32821" s="740"/>
    </row>
    <row r="32822" ht="14.25" customHeight="1">
      <c r="A32822" s="740"/>
    </row>
    <row r="32823" ht="14.25" customHeight="1">
      <c r="A32823" s="740"/>
    </row>
    <row r="32824" ht="14.25" customHeight="1">
      <c r="A32824" s="740"/>
    </row>
    <row r="32825" ht="14.25" customHeight="1">
      <c r="A32825" s="740"/>
    </row>
    <row r="32826" ht="14.25" customHeight="1">
      <c r="A32826" s="740"/>
    </row>
    <row r="32827" ht="14.25" customHeight="1">
      <c r="A32827" s="740"/>
    </row>
    <row r="32828" ht="14.25" customHeight="1">
      <c r="A32828" s="740"/>
    </row>
    <row r="32829" ht="14.25" customHeight="1">
      <c r="A32829" s="740"/>
    </row>
    <row r="32830" ht="14.25" customHeight="1">
      <c r="A32830" s="740"/>
    </row>
    <row r="32831" ht="14.25" customHeight="1">
      <c r="A32831" s="740"/>
    </row>
    <row r="32832" ht="14.25" customHeight="1">
      <c r="A32832" s="740"/>
    </row>
    <row r="32833" ht="14.25" customHeight="1">
      <c r="A32833" s="740"/>
    </row>
    <row r="32834" ht="14.25" customHeight="1">
      <c r="A32834" s="740"/>
    </row>
    <row r="32835" ht="14.25" customHeight="1">
      <c r="A32835" s="740"/>
    </row>
    <row r="32836" ht="14.25" customHeight="1">
      <c r="A32836" s="740"/>
    </row>
    <row r="32837" ht="14.25" customHeight="1">
      <c r="A32837" s="740"/>
    </row>
    <row r="32838" ht="14.25" customHeight="1">
      <c r="A32838" s="740"/>
    </row>
    <row r="32839" ht="14.25" customHeight="1">
      <c r="A32839" s="740"/>
    </row>
    <row r="32840" ht="14.25" customHeight="1">
      <c r="A32840" s="740"/>
    </row>
    <row r="32841" ht="14.25" customHeight="1">
      <c r="A32841" s="740"/>
    </row>
    <row r="32842" ht="14.25" customHeight="1">
      <c r="A32842" s="740"/>
    </row>
    <row r="32843" ht="14.25" customHeight="1">
      <c r="A32843" s="740"/>
    </row>
    <row r="32844" ht="14.25" customHeight="1">
      <c r="A32844" s="740"/>
    </row>
    <row r="32845" ht="14.25" customHeight="1">
      <c r="A32845" s="740"/>
    </row>
    <row r="32846" ht="14.25" customHeight="1">
      <c r="A32846" s="740"/>
    </row>
    <row r="32847" ht="14.25" customHeight="1">
      <c r="A32847" s="740"/>
    </row>
    <row r="32848" ht="14.25" customHeight="1">
      <c r="A32848" s="740"/>
    </row>
    <row r="32849" ht="14.25" customHeight="1">
      <c r="A32849" s="740"/>
    </row>
    <row r="32850" ht="14.25" customHeight="1">
      <c r="A32850" s="740"/>
    </row>
    <row r="32851" ht="14.25" customHeight="1">
      <c r="A32851" s="740"/>
    </row>
    <row r="32852" ht="14.25" customHeight="1">
      <c r="A32852" s="740"/>
    </row>
    <row r="32853" ht="14.25" customHeight="1">
      <c r="A32853" s="740"/>
    </row>
    <row r="32854" ht="14.25" customHeight="1">
      <c r="A32854" s="740"/>
    </row>
    <row r="32855" ht="14.25" customHeight="1">
      <c r="A32855" s="740"/>
    </row>
    <row r="32856" ht="14.25" customHeight="1">
      <c r="A32856" s="740"/>
    </row>
    <row r="32857" ht="14.25" customHeight="1">
      <c r="A32857" s="740"/>
    </row>
    <row r="32858" ht="14.25" customHeight="1">
      <c r="A32858" s="740"/>
    </row>
    <row r="32859" ht="14.25" customHeight="1">
      <c r="A32859" s="740"/>
    </row>
    <row r="32860" ht="14.25" customHeight="1">
      <c r="A32860" s="740"/>
    </row>
    <row r="32861" ht="14.25" customHeight="1">
      <c r="A32861" s="740"/>
    </row>
    <row r="32862" ht="14.25" customHeight="1">
      <c r="A32862" s="740"/>
    </row>
    <row r="32863" ht="14.25" customHeight="1">
      <c r="A32863" s="740"/>
    </row>
    <row r="32864" ht="14.25" customHeight="1">
      <c r="A32864" s="740"/>
    </row>
    <row r="32865" ht="14.25" customHeight="1">
      <c r="A32865" s="740"/>
    </row>
    <row r="32866" ht="14.25" customHeight="1">
      <c r="A32866" s="740"/>
    </row>
    <row r="32867" ht="14.25" customHeight="1">
      <c r="A32867" s="740"/>
    </row>
    <row r="32868" ht="14.25" customHeight="1">
      <c r="A32868" s="740"/>
    </row>
    <row r="32869" ht="14.25" customHeight="1">
      <c r="A32869" s="740"/>
    </row>
    <row r="32870" ht="14.25" customHeight="1">
      <c r="A32870" s="740"/>
    </row>
    <row r="32871" ht="14.25" customHeight="1">
      <c r="A32871" s="740"/>
    </row>
    <row r="32872" ht="14.25" customHeight="1">
      <c r="A32872" s="740"/>
    </row>
    <row r="32873" ht="14.25" customHeight="1">
      <c r="A32873" s="740"/>
    </row>
    <row r="32874" ht="14.25" customHeight="1">
      <c r="A32874" s="740"/>
    </row>
    <row r="32875" ht="14.25" customHeight="1">
      <c r="A32875" s="740"/>
    </row>
    <row r="32876" ht="14.25" customHeight="1">
      <c r="A32876" s="740"/>
    </row>
    <row r="32877" ht="14.25" customHeight="1">
      <c r="A32877" s="740"/>
    </row>
    <row r="32878" ht="14.25" customHeight="1">
      <c r="A32878" s="740"/>
    </row>
    <row r="32879" ht="14.25" customHeight="1">
      <c r="A32879" s="740"/>
    </row>
    <row r="32880" ht="14.25" customHeight="1">
      <c r="A32880" s="740"/>
    </row>
    <row r="32881" ht="14.25" customHeight="1">
      <c r="A32881" s="740"/>
    </row>
    <row r="32882" ht="14.25" customHeight="1">
      <c r="A32882" s="740"/>
    </row>
    <row r="32883" ht="14.25" customHeight="1">
      <c r="A32883" s="740"/>
    </row>
    <row r="32884" ht="14.25" customHeight="1">
      <c r="A32884" s="740"/>
    </row>
    <row r="32885" ht="14.25" customHeight="1">
      <c r="A32885" s="740"/>
    </row>
    <row r="32886" ht="14.25" customHeight="1">
      <c r="A32886" s="740"/>
    </row>
    <row r="32887" ht="14.25" customHeight="1">
      <c r="A32887" s="740"/>
    </row>
    <row r="32888" ht="14.25" customHeight="1">
      <c r="A32888" s="740"/>
    </row>
    <row r="32889" ht="14.25" customHeight="1">
      <c r="A32889" s="740"/>
    </row>
    <row r="32890" ht="14.25" customHeight="1">
      <c r="A32890" s="740"/>
    </row>
    <row r="32891" ht="14.25" customHeight="1">
      <c r="A32891" s="740"/>
    </row>
    <row r="32892" ht="14.25" customHeight="1">
      <c r="A32892" s="740"/>
    </row>
    <row r="32893" ht="14.25" customHeight="1">
      <c r="A32893" s="740"/>
    </row>
    <row r="32894" ht="14.25" customHeight="1">
      <c r="A32894" s="740"/>
    </row>
    <row r="32895" ht="14.25" customHeight="1">
      <c r="A32895" s="740"/>
    </row>
    <row r="32896" ht="14.25" customHeight="1">
      <c r="A32896" s="740"/>
    </row>
    <row r="32897" ht="14.25" customHeight="1">
      <c r="A32897" s="740"/>
    </row>
    <row r="32898" ht="14.25" customHeight="1">
      <c r="A32898" s="740"/>
    </row>
    <row r="32899" ht="14.25" customHeight="1">
      <c r="A32899" s="740"/>
    </row>
    <row r="32900" ht="14.25" customHeight="1">
      <c r="A32900" s="740"/>
    </row>
    <row r="32901" ht="14.25" customHeight="1">
      <c r="A32901" s="740"/>
    </row>
    <row r="32902" ht="14.25" customHeight="1">
      <c r="A32902" s="740"/>
    </row>
    <row r="32903" ht="14.25" customHeight="1">
      <c r="A32903" s="740"/>
    </row>
    <row r="32904" ht="14.25" customHeight="1">
      <c r="A32904" s="740"/>
    </row>
    <row r="32905" ht="14.25" customHeight="1">
      <c r="A32905" s="740"/>
    </row>
    <row r="32906" ht="14.25" customHeight="1">
      <c r="A32906" s="740"/>
    </row>
    <row r="32907" ht="14.25" customHeight="1">
      <c r="A32907" s="740"/>
    </row>
    <row r="32908" ht="14.25" customHeight="1">
      <c r="A32908" s="740"/>
    </row>
    <row r="32909" ht="14.25" customHeight="1">
      <c r="A32909" s="740"/>
    </row>
    <row r="32910" ht="14.25" customHeight="1">
      <c r="A32910" s="740"/>
    </row>
    <row r="32911" ht="14.25" customHeight="1">
      <c r="A32911" s="740"/>
    </row>
    <row r="32912" ht="14.25" customHeight="1">
      <c r="A32912" s="740"/>
    </row>
    <row r="32913" ht="14.25" customHeight="1">
      <c r="A32913" s="740"/>
    </row>
    <row r="32914" ht="14.25" customHeight="1">
      <c r="A32914" s="740"/>
    </row>
    <row r="32915" ht="14.25" customHeight="1">
      <c r="A32915" s="740"/>
    </row>
    <row r="32916" ht="14.25" customHeight="1">
      <c r="A32916" s="740"/>
    </row>
    <row r="32917" ht="14.25" customHeight="1">
      <c r="A32917" s="740"/>
    </row>
    <row r="32918" ht="14.25" customHeight="1">
      <c r="A32918" s="740"/>
    </row>
    <row r="32919" ht="14.25" customHeight="1">
      <c r="A32919" s="740"/>
    </row>
    <row r="32920" ht="14.25" customHeight="1">
      <c r="A32920" s="740"/>
    </row>
    <row r="32921" ht="14.25" customHeight="1">
      <c r="A32921" s="740"/>
    </row>
    <row r="32922" ht="14.25" customHeight="1">
      <c r="A32922" s="740"/>
    </row>
    <row r="32923" ht="14.25" customHeight="1">
      <c r="A32923" s="740"/>
    </row>
    <row r="32924" ht="14.25" customHeight="1">
      <c r="A32924" s="740"/>
    </row>
    <row r="32925" ht="14.25" customHeight="1">
      <c r="A32925" s="740"/>
    </row>
    <row r="32926" ht="14.25" customHeight="1">
      <c r="A32926" s="740"/>
    </row>
    <row r="32927" ht="14.25" customHeight="1">
      <c r="A32927" s="740"/>
    </row>
    <row r="32928" ht="14.25" customHeight="1">
      <c r="A32928" s="740"/>
    </row>
    <row r="32929" ht="14.25" customHeight="1">
      <c r="A32929" s="740"/>
    </row>
    <row r="32930" ht="14.25" customHeight="1">
      <c r="A32930" s="740"/>
    </row>
    <row r="32931" ht="14.25" customHeight="1">
      <c r="A32931" s="740"/>
    </row>
    <row r="32932" ht="14.25" customHeight="1">
      <c r="A32932" s="740"/>
    </row>
    <row r="32933" ht="14.25" customHeight="1">
      <c r="A32933" s="740"/>
    </row>
    <row r="32934" ht="14.25" customHeight="1">
      <c r="A32934" s="740"/>
    </row>
    <row r="32935" ht="14.25" customHeight="1">
      <c r="A32935" s="740"/>
    </row>
    <row r="32936" ht="14.25" customHeight="1">
      <c r="A32936" s="740"/>
    </row>
    <row r="32937" ht="14.25" customHeight="1">
      <c r="A32937" s="740"/>
    </row>
    <row r="32938" ht="14.25" customHeight="1">
      <c r="A32938" s="740"/>
    </row>
    <row r="32939" ht="14.25" customHeight="1">
      <c r="A32939" s="740"/>
    </row>
    <row r="32940" ht="14.25" customHeight="1">
      <c r="A32940" s="740"/>
    </row>
    <row r="32941" ht="14.25" customHeight="1">
      <c r="A32941" s="740"/>
    </row>
    <row r="32942" ht="14.25" customHeight="1">
      <c r="A32942" s="740"/>
    </row>
    <row r="32943" ht="14.25" customHeight="1">
      <c r="A32943" s="740"/>
    </row>
    <row r="32944" ht="14.25" customHeight="1">
      <c r="A32944" s="740"/>
    </row>
    <row r="32945" ht="14.25" customHeight="1">
      <c r="A32945" s="740"/>
    </row>
    <row r="32946" ht="14.25" customHeight="1">
      <c r="A32946" s="740"/>
    </row>
    <row r="32947" ht="14.25" customHeight="1">
      <c r="A32947" s="740"/>
    </row>
    <row r="32948" ht="14.25" customHeight="1">
      <c r="A32948" s="740"/>
    </row>
    <row r="32949" ht="14.25" customHeight="1">
      <c r="A32949" s="740"/>
    </row>
    <row r="32950" ht="14.25" customHeight="1">
      <c r="A32950" s="740"/>
    </row>
    <row r="32951" ht="14.25" customHeight="1">
      <c r="A32951" s="740"/>
    </row>
    <row r="32952" ht="14.25" customHeight="1">
      <c r="A32952" s="740"/>
    </row>
    <row r="32953" ht="14.25" customHeight="1">
      <c r="A32953" s="740"/>
    </row>
    <row r="32954" ht="14.25" customHeight="1">
      <c r="A32954" s="740"/>
    </row>
    <row r="32955" ht="14.25" customHeight="1">
      <c r="A32955" s="740"/>
    </row>
    <row r="32956" ht="14.25" customHeight="1">
      <c r="A32956" s="740"/>
    </row>
    <row r="32957" ht="14.25" customHeight="1">
      <c r="A32957" s="740"/>
    </row>
    <row r="32958" ht="14.25" customHeight="1">
      <c r="A32958" s="740"/>
    </row>
    <row r="32959" ht="14.25" customHeight="1">
      <c r="A32959" s="740"/>
    </row>
    <row r="32960" ht="14.25" customHeight="1">
      <c r="A32960" s="740"/>
    </row>
    <row r="32961" ht="14.25" customHeight="1">
      <c r="A32961" s="740"/>
    </row>
    <row r="32962" ht="14.25" customHeight="1">
      <c r="A32962" s="740"/>
    </row>
    <row r="32963" ht="14.25" customHeight="1">
      <c r="A32963" s="740"/>
    </row>
    <row r="32964" ht="14.25" customHeight="1">
      <c r="A32964" s="740"/>
    </row>
    <row r="32965" ht="14.25" customHeight="1">
      <c r="A32965" s="740"/>
    </row>
    <row r="32966" ht="14.25" customHeight="1">
      <c r="A32966" s="740"/>
    </row>
    <row r="32967" ht="14.25" customHeight="1">
      <c r="A32967" s="740"/>
    </row>
    <row r="32968" ht="14.25" customHeight="1">
      <c r="A32968" s="740"/>
    </row>
    <row r="32969" ht="14.25" customHeight="1">
      <c r="A32969" s="740"/>
    </row>
    <row r="32970" ht="14.25" customHeight="1">
      <c r="A32970" s="740"/>
    </row>
    <row r="32971" ht="14.25" customHeight="1">
      <c r="A32971" s="740"/>
    </row>
    <row r="32972" ht="14.25" customHeight="1">
      <c r="A32972" s="740"/>
    </row>
    <row r="32973" ht="14.25" customHeight="1">
      <c r="A32973" s="740"/>
    </row>
    <row r="32974" ht="14.25" customHeight="1">
      <c r="A32974" s="740"/>
    </row>
    <row r="32975" ht="14.25" customHeight="1">
      <c r="A32975" s="740"/>
    </row>
    <row r="32976" ht="14.25" customHeight="1">
      <c r="A32976" s="740"/>
    </row>
    <row r="32977" ht="14.25" customHeight="1">
      <c r="A32977" s="740"/>
    </row>
    <row r="32978" ht="14.25" customHeight="1">
      <c r="A32978" s="740"/>
    </row>
    <row r="32979" ht="14.25" customHeight="1">
      <c r="A32979" s="740"/>
    </row>
    <row r="32980" ht="14.25" customHeight="1">
      <c r="A32980" s="740"/>
    </row>
    <row r="32981" ht="14.25" customHeight="1">
      <c r="A32981" s="740"/>
    </row>
    <row r="32982" ht="14.25" customHeight="1">
      <c r="A32982" s="740"/>
    </row>
    <row r="32983" ht="14.25" customHeight="1">
      <c r="A32983" s="740"/>
    </row>
    <row r="32984" ht="14.25" customHeight="1">
      <c r="A32984" s="740"/>
    </row>
    <row r="32985" ht="14.25" customHeight="1">
      <c r="A32985" s="740"/>
    </row>
    <row r="32986" ht="14.25" customHeight="1">
      <c r="A32986" s="740"/>
    </row>
    <row r="32987" ht="14.25" customHeight="1">
      <c r="A32987" s="740"/>
    </row>
    <row r="32988" ht="14.25" customHeight="1">
      <c r="A32988" s="740"/>
    </row>
    <row r="32989" ht="14.25" customHeight="1">
      <c r="A32989" s="740"/>
    </row>
    <row r="32990" ht="14.25" customHeight="1">
      <c r="A32990" s="740"/>
    </row>
    <row r="32991" ht="14.25" customHeight="1">
      <c r="A32991" s="740"/>
    </row>
    <row r="32992" ht="14.25" customHeight="1">
      <c r="A32992" s="740"/>
    </row>
    <row r="32993" ht="14.25" customHeight="1">
      <c r="A32993" s="740"/>
    </row>
    <row r="32994" ht="14.25" customHeight="1">
      <c r="A32994" s="740"/>
    </row>
    <row r="32995" ht="14.25" customHeight="1">
      <c r="A32995" s="740"/>
    </row>
    <row r="32996" ht="14.25" customHeight="1">
      <c r="A32996" s="740"/>
    </row>
    <row r="32997" ht="14.25" customHeight="1">
      <c r="A32997" s="740"/>
    </row>
    <row r="32998" ht="14.25" customHeight="1">
      <c r="A32998" s="740"/>
    </row>
    <row r="32999" ht="14.25" customHeight="1">
      <c r="A32999" s="740"/>
    </row>
    <row r="33000" ht="14.25" customHeight="1">
      <c r="A33000" s="740"/>
    </row>
    <row r="33001" ht="14.25" customHeight="1">
      <c r="A33001" s="740"/>
    </row>
    <row r="33002" ht="14.25" customHeight="1">
      <c r="A33002" s="740"/>
    </row>
    <row r="33003" ht="14.25" customHeight="1">
      <c r="A33003" s="740"/>
    </row>
    <row r="33004" ht="14.25" customHeight="1">
      <c r="A33004" s="740"/>
    </row>
    <row r="33005" ht="14.25" customHeight="1">
      <c r="A33005" s="740"/>
    </row>
    <row r="33006" ht="14.25" customHeight="1">
      <c r="A33006" s="740"/>
    </row>
    <row r="33007" ht="14.25" customHeight="1">
      <c r="A33007" s="740"/>
    </row>
    <row r="33008" ht="14.25" customHeight="1">
      <c r="A33008" s="740"/>
    </row>
    <row r="33009" ht="14.25" customHeight="1">
      <c r="A33009" s="740"/>
    </row>
    <row r="33010" ht="14.25" customHeight="1">
      <c r="A33010" s="740"/>
    </row>
    <row r="33011" ht="14.25" customHeight="1">
      <c r="A33011" s="740"/>
    </row>
    <row r="33012" ht="14.25" customHeight="1">
      <c r="A33012" s="740"/>
    </row>
    <row r="33013" ht="14.25" customHeight="1">
      <c r="A33013" s="740"/>
    </row>
    <row r="33014" ht="14.25" customHeight="1">
      <c r="A33014" s="740"/>
    </row>
    <row r="33015" ht="14.25" customHeight="1">
      <c r="A33015" s="740"/>
    </row>
    <row r="33016" ht="14.25" customHeight="1">
      <c r="A33016" s="740"/>
    </row>
    <row r="33017" ht="14.25" customHeight="1">
      <c r="A33017" s="740"/>
    </row>
    <row r="33018" ht="14.25" customHeight="1">
      <c r="A33018" s="740"/>
    </row>
    <row r="33019" ht="14.25" customHeight="1">
      <c r="A33019" s="740"/>
    </row>
    <row r="33020" ht="14.25" customHeight="1">
      <c r="A33020" s="740"/>
    </row>
    <row r="33021" ht="14.25" customHeight="1">
      <c r="A33021" s="740"/>
    </row>
    <row r="33022" ht="14.25" customHeight="1">
      <c r="A33022" s="740"/>
    </row>
    <row r="33023" ht="14.25" customHeight="1">
      <c r="A33023" s="740"/>
    </row>
    <row r="33024" ht="14.25" customHeight="1">
      <c r="A33024" s="740"/>
    </row>
    <row r="33025" ht="14.25" customHeight="1">
      <c r="A33025" s="740"/>
    </row>
    <row r="33026" ht="14.25" customHeight="1">
      <c r="A33026" s="740"/>
    </row>
    <row r="33027" ht="14.25" customHeight="1">
      <c r="A33027" s="740"/>
    </row>
    <row r="33028" ht="14.25" customHeight="1">
      <c r="A33028" s="740"/>
    </row>
    <row r="33029" ht="14.25" customHeight="1">
      <c r="A33029" s="740"/>
    </row>
    <row r="33030" ht="14.25" customHeight="1">
      <c r="A33030" s="740"/>
    </row>
    <row r="33031" ht="14.25" customHeight="1">
      <c r="A33031" s="740"/>
    </row>
    <row r="33032" ht="14.25" customHeight="1">
      <c r="A33032" s="740"/>
    </row>
    <row r="33033" ht="14.25" customHeight="1">
      <c r="A33033" s="740"/>
    </row>
    <row r="33034" ht="14.25" customHeight="1">
      <c r="A33034" s="740"/>
    </row>
    <row r="33035" ht="14.25" customHeight="1">
      <c r="A33035" s="740"/>
    </row>
    <row r="33036" ht="14.25" customHeight="1">
      <c r="A33036" s="740"/>
    </row>
    <row r="33037" ht="14.25" customHeight="1">
      <c r="A33037" s="740"/>
    </row>
    <row r="33038" ht="14.25" customHeight="1">
      <c r="A33038" s="740"/>
    </row>
    <row r="33039" ht="14.25" customHeight="1">
      <c r="A33039" s="740"/>
    </row>
    <row r="33040" ht="14.25" customHeight="1">
      <c r="A33040" s="740"/>
    </row>
    <row r="33041" ht="14.25" customHeight="1">
      <c r="A33041" s="740"/>
    </row>
    <row r="33042" ht="14.25" customHeight="1">
      <c r="A33042" s="740"/>
    </row>
    <row r="33043" ht="14.25" customHeight="1">
      <c r="A33043" s="740"/>
    </row>
    <row r="33044" ht="14.25" customHeight="1">
      <c r="A33044" s="740"/>
    </row>
    <row r="33045" ht="14.25" customHeight="1">
      <c r="A33045" s="740"/>
    </row>
    <row r="33046" ht="14.25" customHeight="1">
      <c r="A33046" s="740"/>
    </row>
    <row r="33047" ht="14.25" customHeight="1">
      <c r="A33047" s="740"/>
    </row>
    <row r="33048" ht="14.25" customHeight="1">
      <c r="A33048" s="740"/>
    </row>
    <row r="33049" ht="14.25" customHeight="1">
      <c r="A33049" s="740"/>
    </row>
    <row r="33050" ht="14.25" customHeight="1">
      <c r="A33050" s="740"/>
    </row>
    <row r="33051" ht="14.25" customHeight="1">
      <c r="A33051" s="740"/>
    </row>
    <row r="33052" ht="14.25" customHeight="1">
      <c r="A33052" s="740"/>
    </row>
    <row r="33053" ht="14.25" customHeight="1">
      <c r="A33053" s="740"/>
    </row>
    <row r="33054" ht="14.25" customHeight="1">
      <c r="A33054" s="740"/>
    </row>
    <row r="33055" ht="14.25" customHeight="1">
      <c r="A33055" s="740"/>
    </row>
    <row r="33056" ht="14.25" customHeight="1">
      <c r="A33056" s="740"/>
    </row>
    <row r="33057" ht="14.25" customHeight="1">
      <c r="A33057" s="740"/>
    </row>
    <row r="33058" ht="14.25" customHeight="1">
      <c r="A33058" s="740"/>
    </row>
    <row r="33059" ht="14.25" customHeight="1">
      <c r="A33059" s="740"/>
    </row>
    <row r="33060" ht="14.25" customHeight="1">
      <c r="A33060" s="740"/>
    </row>
    <row r="33061" ht="14.25" customHeight="1">
      <c r="A33061" s="740"/>
    </row>
    <row r="33062" ht="14.25" customHeight="1">
      <c r="A33062" s="740"/>
    </row>
    <row r="33063" ht="14.25" customHeight="1">
      <c r="A33063" s="740"/>
    </row>
    <row r="33064" ht="14.25" customHeight="1">
      <c r="A33064" s="740"/>
    </row>
    <row r="33065" ht="14.25" customHeight="1">
      <c r="A33065" s="740"/>
    </row>
    <row r="33066" ht="14.25" customHeight="1">
      <c r="A33066" s="740"/>
    </row>
    <row r="33067" ht="14.25" customHeight="1">
      <c r="A33067" s="740"/>
    </row>
    <row r="33068" ht="14.25" customHeight="1">
      <c r="A33068" s="740"/>
    </row>
    <row r="33069" ht="14.25" customHeight="1">
      <c r="A33069" s="740"/>
    </row>
    <row r="33070" ht="14.25" customHeight="1">
      <c r="A33070" s="740"/>
    </row>
    <row r="33071" ht="14.25" customHeight="1">
      <c r="A33071" s="740"/>
    </row>
    <row r="33072" ht="14.25" customHeight="1">
      <c r="A33072" s="740"/>
    </row>
    <row r="33073" ht="14.25" customHeight="1">
      <c r="A33073" s="740"/>
    </row>
    <row r="33074" ht="14.25" customHeight="1">
      <c r="A33074" s="740"/>
    </row>
    <row r="33075" ht="14.25" customHeight="1">
      <c r="A33075" s="740"/>
    </row>
    <row r="33076" ht="14.25" customHeight="1">
      <c r="A33076" s="740"/>
    </row>
    <row r="33077" ht="14.25" customHeight="1">
      <c r="A33077" s="740"/>
    </row>
    <row r="33078" ht="14.25" customHeight="1">
      <c r="A33078" s="740"/>
    </row>
    <row r="33079" ht="14.25" customHeight="1">
      <c r="A33079" s="740"/>
    </row>
    <row r="33080" ht="14.25" customHeight="1">
      <c r="A33080" s="740"/>
    </row>
    <row r="33081" ht="14.25" customHeight="1">
      <c r="A33081" s="740"/>
    </row>
    <row r="33082" ht="14.25" customHeight="1">
      <c r="A33082" s="740"/>
    </row>
    <row r="33083" ht="14.25" customHeight="1">
      <c r="A33083" s="740"/>
    </row>
    <row r="33084" ht="14.25" customHeight="1">
      <c r="A33084" s="740"/>
    </row>
    <row r="33085" ht="14.25" customHeight="1">
      <c r="A33085" s="740"/>
    </row>
    <row r="33086" ht="14.25" customHeight="1">
      <c r="A33086" s="740"/>
    </row>
    <row r="33087" ht="14.25" customHeight="1">
      <c r="A33087" s="740"/>
    </row>
    <row r="33088" ht="14.25" customHeight="1">
      <c r="A33088" s="740"/>
    </row>
    <row r="33089" ht="14.25" customHeight="1">
      <c r="A33089" s="740"/>
    </row>
    <row r="33090" ht="14.25" customHeight="1">
      <c r="A33090" s="740"/>
    </row>
    <row r="33091" ht="14.25" customHeight="1">
      <c r="A33091" s="740"/>
    </row>
    <row r="33092" ht="14.25" customHeight="1">
      <c r="A33092" s="740"/>
    </row>
    <row r="33093" ht="14.25" customHeight="1">
      <c r="A33093" s="740"/>
    </row>
    <row r="33094" ht="14.25" customHeight="1">
      <c r="A33094" s="740"/>
    </row>
    <row r="33095" ht="14.25" customHeight="1">
      <c r="A33095" s="740"/>
    </row>
    <row r="33096" ht="14.25" customHeight="1">
      <c r="A33096" s="740"/>
    </row>
    <row r="33097" ht="14.25" customHeight="1">
      <c r="A33097" s="740"/>
    </row>
    <row r="33098" ht="14.25" customHeight="1">
      <c r="A33098" s="740"/>
    </row>
    <row r="33099" ht="14.25" customHeight="1">
      <c r="A33099" s="740"/>
    </row>
    <row r="33100" ht="14.25" customHeight="1">
      <c r="A33100" s="740"/>
    </row>
    <row r="33101" ht="14.25" customHeight="1">
      <c r="A33101" s="740"/>
    </row>
    <row r="33102" ht="14.25" customHeight="1">
      <c r="A33102" s="740"/>
    </row>
    <row r="33103" ht="14.25" customHeight="1">
      <c r="A33103" s="740"/>
    </row>
    <row r="33104" ht="14.25" customHeight="1">
      <c r="A33104" s="740"/>
    </row>
    <row r="33105" ht="14.25" customHeight="1">
      <c r="A33105" s="740"/>
    </row>
    <row r="33106" ht="14.25" customHeight="1">
      <c r="A33106" s="740"/>
    </row>
    <row r="33107" ht="14.25" customHeight="1">
      <c r="A33107" s="740"/>
    </row>
    <row r="33108" ht="14.25" customHeight="1">
      <c r="A33108" s="740"/>
    </row>
    <row r="33109" ht="14.25" customHeight="1">
      <c r="A33109" s="740"/>
    </row>
    <row r="33110" ht="14.25" customHeight="1">
      <c r="A33110" s="740"/>
    </row>
    <row r="33111" ht="14.25" customHeight="1">
      <c r="A33111" s="740"/>
    </row>
    <row r="33112" ht="14.25" customHeight="1">
      <c r="A33112" s="740"/>
    </row>
    <row r="33113" ht="14.25" customHeight="1">
      <c r="A33113" s="740"/>
    </row>
    <row r="33114" ht="14.25" customHeight="1">
      <c r="A33114" s="740"/>
    </row>
    <row r="33115" ht="14.25" customHeight="1">
      <c r="A33115" s="740"/>
    </row>
    <row r="33116" ht="14.25" customHeight="1">
      <c r="A33116" s="740"/>
    </row>
    <row r="33117" ht="14.25" customHeight="1">
      <c r="A33117" s="740"/>
    </row>
    <row r="33118" ht="14.25" customHeight="1">
      <c r="A33118" s="740"/>
    </row>
    <row r="33119" ht="14.25" customHeight="1">
      <c r="A33119" s="740"/>
    </row>
    <row r="33120" ht="14.25" customHeight="1">
      <c r="A33120" s="740"/>
    </row>
    <row r="33121" ht="14.25" customHeight="1">
      <c r="A33121" s="740"/>
    </row>
    <row r="33122" ht="14.25" customHeight="1">
      <c r="A33122" s="740"/>
    </row>
    <row r="33123" ht="14.25" customHeight="1">
      <c r="A33123" s="740"/>
    </row>
    <row r="33124" ht="14.25" customHeight="1">
      <c r="A33124" s="740"/>
    </row>
    <row r="33125" ht="14.25" customHeight="1">
      <c r="A33125" s="740"/>
    </row>
    <row r="33126" ht="14.25" customHeight="1">
      <c r="A33126" s="740"/>
    </row>
    <row r="33127" ht="14.25" customHeight="1">
      <c r="A33127" s="740"/>
    </row>
    <row r="33128" ht="14.25" customHeight="1">
      <c r="A33128" s="740"/>
    </row>
    <row r="33129" ht="14.25" customHeight="1">
      <c r="A33129" s="740"/>
    </row>
    <row r="33130" ht="14.25" customHeight="1">
      <c r="A33130" s="740"/>
    </row>
    <row r="33131" ht="14.25" customHeight="1">
      <c r="A33131" s="740"/>
    </row>
    <row r="33132" ht="14.25" customHeight="1">
      <c r="A33132" s="740"/>
    </row>
    <row r="33133" ht="14.25" customHeight="1">
      <c r="A33133" s="740"/>
    </row>
    <row r="33134" ht="14.25" customHeight="1">
      <c r="A33134" s="740"/>
    </row>
    <row r="33135" ht="14.25" customHeight="1">
      <c r="A33135" s="740"/>
    </row>
    <row r="33136" ht="14.25" customHeight="1">
      <c r="A33136" s="740"/>
    </row>
    <row r="33137" ht="14.25" customHeight="1">
      <c r="A33137" s="740"/>
    </row>
    <row r="33138" ht="14.25" customHeight="1">
      <c r="A33138" s="740"/>
    </row>
    <row r="33139" ht="14.25" customHeight="1">
      <c r="A33139" s="740"/>
    </row>
    <row r="33140" ht="14.25" customHeight="1">
      <c r="A33140" s="740"/>
    </row>
    <row r="33141" ht="14.25" customHeight="1">
      <c r="A33141" s="740"/>
    </row>
    <row r="33142" ht="14.25" customHeight="1">
      <c r="A33142" s="740"/>
    </row>
    <row r="33143" ht="14.25" customHeight="1">
      <c r="A33143" s="740"/>
    </row>
    <row r="33144" ht="14.25" customHeight="1">
      <c r="A33144" s="740"/>
    </row>
    <row r="33145" ht="14.25" customHeight="1">
      <c r="A33145" s="740"/>
    </row>
    <row r="33146" ht="14.25" customHeight="1">
      <c r="A33146" s="740"/>
    </row>
    <row r="33147" ht="14.25" customHeight="1">
      <c r="A33147" s="740"/>
    </row>
    <row r="33148" ht="14.25" customHeight="1">
      <c r="A33148" s="740"/>
    </row>
    <row r="33149" ht="14.25" customHeight="1">
      <c r="A33149" s="740"/>
    </row>
    <row r="33150" ht="14.25" customHeight="1">
      <c r="A33150" s="740"/>
    </row>
    <row r="33151" ht="14.25" customHeight="1">
      <c r="A33151" s="740"/>
    </row>
    <row r="33152" ht="14.25" customHeight="1">
      <c r="A33152" s="740"/>
    </row>
    <row r="33153" ht="14.25" customHeight="1">
      <c r="A33153" s="740"/>
    </row>
    <row r="33154" ht="14.25" customHeight="1">
      <c r="A33154" s="740"/>
    </row>
    <row r="33155" ht="14.25" customHeight="1">
      <c r="A33155" s="740"/>
    </row>
    <row r="33156" ht="14.25" customHeight="1">
      <c r="A33156" s="740"/>
    </row>
    <row r="33157" ht="14.25" customHeight="1">
      <c r="A33157" s="740"/>
    </row>
    <row r="33158" ht="14.25" customHeight="1">
      <c r="A33158" s="740"/>
    </row>
    <row r="33159" ht="14.25" customHeight="1">
      <c r="A33159" s="740"/>
    </row>
    <row r="33160" ht="14.25" customHeight="1">
      <c r="A33160" s="740"/>
    </row>
    <row r="33161" ht="14.25" customHeight="1">
      <c r="A33161" s="740"/>
    </row>
    <row r="33162" ht="14.25" customHeight="1">
      <c r="A33162" s="740"/>
    </row>
    <row r="33163" ht="14.25" customHeight="1">
      <c r="A33163" s="740"/>
    </row>
    <row r="33164" ht="14.25" customHeight="1">
      <c r="A33164" s="740"/>
    </row>
    <row r="33165" ht="14.25" customHeight="1">
      <c r="A33165" s="740"/>
    </row>
    <row r="33166" ht="14.25" customHeight="1">
      <c r="A33166" s="740"/>
    </row>
    <row r="33167" ht="14.25" customHeight="1">
      <c r="A33167" s="740"/>
    </row>
    <row r="33168" ht="14.25" customHeight="1">
      <c r="A33168" s="740"/>
    </row>
    <row r="33169" ht="14.25" customHeight="1">
      <c r="A33169" s="740"/>
    </row>
    <row r="33170" ht="14.25" customHeight="1">
      <c r="A33170" s="740"/>
    </row>
    <row r="33171" ht="14.25" customHeight="1">
      <c r="A33171" s="740"/>
    </row>
    <row r="33172" ht="14.25" customHeight="1">
      <c r="A33172" s="740"/>
    </row>
    <row r="33173" ht="14.25" customHeight="1">
      <c r="A33173" s="740"/>
    </row>
    <row r="33174" ht="14.25" customHeight="1">
      <c r="A33174" s="740"/>
    </row>
    <row r="33175" ht="14.25" customHeight="1">
      <c r="A33175" s="740"/>
    </row>
    <row r="33176" ht="14.25" customHeight="1">
      <c r="A33176" s="740"/>
    </row>
    <row r="33177" ht="14.25" customHeight="1">
      <c r="A33177" s="740"/>
    </row>
    <row r="33178" ht="14.25" customHeight="1">
      <c r="A33178" s="740"/>
    </row>
    <row r="33179" ht="14.25" customHeight="1">
      <c r="A33179" s="740"/>
    </row>
    <row r="33180" ht="14.25" customHeight="1">
      <c r="A33180" s="740"/>
    </row>
    <row r="33181" ht="14.25" customHeight="1">
      <c r="A33181" s="740"/>
    </row>
    <row r="33182" ht="14.25" customHeight="1">
      <c r="A33182" s="740"/>
    </row>
    <row r="33183" ht="14.25" customHeight="1">
      <c r="A33183" s="740"/>
    </row>
    <row r="33184" ht="14.25" customHeight="1">
      <c r="A33184" s="740"/>
    </row>
    <row r="33185" ht="14.25" customHeight="1">
      <c r="A33185" s="740"/>
    </row>
    <row r="33186" ht="14.25" customHeight="1">
      <c r="A33186" s="740"/>
    </row>
    <row r="33187" ht="14.25" customHeight="1">
      <c r="A33187" s="740"/>
    </row>
    <row r="33188" ht="14.25" customHeight="1">
      <c r="A33188" s="740"/>
    </row>
    <row r="33189" ht="14.25" customHeight="1">
      <c r="A33189" s="740"/>
    </row>
    <row r="33190" ht="14.25" customHeight="1">
      <c r="A33190" s="740"/>
    </row>
    <row r="33191" ht="14.25" customHeight="1">
      <c r="A33191" s="740"/>
    </row>
    <row r="33192" ht="14.25" customHeight="1">
      <c r="A33192" s="740"/>
    </row>
    <row r="33193" ht="14.25" customHeight="1">
      <c r="A33193" s="740"/>
    </row>
    <row r="33194" ht="14.25" customHeight="1">
      <c r="A33194" s="740"/>
    </row>
    <row r="33195" ht="14.25" customHeight="1">
      <c r="A33195" s="740"/>
    </row>
    <row r="33196" ht="14.25" customHeight="1">
      <c r="A33196" s="740"/>
    </row>
    <row r="33197" ht="14.25" customHeight="1">
      <c r="A33197" s="740"/>
    </row>
    <row r="33198" ht="14.25" customHeight="1">
      <c r="A33198" s="740"/>
    </row>
    <row r="33199" ht="14.25" customHeight="1">
      <c r="A33199" s="740"/>
    </row>
    <row r="33200" ht="14.25" customHeight="1">
      <c r="A33200" s="740"/>
    </row>
    <row r="33201" ht="14.25" customHeight="1">
      <c r="A33201" s="740"/>
    </row>
    <row r="33202" ht="14.25" customHeight="1">
      <c r="A33202" s="740"/>
    </row>
    <row r="33203" ht="14.25" customHeight="1">
      <c r="A33203" s="740"/>
    </row>
    <row r="33204" ht="14.25" customHeight="1">
      <c r="A33204" s="740"/>
    </row>
    <row r="33205" ht="14.25" customHeight="1">
      <c r="A33205" s="740"/>
    </row>
    <row r="33206" ht="14.25" customHeight="1">
      <c r="A33206" s="740"/>
    </row>
    <row r="33207" ht="14.25" customHeight="1">
      <c r="A33207" s="740"/>
    </row>
    <row r="33208" ht="14.25" customHeight="1">
      <c r="A33208" s="740"/>
    </row>
    <row r="33209" ht="14.25" customHeight="1">
      <c r="A33209" s="740"/>
    </row>
    <row r="33210" ht="14.25" customHeight="1">
      <c r="A33210" s="740"/>
    </row>
    <row r="33211" ht="14.25" customHeight="1">
      <c r="A33211" s="740"/>
    </row>
    <row r="33212" ht="14.25" customHeight="1">
      <c r="A33212" s="740"/>
    </row>
    <row r="33213" ht="14.25" customHeight="1">
      <c r="A33213" s="740"/>
    </row>
    <row r="33214" ht="14.25" customHeight="1">
      <c r="A33214" s="740"/>
    </row>
    <row r="33215" ht="14.25" customHeight="1">
      <c r="A33215" s="740"/>
    </row>
    <row r="33216" ht="14.25" customHeight="1">
      <c r="A33216" s="740"/>
    </row>
    <row r="33217" ht="14.25" customHeight="1">
      <c r="A33217" s="740"/>
    </row>
    <row r="33218" ht="14.25" customHeight="1">
      <c r="A33218" s="740"/>
    </row>
    <row r="33219" ht="14.25" customHeight="1">
      <c r="A33219" s="740"/>
    </row>
    <row r="33220" ht="14.25" customHeight="1">
      <c r="A33220" s="740"/>
    </row>
    <row r="33221" ht="14.25" customHeight="1">
      <c r="A33221" s="740"/>
    </row>
    <row r="33222" ht="14.25" customHeight="1">
      <c r="A33222" s="740"/>
    </row>
    <row r="33223" ht="14.25" customHeight="1">
      <c r="A33223" s="740"/>
    </row>
    <row r="33224" ht="14.25" customHeight="1">
      <c r="A33224" s="740"/>
    </row>
    <row r="33225" ht="14.25" customHeight="1">
      <c r="A33225" s="740"/>
    </row>
    <row r="33226" ht="14.25" customHeight="1">
      <c r="A33226" s="740"/>
    </row>
    <row r="33227" ht="14.25" customHeight="1">
      <c r="A33227" s="740"/>
    </row>
    <row r="33228" ht="14.25" customHeight="1">
      <c r="A33228" s="740"/>
    </row>
    <row r="33229" ht="14.25" customHeight="1">
      <c r="A33229" s="740"/>
    </row>
    <row r="33230" ht="14.25" customHeight="1">
      <c r="A33230" s="740"/>
    </row>
    <row r="33231" ht="14.25" customHeight="1">
      <c r="A33231" s="740"/>
    </row>
    <row r="33232" ht="14.25" customHeight="1">
      <c r="A33232" s="740"/>
    </row>
    <row r="33233" ht="14.25" customHeight="1">
      <c r="A33233" s="740"/>
    </row>
    <row r="33234" ht="14.25" customHeight="1">
      <c r="A33234" s="740"/>
    </row>
    <row r="33235" ht="14.25" customHeight="1">
      <c r="A33235" s="740"/>
    </row>
    <row r="33236" ht="14.25" customHeight="1">
      <c r="A33236" s="740"/>
    </row>
    <row r="33237" ht="14.25" customHeight="1">
      <c r="A33237" s="740"/>
    </row>
    <row r="33238" ht="14.25" customHeight="1">
      <c r="A33238" s="740"/>
    </row>
    <row r="33239" ht="14.25" customHeight="1">
      <c r="A33239" s="740"/>
    </row>
    <row r="33240" ht="14.25" customHeight="1">
      <c r="A33240" s="740"/>
    </row>
    <row r="33241" ht="14.25" customHeight="1">
      <c r="A33241" s="740"/>
    </row>
    <row r="33242" ht="14.25" customHeight="1">
      <c r="A33242" s="740"/>
    </row>
    <row r="33243" ht="14.25" customHeight="1">
      <c r="A33243" s="740"/>
    </row>
    <row r="33244" ht="14.25" customHeight="1">
      <c r="A33244" s="740"/>
    </row>
    <row r="33245" ht="14.25" customHeight="1">
      <c r="A33245" s="740"/>
    </row>
    <row r="33246" ht="14.25" customHeight="1">
      <c r="A33246" s="740"/>
    </row>
    <row r="33247" ht="14.25" customHeight="1">
      <c r="A33247" s="740"/>
    </row>
    <row r="33248" ht="14.25" customHeight="1">
      <c r="A33248" s="740"/>
    </row>
    <row r="33249" ht="14.25" customHeight="1">
      <c r="A33249" s="740"/>
    </row>
    <row r="33250" ht="14.25" customHeight="1">
      <c r="A33250" s="740"/>
    </row>
    <row r="33251" ht="14.25" customHeight="1">
      <c r="A33251" s="740"/>
    </row>
    <row r="33252" ht="14.25" customHeight="1">
      <c r="A33252" s="740"/>
    </row>
    <row r="33253" ht="14.25" customHeight="1">
      <c r="A33253" s="740"/>
    </row>
    <row r="33254" ht="14.25" customHeight="1">
      <c r="A33254" s="740"/>
    </row>
    <row r="33255" ht="14.25" customHeight="1">
      <c r="A33255" s="740"/>
    </row>
    <row r="33256" ht="14.25" customHeight="1">
      <c r="A33256" s="740"/>
    </row>
    <row r="33257" ht="14.25" customHeight="1">
      <c r="A33257" s="740"/>
    </row>
    <row r="33258" ht="14.25" customHeight="1">
      <c r="A33258" s="740"/>
    </row>
    <row r="33259" ht="14.25" customHeight="1">
      <c r="A33259" s="740"/>
    </row>
    <row r="33260" ht="14.25" customHeight="1">
      <c r="A33260" s="740"/>
    </row>
    <row r="33261" ht="14.25" customHeight="1">
      <c r="A33261" s="740"/>
    </row>
    <row r="33262" ht="14.25" customHeight="1">
      <c r="A33262" s="740"/>
    </row>
    <row r="33263" ht="14.25" customHeight="1">
      <c r="A33263" s="740"/>
    </row>
    <row r="33264" ht="14.25" customHeight="1">
      <c r="A33264" s="740"/>
    </row>
    <row r="33265" ht="14.25" customHeight="1">
      <c r="A33265" s="740"/>
    </row>
    <row r="33266" ht="14.25" customHeight="1">
      <c r="A33266" s="740"/>
    </row>
    <row r="33267" ht="14.25" customHeight="1">
      <c r="A33267" s="740"/>
    </row>
    <row r="33268" ht="14.25" customHeight="1">
      <c r="A33268" s="740"/>
    </row>
    <row r="33269" ht="14.25" customHeight="1">
      <c r="A33269" s="740"/>
    </row>
    <row r="33270" ht="14.25" customHeight="1">
      <c r="A33270" s="740"/>
    </row>
    <row r="33271" ht="14.25" customHeight="1">
      <c r="A33271" s="740"/>
    </row>
    <row r="33272" ht="14.25" customHeight="1">
      <c r="A33272" s="740"/>
    </row>
    <row r="33273" ht="14.25" customHeight="1">
      <c r="A33273" s="740"/>
    </row>
    <row r="33274" ht="14.25" customHeight="1">
      <c r="A33274" s="740"/>
    </row>
    <row r="33275" ht="14.25" customHeight="1">
      <c r="A33275" s="740"/>
    </row>
    <row r="33276" ht="14.25" customHeight="1">
      <c r="A33276" s="740"/>
    </row>
    <row r="33277" ht="14.25" customHeight="1">
      <c r="A33277" s="740"/>
    </row>
    <row r="33278" ht="14.25" customHeight="1">
      <c r="A33278" s="740"/>
    </row>
    <row r="33279" ht="14.25" customHeight="1">
      <c r="A33279" s="740"/>
    </row>
    <row r="33280" ht="14.25" customHeight="1">
      <c r="A33280" s="740"/>
    </row>
    <row r="33281" ht="14.25" customHeight="1">
      <c r="A33281" s="740"/>
    </row>
    <row r="33282" ht="14.25" customHeight="1">
      <c r="A33282" s="740"/>
    </row>
    <row r="33283" ht="14.25" customHeight="1">
      <c r="A33283" s="740"/>
    </row>
    <row r="33284" ht="14.25" customHeight="1">
      <c r="A33284" s="740"/>
    </row>
    <row r="33285" ht="14.25" customHeight="1">
      <c r="A33285" s="740"/>
    </row>
    <row r="33286" ht="14.25" customHeight="1">
      <c r="A33286" s="740"/>
    </row>
    <row r="33287" ht="14.25" customHeight="1">
      <c r="A33287" s="740"/>
    </row>
    <row r="33288" ht="14.25" customHeight="1">
      <c r="A33288" s="740"/>
    </row>
    <row r="33289" ht="14.25" customHeight="1">
      <c r="A33289" s="740"/>
    </row>
    <row r="33290" ht="14.25" customHeight="1">
      <c r="A33290" s="740"/>
    </row>
    <row r="33291" ht="14.25" customHeight="1">
      <c r="A33291" s="740"/>
    </row>
    <row r="33292" ht="14.25" customHeight="1">
      <c r="A33292" s="740"/>
    </row>
    <row r="33293" ht="14.25" customHeight="1">
      <c r="A33293" s="740"/>
    </row>
    <row r="33294" ht="14.25" customHeight="1">
      <c r="A33294" s="740"/>
    </row>
    <row r="33295" ht="14.25" customHeight="1">
      <c r="A33295" s="740"/>
    </row>
    <row r="33296" ht="14.25" customHeight="1">
      <c r="A33296" s="740"/>
    </row>
    <row r="33297" ht="14.25" customHeight="1">
      <c r="A33297" s="740"/>
    </row>
    <row r="33298" ht="14.25" customHeight="1">
      <c r="A33298" s="740"/>
    </row>
    <row r="33299" ht="14.25" customHeight="1">
      <c r="A33299" s="740"/>
    </row>
    <row r="33300" ht="14.25" customHeight="1">
      <c r="A33300" s="740"/>
    </row>
    <row r="33301" ht="14.25" customHeight="1">
      <c r="A33301" s="740"/>
    </row>
    <row r="33302" ht="14.25" customHeight="1">
      <c r="A33302" s="740"/>
    </row>
    <row r="33303" ht="14.25" customHeight="1">
      <c r="A33303" s="740"/>
    </row>
    <row r="33304" ht="14.25" customHeight="1">
      <c r="A33304" s="740"/>
    </row>
    <row r="33305" ht="14.25" customHeight="1">
      <c r="A33305" s="740"/>
    </row>
    <row r="33306" ht="14.25" customHeight="1">
      <c r="A33306" s="740"/>
    </row>
    <row r="33307" ht="14.25" customHeight="1">
      <c r="A33307" s="740"/>
    </row>
    <row r="33308" ht="14.25" customHeight="1">
      <c r="A33308" s="740"/>
    </row>
    <row r="33309" ht="14.25" customHeight="1">
      <c r="A33309" s="740"/>
    </row>
    <row r="33310" ht="14.25" customHeight="1">
      <c r="A33310" s="740"/>
    </row>
    <row r="33311" ht="14.25" customHeight="1">
      <c r="A33311" s="740"/>
    </row>
    <row r="33312" ht="14.25" customHeight="1">
      <c r="A33312" s="740"/>
    </row>
    <row r="33313" ht="14.25" customHeight="1">
      <c r="A33313" s="740"/>
    </row>
    <row r="33314" ht="14.25" customHeight="1">
      <c r="A33314" s="740"/>
    </row>
    <row r="33315" ht="14.25" customHeight="1">
      <c r="A33315" s="740"/>
    </row>
    <row r="33316" ht="14.25" customHeight="1">
      <c r="A33316" s="740"/>
    </row>
    <row r="33317" ht="14.25" customHeight="1">
      <c r="A33317" s="740"/>
    </row>
    <row r="33318" ht="14.25" customHeight="1">
      <c r="A33318" s="740"/>
    </row>
    <row r="33319" ht="14.25" customHeight="1">
      <c r="A33319" s="740"/>
    </row>
    <row r="33320" ht="14.25" customHeight="1">
      <c r="A33320" s="740"/>
    </row>
    <row r="33321" ht="14.25" customHeight="1">
      <c r="A33321" s="740"/>
    </row>
    <row r="33322" ht="14.25" customHeight="1">
      <c r="A33322" s="740"/>
    </row>
    <row r="33323" ht="14.25" customHeight="1">
      <c r="A33323" s="740"/>
    </row>
    <row r="33324" ht="14.25" customHeight="1">
      <c r="A33324" s="740"/>
    </row>
    <row r="33325" ht="14.25" customHeight="1">
      <c r="A33325" s="740"/>
    </row>
    <row r="33326" ht="14.25" customHeight="1">
      <c r="A33326" s="740"/>
    </row>
    <row r="33327" ht="14.25" customHeight="1">
      <c r="A33327" s="740"/>
    </row>
    <row r="33328" ht="14.25" customHeight="1">
      <c r="A33328" s="740"/>
    </row>
    <row r="33329" ht="14.25" customHeight="1">
      <c r="A33329" s="740"/>
    </row>
    <row r="33330" ht="14.25" customHeight="1">
      <c r="A33330" s="740"/>
    </row>
    <row r="33331" ht="14.25" customHeight="1">
      <c r="A33331" s="740"/>
    </row>
    <row r="33332" ht="14.25" customHeight="1">
      <c r="A33332" s="740"/>
    </row>
    <row r="33333" ht="14.25" customHeight="1">
      <c r="A33333" s="740"/>
    </row>
    <row r="33334" ht="14.25" customHeight="1">
      <c r="A33334" s="740"/>
    </row>
    <row r="33335" ht="14.25" customHeight="1">
      <c r="A33335" s="740"/>
    </row>
    <row r="33336" ht="14.25" customHeight="1">
      <c r="A33336" s="740"/>
    </row>
    <row r="33337" ht="14.25" customHeight="1">
      <c r="A33337" s="740"/>
    </row>
    <row r="33338" ht="14.25" customHeight="1">
      <c r="A33338" s="740"/>
    </row>
    <row r="33339" ht="14.25" customHeight="1">
      <c r="A33339" s="740"/>
    </row>
    <row r="33340" ht="14.25" customHeight="1">
      <c r="A33340" s="740"/>
    </row>
    <row r="33341" ht="14.25" customHeight="1">
      <c r="A33341" s="740"/>
    </row>
    <row r="33342" ht="14.25" customHeight="1">
      <c r="A33342" s="740"/>
    </row>
    <row r="33343" ht="14.25" customHeight="1">
      <c r="A33343" s="740"/>
    </row>
    <row r="33344" ht="14.25" customHeight="1">
      <c r="A33344" s="740"/>
    </row>
    <row r="33345" ht="14.25" customHeight="1">
      <c r="A33345" s="740"/>
    </row>
    <row r="33346" ht="14.25" customHeight="1">
      <c r="A33346" s="740"/>
    </row>
    <row r="33347" ht="14.25" customHeight="1">
      <c r="A33347" s="740"/>
    </row>
    <row r="33348" ht="14.25" customHeight="1">
      <c r="A33348" s="740"/>
    </row>
    <row r="33349" ht="14.25" customHeight="1">
      <c r="A33349" s="740"/>
    </row>
    <row r="33350" ht="14.25" customHeight="1">
      <c r="A33350" s="740"/>
    </row>
    <row r="33351" ht="14.25" customHeight="1">
      <c r="A33351" s="740"/>
    </row>
    <row r="33352" ht="14.25" customHeight="1">
      <c r="A33352" s="740"/>
    </row>
    <row r="33353" ht="14.25" customHeight="1">
      <c r="A33353" s="740"/>
    </row>
    <row r="33354" ht="14.25" customHeight="1">
      <c r="A33354" s="740"/>
    </row>
    <row r="33355" ht="14.25" customHeight="1">
      <c r="A33355" s="740"/>
    </row>
    <row r="33356" ht="14.25" customHeight="1">
      <c r="A33356" s="740"/>
    </row>
    <row r="33357" ht="14.25" customHeight="1">
      <c r="A33357" s="740"/>
    </row>
    <row r="33358" ht="14.25" customHeight="1">
      <c r="A33358" s="740"/>
    </row>
    <row r="33359" ht="14.25" customHeight="1">
      <c r="A33359" s="740"/>
    </row>
    <row r="33360" ht="14.25" customHeight="1">
      <c r="A33360" s="740"/>
    </row>
    <row r="33361" ht="14.25" customHeight="1">
      <c r="A33361" s="740"/>
    </row>
    <row r="33362" ht="14.25" customHeight="1">
      <c r="A33362" s="740"/>
    </row>
    <row r="33363" ht="14.25" customHeight="1">
      <c r="A33363" s="740"/>
    </row>
    <row r="33364" ht="14.25" customHeight="1">
      <c r="A33364" s="740"/>
    </row>
    <row r="33365" ht="14.25" customHeight="1">
      <c r="A33365" s="740"/>
    </row>
    <row r="33366" ht="14.25" customHeight="1">
      <c r="A33366" s="740"/>
    </row>
    <row r="33367" ht="14.25" customHeight="1">
      <c r="A33367" s="740"/>
    </row>
    <row r="33368" ht="14.25" customHeight="1">
      <c r="A33368" s="740"/>
    </row>
    <row r="33369" ht="14.25" customHeight="1">
      <c r="A33369" s="740"/>
    </row>
    <row r="33370" ht="14.25" customHeight="1">
      <c r="A33370" s="740"/>
    </row>
    <row r="33371" ht="14.25" customHeight="1">
      <c r="A33371" s="740"/>
    </row>
    <row r="33372" ht="14.25" customHeight="1">
      <c r="A33372" s="740"/>
    </row>
    <row r="33373" ht="14.25" customHeight="1">
      <c r="A33373" s="740"/>
    </row>
    <row r="33374" ht="14.25" customHeight="1">
      <c r="A33374" s="740"/>
    </row>
    <row r="33375" ht="14.25" customHeight="1">
      <c r="A33375" s="740"/>
    </row>
    <row r="33376" ht="14.25" customHeight="1">
      <c r="A33376" s="740"/>
    </row>
    <row r="33377" ht="14.25" customHeight="1">
      <c r="A33377" s="740"/>
    </row>
    <row r="33378" ht="14.25" customHeight="1">
      <c r="A33378" s="740"/>
    </row>
    <row r="33379" ht="14.25" customHeight="1">
      <c r="A33379" s="740"/>
    </row>
    <row r="33380" ht="14.25" customHeight="1">
      <c r="A33380" s="740"/>
    </row>
    <row r="33381" ht="14.25" customHeight="1">
      <c r="A33381" s="740"/>
    </row>
    <row r="33382" ht="14.25" customHeight="1">
      <c r="A33382" s="740"/>
    </row>
    <row r="33383" ht="14.25" customHeight="1">
      <c r="A33383" s="740"/>
    </row>
    <row r="33384" ht="14.25" customHeight="1">
      <c r="A33384" s="740"/>
    </row>
    <row r="33385" ht="14.25" customHeight="1">
      <c r="A33385" s="740"/>
    </row>
    <row r="33386" ht="14.25" customHeight="1">
      <c r="A33386" s="740"/>
    </row>
    <row r="33387" ht="14.25" customHeight="1">
      <c r="A33387" s="740"/>
    </row>
    <row r="33388" ht="14.25" customHeight="1">
      <c r="A33388" s="740"/>
    </row>
    <row r="33389" ht="14.25" customHeight="1">
      <c r="A33389" s="740"/>
    </row>
    <row r="33390" ht="14.25" customHeight="1">
      <c r="A33390" s="740"/>
    </row>
    <row r="33391" ht="14.25" customHeight="1">
      <c r="A33391" s="740"/>
    </row>
    <row r="33392" ht="14.25" customHeight="1">
      <c r="A33392" s="740"/>
    </row>
    <row r="33393" ht="14.25" customHeight="1">
      <c r="A33393" s="740"/>
    </row>
    <row r="33394" ht="14.25" customHeight="1">
      <c r="A33394" s="740"/>
    </row>
    <row r="33395" ht="14.25" customHeight="1">
      <c r="A33395" s="740"/>
    </row>
    <row r="33396" ht="14.25" customHeight="1">
      <c r="A33396" s="740"/>
    </row>
    <row r="33397" ht="14.25" customHeight="1">
      <c r="A33397" s="740"/>
    </row>
    <row r="33398" ht="14.25" customHeight="1">
      <c r="A33398" s="740"/>
    </row>
    <row r="33399" ht="14.25" customHeight="1">
      <c r="A33399" s="740"/>
    </row>
    <row r="33400" ht="14.25" customHeight="1">
      <c r="A33400" s="740"/>
    </row>
    <row r="33401" ht="14.25" customHeight="1">
      <c r="A33401" s="740"/>
    </row>
    <row r="33402" ht="14.25" customHeight="1">
      <c r="A33402" s="740"/>
    </row>
    <row r="33403" ht="14.25" customHeight="1">
      <c r="A33403" s="740"/>
    </row>
    <row r="33404" ht="14.25" customHeight="1">
      <c r="A33404" s="740"/>
    </row>
    <row r="33405" ht="14.25" customHeight="1">
      <c r="A33405" s="740"/>
    </row>
    <row r="33406" ht="14.25" customHeight="1">
      <c r="A33406" s="740"/>
    </row>
    <row r="33407" ht="14.25" customHeight="1">
      <c r="A33407" s="740"/>
    </row>
    <row r="33408" ht="14.25" customHeight="1">
      <c r="A33408" s="740"/>
    </row>
    <row r="33409" ht="14.25" customHeight="1">
      <c r="A33409" s="740"/>
    </row>
    <row r="33410" ht="14.25" customHeight="1">
      <c r="A33410" s="740"/>
    </row>
    <row r="33411" ht="14.25" customHeight="1">
      <c r="A33411" s="740"/>
    </row>
    <row r="33412" ht="14.25" customHeight="1">
      <c r="A33412" s="740"/>
    </row>
    <row r="33413" ht="14.25" customHeight="1">
      <c r="A33413" s="740"/>
    </row>
    <row r="33414" ht="14.25" customHeight="1">
      <c r="A33414" s="740"/>
    </row>
    <row r="33415" ht="14.25" customHeight="1">
      <c r="A33415" s="740"/>
    </row>
    <row r="33416" ht="14.25" customHeight="1">
      <c r="A33416" s="740"/>
    </row>
    <row r="33417" ht="14.25" customHeight="1">
      <c r="A33417" s="740"/>
    </row>
    <row r="33418" ht="14.25" customHeight="1">
      <c r="A33418" s="740"/>
    </row>
    <row r="33419" ht="14.25" customHeight="1">
      <c r="A33419" s="740"/>
    </row>
    <row r="33420" ht="14.25" customHeight="1">
      <c r="A33420" s="740"/>
    </row>
    <row r="33421" ht="14.25" customHeight="1">
      <c r="A33421" s="740"/>
    </row>
    <row r="33422" ht="14.25" customHeight="1">
      <c r="A33422" s="740"/>
    </row>
    <row r="33423" ht="14.25" customHeight="1">
      <c r="A33423" s="740"/>
    </row>
    <row r="33424" ht="14.25" customHeight="1">
      <c r="A33424" s="740"/>
    </row>
    <row r="33425" ht="14.25" customHeight="1">
      <c r="A33425" s="740"/>
    </row>
    <row r="33426" ht="14.25" customHeight="1">
      <c r="A33426" s="740"/>
    </row>
    <row r="33427" ht="14.25" customHeight="1">
      <c r="A33427" s="740"/>
    </row>
    <row r="33428" ht="14.25" customHeight="1">
      <c r="A33428" s="740"/>
    </row>
    <row r="33429" ht="14.25" customHeight="1">
      <c r="A33429" s="740"/>
    </row>
    <row r="33430" ht="14.25" customHeight="1">
      <c r="A33430" s="740"/>
    </row>
    <row r="33431" ht="14.25" customHeight="1">
      <c r="A33431" s="740"/>
    </row>
    <row r="33432" ht="14.25" customHeight="1">
      <c r="A33432" s="740"/>
    </row>
    <row r="33433" ht="14.25" customHeight="1">
      <c r="A33433" s="740"/>
    </row>
    <row r="33434" ht="14.25" customHeight="1">
      <c r="A33434" s="740"/>
    </row>
    <row r="33435" ht="14.25" customHeight="1">
      <c r="A33435" s="740"/>
    </row>
    <row r="33436" ht="14.25" customHeight="1">
      <c r="A33436" s="740"/>
    </row>
    <row r="33437" ht="14.25" customHeight="1">
      <c r="A33437" s="740"/>
    </row>
    <row r="33438" ht="14.25" customHeight="1">
      <c r="A33438" s="740"/>
    </row>
    <row r="33439" ht="14.25" customHeight="1">
      <c r="A33439" s="740"/>
    </row>
    <row r="33440" ht="14.25" customHeight="1">
      <c r="A33440" s="740"/>
    </row>
    <row r="33441" ht="14.25" customHeight="1">
      <c r="A33441" s="740"/>
    </row>
    <row r="33442" ht="14.25" customHeight="1">
      <c r="A33442" s="740"/>
    </row>
    <row r="33443" ht="14.25" customHeight="1">
      <c r="A33443" s="740"/>
    </row>
    <row r="33444" ht="14.25" customHeight="1">
      <c r="A33444" s="740"/>
    </row>
    <row r="33445" ht="14.25" customHeight="1">
      <c r="A33445" s="740"/>
    </row>
    <row r="33446" ht="14.25" customHeight="1">
      <c r="A33446" s="740"/>
    </row>
    <row r="33447" ht="14.25" customHeight="1">
      <c r="A33447" s="740"/>
    </row>
    <row r="33448" ht="14.25" customHeight="1">
      <c r="A33448" s="740"/>
    </row>
    <row r="33449" ht="14.25" customHeight="1">
      <c r="A33449" s="740"/>
    </row>
    <row r="33450" ht="14.25" customHeight="1">
      <c r="A33450" s="740"/>
    </row>
    <row r="33451" ht="14.25" customHeight="1">
      <c r="A33451" s="740"/>
    </row>
    <row r="33452" ht="14.25" customHeight="1">
      <c r="A33452" s="740"/>
    </row>
    <row r="33453" ht="14.25" customHeight="1">
      <c r="A33453" s="740"/>
    </row>
    <row r="33454" ht="14.25" customHeight="1">
      <c r="A33454" s="740"/>
    </row>
    <row r="33455" ht="14.25" customHeight="1">
      <c r="A33455" s="740"/>
    </row>
    <row r="33456" ht="14.25" customHeight="1">
      <c r="A33456" s="740"/>
    </row>
    <row r="33457" ht="14.25" customHeight="1">
      <c r="A33457" s="740"/>
    </row>
    <row r="33458" ht="14.25" customHeight="1">
      <c r="A33458" s="740"/>
    </row>
    <row r="33459" ht="14.25" customHeight="1">
      <c r="A33459" s="740"/>
    </row>
    <row r="33460" ht="14.25" customHeight="1">
      <c r="A33460" s="740"/>
    </row>
    <row r="33461" ht="14.25" customHeight="1">
      <c r="A33461" s="740"/>
    </row>
    <row r="33462" ht="14.25" customHeight="1">
      <c r="A33462" s="740"/>
    </row>
    <row r="33463" ht="14.25" customHeight="1">
      <c r="A33463" s="740"/>
    </row>
    <row r="33464" ht="14.25" customHeight="1">
      <c r="A33464" s="740"/>
    </row>
    <row r="33465" ht="14.25" customHeight="1">
      <c r="A33465" s="740"/>
    </row>
    <row r="33466" ht="14.25" customHeight="1">
      <c r="A33466" s="740"/>
    </row>
    <row r="33467" ht="14.25" customHeight="1">
      <c r="A33467" s="740"/>
    </row>
    <row r="33468" ht="14.25" customHeight="1">
      <c r="A33468" s="740"/>
    </row>
    <row r="33469" ht="14.25" customHeight="1">
      <c r="A33469" s="740"/>
    </row>
    <row r="33470" ht="14.25" customHeight="1">
      <c r="A33470" s="740"/>
    </row>
    <row r="33471" ht="14.25" customHeight="1">
      <c r="A33471" s="740"/>
    </row>
    <row r="33472" ht="14.25" customHeight="1">
      <c r="A33472" s="740"/>
    </row>
    <row r="33473" ht="14.25" customHeight="1">
      <c r="A33473" s="740"/>
    </row>
    <row r="33474" ht="14.25" customHeight="1">
      <c r="A33474" s="740"/>
    </row>
    <row r="33475" ht="14.25" customHeight="1">
      <c r="A33475" s="740"/>
    </row>
    <row r="33476" ht="14.25" customHeight="1">
      <c r="A33476" s="740"/>
    </row>
    <row r="33477" ht="14.25" customHeight="1">
      <c r="A33477" s="740"/>
    </row>
    <row r="33478" ht="14.25" customHeight="1">
      <c r="A33478" s="740"/>
    </row>
    <row r="33479" ht="14.25" customHeight="1">
      <c r="A33479" s="740"/>
    </row>
    <row r="33480" ht="14.25" customHeight="1">
      <c r="A33480" s="740"/>
    </row>
    <row r="33481" ht="14.25" customHeight="1">
      <c r="A33481" s="740"/>
    </row>
    <row r="33482" ht="14.25" customHeight="1">
      <c r="A33482" s="740"/>
    </row>
    <row r="33483" ht="14.25" customHeight="1">
      <c r="A33483" s="740"/>
    </row>
    <row r="33484" ht="14.25" customHeight="1">
      <c r="A33484" s="740"/>
    </row>
    <row r="33485" ht="14.25" customHeight="1">
      <c r="A33485" s="740"/>
    </row>
    <row r="33486" ht="14.25" customHeight="1">
      <c r="A33486" s="740"/>
    </row>
    <row r="33487" ht="14.25" customHeight="1">
      <c r="A33487" s="740"/>
    </row>
    <row r="33488" ht="14.25" customHeight="1">
      <c r="A33488" s="740"/>
    </row>
    <row r="33489" ht="14.25" customHeight="1">
      <c r="A33489" s="740"/>
    </row>
    <row r="33490" ht="14.25" customHeight="1">
      <c r="A33490" s="740"/>
    </row>
    <row r="33491" ht="14.25" customHeight="1">
      <c r="A33491" s="740"/>
    </row>
    <row r="33492" ht="14.25" customHeight="1">
      <c r="A33492" s="740"/>
    </row>
    <row r="33493" ht="14.25" customHeight="1">
      <c r="A33493" s="740"/>
    </row>
    <row r="33494" ht="14.25" customHeight="1">
      <c r="A33494" s="740"/>
    </row>
    <row r="33495" ht="14.25" customHeight="1">
      <c r="A33495" s="740"/>
    </row>
    <row r="33496" ht="14.25" customHeight="1">
      <c r="A33496" s="740"/>
    </row>
    <row r="33497" ht="14.25" customHeight="1">
      <c r="A33497" s="740"/>
    </row>
    <row r="33498" ht="14.25" customHeight="1">
      <c r="A33498" s="740"/>
    </row>
    <row r="33499" ht="14.25" customHeight="1">
      <c r="A33499" s="740"/>
    </row>
    <row r="33500" ht="14.25" customHeight="1">
      <c r="A33500" s="740"/>
    </row>
    <row r="33501" ht="14.25" customHeight="1">
      <c r="A33501" s="740"/>
    </row>
    <row r="33502" ht="14.25" customHeight="1">
      <c r="A33502" s="740"/>
    </row>
    <row r="33503" ht="14.25" customHeight="1">
      <c r="A33503" s="740"/>
    </row>
    <row r="33504" ht="14.25" customHeight="1">
      <c r="A33504" s="740"/>
    </row>
    <row r="33505" ht="14.25" customHeight="1">
      <c r="A33505" s="740"/>
    </row>
    <row r="33506" ht="14.25" customHeight="1">
      <c r="A33506" s="740"/>
    </row>
    <row r="33507" ht="14.25" customHeight="1">
      <c r="A33507" s="740"/>
    </row>
    <row r="33508" ht="14.25" customHeight="1">
      <c r="A33508" s="740"/>
    </row>
    <row r="33509" ht="14.25" customHeight="1">
      <c r="A33509" s="740"/>
    </row>
    <row r="33510" ht="14.25" customHeight="1">
      <c r="A33510" s="740"/>
    </row>
    <row r="33511" ht="14.25" customHeight="1">
      <c r="A33511" s="740"/>
    </row>
    <row r="33512" ht="14.25" customHeight="1">
      <c r="A33512" s="740"/>
    </row>
    <row r="33513" ht="14.25" customHeight="1">
      <c r="A33513" s="740"/>
    </row>
    <row r="33514" ht="14.25" customHeight="1">
      <c r="A33514" s="740"/>
    </row>
    <row r="33515" ht="14.25" customHeight="1">
      <c r="A33515" s="740"/>
    </row>
    <row r="33516" ht="14.25" customHeight="1">
      <c r="A33516" s="740"/>
    </row>
    <row r="33517" ht="14.25" customHeight="1">
      <c r="A33517" s="740"/>
    </row>
    <row r="33518" ht="14.25" customHeight="1">
      <c r="A33518" s="740"/>
    </row>
    <row r="33519" ht="14.25" customHeight="1">
      <c r="A33519" s="740"/>
    </row>
    <row r="33520" ht="14.25" customHeight="1">
      <c r="A33520" s="740"/>
    </row>
    <row r="33521" ht="14.25" customHeight="1">
      <c r="A33521" s="740"/>
    </row>
    <row r="33522" ht="14.25" customHeight="1">
      <c r="A33522" s="740"/>
    </row>
    <row r="33523" ht="14.25" customHeight="1">
      <c r="A33523" s="740"/>
    </row>
    <row r="33524" ht="14.25" customHeight="1">
      <c r="A33524" s="740"/>
    </row>
    <row r="33525" ht="14.25" customHeight="1">
      <c r="A33525" s="740"/>
    </row>
    <row r="33526" ht="14.25" customHeight="1">
      <c r="A33526" s="740"/>
    </row>
    <row r="33527" ht="14.25" customHeight="1">
      <c r="A33527" s="740"/>
    </row>
    <row r="33528" ht="14.25" customHeight="1">
      <c r="A33528" s="740"/>
    </row>
    <row r="33529" ht="14.25" customHeight="1">
      <c r="A33529" s="740"/>
    </row>
    <row r="33530" ht="14.25" customHeight="1">
      <c r="A33530" s="740"/>
    </row>
    <row r="33531" ht="14.25" customHeight="1">
      <c r="A33531" s="740"/>
    </row>
    <row r="33532" ht="14.25" customHeight="1">
      <c r="A33532" s="740"/>
    </row>
    <row r="33533" ht="14.25" customHeight="1">
      <c r="A33533" s="740"/>
    </row>
    <row r="33534" ht="14.25" customHeight="1">
      <c r="A33534" s="740"/>
    </row>
    <row r="33535" ht="14.25" customHeight="1">
      <c r="A33535" s="740"/>
    </row>
    <row r="33536" ht="14.25" customHeight="1">
      <c r="A33536" s="740"/>
    </row>
    <row r="33537" ht="14.25" customHeight="1">
      <c r="A33537" s="740"/>
    </row>
    <row r="33538" ht="14.25" customHeight="1">
      <c r="A33538" s="740"/>
    </row>
    <row r="33539" ht="14.25" customHeight="1">
      <c r="A33539" s="740"/>
    </row>
    <row r="33540" ht="14.25" customHeight="1">
      <c r="A33540" s="740"/>
    </row>
    <row r="33541" ht="14.25" customHeight="1">
      <c r="A33541" s="740"/>
    </row>
    <row r="33542" ht="14.25" customHeight="1">
      <c r="A33542" s="740"/>
    </row>
    <row r="33543" ht="14.25" customHeight="1">
      <c r="A33543" s="740"/>
    </row>
    <row r="33544" ht="14.25" customHeight="1">
      <c r="A33544" s="740"/>
    </row>
    <row r="33545" ht="14.25" customHeight="1">
      <c r="A33545" s="740"/>
    </row>
    <row r="33546" ht="14.25" customHeight="1">
      <c r="A33546" s="740"/>
    </row>
    <row r="33547" ht="14.25" customHeight="1">
      <c r="A33547" s="740"/>
    </row>
    <row r="33548" ht="14.25" customHeight="1">
      <c r="A33548" s="740"/>
    </row>
    <row r="33549" ht="14.25" customHeight="1">
      <c r="A33549" s="740"/>
    </row>
    <row r="33550" ht="14.25" customHeight="1">
      <c r="A33550" s="740"/>
    </row>
    <row r="33551" ht="14.25" customHeight="1">
      <c r="A33551" s="740"/>
    </row>
    <row r="33552" ht="14.25" customHeight="1">
      <c r="A33552" s="740"/>
    </row>
    <row r="33553" ht="14.25" customHeight="1">
      <c r="A33553" s="740"/>
    </row>
    <row r="33554" ht="14.25" customHeight="1">
      <c r="A33554" s="740"/>
    </row>
    <row r="33555" ht="14.25" customHeight="1">
      <c r="A33555" s="740"/>
    </row>
    <row r="33556" ht="14.25" customHeight="1">
      <c r="A33556" s="740"/>
    </row>
    <row r="33557" ht="14.25" customHeight="1">
      <c r="A33557" s="740"/>
    </row>
    <row r="33558" ht="14.25" customHeight="1">
      <c r="A33558" s="740"/>
    </row>
    <row r="33559" ht="14.25" customHeight="1">
      <c r="A33559" s="740"/>
    </row>
    <row r="33560" ht="14.25" customHeight="1">
      <c r="A33560" s="740"/>
    </row>
    <row r="33561" ht="14.25" customHeight="1">
      <c r="A33561" s="740"/>
    </row>
    <row r="33562" ht="14.25" customHeight="1">
      <c r="A33562" s="740"/>
    </row>
    <row r="33563" ht="14.25" customHeight="1">
      <c r="A33563" s="740"/>
    </row>
    <row r="33564" ht="14.25" customHeight="1">
      <c r="A33564" s="740"/>
    </row>
    <row r="33565" ht="14.25" customHeight="1">
      <c r="A33565" s="740"/>
    </row>
    <row r="33566" ht="14.25" customHeight="1">
      <c r="A33566" s="740"/>
    </row>
    <row r="33567" ht="14.25" customHeight="1">
      <c r="A33567" s="740"/>
    </row>
    <row r="33568" ht="14.25" customHeight="1">
      <c r="A33568" s="740"/>
    </row>
    <row r="33569" ht="14.25" customHeight="1">
      <c r="A33569" s="740"/>
    </row>
    <row r="33570" ht="14.25" customHeight="1">
      <c r="A33570" s="740"/>
    </row>
    <row r="33571" ht="14.25" customHeight="1">
      <c r="A33571" s="740"/>
    </row>
    <row r="33572" ht="14.25" customHeight="1">
      <c r="A33572" s="740"/>
    </row>
    <row r="33573" ht="14.25" customHeight="1">
      <c r="A33573" s="740"/>
    </row>
    <row r="33574" ht="14.25" customHeight="1">
      <c r="A33574" s="740"/>
    </row>
    <row r="33575" ht="14.25" customHeight="1">
      <c r="A33575" s="740"/>
    </row>
    <row r="33576" ht="14.25" customHeight="1">
      <c r="A33576" s="740"/>
    </row>
    <row r="33577" ht="14.25" customHeight="1">
      <c r="A33577" s="740"/>
    </row>
    <row r="33578" ht="14.25" customHeight="1">
      <c r="A33578" s="740"/>
    </row>
    <row r="33579" ht="14.25" customHeight="1">
      <c r="A33579" s="740"/>
    </row>
    <row r="33580" ht="14.25" customHeight="1">
      <c r="A33580" s="740"/>
    </row>
    <row r="33581" ht="14.25" customHeight="1">
      <c r="A33581" s="740"/>
    </row>
    <row r="33582" ht="14.25" customHeight="1">
      <c r="A33582" s="740"/>
    </row>
    <row r="33583" ht="14.25" customHeight="1">
      <c r="A33583" s="740"/>
    </row>
    <row r="33584" ht="14.25" customHeight="1">
      <c r="A33584" s="740"/>
    </row>
    <row r="33585" ht="14.25" customHeight="1">
      <c r="A33585" s="740"/>
    </row>
    <row r="33586" ht="14.25" customHeight="1">
      <c r="A33586" s="740"/>
    </row>
    <row r="33587" ht="14.25" customHeight="1">
      <c r="A33587" s="740"/>
    </row>
    <row r="33588" ht="14.25" customHeight="1">
      <c r="A33588" s="740"/>
    </row>
    <row r="33589" ht="14.25" customHeight="1">
      <c r="A33589" s="740"/>
    </row>
    <row r="33590" ht="14.25" customHeight="1">
      <c r="A33590" s="740"/>
    </row>
    <row r="33591" ht="14.25" customHeight="1">
      <c r="A33591" s="740"/>
    </row>
    <row r="33592" ht="14.25" customHeight="1">
      <c r="A33592" s="740"/>
    </row>
    <row r="33593" ht="14.25" customHeight="1">
      <c r="A33593" s="740"/>
    </row>
    <row r="33594" ht="14.25" customHeight="1">
      <c r="A33594" s="740"/>
    </row>
    <row r="33595" ht="14.25" customHeight="1">
      <c r="A33595" s="740"/>
    </row>
    <row r="33596" ht="14.25" customHeight="1">
      <c r="A33596" s="740"/>
    </row>
    <row r="33597" ht="14.25" customHeight="1">
      <c r="A33597" s="740"/>
    </row>
    <row r="33598" ht="14.25" customHeight="1">
      <c r="A33598" s="740"/>
    </row>
    <row r="33599" ht="14.25" customHeight="1">
      <c r="A33599" s="740"/>
    </row>
    <row r="33600" ht="14.25" customHeight="1">
      <c r="A33600" s="740"/>
    </row>
    <row r="33601" ht="14.25" customHeight="1">
      <c r="A33601" s="740"/>
    </row>
    <row r="33602" ht="14.25" customHeight="1">
      <c r="A33602" s="740"/>
    </row>
    <row r="33603" ht="14.25" customHeight="1">
      <c r="A33603" s="740"/>
    </row>
    <row r="33604" ht="14.25" customHeight="1">
      <c r="A33604" s="740"/>
    </row>
    <row r="33605" ht="14.25" customHeight="1">
      <c r="A33605" s="740"/>
    </row>
    <row r="33606" ht="14.25" customHeight="1">
      <c r="A33606" s="740"/>
    </row>
    <row r="33607" ht="14.25" customHeight="1">
      <c r="A33607" s="740"/>
    </row>
    <row r="33608" ht="14.25" customHeight="1">
      <c r="A33608" s="740"/>
    </row>
    <row r="33609" ht="14.25" customHeight="1">
      <c r="A33609" s="740"/>
    </row>
    <row r="33610" ht="14.25" customHeight="1">
      <c r="A33610" s="740"/>
    </row>
    <row r="33611" ht="14.25" customHeight="1">
      <c r="A33611" s="740"/>
    </row>
    <row r="33612" ht="14.25" customHeight="1">
      <c r="A33612" s="740"/>
    </row>
    <row r="33613" ht="14.25" customHeight="1">
      <c r="A33613" s="740"/>
    </row>
    <row r="33614" ht="14.25" customHeight="1">
      <c r="A33614" s="740"/>
    </row>
    <row r="33615" ht="14.25" customHeight="1">
      <c r="A33615" s="740"/>
    </row>
    <row r="33616" ht="14.25" customHeight="1">
      <c r="A33616" s="740"/>
    </row>
    <row r="33617" ht="14.25" customHeight="1">
      <c r="A33617" s="740"/>
    </row>
    <row r="33618" ht="14.25" customHeight="1">
      <c r="A33618" s="740"/>
    </row>
    <row r="33619" ht="14.25" customHeight="1">
      <c r="A33619" s="740"/>
    </row>
    <row r="33620" ht="14.25" customHeight="1">
      <c r="A33620" s="740"/>
    </row>
    <row r="33621" ht="14.25" customHeight="1">
      <c r="A33621" s="740"/>
    </row>
    <row r="33622" ht="14.25" customHeight="1">
      <c r="A33622" s="740"/>
    </row>
    <row r="33623" ht="14.25" customHeight="1">
      <c r="A33623" s="740"/>
    </row>
    <row r="33624" ht="14.25" customHeight="1">
      <c r="A33624" s="740"/>
    </row>
    <row r="33625" ht="14.25" customHeight="1">
      <c r="A33625" s="740"/>
    </row>
    <row r="33626" ht="14.25" customHeight="1">
      <c r="A33626" s="740"/>
    </row>
    <row r="33627" ht="14.25" customHeight="1">
      <c r="A33627" s="740"/>
    </row>
    <row r="33628" ht="14.25" customHeight="1">
      <c r="A33628" s="740"/>
    </row>
    <row r="33629" ht="14.25" customHeight="1">
      <c r="A33629" s="740"/>
    </row>
    <row r="33630" ht="14.25" customHeight="1">
      <c r="A33630" s="740"/>
    </row>
    <row r="33631" ht="14.25" customHeight="1">
      <c r="A33631" s="740"/>
    </row>
    <row r="33632" ht="14.25" customHeight="1">
      <c r="A33632" s="740"/>
    </row>
    <row r="33633" ht="14.25" customHeight="1">
      <c r="A33633" s="740"/>
    </row>
    <row r="33634" ht="14.25" customHeight="1">
      <c r="A33634" s="740"/>
    </row>
    <row r="33635" ht="14.25" customHeight="1">
      <c r="A33635" s="740"/>
    </row>
    <row r="33636" ht="14.25" customHeight="1">
      <c r="A33636" s="740"/>
    </row>
    <row r="33637" ht="14.25" customHeight="1">
      <c r="A33637" s="740"/>
    </row>
    <row r="33638" ht="14.25" customHeight="1">
      <c r="A33638" s="740"/>
    </row>
    <row r="33639" ht="14.25" customHeight="1">
      <c r="A33639" s="740"/>
    </row>
    <row r="33640" ht="14.25" customHeight="1">
      <c r="A33640" s="740"/>
    </row>
    <row r="33641" ht="14.25" customHeight="1">
      <c r="A33641" s="740"/>
    </row>
    <row r="33642" ht="14.25" customHeight="1">
      <c r="A33642" s="740"/>
    </row>
    <row r="33643" ht="14.25" customHeight="1">
      <c r="A33643" s="740"/>
    </row>
    <row r="33644" ht="14.25" customHeight="1">
      <c r="A33644" s="740"/>
    </row>
    <row r="33645" ht="14.25" customHeight="1">
      <c r="A33645" s="740"/>
    </row>
    <row r="33646" ht="14.25" customHeight="1">
      <c r="A33646" s="740"/>
    </row>
    <row r="33647" ht="14.25" customHeight="1">
      <c r="A33647" s="740"/>
    </row>
    <row r="33648" ht="14.25" customHeight="1">
      <c r="A33648" s="740"/>
    </row>
    <row r="33649" ht="14.25" customHeight="1">
      <c r="A33649" s="740"/>
    </row>
    <row r="33650" ht="14.25" customHeight="1">
      <c r="A33650" s="740"/>
    </row>
    <row r="33651" ht="14.25" customHeight="1">
      <c r="A33651" s="740"/>
    </row>
    <row r="33652" ht="14.25" customHeight="1">
      <c r="A33652" s="740"/>
    </row>
    <row r="33653" ht="14.25" customHeight="1">
      <c r="A33653" s="740"/>
    </row>
    <row r="33654" ht="14.25" customHeight="1">
      <c r="A33654" s="740"/>
    </row>
    <row r="33655" ht="14.25" customHeight="1">
      <c r="A33655" s="740"/>
    </row>
    <row r="33656" ht="14.25" customHeight="1">
      <c r="A33656" s="740"/>
    </row>
    <row r="33657" ht="14.25" customHeight="1">
      <c r="A33657" s="740"/>
    </row>
    <row r="33658" ht="14.25" customHeight="1">
      <c r="A33658" s="740"/>
    </row>
    <row r="33659" ht="14.25" customHeight="1">
      <c r="A33659" s="740"/>
    </row>
    <row r="33660" ht="14.25" customHeight="1">
      <c r="A33660" s="740"/>
    </row>
    <row r="33661" ht="14.25" customHeight="1">
      <c r="A33661" s="740"/>
    </row>
    <row r="33662" ht="14.25" customHeight="1">
      <c r="A33662" s="740"/>
    </row>
    <row r="33663" ht="14.25" customHeight="1">
      <c r="A33663" s="740"/>
    </row>
    <row r="33664" ht="14.25" customHeight="1">
      <c r="A33664" s="740"/>
    </row>
    <row r="33665" ht="14.25" customHeight="1">
      <c r="A33665" s="740"/>
    </row>
    <row r="33666" ht="14.25" customHeight="1">
      <c r="A33666" s="740"/>
    </row>
    <row r="33667" ht="14.25" customHeight="1">
      <c r="A33667" s="740"/>
    </row>
    <row r="33668" ht="14.25" customHeight="1">
      <c r="A33668" s="740"/>
    </row>
    <row r="33669" ht="14.25" customHeight="1">
      <c r="A33669" s="740"/>
    </row>
    <row r="33670" ht="14.25" customHeight="1">
      <c r="A33670" s="740"/>
    </row>
    <row r="33671" ht="14.25" customHeight="1">
      <c r="A33671" s="740"/>
    </row>
    <row r="33672" ht="14.25" customHeight="1">
      <c r="A33672" s="740"/>
    </row>
    <row r="33673" ht="14.25" customHeight="1">
      <c r="A33673" s="740"/>
    </row>
    <row r="33674" ht="14.25" customHeight="1">
      <c r="A33674" s="740"/>
    </row>
    <row r="33675" ht="14.25" customHeight="1">
      <c r="A33675" s="740"/>
    </row>
    <row r="33676" ht="14.25" customHeight="1">
      <c r="A33676" s="740"/>
    </row>
    <row r="33677" ht="14.25" customHeight="1">
      <c r="A33677" s="740"/>
    </row>
    <row r="33678" ht="14.25" customHeight="1">
      <c r="A33678" s="740"/>
    </row>
    <row r="33679" ht="14.25" customHeight="1">
      <c r="A33679" s="740"/>
    </row>
    <row r="33680" ht="14.25" customHeight="1">
      <c r="A33680" s="740"/>
    </row>
    <row r="33681" ht="14.25" customHeight="1">
      <c r="A33681" s="740"/>
    </row>
    <row r="33682" ht="14.25" customHeight="1">
      <c r="A33682" s="740"/>
    </row>
    <row r="33683" ht="14.25" customHeight="1">
      <c r="A33683" s="740"/>
    </row>
    <row r="33684" ht="14.25" customHeight="1">
      <c r="A33684" s="740"/>
    </row>
    <row r="33685" ht="14.25" customHeight="1">
      <c r="A33685" s="740"/>
    </row>
    <row r="33686" ht="14.25" customHeight="1">
      <c r="A33686" s="740"/>
    </row>
    <row r="33687" ht="14.25" customHeight="1">
      <c r="A33687" s="740"/>
    </row>
    <row r="33688" ht="14.25" customHeight="1">
      <c r="A33688" s="740"/>
    </row>
    <row r="33689" ht="14.25" customHeight="1">
      <c r="A33689" s="740"/>
    </row>
    <row r="33690" ht="14.25" customHeight="1">
      <c r="A33690" s="740"/>
    </row>
    <row r="33691" ht="14.25" customHeight="1">
      <c r="A33691" s="740"/>
    </row>
    <row r="33692" ht="14.25" customHeight="1">
      <c r="A33692" s="740"/>
    </row>
    <row r="33693" ht="14.25" customHeight="1">
      <c r="A33693" s="740"/>
    </row>
    <row r="33694" ht="14.25" customHeight="1">
      <c r="A33694" s="740"/>
    </row>
    <row r="33695" ht="14.25" customHeight="1">
      <c r="A33695" s="740"/>
    </row>
    <row r="33696" ht="14.25" customHeight="1">
      <c r="A33696" s="740"/>
    </row>
    <row r="33697" ht="14.25" customHeight="1">
      <c r="A33697" s="740"/>
    </row>
    <row r="33698" ht="14.25" customHeight="1">
      <c r="A33698" s="740"/>
    </row>
    <row r="33699" ht="14.25" customHeight="1">
      <c r="A33699" s="740"/>
    </row>
    <row r="33700" ht="14.25" customHeight="1">
      <c r="A33700" s="740"/>
    </row>
    <row r="33701" ht="14.25" customHeight="1">
      <c r="A33701" s="740"/>
    </row>
    <row r="33702" ht="14.25" customHeight="1">
      <c r="A33702" s="740"/>
    </row>
    <row r="33703" ht="14.25" customHeight="1">
      <c r="A33703" s="740"/>
    </row>
    <row r="33704" ht="14.25" customHeight="1">
      <c r="A33704" s="740"/>
    </row>
    <row r="33705" ht="14.25" customHeight="1">
      <c r="A33705" s="740"/>
    </row>
    <row r="33706" ht="14.25" customHeight="1">
      <c r="A33706" s="740"/>
    </row>
    <row r="33707" ht="14.25" customHeight="1">
      <c r="A33707" s="740"/>
    </row>
    <row r="33708" ht="14.25" customHeight="1">
      <c r="A33708" s="740"/>
    </row>
    <row r="33709" ht="14.25" customHeight="1">
      <c r="A33709" s="740"/>
    </row>
    <row r="33710" ht="14.25" customHeight="1">
      <c r="A33710" s="740"/>
    </row>
    <row r="33711" ht="14.25" customHeight="1">
      <c r="A33711" s="740"/>
    </row>
    <row r="33712" ht="14.25" customHeight="1">
      <c r="A33712" s="740"/>
    </row>
    <row r="33713" ht="14.25" customHeight="1">
      <c r="A33713" s="740"/>
    </row>
    <row r="33714" ht="14.25" customHeight="1">
      <c r="A33714" s="740"/>
    </row>
    <row r="33715" ht="14.25" customHeight="1">
      <c r="A33715" s="740"/>
    </row>
    <row r="33716" ht="14.25" customHeight="1">
      <c r="A33716" s="740"/>
    </row>
    <row r="33717" ht="14.25" customHeight="1">
      <c r="A33717" s="740"/>
    </row>
    <row r="33718" ht="14.25" customHeight="1">
      <c r="A33718" s="740"/>
    </row>
    <row r="33719" ht="14.25" customHeight="1">
      <c r="A33719" s="740"/>
    </row>
    <row r="33720" ht="14.25" customHeight="1">
      <c r="A33720" s="740"/>
    </row>
    <row r="33721" ht="14.25" customHeight="1">
      <c r="A33721" s="740"/>
    </row>
    <row r="33722" ht="14.25" customHeight="1">
      <c r="A33722" s="740"/>
    </row>
    <row r="33723" ht="14.25" customHeight="1">
      <c r="A33723" s="740"/>
    </row>
    <row r="33724" ht="14.25" customHeight="1">
      <c r="A33724" s="740"/>
    </row>
    <row r="33725" ht="14.25" customHeight="1">
      <c r="A33725" s="740"/>
    </row>
    <row r="33726" ht="14.25" customHeight="1">
      <c r="A33726" s="740"/>
    </row>
    <row r="33727" ht="14.25" customHeight="1">
      <c r="A33727" s="740"/>
    </row>
    <row r="33728" ht="14.25" customHeight="1">
      <c r="A33728" s="740"/>
    </row>
    <row r="33729" ht="14.25" customHeight="1">
      <c r="A33729" s="740"/>
    </row>
    <row r="33730" ht="14.25" customHeight="1">
      <c r="A33730" s="740"/>
    </row>
    <row r="33731" ht="14.25" customHeight="1">
      <c r="A33731" s="740"/>
    </row>
    <row r="33732" ht="14.25" customHeight="1">
      <c r="A33732" s="740"/>
    </row>
    <row r="33733" ht="14.25" customHeight="1">
      <c r="A33733" s="740"/>
    </row>
    <row r="33734" ht="14.25" customHeight="1">
      <c r="A33734" s="740"/>
    </row>
    <row r="33735" ht="14.25" customHeight="1">
      <c r="A33735" s="740"/>
    </row>
    <row r="33736" ht="14.25" customHeight="1">
      <c r="A33736" s="740"/>
    </row>
    <row r="33737" ht="14.25" customHeight="1">
      <c r="A33737" s="740"/>
    </row>
    <row r="33738" ht="14.25" customHeight="1">
      <c r="A33738" s="740"/>
    </row>
    <row r="33739" ht="14.25" customHeight="1">
      <c r="A33739" s="740"/>
    </row>
    <row r="33740" ht="14.25" customHeight="1">
      <c r="A33740" s="740"/>
    </row>
    <row r="33741" ht="14.25" customHeight="1">
      <c r="A33741" s="740"/>
    </row>
    <row r="33742" ht="14.25" customHeight="1">
      <c r="A33742" s="740"/>
    </row>
    <row r="33743" ht="14.25" customHeight="1">
      <c r="A33743" s="740"/>
    </row>
    <row r="33744" ht="14.25" customHeight="1">
      <c r="A33744" s="740"/>
    </row>
    <row r="33745" ht="14.25" customHeight="1">
      <c r="A33745" s="740"/>
    </row>
    <row r="33746" ht="14.25" customHeight="1">
      <c r="A33746" s="740"/>
    </row>
    <row r="33747" ht="14.25" customHeight="1">
      <c r="A33747" s="740"/>
    </row>
    <row r="33748" ht="14.25" customHeight="1">
      <c r="A33748" s="740"/>
    </row>
    <row r="33749" ht="14.25" customHeight="1">
      <c r="A33749" s="740"/>
    </row>
    <row r="33750" ht="14.25" customHeight="1">
      <c r="A33750" s="740"/>
    </row>
    <row r="33751" ht="14.25" customHeight="1">
      <c r="A33751" s="740"/>
    </row>
    <row r="33752" ht="14.25" customHeight="1">
      <c r="A33752" s="740"/>
    </row>
    <row r="33753" ht="14.25" customHeight="1">
      <c r="A33753" s="740"/>
    </row>
    <row r="33754" ht="14.25" customHeight="1">
      <c r="A33754" s="740"/>
    </row>
    <row r="33755" ht="14.25" customHeight="1">
      <c r="A33755" s="740"/>
    </row>
    <row r="33756" ht="14.25" customHeight="1">
      <c r="A33756" s="740"/>
    </row>
    <row r="33757" ht="14.25" customHeight="1">
      <c r="A33757" s="740"/>
    </row>
    <row r="33758" ht="14.25" customHeight="1">
      <c r="A33758" s="740"/>
    </row>
    <row r="33759" ht="14.25" customHeight="1">
      <c r="A33759" s="740"/>
    </row>
    <row r="33760" ht="14.25" customHeight="1">
      <c r="A33760" s="740"/>
    </row>
    <row r="33761" ht="14.25" customHeight="1">
      <c r="A33761" s="740"/>
    </row>
    <row r="33762" ht="14.25" customHeight="1">
      <c r="A33762" s="740"/>
    </row>
    <row r="33763" ht="14.25" customHeight="1">
      <c r="A33763" s="740"/>
    </row>
    <row r="33764" ht="14.25" customHeight="1">
      <c r="A33764" s="740"/>
    </row>
    <row r="33765" ht="14.25" customHeight="1">
      <c r="A33765" s="740"/>
    </row>
    <row r="33766" ht="14.25" customHeight="1">
      <c r="A33766" s="740"/>
    </row>
    <row r="33767" ht="14.25" customHeight="1">
      <c r="A33767" s="740"/>
    </row>
    <row r="33768" ht="14.25" customHeight="1">
      <c r="A33768" s="740"/>
    </row>
    <row r="33769" ht="14.25" customHeight="1">
      <c r="A33769" s="740"/>
    </row>
    <row r="33770" ht="14.25" customHeight="1">
      <c r="A33770" s="740"/>
    </row>
    <row r="33771" ht="14.25" customHeight="1">
      <c r="A33771" s="740"/>
    </row>
    <row r="33772" ht="14.25" customHeight="1">
      <c r="A33772" s="740"/>
    </row>
    <row r="33773" ht="14.25" customHeight="1">
      <c r="A33773" s="740"/>
    </row>
    <row r="33774" ht="14.25" customHeight="1">
      <c r="A33774" s="740"/>
    </row>
    <row r="33775" ht="14.25" customHeight="1">
      <c r="A33775" s="740"/>
    </row>
    <row r="33776" ht="14.25" customHeight="1">
      <c r="A33776" s="740"/>
    </row>
    <row r="33777" ht="14.25" customHeight="1">
      <c r="A33777" s="740"/>
    </row>
    <row r="33778" ht="14.25" customHeight="1">
      <c r="A33778" s="740"/>
    </row>
    <row r="33779" ht="14.25" customHeight="1">
      <c r="A33779" s="740"/>
    </row>
    <row r="33780" ht="14.25" customHeight="1">
      <c r="A33780" s="740"/>
    </row>
    <row r="33781" ht="14.25" customHeight="1">
      <c r="A33781" s="740"/>
    </row>
    <row r="33782" ht="14.25" customHeight="1">
      <c r="A33782" s="740"/>
    </row>
    <row r="33783" ht="14.25" customHeight="1">
      <c r="A33783" s="740"/>
    </row>
    <row r="33784" ht="14.25" customHeight="1">
      <c r="A33784" s="740"/>
    </row>
    <row r="33785" ht="14.25" customHeight="1">
      <c r="A33785" s="740"/>
    </row>
    <row r="33786" ht="14.25" customHeight="1">
      <c r="A33786" s="740"/>
    </row>
    <row r="33787" ht="14.25" customHeight="1">
      <c r="A33787" s="740"/>
    </row>
    <row r="33788" ht="14.25" customHeight="1">
      <c r="A33788" s="740"/>
    </row>
    <row r="33789" ht="14.25" customHeight="1">
      <c r="A33789" s="740"/>
    </row>
    <row r="33790" ht="14.25" customHeight="1">
      <c r="A33790" s="740"/>
    </row>
    <row r="33791" ht="14.25" customHeight="1">
      <c r="A33791" s="740"/>
    </row>
    <row r="33792" ht="14.25" customHeight="1">
      <c r="A33792" s="740"/>
    </row>
    <row r="33793" ht="14.25" customHeight="1">
      <c r="A33793" s="740"/>
    </row>
    <row r="33794" ht="14.25" customHeight="1">
      <c r="A33794" s="740"/>
    </row>
    <row r="33795" ht="14.25" customHeight="1">
      <c r="A33795" s="740"/>
    </row>
    <row r="33796" ht="14.25" customHeight="1">
      <c r="A33796" s="740"/>
    </row>
    <row r="33797" ht="14.25" customHeight="1">
      <c r="A33797" s="740"/>
    </row>
    <row r="33798" ht="14.25" customHeight="1">
      <c r="A33798" s="740"/>
    </row>
    <row r="33799" ht="14.25" customHeight="1">
      <c r="A33799" s="740"/>
    </row>
    <row r="33800" ht="14.25" customHeight="1">
      <c r="A33800" s="740"/>
    </row>
    <row r="33801" ht="14.25" customHeight="1">
      <c r="A33801" s="740"/>
    </row>
    <row r="33802" ht="14.25" customHeight="1">
      <c r="A33802" s="740"/>
    </row>
    <row r="33803" ht="14.25" customHeight="1">
      <c r="A33803" s="740"/>
    </row>
    <row r="33804" ht="14.25" customHeight="1">
      <c r="A33804" s="740"/>
    </row>
    <row r="33805" ht="14.25" customHeight="1">
      <c r="A33805" s="740"/>
    </row>
    <row r="33806" ht="14.25" customHeight="1">
      <c r="A33806" s="740"/>
    </row>
    <row r="33807" ht="14.25" customHeight="1">
      <c r="A33807" s="740"/>
    </row>
    <row r="33808" ht="14.25" customHeight="1">
      <c r="A33808" s="740"/>
    </row>
    <row r="33809" ht="14.25" customHeight="1">
      <c r="A33809" s="740"/>
    </row>
    <row r="33810" ht="14.25" customHeight="1">
      <c r="A33810" s="740"/>
    </row>
    <row r="33811" ht="14.25" customHeight="1">
      <c r="A33811" s="740"/>
    </row>
    <row r="33812" ht="14.25" customHeight="1">
      <c r="A33812" s="740"/>
    </row>
    <row r="33813" ht="14.25" customHeight="1">
      <c r="A33813" s="740"/>
    </row>
    <row r="33814" ht="14.25" customHeight="1">
      <c r="A33814" s="740"/>
    </row>
    <row r="33815" ht="14.25" customHeight="1">
      <c r="A33815" s="740"/>
    </row>
    <row r="33816" ht="14.25" customHeight="1">
      <c r="A33816" s="740"/>
    </row>
    <row r="33817" ht="14.25" customHeight="1">
      <c r="A33817" s="740"/>
    </row>
    <row r="33818" ht="14.25" customHeight="1">
      <c r="A33818" s="740"/>
    </row>
    <row r="33819" ht="14.25" customHeight="1">
      <c r="A33819" s="740"/>
    </row>
    <row r="33820" ht="14.25" customHeight="1">
      <c r="A33820" s="740"/>
    </row>
    <row r="33821" ht="14.25" customHeight="1">
      <c r="A33821" s="740"/>
    </row>
    <row r="33822" ht="14.25" customHeight="1">
      <c r="A33822" s="740"/>
    </row>
    <row r="33823" ht="14.25" customHeight="1">
      <c r="A33823" s="740"/>
    </row>
    <row r="33824" ht="14.25" customHeight="1">
      <c r="A33824" s="740"/>
    </row>
    <row r="33825" ht="14.25" customHeight="1">
      <c r="A33825" s="740"/>
    </row>
    <row r="33826" ht="14.25" customHeight="1">
      <c r="A33826" s="740"/>
    </row>
    <row r="33827" ht="14.25" customHeight="1">
      <c r="A33827" s="740"/>
    </row>
    <row r="33828" ht="14.25" customHeight="1">
      <c r="A33828" s="740"/>
    </row>
    <row r="33829" ht="14.25" customHeight="1">
      <c r="A33829" s="740"/>
    </row>
    <row r="33830" ht="14.25" customHeight="1">
      <c r="A33830" s="740"/>
    </row>
    <row r="33831" ht="14.25" customHeight="1">
      <c r="A33831" s="740"/>
    </row>
    <row r="33832" ht="14.25" customHeight="1">
      <c r="A33832" s="740"/>
    </row>
    <row r="33833" ht="14.25" customHeight="1">
      <c r="A33833" s="740"/>
    </row>
    <row r="33834" ht="14.25" customHeight="1">
      <c r="A33834" s="740"/>
    </row>
    <row r="33835" ht="14.25" customHeight="1">
      <c r="A33835" s="740"/>
    </row>
    <row r="33836" ht="14.25" customHeight="1">
      <c r="A33836" s="740"/>
    </row>
    <row r="33837" ht="14.25" customHeight="1">
      <c r="A33837" s="740"/>
    </row>
    <row r="33838" ht="14.25" customHeight="1">
      <c r="A33838" s="740"/>
    </row>
    <row r="33839" ht="14.25" customHeight="1">
      <c r="A33839" s="740"/>
    </row>
    <row r="33840" ht="14.25" customHeight="1">
      <c r="A33840" s="740"/>
    </row>
    <row r="33841" ht="14.25" customHeight="1">
      <c r="A33841" s="740"/>
    </row>
    <row r="33842" ht="14.25" customHeight="1">
      <c r="A33842" s="740"/>
    </row>
    <row r="33843" ht="14.25" customHeight="1">
      <c r="A33843" s="740"/>
    </row>
    <row r="33844" ht="14.25" customHeight="1">
      <c r="A33844" s="740"/>
    </row>
    <row r="33845" ht="14.25" customHeight="1">
      <c r="A33845" s="740"/>
    </row>
    <row r="33846" ht="14.25" customHeight="1">
      <c r="A33846" s="740"/>
    </row>
    <row r="33847" ht="14.25" customHeight="1">
      <c r="A33847" s="740"/>
    </row>
    <row r="33848" ht="14.25" customHeight="1">
      <c r="A33848" s="740"/>
    </row>
    <row r="33849" ht="14.25" customHeight="1">
      <c r="A33849" s="740"/>
    </row>
    <row r="33850" ht="14.25" customHeight="1">
      <c r="A33850" s="740"/>
    </row>
    <row r="33851" ht="14.25" customHeight="1">
      <c r="A33851" s="740"/>
    </row>
    <row r="33852" ht="14.25" customHeight="1">
      <c r="A33852" s="740"/>
    </row>
    <row r="33853" ht="14.25" customHeight="1">
      <c r="A33853" s="740"/>
    </row>
    <row r="33854" ht="14.25" customHeight="1">
      <c r="A33854" s="740"/>
    </row>
    <row r="33855" ht="14.25" customHeight="1">
      <c r="A33855" s="740"/>
    </row>
    <row r="33856" ht="14.25" customHeight="1">
      <c r="A33856" s="740"/>
    </row>
    <row r="33857" ht="14.25" customHeight="1">
      <c r="A33857" s="740"/>
    </row>
    <row r="33858" ht="14.25" customHeight="1">
      <c r="A33858" s="740"/>
    </row>
    <row r="33859" ht="14.25" customHeight="1">
      <c r="A33859" s="740"/>
    </row>
    <row r="33860" ht="14.25" customHeight="1">
      <c r="A33860" s="740"/>
    </row>
    <row r="33861" ht="14.25" customHeight="1">
      <c r="A33861" s="740"/>
    </row>
    <row r="33862" ht="14.25" customHeight="1">
      <c r="A33862" s="740"/>
    </row>
    <row r="33863" ht="14.25" customHeight="1">
      <c r="A33863" s="740"/>
    </row>
    <row r="33864" ht="14.25" customHeight="1">
      <c r="A33864" s="740"/>
    </row>
    <row r="33865" ht="14.25" customHeight="1">
      <c r="A33865" s="740"/>
    </row>
    <row r="33866" ht="14.25" customHeight="1">
      <c r="A33866" s="740"/>
    </row>
    <row r="33867" ht="14.25" customHeight="1">
      <c r="A33867" s="740"/>
    </row>
    <row r="33868" ht="14.25" customHeight="1">
      <c r="A33868" s="740"/>
    </row>
    <row r="33869" ht="14.25" customHeight="1">
      <c r="A33869" s="740"/>
    </row>
    <row r="33870" ht="14.25" customHeight="1">
      <c r="A33870" s="740"/>
    </row>
    <row r="33871" ht="14.25" customHeight="1">
      <c r="A33871" s="740"/>
    </row>
    <row r="33872" ht="14.25" customHeight="1">
      <c r="A33872" s="740"/>
    </row>
    <row r="33873" ht="14.25" customHeight="1">
      <c r="A33873" s="740"/>
    </row>
    <row r="33874" ht="14.25" customHeight="1">
      <c r="A33874" s="740"/>
    </row>
    <row r="33875" ht="14.25" customHeight="1">
      <c r="A33875" s="740"/>
    </row>
    <row r="33876" ht="14.25" customHeight="1">
      <c r="A33876" s="740"/>
    </row>
    <row r="33877" ht="14.25" customHeight="1">
      <c r="A33877" s="740"/>
    </row>
    <row r="33878" ht="14.25" customHeight="1">
      <c r="A33878" s="740"/>
    </row>
    <row r="33879" ht="14.25" customHeight="1">
      <c r="A33879" s="740"/>
    </row>
    <row r="33880" ht="14.25" customHeight="1">
      <c r="A33880" s="740"/>
    </row>
    <row r="33881" ht="14.25" customHeight="1">
      <c r="A33881" s="740"/>
    </row>
    <row r="33882" ht="14.25" customHeight="1">
      <c r="A33882" s="740"/>
    </row>
    <row r="33883" ht="14.25" customHeight="1">
      <c r="A33883" s="740"/>
    </row>
    <row r="33884" ht="14.25" customHeight="1">
      <c r="A33884" s="740"/>
    </row>
    <row r="33885" ht="14.25" customHeight="1">
      <c r="A33885" s="740"/>
    </row>
    <row r="33886" ht="14.25" customHeight="1">
      <c r="A33886" s="740"/>
    </row>
    <row r="33887" ht="14.25" customHeight="1">
      <c r="A33887" s="740"/>
    </row>
    <row r="33888" ht="14.25" customHeight="1">
      <c r="A33888" s="740"/>
    </row>
    <row r="33889" ht="14.25" customHeight="1">
      <c r="A33889" s="740"/>
    </row>
    <row r="33890" ht="14.25" customHeight="1">
      <c r="A33890" s="740"/>
    </row>
    <row r="33891" ht="14.25" customHeight="1">
      <c r="A33891" s="740"/>
    </row>
    <row r="33892" ht="14.25" customHeight="1">
      <c r="A33892" s="740"/>
    </row>
    <row r="33893" ht="14.25" customHeight="1">
      <c r="A33893" s="740"/>
    </row>
    <row r="33894" ht="14.25" customHeight="1">
      <c r="A33894" s="740"/>
    </row>
    <row r="33895" ht="14.25" customHeight="1">
      <c r="A33895" s="740"/>
    </row>
    <row r="33896" ht="14.25" customHeight="1">
      <c r="A33896" s="740"/>
    </row>
    <row r="33897" ht="14.25" customHeight="1">
      <c r="A33897" s="740"/>
    </row>
    <row r="33898" ht="14.25" customHeight="1">
      <c r="A33898" s="740"/>
    </row>
    <row r="33899" ht="14.25" customHeight="1">
      <c r="A33899" s="740"/>
    </row>
    <row r="33900" ht="14.25" customHeight="1">
      <c r="A33900" s="740"/>
    </row>
    <row r="33901" ht="14.25" customHeight="1">
      <c r="A33901" s="740"/>
    </row>
    <row r="33902" ht="14.25" customHeight="1">
      <c r="A33902" s="740"/>
    </row>
    <row r="33903" ht="14.25" customHeight="1">
      <c r="A33903" s="740"/>
    </row>
    <row r="33904" ht="14.25" customHeight="1">
      <c r="A33904" s="740"/>
    </row>
    <row r="33905" ht="14.25" customHeight="1">
      <c r="A33905" s="740"/>
    </row>
    <row r="33906" ht="14.25" customHeight="1">
      <c r="A33906" s="740"/>
    </row>
    <row r="33907" ht="14.25" customHeight="1">
      <c r="A33907" s="740"/>
    </row>
    <row r="33908" ht="14.25" customHeight="1">
      <c r="A33908" s="740"/>
    </row>
    <row r="33909" ht="14.25" customHeight="1">
      <c r="A33909" s="740"/>
    </row>
    <row r="33910" ht="14.25" customHeight="1">
      <c r="A33910" s="740"/>
    </row>
    <row r="33911" ht="14.25" customHeight="1">
      <c r="A33911" s="740"/>
    </row>
    <row r="33912" ht="14.25" customHeight="1">
      <c r="A33912" s="740"/>
    </row>
    <row r="33913" ht="14.25" customHeight="1">
      <c r="A33913" s="740"/>
    </row>
    <row r="33914" ht="14.25" customHeight="1">
      <c r="A33914" s="740"/>
    </row>
    <row r="33915" ht="14.25" customHeight="1">
      <c r="A33915" s="740"/>
    </row>
    <row r="33916" ht="14.25" customHeight="1">
      <c r="A33916" s="740"/>
    </row>
    <row r="33917" ht="14.25" customHeight="1">
      <c r="A33917" s="740"/>
    </row>
    <row r="33918" ht="14.25" customHeight="1">
      <c r="A33918" s="740"/>
    </row>
    <row r="33919" ht="14.25" customHeight="1">
      <c r="A33919" s="740"/>
    </row>
    <row r="33920" ht="14.25" customHeight="1">
      <c r="A33920" s="740"/>
    </row>
    <row r="33921" ht="14.25" customHeight="1">
      <c r="A33921" s="740"/>
    </row>
    <row r="33922" ht="14.25" customHeight="1">
      <c r="A33922" s="740"/>
    </row>
    <row r="33923" ht="14.25" customHeight="1">
      <c r="A33923" s="740"/>
    </row>
    <row r="33924" ht="14.25" customHeight="1">
      <c r="A33924" s="740"/>
    </row>
    <row r="33925" ht="14.25" customHeight="1">
      <c r="A33925" s="740"/>
    </row>
    <row r="33926" ht="14.25" customHeight="1">
      <c r="A33926" s="740"/>
    </row>
    <row r="33927" ht="14.25" customHeight="1">
      <c r="A33927" s="740"/>
    </row>
    <row r="33928" ht="14.25" customHeight="1">
      <c r="A33928" s="740"/>
    </row>
    <row r="33929" ht="14.25" customHeight="1">
      <c r="A33929" s="740"/>
    </row>
    <row r="33930" ht="14.25" customHeight="1">
      <c r="A33930" s="740"/>
    </row>
    <row r="33931" ht="14.25" customHeight="1">
      <c r="A33931" s="740"/>
    </row>
    <row r="33932" ht="14.25" customHeight="1">
      <c r="A33932" s="740"/>
    </row>
    <row r="33933" ht="14.25" customHeight="1">
      <c r="A33933" s="740"/>
    </row>
    <row r="33934" ht="14.25" customHeight="1">
      <c r="A33934" s="740"/>
    </row>
    <row r="33935" ht="14.25" customHeight="1">
      <c r="A33935" s="740"/>
    </row>
    <row r="33936" ht="14.25" customHeight="1">
      <c r="A33936" s="740"/>
    </row>
    <row r="33937" ht="14.25" customHeight="1">
      <c r="A33937" s="740"/>
    </row>
    <row r="33938" ht="14.25" customHeight="1">
      <c r="A33938" s="740"/>
    </row>
    <row r="33939" ht="14.25" customHeight="1">
      <c r="A33939" s="740"/>
    </row>
    <row r="33940" ht="14.25" customHeight="1">
      <c r="A33940" s="740"/>
    </row>
    <row r="33941" ht="14.25" customHeight="1">
      <c r="A33941" s="740"/>
    </row>
    <row r="33942" ht="14.25" customHeight="1">
      <c r="A33942" s="740"/>
    </row>
    <row r="33943" ht="14.25" customHeight="1">
      <c r="A33943" s="740"/>
    </row>
    <row r="33944" ht="14.25" customHeight="1">
      <c r="A33944" s="740"/>
    </row>
    <row r="33945" ht="14.25" customHeight="1">
      <c r="A33945" s="740"/>
    </row>
    <row r="33946" ht="14.25" customHeight="1">
      <c r="A33946" s="740"/>
    </row>
    <row r="33947" ht="14.25" customHeight="1">
      <c r="A33947" s="740"/>
    </row>
    <row r="33948" ht="14.25" customHeight="1">
      <c r="A33948" s="740"/>
    </row>
    <row r="33949" ht="14.25" customHeight="1">
      <c r="A33949" s="740"/>
    </row>
    <row r="33950" ht="14.25" customHeight="1">
      <c r="A33950" s="740"/>
    </row>
    <row r="33951" ht="14.25" customHeight="1">
      <c r="A33951" s="740"/>
    </row>
    <row r="33952" ht="14.25" customHeight="1">
      <c r="A33952" s="740"/>
    </row>
    <row r="33953" ht="14.25" customHeight="1">
      <c r="A33953" s="740"/>
    </row>
    <row r="33954" ht="14.25" customHeight="1">
      <c r="A33954" s="740"/>
    </row>
    <row r="33955" ht="14.25" customHeight="1">
      <c r="A33955" s="740"/>
    </row>
    <row r="33956" ht="14.25" customHeight="1">
      <c r="A33956" s="740"/>
    </row>
    <row r="33957" ht="14.25" customHeight="1">
      <c r="A33957" s="740"/>
    </row>
    <row r="33958" ht="14.25" customHeight="1">
      <c r="A33958" s="740"/>
    </row>
    <row r="33959" ht="14.25" customHeight="1">
      <c r="A33959" s="740"/>
    </row>
    <row r="33960" ht="14.25" customHeight="1">
      <c r="A33960" s="740"/>
    </row>
    <row r="33961" ht="14.25" customHeight="1">
      <c r="A33961" s="740"/>
    </row>
    <row r="33962" ht="14.25" customHeight="1">
      <c r="A33962" s="740"/>
    </row>
    <row r="33963" ht="14.25" customHeight="1">
      <c r="A33963" s="740"/>
    </row>
    <row r="33964" ht="14.25" customHeight="1">
      <c r="A33964" s="740"/>
    </row>
    <row r="33965" ht="14.25" customHeight="1">
      <c r="A33965" s="740"/>
    </row>
    <row r="33966" ht="14.25" customHeight="1">
      <c r="A33966" s="740"/>
    </row>
    <row r="33967" ht="14.25" customHeight="1">
      <c r="A33967" s="740"/>
    </row>
    <row r="33968" ht="14.25" customHeight="1">
      <c r="A33968" s="740"/>
    </row>
    <row r="33969" ht="14.25" customHeight="1">
      <c r="A33969" s="740"/>
    </row>
    <row r="33970" ht="14.25" customHeight="1">
      <c r="A33970" s="740"/>
    </row>
    <row r="33971" ht="14.25" customHeight="1">
      <c r="A33971" s="740"/>
    </row>
    <row r="33972" ht="14.25" customHeight="1">
      <c r="A33972" s="740"/>
    </row>
    <row r="33973" ht="14.25" customHeight="1">
      <c r="A33973" s="740"/>
    </row>
    <row r="33974" ht="14.25" customHeight="1">
      <c r="A33974" s="740"/>
    </row>
    <row r="33975" ht="14.25" customHeight="1">
      <c r="A33975" s="740"/>
    </row>
    <row r="33976" ht="14.25" customHeight="1">
      <c r="A33976" s="740"/>
    </row>
    <row r="33977" ht="14.25" customHeight="1">
      <c r="A33977" s="740"/>
    </row>
    <row r="33978" ht="14.25" customHeight="1">
      <c r="A33978" s="740"/>
    </row>
    <row r="33979" ht="14.25" customHeight="1">
      <c r="A33979" s="740"/>
    </row>
    <row r="33980" ht="14.25" customHeight="1">
      <c r="A33980" s="740"/>
    </row>
    <row r="33981" ht="14.25" customHeight="1">
      <c r="A33981" s="740"/>
    </row>
    <row r="33982" ht="14.25" customHeight="1">
      <c r="A33982" s="740"/>
    </row>
    <row r="33983" ht="14.25" customHeight="1">
      <c r="A33983" s="740"/>
    </row>
    <row r="33984" ht="14.25" customHeight="1">
      <c r="A33984" s="740"/>
    </row>
    <row r="33985" ht="14.25" customHeight="1">
      <c r="A33985" s="740"/>
    </row>
    <row r="33986" ht="14.25" customHeight="1">
      <c r="A33986" s="740"/>
    </row>
    <row r="33987" ht="14.25" customHeight="1">
      <c r="A33987" s="740"/>
    </row>
    <row r="33988" ht="14.25" customHeight="1">
      <c r="A33988" s="740"/>
    </row>
    <row r="33989" ht="14.25" customHeight="1">
      <c r="A33989" s="740"/>
    </row>
    <row r="33990" ht="14.25" customHeight="1">
      <c r="A33990" s="740"/>
    </row>
    <row r="33991" ht="14.25" customHeight="1">
      <c r="A33991" s="740"/>
    </row>
    <row r="33992" ht="14.25" customHeight="1">
      <c r="A33992" s="740"/>
    </row>
    <row r="33993" ht="14.25" customHeight="1">
      <c r="A33993" s="740"/>
    </row>
    <row r="33994" ht="14.25" customHeight="1">
      <c r="A33994" s="740"/>
    </row>
    <row r="33995" ht="14.25" customHeight="1">
      <c r="A33995" s="740"/>
    </row>
    <row r="33996" ht="14.25" customHeight="1">
      <c r="A33996" s="740"/>
    </row>
    <row r="33997" ht="14.25" customHeight="1">
      <c r="A33997" s="740"/>
    </row>
    <row r="33998" ht="14.25" customHeight="1">
      <c r="A33998" s="740"/>
    </row>
    <row r="33999" ht="14.25" customHeight="1">
      <c r="A33999" s="740"/>
    </row>
    <row r="34000" ht="14.25" customHeight="1">
      <c r="A34000" s="740"/>
    </row>
    <row r="34001" ht="14.25" customHeight="1">
      <c r="A34001" s="740"/>
    </row>
    <row r="34002" ht="14.25" customHeight="1">
      <c r="A34002" s="740"/>
    </row>
    <row r="34003" ht="14.25" customHeight="1">
      <c r="A34003" s="740"/>
    </row>
    <row r="34004" ht="14.25" customHeight="1">
      <c r="A34004" s="740"/>
    </row>
    <row r="34005" ht="14.25" customHeight="1">
      <c r="A34005" s="740"/>
    </row>
    <row r="34006" ht="14.25" customHeight="1">
      <c r="A34006" s="740"/>
    </row>
    <row r="34007" ht="14.25" customHeight="1">
      <c r="A34007" s="740"/>
    </row>
    <row r="34008" ht="14.25" customHeight="1">
      <c r="A34008" s="740"/>
    </row>
    <row r="34009" ht="14.25" customHeight="1">
      <c r="A34009" s="740"/>
    </row>
    <row r="34010" ht="14.25" customHeight="1">
      <c r="A34010" s="740"/>
    </row>
    <row r="34011" ht="14.25" customHeight="1">
      <c r="A34011" s="740"/>
    </row>
    <row r="34012" ht="14.25" customHeight="1">
      <c r="A34012" s="740"/>
    </row>
    <row r="34013" ht="14.25" customHeight="1">
      <c r="A34013" s="740"/>
    </row>
    <row r="34014" ht="14.25" customHeight="1">
      <c r="A34014" s="740"/>
    </row>
    <row r="34015" ht="14.25" customHeight="1">
      <c r="A34015" s="740"/>
    </row>
    <row r="34016" ht="14.25" customHeight="1">
      <c r="A34016" s="740"/>
    </row>
    <row r="34017" ht="14.25" customHeight="1">
      <c r="A34017" s="740"/>
    </row>
    <row r="34018" ht="14.25" customHeight="1">
      <c r="A34018" s="740"/>
    </row>
    <row r="34019" ht="14.25" customHeight="1">
      <c r="A34019" s="740"/>
    </row>
    <row r="34020" ht="14.25" customHeight="1">
      <c r="A34020" s="740"/>
    </row>
    <row r="34021" ht="14.25" customHeight="1">
      <c r="A34021" s="740"/>
    </row>
    <row r="34022" ht="14.25" customHeight="1">
      <c r="A34022" s="740"/>
    </row>
    <row r="34023" ht="14.25" customHeight="1">
      <c r="A34023" s="740"/>
    </row>
    <row r="34024" ht="14.25" customHeight="1">
      <c r="A34024" s="740"/>
    </row>
    <row r="34025" ht="14.25" customHeight="1">
      <c r="A34025" s="740"/>
    </row>
    <row r="34026" ht="14.25" customHeight="1">
      <c r="A34026" s="740"/>
    </row>
    <row r="34027" ht="14.25" customHeight="1">
      <c r="A34027" s="740"/>
    </row>
    <row r="34028" ht="14.25" customHeight="1">
      <c r="A34028" s="740"/>
    </row>
    <row r="34029" ht="14.25" customHeight="1">
      <c r="A34029" s="740"/>
    </row>
    <row r="34030" ht="14.25" customHeight="1">
      <c r="A34030" s="740"/>
    </row>
    <row r="34031" ht="14.25" customHeight="1">
      <c r="A34031" s="740"/>
    </row>
    <row r="34032" ht="14.25" customHeight="1">
      <c r="A34032" s="740"/>
    </row>
    <row r="34033" ht="14.25" customHeight="1">
      <c r="A34033" s="740"/>
    </row>
    <row r="34034" ht="14.25" customHeight="1">
      <c r="A34034" s="740"/>
    </row>
    <row r="34035" ht="14.25" customHeight="1">
      <c r="A34035" s="740"/>
    </row>
    <row r="34036" ht="14.25" customHeight="1">
      <c r="A34036" s="740"/>
    </row>
    <row r="34037" ht="14.25" customHeight="1">
      <c r="A34037" s="740"/>
    </row>
    <row r="34038" ht="14.25" customHeight="1">
      <c r="A34038" s="740"/>
    </row>
    <row r="34039" ht="14.25" customHeight="1">
      <c r="A34039" s="740"/>
    </row>
    <row r="34040" ht="14.25" customHeight="1">
      <c r="A34040" s="740"/>
    </row>
    <row r="34041" ht="14.25" customHeight="1">
      <c r="A34041" s="740"/>
    </row>
    <row r="34042" ht="14.25" customHeight="1">
      <c r="A34042" s="740"/>
    </row>
    <row r="34043" ht="14.25" customHeight="1">
      <c r="A34043" s="740"/>
    </row>
    <row r="34044" ht="14.25" customHeight="1">
      <c r="A34044" s="740"/>
    </row>
    <row r="34045" ht="14.25" customHeight="1">
      <c r="A34045" s="740"/>
    </row>
    <row r="34046" ht="14.25" customHeight="1">
      <c r="A34046" s="740"/>
    </row>
    <row r="34047" ht="14.25" customHeight="1">
      <c r="A34047" s="740"/>
    </row>
    <row r="34048" ht="14.25" customHeight="1">
      <c r="A34048" s="740"/>
    </row>
    <row r="34049" ht="14.25" customHeight="1">
      <c r="A34049" s="740"/>
    </row>
    <row r="34050" ht="14.25" customHeight="1">
      <c r="A34050" s="740"/>
    </row>
    <row r="34051" ht="14.25" customHeight="1">
      <c r="A34051" s="740"/>
    </row>
    <row r="34052" ht="14.25" customHeight="1">
      <c r="A34052" s="740"/>
    </row>
    <row r="34053" ht="14.25" customHeight="1">
      <c r="A34053" s="740"/>
    </row>
    <row r="34054" ht="14.25" customHeight="1">
      <c r="A34054" s="740"/>
    </row>
    <row r="34055" ht="14.25" customHeight="1">
      <c r="A34055" s="740"/>
    </row>
    <row r="34056" ht="14.25" customHeight="1">
      <c r="A34056" s="740"/>
    </row>
    <row r="34057" ht="14.25" customHeight="1">
      <c r="A34057" s="740"/>
    </row>
    <row r="34058" ht="14.25" customHeight="1">
      <c r="A34058" s="740"/>
    </row>
    <row r="34059" ht="14.25" customHeight="1">
      <c r="A34059" s="740"/>
    </row>
    <row r="34060" ht="14.25" customHeight="1">
      <c r="A34060" s="740"/>
    </row>
    <row r="34061" ht="14.25" customHeight="1">
      <c r="A34061" s="740"/>
    </row>
    <row r="34062" ht="14.25" customHeight="1">
      <c r="A34062" s="740"/>
    </row>
    <row r="34063" ht="14.25" customHeight="1">
      <c r="A34063" s="740"/>
    </row>
    <row r="34064" ht="14.25" customHeight="1">
      <c r="A34064" s="740"/>
    </row>
    <row r="34065" ht="14.25" customHeight="1">
      <c r="A34065" s="740"/>
    </row>
    <row r="34066" ht="14.25" customHeight="1">
      <c r="A34066" s="740"/>
    </row>
    <row r="34067" ht="14.25" customHeight="1">
      <c r="A34067" s="740"/>
    </row>
    <row r="34068" ht="14.25" customHeight="1">
      <c r="A34068" s="740"/>
    </row>
    <row r="34069" ht="14.25" customHeight="1">
      <c r="A34069" s="740"/>
    </row>
    <row r="34070" ht="14.25" customHeight="1">
      <c r="A34070" s="740"/>
    </row>
    <row r="34071" ht="14.25" customHeight="1">
      <c r="A34071" s="740"/>
    </row>
    <row r="34072" ht="14.25" customHeight="1">
      <c r="A34072" s="740"/>
    </row>
    <row r="34073" ht="14.25" customHeight="1">
      <c r="A34073" s="740"/>
    </row>
    <row r="34074" ht="14.25" customHeight="1">
      <c r="A34074" s="740"/>
    </row>
    <row r="34075" ht="14.25" customHeight="1">
      <c r="A34075" s="740"/>
    </row>
    <row r="34076" ht="14.25" customHeight="1">
      <c r="A34076" s="740"/>
    </row>
    <row r="34077" ht="14.25" customHeight="1">
      <c r="A34077" s="740"/>
    </row>
    <row r="34078" ht="14.25" customHeight="1">
      <c r="A34078" s="740"/>
    </row>
    <row r="34079" ht="14.25" customHeight="1">
      <c r="A34079" s="740"/>
    </row>
    <row r="34080" ht="14.25" customHeight="1">
      <c r="A34080" s="740"/>
    </row>
    <row r="34081" ht="14.25" customHeight="1">
      <c r="A34081" s="740"/>
    </row>
    <row r="34082" ht="14.25" customHeight="1">
      <c r="A34082" s="740"/>
    </row>
    <row r="34083" ht="14.25" customHeight="1">
      <c r="A34083" s="740"/>
    </row>
    <row r="34084" ht="14.25" customHeight="1">
      <c r="A34084" s="740"/>
    </row>
    <row r="34085" ht="14.25" customHeight="1">
      <c r="A34085" s="740"/>
    </row>
    <row r="34086" ht="14.25" customHeight="1">
      <c r="A34086" s="740"/>
    </row>
    <row r="34087" ht="14.25" customHeight="1">
      <c r="A34087" s="740"/>
    </row>
    <row r="34088" ht="14.25" customHeight="1">
      <c r="A34088" s="740"/>
    </row>
    <row r="34089" ht="14.25" customHeight="1">
      <c r="A34089" s="740"/>
    </row>
    <row r="34090" ht="14.25" customHeight="1">
      <c r="A34090" s="740"/>
    </row>
    <row r="34091" ht="14.25" customHeight="1">
      <c r="A34091" s="740"/>
    </row>
    <row r="34092" ht="14.25" customHeight="1">
      <c r="A34092" s="740"/>
    </row>
    <row r="34093" ht="14.25" customHeight="1">
      <c r="A34093" s="740"/>
    </row>
    <row r="34094" ht="14.25" customHeight="1">
      <c r="A34094" s="740"/>
    </row>
    <row r="34095" ht="14.25" customHeight="1">
      <c r="A34095" s="740"/>
    </row>
    <row r="34096" ht="14.25" customHeight="1">
      <c r="A34096" s="740"/>
    </row>
    <row r="34097" ht="14.25" customHeight="1">
      <c r="A34097" s="740"/>
    </row>
    <row r="34098" ht="14.25" customHeight="1">
      <c r="A34098" s="740"/>
    </row>
    <row r="34099" ht="14.25" customHeight="1">
      <c r="A34099" s="740"/>
    </row>
    <row r="34100" ht="14.25" customHeight="1">
      <c r="A34100" s="740"/>
    </row>
    <row r="34101" ht="14.25" customHeight="1">
      <c r="A34101" s="740"/>
    </row>
    <row r="34102" ht="14.25" customHeight="1">
      <c r="A34102" s="740"/>
    </row>
    <row r="34103" ht="14.25" customHeight="1">
      <c r="A34103" s="740"/>
    </row>
    <row r="34104" ht="14.25" customHeight="1">
      <c r="A34104" s="740"/>
    </row>
    <row r="34105" ht="14.25" customHeight="1">
      <c r="A34105" s="740"/>
    </row>
    <row r="34106" ht="14.25" customHeight="1">
      <c r="A34106" s="740"/>
    </row>
    <row r="34107" ht="14.25" customHeight="1">
      <c r="A34107" s="740"/>
    </row>
    <row r="34108" ht="14.25" customHeight="1">
      <c r="A34108" s="740"/>
    </row>
    <row r="34109" ht="14.25" customHeight="1">
      <c r="A34109" s="740"/>
    </row>
    <row r="34110" ht="14.25" customHeight="1">
      <c r="A34110" s="740"/>
    </row>
    <row r="34111" ht="14.25" customHeight="1">
      <c r="A34111" s="740"/>
    </row>
    <row r="34112" ht="14.25" customHeight="1">
      <c r="A34112" s="740"/>
    </row>
    <row r="34113" ht="14.25" customHeight="1">
      <c r="A34113" s="740"/>
    </row>
    <row r="34114" ht="14.25" customHeight="1">
      <c r="A34114" s="740"/>
    </row>
    <row r="34115" ht="14.25" customHeight="1">
      <c r="A34115" s="740"/>
    </row>
    <row r="34116" ht="14.25" customHeight="1">
      <c r="A34116" s="740"/>
    </row>
    <row r="34117" ht="14.25" customHeight="1">
      <c r="A34117" s="740"/>
    </row>
    <row r="34118" ht="14.25" customHeight="1">
      <c r="A34118" s="740"/>
    </row>
    <row r="34119" ht="14.25" customHeight="1">
      <c r="A34119" s="740"/>
    </row>
    <row r="34120" ht="14.25" customHeight="1">
      <c r="A34120" s="740"/>
    </row>
    <row r="34121" ht="14.25" customHeight="1">
      <c r="A34121" s="740"/>
    </row>
    <row r="34122" ht="14.25" customHeight="1">
      <c r="A34122" s="740"/>
    </row>
    <row r="34123" ht="14.25" customHeight="1">
      <c r="A34123" s="740"/>
    </row>
    <row r="34124" ht="14.25" customHeight="1">
      <c r="A34124" s="740"/>
    </row>
    <row r="34125" ht="14.25" customHeight="1">
      <c r="A34125" s="740"/>
    </row>
    <row r="34126" ht="14.25" customHeight="1">
      <c r="A34126" s="740"/>
    </row>
    <row r="34127" ht="14.25" customHeight="1">
      <c r="A34127" s="740"/>
    </row>
    <row r="34128" ht="14.25" customHeight="1">
      <c r="A34128" s="740"/>
    </row>
    <row r="34129" ht="14.25" customHeight="1">
      <c r="A34129" s="740"/>
    </row>
    <row r="34130" ht="14.25" customHeight="1">
      <c r="A34130" s="740"/>
    </row>
    <row r="34131" ht="14.25" customHeight="1">
      <c r="A34131" s="740"/>
    </row>
    <row r="34132" ht="14.25" customHeight="1">
      <c r="A34132" s="740"/>
    </row>
    <row r="34133" ht="14.25" customHeight="1">
      <c r="A34133" s="740"/>
    </row>
    <row r="34134" ht="14.25" customHeight="1">
      <c r="A34134" s="740"/>
    </row>
    <row r="34135" ht="14.25" customHeight="1">
      <c r="A34135" s="740"/>
    </row>
    <row r="34136" ht="14.25" customHeight="1">
      <c r="A34136" s="740"/>
    </row>
    <row r="34137" ht="14.25" customHeight="1">
      <c r="A34137" s="740"/>
    </row>
    <row r="34138" ht="14.25" customHeight="1">
      <c r="A34138" s="740"/>
    </row>
    <row r="34139" ht="14.25" customHeight="1">
      <c r="A34139" s="740"/>
    </row>
    <row r="34140" ht="14.25" customHeight="1">
      <c r="A34140" s="740"/>
    </row>
    <row r="34141" ht="14.25" customHeight="1">
      <c r="A34141" s="740"/>
    </row>
    <row r="34142" ht="14.25" customHeight="1">
      <c r="A34142" s="740"/>
    </row>
    <row r="34143" ht="14.25" customHeight="1">
      <c r="A34143" s="740"/>
    </row>
    <row r="34144" ht="14.25" customHeight="1">
      <c r="A34144" s="740"/>
    </row>
    <row r="34145" ht="14.25" customHeight="1">
      <c r="A34145" s="740"/>
    </row>
    <row r="34146" ht="14.25" customHeight="1">
      <c r="A34146" s="740"/>
    </row>
    <row r="34147" ht="14.25" customHeight="1">
      <c r="A34147" s="740"/>
    </row>
    <row r="34148" ht="14.25" customHeight="1">
      <c r="A34148" s="740"/>
    </row>
    <row r="34149" ht="14.25" customHeight="1">
      <c r="A34149" s="740"/>
    </row>
    <row r="34150" ht="14.25" customHeight="1">
      <c r="A34150" s="740"/>
    </row>
    <row r="34151" ht="14.25" customHeight="1">
      <c r="A34151" s="740"/>
    </row>
    <row r="34152" ht="14.25" customHeight="1">
      <c r="A34152" s="740"/>
    </row>
    <row r="34153" ht="14.25" customHeight="1">
      <c r="A34153" s="740"/>
    </row>
    <row r="34154" ht="14.25" customHeight="1">
      <c r="A34154" s="740"/>
    </row>
    <row r="34155" ht="14.25" customHeight="1">
      <c r="A34155" s="740"/>
    </row>
    <row r="34156" ht="14.25" customHeight="1">
      <c r="A34156" s="740"/>
    </row>
    <row r="34157" ht="14.25" customHeight="1">
      <c r="A34157" s="740"/>
    </row>
    <row r="34158" ht="14.25" customHeight="1">
      <c r="A34158" s="740"/>
    </row>
    <row r="34159" ht="14.25" customHeight="1">
      <c r="A34159" s="740"/>
    </row>
    <row r="34160" ht="14.25" customHeight="1">
      <c r="A34160" s="740"/>
    </row>
    <row r="34161" ht="14.25" customHeight="1">
      <c r="A34161" s="740"/>
    </row>
    <row r="34162" ht="14.25" customHeight="1">
      <c r="A34162" s="740"/>
    </row>
    <row r="34163" ht="14.25" customHeight="1">
      <c r="A34163" s="740"/>
    </row>
    <row r="34164" ht="14.25" customHeight="1">
      <c r="A34164" s="740"/>
    </row>
    <row r="34165" ht="14.25" customHeight="1">
      <c r="A34165" s="740"/>
    </row>
    <row r="34166" ht="14.25" customHeight="1">
      <c r="A34166" s="740"/>
    </row>
    <row r="34167" ht="14.25" customHeight="1">
      <c r="A34167" s="740"/>
    </row>
    <row r="34168" ht="14.25" customHeight="1">
      <c r="A34168" s="740"/>
    </row>
    <row r="34169" ht="14.25" customHeight="1">
      <c r="A34169" s="740"/>
    </row>
    <row r="34170" ht="14.25" customHeight="1">
      <c r="A34170" s="740"/>
    </row>
    <row r="34171" ht="14.25" customHeight="1">
      <c r="A34171" s="740"/>
    </row>
    <row r="34172" ht="14.25" customHeight="1">
      <c r="A34172" s="740"/>
    </row>
    <row r="34173" ht="14.25" customHeight="1">
      <c r="A34173" s="740"/>
    </row>
    <row r="34174" ht="14.25" customHeight="1">
      <c r="A34174" s="740"/>
    </row>
    <row r="34175" ht="14.25" customHeight="1">
      <c r="A34175" s="740"/>
    </row>
    <row r="34176" ht="14.25" customHeight="1">
      <c r="A34176" s="740"/>
    </row>
    <row r="34177" ht="14.25" customHeight="1">
      <c r="A34177" s="740"/>
    </row>
    <row r="34178" ht="14.25" customHeight="1">
      <c r="A34178" s="740"/>
    </row>
    <row r="34179" ht="14.25" customHeight="1">
      <c r="A34179" s="740"/>
    </row>
    <row r="34180" ht="14.25" customHeight="1">
      <c r="A34180" s="740"/>
    </row>
    <row r="34181" ht="14.25" customHeight="1">
      <c r="A34181" s="740"/>
    </row>
    <row r="34182" ht="14.25" customHeight="1">
      <c r="A34182" s="740"/>
    </row>
    <row r="34183" ht="14.25" customHeight="1">
      <c r="A34183" s="740"/>
    </row>
    <row r="34184" ht="14.25" customHeight="1">
      <c r="A34184" s="740"/>
    </row>
    <row r="34185" ht="14.25" customHeight="1">
      <c r="A34185" s="740"/>
    </row>
    <row r="34186" ht="14.25" customHeight="1">
      <c r="A34186" s="740"/>
    </row>
    <row r="34187" ht="14.25" customHeight="1">
      <c r="A34187" s="740"/>
    </row>
    <row r="34188" ht="14.25" customHeight="1">
      <c r="A34188" s="740"/>
    </row>
    <row r="34189" ht="14.25" customHeight="1">
      <c r="A34189" s="740"/>
    </row>
    <row r="34190" ht="14.25" customHeight="1">
      <c r="A34190" s="740"/>
    </row>
    <row r="34191" ht="14.25" customHeight="1">
      <c r="A34191" s="740"/>
    </row>
    <row r="34192" ht="14.25" customHeight="1">
      <c r="A34192" s="740"/>
    </row>
    <row r="34193" ht="14.25" customHeight="1">
      <c r="A34193" s="740"/>
    </row>
    <row r="34194" ht="14.25" customHeight="1">
      <c r="A34194" s="740"/>
    </row>
    <row r="34195" ht="14.25" customHeight="1">
      <c r="A34195" s="740"/>
    </row>
    <row r="34196" ht="14.25" customHeight="1">
      <c r="A34196" s="740"/>
    </row>
    <row r="34197" ht="14.25" customHeight="1">
      <c r="A34197" s="740"/>
    </row>
    <row r="34198" ht="14.25" customHeight="1">
      <c r="A34198" s="740"/>
    </row>
    <row r="34199" ht="14.25" customHeight="1">
      <c r="A34199" s="740"/>
    </row>
    <row r="34200" ht="14.25" customHeight="1">
      <c r="A34200" s="740"/>
    </row>
    <row r="34201" ht="14.25" customHeight="1">
      <c r="A34201" s="740"/>
    </row>
    <row r="34202" ht="14.25" customHeight="1">
      <c r="A34202" s="740"/>
    </row>
    <row r="34203" ht="14.25" customHeight="1">
      <c r="A34203" s="740"/>
    </row>
    <row r="34204" ht="14.25" customHeight="1">
      <c r="A34204" s="740"/>
    </row>
    <row r="34205" ht="14.25" customHeight="1">
      <c r="A34205" s="740"/>
    </row>
    <row r="34206" ht="14.25" customHeight="1">
      <c r="A34206" s="740"/>
    </row>
    <row r="34207" ht="14.25" customHeight="1">
      <c r="A34207" s="740"/>
    </row>
    <row r="34208" ht="14.25" customHeight="1">
      <c r="A34208" s="740"/>
    </row>
    <row r="34209" ht="14.25" customHeight="1">
      <c r="A34209" s="740"/>
    </row>
    <row r="34210" ht="14.25" customHeight="1">
      <c r="A34210" s="740"/>
    </row>
    <row r="34211" ht="14.25" customHeight="1">
      <c r="A34211" s="740"/>
    </row>
    <row r="34212" ht="14.25" customHeight="1">
      <c r="A34212" s="740"/>
    </row>
    <row r="34213" ht="14.25" customHeight="1">
      <c r="A34213" s="740"/>
    </row>
    <row r="34214" ht="14.25" customHeight="1">
      <c r="A34214" s="740"/>
    </row>
    <row r="34215" ht="14.25" customHeight="1">
      <c r="A34215" s="740"/>
    </row>
    <row r="34216" ht="14.25" customHeight="1">
      <c r="A34216" s="740"/>
    </row>
    <row r="34217" ht="14.25" customHeight="1">
      <c r="A34217" s="740"/>
    </row>
    <row r="34218" ht="14.25" customHeight="1">
      <c r="A34218" s="740"/>
    </row>
    <row r="34219" ht="14.25" customHeight="1">
      <c r="A34219" s="740"/>
    </row>
    <row r="34220" ht="14.25" customHeight="1">
      <c r="A34220" s="740"/>
    </row>
    <row r="34221" ht="14.25" customHeight="1">
      <c r="A34221" s="740"/>
    </row>
    <row r="34222" ht="14.25" customHeight="1">
      <c r="A34222" s="740"/>
    </row>
    <row r="34223" ht="14.25" customHeight="1">
      <c r="A34223" s="740"/>
    </row>
    <row r="34224" ht="14.25" customHeight="1">
      <c r="A34224" s="740"/>
    </row>
    <row r="34225" ht="14.25" customHeight="1">
      <c r="A34225" s="740"/>
    </row>
    <row r="34226" ht="14.25" customHeight="1">
      <c r="A34226" s="740"/>
    </row>
    <row r="34227" ht="14.25" customHeight="1">
      <c r="A34227" s="740"/>
    </row>
    <row r="34228" ht="14.25" customHeight="1">
      <c r="A34228" s="740"/>
    </row>
    <row r="34229" ht="14.25" customHeight="1">
      <c r="A34229" s="740"/>
    </row>
    <row r="34230" ht="14.25" customHeight="1">
      <c r="A34230" s="740"/>
    </row>
    <row r="34231" ht="14.25" customHeight="1">
      <c r="A34231" s="740"/>
    </row>
    <row r="34232" ht="14.25" customHeight="1">
      <c r="A34232" s="740"/>
    </row>
    <row r="34233" ht="14.25" customHeight="1">
      <c r="A34233" s="740"/>
    </row>
    <row r="34234" ht="14.25" customHeight="1">
      <c r="A34234" s="740"/>
    </row>
    <row r="34235" ht="14.25" customHeight="1">
      <c r="A34235" s="740"/>
    </row>
    <row r="34236" ht="14.25" customHeight="1">
      <c r="A34236" s="740"/>
    </row>
    <row r="34237" ht="14.25" customHeight="1">
      <c r="A34237" s="740"/>
    </row>
    <row r="34238" ht="14.25" customHeight="1">
      <c r="A34238" s="740"/>
    </row>
    <row r="34239" ht="14.25" customHeight="1">
      <c r="A34239" s="740"/>
    </row>
    <row r="34240" ht="14.25" customHeight="1">
      <c r="A34240" s="740"/>
    </row>
    <row r="34241" ht="14.25" customHeight="1">
      <c r="A34241" s="740"/>
    </row>
    <row r="34242" ht="14.25" customHeight="1">
      <c r="A34242" s="740"/>
    </row>
    <row r="34243" ht="14.25" customHeight="1">
      <c r="A34243" s="740"/>
    </row>
    <row r="34244" ht="14.25" customHeight="1">
      <c r="A34244" s="740"/>
    </row>
    <row r="34245" ht="14.25" customHeight="1">
      <c r="A34245" s="740"/>
    </row>
    <row r="34246" ht="14.25" customHeight="1">
      <c r="A34246" s="740"/>
    </row>
    <row r="34247" ht="14.25" customHeight="1">
      <c r="A34247" s="740"/>
    </row>
    <row r="34248" ht="14.25" customHeight="1">
      <c r="A34248" s="740"/>
    </row>
    <row r="34249" ht="14.25" customHeight="1">
      <c r="A34249" s="740"/>
    </row>
    <row r="34250" ht="14.25" customHeight="1">
      <c r="A34250" s="740"/>
    </row>
    <row r="34251" ht="14.25" customHeight="1">
      <c r="A34251" s="740"/>
    </row>
    <row r="34252" ht="14.25" customHeight="1">
      <c r="A34252" s="740"/>
    </row>
    <row r="34253" ht="14.25" customHeight="1">
      <c r="A34253" s="740"/>
    </row>
    <row r="34254" ht="14.25" customHeight="1">
      <c r="A34254" s="740"/>
    </row>
    <row r="34255" ht="14.25" customHeight="1">
      <c r="A34255" s="740"/>
    </row>
    <row r="34256" ht="14.25" customHeight="1">
      <c r="A34256" s="740"/>
    </row>
    <row r="34257" ht="14.25" customHeight="1">
      <c r="A34257" s="740"/>
    </row>
    <row r="34258" ht="14.25" customHeight="1">
      <c r="A34258" s="740"/>
    </row>
    <row r="34259" ht="14.25" customHeight="1">
      <c r="A34259" s="740"/>
    </row>
    <row r="34260" ht="14.25" customHeight="1">
      <c r="A34260" s="740"/>
    </row>
    <row r="34261" ht="14.25" customHeight="1">
      <c r="A34261" s="740"/>
    </row>
    <row r="34262" ht="14.25" customHeight="1">
      <c r="A34262" s="740"/>
    </row>
    <row r="34263" ht="14.25" customHeight="1">
      <c r="A34263" s="740"/>
    </row>
    <row r="34264" ht="14.25" customHeight="1">
      <c r="A34264" s="740"/>
    </row>
    <row r="34265" ht="14.25" customHeight="1">
      <c r="A34265" s="740"/>
    </row>
    <row r="34266" ht="14.25" customHeight="1">
      <c r="A34266" s="740"/>
    </row>
    <row r="34267" ht="14.25" customHeight="1">
      <c r="A34267" s="740"/>
    </row>
    <row r="34268" ht="14.25" customHeight="1">
      <c r="A34268" s="740"/>
    </row>
    <row r="34269" ht="14.25" customHeight="1">
      <c r="A34269" s="740"/>
    </row>
    <row r="34270" ht="14.25" customHeight="1">
      <c r="A34270" s="740"/>
    </row>
    <row r="34271" ht="14.25" customHeight="1">
      <c r="A34271" s="740"/>
    </row>
    <row r="34272" ht="14.25" customHeight="1">
      <c r="A34272" s="740"/>
    </row>
    <row r="34273" ht="14.25" customHeight="1">
      <c r="A34273" s="740"/>
    </row>
    <row r="34274" ht="14.25" customHeight="1">
      <c r="A34274" s="740"/>
    </row>
    <row r="34275" ht="14.25" customHeight="1">
      <c r="A34275" s="740"/>
    </row>
    <row r="34276" ht="14.25" customHeight="1">
      <c r="A34276" s="740"/>
    </row>
    <row r="34277" ht="14.25" customHeight="1">
      <c r="A34277" s="740"/>
    </row>
    <row r="34278" ht="14.25" customHeight="1">
      <c r="A34278" s="740"/>
    </row>
    <row r="34279" ht="14.25" customHeight="1">
      <c r="A34279" s="740"/>
    </row>
    <row r="34280" ht="14.25" customHeight="1">
      <c r="A34280" s="740"/>
    </row>
    <row r="34281" ht="14.25" customHeight="1">
      <c r="A34281" s="740"/>
    </row>
    <row r="34282" ht="14.25" customHeight="1">
      <c r="A34282" s="740"/>
    </row>
    <row r="34283" ht="14.25" customHeight="1">
      <c r="A34283" s="740"/>
    </row>
    <row r="34284" ht="14.25" customHeight="1">
      <c r="A34284" s="740"/>
    </row>
    <row r="34285" ht="14.25" customHeight="1">
      <c r="A34285" s="740"/>
    </row>
    <row r="34286" ht="14.25" customHeight="1">
      <c r="A34286" s="740"/>
    </row>
    <row r="34287" ht="14.25" customHeight="1">
      <c r="A34287" s="740"/>
    </row>
    <row r="34288" ht="14.25" customHeight="1">
      <c r="A34288" s="740"/>
    </row>
    <row r="34289" ht="14.25" customHeight="1">
      <c r="A34289" s="740"/>
    </row>
    <row r="34290" ht="14.25" customHeight="1">
      <c r="A34290" s="740"/>
    </row>
    <row r="34291" ht="14.25" customHeight="1">
      <c r="A34291" s="740"/>
    </row>
    <row r="34292" ht="14.25" customHeight="1">
      <c r="A34292" s="740"/>
    </row>
    <row r="34293" ht="14.25" customHeight="1">
      <c r="A34293" s="740"/>
    </row>
    <row r="34294" ht="14.25" customHeight="1">
      <c r="A34294" s="740"/>
    </row>
    <row r="34295" ht="14.25" customHeight="1">
      <c r="A34295" s="740"/>
    </row>
    <row r="34296" ht="14.25" customHeight="1">
      <c r="A34296" s="740"/>
    </row>
    <row r="34297" ht="14.25" customHeight="1">
      <c r="A34297" s="740"/>
    </row>
    <row r="34298" ht="14.25" customHeight="1">
      <c r="A34298" s="740"/>
    </row>
    <row r="34299" ht="14.25" customHeight="1">
      <c r="A34299" s="740"/>
    </row>
    <row r="34300" ht="14.25" customHeight="1">
      <c r="A34300" s="740"/>
    </row>
    <row r="34301" ht="14.25" customHeight="1">
      <c r="A34301" s="740"/>
    </row>
    <row r="34302" ht="14.25" customHeight="1">
      <c r="A34302" s="740"/>
    </row>
    <row r="34303" ht="14.25" customHeight="1">
      <c r="A34303" s="740"/>
    </row>
    <row r="34304" ht="14.25" customHeight="1">
      <c r="A34304" s="740"/>
    </row>
    <row r="34305" ht="14.25" customHeight="1">
      <c r="A34305" s="740"/>
    </row>
    <row r="34306" ht="14.25" customHeight="1">
      <c r="A34306" s="740"/>
    </row>
    <row r="34307" ht="14.25" customHeight="1">
      <c r="A34307" s="740"/>
    </row>
    <row r="34308" ht="14.25" customHeight="1">
      <c r="A34308" s="740"/>
    </row>
    <row r="34309" ht="14.25" customHeight="1">
      <c r="A34309" s="740"/>
    </row>
    <row r="34310" ht="14.25" customHeight="1">
      <c r="A34310" s="740"/>
    </row>
    <row r="34311" ht="14.25" customHeight="1">
      <c r="A34311" s="740"/>
    </row>
    <row r="34312" ht="14.25" customHeight="1">
      <c r="A34312" s="740"/>
    </row>
    <row r="34313" ht="14.25" customHeight="1">
      <c r="A34313" s="740"/>
    </row>
    <row r="34314" ht="14.25" customHeight="1">
      <c r="A34314" s="740"/>
    </row>
    <row r="34315" ht="14.25" customHeight="1">
      <c r="A34315" s="740"/>
    </row>
    <row r="34316" ht="14.25" customHeight="1">
      <c r="A34316" s="740"/>
    </row>
    <row r="34317" ht="14.25" customHeight="1">
      <c r="A34317" s="740"/>
    </row>
    <row r="34318" ht="14.25" customHeight="1">
      <c r="A34318" s="740"/>
    </row>
    <row r="34319" ht="14.25" customHeight="1">
      <c r="A34319" s="740"/>
    </row>
    <row r="34320" ht="14.25" customHeight="1">
      <c r="A34320" s="740"/>
    </row>
    <row r="34321" ht="14.25" customHeight="1">
      <c r="A34321" s="740"/>
    </row>
    <row r="34322" ht="14.25" customHeight="1">
      <c r="A34322" s="740"/>
    </row>
    <row r="34323" ht="14.25" customHeight="1">
      <c r="A34323" s="740"/>
    </row>
    <row r="34324" ht="14.25" customHeight="1">
      <c r="A34324" s="740"/>
    </row>
    <row r="34325" ht="14.25" customHeight="1">
      <c r="A34325" s="740"/>
    </row>
    <row r="34326" ht="14.25" customHeight="1">
      <c r="A34326" s="740"/>
    </row>
    <row r="34327" ht="14.25" customHeight="1">
      <c r="A34327" s="740"/>
    </row>
    <row r="34328" ht="14.25" customHeight="1">
      <c r="A34328" s="740"/>
    </row>
    <row r="34329" ht="14.25" customHeight="1">
      <c r="A34329" s="740"/>
    </row>
    <row r="34330" ht="14.25" customHeight="1">
      <c r="A34330" s="740"/>
    </row>
    <row r="34331" ht="14.25" customHeight="1">
      <c r="A34331" s="740"/>
    </row>
    <row r="34332" ht="14.25" customHeight="1">
      <c r="A34332" s="740"/>
    </row>
    <row r="34333" ht="14.25" customHeight="1">
      <c r="A34333" s="740"/>
    </row>
    <row r="34334" ht="14.25" customHeight="1">
      <c r="A34334" s="740"/>
    </row>
    <row r="34335" ht="14.25" customHeight="1">
      <c r="A34335" s="740"/>
    </row>
    <row r="34336" ht="14.25" customHeight="1">
      <c r="A34336" s="740"/>
    </row>
    <row r="34337" ht="14.25" customHeight="1">
      <c r="A34337" s="740"/>
    </row>
    <row r="34338" ht="14.25" customHeight="1">
      <c r="A34338" s="740"/>
    </row>
    <row r="34339" ht="14.25" customHeight="1">
      <c r="A34339" s="740"/>
    </row>
    <row r="34340" ht="14.25" customHeight="1">
      <c r="A34340" s="740"/>
    </row>
    <row r="34341" ht="14.25" customHeight="1">
      <c r="A34341" s="740"/>
    </row>
    <row r="34342" ht="14.25" customHeight="1">
      <c r="A34342" s="740"/>
    </row>
    <row r="34343" ht="14.25" customHeight="1">
      <c r="A34343" s="740"/>
    </row>
    <row r="34344" ht="14.25" customHeight="1">
      <c r="A34344" s="740"/>
    </row>
    <row r="34345" ht="14.25" customHeight="1">
      <c r="A34345" s="740"/>
    </row>
    <row r="34346" ht="14.25" customHeight="1">
      <c r="A34346" s="740"/>
    </row>
    <row r="34347" ht="14.25" customHeight="1">
      <c r="A34347" s="740"/>
    </row>
    <row r="34348" ht="14.25" customHeight="1">
      <c r="A34348" s="740"/>
    </row>
    <row r="34349" ht="14.25" customHeight="1">
      <c r="A34349" s="740"/>
    </row>
    <row r="34350" ht="14.25" customHeight="1">
      <c r="A34350" s="740"/>
    </row>
    <row r="34351" ht="14.25" customHeight="1">
      <c r="A34351" s="740"/>
    </row>
    <row r="34352" ht="14.25" customHeight="1">
      <c r="A34352" s="740"/>
    </row>
    <row r="34353" ht="14.25" customHeight="1">
      <c r="A34353" s="740"/>
    </row>
    <row r="34354" ht="14.25" customHeight="1">
      <c r="A34354" s="740"/>
    </row>
    <row r="34355" ht="14.25" customHeight="1">
      <c r="A34355" s="740"/>
    </row>
    <row r="34356" ht="14.25" customHeight="1">
      <c r="A34356" s="740"/>
    </row>
    <row r="34357" ht="14.25" customHeight="1">
      <c r="A34357" s="740"/>
    </row>
    <row r="34358" ht="14.25" customHeight="1">
      <c r="A34358" s="740"/>
    </row>
    <row r="34359" ht="14.25" customHeight="1">
      <c r="A34359" s="740"/>
    </row>
    <row r="34360" ht="14.25" customHeight="1">
      <c r="A34360" s="740"/>
    </row>
    <row r="34361" ht="14.25" customHeight="1">
      <c r="A34361" s="740"/>
    </row>
    <row r="34362" ht="14.25" customHeight="1">
      <c r="A34362" s="740"/>
    </row>
    <row r="34363" ht="14.25" customHeight="1">
      <c r="A34363" s="740"/>
    </row>
    <row r="34364" ht="14.25" customHeight="1">
      <c r="A34364" s="740"/>
    </row>
    <row r="34365" ht="14.25" customHeight="1">
      <c r="A34365" s="740"/>
    </row>
    <row r="34366" ht="14.25" customHeight="1">
      <c r="A34366" s="740"/>
    </row>
    <row r="34367" ht="14.25" customHeight="1">
      <c r="A34367" s="740"/>
    </row>
    <row r="34368" ht="14.25" customHeight="1">
      <c r="A34368" s="740"/>
    </row>
    <row r="34369" ht="14.25" customHeight="1">
      <c r="A34369" s="740"/>
    </row>
    <row r="34370" ht="14.25" customHeight="1">
      <c r="A34370" s="740"/>
    </row>
    <row r="34371" ht="14.25" customHeight="1">
      <c r="A34371" s="740"/>
    </row>
    <row r="34372" ht="14.25" customHeight="1">
      <c r="A34372" s="740"/>
    </row>
    <row r="34373" ht="14.25" customHeight="1">
      <c r="A34373" s="740"/>
    </row>
    <row r="34374" ht="14.25" customHeight="1">
      <c r="A34374" s="740"/>
    </row>
    <row r="34375" ht="14.25" customHeight="1">
      <c r="A34375" s="740"/>
    </row>
    <row r="34376" ht="14.25" customHeight="1">
      <c r="A34376" s="740"/>
    </row>
    <row r="34377" ht="14.25" customHeight="1">
      <c r="A34377" s="740"/>
    </row>
    <row r="34378" ht="14.25" customHeight="1">
      <c r="A34378" s="740"/>
    </row>
    <row r="34379" ht="14.25" customHeight="1">
      <c r="A34379" s="740"/>
    </row>
    <row r="34380" ht="14.25" customHeight="1">
      <c r="A34380" s="740"/>
    </row>
    <row r="34381" ht="14.25" customHeight="1">
      <c r="A34381" s="740"/>
    </row>
    <row r="34382" ht="14.25" customHeight="1">
      <c r="A34382" s="740"/>
    </row>
    <row r="34383" ht="14.25" customHeight="1">
      <c r="A34383" s="740"/>
    </row>
    <row r="34384" ht="14.25" customHeight="1">
      <c r="A34384" s="740"/>
    </row>
    <row r="34385" ht="14.25" customHeight="1">
      <c r="A34385" s="740"/>
    </row>
    <row r="34386" ht="14.25" customHeight="1">
      <c r="A34386" s="740"/>
    </row>
    <row r="34387" ht="14.25" customHeight="1">
      <c r="A34387" s="740"/>
    </row>
    <row r="34388" ht="14.25" customHeight="1">
      <c r="A34388" s="740"/>
    </row>
    <row r="34389" ht="14.25" customHeight="1">
      <c r="A34389" s="740"/>
    </row>
    <row r="34390" ht="14.25" customHeight="1">
      <c r="A34390" s="740"/>
    </row>
    <row r="34391" ht="14.25" customHeight="1">
      <c r="A34391" s="740"/>
    </row>
    <row r="34392" ht="14.25" customHeight="1">
      <c r="A34392" s="740"/>
    </row>
    <row r="34393" ht="14.25" customHeight="1">
      <c r="A34393" s="740"/>
    </row>
    <row r="34394" ht="14.25" customHeight="1">
      <c r="A34394" s="740"/>
    </row>
    <row r="34395" ht="14.25" customHeight="1">
      <c r="A34395" s="740"/>
    </row>
    <row r="34396" ht="14.25" customHeight="1">
      <c r="A34396" s="740"/>
    </row>
    <row r="34397" ht="14.25" customHeight="1">
      <c r="A34397" s="740"/>
    </row>
    <row r="34398" ht="14.25" customHeight="1">
      <c r="A34398" s="740"/>
    </row>
    <row r="34399" ht="14.25" customHeight="1">
      <c r="A34399" s="740"/>
    </row>
    <row r="34400" ht="14.25" customHeight="1">
      <c r="A34400" s="740"/>
    </row>
    <row r="34401" ht="14.25" customHeight="1">
      <c r="A34401" s="740"/>
    </row>
    <row r="34402" ht="14.25" customHeight="1">
      <c r="A34402" s="740"/>
    </row>
    <row r="34403" ht="14.25" customHeight="1">
      <c r="A34403" s="740"/>
    </row>
    <row r="34404" ht="14.25" customHeight="1">
      <c r="A34404" s="740"/>
    </row>
    <row r="34405" ht="14.25" customHeight="1">
      <c r="A34405" s="740"/>
    </row>
    <row r="34406" ht="14.25" customHeight="1">
      <c r="A34406" s="740"/>
    </row>
    <row r="34407" ht="14.25" customHeight="1">
      <c r="A34407" s="740"/>
    </row>
    <row r="34408" ht="14.25" customHeight="1">
      <c r="A34408" s="740"/>
    </row>
    <row r="34409" ht="14.25" customHeight="1">
      <c r="A34409" s="740"/>
    </row>
    <row r="34410" ht="14.25" customHeight="1">
      <c r="A34410" s="740"/>
    </row>
    <row r="34411" ht="14.25" customHeight="1">
      <c r="A34411" s="740"/>
    </row>
    <row r="34412" ht="14.25" customHeight="1">
      <c r="A34412" s="740"/>
    </row>
    <row r="34413" ht="14.25" customHeight="1">
      <c r="A34413" s="740"/>
    </row>
    <row r="34414" ht="14.25" customHeight="1">
      <c r="A34414" s="740"/>
    </row>
    <row r="34415" ht="14.25" customHeight="1">
      <c r="A34415" s="740"/>
    </row>
    <row r="34416" ht="14.25" customHeight="1">
      <c r="A34416" s="740"/>
    </row>
    <row r="34417" ht="14.25" customHeight="1">
      <c r="A34417" s="740"/>
    </row>
    <row r="34418" ht="14.25" customHeight="1">
      <c r="A34418" s="740"/>
    </row>
    <row r="34419" ht="14.25" customHeight="1">
      <c r="A34419" s="740"/>
    </row>
    <row r="34420" ht="14.25" customHeight="1">
      <c r="A34420" s="740"/>
    </row>
    <row r="34421" ht="14.25" customHeight="1">
      <c r="A34421" s="740"/>
    </row>
    <row r="34422" ht="14.25" customHeight="1">
      <c r="A34422" s="740"/>
    </row>
    <row r="34423" ht="14.25" customHeight="1">
      <c r="A34423" s="740"/>
    </row>
    <row r="34424" ht="14.25" customHeight="1">
      <c r="A34424" s="740"/>
    </row>
    <row r="34425" ht="14.25" customHeight="1">
      <c r="A34425" s="740"/>
    </row>
    <row r="34426" ht="14.25" customHeight="1">
      <c r="A34426" s="740"/>
    </row>
    <row r="34427" ht="14.25" customHeight="1">
      <c r="A34427" s="740"/>
    </row>
    <row r="34428" ht="14.25" customHeight="1">
      <c r="A34428" s="740"/>
    </row>
    <row r="34429" ht="14.25" customHeight="1">
      <c r="A34429" s="740"/>
    </row>
    <row r="34430" ht="14.25" customHeight="1">
      <c r="A34430" s="740"/>
    </row>
    <row r="34431" ht="14.25" customHeight="1">
      <c r="A34431" s="740"/>
    </row>
    <row r="34432" ht="14.25" customHeight="1">
      <c r="A34432" s="740"/>
    </row>
    <row r="34433" ht="14.25" customHeight="1">
      <c r="A34433" s="740"/>
    </row>
    <row r="34434" ht="14.25" customHeight="1">
      <c r="A34434" s="740"/>
    </row>
    <row r="34435" ht="14.25" customHeight="1">
      <c r="A34435" s="740"/>
    </row>
    <row r="34436" ht="14.25" customHeight="1">
      <c r="A34436" s="740"/>
    </row>
    <row r="34437" ht="14.25" customHeight="1">
      <c r="A34437" s="740"/>
    </row>
    <row r="34438" ht="14.25" customHeight="1">
      <c r="A34438" s="740"/>
    </row>
    <row r="34439" ht="14.25" customHeight="1">
      <c r="A34439" s="740"/>
    </row>
    <row r="34440" ht="14.25" customHeight="1">
      <c r="A34440" s="740"/>
    </row>
    <row r="34441" ht="14.25" customHeight="1">
      <c r="A34441" s="740"/>
    </row>
    <row r="34442" ht="14.25" customHeight="1">
      <c r="A34442" s="740"/>
    </row>
    <row r="34443" ht="14.25" customHeight="1">
      <c r="A34443" s="740"/>
    </row>
    <row r="34444" ht="14.25" customHeight="1">
      <c r="A34444" s="740"/>
    </row>
    <row r="34445" ht="14.25" customHeight="1">
      <c r="A34445" s="740"/>
    </row>
    <row r="34446" ht="14.25" customHeight="1">
      <c r="A34446" s="740"/>
    </row>
    <row r="34447" ht="14.25" customHeight="1">
      <c r="A34447" s="740"/>
    </row>
    <row r="34448" ht="14.25" customHeight="1">
      <c r="A34448" s="740"/>
    </row>
    <row r="34449" ht="14.25" customHeight="1">
      <c r="A34449" s="740"/>
    </row>
    <row r="34450" ht="14.25" customHeight="1">
      <c r="A34450" s="740"/>
    </row>
    <row r="34451" ht="14.25" customHeight="1">
      <c r="A34451" s="740"/>
    </row>
    <row r="34452" ht="14.25" customHeight="1">
      <c r="A34452" s="740"/>
    </row>
    <row r="34453" ht="14.25" customHeight="1">
      <c r="A34453" s="740"/>
    </row>
    <row r="34454" ht="14.25" customHeight="1">
      <c r="A34454" s="740"/>
    </row>
    <row r="34455" ht="14.25" customHeight="1">
      <c r="A34455" s="740"/>
    </row>
    <row r="34456" ht="14.25" customHeight="1">
      <c r="A34456" s="740"/>
    </row>
    <row r="34457" ht="14.25" customHeight="1">
      <c r="A34457" s="740"/>
    </row>
    <row r="34458" ht="14.25" customHeight="1">
      <c r="A34458" s="740"/>
    </row>
    <row r="34459" ht="14.25" customHeight="1">
      <c r="A34459" s="740"/>
    </row>
    <row r="34460" ht="14.25" customHeight="1">
      <c r="A34460" s="740"/>
    </row>
    <row r="34461" ht="14.25" customHeight="1">
      <c r="A34461" s="740"/>
    </row>
    <row r="34462" ht="14.25" customHeight="1">
      <c r="A34462" s="740"/>
    </row>
    <row r="34463" ht="14.25" customHeight="1">
      <c r="A34463" s="740"/>
    </row>
    <row r="34464" ht="14.25" customHeight="1">
      <c r="A34464" s="740"/>
    </row>
    <row r="34465" ht="14.25" customHeight="1">
      <c r="A34465" s="740"/>
    </row>
    <row r="34466" ht="14.25" customHeight="1">
      <c r="A34466" s="740"/>
    </row>
    <row r="34467" ht="14.25" customHeight="1">
      <c r="A34467" s="740"/>
    </row>
    <row r="34468" ht="14.25" customHeight="1">
      <c r="A34468" s="740"/>
    </row>
    <row r="34469" ht="14.25" customHeight="1">
      <c r="A34469" s="740"/>
    </row>
    <row r="34470" ht="14.25" customHeight="1">
      <c r="A34470" s="740"/>
    </row>
    <row r="34471" ht="14.25" customHeight="1">
      <c r="A34471" s="740"/>
    </row>
    <row r="34472" ht="14.25" customHeight="1">
      <c r="A34472" s="740"/>
    </row>
    <row r="34473" ht="14.25" customHeight="1">
      <c r="A34473" s="740"/>
    </row>
    <row r="34474" ht="14.25" customHeight="1">
      <c r="A34474" s="740"/>
    </row>
    <row r="34475" ht="14.25" customHeight="1">
      <c r="A34475" s="740"/>
    </row>
    <row r="34476" ht="14.25" customHeight="1">
      <c r="A34476" s="740"/>
    </row>
    <row r="34477" ht="14.25" customHeight="1">
      <c r="A34477" s="740"/>
    </row>
    <row r="34478" ht="14.25" customHeight="1">
      <c r="A34478" s="740"/>
    </row>
    <row r="34479" ht="14.25" customHeight="1">
      <c r="A34479" s="740"/>
    </row>
    <row r="34480" ht="14.25" customHeight="1">
      <c r="A34480" s="740"/>
    </row>
    <row r="34481" ht="14.25" customHeight="1">
      <c r="A34481" s="740"/>
    </row>
    <row r="34482" ht="14.25" customHeight="1">
      <c r="A34482" s="740"/>
    </row>
    <row r="34483" ht="14.25" customHeight="1">
      <c r="A34483" s="740"/>
    </row>
    <row r="34484" ht="14.25" customHeight="1">
      <c r="A34484" s="740"/>
    </row>
    <row r="34485" ht="14.25" customHeight="1">
      <c r="A34485" s="740"/>
    </row>
    <row r="34486" ht="14.25" customHeight="1">
      <c r="A34486" s="740"/>
    </row>
    <row r="34487" ht="14.25" customHeight="1">
      <c r="A34487" s="740"/>
    </row>
    <row r="34488" ht="14.25" customHeight="1">
      <c r="A34488" s="740"/>
    </row>
    <row r="34489" ht="14.25" customHeight="1">
      <c r="A34489" s="740"/>
    </row>
    <row r="34490" ht="14.25" customHeight="1">
      <c r="A34490" s="740"/>
    </row>
    <row r="34491" ht="14.25" customHeight="1">
      <c r="A34491" s="740"/>
    </row>
    <row r="34492" ht="14.25" customHeight="1">
      <c r="A34492" s="740"/>
    </row>
    <row r="34493" ht="14.25" customHeight="1">
      <c r="A34493" s="740"/>
    </row>
    <row r="34494" ht="14.25" customHeight="1">
      <c r="A34494" s="740"/>
    </row>
    <row r="34495" ht="14.25" customHeight="1">
      <c r="A34495" s="740"/>
    </row>
    <row r="34496" ht="14.25" customHeight="1">
      <c r="A34496" s="740"/>
    </row>
    <row r="34497" ht="14.25" customHeight="1">
      <c r="A34497" s="740"/>
    </row>
    <row r="34498" ht="14.25" customHeight="1">
      <c r="A34498" s="740"/>
    </row>
    <row r="34499" ht="14.25" customHeight="1">
      <c r="A34499" s="740"/>
    </row>
    <row r="34500" ht="14.25" customHeight="1">
      <c r="A34500" s="740"/>
    </row>
    <row r="34501" ht="14.25" customHeight="1">
      <c r="A34501" s="740"/>
    </row>
    <row r="34502" ht="14.25" customHeight="1">
      <c r="A34502" s="740"/>
    </row>
    <row r="34503" ht="14.25" customHeight="1">
      <c r="A34503" s="740"/>
    </row>
    <row r="34504" ht="14.25" customHeight="1">
      <c r="A34504" s="740"/>
    </row>
    <row r="34505" ht="14.25" customHeight="1">
      <c r="A34505" s="740"/>
    </row>
    <row r="34506" ht="14.25" customHeight="1">
      <c r="A34506" s="740"/>
    </row>
    <row r="34507" ht="14.25" customHeight="1">
      <c r="A34507" s="740"/>
    </row>
    <row r="34508" ht="14.25" customHeight="1">
      <c r="A34508" s="740"/>
    </row>
    <row r="34509" ht="14.25" customHeight="1">
      <c r="A34509" s="740"/>
    </row>
    <row r="34510" ht="14.25" customHeight="1">
      <c r="A34510" s="740"/>
    </row>
    <row r="34511" ht="14.25" customHeight="1">
      <c r="A34511" s="740"/>
    </row>
    <row r="34512" ht="14.25" customHeight="1">
      <c r="A34512" s="740"/>
    </row>
    <row r="34513" ht="14.25" customHeight="1">
      <c r="A34513" s="740"/>
    </row>
    <row r="34514" ht="14.25" customHeight="1">
      <c r="A34514" s="740"/>
    </row>
    <row r="34515" ht="14.25" customHeight="1">
      <c r="A34515" s="740"/>
    </row>
    <row r="34516" ht="14.25" customHeight="1">
      <c r="A34516" s="740"/>
    </row>
    <row r="34517" ht="14.25" customHeight="1">
      <c r="A34517" s="740"/>
    </row>
    <row r="34518" ht="14.25" customHeight="1">
      <c r="A34518" s="740"/>
    </row>
    <row r="34519" ht="14.25" customHeight="1">
      <c r="A34519" s="740"/>
    </row>
    <row r="34520" ht="14.25" customHeight="1">
      <c r="A34520" s="740"/>
    </row>
    <row r="34521" ht="14.25" customHeight="1">
      <c r="A34521" s="740"/>
    </row>
    <row r="34522" ht="14.25" customHeight="1">
      <c r="A34522" s="740"/>
    </row>
    <row r="34523" ht="14.25" customHeight="1">
      <c r="A34523" s="740"/>
    </row>
    <row r="34524" ht="14.25" customHeight="1">
      <c r="A34524" s="740"/>
    </row>
    <row r="34525" ht="14.25" customHeight="1">
      <c r="A34525" s="740"/>
    </row>
    <row r="34526" ht="14.25" customHeight="1">
      <c r="A34526" s="740"/>
    </row>
    <row r="34527" ht="14.25" customHeight="1">
      <c r="A34527" s="740"/>
    </row>
    <row r="34528" ht="14.25" customHeight="1">
      <c r="A34528" s="740"/>
    </row>
    <row r="34529" ht="14.25" customHeight="1">
      <c r="A34529" s="740"/>
    </row>
    <row r="34530" ht="14.25" customHeight="1">
      <c r="A34530" s="740"/>
    </row>
    <row r="34531" ht="14.25" customHeight="1">
      <c r="A34531" s="740"/>
    </row>
    <row r="34532" ht="14.25" customHeight="1">
      <c r="A34532" s="740"/>
    </row>
    <row r="34533" ht="14.25" customHeight="1">
      <c r="A34533" s="740"/>
    </row>
    <row r="34534" ht="14.25" customHeight="1">
      <c r="A34534" s="740"/>
    </row>
    <row r="34535" ht="14.25" customHeight="1">
      <c r="A34535" s="740"/>
    </row>
    <row r="34536" ht="14.25" customHeight="1">
      <c r="A34536" s="740"/>
    </row>
    <row r="34537" ht="14.25" customHeight="1">
      <c r="A34537" s="740"/>
    </row>
    <row r="34538" ht="14.25" customHeight="1">
      <c r="A34538" s="740"/>
    </row>
    <row r="34539" ht="14.25" customHeight="1">
      <c r="A34539" s="740"/>
    </row>
    <row r="34540" ht="14.25" customHeight="1">
      <c r="A34540" s="740"/>
    </row>
    <row r="34541" ht="14.25" customHeight="1">
      <c r="A34541" s="740"/>
    </row>
    <row r="34542" ht="14.25" customHeight="1">
      <c r="A34542" s="740"/>
    </row>
    <row r="34543" ht="14.25" customHeight="1">
      <c r="A34543" s="740"/>
    </row>
    <row r="34544" ht="14.25" customHeight="1">
      <c r="A34544" s="740"/>
    </row>
    <row r="34545" ht="14.25" customHeight="1">
      <c r="A34545" s="740"/>
    </row>
    <row r="34546" ht="14.25" customHeight="1">
      <c r="A34546" s="740"/>
    </row>
    <row r="34547" ht="14.25" customHeight="1">
      <c r="A34547" s="740"/>
    </row>
    <row r="34548" ht="14.25" customHeight="1">
      <c r="A34548" s="740"/>
    </row>
    <row r="34549" ht="14.25" customHeight="1">
      <c r="A34549" s="740"/>
    </row>
    <row r="34550" ht="14.25" customHeight="1">
      <c r="A34550" s="740"/>
    </row>
    <row r="34551" ht="14.25" customHeight="1">
      <c r="A34551" s="740"/>
    </row>
    <row r="34552" ht="14.25" customHeight="1">
      <c r="A34552" s="740"/>
    </row>
    <row r="34553" ht="14.25" customHeight="1">
      <c r="A34553" s="740"/>
    </row>
    <row r="34554" ht="14.25" customHeight="1">
      <c r="A34554" s="740"/>
    </row>
    <row r="34555" ht="14.25" customHeight="1">
      <c r="A34555" s="740"/>
    </row>
    <row r="34556" ht="14.25" customHeight="1">
      <c r="A34556" s="740"/>
    </row>
    <row r="34557" ht="14.25" customHeight="1">
      <c r="A34557" s="740"/>
    </row>
    <row r="34558" ht="14.25" customHeight="1">
      <c r="A34558" s="740"/>
    </row>
    <row r="34559" ht="14.25" customHeight="1">
      <c r="A34559" s="740"/>
    </row>
    <row r="34560" ht="14.25" customHeight="1">
      <c r="A34560" s="740"/>
    </row>
    <row r="34561" ht="14.25" customHeight="1">
      <c r="A34561" s="740"/>
    </row>
    <row r="34562" ht="14.25" customHeight="1">
      <c r="A34562" s="740"/>
    </row>
    <row r="34563" ht="14.25" customHeight="1">
      <c r="A34563" s="740"/>
    </row>
    <row r="34564" ht="14.25" customHeight="1">
      <c r="A34564" s="740"/>
    </row>
    <row r="34565" ht="14.25" customHeight="1">
      <c r="A34565" s="740"/>
    </row>
    <row r="34566" ht="14.25" customHeight="1">
      <c r="A34566" s="740"/>
    </row>
    <row r="34567" ht="14.25" customHeight="1">
      <c r="A34567" s="740"/>
    </row>
    <row r="34568" ht="14.25" customHeight="1">
      <c r="A34568" s="740"/>
    </row>
    <row r="34569" ht="14.25" customHeight="1">
      <c r="A34569" s="740"/>
    </row>
    <row r="34570" ht="14.25" customHeight="1">
      <c r="A34570" s="740"/>
    </row>
    <row r="34571" ht="14.25" customHeight="1">
      <c r="A34571" s="740"/>
    </row>
    <row r="34572" ht="14.25" customHeight="1">
      <c r="A34572" s="740"/>
    </row>
    <row r="34573" ht="14.25" customHeight="1">
      <c r="A34573" s="740"/>
    </row>
    <row r="34574" ht="14.25" customHeight="1">
      <c r="A34574" s="740"/>
    </row>
    <row r="34575" ht="14.25" customHeight="1">
      <c r="A34575" s="740"/>
    </row>
    <row r="34576" ht="14.25" customHeight="1">
      <c r="A34576" s="740"/>
    </row>
    <row r="34577" ht="14.25" customHeight="1">
      <c r="A34577" s="740"/>
    </row>
    <row r="34578" ht="14.25" customHeight="1">
      <c r="A34578" s="740"/>
    </row>
    <row r="34579" ht="14.25" customHeight="1">
      <c r="A34579" s="740"/>
    </row>
    <row r="34580" ht="14.25" customHeight="1">
      <c r="A34580" s="740"/>
    </row>
    <row r="34581" ht="14.25" customHeight="1">
      <c r="A34581" s="740"/>
    </row>
    <row r="34582" ht="14.25" customHeight="1">
      <c r="A34582" s="740"/>
    </row>
    <row r="34583" ht="14.25" customHeight="1">
      <c r="A34583" s="740"/>
    </row>
    <row r="34584" ht="14.25" customHeight="1">
      <c r="A34584" s="740"/>
    </row>
    <row r="34585" ht="14.25" customHeight="1">
      <c r="A34585" s="740"/>
    </row>
    <row r="34586" ht="14.25" customHeight="1">
      <c r="A34586" s="740"/>
    </row>
    <row r="34587" ht="14.25" customHeight="1">
      <c r="A34587" s="740"/>
    </row>
    <row r="34588" ht="14.25" customHeight="1">
      <c r="A34588" s="740"/>
    </row>
    <row r="34589" ht="14.25" customHeight="1">
      <c r="A34589" s="740"/>
    </row>
    <row r="34590" ht="14.25" customHeight="1">
      <c r="A34590" s="740"/>
    </row>
    <row r="34591" ht="14.25" customHeight="1">
      <c r="A34591" s="740"/>
    </row>
    <row r="34592" ht="14.25" customHeight="1">
      <c r="A34592" s="740"/>
    </row>
    <row r="34593" ht="14.25" customHeight="1">
      <c r="A34593" s="740"/>
    </row>
    <row r="34594" ht="14.25" customHeight="1">
      <c r="A34594" s="740"/>
    </row>
    <row r="34595" ht="14.25" customHeight="1">
      <c r="A34595" s="740"/>
    </row>
    <row r="34596" ht="14.25" customHeight="1">
      <c r="A34596" s="740"/>
    </row>
    <row r="34597" ht="14.25" customHeight="1">
      <c r="A34597" s="740"/>
    </row>
    <row r="34598" ht="14.25" customHeight="1">
      <c r="A34598" s="740"/>
    </row>
    <row r="34599" ht="14.25" customHeight="1">
      <c r="A34599" s="740"/>
    </row>
    <row r="34600" ht="14.25" customHeight="1">
      <c r="A34600" s="740"/>
    </row>
    <row r="34601" ht="14.25" customHeight="1">
      <c r="A34601" s="740"/>
    </row>
    <row r="34602" ht="14.25" customHeight="1">
      <c r="A34602" s="740"/>
    </row>
    <row r="34603" ht="14.25" customHeight="1">
      <c r="A34603" s="740"/>
    </row>
    <row r="34604" ht="14.25" customHeight="1">
      <c r="A34604" s="740"/>
    </row>
    <row r="34605" ht="14.25" customHeight="1">
      <c r="A34605" s="740"/>
    </row>
    <row r="34606" ht="14.25" customHeight="1">
      <c r="A34606" s="740"/>
    </row>
    <row r="34607" ht="14.25" customHeight="1">
      <c r="A34607" s="740"/>
    </row>
    <row r="34608" ht="14.25" customHeight="1">
      <c r="A34608" s="740"/>
    </row>
    <row r="34609" ht="14.25" customHeight="1">
      <c r="A34609" s="740"/>
    </row>
    <row r="34610" ht="14.25" customHeight="1">
      <c r="A34610" s="740"/>
    </row>
    <row r="34611" ht="14.25" customHeight="1">
      <c r="A34611" s="740"/>
    </row>
    <row r="34612" ht="14.25" customHeight="1">
      <c r="A34612" s="740"/>
    </row>
    <row r="34613" ht="14.25" customHeight="1">
      <c r="A34613" s="740"/>
    </row>
    <row r="34614" ht="14.25" customHeight="1">
      <c r="A34614" s="740"/>
    </row>
    <row r="34615" ht="14.25" customHeight="1">
      <c r="A34615" s="740"/>
    </row>
    <row r="34616" ht="14.25" customHeight="1">
      <c r="A34616" s="740"/>
    </row>
    <row r="34617" ht="14.25" customHeight="1">
      <c r="A34617" s="740"/>
    </row>
    <row r="34618" ht="14.25" customHeight="1">
      <c r="A34618" s="740"/>
    </row>
    <row r="34619" ht="14.25" customHeight="1">
      <c r="A34619" s="740"/>
    </row>
    <row r="34620" ht="14.25" customHeight="1">
      <c r="A34620" s="740"/>
    </row>
    <row r="34621" ht="14.25" customHeight="1">
      <c r="A34621" s="740"/>
    </row>
    <row r="34622" ht="14.25" customHeight="1">
      <c r="A34622" s="740"/>
    </row>
    <row r="34623" ht="14.25" customHeight="1">
      <c r="A34623" s="740"/>
    </row>
    <row r="34624" ht="14.25" customHeight="1">
      <c r="A34624" s="740"/>
    </row>
    <row r="34625" ht="14.25" customHeight="1">
      <c r="A34625" s="740"/>
    </row>
    <row r="34626" ht="14.25" customHeight="1">
      <c r="A34626" s="740"/>
    </row>
    <row r="34627" ht="14.25" customHeight="1">
      <c r="A34627" s="740"/>
    </row>
    <row r="34628" ht="14.25" customHeight="1">
      <c r="A34628" s="740"/>
    </row>
    <row r="34629" ht="14.25" customHeight="1">
      <c r="A34629" s="740"/>
    </row>
    <row r="34630" ht="14.25" customHeight="1">
      <c r="A34630" s="740"/>
    </row>
    <row r="34631" ht="14.25" customHeight="1">
      <c r="A34631" s="740"/>
    </row>
    <row r="34632" ht="14.25" customHeight="1">
      <c r="A34632" s="740"/>
    </row>
    <row r="34633" ht="14.25" customHeight="1">
      <c r="A34633" s="740"/>
    </row>
    <row r="34634" ht="14.25" customHeight="1">
      <c r="A34634" s="740"/>
    </row>
    <row r="34635" ht="14.25" customHeight="1">
      <c r="A34635" s="740"/>
    </row>
    <row r="34636" ht="14.25" customHeight="1">
      <c r="A34636" s="740"/>
    </row>
    <row r="34637" ht="14.25" customHeight="1">
      <c r="A34637" s="740"/>
    </row>
    <row r="34638" ht="14.25" customHeight="1">
      <c r="A34638" s="740"/>
    </row>
    <row r="34639" ht="14.25" customHeight="1">
      <c r="A34639" s="740"/>
    </row>
    <row r="34640" ht="14.25" customHeight="1">
      <c r="A34640" s="740"/>
    </row>
    <row r="34641" ht="14.25" customHeight="1">
      <c r="A34641" s="740"/>
    </row>
    <row r="34642" ht="14.25" customHeight="1">
      <c r="A34642" s="740"/>
    </row>
    <row r="34643" ht="14.25" customHeight="1">
      <c r="A34643" s="740"/>
    </row>
    <row r="34644" ht="14.25" customHeight="1">
      <c r="A34644" s="740"/>
    </row>
    <row r="34645" ht="14.25" customHeight="1">
      <c r="A34645" s="740"/>
    </row>
    <row r="34646" ht="14.25" customHeight="1">
      <c r="A34646" s="740"/>
    </row>
    <row r="34647" ht="14.25" customHeight="1">
      <c r="A34647" s="740"/>
    </row>
    <row r="34648" ht="14.25" customHeight="1">
      <c r="A34648" s="740"/>
    </row>
    <row r="34649" ht="14.25" customHeight="1">
      <c r="A34649" s="740"/>
    </row>
    <row r="34650" ht="14.25" customHeight="1">
      <c r="A34650" s="740"/>
    </row>
    <row r="34651" ht="14.25" customHeight="1">
      <c r="A34651" s="740"/>
    </row>
    <row r="34652" ht="14.25" customHeight="1">
      <c r="A34652" s="740"/>
    </row>
    <row r="34653" ht="14.25" customHeight="1">
      <c r="A34653" s="740"/>
    </row>
    <row r="34654" ht="14.25" customHeight="1">
      <c r="A34654" s="740"/>
    </row>
    <row r="34655" ht="14.25" customHeight="1">
      <c r="A34655" s="740"/>
    </row>
    <row r="34656" ht="14.25" customHeight="1">
      <c r="A34656" s="740"/>
    </row>
    <row r="34657" ht="14.25" customHeight="1">
      <c r="A34657" s="740"/>
    </row>
    <row r="34658" ht="14.25" customHeight="1">
      <c r="A34658" s="740"/>
    </row>
    <row r="34659" ht="14.25" customHeight="1">
      <c r="A34659" s="740"/>
    </row>
    <row r="34660" ht="14.25" customHeight="1">
      <c r="A34660" s="740"/>
    </row>
    <row r="34661" ht="14.25" customHeight="1">
      <c r="A34661" s="740"/>
    </row>
    <row r="34662" ht="14.25" customHeight="1">
      <c r="A34662" s="740"/>
    </row>
    <row r="34663" ht="14.25" customHeight="1">
      <c r="A34663" s="740"/>
    </row>
    <row r="34664" ht="14.25" customHeight="1">
      <c r="A34664" s="740"/>
    </row>
    <row r="34665" ht="14.25" customHeight="1">
      <c r="A34665" s="740"/>
    </row>
    <row r="34666" ht="14.25" customHeight="1">
      <c r="A34666" s="740"/>
    </row>
    <row r="34667" ht="14.25" customHeight="1">
      <c r="A34667" s="740"/>
    </row>
    <row r="34668" ht="14.25" customHeight="1">
      <c r="A34668" s="740"/>
    </row>
    <row r="34669" ht="14.25" customHeight="1">
      <c r="A34669" s="740"/>
    </row>
    <row r="34670" ht="14.25" customHeight="1">
      <c r="A34670" s="740"/>
    </row>
    <row r="34671" ht="14.25" customHeight="1">
      <c r="A34671" s="740"/>
    </row>
    <row r="34672" ht="14.25" customHeight="1">
      <c r="A34672" s="740"/>
    </row>
    <row r="34673" ht="14.25" customHeight="1">
      <c r="A34673" s="740"/>
    </row>
    <row r="34674" ht="14.25" customHeight="1">
      <c r="A34674" s="740"/>
    </row>
    <row r="34675" ht="14.25" customHeight="1">
      <c r="A34675" s="740"/>
    </row>
    <row r="34676" ht="14.25" customHeight="1">
      <c r="A34676" s="740"/>
    </row>
    <row r="34677" ht="14.25" customHeight="1">
      <c r="A34677" s="740"/>
    </row>
    <row r="34678" ht="14.25" customHeight="1">
      <c r="A34678" s="740"/>
    </row>
    <row r="34679" ht="14.25" customHeight="1">
      <c r="A34679" s="740"/>
    </row>
    <row r="34680" ht="14.25" customHeight="1">
      <c r="A34680" s="740"/>
    </row>
    <row r="34681" ht="14.25" customHeight="1">
      <c r="A34681" s="740"/>
    </row>
    <row r="34682" ht="14.25" customHeight="1">
      <c r="A34682" s="740"/>
    </row>
    <row r="34683" ht="14.25" customHeight="1">
      <c r="A34683" s="740"/>
    </row>
    <row r="34684" ht="14.25" customHeight="1">
      <c r="A34684" s="740"/>
    </row>
    <row r="34685" ht="14.25" customHeight="1">
      <c r="A34685" s="740"/>
    </row>
    <row r="34686" ht="14.25" customHeight="1">
      <c r="A34686" s="740"/>
    </row>
    <row r="34687" ht="14.25" customHeight="1">
      <c r="A34687" s="740"/>
    </row>
    <row r="34688" ht="14.25" customHeight="1">
      <c r="A34688" s="740"/>
    </row>
    <row r="34689" ht="14.25" customHeight="1">
      <c r="A34689" s="740"/>
    </row>
    <row r="34690" ht="14.25" customHeight="1">
      <c r="A34690" s="740"/>
    </row>
    <row r="34691" ht="14.25" customHeight="1">
      <c r="A34691" s="740"/>
    </row>
    <row r="34692" ht="14.25" customHeight="1">
      <c r="A34692" s="740"/>
    </row>
    <row r="34693" ht="14.25" customHeight="1">
      <c r="A34693" s="740"/>
    </row>
    <row r="34694" ht="14.25" customHeight="1">
      <c r="A34694" s="740"/>
    </row>
    <row r="34695" ht="14.25" customHeight="1">
      <c r="A34695" s="740"/>
    </row>
    <row r="34696" ht="14.25" customHeight="1">
      <c r="A34696" s="740"/>
    </row>
    <row r="34697" ht="14.25" customHeight="1">
      <c r="A34697" s="740"/>
    </row>
    <row r="34698" ht="14.25" customHeight="1">
      <c r="A34698" s="740"/>
    </row>
    <row r="34699" ht="14.25" customHeight="1">
      <c r="A34699" s="740"/>
    </row>
    <row r="34700" ht="14.25" customHeight="1">
      <c r="A34700" s="740"/>
    </row>
    <row r="34701" ht="14.25" customHeight="1">
      <c r="A34701" s="740"/>
    </row>
    <row r="34702" ht="14.25" customHeight="1">
      <c r="A34702" s="740"/>
    </row>
    <row r="34703" ht="14.25" customHeight="1">
      <c r="A34703" s="740"/>
    </row>
    <row r="34704" ht="14.25" customHeight="1">
      <c r="A34704" s="740"/>
    </row>
    <row r="34705" ht="14.25" customHeight="1">
      <c r="A34705" s="740"/>
    </row>
    <row r="34706" ht="14.25" customHeight="1">
      <c r="A34706" s="740"/>
    </row>
    <row r="34707" ht="14.25" customHeight="1">
      <c r="A34707" s="740"/>
    </row>
    <row r="34708" ht="14.25" customHeight="1">
      <c r="A34708" s="740"/>
    </row>
    <row r="34709" ht="14.25" customHeight="1">
      <c r="A34709" s="740"/>
    </row>
    <row r="34710" ht="14.25" customHeight="1">
      <c r="A34710" s="740"/>
    </row>
    <row r="34711" ht="14.25" customHeight="1">
      <c r="A34711" s="740"/>
    </row>
    <row r="34712" ht="14.25" customHeight="1">
      <c r="A34712" s="740"/>
    </row>
    <row r="34713" ht="14.25" customHeight="1">
      <c r="A34713" s="740"/>
    </row>
    <row r="34714" ht="14.25" customHeight="1">
      <c r="A34714" s="740"/>
    </row>
    <row r="34715" ht="14.25" customHeight="1">
      <c r="A34715" s="740"/>
    </row>
    <row r="34716" ht="14.25" customHeight="1">
      <c r="A34716" s="740"/>
    </row>
    <row r="34717" ht="14.25" customHeight="1">
      <c r="A34717" s="740"/>
    </row>
    <row r="34718" ht="14.25" customHeight="1">
      <c r="A34718" s="740"/>
    </row>
    <row r="34719" ht="14.25" customHeight="1">
      <c r="A34719" s="740"/>
    </row>
    <row r="34720" ht="14.25" customHeight="1">
      <c r="A34720" s="740"/>
    </row>
    <row r="34721" ht="14.25" customHeight="1">
      <c r="A34721" s="740"/>
    </row>
    <row r="34722" ht="14.25" customHeight="1">
      <c r="A34722" s="740"/>
    </row>
    <row r="34723" ht="14.25" customHeight="1">
      <c r="A34723" s="740"/>
    </row>
    <row r="34724" ht="14.25" customHeight="1">
      <c r="A34724" s="740"/>
    </row>
    <row r="34725" ht="14.25" customHeight="1">
      <c r="A34725" s="740"/>
    </row>
    <row r="34726" ht="14.25" customHeight="1">
      <c r="A34726" s="740"/>
    </row>
    <row r="34727" ht="14.25" customHeight="1">
      <c r="A34727" s="740"/>
    </row>
    <row r="34728" ht="14.25" customHeight="1">
      <c r="A34728" s="740"/>
    </row>
    <row r="34729" ht="14.25" customHeight="1">
      <c r="A34729" s="740"/>
    </row>
    <row r="34730" ht="14.25" customHeight="1">
      <c r="A34730" s="740"/>
    </row>
    <row r="34731" ht="14.25" customHeight="1">
      <c r="A34731" s="740"/>
    </row>
    <row r="34732" ht="14.25" customHeight="1">
      <c r="A34732" s="740"/>
    </row>
    <row r="34733" ht="14.25" customHeight="1">
      <c r="A34733" s="740"/>
    </row>
    <row r="34734" ht="14.25" customHeight="1">
      <c r="A34734" s="740"/>
    </row>
    <row r="34735" ht="14.25" customHeight="1">
      <c r="A34735" s="740"/>
    </row>
    <row r="34736" ht="14.25" customHeight="1">
      <c r="A34736" s="740"/>
    </row>
    <row r="34737" ht="14.25" customHeight="1">
      <c r="A34737" s="740"/>
    </row>
    <row r="34738" ht="14.25" customHeight="1">
      <c r="A34738" s="740"/>
    </row>
    <row r="34739" ht="14.25" customHeight="1">
      <c r="A34739" s="740"/>
    </row>
    <row r="34740" ht="14.25" customHeight="1">
      <c r="A34740" s="740"/>
    </row>
    <row r="34741" ht="14.25" customHeight="1">
      <c r="A34741" s="740"/>
    </row>
    <row r="34742" ht="14.25" customHeight="1">
      <c r="A34742" s="740"/>
    </row>
    <row r="34743" ht="14.25" customHeight="1">
      <c r="A34743" s="740"/>
    </row>
    <row r="34744" ht="14.25" customHeight="1">
      <c r="A34744" s="740"/>
    </row>
    <row r="34745" ht="14.25" customHeight="1">
      <c r="A34745" s="740"/>
    </row>
    <row r="34746" ht="14.25" customHeight="1">
      <c r="A34746" s="740"/>
    </row>
    <row r="34747" ht="14.25" customHeight="1">
      <c r="A34747" s="740"/>
    </row>
    <row r="34748" ht="14.25" customHeight="1">
      <c r="A34748" s="740"/>
    </row>
    <row r="34749" ht="14.25" customHeight="1">
      <c r="A34749" s="740"/>
    </row>
    <row r="34750" ht="14.25" customHeight="1">
      <c r="A34750" s="740"/>
    </row>
    <row r="34751" ht="14.25" customHeight="1">
      <c r="A34751" s="740"/>
    </row>
    <row r="34752" ht="14.25" customHeight="1">
      <c r="A34752" s="740"/>
    </row>
    <row r="34753" ht="14.25" customHeight="1">
      <c r="A34753" s="740"/>
    </row>
    <row r="34754" ht="14.25" customHeight="1">
      <c r="A34754" s="740"/>
    </row>
    <row r="34755" ht="14.25" customHeight="1">
      <c r="A34755" s="740"/>
    </row>
    <row r="34756" ht="14.25" customHeight="1">
      <c r="A34756" s="740"/>
    </row>
    <row r="34757" ht="14.25" customHeight="1">
      <c r="A34757" s="740"/>
    </row>
    <row r="34758" ht="14.25" customHeight="1">
      <c r="A34758" s="740"/>
    </row>
    <row r="34759" ht="14.25" customHeight="1">
      <c r="A34759" s="740"/>
    </row>
    <row r="34760" ht="14.25" customHeight="1">
      <c r="A34760" s="740"/>
    </row>
    <row r="34761" ht="14.25" customHeight="1">
      <c r="A34761" s="740"/>
    </row>
    <row r="34762" ht="14.25" customHeight="1">
      <c r="A34762" s="740"/>
    </row>
    <row r="34763" ht="14.25" customHeight="1">
      <c r="A34763" s="740"/>
    </row>
    <row r="34764" ht="14.25" customHeight="1">
      <c r="A34764" s="740"/>
    </row>
    <row r="34765" ht="14.25" customHeight="1">
      <c r="A34765" s="740"/>
    </row>
    <row r="34766" ht="14.25" customHeight="1">
      <c r="A34766" s="740"/>
    </row>
    <row r="34767" ht="14.25" customHeight="1">
      <c r="A34767" s="740"/>
    </row>
    <row r="34768" ht="14.25" customHeight="1">
      <c r="A34768" s="740"/>
    </row>
    <row r="34769" ht="14.25" customHeight="1">
      <c r="A34769" s="740"/>
    </row>
    <row r="34770" ht="14.25" customHeight="1">
      <c r="A34770" s="740"/>
    </row>
    <row r="34771" ht="14.25" customHeight="1">
      <c r="A34771" s="740"/>
    </row>
    <row r="34772" ht="14.25" customHeight="1">
      <c r="A34772" s="740"/>
    </row>
    <row r="34773" ht="14.25" customHeight="1">
      <c r="A34773" s="740"/>
    </row>
    <row r="34774" ht="14.25" customHeight="1">
      <c r="A34774" s="740"/>
    </row>
    <row r="34775" ht="14.25" customHeight="1">
      <c r="A34775" s="740"/>
    </row>
    <row r="34776" ht="14.25" customHeight="1">
      <c r="A34776" s="740"/>
    </row>
    <row r="34777" ht="14.25" customHeight="1">
      <c r="A34777" s="740"/>
    </row>
    <row r="34778" ht="14.25" customHeight="1">
      <c r="A34778" s="740"/>
    </row>
    <row r="34779" ht="14.25" customHeight="1">
      <c r="A34779" s="740"/>
    </row>
    <row r="34780" ht="14.25" customHeight="1">
      <c r="A34780" s="740"/>
    </row>
    <row r="34781" ht="14.25" customHeight="1">
      <c r="A34781" s="740"/>
    </row>
    <row r="34782" ht="14.25" customHeight="1">
      <c r="A34782" s="740"/>
    </row>
    <row r="34783" ht="14.25" customHeight="1">
      <c r="A34783" s="740"/>
    </row>
    <row r="34784" ht="14.25" customHeight="1">
      <c r="A34784" s="740"/>
    </row>
    <row r="34785" ht="14.25" customHeight="1">
      <c r="A34785" s="740"/>
    </row>
    <row r="34786" ht="14.25" customHeight="1">
      <c r="A34786" s="740"/>
    </row>
    <row r="34787" ht="14.25" customHeight="1">
      <c r="A34787" s="740"/>
    </row>
    <row r="34788" ht="14.25" customHeight="1">
      <c r="A34788" s="740"/>
    </row>
    <row r="34789" ht="14.25" customHeight="1">
      <c r="A34789" s="740"/>
    </row>
    <row r="34790" ht="14.25" customHeight="1">
      <c r="A34790" s="740"/>
    </row>
    <row r="34791" ht="14.25" customHeight="1">
      <c r="A34791" s="740"/>
    </row>
    <row r="34792" ht="14.25" customHeight="1">
      <c r="A34792" s="740"/>
    </row>
    <row r="34793" ht="14.25" customHeight="1">
      <c r="A34793" s="740"/>
    </row>
    <row r="34794" ht="14.25" customHeight="1">
      <c r="A34794" s="740"/>
    </row>
    <row r="34795" ht="14.25" customHeight="1">
      <c r="A34795" s="740"/>
    </row>
    <row r="34796" ht="14.25" customHeight="1">
      <c r="A34796" s="740"/>
    </row>
    <row r="34797" ht="14.25" customHeight="1">
      <c r="A34797" s="740"/>
    </row>
    <row r="34798" ht="14.25" customHeight="1">
      <c r="A34798" s="740"/>
    </row>
    <row r="34799" ht="14.25" customHeight="1">
      <c r="A34799" s="740"/>
    </row>
    <row r="34800" ht="14.25" customHeight="1">
      <c r="A34800" s="740"/>
    </row>
    <row r="34801" ht="14.25" customHeight="1">
      <c r="A34801" s="740"/>
    </row>
    <row r="34802" ht="14.25" customHeight="1">
      <c r="A34802" s="740"/>
    </row>
    <row r="34803" ht="14.25" customHeight="1">
      <c r="A34803" s="740"/>
    </row>
    <row r="34804" ht="14.25" customHeight="1">
      <c r="A34804" s="740"/>
    </row>
    <row r="34805" ht="14.25" customHeight="1">
      <c r="A34805" s="740"/>
    </row>
    <row r="34806" ht="14.25" customHeight="1">
      <c r="A34806" s="740"/>
    </row>
    <row r="34807" ht="14.25" customHeight="1">
      <c r="A34807" s="740"/>
    </row>
    <row r="34808" ht="14.25" customHeight="1">
      <c r="A34808" s="740"/>
    </row>
    <row r="34809" ht="14.25" customHeight="1">
      <c r="A34809" s="740"/>
    </row>
    <row r="34810" ht="14.25" customHeight="1">
      <c r="A34810" s="740"/>
    </row>
    <row r="34811" ht="14.25" customHeight="1">
      <c r="A34811" s="740"/>
    </row>
    <row r="34812" ht="14.25" customHeight="1">
      <c r="A34812" s="740"/>
    </row>
    <row r="34813" ht="14.25" customHeight="1">
      <c r="A34813" s="740"/>
    </row>
    <row r="34814" ht="14.25" customHeight="1">
      <c r="A34814" s="740"/>
    </row>
    <row r="34815" ht="14.25" customHeight="1">
      <c r="A34815" s="740"/>
    </row>
    <row r="34816" ht="14.25" customHeight="1">
      <c r="A34816" s="740"/>
    </row>
    <row r="34817" ht="14.25" customHeight="1">
      <c r="A34817" s="740"/>
    </row>
    <row r="34818" ht="14.25" customHeight="1">
      <c r="A34818" s="740"/>
    </row>
    <row r="34819" ht="14.25" customHeight="1">
      <c r="A34819" s="740"/>
    </row>
    <row r="34820" ht="14.25" customHeight="1">
      <c r="A34820" s="740"/>
    </row>
    <row r="34821" ht="14.25" customHeight="1">
      <c r="A34821" s="740"/>
    </row>
    <row r="34822" ht="14.25" customHeight="1">
      <c r="A34822" s="740"/>
    </row>
    <row r="34823" ht="14.25" customHeight="1">
      <c r="A34823" s="740"/>
    </row>
    <row r="34824" ht="14.25" customHeight="1">
      <c r="A34824" s="740"/>
    </row>
    <row r="34825" ht="14.25" customHeight="1">
      <c r="A34825" s="740"/>
    </row>
    <row r="34826" ht="14.25" customHeight="1">
      <c r="A34826" s="740"/>
    </row>
    <row r="34827" ht="14.25" customHeight="1">
      <c r="A34827" s="740"/>
    </row>
    <row r="34828" ht="14.25" customHeight="1">
      <c r="A34828" s="740"/>
    </row>
    <row r="34829" ht="14.25" customHeight="1">
      <c r="A34829" s="740"/>
    </row>
    <row r="34830" ht="14.25" customHeight="1">
      <c r="A34830" s="740"/>
    </row>
    <row r="34831" ht="14.25" customHeight="1">
      <c r="A34831" s="740"/>
    </row>
    <row r="34832" ht="14.25" customHeight="1">
      <c r="A34832" s="740"/>
    </row>
    <row r="34833" ht="14.25" customHeight="1">
      <c r="A34833" s="740"/>
    </row>
    <row r="34834" ht="14.25" customHeight="1">
      <c r="A34834" s="740"/>
    </row>
    <row r="34835" ht="14.25" customHeight="1">
      <c r="A34835" s="740"/>
    </row>
    <row r="34836" ht="14.25" customHeight="1">
      <c r="A34836" s="740"/>
    </row>
    <row r="34837" ht="14.25" customHeight="1">
      <c r="A34837" s="740"/>
    </row>
    <row r="34838" ht="14.25" customHeight="1">
      <c r="A34838" s="740"/>
    </row>
    <row r="34839" ht="14.25" customHeight="1">
      <c r="A34839" s="740"/>
    </row>
    <row r="34840" ht="14.25" customHeight="1">
      <c r="A34840" s="740"/>
    </row>
    <row r="34841" ht="14.25" customHeight="1">
      <c r="A34841" s="740"/>
    </row>
    <row r="34842" ht="14.25" customHeight="1">
      <c r="A34842" s="740"/>
    </row>
    <row r="34843" ht="14.25" customHeight="1">
      <c r="A34843" s="740"/>
    </row>
    <row r="34844" ht="14.25" customHeight="1">
      <c r="A34844" s="740"/>
    </row>
    <row r="34845" ht="14.25" customHeight="1">
      <c r="A34845" s="740"/>
    </row>
    <row r="34846" ht="14.25" customHeight="1">
      <c r="A34846" s="740"/>
    </row>
    <row r="34847" ht="14.25" customHeight="1">
      <c r="A34847" s="740"/>
    </row>
    <row r="34848" ht="14.25" customHeight="1">
      <c r="A34848" s="740"/>
    </row>
    <row r="34849" ht="14.25" customHeight="1">
      <c r="A34849" s="740"/>
    </row>
    <row r="34850" ht="14.25" customHeight="1">
      <c r="A34850" s="740"/>
    </row>
    <row r="34851" ht="14.25" customHeight="1">
      <c r="A34851" s="740"/>
    </row>
    <row r="34852" ht="14.25" customHeight="1">
      <c r="A34852" s="740"/>
    </row>
    <row r="34853" ht="14.25" customHeight="1">
      <c r="A34853" s="740"/>
    </row>
    <row r="34854" ht="14.25" customHeight="1">
      <c r="A34854" s="740"/>
    </row>
    <row r="34855" ht="14.25" customHeight="1">
      <c r="A34855" s="740"/>
    </row>
    <row r="34856" ht="14.25" customHeight="1">
      <c r="A34856" s="740"/>
    </row>
    <row r="34857" ht="14.25" customHeight="1">
      <c r="A34857" s="740"/>
    </row>
    <row r="34858" ht="14.25" customHeight="1">
      <c r="A34858" s="740"/>
    </row>
    <row r="34859" ht="14.25" customHeight="1">
      <c r="A34859" s="740"/>
    </row>
    <row r="34860" ht="14.25" customHeight="1">
      <c r="A34860" s="740"/>
    </row>
    <row r="34861" ht="14.25" customHeight="1">
      <c r="A34861" s="740"/>
    </row>
    <row r="34862" ht="14.25" customHeight="1">
      <c r="A34862" s="740"/>
    </row>
    <row r="34863" ht="14.25" customHeight="1">
      <c r="A34863" s="740"/>
    </row>
    <row r="34864" ht="14.25" customHeight="1">
      <c r="A34864" s="740"/>
    </row>
    <row r="34865" ht="14.25" customHeight="1">
      <c r="A34865" s="740"/>
    </row>
    <row r="34866" ht="14.25" customHeight="1">
      <c r="A34866" s="740"/>
    </row>
    <row r="34867" ht="14.25" customHeight="1">
      <c r="A34867" s="740"/>
    </row>
    <row r="34868" ht="14.25" customHeight="1">
      <c r="A34868" s="740"/>
    </row>
    <row r="34869" ht="14.25" customHeight="1">
      <c r="A34869" s="740"/>
    </row>
    <row r="34870" ht="14.25" customHeight="1">
      <c r="A34870" s="740"/>
    </row>
    <row r="34871" ht="14.25" customHeight="1">
      <c r="A34871" s="740"/>
    </row>
    <row r="34872" ht="14.25" customHeight="1">
      <c r="A34872" s="740"/>
    </row>
    <row r="34873" ht="14.25" customHeight="1">
      <c r="A34873" s="740"/>
    </row>
    <row r="34874" ht="14.25" customHeight="1">
      <c r="A34874" s="740"/>
    </row>
    <row r="34875" ht="14.25" customHeight="1">
      <c r="A34875" s="740"/>
    </row>
    <row r="34876" ht="14.25" customHeight="1">
      <c r="A34876" s="740"/>
    </row>
    <row r="34877" ht="14.25" customHeight="1">
      <c r="A34877" s="740"/>
    </row>
    <row r="34878" ht="14.25" customHeight="1">
      <c r="A34878" s="740"/>
    </row>
    <row r="34879" ht="14.25" customHeight="1">
      <c r="A34879" s="740"/>
    </row>
    <row r="34880" ht="14.25" customHeight="1">
      <c r="A34880" s="740"/>
    </row>
    <row r="34881" ht="14.25" customHeight="1">
      <c r="A34881" s="740"/>
    </row>
    <row r="34882" ht="14.25" customHeight="1">
      <c r="A34882" s="740"/>
    </row>
    <row r="34883" ht="14.25" customHeight="1">
      <c r="A34883" s="740"/>
    </row>
    <row r="34884" ht="14.25" customHeight="1">
      <c r="A34884" s="740"/>
    </row>
    <row r="34885" ht="14.25" customHeight="1">
      <c r="A34885" s="740"/>
    </row>
    <row r="34886" ht="14.25" customHeight="1">
      <c r="A34886" s="740"/>
    </row>
    <row r="34887" ht="14.25" customHeight="1">
      <c r="A34887" s="740"/>
    </row>
    <row r="34888" ht="14.25" customHeight="1">
      <c r="A34888" s="740"/>
    </row>
    <row r="34889" ht="14.25" customHeight="1">
      <c r="A34889" s="740"/>
    </row>
    <row r="34890" ht="14.25" customHeight="1">
      <c r="A34890" s="740"/>
    </row>
    <row r="34891" ht="14.25" customHeight="1">
      <c r="A34891" s="740"/>
    </row>
    <row r="34892" ht="14.25" customHeight="1">
      <c r="A34892" s="740"/>
    </row>
    <row r="34893" ht="14.25" customHeight="1">
      <c r="A34893" s="740"/>
    </row>
    <row r="34894" ht="14.25" customHeight="1">
      <c r="A34894" s="740"/>
    </row>
    <row r="34895" ht="14.25" customHeight="1">
      <c r="A34895" s="740"/>
    </row>
    <row r="34896" ht="14.25" customHeight="1">
      <c r="A34896" s="740"/>
    </row>
    <row r="34897" ht="14.25" customHeight="1">
      <c r="A34897" s="740"/>
    </row>
    <row r="34898" ht="14.25" customHeight="1">
      <c r="A34898" s="740"/>
    </row>
    <row r="34899" ht="14.25" customHeight="1">
      <c r="A34899" s="740"/>
    </row>
    <row r="34900" ht="14.25" customHeight="1">
      <c r="A34900" s="740"/>
    </row>
    <row r="34901" ht="14.25" customHeight="1">
      <c r="A34901" s="740"/>
    </row>
    <row r="34902" ht="14.25" customHeight="1">
      <c r="A34902" s="740"/>
    </row>
    <row r="34903" ht="14.25" customHeight="1">
      <c r="A34903" s="740"/>
    </row>
    <row r="34904" ht="14.25" customHeight="1">
      <c r="A34904" s="740"/>
    </row>
    <row r="34905" ht="14.25" customHeight="1">
      <c r="A34905" s="740"/>
    </row>
    <row r="34906" ht="14.25" customHeight="1">
      <c r="A34906" s="740"/>
    </row>
    <row r="34907" ht="14.25" customHeight="1">
      <c r="A34907" s="740"/>
    </row>
    <row r="34908" ht="14.25" customHeight="1">
      <c r="A34908" s="740"/>
    </row>
    <row r="34909" ht="14.25" customHeight="1">
      <c r="A34909" s="740"/>
    </row>
    <row r="34910" ht="14.25" customHeight="1">
      <c r="A34910" s="740"/>
    </row>
    <row r="34911" ht="14.25" customHeight="1">
      <c r="A34911" s="740"/>
    </row>
    <row r="34912" ht="14.25" customHeight="1">
      <c r="A34912" s="740"/>
    </row>
    <row r="34913" ht="14.25" customHeight="1">
      <c r="A34913" s="740"/>
    </row>
    <row r="34914" ht="14.25" customHeight="1">
      <c r="A34914" s="740"/>
    </row>
    <row r="34915" ht="14.25" customHeight="1">
      <c r="A34915" s="740"/>
    </row>
    <row r="34916" ht="14.25" customHeight="1">
      <c r="A34916" s="740"/>
    </row>
    <row r="34917" ht="14.25" customHeight="1">
      <c r="A34917" s="740"/>
    </row>
    <row r="34918" ht="14.25" customHeight="1">
      <c r="A34918" s="740"/>
    </row>
    <row r="34919" ht="14.25" customHeight="1">
      <c r="A34919" s="740"/>
    </row>
    <row r="34920" ht="14.25" customHeight="1">
      <c r="A34920" s="740"/>
    </row>
    <row r="34921" ht="14.25" customHeight="1">
      <c r="A34921" s="740"/>
    </row>
    <row r="34922" ht="14.25" customHeight="1">
      <c r="A34922" s="740"/>
    </row>
    <row r="34923" ht="14.25" customHeight="1">
      <c r="A34923" s="740"/>
    </row>
    <row r="34924" ht="14.25" customHeight="1">
      <c r="A34924" s="740"/>
    </row>
    <row r="34925" ht="14.25" customHeight="1">
      <c r="A34925" s="740"/>
    </row>
    <row r="34926" ht="14.25" customHeight="1">
      <c r="A34926" s="740"/>
    </row>
    <row r="34927" ht="14.25" customHeight="1">
      <c r="A34927" s="740"/>
    </row>
    <row r="34928" ht="14.25" customHeight="1">
      <c r="A34928" s="740"/>
    </row>
    <row r="34929" ht="14.25" customHeight="1">
      <c r="A34929" s="740"/>
    </row>
    <row r="34930" ht="14.25" customHeight="1">
      <c r="A34930" s="740"/>
    </row>
    <row r="34931" ht="14.25" customHeight="1">
      <c r="A34931" s="740"/>
    </row>
    <row r="34932" ht="14.25" customHeight="1">
      <c r="A34932" s="740"/>
    </row>
    <row r="34933" ht="14.25" customHeight="1">
      <c r="A34933" s="740"/>
    </row>
    <row r="34934" ht="14.25" customHeight="1">
      <c r="A34934" s="740"/>
    </row>
    <row r="34935" ht="14.25" customHeight="1">
      <c r="A34935" s="740"/>
    </row>
    <row r="34936" ht="14.25" customHeight="1">
      <c r="A34936" s="740"/>
    </row>
    <row r="34937" ht="14.25" customHeight="1">
      <c r="A34937" s="740"/>
    </row>
    <row r="34938" ht="14.25" customHeight="1">
      <c r="A34938" s="740"/>
    </row>
    <row r="34939" ht="14.25" customHeight="1">
      <c r="A34939" s="740"/>
    </row>
    <row r="34940" ht="14.25" customHeight="1">
      <c r="A34940" s="740"/>
    </row>
    <row r="34941" ht="14.25" customHeight="1">
      <c r="A34941" s="740"/>
    </row>
    <row r="34942" ht="14.25" customHeight="1">
      <c r="A34942" s="740"/>
    </row>
    <row r="34943" ht="14.25" customHeight="1">
      <c r="A34943" s="740"/>
    </row>
    <row r="34944" ht="14.25" customHeight="1">
      <c r="A34944" s="740"/>
    </row>
    <row r="34945" ht="14.25" customHeight="1">
      <c r="A34945" s="740"/>
    </row>
    <row r="34946" ht="14.25" customHeight="1">
      <c r="A34946" s="740"/>
    </row>
    <row r="34947" ht="14.25" customHeight="1">
      <c r="A34947" s="740"/>
    </row>
    <row r="34948" ht="14.25" customHeight="1">
      <c r="A34948" s="740"/>
    </row>
    <row r="34949" ht="14.25" customHeight="1">
      <c r="A34949" s="740"/>
    </row>
    <row r="34950" ht="14.25" customHeight="1">
      <c r="A34950" s="740"/>
    </row>
    <row r="34951" ht="14.25" customHeight="1">
      <c r="A34951" s="740"/>
    </row>
    <row r="34952" ht="14.25" customHeight="1">
      <c r="A34952" s="740"/>
    </row>
    <row r="34953" ht="14.25" customHeight="1">
      <c r="A34953" s="740"/>
    </row>
    <row r="34954" ht="14.25" customHeight="1">
      <c r="A34954" s="740"/>
    </row>
    <row r="34955" ht="14.25" customHeight="1">
      <c r="A34955" s="740"/>
    </row>
    <row r="34956" ht="14.25" customHeight="1">
      <c r="A34956" s="740"/>
    </row>
    <row r="34957" ht="14.25" customHeight="1">
      <c r="A34957" s="740"/>
    </row>
    <row r="34958" ht="14.25" customHeight="1">
      <c r="A34958" s="740"/>
    </row>
    <row r="34959" ht="14.25" customHeight="1">
      <c r="A34959" s="740"/>
    </row>
    <row r="34960" ht="14.25" customHeight="1">
      <c r="A34960" s="740"/>
    </row>
    <row r="34961" ht="14.25" customHeight="1">
      <c r="A34961" s="740"/>
    </row>
    <row r="34962" ht="14.25" customHeight="1">
      <c r="A34962" s="740"/>
    </row>
    <row r="34963" ht="14.25" customHeight="1">
      <c r="A34963" s="740"/>
    </row>
    <row r="34964" ht="14.25" customHeight="1">
      <c r="A34964" s="740"/>
    </row>
    <row r="34965" ht="14.25" customHeight="1">
      <c r="A34965" s="740"/>
    </row>
    <row r="34966" ht="14.25" customHeight="1">
      <c r="A34966" s="740"/>
    </row>
    <row r="34967" ht="14.25" customHeight="1">
      <c r="A34967" s="740"/>
    </row>
    <row r="34968" ht="14.25" customHeight="1">
      <c r="A34968" s="740"/>
    </row>
    <row r="34969" ht="14.25" customHeight="1">
      <c r="A34969" s="740"/>
    </row>
    <row r="34970" ht="14.25" customHeight="1">
      <c r="A34970" s="740"/>
    </row>
    <row r="34971" ht="14.25" customHeight="1">
      <c r="A34971" s="740"/>
    </row>
    <row r="34972" ht="14.25" customHeight="1">
      <c r="A34972" s="740"/>
    </row>
    <row r="34973" ht="14.25" customHeight="1">
      <c r="A34973" s="740"/>
    </row>
    <row r="34974" ht="14.25" customHeight="1">
      <c r="A34974" s="740"/>
    </row>
    <row r="34975" ht="14.25" customHeight="1">
      <c r="A34975" s="740"/>
    </row>
    <row r="34976" ht="14.25" customHeight="1">
      <c r="A34976" s="740"/>
    </row>
    <row r="34977" ht="14.25" customHeight="1">
      <c r="A34977" s="740"/>
    </row>
    <row r="34978" ht="14.25" customHeight="1">
      <c r="A34978" s="740"/>
    </row>
    <row r="34979" ht="14.25" customHeight="1">
      <c r="A34979" s="740"/>
    </row>
    <row r="34980" ht="14.25" customHeight="1">
      <c r="A34980" s="740"/>
    </row>
    <row r="34981" ht="14.25" customHeight="1">
      <c r="A34981" s="740"/>
    </row>
    <row r="34982" ht="14.25" customHeight="1">
      <c r="A34982" s="740"/>
    </row>
    <row r="34983" ht="14.25" customHeight="1">
      <c r="A34983" s="740"/>
    </row>
    <row r="34984" ht="14.25" customHeight="1">
      <c r="A34984" s="740"/>
    </row>
    <row r="34985" ht="14.25" customHeight="1">
      <c r="A34985" s="740"/>
    </row>
    <row r="34986" ht="14.25" customHeight="1">
      <c r="A34986" s="740"/>
    </row>
    <row r="34987" ht="14.25" customHeight="1">
      <c r="A34987" s="740"/>
    </row>
    <row r="34988" ht="14.25" customHeight="1">
      <c r="A34988" s="740"/>
    </row>
    <row r="34989" ht="14.25" customHeight="1">
      <c r="A34989" s="740"/>
    </row>
    <row r="34990" ht="14.25" customHeight="1">
      <c r="A34990" s="740"/>
    </row>
    <row r="34991" ht="14.25" customHeight="1">
      <c r="A34991" s="740"/>
    </row>
    <row r="34992" ht="14.25" customHeight="1">
      <c r="A34992" s="740"/>
    </row>
    <row r="34993" ht="14.25" customHeight="1">
      <c r="A34993" s="740"/>
    </row>
    <row r="34994" ht="14.25" customHeight="1">
      <c r="A34994" s="740"/>
    </row>
    <row r="34995" ht="14.25" customHeight="1">
      <c r="A34995" s="740"/>
    </row>
    <row r="34996" ht="14.25" customHeight="1">
      <c r="A34996" s="740"/>
    </row>
    <row r="34997" ht="14.25" customHeight="1">
      <c r="A34997" s="740"/>
    </row>
    <row r="34998" ht="14.25" customHeight="1">
      <c r="A34998" s="740"/>
    </row>
    <row r="34999" ht="14.25" customHeight="1">
      <c r="A34999" s="740"/>
    </row>
    <row r="35000" ht="14.25" customHeight="1">
      <c r="A35000" s="740"/>
    </row>
    <row r="35001" ht="14.25" customHeight="1">
      <c r="A35001" s="740"/>
    </row>
    <row r="35002" ht="14.25" customHeight="1">
      <c r="A35002" s="740"/>
    </row>
    <row r="35003" ht="14.25" customHeight="1">
      <c r="A35003" s="740"/>
    </row>
    <row r="35004" ht="14.25" customHeight="1">
      <c r="A35004" s="740"/>
    </row>
    <row r="35005" ht="14.25" customHeight="1">
      <c r="A35005" s="740"/>
    </row>
    <row r="35006" ht="14.25" customHeight="1">
      <c r="A35006" s="740"/>
    </row>
    <row r="35007" ht="14.25" customHeight="1">
      <c r="A35007" s="740"/>
    </row>
    <row r="35008" ht="14.25" customHeight="1">
      <c r="A35008" s="740"/>
    </row>
    <row r="35009" ht="14.25" customHeight="1">
      <c r="A35009" s="740"/>
    </row>
    <row r="35010" ht="14.25" customHeight="1">
      <c r="A35010" s="740"/>
    </row>
    <row r="35011" ht="14.25" customHeight="1">
      <c r="A35011" s="740"/>
    </row>
    <row r="35012" ht="14.25" customHeight="1">
      <c r="A35012" s="740"/>
    </row>
    <row r="35013" ht="14.25" customHeight="1">
      <c r="A35013" s="740"/>
    </row>
    <row r="35014" ht="14.25" customHeight="1">
      <c r="A35014" s="740"/>
    </row>
    <row r="35015" ht="14.25" customHeight="1">
      <c r="A35015" s="740"/>
    </row>
    <row r="35016" ht="14.25" customHeight="1">
      <c r="A35016" s="740"/>
    </row>
    <row r="35017" ht="14.25" customHeight="1">
      <c r="A35017" s="740"/>
    </row>
    <row r="35018" ht="14.25" customHeight="1">
      <c r="A35018" s="740"/>
    </row>
    <row r="35019" ht="14.25" customHeight="1">
      <c r="A35019" s="740"/>
    </row>
    <row r="35020" ht="14.25" customHeight="1">
      <c r="A35020" s="740"/>
    </row>
    <row r="35021" ht="14.25" customHeight="1">
      <c r="A35021" s="740"/>
    </row>
    <row r="35022" ht="14.25" customHeight="1">
      <c r="A35022" s="740"/>
    </row>
    <row r="35023" ht="14.25" customHeight="1">
      <c r="A35023" s="740"/>
    </row>
    <row r="35024" ht="14.25" customHeight="1">
      <c r="A35024" s="740"/>
    </row>
    <row r="35025" ht="14.25" customHeight="1">
      <c r="A35025" s="740"/>
    </row>
    <row r="35026" ht="14.25" customHeight="1">
      <c r="A35026" s="740"/>
    </row>
    <row r="35027" ht="14.25" customHeight="1">
      <c r="A35027" s="740"/>
    </row>
    <row r="35028" ht="14.25" customHeight="1">
      <c r="A35028" s="740"/>
    </row>
    <row r="35029" ht="14.25" customHeight="1">
      <c r="A35029" s="740"/>
    </row>
    <row r="35030" ht="14.25" customHeight="1">
      <c r="A35030" s="740"/>
    </row>
    <row r="35031" ht="14.25" customHeight="1">
      <c r="A35031" s="740"/>
    </row>
    <row r="35032" ht="14.25" customHeight="1">
      <c r="A35032" s="740"/>
    </row>
    <row r="35033" ht="14.25" customHeight="1">
      <c r="A35033" s="740"/>
    </row>
    <row r="35034" ht="14.25" customHeight="1">
      <c r="A35034" s="740"/>
    </row>
    <row r="35035" ht="14.25" customHeight="1">
      <c r="A35035" s="740"/>
    </row>
    <row r="35036" ht="14.25" customHeight="1">
      <c r="A35036" s="740"/>
    </row>
    <row r="35037" ht="14.25" customHeight="1">
      <c r="A35037" s="740"/>
    </row>
    <row r="35038" ht="14.25" customHeight="1">
      <c r="A35038" s="740"/>
    </row>
    <row r="35039" ht="14.25" customHeight="1">
      <c r="A35039" s="740"/>
    </row>
    <row r="35040" ht="14.25" customHeight="1">
      <c r="A35040" s="740"/>
    </row>
    <row r="35041" ht="14.25" customHeight="1">
      <c r="A35041" s="740"/>
    </row>
    <row r="35042" ht="14.25" customHeight="1">
      <c r="A35042" s="740"/>
    </row>
    <row r="35043" ht="14.25" customHeight="1">
      <c r="A35043" s="740"/>
    </row>
    <row r="35044" ht="14.25" customHeight="1">
      <c r="A35044" s="740"/>
    </row>
    <row r="35045" ht="14.25" customHeight="1">
      <c r="A35045" s="740"/>
    </row>
    <row r="35046" ht="14.25" customHeight="1">
      <c r="A35046" s="740"/>
    </row>
    <row r="35047" ht="14.25" customHeight="1">
      <c r="A35047" s="740"/>
    </row>
    <row r="35048" ht="14.25" customHeight="1">
      <c r="A35048" s="740"/>
    </row>
    <row r="35049" ht="14.25" customHeight="1">
      <c r="A35049" s="740"/>
    </row>
    <row r="35050" ht="14.25" customHeight="1">
      <c r="A35050" s="740"/>
    </row>
    <row r="35051" ht="14.25" customHeight="1">
      <c r="A35051" s="740"/>
    </row>
    <row r="35052" ht="14.25" customHeight="1">
      <c r="A35052" s="740"/>
    </row>
    <row r="35053" ht="14.25" customHeight="1">
      <c r="A35053" s="740"/>
    </row>
    <row r="35054" ht="14.25" customHeight="1">
      <c r="A35054" s="740"/>
    </row>
    <row r="35055" ht="14.25" customHeight="1">
      <c r="A35055" s="740"/>
    </row>
    <row r="35056" ht="14.25" customHeight="1">
      <c r="A35056" s="740"/>
    </row>
    <row r="35057" ht="14.25" customHeight="1">
      <c r="A35057" s="740"/>
    </row>
    <row r="35058" ht="14.25" customHeight="1">
      <c r="A35058" s="740"/>
    </row>
    <row r="35059" ht="14.25" customHeight="1">
      <c r="A35059" s="740"/>
    </row>
    <row r="35060" ht="14.25" customHeight="1">
      <c r="A35060" s="740"/>
    </row>
    <row r="35061" ht="14.25" customHeight="1">
      <c r="A35061" s="740"/>
    </row>
    <row r="35062" ht="14.25" customHeight="1">
      <c r="A35062" s="740"/>
    </row>
    <row r="35063" ht="14.25" customHeight="1">
      <c r="A35063" s="740"/>
    </row>
    <row r="35064" ht="14.25" customHeight="1">
      <c r="A35064" s="740"/>
    </row>
    <row r="35065" ht="14.25" customHeight="1">
      <c r="A35065" s="740"/>
    </row>
    <row r="35066" ht="14.25" customHeight="1">
      <c r="A35066" s="740"/>
    </row>
    <row r="35067" ht="14.25" customHeight="1">
      <c r="A35067" s="740"/>
    </row>
    <row r="35068" ht="14.25" customHeight="1">
      <c r="A35068" s="740"/>
    </row>
    <row r="35069" ht="14.25" customHeight="1">
      <c r="A35069" s="740"/>
    </row>
    <row r="35070" ht="14.25" customHeight="1">
      <c r="A35070" s="740"/>
    </row>
    <row r="35071" ht="14.25" customHeight="1">
      <c r="A35071" s="740"/>
    </row>
    <row r="35072" ht="14.25" customHeight="1">
      <c r="A35072" s="740"/>
    </row>
    <row r="35073" ht="14.25" customHeight="1">
      <c r="A35073" s="740"/>
    </row>
    <row r="35074" ht="14.25" customHeight="1">
      <c r="A35074" s="740"/>
    </row>
    <row r="35075" ht="14.25" customHeight="1">
      <c r="A35075" s="740"/>
    </row>
    <row r="35076" ht="14.25" customHeight="1">
      <c r="A35076" s="740"/>
    </row>
    <row r="35077" ht="14.25" customHeight="1">
      <c r="A35077" s="740"/>
    </row>
    <row r="35078" ht="14.25" customHeight="1">
      <c r="A35078" s="740"/>
    </row>
    <row r="35079" ht="14.25" customHeight="1">
      <c r="A35079" s="740"/>
    </row>
    <row r="35080" ht="14.25" customHeight="1">
      <c r="A35080" s="740"/>
    </row>
    <row r="35081" ht="14.25" customHeight="1">
      <c r="A35081" s="740"/>
    </row>
    <row r="35082" ht="14.25" customHeight="1">
      <c r="A35082" s="740"/>
    </row>
    <row r="35083" ht="14.25" customHeight="1">
      <c r="A35083" s="740"/>
    </row>
    <row r="35084" ht="14.25" customHeight="1">
      <c r="A35084" s="740"/>
    </row>
    <row r="35085" ht="14.25" customHeight="1">
      <c r="A35085" s="740"/>
    </row>
    <row r="35086" ht="14.25" customHeight="1">
      <c r="A35086" s="740"/>
    </row>
    <row r="35087" ht="14.25" customHeight="1">
      <c r="A35087" s="740"/>
    </row>
    <row r="35088" ht="14.25" customHeight="1">
      <c r="A35088" s="740"/>
    </row>
    <row r="35089" ht="14.25" customHeight="1">
      <c r="A35089" s="740"/>
    </row>
    <row r="35090" ht="14.25" customHeight="1">
      <c r="A35090" s="740"/>
    </row>
    <row r="35091" ht="14.25" customHeight="1">
      <c r="A35091" s="740"/>
    </row>
    <row r="35092" ht="14.25" customHeight="1">
      <c r="A35092" s="740"/>
    </row>
    <row r="35093" ht="14.25" customHeight="1">
      <c r="A35093" s="740"/>
    </row>
    <row r="35094" ht="14.25" customHeight="1">
      <c r="A35094" s="740"/>
    </row>
    <row r="35095" ht="14.25" customHeight="1">
      <c r="A35095" s="740"/>
    </row>
    <row r="35096" ht="14.25" customHeight="1">
      <c r="A35096" s="740"/>
    </row>
    <row r="35097" ht="14.25" customHeight="1">
      <c r="A35097" s="740"/>
    </row>
    <row r="35098" ht="14.25" customHeight="1">
      <c r="A35098" s="740"/>
    </row>
    <row r="35099" ht="14.25" customHeight="1">
      <c r="A35099" s="740"/>
    </row>
    <row r="35100" ht="14.25" customHeight="1">
      <c r="A35100" s="740"/>
    </row>
    <row r="35101" ht="14.25" customHeight="1">
      <c r="A35101" s="740"/>
    </row>
    <row r="35102" ht="14.25" customHeight="1">
      <c r="A35102" s="740"/>
    </row>
    <row r="35103" ht="14.25" customHeight="1">
      <c r="A35103" s="740"/>
    </row>
    <row r="35104" ht="14.25" customHeight="1">
      <c r="A35104" s="740"/>
    </row>
    <row r="35105" ht="14.25" customHeight="1">
      <c r="A35105" s="740"/>
    </row>
    <row r="35106" ht="14.25" customHeight="1">
      <c r="A35106" s="740"/>
    </row>
    <row r="35107" ht="14.25" customHeight="1">
      <c r="A35107" s="740"/>
    </row>
    <row r="35108" ht="14.25" customHeight="1">
      <c r="A35108" s="740"/>
    </row>
    <row r="35109" ht="14.25" customHeight="1">
      <c r="A35109" s="740"/>
    </row>
    <row r="35110" ht="14.25" customHeight="1">
      <c r="A35110" s="740"/>
    </row>
    <row r="35111" ht="14.25" customHeight="1">
      <c r="A35111" s="740"/>
    </row>
    <row r="35112" ht="14.25" customHeight="1">
      <c r="A35112" s="740"/>
    </row>
    <row r="35113" ht="14.25" customHeight="1">
      <c r="A35113" s="740"/>
    </row>
    <row r="35114" ht="14.25" customHeight="1">
      <c r="A35114" s="740"/>
    </row>
    <row r="35115" ht="14.25" customHeight="1">
      <c r="A35115" s="740"/>
    </row>
    <row r="35116" ht="14.25" customHeight="1">
      <c r="A35116" s="740"/>
    </row>
    <row r="35117" ht="14.25" customHeight="1">
      <c r="A35117" s="740"/>
    </row>
    <row r="35118" ht="14.25" customHeight="1">
      <c r="A35118" s="740"/>
    </row>
    <row r="35119" ht="14.25" customHeight="1">
      <c r="A35119" s="740"/>
    </row>
    <row r="35120" ht="14.25" customHeight="1">
      <c r="A35120" s="740"/>
    </row>
    <row r="35121" ht="14.25" customHeight="1">
      <c r="A35121" s="740"/>
    </row>
    <row r="35122" ht="14.25" customHeight="1">
      <c r="A35122" s="740"/>
    </row>
    <row r="35123" ht="14.25" customHeight="1">
      <c r="A35123" s="740"/>
    </row>
    <row r="35124" ht="14.25" customHeight="1">
      <c r="A35124" s="740"/>
    </row>
    <row r="35125" ht="14.25" customHeight="1">
      <c r="A35125" s="740"/>
    </row>
    <row r="35126" ht="14.25" customHeight="1">
      <c r="A35126" s="740"/>
    </row>
    <row r="35127" ht="14.25" customHeight="1">
      <c r="A35127" s="740"/>
    </row>
    <row r="35128" ht="14.25" customHeight="1">
      <c r="A35128" s="740"/>
    </row>
    <row r="35129" ht="14.25" customHeight="1">
      <c r="A35129" s="740"/>
    </row>
    <row r="35130" ht="14.25" customHeight="1">
      <c r="A35130" s="740"/>
    </row>
    <row r="35131" ht="14.25" customHeight="1">
      <c r="A35131" s="740"/>
    </row>
    <row r="35132" ht="14.25" customHeight="1">
      <c r="A35132" s="740"/>
    </row>
    <row r="35133" ht="14.25" customHeight="1">
      <c r="A35133" s="740"/>
    </row>
    <row r="35134" ht="14.25" customHeight="1">
      <c r="A35134" s="740"/>
    </row>
    <row r="35135" ht="14.25" customHeight="1">
      <c r="A35135" s="740"/>
    </row>
    <row r="35136" ht="14.25" customHeight="1">
      <c r="A35136" s="740"/>
    </row>
    <row r="35137" ht="14.25" customHeight="1">
      <c r="A35137" s="740"/>
    </row>
    <row r="35138" ht="14.25" customHeight="1">
      <c r="A35138" s="740"/>
    </row>
    <row r="35139" ht="14.25" customHeight="1">
      <c r="A35139" s="740"/>
    </row>
    <row r="35140" ht="14.25" customHeight="1">
      <c r="A35140" s="740"/>
    </row>
    <row r="35141" ht="14.25" customHeight="1">
      <c r="A35141" s="740"/>
    </row>
    <row r="35142" ht="14.25" customHeight="1">
      <c r="A35142" s="740"/>
    </row>
    <row r="35143" ht="14.25" customHeight="1">
      <c r="A35143" s="740"/>
    </row>
    <row r="35144" ht="14.25" customHeight="1">
      <c r="A35144" s="740"/>
    </row>
    <row r="35145" ht="14.25" customHeight="1">
      <c r="A35145" s="740"/>
    </row>
    <row r="35146" ht="14.25" customHeight="1">
      <c r="A35146" s="740"/>
    </row>
    <row r="35147" ht="14.25" customHeight="1">
      <c r="A35147" s="740"/>
    </row>
    <row r="35148" ht="14.25" customHeight="1">
      <c r="A35148" s="740"/>
    </row>
    <row r="35149" ht="14.25" customHeight="1">
      <c r="A35149" s="740"/>
    </row>
    <row r="35150" ht="14.25" customHeight="1">
      <c r="A35150" s="740"/>
    </row>
    <row r="35151" ht="14.25" customHeight="1">
      <c r="A35151" s="740"/>
    </row>
    <row r="35152" ht="14.25" customHeight="1">
      <c r="A35152" s="740"/>
    </row>
    <row r="35153" ht="14.25" customHeight="1">
      <c r="A35153" s="740"/>
    </row>
    <row r="35154" ht="14.25" customHeight="1">
      <c r="A35154" s="740"/>
    </row>
    <row r="35155" ht="14.25" customHeight="1">
      <c r="A35155" s="740"/>
    </row>
    <row r="35156" ht="14.25" customHeight="1">
      <c r="A35156" s="740"/>
    </row>
    <row r="35157" ht="14.25" customHeight="1">
      <c r="A35157" s="740"/>
    </row>
    <row r="35158" ht="14.25" customHeight="1">
      <c r="A35158" s="740"/>
    </row>
    <row r="35159" ht="14.25" customHeight="1">
      <c r="A35159" s="740"/>
    </row>
    <row r="35160" ht="14.25" customHeight="1">
      <c r="A35160" s="740"/>
    </row>
    <row r="35161" ht="14.25" customHeight="1">
      <c r="A35161" s="740"/>
    </row>
    <row r="35162" ht="14.25" customHeight="1">
      <c r="A35162" s="740"/>
    </row>
    <row r="35163" ht="14.25" customHeight="1">
      <c r="A35163" s="740"/>
    </row>
    <row r="35164" ht="14.25" customHeight="1">
      <c r="A35164" s="740"/>
    </row>
    <row r="35165" ht="14.25" customHeight="1">
      <c r="A35165" s="740"/>
    </row>
    <row r="35166" ht="14.25" customHeight="1">
      <c r="A35166" s="740"/>
    </row>
    <row r="35167" ht="14.25" customHeight="1">
      <c r="A35167" s="740"/>
    </row>
    <row r="35168" ht="14.25" customHeight="1">
      <c r="A35168" s="740"/>
    </row>
    <row r="35169" ht="14.25" customHeight="1">
      <c r="A35169" s="740"/>
    </row>
    <row r="35170" ht="14.25" customHeight="1">
      <c r="A35170" s="740"/>
    </row>
    <row r="35171" ht="14.25" customHeight="1">
      <c r="A35171" s="740"/>
    </row>
    <row r="35172" ht="14.25" customHeight="1">
      <c r="A35172" s="740"/>
    </row>
    <row r="35173" ht="14.25" customHeight="1">
      <c r="A35173" s="740"/>
    </row>
    <row r="35174" ht="14.25" customHeight="1">
      <c r="A35174" s="740"/>
    </row>
    <row r="35175" ht="14.25" customHeight="1">
      <c r="A35175" s="740"/>
    </row>
    <row r="35176" ht="14.25" customHeight="1">
      <c r="A35176" s="740"/>
    </row>
    <row r="35177" ht="14.25" customHeight="1">
      <c r="A35177" s="740"/>
    </row>
    <row r="35178" ht="14.25" customHeight="1">
      <c r="A35178" s="740"/>
    </row>
    <row r="35179" ht="14.25" customHeight="1">
      <c r="A35179" s="740"/>
    </row>
    <row r="35180" ht="14.25" customHeight="1">
      <c r="A35180" s="740"/>
    </row>
    <row r="35181" ht="14.25" customHeight="1">
      <c r="A35181" s="740"/>
    </row>
    <row r="35182" ht="14.25" customHeight="1">
      <c r="A35182" s="740"/>
    </row>
    <row r="35183" ht="14.25" customHeight="1">
      <c r="A35183" s="740"/>
    </row>
    <row r="35184" ht="14.25" customHeight="1">
      <c r="A35184" s="740"/>
    </row>
    <row r="35185" ht="14.25" customHeight="1">
      <c r="A35185" s="740"/>
    </row>
    <row r="35186" ht="14.25" customHeight="1">
      <c r="A35186" s="740"/>
    </row>
    <row r="35187" ht="14.25" customHeight="1">
      <c r="A35187" s="740"/>
    </row>
    <row r="35188" ht="14.25" customHeight="1">
      <c r="A35188" s="740"/>
    </row>
    <row r="35189" ht="14.25" customHeight="1">
      <c r="A35189" s="740"/>
    </row>
    <row r="35190" ht="14.25" customHeight="1">
      <c r="A35190" s="740"/>
    </row>
    <row r="35191" ht="14.25" customHeight="1">
      <c r="A35191" s="740"/>
    </row>
    <row r="35192" ht="14.25" customHeight="1">
      <c r="A35192" s="740"/>
    </row>
    <row r="35193" ht="14.25" customHeight="1">
      <c r="A35193" s="740"/>
    </row>
    <row r="35194" ht="14.25" customHeight="1">
      <c r="A35194" s="740"/>
    </row>
    <row r="35195" ht="14.25" customHeight="1">
      <c r="A35195" s="740"/>
    </row>
    <row r="35196" ht="14.25" customHeight="1">
      <c r="A35196" s="740"/>
    </row>
    <row r="35197" ht="14.25" customHeight="1">
      <c r="A35197" s="740"/>
    </row>
    <row r="35198" ht="14.25" customHeight="1">
      <c r="A35198" s="740"/>
    </row>
    <row r="35199" ht="14.25" customHeight="1">
      <c r="A35199" s="740"/>
    </row>
    <row r="35200" ht="14.25" customHeight="1">
      <c r="A35200" s="740"/>
    </row>
    <row r="35201" ht="14.25" customHeight="1">
      <c r="A35201" s="740"/>
    </row>
    <row r="35202" ht="14.25" customHeight="1">
      <c r="A35202" s="740"/>
    </row>
    <row r="35203" ht="14.25" customHeight="1">
      <c r="A35203" s="740"/>
    </row>
    <row r="35204" ht="14.25" customHeight="1">
      <c r="A35204" s="740"/>
    </row>
    <row r="35205" ht="14.25" customHeight="1">
      <c r="A35205" s="740"/>
    </row>
    <row r="35206" ht="14.25" customHeight="1">
      <c r="A35206" s="740"/>
    </row>
    <row r="35207" ht="14.25" customHeight="1">
      <c r="A35207" s="740"/>
    </row>
    <row r="35208" ht="14.25" customHeight="1">
      <c r="A35208" s="740"/>
    </row>
    <row r="35209" ht="14.25" customHeight="1">
      <c r="A35209" s="740"/>
    </row>
    <row r="35210" ht="14.25" customHeight="1">
      <c r="A35210" s="740"/>
    </row>
    <row r="35211" ht="14.25" customHeight="1">
      <c r="A35211" s="740"/>
    </row>
    <row r="35212" ht="14.25" customHeight="1">
      <c r="A35212" s="740"/>
    </row>
    <row r="35213" ht="14.25" customHeight="1">
      <c r="A35213" s="740"/>
    </row>
    <row r="35214" ht="14.25" customHeight="1">
      <c r="A35214" s="740"/>
    </row>
    <row r="35215" ht="14.25" customHeight="1">
      <c r="A35215" s="740"/>
    </row>
    <row r="35216" ht="14.25" customHeight="1">
      <c r="A35216" s="740"/>
    </row>
    <row r="35217" ht="14.25" customHeight="1">
      <c r="A35217" s="740"/>
    </row>
    <row r="35218" ht="14.25" customHeight="1">
      <c r="A35218" s="740"/>
    </row>
    <row r="35219" ht="14.25" customHeight="1">
      <c r="A35219" s="740"/>
    </row>
    <row r="35220" ht="14.25" customHeight="1">
      <c r="A35220" s="740"/>
    </row>
    <row r="35221" ht="14.25" customHeight="1">
      <c r="A35221" s="740"/>
    </row>
    <row r="35222" ht="14.25" customHeight="1">
      <c r="A35222" s="740"/>
    </row>
    <row r="35223" ht="14.25" customHeight="1">
      <c r="A35223" s="740"/>
    </row>
    <row r="35224" ht="14.25" customHeight="1">
      <c r="A35224" s="740"/>
    </row>
    <row r="35225" ht="14.25" customHeight="1">
      <c r="A35225" s="740"/>
    </row>
    <row r="35226" ht="14.25" customHeight="1">
      <c r="A35226" s="740"/>
    </row>
    <row r="35227" ht="14.25" customHeight="1">
      <c r="A35227" s="740"/>
    </row>
    <row r="35228" ht="14.25" customHeight="1">
      <c r="A35228" s="740"/>
    </row>
    <row r="35229" ht="14.25" customHeight="1">
      <c r="A35229" s="740"/>
    </row>
    <row r="35230" ht="14.25" customHeight="1">
      <c r="A35230" s="740"/>
    </row>
    <row r="35231" ht="14.25" customHeight="1">
      <c r="A35231" s="740"/>
    </row>
    <row r="35232" ht="14.25" customHeight="1">
      <c r="A35232" s="740"/>
    </row>
    <row r="35233" ht="14.25" customHeight="1">
      <c r="A35233" s="740"/>
    </row>
    <row r="35234" ht="14.25" customHeight="1">
      <c r="A35234" s="740"/>
    </row>
    <row r="35235" ht="14.25" customHeight="1">
      <c r="A35235" s="740"/>
    </row>
    <row r="35236" ht="14.25" customHeight="1">
      <c r="A35236" s="740"/>
    </row>
    <row r="35237" ht="14.25" customHeight="1">
      <c r="A35237" s="740"/>
    </row>
    <row r="35238" ht="14.25" customHeight="1">
      <c r="A35238" s="740"/>
    </row>
    <row r="35239" ht="14.25" customHeight="1">
      <c r="A35239" s="740"/>
    </row>
    <row r="35240" ht="14.25" customHeight="1">
      <c r="A35240" s="740"/>
    </row>
    <row r="35241" ht="14.25" customHeight="1">
      <c r="A35241" s="740"/>
    </row>
    <row r="35242" ht="14.25" customHeight="1">
      <c r="A35242" s="740"/>
    </row>
    <row r="35243" ht="14.25" customHeight="1">
      <c r="A35243" s="740"/>
    </row>
    <row r="35244" ht="14.25" customHeight="1">
      <c r="A35244" s="740"/>
    </row>
    <row r="35245" ht="14.25" customHeight="1">
      <c r="A35245" s="740"/>
    </row>
    <row r="35246" ht="14.25" customHeight="1">
      <c r="A35246" s="740"/>
    </row>
    <row r="35247" ht="14.25" customHeight="1">
      <c r="A35247" s="740"/>
    </row>
    <row r="35248" ht="14.25" customHeight="1">
      <c r="A35248" s="740"/>
    </row>
    <row r="35249" ht="14.25" customHeight="1">
      <c r="A35249" s="740"/>
    </row>
    <row r="35250" ht="14.25" customHeight="1">
      <c r="A35250" s="740"/>
    </row>
    <row r="35251" ht="14.25" customHeight="1">
      <c r="A35251" s="740"/>
    </row>
    <row r="35252" ht="14.25" customHeight="1">
      <c r="A35252" s="740"/>
    </row>
    <row r="35253" ht="14.25" customHeight="1">
      <c r="A35253" s="740"/>
    </row>
    <row r="35254" ht="14.25" customHeight="1">
      <c r="A35254" s="740"/>
    </row>
    <row r="35255" ht="14.25" customHeight="1">
      <c r="A35255" s="740"/>
    </row>
    <row r="35256" ht="14.25" customHeight="1">
      <c r="A35256" s="740"/>
    </row>
    <row r="35257" ht="14.25" customHeight="1">
      <c r="A35257" s="740"/>
    </row>
    <row r="35258" ht="14.25" customHeight="1">
      <c r="A35258" s="740"/>
    </row>
    <row r="35259" ht="14.25" customHeight="1">
      <c r="A35259" s="740"/>
    </row>
    <row r="35260" ht="14.25" customHeight="1">
      <c r="A35260" s="740"/>
    </row>
    <row r="35261" ht="14.25" customHeight="1">
      <c r="A35261" s="740"/>
    </row>
    <row r="35262" ht="14.25" customHeight="1">
      <c r="A35262" s="740"/>
    </row>
    <row r="35263" ht="14.25" customHeight="1">
      <c r="A35263" s="740"/>
    </row>
    <row r="35264" ht="14.25" customHeight="1">
      <c r="A35264" s="740"/>
    </row>
    <row r="35265" ht="14.25" customHeight="1">
      <c r="A35265" s="740"/>
    </row>
    <row r="35266" ht="14.25" customHeight="1">
      <c r="A35266" s="740"/>
    </row>
    <row r="35267" ht="14.25" customHeight="1">
      <c r="A35267" s="740"/>
    </row>
    <row r="35268" ht="14.25" customHeight="1">
      <c r="A35268" s="740"/>
    </row>
    <row r="35269" ht="14.25" customHeight="1">
      <c r="A35269" s="740"/>
    </row>
    <row r="35270" ht="14.25" customHeight="1">
      <c r="A35270" s="740"/>
    </row>
    <row r="35271" ht="14.25" customHeight="1">
      <c r="A35271" s="740"/>
    </row>
    <row r="35272" ht="14.25" customHeight="1">
      <c r="A35272" s="740"/>
    </row>
    <row r="35273" ht="14.25" customHeight="1">
      <c r="A35273" s="740"/>
    </row>
    <row r="35274" ht="14.25" customHeight="1">
      <c r="A35274" s="740"/>
    </row>
    <row r="35275" ht="14.25" customHeight="1">
      <c r="A35275" s="740"/>
    </row>
    <row r="35276" ht="14.25" customHeight="1">
      <c r="A35276" s="740"/>
    </row>
    <row r="35277" ht="14.25" customHeight="1">
      <c r="A35277" s="740"/>
    </row>
    <row r="35278" ht="14.25" customHeight="1">
      <c r="A35278" s="740"/>
    </row>
    <row r="35279" ht="14.25" customHeight="1">
      <c r="A35279" s="740"/>
    </row>
    <row r="35280" ht="14.25" customHeight="1">
      <c r="A35280" s="740"/>
    </row>
    <row r="35281" ht="14.25" customHeight="1">
      <c r="A35281" s="740"/>
    </row>
    <row r="35282" ht="14.25" customHeight="1">
      <c r="A35282" s="740"/>
    </row>
    <row r="35283" ht="14.25" customHeight="1">
      <c r="A35283" s="740"/>
    </row>
    <row r="35284" ht="14.25" customHeight="1">
      <c r="A35284" s="740"/>
    </row>
    <row r="35285" ht="14.25" customHeight="1">
      <c r="A35285" s="740"/>
    </row>
    <row r="35286" ht="14.25" customHeight="1">
      <c r="A35286" s="740"/>
    </row>
    <row r="35287" ht="14.25" customHeight="1">
      <c r="A35287" s="740"/>
    </row>
    <row r="35288" ht="14.25" customHeight="1">
      <c r="A35288" s="740"/>
    </row>
    <row r="35289" ht="14.25" customHeight="1">
      <c r="A35289" s="740"/>
    </row>
    <row r="35290" ht="14.25" customHeight="1">
      <c r="A35290" s="740"/>
    </row>
    <row r="35291" ht="14.25" customHeight="1">
      <c r="A35291" s="740"/>
    </row>
    <row r="35292" ht="14.25" customHeight="1">
      <c r="A35292" s="740"/>
    </row>
    <row r="35293" ht="14.25" customHeight="1">
      <c r="A35293" s="740"/>
    </row>
    <row r="35294" ht="14.25" customHeight="1">
      <c r="A35294" s="740"/>
    </row>
    <row r="35295" ht="14.25" customHeight="1">
      <c r="A35295" s="740"/>
    </row>
    <row r="35296" ht="14.25" customHeight="1">
      <c r="A35296" s="740"/>
    </row>
    <row r="35297" ht="14.25" customHeight="1">
      <c r="A35297" s="740"/>
    </row>
    <row r="35298" ht="14.25" customHeight="1">
      <c r="A35298" s="740"/>
    </row>
    <row r="35299" ht="14.25" customHeight="1">
      <c r="A35299" s="740"/>
    </row>
    <row r="35300" ht="14.25" customHeight="1">
      <c r="A35300" s="740"/>
    </row>
    <row r="35301" ht="14.25" customHeight="1">
      <c r="A35301" s="740"/>
    </row>
    <row r="35302" ht="14.25" customHeight="1">
      <c r="A35302" s="740"/>
    </row>
    <row r="35303" ht="14.25" customHeight="1">
      <c r="A35303" s="740"/>
    </row>
    <row r="35304" ht="14.25" customHeight="1">
      <c r="A35304" s="740"/>
    </row>
    <row r="35305" ht="14.25" customHeight="1">
      <c r="A35305" s="740"/>
    </row>
    <row r="35306" ht="14.25" customHeight="1">
      <c r="A35306" s="740"/>
    </row>
    <row r="35307" ht="14.25" customHeight="1">
      <c r="A35307" s="740"/>
    </row>
    <row r="35308" ht="14.25" customHeight="1">
      <c r="A35308" s="740"/>
    </row>
    <row r="35309" ht="14.25" customHeight="1">
      <c r="A35309" s="740"/>
    </row>
    <row r="35310" ht="14.25" customHeight="1">
      <c r="A35310" s="740"/>
    </row>
    <row r="35311" ht="14.25" customHeight="1">
      <c r="A35311" s="740"/>
    </row>
    <row r="35312" ht="14.25" customHeight="1">
      <c r="A35312" s="740"/>
    </row>
    <row r="35313" ht="14.25" customHeight="1">
      <c r="A35313" s="740"/>
    </row>
    <row r="35314" ht="14.25" customHeight="1">
      <c r="A35314" s="740"/>
    </row>
    <row r="35315" ht="14.25" customHeight="1">
      <c r="A35315" s="740"/>
    </row>
    <row r="35316" ht="14.25" customHeight="1">
      <c r="A35316" s="740"/>
    </row>
    <row r="35317" ht="14.25" customHeight="1">
      <c r="A35317" s="740"/>
    </row>
    <row r="35318" ht="14.25" customHeight="1">
      <c r="A35318" s="740"/>
    </row>
    <row r="35319" ht="14.25" customHeight="1">
      <c r="A35319" s="740"/>
    </row>
    <row r="35320" ht="14.25" customHeight="1">
      <c r="A35320" s="740"/>
    </row>
    <row r="35321" ht="14.25" customHeight="1">
      <c r="A35321" s="740"/>
    </row>
    <row r="35322" ht="14.25" customHeight="1">
      <c r="A35322" s="740"/>
    </row>
    <row r="35323" ht="14.25" customHeight="1">
      <c r="A35323" s="740"/>
    </row>
    <row r="35324" ht="14.25" customHeight="1">
      <c r="A35324" s="740"/>
    </row>
    <row r="35325" ht="14.25" customHeight="1">
      <c r="A35325" s="740"/>
    </row>
    <row r="35326" ht="14.25" customHeight="1">
      <c r="A35326" s="740"/>
    </row>
    <row r="35327" ht="14.25" customHeight="1">
      <c r="A35327" s="740"/>
    </row>
    <row r="35328" ht="14.25" customHeight="1">
      <c r="A35328" s="740"/>
    </row>
    <row r="35329" ht="14.25" customHeight="1">
      <c r="A35329" s="740"/>
    </row>
    <row r="35330" ht="14.25" customHeight="1">
      <c r="A35330" s="740"/>
    </row>
    <row r="35331" ht="14.25" customHeight="1">
      <c r="A35331" s="740"/>
    </row>
    <row r="35332" ht="14.25" customHeight="1">
      <c r="A35332" s="740"/>
    </row>
    <row r="35333" ht="14.25" customHeight="1">
      <c r="A35333" s="740"/>
    </row>
    <row r="35334" ht="14.25" customHeight="1">
      <c r="A35334" s="740"/>
    </row>
    <row r="35335" ht="14.25" customHeight="1">
      <c r="A35335" s="740"/>
    </row>
    <row r="35336" ht="14.25" customHeight="1">
      <c r="A35336" s="740"/>
    </row>
    <row r="35337" ht="14.25" customHeight="1">
      <c r="A35337" s="740"/>
    </row>
    <row r="35338" ht="14.25" customHeight="1">
      <c r="A35338" s="740"/>
    </row>
    <row r="35339" ht="14.25" customHeight="1">
      <c r="A35339" s="740"/>
    </row>
    <row r="35340" ht="14.25" customHeight="1">
      <c r="A35340" s="740"/>
    </row>
    <row r="35341" ht="14.25" customHeight="1">
      <c r="A35341" s="740"/>
    </row>
    <row r="35342" ht="14.25" customHeight="1">
      <c r="A35342" s="740"/>
    </row>
    <row r="35343" ht="14.25" customHeight="1">
      <c r="A35343" s="740"/>
    </row>
    <row r="35344" ht="14.25" customHeight="1">
      <c r="A35344" s="740"/>
    </row>
    <row r="35345" ht="14.25" customHeight="1">
      <c r="A35345" s="740"/>
    </row>
    <row r="35346" ht="14.25" customHeight="1">
      <c r="A35346" s="740"/>
    </row>
    <row r="35347" ht="14.25" customHeight="1">
      <c r="A35347" s="740"/>
    </row>
    <row r="35348" ht="14.25" customHeight="1">
      <c r="A35348" s="740"/>
    </row>
    <row r="35349" ht="14.25" customHeight="1">
      <c r="A35349" s="740"/>
    </row>
    <row r="35350" ht="14.25" customHeight="1">
      <c r="A35350" s="740"/>
    </row>
    <row r="35351" ht="14.25" customHeight="1">
      <c r="A35351" s="740"/>
    </row>
    <row r="35352" ht="14.25" customHeight="1">
      <c r="A35352" s="740"/>
    </row>
    <row r="35353" ht="14.25" customHeight="1">
      <c r="A35353" s="740"/>
    </row>
    <row r="35354" ht="14.25" customHeight="1">
      <c r="A35354" s="740"/>
    </row>
    <row r="35355" ht="14.25" customHeight="1">
      <c r="A35355" s="740"/>
    </row>
    <row r="35356" ht="14.25" customHeight="1">
      <c r="A35356" s="740"/>
    </row>
    <row r="35357" ht="14.25" customHeight="1">
      <c r="A35357" s="740"/>
    </row>
    <row r="35358" ht="14.25" customHeight="1">
      <c r="A35358" s="740"/>
    </row>
    <row r="35359" ht="14.25" customHeight="1">
      <c r="A35359" s="740"/>
    </row>
    <row r="35360" ht="14.25" customHeight="1">
      <c r="A35360" s="740"/>
    </row>
    <row r="35361" ht="14.25" customHeight="1">
      <c r="A35361" s="740"/>
    </row>
    <row r="35362" ht="14.25" customHeight="1">
      <c r="A35362" s="740"/>
    </row>
    <row r="35363" ht="14.25" customHeight="1">
      <c r="A35363" s="740"/>
    </row>
    <row r="35364" ht="14.25" customHeight="1">
      <c r="A35364" s="740"/>
    </row>
    <row r="35365" ht="14.25" customHeight="1">
      <c r="A35365" s="740"/>
    </row>
    <row r="35366" ht="14.25" customHeight="1">
      <c r="A35366" s="740"/>
    </row>
    <row r="35367" ht="14.25" customHeight="1">
      <c r="A35367" s="740"/>
    </row>
    <row r="35368" ht="14.25" customHeight="1">
      <c r="A35368" s="740"/>
    </row>
    <row r="35369" ht="14.25" customHeight="1">
      <c r="A35369" s="740"/>
    </row>
    <row r="35370" ht="14.25" customHeight="1">
      <c r="A35370" s="740"/>
    </row>
    <row r="35371" ht="14.25" customHeight="1">
      <c r="A35371" s="740"/>
    </row>
    <row r="35372" ht="14.25" customHeight="1">
      <c r="A35372" s="740"/>
    </row>
    <row r="35373" ht="14.25" customHeight="1">
      <c r="A35373" s="740"/>
    </row>
    <row r="35374" ht="14.25" customHeight="1">
      <c r="A35374" s="740"/>
    </row>
    <row r="35375" ht="14.25" customHeight="1">
      <c r="A35375" s="740"/>
    </row>
    <row r="35376" ht="14.25" customHeight="1">
      <c r="A35376" s="740"/>
    </row>
    <row r="35377" ht="14.25" customHeight="1">
      <c r="A35377" s="740"/>
    </row>
    <row r="35378" ht="14.25" customHeight="1">
      <c r="A35378" s="740"/>
    </row>
    <row r="35379" ht="14.25" customHeight="1">
      <c r="A35379" s="740"/>
    </row>
    <row r="35380" ht="14.25" customHeight="1">
      <c r="A35380" s="740"/>
    </row>
    <row r="35381" ht="14.25" customHeight="1">
      <c r="A35381" s="740"/>
    </row>
    <row r="35382" ht="14.25" customHeight="1">
      <c r="A35382" s="740"/>
    </row>
    <row r="35383" ht="14.25" customHeight="1">
      <c r="A35383" s="740"/>
    </row>
    <row r="35384" ht="14.25" customHeight="1">
      <c r="A35384" s="740"/>
    </row>
    <row r="35385" ht="14.25" customHeight="1">
      <c r="A35385" s="740"/>
    </row>
    <row r="35386" ht="14.25" customHeight="1">
      <c r="A35386" s="740"/>
    </row>
    <row r="35387" ht="14.25" customHeight="1">
      <c r="A35387" s="740"/>
    </row>
    <row r="35388" ht="14.25" customHeight="1">
      <c r="A35388" s="740"/>
    </row>
    <row r="35389" ht="14.25" customHeight="1">
      <c r="A35389" s="740"/>
    </row>
    <row r="35390" ht="14.25" customHeight="1">
      <c r="A35390" s="740"/>
    </row>
    <row r="35391" ht="14.25" customHeight="1">
      <c r="A35391" s="740"/>
    </row>
    <row r="35392" ht="14.25" customHeight="1">
      <c r="A35392" s="740"/>
    </row>
    <row r="35393" ht="14.25" customHeight="1">
      <c r="A35393" s="740"/>
    </row>
    <row r="35394" ht="14.25" customHeight="1">
      <c r="A35394" s="740"/>
    </row>
    <row r="35395" ht="14.25" customHeight="1">
      <c r="A35395" s="740"/>
    </row>
    <row r="35396" ht="14.25" customHeight="1">
      <c r="A35396" s="740"/>
    </row>
    <row r="35397" ht="14.25" customHeight="1">
      <c r="A35397" s="740"/>
    </row>
    <row r="35398" ht="14.25" customHeight="1">
      <c r="A35398" s="740"/>
    </row>
    <row r="35399" ht="14.25" customHeight="1">
      <c r="A35399" s="740"/>
    </row>
    <row r="35400" ht="14.25" customHeight="1">
      <c r="A35400" s="740"/>
    </row>
    <row r="35401" ht="14.25" customHeight="1">
      <c r="A35401" s="740"/>
    </row>
    <row r="35402" ht="14.25" customHeight="1">
      <c r="A35402" s="740"/>
    </row>
    <row r="35403" ht="14.25" customHeight="1">
      <c r="A35403" s="740"/>
    </row>
    <row r="35404" ht="14.25" customHeight="1">
      <c r="A35404" s="740"/>
    </row>
    <row r="35405" ht="14.25" customHeight="1">
      <c r="A35405" s="740"/>
    </row>
    <row r="35406" ht="14.25" customHeight="1">
      <c r="A35406" s="740"/>
    </row>
    <row r="35407" ht="14.25" customHeight="1">
      <c r="A35407" s="740"/>
    </row>
    <row r="35408" ht="14.25" customHeight="1">
      <c r="A35408" s="740"/>
    </row>
    <row r="35409" ht="14.25" customHeight="1">
      <c r="A35409" s="740"/>
    </row>
    <row r="35410" ht="14.25" customHeight="1">
      <c r="A35410" s="740"/>
    </row>
    <row r="35411" ht="14.25" customHeight="1">
      <c r="A35411" s="740"/>
    </row>
    <row r="35412" ht="14.25" customHeight="1">
      <c r="A35412" s="740"/>
    </row>
    <row r="35413" ht="14.25" customHeight="1">
      <c r="A35413" s="740"/>
    </row>
    <row r="35414" ht="14.25" customHeight="1">
      <c r="A35414" s="740"/>
    </row>
    <row r="35415" ht="14.25" customHeight="1">
      <c r="A35415" s="740"/>
    </row>
    <row r="35416" ht="14.25" customHeight="1">
      <c r="A35416" s="740"/>
    </row>
    <row r="35417" ht="14.25" customHeight="1">
      <c r="A35417" s="740"/>
    </row>
    <row r="35418" ht="14.25" customHeight="1">
      <c r="A35418" s="740"/>
    </row>
    <row r="35419" ht="14.25" customHeight="1">
      <c r="A35419" s="740"/>
    </row>
    <row r="35420" ht="14.25" customHeight="1">
      <c r="A35420" s="740"/>
    </row>
    <row r="35421" ht="14.25" customHeight="1">
      <c r="A35421" s="740"/>
    </row>
    <row r="35422" ht="14.25" customHeight="1">
      <c r="A35422" s="740"/>
    </row>
    <row r="35423" ht="14.25" customHeight="1">
      <c r="A35423" s="740"/>
    </row>
    <row r="35424" ht="14.25" customHeight="1">
      <c r="A35424" s="740"/>
    </row>
    <row r="35425" ht="14.25" customHeight="1">
      <c r="A35425" s="740"/>
    </row>
    <row r="35426" ht="14.25" customHeight="1">
      <c r="A35426" s="740"/>
    </row>
    <row r="35427" ht="14.25" customHeight="1">
      <c r="A35427" s="740"/>
    </row>
    <row r="35428" ht="14.25" customHeight="1">
      <c r="A35428" s="740"/>
    </row>
    <row r="35429" ht="14.25" customHeight="1">
      <c r="A35429" s="740"/>
    </row>
    <row r="35430" ht="14.25" customHeight="1">
      <c r="A35430" s="740"/>
    </row>
    <row r="35431" ht="14.25" customHeight="1">
      <c r="A35431" s="740"/>
    </row>
    <row r="35432" ht="14.25" customHeight="1">
      <c r="A35432" s="740"/>
    </row>
    <row r="35433" ht="14.25" customHeight="1">
      <c r="A35433" s="740"/>
    </row>
    <row r="35434" ht="14.25" customHeight="1">
      <c r="A35434" s="740"/>
    </row>
    <row r="35435" ht="14.25" customHeight="1">
      <c r="A35435" s="740"/>
    </row>
    <row r="35436" ht="14.25" customHeight="1">
      <c r="A35436" s="740"/>
    </row>
    <row r="35437" ht="14.25" customHeight="1">
      <c r="A35437" s="740"/>
    </row>
    <row r="35438" ht="14.25" customHeight="1">
      <c r="A35438" s="740"/>
    </row>
    <row r="35439" ht="14.25" customHeight="1">
      <c r="A35439" s="740"/>
    </row>
    <row r="35440" ht="14.25" customHeight="1">
      <c r="A35440" s="740"/>
    </row>
    <row r="35441" ht="14.25" customHeight="1">
      <c r="A35441" s="740"/>
    </row>
    <row r="35442" ht="14.25" customHeight="1">
      <c r="A35442" s="740"/>
    </row>
    <row r="35443" ht="14.25" customHeight="1">
      <c r="A35443" s="740"/>
    </row>
    <row r="35444" ht="14.25" customHeight="1">
      <c r="A35444" s="740"/>
    </row>
    <row r="35445" ht="14.25" customHeight="1">
      <c r="A35445" s="740"/>
    </row>
    <row r="35446" ht="14.25" customHeight="1">
      <c r="A35446" s="740"/>
    </row>
    <row r="35447" ht="14.25" customHeight="1">
      <c r="A35447" s="740"/>
    </row>
    <row r="35448" ht="14.25" customHeight="1">
      <c r="A35448" s="740"/>
    </row>
    <row r="35449" ht="14.25" customHeight="1">
      <c r="A35449" s="740"/>
    </row>
    <row r="35450" ht="14.25" customHeight="1">
      <c r="A35450" s="740"/>
    </row>
    <row r="35451" ht="14.25" customHeight="1">
      <c r="A35451" s="740"/>
    </row>
    <row r="35452" ht="14.25" customHeight="1">
      <c r="A35452" s="740"/>
    </row>
    <row r="35453" ht="14.25" customHeight="1">
      <c r="A35453" s="740"/>
    </row>
    <row r="35454" ht="14.25" customHeight="1">
      <c r="A35454" s="740"/>
    </row>
    <row r="35455" ht="14.25" customHeight="1">
      <c r="A35455" s="740"/>
    </row>
    <row r="35456" ht="14.25" customHeight="1">
      <c r="A35456" s="740"/>
    </row>
    <row r="35457" ht="14.25" customHeight="1">
      <c r="A35457" s="740"/>
    </row>
    <row r="35458" ht="14.25" customHeight="1">
      <c r="A35458" s="740"/>
    </row>
    <row r="35459" ht="14.25" customHeight="1">
      <c r="A35459" s="740"/>
    </row>
    <row r="35460" ht="14.25" customHeight="1">
      <c r="A35460" s="740"/>
    </row>
    <row r="35461" ht="14.25" customHeight="1">
      <c r="A35461" s="740"/>
    </row>
    <row r="35462" ht="14.25" customHeight="1">
      <c r="A35462" s="740"/>
    </row>
    <row r="35463" ht="14.25" customHeight="1">
      <c r="A35463" s="740"/>
    </row>
    <row r="35464" ht="14.25" customHeight="1">
      <c r="A35464" s="740"/>
    </row>
    <row r="35465" ht="14.25" customHeight="1">
      <c r="A35465" s="740"/>
    </row>
    <row r="35466" ht="14.25" customHeight="1">
      <c r="A35466" s="740"/>
    </row>
    <row r="35467" ht="14.25" customHeight="1">
      <c r="A35467" s="740"/>
    </row>
    <row r="35468" ht="14.25" customHeight="1">
      <c r="A35468" s="740"/>
    </row>
    <row r="35469" ht="14.25" customHeight="1">
      <c r="A35469" s="740"/>
    </row>
    <row r="35470" ht="14.25" customHeight="1">
      <c r="A35470" s="740"/>
    </row>
    <row r="35471" ht="14.25" customHeight="1">
      <c r="A35471" s="740"/>
    </row>
    <row r="35472" ht="14.25" customHeight="1">
      <c r="A35472" s="740"/>
    </row>
    <row r="35473" ht="14.25" customHeight="1">
      <c r="A35473" s="740"/>
    </row>
    <row r="35474" ht="14.25" customHeight="1">
      <c r="A35474" s="740"/>
    </row>
    <row r="35475" ht="14.25" customHeight="1">
      <c r="A35475" s="740"/>
    </row>
    <row r="35476" ht="14.25" customHeight="1">
      <c r="A35476" s="740"/>
    </row>
    <row r="35477" ht="14.25" customHeight="1">
      <c r="A35477" s="740"/>
    </row>
    <row r="35478" ht="14.25" customHeight="1">
      <c r="A35478" s="740"/>
    </row>
    <row r="35479" ht="14.25" customHeight="1">
      <c r="A35479" s="740"/>
    </row>
    <row r="35480" ht="14.25" customHeight="1">
      <c r="A35480" s="740"/>
    </row>
    <row r="35481" ht="14.25" customHeight="1">
      <c r="A35481" s="740"/>
    </row>
    <row r="35482" ht="14.25" customHeight="1">
      <c r="A35482" s="740"/>
    </row>
    <row r="35483" ht="14.25" customHeight="1">
      <c r="A35483" s="740"/>
    </row>
    <row r="35484" ht="14.25" customHeight="1">
      <c r="A35484" s="740"/>
    </row>
    <row r="35485" ht="14.25" customHeight="1">
      <c r="A35485" s="740"/>
    </row>
    <row r="35486" ht="14.25" customHeight="1">
      <c r="A35486" s="740"/>
    </row>
    <row r="35487" ht="14.25" customHeight="1">
      <c r="A35487" s="740"/>
    </row>
    <row r="35488" ht="14.25" customHeight="1">
      <c r="A35488" s="740"/>
    </row>
    <row r="35489" ht="14.25" customHeight="1">
      <c r="A35489" s="740"/>
    </row>
    <row r="35490" ht="14.25" customHeight="1">
      <c r="A35490" s="740"/>
    </row>
    <row r="35491" ht="14.25" customHeight="1">
      <c r="A35491" s="740"/>
    </row>
    <row r="35492" ht="14.25" customHeight="1">
      <c r="A35492" s="740"/>
    </row>
    <row r="35493" ht="14.25" customHeight="1">
      <c r="A35493" s="740"/>
    </row>
    <row r="35494" ht="14.25" customHeight="1">
      <c r="A35494" s="740"/>
    </row>
    <row r="35495" ht="14.25" customHeight="1">
      <c r="A35495" s="740"/>
    </row>
    <row r="35496" ht="14.25" customHeight="1">
      <c r="A35496" s="740"/>
    </row>
    <row r="35497" ht="14.25" customHeight="1">
      <c r="A35497" s="740"/>
    </row>
    <row r="35498" ht="14.25" customHeight="1">
      <c r="A35498" s="740"/>
    </row>
    <row r="35499" ht="14.25" customHeight="1">
      <c r="A35499" s="740"/>
    </row>
    <row r="35500" ht="14.25" customHeight="1">
      <c r="A35500" s="740"/>
    </row>
    <row r="35501" ht="14.25" customHeight="1">
      <c r="A35501" s="740"/>
    </row>
    <row r="35502" ht="14.25" customHeight="1">
      <c r="A35502" s="740"/>
    </row>
    <row r="35503" ht="14.25" customHeight="1">
      <c r="A35503" s="740"/>
    </row>
    <row r="35504" ht="14.25" customHeight="1">
      <c r="A35504" s="740"/>
    </row>
    <row r="35505" ht="14.25" customHeight="1">
      <c r="A35505" s="740"/>
    </row>
    <row r="35506" ht="14.25" customHeight="1">
      <c r="A35506" s="740"/>
    </row>
    <row r="35507" ht="14.25" customHeight="1">
      <c r="A35507" s="740"/>
    </row>
    <row r="35508" ht="14.25" customHeight="1">
      <c r="A35508" s="740"/>
    </row>
    <row r="35509" ht="14.25" customHeight="1">
      <c r="A35509" s="740"/>
    </row>
    <row r="35510" ht="14.25" customHeight="1">
      <c r="A35510" s="740"/>
    </row>
    <row r="35511" ht="14.25" customHeight="1">
      <c r="A35511" s="740"/>
    </row>
    <row r="35512" ht="14.25" customHeight="1">
      <c r="A35512" s="740"/>
    </row>
    <row r="35513" ht="14.25" customHeight="1">
      <c r="A35513" s="740"/>
    </row>
    <row r="35514" ht="14.25" customHeight="1">
      <c r="A35514" s="740"/>
    </row>
    <row r="35515" ht="14.25" customHeight="1">
      <c r="A35515" s="740"/>
    </row>
    <row r="35516" ht="14.25" customHeight="1">
      <c r="A35516" s="740"/>
    </row>
    <row r="35517" ht="14.25" customHeight="1">
      <c r="A35517" s="740"/>
    </row>
    <row r="35518" ht="14.25" customHeight="1">
      <c r="A35518" s="740"/>
    </row>
    <row r="35519" ht="14.25" customHeight="1">
      <c r="A35519" s="740"/>
    </row>
    <row r="35520" ht="14.25" customHeight="1">
      <c r="A35520" s="740"/>
    </row>
    <row r="35521" ht="14.25" customHeight="1">
      <c r="A35521" s="740"/>
    </row>
    <row r="35522" ht="14.25" customHeight="1">
      <c r="A35522" s="740"/>
    </row>
    <row r="35523" ht="14.25" customHeight="1">
      <c r="A35523" s="740"/>
    </row>
    <row r="35524" ht="14.25" customHeight="1">
      <c r="A35524" s="740"/>
    </row>
    <row r="35525" ht="14.25" customHeight="1">
      <c r="A35525" s="740"/>
    </row>
    <row r="35526" ht="14.25" customHeight="1">
      <c r="A35526" s="740"/>
    </row>
    <row r="35527" ht="14.25" customHeight="1">
      <c r="A35527" s="740"/>
    </row>
    <row r="35528" ht="14.25" customHeight="1">
      <c r="A35528" s="740"/>
    </row>
    <row r="35529" ht="14.25" customHeight="1">
      <c r="A35529" s="740"/>
    </row>
    <row r="35530" ht="14.25" customHeight="1">
      <c r="A35530" s="740"/>
    </row>
    <row r="35531" ht="14.25" customHeight="1">
      <c r="A35531" s="740"/>
    </row>
    <row r="35532" ht="14.25" customHeight="1">
      <c r="A35532" s="740"/>
    </row>
    <row r="35533" ht="14.25" customHeight="1">
      <c r="A35533" s="740"/>
    </row>
    <row r="35534" ht="14.25" customHeight="1">
      <c r="A35534" s="740"/>
    </row>
    <row r="35535" ht="14.25" customHeight="1">
      <c r="A35535" s="740"/>
    </row>
    <row r="35536" ht="14.25" customHeight="1">
      <c r="A35536" s="740"/>
    </row>
    <row r="35537" ht="14.25" customHeight="1">
      <c r="A35537" s="740"/>
    </row>
    <row r="35538" ht="14.25" customHeight="1">
      <c r="A35538" s="740"/>
    </row>
    <row r="35539" ht="14.25" customHeight="1">
      <c r="A35539" s="740"/>
    </row>
    <row r="35540" ht="14.25" customHeight="1">
      <c r="A35540" s="740"/>
    </row>
    <row r="35541" ht="14.25" customHeight="1">
      <c r="A35541" s="740"/>
    </row>
    <row r="35542" ht="14.25" customHeight="1">
      <c r="A35542" s="740"/>
    </row>
    <row r="35543" ht="14.25" customHeight="1">
      <c r="A35543" s="740"/>
    </row>
    <row r="35544" ht="14.25" customHeight="1">
      <c r="A35544" s="740"/>
    </row>
    <row r="35545" ht="14.25" customHeight="1">
      <c r="A35545" s="740"/>
    </row>
    <row r="35546" ht="14.25" customHeight="1">
      <c r="A35546" s="740"/>
    </row>
    <row r="35547" ht="14.25" customHeight="1">
      <c r="A35547" s="740"/>
    </row>
    <row r="35548" ht="14.25" customHeight="1">
      <c r="A35548" s="740"/>
    </row>
    <row r="35549" ht="14.25" customHeight="1">
      <c r="A35549" s="740"/>
    </row>
    <row r="35550" ht="14.25" customHeight="1">
      <c r="A35550" s="740"/>
    </row>
    <row r="35551" ht="14.25" customHeight="1">
      <c r="A35551" s="740"/>
    </row>
    <row r="35552" ht="14.25" customHeight="1">
      <c r="A35552" s="740"/>
    </row>
    <row r="35553" ht="14.25" customHeight="1">
      <c r="A35553" s="740"/>
    </row>
    <row r="35554" ht="14.25" customHeight="1">
      <c r="A35554" s="740"/>
    </row>
    <row r="35555" ht="14.25" customHeight="1">
      <c r="A35555" s="740"/>
    </row>
    <row r="35556" ht="14.25" customHeight="1">
      <c r="A35556" s="740"/>
    </row>
    <row r="35557" ht="14.25" customHeight="1">
      <c r="A35557" s="740"/>
    </row>
    <row r="35558" ht="14.25" customHeight="1">
      <c r="A35558" s="740"/>
    </row>
    <row r="35559" ht="14.25" customHeight="1">
      <c r="A35559" s="740"/>
    </row>
    <row r="35560" ht="14.25" customHeight="1">
      <c r="A35560" s="740"/>
    </row>
    <row r="35561" ht="14.25" customHeight="1">
      <c r="A35561" s="740"/>
    </row>
    <row r="35562" ht="14.25" customHeight="1">
      <c r="A35562" s="740"/>
    </row>
    <row r="35563" ht="14.25" customHeight="1">
      <c r="A35563" s="740"/>
    </row>
    <row r="35564" ht="14.25" customHeight="1">
      <c r="A35564" s="740"/>
    </row>
    <row r="35565" ht="14.25" customHeight="1">
      <c r="A35565" s="740"/>
    </row>
    <row r="35566" ht="14.25" customHeight="1">
      <c r="A35566" s="740"/>
    </row>
    <row r="35567" ht="14.25" customHeight="1">
      <c r="A35567" s="740"/>
    </row>
    <row r="35568" ht="14.25" customHeight="1">
      <c r="A35568" s="740"/>
    </row>
    <row r="35569" ht="14.25" customHeight="1">
      <c r="A35569" s="740"/>
    </row>
    <row r="35570" ht="14.25" customHeight="1">
      <c r="A35570" s="740"/>
    </row>
    <row r="35571" ht="14.25" customHeight="1">
      <c r="A35571" s="740"/>
    </row>
    <row r="35572" ht="14.25" customHeight="1">
      <c r="A35572" s="740"/>
    </row>
    <row r="35573" ht="14.25" customHeight="1">
      <c r="A35573" s="740"/>
    </row>
    <row r="35574" ht="14.25" customHeight="1">
      <c r="A35574" s="740"/>
    </row>
    <row r="35575" ht="14.25" customHeight="1">
      <c r="A35575" s="740"/>
    </row>
    <row r="35576" ht="14.25" customHeight="1">
      <c r="A35576" s="740"/>
    </row>
    <row r="35577" ht="14.25" customHeight="1">
      <c r="A35577" s="740"/>
    </row>
    <row r="35578" ht="14.25" customHeight="1">
      <c r="A35578" s="740"/>
    </row>
    <row r="35579" ht="14.25" customHeight="1">
      <c r="A35579" s="740"/>
    </row>
    <row r="35580" ht="14.25" customHeight="1">
      <c r="A35580" s="740"/>
    </row>
    <row r="35581" ht="14.25" customHeight="1">
      <c r="A35581" s="740"/>
    </row>
    <row r="35582" ht="14.25" customHeight="1">
      <c r="A35582" s="740"/>
    </row>
    <row r="35583" ht="14.25" customHeight="1">
      <c r="A35583" s="740"/>
    </row>
    <row r="35584" ht="14.25" customHeight="1">
      <c r="A35584" s="740"/>
    </row>
    <row r="35585" ht="14.25" customHeight="1">
      <c r="A35585" s="740"/>
    </row>
    <row r="35586" ht="14.25" customHeight="1">
      <c r="A35586" s="740"/>
    </row>
    <row r="35587" ht="14.25" customHeight="1">
      <c r="A35587" s="740"/>
    </row>
    <row r="35588" ht="14.25" customHeight="1">
      <c r="A35588" s="740"/>
    </row>
    <row r="35589" ht="14.25" customHeight="1">
      <c r="A35589" s="740"/>
    </row>
    <row r="35590" ht="14.25" customHeight="1">
      <c r="A35590" s="740"/>
    </row>
    <row r="35591" ht="14.25" customHeight="1">
      <c r="A35591" s="740"/>
    </row>
    <row r="35592" ht="14.25" customHeight="1">
      <c r="A35592" s="740"/>
    </row>
    <row r="35593" ht="14.25" customHeight="1">
      <c r="A35593" s="740"/>
    </row>
    <row r="35594" ht="14.25" customHeight="1">
      <c r="A35594" s="740"/>
    </row>
    <row r="35595" ht="14.25" customHeight="1">
      <c r="A35595" s="740"/>
    </row>
    <row r="35596" ht="14.25" customHeight="1">
      <c r="A35596" s="740"/>
    </row>
    <row r="35597" ht="14.25" customHeight="1">
      <c r="A35597" s="740"/>
    </row>
    <row r="35598" ht="14.25" customHeight="1">
      <c r="A35598" s="740"/>
    </row>
    <row r="35599" ht="14.25" customHeight="1">
      <c r="A35599" s="740"/>
    </row>
    <row r="35600" ht="14.25" customHeight="1">
      <c r="A35600" s="740"/>
    </row>
    <row r="35601" ht="14.25" customHeight="1">
      <c r="A35601" s="740"/>
    </row>
    <row r="35602" ht="14.25" customHeight="1">
      <c r="A35602" s="740"/>
    </row>
    <row r="35603" ht="14.25" customHeight="1">
      <c r="A35603" s="740"/>
    </row>
    <row r="35604" ht="14.25" customHeight="1">
      <c r="A35604" s="740"/>
    </row>
    <row r="35605" ht="14.25" customHeight="1">
      <c r="A35605" s="740"/>
    </row>
    <row r="35606" ht="14.25" customHeight="1">
      <c r="A35606" s="740"/>
    </row>
    <row r="35607" ht="14.25" customHeight="1">
      <c r="A35607" s="740"/>
    </row>
    <row r="35608" ht="14.25" customHeight="1">
      <c r="A35608" s="740"/>
    </row>
    <row r="35609" ht="14.25" customHeight="1">
      <c r="A35609" s="740"/>
    </row>
    <row r="35610" ht="14.25" customHeight="1">
      <c r="A35610" s="740"/>
    </row>
    <row r="35611" ht="14.25" customHeight="1">
      <c r="A35611" s="740"/>
    </row>
    <row r="35612" ht="14.25" customHeight="1">
      <c r="A35612" s="740"/>
    </row>
    <row r="35613" ht="14.25" customHeight="1">
      <c r="A35613" s="740"/>
    </row>
    <row r="35614" ht="14.25" customHeight="1">
      <c r="A35614" s="740"/>
    </row>
    <row r="35615" ht="14.25" customHeight="1">
      <c r="A35615" s="740"/>
    </row>
    <row r="35616" ht="14.25" customHeight="1">
      <c r="A35616" s="740"/>
    </row>
    <row r="35617" ht="14.25" customHeight="1">
      <c r="A35617" s="740"/>
    </row>
    <row r="35618" ht="14.25" customHeight="1">
      <c r="A35618" s="740"/>
    </row>
    <row r="35619" ht="14.25" customHeight="1">
      <c r="A35619" s="740"/>
    </row>
    <row r="35620" ht="14.25" customHeight="1">
      <c r="A35620" s="740"/>
    </row>
    <row r="35621" ht="14.25" customHeight="1">
      <c r="A35621" s="740"/>
    </row>
    <row r="35622" ht="14.25" customHeight="1">
      <c r="A35622" s="740"/>
    </row>
    <row r="35623" ht="14.25" customHeight="1">
      <c r="A35623" s="740"/>
    </row>
    <row r="35624" ht="14.25" customHeight="1">
      <c r="A35624" s="740"/>
    </row>
    <row r="35625" ht="14.25" customHeight="1">
      <c r="A35625" s="740"/>
    </row>
    <row r="35626" ht="14.25" customHeight="1">
      <c r="A35626" s="740"/>
    </row>
    <row r="35627" ht="14.25" customHeight="1">
      <c r="A35627" s="740"/>
    </row>
    <row r="35628" ht="14.25" customHeight="1">
      <c r="A35628" s="740"/>
    </row>
    <row r="35629" ht="14.25" customHeight="1">
      <c r="A35629" s="740"/>
    </row>
    <row r="35630" ht="14.25" customHeight="1">
      <c r="A35630" s="740"/>
    </row>
    <row r="35631" ht="14.25" customHeight="1">
      <c r="A35631" s="740"/>
    </row>
    <row r="35632" ht="14.25" customHeight="1">
      <c r="A35632" s="740"/>
    </row>
    <row r="35633" ht="14.25" customHeight="1">
      <c r="A35633" s="740"/>
    </row>
    <row r="35634" ht="14.25" customHeight="1">
      <c r="A35634" s="740"/>
    </row>
    <row r="35635" ht="14.25" customHeight="1">
      <c r="A35635" s="740"/>
    </row>
    <row r="35636" ht="14.25" customHeight="1">
      <c r="A35636" s="740"/>
    </row>
    <row r="35637" ht="14.25" customHeight="1">
      <c r="A35637" s="740"/>
    </row>
    <row r="35638" ht="14.25" customHeight="1">
      <c r="A35638" s="740"/>
    </row>
    <row r="35639" ht="14.25" customHeight="1">
      <c r="A35639" s="740"/>
    </row>
    <row r="35640" ht="14.25" customHeight="1">
      <c r="A35640" s="740"/>
    </row>
    <row r="35641" ht="14.25" customHeight="1">
      <c r="A35641" s="740"/>
    </row>
    <row r="35642" ht="14.25" customHeight="1">
      <c r="A35642" s="740"/>
    </row>
    <row r="35643" ht="14.25" customHeight="1">
      <c r="A35643" s="740"/>
    </row>
    <row r="35644" ht="14.25" customHeight="1">
      <c r="A35644" s="740"/>
    </row>
    <row r="35645" ht="14.25" customHeight="1">
      <c r="A35645" s="740"/>
    </row>
    <row r="35646" ht="14.25" customHeight="1">
      <c r="A35646" s="740"/>
    </row>
    <row r="35647" ht="14.25" customHeight="1">
      <c r="A35647" s="740"/>
    </row>
    <row r="35648" ht="14.25" customHeight="1">
      <c r="A35648" s="740"/>
    </row>
    <row r="35649" ht="14.25" customHeight="1">
      <c r="A35649" s="740"/>
    </row>
    <row r="35650" ht="14.25" customHeight="1">
      <c r="A35650" s="740"/>
    </row>
    <row r="35651" ht="14.25" customHeight="1">
      <c r="A35651" s="740"/>
    </row>
    <row r="35652" ht="14.25" customHeight="1">
      <c r="A35652" s="740"/>
    </row>
    <row r="35653" ht="14.25" customHeight="1">
      <c r="A35653" s="740"/>
    </row>
    <row r="35654" ht="14.25" customHeight="1">
      <c r="A35654" s="740"/>
    </row>
    <row r="35655" ht="14.25" customHeight="1">
      <c r="A35655" s="740"/>
    </row>
    <row r="35656" ht="14.25" customHeight="1">
      <c r="A35656" s="740"/>
    </row>
    <row r="35657" ht="14.25" customHeight="1">
      <c r="A35657" s="740"/>
    </row>
    <row r="35658" ht="14.25" customHeight="1">
      <c r="A35658" s="740"/>
    </row>
    <row r="35659" ht="14.25" customHeight="1">
      <c r="A35659" s="740"/>
    </row>
    <row r="35660" ht="14.25" customHeight="1">
      <c r="A35660" s="740"/>
    </row>
    <row r="35661" ht="14.25" customHeight="1">
      <c r="A35661" s="740"/>
    </row>
    <row r="35662" ht="14.25" customHeight="1">
      <c r="A35662" s="740"/>
    </row>
    <row r="35663" ht="14.25" customHeight="1">
      <c r="A35663" s="740"/>
    </row>
    <row r="35664" ht="14.25" customHeight="1">
      <c r="A35664" s="740"/>
    </row>
    <row r="35665" ht="14.25" customHeight="1">
      <c r="A35665" s="740"/>
    </row>
    <row r="35666" ht="14.25" customHeight="1">
      <c r="A35666" s="740"/>
    </row>
    <row r="35667" ht="14.25" customHeight="1">
      <c r="A35667" s="740"/>
    </row>
    <row r="35668" ht="14.25" customHeight="1">
      <c r="A35668" s="740"/>
    </row>
    <row r="35669" ht="14.25" customHeight="1">
      <c r="A35669" s="740"/>
    </row>
    <row r="35670" ht="14.25" customHeight="1">
      <c r="A35670" s="740"/>
    </row>
    <row r="35671" ht="14.25" customHeight="1">
      <c r="A35671" s="740"/>
    </row>
    <row r="35672" ht="14.25" customHeight="1">
      <c r="A35672" s="740"/>
    </row>
    <row r="35673" ht="14.25" customHeight="1">
      <c r="A35673" s="740"/>
    </row>
    <row r="35674" ht="14.25" customHeight="1">
      <c r="A35674" s="740"/>
    </row>
    <row r="35675" ht="14.25" customHeight="1">
      <c r="A35675" s="740"/>
    </row>
    <row r="35676" ht="14.25" customHeight="1">
      <c r="A35676" s="740"/>
    </row>
    <row r="35677" ht="14.25" customHeight="1">
      <c r="A35677" s="740"/>
    </row>
    <row r="35678" ht="14.25" customHeight="1">
      <c r="A35678" s="740"/>
    </row>
    <row r="35679" ht="14.25" customHeight="1">
      <c r="A35679" s="740"/>
    </row>
    <row r="35680" ht="14.25" customHeight="1">
      <c r="A35680" s="740"/>
    </row>
    <row r="35681" ht="14.25" customHeight="1">
      <c r="A35681" s="740"/>
    </row>
    <row r="35682" ht="14.25" customHeight="1">
      <c r="A35682" s="740"/>
    </row>
    <row r="35683" ht="14.25" customHeight="1">
      <c r="A35683" s="740"/>
    </row>
    <row r="35684" ht="14.25" customHeight="1">
      <c r="A35684" s="740"/>
    </row>
    <row r="35685" ht="14.25" customHeight="1">
      <c r="A35685" s="740"/>
    </row>
    <row r="35686" ht="14.25" customHeight="1">
      <c r="A35686" s="740"/>
    </row>
    <row r="35687" ht="14.25" customHeight="1">
      <c r="A35687" s="740"/>
    </row>
    <row r="35688" ht="14.25" customHeight="1">
      <c r="A35688" s="740"/>
    </row>
    <row r="35689" ht="14.25" customHeight="1">
      <c r="A35689" s="740"/>
    </row>
    <row r="35690" ht="14.25" customHeight="1">
      <c r="A35690" s="740"/>
    </row>
    <row r="35691" ht="14.25" customHeight="1">
      <c r="A35691" s="740"/>
    </row>
    <row r="35692" ht="14.25" customHeight="1">
      <c r="A35692" s="740"/>
    </row>
    <row r="35693" ht="14.25" customHeight="1">
      <c r="A35693" s="740"/>
    </row>
    <row r="35694" ht="14.25" customHeight="1">
      <c r="A35694" s="740"/>
    </row>
    <row r="35695" ht="14.25" customHeight="1">
      <c r="A35695" s="740"/>
    </row>
    <row r="35696" ht="14.25" customHeight="1">
      <c r="A35696" s="740"/>
    </row>
    <row r="35697" ht="14.25" customHeight="1">
      <c r="A35697" s="740"/>
    </row>
    <row r="35698" ht="14.25" customHeight="1">
      <c r="A35698" s="740"/>
    </row>
    <row r="35699" ht="14.25" customHeight="1">
      <c r="A35699" s="740"/>
    </row>
    <row r="35700" ht="14.25" customHeight="1">
      <c r="A35700" s="740"/>
    </row>
    <row r="35701" ht="14.25" customHeight="1">
      <c r="A35701" s="740"/>
    </row>
    <row r="35702" ht="14.25" customHeight="1">
      <c r="A35702" s="740"/>
    </row>
    <row r="35703" ht="14.25" customHeight="1">
      <c r="A35703" s="740"/>
    </row>
    <row r="35704" ht="14.25" customHeight="1">
      <c r="A35704" s="740"/>
    </row>
    <row r="35705" ht="14.25" customHeight="1">
      <c r="A35705" s="740"/>
    </row>
    <row r="35706" ht="14.25" customHeight="1">
      <c r="A35706" s="740"/>
    </row>
    <row r="35707" ht="14.25" customHeight="1">
      <c r="A35707" s="740"/>
    </row>
    <row r="35708" ht="14.25" customHeight="1">
      <c r="A35708" s="740"/>
    </row>
    <row r="35709" ht="14.25" customHeight="1">
      <c r="A35709" s="740"/>
    </row>
    <row r="35710" ht="14.25" customHeight="1">
      <c r="A35710" s="740"/>
    </row>
    <row r="35711" ht="14.25" customHeight="1">
      <c r="A35711" s="740"/>
    </row>
    <row r="35712" ht="14.25" customHeight="1">
      <c r="A35712" s="740"/>
    </row>
    <row r="35713" ht="14.25" customHeight="1">
      <c r="A35713" s="740"/>
    </row>
    <row r="35714" ht="14.25" customHeight="1">
      <c r="A35714" s="740"/>
    </row>
    <row r="35715" ht="14.25" customHeight="1">
      <c r="A35715" s="740"/>
    </row>
    <row r="35716" ht="14.25" customHeight="1">
      <c r="A35716" s="740"/>
    </row>
    <row r="35717" ht="14.25" customHeight="1">
      <c r="A35717" s="740"/>
    </row>
    <row r="35718" ht="14.25" customHeight="1">
      <c r="A35718" s="740"/>
    </row>
    <row r="35719" ht="14.25" customHeight="1">
      <c r="A35719" s="740"/>
    </row>
    <row r="35720" ht="14.25" customHeight="1">
      <c r="A35720" s="740"/>
    </row>
    <row r="35721" ht="14.25" customHeight="1">
      <c r="A35721" s="740"/>
    </row>
    <row r="35722" ht="14.25" customHeight="1">
      <c r="A35722" s="740"/>
    </row>
    <row r="35723" ht="14.25" customHeight="1">
      <c r="A35723" s="740"/>
    </row>
    <row r="35724" ht="14.25" customHeight="1">
      <c r="A35724" s="740"/>
    </row>
    <row r="35725" ht="14.25" customHeight="1">
      <c r="A35725" s="740"/>
    </row>
    <row r="35726" ht="14.25" customHeight="1">
      <c r="A35726" s="740"/>
    </row>
    <row r="35727" ht="14.25" customHeight="1">
      <c r="A35727" s="740"/>
    </row>
    <row r="35728" ht="14.25" customHeight="1">
      <c r="A35728" s="740"/>
    </row>
    <row r="35729" ht="14.25" customHeight="1">
      <c r="A35729" s="740"/>
    </row>
    <row r="35730" ht="14.25" customHeight="1">
      <c r="A35730" s="740"/>
    </row>
    <row r="35731" ht="14.25" customHeight="1">
      <c r="A35731" s="740"/>
    </row>
    <row r="35732" ht="14.25" customHeight="1">
      <c r="A35732" s="740"/>
    </row>
    <row r="35733" ht="14.25" customHeight="1">
      <c r="A35733" s="740"/>
    </row>
    <row r="35734" ht="14.25" customHeight="1">
      <c r="A35734" s="740"/>
    </row>
    <row r="35735" ht="14.25" customHeight="1">
      <c r="A35735" s="740"/>
    </row>
    <row r="35736" ht="14.25" customHeight="1">
      <c r="A35736" s="740"/>
    </row>
    <row r="35737" ht="14.25" customHeight="1">
      <c r="A35737" s="740"/>
    </row>
    <row r="35738" ht="14.25" customHeight="1">
      <c r="A35738" s="740"/>
    </row>
    <row r="35739" ht="14.25" customHeight="1">
      <c r="A35739" s="740"/>
    </row>
    <row r="35740" ht="14.25" customHeight="1">
      <c r="A35740" s="740"/>
    </row>
    <row r="35741" ht="14.25" customHeight="1">
      <c r="A35741" s="740"/>
    </row>
    <row r="35742" ht="14.25" customHeight="1">
      <c r="A35742" s="740"/>
    </row>
    <row r="35743" ht="14.25" customHeight="1">
      <c r="A35743" s="740"/>
    </row>
    <row r="35744" ht="14.25" customHeight="1">
      <c r="A35744" s="740"/>
    </row>
    <row r="35745" ht="14.25" customHeight="1">
      <c r="A35745" s="740"/>
    </row>
    <row r="35746" ht="14.25" customHeight="1">
      <c r="A35746" s="740"/>
    </row>
    <row r="35747" ht="14.25" customHeight="1">
      <c r="A35747" s="740"/>
    </row>
    <row r="35748" ht="14.25" customHeight="1">
      <c r="A35748" s="740"/>
    </row>
    <row r="35749" ht="14.25" customHeight="1">
      <c r="A35749" s="740"/>
    </row>
    <row r="35750" ht="14.25" customHeight="1">
      <c r="A35750" s="740"/>
    </row>
    <row r="35751" ht="14.25" customHeight="1">
      <c r="A35751" s="740"/>
    </row>
    <row r="35752" ht="14.25" customHeight="1">
      <c r="A35752" s="740"/>
    </row>
    <row r="35753" ht="14.25" customHeight="1">
      <c r="A35753" s="740"/>
    </row>
    <row r="35754" ht="14.25" customHeight="1">
      <c r="A35754" s="740"/>
    </row>
    <row r="35755" ht="14.25" customHeight="1">
      <c r="A35755" s="740"/>
    </row>
    <row r="35756" ht="14.25" customHeight="1">
      <c r="A35756" s="740"/>
    </row>
    <row r="35757" ht="14.25" customHeight="1">
      <c r="A35757" s="740"/>
    </row>
    <row r="35758" ht="14.25" customHeight="1">
      <c r="A35758" s="740"/>
    </row>
    <row r="35759" ht="14.25" customHeight="1">
      <c r="A35759" s="740"/>
    </row>
    <row r="35760" ht="14.25" customHeight="1">
      <c r="A35760" s="740"/>
    </row>
    <row r="35761" ht="14.25" customHeight="1">
      <c r="A35761" s="740"/>
    </row>
    <row r="35762" ht="14.25" customHeight="1">
      <c r="A35762" s="740"/>
    </row>
    <row r="35763" ht="14.25" customHeight="1">
      <c r="A35763" s="740"/>
    </row>
    <row r="35764" ht="14.25" customHeight="1">
      <c r="A35764" s="740"/>
    </row>
    <row r="35765" ht="14.25" customHeight="1">
      <c r="A35765" s="740"/>
    </row>
    <row r="35766" ht="14.25" customHeight="1">
      <c r="A35766" s="740"/>
    </row>
    <row r="35767" ht="14.25" customHeight="1">
      <c r="A35767" s="740"/>
    </row>
    <row r="35768" ht="14.25" customHeight="1">
      <c r="A35768" s="740"/>
    </row>
    <row r="35769" ht="14.25" customHeight="1">
      <c r="A35769" s="740"/>
    </row>
    <row r="35770" ht="14.25" customHeight="1">
      <c r="A35770" s="740"/>
    </row>
    <row r="35771" ht="14.25" customHeight="1">
      <c r="A35771" s="740"/>
    </row>
    <row r="35772" ht="14.25" customHeight="1">
      <c r="A35772" s="740"/>
    </row>
    <row r="35773" ht="14.25" customHeight="1">
      <c r="A35773" s="740"/>
    </row>
    <row r="35774" ht="14.25" customHeight="1">
      <c r="A35774" s="740"/>
    </row>
    <row r="35775" ht="14.25" customHeight="1">
      <c r="A35775" s="740"/>
    </row>
    <row r="35776" ht="14.25" customHeight="1">
      <c r="A35776" s="740"/>
    </row>
    <row r="35777" ht="14.25" customHeight="1">
      <c r="A35777" s="740"/>
    </row>
    <row r="35778" ht="14.25" customHeight="1">
      <c r="A35778" s="740"/>
    </row>
    <row r="35779" ht="14.25" customHeight="1">
      <c r="A35779" s="740"/>
    </row>
    <row r="35780" ht="14.25" customHeight="1">
      <c r="A35780" s="740"/>
    </row>
    <row r="35781" ht="14.25" customHeight="1">
      <c r="A35781" s="740"/>
    </row>
    <row r="35782" ht="14.25" customHeight="1">
      <c r="A35782" s="740"/>
    </row>
    <row r="35783" ht="14.25" customHeight="1">
      <c r="A35783" s="740"/>
    </row>
    <row r="35784" ht="14.25" customHeight="1">
      <c r="A35784" s="740"/>
    </row>
    <row r="35785" ht="14.25" customHeight="1">
      <c r="A35785" s="740"/>
    </row>
    <row r="35786" ht="14.25" customHeight="1">
      <c r="A35786" s="740"/>
    </row>
    <row r="35787" ht="14.25" customHeight="1">
      <c r="A35787" s="740"/>
    </row>
    <row r="35788" ht="14.25" customHeight="1">
      <c r="A35788" s="740"/>
    </row>
    <row r="35789" ht="14.25" customHeight="1">
      <c r="A35789" s="740"/>
    </row>
    <row r="35790" ht="14.25" customHeight="1">
      <c r="A35790" s="740"/>
    </row>
    <row r="35791" ht="14.25" customHeight="1">
      <c r="A35791" s="740"/>
    </row>
    <row r="35792" ht="14.25" customHeight="1">
      <c r="A35792" s="740"/>
    </row>
    <row r="35793" ht="14.25" customHeight="1">
      <c r="A35793" s="740"/>
    </row>
    <row r="35794" ht="14.25" customHeight="1">
      <c r="A35794" s="740"/>
    </row>
    <row r="35795" ht="14.25" customHeight="1">
      <c r="A35795" s="740"/>
    </row>
    <row r="35796" ht="14.25" customHeight="1">
      <c r="A35796" s="740"/>
    </row>
    <row r="35797" ht="14.25" customHeight="1">
      <c r="A35797" s="740"/>
    </row>
    <row r="35798" ht="14.25" customHeight="1">
      <c r="A35798" s="740"/>
    </row>
    <row r="35799" ht="14.25" customHeight="1">
      <c r="A35799" s="740"/>
    </row>
    <row r="35800" ht="14.25" customHeight="1">
      <c r="A35800" s="740"/>
    </row>
    <row r="35801" ht="14.25" customHeight="1">
      <c r="A35801" s="740"/>
    </row>
    <row r="35802" ht="14.25" customHeight="1">
      <c r="A35802" s="740"/>
    </row>
    <row r="35803" ht="14.25" customHeight="1">
      <c r="A35803" s="740"/>
    </row>
    <row r="35804" ht="14.25" customHeight="1">
      <c r="A35804" s="740"/>
    </row>
    <row r="35805" ht="14.25" customHeight="1">
      <c r="A35805" s="740"/>
    </row>
    <row r="35806" ht="14.25" customHeight="1">
      <c r="A35806" s="740"/>
    </row>
    <row r="35807" ht="14.25" customHeight="1">
      <c r="A35807" s="740"/>
    </row>
    <row r="35808" ht="14.25" customHeight="1">
      <c r="A35808" s="740"/>
    </row>
    <row r="35809" ht="14.25" customHeight="1">
      <c r="A35809" s="740"/>
    </row>
    <row r="35810" ht="14.25" customHeight="1">
      <c r="A35810" s="740"/>
    </row>
    <row r="35811" ht="14.25" customHeight="1">
      <c r="A35811" s="740"/>
    </row>
    <row r="35812" ht="14.25" customHeight="1">
      <c r="A35812" s="740"/>
    </row>
    <row r="35813" ht="14.25" customHeight="1">
      <c r="A35813" s="740"/>
    </row>
    <row r="35814" ht="14.25" customHeight="1">
      <c r="A35814" s="740"/>
    </row>
    <row r="35815" ht="14.25" customHeight="1">
      <c r="A35815" s="740"/>
    </row>
    <row r="35816" ht="14.25" customHeight="1">
      <c r="A35816" s="740"/>
    </row>
    <row r="35817" ht="14.25" customHeight="1">
      <c r="A35817" s="740"/>
    </row>
    <row r="35818" ht="14.25" customHeight="1">
      <c r="A35818" s="740"/>
    </row>
    <row r="35819" ht="14.25" customHeight="1">
      <c r="A35819" s="740"/>
    </row>
    <row r="35820" ht="14.25" customHeight="1">
      <c r="A35820" s="740"/>
    </row>
    <row r="35821" ht="14.25" customHeight="1">
      <c r="A35821" s="740"/>
    </row>
    <row r="35822" ht="14.25" customHeight="1">
      <c r="A35822" s="740"/>
    </row>
    <row r="35823" ht="14.25" customHeight="1">
      <c r="A35823" s="740"/>
    </row>
    <row r="35824" ht="14.25" customHeight="1">
      <c r="A35824" s="740"/>
    </row>
    <row r="35825" ht="14.25" customHeight="1">
      <c r="A35825" s="740"/>
    </row>
    <row r="35826" ht="14.25" customHeight="1">
      <c r="A35826" s="740"/>
    </row>
    <row r="35827" ht="14.25" customHeight="1">
      <c r="A35827" s="740"/>
    </row>
    <row r="35828" ht="14.25" customHeight="1">
      <c r="A35828" s="740"/>
    </row>
    <row r="35829" ht="14.25" customHeight="1">
      <c r="A35829" s="740"/>
    </row>
    <row r="35830" ht="14.25" customHeight="1">
      <c r="A35830" s="740"/>
    </row>
    <row r="35831" ht="14.25" customHeight="1">
      <c r="A35831" s="740"/>
    </row>
    <row r="35832" ht="14.25" customHeight="1">
      <c r="A35832" s="740"/>
    </row>
    <row r="35833" ht="14.25" customHeight="1">
      <c r="A35833" s="740"/>
    </row>
    <row r="35834" ht="14.25" customHeight="1">
      <c r="A35834" s="740"/>
    </row>
    <row r="35835" ht="14.25" customHeight="1">
      <c r="A35835" s="740"/>
    </row>
    <row r="35836" ht="14.25" customHeight="1">
      <c r="A35836" s="740"/>
    </row>
    <row r="35837" ht="14.25" customHeight="1">
      <c r="A35837" s="740"/>
    </row>
    <row r="35838" ht="14.25" customHeight="1">
      <c r="A35838" s="740"/>
    </row>
    <row r="35839" ht="14.25" customHeight="1">
      <c r="A35839" s="740"/>
    </row>
    <row r="35840" ht="14.25" customHeight="1">
      <c r="A35840" s="740"/>
    </row>
    <row r="35841" ht="14.25" customHeight="1">
      <c r="A35841" s="740"/>
    </row>
    <row r="35842" ht="14.25" customHeight="1">
      <c r="A35842" s="740"/>
    </row>
    <row r="35843" ht="14.25" customHeight="1">
      <c r="A35843" s="740"/>
    </row>
    <row r="35844" ht="14.25" customHeight="1">
      <c r="A35844" s="740"/>
    </row>
    <row r="35845" ht="14.25" customHeight="1">
      <c r="A35845" s="740"/>
    </row>
    <row r="35846" ht="14.25" customHeight="1">
      <c r="A35846" s="740"/>
    </row>
    <row r="35847" ht="14.25" customHeight="1">
      <c r="A35847" s="740"/>
    </row>
    <row r="35848" ht="14.25" customHeight="1">
      <c r="A35848" s="740"/>
    </row>
    <row r="35849" ht="14.25" customHeight="1">
      <c r="A35849" s="740"/>
    </row>
    <row r="35850" ht="14.25" customHeight="1">
      <c r="A35850" s="740"/>
    </row>
    <row r="35851" ht="14.25" customHeight="1">
      <c r="A35851" s="740"/>
    </row>
    <row r="35852" ht="14.25" customHeight="1">
      <c r="A35852" s="740"/>
    </row>
    <row r="35853" ht="14.25" customHeight="1">
      <c r="A35853" s="740"/>
    </row>
    <row r="35854" ht="14.25" customHeight="1">
      <c r="A35854" s="740"/>
    </row>
    <row r="35855" ht="14.25" customHeight="1">
      <c r="A35855" s="740"/>
    </row>
    <row r="35856" ht="14.25" customHeight="1">
      <c r="A35856" s="740"/>
    </row>
    <row r="35857" ht="14.25" customHeight="1">
      <c r="A35857" s="740"/>
    </row>
    <row r="35858" ht="14.25" customHeight="1">
      <c r="A35858" s="740"/>
    </row>
    <row r="35859" ht="14.25" customHeight="1">
      <c r="A35859" s="740"/>
    </row>
    <row r="35860" ht="14.25" customHeight="1">
      <c r="A35860" s="740"/>
    </row>
    <row r="35861" ht="14.25" customHeight="1">
      <c r="A35861" s="740"/>
    </row>
    <row r="35862" ht="14.25" customHeight="1">
      <c r="A35862" s="740"/>
    </row>
    <row r="35863" ht="14.25" customHeight="1">
      <c r="A35863" s="740"/>
    </row>
    <row r="35864" ht="14.25" customHeight="1">
      <c r="A35864" s="740"/>
    </row>
    <row r="35865" ht="14.25" customHeight="1">
      <c r="A35865" s="740"/>
    </row>
    <row r="35866" ht="14.25" customHeight="1">
      <c r="A35866" s="740"/>
    </row>
    <row r="35867" ht="14.25" customHeight="1">
      <c r="A35867" s="740"/>
    </row>
    <row r="35868" ht="14.25" customHeight="1">
      <c r="A35868" s="740"/>
    </row>
    <row r="35869" ht="14.25" customHeight="1">
      <c r="A35869" s="740"/>
    </row>
    <row r="35870" ht="14.25" customHeight="1">
      <c r="A35870" s="740"/>
    </row>
    <row r="35871" ht="14.25" customHeight="1">
      <c r="A35871" s="740"/>
    </row>
    <row r="35872" ht="14.25" customHeight="1">
      <c r="A35872" s="740"/>
    </row>
    <row r="35873" ht="14.25" customHeight="1">
      <c r="A35873" s="740"/>
    </row>
    <row r="35874" ht="14.25" customHeight="1">
      <c r="A35874" s="740"/>
    </row>
    <row r="35875" ht="14.25" customHeight="1">
      <c r="A35875" s="740"/>
    </row>
    <row r="35876" ht="14.25" customHeight="1">
      <c r="A35876" s="740"/>
    </row>
    <row r="35877" ht="14.25" customHeight="1">
      <c r="A35877" s="740"/>
    </row>
    <row r="35878" ht="14.25" customHeight="1">
      <c r="A35878" s="740"/>
    </row>
    <row r="35879" ht="14.25" customHeight="1">
      <c r="A35879" s="740"/>
    </row>
    <row r="35880" ht="14.25" customHeight="1">
      <c r="A35880" s="740"/>
    </row>
    <row r="35881" ht="14.25" customHeight="1">
      <c r="A35881" s="740"/>
    </row>
    <row r="35882" ht="14.25" customHeight="1">
      <c r="A35882" s="740"/>
    </row>
    <row r="35883" ht="14.25" customHeight="1">
      <c r="A35883" s="740"/>
    </row>
    <row r="35884" ht="14.25" customHeight="1">
      <c r="A35884" s="740"/>
    </row>
    <row r="35885" ht="14.25" customHeight="1">
      <c r="A35885" s="740"/>
    </row>
    <row r="35886" ht="14.25" customHeight="1">
      <c r="A35886" s="740"/>
    </row>
    <row r="35887" ht="14.25" customHeight="1">
      <c r="A35887" s="740"/>
    </row>
    <row r="35888" ht="14.25" customHeight="1">
      <c r="A35888" s="740"/>
    </row>
    <row r="35889" ht="14.25" customHeight="1">
      <c r="A35889" s="740"/>
    </row>
    <row r="35890" ht="14.25" customHeight="1">
      <c r="A35890" s="740"/>
    </row>
    <row r="35891" ht="14.25" customHeight="1">
      <c r="A35891" s="740"/>
    </row>
    <row r="35892" ht="14.25" customHeight="1">
      <c r="A35892" s="740"/>
    </row>
    <row r="35893" ht="14.25" customHeight="1">
      <c r="A35893" s="740"/>
    </row>
    <row r="35894" ht="14.25" customHeight="1">
      <c r="A35894" s="740"/>
    </row>
    <row r="35895" ht="14.25" customHeight="1">
      <c r="A35895" s="740"/>
    </row>
    <row r="35896" ht="14.25" customHeight="1">
      <c r="A35896" s="740"/>
    </row>
    <row r="35897" ht="14.25" customHeight="1">
      <c r="A35897" s="740"/>
    </row>
    <row r="35898" ht="14.25" customHeight="1">
      <c r="A35898" s="740"/>
    </row>
    <row r="35899" ht="14.25" customHeight="1">
      <c r="A35899" s="740"/>
    </row>
    <row r="35900" ht="14.25" customHeight="1">
      <c r="A35900" s="740"/>
    </row>
    <row r="35901" ht="14.25" customHeight="1">
      <c r="A35901" s="740"/>
    </row>
    <row r="35902" ht="14.25" customHeight="1">
      <c r="A35902" s="740"/>
    </row>
    <row r="35903" ht="14.25" customHeight="1">
      <c r="A35903" s="740"/>
    </row>
    <row r="35904" ht="14.25" customHeight="1">
      <c r="A35904" s="740"/>
    </row>
    <row r="35905" ht="14.25" customHeight="1">
      <c r="A35905" s="740"/>
    </row>
    <row r="35906" ht="14.25" customHeight="1">
      <c r="A35906" s="740"/>
    </row>
    <row r="35907" ht="14.25" customHeight="1">
      <c r="A35907" s="740"/>
    </row>
    <row r="35908" ht="14.25" customHeight="1">
      <c r="A35908" s="740"/>
    </row>
    <row r="35909" ht="14.25" customHeight="1">
      <c r="A35909" s="740"/>
    </row>
    <row r="35910" ht="14.25" customHeight="1">
      <c r="A35910" s="740"/>
    </row>
    <row r="35911" ht="14.25" customHeight="1">
      <c r="A35911" s="740"/>
    </row>
    <row r="35912" ht="14.25" customHeight="1">
      <c r="A35912" s="740"/>
    </row>
    <row r="35913" ht="14.25" customHeight="1">
      <c r="A35913" s="740"/>
    </row>
    <row r="35914" ht="14.25" customHeight="1">
      <c r="A35914" s="740"/>
    </row>
    <row r="35915" ht="14.25" customHeight="1">
      <c r="A35915" s="740"/>
    </row>
    <row r="35916" ht="14.25" customHeight="1">
      <c r="A35916" s="740"/>
    </row>
    <row r="35917" ht="14.25" customHeight="1">
      <c r="A35917" s="740"/>
    </row>
    <row r="35918" ht="14.25" customHeight="1">
      <c r="A35918" s="740"/>
    </row>
    <row r="35919" ht="14.25" customHeight="1">
      <c r="A35919" s="740"/>
    </row>
    <row r="35920" ht="14.25" customHeight="1">
      <c r="A35920" s="740"/>
    </row>
    <row r="35921" ht="14.25" customHeight="1">
      <c r="A35921" s="740"/>
    </row>
    <row r="35922" ht="14.25" customHeight="1">
      <c r="A35922" s="740"/>
    </row>
    <row r="35923" ht="14.25" customHeight="1">
      <c r="A35923" s="740"/>
    </row>
    <row r="35924" ht="14.25" customHeight="1">
      <c r="A35924" s="740"/>
    </row>
    <row r="35925" ht="14.25" customHeight="1">
      <c r="A35925" s="740"/>
    </row>
    <row r="35926" ht="14.25" customHeight="1">
      <c r="A35926" s="740"/>
    </row>
    <row r="35927" ht="14.25" customHeight="1">
      <c r="A35927" s="740"/>
    </row>
    <row r="35928" ht="14.25" customHeight="1">
      <c r="A35928" s="740"/>
    </row>
    <row r="35929" ht="14.25" customHeight="1">
      <c r="A35929" s="740"/>
    </row>
    <row r="35930" ht="14.25" customHeight="1">
      <c r="A35930" s="740"/>
    </row>
    <row r="35931" ht="14.25" customHeight="1">
      <c r="A35931" s="740"/>
    </row>
    <row r="35932" ht="14.25" customHeight="1">
      <c r="A35932" s="740"/>
    </row>
    <row r="35933" ht="14.25" customHeight="1">
      <c r="A35933" s="740"/>
    </row>
    <row r="35934" ht="14.25" customHeight="1">
      <c r="A35934" s="740"/>
    </row>
    <row r="35935" ht="14.25" customHeight="1">
      <c r="A35935" s="740"/>
    </row>
    <row r="35936" ht="14.25" customHeight="1">
      <c r="A35936" s="740"/>
    </row>
    <row r="35937" ht="14.25" customHeight="1">
      <c r="A35937" s="740"/>
    </row>
    <row r="35938" ht="14.25" customHeight="1">
      <c r="A35938" s="740"/>
    </row>
    <row r="35939" ht="14.25" customHeight="1">
      <c r="A35939" s="740"/>
    </row>
    <row r="35940" ht="14.25" customHeight="1">
      <c r="A35940" s="740"/>
    </row>
    <row r="35941" ht="14.25" customHeight="1">
      <c r="A35941" s="740"/>
    </row>
    <row r="35942" ht="14.25" customHeight="1">
      <c r="A35942" s="740"/>
    </row>
    <row r="35943" ht="14.25" customHeight="1">
      <c r="A35943" s="740"/>
    </row>
    <row r="35944" ht="14.25" customHeight="1">
      <c r="A35944" s="740"/>
    </row>
    <row r="35945" ht="14.25" customHeight="1">
      <c r="A35945" s="740"/>
    </row>
    <row r="35946" ht="14.25" customHeight="1">
      <c r="A35946" s="740"/>
    </row>
    <row r="35947" ht="14.25" customHeight="1">
      <c r="A35947" s="740"/>
    </row>
    <row r="35948" ht="14.25" customHeight="1">
      <c r="A35948" s="740"/>
    </row>
    <row r="35949" ht="14.25" customHeight="1">
      <c r="A35949" s="740"/>
    </row>
    <row r="35950" ht="14.25" customHeight="1">
      <c r="A35950" s="740"/>
    </row>
    <row r="35951" ht="14.25" customHeight="1">
      <c r="A35951" s="740"/>
    </row>
    <row r="35952" ht="14.25" customHeight="1">
      <c r="A35952" s="740"/>
    </row>
    <row r="35953" ht="14.25" customHeight="1">
      <c r="A35953" s="740"/>
    </row>
    <row r="35954" ht="14.25" customHeight="1">
      <c r="A35954" s="740"/>
    </row>
    <row r="35955" ht="14.25" customHeight="1">
      <c r="A35955" s="740"/>
    </row>
    <row r="35956" ht="14.25" customHeight="1">
      <c r="A35956" s="740"/>
    </row>
    <row r="35957" ht="14.25" customHeight="1">
      <c r="A35957" s="740"/>
    </row>
    <row r="35958" ht="14.25" customHeight="1">
      <c r="A35958" s="740"/>
    </row>
    <row r="35959" ht="14.25" customHeight="1">
      <c r="A35959" s="740"/>
    </row>
    <row r="35960" ht="14.25" customHeight="1">
      <c r="A35960" s="740"/>
    </row>
    <row r="35961" ht="14.25" customHeight="1">
      <c r="A35961" s="740"/>
    </row>
    <row r="35962" ht="14.25" customHeight="1">
      <c r="A35962" s="740"/>
    </row>
    <row r="35963" ht="14.25" customHeight="1">
      <c r="A35963" s="740"/>
    </row>
    <row r="35964" ht="14.25" customHeight="1">
      <c r="A35964" s="740"/>
    </row>
    <row r="35965" ht="14.25" customHeight="1">
      <c r="A35965" s="740"/>
    </row>
    <row r="35966" ht="14.25" customHeight="1">
      <c r="A35966" s="740"/>
    </row>
    <row r="35967" ht="14.25" customHeight="1">
      <c r="A35967" s="740"/>
    </row>
    <row r="35968" ht="14.25" customHeight="1">
      <c r="A35968" s="740"/>
    </row>
    <row r="35969" ht="14.25" customHeight="1">
      <c r="A35969" s="740"/>
    </row>
    <row r="35970" ht="14.25" customHeight="1">
      <c r="A35970" s="740"/>
    </row>
    <row r="35971" ht="14.25" customHeight="1">
      <c r="A35971" s="740"/>
    </row>
    <row r="35972" ht="14.25" customHeight="1">
      <c r="A35972" s="740"/>
    </row>
    <row r="35973" ht="14.25" customHeight="1">
      <c r="A35973" s="740"/>
    </row>
    <row r="35974" ht="14.25" customHeight="1">
      <c r="A35974" s="740"/>
    </row>
    <row r="35975" ht="14.25" customHeight="1">
      <c r="A35975" s="740"/>
    </row>
    <row r="35976" ht="14.25" customHeight="1">
      <c r="A35976" s="740"/>
    </row>
    <row r="35977" ht="14.25" customHeight="1">
      <c r="A35977" s="740"/>
    </row>
    <row r="35978" ht="14.25" customHeight="1">
      <c r="A35978" s="740"/>
    </row>
    <row r="35979" ht="14.25" customHeight="1">
      <c r="A35979" s="740"/>
    </row>
    <row r="35980" ht="14.25" customHeight="1">
      <c r="A35980" s="740"/>
    </row>
    <row r="35981" ht="14.25" customHeight="1">
      <c r="A35981" s="740"/>
    </row>
    <row r="35982" ht="14.25" customHeight="1">
      <c r="A35982" s="740"/>
    </row>
    <row r="35983" ht="14.25" customHeight="1">
      <c r="A35983" s="740"/>
    </row>
    <row r="35984" ht="14.25" customHeight="1">
      <c r="A35984" s="740"/>
    </row>
    <row r="35985" ht="14.25" customHeight="1">
      <c r="A35985" s="740"/>
    </row>
    <row r="35986" ht="14.25" customHeight="1">
      <c r="A35986" s="740"/>
    </row>
    <row r="35987" ht="14.25" customHeight="1">
      <c r="A35987" s="740"/>
    </row>
    <row r="35988" ht="14.25" customHeight="1">
      <c r="A35988" s="740"/>
    </row>
    <row r="35989" ht="14.25" customHeight="1">
      <c r="A35989" s="740"/>
    </row>
    <row r="35990" ht="14.25" customHeight="1">
      <c r="A35990" s="740"/>
    </row>
    <row r="35991" ht="14.25" customHeight="1">
      <c r="A35991" s="740"/>
    </row>
    <row r="35992" ht="14.25" customHeight="1">
      <c r="A35992" s="740"/>
    </row>
    <row r="35993" ht="14.25" customHeight="1">
      <c r="A35993" s="740"/>
    </row>
    <row r="35994" ht="14.25" customHeight="1">
      <c r="A35994" s="740"/>
    </row>
    <row r="35995" ht="14.25" customHeight="1">
      <c r="A35995" s="740"/>
    </row>
    <row r="35996" ht="14.25" customHeight="1">
      <c r="A35996" s="740"/>
    </row>
    <row r="35997" ht="14.25" customHeight="1">
      <c r="A35997" s="740"/>
    </row>
    <row r="35998" ht="14.25" customHeight="1">
      <c r="A35998" s="740"/>
    </row>
    <row r="35999" ht="14.25" customHeight="1">
      <c r="A35999" s="740"/>
    </row>
    <row r="36000" ht="14.25" customHeight="1">
      <c r="A36000" s="740"/>
    </row>
    <row r="36001" ht="14.25" customHeight="1">
      <c r="A36001" s="740"/>
    </row>
    <row r="36002" ht="14.25" customHeight="1">
      <c r="A36002" s="740"/>
    </row>
    <row r="36003" ht="14.25" customHeight="1">
      <c r="A36003" s="740"/>
    </row>
    <row r="36004" ht="14.25" customHeight="1">
      <c r="A36004" s="740"/>
    </row>
    <row r="36005" ht="14.25" customHeight="1">
      <c r="A36005" s="740"/>
    </row>
    <row r="36006" ht="14.25" customHeight="1">
      <c r="A36006" s="740"/>
    </row>
    <row r="36007" ht="14.25" customHeight="1">
      <c r="A36007" s="740"/>
    </row>
    <row r="36008" ht="14.25" customHeight="1">
      <c r="A36008" s="740"/>
    </row>
    <row r="36009" ht="14.25" customHeight="1">
      <c r="A36009" s="740"/>
    </row>
    <row r="36010" ht="14.25" customHeight="1">
      <c r="A36010" s="740"/>
    </row>
    <row r="36011" ht="14.25" customHeight="1">
      <c r="A36011" s="740"/>
    </row>
    <row r="36012" ht="14.25" customHeight="1">
      <c r="A36012" s="740"/>
    </row>
    <row r="36013" ht="14.25" customHeight="1">
      <c r="A36013" s="740"/>
    </row>
    <row r="36014" ht="14.25" customHeight="1">
      <c r="A36014" s="740"/>
    </row>
    <row r="36015" ht="14.25" customHeight="1">
      <c r="A36015" s="740"/>
    </row>
    <row r="36016" ht="14.25" customHeight="1">
      <c r="A36016" s="740"/>
    </row>
    <row r="36017" ht="14.25" customHeight="1">
      <c r="A36017" s="740"/>
    </row>
    <row r="36018" ht="14.25" customHeight="1">
      <c r="A36018" s="740"/>
    </row>
    <row r="36019" ht="14.25" customHeight="1">
      <c r="A36019" s="740"/>
    </row>
    <row r="36020" ht="14.25" customHeight="1">
      <c r="A36020" s="740"/>
    </row>
    <row r="36021" ht="14.25" customHeight="1">
      <c r="A36021" s="740"/>
    </row>
    <row r="36022" ht="14.25" customHeight="1">
      <c r="A36022" s="740"/>
    </row>
    <row r="36023" ht="14.25" customHeight="1">
      <c r="A36023" s="740"/>
    </row>
    <row r="36024" ht="14.25" customHeight="1">
      <c r="A36024" s="740"/>
    </row>
    <row r="36025" ht="14.25" customHeight="1">
      <c r="A36025" s="740"/>
    </row>
    <row r="36026" ht="14.25" customHeight="1">
      <c r="A36026" s="740"/>
    </row>
    <row r="36027" ht="14.25" customHeight="1">
      <c r="A36027" s="740"/>
    </row>
    <row r="36028" ht="14.25" customHeight="1">
      <c r="A36028" s="740"/>
    </row>
    <row r="36029" ht="14.25" customHeight="1">
      <c r="A36029" s="740"/>
    </row>
    <row r="36030" ht="14.25" customHeight="1">
      <c r="A36030" s="740"/>
    </row>
    <row r="36031" ht="14.25" customHeight="1">
      <c r="A36031" s="740"/>
    </row>
    <row r="36032" ht="14.25" customHeight="1">
      <c r="A36032" s="740"/>
    </row>
    <row r="36033" ht="14.25" customHeight="1">
      <c r="A36033" s="740"/>
    </row>
    <row r="36034" ht="14.25" customHeight="1">
      <c r="A36034" s="740"/>
    </row>
    <row r="36035" ht="14.25" customHeight="1">
      <c r="A36035" s="740"/>
    </row>
    <row r="36036" ht="14.25" customHeight="1">
      <c r="A36036" s="740"/>
    </row>
    <row r="36037" ht="14.25" customHeight="1">
      <c r="A36037" s="740"/>
    </row>
    <row r="36038" ht="14.25" customHeight="1">
      <c r="A36038" s="740"/>
    </row>
    <row r="36039" ht="14.25" customHeight="1">
      <c r="A36039" s="740"/>
    </row>
    <row r="36040" ht="14.25" customHeight="1">
      <c r="A36040" s="740"/>
    </row>
    <row r="36041" ht="14.25" customHeight="1">
      <c r="A36041" s="740"/>
    </row>
    <row r="36042" ht="14.25" customHeight="1">
      <c r="A36042" s="740"/>
    </row>
    <row r="36043" ht="14.25" customHeight="1">
      <c r="A36043" s="740"/>
    </row>
    <row r="36044" ht="14.25" customHeight="1">
      <c r="A36044" s="740"/>
    </row>
    <row r="36045" ht="14.25" customHeight="1">
      <c r="A36045" s="740"/>
    </row>
    <row r="36046" ht="14.25" customHeight="1">
      <c r="A36046" s="740"/>
    </row>
    <row r="36047" ht="14.25" customHeight="1">
      <c r="A36047" s="740"/>
    </row>
    <row r="36048" ht="14.25" customHeight="1">
      <c r="A36048" s="740"/>
    </row>
    <row r="36049" ht="14.25" customHeight="1">
      <c r="A36049" s="740"/>
    </row>
    <row r="36050" ht="14.25" customHeight="1">
      <c r="A36050" s="740"/>
    </row>
    <row r="36051" ht="14.25" customHeight="1">
      <c r="A36051" s="740"/>
    </row>
    <row r="36052" ht="14.25" customHeight="1">
      <c r="A36052" s="740"/>
    </row>
    <row r="36053" ht="14.25" customHeight="1">
      <c r="A36053" s="740"/>
    </row>
    <row r="36054" ht="14.25" customHeight="1">
      <c r="A36054" s="740"/>
    </row>
    <row r="36055" ht="14.25" customHeight="1">
      <c r="A36055" s="740"/>
    </row>
    <row r="36056" ht="14.25" customHeight="1">
      <c r="A36056" s="740"/>
    </row>
    <row r="36057" ht="14.25" customHeight="1">
      <c r="A36057" s="740"/>
    </row>
    <row r="36058" ht="14.25" customHeight="1">
      <c r="A36058" s="740"/>
    </row>
    <row r="36059" ht="14.25" customHeight="1">
      <c r="A36059" s="740"/>
    </row>
    <row r="36060" ht="14.25" customHeight="1">
      <c r="A36060" s="740"/>
    </row>
    <row r="36061" ht="14.25" customHeight="1">
      <c r="A36061" s="740"/>
    </row>
    <row r="36062" ht="14.25" customHeight="1">
      <c r="A36062" s="740"/>
    </row>
    <row r="36063" ht="14.25" customHeight="1">
      <c r="A36063" s="740"/>
    </row>
    <row r="36064" ht="14.25" customHeight="1">
      <c r="A36064" s="740"/>
    </row>
    <row r="36065" ht="14.25" customHeight="1">
      <c r="A36065" s="740"/>
    </row>
    <row r="36066" ht="14.25" customHeight="1">
      <c r="A36066" s="740"/>
    </row>
    <row r="36067" ht="14.25" customHeight="1">
      <c r="A36067" s="740"/>
    </row>
    <row r="36068" ht="14.25" customHeight="1">
      <c r="A36068" s="740"/>
    </row>
    <row r="36069" ht="14.25" customHeight="1">
      <c r="A36069" s="740"/>
    </row>
    <row r="36070" ht="14.25" customHeight="1">
      <c r="A36070" s="740"/>
    </row>
    <row r="36071" ht="14.25" customHeight="1">
      <c r="A36071" s="740"/>
    </row>
    <row r="36072" ht="14.25" customHeight="1">
      <c r="A36072" s="740"/>
    </row>
    <row r="36073" ht="14.25" customHeight="1">
      <c r="A36073" s="740"/>
    </row>
    <row r="36074" ht="14.25" customHeight="1">
      <c r="A36074" s="740"/>
    </row>
    <row r="36075" ht="14.25" customHeight="1">
      <c r="A36075" s="740"/>
    </row>
    <row r="36076" ht="14.25" customHeight="1">
      <c r="A36076" s="740"/>
    </row>
    <row r="36077" ht="14.25" customHeight="1">
      <c r="A36077" s="740"/>
    </row>
    <row r="36078" ht="14.25" customHeight="1">
      <c r="A36078" s="740"/>
    </row>
    <row r="36079" ht="14.25" customHeight="1">
      <c r="A36079" s="740"/>
    </row>
    <row r="36080" ht="14.25" customHeight="1">
      <c r="A36080" s="740"/>
    </row>
    <row r="36081" ht="14.25" customHeight="1">
      <c r="A36081" s="740"/>
    </row>
    <row r="36082" ht="14.25" customHeight="1">
      <c r="A36082" s="740"/>
    </row>
    <row r="36083" ht="14.25" customHeight="1">
      <c r="A36083" s="740"/>
    </row>
    <row r="36084" ht="14.25" customHeight="1">
      <c r="A36084" s="740"/>
    </row>
    <row r="36085" ht="14.25" customHeight="1">
      <c r="A36085" s="740"/>
    </row>
    <row r="36086" ht="14.25" customHeight="1">
      <c r="A36086" s="740"/>
    </row>
    <row r="36087" ht="14.25" customHeight="1">
      <c r="A36087" s="740"/>
    </row>
    <row r="36088" ht="14.25" customHeight="1">
      <c r="A36088" s="740"/>
    </row>
    <row r="36089" ht="14.25" customHeight="1">
      <c r="A36089" s="740"/>
    </row>
    <row r="36090" ht="14.25" customHeight="1">
      <c r="A36090" s="740"/>
    </row>
    <row r="36091" ht="14.25" customHeight="1">
      <c r="A36091" s="740"/>
    </row>
    <row r="36092" ht="14.25" customHeight="1">
      <c r="A36092" s="740"/>
    </row>
    <row r="36093" ht="14.25" customHeight="1">
      <c r="A36093" s="740"/>
    </row>
    <row r="36094" ht="14.25" customHeight="1">
      <c r="A36094" s="740"/>
    </row>
    <row r="36095" ht="14.25" customHeight="1">
      <c r="A36095" s="740"/>
    </row>
    <row r="36096" ht="14.25" customHeight="1">
      <c r="A36096" s="740"/>
    </row>
    <row r="36097" ht="14.25" customHeight="1">
      <c r="A36097" s="740"/>
    </row>
    <row r="36098" ht="14.25" customHeight="1">
      <c r="A36098" s="740"/>
    </row>
    <row r="36099" ht="14.25" customHeight="1">
      <c r="A36099" s="740"/>
    </row>
    <row r="36100" ht="14.25" customHeight="1">
      <c r="A36100" s="740"/>
    </row>
    <row r="36101" ht="14.25" customHeight="1">
      <c r="A36101" s="740"/>
    </row>
    <row r="36102" ht="14.25" customHeight="1">
      <c r="A36102" s="740"/>
    </row>
    <row r="36103" ht="14.25" customHeight="1">
      <c r="A36103" s="740"/>
    </row>
    <row r="36104" ht="14.25" customHeight="1">
      <c r="A36104" s="740"/>
    </row>
    <row r="36105" ht="14.25" customHeight="1">
      <c r="A36105" s="740"/>
    </row>
    <row r="36106" ht="14.25" customHeight="1">
      <c r="A36106" s="740"/>
    </row>
    <row r="36107" ht="14.25" customHeight="1">
      <c r="A36107" s="740"/>
    </row>
    <row r="36108" ht="14.25" customHeight="1">
      <c r="A36108" s="740"/>
    </row>
    <row r="36109" ht="14.25" customHeight="1">
      <c r="A36109" s="740"/>
    </row>
    <row r="36110" ht="14.25" customHeight="1">
      <c r="A36110" s="740"/>
    </row>
    <row r="36111" ht="14.25" customHeight="1">
      <c r="A36111" s="740"/>
    </row>
    <row r="36112" ht="14.25" customHeight="1">
      <c r="A36112" s="740"/>
    </row>
    <row r="36113" ht="14.25" customHeight="1">
      <c r="A36113" s="740"/>
    </row>
    <row r="36114" ht="14.25" customHeight="1">
      <c r="A36114" s="740"/>
    </row>
    <row r="36115" ht="14.25" customHeight="1">
      <c r="A36115" s="740"/>
    </row>
    <row r="36116" ht="14.25" customHeight="1">
      <c r="A36116" s="740"/>
    </row>
    <row r="36117" ht="14.25" customHeight="1">
      <c r="A36117" s="740"/>
    </row>
    <row r="36118" ht="14.25" customHeight="1">
      <c r="A36118" s="740"/>
    </row>
    <row r="36119" ht="14.25" customHeight="1">
      <c r="A36119" s="740"/>
    </row>
    <row r="36120" ht="14.25" customHeight="1">
      <c r="A36120" s="740"/>
    </row>
    <row r="36121" ht="14.25" customHeight="1">
      <c r="A36121" s="740"/>
    </row>
    <row r="36122" ht="14.25" customHeight="1">
      <c r="A36122" s="740"/>
    </row>
    <row r="36123" ht="14.25" customHeight="1">
      <c r="A36123" s="740"/>
    </row>
    <row r="36124" ht="14.25" customHeight="1">
      <c r="A36124" s="740"/>
    </row>
    <row r="36125" ht="14.25" customHeight="1">
      <c r="A36125" s="740"/>
    </row>
    <row r="36126" ht="14.25" customHeight="1">
      <c r="A36126" s="740"/>
    </row>
    <row r="36127" ht="14.25" customHeight="1">
      <c r="A36127" s="740"/>
    </row>
    <row r="36128" ht="14.25" customHeight="1">
      <c r="A36128" s="740"/>
    </row>
    <row r="36129" ht="14.25" customHeight="1">
      <c r="A36129" s="740"/>
    </row>
    <row r="36130" ht="14.25" customHeight="1">
      <c r="A36130" s="740"/>
    </row>
    <row r="36131" ht="14.25" customHeight="1">
      <c r="A36131" s="740"/>
    </row>
    <row r="36132" ht="14.25" customHeight="1">
      <c r="A36132" s="740"/>
    </row>
    <row r="36133" ht="14.25" customHeight="1">
      <c r="A36133" s="740"/>
    </row>
    <row r="36134" ht="14.25" customHeight="1">
      <c r="A36134" s="740"/>
    </row>
    <row r="36135" ht="14.25" customHeight="1">
      <c r="A36135" s="740"/>
    </row>
    <row r="36136" ht="14.25" customHeight="1">
      <c r="A36136" s="740"/>
    </row>
    <row r="36137" ht="14.25" customHeight="1">
      <c r="A36137" s="740"/>
    </row>
    <row r="36138" ht="14.25" customHeight="1">
      <c r="A36138" s="740"/>
    </row>
    <row r="36139" ht="14.25" customHeight="1">
      <c r="A36139" s="740"/>
    </row>
    <row r="36140" ht="14.25" customHeight="1">
      <c r="A36140" s="740"/>
    </row>
    <row r="36141" ht="14.25" customHeight="1">
      <c r="A36141" s="740"/>
    </row>
    <row r="36142" ht="14.25" customHeight="1">
      <c r="A36142" s="740"/>
    </row>
    <row r="36143" ht="14.25" customHeight="1">
      <c r="A36143" s="740"/>
    </row>
    <row r="36144" ht="14.25" customHeight="1">
      <c r="A36144" s="740"/>
    </row>
    <row r="36145" ht="14.25" customHeight="1">
      <c r="A36145" s="740"/>
    </row>
    <row r="36146" ht="14.25" customHeight="1">
      <c r="A36146" s="740"/>
    </row>
    <row r="36147" ht="14.25" customHeight="1">
      <c r="A36147" s="740"/>
    </row>
    <row r="36148" ht="14.25" customHeight="1">
      <c r="A36148" s="740"/>
    </row>
    <row r="36149" ht="14.25" customHeight="1">
      <c r="A36149" s="740"/>
    </row>
    <row r="36150" ht="14.25" customHeight="1">
      <c r="A36150" s="740"/>
    </row>
    <row r="36151" ht="14.25" customHeight="1">
      <c r="A36151" s="740"/>
    </row>
    <row r="36152" ht="14.25" customHeight="1">
      <c r="A36152" s="740"/>
    </row>
    <row r="36153" ht="14.25" customHeight="1">
      <c r="A36153" s="740"/>
    </row>
    <row r="36154" ht="14.25" customHeight="1">
      <c r="A36154" s="740"/>
    </row>
    <row r="36155" ht="14.25" customHeight="1">
      <c r="A36155" s="740"/>
    </row>
    <row r="36156" ht="14.25" customHeight="1">
      <c r="A36156" s="740"/>
    </row>
    <row r="36157" ht="14.25" customHeight="1">
      <c r="A36157" s="740"/>
    </row>
    <row r="36158" ht="14.25" customHeight="1">
      <c r="A36158" s="740"/>
    </row>
    <row r="36159" ht="14.25" customHeight="1">
      <c r="A36159" s="740"/>
    </row>
    <row r="36160" ht="14.25" customHeight="1">
      <c r="A36160" s="740"/>
    </row>
    <row r="36161" ht="14.25" customHeight="1">
      <c r="A36161" s="740"/>
    </row>
    <row r="36162" ht="14.25" customHeight="1">
      <c r="A36162" s="740"/>
    </row>
    <row r="36163" ht="14.25" customHeight="1">
      <c r="A36163" s="740"/>
    </row>
    <row r="36164" ht="14.25" customHeight="1">
      <c r="A36164" s="740"/>
    </row>
    <row r="36165" ht="14.25" customHeight="1">
      <c r="A36165" s="740"/>
    </row>
    <row r="36166" ht="14.25" customHeight="1">
      <c r="A36166" s="740"/>
    </row>
    <row r="36167" ht="14.25" customHeight="1">
      <c r="A36167" s="740"/>
    </row>
    <row r="36168" ht="14.25" customHeight="1">
      <c r="A36168" s="740"/>
    </row>
    <row r="36169" ht="14.25" customHeight="1">
      <c r="A36169" s="740"/>
    </row>
    <row r="36170" ht="14.25" customHeight="1">
      <c r="A36170" s="740"/>
    </row>
    <row r="36171" ht="14.25" customHeight="1">
      <c r="A36171" s="740"/>
    </row>
    <row r="36172" ht="14.25" customHeight="1">
      <c r="A36172" s="740"/>
    </row>
    <row r="36173" ht="14.25" customHeight="1">
      <c r="A36173" s="740"/>
    </row>
    <row r="36174" ht="14.25" customHeight="1">
      <c r="A36174" s="740"/>
    </row>
    <row r="36175" ht="14.25" customHeight="1">
      <c r="A36175" s="740"/>
    </row>
    <row r="36176" ht="14.25" customHeight="1">
      <c r="A36176" s="740"/>
    </row>
    <row r="36177" ht="14.25" customHeight="1">
      <c r="A36177" s="740"/>
    </row>
    <row r="36178" ht="14.25" customHeight="1">
      <c r="A36178" s="740"/>
    </row>
    <row r="36179" ht="14.25" customHeight="1">
      <c r="A36179" s="740"/>
    </row>
    <row r="36180" ht="14.25" customHeight="1">
      <c r="A36180" s="740"/>
    </row>
    <row r="36181" ht="14.25" customHeight="1">
      <c r="A36181" s="740"/>
    </row>
    <row r="36182" ht="14.25" customHeight="1">
      <c r="A36182" s="740"/>
    </row>
    <row r="36183" ht="14.25" customHeight="1">
      <c r="A36183" s="740"/>
    </row>
    <row r="36184" ht="14.25" customHeight="1">
      <c r="A36184" s="740"/>
    </row>
    <row r="36185" ht="14.25" customHeight="1">
      <c r="A36185" s="740"/>
    </row>
    <row r="36186" ht="14.25" customHeight="1">
      <c r="A36186" s="740"/>
    </row>
    <row r="36187" ht="14.25" customHeight="1">
      <c r="A36187" s="740"/>
    </row>
    <row r="36188" ht="14.25" customHeight="1">
      <c r="A36188" s="740"/>
    </row>
    <row r="36189" ht="14.25" customHeight="1">
      <c r="A36189" s="740"/>
    </row>
    <row r="36190" ht="14.25" customHeight="1">
      <c r="A36190" s="740"/>
    </row>
    <row r="36191" ht="14.25" customHeight="1">
      <c r="A36191" s="740"/>
    </row>
    <row r="36192" ht="14.25" customHeight="1">
      <c r="A36192" s="740"/>
    </row>
    <row r="36193" ht="14.25" customHeight="1">
      <c r="A36193" s="740"/>
    </row>
    <row r="36194" ht="14.25" customHeight="1">
      <c r="A36194" s="740"/>
    </row>
    <row r="36195" ht="14.25" customHeight="1">
      <c r="A36195" s="740"/>
    </row>
    <row r="36196" ht="14.25" customHeight="1">
      <c r="A36196" s="740"/>
    </row>
    <row r="36197" ht="14.25" customHeight="1">
      <c r="A36197" s="740"/>
    </row>
    <row r="36198" ht="14.25" customHeight="1">
      <c r="A36198" s="740"/>
    </row>
    <row r="36199" ht="14.25" customHeight="1">
      <c r="A36199" s="740"/>
    </row>
    <row r="36200" ht="14.25" customHeight="1">
      <c r="A36200" s="740"/>
    </row>
    <row r="36201" ht="14.25" customHeight="1">
      <c r="A36201" s="740"/>
    </row>
    <row r="36202" ht="14.25" customHeight="1">
      <c r="A36202" s="740"/>
    </row>
    <row r="36203" ht="14.25" customHeight="1">
      <c r="A36203" s="740"/>
    </row>
    <row r="36204" ht="14.25" customHeight="1">
      <c r="A36204" s="740"/>
    </row>
    <row r="36205" ht="14.25" customHeight="1">
      <c r="A36205" s="740"/>
    </row>
    <row r="36206" ht="14.25" customHeight="1">
      <c r="A36206" s="740"/>
    </row>
    <row r="36207" ht="14.25" customHeight="1">
      <c r="A36207" s="740"/>
    </row>
    <row r="36208" ht="14.25" customHeight="1">
      <c r="A36208" s="740"/>
    </row>
    <row r="36209" ht="14.25" customHeight="1">
      <c r="A36209" s="740"/>
    </row>
    <row r="36210" ht="14.25" customHeight="1">
      <c r="A36210" s="740"/>
    </row>
    <row r="36211" ht="14.25" customHeight="1">
      <c r="A36211" s="740"/>
    </row>
    <row r="36212" ht="14.25" customHeight="1">
      <c r="A36212" s="740"/>
    </row>
    <row r="36213" ht="14.25" customHeight="1">
      <c r="A36213" s="740"/>
    </row>
    <row r="36214" ht="14.25" customHeight="1">
      <c r="A36214" s="740"/>
    </row>
    <row r="36215" ht="14.25" customHeight="1">
      <c r="A36215" s="740"/>
    </row>
    <row r="36216" ht="14.25" customHeight="1">
      <c r="A36216" s="740"/>
    </row>
    <row r="36217" ht="14.25" customHeight="1">
      <c r="A36217" s="740"/>
    </row>
    <row r="36218" ht="14.25" customHeight="1">
      <c r="A36218" s="740"/>
    </row>
    <row r="36219" ht="14.25" customHeight="1">
      <c r="A36219" s="740"/>
    </row>
    <row r="36220" ht="14.25" customHeight="1">
      <c r="A36220" s="740"/>
    </row>
    <row r="36221" ht="14.25" customHeight="1">
      <c r="A36221" s="740"/>
    </row>
    <row r="36222" ht="14.25" customHeight="1">
      <c r="A36222" s="740"/>
    </row>
    <row r="36223" ht="14.25" customHeight="1">
      <c r="A36223" s="740"/>
    </row>
    <row r="36224" ht="14.25" customHeight="1">
      <c r="A36224" s="740"/>
    </row>
    <row r="36225" ht="14.25" customHeight="1">
      <c r="A36225" s="740"/>
    </row>
    <row r="36226" ht="14.25" customHeight="1">
      <c r="A36226" s="740"/>
    </row>
    <row r="36227" ht="14.25" customHeight="1">
      <c r="A36227" s="740"/>
    </row>
    <row r="36228" ht="14.25" customHeight="1">
      <c r="A36228" s="740"/>
    </row>
    <row r="36229" ht="14.25" customHeight="1">
      <c r="A36229" s="740"/>
    </row>
    <row r="36230" ht="14.25" customHeight="1">
      <c r="A36230" s="740"/>
    </row>
    <row r="36231" ht="14.25" customHeight="1">
      <c r="A36231" s="740"/>
    </row>
    <row r="36232" ht="14.25" customHeight="1">
      <c r="A36232" s="740"/>
    </row>
    <row r="36233" ht="14.25" customHeight="1">
      <c r="A36233" s="740"/>
    </row>
    <row r="36234" ht="14.25" customHeight="1">
      <c r="A36234" s="740"/>
    </row>
    <row r="36235" ht="14.25" customHeight="1">
      <c r="A36235" s="740"/>
    </row>
    <row r="36236" ht="14.25" customHeight="1">
      <c r="A36236" s="740"/>
    </row>
    <row r="36237" ht="14.25" customHeight="1">
      <c r="A36237" s="740"/>
    </row>
    <row r="36238" ht="14.25" customHeight="1">
      <c r="A36238" s="740"/>
    </row>
    <row r="36239" ht="14.25" customHeight="1">
      <c r="A36239" s="740"/>
    </row>
    <row r="36240" ht="14.25" customHeight="1">
      <c r="A36240" s="740"/>
    </row>
    <row r="36241" ht="14.25" customHeight="1">
      <c r="A36241" s="740"/>
    </row>
    <row r="36242" ht="14.25" customHeight="1">
      <c r="A36242" s="740"/>
    </row>
    <row r="36243" ht="14.25" customHeight="1">
      <c r="A36243" s="740"/>
    </row>
    <row r="36244" ht="14.25" customHeight="1">
      <c r="A36244" s="740"/>
    </row>
    <row r="36245" ht="14.25" customHeight="1">
      <c r="A36245" s="740"/>
    </row>
    <row r="36246" ht="14.25" customHeight="1">
      <c r="A36246" s="740"/>
    </row>
    <row r="36247" ht="14.25" customHeight="1">
      <c r="A36247" s="740"/>
    </row>
    <row r="36248" ht="14.25" customHeight="1">
      <c r="A36248" s="740"/>
    </row>
    <row r="36249" ht="14.25" customHeight="1">
      <c r="A36249" s="740"/>
    </row>
    <row r="36250" ht="14.25" customHeight="1">
      <c r="A36250" s="740"/>
    </row>
    <row r="36251" ht="14.25" customHeight="1">
      <c r="A36251" s="740"/>
    </row>
    <row r="36252" ht="14.25" customHeight="1">
      <c r="A36252" s="740"/>
    </row>
    <row r="36253" ht="14.25" customHeight="1">
      <c r="A36253" s="740"/>
    </row>
    <row r="36254" ht="14.25" customHeight="1">
      <c r="A36254" s="740"/>
    </row>
    <row r="36255" ht="14.25" customHeight="1">
      <c r="A36255" s="740"/>
    </row>
    <row r="36256" ht="14.25" customHeight="1">
      <c r="A36256" s="740"/>
    </row>
    <row r="36257" ht="14.25" customHeight="1">
      <c r="A36257" s="740"/>
    </row>
    <row r="36258" ht="14.25" customHeight="1">
      <c r="A36258" s="740"/>
    </row>
    <row r="36259" ht="14.25" customHeight="1">
      <c r="A36259" s="740"/>
    </row>
    <row r="36260" ht="14.25" customHeight="1">
      <c r="A36260" s="740"/>
    </row>
    <row r="36261" ht="14.25" customHeight="1">
      <c r="A36261" s="740"/>
    </row>
    <row r="36262" ht="14.25" customHeight="1">
      <c r="A36262" s="740"/>
    </row>
    <row r="36263" ht="14.25" customHeight="1">
      <c r="A36263" s="740"/>
    </row>
    <row r="36264" ht="14.25" customHeight="1">
      <c r="A36264" s="740"/>
    </row>
    <row r="36265" ht="14.25" customHeight="1">
      <c r="A36265" s="740"/>
    </row>
    <row r="36266" ht="14.25" customHeight="1">
      <c r="A36266" s="740"/>
    </row>
    <row r="36267" ht="14.25" customHeight="1">
      <c r="A36267" s="740"/>
    </row>
    <row r="36268" ht="14.25" customHeight="1">
      <c r="A36268" s="740"/>
    </row>
    <row r="36269" ht="14.25" customHeight="1">
      <c r="A36269" s="740"/>
    </row>
    <row r="36270" ht="14.25" customHeight="1">
      <c r="A36270" s="740"/>
    </row>
    <row r="36271" ht="14.25" customHeight="1">
      <c r="A36271" s="740"/>
    </row>
    <row r="36272" ht="14.25" customHeight="1">
      <c r="A36272" s="740"/>
    </row>
    <row r="36273" ht="14.25" customHeight="1">
      <c r="A36273" s="740"/>
    </row>
    <row r="36274" ht="14.25" customHeight="1">
      <c r="A36274" s="740"/>
    </row>
    <row r="36275" ht="14.25" customHeight="1">
      <c r="A36275" s="740"/>
    </row>
    <row r="36276" ht="14.25" customHeight="1">
      <c r="A36276" s="740"/>
    </row>
    <row r="36277" ht="14.25" customHeight="1">
      <c r="A36277" s="740"/>
    </row>
    <row r="36278" ht="14.25" customHeight="1">
      <c r="A36278" s="740"/>
    </row>
    <row r="36279" ht="14.25" customHeight="1">
      <c r="A36279" s="740"/>
    </row>
    <row r="36280" ht="14.25" customHeight="1">
      <c r="A36280" s="740"/>
    </row>
    <row r="36281" ht="14.25" customHeight="1">
      <c r="A36281" s="740"/>
    </row>
    <row r="36282" ht="14.25" customHeight="1">
      <c r="A36282" s="740"/>
    </row>
    <row r="36283" ht="14.25" customHeight="1">
      <c r="A36283" s="740"/>
    </row>
    <row r="36284" ht="14.25" customHeight="1">
      <c r="A36284" s="740"/>
    </row>
    <row r="36285" ht="14.25" customHeight="1">
      <c r="A36285" s="740"/>
    </row>
    <row r="36286" ht="14.25" customHeight="1">
      <c r="A36286" s="740"/>
    </row>
    <row r="36287" ht="14.25" customHeight="1">
      <c r="A36287" s="740"/>
    </row>
    <row r="36288" ht="14.25" customHeight="1">
      <c r="A36288" s="740"/>
    </row>
    <row r="36289" ht="14.25" customHeight="1">
      <c r="A36289" s="740"/>
    </row>
    <row r="36290" ht="14.25" customHeight="1">
      <c r="A36290" s="740"/>
    </row>
    <row r="36291" ht="14.25" customHeight="1">
      <c r="A36291" s="740"/>
    </row>
    <row r="36292" ht="14.25" customHeight="1">
      <c r="A36292" s="740"/>
    </row>
    <row r="36293" ht="14.25" customHeight="1">
      <c r="A36293" s="740"/>
    </row>
    <row r="36294" ht="14.25" customHeight="1">
      <c r="A36294" s="740"/>
    </row>
    <row r="36295" ht="14.25" customHeight="1">
      <c r="A36295" s="740"/>
    </row>
    <row r="36296" ht="14.25" customHeight="1">
      <c r="A36296" s="740"/>
    </row>
    <row r="36297" ht="14.25" customHeight="1">
      <c r="A36297" s="740"/>
    </row>
    <row r="36298" ht="14.25" customHeight="1">
      <c r="A36298" s="740"/>
    </row>
    <row r="36299" ht="14.25" customHeight="1">
      <c r="A36299" s="740"/>
    </row>
    <row r="36300" ht="14.25" customHeight="1">
      <c r="A36300" s="740"/>
    </row>
    <row r="36301" ht="14.25" customHeight="1">
      <c r="A36301" s="740"/>
    </row>
    <row r="36302" ht="14.25" customHeight="1">
      <c r="A36302" s="740"/>
    </row>
    <row r="36303" ht="14.25" customHeight="1">
      <c r="A36303" s="740"/>
    </row>
    <row r="36304" ht="14.25" customHeight="1">
      <c r="A36304" s="740"/>
    </row>
    <row r="36305" ht="14.25" customHeight="1">
      <c r="A36305" s="740"/>
    </row>
    <row r="36306" ht="14.25" customHeight="1">
      <c r="A36306" s="740"/>
    </row>
    <row r="36307" ht="14.25" customHeight="1">
      <c r="A36307" s="740"/>
    </row>
    <row r="36308" ht="14.25" customHeight="1">
      <c r="A36308" s="740"/>
    </row>
    <row r="36309" ht="14.25" customHeight="1">
      <c r="A36309" s="740"/>
    </row>
    <row r="36310" ht="14.25" customHeight="1">
      <c r="A36310" s="740"/>
    </row>
    <row r="36311" ht="14.25" customHeight="1">
      <c r="A36311" s="740"/>
    </row>
    <row r="36312" ht="14.25" customHeight="1">
      <c r="A36312" s="740"/>
    </row>
    <row r="36313" ht="14.25" customHeight="1">
      <c r="A36313" s="740"/>
    </row>
    <row r="36314" ht="14.25" customHeight="1">
      <c r="A36314" s="740"/>
    </row>
    <row r="36315" ht="14.25" customHeight="1">
      <c r="A36315" s="740"/>
    </row>
    <row r="36316" ht="14.25" customHeight="1">
      <c r="A36316" s="740"/>
    </row>
    <row r="36317" ht="14.25" customHeight="1">
      <c r="A36317" s="740"/>
    </row>
    <row r="36318" ht="14.25" customHeight="1">
      <c r="A36318" s="740"/>
    </row>
    <row r="36319" ht="14.25" customHeight="1">
      <c r="A36319" s="740"/>
    </row>
    <row r="36320" ht="14.25" customHeight="1">
      <c r="A36320" s="740"/>
    </row>
    <row r="36321" ht="14.25" customHeight="1">
      <c r="A36321" s="740"/>
    </row>
    <row r="36322" ht="14.25" customHeight="1">
      <c r="A36322" s="740"/>
    </row>
    <row r="36323" ht="14.25" customHeight="1">
      <c r="A36323" s="740"/>
    </row>
    <row r="36324" ht="14.25" customHeight="1">
      <c r="A36324" s="740"/>
    </row>
    <row r="36325" ht="14.25" customHeight="1">
      <c r="A36325" s="740"/>
    </row>
    <row r="36326" ht="14.25" customHeight="1">
      <c r="A36326" s="740"/>
    </row>
    <row r="36327" ht="14.25" customHeight="1">
      <c r="A36327" s="740"/>
    </row>
    <row r="36328" ht="14.25" customHeight="1">
      <c r="A36328" s="740"/>
    </row>
    <row r="36329" ht="14.25" customHeight="1">
      <c r="A36329" s="740"/>
    </row>
    <row r="36330" ht="14.25" customHeight="1">
      <c r="A36330" s="740"/>
    </row>
    <row r="36331" ht="14.25" customHeight="1">
      <c r="A36331" s="740"/>
    </row>
    <row r="36332" ht="14.25" customHeight="1">
      <c r="A36332" s="740"/>
    </row>
    <row r="36333" ht="14.25" customHeight="1">
      <c r="A36333" s="740"/>
    </row>
    <row r="36334" ht="14.25" customHeight="1">
      <c r="A36334" s="740"/>
    </row>
    <row r="36335" ht="14.25" customHeight="1">
      <c r="A36335" s="740"/>
    </row>
    <row r="36336" ht="14.25" customHeight="1">
      <c r="A36336" s="740"/>
    </row>
    <row r="36337" ht="14.25" customHeight="1">
      <c r="A36337" s="740"/>
    </row>
    <row r="36338" ht="14.25" customHeight="1">
      <c r="A36338" s="740"/>
    </row>
    <row r="36339" ht="14.25" customHeight="1">
      <c r="A36339" s="740"/>
    </row>
    <row r="36340" ht="14.25" customHeight="1">
      <c r="A36340" s="740"/>
    </row>
    <row r="36341" ht="14.25" customHeight="1">
      <c r="A36341" s="740"/>
    </row>
    <row r="36342" ht="14.25" customHeight="1">
      <c r="A36342" s="740"/>
    </row>
    <row r="36343" ht="14.25" customHeight="1">
      <c r="A36343" s="740"/>
    </row>
    <row r="36344" ht="14.25" customHeight="1">
      <c r="A36344" s="740"/>
    </row>
    <row r="36345" ht="14.25" customHeight="1">
      <c r="A36345" s="740"/>
    </row>
    <row r="36346" ht="14.25" customHeight="1">
      <c r="A36346" s="740"/>
    </row>
    <row r="36347" ht="14.25" customHeight="1">
      <c r="A36347" s="740"/>
    </row>
    <row r="36348" ht="14.25" customHeight="1">
      <c r="A36348" s="740"/>
    </row>
    <row r="36349" ht="14.25" customHeight="1">
      <c r="A36349" s="740"/>
    </row>
    <row r="36350" ht="14.25" customHeight="1">
      <c r="A36350" s="740"/>
    </row>
    <row r="36351" ht="14.25" customHeight="1">
      <c r="A36351" s="740"/>
    </row>
    <row r="36352" ht="14.25" customHeight="1">
      <c r="A36352" s="740"/>
    </row>
    <row r="36353" ht="14.25" customHeight="1">
      <c r="A36353" s="740"/>
    </row>
    <row r="36354" ht="14.25" customHeight="1">
      <c r="A36354" s="740"/>
    </row>
    <row r="36355" ht="14.25" customHeight="1">
      <c r="A36355" s="740"/>
    </row>
    <row r="36356" ht="14.25" customHeight="1">
      <c r="A36356" s="740"/>
    </row>
    <row r="36357" ht="14.25" customHeight="1">
      <c r="A36357" s="740"/>
    </row>
    <row r="36358" ht="14.25" customHeight="1">
      <c r="A36358" s="740"/>
    </row>
    <row r="36359" ht="14.25" customHeight="1">
      <c r="A36359" s="740"/>
    </row>
    <row r="36360" ht="14.25" customHeight="1">
      <c r="A36360" s="740"/>
    </row>
    <row r="36361" ht="14.25" customHeight="1">
      <c r="A36361" s="740"/>
    </row>
    <row r="36362" ht="14.25" customHeight="1">
      <c r="A36362" s="740"/>
    </row>
    <row r="36363" ht="14.25" customHeight="1">
      <c r="A36363" s="740"/>
    </row>
    <row r="36364" ht="14.25" customHeight="1">
      <c r="A36364" s="740"/>
    </row>
    <row r="36365" ht="14.25" customHeight="1">
      <c r="A36365" s="740"/>
    </row>
    <row r="36366" ht="14.25" customHeight="1">
      <c r="A36366" s="740"/>
    </row>
    <row r="36367" ht="14.25" customHeight="1">
      <c r="A36367" s="740"/>
    </row>
    <row r="36368" ht="14.25" customHeight="1">
      <c r="A36368" s="740"/>
    </row>
    <row r="36369" ht="14.25" customHeight="1">
      <c r="A36369" s="740"/>
    </row>
    <row r="36370" ht="14.25" customHeight="1">
      <c r="A36370" s="740"/>
    </row>
    <row r="36371" ht="14.25" customHeight="1">
      <c r="A36371" s="740"/>
    </row>
    <row r="36372" ht="14.25" customHeight="1">
      <c r="A36372" s="740"/>
    </row>
    <row r="36373" ht="14.25" customHeight="1">
      <c r="A36373" s="740"/>
    </row>
    <row r="36374" ht="14.25" customHeight="1">
      <c r="A36374" s="740"/>
    </row>
    <row r="36375" ht="14.25" customHeight="1">
      <c r="A36375" s="740"/>
    </row>
    <row r="36376" ht="14.25" customHeight="1">
      <c r="A36376" s="740"/>
    </row>
    <row r="36377" ht="14.25" customHeight="1">
      <c r="A36377" s="740"/>
    </row>
    <row r="36378" ht="14.25" customHeight="1">
      <c r="A36378" s="740"/>
    </row>
    <row r="36379" ht="14.25" customHeight="1">
      <c r="A36379" s="740"/>
    </row>
    <row r="36380" ht="14.25" customHeight="1">
      <c r="A36380" s="740"/>
    </row>
    <row r="36381" ht="14.25" customHeight="1">
      <c r="A36381" s="740"/>
    </row>
    <row r="36382" ht="14.25" customHeight="1">
      <c r="A36382" s="740"/>
    </row>
    <row r="36383" ht="14.25" customHeight="1">
      <c r="A36383" s="740"/>
    </row>
    <row r="36384" ht="14.25" customHeight="1">
      <c r="A36384" s="740"/>
    </row>
    <row r="36385" ht="14.25" customHeight="1">
      <c r="A36385" s="740"/>
    </row>
    <row r="36386" ht="14.25" customHeight="1">
      <c r="A36386" s="740"/>
    </row>
    <row r="36387" ht="14.25" customHeight="1">
      <c r="A36387" s="740"/>
    </row>
    <row r="36388" ht="14.25" customHeight="1">
      <c r="A36388" s="740"/>
    </row>
    <row r="36389" ht="14.25" customHeight="1">
      <c r="A36389" s="740"/>
    </row>
    <row r="36390" ht="14.25" customHeight="1">
      <c r="A36390" s="740"/>
    </row>
    <row r="36391" ht="14.25" customHeight="1">
      <c r="A36391" s="740"/>
    </row>
    <row r="36392" ht="14.25" customHeight="1">
      <c r="A36392" s="740"/>
    </row>
    <row r="36393" ht="14.25" customHeight="1">
      <c r="A36393" s="740"/>
    </row>
    <row r="36394" ht="14.25" customHeight="1">
      <c r="A36394" s="740"/>
    </row>
    <row r="36395" ht="14.25" customHeight="1">
      <c r="A36395" s="740"/>
    </row>
    <row r="36396" ht="14.25" customHeight="1">
      <c r="A36396" s="740"/>
    </row>
    <row r="36397" ht="14.25" customHeight="1">
      <c r="A36397" s="740"/>
    </row>
    <row r="36398" ht="14.25" customHeight="1">
      <c r="A36398" s="740"/>
    </row>
    <row r="36399" ht="14.25" customHeight="1">
      <c r="A36399" s="740"/>
    </row>
    <row r="36400" ht="14.25" customHeight="1">
      <c r="A36400" s="740"/>
    </row>
    <row r="36401" ht="14.25" customHeight="1">
      <c r="A36401" s="740"/>
    </row>
    <row r="36402" ht="14.25" customHeight="1">
      <c r="A36402" s="740"/>
    </row>
    <row r="36403" ht="14.25" customHeight="1">
      <c r="A36403" s="740"/>
    </row>
    <row r="36404" ht="14.25" customHeight="1">
      <c r="A36404" s="740"/>
    </row>
    <row r="36405" ht="14.25" customHeight="1">
      <c r="A36405" s="740"/>
    </row>
    <row r="36406" ht="14.25" customHeight="1">
      <c r="A36406" s="740"/>
    </row>
    <row r="36407" ht="14.25" customHeight="1">
      <c r="A36407" s="740"/>
    </row>
    <row r="36408" ht="14.25" customHeight="1">
      <c r="A36408" s="740"/>
    </row>
    <row r="36409" ht="14.25" customHeight="1">
      <c r="A36409" s="740"/>
    </row>
    <row r="36410" ht="14.25" customHeight="1">
      <c r="A36410" s="740"/>
    </row>
    <row r="36411" ht="14.25" customHeight="1">
      <c r="A36411" s="740"/>
    </row>
    <row r="36412" ht="14.25" customHeight="1">
      <c r="A36412" s="740"/>
    </row>
    <row r="36413" ht="14.25" customHeight="1">
      <c r="A36413" s="740"/>
    </row>
    <row r="36414" ht="14.25" customHeight="1">
      <c r="A36414" s="740"/>
    </row>
    <row r="36415" ht="14.25" customHeight="1">
      <c r="A36415" s="740"/>
    </row>
    <row r="36416" ht="14.25" customHeight="1">
      <c r="A36416" s="740"/>
    </row>
    <row r="36417" ht="14.25" customHeight="1">
      <c r="A36417" s="740"/>
    </row>
    <row r="36418" ht="14.25" customHeight="1">
      <c r="A36418" s="740"/>
    </row>
    <row r="36419" ht="14.25" customHeight="1">
      <c r="A36419" s="740"/>
    </row>
    <row r="36420" ht="14.25" customHeight="1">
      <c r="A36420" s="740"/>
    </row>
    <row r="36421" ht="14.25" customHeight="1">
      <c r="A36421" s="740"/>
    </row>
    <row r="36422" ht="14.25" customHeight="1">
      <c r="A36422" s="740"/>
    </row>
    <row r="36423" ht="14.25" customHeight="1">
      <c r="A36423" s="740"/>
    </row>
    <row r="36424" ht="14.25" customHeight="1">
      <c r="A36424" s="740"/>
    </row>
    <row r="36425" ht="14.25" customHeight="1">
      <c r="A36425" s="740"/>
    </row>
    <row r="36426" ht="14.25" customHeight="1">
      <c r="A36426" s="740"/>
    </row>
    <row r="36427" ht="14.25" customHeight="1">
      <c r="A36427" s="740"/>
    </row>
    <row r="36428" ht="14.25" customHeight="1">
      <c r="A36428" s="740"/>
    </row>
    <row r="36429" ht="14.25" customHeight="1">
      <c r="A36429" s="740"/>
    </row>
    <row r="36430" ht="14.25" customHeight="1">
      <c r="A36430" s="740"/>
    </row>
    <row r="36431" ht="14.25" customHeight="1">
      <c r="A36431" s="740"/>
    </row>
    <row r="36432" ht="14.25" customHeight="1">
      <c r="A36432" s="740"/>
    </row>
    <row r="36433" ht="14.25" customHeight="1">
      <c r="A36433" s="740"/>
    </row>
    <row r="36434" ht="14.25" customHeight="1">
      <c r="A36434" s="740"/>
    </row>
    <row r="36435" ht="14.25" customHeight="1">
      <c r="A36435" s="740"/>
    </row>
    <row r="36436" ht="14.25" customHeight="1">
      <c r="A36436" s="740"/>
    </row>
    <row r="36437" ht="14.25" customHeight="1">
      <c r="A36437" s="740"/>
    </row>
    <row r="36438" ht="14.25" customHeight="1">
      <c r="A36438" s="740"/>
    </row>
    <row r="36439" ht="14.25" customHeight="1">
      <c r="A36439" s="740"/>
    </row>
    <row r="36440" ht="14.25" customHeight="1">
      <c r="A36440" s="740"/>
    </row>
    <row r="36441" ht="14.25" customHeight="1">
      <c r="A36441" s="740"/>
    </row>
    <row r="36442" ht="14.25" customHeight="1">
      <c r="A36442" s="740"/>
    </row>
    <row r="36443" ht="14.25" customHeight="1">
      <c r="A36443" s="740"/>
    </row>
    <row r="36444" ht="14.25" customHeight="1">
      <c r="A36444" s="740"/>
    </row>
    <row r="36445" ht="14.25" customHeight="1">
      <c r="A36445" s="740"/>
    </row>
    <row r="36446" ht="14.25" customHeight="1">
      <c r="A36446" s="740"/>
    </row>
    <row r="36447" ht="14.25" customHeight="1">
      <c r="A36447" s="740"/>
    </row>
    <row r="36448" ht="14.25" customHeight="1">
      <c r="A36448" s="740"/>
    </row>
    <row r="36449" ht="14.25" customHeight="1">
      <c r="A36449" s="740"/>
    </row>
    <row r="36450" ht="14.25" customHeight="1">
      <c r="A36450" s="740"/>
    </row>
    <row r="36451" ht="14.25" customHeight="1">
      <c r="A36451" s="740"/>
    </row>
    <row r="36452" ht="14.25" customHeight="1">
      <c r="A36452" s="740"/>
    </row>
    <row r="36453" ht="14.25" customHeight="1">
      <c r="A36453" s="740"/>
    </row>
    <row r="36454" ht="14.25" customHeight="1">
      <c r="A36454" s="740"/>
    </row>
    <row r="36455" ht="14.25" customHeight="1">
      <c r="A36455" s="740"/>
    </row>
    <row r="36456" ht="14.25" customHeight="1">
      <c r="A36456" s="740"/>
    </row>
    <row r="36457" ht="14.25" customHeight="1">
      <c r="A36457" s="740"/>
    </row>
    <row r="36458" ht="14.25" customHeight="1">
      <c r="A36458" s="740"/>
    </row>
    <row r="36459" ht="14.25" customHeight="1">
      <c r="A36459" s="740"/>
    </row>
    <row r="36460" ht="14.25" customHeight="1">
      <c r="A36460" s="740"/>
    </row>
    <row r="36461" ht="14.25" customHeight="1">
      <c r="A36461" s="740"/>
    </row>
    <row r="36462" ht="14.25" customHeight="1">
      <c r="A36462" s="740"/>
    </row>
    <row r="36463" ht="14.25" customHeight="1">
      <c r="A36463" s="740"/>
    </row>
    <row r="36464" ht="14.25" customHeight="1">
      <c r="A36464" s="740"/>
    </row>
    <row r="36465" ht="14.25" customHeight="1">
      <c r="A36465" s="740"/>
    </row>
    <row r="36466" ht="14.25" customHeight="1">
      <c r="A36466" s="740"/>
    </row>
    <row r="36467" ht="14.25" customHeight="1">
      <c r="A36467" s="740"/>
    </row>
    <row r="36468" ht="14.25" customHeight="1">
      <c r="A36468" s="740"/>
    </row>
    <row r="36469" ht="14.25" customHeight="1">
      <c r="A36469" s="740"/>
    </row>
    <row r="36470" ht="14.25" customHeight="1">
      <c r="A36470" s="740"/>
    </row>
    <row r="36471" ht="14.25" customHeight="1">
      <c r="A36471" s="740"/>
    </row>
    <row r="36472" ht="14.25" customHeight="1">
      <c r="A36472" s="740"/>
    </row>
    <row r="36473" ht="14.25" customHeight="1">
      <c r="A36473" s="740"/>
    </row>
    <row r="36474" ht="14.25" customHeight="1">
      <c r="A36474" s="740"/>
    </row>
    <row r="36475" ht="14.25" customHeight="1">
      <c r="A36475" s="740"/>
    </row>
    <row r="36476" ht="14.25" customHeight="1">
      <c r="A36476" s="740"/>
    </row>
    <row r="36477" ht="14.25" customHeight="1">
      <c r="A36477" s="740"/>
    </row>
    <row r="36478" ht="14.25" customHeight="1">
      <c r="A36478" s="740"/>
    </row>
    <row r="36479" ht="14.25" customHeight="1">
      <c r="A36479" s="740"/>
    </row>
    <row r="36480" ht="14.25" customHeight="1">
      <c r="A36480" s="740"/>
    </row>
    <row r="36481" ht="14.25" customHeight="1">
      <c r="A36481" s="740"/>
    </row>
    <row r="36482" ht="14.25" customHeight="1">
      <c r="A36482" s="740"/>
    </row>
    <row r="36483" ht="14.25" customHeight="1">
      <c r="A36483" s="740"/>
    </row>
    <row r="36484" ht="14.25" customHeight="1">
      <c r="A36484" s="740"/>
    </row>
    <row r="36485" ht="14.25" customHeight="1">
      <c r="A36485" s="740"/>
    </row>
    <row r="36486" ht="14.25" customHeight="1">
      <c r="A36486" s="740"/>
    </row>
    <row r="36487" ht="14.25" customHeight="1">
      <c r="A36487" s="740"/>
    </row>
    <row r="36488" ht="14.25" customHeight="1">
      <c r="A36488" s="740"/>
    </row>
    <row r="36489" ht="14.25" customHeight="1">
      <c r="A36489" s="740"/>
    </row>
    <row r="36490" ht="14.25" customHeight="1">
      <c r="A36490" s="740"/>
    </row>
    <row r="36491" ht="14.25" customHeight="1">
      <c r="A36491" s="740"/>
    </row>
    <row r="36492" ht="14.25" customHeight="1">
      <c r="A36492" s="740"/>
    </row>
    <row r="36493" ht="14.25" customHeight="1">
      <c r="A36493" s="740"/>
    </row>
    <row r="36494" ht="14.25" customHeight="1">
      <c r="A36494" s="740"/>
    </row>
    <row r="36495" ht="14.25" customHeight="1">
      <c r="A36495" s="740"/>
    </row>
    <row r="36496" ht="14.25" customHeight="1">
      <c r="A36496" s="740"/>
    </row>
    <row r="36497" ht="14.25" customHeight="1">
      <c r="A36497" s="740"/>
    </row>
    <row r="36498" ht="14.25" customHeight="1">
      <c r="A36498" s="740"/>
    </row>
    <row r="36499" ht="14.25" customHeight="1">
      <c r="A36499" s="740"/>
    </row>
    <row r="36500" ht="14.25" customHeight="1">
      <c r="A36500" s="740"/>
    </row>
    <row r="36501" ht="14.25" customHeight="1">
      <c r="A36501" s="740"/>
    </row>
    <row r="36502" ht="14.25" customHeight="1">
      <c r="A36502" s="740"/>
    </row>
    <row r="36503" ht="14.25" customHeight="1">
      <c r="A36503" s="740"/>
    </row>
    <row r="36504" ht="14.25" customHeight="1">
      <c r="A36504" s="740"/>
    </row>
    <row r="36505" ht="14.25" customHeight="1">
      <c r="A36505" s="740"/>
    </row>
    <row r="36506" ht="14.25" customHeight="1">
      <c r="A36506" s="740"/>
    </row>
    <row r="36507" ht="14.25" customHeight="1">
      <c r="A36507" s="740"/>
    </row>
    <row r="36508" ht="14.25" customHeight="1">
      <c r="A36508" s="740"/>
    </row>
    <row r="36509" ht="14.25" customHeight="1">
      <c r="A36509" s="740"/>
    </row>
    <row r="36510" ht="14.25" customHeight="1">
      <c r="A36510" s="740"/>
    </row>
    <row r="36511" ht="14.25" customHeight="1">
      <c r="A36511" s="740"/>
    </row>
    <row r="36512" ht="14.25" customHeight="1">
      <c r="A36512" s="740"/>
    </row>
    <row r="36513" ht="14.25" customHeight="1">
      <c r="A36513" s="740"/>
    </row>
    <row r="36514" ht="14.25" customHeight="1">
      <c r="A36514" s="740"/>
    </row>
    <row r="36515" ht="14.25" customHeight="1">
      <c r="A36515" s="740"/>
    </row>
    <row r="36516" ht="14.25" customHeight="1">
      <c r="A36516" s="740"/>
    </row>
    <row r="36517" ht="14.25" customHeight="1">
      <c r="A36517" s="740"/>
    </row>
    <row r="36518" ht="14.25" customHeight="1">
      <c r="A36518" s="740"/>
    </row>
    <row r="36519" ht="14.25" customHeight="1">
      <c r="A36519" s="740"/>
    </row>
    <row r="36520" ht="14.25" customHeight="1">
      <c r="A36520" s="740"/>
    </row>
    <row r="36521" ht="14.25" customHeight="1">
      <c r="A36521" s="740"/>
    </row>
    <row r="36522" ht="14.25" customHeight="1">
      <c r="A36522" s="740"/>
    </row>
    <row r="36523" ht="14.25" customHeight="1">
      <c r="A36523" s="740"/>
    </row>
    <row r="36524" ht="14.25" customHeight="1">
      <c r="A36524" s="740"/>
    </row>
    <row r="36525" ht="14.25" customHeight="1">
      <c r="A36525" s="740"/>
    </row>
    <row r="36526" ht="14.25" customHeight="1">
      <c r="A36526" s="740"/>
    </row>
    <row r="36527" ht="14.25" customHeight="1">
      <c r="A36527" s="740"/>
    </row>
    <row r="36528" ht="14.25" customHeight="1">
      <c r="A36528" s="740"/>
    </row>
    <row r="36529" ht="14.25" customHeight="1">
      <c r="A36529" s="740"/>
    </row>
    <row r="36530" ht="14.25" customHeight="1">
      <c r="A36530" s="740"/>
    </row>
    <row r="36531" ht="14.25" customHeight="1">
      <c r="A36531" s="740"/>
    </row>
    <row r="36532" ht="14.25" customHeight="1">
      <c r="A36532" s="740"/>
    </row>
    <row r="36533" ht="14.25" customHeight="1">
      <c r="A36533" s="740"/>
    </row>
    <row r="36534" ht="14.25" customHeight="1">
      <c r="A36534" s="740"/>
    </row>
    <row r="36535" ht="14.25" customHeight="1">
      <c r="A36535" s="740"/>
    </row>
    <row r="36536" ht="14.25" customHeight="1">
      <c r="A36536" s="740"/>
    </row>
    <row r="36537" ht="14.25" customHeight="1">
      <c r="A36537" s="740"/>
    </row>
    <row r="36538" ht="14.25" customHeight="1">
      <c r="A36538" s="740"/>
    </row>
    <row r="36539" ht="14.25" customHeight="1">
      <c r="A36539" s="740"/>
    </row>
    <row r="36540" ht="14.25" customHeight="1">
      <c r="A36540" s="740"/>
    </row>
    <row r="36541" ht="14.25" customHeight="1">
      <c r="A36541" s="740"/>
    </row>
    <row r="36542" ht="14.25" customHeight="1">
      <c r="A36542" s="740"/>
    </row>
    <row r="36543" ht="14.25" customHeight="1">
      <c r="A36543" s="740"/>
    </row>
    <row r="36544" ht="14.25" customHeight="1">
      <c r="A36544" s="740"/>
    </row>
    <row r="36545" ht="14.25" customHeight="1">
      <c r="A36545" s="740"/>
    </row>
    <row r="36546" ht="14.25" customHeight="1">
      <c r="A36546" s="740"/>
    </row>
    <row r="36547" ht="14.25" customHeight="1">
      <c r="A36547" s="740"/>
    </row>
    <row r="36548" ht="14.25" customHeight="1">
      <c r="A36548" s="740"/>
    </row>
    <row r="36549" ht="14.25" customHeight="1">
      <c r="A36549" s="740"/>
    </row>
    <row r="36550" ht="14.25" customHeight="1">
      <c r="A36550" s="740"/>
    </row>
    <row r="36551" ht="14.25" customHeight="1">
      <c r="A36551" s="740"/>
    </row>
    <row r="36552" ht="14.25" customHeight="1">
      <c r="A36552" s="740"/>
    </row>
    <row r="36553" ht="14.25" customHeight="1">
      <c r="A36553" s="740"/>
    </row>
    <row r="36554" ht="14.25" customHeight="1">
      <c r="A36554" s="740"/>
    </row>
    <row r="36555" ht="14.25" customHeight="1">
      <c r="A36555" s="740"/>
    </row>
    <row r="36556" ht="14.25" customHeight="1">
      <c r="A36556" s="740"/>
    </row>
    <row r="36557" ht="14.25" customHeight="1">
      <c r="A36557" s="740"/>
    </row>
    <row r="36558" ht="14.25" customHeight="1">
      <c r="A36558" s="740"/>
    </row>
    <row r="36559" ht="14.25" customHeight="1">
      <c r="A36559" s="740"/>
    </row>
    <row r="36560" ht="14.25" customHeight="1">
      <c r="A36560" s="740"/>
    </row>
    <row r="36561" ht="14.25" customHeight="1">
      <c r="A36561" s="740"/>
    </row>
    <row r="36562" ht="14.25" customHeight="1">
      <c r="A36562" s="740"/>
    </row>
    <row r="36563" ht="14.25" customHeight="1">
      <c r="A36563" s="740"/>
    </row>
    <row r="36564" ht="14.25" customHeight="1">
      <c r="A36564" s="740"/>
    </row>
    <row r="36565" ht="14.25" customHeight="1">
      <c r="A36565" s="740"/>
    </row>
    <row r="36566" ht="14.25" customHeight="1">
      <c r="A36566" s="740"/>
    </row>
    <row r="36567" ht="14.25" customHeight="1">
      <c r="A36567" s="740"/>
    </row>
    <row r="36568" ht="14.25" customHeight="1">
      <c r="A36568" s="740"/>
    </row>
    <row r="36569" ht="14.25" customHeight="1">
      <c r="A36569" s="740"/>
    </row>
    <row r="36570" ht="14.25" customHeight="1">
      <c r="A36570" s="740"/>
    </row>
    <row r="36571" ht="14.25" customHeight="1">
      <c r="A36571" s="740"/>
    </row>
    <row r="36572" ht="14.25" customHeight="1">
      <c r="A36572" s="740"/>
    </row>
    <row r="36573" ht="14.25" customHeight="1">
      <c r="A36573" s="740"/>
    </row>
    <row r="36574" ht="14.25" customHeight="1">
      <c r="A36574" s="740"/>
    </row>
    <row r="36575" ht="14.25" customHeight="1">
      <c r="A36575" s="740"/>
    </row>
    <row r="36576" ht="14.25" customHeight="1">
      <c r="A36576" s="740"/>
    </row>
    <row r="36577" ht="14.25" customHeight="1">
      <c r="A36577" s="740"/>
    </row>
    <row r="36578" ht="14.25" customHeight="1">
      <c r="A36578" s="740"/>
    </row>
    <row r="36579" ht="14.25" customHeight="1">
      <c r="A36579" s="740"/>
    </row>
    <row r="36580" ht="14.25" customHeight="1">
      <c r="A36580" s="740"/>
    </row>
    <row r="36581" ht="14.25" customHeight="1">
      <c r="A36581" s="740"/>
    </row>
    <row r="36582" ht="14.25" customHeight="1">
      <c r="A36582" s="740"/>
    </row>
    <row r="36583" ht="14.25" customHeight="1">
      <c r="A36583" s="740"/>
    </row>
    <row r="36584" ht="14.25" customHeight="1">
      <c r="A36584" s="740"/>
    </row>
    <row r="36585" ht="14.25" customHeight="1">
      <c r="A36585" s="740"/>
    </row>
    <row r="36586" ht="14.25" customHeight="1">
      <c r="A36586" s="740"/>
    </row>
    <row r="36587" ht="14.25" customHeight="1">
      <c r="A36587" s="740"/>
    </row>
    <row r="36588" ht="14.25" customHeight="1">
      <c r="A36588" s="740"/>
    </row>
    <row r="36589" ht="14.25" customHeight="1">
      <c r="A36589" s="740"/>
    </row>
    <row r="36590" ht="14.25" customHeight="1">
      <c r="A36590" s="740"/>
    </row>
    <row r="36591" ht="14.25" customHeight="1">
      <c r="A36591" s="740"/>
    </row>
    <row r="36592" ht="14.25" customHeight="1">
      <c r="A36592" s="740"/>
    </row>
    <row r="36593" ht="14.25" customHeight="1">
      <c r="A36593" s="740"/>
    </row>
    <row r="36594" ht="14.25" customHeight="1">
      <c r="A36594" s="740"/>
    </row>
    <row r="36595" ht="14.25" customHeight="1">
      <c r="A36595" s="740"/>
    </row>
    <row r="36596" ht="14.25" customHeight="1">
      <c r="A36596" s="740"/>
    </row>
    <row r="36597" ht="14.25" customHeight="1">
      <c r="A36597" s="740"/>
    </row>
    <row r="36598" ht="14.25" customHeight="1">
      <c r="A36598" s="740"/>
    </row>
    <row r="36599" ht="14.25" customHeight="1">
      <c r="A36599" s="740"/>
    </row>
    <row r="36600" ht="14.25" customHeight="1">
      <c r="A36600" s="740"/>
    </row>
    <row r="36601" ht="14.25" customHeight="1">
      <c r="A36601" s="740"/>
    </row>
    <row r="36602" ht="14.25" customHeight="1">
      <c r="A36602" s="740"/>
    </row>
    <row r="36603" ht="14.25" customHeight="1">
      <c r="A36603" s="740"/>
    </row>
    <row r="36604" ht="14.25" customHeight="1">
      <c r="A36604" s="740"/>
    </row>
    <row r="36605" ht="14.25" customHeight="1">
      <c r="A36605" s="740"/>
    </row>
    <row r="36606" ht="14.25" customHeight="1">
      <c r="A36606" s="740"/>
    </row>
    <row r="36607" ht="14.25" customHeight="1">
      <c r="A36607" s="740"/>
    </row>
    <row r="36608" ht="14.25" customHeight="1">
      <c r="A36608" s="740"/>
    </row>
    <row r="36609" ht="14.25" customHeight="1">
      <c r="A36609" s="740"/>
    </row>
    <row r="36610" ht="14.25" customHeight="1">
      <c r="A36610" s="740"/>
    </row>
    <row r="36611" ht="14.25" customHeight="1">
      <c r="A36611" s="740"/>
    </row>
    <row r="36612" ht="14.25" customHeight="1">
      <c r="A36612" s="740"/>
    </row>
    <row r="36613" ht="14.25" customHeight="1">
      <c r="A36613" s="740"/>
    </row>
    <row r="36614" ht="14.25" customHeight="1">
      <c r="A36614" s="740"/>
    </row>
    <row r="36615" ht="14.25" customHeight="1">
      <c r="A36615" s="740"/>
    </row>
    <row r="36616" ht="14.25" customHeight="1">
      <c r="A36616" s="740"/>
    </row>
    <row r="36617" ht="14.25" customHeight="1">
      <c r="A36617" s="740"/>
    </row>
    <row r="36618" ht="14.25" customHeight="1">
      <c r="A36618" s="740"/>
    </row>
    <row r="36619" ht="14.25" customHeight="1">
      <c r="A36619" s="740"/>
    </row>
    <row r="36620" ht="14.25" customHeight="1">
      <c r="A36620" s="740"/>
    </row>
    <row r="36621" ht="14.25" customHeight="1">
      <c r="A36621" s="740"/>
    </row>
    <row r="36622" ht="14.25" customHeight="1">
      <c r="A36622" s="740"/>
    </row>
    <row r="36623" ht="14.25" customHeight="1">
      <c r="A36623" s="740"/>
    </row>
    <row r="36624" ht="14.25" customHeight="1">
      <c r="A36624" s="740"/>
    </row>
    <row r="36625" ht="14.25" customHeight="1">
      <c r="A36625" s="740"/>
    </row>
    <row r="36626" ht="14.25" customHeight="1">
      <c r="A36626" s="740"/>
    </row>
    <row r="36627" ht="14.25" customHeight="1">
      <c r="A36627" s="740"/>
    </row>
    <row r="36628" ht="14.25" customHeight="1">
      <c r="A36628" s="740"/>
    </row>
    <row r="36629" ht="14.25" customHeight="1">
      <c r="A36629" s="740"/>
    </row>
    <row r="36630" ht="14.25" customHeight="1">
      <c r="A36630" s="740"/>
    </row>
    <row r="36631" ht="14.25" customHeight="1">
      <c r="A36631" s="740"/>
    </row>
    <row r="36632" ht="14.25" customHeight="1">
      <c r="A36632" s="740"/>
    </row>
    <row r="36633" ht="14.25" customHeight="1">
      <c r="A36633" s="740"/>
    </row>
    <row r="36634" ht="14.25" customHeight="1">
      <c r="A36634" s="740"/>
    </row>
    <row r="36635" ht="14.25" customHeight="1">
      <c r="A36635" s="740"/>
    </row>
    <row r="36636" ht="14.25" customHeight="1">
      <c r="A36636" s="740"/>
    </row>
    <row r="36637" ht="14.25" customHeight="1">
      <c r="A36637" s="740"/>
    </row>
    <row r="36638" ht="14.25" customHeight="1">
      <c r="A36638" s="740"/>
    </row>
    <row r="36639" ht="14.25" customHeight="1">
      <c r="A36639" s="740"/>
    </row>
    <row r="36640" ht="14.25" customHeight="1">
      <c r="A36640" s="740"/>
    </row>
    <row r="36641" ht="14.25" customHeight="1">
      <c r="A36641" s="740"/>
    </row>
    <row r="36642" ht="14.25" customHeight="1">
      <c r="A36642" s="740"/>
    </row>
    <row r="36643" ht="14.25" customHeight="1">
      <c r="A36643" s="740"/>
    </row>
    <row r="36644" ht="14.25" customHeight="1">
      <c r="A36644" s="740"/>
    </row>
    <row r="36645" ht="14.25" customHeight="1">
      <c r="A36645" s="740"/>
    </row>
    <row r="36646" ht="14.25" customHeight="1">
      <c r="A36646" s="740"/>
    </row>
    <row r="36647" ht="14.25" customHeight="1">
      <c r="A36647" s="740"/>
    </row>
    <row r="36648" ht="14.25" customHeight="1">
      <c r="A36648" s="740"/>
    </row>
    <row r="36649" ht="14.25" customHeight="1">
      <c r="A36649" s="740"/>
    </row>
    <row r="36650" ht="14.25" customHeight="1">
      <c r="A36650" s="740"/>
    </row>
    <row r="36651" ht="14.25" customHeight="1">
      <c r="A36651" s="740"/>
    </row>
    <row r="36652" ht="14.25" customHeight="1">
      <c r="A36652" s="740"/>
    </row>
    <row r="36653" ht="14.25" customHeight="1">
      <c r="A36653" s="740"/>
    </row>
    <row r="36654" ht="14.25" customHeight="1">
      <c r="A36654" s="740"/>
    </row>
    <row r="36655" ht="14.25" customHeight="1">
      <c r="A36655" s="740"/>
    </row>
    <row r="36656" ht="14.25" customHeight="1">
      <c r="A36656" s="740"/>
    </row>
    <row r="36657" ht="14.25" customHeight="1">
      <c r="A36657" s="740"/>
    </row>
    <row r="36658" ht="14.25" customHeight="1">
      <c r="A36658" s="740"/>
    </row>
    <row r="36659" ht="14.25" customHeight="1">
      <c r="A36659" s="740"/>
    </row>
    <row r="36660" ht="14.25" customHeight="1">
      <c r="A36660" s="740"/>
    </row>
    <row r="36661" ht="14.25" customHeight="1">
      <c r="A36661" s="740"/>
    </row>
    <row r="36662" ht="14.25" customHeight="1">
      <c r="A36662" s="740"/>
    </row>
    <row r="36663" ht="14.25" customHeight="1">
      <c r="A36663" s="740"/>
    </row>
    <row r="36664" ht="14.25" customHeight="1">
      <c r="A36664" s="740"/>
    </row>
    <row r="36665" ht="14.25" customHeight="1">
      <c r="A36665" s="740"/>
    </row>
    <row r="36666" ht="14.25" customHeight="1">
      <c r="A36666" s="740"/>
    </row>
    <row r="36667" ht="14.25" customHeight="1">
      <c r="A36667" s="740"/>
    </row>
    <row r="36668" ht="14.25" customHeight="1">
      <c r="A36668" s="740"/>
    </row>
    <row r="36669" ht="14.25" customHeight="1">
      <c r="A36669" s="740"/>
    </row>
    <row r="36670" ht="14.25" customHeight="1">
      <c r="A36670" s="740"/>
    </row>
    <row r="36671" ht="14.25" customHeight="1">
      <c r="A36671" s="740"/>
    </row>
    <row r="36672" ht="14.25" customHeight="1">
      <c r="A36672" s="740"/>
    </row>
    <row r="36673" ht="14.25" customHeight="1">
      <c r="A36673" s="740"/>
    </row>
    <row r="36674" ht="14.25" customHeight="1">
      <c r="A36674" s="740"/>
    </row>
    <row r="36675" ht="14.25" customHeight="1">
      <c r="A36675" s="740"/>
    </row>
    <row r="36676" ht="14.25" customHeight="1">
      <c r="A36676" s="740"/>
    </row>
    <row r="36677" ht="14.25" customHeight="1">
      <c r="A36677" s="740"/>
    </row>
    <row r="36678" ht="14.25" customHeight="1">
      <c r="A36678" s="740"/>
    </row>
    <row r="36679" ht="14.25" customHeight="1">
      <c r="A36679" s="740"/>
    </row>
    <row r="36680" ht="14.25" customHeight="1">
      <c r="A36680" s="740"/>
    </row>
    <row r="36681" ht="14.25" customHeight="1">
      <c r="A36681" s="740"/>
    </row>
    <row r="36682" ht="14.25" customHeight="1">
      <c r="A36682" s="740"/>
    </row>
    <row r="36683" ht="14.25" customHeight="1">
      <c r="A36683" s="740"/>
    </row>
    <row r="36684" ht="14.25" customHeight="1">
      <c r="A36684" s="740"/>
    </row>
    <row r="36685" ht="14.25" customHeight="1">
      <c r="A36685" s="740"/>
    </row>
    <row r="36686" ht="14.25" customHeight="1">
      <c r="A36686" s="740"/>
    </row>
    <row r="36687" ht="14.25" customHeight="1">
      <c r="A36687" s="740"/>
    </row>
    <row r="36688" ht="14.25" customHeight="1">
      <c r="A36688" s="740"/>
    </row>
    <row r="36689" ht="14.25" customHeight="1">
      <c r="A36689" s="740"/>
    </row>
    <row r="36690" ht="14.25" customHeight="1">
      <c r="A36690" s="740"/>
    </row>
    <row r="36691" ht="14.25" customHeight="1">
      <c r="A36691" s="740"/>
    </row>
    <row r="36692" ht="14.25" customHeight="1">
      <c r="A36692" s="740"/>
    </row>
    <row r="36693" ht="14.25" customHeight="1">
      <c r="A36693" s="740"/>
    </row>
    <row r="36694" ht="14.25" customHeight="1">
      <c r="A36694" s="740"/>
    </row>
    <row r="36695" ht="14.25" customHeight="1">
      <c r="A36695" s="740"/>
    </row>
    <row r="36696" ht="14.25" customHeight="1">
      <c r="A36696" s="740"/>
    </row>
    <row r="36697" ht="14.25" customHeight="1">
      <c r="A36697" s="740"/>
    </row>
    <row r="36698" ht="14.25" customHeight="1">
      <c r="A36698" s="740"/>
    </row>
    <row r="36699" ht="14.25" customHeight="1">
      <c r="A36699" s="740"/>
    </row>
    <row r="36700" ht="14.25" customHeight="1">
      <c r="A36700" s="740"/>
    </row>
    <row r="36701" ht="14.25" customHeight="1">
      <c r="A36701" s="740"/>
    </row>
    <row r="36702" ht="14.25" customHeight="1">
      <c r="A36702" s="740"/>
    </row>
    <row r="36703" ht="14.25" customHeight="1">
      <c r="A36703" s="740"/>
    </row>
    <row r="36704" ht="14.25" customHeight="1">
      <c r="A36704" s="740"/>
    </row>
    <row r="36705" ht="14.25" customHeight="1">
      <c r="A36705" s="740"/>
    </row>
    <row r="36706" ht="14.25" customHeight="1">
      <c r="A36706" s="740"/>
    </row>
    <row r="36707" ht="14.25" customHeight="1">
      <c r="A36707" s="740"/>
    </row>
    <row r="36708" ht="14.25" customHeight="1">
      <c r="A36708" s="740"/>
    </row>
    <row r="36709" ht="14.25" customHeight="1">
      <c r="A36709" s="740"/>
    </row>
    <row r="36710" ht="14.25" customHeight="1">
      <c r="A36710" s="740"/>
    </row>
    <row r="36711" ht="14.25" customHeight="1">
      <c r="A36711" s="740"/>
    </row>
    <row r="36712" ht="14.25" customHeight="1">
      <c r="A36712" s="740"/>
    </row>
    <row r="36713" ht="14.25" customHeight="1">
      <c r="A36713" s="740"/>
    </row>
    <row r="36714" ht="14.25" customHeight="1">
      <c r="A36714" s="740"/>
    </row>
    <row r="36715" ht="14.25" customHeight="1">
      <c r="A36715" s="740"/>
    </row>
    <row r="36716" ht="14.25" customHeight="1">
      <c r="A36716" s="740"/>
    </row>
    <row r="36717" ht="14.25" customHeight="1">
      <c r="A36717" s="740"/>
    </row>
    <row r="36718" ht="14.25" customHeight="1">
      <c r="A36718" s="740"/>
    </row>
    <row r="36719" ht="14.25" customHeight="1">
      <c r="A36719" s="740"/>
    </row>
    <row r="36720" ht="14.25" customHeight="1">
      <c r="A36720" s="740"/>
    </row>
    <row r="36721" ht="14.25" customHeight="1">
      <c r="A36721" s="740"/>
    </row>
    <row r="36722" ht="14.25" customHeight="1">
      <c r="A36722" s="740"/>
    </row>
    <row r="36723" ht="14.25" customHeight="1">
      <c r="A36723" s="740"/>
    </row>
    <row r="36724" ht="14.25" customHeight="1">
      <c r="A36724" s="740"/>
    </row>
    <row r="36725" ht="14.25" customHeight="1">
      <c r="A36725" s="740"/>
    </row>
    <row r="36726" ht="14.25" customHeight="1">
      <c r="A36726" s="740"/>
    </row>
    <row r="36727" ht="14.25" customHeight="1">
      <c r="A36727" s="740"/>
    </row>
    <row r="36728" ht="14.25" customHeight="1">
      <c r="A36728" s="740"/>
    </row>
    <row r="36729" ht="14.25" customHeight="1">
      <c r="A36729" s="740"/>
    </row>
    <row r="36730" ht="14.25" customHeight="1">
      <c r="A36730" s="740"/>
    </row>
    <row r="36731" ht="14.25" customHeight="1">
      <c r="A36731" s="740"/>
    </row>
    <row r="36732" ht="14.25" customHeight="1">
      <c r="A36732" s="740"/>
    </row>
    <row r="36733" ht="14.25" customHeight="1">
      <c r="A36733" s="740"/>
    </row>
    <row r="36734" ht="14.25" customHeight="1">
      <c r="A36734" s="740"/>
    </row>
    <row r="36735" ht="14.25" customHeight="1">
      <c r="A36735" s="740"/>
    </row>
    <row r="36736" ht="14.25" customHeight="1">
      <c r="A36736" s="740"/>
    </row>
    <row r="36737" ht="14.25" customHeight="1">
      <c r="A36737" s="740"/>
    </row>
    <row r="36738" ht="14.25" customHeight="1">
      <c r="A36738" s="740"/>
    </row>
    <row r="36739" ht="14.25" customHeight="1">
      <c r="A36739" s="740"/>
    </row>
    <row r="36740" ht="14.25" customHeight="1">
      <c r="A36740" s="740"/>
    </row>
    <row r="36741" ht="14.25" customHeight="1">
      <c r="A36741" s="740"/>
    </row>
    <row r="36742" ht="14.25" customHeight="1">
      <c r="A36742" s="740"/>
    </row>
    <row r="36743" ht="14.25" customHeight="1">
      <c r="A36743" s="740"/>
    </row>
    <row r="36744" ht="14.25" customHeight="1">
      <c r="A36744" s="740"/>
    </row>
    <row r="36745" ht="14.25" customHeight="1">
      <c r="A36745" s="740"/>
    </row>
    <row r="36746" ht="14.25" customHeight="1">
      <c r="A36746" s="740"/>
    </row>
    <row r="36747" ht="14.25" customHeight="1">
      <c r="A36747" s="740"/>
    </row>
    <row r="36748" ht="14.25" customHeight="1">
      <c r="A36748" s="740"/>
    </row>
    <row r="36749" ht="14.25" customHeight="1">
      <c r="A36749" s="740"/>
    </row>
    <row r="36750" ht="14.25" customHeight="1">
      <c r="A36750" s="740"/>
    </row>
    <row r="36751" ht="14.25" customHeight="1">
      <c r="A36751" s="740"/>
    </row>
    <row r="36752" ht="14.25" customHeight="1">
      <c r="A36752" s="740"/>
    </row>
    <row r="36753" ht="14.25" customHeight="1">
      <c r="A36753" s="740"/>
    </row>
    <row r="36754" ht="14.25" customHeight="1">
      <c r="A36754" s="740"/>
    </row>
    <row r="36755" ht="14.25" customHeight="1">
      <c r="A36755" s="740"/>
    </row>
    <row r="36756" ht="14.25" customHeight="1">
      <c r="A36756" s="740"/>
    </row>
    <row r="36757" ht="14.25" customHeight="1">
      <c r="A36757" s="740"/>
    </row>
    <row r="36758" ht="14.25" customHeight="1">
      <c r="A36758" s="740"/>
    </row>
    <row r="36759" ht="14.25" customHeight="1">
      <c r="A36759" s="740"/>
    </row>
    <row r="36760" ht="14.25" customHeight="1">
      <c r="A36760" s="740"/>
    </row>
    <row r="36761" ht="14.25" customHeight="1">
      <c r="A36761" s="740"/>
    </row>
    <row r="36762" ht="14.25" customHeight="1">
      <c r="A36762" s="740"/>
    </row>
    <row r="36763" ht="14.25" customHeight="1">
      <c r="A36763" s="740"/>
    </row>
    <row r="36764" ht="14.25" customHeight="1">
      <c r="A36764" s="740"/>
    </row>
    <row r="36765" ht="14.25" customHeight="1">
      <c r="A36765" s="740"/>
    </row>
    <row r="36766" ht="14.25" customHeight="1">
      <c r="A36766" s="740"/>
    </row>
    <row r="36767" ht="14.25" customHeight="1">
      <c r="A36767" s="740"/>
    </row>
    <row r="36768" ht="14.25" customHeight="1">
      <c r="A36768" s="740"/>
    </row>
    <row r="36769" ht="14.25" customHeight="1">
      <c r="A36769" s="740"/>
    </row>
    <row r="36770" ht="14.25" customHeight="1">
      <c r="A36770" s="740"/>
    </row>
    <row r="36771" ht="14.25" customHeight="1">
      <c r="A36771" s="740"/>
    </row>
    <row r="36772" ht="14.25" customHeight="1">
      <c r="A36772" s="740"/>
    </row>
    <row r="36773" ht="14.25" customHeight="1">
      <c r="A36773" s="740"/>
    </row>
    <row r="36774" ht="14.25" customHeight="1">
      <c r="A36774" s="740"/>
    </row>
    <row r="36775" ht="14.25" customHeight="1">
      <c r="A36775" s="740"/>
    </row>
    <row r="36776" ht="14.25" customHeight="1">
      <c r="A36776" s="740"/>
    </row>
    <row r="36777" ht="14.25" customHeight="1">
      <c r="A36777" s="740"/>
    </row>
    <row r="36778" ht="14.25" customHeight="1">
      <c r="A36778" s="740"/>
    </row>
    <row r="36779" ht="14.25" customHeight="1">
      <c r="A36779" s="740"/>
    </row>
    <row r="36780" ht="14.25" customHeight="1">
      <c r="A36780" s="740"/>
    </row>
    <row r="36781" ht="14.25" customHeight="1">
      <c r="A36781" s="740"/>
    </row>
    <row r="36782" ht="14.25" customHeight="1">
      <c r="A36782" s="740"/>
    </row>
    <row r="36783" ht="14.25" customHeight="1">
      <c r="A36783" s="740"/>
    </row>
    <row r="36784" ht="14.25" customHeight="1">
      <c r="A36784" s="740"/>
    </row>
    <row r="36785" ht="14.25" customHeight="1">
      <c r="A36785" s="740"/>
    </row>
    <row r="36786" ht="14.25" customHeight="1">
      <c r="A36786" s="740"/>
    </row>
    <row r="36787" ht="14.25" customHeight="1">
      <c r="A36787" s="740"/>
    </row>
    <row r="36788" ht="14.25" customHeight="1">
      <c r="A36788" s="740"/>
    </row>
    <row r="36789" ht="14.25" customHeight="1">
      <c r="A36789" s="740"/>
    </row>
    <row r="36790" ht="14.25" customHeight="1">
      <c r="A36790" s="740"/>
    </row>
    <row r="36791" ht="14.25" customHeight="1">
      <c r="A36791" s="740"/>
    </row>
    <row r="36792" ht="14.25" customHeight="1">
      <c r="A36792" s="740"/>
    </row>
    <row r="36793" ht="14.25" customHeight="1">
      <c r="A36793" s="740"/>
    </row>
    <row r="36794" ht="14.25" customHeight="1">
      <c r="A36794" s="740"/>
    </row>
    <row r="36795" ht="14.25" customHeight="1">
      <c r="A36795" s="740"/>
    </row>
    <row r="36796" ht="14.25" customHeight="1">
      <c r="A36796" s="740"/>
    </row>
    <row r="36797" ht="14.25" customHeight="1">
      <c r="A36797" s="740"/>
    </row>
    <row r="36798" ht="14.25" customHeight="1">
      <c r="A36798" s="740"/>
    </row>
    <row r="36799" ht="14.25" customHeight="1">
      <c r="A36799" s="740"/>
    </row>
    <row r="36800" ht="14.25" customHeight="1">
      <c r="A36800" s="740"/>
    </row>
    <row r="36801" ht="14.25" customHeight="1">
      <c r="A36801" s="740"/>
    </row>
    <row r="36802" ht="14.25" customHeight="1">
      <c r="A36802" s="740"/>
    </row>
    <row r="36803" ht="14.25" customHeight="1">
      <c r="A36803" s="740"/>
    </row>
    <row r="36804" ht="14.25" customHeight="1">
      <c r="A36804" s="740"/>
    </row>
    <row r="36805" ht="14.25" customHeight="1">
      <c r="A36805" s="740"/>
    </row>
    <row r="36806" ht="14.25" customHeight="1">
      <c r="A36806" s="740"/>
    </row>
    <row r="36807" ht="14.25" customHeight="1">
      <c r="A36807" s="740"/>
    </row>
    <row r="36808" ht="14.25" customHeight="1">
      <c r="A36808" s="740"/>
    </row>
    <row r="36809" ht="14.25" customHeight="1">
      <c r="A36809" s="740"/>
    </row>
    <row r="36810" ht="14.25" customHeight="1">
      <c r="A36810" s="740"/>
    </row>
    <row r="36811" ht="14.25" customHeight="1">
      <c r="A36811" s="740"/>
    </row>
    <row r="36812" ht="14.25" customHeight="1">
      <c r="A36812" s="740"/>
    </row>
    <row r="36813" ht="14.25" customHeight="1">
      <c r="A36813" s="740"/>
    </row>
    <row r="36814" ht="14.25" customHeight="1">
      <c r="A36814" s="740"/>
    </row>
    <row r="36815" ht="14.25" customHeight="1">
      <c r="A36815" s="740"/>
    </row>
    <row r="36816" ht="14.25" customHeight="1">
      <c r="A36816" s="740"/>
    </row>
    <row r="36817" ht="14.25" customHeight="1">
      <c r="A36817" s="740"/>
    </row>
    <row r="36818" ht="14.25" customHeight="1">
      <c r="A36818" s="740"/>
    </row>
    <row r="36819" ht="14.25" customHeight="1">
      <c r="A36819" s="740"/>
    </row>
    <row r="36820" ht="14.25" customHeight="1">
      <c r="A36820" s="740"/>
    </row>
    <row r="36821" ht="14.25" customHeight="1">
      <c r="A36821" s="740"/>
    </row>
    <row r="36822" ht="14.25" customHeight="1">
      <c r="A36822" s="740"/>
    </row>
    <row r="36823" ht="14.25" customHeight="1">
      <c r="A36823" s="740"/>
    </row>
    <row r="36824" ht="14.25" customHeight="1">
      <c r="A36824" s="740"/>
    </row>
    <row r="36825" ht="14.25" customHeight="1">
      <c r="A36825" s="740"/>
    </row>
    <row r="36826" ht="14.25" customHeight="1">
      <c r="A36826" s="740"/>
    </row>
    <row r="36827" ht="14.25" customHeight="1">
      <c r="A36827" s="740"/>
    </row>
    <row r="36828" ht="14.25" customHeight="1">
      <c r="A36828" s="740"/>
    </row>
    <row r="36829" ht="14.25" customHeight="1">
      <c r="A36829" s="740"/>
    </row>
    <row r="36830" ht="14.25" customHeight="1">
      <c r="A36830" s="740"/>
    </row>
    <row r="36831" ht="14.25" customHeight="1">
      <c r="A36831" s="740"/>
    </row>
    <row r="36832" ht="14.25" customHeight="1">
      <c r="A36832" s="740"/>
    </row>
    <row r="36833" ht="14.25" customHeight="1">
      <c r="A36833" s="740"/>
    </row>
    <row r="36834" ht="14.25" customHeight="1">
      <c r="A36834" s="740"/>
    </row>
    <row r="36835" ht="14.25" customHeight="1">
      <c r="A36835" s="740"/>
    </row>
    <row r="36836" ht="14.25" customHeight="1">
      <c r="A36836" s="740"/>
    </row>
    <row r="36837" ht="14.25" customHeight="1">
      <c r="A36837" s="740"/>
    </row>
    <row r="36838" ht="14.25" customHeight="1">
      <c r="A36838" s="740"/>
    </row>
    <row r="36839" ht="14.25" customHeight="1">
      <c r="A36839" s="740"/>
    </row>
    <row r="36840" ht="14.25" customHeight="1">
      <c r="A36840" s="740"/>
    </row>
    <row r="36841" ht="14.25" customHeight="1">
      <c r="A36841" s="740"/>
    </row>
    <row r="36842" ht="14.25" customHeight="1">
      <c r="A36842" s="740"/>
    </row>
    <row r="36843" ht="14.25" customHeight="1">
      <c r="A36843" s="740"/>
    </row>
    <row r="36844" ht="14.25" customHeight="1">
      <c r="A36844" s="740"/>
    </row>
    <row r="36845" ht="14.25" customHeight="1">
      <c r="A36845" s="740"/>
    </row>
    <row r="36846" ht="14.25" customHeight="1">
      <c r="A36846" s="740"/>
    </row>
    <row r="36847" ht="14.25" customHeight="1">
      <c r="A36847" s="740"/>
    </row>
    <row r="36848" ht="14.25" customHeight="1">
      <c r="A36848" s="740"/>
    </row>
    <row r="36849" ht="14.25" customHeight="1">
      <c r="A36849" s="740"/>
    </row>
    <row r="36850" ht="14.25" customHeight="1">
      <c r="A36850" s="740"/>
    </row>
    <row r="36851" ht="14.25" customHeight="1">
      <c r="A36851" s="740"/>
    </row>
    <row r="36852" ht="14.25" customHeight="1">
      <c r="A36852" s="740"/>
    </row>
    <row r="36853" ht="14.25" customHeight="1">
      <c r="A36853" s="740"/>
    </row>
    <row r="36854" ht="14.25" customHeight="1">
      <c r="A36854" s="740"/>
    </row>
    <row r="36855" ht="14.25" customHeight="1">
      <c r="A36855" s="740"/>
    </row>
    <row r="36856" ht="14.25" customHeight="1">
      <c r="A36856" s="740"/>
    </row>
    <row r="36857" ht="14.25" customHeight="1">
      <c r="A36857" s="740"/>
    </row>
    <row r="36858" ht="14.25" customHeight="1">
      <c r="A36858" s="740"/>
    </row>
    <row r="36859" ht="14.25" customHeight="1">
      <c r="A36859" s="740"/>
    </row>
    <row r="36860" ht="14.25" customHeight="1">
      <c r="A36860" s="740"/>
    </row>
    <row r="36861" ht="14.25" customHeight="1">
      <c r="A36861" s="740"/>
    </row>
    <row r="36862" ht="14.25" customHeight="1">
      <c r="A36862" s="740"/>
    </row>
    <row r="36863" ht="14.25" customHeight="1">
      <c r="A36863" s="740"/>
    </row>
    <row r="36864" ht="14.25" customHeight="1">
      <c r="A36864" s="740"/>
    </row>
    <row r="36865" ht="14.25" customHeight="1">
      <c r="A36865" s="740"/>
    </row>
    <row r="36866" ht="14.25" customHeight="1">
      <c r="A36866" s="740"/>
    </row>
    <row r="36867" ht="14.25" customHeight="1">
      <c r="A36867" s="740"/>
    </row>
    <row r="36868" ht="14.25" customHeight="1">
      <c r="A36868" s="740"/>
    </row>
    <row r="36869" ht="14.25" customHeight="1">
      <c r="A36869" s="740"/>
    </row>
    <row r="36870" ht="14.25" customHeight="1">
      <c r="A36870" s="740"/>
    </row>
    <row r="36871" ht="14.25" customHeight="1">
      <c r="A36871" s="740"/>
    </row>
    <row r="36872" ht="14.25" customHeight="1">
      <c r="A36872" s="740"/>
    </row>
    <row r="36873" ht="14.25" customHeight="1">
      <c r="A36873" s="740"/>
    </row>
    <row r="36874" ht="14.25" customHeight="1">
      <c r="A36874" s="740"/>
    </row>
    <row r="36875" ht="14.25" customHeight="1">
      <c r="A36875" s="740"/>
    </row>
    <row r="36876" ht="14.25" customHeight="1">
      <c r="A36876" s="740"/>
    </row>
    <row r="36877" ht="14.25" customHeight="1">
      <c r="A36877" s="740"/>
    </row>
    <row r="36878" ht="14.25" customHeight="1">
      <c r="A36878" s="740"/>
    </row>
    <row r="36879" ht="14.25" customHeight="1">
      <c r="A36879" s="740"/>
    </row>
    <row r="36880" ht="14.25" customHeight="1">
      <c r="A36880" s="740"/>
    </row>
    <row r="36881" ht="14.25" customHeight="1">
      <c r="A36881" s="740"/>
    </row>
    <row r="36882" ht="14.25" customHeight="1">
      <c r="A36882" s="740"/>
    </row>
    <row r="36883" ht="14.25" customHeight="1">
      <c r="A36883" s="740"/>
    </row>
    <row r="36884" ht="14.25" customHeight="1">
      <c r="A36884" s="740"/>
    </row>
    <row r="36885" ht="14.25" customHeight="1">
      <c r="A36885" s="740"/>
    </row>
    <row r="36886" ht="14.25" customHeight="1">
      <c r="A36886" s="740"/>
    </row>
    <row r="36887" ht="14.25" customHeight="1">
      <c r="A36887" s="740"/>
    </row>
    <row r="36888" ht="14.25" customHeight="1">
      <c r="A36888" s="740"/>
    </row>
    <row r="36889" ht="14.25" customHeight="1">
      <c r="A36889" s="740"/>
    </row>
    <row r="36890" ht="14.25" customHeight="1">
      <c r="A36890" s="740"/>
    </row>
    <row r="36891" ht="14.25" customHeight="1">
      <c r="A36891" s="740"/>
    </row>
    <row r="36892" ht="14.25" customHeight="1">
      <c r="A36892" s="740"/>
    </row>
    <row r="36893" ht="14.25" customHeight="1">
      <c r="A36893" s="740"/>
    </row>
    <row r="36894" ht="14.25" customHeight="1">
      <c r="A36894" s="740"/>
    </row>
    <row r="36895" ht="14.25" customHeight="1">
      <c r="A36895" s="740"/>
    </row>
    <row r="36896" ht="14.25" customHeight="1">
      <c r="A36896" s="740"/>
    </row>
    <row r="36897" ht="14.25" customHeight="1">
      <c r="A36897" s="740"/>
    </row>
    <row r="36898" ht="14.25" customHeight="1">
      <c r="A36898" s="740"/>
    </row>
    <row r="36899" ht="14.25" customHeight="1">
      <c r="A36899" s="740"/>
    </row>
    <row r="36900" ht="14.25" customHeight="1">
      <c r="A36900" s="740"/>
    </row>
    <row r="36901" ht="14.25" customHeight="1">
      <c r="A36901" s="740"/>
    </row>
    <row r="36902" ht="14.25" customHeight="1">
      <c r="A36902" s="740"/>
    </row>
    <row r="36903" ht="14.25" customHeight="1">
      <c r="A36903" s="740"/>
    </row>
    <row r="36904" ht="14.25" customHeight="1">
      <c r="A36904" s="740"/>
    </row>
    <row r="36905" ht="14.25" customHeight="1">
      <c r="A36905" s="740"/>
    </row>
    <row r="36906" ht="14.25" customHeight="1">
      <c r="A36906" s="740"/>
    </row>
    <row r="36907" ht="14.25" customHeight="1">
      <c r="A36907" s="740"/>
    </row>
    <row r="36908" ht="14.25" customHeight="1">
      <c r="A36908" s="740"/>
    </row>
    <row r="36909" ht="14.25" customHeight="1">
      <c r="A36909" s="740"/>
    </row>
    <row r="36910" ht="14.25" customHeight="1">
      <c r="A36910" s="740"/>
    </row>
    <row r="36911" ht="14.25" customHeight="1">
      <c r="A36911" s="740"/>
    </row>
    <row r="36912" ht="14.25" customHeight="1">
      <c r="A36912" s="740"/>
    </row>
    <row r="36913" ht="14.25" customHeight="1">
      <c r="A36913" s="740"/>
    </row>
    <row r="36914" ht="14.25" customHeight="1">
      <c r="A36914" s="740"/>
    </row>
    <row r="36915" ht="14.25" customHeight="1">
      <c r="A36915" s="740"/>
    </row>
    <row r="36916" ht="14.25" customHeight="1">
      <c r="A36916" s="740"/>
    </row>
    <row r="36917" ht="14.25" customHeight="1">
      <c r="A36917" s="740"/>
    </row>
    <row r="36918" ht="14.25" customHeight="1">
      <c r="A36918" s="740"/>
    </row>
    <row r="36919" ht="14.25" customHeight="1">
      <c r="A36919" s="740"/>
    </row>
    <row r="36920" ht="14.25" customHeight="1">
      <c r="A36920" s="740"/>
    </row>
    <row r="36921" ht="14.25" customHeight="1">
      <c r="A36921" s="740"/>
    </row>
    <row r="36922" ht="14.25" customHeight="1">
      <c r="A36922" s="740"/>
    </row>
    <row r="36923" ht="14.25" customHeight="1">
      <c r="A36923" s="740"/>
    </row>
    <row r="36924" ht="14.25" customHeight="1">
      <c r="A36924" s="740"/>
    </row>
    <row r="36925" ht="14.25" customHeight="1">
      <c r="A36925" s="740"/>
    </row>
    <row r="36926" ht="14.25" customHeight="1">
      <c r="A36926" s="740"/>
    </row>
    <row r="36927" ht="14.25" customHeight="1">
      <c r="A36927" s="740"/>
    </row>
    <row r="36928" ht="14.25" customHeight="1">
      <c r="A36928" s="740"/>
    </row>
    <row r="36929" ht="14.25" customHeight="1">
      <c r="A36929" s="740"/>
    </row>
    <row r="36930" ht="14.25" customHeight="1">
      <c r="A36930" s="740"/>
    </row>
    <row r="36931" ht="14.25" customHeight="1">
      <c r="A36931" s="740"/>
    </row>
    <row r="36932" ht="14.25" customHeight="1">
      <c r="A36932" s="740"/>
    </row>
    <row r="36933" ht="14.25" customHeight="1">
      <c r="A36933" s="740"/>
    </row>
    <row r="36934" ht="14.25" customHeight="1">
      <c r="A36934" s="740"/>
    </row>
    <row r="36935" ht="14.25" customHeight="1">
      <c r="A36935" s="740"/>
    </row>
    <row r="36936" ht="14.25" customHeight="1">
      <c r="A36936" s="740"/>
    </row>
    <row r="36937" ht="14.25" customHeight="1">
      <c r="A36937" s="740"/>
    </row>
    <row r="36938" ht="14.25" customHeight="1">
      <c r="A36938" s="740"/>
    </row>
    <row r="36939" ht="14.25" customHeight="1">
      <c r="A36939" s="740"/>
    </row>
    <row r="36940" ht="14.25" customHeight="1">
      <c r="A36940" s="740"/>
    </row>
    <row r="36941" ht="14.25" customHeight="1">
      <c r="A36941" s="740"/>
    </row>
    <row r="36942" ht="14.25" customHeight="1">
      <c r="A36942" s="740"/>
    </row>
    <row r="36943" ht="14.25" customHeight="1">
      <c r="A36943" s="740"/>
    </row>
    <row r="36944" ht="14.25" customHeight="1">
      <c r="A36944" s="740"/>
    </row>
    <row r="36945" ht="14.25" customHeight="1">
      <c r="A36945" s="740"/>
    </row>
    <row r="36946" ht="14.25" customHeight="1">
      <c r="A36946" s="740"/>
    </row>
    <row r="36947" ht="14.25" customHeight="1">
      <c r="A36947" s="740"/>
    </row>
    <row r="36948" ht="14.25" customHeight="1">
      <c r="A36948" s="740"/>
    </row>
    <row r="36949" ht="14.25" customHeight="1">
      <c r="A36949" s="740"/>
    </row>
    <row r="36950" ht="14.25" customHeight="1">
      <c r="A36950" s="740"/>
    </row>
    <row r="36951" ht="14.25" customHeight="1">
      <c r="A36951" s="740"/>
    </row>
    <row r="36952" ht="14.25" customHeight="1">
      <c r="A36952" s="740"/>
    </row>
    <row r="36953" ht="14.25" customHeight="1">
      <c r="A36953" s="740"/>
    </row>
    <row r="36954" ht="14.25" customHeight="1">
      <c r="A36954" s="740"/>
    </row>
    <row r="36955" ht="14.25" customHeight="1">
      <c r="A36955" s="740"/>
    </row>
    <row r="36956" ht="14.25" customHeight="1">
      <c r="A36956" s="740"/>
    </row>
    <row r="36957" ht="14.25" customHeight="1">
      <c r="A36957" s="740"/>
    </row>
    <row r="36958" ht="14.25" customHeight="1">
      <c r="A36958" s="740"/>
    </row>
    <row r="36959" ht="14.25" customHeight="1">
      <c r="A36959" s="740"/>
    </row>
    <row r="36960" ht="14.25" customHeight="1">
      <c r="A36960" s="740"/>
    </row>
    <row r="36961" ht="14.25" customHeight="1">
      <c r="A36961" s="740"/>
    </row>
    <row r="36962" ht="14.25" customHeight="1">
      <c r="A36962" s="740"/>
    </row>
    <row r="36963" ht="14.25" customHeight="1">
      <c r="A36963" s="740"/>
    </row>
    <row r="36964" ht="14.25" customHeight="1">
      <c r="A36964" s="740"/>
    </row>
    <row r="36965" ht="14.25" customHeight="1">
      <c r="A36965" s="740"/>
    </row>
    <row r="36966" ht="14.25" customHeight="1">
      <c r="A36966" s="740"/>
    </row>
    <row r="36967" ht="14.25" customHeight="1">
      <c r="A36967" s="740"/>
    </row>
    <row r="36968" ht="14.25" customHeight="1">
      <c r="A36968" s="740"/>
    </row>
    <row r="36969" ht="14.25" customHeight="1">
      <c r="A36969" s="740"/>
    </row>
    <row r="36970" ht="14.25" customHeight="1">
      <c r="A36970" s="740"/>
    </row>
    <row r="36971" ht="14.25" customHeight="1">
      <c r="A36971" s="740"/>
    </row>
    <row r="36972" ht="14.25" customHeight="1">
      <c r="A36972" s="740"/>
    </row>
    <row r="36973" ht="14.25" customHeight="1">
      <c r="A36973" s="740"/>
    </row>
    <row r="36974" ht="14.25" customHeight="1">
      <c r="A36974" s="740"/>
    </row>
    <row r="36975" ht="14.25" customHeight="1">
      <c r="A36975" s="740"/>
    </row>
    <row r="36976" ht="14.25" customHeight="1">
      <c r="A36976" s="740"/>
    </row>
    <row r="36977" ht="14.25" customHeight="1">
      <c r="A36977" s="740"/>
    </row>
    <row r="36978" ht="14.25" customHeight="1">
      <c r="A36978" s="740"/>
    </row>
    <row r="36979" ht="14.25" customHeight="1">
      <c r="A36979" s="740"/>
    </row>
    <row r="36980" ht="14.25" customHeight="1">
      <c r="A36980" s="740"/>
    </row>
    <row r="36981" ht="14.25" customHeight="1">
      <c r="A36981" s="740"/>
    </row>
    <row r="36982" ht="14.25" customHeight="1">
      <c r="A36982" s="740"/>
    </row>
    <row r="36983" ht="14.25" customHeight="1">
      <c r="A36983" s="740"/>
    </row>
    <row r="36984" ht="14.25" customHeight="1">
      <c r="A36984" s="740"/>
    </row>
    <row r="36985" ht="14.25" customHeight="1">
      <c r="A36985" s="740"/>
    </row>
    <row r="36986" ht="14.25" customHeight="1">
      <c r="A36986" s="740"/>
    </row>
    <row r="36987" ht="14.25" customHeight="1">
      <c r="A36987" s="740"/>
    </row>
    <row r="36988" ht="14.25" customHeight="1">
      <c r="A36988" s="740"/>
    </row>
    <row r="36989" ht="14.25" customHeight="1">
      <c r="A36989" s="740"/>
    </row>
    <row r="36990" ht="14.25" customHeight="1">
      <c r="A36990" s="740"/>
    </row>
    <row r="36991" ht="14.25" customHeight="1">
      <c r="A36991" s="740"/>
    </row>
    <row r="36992" ht="14.25" customHeight="1">
      <c r="A36992" s="740"/>
    </row>
    <row r="36993" ht="14.25" customHeight="1">
      <c r="A36993" s="740"/>
    </row>
    <row r="36994" ht="14.25" customHeight="1">
      <c r="A36994" s="740"/>
    </row>
    <row r="36995" ht="14.25" customHeight="1">
      <c r="A36995" s="740"/>
    </row>
    <row r="36996" ht="14.25" customHeight="1">
      <c r="A36996" s="740"/>
    </row>
    <row r="36997" ht="14.25" customHeight="1">
      <c r="A36997" s="740"/>
    </row>
    <row r="36998" ht="14.25" customHeight="1">
      <c r="A36998" s="740"/>
    </row>
    <row r="36999" ht="14.25" customHeight="1">
      <c r="A36999" s="740"/>
    </row>
    <row r="37000" ht="14.25" customHeight="1">
      <c r="A37000" s="740"/>
    </row>
    <row r="37001" ht="14.25" customHeight="1">
      <c r="A37001" s="740"/>
    </row>
    <row r="37002" ht="14.25" customHeight="1">
      <c r="A37002" s="740"/>
    </row>
    <row r="37003" ht="14.25" customHeight="1">
      <c r="A37003" s="740"/>
    </row>
    <row r="37004" ht="14.25" customHeight="1">
      <c r="A37004" s="740"/>
    </row>
    <row r="37005" ht="14.25" customHeight="1">
      <c r="A37005" s="740"/>
    </row>
    <row r="37006" ht="14.25" customHeight="1">
      <c r="A37006" s="740"/>
    </row>
    <row r="37007" ht="14.25" customHeight="1">
      <c r="A37007" s="740"/>
    </row>
    <row r="37008" ht="14.25" customHeight="1">
      <c r="A37008" s="740"/>
    </row>
    <row r="37009" ht="14.25" customHeight="1">
      <c r="A37009" s="740"/>
    </row>
    <row r="37010" ht="14.25" customHeight="1">
      <c r="A37010" s="740"/>
    </row>
    <row r="37011" ht="14.25" customHeight="1">
      <c r="A37011" s="740"/>
    </row>
    <row r="37012" ht="14.25" customHeight="1">
      <c r="A37012" s="740"/>
    </row>
    <row r="37013" ht="14.25" customHeight="1">
      <c r="A37013" s="740"/>
    </row>
    <row r="37014" ht="14.25" customHeight="1">
      <c r="A37014" s="740"/>
    </row>
    <row r="37015" ht="14.25" customHeight="1">
      <c r="A37015" s="740"/>
    </row>
    <row r="37016" ht="14.25" customHeight="1">
      <c r="A37016" s="740"/>
    </row>
    <row r="37017" ht="14.25" customHeight="1">
      <c r="A37017" s="740"/>
    </row>
    <row r="37018" ht="14.25" customHeight="1">
      <c r="A37018" s="740"/>
    </row>
    <row r="37019" ht="14.25" customHeight="1">
      <c r="A37019" s="740"/>
    </row>
    <row r="37020" ht="14.25" customHeight="1">
      <c r="A37020" s="740"/>
    </row>
    <row r="37021" ht="14.25" customHeight="1">
      <c r="A37021" s="740"/>
    </row>
    <row r="37022" ht="14.25" customHeight="1">
      <c r="A37022" s="740"/>
    </row>
    <row r="37023" ht="14.25" customHeight="1">
      <c r="A37023" s="740"/>
    </row>
    <row r="37024" ht="14.25" customHeight="1">
      <c r="A37024" s="740"/>
    </row>
    <row r="37025" ht="14.25" customHeight="1">
      <c r="A37025" s="740"/>
    </row>
    <row r="37026" ht="14.25" customHeight="1">
      <c r="A37026" s="740"/>
    </row>
    <row r="37027" ht="14.25" customHeight="1">
      <c r="A37027" s="740"/>
    </row>
    <row r="37028" ht="14.25" customHeight="1">
      <c r="A37028" s="740"/>
    </row>
    <row r="37029" ht="14.25" customHeight="1">
      <c r="A37029" s="740"/>
    </row>
    <row r="37030" ht="14.25" customHeight="1">
      <c r="A37030" s="740"/>
    </row>
    <row r="37031" ht="14.25" customHeight="1">
      <c r="A37031" s="740"/>
    </row>
    <row r="37032" ht="14.25" customHeight="1">
      <c r="A37032" s="740"/>
    </row>
    <row r="37033" ht="14.25" customHeight="1">
      <c r="A37033" s="740"/>
    </row>
    <row r="37034" ht="14.25" customHeight="1">
      <c r="A37034" s="740"/>
    </row>
    <row r="37035" ht="14.25" customHeight="1">
      <c r="A37035" s="740"/>
    </row>
    <row r="37036" ht="14.25" customHeight="1">
      <c r="A37036" s="740"/>
    </row>
    <row r="37037" ht="14.25" customHeight="1">
      <c r="A37037" s="740"/>
    </row>
    <row r="37038" ht="14.25" customHeight="1">
      <c r="A37038" s="740"/>
    </row>
    <row r="37039" ht="14.25" customHeight="1">
      <c r="A37039" s="740"/>
    </row>
    <row r="37040" ht="14.25" customHeight="1">
      <c r="A37040" s="740"/>
    </row>
    <row r="37041" ht="14.25" customHeight="1">
      <c r="A37041" s="740"/>
    </row>
    <row r="37042" ht="14.25" customHeight="1">
      <c r="A37042" s="740"/>
    </row>
    <row r="37043" ht="14.25" customHeight="1">
      <c r="A37043" s="740"/>
    </row>
    <row r="37044" ht="14.25" customHeight="1">
      <c r="A37044" s="740"/>
    </row>
    <row r="37045" ht="14.25" customHeight="1">
      <c r="A37045" s="740"/>
    </row>
    <row r="37046" ht="14.25" customHeight="1">
      <c r="A37046" s="740"/>
    </row>
    <row r="37047" ht="14.25" customHeight="1">
      <c r="A37047" s="740"/>
    </row>
    <row r="37048" ht="14.25" customHeight="1">
      <c r="A37048" s="740"/>
    </row>
    <row r="37049" ht="14.25" customHeight="1">
      <c r="A37049" s="740"/>
    </row>
    <row r="37050" ht="14.25" customHeight="1">
      <c r="A37050" s="740"/>
    </row>
    <row r="37051" ht="14.25" customHeight="1">
      <c r="A37051" s="740"/>
    </row>
    <row r="37052" ht="14.25" customHeight="1">
      <c r="A37052" s="740"/>
    </row>
    <row r="37053" ht="14.25" customHeight="1">
      <c r="A37053" s="740"/>
    </row>
    <row r="37054" ht="14.25" customHeight="1">
      <c r="A37054" s="740"/>
    </row>
    <row r="37055" ht="14.25" customHeight="1">
      <c r="A37055" s="740"/>
    </row>
    <row r="37056" ht="14.25" customHeight="1">
      <c r="A37056" s="740"/>
    </row>
    <row r="37057" ht="14.25" customHeight="1">
      <c r="A37057" s="740"/>
    </row>
    <row r="37058" ht="14.25" customHeight="1">
      <c r="A37058" s="740"/>
    </row>
    <row r="37059" ht="14.25" customHeight="1">
      <c r="A37059" s="740"/>
    </row>
    <row r="37060" ht="14.25" customHeight="1">
      <c r="A37060" s="740"/>
    </row>
    <row r="37061" ht="14.25" customHeight="1">
      <c r="A37061" s="740"/>
    </row>
    <row r="37062" ht="14.25" customHeight="1">
      <c r="A37062" s="740"/>
    </row>
    <row r="37063" ht="14.25" customHeight="1">
      <c r="A37063" s="740"/>
    </row>
    <row r="37064" ht="14.25" customHeight="1">
      <c r="A37064" s="740"/>
    </row>
    <row r="37065" ht="14.25" customHeight="1">
      <c r="A37065" s="740"/>
    </row>
    <row r="37066" ht="14.25" customHeight="1">
      <c r="A37066" s="740"/>
    </row>
    <row r="37067" ht="14.25" customHeight="1">
      <c r="A37067" s="740"/>
    </row>
    <row r="37068" ht="14.25" customHeight="1">
      <c r="A37068" s="740"/>
    </row>
    <row r="37069" ht="14.25" customHeight="1">
      <c r="A37069" s="740"/>
    </row>
    <row r="37070" ht="14.25" customHeight="1">
      <c r="A37070" s="740"/>
    </row>
    <row r="37071" ht="14.25" customHeight="1">
      <c r="A37071" s="740"/>
    </row>
    <row r="37072" ht="14.25" customHeight="1">
      <c r="A37072" s="740"/>
    </row>
    <row r="37073" ht="14.25" customHeight="1">
      <c r="A37073" s="740"/>
    </row>
    <row r="37074" ht="14.25" customHeight="1">
      <c r="A37074" s="740"/>
    </row>
    <row r="37075" ht="14.25" customHeight="1">
      <c r="A37075" s="740"/>
    </row>
    <row r="37076" ht="14.25" customHeight="1">
      <c r="A37076" s="740"/>
    </row>
    <row r="37077" ht="14.25" customHeight="1">
      <c r="A37077" s="740"/>
    </row>
    <row r="37078" ht="14.25" customHeight="1">
      <c r="A37078" s="740"/>
    </row>
    <row r="37079" ht="14.25" customHeight="1">
      <c r="A37079" s="740"/>
    </row>
    <row r="37080" ht="14.25" customHeight="1">
      <c r="A37080" s="740"/>
    </row>
    <row r="37081" ht="14.25" customHeight="1">
      <c r="A37081" s="740"/>
    </row>
    <row r="37082" ht="14.25" customHeight="1">
      <c r="A37082" s="740"/>
    </row>
    <row r="37083" ht="14.25" customHeight="1">
      <c r="A37083" s="740"/>
    </row>
    <row r="37084" ht="14.25" customHeight="1">
      <c r="A37084" s="740"/>
    </row>
    <row r="37085" ht="14.25" customHeight="1">
      <c r="A37085" s="740"/>
    </row>
    <row r="37086" ht="14.25" customHeight="1">
      <c r="A37086" s="740"/>
    </row>
    <row r="37087" ht="14.25" customHeight="1">
      <c r="A37087" s="740"/>
    </row>
    <row r="37088" ht="14.25" customHeight="1">
      <c r="A37088" s="740"/>
    </row>
    <row r="37089" ht="14.25" customHeight="1">
      <c r="A37089" s="740"/>
    </row>
    <row r="37090" ht="14.25" customHeight="1">
      <c r="A37090" s="740"/>
    </row>
    <row r="37091" ht="14.25" customHeight="1">
      <c r="A37091" s="740"/>
    </row>
    <row r="37092" ht="14.25" customHeight="1">
      <c r="A37092" s="740"/>
    </row>
    <row r="37093" ht="14.25" customHeight="1">
      <c r="A37093" s="740"/>
    </row>
    <row r="37094" ht="14.25" customHeight="1">
      <c r="A37094" s="740"/>
    </row>
    <row r="37095" ht="14.25" customHeight="1">
      <c r="A37095" s="740"/>
    </row>
    <row r="37096" ht="14.25" customHeight="1">
      <c r="A37096" s="740"/>
    </row>
    <row r="37097" ht="14.25" customHeight="1">
      <c r="A37097" s="740"/>
    </row>
    <row r="37098" ht="14.25" customHeight="1">
      <c r="A37098" s="740"/>
    </row>
    <row r="37099" ht="14.25" customHeight="1">
      <c r="A37099" s="740"/>
    </row>
    <row r="37100" ht="14.25" customHeight="1">
      <c r="A37100" s="740"/>
    </row>
    <row r="37101" ht="14.25" customHeight="1">
      <c r="A37101" s="740"/>
    </row>
    <row r="37102" ht="14.25" customHeight="1">
      <c r="A37102" s="740"/>
    </row>
    <row r="37103" ht="14.25" customHeight="1">
      <c r="A37103" s="740"/>
    </row>
    <row r="37104" ht="14.25" customHeight="1">
      <c r="A37104" s="740"/>
    </row>
    <row r="37105" ht="14.25" customHeight="1">
      <c r="A37105" s="740"/>
    </row>
    <row r="37106" ht="14.25" customHeight="1">
      <c r="A37106" s="740"/>
    </row>
    <row r="37107" ht="14.25" customHeight="1">
      <c r="A37107" s="740"/>
    </row>
    <row r="37108" ht="14.25" customHeight="1">
      <c r="A37108" s="740"/>
    </row>
    <row r="37109" ht="14.25" customHeight="1">
      <c r="A37109" s="740"/>
    </row>
    <row r="37110" ht="14.25" customHeight="1">
      <c r="A37110" s="740"/>
    </row>
    <row r="37111" ht="14.25" customHeight="1">
      <c r="A37111" s="740"/>
    </row>
    <row r="37112" ht="14.25" customHeight="1">
      <c r="A37112" s="740"/>
    </row>
    <row r="37113" ht="14.25" customHeight="1">
      <c r="A37113" s="740"/>
    </row>
    <row r="37114" ht="14.25" customHeight="1">
      <c r="A37114" s="740"/>
    </row>
    <row r="37115" ht="14.25" customHeight="1">
      <c r="A37115" s="740"/>
    </row>
    <row r="37116" ht="14.25" customHeight="1">
      <c r="A37116" s="740"/>
    </row>
    <row r="37117" ht="14.25" customHeight="1">
      <c r="A37117" s="740"/>
    </row>
    <row r="37118" ht="14.25" customHeight="1">
      <c r="A37118" s="740"/>
    </row>
    <row r="37119" ht="14.25" customHeight="1">
      <c r="A37119" s="740"/>
    </row>
    <row r="37120" ht="14.25" customHeight="1">
      <c r="A37120" s="740"/>
    </row>
    <row r="37121" ht="14.25" customHeight="1">
      <c r="A37121" s="740"/>
    </row>
    <row r="37122" ht="14.25" customHeight="1">
      <c r="A37122" s="740"/>
    </row>
    <row r="37123" ht="14.25" customHeight="1">
      <c r="A37123" s="740"/>
    </row>
    <row r="37124" ht="14.25" customHeight="1">
      <c r="A37124" s="740"/>
    </row>
    <row r="37125" ht="14.25" customHeight="1">
      <c r="A37125" s="740"/>
    </row>
    <row r="37126" ht="14.25" customHeight="1">
      <c r="A37126" s="740"/>
    </row>
    <row r="37127" ht="14.25" customHeight="1">
      <c r="A37127" s="740"/>
    </row>
    <row r="37128" ht="14.25" customHeight="1">
      <c r="A37128" s="740"/>
    </row>
    <row r="37129" ht="14.25" customHeight="1">
      <c r="A37129" s="740"/>
    </row>
    <row r="37130" ht="14.25" customHeight="1">
      <c r="A37130" s="740"/>
    </row>
    <row r="37131" ht="14.25" customHeight="1">
      <c r="A37131" s="740"/>
    </row>
    <row r="37132" ht="14.25" customHeight="1">
      <c r="A37132" s="740"/>
    </row>
    <row r="37133" ht="14.25" customHeight="1">
      <c r="A37133" s="740"/>
    </row>
    <row r="37134" ht="14.25" customHeight="1">
      <c r="A37134" s="740"/>
    </row>
    <row r="37135" ht="14.25" customHeight="1">
      <c r="A37135" s="740"/>
    </row>
    <row r="37136" ht="14.25" customHeight="1">
      <c r="A37136" s="740"/>
    </row>
    <row r="37137" ht="14.25" customHeight="1">
      <c r="A37137" s="740"/>
    </row>
    <row r="37138" ht="14.25" customHeight="1">
      <c r="A37138" s="740"/>
    </row>
    <row r="37139" ht="14.25" customHeight="1">
      <c r="A37139" s="740"/>
    </row>
    <row r="37140" ht="14.25" customHeight="1">
      <c r="A37140" s="740"/>
    </row>
    <row r="37141" ht="14.25" customHeight="1">
      <c r="A37141" s="740"/>
    </row>
    <row r="37142" ht="14.25" customHeight="1">
      <c r="A37142" s="740"/>
    </row>
    <row r="37143" ht="14.25" customHeight="1">
      <c r="A37143" s="740"/>
    </row>
    <row r="37144" ht="14.25" customHeight="1">
      <c r="A37144" s="740"/>
    </row>
    <row r="37145" ht="14.25" customHeight="1">
      <c r="A37145" s="740"/>
    </row>
    <row r="37146" ht="14.25" customHeight="1">
      <c r="A37146" s="740"/>
    </row>
    <row r="37147" ht="14.25" customHeight="1">
      <c r="A37147" s="740"/>
    </row>
    <row r="37148" ht="14.25" customHeight="1">
      <c r="A37148" s="740"/>
    </row>
    <row r="37149" ht="14.25" customHeight="1">
      <c r="A37149" s="740"/>
    </row>
    <row r="37150" ht="14.25" customHeight="1">
      <c r="A37150" s="740"/>
    </row>
    <row r="37151" ht="14.25" customHeight="1">
      <c r="A37151" s="740"/>
    </row>
    <row r="37152" ht="14.25" customHeight="1">
      <c r="A37152" s="740"/>
    </row>
    <row r="37153" ht="14.25" customHeight="1">
      <c r="A37153" s="740"/>
    </row>
    <row r="37154" ht="14.25" customHeight="1">
      <c r="A37154" s="740"/>
    </row>
    <row r="37155" ht="14.25" customHeight="1">
      <c r="A37155" s="740"/>
    </row>
    <row r="37156" ht="14.25" customHeight="1">
      <c r="A37156" s="740"/>
    </row>
    <row r="37157" ht="14.25" customHeight="1">
      <c r="A37157" s="740"/>
    </row>
    <row r="37158" ht="14.25" customHeight="1">
      <c r="A37158" s="740"/>
    </row>
    <row r="37159" ht="14.25" customHeight="1">
      <c r="A37159" s="740"/>
    </row>
    <row r="37160" ht="14.25" customHeight="1">
      <c r="A37160" s="740"/>
    </row>
    <row r="37161" ht="14.25" customHeight="1">
      <c r="A37161" s="740"/>
    </row>
    <row r="37162" ht="14.25" customHeight="1">
      <c r="A37162" s="740"/>
    </row>
    <row r="37163" ht="14.25" customHeight="1">
      <c r="A37163" s="740"/>
    </row>
    <row r="37164" ht="14.25" customHeight="1">
      <c r="A37164" s="740"/>
    </row>
    <row r="37165" ht="14.25" customHeight="1">
      <c r="A37165" s="740"/>
    </row>
    <row r="37166" ht="14.25" customHeight="1">
      <c r="A37166" s="740"/>
    </row>
    <row r="37167" ht="14.25" customHeight="1">
      <c r="A37167" s="740"/>
    </row>
    <row r="37168" ht="14.25" customHeight="1">
      <c r="A37168" s="740"/>
    </row>
    <row r="37169" ht="14.25" customHeight="1">
      <c r="A37169" s="740"/>
    </row>
    <row r="37170" ht="14.25" customHeight="1">
      <c r="A37170" s="740"/>
    </row>
    <row r="37171" ht="14.25" customHeight="1">
      <c r="A37171" s="740"/>
    </row>
    <row r="37172" ht="14.25" customHeight="1">
      <c r="A37172" s="740"/>
    </row>
    <row r="37173" ht="14.25" customHeight="1">
      <c r="A37173" s="740"/>
    </row>
    <row r="37174" ht="14.25" customHeight="1">
      <c r="A37174" s="740"/>
    </row>
    <row r="37175" ht="14.25" customHeight="1">
      <c r="A37175" s="740"/>
    </row>
    <row r="37176" ht="14.25" customHeight="1">
      <c r="A37176" s="740"/>
    </row>
    <row r="37177" ht="14.25" customHeight="1">
      <c r="A37177" s="740"/>
    </row>
    <row r="37178" ht="14.25" customHeight="1">
      <c r="A37178" s="740"/>
    </row>
    <row r="37179" ht="14.25" customHeight="1">
      <c r="A37179" s="740"/>
    </row>
    <row r="37180" ht="14.25" customHeight="1">
      <c r="A37180" s="740"/>
    </row>
    <row r="37181" ht="14.25" customHeight="1">
      <c r="A37181" s="740"/>
    </row>
    <row r="37182" ht="14.25" customHeight="1">
      <c r="A37182" s="740"/>
    </row>
    <row r="37183" ht="14.25" customHeight="1">
      <c r="A37183" s="740"/>
    </row>
    <row r="37184" ht="14.25" customHeight="1">
      <c r="A37184" s="740"/>
    </row>
    <row r="37185" ht="14.25" customHeight="1">
      <c r="A37185" s="740"/>
    </row>
    <row r="37186" ht="14.25" customHeight="1">
      <c r="A37186" s="740"/>
    </row>
    <row r="37187" ht="14.25" customHeight="1">
      <c r="A37187" s="740"/>
    </row>
    <row r="37188" ht="14.25" customHeight="1">
      <c r="A37188" s="740"/>
    </row>
    <row r="37189" ht="14.25" customHeight="1">
      <c r="A37189" s="740"/>
    </row>
    <row r="37190" ht="14.25" customHeight="1">
      <c r="A37190" s="740"/>
    </row>
    <row r="37191" ht="14.25" customHeight="1">
      <c r="A37191" s="740"/>
    </row>
    <row r="37192" ht="14.25" customHeight="1">
      <c r="A37192" s="740"/>
    </row>
    <row r="37193" ht="14.25" customHeight="1">
      <c r="A37193" s="740"/>
    </row>
    <row r="37194" ht="14.25" customHeight="1">
      <c r="A37194" s="740"/>
    </row>
    <row r="37195" ht="14.25" customHeight="1">
      <c r="A37195" s="740"/>
    </row>
    <row r="37196" ht="14.25" customHeight="1">
      <c r="A37196" s="740"/>
    </row>
    <row r="37197" ht="14.25" customHeight="1">
      <c r="A37197" s="740"/>
    </row>
    <row r="37198" ht="14.25" customHeight="1">
      <c r="A37198" s="740"/>
    </row>
    <row r="37199" ht="14.25" customHeight="1">
      <c r="A37199" s="740"/>
    </row>
    <row r="37200" ht="14.25" customHeight="1">
      <c r="A37200" s="740"/>
    </row>
    <row r="37201" ht="14.25" customHeight="1">
      <c r="A37201" s="740"/>
    </row>
    <row r="37202" ht="14.25" customHeight="1">
      <c r="A37202" s="740"/>
    </row>
    <row r="37203" ht="14.25" customHeight="1">
      <c r="A37203" s="740"/>
    </row>
    <row r="37204" ht="14.25" customHeight="1">
      <c r="A37204" s="740"/>
    </row>
    <row r="37205" ht="14.25" customHeight="1">
      <c r="A37205" s="740"/>
    </row>
    <row r="37206" ht="14.25" customHeight="1">
      <c r="A37206" s="740"/>
    </row>
    <row r="37207" ht="14.25" customHeight="1">
      <c r="A37207" s="740"/>
    </row>
    <row r="37208" ht="14.25" customHeight="1">
      <c r="A37208" s="740"/>
    </row>
    <row r="37209" ht="14.25" customHeight="1">
      <c r="A37209" s="740"/>
    </row>
    <row r="37210" ht="14.25" customHeight="1">
      <c r="A37210" s="740"/>
    </row>
    <row r="37211" ht="14.25" customHeight="1">
      <c r="A37211" s="740"/>
    </row>
    <row r="37212" ht="14.25" customHeight="1">
      <c r="A37212" s="740"/>
    </row>
    <row r="37213" ht="14.25" customHeight="1">
      <c r="A37213" s="740"/>
    </row>
    <row r="37214" ht="14.25" customHeight="1">
      <c r="A37214" s="740"/>
    </row>
    <row r="37215" ht="14.25" customHeight="1">
      <c r="A37215" s="740"/>
    </row>
    <row r="37216" ht="14.25" customHeight="1">
      <c r="A37216" s="740"/>
    </row>
    <row r="37217" ht="14.25" customHeight="1">
      <c r="A37217" s="740"/>
    </row>
    <row r="37218" ht="14.25" customHeight="1">
      <c r="A37218" s="740"/>
    </row>
    <row r="37219" ht="14.25" customHeight="1">
      <c r="A37219" s="740"/>
    </row>
    <row r="37220" ht="14.25" customHeight="1">
      <c r="A37220" s="740"/>
    </row>
    <row r="37221" ht="14.25" customHeight="1">
      <c r="A37221" s="740"/>
    </row>
    <row r="37222" ht="14.25" customHeight="1">
      <c r="A37222" s="740"/>
    </row>
    <row r="37223" ht="14.25" customHeight="1">
      <c r="A37223" s="740"/>
    </row>
    <row r="37224" ht="14.25" customHeight="1">
      <c r="A37224" s="740"/>
    </row>
    <row r="37225" ht="14.25" customHeight="1">
      <c r="A37225" s="740"/>
    </row>
    <row r="37226" ht="14.25" customHeight="1">
      <c r="A37226" s="740"/>
    </row>
    <row r="37227" ht="14.25" customHeight="1">
      <c r="A37227" s="740"/>
    </row>
    <row r="37228" ht="14.25" customHeight="1">
      <c r="A37228" s="740"/>
    </row>
    <row r="37229" ht="14.25" customHeight="1">
      <c r="A37229" s="740"/>
    </row>
    <row r="37230" ht="14.25" customHeight="1">
      <c r="A37230" s="740"/>
    </row>
    <row r="37231" ht="14.25" customHeight="1">
      <c r="A37231" s="740"/>
    </row>
    <row r="37232" ht="14.25" customHeight="1">
      <c r="A37232" s="740"/>
    </row>
    <row r="37233" ht="14.25" customHeight="1">
      <c r="A37233" s="740"/>
    </row>
    <row r="37234" ht="14.25" customHeight="1">
      <c r="A37234" s="740"/>
    </row>
    <row r="37235" ht="14.25" customHeight="1">
      <c r="A37235" s="740"/>
    </row>
    <row r="37236" ht="14.25" customHeight="1">
      <c r="A37236" s="740"/>
    </row>
    <row r="37237" ht="14.25" customHeight="1">
      <c r="A37237" s="740"/>
    </row>
    <row r="37238" ht="14.25" customHeight="1">
      <c r="A37238" s="740"/>
    </row>
    <row r="37239" ht="14.25" customHeight="1">
      <c r="A37239" s="740"/>
    </row>
    <row r="37240" ht="14.25" customHeight="1">
      <c r="A37240" s="740"/>
    </row>
    <row r="37241" ht="14.25" customHeight="1">
      <c r="A37241" s="740"/>
    </row>
    <row r="37242" ht="14.25" customHeight="1">
      <c r="A37242" s="740"/>
    </row>
    <row r="37243" ht="14.25" customHeight="1">
      <c r="A37243" s="740"/>
    </row>
    <row r="37244" ht="14.25" customHeight="1">
      <c r="A37244" s="740"/>
    </row>
    <row r="37245" ht="14.25" customHeight="1">
      <c r="A37245" s="740"/>
    </row>
    <row r="37246" ht="14.25" customHeight="1">
      <c r="A37246" s="740"/>
    </row>
    <row r="37247" ht="14.25" customHeight="1">
      <c r="A37247" s="740"/>
    </row>
    <row r="37248" ht="14.25" customHeight="1">
      <c r="A37248" s="740"/>
    </row>
    <row r="37249" ht="14.25" customHeight="1">
      <c r="A37249" s="740"/>
    </row>
    <row r="37250" ht="14.25" customHeight="1">
      <c r="A37250" s="740"/>
    </row>
    <row r="37251" ht="14.25" customHeight="1">
      <c r="A37251" s="740"/>
    </row>
    <row r="37252" ht="14.25" customHeight="1">
      <c r="A37252" s="740"/>
    </row>
    <row r="37253" ht="14.25" customHeight="1">
      <c r="A37253" s="740"/>
    </row>
    <row r="37254" ht="14.25" customHeight="1">
      <c r="A37254" s="740"/>
    </row>
    <row r="37255" ht="14.25" customHeight="1">
      <c r="A37255" s="740"/>
    </row>
    <row r="37256" ht="14.25" customHeight="1">
      <c r="A37256" s="740"/>
    </row>
    <row r="37257" ht="14.25" customHeight="1">
      <c r="A37257" s="740"/>
    </row>
    <row r="37258" ht="14.25" customHeight="1">
      <c r="A37258" s="740"/>
    </row>
    <row r="37259" ht="14.25" customHeight="1">
      <c r="A37259" s="740"/>
    </row>
    <row r="37260" ht="14.25" customHeight="1">
      <c r="A37260" s="740"/>
    </row>
    <row r="37261" ht="14.25" customHeight="1">
      <c r="A37261" s="740"/>
    </row>
    <row r="37262" ht="14.25" customHeight="1">
      <c r="A37262" s="740"/>
    </row>
    <row r="37263" ht="14.25" customHeight="1">
      <c r="A37263" s="740"/>
    </row>
    <row r="37264" ht="14.25" customHeight="1">
      <c r="A37264" s="740"/>
    </row>
    <row r="37265" ht="14.25" customHeight="1">
      <c r="A37265" s="740"/>
    </row>
    <row r="37266" ht="14.25" customHeight="1">
      <c r="A37266" s="740"/>
    </row>
    <row r="37267" ht="14.25" customHeight="1">
      <c r="A37267" s="740"/>
    </row>
    <row r="37268" ht="14.25" customHeight="1">
      <c r="A37268" s="740"/>
    </row>
    <row r="37269" ht="14.25" customHeight="1">
      <c r="A37269" s="740"/>
    </row>
    <row r="37270" ht="14.25" customHeight="1">
      <c r="A37270" s="740"/>
    </row>
    <row r="37271" ht="14.25" customHeight="1">
      <c r="A37271" s="740"/>
    </row>
    <row r="37272" ht="14.25" customHeight="1">
      <c r="A37272" s="740"/>
    </row>
    <row r="37273" ht="14.25" customHeight="1">
      <c r="A37273" s="740"/>
    </row>
    <row r="37274" ht="14.25" customHeight="1">
      <c r="A37274" s="740"/>
    </row>
    <row r="37275" ht="14.25" customHeight="1">
      <c r="A37275" s="740"/>
    </row>
    <row r="37276" ht="14.25" customHeight="1">
      <c r="A37276" s="740"/>
    </row>
    <row r="37277" ht="14.25" customHeight="1">
      <c r="A37277" s="740"/>
    </row>
    <row r="37278" ht="14.25" customHeight="1">
      <c r="A37278" s="740"/>
    </row>
    <row r="37279" ht="14.25" customHeight="1">
      <c r="A37279" s="740"/>
    </row>
    <row r="37280" ht="14.25" customHeight="1">
      <c r="A37280" s="740"/>
    </row>
    <row r="37281" ht="14.25" customHeight="1">
      <c r="A37281" s="740"/>
    </row>
    <row r="37282" ht="14.25" customHeight="1">
      <c r="A37282" s="740"/>
    </row>
    <row r="37283" ht="14.25" customHeight="1">
      <c r="A37283" s="740"/>
    </row>
    <row r="37284" ht="14.25" customHeight="1">
      <c r="A37284" s="740"/>
    </row>
    <row r="37285" ht="14.25" customHeight="1">
      <c r="A37285" s="740"/>
    </row>
    <row r="37286" ht="14.25" customHeight="1">
      <c r="A37286" s="740"/>
    </row>
    <row r="37287" ht="14.25" customHeight="1">
      <c r="A37287" s="740"/>
    </row>
    <row r="37288" ht="14.25" customHeight="1">
      <c r="A37288" s="740"/>
    </row>
    <row r="37289" ht="14.25" customHeight="1">
      <c r="A37289" s="740"/>
    </row>
    <row r="37290" ht="14.25" customHeight="1">
      <c r="A37290" s="740"/>
    </row>
    <row r="37291" ht="14.25" customHeight="1">
      <c r="A37291" s="740"/>
    </row>
    <row r="37292" ht="14.25" customHeight="1">
      <c r="A37292" s="740"/>
    </row>
    <row r="37293" ht="14.25" customHeight="1">
      <c r="A37293" s="740"/>
    </row>
    <row r="37294" ht="14.25" customHeight="1">
      <c r="A37294" s="740"/>
    </row>
    <row r="37295" ht="14.25" customHeight="1">
      <c r="A37295" s="740"/>
    </row>
    <row r="37296" ht="14.25" customHeight="1">
      <c r="A37296" s="740"/>
    </row>
    <row r="37297" ht="14.25" customHeight="1">
      <c r="A37297" s="740"/>
    </row>
    <row r="37298" ht="14.25" customHeight="1">
      <c r="A37298" s="740"/>
    </row>
    <row r="37299" ht="14.25" customHeight="1">
      <c r="A37299" s="740"/>
    </row>
    <row r="37300" ht="14.25" customHeight="1">
      <c r="A37300" s="740"/>
    </row>
    <row r="37301" ht="14.25" customHeight="1">
      <c r="A37301" s="740"/>
    </row>
    <row r="37302" ht="14.25" customHeight="1">
      <c r="A37302" s="740"/>
    </row>
    <row r="37303" ht="14.25" customHeight="1">
      <c r="A37303" s="740"/>
    </row>
    <row r="37304" ht="14.25" customHeight="1">
      <c r="A37304" s="740"/>
    </row>
    <row r="37305" ht="14.25" customHeight="1">
      <c r="A37305" s="740"/>
    </row>
    <row r="37306" ht="14.25" customHeight="1">
      <c r="A37306" s="740"/>
    </row>
    <row r="37307" ht="14.25" customHeight="1">
      <c r="A37307" s="740"/>
    </row>
    <row r="37308" ht="14.25" customHeight="1">
      <c r="A37308" s="740"/>
    </row>
    <row r="37309" ht="14.25" customHeight="1">
      <c r="A37309" s="740"/>
    </row>
    <row r="37310" ht="14.25" customHeight="1">
      <c r="A37310" s="740"/>
    </row>
    <row r="37311" ht="14.25" customHeight="1">
      <c r="A37311" s="740"/>
    </row>
    <row r="37312" ht="14.25" customHeight="1">
      <c r="A37312" s="740"/>
    </row>
    <row r="37313" ht="14.25" customHeight="1">
      <c r="A37313" s="740"/>
    </row>
    <row r="37314" ht="14.25" customHeight="1">
      <c r="A37314" s="740"/>
    </row>
    <row r="37315" ht="14.25" customHeight="1">
      <c r="A37315" s="740"/>
    </row>
    <row r="37316" ht="14.25" customHeight="1">
      <c r="A37316" s="740"/>
    </row>
    <row r="37317" ht="14.25" customHeight="1">
      <c r="A37317" s="740"/>
    </row>
    <row r="37318" ht="14.25" customHeight="1">
      <c r="A37318" s="740"/>
    </row>
    <row r="37319" ht="14.25" customHeight="1">
      <c r="A37319" s="740"/>
    </row>
    <row r="37320" ht="14.25" customHeight="1">
      <c r="A37320" s="740"/>
    </row>
    <row r="37321" ht="14.25" customHeight="1">
      <c r="A37321" s="740"/>
    </row>
    <row r="37322" ht="14.25" customHeight="1">
      <c r="A37322" s="740"/>
    </row>
    <row r="37323" ht="14.25" customHeight="1">
      <c r="A37323" s="740"/>
    </row>
    <row r="37324" ht="14.25" customHeight="1">
      <c r="A37324" s="740"/>
    </row>
    <row r="37325" ht="14.25" customHeight="1">
      <c r="A37325" s="740"/>
    </row>
    <row r="37326" ht="14.25" customHeight="1">
      <c r="A37326" s="740"/>
    </row>
    <row r="37327" ht="14.25" customHeight="1">
      <c r="A37327" s="740"/>
    </row>
    <row r="37328" ht="14.25" customHeight="1">
      <c r="A37328" s="740"/>
    </row>
    <row r="37329" ht="14.25" customHeight="1">
      <c r="A37329" s="740"/>
    </row>
    <row r="37330" ht="14.25" customHeight="1">
      <c r="A37330" s="740"/>
    </row>
    <row r="37331" ht="14.25" customHeight="1">
      <c r="A37331" s="740"/>
    </row>
    <row r="37332" ht="14.25" customHeight="1">
      <c r="A37332" s="740"/>
    </row>
    <row r="37333" ht="14.25" customHeight="1">
      <c r="A37333" s="740"/>
    </row>
    <row r="37334" ht="14.25" customHeight="1">
      <c r="A37334" s="740"/>
    </row>
    <row r="37335" ht="14.25" customHeight="1">
      <c r="A37335" s="740"/>
    </row>
    <row r="37336" ht="14.25" customHeight="1">
      <c r="A37336" s="740"/>
    </row>
    <row r="37337" ht="14.25" customHeight="1">
      <c r="A37337" s="740"/>
    </row>
    <row r="37338" ht="14.25" customHeight="1">
      <c r="A37338" s="740"/>
    </row>
    <row r="37339" ht="14.25" customHeight="1">
      <c r="A37339" s="740"/>
    </row>
    <row r="37340" ht="14.25" customHeight="1">
      <c r="A37340" s="740"/>
    </row>
    <row r="37341" ht="14.25" customHeight="1">
      <c r="A37341" s="740"/>
    </row>
    <row r="37342" ht="14.25" customHeight="1">
      <c r="A37342" s="740"/>
    </row>
    <row r="37343" ht="14.25" customHeight="1">
      <c r="A37343" s="740"/>
    </row>
    <row r="37344" ht="14.25" customHeight="1">
      <c r="A37344" s="740"/>
    </row>
    <row r="37345" ht="14.25" customHeight="1">
      <c r="A37345" s="740"/>
    </row>
    <row r="37346" ht="14.25" customHeight="1">
      <c r="A37346" s="740"/>
    </row>
    <row r="37347" ht="14.25" customHeight="1">
      <c r="A37347" s="740"/>
    </row>
    <row r="37348" ht="14.25" customHeight="1">
      <c r="A37348" s="740"/>
    </row>
    <row r="37349" ht="14.25" customHeight="1">
      <c r="A37349" s="740"/>
    </row>
    <row r="37350" ht="14.25" customHeight="1">
      <c r="A37350" s="740"/>
    </row>
    <row r="37351" ht="14.25" customHeight="1">
      <c r="A37351" s="740"/>
    </row>
    <row r="37352" ht="14.25" customHeight="1">
      <c r="A37352" s="740"/>
    </row>
    <row r="37353" ht="14.25" customHeight="1">
      <c r="A37353" s="740"/>
    </row>
    <row r="37354" ht="14.25" customHeight="1">
      <c r="A37354" s="740"/>
    </row>
    <row r="37355" ht="14.25" customHeight="1">
      <c r="A37355" s="740"/>
    </row>
    <row r="37356" ht="14.25" customHeight="1">
      <c r="A37356" s="740"/>
    </row>
    <row r="37357" ht="14.25" customHeight="1">
      <c r="A37357" s="740"/>
    </row>
    <row r="37358" ht="14.25" customHeight="1">
      <c r="A37358" s="740"/>
    </row>
    <row r="37359" ht="14.25" customHeight="1">
      <c r="A37359" s="740"/>
    </row>
    <row r="37360" ht="14.25" customHeight="1">
      <c r="A37360" s="740"/>
    </row>
    <row r="37361" ht="14.25" customHeight="1">
      <c r="A37361" s="740"/>
    </row>
    <row r="37362" ht="14.25" customHeight="1">
      <c r="A37362" s="740"/>
    </row>
    <row r="37363" ht="14.25" customHeight="1">
      <c r="A37363" s="740"/>
    </row>
    <row r="37364" ht="14.25" customHeight="1">
      <c r="A37364" s="740"/>
    </row>
    <row r="37365" ht="14.25" customHeight="1">
      <c r="A37365" s="740"/>
    </row>
    <row r="37366" ht="14.25" customHeight="1">
      <c r="A37366" s="740"/>
    </row>
    <row r="37367" ht="14.25" customHeight="1">
      <c r="A37367" s="740"/>
    </row>
    <row r="37368" ht="14.25" customHeight="1">
      <c r="A37368" s="740"/>
    </row>
    <row r="37369" ht="14.25" customHeight="1">
      <c r="A37369" s="740"/>
    </row>
    <row r="37370" ht="14.25" customHeight="1">
      <c r="A37370" s="740"/>
    </row>
    <row r="37371" ht="14.25" customHeight="1">
      <c r="A37371" s="740"/>
    </row>
    <row r="37372" ht="14.25" customHeight="1">
      <c r="A37372" s="740"/>
    </row>
    <row r="37373" ht="14.25" customHeight="1">
      <c r="A37373" s="740"/>
    </row>
    <row r="37374" ht="14.25" customHeight="1">
      <c r="A37374" s="740"/>
    </row>
    <row r="37375" ht="14.25" customHeight="1">
      <c r="A37375" s="740"/>
    </row>
    <row r="37376" ht="14.25" customHeight="1">
      <c r="A37376" s="740"/>
    </row>
    <row r="37377" ht="14.25" customHeight="1">
      <c r="A37377" s="740"/>
    </row>
    <row r="37378" ht="14.25" customHeight="1">
      <c r="A37378" s="740"/>
    </row>
    <row r="37379" ht="14.25" customHeight="1">
      <c r="A37379" s="740"/>
    </row>
    <row r="37380" ht="14.25" customHeight="1">
      <c r="A37380" s="740"/>
    </row>
    <row r="37381" ht="14.25" customHeight="1">
      <c r="A37381" s="740"/>
    </row>
    <row r="37382" ht="14.25" customHeight="1">
      <c r="A37382" s="740"/>
    </row>
    <row r="37383" ht="14.25" customHeight="1">
      <c r="A37383" s="740"/>
    </row>
    <row r="37384" ht="14.25" customHeight="1">
      <c r="A37384" s="740"/>
    </row>
    <row r="37385" ht="14.25" customHeight="1">
      <c r="A37385" s="740"/>
    </row>
    <row r="37386" ht="14.25" customHeight="1">
      <c r="A37386" s="740"/>
    </row>
    <row r="37387" ht="14.25" customHeight="1">
      <c r="A37387" s="740"/>
    </row>
    <row r="37388" ht="14.25" customHeight="1">
      <c r="A37388" s="740"/>
    </row>
    <row r="37389" ht="14.25" customHeight="1">
      <c r="A37389" s="740"/>
    </row>
    <row r="37390" ht="14.25" customHeight="1">
      <c r="A37390" s="740"/>
    </row>
    <row r="37391" ht="14.25" customHeight="1">
      <c r="A37391" s="740"/>
    </row>
    <row r="37392" ht="14.25" customHeight="1">
      <c r="A37392" s="740"/>
    </row>
    <row r="37393" ht="14.25" customHeight="1">
      <c r="A37393" s="740"/>
    </row>
    <row r="37394" ht="14.25" customHeight="1">
      <c r="A37394" s="740"/>
    </row>
    <row r="37395" ht="14.25" customHeight="1">
      <c r="A37395" s="740"/>
    </row>
    <row r="37396" ht="14.25" customHeight="1">
      <c r="A37396" s="740"/>
    </row>
    <row r="37397" ht="14.25" customHeight="1">
      <c r="A37397" s="740"/>
    </row>
    <row r="37398" ht="14.25" customHeight="1">
      <c r="A37398" s="740"/>
    </row>
    <row r="37399" ht="14.25" customHeight="1">
      <c r="A37399" s="740"/>
    </row>
    <row r="37400" ht="14.25" customHeight="1">
      <c r="A37400" s="740"/>
    </row>
    <row r="37401" ht="14.25" customHeight="1">
      <c r="A37401" s="740"/>
    </row>
    <row r="37402" ht="14.25" customHeight="1">
      <c r="A37402" s="740"/>
    </row>
    <row r="37403" ht="14.25" customHeight="1">
      <c r="A37403" s="740"/>
    </row>
    <row r="37404" ht="14.25" customHeight="1">
      <c r="A37404" s="740"/>
    </row>
    <row r="37405" ht="14.25" customHeight="1">
      <c r="A37405" s="740"/>
    </row>
    <row r="37406" ht="14.25" customHeight="1">
      <c r="A37406" s="740"/>
    </row>
    <row r="37407" ht="14.25" customHeight="1">
      <c r="A37407" s="740"/>
    </row>
    <row r="37408" ht="14.25" customHeight="1">
      <c r="A37408" s="740"/>
    </row>
    <row r="37409" ht="14.25" customHeight="1">
      <c r="A37409" s="740"/>
    </row>
    <row r="37410" ht="14.25" customHeight="1">
      <c r="A37410" s="740"/>
    </row>
    <row r="37411" ht="14.25" customHeight="1">
      <c r="A37411" s="740"/>
    </row>
    <row r="37412" ht="14.25" customHeight="1">
      <c r="A37412" s="740"/>
    </row>
    <row r="37413" ht="14.25" customHeight="1">
      <c r="A37413" s="740"/>
    </row>
    <row r="37414" ht="14.25" customHeight="1">
      <c r="A37414" s="740"/>
    </row>
    <row r="37415" ht="14.25" customHeight="1">
      <c r="A37415" s="740"/>
    </row>
    <row r="37416" ht="14.25" customHeight="1">
      <c r="A37416" s="740"/>
    </row>
    <row r="37417" ht="14.25" customHeight="1">
      <c r="A37417" s="740"/>
    </row>
    <row r="37418" ht="14.25" customHeight="1">
      <c r="A37418" s="740"/>
    </row>
    <row r="37419" ht="14.25" customHeight="1">
      <c r="A37419" s="740"/>
    </row>
    <row r="37420" ht="14.25" customHeight="1">
      <c r="A37420" s="740"/>
    </row>
    <row r="37421" ht="14.25" customHeight="1">
      <c r="A37421" s="740"/>
    </row>
    <row r="37422" ht="14.25" customHeight="1">
      <c r="A37422" s="740"/>
    </row>
    <row r="37423" ht="14.25" customHeight="1">
      <c r="A37423" s="740"/>
    </row>
    <row r="37424" ht="14.25" customHeight="1">
      <c r="A37424" s="740"/>
    </row>
    <row r="37425" ht="14.25" customHeight="1">
      <c r="A37425" s="740"/>
    </row>
    <row r="37426" ht="14.25" customHeight="1">
      <c r="A37426" s="740"/>
    </row>
    <row r="37427" ht="14.25" customHeight="1">
      <c r="A37427" s="740"/>
    </row>
    <row r="37428" ht="14.25" customHeight="1">
      <c r="A37428" s="740"/>
    </row>
    <row r="37429" ht="14.25" customHeight="1">
      <c r="A37429" s="740"/>
    </row>
    <row r="37430" ht="14.25" customHeight="1">
      <c r="A37430" s="740"/>
    </row>
    <row r="37431" ht="14.25" customHeight="1">
      <c r="A37431" s="740"/>
    </row>
    <row r="37432" ht="14.25" customHeight="1">
      <c r="A37432" s="740"/>
    </row>
    <row r="37433" ht="14.25" customHeight="1">
      <c r="A37433" s="740"/>
    </row>
    <row r="37434" ht="14.25" customHeight="1">
      <c r="A37434" s="740"/>
    </row>
    <row r="37435" ht="14.25" customHeight="1">
      <c r="A37435" s="740"/>
    </row>
    <row r="37436" ht="14.25" customHeight="1">
      <c r="A37436" s="740"/>
    </row>
    <row r="37437" ht="14.25" customHeight="1">
      <c r="A37437" s="740"/>
    </row>
    <row r="37438" ht="14.25" customHeight="1">
      <c r="A37438" s="740"/>
    </row>
    <row r="37439" ht="14.25" customHeight="1">
      <c r="A37439" s="740"/>
    </row>
    <row r="37440" ht="14.25" customHeight="1">
      <c r="A37440" s="740"/>
    </row>
    <row r="37441" ht="14.25" customHeight="1">
      <c r="A37441" s="740"/>
    </row>
    <row r="37442" ht="14.25" customHeight="1">
      <c r="A37442" s="740"/>
    </row>
    <row r="37443" ht="14.25" customHeight="1">
      <c r="A37443" s="740"/>
    </row>
    <row r="37444" ht="14.25" customHeight="1">
      <c r="A37444" s="740"/>
    </row>
    <row r="37445" ht="14.25" customHeight="1">
      <c r="A37445" s="740"/>
    </row>
    <row r="37446" ht="14.25" customHeight="1">
      <c r="A37446" s="740"/>
    </row>
    <row r="37447" ht="14.25" customHeight="1">
      <c r="A37447" s="740"/>
    </row>
    <row r="37448" ht="14.25" customHeight="1">
      <c r="A37448" s="740"/>
    </row>
    <row r="37449" ht="14.25" customHeight="1">
      <c r="A37449" s="740"/>
    </row>
    <row r="37450" ht="14.25" customHeight="1">
      <c r="A37450" s="740"/>
    </row>
    <row r="37451" ht="14.25" customHeight="1">
      <c r="A37451" s="740"/>
    </row>
    <row r="37452" ht="14.25" customHeight="1">
      <c r="A37452" s="740"/>
    </row>
    <row r="37453" ht="14.25" customHeight="1">
      <c r="A37453" s="740"/>
    </row>
    <row r="37454" ht="14.25" customHeight="1">
      <c r="A37454" s="740"/>
    </row>
    <row r="37455" ht="14.25" customHeight="1">
      <c r="A37455" s="740"/>
    </row>
    <row r="37456" ht="14.25" customHeight="1">
      <c r="A37456" s="740"/>
    </row>
    <row r="37457" ht="14.25" customHeight="1">
      <c r="A37457" s="740"/>
    </row>
    <row r="37458" ht="14.25" customHeight="1">
      <c r="A37458" s="740"/>
    </row>
    <row r="37459" ht="14.25" customHeight="1">
      <c r="A37459" s="740"/>
    </row>
    <row r="37460" ht="14.25" customHeight="1">
      <c r="A37460" s="740"/>
    </row>
    <row r="37461" ht="14.25" customHeight="1">
      <c r="A37461" s="740"/>
    </row>
    <row r="37462" ht="14.25" customHeight="1">
      <c r="A37462" s="740"/>
    </row>
    <row r="37463" ht="14.25" customHeight="1">
      <c r="A37463" s="740"/>
    </row>
    <row r="37464" ht="14.25" customHeight="1">
      <c r="A37464" s="740"/>
    </row>
    <row r="37465" ht="14.25" customHeight="1">
      <c r="A37465" s="740"/>
    </row>
    <row r="37466" ht="14.25" customHeight="1">
      <c r="A37466" s="740"/>
    </row>
    <row r="37467" ht="14.25" customHeight="1">
      <c r="A37467" s="740"/>
    </row>
    <row r="37468" ht="14.25" customHeight="1">
      <c r="A37468" s="740"/>
    </row>
    <row r="37469" ht="14.25" customHeight="1">
      <c r="A37469" s="740"/>
    </row>
    <row r="37470" ht="14.25" customHeight="1">
      <c r="A37470" s="740"/>
    </row>
    <row r="37471" ht="14.25" customHeight="1">
      <c r="A37471" s="740"/>
    </row>
    <row r="37472" ht="14.25" customHeight="1">
      <c r="A37472" s="740"/>
    </row>
    <row r="37473" ht="14.25" customHeight="1">
      <c r="A37473" s="740"/>
    </row>
    <row r="37474" ht="14.25" customHeight="1">
      <c r="A37474" s="740"/>
    </row>
    <row r="37475" ht="14.25" customHeight="1">
      <c r="A37475" s="740"/>
    </row>
    <row r="37476" ht="14.25" customHeight="1">
      <c r="A37476" s="740"/>
    </row>
    <row r="37477" ht="14.25" customHeight="1">
      <c r="A37477" s="740"/>
    </row>
    <row r="37478" ht="14.25" customHeight="1">
      <c r="A37478" s="740"/>
    </row>
    <row r="37479" ht="14.25" customHeight="1">
      <c r="A37479" s="740"/>
    </row>
    <row r="37480" ht="14.25" customHeight="1">
      <c r="A37480" s="740"/>
    </row>
    <row r="37481" ht="14.25" customHeight="1">
      <c r="A37481" s="740"/>
    </row>
    <row r="37482" ht="14.25" customHeight="1">
      <c r="A37482" s="740"/>
    </row>
    <row r="37483" ht="14.25" customHeight="1">
      <c r="A37483" s="740"/>
    </row>
    <row r="37484" ht="14.25" customHeight="1">
      <c r="A37484" s="740"/>
    </row>
    <row r="37485" ht="14.25" customHeight="1">
      <c r="A37485" s="740"/>
    </row>
    <row r="37486" ht="14.25" customHeight="1">
      <c r="A37486" s="740"/>
    </row>
    <row r="37487" ht="14.25" customHeight="1">
      <c r="A37487" s="740"/>
    </row>
    <row r="37488" ht="14.25" customHeight="1">
      <c r="A37488" s="740"/>
    </row>
    <row r="37489" ht="14.25" customHeight="1">
      <c r="A37489" s="740"/>
    </row>
    <row r="37490" ht="14.25" customHeight="1">
      <c r="A37490" s="740"/>
    </row>
    <row r="37491" ht="14.25" customHeight="1">
      <c r="A37491" s="740"/>
    </row>
    <row r="37492" ht="14.25" customHeight="1">
      <c r="A37492" s="740"/>
    </row>
    <row r="37493" ht="14.25" customHeight="1">
      <c r="A37493" s="740"/>
    </row>
    <row r="37494" ht="14.25" customHeight="1">
      <c r="A37494" s="740"/>
    </row>
    <row r="37495" ht="14.25" customHeight="1">
      <c r="A37495" s="740"/>
    </row>
    <row r="37496" ht="14.25" customHeight="1">
      <c r="A37496" s="740"/>
    </row>
    <row r="37497" ht="14.25" customHeight="1">
      <c r="A37497" s="740"/>
    </row>
    <row r="37498" ht="14.25" customHeight="1">
      <c r="A37498" s="740"/>
    </row>
    <row r="37499" ht="14.25" customHeight="1">
      <c r="A37499" s="740"/>
    </row>
    <row r="37500" ht="14.25" customHeight="1">
      <c r="A37500" s="740"/>
    </row>
    <row r="37501" ht="14.25" customHeight="1">
      <c r="A37501" s="740"/>
    </row>
    <row r="37502" ht="14.25" customHeight="1">
      <c r="A37502" s="740"/>
    </row>
    <row r="37503" ht="14.25" customHeight="1">
      <c r="A37503" s="740"/>
    </row>
    <row r="37504" ht="14.25" customHeight="1">
      <c r="A37504" s="740"/>
    </row>
    <row r="37505" ht="14.25" customHeight="1">
      <c r="A37505" s="740"/>
    </row>
    <row r="37506" ht="14.25" customHeight="1">
      <c r="A37506" s="740"/>
    </row>
    <row r="37507" ht="14.25" customHeight="1">
      <c r="A37507" s="740"/>
    </row>
    <row r="37508" ht="14.25" customHeight="1">
      <c r="A37508" s="740"/>
    </row>
    <row r="37509" ht="14.25" customHeight="1">
      <c r="A37509" s="740"/>
    </row>
    <row r="37510" ht="14.25" customHeight="1">
      <c r="A37510" s="740"/>
    </row>
    <row r="37511" ht="14.25" customHeight="1">
      <c r="A37511" s="740"/>
    </row>
    <row r="37512" ht="14.25" customHeight="1">
      <c r="A37512" s="740"/>
    </row>
    <row r="37513" ht="14.25" customHeight="1">
      <c r="A37513" s="740"/>
    </row>
    <row r="37514" ht="14.25" customHeight="1">
      <c r="A37514" s="740"/>
    </row>
    <row r="37515" ht="14.25" customHeight="1">
      <c r="A37515" s="740"/>
    </row>
    <row r="37516" ht="14.25" customHeight="1">
      <c r="A37516" s="740"/>
    </row>
    <row r="37517" ht="14.25" customHeight="1">
      <c r="A37517" s="740"/>
    </row>
    <row r="37518" ht="14.25" customHeight="1">
      <c r="A37518" s="740"/>
    </row>
    <row r="37519" ht="14.25" customHeight="1">
      <c r="A37519" s="740"/>
    </row>
    <row r="37520" ht="14.25" customHeight="1">
      <c r="A37520" s="740"/>
    </row>
    <row r="37521" ht="14.25" customHeight="1">
      <c r="A37521" s="740"/>
    </row>
    <row r="37522" ht="14.25" customHeight="1">
      <c r="A37522" s="740"/>
    </row>
    <row r="37523" ht="14.25" customHeight="1">
      <c r="A37523" s="740"/>
    </row>
    <row r="37524" ht="14.25" customHeight="1">
      <c r="A37524" s="740"/>
    </row>
    <row r="37525" ht="14.25" customHeight="1">
      <c r="A37525" s="740"/>
    </row>
    <row r="37526" ht="14.25" customHeight="1">
      <c r="A37526" s="740"/>
    </row>
    <row r="37527" ht="14.25" customHeight="1">
      <c r="A37527" s="740"/>
    </row>
    <row r="37528" ht="14.25" customHeight="1">
      <c r="A37528" s="740"/>
    </row>
    <row r="37529" ht="14.25" customHeight="1">
      <c r="A37529" s="740"/>
    </row>
    <row r="37530" ht="14.25" customHeight="1">
      <c r="A37530" s="740"/>
    </row>
    <row r="37531" ht="14.25" customHeight="1">
      <c r="A37531" s="740"/>
    </row>
    <row r="37532" ht="14.25" customHeight="1">
      <c r="A37532" s="740"/>
    </row>
    <row r="37533" ht="14.25" customHeight="1">
      <c r="A37533" s="740"/>
    </row>
    <row r="37534" ht="14.25" customHeight="1">
      <c r="A37534" s="740"/>
    </row>
    <row r="37535" ht="14.25" customHeight="1">
      <c r="A37535" s="740"/>
    </row>
    <row r="37536" ht="14.25" customHeight="1">
      <c r="A37536" s="740"/>
    </row>
    <row r="37537" ht="14.25" customHeight="1">
      <c r="A37537" s="740"/>
    </row>
    <row r="37538" ht="14.25" customHeight="1">
      <c r="A37538" s="740"/>
    </row>
    <row r="37539" ht="14.25" customHeight="1">
      <c r="A37539" s="740"/>
    </row>
    <row r="37540" ht="14.25" customHeight="1">
      <c r="A37540" s="740"/>
    </row>
    <row r="37541" ht="14.25" customHeight="1">
      <c r="A37541" s="740"/>
    </row>
    <row r="37542" ht="14.25" customHeight="1">
      <c r="A37542" s="740"/>
    </row>
    <row r="37543" ht="14.25" customHeight="1">
      <c r="A37543" s="740"/>
    </row>
    <row r="37544" ht="14.25" customHeight="1">
      <c r="A37544" s="740"/>
    </row>
    <row r="37545" ht="14.25" customHeight="1">
      <c r="A37545" s="740"/>
    </row>
    <row r="37546" ht="14.25" customHeight="1">
      <c r="A37546" s="740"/>
    </row>
    <row r="37547" ht="14.25" customHeight="1">
      <c r="A37547" s="740"/>
    </row>
    <row r="37548" ht="14.25" customHeight="1">
      <c r="A37548" s="740"/>
    </row>
    <row r="37549" ht="14.25" customHeight="1">
      <c r="A37549" s="740"/>
    </row>
    <row r="37550" ht="14.25" customHeight="1">
      <c r="A37550" s="740"/>
    </row>
    <row r="37551" ht="14.25" customHeight="1">
      <c r="A37551" s="740"/>
    </row>
    <row r="37552" ht="14.25" customHeight="1">
      <c r="A37552" s="740"/>
    </row>
    <row r="37553" ht="14.25" customHeight="1">
      <c r="A37553" s="740"/>
    </row>
    <row r="37554" ht="14.25" customHeight="1">
      <c r="A37554" s="740"/>
    </row>
    <row r="37555" ht="14.25" customHeight="1">
      <c r="A37555" s="740"/>
    </row>
    <row r="37556" ht="14.25" customHeight="1">
      <c r="A37556" s="740"/>
    </row>
    <row r="37557" ht="14.25" customHeight="1">
      <c r="A37557" s="740"/>
    </row>
    <row r="37558" ht="14.25" customHeight="1">
      <c r="A37558" s="740"/>
    </row>
    <row r="37559" ht="14.25" customHeight="1">
      <c r="A37559" s="740"/>
    </row>
    <row r="37560" ht="14.25" customHeight="1">
      <c r="A37560" s="740"/>
    </row>
    <row r="37561" ht="14.25" customHeight="1">
      <c r="A37561" s="740"/>
    </row>
    <row r="37562" ht="14.25" customHeight="1">
      <c r="A37562" s="740"/>
    </row>
    <row r="37563" ht="14.25" customHeight="1">
      <c r="A37563" s="740"/>
    </row>
    <row r="37564" ht="14.25" customHeight="1">
      <c r="A37564" s="740"/>
    </row>
    <row r="37565" ht="14.25" customHeight="1">
      <c r="A37565" s="740"/>
    </row>
    <row r="37566" ht="14.25" customHeight="1">
      <c r="A37566" s="740"/>
    </row>
    <row r="37567" ht="14.25" customHeight="1">
      <c r="A37567" s="740"/>
    </row>
    <row r="37568" ht="14.25" customHeight="1">
      <c r="A37568" s="740"/>
    </row>
    <row r="37569" ht="14.25" customHeight="1">
      <c r="A37569" s="740"/>
    </row>
    <row r="37570" ht="14.25" customHeight="1">
      <c r="A37570" s="740"/>
    </row>
    <row r="37571" ht="14.25" customHeight="1">
      <c r="A37571" s="740"/>
    </row>
    <row r="37572" ht="14.25" customHeight="1">
      <c r="A37572" s="740"/>
    </row>
    <row r="37573" ht="14.25" customHeight="1">
      <c r="A37573" s="740"/>
    </row>
    <row r="37574" ht="14.25" customHeight="1">
      <c r="A37574" s="740"/>
    </row>
    <row r="37575" ht="14.25" customHeight="1">
      <c r="A37575" s="740"/>
    </row>
    <row r="37576" ht="14.25" customHeight="1">
      <c r="A37576" s="740"/>
    </row>
    <row r="37577" ht="14.25" customHeight="1">
      <c r="A37577" s="740"/>
    </row>
    <row r="37578" ht="14.25" customHeight="1">
      <c r="A37578" s="740"/>
    </row>
    <row r="37579" ht="14.25" customHeight="1">
      <c r="A37579" s="740"/>
    </row>
    <row r="37580" ht="14.25" customHeight="1">
      <c r="A37580" s="740"/>
    </row>
    <row r="37581" ht="14.25" customHeight="1">
      <c r="A37581" s="740"/>
    </row>
    <row r="37582" ht="14.25" customHeight="1">
      <c r="A37582" s="740"/>
    </row>
    <row r="37583" ht="14.25" customHeight="1">
      <c r="A37583" s="740"/>
    </row>
    <row r="37584" ht="14.25" customHeight="1">
      <c r="A37584" s="740"/>
    </row>
    <row r="37585" ht="14.25" customHeight="1">
      <c r="A37585" s="740"/>
    </row>
    <row r="37586" ht="14.25" customHeight="1">
      <c r="A37586" s="740"/>
    </row>
    <row r="37587" ht="14.25" customHeight="1">
      <c r="A37587" s="740"/>
    </row>
    <row r="37588" ht="14.25" customHeight="1">
      <c r="A37588" s="740"/>
    </row>
    <row r="37589" ht="14.25" customHeight="1">
      <c r="A37589" s="740"/>
    </row>
    <row r="37590" ht="14.25" customHeight="1">
      <c r="A37590" s="740"/>
    </row>
    <row r="37591" ht="14.25" customHeight="1">
      <c r="A37591" s="740"/>
    </row>
    <row r="37592" ht="14.25" customHeight="1">
      <c r="A37592" s="740"/>
    </row>
    <row r="37593" ht="14.25" customHeight="1">
      <c r="A37593" s="740"/>
    </row>
    <row r="37594" ht="14.25" customHeight="1">
      <c r="A37594" s="740"/>
    </row>
    <row r="37595" ht="14.25" customHeight="1">
      <c r="A37595" s="740"/>
    </row>
    <row r="37596" ht="14.25" customHeight="1">
      <c r="A37596" s="740"/>
    </row>
    <row r="37597" ht="14.25" customHeight="1">
      <c r="A37597" s="740"/>
    </row>
    <row r="37598" ht="14.25" customHeight="1">
      <c r="A37598" s="740"/>
    </row>
    <row r="37599" ht="14.25" customHeight="1">
      <c r="A37599" s="740"/>
    </row>
    <row r="37600" ht="14.25" customHeight="1">
      <c r="A37600" s="740"/>
    </row>
    <row r="37601" ht="14.25" customHeight="1">
      <c r="A37601" s="740"/>
    </row>
    <row r="37602" ht="14.25" customHeight="1">
      <c r="A37602" s="740"/>
    </row>
    <row r="37603" ht="14.25" customHeight="1">
      <c r="A37603" s="740"/>
    </row>
    <row r="37604" ht="14.25" customHeight="1">
      <c r="A37604" s="740"/>
    </row>
    <row r="37605" ht="14.25" customHeight="1">
      <c r="A37605" s="740"/>
    </row>
    <row r="37606" ht="14.25" customHeight="1">
      <c r="A37606" s="740"/>
    </row>
    <row r="37607" ht="14.25" customHeight="1">
      <c r="A37607" s="740"/>
    </row>
    <row r="37608" ht="14.25" customHeight="1">
      <c r="A37608" s="740"/>
    </row>
    <row r="37609" ht="14.25" customHeight="1">
      <c r="A37609" s="740"/>
    </row>
    <row r="37610" ht="14.25" customHeight="1">
      <c r="A37610" s="740"/>
    </row>
    <row r="37611" ht="14.25" customHeight="1">
      <c r="A37611" s="740"/>
    </row>
    <row r="37612" ht="14.25" customHeight="1">
      <c r="A37612" s="740"/>
    </row>
    <row r="37613" ht="14.25" customHeight="1">
      <c r="A37613" s="740"/>
    </row>
    <row r="37614" ht="14.25" customHeight="1">
      <c r="A37614" s="740"/>
    </row>
    <row r="37615" ht="14.25" customHeight="1">
      <c r="A37615" s="740"/>
    </row>
    <row r="37616" ht="14.25" customHeight="1">
      <c r="A37616" s="740"/>
    </row>
    <row r="37617" ht="14.25" customHeight="1">
      <c r="A37617" s="740"/>
    </row>
    <row r="37618" ht="14.25" customHeight="1">
      <c r="A37618" s="740"/>
    </row>
    <row r="37619" ht="14.25" customHeight="1">
      <c r="A37619" s="740"/>
    </row>
    <row r="37620" ht="14.25" customHeight="1">
      <c r="A37620" s="740"/>
    </row>
    <row r="37621" ht="14.25" customHeight="1">
      <c r="A37621" s="740"/>
    </row>
    <row r="37622" ht="14.25" customHeight="1">
      <c r="A37622" s="740"/>
    </row>
    <row r="37623" ht="14.25" customHeight="1">
      <c r="A37623" s="740"/>
    </row>
    <row r="37624" ht="14.25" customHeight="1">
      <c r="A37624" s="740"/>
    </row>
    <row r="37625" ht="14.25" customHeight="1">
      <c r="A37625" s="740"/>
    </row>
    <row r="37626" ht="14.25" customHeight="1">
      <c r="A37626" s="740"/>
    </row>
    <row r="37627" ht="14.25" customHeight="1">
      <c r="A37627" s="740"/>
    </row>
    <row r="37628" ht="14.25" customHeight="1">
      <c r="A37628" s="740"/>
    </row>
    <row r="37629" ht="14.25" customHeight="1">
      <c r="A37629" s="740"/>
    </row>
    <row r="37630" ht="14.25" customHeight="1">
      <c r="A37630" s="740"/>
    </row>
    <row r="37631" ht="14.25" customHeight="1">
      <c r="A37631" s="740"/>
    </row>
    <row r="37632" ht="14.25" customHeight="1">
      <c r="A37632" s="740"/>
    </row>
    <row r="37633" ht="14.25" customHeight="1">
      <c r="A37633" s="740"/>
    </row>
    <row r="37634" ht="14.25" customHeight="1">
      <c r="A37634" s="740"/>
    </row>
    <row r="37635" ht="14.25" customHeight="1">
      <c r="A37635" s="740"/>
    </row>
    <row r="37636" ht="14.25" customHeight="1">
      <c r="A37636" s="740"/>
    </row>
    <row r="37637" ht="14.25" customHeight="1">
      <c r="A37637" s="740"/>
    </row>
    <row r="37638" ht="14.25" customHeight="1">
      <c r="A37638" s="740"/>
    </row>
    <row r="37639" ht="14.25" customHeight="1">
      <c r="A37639" s="740"/>
    </row>
    <row r="37640" ht="14.25" customHeight="1">
      <c r="A37640" s="740"/>
    </row>
    <row r="37641" ht="14.25" customHeight="1">
      <c r="A37641" s="740"/>
    </row>
    <row r="37642" ht="14.25" customHeight="1">
      <c r="A37642" s="740"/>
    </row>
    <row r="37643" ht="14.25" customHeight="1">
      <c r="A37643" s="740"/>
    </row>
    <row r="37644" ht="14.25" customHeight="1">
      <c r="A37644" s="740"/>
    </row>
    <row r="37645" ht="14.25" customHeight="1">
      <c r="A37645" s="740"/>
    </row>
    <row r="37646" ht="14.25" customHeight="1">
      <c r="A37646" s="740"/>
    </row>
    <row r="37647" ht="14.25" customHeight="1">
      <c r="A37647" s="740"/>
    </row>
    <row r="37648" ht="14.25" customHeight="1">
      <c r="A37648" s="740"/>
    </row>
    <row r="37649" ht="14.25" customHeight="1">
      <c r="A37649" s="740"/>
    </row>
    <row r="37650" ht="14.25" customHeight="1">
      <c r="A37650" s="740"/>
    </row>
    <row r="37651" ht="14.25" customHeight="1">
      <c r="A37651" s="740"/>
    </row>
    <row r="37652" ht="14.25" customHeight="1">
      <c r="A37652" s="740"/>
    </row>
    <row r="37653" ht="14.25" customHeight="1">
      <c r="A37653" s="740"/>
    </row>
    <row r="37654" ht="14.25" customHeight="1">
      <c r="A37654" s="740"/>
    </row>
    <row r="37655" ht="14.25" customHeight="1">
      <c r="A37655" s="740"/>
    </row>
    <row r="37656" ht="14.25" customHeight="1">
      <c r="A37656" s="740"/>
    </row>
    <row r="37657" ht="14.25" customHeight="1">
      <c r="A37657" s="740"/>
    </row>
    <row r="37658" ht="14.25" customHeight="1">
      <c r="A37658" s="740"/>
    </row>
    <row r="37659" ht="14.25" customHeight="1">
      <c r="A37659" s="740"/>
    </row>
    <row r="37660" ht="14.25" customHeight="1">
      <c r="A37660" s="740"/>
    </row>
    <row r="37661" ht="14.25" customHeight="1">
      <c r="A37661" s="740"/>
    </row>
    <row r="37662" ht="14.25" customHeight="1">
      <c r="A37662" s="740"/>
    </row>
    <row r="37663" ht="14.25" customHeight="1">
      <c r="A37663" s="740"/>
    </row>
    <row r="37664" ht="14.25" customHeight="1">
      <c r="A37664" s="740"/>
    </row>
    <row r="37665" ht="14.25" customHeight="1">
      <c r="A37665" s="740"/>
    </row>
    <row r="37666" ht="14.25" customHeight="1">
      <c r="A37666" s="740"/>
    </row>
    <row r="37667" ht="14.25" customHeight="1">
      <c r="A37667" s="740"/>
    </row>
    <row r="37668" ht="14.25" customHeight="1">
      <c r="A37668" s="740"/>
    </row>
    <row r="37669" ht="14.25" customHeight="1">
      <c r="A37669" s="740"/>
    </row>
    <row r="37670" ht="14.25" customHeight="1">
      <c r="A37670" s="740"/>
    </row>
    <row r="37671" ht="14.25" customHeight="1">
      <c r="A37671" s="740"/>
    </row>
    <row r="37672" ht="14.25" customHeight="1">
      <c r="A37672" s="740"/>
    </row>
    <row r="37673" ht="14.25" customHeight="1">
      <c r="A37673" s="740"/>
    </row>
    <row r="37674" ht="14.25" customHeight="1">
      <c r="A37674" s="740"/>
    </row>
    <row r="37675" ht="14.25" customHeight="1">
      <c r="A37675" s="740"/>
    </row>
    <row r="37676" ht="14.25" customHeight="1">
      <c r="A37676" s="740"/>
    </row>
    <row r="37677" ht="14.25" customHeight="1">
      <c r="A37677" s="740"/>
    </row>
    <row r="37678" ht="14.25" customHeight="1">
      <c r="A37678" s="740"/>
    </row>
    <row r="37679" ht="14.25" customHeight="1">
      <c r="A37679" s="740"/>
    </row>
    <row r="37680" ht="14.25" customHeight="1">
      <c r="A37680" s="740"/>
    </row>
    <row r="37681" ht="14.25" customHeight="1">
      <c r="A37681" s="740"/>
    </row>
    <row r="37682" ht="14.25" customHeight="1">
      <c r="A37682" s="740"/>
    </row>
    <row r="37683" ht="14.25" customHeight="1">
      <c r="A37683" s="740"/>
    </row>
    <row r="37684" ht="14.25" customHeight="1">
      <c r="A37684" s="740"/>
    </row>
    <row r="37685" ht="14.25" customHeight="1">
      <c r="A37685" s="740"/>
    </row>
    <row r="37686" ht="14.25" customHeight="1">
      <c r="A37686" s="740"/>
    </row>
    <row r="37687" ht="14.25" customHeight="1">
      <c r="A37687" s="740"/>
    </row>
    <row r="37688" ht="14.25" customHeight="1">
      <c r="A37688" s="740"/>
    </row>
    <row r="37689" ht="14.25" customHeight="1">
      <c r="A37689" s="740"/>
    </row>
    <row r="37690" ht="14.25" customHeight="1">
      <c r="A37690" s="740"/>
    </row>
    <row r="37691" ht="14.25" customHeight="1">
      <c r="A37691" s="740"/>
    </row>
    <row r="37692" ht="14.25" customHeight="1">
      <c r="A37692" s="740"/>
    </row>
    <row r="37693" ht="14.25" customHeight="1">
      <c r="A37693" s="740"/>
    </row>
    <row r="37694" ht="14.25" customHeight="1">
      <c r="A37694" s="740"/>
    </row>
    <row r="37695" ht="14.25" customHeight="1">
      <c r="A37695" s="740"/>
    </row>
    <row r="37696" ht="14.25" customHeight="1">
      <c r="A37696" s="740"/>
    </row>
    <row r="37697" ht="14.25" customHeight="1">
      <c r="A37697" s="740"/>
    </row>
    <row r="37698" ht="14.25" customHeight="1">
      <c r="A37698" s="740"/>
    </row>
    <row r="37699" ht="14.25" customHeight="1">
      <c r="A37699" s="740"/>
    </row>
    <row r="37700" ht="14.25" customHeight="1">
      <c r="A37700" s="740"/>
    </row>
    <row r="37701" ht="14.25" customHeight="1">
      <c r="A37701" s="740"/>
    </row>
    <row r="37702" ht="14.25" customHeight="1">
      <c r="A37702" s="740"/>
    </row>
    <row r="37703" ht="14.25" customHeight="1">
      <c r="A37703" s="740"/>
    </row>
    <row r="37704" ht="14.25" customHeight="1">
      <c r="A37704" s="740"/>
    </row>
    <row r="37705" ht="14.25" customHeight="1">
      <c r="A37705" s="740"/>
    </row>
    <row r="37706" ht="14.25" customHeight="1">
      <c r="A37706" s="740"/>
    </row>
    <row r="37707" ht="14.25" customHeight="1">
      <c r="A37707" s="740"/>
    </row>
    <row r="37708" ht="14.25" customHeight="1">
      <c r="A37708" s="740"/>
    </row>
    <row r="37709" ht="14.25" customHeight="1">
      <c r="A37709" s="740"/>
    </row>
    <row r="37710" ht="14.25" customHeight="1">
      <c r="A37710" s="740"/>
    </row>
    <row r="37711" ht="14.25" customHeight="1">
      <c r="A37711" s="740"/>
    </row>
    <row r="37712" ht="14.25" customHeight="1">
      <c r="A37712" s="740"/>
    </row>
    <row r="37713" ht="14.25" customHeight="1">
      <c r="A37713" s="740"/>
    </row>
    <row r="37714" ht="14.25" customHeight="1">
      <c r="A37714" s="740"/>
    </row>
    <row r="37715" ht="14.25" customHeight="1">
      <c r="A37715" s="740"/>
    </row>
    <row r="37716" ht="14.25" customHeight="1">
      <c r="A37716" s="740"/>
    </row>
    <row r="37717" ht="14.25" customHeight="1">
      <c r="A37717" s="740"/>
    </row>
    <row r="37718" ht="14.25" customHeight="1">
      <c r="A37718" s="740"/>
    </row>
    <row r="37719" ht="14.25" customHeight="1">
      <c r="A37719" s="740"/>
    </row>
    <row r="37720" ht="14.25" customHeight="1">
      <c r="A37720" s="740"/>
    </row>
    <row r="37721" ht="14.25" customHeight="1">
      <c r="A37721" s="740"/>
    </row>
    <row r="37722" ht="14.25" customHeight="1">
      <c r="A37722" s="740"/>
    </row>
    <row r="37723" ht="14.25" customHeight="1">
      <c r="A37723" s="740"/>
    </row>
    <row r="37724" ht="14.25" customHeight="1">
      <c r="A37724" s="740"/>
    </row>
    <row r="37725" ht="14.25" customHeight="1">
      <c r="A37725" s="740"/>
    </row>
    <row r="37726" ht="14.25" customHeight="1">
      <c r="A37726" s="740"/>
    </row>
    <row r="37727" ht="14.25" customHeight="1">
      <c r="A37727" s="740"/>
    </row>
    <row r="37728" ht="14.25" customHeight="1">
      <c r="A37728" s="740"/>
    </row>
    <row r="37729" ht="14.25" customHeight="1">
      <c r="A37729" s="740"/>
    </row>
    <row r="37730" ht="14.25" customHeight="1">
      <c r="A37730" s="740"/>
    </row>
    <row r="37731" ht="14.25" customHeight="1">
      <c r="A37731" s="740"/>
    </row>
    <row r="37732" ht="14.25" customHeight="1">
      <c r="A37732" s="740"/>
    </row>
    <row r="37733" ht="14.25" customHeight="1">
      <c r="A37733" s="740"/>
    </row>
    <row r="37734" ht="14.25" customHeight="1">
      <c r="A37734" s="740"/>
    </row>
    <row r="37735" ht="14.25" customHeight="1">
      <c r="A37735" s="740"/>
    </row>
    <row r="37736" ht="14.25" customHeight="1">
      <c r="A37736" s="740"/>
    </row>
    <row r="37737" ht="14.25" customHeight="1">
      <c r="A37737" s="740"/>
    </row>
    <row r="37738" ht="14.25" customHeight="1">
      <c r="A37738" s="740"/>
    </row>
    <row r="37739" ht="14.25" customHeight="1">
      <c r="A37739" s="740"/>
    </row>
    <row r="37740" ht="14.25" customHeight="1">
      <c r="A37740" s="740"/>
    </row>
    <row r="37741" ht="14.25" customHeight="1">
      <c r="A37741" s="740"/>
    </row>
    <row r="37742" ht="14.25" customHeight="1">
      <c r="A37742" s="740"/>
    </row>
    <row r="37743" ht="14.25" customHeight="1">
      <c r="A37743" s="740"/>
    </row>
    <row r="37744" ht="14.25" customHeight="1">
      <c r="A37744" s="740"/>
    </row>
    <row r="37745" ht="14.25" customHeight="1">
      <c r="A37745" s="740"/>
    </row>
    <row r="37746" ht="14.25" customHeight="1">
      <c r="A37746" s="740"/>
    </row>
    <row r="37747" ht="14.25" customHeight="1">
      <c r="A37747" s="740"/>
    </row>
    <row r="37748" ht="14.25" customHeight="1">
      <c r="A37748" s="740"/>
    </row>
    <row r="37749" ht="14.25" customHeight="1">
      <c r="A37749" s="740"/>
    </row>
    <row r="37750" ht="14.25" customHeight="1">
      <c r="A37750" s="740"/>
    </row>
    <row r="37751" ht="14.25" customHeight="1">
      <c r="A37751" s="740"/>
    </row>
    <row r="37752" ht="14.25" customHeight="1">
      <c r="A37752" s="740"/>
    </row>
    <row r="37753" ht="14.25" customHeight="1">
      <c r="A37753" s="740"/>
    </row>
    <row r="37754" ht="14.25" customHeight="1">
      <c r="A37754" s="740"/>
    </row>
    <row r="37755" ht="14.25" customHeight="1">
      <c r="A37755" s="740"/>
    </row>
    <row r="37756" ht="14.25" customHeight="1">
      <c r="A37756" s="740"/>
    </row>
    <row r="37757" ht="14.25" customHeight="1">
      <c r="A37757" s="740"/>
    </row>
    <row r="37758" ht="14.25" customHeight="1">
      <c r="A37758" s="740"/>
    </row>
    <row r="37759" ht="14.25" customHeight="1">
      <c r="A37759" s="740"/>
    </row>
    <row r="37760" ht="14.25" customHeight="1">
      <c r="A37760" s="740"/>
    </row>
    <row r="37761" ht="14.25" customHeight="1">
      <c r="A37761" s="740"/>
    </row>
    <row r="37762" ht="14.25" customHeight="1">
      <c r="A37762" s="740"/>
    </row>
    <row r="37763" ht="14.25" customHeight="1">
      <c r="A37763" s="740"/>
    </row>
    <row r="37764" ht="14.25" customHeight="1">
      <c r="A37764" s="740"/>
    </row>
    <row r="37765" ht="14.25" customHeight="1">
      <c r="A37765" s="740"/>
    </row>
    <row r="37766" ht="14.25" customHeight="1">
      <c r="A37766" s="740"/>
    </row>
    <row r="37767" ht="14.25" customHeight="1">
      <c r="A37767" s="740"/>
    </row>
    <row r="37768" ht="14.25" customHeight="1">
      <c r="A37768" s="740"/>
    </row>
    <row r="37769" ht="14.25" customHeight="1">
      <c r="A37769" s="740"/>
    </row>
    <row r="37770" ht="14.25" customHeight="1">
      <c r="A37770" s="740"/>
    </row>
    <row r="37771" ht="14.25" customHeight="1">
      <c r="A37771" s="740"/>
    </row>
    <row r="37772" ht="14.25" customHeight="1">
      <c r="A37772" s="740"/>
    </row>
    <row r="37773" ht="14.25" customHeight="1">
      <c r="A37773" s="740"/>
    </row>
    <row r="37774" ht="14.25" customHeight="1">
      <c r="A37774" s="740"/>
    </row>
    <row r="37775" ht="14.25" customHeight="1">
      <c r="A37775" s="740"/>
    </row>
    <row r="37776" ht="14.25" customHeight="1">
      <c r="A37776" s="740"/>
    </row>
    <row r="37777" ht="14.25" customHeight="1">
      <c r="A37777" s="740"/>
    </row>
    <row r="37778" ht="14.25" customHeight="1">
      <c r="A37778" s="740"/>
    </row>
    <row r="37779" ht="14.25" customHeight="1">
      <c r="A37779" s="740"/>
    </row>
    <row r="37780" ht="14.25" customHeight="1">
      <c r="A37780" s="740"/>
    </row>
    <row r="37781" ht="14.25" customHeight="1">
      <c r="A37781" s="740"/>
    </row>
    <row r="37782" ht="14.25" customHeight="1">
      <c r="A37782" s="740"/>
    </row>
    <row r="37783" ht="14.25" customHeight="1">
      <c r="A37783" s="740"/>
    </row>
    <row r="37784" ht="14.25" customHeight="1">
      <c r="A37784" s="740"/>
    </row>
    <row r="37785" ht="14.25" customHeight="1">
      <c r="A37785" s="740"/>
    </row>
    <row r="37786" ht="14.25" customHeight="1">
      <c r="A37786" s="740"/>
    </row>
    <row r="37787" ht="14.25" customHeight="1">
      <c r="A37787" s="740"/>
    </row>
    <row r="37788" ht="14.25" customHeight="1">
      <c r="A37788" s="740"/>
    </row>
    <row r="37789" ht="14.25" customHeight="1">
      <c r="A37789" s="740"/>
    </row>
    <row r="37790" ht="14.25" customHeight="1">
      <c r="A37790" s="740"/>
    </row>
    <row r="37791" ht="14.25" customHeight="1">
      <c r="A37791" s="740"/>
    </row>
    <row r="37792" ht="14.25" customHeight="1">
      <c r="A37792" s="740"/>
    </row>
    <row r="37793" ht="14.25" customHeight="1">
      <c r="A37793" s="740"/>
    </row>
    <row r="37794" ht="14.25" customHeight="1">
      <c r="A37794" s="740"/>
    </row>
    <row r="37795" ht="14.25" customHeight="1">
      <c r="A37795" s="740"/>
    </row>
    <row r="37796" ht="14.25" customHeight="1">
      <c r="A37796" s="740"/>
    </row>
    <row r="37797" ht="14.25" customHeight="1">
      <c r="A37797" s="740"/>
    </row>
    <row r="37798" ht="14.25" customHeight="1">
      <c r="A37798" s="740"/>
    </row>
    <row r="37799" ht="14.25" customHeight="1">
      <c r="A37799" s="740"/>
    </row>
    <row r="37800" ht="14.25" customHeight="1">
      <c r="A37800" s="740"/>
    </row>
    <row r="37801" ht="14.25" customHeight="1">
      <c r="A37801" s="740"/>
    </row>
    <row r="37802" ht="14.25" customHeight="1">
      <c r="A37802" s="740"/>
    </row>
    <row r="37803" ht="14.25" customHeight="1">
      <c r="A37803" s="740"/>
    </row>
    <row r="37804" ht="14.25" customHeight="1">
      <c r="A37804" s="740"/>
    </row>
    <row r="37805" ht="14.25" customHeight="1">
      <c r="A37805" s="740"/>
    </row>
    <row r="37806" ht="14.25" customHeight="1">
      <c r="A37806" s="740"/>
    </row>
    <row r="37807" ht="14.25" customHeight="1">
      <c r="A37807" s="740"/>
    </row>
    <row r="37808" ht="14.25" customHeight="1">
      <c r="A37808" s="740"/>
    </row>
    <row r="37809" ht="14.25" customHeight="1">
      <c r="A37809" s="740"/>
    </row>
    <row r="37810" ht="14.25" customHeight="1">
      <c r="A37810" s="740"/>
    </row>
    <row r="37811" ht="14.25" customHeight="1">
      <c r="A37811" s="740"/>
    </row>
    <row r="37812" ht="14.25" customHeight="1">
      <c r="A37812" s="740"/>
    </row>
    <row r="37813" ht="14.25" customHeight="1">
      <c r="A37813" s="740"/>
    </row>
    <row r="37814" ht="14.25" customHeight="1">
      <c r="A37814" s="740"/>
    </row>
    <row r="37815" ht="14.25" customHeight="1">
      <c r="A37815" s="740"/>
    </row>
    <row r="37816" ht="14.25" customHeight="1">
      <c r="A37816" s="740"/>
    </row>
    <row r="37817" ht="14.25" customHeight="1">
      <c r="A37817" s="740"/>
    </row>
    <row r="37818" ht="14.25" customHeight="1">
      <c r="A37818" s="740"/>
    </row>
    <row r="37819" ht="14.25" customHeight="1">
      <c r="A37819" s="740"/>
    </row>
    <row r="37820" ht="14.25" customHeight="1">
      <c r="A37820" s="740"/>
    </row>
    <row r="37821" ht="14.25" customHeight="1">
      <c r="A37821" s="740"/>
    </row>
    <row r="37822" ht="14.25" customHeight="1">
      <c r="A37822" s="740"/>
    </row>
    <row r="37823" ht="14.25" customHeight="1">
      <c r="A37823" s="740"/>
    </row>
    <row r="37824" ht="14.25" customHeight="1">
      <c r="A37824" s="740"/>
    </row>
    <row r="37825" ht="14.25" customHeight="1">
      <c r="A37825" s="740"/>
    </row>
    <row r="37826" ht="14.25" customHeight="1">
      <c r="A37826" s="740"/>
    </row>
    <row r="37827" ht="14.25" customHeight="1">
      <c r="A37827" s="740"/>
    </row>
    <row r="37828" ht="14.25" customHeight="1">
      <c r="A37828" s="740"/>
    </row>
    <row r="37829" ht="14.25" customHeight="1">
      <c r="A37829" s="740"/>
    </row>
    <row r="37830" ht="14.25" customHeight="1">
      <c r="A37830" s="740"/>
    </row>
    <row r="37831" ht="14.25" customHeight="1">
      <c r="A37831" s="740"/>
    </row>
    <row r="37832" ht="14.25" customHeight="1">
      <c r="A37832" s="740"/>
    </row>
    <row r="37833" ht="14.25" customHeight="1">
      <c r="A37833" s="740"/>
    </row>
    <row r="37834" ht="14.25" customHeight="1">
      <c r="A37834" s="740"/>
    </row>
    <row r="37835" ht="14.25" customHeight="1">
      <c r="A37835" s="740"/>
    </row>
    <row r="37836" ht="14.25" customHeight="1">
      <c r="A37836" s="740"/>
    </row>
    <row r="37837" ht="14.25" customHeight="1">
      <c r="A37837" s="740"/>
    </row>
    <row r="37838" ht="14.25" customHeight="1">
      <c r="A37838" s="740"/>
    </row>
    <row r="37839" ht="14.25" customHeight="1">
      <c r="A37839" s="740"/>
    </row>
    <row r="37840" ht="14.25" customHeight="1">
      <c r="A37840" s="740"/>
    </row>
    <row r="37841" ht="14.25" customHeight="1">
      <c r="A37841" s="740"/>
    </row>
    <row r="37842" ht="14.25" customHeight="1">
      <c r="A37842" s="740"/>
    </row>
    <row r="37843" ht="14.25" customHeight="1">
      <c r="A37843" s="740"/>
    </row>
    <row r="37844" ht="14.25" customHeight="1">
      <c r="A37844" s="740"/>
    </row>
    <row r="37845" ht="14.25" customHeight="1">
      <c r="A37845" s="740"/>
    </row>
    <row r="37846" ht="14.25" customHeight="1">
      <c r="A37846" s="740"/>
    </row>
    <row r="37847" ht="14.25" customHeight="1">
      <c r="A37847" s="740"/>
    </row>
    <row r="37848" ht="14.25" customHeight="1">
      <c r="A37848" s="740"/>
    </row>
    <row r="37849" ht="14.25" customHeight="1">
      <c r="A37849" s="740"/>
    </row>
    <row r="37850" ht="14.25" customHeight="1">
      <c r="A37850" s="740"/>
    </row>
    <row r="37851" ht="14.25" customHeight="1">
      <c r="A37851" s="740"/>
    </row>
    <row r="37852" ht="14.25" customHeight="1">
      <c r="A37852" s="740"/>
    </row>
    <row r="37853" ht="14.25" customHeight="1">
      <c r="A37853" s="740"/>
    </row>
    <row r="37854" ht="14.25" customHeight="1">
      <c r="A37854" s="740"/>
    </row>
    <row r="37855" ht="14.25" customHeight="1">
      <c r="A37855" s="740"/>
    </row>
    <row r="37856" ht="14.25" customHeight="1">
      <c r="A37856" s="740"/>
    </row>
    <row r="37857" ht="14.25" customHeight="1">
      <c r="A37857" s="740"/>
    </row>
    <row r="37858" ht="14.25" customHeight="1">
      <c r="A37858" s="740"/>
    </row>
    <row r="37859" ht="14.25" customHeight="1">
      <c r="A37859" s="740"/>
    </row>
    <row r="37860" ht="14.25" customHeight="1">
      <c r="A37860" s="740"/>
    </row>
    <row r="37861" ht="14.25" customHeight="1">
      <c r="A37861" s="740"/>
    </row>
    <row r="37862" ht="14.25" customHeight="1">
      <c r="A37862" s="740"/>
    </row>
    <row r="37863" ht="14.25" customHeight="1">
      <c r="A37863" s="740"/>
    </row>
    <row r="37864" ht="14.25" customHeight="1">
      <c r="A37864" s="740"/>
    </row>
    <row r="37865" ht="14.25" customHeight="1">
      <c r="A37865" s="740"/>
    </row>
    <row r="37866" ht="14.25" customHeight="1">
      <c r="A37866" s="740"/>
    </row>
    <row r="37867" ht="14.25" customHeight="1">
      <c r="A37867" s="740"/>
    </row>
    <row r="37868" ht="14.25" customHeight="1">
      <c r="A37868" s="740"/>
    </row>
    <row r="37869" ht="14.25" customHeight="1">
      <c r="A37869" s="740"/>
    </row>
    <row r="37870" ht="14.25" customHeight="1">
      <c r="A37870" s="740"/>
    </row>
    <row r="37871" ht="14.25" customHeight="1">
      <c r="A37871" s="740"/>
    </row>
    <row r="37872" ht="14.25" customHeight="1">
      <c r="A37872" s="740"/>
    </row>
    <row r="37873" ht="14.25" customHeight="1">
      <c r="A37873" s="740"/>
    </row>
    <row r="37874" ht="14.25" customHeight="1">
      <c r="A37874" s="740"/>
    </row>
    <row r="37875" ht="14.25" customHeight="1">
      <c r="A37875" s="740"/>
    </row>
    <row r="37876" ht="14.25" customHeight="1">
      <c r="A37876" s="740"/>
    </row>
    <row r="37877" ht="14.25" customHeight="1">
      <c r="A37877" s="740"/>
    </row>
    <row r="37878" ht="14.25" customHeight="1">
      <c r="A37878" s="740"/>
    </row>
    <row r="37879" ht="14.25" customHeight="1">
      <c r="A37879" s="740"/>
    </row>
    <row r="37880" ht="14.25" customHeight="1">
      <c r="A37880" s="740"/>
    </row>
    <row r="37881" ht="14.25" customHeight="1">
      <c r="A37881" s="740"/>
    </row>
    <row r="37882" ht="14.25" customHeight="1">
      <c r="A37882" s="740"/>
    </row>
    <row r="37883" ht="14.25" customHeight="1">
      <c r="A37883" s="740"/>
    </row>
    <row r="37884" ht="14.25" customHeight="1">
      <c r="A37884" s="740"/>
    </row>
    <row r="37885" ht="14.25" customHeight="1">
      <c r="A37885" s="740"/>
    </row>
    <row r="37886" ht="14.25" customHeight="1">
      <c r="A37886" s="740"/>
    </row>
    <row r="37887" ht="14.25" customHeight="1">
      <c r="A37887" s="740"/>
    </row>
    <row r="37888" ht="14.25" customHeight="1">
      <c r="A37888" s="740"/>
    </row>
    <row r="37889" ht="14.25" customHeight="1">
      <c r="A37889" s="740"/>
    </row>
    <row r="37890" ht="14.25" customHeight="1">
      <c r="A37890" s="740"/>
    </row>
    <row r="37891" ht="14.25" customHeight="1">
      <c r="A37891" s="740"/>
    </row>
    <row r="37892" ht="14.25" customHeight="1">
      <c r="A37892" s="740"/>
    </row>
    <row r="37893" ht="14.25" customHeight="1">
      <c r="A37893" s="740"/>
    </row>
    <row r="37894" ht="14.25" customHeight="1">
      <c r="A37894" s="740"/>
    </row>
    <row r="37895" ht="14.25" customHeight="1">
      <c r="A37895" s="740"/>
    </row>
    <row r="37896" ht="14.25" customHeight="1">
      <c r="A37896" s="740"/>
    </row>
    <row r="37897" ht="14.25" customHeight="1">
      <c r="A37897" s="740"/>
    </row>
    <row r="37898" ht="14.25" customHeight="1">
      <c r="A37898" s="740"/>
    </row>
    <row r="37899" ht="14.25" customHeight="1">
      <c r="A37899" s="740"/>
    </row>
    <row r="37900" ht="14.25" customHeight="1">
      <c r="A37900" s="740"/>
    </row>
    <row r="37901" ht="14.25" customHeight="1">
      <c r="A37901" s="740"/>
    </row>
    <row r="37902" ht="14.25" customHeight="1">
      <c r="A37902" s="740"/>
    </row>
    <row r="37903" ht="14.25" customHeight="1">
      <c r="A37903" s="740"/>
    </row>
    <row r="37904" ht="14.25" customHeight="1">
      <c r="A37904" s="740"/>
    </row>
    <row r="37905" ht="14.25" customHeight="1">
      <c r="A37905" s="740"/>
    </row>
    <row r="37906" ht="14.25" customHeight="1">
      <c r="A37906" s="740"/>
    </row>
    <row r="37907" ht="14.25" customHeight="1">
      <c r="A37907" s="740"/>
    </row>
    <row r="37908" ht="14.25" customHeight="1">
      <c r="A37908" s="740"/>
    </row>
    <row r="37909" ht="14.25" customHeight="1">
      <c r="A37909" s="740"/>
    </row>
    <row r="37910" ht="14.25" customHeight="1">
      <c r="A37910" s="740"/>
    </row>
    <row r="37911" ht="14.25" customHeight="1">
      <c r="A37911" s="740"/>
    </row>
    <row r="37912" ht="14.25" customHeight="1">
      <c r="A37912" s="740"/>
    </row>
    <row r="37913" ht="14.25" customHeight="1">
      <c r="A37913" s="740"/>
    </row>
    <row r="37914" ht="14.25" customHeight="1">
      <c r="A37914" s="740"/>
    </row>
    <row r="37915" ht="14.25" customHeight="1">
      <c r="A37915" s="740"/>
    </row>
    <row r="37916" ht="14.25" customHeight="1">
      <c r="A37916" s="740"/>
    </row>
    <row r="37917" ht="14.25" customHeight="1">
      <c r="A37917" s="740"/>
    </row>
    <row r="37918" ht="14.25" customHeight="1">
      <c r="A37918" s="740"/>
    </row>
    <row r="37919" ht="14.25" customHeight="1">
      <c r="A37919" s="740"/>
    </row>
    <row r="37920" ht="14.25" customHeight="1">
      <c r="A37920" s="740"/>
    </row>
    <row r="37921" ht="14.25" customHeight="1">
      <c r="A37921" s="740"/>
    </row>
    <row r="37922" ht="14.25" customHeight="1">
      <c r="A37922" s="740"/>
    </row>
    <row r="37923" ht="14.25" customHeight="1">
      <c r="A37923" s="740"/>
    </row>
    <row r="37924" ht="14.25" customHeight="1">
      <c r="A37924" s="740"/>
    </row>
    <row r="37925" ht="14.25" customHeight="1">
      <c r="A37925" s="740"/>
    </row>
    <row r="37926" ht="14.25" customHeight="1">
      <c r="A37926" s="740"/>
    </row>
    <row r="37927" ht="14.25" customHeight="1">
      <c r="A37927" s="740"/>
    </row>
    <row r="37928" ht="14.25" customHeight="1">
      <c r="A37928" s="740"/>
    </row>
    <row r="37929" ht="14.25" customHeight="1">
      <c r="A37929" s="740"/>
    </row>
    <row r="37930" ht="14.25" customHeight="1">
      <c r="A37930" s="740"/>
    </row>
    <row r="37931" ht="14.25" customHeight="1">
      <c r="A37931" s="740"/>
    </row>
    <row r="37932" ht="14.25" customHeight="1">
      <c r="A37932" s="740"/>
    </row>
    <row r="37933" ht="14.25" customHeight="1">
      <c r="A37933" s="740"/>
    </row>
    <row r="37934" ht="14.25" customHeight="1">
      <c r="A37934" s="740"/>
    </row>
    <row r="37935" ht="14.25" customHeight="1">
      <c r="A37935" s="740"/>
    </row>
    <row r="37936" ht="14.25" customHeight="1">
      <c r="A37936" s="740"/>
    </row>
    <row r="37937" ht="14.25" customHeight="1">
      <c r="A37937" s="740"/>
    </row>
    <row r="37938" ht="14.25" customHeight="1">
      <c r="A37938" s="740"/>
    </row>
    <row r="37939" ht="14.25" customHeight="1">
      <c r="A37939" s="740"/>
    </row>
    <row r="37940" ht="14.25" customHeight="1">
      <c r="A37940" s="740"/>
    </row>
    <row r="37941" ht="14.25" customHeight="1">
      <c r="A37941" s="740"/>
    </row>
    <row r="37942" ht="14.25" customHeight="1">
      <c r="A37942" s="740"/>
    </row>
    <row r="37943" ht="14.25" customHeight="1">
      <c r="A37943" s="740"/>
    </row>
    <row r="37944" ht="14.25" customHeight="1">
      <c r="A37944" s="740"/>
    </row>
    <row r="37945" ht="14.25" customHeight="1">
      <c r="A37945" s="740"/>
    </row>
    <row r="37946" ht="14.25" customHeight="1">
      <c r="A37946" s="740"/>
    </row>
    <row r="37947" ht="14.25" customHeight="1">
      <c r="A37947" s="740"/>
    </row>
    <row r="37948" ht="14.25" customHeight="1">
      <c r="A37948" s="740"/>
    </row>
    <row r="37949" ht="14.25" customHeight="1">
      <c r="A37949" s="740"/>
    </row>
    <row r="37950" ht="14.25" customHeight="1">
      <c r="A37950" s="740"/>
    </row>
    <row r="37951" ht="14.25" customHeight="1">
      <c r="A37951" s="740"/>
    </row>
    <row r="37952" ht="14.25" customHeight="1">
      <c r="A37952" s="740"/>
    </row>
    <row r="37953" ht="14.25" customHeight="1">
      <c r="A37953" s="740"/>
    </row>
    <row r="37954" ht="14.25" customHeight="1">
      <c r="A37954" s="740"/>
    </row>
    <row r="37955" ht="14.25" customHeight="1">
      <c r="A37955" s="740"/>
    </row>
    <row r="37956" ht="14.25" customHeight="1">
      <c r="A37956" s="740"/>
    </row>
    <row r="37957" ht="14.25" customHeight="1">
      <c r="A37957" s="740"/>
    </row>
    <row r="37958" ht="14.25" customHeight="1">
      <c r="A37958" s="740"/>
    </row>
    <row r="37959" ht="14.25" customHeight="1">
      <c r="A37959" s="740"/>
    </row>
    <row r="37960" ht="14.25" customHeight="1">
      <c r="A37960" s="740"/>
    </row>
    <row r="37961" ht="14.25" customHeight="1">
      <c r="A37961" s="740"/>
    </row>
    <row r="37962" ht="14.25" customHeight="1">
      <c r="A37962" s="740"/>
    </row>
    <row r="37963" ht="14.25" customHeight="1">
      <c r="A37963" s="740"/>
    </row>
    <row r="37964" ht="14.25" customHeight="1">
      <c r="A37964" s="740"/>
    </row>
    <row r="37965" ht="14.25" customHeight="1">
      <c r="A37965" s="740"/>
    </row>
    <row r="37966" ht="14.25" customHeight="1">
      <c r="A37966" s="740"/>
    </row>
    <row r="37967" ht="14.25" customHeight="1">
      <c r="A37967" s="740"/>
    </row>
    <row r="37968" ht="14.25" customHeight="1">
      <c r="A37968" s="740"/>
    </row>
    <row r="37969" ht="14.25" customHeight="1">
      <c r="A37969" s="740"/>
    </row>
    <row r="37970" ht="14.25" customHeight="1">
      <c r="A37970" s="740"/>
    </row>
    <row r="37971" ht="14.25" customHeight="1">
      <c r="A37971" s="740"/>
    </row>
    <row r="37972" ht="14.25" customHeight="1">
      <c r="A37972" s="740"/>
    </row>
    <row r="37973" ht="14.25" customHeight="1">
      <c r="A37973" s="740"/>
    </row>
    <row r="37974" ht="14.25" customHeight="1">
      <c r="A37974" s="740"/>
    </row>
    <row r="37975" ht="14.25" customHeight="1">
      <c r="A37975" s="740"/>
    </row>
    <row r="37976" ht="14.25" customHeight="1">
      <c r="A37976" s="740"/>
    </row>
    <row r="37977" ht="14.25" customHeight="1">
      <c r="A37977" s="740"/>
    </row>
    <row r="37978" ht="14.25" customHeight="1">
      <c r="A37978" s="740"/>
    </row>
    <row r="37979" ht="14.25" customHeight="1">
      <c r="A37979" s="740"/>
    </row>
    <row r="37980" ht="14.25" customHeight="1">
      <c r="A37980" s="740"/>
    </row>
    <row r="37981" ht="14.25" customHeight="1">
      <c r="A37981" s="740"/>
    </row>
    <row r="37982" ht="14.25" customHeight="1">
      <c r="A37982" s="740"/>
    </row>
    <row r="37983" ht="14.25" customHeight="1">
      <c r="A37983" s="740"/>
    </row>
    <row r="37984" ht="14.25" customHeight="1">
      <c r="A37984" s="740"/>
    </row>
    <row r="37985" ht="14.25" customHeight="1">
      <c r="A37985" s="740"/>
    </row>
    <row r="37986" ht="14.25" customHeight="1">
      <c r="A37986" s="740"/>
    </row>
    <row r="37987" ht="14.25" customHeight="1">
      <c r="A37987" s="740"/>
    </row>
    <row r="37988" ht="14.25" customHeight="1">
      <c r="A37988" s="740"/>
    </row>
    <row r="37989" ht="14.25" customHeight="1">
      <c r="A37989" s="740"/>
    </row>
    <row r="37990" ht="14.25" customHeight="1">
      <c r="A37990" s="740"/>
    </row>
    <row r="37991" ht="14.25" customHeight="1">
      <c r="A37991" s="740"/>
    </row>
    <row r="37992" ht="14.25" customHeight="1">
      <c r="A37992" s="740"/>
    </row>
    <row r="37993" ht="14.25" customHeight="1">
      <c r="A37993" s="740"/>
    </row>
    <row r="37994" ht="14.25" customHeight="1">
      <c r="A37994" s="740"/>
    </row>
    <row r="37995" ht="14.25" customHeight="1">
      <c r="A37995" s="740"/>
    </row>
    <row r="37996" ht="14.25" customHeight="1">
      <c r="A37996" s="740"/>
    </row>
    <row r="37997" ht="14.25" customHeight="1">
      <c r="A37997" s="740"/>
    </row>
    <row r="37998" ht="14.25" customHeight="1">
      <c r="A37998" s="740"/>
    </row>
    <row r="37999" ht="14.25" customHeight="1">
      <c r="A37999" s="740"/>
    </row>
    <row r="38000" ht="14.25" customHeight="1">
      <c r="A38000" s="740"/>
    </row>
    <row r="38001" ht="14.25" customHeight="1">
      <c r="A38001" s="740"/>
    </row>
    <row r="38002" ht="14.25" customHeight="1">
      <c r="A38002" s="740"/>
    </row>
    <row r="38003" ht="14.25" customHeight="1">
      <c r="A38003" s="740"/>
    </row>
    <row r="38004" ht="14.25" customHeight="1">
      <c r="A38004" s="740"/>
    </row>
    <row r="38005" ht="14.25" customHeight="1">
      <c r="A38005" s="740"/>
    </row>
    <row r="38006" ht="14.25" customHeight="1">
      <c r="A38006" s="740"/>
    </row>
    <row r="38007" ht="14.25" customHeight="1">
      <c r="A38007" s="740"/>
    </row>
    <row r="38008" ht="14.25" customHeight="1">
      <c r="A38008" s="740"/>
    </row>
    <row r="38009" ht="14.25" customHeight="1">
      <c r="A38009" s="740"/>
    </row>
    <row r="38010" ht="14.25" customHeight="1">
      <c r="A38010" s="740"/>
    </row>
    <row r="38011" ht="14.25" customHeight="1">
      <c r="A38011" s="740"/>
    </row>
    <row r="38012" ht="14.25" customHeight="1">
      <c r="A38012" s="740"/>
    </row>
    <row r="38013" ht="14.25" customHeight="1">
      <c r="A38013" s="740"/>
    </row>
    <row r="38014" ht="14.25" customHeight="1">
      <c r="A38014" s="740"/>
    </row>
    <row r="38015" ht="14.25" customHeight="1">
      <c r="A38015" s="740"/>
    </row>
    <row r="38016" ht="14.25" customHeight="1">
      <c r="A38016" s="740"/>
    </row>
    <row r="38017" ht="14.25" customHeight="1">
      <c r="A38017" s="740"/>
    </row>
    <row r="38018" ht="14.25" customHeight="1">
      <c r="A38018" s="740"/>
    </row>
    <row r="38019" ht="14.25" customHeight="1">
      <c r="A38019" s="740"/>
    </row>
    <row r="38020" ht="14.25" customHeight="1">
      <c r="A38020" s="740"/>
    </row>
    <row r="38021" ht="14.25" customHeight="1">
      <c r="A38021" s="740"/>
    </row>
    <row r="38022" ht="14.25" customHeight="1">
      <c r="A38022" s="740"/>
    </row>
    <row r="38023" ht="14.25" customHeight="1">
      <c r="A38023" s="740"/>
    </row>
    <row r="38024" ht="14.25" customHeight="1">
      <c r="A38024" s="740"/>
    </row>
    <row r="38025" ht="14.25" customHeight="1">
      <c r="A38025" s="740"/>
    </row>
    <row r="38026" ht="14.25" customHeight="1">
      <c r="A38026" s="740"/>
    </row>
    <row r="38027" ht="14.25" customHeight="1">
      <c r="A38027" s="740"/>
    </row>
    <row r="38028" ht="14.25" customHeight="1">
      <c r="A38028" s="740"/>
    </row>
    <row r="38029" ht="14.25" customHeight="1">
      <c r="A38029" s="740"/>
    </row>
    <row r="38030" ht="14.25" customHeight="1">
      <c r="A38030" s="740"/>
    </row>
    <row r="38031" ht="14.25" customHeight="1">
      <c r="A38031" s="740"/>
    </row>
    <row r="38032" ht="14.25" customHeight="1">
      <c r="A38032" s="740"/>
    </row>
    <row r="38033" ht="14.25" customHeight="1">
      <c r="A38033" s="740"/>
    </row>
    <row r="38034" ht="14.25" customHeight="1">
      <c r="A38034" s="740"/>
    </row>
    <row r="38035" ht="14.25" customHeight="1">
      <c r="A38035" s="740"/>
    </row>
    <row r="38036" ht="14.25" customHeight="1">
      <c r="A38036" s="740"/>
    </row>
    <row r="38037" ht="14.25" customHeight="1">
      <c r="A38037" s="740"/>
    </row>
    <row r="38038" ht="14.25" customHeight="1">
      <c r="A38038" s="740"/>
    </row>
    <row r="38039" ht="14.25" customHeight="1">
      <c r="A38039" s="740"/>
    </row>
    <row r="38040" ht="14.25" customHeight="1">
      <c r="A38040" s="740"/>
    </row>
    <row r="38041" ht="14.25" customHeight="1">
      <c r="A38041" s="740"/>
    </row>
    <row r="38042" ht="14.25" customHeight="1">
      <c r="A38042" s="740"/>
    </row>
    <row r="38043" ht="14.25" customHeight="1">
      <c r="A38043" s="740"/>
    </row>
    <row r="38044" ht="14.25" customHeight="1">
      <c r="A38044" s="740"/>
    </row>
    <row r="38045" ht="14.25" customHeight="1">
      <c r="A38045" s="740"/>
    </row>
    <row r="38046" ht="14.25" customHeight="1">
      <c r="A38046" s="740"/>
    </row>
    <row r="38047" ht="14.25" customHeight="1">
      <c r="A38047" s="740"/>
    </row>
    <row r="38048" ht="14.25" customHeight="1">
      <c r="A38048" s="740"/>
    </row>
    <row r="38049" ht="14.25" customHeight="1">
      <c r="A38049" s="740"/>
    </row>
    <row r="38050" ht="14.25" customHeight="1">
      <c r="A38050" s="740"/>
    </row>
    <row r="38051" ht="14.25" customHeight="1">
      <c r="A38051" s="740"/>
    </row>
    <row r="38052" ht="14.25" customHeight="1">
      <c r="A38052" s="740"/>
    </row>
    <row r="38053" ht="14.25" customHeight="1">
      <c r="A38053" s="740"/>
    </row>
    <row r="38054" ht="14.25" customHeight="1">
      <c r="A38054" s="740"/>
    </row>
    <row r="38055" ht="14.25" customHeight="1">
      <c r="A38055" s="740"/>
    </row>
    <row r="38056" ht="14.25" customHeight="1">
      <c r="A38056" s="740"/>
    </row>
    <row r="38057" ht="14.25" customHeight="1">
      <c r="A38057" s="740"/>
    </row>
    <row r="38058" ht="14.25" customHeight="1">
      <c r="A38058" s="740"/>
    </row>
    <row r="38059" ht="14.25" customHeight="1">
      <c r="A38059" s="740"/>
    </row>
    <row r="38060" ht="14.25" customHeight="1">
      <c r="A38060" s="740"/>
    </row>
    <row r="38061" ht="14.25" customHeight="1">
      <c r="A38061" s="740"/>
    </row>
    <row r="38062" ht="14.25" customHeight="1">
      <c r="A38062" s="740"/>
    </row>
    <row r="38063" ht="14.25" customHeight="1">
      <c r="A38063" s="740"/>
    </row>
    <row r="38064" ht="14.25" customHeight="1">
      <c r="A38064" s="740"/>
    </row>
    <row r="38065" ht="14.25" customHeight="1">
      <c r="A38065" s="740"/>
    </row>
    <row r="38066" ht="14.25" customHeight="1">
      <c r="A38066" s="740"/>
    </row>
    <row r="38067" ht="14.25" customHeight="1">
      <c r="A38067" s="740"/>
    </row>
    <row r="38068" ht="14.25" customHeight="1">
      <c r="A38068" s="740"/>
    </row>
    <row r="38069" ht="14.25" customHeight="1">
      <c r="A38069" s="740"/>
    </row>
    <row r="38070" ht="14.25" customHeight="1">
      <c r="A38070" s="740"/>
    </row>
    <row r="38071" ht="14.25" customHeight="1">
      <c r="A38071" s="740"/>
    </row>
    <row r="38072" ht="14.25" customHeight="1">
      <c r="A38072" s="740"/>
    </row>
    <row r="38073" ht="14.25" customHeight="1">
      <c r="A38073" s="740"/>
    </row>
    <row r="38074" ht="14.25" customHeight="1">
      <c r="A38074" s="740"/>
    </row>
    <row r="38075" ht="14.25" customHeight="1">
      <c r="A38075" s="740"/>
    </row>
    <row r="38076" ht="14.25" customHeight="1">
      <c r="A38076" s="740"/>
    </row>
    <row r="38077" ht="14.25" customHeight="1">
      <c r="A38077" s="740"/>
    </row>
    <row r="38078" ht="14.25" customHeight="1">
      <c r="A38078" s="740"/>
    </row>
    <row r="38079" ht="14.25" customHeight="1">
      <c r="A38079" s="740"/>
    </row>
    <row r="38080" ht="14.25" customHeight="1">
      <c r="A38080" s="740"/>
    </row>
    <row r="38081" ht="14.25" customHeight="1">
      <c r="A38081" s="740"/>
    </row>
    <row r="38082" ht="14.25" customHeight="1">
      <c r="A38082" s="740"/>
    </row>
    <row r="38083" ht="14.25" customHeight="1">
      <c r="A38083" s="740"/>
    </row>
    <row r="38084" ht="14.25" customHeight="1">
      <c r="A38084" s="740"/>
    </row>
    <row r="38085" ht="14.25" customHeight="1">
      <c r="A38085" s="740"/>
    </row>
    <row r="38086" ht="14.25" customHeight="1">
      <c r="A38086" s="740"/>
    </row>
    <row r="38087" ht="14.25" customHeight="1">
      <c r="A38087" s="740"/>
    </row>
    <row r="38088" ht="14.25" customHeight="1">
      <c r="A38088" s="740"/>
    </row>
    <row r="38089" ht="14.25" customHeight="1">
      <c r="A38089" s="740"/>
    </row>
    <row r="38090" ht="14.25" customHeight="1">
      <c r="A38090" s="740"/>
    </row>
    <row r="38091" ht="14.25" customHeight="1">
      <c r="A38091" s="740"/>
    </row>
    <row r="38092" ht="14.25" customHeight="1">
      <c r="A38092" s="740"/>
    </row>
    <row r="38093" ht="14.25" customHeight="1">
      <c r="A38093" s="740"/>
    </row>
    <row r="38094" ht="14.25" customHeight="1">
      <c r="A38094" s="740"/>
    </row>
    <row r="38095" ht="14.25" customHeight="1">
      <c r="A38095" s="740"/>
    </row>
    <row r="38096" ht="14.25" customHeight="1">
      <c r="A38096" s="740"/>
    </row>
    <row r="38097" ht="14.25" customHeight="1">
      <c r="A38097" s="740"/>
    </row>
    <row r="38098" ht="14.25" customHeight="1">
      <c r="A38098" s="740"/>
    </row>
    <row r="38099" ht="14.25" customHeight="1">
      <c r="A38099" s="740"/>
    </row>
    <row r="38100" ht="14.25" customHeight="1">
      <c r="A38100" s="740"/>
    </row>
    <row r="38101" ht="14.25" customHeight="1">
      <c r="A38101" s="740"/>
    </row>
    <row r="38102" ht="14.25" customHeight="1">
      <c r="A38102" s="740"/>
    </row>
    <row r="38103" ht="14.25" customHeight="1">
      <c r="A38103" s="740"/>
    </row>
    <row r="38104" ht="14.25" customHeight="1">
      <c r="A38104" s="740"/>
    </row>
    <row r="38105" ht="14.25" customHeight="1">
      <c r="A38105" s="740"/>
    </row>
    <row r="38106" ht="14.25" customHeight="1">
      <c r="A38106" s="740"/>
    </row>
    <row r="38107" ht="14.25" customHeight="1">
      <c r="A38107" s="740"/>
    </row>
    <row r="38108" ht="14.25" customHeight="1">
      <c r="A38108" s="740"/>
    </row>
    <row r="38109" ht="14.25" customHeight="1">
      <c r="A38109" s="740"/>
    </row>
    <row r="38110" ht="14.25" customHeight="1">
      <c r="A38110" s="740"/>
    </row>
    <row r="38111" ht="14.25" customHeight="1">
      <c r="A38111" s="740"/>
    </row>
    <row r="38112" ht="14.25" customHeight="1">
      <c r="A38112" s="740"/>
    </row>
    <row r="38113" ht="14.25" customHeight="1">
      <c r="A38113" s="740"/>
    </row>
    <row r="38114" ht="14.25" customHeight="1">
      <c r="A38114" s="740"/>
    </row>
    <row r="38115" ht="14.25" customHeight="1">
      <c r="A38115" s="740"/>
    </row>
    <row r="38116" ht="14.25" customHeight="1">
      <c r="A38116" s="740"/>
    </row>
    <row r="38117" ht="14.25" customHeight="1">
      <c r="A38117" s="740"/>
    </row>
    <row r="38118" ht="14.25" customHeight="1">
      <c r="A38118" s="740"/>
    </row>
    <row r="38119" ht="14.25" customHeight="1">
      <c r="A38119" s="740"/>
    </row>
    <row r="38120" ht="14.25" customHeight="1">
      <c r="A38120" s="740"/>
    </row>
    <row r="38121" ht="14.25" customHeight="1">
      <c r="A38121" s="740"/>
    </row>
    <row r="38122" ht="14.25" customHeight="1">
      <c r="A38122" s="740"/>
    </row>
    <row r="38123" ht="14.25" customHeight="1">
      <c r="A38123" s="740"/>
    </row>
    <row r="38124" ht="14.25" customHeight="1">
      <c r="A38124" s="740"/>
    </row>
    <row r="38125" ht="14.25" customHeight="1">
      <c r="A38125" s="740"/>
    </row>
    <row r="38126" ht="14.25" customHeight="1">
      <c r="A38126" s="740"/>
    </row>
    <row r="38127" ht="14.25" customHeight="1">
      <c r="A38127" s="740"/>
    </row>
    <row r="38128" ht="14.25" customHeight="1">
      <c r="A38128" s="740"/>
    </row>
    <row r="38129" ht="14.25" customHeight="1">
      <c r="A38129" s="740"/>
    </row>
    <row r="38130" ht="14.25" customHeight="1">
      <c r="A38130" s="740"/>
    </row>
    <row r="38131" ht="14.25" customHeight="1">
      <c r="A38131" s="740"/>
    </row>
    <row r="38132" ht="14.25" customHeight="1">
      <c r="A38132" s="740"/>
    </row>
    <row r="38133" ht="14.25" customHeight="1">
      <c r="A38133" s="740"/>
    </row>
    <row r="38134" ht="14.25" customHeight="1">
      <c r="A38134" s="740"/>
    </row>
    <row r="38135" ht="14.25" customHeight="1">
      <c r="A38135" s="740"/>
    </row>
    <row r="38136" ht="14.25" customHeight="1">
      <c r="A38136" s="740"/>
    </row>
    <row r="38137" ht="14.25" customHeight="1">
      <c r="A38137" s="740"/>
    </row>
    <row r="38138" ht="14.25" customHeight="1">
      <c r="A38138" s="740"/>
    </row>
    <row r="38139" ht="14.25" customHeight="1">
      <c r="A38139" s="740"/>
    </row>
    <row r="38140" ht="14.25" customHeight="1">
      <c r="A38140" s="740"/>
    </row>
    <row r="38141" ht="14.25" customHeight="1">
      <c r="A38141" s="740"/>
    </row>
    <row r="38142" ht="14.25" customHeight="1">
      <c r="A38142" s="740"/>
    </row>
    <row r="38143" ht="14.25" customHeight="1">
      <c r="A38143" s="740"/>
    </row>
    <row r="38144" ht="14.25" customHeight="1">
      <c r="A38144" s="740"/>
    </row>
    <row r="38145" ht="14.25" customHeight="1">
      <c r="A38145" s="740"/>
    </row>
    <row r="38146" ht="14.25" customHeight="1">
      <c r="A38146" s="740"/>
    </row>
    <row r="38147" ht="14.25" customHeight="1">
      <c r="A38147" s="740"/>
    </row>
    <row r="38148" ht="14.25" customHeight="1">
      <c r="A38148" s="740"/>
    </row>
    <row r="38149" ht="14.25" customHeight="1">
      <c r="A38149" s="740"/>
    </row>
    <row r="38150" ht="14.25" customHeight="1">
      <c r="A38150" s="740"/>
    </row>
    <row r="38151" ht="14.25" customHeight="1">
      <c r="A38151" s="740"/>
    </row>
    <row r="38152" ht="14.25" customHeight="1">
      <c r="A38152" s="740"/>
    </row>
    <row r="38153" ht="14.25" customHeight="1">
      <c r="A38153" s="740"/>
    </row>
    <row r="38154" ht="14.25" customHeight="1">
      <c r="A38154" s="740"/>
    </row>
    <row r="38155" ht="14.25" customHeight="1">
      <c r="A38155" s="740"/>
    </row>
    <row r="38156" ht="14.25" customHeight="1">
      <c r="A38156" s="740"/>
    </row>
    <row r="38157" ht="14.25" customHeight="1">
      <c r="A38157" s="740"/>
    </row>
    <row r="38158" ht="14.25" customHeight="1">
      <c r="A38158" s="740"/>
    </row>
    <row r="38159" ht="14.25" customHeight="1">
      <c r="A38159" s="740"/>
    </row>
    <row r="38160" ht="14.25" customHeight="1">
      <c r="A38160" s="740"/>
    </row>
    <row r="38161" ht="14.25" customHeight="1">
      <c r="A38161" s="740"/>
    </row>
    <row r="38162" ht="14.25" customHeight="1">
      <c r="A38162" s="740"/>
    </row>
    <row r="38163" ht="14.25" customHeight="1">
      <c r="A38163" s="740"/>
    </row>
    <row r="38164" ht="14.25" customHeight="1">
      <c r="A38164" s="740"/>
    </row>
    <row r="38165" ht="14.25" customHeight="1">
      <c r="A38165" s="740"/>
    </row>
    <row r="38166" ht="14.25" customHeight="1">
      <c r="A38166" s="740"/>
    </row>
    <row r="38167" ht="14.25" customHeight="1">
      <c r="A38167" s="740"/>
    </row>
    <row r="38168" ht="14.25" customHeight="1">
      <c r="A38168" s="740"/>
    </row>
    <row r="38169" ht="14.25" customHeight="1">
      <c r="A38169" s="740"/>
    </row>
    <row r="38170" ht="14.25" customHeight="1">
      <c r="A38170" s="740"/>
    </row>
    <row r="38171" ht="14.25" customHeight="1">
      <c r="A38171" s="740"/>
    </row>
    <row r="38172" ht="14.25" customHeight="1">
      <c r="A38172" s="740"/>
    </row>
    <row r="38173" ht="14.25" customHeight="1">
      <c r="A38173" s="740"/>
    </row>
    <row r="38174" ht="14.25" customHeight="1">
      <c r="A38174" s="740"/>
    </row>
    <row r="38175" ht="14.25" customHeight="1">
      <c r="A38175" s="740"/>
    </row>
    <row r="38176" ht="14.25" customHeight="1">
      <c r="A38176" s="740"/>
    </row>
    <row r="38177" ht="14.25" customHeight="1">
      <c r="A38177" s="740"/>
    </row>
    <row r="38178" ht="14.25" customHeight="1">
      <c r="A38178" s="740"/>
    </row>
    <row r="38179" ht="14.25" customHeight="1">
      <c r="A38179" s="740"/>
    </row>
    <row r="38180" ht="14.25" customHeight="1">
      <c r="A38180" s="740"/>
    </row>
    <row r="38181" ht="14.25" customHeight="1">
      <c r="A38181" s="740"/>
    </row>
    <row r="38182" ht="14.25" customHeight="1">
      <c r="A38182" s="740"/>
    </row>
    <row r="38183" ht="14.25" customHeight="1">
      <c r="A38183" s="740"/>
    </row>
    <row r="38184" ht="14.25" customHeight="1">
      <c r="A38184" s="740"/>
    </row>
    <row r="38185" ht="14.25" customHeight="1">
      <c r="A38185" s="740"/>
    </row>
    <row r="38186" ht="14.25" customHeight="1">
      <c r="A38186" s="740"/>
    </row>
    <row r="38187" ht="14.25" customHeight="1">
      <c r="A38187" s="740"/>
    </row>
    <row r="38188" ht="14.25" customHeight="1">
      <c r="A38188" s="740"/>
    </row>
    <row r="38189" ht="14.25" customHeight="1">
      <c r="A38189" s="740"/>
    </row>
    <row r="38190" ht="14.25" customHeight="1">
      <c r="A38190" s="740"/>
    </row>
    <row r="38191" ht="14.25" customHeight="1">
      <c r="A38191" s="740"/>
    </row>
    <row r="38192" ht="14.25" customHeight="1">
      <c r="A38192" s="740"/>
    </row>
    <row r="38193" ht="14.25" customHeight="1">
      <c r="A38193" s="740"/>
    </row>
    <row r="38194" ht="14.25" customHeight="1">
      <c r="A38194" s="740"/>
    </row>
    <row r="38195" ht="14.25" customHeight="1">
      <c r="A38195" s="740"/>
    </row>
    <row r="38196" ht="14.25" customHeight="1">
      <c r="A38196" s="740"/>
    </row>
    <row r="38197" ht="14.25" customHeight="1">
      <c r="A38197" s="740"/>
    </row>
    <row r="38198" ht="14.25" customHeight="1">
      <c r="A38198" s="740"/>
    </row>
    <row r="38199" ht="14.25" customHeight="1">
      <c r="A38199" s="740"/>
    </row>
    <row r="38200" ht="14.25" customHeight="1">
      <c r="A38200" s="740"/>
    </row>
    <row r="38201" ht="14.25" customHeight="1">
      <c r="A38201" s="740"/>
    </row>
    <row r="38202" ht="14.25" customHeight="1">
      <c r="A38202" s="740"/>
    </row>
    <row r="38203" ht="14.25" customHeight="1">
      <c r="A38203" s="740"/>
    </row>
    <row r="38204" ht="14.25" customHeight="1">
      <c r="A38204" s="740"/>
    </row>
    <row r="38205" ht="14.25" customHeight="1">
      <c r="A38205" s="740"/>
    </row>
    <row r="38206" ht="14.25" customHeight="1">
      <c r="A38206" s="740"/>
    </row>
    <row r="38207" ht="14.25" customHeight="1">
      <c r="A38207" s="740"/>
    </row>
    <row r="38208" ht="14.25" customHeight="1">
      <c r="A38208" s="740"/>
    </row>
    <row r="38209" ht="14.25" customHeight="1">
      <c r="A38209" s="740"/>
    </row>
    <row r="38210" ht="14.25" customHeight="1">
      <c r="A38210" s="740"/>
    </row>
    <row r="38211" ht="14.25" customHeight="1">
      <c r="A38211" s="740"/>
    </row>
    <row r="38212" ht="14.25" customHeight="1">
      <c r="A38212" s="740"/>
    </row>
    <row r="38213" ht="14.25" customHeight="1">
      <c r="A38213" s="740"/>
    </row>
    <row r="38214" ht="14.25" customHeight="1">
      <c r="A38214" s="740"/>
    </row>
    <row r="38215" ht="14.25" customHeight="1">
      <c r="A38215" s="740"/>
    </row>
    <row r="38216" ht="14.25" customHeight="1">
      <c r="A38216" s="740"/>
    </row>
    <row r="38217" ht="14.25" customHeight="1">
      <c r="A38217" s="740"/>
    </row>
    <row r="38218" ht="14.25" customHeight="1">
      <c r="A38218" s="740"/>
    </row>
    <row r="38219" ht="14.25" customHeight="1">
      <c r="A38219" s="740"/>
    </row>
    <row r="38220" ht="14.25" customHeight="1">
      <c r="A38220" s="740"/>
    </row>
    <row r="38221" ht="14.25" customHeight="1">
      <c r="A38221" s="740"/>
    </row>
    <row r="38222" ht="14.25" customHeight="1">
      <c r="A38222" s="740"/>
    </row>
    <row r="38223" ht="14.25" customHeight="1">
      <c r="A38223" s="740"/>
    </row>
    <row r="38224" ht="14.25" customHeight="1">
      <c r="A38224" s="740"/>
    </row>
    <row r="38225" ht="14.25" customHeight="1">
      <c r="A38225" s="740"/>
    </row>
    <row r="38226" ht="14.25" customHeight="1">
      <c r="A38226" s="740"/>
    </row>
    <row r="38227" ht="14.25" customHeight="1">
      <c r="A38227" s="740"/>
    </row>
    <row r="38228" ht="14.25" customHeight="1">
      <c r="A38228" s="740"/>
    </row>
    <row r="38229" ht="14.25" customHeight="1">
      <c r="A38229" s="740"/>
    </row>
    <row r="38230" ht="14.25" customHeight="1">
      <c r="A38230" s="740"/>
    </row>
    <row r="38231" ht="14.25" customHeight="1">
      <c r="A38231" s="740"/>
    </row>
    <row r="38232" ht="14.25" customHeight="1">
      <c r="A38232" s="740"/>
    </row>
    <row r="38233" ht="14.25" customHeight="1">
      <c r="A38233" s="740"/>
    </row>
    <row r="38234" ht="14.25" customHeight="1">
      <c r="A38234" s="740"/>
    </row>
    <row r="38235" ht="14.25" customHeight="1">
      <c r="A38235" s="740"/>
    </row>
    <row r="38236" ht="14.25" customHeight="1">
      <c r="A38236" s="740"/>
    </row>
    <row r="38237" ht="14.25" customHeight="1">
      <c r="A38237" s="740"/>
    </row>
    <row r="38238" ht="14.25" customHeight="1">
      <c r="A38238" s="740"/>
    </row>
    <row r="38239" ht="14.25" customHeight="1">
      <c r="A38239" s="740"/>
    </row>
    <row r="38240" ht="14.25" customHeight="1">
      <c r="A38240" s="740"/>
    </row>
    <row r="38241" ht="14.25" customHeight="1">
      <c r="A38241" s="740"/>
    </row>
    <row r="38242" ht="14.25" customHeight="1">
      <c r="A38242" s="740"/>
    </row>
    <row r="38243" ht="14.25" customHeight="1">
      <c r="A38243" s="740"/>
    </row>
    <row r="38244" ht="14.25" customHeight="1">
      <c r="A38244" s="740"/>
    </row>
    <row r="38245" ht="14.25" customHeight="1">
      <c r="A38245" s="740"/>
    </row>
    <row r="38246" ht="14.25" customHeight="1">
      <c r="A38246" s="740"/>
    </row>
    <row r="38247" ht="14.25" customHeight="1">
      <c r="A38247" s="740"/>
    </row>
    <row r="38248" ht="14.25" customHeight="1">
      <c r="A38248" s="740"/>
    </row>
    <row r="38249" ht="14.25" customHeight="1">
      <c r="A38249" s="740"/>
    </row>
    <row r="38250" ht="14.25" customHeight="1">
      <c r="A38250" s="740"/>
    </row>
    <row r="38251" ht="14.25" customHeight="1">
      <c r="A38251" s="740"/>
    </row>
    <row r="38252" ht="14.25" customHeight="1">
      <c r="A38252" s="740"/>
    </row>
    <row r="38253" ht="14.25" customHeight="1">
      <c r="A38253" s="740"/>
    </row>
    <row r="38254" ht="14.25" customHeight="1">
      <c r="A38254" s="740"/>
    </row>
    <row r="38255" ht="14.25" customHeight="1">
      <c r="A38255" s="740"/>
    </row>
    <row r="38256" ht="14.25" customHeight="1">
      <c r="A38256" s="740"/>
    </row>
    <row r="38257" ht="14.25" customHeight="1">
      <c r="A38257" s="740"/>
    </row>
    <row r="38258" ht="14.25" customHeight="1">
      <c r="A38258" s="740"/>
    </row>
    <row r="38259" ht="14.25" customHeight="1">
      <c r="A38259" s="740"/>
    </row>
    <row r="38260" ht="14.25" customHeight="1">
      <c r="A38260" s="740"/>
    </row>
    <row r="38261" ht="14.25" customHeight="1">
      <c r="A38261" s="740"/>
    </row>
    <row r="38262" ht="14.25" customHeight="1">
      <c r="A38262" s="740"/>
    </row>
    <row r="38263" ht="14.25" customHeight="1">
      <c r="A38263" s="740"/>
    </row>
    <row r="38264" ht="14.25" customHeight="1">
      <c r="A38264" s="740"/>
    </row>
    <row r="38265" ht="14.25" customHeight="1">
      <c r="A38265" s="740"/>
    </row>
    <row r="38266" ht="14.25" customHeight="1">
      <c r="A38266" s="740"/>
    </row>
    <row r="38267" ht="14.25" customHeight="1">
      <c r="A38267" s="740"/>
    </row>
    <row r="38268" ht="14.25" customHeight="1">
      <c r="A38268" s="740"/>
    </row>
    <row r="38269" ht="14.25" customHeight="1">
      <c r="A38269" s="740"/>
    </row>
    <row r="38270" ht="14.25" customHeight="1">
      <c r="A38270" s="740"/>
    </row>
    <row r="38271" ht="14.25" customHeight="1">
      <c r="A38271" s="740"/>
    </row>
    <row r="38272" ht="14.25" customHeight="1">
      <c r="A38272" s="740"/>
    </row>
    <row r="38273" ht="14.25" customHeight="1">
      <c r="A38273" s="740"/>
    </row>
    <row r="38274" ht="14.25" customHeight="1">
      <c r="A38274" s="740"/>
    </row>
    <row r="38275" ht="14.25" customHeight="1">
      <c r="A38275" s="740"/>
    </row>
    <row r="38276" ht="14.25" customHeight="1">
      <c r="A38276" s="740"/>
    </row>
    <row r="38277" ht="14.25" customHeight="1">
      <c r="A38277" s="740"/>
    </row>
    <row r="38278" ht="14.25" customHeight="1">
      <c r="A38278" s="740"/>
    </row>
    <row r="38279" ht="14.25" customHeight="1">
      <c r="A38279" s="740"/>
    </row>
    <row r="38280" ht="14.25" customHeight="1">
      <c r="A38280" s="740"/>
    </row>
    <row r="38281" ht="14.25" customHeight="1">
      <c r="A38281" s="740"/>
    </row>
    <row r="38282" ht="14.25" customHeight="1">
      <c r="A38282" s="740"/>
    </row>
    <row r="38283" ht="14.25" customHeight="1">
      <c r="A38283" s="740"/>
    </row>
    <row r="38284" ht="14.25" customHeight="1">
      <c r="A38284" s="740"/>
    </row>
    <row r="38285" ht="14.25" customHeight="1">
      <c r="A38285" s="740"/>
    </row>
    <row r="38286" ht="14.25" customHeight="1">
      <c r="A38286" s="740"/>
    </row>
    <row r="38287" ht="14.25" customHeight="1">
      <c r="A38287" s="740"/>
    </row>
    <row r="38288" ht="14.25" customHeight="1">
      <c r="A38288" s="740"/>
    </row>
    <row r="38289" ht="14.25" customHeight="1">
      <c r="A38289" s="740"/>
    </row>
    <row r="38290" ht="14.25" customHeight="1">
      <c r="A38290" s="740"/>
    </row>
    <row r="38291" ht="14.25" customHeight="1">
      <c r="A38291" s="740"/>
    </row>
    <row r="38292" ht="14.25" customHeight="1">
      <c r="A38292" s="740"/>
    </row>
    <row r="38293" ht="14.25" customHeight="1">
      <c r="A38293" s="740"/>
    </row>
    <row r="38294" ht="14.25" customHeight="1">
      <c r="A38294" s="740"/>
    </row>
    <row r="38295" ht="14.25" customHeight="1">
      <c r="A38295" s="740"/>
    </row>
    <row r="38296" ht="14.25" customHeight="1">
      <c r="A38296" s="740"/>
    </row>
    <row r="38297" ht="14.25" customHeight="1">
      <c r="A38297" s="740"/>
    </row>
    <row r="38298" ht="14.25" customHeight="1">
      <c r="A38298" s="740"/>
    </row>
    <row r="38299" ht="14.25" customHeight="1">
      <c r="A38299" s="740"/>
    </row>
    <row r="38300" ht="14.25" customHeight="1">
      <c r="A38300" s="740"/>
    </row>
    <row r="38301" ht="14.25" customHeight="1">
      <c r="A38301" s="740"/>
    </row>
    <row r="38302" ht="14.25" customHeight="1">
      <c r="A38302" s="740"/>
    </row>
    <row r="38303" ht="14.25" customHeight="1">
      <c r="A38303" s="740"/>
    </row>
    <row r="38304" ht="14.25" customHeight="1">
      <c r="A38304" s="740"/>
    </row>
    <row r="38305" ht="14.25" customHeight="1">
      <c r="A38305" s="740"/>
    </row>
    <row r="38306" ht="14.25" customHeight="1">
      <c r="A38306" s="740"/>
    </row>
    <row r="38307" ht="14.25" customHeight="1">
      <c r="A38307" s="740"/>
    </row>
    <row r="38308" ht="14.25" customHeight="1">
      <c r="A38308" s="740"/>
    </row>
    <row r="38309" ht="14.25" customHeight="1">
      <c r="A38309" s="740"/>
    </row>
    <row r="38310" ht="14.25" customHeight="1">
      <c r="A38310" s="740"/>
    </row>
    <row r="38311" ht="14.25" customHeight="1">
      <c r="A38311" s="740"/>
    </row>
    <row r="38312" ht="14.25" customHeight="1">
      <c r="A38312" s="740"/>
    </row>
    <row r="38313" ht="14.25" customHeight="1">
      <c r="A38313" s="740"/>
    </row>
    <row r="38314" ht="14.25" customHeight="1">
      <c r="A38314" s="740"/>
    </row>
    <row r="38315" ht="14.25" customHeight="1">
      <c r="A38315" s="740"/>
    </row>
    <row r="38316" ht="14.25" customHeight="1">
      <c r="A38316" s="740"/>
    </row>
    <row r="38317" ht="14.25" customHeight="1">
      <c r="A38317" s="740"/>
    </row>
    <row r="38318" ht="14.25" customHeight="1">
      <c r="A38318" s="740"/>
    </row>
    <row r="38319" ht="14.25" customHeight="1">
      <c r="A38319" s="740"/>
    </row>
    <row r="38320" ht="14.25" customHeight="1">
      <c r="A38320" s="740"/>
    </row>
    <row r="38321" ht="14.25" customHeight="1">
      <c r="A38321" s="740"/>
    </row>
    <row r="38322" ht="14.25" customHeight="1">
      <c r="A38322" s="740"/>
    </row>
    <row r="38323" ht="14.25" customHeight="1">
      <c r="A38323" s="740"/>
    </row>
    <row r="38324" ht="14.25" customHeight="1">
      <c r="A38324" s="740"/>
    </row>
    <row r="38325" ht="14.25" customHeight="1">
      <c r="A38325" s="740"/>
    </row>
    <row r="38326" ht="14.25" customHeight="1">
      <c r="A38326" s="740"/>
    </row>
    <row r="38327" ht="14.25" customHeight="1">
      <c r="A38327" s="740"/>
    </row>
    <row r="38328" ht="14.25" customHeight="1">
      <c r="A38328" s="740"/>
    </row>
    <row r="38329" ht="14.25" customHeight="1">
      <c r="A38329" s="740"/>
    </row>
    <row r="38330" ht="14.25" customHeight="1">
      <c r="A38330" s="740"/>
    </row>
    <row r="38331" ht="14.25" customHeight="1">
      <c r="A38331" s="740"/>
    </row>
    <row r="38332" ht="14.25" customHeight="1">
      <c r="A38332" s="740"/>
    </row>
    <row r="38333" ht="14.25" customHeight="1">
      <c r="A38333" s="740"/>
    </row>
    <row r="38334" ht="14.25" customHeight="1">
      <c r="A38334" s="740"/>
    </row>
    <row r="38335" ht="14.25" customHeight="1">
      <c r="A38335" s="740"/>
    </row>
    <row r="38336" ht="14.25" customHeight="1">
      <c r="A38336" s="740"/>
    </row>
    <row r="38337" ht="14.25" customHeight="1">
      <c r="A38337" s="740"/>
    </row>
    <row r="38338" ht="14.25" customHeight="1">
      <c r="A38338" s="740"/>
    </row>
    <row r="38339" ht="14.25" customHeight="1">
      <c r="A38339" s="740"/>
    </row>
    <row r="38340" ht="14.25" customHeight="1">
      <c r="A38340" s="740"/>
    </row>
    <row r="38341" ht="14.25" customHeight="1">
      <c r="A38341" s="740"/>
    </row>
    <row r="38342" ht="14.25" customHeight="1">
      <c r="A38342" s="740"/>
    </row>
    <row r="38343" ht="14.25" customHeight="1">
      <c r="A38343" s="740"/>
    </row>
    <row r="38344" ht="14.25" customHeight="1">
      <c r="A38344" s="740"/>
    </row>
    <row r="38345" ht="14.25" customHeight="1">
      <c r="A38345" s="740"/>
    </row>
    <row r="38346" ht="14.25" customHeight="1">
      <c r="A38346" s="740"/>
    </row>
    <row r="38347" ht="14.25" customHeight="1">
      <c r="A38347" s="740"/>
    </row>
    <row r="38348" ht="14.25" customHeight="1">
      <c r="A38348" s="740"/>
    </row>
    <row r="38349" ht="14.25" customHeight="1">
      <c r="A38349" s="740"/>
    </row>
    <row r="38350" ht="14.25" customHeight="1">
      <c r="A38350" s="740"/>
    </row>
    <row r="38351" ht="14.25" customHeight="1">
      <c r="A38351" s="740"/>
    </row>
    <row r="38352" ht="14.25" customHeight="1">
      <c r="A38352" s="740"/>
    </row>
    <row r="38353" ht="14.25" customHeight="1">
      <c r="A38353" s="740"/>
    </row>
    <row r="38354" ht="14.25" customHeight="1">
      <c r="A38354" s="740"/>
    </row>
    <row r="38355" ht="14.25" customHeight="1">
      <c r="A38355" s="740"/>
    </row>
    <row r="38356" ht="14.25" customHeight="1">
      <c r="A38356" s="740"/>
    </row>
    <row r="38357" ht="14.25" customHeight="1">
      <c r="A38357" s="740"/>
    </row>
    <row r="38358" ht="14.25" customHeight="1">
      <c r="A38358" s="740"/>
    </row>
    <row r="38359" ht="14.25" customHeight="1">
      <c r="A38359" s="740"/>
    </row>
    <row r="38360" ht="14.25" customHeight="1">
      <c r="A38360" s="740"/>
    </row>
    <row r="38361" ht="14.25" customHeight="1">
      <c r="A38361" s="740"/>
    </row>
    <row r="38362" ht="14.25" customHeight="1">
      <c r="A38362" s="740"/>
    </row>
    <row r="38363" ht="14.25" customHeight="1">
      <c r="A38363" s="740"/>
    </row>
    <row r="38364" ht="14.25" customHeight="1">
      <c r="A38364" s="740"/>
    </row>
    <row r="38365" ht="14.25" customHeight="1">
      <c r="A38365" s="740"/>
    </row>
    <row r="38366" ht="14.25" customHeight="1">
      <c r="A38366" s="740"/>
    </row>
    <row r="38367" ht="14.25" customHeight="1">
      <c r="A38367" s="740"/>
    </row>
    <row r="38368" ht="14.25" customHeight="1">
      <c r="A38368" s="740"/>
    </row>
    <row r="38369" ht="14.25" customHeight="1">
      <c r="A38369" s="740"/>
    </row>
    <row r="38370" ht="14.25" customHeight="1">
      <c r="A38370" s="740"/>
    </row>
    <row r="38371" ht="14.25" customHeight="1">
      <c r="A38371" s="740"/>
    </row>
    <row r="38372" ht="14.25" customHeight="1">
      <c r="A38372" s="740"/>
    </row>
    <row r="38373" ht="14.25" customHeight="1">
      <c r="A38373" s="740"/>
    </row>
    <row r="38374" ht="14.25" customHeight="1">
      <c r="A38374" s="740"/>
    </row>
    <row r="38375" ht="14.25" customHeight="1">
      <c r="A38375" s="740"/>
    </row>
    <row r="38376" ht="14.25" customHeight="1">
      <c r="A38376" s="740"/>
    </row>
    <row r="38377" ht="14.25" customHeight="1">
      <c r="A38377" s="740"/>
    </row>
    <row r="38378" ht="14.25" customHeight="1">
      <c r="A38378" s="740"/>
    </row>
    <row r="38379" ht="14.25" customHeight="1">
      <c r="A38379" s="740"/>
    </row>
    <row r="38380" ht="14.25" customHeight="1">
      <c r="A38380" s="740"/>
    </row>
    <row r="38381" ht="14.25" customHeight="1">
      <c r="A38381" s="740"/>
    </row>
    <row r="38382" ht="14.25" customHeight="1">
      <c r="A38382" s="740"/>
    </row>
    <row r="38383" ht="14.25" customHeight="1">
      <c r="A38383" s="740"/>
    </row>
    <row r="38384" ht="14.25" customHeight="1">
      <c r="A38384" s="740"/>
    </row>
    <row r="38385" ht="14.25" customHeight="1">
      <c r="A38385" s="740"/>
    </row>
    <row r="38386" ht="14.25" customHeight="1">
      <c r="A38386" s="740"/>
    </row>
    <row r="38387" ht="14.25" customHeight="1">
      <c r="A38387" s="740"/>
    </row>
    <row r="38388" ht="14.25" customHeight="1">
      <c r="A38388" s="740"/>
    </row>
    <row r="38389" ht="14.25" customHeight="1">
      <c r="A38389" s="740"/>
    </row>
    <row r="38390" ht="14.25" customHeight="1">
      <c r="A38390" s="740"/>
    </row>
    <row r="38391" ht="14.25" customHeight="1">
      <c r="A38391" s="740"/>
    </row>
    <row r="38392" ht="14.25" customHeight="1">
      <c r="A38392" s="740"/>
    </row>
    <row r="38393" ht="14.25" customHeight="1">
      <c r="A38393" s="740"/>
    </row>
    <row r="38394" ht="14.25" customHeight="1">
      <c r="A38394" s="740"/>
    </row>
    <row r="38395" ht="14.25" customHeight="1">
      <c r="A38395" s="740"/>
    </row>
    <row r="38396" ht="14.25" customHeight="1">
      <c r="A38396" s="740"/>
    </row>
    <row r="38397" ht="14.25" customHeight="1">
      <c r="A38397" s="740"/>
    </row>
    <row r="38398" ht="14.25" customHeight="1">
      <c r="A38398" s="740"/>
    </row>
    <row r="38399" ht="14.25" customHeight="1">
      <c r="A38399" s="740"/>
    </row>
    <row r="38400" ht="14.25" customHeight="1">
      <c r="A38400" s="740"/>
    </row>
    <row r="38401" ht="14.25" customHeight="1">
      <c r="A38401" s="740"/>
    </row>
    <row r="38402" ht="14.25" customHeight="1">
      <c r="A38402" s="740"/>
    </row>
    <row r="38403" ht="14.25" customHeight="1">
      <c r="A38403" s="740"/>
    </row>
    <row r="38404" ht="14.25" customHeight="1">
      <c r="A38404" s="740"/>
    </row>
    <row r="38405" ht="14.25" customHeight="1">
      <c r="A38405" s="740"/>
    </row>
    <row r="38406" ht="14.25" customHeight="1">
      <c r="A38406" s="740"/>
    </row>
    <row r="38407" ht="14.25" customHeight="1">
      <c r="A38407" s="740"/>
    </row>
    <row r="38408" ht="14.25" customHeight="1">
      <c r="A38408" s="740"/>
    </row>
    <row r="38409" ht="14.25" customHeight="1">
      <c r="A38409" s="740"/>
    </row>
    <row r="38410" ht="14.25" customHeight="1">
      <c r="A38410" s="740"/>
    </row>
    <row r="38411" ht="14.25" customHeight="1">
      <c r="A38411" s="740"/>
    </row>
    <row r="38412" ht="14.25" customHeight="1">
      <c r="A38412" s="740"/>
    </row>
    <row r="38413" ht="14.25" customHeight="1">
      <c r="A38413" s="740"/>
    </row>
    <row r="38414" ht="14.25" customHeight="1">
      <c r="A38414" s="740"/>
    </row>
    <row r="38415" ht="14.25" customHeight="1">
      <c r="A38415" s="740"/>
    </row>
    <row r="38416" ht="14.25" customHeight="1">
      <c r="A38416" s="740"/>
    </row>
    <row r="38417" ht="14.25" customHeight="1">
      <c r="A38417" s="740"/>
    </row>
    <row r="38418" ht="14.25" customHeight="1">
      <c r="A38418" s="740"/>
    </row>
    <row r="38419" ht="14.25" customHeight="1">
      <c r="A38419" s="740"/>
    </row>
    <row r="38420" ht="14.25" customHeight="1">
      <c r="A38420" s="740"/>
    </row>
    <row r="38421" ht="14.25" customHeight="1">
      <c r="A38421" s="740"/>
    </row>
    <row r="38422" ht="14.25" customHeight="1">
      <c r="A38422" s="740"/>
    </row>
    <row r="38423" ht="14.25" customHeight="1">
      <c r="A38423" s="740"/>
    </row>
    <row r="38424" ht="14.25" customHeight="1">
      <c r="A38424" s="740"/>
    </row>
    <row r="38425" ht="14.25" customHeight="1">
      <c r="A38425" s="740"/>
    </row>
    <row r="38426" ht="14.25" customHeight="1">
      <c r="A38426" s="740"/>
    </row>
    <row r="38427" ht="14.25" customHeight="1">
      <c r="A38427" s="740"/>
    </row>
    <row r="38428" ht="14.25" customHeight="1">
      <c r="A38428" s="740"/>
    </row>
    <row r="38429" ht="14.25" customHeight="1">
      <c r="A38429" s="740"/>
    </row>
    <row r="38430" ht="14.25" customHeight="1">
      <c r="A38430" s="740"/>
    </row>
    <row r="38431" ht="14.25" customHeight="1">
      <c r="A38431" s="740"/>
    </row>
    <row r="38432" ht="14.25" customHeight="1">
      <c r="A38432" s="740"/>
    </row>
    <row r="38433" ht="14.25" customHeight="1">
      <c r="A38433" s="740"/>
    </row>
    <row r="38434" ht="14.25" customHeight="1">
      <c r="A38434" s="740"/>
    </row>
    <row r="38435" ht="14.25" customHeight="1">
      <c r="A38435" s="740"/>
    </row>
    <row r="38436" ht="14.25" customHeight="1">
      <c r="A38436" s="740"/>
    </row>
    <row r="38437" ht="14.25" customHeight="1">
      <c r="A38437" s="740"/>
    </row>
    <row r="38438" ht="14.25" customHeight="1">
      <c r="A38438" s="740"/>
    </row>
    <row r="38439" ht="14.25" customHeight="1">
      <c r="A38439" s="740"/>
    </row>
    <row r="38440" ht="14.25" customHeight="1">
      <c r="A38440" s="740"/>
    </row>
    <row r="38441" ht="14.25" customHeight="1">
      <c r="A38441" s="740"/>
    </row>
    <row r="38442" ht="14.25" customHeight="1">
      <c r="A38442" s="740"/>
    </row>
    <row r="38443" ht="14.25" customHeight="1">
      <c r="A38443" s="740"/>
    </row>
    <row r="38444" ht="14.25" customHeight="1">
      <c r="A38444" s="740"/>
    </row>
    <row r="38445" ht="14.25" customHeight="1">
      <c r="A38445" s="740"/>
    </row>
    <row r="38446" ht="14.25" customHeight="1">
      <c r="A38446" s="740"/>
    </row>
    <row r="38447" ht="14.25" customHeight="1">
      <c r="A38447" s="740"/>
    </row>
    <row r="38448" ht="14.25" customHeight="1">
      <c r="A38448" s="740"/>
    </row>
    <row r="38449" ht="14.25" customHeight="1">
      <c r="A38449" s="740"/>
    </row>
    <row r="38450" ht="14.25" customHeight="1">
      <c r="A38450" s="740"/>
    </row>
    <row r="38451" ht="14.25" customHeight="1">
      <c r="A38451" s="740"/>
    </row>
    <row r="38452" ht="14.25" customHeight="1">
      <c r="A38452" s="740"/>
    </row>
    <row r="38453" ht="14.25" customHeight="1">
      <c r="A38453" s="740"/>
    </row>
    <row r="38454" ht="14.25" customHeight="1">
      <c r="A38454" s="740"/>
    </row>
    <row r="38455" ht="14.25" customHeight="1">
      <c r="A38455" s="740"/>
    </row>
    <row r="38456" ht="14.25" customHeight="1">
      <c r="A38456" s="740"/>
    </row>
    <row r="38457" ht="14.25" customHeight="1">
      <c r="A38457" s="740"/>
    </row>
    <row r="38458" ht="14.25" customHeight="1">
      <c r="A38458" s="740"/>
    </row>
    <row r="38459" ht="14.25" customHeight="1">
      <c r="A38459" s="740"/>
    </row>
    <row r="38460" ht="14.25" customHeight="1">
      <c r="A38460" s="740"/>
    </row>
    <row r="38461" ht="14.25" customHeight="1">
      <c r="A38461" s="740"/>
    </row>
    <row r="38462" ht="14.25" customHeight="1">
      <c r="A38462" s="740"/>
    </row>
    <row r="38463" ht="14.25" customHeight="1">
      <c r="A38463" s="740"/>
    </row>
    <row r="38464" ht="14.25" customHeight="1">
      <c r="A38464" s="740"/>
    </row>
    <row r="38465" ht="14.25" customHeight="1">
      <c r="A38465" s="740"/>
    </row>
    <row r="38466" ht="14.25" customHeight="1">
      <c r="A38466" s="740"/>
    </row>
    <row r="38467" ht="14.25" customHeight="1">
      <c r="A38467" s="740"/>
    </row>
    <row r="38468" ht="14.25" customHeight="1">
      <c r="A38468" s="740"/>
    </row>
    <row r="38469" ht="14.25" customHeight="1">
      <c r="A38469" s="740"/>
    </row>
    <row r="38470" ht="14.25" customHeight="1">
      <c r="A38470" s="740"/>
    </row>
    <row r="38471" ht="14.25" customHeight="1">
      <c r="A38471" s="740"/>
    </row>
    <row r="38472" ht="14.25" customHeight="1">
      <c r="A38472" s="740"/>
    </row>
    <row r="38473" ht="14.25" customHeight="1">
      <c r="A38473" s="740"/>
    </row>
    <row r="38474" ht="14.25" customHeight="1">
      <c r="A38474" s="740"/>
    </row>
    <row r="38475" ht="14.25" customHeight="1">
      <c r="A38475" s="740"/>
    </row>
    <row r="38476" ht="14.25" customHeight="1">
      <c r="A38476" s="740"/>
    </row>
    <row r="38477" ht="14.25" customHeight="1">
      <c r="A38477" s="740"/>
    </row>
    <row r="38478" ht="14.25" customHeight="1">
      <c r="A38478" s="740"/>
    </row>
    <row r="38479" ht="14.25" customHeight="1">
      <c r="A38479" s="740"/>
    </row>
    <row r="38480" ht="14.25" customHeight="1">
      <c r="A38480" s="740"/>
    </row>
    <row r="38481" ht="14.25" customHeight="1">
      <c r="A38481" s="740"/>
    </row>
    <row r="38482" ht="14.25" customHeight="1">
      <c r="A38482" s="740"/>
    </row>
    <row r="38483" ht="14.25" customHeight="1">
      <c r="A38483" s="740"/>
    </row>
    <row r="38484" ht="14.25" customHeight="1">
      <c r="A38484" s="740"/>
    </row>
    <row r="38485" ht="14.25" customHeight="1">
      <c r="A38485" s="740"/>
    </row>
    <row r="38486" ht="14.25" customHeight="1">
      <c r="A38486" s="740"/>
    </row>
    <row r="38487" ht="14.25" customHeight="1">
      <c r="A38487" s="740"/>
    </row>
    <row r="38488" ht="14.25" customHeight="1">
      <c r="A38488" s="740"/>
    </row>
    <row r="38489" ht="14.25" customHeight="1">
      <c r="A38489" s="740"/>
    </row>
    <row r="38490" ht="14.25" customHeight="1">
      <c r="A38490" s="740"/>
    </row>
    <row r="38491" ht="14.25" customHeight="1">
      <c r="A38491" s="740"/>
    </row>
    <row r="38492" ht="14.25" customHeight="1">
      <c r="A38492" s="740"/>
    </row>
    <row r="38493" ht="14.25" customHeight="1">
      <c r="A38493" s="740"/>
    </row>
    <row r="38494" ht="14.25" customHeight="1">
      <c r="A38494" s="740"/>
    </row>
    <row r="38495" ht="14.25" customHeight="1">
      <c r="A38495" s="740"/>
    </row>
    <row r="38496" ht="14.25" customHeight="1">
      <c r="A38496" s="740"/>
    </row>
    <row r="38497" ht="14.25" customHeight="1">
      <c r="A38497" s="740"/>
    </row>
    <row r="38498" ht="14.25" customHeight="1">
      <c r="A38498" s="740"/>
    </row>
    <row r="38499" ht="14.25" customHeight="1">
      <c r="A38499" s="740"/>
    </row>
    <row r="38500" ht="14.25" customHeight="1">
      <c r="A38500" s="740"/>
    </row>
    <row r="38501" ht="14.25" customHeight="1">
      <c r="A38501" s="740"/>
    </row>
    <row r="38502" ht="14.25" customHeight="1">
      <c r="A38502" s="740"/>
    </row>
    <row r="38503" ht="14.25" customHeight="1">
      <c r="A38503" s="740"/>
    </row>
    <row r="38504" ht="14.25" customHeight="1">
      <c r="A38504" s="740"/>
    </row>
    <row r="38505" ht="14.25" customHeight="1">
      <c r="A38505" s="740"/>
    </row>
    <row r="38506" ht="14.25" customHeight="1">
      <c r="A38506" s="740"/>
    </row>
    <row r="38507" ht="14.25" customHeight="1">
      <c r="A38507" s="740"/>
    </row>
    <row r="38508" ht="14.25" customHeight="1">
      <c r="A38508" s="740"/>
    </row>
    <row r="38509" ht="14.25" customHeight="1">
      <c r="A38509" s="740"/>
    </row>
    <row r="38510" ht="14.25" customHeight="1">
      <c r="A38510" s="740"/>
    </row>
    <row r="38511" ht="14.25" customHeight="1">
      <c r="A38511" s="740"/>
    </row>
    <row r="38512" ht="14.25" customHeight="1">
      <c r="A38512" s="740"/>
    </row>
    <row r="38513" ht="14.25" customHeight="1">
      <c r="A38513" s="740"/>
    </row>
    <row r="38514" ht="14.25" customHeight="1">
      <c r="A38514" s="740"/>
    </row>
    <row r="38515" ht="14.25" customHeight="1">
      <c r="A38515" s="740"/>
    </row>
    <row r="38516" ht="14.25" customHeight="1">
      <c r="A38516" s="740"/>
    </row>
    <row r="38517" ht="14.25" customHeight="1">
      <c r="A38517" s="740"/>
    </row>
    <row r="38518" ht="14.25" customHeight="1">
      <c r="A38518" s="740"/>
    </row>
    <row r="38519" ht="14.25" customHeight="1">
      <c r="A38519" s="740"/>
    </row>
    <row r="38520" ht="14.25" customHeight="1">
      <c r="A38520" s="740"/>
    </row>
    <row r="38521" ht="14.25" customHeight="1">
      <c r="A38521" s="740"/>
    </row>
    <row r="38522" ht="14.25" customHeight="1">
      <c r="A38522" s="740"/>
    </row>
    <row r="38523" ht="14.25" customHeight="1">
      <c r="A38523" s="740"/>
    </row>
    <row r="38524" ht="14.25" customHeight="1">
      <c r="A38524" s="740"/>
    </row>
    <row r="38525" ht="14.25" customHeight="1">
      <c r="A38525" s="740"/>
    </row>
    <row r="38526" ht="14.25" customHeight="1">
      <c r="A38526" s="740"/>
    </row>
    <row r="38527" ht="14.25" customHeight="1">
      <c r="A38527" s="740"/>
    </row>
    <row r="38528" ht="14.25" customHeight="1">
      <c r="A38528" s="740"/>
    </row>
    <row r="38529" ht="14.25" customHeight="1">
      <c r="A38529" s="740"/>
    </row>
    <row r="38530" ht="14.25" customHeight="1">
      <c r="A38530" s="740"/>
    </row>
    <row r="38531" ht="14.25" customHeight="1">
      <c r="A38531" s="740"/>
    </row>
    <row r="38532" ht="14.25" customHeight="1">
      <c r="A38532" s="740"/>
    </row>
    <row r="38533" ht="14.25" customHeight="1">
      <c r="A38533" s="740"/>
    </row>
    <row r="38534" ht="14.25" customHeight="1">
      <c r="A38534" s="740"/>
    </row>
    <row r="38535" ht="14.25" customHeight="1">
      <c r="A38535" s="740"/>
    </row>
    <row r="38536" ht="14.25" customHeight="1">
      <c r="A38536" s="740"/>
    </row>
    <row r="38537" ht="14.25" customHeight="1">
      <c r="A38537" s="740"/>
    </row>
    <row r="38538" ht="14.25" customHeight="1">
      <c r="A38538" s="740"/>
    </row>
    <row r="38539" ht="14.25" customHeight="1">
      <c r="A38539" s="740"/>
    </row>
    <row r="38540" ht="14.25" customHeight="1">
      <c r="A38540" s="740"/>
    </row>
    <row r="38541" ht="14.25" customHeight="1">
      <c r="A38541" s="740"/>
    </row>
    <row r="38542" ht="14.25" customHeight="1">
      <c r="A38542" s="740"/>
    </row>
    <row r="38543" ht="14.25" customHeight="1">
      <c r="A38543" s="740"/>
    </row>
    <row r="38544" ht="14.25" customHeight="1">
      <c r="A38544" s="740"/>
    </row>
    <row r="38545" ht="14.25" customHeight="1">
      <c r="A38545" s="740"/>
    </row>
    <row r="38546" ht="14.25" customHeight="1">
      <c r="A38546" s="740"/>
    </row>
    <row r="38547" ht="14.25" customHeight="1">
      <c r="A38547" s="740"/>
    </row>
    <row r="38548" ht="14.25" customHeight="1">
      <c r="A38548" s="740"/>
    </row>
    <row r="38549" ht="14.25" customHeight="1">
      <c r="A38549" s="740"/>
    </row>
    <row r="38550" ht="14.25" customHeight="1">
      <c r="A38550" s="740"/>
    </row>
    <row r="38551" ht="14.25" customHeight="1">
      <c r="A38551" s="740"/>
    </row>
    <row r="38552" ht="14.25" customHeight="1">
      <c r="A38552" s="740"/>
    </row>
    <row r="38553" ht="14.25" customHeight="1">
      <c r="A38553" s="740"/>
    </row>
    <row r="38554" ht="14.25" customHeight="1">
      <c r="A38554" s="740"/>
    </row>
    <row r="38555" ht="14.25" customHeight="1">
      <c r="A38555" s="740"/>
    </row>
    <row r="38556" ht="14.25" customHeight="1">
      <c r="A38556" s="740"/>
    </row>
    <row r="38557" ht="14.25" customHeight="1">
      <c r="A38557" s="740"/>
    </row>
    <row r="38558" ht="14.25" customHeight="1">
      <c r="A38558" s="740"/>
    </row>
    <row r="38559" ht="14.25" customHeight="1">
      <c r="A38559" s="740"/>
    </row>
    <row r="38560" ht="14.25" customHeight="1">
      <c r="A38560" s="740"/>
    </row>
    <row r="38561" ht="14.25" customHeight="1">
      <c r="A38561" s="740"/>
    </row>
    <row r="38562" ht="14.25" customHeight="1">
      <c r="A38562" s="740"/>
    </row>
    <row r="38563" ht="14.25" customHeight="1">
      <c r="A38563" s="740"/>
    </row>
    <row r="38564" ht="14.25" customHeight="1">
      <c r="A38564" s="740"/>
    </row>
    <row r="38565" ht="14.25" customHeight="1">
      <c r="A38565" s="740"/>
    </row>
    <row r="38566" ht="14.25" customHeight="1">
      <c r="A38566" s="740"/>
    </row>
    <row r="38567" ht="14.25" customHeight="1">
      <c r="A38567" s="740"/>
    </row>
    <row r="38568" ht="14.25" customHeight="1">
      <c r="A38568" s="740"/>
    </row>
    <row r="38569" ht="14.25" customHeight="1">
      <c r="A38569" s="740"/>
    </row>
    <row r="38570" ht="14.25" customHeight="1">
      <c r="A38570" s="740"/>
    </row>
    <row r="38571" ht="14.25" customHeight="1">
      <c r="A38571" s="740"/>
    </row>
    <row r="38572" ht="14.25" customHeight="1">
      <c r="A38572" s="740"/>
    </row>
    <row r="38573" ht="14.25" customHeight="1">
      <c r="A38573" s="740"/>
    </row>
    <row r="38574" ht="14.25" customHeight="1">
      <c r="A38574" s="740"/>
    </row>
    <row r="38575" ht="14.25" customHeight="1">
      <c r="A38575" s="740"/>
    </row>
    <row r="38576" ht="14.25" customHeight="1">
      <c r="A38576" s="740"/>
    </row>
    <row r="38577" ht="14.25" customHeight="1">
      <c r="A38577" s="740"/>
    </row>
    <row r="38578" ht="14.25" customHeight="1">
      <c r="A38578" s="740"/>
    </row>
    <row r="38579" ht="14.25" customHeight="1">
      <c r="A38579" s="740"/>
    </row>
    <row r="38580" ht="14.25" customHeight="1">
      <c r="A38580" s="740"/>
    </row>
    <row r="38581" ht="14.25" customHeight="1">
      <c r="A38581" s="740"/>
    </row>
    <row r="38582" ht="14.25" customHeight="1">
      <c r="A38582" s="740"/>
    </row>
    <row r="38583" ht="14.25" customHeight="1">
      <c r="A38583" s="740"/>
    </row>
    <row r="38584" ht="14.25" customHeight="1">
      <c r="A38584" s="740"/>
    </row>
    <row r="38585" ht="14.25" customHeight="1">
      <c r="A38585" s="740"/>
    </row>
    <row r="38586" ht="14.25" customHeight="1">
      <c r="A38586" s="740"/>
    </row>
    <row r="38587" ht="14.25" customHeight="1">
      <c r="A38587" s="740"/>
    </row>
    <row r="38588" ht="14.25" customHeight="1">
      <c r="A38588" s="740"/>
    </row>
    <row r="38589" ht="14.25" customHeight="1">
      <c r="A38589" s="740"/>
    </row>
    <row r="38590" ht="14.25" customHeight="1">
      <c r="A38590" s="740"/>
    </row>
    <row r="38591" ht="14.25" customHeight="1">
      <c r="A38591" s="740"/>
    </row>
    <row r="38592" ht="14.25" customHeight="1">
      <c r="A38592" s="740"/>
    </row>
    <row r="38593" ht="14.25" customHeight="1">
      <c r="A38593" s="740"/>
    </row>
    <row r="38594" ht="14.25" customHeight="1">
      <c r="A38594" s="740"/>
    </row>
    <row r="38595" ht="14.25" customHeight="1">
      <c r="A38595" s="740"/>
    </row>
    <row r="38596" ht="14.25" customHeight="1">
      <c r="A38596" s="740"/>
    </row>
    <row r="38597" ht="14.25" customHeight="1">
      <c r="A38597" s="740"/>
    </row>
    <row r="38598" ht="14.25" customHeight="1">
      <c r="A38598" s="740"/>
    </row>
    <row r="38599" ht="14.25" customHeight="1">
      <c r="A38599" s="740"/>
    </row>
    <row r="38600" ht="14.25" customHeight="1">
      <c r="A38600" s="740"/>
    </row>
    <row r="38601" ht="14.25" customHeight="1">
      <c r="A38601" s="740"/>
    </row>
    <row r="38602" ht="14.25" customHeight="1">
      <c r="A38602" s="740"/>
    </row>
    <row r="38603" ht="14.25" customHeight="1">
      <c r="A38603" s="740"/>
    </row>
    <row r="38604" ht="14.25" customHeight="1">
      <c r="A38604" s="740"/>
    </row>
    <row r="38605" ht="14.25" customHeight="1">
      <c r="A38605" s="740"/>
    </row>
    <row r="38606" ht="14.25" customHeight="1">
      <c r="A38606" s="740"/>
    </row>
    <row r="38607" ht="14.25" customHeight="1">
      <c r="A38607" s="740"/>
    </row>
    <row r="38608" ht="14.25" customHeight="1">
      <c r="A38608" s="740"/>
    </row>
    <row r="38609" ht="14.25" customHeight="1">
      <c r="A38609" s="740"/>
    </row>
    <row r="38610" ht="14.25" customHeight="1">
      <c r="A38610" s="740"/>
    </row>
    <row r="38611" ht="14.25" customHeight="1">
      <c r="A38611" s="740"/>
    </row>
    <row r="38612" ht="14.25" customHeight="1">
      <c r="A38612" s="740"/>
    </row>
    <row r="38613" ht="14.25" customHeight="1">
      <c r="A38613" s="740"/>
    </row>
    <row r="38614" ht="14.25" customHeight="1">
      <c r="A38614" s="740"/>
    </row>
    <row r="38615" ht="14.25" customHeight="1">
      <c r="A38615" s="740"/>
    </row>
    <row r="38616" ht="14.25" customHeight="1">
      <c r="A38616" s="740"/>
    </row>
    <row r="38617" ht="14.25" customHeight="1">
      <c r="A38617" s="740"/>
    </row>
    <row r="38618" ht="14.25" customHeight="1">
      <c r="A38618" s="740"/>
    </row>
    <row r="38619" ht="14.25" customHeight="1">
      <c r="A38619" s="740"/>
    </row>
    <row r="38620" ht="14.25" customHeight="1">
      <c r="A38620" s="740"/>
    </row>
    <row r="38621" ht="14.25" customHeight="1">
      <c r="A38621" s="740"/>
    </row>
    <row r="38622" ht="14.25" customHeight="1">
      <c r="A38622" s="740"/>
    </row>
    <row r="38623" ht="14.25" customHeight="1">
      <c r="A38623" s="740"/>
    </row>
    <row r="38624" ht="14.25" customHeight="1">
      <c r="A38624" s="740"/>
    </row>
    <row r="38625" ht="14.25" customHeight="1">
      <c r="A38625" s="740"/>
    </row>
    <row r="38626" ht="14.25" customHeight="1">
      <c r="A38626" s="740"/>
    </row>
    <row r="38627" ht="14.25" customHeight="1">
      <c r="A38627" s="740"/>
    </row>
    <row r="38628" ht="14.25" customHeight="1">
      <c r="A38628" s="740"/>
    </row>
    <row r="38629" ht="14.25" customHeight="1">
      <c r="A38629" s="740"/>
    </row>
    <row r="38630" ht="14.25" customHeight="1">
      <c r="A38630" s="740"/>
    </row>
    <row r="38631" ht="14.25" customHeight="1">
      <c r="A38631" s="740"/>
    </row>
    <row r="38632" ht="14.25" customHeight="1">
      <c r="A38632" s="740"/>
    </row>
    <row r="38633" ht="14.25" customHeight="1">
      <c r="A38633" s="740"/>
    </row>
    <row r="38634" ht="14.25" customHeight="1">
      <c r="A38634" s="740"/>
    </row>
    <row r="38635" ht="14.25" customHeight="1">
      <c r="A38635" s="740"/>
    </row>
    <row r="38636" ht="14.25" customHeight="1">
      <c r="A38636" s="740"/>
    </row>
    <row r="38637" ht="14.25" customHeight="1">
      <c r="A38637" s="740"/>
    </row>
    <row r="38638" ht="14.25" customHeight="1">
      <c r="A38638" s="740"/>
    </row>
    <row r="38639" ht="14.25" customHeight="1">
      <c r="A38639" s="740"/>
    </row>
    <row r="38640" ht="14.25" customHeight="1">
      <c r="A38640" s="740"/>
    </row>
    <row r="38641" ht="14.25" customHeight="1">
      <c r="A38641" s="740"/>
    </row>
    <row r="38642" ht="14.25" customHeight="1">
      <c r="A38642" s="740"/>
    </row>
    <row r="38643" ht="14.25" customHeight="1">
      <c r="A38643" s="740"/>
    </row>
    <row r="38644" ht="14.25" customHeight="1">
      <c r="A38644" s="740"/>
    </row>
    <row r="38645" ht="14.25" customHeight="1">
      <c r="A38645" s="740"/>
    </row>
    <row r="38646" ht="14.25" customHeight="1">
      <c r="A38646" s="740"/>
    </row>
    <row r="38647" ht="14.25" customHeight="1">
      <c r="A38647" s="740"/>
    </row>
    <row r="38648" ht="14.25" customHeight="1">
      <c r="A38648" s="740"/>
    </row>
    <row r="38649" ht="14.25" customHeight="1">
      <c r="A38649" s="740"/>
    </row>
    <row r="38650" ht="14.25" customHeight="1">
      <c r="A38650" s="740"/>
    </row>
    <row r="38651" ht="14.25" customHeight="1">
      <c r="A38651" s="740"/>
    </row>
    <row r="38652" ht="14.25" customHeight="1">
      <c r="A38652" s="740"/>
    </row>
    <row r="38653" ht="14.25" customHeight="1">
      <c r="A38653" s="740"/>
    </row>
    <row r="38654" ht="14.25" customHeight="1">
      <c r="A38654" s="740"/>
    </row>
    <row r="38655" ht="14.25" customHeight="1">
      <c r="A38655" s="740"/>
    </row>
    <row r="38656" ht="14.25" customHeight="1">
      <c r="A38656" s="740"/>
    </row>
    <row r="38657" ht="14.25" customHeight="1">
      <c r="A38657" s="740"/>
    </row>
    <row r="38658" ht="14.25" customHeight="1">
      <c r="A38658" s="740"/>
    </row>
    <row r="38659" ht="14.25" customHeight="1">
      <c r="A38659" s="740"/>
    </row>
    <row r="38660" ht="14.25" customHeight="1">
      <c r="A38660" s="740"/>
    </row>
    <row r="38661" ht="14.25" customHeight="1">
      <c r="A38661" s="740"/>
    </row>
    <row r="38662" ht="14.25" customHeight="1">
      <c r="A38662" s="740"/>
    </row>
    <row r="38663" ht="14.25" customHeight="1">
      <c r="A38663" s="740"/>
    </row>
    <row r="38664" ht="14.25" customHeight="1">
      <c r="A38664" s="740"/>
    </row>
    <row r="38665" ht="14.25" customHeight="1">
      <c r="A38665" s="740"/>
    </row>
    <row r="38666" ht="14.25" customHeight="1">
      <c r="A38666" s="740"/>
    </row>
    <row r="38667" ht="14.25" customHeight="1">
      <c r="A38667" s="740"/>
    </row>
    <row r="38668" ht="14.25" customHeight="1">
      <c r="A38668" s="740"/>
    </row>
    <row r="38669" ht="14.25" customHeight="1">
      <c r="A38669" s="740"/>
    </row>
    <row r="38670" ht="14.25" customHeight="1">
      <c r="A38670" s="740"/>
    </row>
    <row r="38671" ht="14.25" customHeight="1">
      <c r="A38671" s="740"/>
    </row>
    <row r="38672" ht="14.25" customHeight="1">
      <c r="A38672" s="740"/>
    </row>
    <row r="38673" ht="14.25" customHeight="1">
      <c r="A38673" s="740"/>
    </row>
    <row r="38674" ht="14.25" customHeight="1">
      <c r="A38674" s="740"/>
    </row>
    <row r="38675" ht="14.25" customHeight="1">
      <c r="A38675" s="740"/>
    </row>
    <row r="38676" ht="14.25" customHeight="1">
      <c r="A38676" s="740"/>
    </row>
    <row r="38677" ht="14.25" customHeight="1">
      <c r="A38677" s="740"/>
    </row>
    <row r="38678" ht="14.25" customHeight="1">
      <c r="A38678" s="740"/>
    </row>
    <row r="38679" ht="14.25" customHeight="1">
      <c r="A38679" s="740"/>
    </row>
    <row r="38680" ht="14.25" customHeight="1">
      <c r="A38680" s="740"/>
    </row>
    <row r="38681" ht="14.25" customHeight="1">
      <c r="A38681" s="740"/>
    </row>
    <row r="38682" ht="14.25" customHeight="1">
      <c r="A38682" s="740"/>
    </row>
    <row r="38683" ht="14.25" customHeight="1">
      <c r="A38683" s="740"/>
    </row>
    <row r="38684" ht="14.25" customHeight="1">
      <c r="A38684" s="740"/>
    </row>
    <row r="38685" ht="14.25" customHeight="1">
      <c r="A38685" s="740"/>
    </row>
    <row r="38686" ht="14.25" customHeight="1">
      <c r="A38686" s="740"/>
    </row>
    <row r="38687" ht="14.25" customHeight="1">
      <c r="A38687" s="740"/>
    </row>
    <row r="38688" ht="14.25" customHeight="1">
      <c r="A38688" s="740"/>
    </row>
    <row r="38689" ht="14.25" customHeight="1">
      <c r="A38689" s="740"/>
    </row>
    <row r="38690" ht="14.25" customHeight="1">
      <c r="A38690" s="740"/>
    </row>
    <row r="38691" ht="14.25" customHeight="1">
      <c r="A38691" s="740"/>
    </row>
    <row r="38692" ht="14.25" customHeight="1">
      <c r="A38692" s="740"/>
    </row>
    <row r="38693" ht="14.25" customHeight="1">
      <c r="A38693" s="740"/>
    </row>
    <row r="38694" ht="14.25" customHeight="1">
      <c r="A38694" s="740"/>
    </row>
    <row r="38695" ht="14.25" customHeight="1">
      <c r="A38695" s="740"/>
    </row>
    <row r="38696" ht="14.25" customHeight="1">
      <c r="A38696" s="740"/>
    </row>
    <row r="38697" ht="14.25" customHeight="1">
      <c r="A38697" s="740"/>
    </row>
    <row r="38698" ht="14.25" customHeight="1">
      <c r="A38698" s="740"/>
    </row>
    <row r="38699" ht="14.25" customHeight="1">
      <c r="A38699" s="740"/>
    </row>
    <row r="38700" ht="14.25" customHeight="1">
      <c r="A38700" s="740"/>
    </row>
    <row r="38701" ht="14.25" customHeight="1">
      <c r="A38701" s="740"/>
    </row>
    <row r="38702" ht="14.25" customHeight="1">
      <c r="A38702" s="740"/>
    </row>
    <row r="38703" ht="14.25" customHeight="1">
      <c r="A38703" s="740"/>
    </row>
    <row r="38704" ht="14.25" customHeight="1">
      <c r="A38704" s="740"/>
    </row>
    <row r="38705" ht="14.25" customHeight="1">
      <c r="A38705" s="740"/>
    </row>
    <row r="38706" ht="14.25" customHeight="1">
      <c r="A38706" s="740"/>
    </row>
    <row r="38707" ht="14.25" customHeight="1">
      <c r="A38707" s="740"/>
    </row>
    <row r="38708" ht="14.25" customHeight="1">
      <c r="A38708" s="740"/>
    </row>
    <row r="38709" ht="14.25" customHeight="1">
      <c r="A38709" s="740"/>
    </row>
    <row r="38710" ht="14.25" customHeight="1">
      <c r="A38710" s="740"/>
    </row>
    <row r="38711" ht="14.25" customHeight="1">
      <c r="A38711" s="740"/>
    </row>
    <row r="38712" ht="14.25" customHeight="1">
      <c r="A38712" s="740"/>
    </row>
    <row r="38713" ht="14.25" customHeight="1">
      <c r="A38713" s="740"/>
    </row>
    <row r="38714" ht="14.25" customHeight="1">
      <c r="A38714" s="740"/>
    </row>
    <row r="38715" ht="14.25" customHeight="1">
      <c r="A38715" s="740"/>
    </row>
    <row r="38716" ht="14.25" customHeight="1">
      <c r="A38716" s="740"/>
    </row>
    <row r="38717" ht="14.25" customHeight="1">
      <c r="A38717" s="740"/>
    </row>
    <row r="38718" ht="14.25" customHeight="1">
      <c r="A38718" s="740"/>
    </row>
    <row r="38719" ht="14.25" customHeight="1">
      <c r="A38719" s="740"/>
    </row>
    <row r="38720" ht="14.25" customHeight="1">
      <c r="A38720" s="740"/>
    </row>
    <row r="38721" ht="14.25" customHeight="1">
      <c r="A38721" s="740"/>
    </row>
    <row r="38722" ht="14.25" customHeight="1">
      <c r="A38722" s="740"/>
    </row>
    <row r="38723" ht="14.25" customHeight="1">
      <c r="A38723" s="740"/>
    </row>
    <row r="38724" ht="14.25" customHeight="1">
      <c r="A38724" s="740"/>
    </row>
    <row r="38725" ht="14.25" customHeight="1">
      <c r="A38725" s="740"/>
    </row>
    <row r="38726" ht="14.25" customHeight="1">
      <c r="A38726" s="740"/>
    </row>
    <row r="38727" ht="14.25" customHeight="1">
      <c r="A38727" s="740"/>
    </row>
    <row r="38728" ht="14.25" customHeight="1">
      <c r="A38728" s="740"/>
    </row>
    <row r="38729" ht="14.25" customHeight="1">
      <c r="A38729" s="740"/>
    </row>
    <row r="38730" ht="14.25" customHeight="1">
      <c r="A38730" s="740"/>
    </row>
    <row r="38731" ht="14.25" customHeight="1">
      <c r="A38731" s="740"/>
    </row>
    <row r="38732" ht="14.25" customHeight="1">
      <c r="A38732" s="740"/>
    </row>
    <row r="38733" ht="14.25" customHeight="1">
      <c r="A38733" s="740"/>
    </row>
    <row r="38734" ht="14.25" customHeight="1">
      <c r="A38734" s="740"/>
    </row>
    <row r="38735" ht="14.25" customHeight="1">
      <c r="A38735" s="740"/>
    </row>
    <row r="38736" ht="14.25" customHeight="1">
      <c r="A38736" s="740"/>
    </row>
    <row r="38737" ht="14.25" customHeight="1">
      <c r="A38737" s="740"/>
    </row>
    <row r="38738" ht="14.25" customHeight="1">
      <c r="A38738" s="740"/>
    </row>
    <row r="38739" ht="14.25" customHeight="1">
      <c r="A38739" s="740"/>
    </row>
    <row r="38740" ht="14.25" customHeight="1">
      <c r="A38740" s="740"/>
    </row>
    <row r="38741" ht="14.25" customHeight="1">
      <c r="A38741" s="740"/>
    </row>
    <row r="38742" ht="14.25" customHeight="1">
      <c r="A38742" s="740"/>
    </row>
    <row r="38743" ht="14.25" customHeight="1">
      <c r="A38743" s="740"/>
    </row>
    <row r="38744" ht="14.25" customHeight="1">
      <c r="A38744" s="740"/>
    </row>
    <row r="38745" ht="14.25" customHeight="1">
      <c r="A38745" s="740"/>
    </row>
    <row r="38746" ht="14.25" customHeight="1">
      <c r="A38746" s="740"/>
    </row>
    <row r="38747" ht="14.25" customHeight="1">
      <c r="A38747" s="740"/>
    </row>
    <row r="38748" ht="14.25" customHeight="1">
      <c r="A38748" s="740"/>
    </row>
    <row r="38749" ht="14.25" customHeight="1">
      <c r="A38749" s="740"/>
    </row>
    <row r="38750" ht="14.25" customHeight="1">
      <c r="A38750" s="740"/>
    </row>
    <row r="38751" ht="14.25" customHeight="1">
      <c r="A38751" s="740"/>
    </row>
    <row r="38752" ht="14.25" customHeight="1">
      <c r="A38752" s="740"/>
    </row>
    <row r="38753" ht="14.25" customHeight="1">
      <c r="A38753" s="740"/>
    </row>
    <row r="38754" ht="14.25" customHeight="1">
      <c r="A38754" s="740"/>
    </row>
    <row r="38755" ht="14.25" customHeight="1">
      <c r="A38755" s="740"/>
    </row>
    <row r="38756" ht="14.25" customHeight="1">
      <c r="A38756" s="740"/>
    </row>
    <row r="38757" ht="14.25" customHeight="1">
      <c r="A38757" s="740"/>
    </row>
    <row r="38758" ht="14.25" customHeight="1">
      <c r="A38758" s="740"/>
    </row>
    <row r="38759" ht="14.25" customHeight="1">
      <c r="A38759" s="740"/>
    </row>
    <row r="38760" ht="14.25" customHeight="1">
      <c r="A38760" s="740"/>
    </row>
    <row r="38761" ht="14.25" customHeight="1">
      <c r="A38761" s="740"/>
    </row>
    <row r="38762" ht="14.25" customHeight="1">
      <c r="A38762" s="740"/>
    </row>
    <row r="38763" ht="14.25" customHeight="1">
      <c r="A38763" s="740"/>
    </row>
    <row r="38764" ht="14.25" customHeight="1">
      <c r="A38764" s="740"/>
    </row>
    <row r="38765" ht="14.25" customHeight="1">
      <c r="A38765" s="740"/>
    </row>
    <row r="38766" ht="14.25" customHeight="1">
      <c r="A38766" s="740"/>
    </row>
    <row r="38767" ht="14.25" customHeight="1">
      <c r="A38767" s="740"/>
    </row>
    <row r="38768" ht="14.25" customHeight="1">
      <c r="A38768" s="740"/>
    </row>
    <row r="38769" ht="14.25" customHeight="1">
      <c r="A38769" s="740"/>
    </row>
    <row r="38770" ht="14.25" customHeight="1">
      <c r="A38770" s="740"/>
    </row>
    <row r="38771" ht="14.25" customHeight="1">
      <c r="A38771" s="740"/>
    </row>
    <row r="38772" ht="14.25" customHeight="1">
      <c r="A38772" s="740"/>
    </row>
    <row r="38773" ht="14.25" customHeight="1">
      <c r="A38773" s="740"/>
    </row>
    <row r="38774" ht="14.25" customHeight="1">
      <c r="A38774" s="740"/>
    </row>
    <row r="38775" ht="14.25" customHeight="1">
      <c r="A38775" s="740"/>
    </row>
    <row r="38776" ht="14.25" customHeight="1">
      <c r="A38776" s="740"/>
    </row>
    <row r="38777" ht="14.25" customHeight="1">
      <c r="A38777" s="740"/>
    </row>
    <row r="38778" ht="14.25" customHeight="1">
      <c r="A38778" s="740"/>
    </row>
    <row r="38779" ht="14.25" customHeight="1">
      <c r="A38779" s="740"/>
    </row>
    <row r="38780" ht="14.25" customHeight="1">
      <c r="A38780" s="740"/>
    </row>
    <row r="38781" ht="14.25" customHeight="1">
      <c r="A38781" s="740"/>
    </row>
    <row r="38782" ht="14.25" customHeight="1">
      <c r="A38782" s="740"/>
    </row>
    <row r="38783" ht="14.25" customHeight="1">
      <c r="A38783" s="740"/>
    </row>
    <row r="38784" ht="14.25" customHeight="1">
      <c r="A38784" s="740"/>
    </row>
    <row r="38785" ht="14.25" customHeight="1">
      <c r="A38785" s="740"/>
    </row>
    <row r="38786" ht="14.25" customHeight="1">
      <c r="A38786" s="740"/>
    </row>
    <row r="38787" ht="14.25" customHeight="1">
      <c r="A38787" s="740"/>
    </row>
    <row r="38788" ht="14.25" customHeight="1">
      <c r="A38788" s="740"/>
    </row>
    <row r="38789" ht="14.25" customHeight="1">
      <c r="A38789" s="740"/>
    </row>
    <row r="38790" ht="14.25" customHeight="1">
      <c r="A38790" s="740"/>
    </row>
    <row r="38791" ht="14.25" customHeight="1">
      <c r="A38791" s="740"/>
    </row>
    <row r="38792" ht="14.25" customHeight="1">
      <c r="A38792" s="740"/>
    </row>
    <row r="38793" ht="14.25" customHeight="1">
      <c r="A38793" s="740"/>
    </row>
    <row r="38794" ht="14.25" customHeight="1">
      <c r="A38794" s="740"/>
    </row>
    <row r="38795" ht="14.25" customHeight="1">
      <c r="A38795" s="740"/>
    </row>
    <row r="38796" ht="14.25" customHeight="1">
      <c r="A38796" s="740"/>
    </row>
    <row r="38797" ht="14.25" customHeight="1">
      <c r="A38797" s="740"/>
    </row>
    <row r="38798" ht="14.25" customHeight="1">
      <c r="A38798" s="740"/>
    </row>
    <row r="38799" ht="14.25" customHeight="1">
      <c r="A38799" s="740"/>
    </row>
    <row r="38800" ht="14.25" customHeight="1">
      <c r="A38800" s="740"/>
    </row>
    <row r="38801" ht="14.25" customHeight="1">
      <c r="A38801" s="740"/>
    </row>
    <row r="38802" ht="14.25" customHeight="1">
      <c r="A38802" s="740"/>
    </row>
    <row r="38803" ht="14.25" customHeight="1">
      <c r="A38803" s="740"/>
    </row>
    <row r="38804" ht="14.25" customHeight="1">
      <c r="A38804" s="740"/>
    </row>
    <row r="38805" ht="14.25" customHeight="1">
      <c r="A38805" s="740"/>
    </row>
    <row r="38806" ht="14.25" customHeight="1">
      <c r="A38806" s="740"/>
    </row>
    <row r="38807" ht="14.25" customHeight="1">
      <c r="A38807" s="740"/>
    </row>
    <row r="38808" ht="14.25" customHeight="1">
      <c r="A38808" s="740"/>
    </row>
    <row r="38809" ht="14.25" customHeight="1">
      <c r="A38809" s="740"/>
    </row>
    <row r="38810" ht="14.25" customHeight="1">
      <c r="A38810" s="740"/>
    </row>
    <row r="38811" ht="14.25" customHeight="1">
      <c r="A38811" s="740"/>
    </row>
    <row r="38812" ht="14.25" customHeight="1">
      <c r="A38812" s="740"/>
    </row>
    <row r="38813" ht="14.25" customHeight="1">
      <c r="A38813" s="740"/>
    </row>
    <row r="38814" ht="14.25" customHeight="1">
      <c r="A38814" s="740"/>
    </row>
    <row r="38815" ht="14.25" customHeight="1">
      <c r="A38815" s="740"/>
    </row>
    <row r="38816" ht="14.25" customHeight="1">
      <c r="A38816" s="740"/>
    </row>
    <row r="38817" ht="14.25" customHeight="1">
      <c r="A38817" s="740"/>
    </row>
    <row r="38818" ht="14.25" customHeight="1">
      <c r="A38818" s="740"/>
    </row>
    <row r="38819" ht="14.25" customHeight="1">
      <c r="A38819" s="740"/>
    </row>
    <row r="38820" ht="14.25" customHeight="1">
      <c r="A38820" s="740"/>
    </row>
    <row r="38821" ht="14.25" customHeight="1">
      <c r="A38821" s="740"/>
    </row>
    <row r="38822" ht="14.25" customHeight="1">
      <c r="A38822" s="740"/>
    </row>
    <row r="38823" ht="14.25" customHeight="1">
      <c r="A38823" s="740"/>
    </row>
    <row r="38824" ht="14.25" customHeight="1">
      <c r="A38824" s="740"/>
    </row>
    <row r="38825" ht="14.25" customHeight="1">
      <c r="A38825" s="740"/>
    </row>
    <row r="38826" ht="14.25" customHeight="1">
      <c r="A38826" s="740"/>
    </row>
    <row r="38827" ht="14.25" customHeight="1">
      <c r="A38827" s="740"/>
    </row>
    <row r="38828" ht="14.25" customHeight="1">
      <c r="A38828" s="740"/>
    </row>
    <row r="38829" ht="14.25" customHeight="1">
      <c r="A38829" s="740"/>
    </row>
    <row r="38830" ht="14.25" customHeight="1">
      <c r="A38830" s="740"/>
    </row>
    <row r="38831" ht="14.25" customHeight="1">
      <c r="A38831" s="740"/>
    </row>
    <row r="38832" ht="14.25" customHeight="1">
      <c r="A38832" s="740"/>
    </row>
    <row r="38833" ht="14.25" customHeight="1">
      <c r="A38833" s="740"/>
    </row>
    <row r="38834" ht="14.25" customHeight="1">
      <c r="A38834" s="740"/>
    </row>
    <row r="38835" ht="14.25" customHeight="1">
      <c r="A38835" s="740"/>
    </row>
    <row r="38836" ht="14.25" customHeight="1">
      <c r="A38836" s="740"/>
    </row>
    <row r="38837" ht="14.25" customHeight="1">
      <c r="A38837" s="740"/>
    </row>
    <row r="38838" ht="14.25" customHeight="1">
      <c r="A38838" s="740"/>
    </row>
    <row r="38839" ht="14.25" customHeight="1">
      <c r="A38839" s="740"/>
    </row>
    <row r="38840" ht="14.25" customHeight="1">
      <c r="A38840" s="740"/>
    </row>
    <row r="38841" ht="14.25" customHeight="1">
      <c r="A38841" s="740"/>
    </row>
    <row r="38842" ht="14.25" customHeight="1">
      <c r="A38842" s="740"/>
    </row>
    <row r="38843" ht="14.25" customHeight="1">
      <c r="A38843" s="740"/>
    </row>
    <row r="38844" ht="14.25" customHeight="1">
      <c r="A38844" s="740"/>
    </row>
    <row r="38845" ht="14.25" customHeight="1">
      <c r="A38845" s="740"/>
    </row>
    <row r="38846" ht="14.25" customHeight="1">
      <c r="A38846" s="740"/>
    </row>
    <row r="38847" ht="14.25" customHeight="1">
      <c r="A38847" s="740"/>
    </row>
    <row r="38848" ht="14.25" customHeight="1">
      <c r="A38848" s="740"/>
    </row>
    <row r="38849" ht="14.25" customHeight="1">
      <c r="A38849" s="740"/>
    </row>
    <row r="38850" ht="14.25" customHeight="1">
      <c r="A38850" s="740"/>
    </row>
    <row r="38851" ht="14.25" customHeight="1">
      <c r="A38851" s="740"/>
    </row>
    <row r="38852" ht="14.25" customHeight="1">
      <c r="A38852" s="740"/>
    </row>
    <row r="38853" ht="14.25" customHeight="1">
      <c r="A38853" s="740"/>
    </row>
    <row r="38854" ht="14.25" customHeight="1">
      <c r="A38854" s="740"/>
    </row>
    <row r="38855" ht="14.25" customHeight="1">
      <c r="A38855" s="740"/>
    </row>
    <row r="38856" ht="14.25" customHeight="1">
      <c r="A38856" s="740"/>
    </row>
    <row r="38857" ht="14.25" customHeight="1">
      <c r="A38857" s="740"/>
    </row>
    <row r="38858" ht="14.25" customHeight="1">
      <c r="A38858" s="740"/>
    </row>
    <row r="38859" ht="14.25" customHeight="1">
      <c r="A38859" s="740"/>
    </row>
    <row r="38860" ht="14.25" customHeight="1">
      <c r="A38860" s="740"/>
    </row>
    <row r="38861" ht="14.25" customHeight="1">
      <c r="A38861" s="740"/>
    </row>
    <row r="38862" ht="14.25" customHeight="1">
      <c r="A38862" s="740"/>
    </row>
    <row r="38863" ht="14.25" customHeight="1">
      <c r="A38863" s="740"/>
    </row>
    <row r="38864" ht="14.25" customHeight="1">
      <c r="A38864" s="740"/>
    </row>
    <row r="38865" ht="14.25" customHeight="1">
      <c r="A38865" s="740"/>
    </row>
    <row r="38866" ht="14.25" customHeight="1">
      <c r="A38866" s="740"/>
    </row>
    <row r="38867" ht="14.25" customHeight="1">
      <c r="A38867" s="740"/>
    </row>
    <row r="38868" ht="14.25" customHeight="1">
      <c r="A38868" s="740"/>
    </row>
    <row r="38869" ht="14.25" customHeight="1">
      <c r="A38869" s="740"/>
    </row>
    <row r="38870" ht="14.25" customHeight="1">
      <c r="A38870" s="740"/>
    </row>
    <row r="38871" ht="14.25" customHeight="1">
      <c r="A38871" s="740"/>
    </row>
    <row r="38872" ht="14.25" customHeight="1">
      <c r="A38872" s="740"/>
    </row>
    <row r="38873" ht="14.25" customHeight="1">
      <c r="A38873" s="740"/>
    </row>
    <row r="38874" ht="14.25" customHeight="1">
      <c r="A38874" s="740"/>
    </row>
    <row r="38875" ht="14.25" customHeight="1">
      <c r="A38875" s="740"/>
    </row>
    <row r="38876" ht="14.25" customHeight="1">
      <c r="A38876" s="740"/>
    </row>
    <row r="38877" ht="14.25" customHeight="1">
      <c r="A38877" s="740"/>
    </row>
    <row r="38878" ht="14.25" customHeight="1">
      <c r="A38878" s="740"/>
    </row>
    <row r="38879" ht="14.25" customHeight="1">
      <c r="A38879" s="740"/>
    </row>
    <row r="38880" ht="14.25" customHeight="1">
      <c r="A38880" s="740"/>
    </row>
    <row r="38881" ht="14.25" customHeight="1">
      <c r="A38881" s="740"/>
    </row>
    <row r="38882" ht="14.25" customHeight="1">
      <c r="A38882" s="740"/>
    </row>
    <row r="38883" ht="14.25" customHeight="1">
      <c r="A38883" s="740"/>
    </row>
    <row r="38884" ht="14.25" customHeight="1">
      <c r="A38884" s="740"/>
    </row>
    <row r="38885" ht="14.25" customHeight="1">
      <c r="A38885" s="740"/>
    </row>
    <row r="38886" ht="14.25" customHeight="1">
      <c r="A38886" s="740"/>
    </row>
    <row r="38887" ht="14.25" customHeight="1">
      <c r="A38887" s="740"/>
    </row>
    <row r="38888" ht="14.25" customHeight="1">
      <c r="A38888" s="740"/>
    </row>
    <row r="38889" ht="14.25" customHeight="1">
      <c r="A38889" s="740"/>
    </row>
    <row r="38890" ht="14.25" customHeight="1">
      <c r="A38890" s="740"/>
    </row>
    <row r="38891" ht="14.25" customHeight="1">
      <c r="A38891" s="740"/>
    </row>
    <row r="38892" ht="14.25" customHeight="1">
      <c r="A38892" s="740"/>
    </row>
    <row r="38893" ht="14.25" customHeight="1">
      <c r="A38893" s="740"/>
    </row>
    <row r="38894" ht="14.25" customHeight="1">
      <c r="A38894" s="740"/>
    </row>
    <row r="38895" ht="14.25" customHeight="1">
      <c r="A38895" s="740"/>
    </row>
    <row r="38896" ht="14.25" customHeight="1">
      <c r="A38896" s="740"/>
    </row>
    <row r="38897" ht="14.25" customHeight="1">
      <c r="A38897" s="740"/>
    </row>
    <row r="38898" ht="14.25" customHeight="1">
      <c r="A38898" s="740"/>
    </row>
    <row r="38899" ht="14.25" customHeight="1">
      <c r="A38899" s="740"/>
    </row>
    <row r="38900" ht="14.25" customHeight="1">
      <c r="A38900" s="740"/>
    </row>
    <row r="38901" ht="14.25" customHeight="1">
      <c r="A38901" s="740"/>
    </row>
    <row r="38902" ht="14.25" customHeight="1">
      <c r="A38902" s="740"/>
    </row>
    <row r="38903" ht="14.25" customHeight="1">
      <c r="A38903" s="740"/>
    </row>
    <row r="38904" ht="14.25" customHeight="1">
      <c r="A38904" s="740"/>
    </row>
    <row r="38905" ht="14.25" customHeight="1">
      <c r="A38905" s="740"/>
    </row>
    <row r="38906" ht="14.25" customHeight="1">
      <c r="A38906" s="740"/>
    </row>
    <row r="38907" ht="14.25" customHeight="1">
      <c r="A38907" s="740"/>
    </row>
    <row r="38908" ht="14.25" customHeight="1">
      <c r="A38908" s="740"/>
    </row>
    <row r="38909" ht="14.25" customHeight="1">
      <c r="A38909" s="740"/>
    </row>
    <row r="38910" ht="14.25" customHeight="1">
      <c r="A38910" s="740"/>
    </row>
    <row r="38911" ht="14.25" customHeight="1">
      <c r="A38911" s="740"/>
    </row>
    <row r="38912" ht="14.25" customHeight="1">
      <c r="A38912" s="740"/>
    </row>
    <row r="38913" ht="14.25" customHeight="1">
      <c r="A38913" s="740"/>
    </row>
    <row r="38914" ht="14.25" customHeight="1">
      <c r="A38914" s="740"/>
    </row>
    <row r="38915" ht="14.25" customHeight="1">
      <c r="A38915" s="740"/>
    </row>
    <row r="38916" ht="14.25" customHeight="1">
      <c r="A38916" s="740"/>
    </row>
    <row r="38917" ht="14.25" customHeight="1">
      <c r="A38917" s="740"/>
    </row>
    <row r="38918" ht="14.25" customHeight="1">
      <c r="A38918" s="740"/>
    </row>
    <row r="38919" ht="14.25" customHeight="1">
      <c r="A38919" s="740"/>
    </row>
    <row r="38920" ht="14.25" customHeight="1">
      <c r="A38920" s="740"/>
    </row>
    <row r="38921" ht="14.25" customHeight="1">
      <c r="A38921" s="740"/>
    </row>
    <row r="38922" ht="14.25" customHeight="1">
      <c r="A38922" s="740"/>
    </row>
    <row r="38923" ht="14.25" customHeight="1">
      <c r="A38923" s="740"/>
    </row>
    <row r="38924" ht="14.25" customHeight="1">
      <c r="A38924" s="740"/>
    </row>
    <row r="38925" ht="14.25" customHeight="1">
      <c r="A38925" s="740"/>
    </row>
    <row r="38926" ht="14.25" customHeight="1">
      <c r="A38926" s="740"/>
    </row>
    <row r="38927" ht="14.25" customHeight="1">
      <c r="A38927" s="740"/>
    </row>
    <row r="38928" ht="14.25" customHeight="1">
      <c r="A38928" s="740"/>
    </row>
    <row r="38929" ht="14.25" customHeight="1">
      <c r="A38929" s="740"/>
    </row>
    <row r="38930" ht="14.25" customHeight="1">
      <c r="A38930" s="740"/>
    </row>
    <row r="38931" ht="14.25" customHeight="1">
      <c r="A38931" s="740"/>
    </row>
    <row r="38932" ht="14.25" customHeight="1">
      <c r="A38932" s="740"/>
    </row>
    <row r="38933" ht="14.25" customHeight="1">
      <c r="A38933" s="740"/>
    </row>
    <row r="38934" ht="14.25" customHeight="1">
      <c r="A38934" s="740"/>
    </row>
    <row r="38935" ht="14.25" customHeight="1">
      <c r="A38935" s="740"/>
    </row>
    <row r="38936" ht="14.25" customHeight="1">
      <c r="A38936" s="740"/>
    </row>
    <row r="38937" ht="14.25" customHeight="1">
      <c r="A38937" s="740"/>
    </row>
    <row r="38938" ht="14.25" customHeight="1">
      <c r="A38938" s="740"/>
    </row>
    <row r="38939" ht="14.25" customHeight="1">
      <c r="A38939" s="740"/>
    </row>
    <row r="38940" ht="14.25" customHeight="1">
      <c r="A38940" s="740"/>
    </row>
    <row r="38941" ht="14.25" customHeight="1">
      <c r="A38941" s="740"/>
    </row>
    <row r="38942" ht="14.25" customHeight="1">
      <c r="A38942" s="740"/>
    </row>
    <row r="38943" ht="14.25" customHeight="1">
      <c r="A38943" s="740"/>
    </row>
    <row r="38944" ht="14.25" customHeight="1">
      <c r="A38944" s="740"/>
    </row>
    <row r="38945" ht="14.25" customHeight="1">
      <c r="A38945" s="740"/>
    </row>
    <row r="38946" ht="14.25" customHeight="1">
      <c r="A38946" s="740"/>
    </row>
    <row r="38947" ht="14.25" customHeight="1">
      <c r="A38947" s="740"/>
    </row>
    <row r="38948" ht="14.25" customHeight="1">
      <c r="A38948" s="740"/>
    </row>
    <row r="38949" ht="14.25" customHeight="1">
      <c r="A38949" s="740"/>
    </row>
    <row r="38950" ht="14.25" customHeight="1">
      <c r="A38950" s="740"/>
    </row>
    <row r="38951" ht="14.25" customHeight="1">
      <c r="A38951" s="740"/>
    </row>
    <row r="38952" ht="14.25" customHeight="1">
      <c r="A38952" s="740"/>
    </row>
    <row r="38953" ht="14.25" customHeight="1">
      <c r="A38953" s="740"/>
    </row>
    <row r="38954" ht="14.25" customHeight="1">
      <c r="A38954" s="740"/>
    </row>
    <row r="38955" ht="14.25" customHeight="1">
      <c r="A38955" s="740"/>
    </row>
    <row r="38956" ht="14.25" customHeight="1">
      <c r="A38956" s="740"/>
    </row>
    <row r="38957" ht="14.25" customHeight="1">
      <c r="A38957" s="740"/>
    </row>
    <row r="38958" ht="14.25" customHeight="1">
      <c r="A38958" s="740"/>
    </row>
    <row r="38959" ht="14.25" customHeight="1">
      <c r="A38959" s="740"/>
    </row>
    <row r="38960" ht="14.25" customHeight="1">
      <c r="A38960" s="740"/>
    </row>
    <row r="38961" ht="14.25" customHeight="1">
      <c r="A38961" s="740"/>
    </row>
    <row r="38962" ht="14.25" customHeight="1">
      <c r="A38962" s="740"/>
    </row>
    <row r="38963" ht="14.25" customHeight="1">
      <c r="A38963" s="740"/>
    </row>
    <row r="38964" ht="14.25" customHeight="1">
      <c r="A38964" s="740"/>
    </row>
    <row r="38965" ht="14.25" customHeight="1">
      <c r="A38965" s="740"/>
    </row>
    <row r="38966" ht="14.25" customHeight="1">
      <c r="A38966" s="740"/>
    </row>
    <row r="38967" ht="14.25" customHeight="1">
      <c r="A38967" s="740"/>
    </row>
    <row r="38968" ht="14.25" customHeight="1">
      <c r="A38968" s="740"/>
    </row>
    <row r="38969" ht="14.25" customHeight="1">
      <c r="A38969" s="740"/>
    </row>
    <row r="38970" ht="14.25" customHeight="1">
      <c r="A38970" s="740"/>
    </row>
    <row r="38971" ht="14.25" customHeight="1">
      <c r="A38971" s="740"/>
    </row>
    <row r="38972" ht="14.25" customHeight="1">
      <c r="A38972" s="740"/>
    </row>
    <row r="38973" ht="14.25" customHeight="1">
      <c r="A38973" s="740"/>
    </row>
    <row r="38974" ht="14.25" customHeight="1">
      <c r="A38974" s="740"/>
    </row>
    <row r="38975" ht="14.25" customHeight="1">
      <c r="A38975" s="740"/>
    </row>
    <row r="38976" ht="14.25" customHeight="1">
      <c r="A38976" s="740"/>
    </row>
    <row r="38977" ht="14.25" customHeight="1">
      <c r="A38977" s="740"/>
    </row>
    <row r="38978" ht="14.25" customHeight="1">
      <c r="A38978" s="740"/>
    </row>
    <row r="38979" ht="14.25" customHeight="1">
      <c r="A38979" s="740"/>
    </row>
    <row r="38980" ht="14.25" customHeight="1">
      <c r="A38980" s="740"/>
    </row>
    <row r="38981" ht="14.25" customHeight="1">
      <c r="A38981" s="740"/>
    </row>
    <row r="38982" ht="14.25" customHeight="1">
      <c r="A38982" s="740"/>
    </row>
    <row r="38983" ht="14.25" customHeight="1">
      <c r="A38983" s="740"/>
    </row>
    <row r="38984" ht="14.25" customHeight="1">
      <c r="A38984" s="740"/>
    </row>
    <row r="38985" ht="14.25" customHeight="1">
      <c r="A38985" s="740"/>
    </row>
    <row r="38986" ht="14.25" customHeight="1">
      <c r="A38986" s="740"/>
    </row>
    <row r="38987" ht="14.25" customHeight="1">
      <c r="A38987" s="740"/>
    </row>
    <row r="38988" ht="14.25" customHeight="1">
      <c r="A38988" s="740"/>
    </row>
    <row r="38989" ht="14.25" customHeight="1">
      <c r="A38989" s="740"/>
    </row>
    <row r="38990" ht="14.25" customHeight="1">
      <c r="A38990" s="740"/>
    </row>
    <row r="38991" ht="14.25" customHeight="1">
      <c r="A38991" s="740"/>
    </row>
    <row r="38992" ht="14.25" customHeight="1">
      <c r="A38992" s="740"/>
    </row>
    <row r="38993" ht="14.25" customHeight="1">
      <c r="A38993" s="740"/>
    </row>
    <row r="38994" ht="14.25" customHeight="1">
      <c r="A38994" s="740"/>
    </row>
    <row r="38995" ht="14.25" customHeight="1">
      <c r="A38995" s="740"/>
    </row>
    <row r="38996" ht="14.25" customHeight="1">
      <c r="A38996" s="740"/>
    </row>
    <row r="38997" ht="14.25" customHeight="1">
      <c r="A38997" s="740"/>
    </row>
    <row r="38998" ht="14.25" customHeight="1">
      <c r="A38998" s="740"/>
    </row>
    <row r="38999" ht="14.25" customHeight="1">
      <c r="A38999" s="740"/>
    </row>
    <row r="39000" ht="14.25" customHeight="1">
      <c r="A39000" s="740"/>
    </row>
    <row r="39001" ht="14.25" customHeight="1">
      <c r="A39001" s="740"/>
    </row>
    <row r="39002" ht="14.25" customHeight="1">
      <c r="A39002" s="740"/>
    </row>
    <row r="39003" ht="14.25" customHeight="1">
      <c r="A39003" s="740"/>
    </row>
    <row r="39004" ht="14.25" customHeight="1">
      <c r="A39004" s="740"/>
    </row>
    <row r="39005" ht="14.25" customHeight="1">
      <c r="A39005" s="740"/>
    </row>
    <row r="39006" ht="14.25" customHeight="1">
      <c r="A39006" s="740"/>
    </row>
    <row r="39007" ht="14.25" customHeight="1">
      <c r="A39007" s="740"/>
    </row>
    <row r="39008" ht="14.25" customHeight="1">
      <c r="A39008" s="740"/>
    </row>
    <row r="39009" ht="14.25" customHeight="1">
      <c r="A39009" s="740"/>
    </row>
    <row r="39010" ht="14.25" customHeight="1">
      <c r="A39010" s="740"/>
    </row>
    <row r="39011" ht="14.25" customHeight="1">
      <c r="A39011" s="740"/>
    </row>
    <row r="39012" ht="14.25" customHeight="1">
      <c r="A39012" s="740"/>
    </row>
    <row r="39013" ht="14.25" customHeight="1">
      <c r="A39013" s="740"/>
    </row>
    <row r="39014" ht="14.25" customHeight="1">
      <c r="A39014" s="740"/>
    </row>
    <row r="39015" ht="14.25" customHeight="1">
      <c r="A39015" s="740"/>
    </row>
    <row r="39016" ht="14.25" customHeight="1">
      <c r="A39016" s="740"/>
    </row>
    <row r="39017" ht="14.25" customHeight="1">
      <c r="A39017" s="740"/>
    </row>
    <row r="39018" ht="14.25" customHeight="1">
      <c r="A39018" s="740"/>
    </row>
    <row r="39019" ht="14.25" customHeight="1">
      <c r="A39019" s="740"/>
    </row>
    <row r="39020" ht="14.25" customHeight="1">
      <c r="A39020" s="740"/>
    </row>
    <row r="39021" ht="14.25" customHeight="1">
      <c r="A39021" s="740"/>
    </row>
    <row r="39022" ht="14.25" customHeight="1">
      <c r="A39022" s="740"/>
    </row>
    <row r="39023" ht="14.25" customHeight="1">
      <c r="A39023" s="740"/>
    </row>
    <row r="39024" ht="14.25" customHeight="1">
      <c r="A39024" s="740"/>
    </row>
    <row r="39025" ht="14.25" customHeight="1">
      <c r="A39025" s="740"/>
    </row>
    <row r="39026" ht="14.25" customHeight="1">
      <c r="A39026" s="740"/>
    </row>
    <row r="39027" ht="14.25" customHeight="1">
      <c r="A39027" s="740"/>
    </row>
    <row r="39028" ht="14.25" customHeight="1">
      <c r="A39028" s="740"/>
    </row>
    <row r="39029" ht="14.25" customHeight="1">
      <c r="A39029" s="740"/>
    </row>
    <row r="39030" ht="14.25" customHeight="1">
      <c r="A39030" s="740"/>
    </row>
    <row r="39031" ht="14.25" customHeight="1">
      <c r="A39031" s="740"/>
    </row>
    <row r="39032" ht="14.25" customHeight="1">
      <c r="A39032" s="740"/>
    </row>
    <row r="39033" ht="14.25" customHeight="1">
      <c r="A39033" s="740"/>
    </row>
    <row r="39034" ht="14.25" customHeight="1">
      <c r="A39034" s="740"/>
    </row>
    <row r="39035" ht="14.25" customHeight="1">
      <c r="A39035" s="740"/>
    </row>
    <row r="39036" ht="14.25" customHeight="1">
      <c r="A39036" s="740"/>
    </row>
    <row r="39037" ht="14.25" customHeight="1">
      <c r="A39037" s="740"/>
    </row>
    <row r="39038" ht="14.25" customHeight="1">
      <c r="A39038" s="740"/>
    </row>
    <row r="39039" ht="14.25" customHeight="1">
      <c r="A39039" s="740"/>
    </row>
    <row r="39040" ht="14.25" customHeight="1">
      <c r="A39040" s="740"/>
    </row>
    <row r="39041" ht="14.25" customHeight="1">
      <c r="A39041" s="740"/>
    </row>
    <row r="39042" ht="14.25" customHeight="1">
      <c r="A39042" s="740"/>
    </row>
    <row r="39043" ht="14.25" customHeight="1">
      <c r="A39043" s="740"/>
    </row>
    <row r="39044" ht="14.25" customHeight="1">
      <c r="A39044" s="740"/>
    </row>
    <row r="39045" ht="14.25" customHeight="1">
      <c r="A39045" s="740"/>
    </row>
    <row r="39046" ht="14.25" customHeight="1">
      <c r="A39046" s="740"/>
    </row>
    <row r="39047" ht="14.25" customHeight="1">
      <c r="A39047" s="740"/>
    </row>
    <row r="39048" ht="14.25" customHeight="1">
      <c r="A39048" s="740"/>
    </row>
    <row r="39049" ht="14.25" customHeight="1">
      <c r="A39049" s="740"/>
    </row>
    <row r="39050" ht="14.25" customHeight="1">
      <c r="A39050" s="740"/>
    </row>
    <row r="39051" ht="14.25" customHeight="1">
      <c r="A39051" s="740"/>
    </row>
    <row r="39052" ht="14.25" customHeight="1">
      <c r="A39052" s="740"/>
    </row>
    <row r="39053" ht="14.25" customHeight="1">
      <c r="A39053" s="740"/>
    </row>
    <row r="39054" ht="14.25" customHeight="1">
      <c r="A39054" s="740"/>
    </row>
    <row r="39055" ht="14.25" customHeight="1">
      <c r="A39055" s="740"/>
    </row>
    <row r="39056" ht="14.25" customHeight="1">
      <c r="A39056" s="740"/>
    </row>
    <row r="39057" ht="14.25" customHeight="1">
      <c r="A39057" s="740"/>
    </row>
    <row r="39058" ht="14.25" customHeight="1">
      <c r="A39058" s="740"/>
    </row>
    <row r="39059" ht="14.25" customHeight="1">
      <c r="A39059" s="740"/>
    </row>
    <row r="39060" ht="14.25" customHeight="1">
      <c r="A39060" s="740"/>
    </row>
    <row r="39061" ht="14.25" customHeight="1">
      <c r="A39061" s="740"/>
    </row>
    <row r="39062" ht="14.25" customHeight="1">
      <c r="A39062" s="740"/>
    </row>
    <row r="39063" ht="14.25" customHeight="1">
      <c r="A39063" s="740"/>
    </row>
    <row r="39064" ht="14.25" customHeight="1">
      <c r="A39064" s="740"/>
    </row>
    <row r="39065" ht="14.25" customHeight="1">
      <c r="A39065" s="740"/>
    </row>
    <row r="39066" ht="14.25" customHeight="1">
      <c r="A39066" s="740"/>
    </row>
    <row r="39067" ht="14.25" customHeight="1">
      <c r="A39067" s="740"/>
    </row>
    <row r="39068" ht="14.25" customHeight="1">
      <c r="A39068" s="740"/>
    </row>
    <row r="39069" ht="14.25" customHeight="1">
      <c r="A39069" s="740"/>
    </row>
    <row r="39070" ht="14.25" customHeight="1">
      <c r="A39070" s="740"/>
    </row>
    <row r="39071" ht="14.25" customHeight="1">
      <c r="A39071" s="740"/>
    </row>
    <row r="39072" ht="14.25" customHeight="1">
      <c r="A39072" s="740"/>
    </row>
    <row r="39073" ht="14.25" customHeight="1">
      <c r="A39073" s="740"/>
    </row>
    <row r="39074" ht="14.25" customHeight="1">
      <c r="A39074" s="740"/>
    </row>
    <row r="39075" ht="14.25" customHeight="1">
      <c r="A39075" s="740"/>
    </row>
    <row r="39076" ht="14.25" customHeight="1">
      <c r="A39076" s="740"/>
    </row>
    <row r="39077" ht="14.25" customHeight="1">
      <c r="A39077" s="740"/>
    </row>
    <row r="39078" ht="14.25" customHeight="1">
      <c r="A39078" s="740"/>
    </row>
    <row r="39079" ht="14.25" customHeight="1">
      <c r="A39079" s="740"/>
    </row>
    <row r="39080" ht="14.25" customHeight="1">
      <c r="A39080" s="740"/>
    </row>
    <row r="39081" ht="14.25" customHeight="1">
      <c r="A39081" s="740"/>
    </row>
    <row r="39082" ht="14.25" customHeight="1">
      <c r="A39082" s="740"/>
    </row>
    <row r="39083" ht="14.25" customHeight="1">
      <c r="A39083" s="740"/>
    </row>
    <row r="39084" ht="14.25" customHeight="1">
      <c r="A39084" s="740"/>
    </row>
    <row r="39085" ht="14.25" customHeight="1">
      <c r="A39085" s="740"/>
    </row>
    <row r="39086" ht="14.25" customHeight="1">
      <c r="A39086" s="740"/>
    </row>
    <row r="39087" ht="14.25" customHeight="1">
      <c r="A39087" s="740"/>
    </row>
    <row r="39088" ht="14.25" customHeight="1">
      <c r="A39088" s="740"/>
    </row>
    <row r="39089" ht="14.25" customHeight="1">
      <c r="A39089" s="740"/>
    </row>
    <row r="39090" ht="14.25" customHeight="1">
      <c r="A39090" s="740"/>
    </row>
    <row r="39091" ht="14.25" customHeight="1">
      <c r="A39091" s="740"/>
    </row>
    <row r="39092" ht="14.25" customHeight="1">
      <c r="A39092" s="740"/>
    </row>
    <row r="39093" ht="14.25" customHeight="1">
      <c r="A39093" s="740"/>
    </row>
    <row r="39094" ht="14.25" customHeight="1">
      <c r="A39094" s="740"/>
    </row>
    <row r="39095" ht="14.25" customHeight="1">
      <c r="A39095" s="740"/>
    </row>
    <row r="39096" ht="14.25" customHeight="1">
      <c r="A39096" s="740"/>
    </row>
    <row r="39097" ht="14.25" customHeight="1">
      <c r="A39097" s="740"/>
    </row>
    <row r="39098" ht="14.25" customHeight="1">
      <c r="A39098" s="740"/>
    </row>
    <row r="39099" ht="14.25" customHeight="1">
      <c r="A39099" s="740"/>
    </row>
    <row r="39100" ht="14.25" customHeight="1">
      <c r="A39100" s="740"/>
    </row>
    <row r="39101" ht="14.25" customHeight="1">
      <c r="A39101" s="740"/>
    </row>
    <row r="39102" ht="14.25" customHeight="1">
      <c r="A39102" s="740"/>
    </row>
    <row r="39103" ht="14.25" customHeight="1">
      <c r="A39103" s="740"/>
    </row>
    <row r="39104" ht="14.25" customHeight="1">
      <c r="A39104" s="740"/>
    </row>
    <row r="39105" ht="14.25" customHeight="1">
      <c r="A39105" s="740"/>
    </row>
    <row r="39106" ht="14.25" customHeight="1">
      <c r="A39106" s="740"/>
    </row>
    <row r="39107" ht="14.25" customHeight="1">
      <c r="A39107" s="740"/>
    </row>
    <row r="39108" ht="14.25" customHeight="1">
      <c r="A39108" s="740"/>
    </row>
    <row r="39109" ht="14.25" customHeight="1">
      <c r="A39109" s="740"/>
    </row>
    <row r="39110" ht="14.25" customHeight="1">
      <c r="A39110" s="740"/>
    </row>
    <row r="39111" ht="14.25" customHeight="1">
      <c r="A39111" s="740"/>
    </row>
    <row r="39112" ht="14.25" customHeight="1">
      <c r="A39112" s="740"/>
    </row>
    <row r="39113" ht="14.25" customHeight="1">
      <c r="A39113" s="740"/>
    </row>
    <row r="39114" ht="14.25" customHeight="1">
      <c r="A39114" s="740"/>
    </row>
    <row r="39115" ht="14.25" customHeight="1">
      <c r="A39115" s="740"/>
    </row>
    <row r="39116" ht="14.25" customHeight="1">
      <c r="A39116" s="740"/>
    </row>
    <row r="39117" ht="14.25" customHeight="1">
      <c r="A39117" s="740"/>
    </row>
    <row r="39118" ht="14.25" customHeight="1">
      <c r="A39118" s="740"/>
    </row>
    <row r="39119" ht="14.25" customHeight="1">
      <c r="A39119" s="740"/>
    </row>
    <row r="39120" ht="14.25" customHeight="1">
      <c r="A39120" s="740"/>
    </row>
    <row r="39121" ht="14.25" customHeight="1">
      <c r="A39121" s="740"/>
    </row>
    <row r="39122" ht="14.25" customHeight="1">
      <c r="A39122" s="740"/>
    </row>
    <row r="39123" ht="14.25" customHeight="1">
      <c r="A39123" s="740"/>
    </row>
    <row r="39124" ht="14.25" customHeight="1">
      <c r="A39124" s="740"/>
    </row>
    <row r="39125" ht="14.25" customHeight="1">
      <c r="A39125" s="740"/>
    </row>
    <row r="39126" ht="14.25" customHeight="1">
      <c r="A39126" s="740"/>
    </row>
    <row r="39127" ht="14.25" customHeight="1">
      <c r="A39127" s="740"/>
    </row>
    <row r="39128" ht="14.25" customHeight="1">
      <c r="A39128" s="740"/>
    </row>
    <row r="39129" ht="14.25" customHeight="1">
      <c r="A39129" s="740"/>
    </row>
    <row r="39130" ht="14.25" customHeight="1">
      <c r="A39130" s="740"/>
    </row>
    <row r="39131" ht="14.25" customHeight="1">
      <c r="A39131" s="740"/>
    </row>
    <row r="39132" ht="14.25" customHeight="1">
      <c r="A39132" s="740"/>
    </row>
    <row r="39133" ht="14.25" customHeight="1">
      <c r="A39133" s="740"/>
    </row>
    <row r="39134" ht="14.25" customHeight="1">
      <c r="A39134" s="740"/>
    </row>
    <row r="39135" ht="14.25" customHeight="1">
      <c r="A39135" s="740"/>
    </row>
    <row r="39136" ht="14.25" customHeight="1">
      <c r="A39136" s="740"/>
    </row>
    <row r="39137" ht="14.25" customHeight="1">
      <c r="A39137" s="740"/>
    </row>
    <row r="39138" ht="14.25" customHeight="1">
      <c r="A39138" s="740"/>
    </row>
    <row r="39139" ht="14.25" customHeight="1">
      <c r="A39139" s="740"/>
    </row>
    <row r="39140" ht="14.25" customHeight="1">
      <c r="A39140" s="740"/>
    </row>
    <row r="39141" ht="14.25" customHeight="1">
      <c r="A39141" s="740"/>
    </row>
    <row r="39142" ht="14.25" customHeight="1">
      <c r="A39142" s="740"/>
    </row>
    <row r="39143" ht="14.25" customHeight="1">
      <c r="A39143" s="740"/>
    </row>
    <row r="39144" ht="14.25" customHeight="1">
      <c r="A39144" s="740"/>
    </row>
    <row r="39145" ht="14.25" customHeight="1">
      <c r="A39145" s="740"/>
    </row>
    <row r="39146" ht="14.25" customHeight="1">
      <c r="A39146" s="740"/>
    </row>
    <row r="39147" ht="14.25" customHeight="1">
      <c r="A39147" s="740"/>
    </row>
    <row r="39148" ht="14.25" customHeight="1">
      <c r="A39148" s="740"/>
    </row>
    <row r="39149" ht="14.25" customHeight="1">
      <c r="A39149" s="740"/>
    </row>
    <row r="39150" ht="14.25" customHeight="1">
      <c r="A39150" s="740"/>
    </row>
    <row r="39151" ht="14.25" customHeight="1">
      <c r="A39151" s="740"/>
    </row>
    <row r="39152" ht="14.25" customHeight="1">
      <c r="A39152" s="740"/>
    </row>
    <row r="39153" ht="14.25" customHeight="1">
      <c r="A39153" s="740"/>
    </row>
    <row r="39154" ht="14.25" customHeight="1">
      <c r="A39154" s="740"/>
    </row>
    <row r="39155" ht="14.25" customHeight="1">
      <c r="A39155" s="740"/>
    </row>
    <row r="39156" ht="14.25" customHeight="1">
      <c r="A39156" s="740"/>
    </row>
    <row r="39157" ht="14.25" customHeight="1">
      <c r="A39157" s="740"/>
    </row>
    <row r="39158" ht="14.25" customHeight="1">
      <c r="A39158" s="740"/>
    </row>
    <row r="39159" ht="14.25" customHeight="1">
      <c r="A39159" s="740"/>
    </row>
    <row r="39160" ht="14.25" customHeight="1">
      <c r="A39160" s="740"/>
    </row>
    <row r="39161" ht="14.25" customHeight="1">
      <c r="A39161" s="740"/>
    </row>
    <row r="39162" ht="14.25" customHeight="1">
      <c r="A39162" s="740"/>
    </row>
    <row r="39163" ht="14.25" customHeight="1">
      <c r="A39163" s="740"/>
    </row>
    <row r="39164" ht="14.25" customHeight="1">
      <c r="A39164" s="740"/>
    </row>
    <row r="39165" ht="14.25" customHeight="1">
      <c r="A39165" s="740"/>
    </row>
    <row r="39166" ht="14.25" customHeight="1">
      <c r="A39166" s="740"/>
    </row>
    <row r="39167" ht="14.25" customHeight="1">
      <c r="A39167" s="740"/>
    </row>
    <row r="39168" ht="14.25" customHeight="1">
      <c r="A39168" s="740"/>
    </row>
    <row r="39169" ht="14.25" customHeight="1">
      <c r="A39169" s="740"/>
    </row>
    <row r="39170" ht="14.25" customHeight="1">
      <c r="A39170" s="740"/>
    </row>
    <row r="39171" ht="14.25" customHeight="1">
      <c r="A39171" s="740"/>
    </row>
    <row r="39172" ht="14.25" customHeight="1">
      <c r="A39172" s="740"/>
    </row>
    <row r="39173" ht="14.25" customHeight="1">
      <c r="A39173" s="740"/>
    </row>
    <row r="39174" ht="14.25" customHeight="1">
      <c r="A39174" s="740"/>
    </row>
    <row r="39175" ht="14.25" customHeight="1">
      <c r="A39175" s="740"/>
    </row>
    <row r="39176" ht="14.25" customHeight="1">
      <c r="A39176" s="740"/>
    </row>
    <row r="39177" ht="14.25" customHeight="1">
      <c r="A39177" s="740"/>
    </row>
    <row r="39178" ht="14.25" customHeight="1">
      <c r="A39178" s="740"/>
    </row>
    <row r="39179" ht="14.25" customHeight="1">
      <c r="A39179" s="740"/>
    </row>
    <row r="39180" ht="14.25" customHeight="1">
      <c r="A39180" s="740"/>
    </row>
    <row r="39181" ht="14.25" customHeight="1">
      <c r="A39181" s="740"/>
    </row>
    <row r="39182" ht="14.25" customHeight="1">
      <c r="A39182" s="740"/>
    </row>
    <row r="39183" ht="14.25" customHeight="1">
      <c r="A39183" s="740"/>
    </row>
    <row r="39184" ht="14.25" customHeight="1">
      <c r="A39184" s="740"/>
    </row>
    <row r="39185" ht="14.25" customHeight="1">
      <c r="A39185" s="740"/>
    </row>
    <row r="39186" ht="14.25" customHeight="1">
      <c r="A39186" s="740"/>
    </row>
    <row r="39187" ht="14.25" customHeight="1">
      <c r="A39187" s="740"/>
    </row>
    <row r="39188" ht="14.25" customHeight="1">
      <c r="A39188" s="740"/>
    </row>
    <row r="39189" ht="14.25" customHeight="1">
      <c r="A39189" s="740"/>
    </row>
    <row r="39190" ht="14.25" customHeight="1">
      <c r="A39190" s="740"/>
    </row>
    <row r="39191" ht="14.25" customHeight="1">
      <c r="A39191" s="740"/>
    </row>
    <row r="39192" ht="14.25" customHeight="1">
      <c r="A39192" s="740"/>
    </row>
    <row r="39193" ht="14.25" customHeight="1">
      <c r="A39193" s="740"/>
    </row>
    <row r="39194" ht="14.25" customHeight="1">
      <c r="A39194" s="740"/>
    </row>
    <row r="39195" ht="14.25" customHeight="1">
      <c r="A39195" s="740"/>
    </row>
    <row r="39196" ht="14.25" customHeight="1">
      <c r="A39196" s="740"/>
    </row>
    <row r="39197" ht="14.25" customHeight="1">
      <c r="A39197" s="740"/>
    </row>
    <row r="39198" ht="14.25" customHeight="1">
      <c r="A39198" s="740"/>
    </row>
    <row r="39199" ht="14.25" customHeight="1">
      <c r="A39199" s="740"/>
    </row>
    <row r="39200" ht="14.25" customHeight="1">
      <c r="A39200" s="740"/>
    </row>
    <row r="39201" ht="14.25" customHeight="1">
      <c r="A39201" s="740"/>
    </row>
    <row r="39202" ht="14.25" customHeight="1">
      <c r="A39202" s="740"/>
    </row>
    <row r="39203" ht="14.25" customHeight="1">
      <c r="A39203" s="740"/>
    </row>
    <row r="39204" ht="14.25" customHeight="1">
      <c r="A39204" s="740"/>
    </row>
    <row r="39205" ht="14.25" customHeight="1">
      <c r="A39205" s="740"/>
    </row>
    <row r="39206" ht="14.25" customHeight="1">
      <c r="A39206" s="740"/>
    </row>
    <row r="39207" ht="14.25" customHeight="1">
      <c r="A39207" s="740"/>
    </row>
    <row r="39208" ht="14.25" customHeight="1">
      <c r="A39208" s="740"/>
    </row>
    <row r="39209" ht="14.25" customHeight="1">
      <c r="A39209" s="740"/>
    </row>
    <row r="39210" ht="14.25" customHeight="1">
      <c r="A39210" s="740"/>
    </row>
    <row r="39211" ht="14.25" customHeight="1">
      <c r="A39211" s="740"/>
    </row>
    <row r="39212" ht="14.25" customHeight="1">
      <c r="A39212" s="740"/>
    </row>
    <row r="39213" ht="14.25" customHeight="1">
      <c r="A39213" s="740"/>
    </row>
    <row r="39214" ht="14.25" customHeight="1">
      <c r="A39214" s="740"/>
    </row>
    <row r="39215" ht="14.25" customHeight="1">
      <c r="A39215" s="740"/>
    </row>
    <row r="39216" ht="14.25" customHeight="1">
      <c r="A39216" s="740"/>
    </row>
    <row r="39217" ht="14.25" customHeight="1">
      <c r="A39217" s="740"/>
    </row>
    <row r="39218" ht="14.25" customHeight="1">
      <c r="A39218" s="740"/>
    </row>
    <row r="39219" ht="14.25" customHeight="1">
      <c r="A39219" s="740"/>
    </row>
    <row r="39220" ht="14.25" customHeight="1">
      <c r="A39220" s="740"/>
    </row>
    <row r="39221" ht="14.25" customHeight="1">
      <c r="A39221" s="740"/>
    </row>
    <row r="39222" ht="14.25" customHeight="1">
      <c r="A39222" s="740"/>
    </row>
    <row r="39223" ht="14.25" customHeight="1">
      <c r="A39223" s="740"/>
    </row>
    <row r="39224" ht="14.25" customHeight="1">
      <c r="A39224" s="740"/>
    </row>
    <row r="39225" ht="14.25" customHeight="1">
      <c r="A39225" s="740"/>
    </row>
    <row r="39226" ht="14.25" customHeight="1">
      <c r="A39226" s="740"/>
    </row>
    <row r="39227" ht="14.25" customHeight="1">
      <c r="A39227" s="740"/>
    </row>
    <row r="39228" ht="14.25" customHeight="1">
      <c r="A39228" s="740"/>
    </row>
    <row r="39229" ht="14.25" customHeight="1">
      <c r="A39229" s="740"/>
    </row>
    <row r="39230" ht="14.25" customHeight="1">
      <c r="A39230" s="740"/>
    </row>
    <row r="39231" ht="14.25" customHeight="1">
      <c r="A39231" s="740"/>
    </row>
    <row r="39232" ht="14.25" customHeight="1">
      <c r="A39232" s="740"/>
    </row>
    <row r="39233" ht="14.25" customHeight="1">
      <c r="A39233" s="740"/>
    </row>
    <row r="39234" ht="14.25" customHeight="1">
      <c r="A39234" s="740"/>
    </row>
    <row r="39235" ht="14.25" customHeight="1">
      <c r="A39235" s="740"/>
    </row>
    <row r="39236" ht="14.25" customHeight="1">
      <c r="A39236" s="740"/>
    </row>
    <row r="39237" ht="14.25" customHeight="1">
      <c r="A39237" s="740"/>
    </row>
    <row r="39238" ht="14.25" customHeight="1">
      <c r="A39238" s="740"/>
    </row>
    <row r="39239" ht="14.25" customHeight="1">
      <c r="A39239" s="740"/>
    </row>
    <row r="39240" ht="14.25" customHeight="1">
      <c r="A39240" s="740"/>
    </row>
    <row r="39241" ht="14.25" customHeight="1">
      <c r="A39241" s="740"/>
    </row>
    <row r="39242" ht="14.25" customHeight="1">
      <c r="A39242" s="740"/>
    </row>
    <row r="39243" ht="14.25" customHeight="1">
      <c r="A39243" s="740"/>
    </row>
    <row r="39244" ht="14.25" customHeight="1">
      <c r="A39244" s="740"/>
    </row>
    <row r="39245" ht="14.25" customHeight="1">
      <c r="A39245" s="740"/>
    </row>
    <row r="39246" ht="14.25" customHeight="1">
      <c r="A39246" s="740"/>
    </row>
    <row r="39247" ht="14.25" customHeight="1">
      <c r="A39247" s="740"/>
    </row>
    <row r="39248" ht="14.25" customHeight="1">
      <c r="A39248" s="740"/>
    </row>
    <row r="39249" ht="14.25" customHeight="1">
      <c r="A39249" s="740"/>
    </row>
    <row r="39250" ht="14.25" customHeight="1">
      <c r="A39250" s="740"/>
    </row>
    <row r="39251" ht="14.25" customHeight="1">
      <c r="A39251" s="740"/>
    </row>
    <row r="39252" ht="14.25" customHeight="1">
      <c r="A39252" s="740"/>
    </row>
    <row r="39253" ht="14.25" customHeight="1">
      <c r="A39253" s="740"/>
    </row>
    <row r="39254" ht="14.25" customHeight="1">
      <c r="A39254" s="740"/>
    </row>
    <row r="39255" ht="14.25" customHeight="1">
      <c r="A39255" s="740"/>
    </row>
    <row r="39256" ht="14.25" customHeight="1">
      <c r="A39256" s="740"/>
    </row>
    <row r="39257" ht="14.25" customHeight="1">
      <c r="A39257" s="740"/>
    </row>
    <row r="39258" ht="14.25" customHeight="1">
      <c r="A39258" s="740"/>
    </row>
    <row r="39259" ht="14.25" customHeight="1">
      <c r="A39259" s="740"/>
    </row>
    <row r="39260" ht="14.25" customHeight="1">
      <c r="A39260" s="740"/>
    </row>
    <row r="39261" ht="14.25" customHeight="1">
      <c r="A39261" s="740"/>
    </row>
    <row r="39262" ht="14.25" customHeight="1">
      <c r="A39262" s="740"/>
    </row>
    <row r="39263" ht="14.25" customHeight="1">
      <c r="A39263" s="740"/>
    </row>
    <row r="39264" ht="14.25" customHeight="1">
      <c r="A39264" s="740"/>
    </row>
    <row r="39265" ht="14.25" customHeight="1">
      <c r="A39265" s="740"/>
    </row>
    <row r="39266" ht="14.25" customHeight="1">
      <c r="A39266" s="740"/>
    </row>
    <row r="39267" ht="14.25" customHeight="1">
      <c r="A39267" s="740"/>
    </row>
    <row r="39268" ht="14.25" customHeight="1">
      <c r="A39268" s="740"/>
    </row>
    <row r="39269" ht="14.25" customHeight="1">
      <c r="A39269" s="740"/>
    </row>
    <row r="39270" ht="14.25" customHeight="1">
      <c r="A39270" s="740"/>
    </row>
    <row r="39271" ht="14.25" customHeight="1">
      <c r="A39271" s="740"/>
    </row>
    <row r="39272" ht="14.25" customHeight="1">
      <c r="A39272" s="740"/>
    </row>
    <row r="39273" ht="14.25" customHeight="1">
      <c r="A39273" s="740"/>
    </row>
    <row r="39274" ht="14.25" customHeight="1">
      <c r="A39274" s="740"/>
    </row>
    <row r="39275" ht="14.25" customHeight="1">
      <c r="A39275" s="740"/>
    </row>
    <row r="39276" ht="14.25" customHeight="1">
      <c r="A39276" s="740"/>
    </row>
    <row r="39277" ht="14.25" customHeight="1">
      <c r="A39277" s="740"/>
    </row>
    <row r="39278" ht="14.25" customHeight="1">
      <c r="A39278" s="740"/>
    </row>
    <row r="39279" ht="14.25" customHeight="1">
      <c r="A39279" s="740"/>
    </row>
    <row r="39280" ht="14.25" customHeight="1">
      <c r="A39280" s="740"/>
    </row>
    <row r="39281" ht="14.25" customHeight="1">
      <c r="A39281" s="740"/>
    </row>
    <row r="39282" ht="14.25" customHeight="1">
      <c r="A39282" s="740"/>
    </row>
    <row r="39283" ht="14.25" customHeight="1">
      <c r="A39283" s="740"/>
    </row>
    <row r="39284" ht="14.25" customHeight="1">
      <c r="A39284" s="740"/>
    </row>
    <row r="39285" ht="14.25" customHeight="1">
      <c r="A39285" s="740"/>
    </row>
    <row r="39286" ht="14.25" customHeight="1">
      <c r="A39286" s="740"/>
    </row>
    <row r="39287" ht="14.25" customHeight="1">
      <c r="A39287" s="740"/>
    </row>
    <row r="39288" ht="14.25" customHeight="1">
      <c r="A39288" s="740"/>
    </row>
    <row r="39289" ht="14.25" customHeight="1">
      <c r="A39289" s="740"/>
    </row>
    <row r="39290" ht="14.25" customHeight="1">
      <c r="A39290" s="740"/>
    </row>
    <row r="39291" ht="14.25" customHeight="1">
      <c r="A39291" s="740"/>
    </row>
    <row r="39292" ht="14.25" customHeight="1">
      <c r="A39292" s="740"/>
    </row>
    <row r="39293" ht="14.25" customHeight="1">
      <c r="A39293" s="740"/>
    </row>
    <row r="39294" ht="14.25" customHeight="1">
      <c r="A39294" s="740"/>
    </row>
    <row r="39295" ht="14.25" customHeight="1">
      <c r="A39295" s="740"/>
    </row>
    <row r="39296" ht="14.25" customHeight="1">
      <c r="A39296" s="740"/>
    </row>
    <row r="39297" ht="14.25" customHeight="1">
      <c r="A39297" s="740"/>
    </row>
    <row r="39298" ht="14.25" customHeight="1">
      <c r="A39298" s="740"/>
    </row>
    <row r="39299" ht="14.25" customHeight="1">
      <c r="A39299" s="740"/>
    </row>
    <row r="39300" ht="14.25" customHeight="1">
      <c r="A39300" s="740"/>
    </row>
    <row r="39301" ht="14.25" customHeight="1">
      <c r="A39301" s="740"/>
    </row>
    <row r="39302" ht="14.25" customHeight="1">
      <c r="A39302" s="740"/>
    </row>
    <row r="39303" ht="14.25" customHeight="1">
      <c r="A39303" s="740"/>
    </row>
    <row r="39304" ht="14.25" customHeight="1">
      <c r="A39304" s="740"/>
    </row>
    <row r="39305" ht="14.25" customHeight="1">
      <c r="A39305" s="740"/>
    </row>
    <row r="39306" ht="14.25" customHeight="1">
      <c r="A39306" s="740"/>
    </row>
    <row r="39307" ht="14.25" customHeight="1">
      <c r="A39307" s="740"/>
    </row>
    <row r="39308" ht="14.25" customHeight="1">
      <c r="A39308" s="740"/>
    </row>
    <row r="39309" ht="14.25" customHeight="1">
      <c r="A39309" s="740"/>
    </row>
    <row r="39310" ht="14.25" customHeight="1">
      <c r="A39310" s="740"/>
    </row>
    <row r="39311" ht="14.25" customHeight="1">
      <c r="A39311" s="740"/>
    </row>
    <row r="39312" ht="14.25" customHeight="1">
      <c r="A39312" s="740"/>
    </row>
    <row r="39313" ht="14.25" customHeight="1">
      <c r="A39313" s="740"/>
    </row>
    <row r="39314" ht="14.25" customHeight="1">
      <c r="A39314" s="740"/>
    </row>
    <row r="39315" ht="14.25" customHeight="1">
      <c r="A39315" s="740"/>
    </row>
    <row r="39316" ht="14.25" customHeight="1">
      <c r="A39316" s="740"/>
    </row>
    <row r="39317" ht="14.25" customHeight="1">
      <c r="A39317" s="740"/>
    </row>
    <row r="39318" ht="14.25" customHeight="1">
      <c r="A39318" s="740"/>
    </row>
    <row r="39319" ht="14.25" customHeight="1">
      <c r="A39319" s="740"/>
    </row>
    <row r="39320" ht="14.25" customHeight="1">
      <c r="A39320" s="740"/>
    </row>
    <row r="39321" ht="14.25" customHeight="1">
      <c r="A39321" s="740"/>
    </row>
    <row r="39322" ht="14.25" customHeight="1">
      <c r="A39322" s="740"/>
    </row>
    <row r="39323" ht="14.25" customHeight="1">
      <c r="A39323" s="740"/>
    </row>
    <row r="39324" ht="14.25" customHeight="1">
      <c r="A39324" s="740"/>
    </row>
    <row r="39325" ht="14.25" customHeight="1">
      <c r="A39325" s="740"/>
    </row>
    <row r="39326" ht="14.25" customHeight="1">
      <c r="A39326" s="740"/>
    </row>
    <row r="39327" ht="14.25" customHeight="1">
      <c r="A39327" s="740"/>
    </row>
    <row r="39328" ht="14.25" customHeight="1">
      <c r="A39328" s="740"/>
    </row>
    <row r="39329" ht="14.25" customHeight="1">
      <c r="A39329" s="740"/>
    </row>
    <row r="39330" ht="14.25" customHeight="1">
      <c r="A39330" s="740"/>
    </row>
    <row r="39331" ht="14.25" customHeight="1">
      <c r="A39331" s="740"/>
    </row>
    <row r="39332" ht="14.25" customHeight="1">
      <c r="A39332" s="740"/>
    </row>
    <row r="39333" ht="14.25" customHeight="1">
      <c r="A39333" s="740"/>
    </row>
    <row r="39334" ht="14.25" customHeight="1">
      <c r="A39334" s="740"/>
    </row>
    <row r="39335" ht="14.25" customHeight="1">
      <c r="A39335" s="740"/>
    </row>
    <row r="39336" ht="14.25" customHeight="1">
      <c r="A39336" s="740"/>
    </row>
    <row r="39337" ht="14.25" customHeight="1">
      <c r="A39337" s="740"/>
    </row>
    <row r="39338" ht="14.25" customHeight="1">
      <c r="A39338" s="740"/>
    </row>
    <row r="39339" ht="14.25" customHeight="1">
      <c r="A39339" s="740"/>
    </row>
    <row r="39340" ht="14.25" customHeight="1">
      <c r="A39340" s="740"/>
    </row>
    <row r="39341" ht="14.25" customHeight="1">
      <c r="A39341" s="740"/>
    </row>
    <row r="39342" ht="14.25" customHeight="1">
      <c r="A39342" s="740"/>
    </row>
    <row r="39343" ht="14.25" customHeight="1">
      <c r="A39343" s="740"/>
    </row>
    <row r="39344" ht="14.25" customHeight="1">
      <c r="A39344" s="740"/>
    </row>
    <row r="39345" ht="14.25" customHeight="1">
      <c r="A39345" s="740"/>
    </row>
    <row r="39346" ht="14.25" customHeight="1">
      <c r="A39346" s="740"/>
    </row>
    <row r="39347" ht="14.25" customHeight="1">
      <c r="A39347" s="740"/>
    </row>
    <row r="39348" ht="14.25" customHeight="1">
      <c r="A39348" s="740"/>
    </row>
    <row r="39349" ht="14.25" customHeight="1">
      <c r="A39349" s="740"/>
    </row>
    <row r="39350" ht="14.25" customHeight="1">
      <c r="A39350" s="740"/>
    </row>
    <row r="39351" ht="14.25" customHeight="1">
      <c r="A39351" s="740"/>
    </row>
    <row r="39352" ht="14.25" customHeight="1">
      <c r="A39352" s="740"/>
    </row>
    <row r="39353" ht="14.25" customHeight="1">
      <c r="A39353" s="740"/>
    </row>
    <row r="39354" ht="14.25" customHeight="1">
      <c r="A39354" s="740"/>
    </row>
    <row r="39355" ht="14.25" customHeight="1">
      <c r="A39355" s="740"/>
    </row>
    <row r="39356" ht="14.25" customHeight="1">
      <c r="A39356" s="740"/>
    </row>
    <row r="39357" ht="14.25" customHeight="1">
      <c r="A39357" s="740"/>
    </row>
    <row r="39358" ht="14.25" customHeight="1">
      <c r="A39358" s="740"/>
    </row>
    <row r="39359" ht="14.25" customHeight="1">
      <c r="A39359" s="740"/>
    </row>
    <row r="39360" ht="14.25" customHeight="1">
      <c r="A39360" s="740"/>
    </row>
    <row r="39361" ht="14.25" customHeight="1">
      <c r="A39361" s="740"/>
    </row>
    <row r="39362" ht="14.25" customHeight="1">
      <c r="A39362" s="740"/>
    </row>
    <row r="39363" ht="14.25" customHeight="1">
      <c r="A39363" s="740"/>
    </row>
    <row r="39364" ht="14.25" customHeight="1">
      <c r="A39364" s="740"/>
    </row>
    <row r="39365" ht="14.25" customHeight="1">
      <c r="A39365" s="740"/>
    </row>
    <row r="39366" ht="14.25" customHeight="1">
      <c r="A39366" s="740"/>
    </row>
    <row r="39367" ht="14.25" customHeight="1">
      <c r="A39367" s="740"/>
    </row>
    <row r="39368" ht="14.25" customHeight="1">
      <c r="A39368" s="740"/>
    </row>
    <row r="39369" ht="14.25" customHeight="1">
      <c r="A39369" s="740"/>
    </row>
    <row r="39370" ht="14.25" customHeight="1">
      <c r="A39370" s="740"/>
    </row>
    <row r="39371" ht="14.25" customHeight="1">
      <c r="A39371" s="740"/>
    </row>
    <row r="39372" ht="14.25" customHeight="1">
      <c r="A39372" s="740"/>
    </row>
    <row r="39373" ht="14.25" customHeight="1">
      <c r="A39373" s="740"/>
    </row>
    <row r="39374" ht="14.25" customHeight="1">
      <c r="A39374" s="740"/>
    </row>
    <row r="39375" ht="14.25" customHeight="1">
      <c r="A39375" s="740"/>
    </row>
    <row r="39376" ht="14.25" customHeight="1">
      <c r="A39376" s="740"/>
    </row>
    <row r="39377" ht="14.25" customHeight="1">
      <c r="A39377" s="740"/>
    </row>
    <row r="39378" ht="14.25" customHeight="1">
      <c r="A39378" s="740"/>
    </row>
    <row r="39379" ht="14.25" customHeight="1">
      <c r="A39379" s="740"/>
    </row>
    <row r="39380" ht="14.25" customHeight="1">
      <c r="A39380" s="740"/>
    </row>
    <row r="39381" ht="14.25" customHeight="1">
      <c r="A39381" s="740"/>
    </row>
    <row r="39382" ht="14.25" customHeight="1">
      <c r="A39382" s="740"/>
    </row>
    <row r="39383" ht="14.25" customHeight="1">
      <c r="A39383" s="740"/>
    </row>
    <row r="39384" ht="14.25" customHeight="1">
      <c r="A39384" s="740"/>
    </row>
    <row r="39385" ht="14.25" customHeight="1">
      <c r="A39385" s="740"/>
    </row>
    <row r="39386" ht="14.25" customHeight="1">
      <c r="A39386" s="740"/>
    </row>
    <row r="39387" ht="14.25" customHeight="1">
      <c r="A39387" s="740"/>
    </row>
    <row r="39388" ht="14.25" customHeight="1">
      <c r="A39388" s="740"/>
    </row>
    <row r="39389" ht="14.25" customHeight="1">
      <c r="A39389" s="740"/>
    </row>
    <row r="39390" ht="14.25" customHeight="1">
      <c r="A39390" s="740"/>
    </row>
    <row r="39391" ht="14.25" customHeight="1">
      <c r="A39391" s="740"/>
    </row>
    <row r="39392" ht="14.25" customHeight="1">
      <c r="A39392" s="740"/>
    </row>
    <row r="39393" ht="14.25" customHeight="1">
      <c r="A39393" s="740"/>
    </row>
    <row r="39394" ht="14.25" customHeight="1">
      <c r="A39394" s="740"/>
    </row>
    <row r="39395" ht="14.25" customHeight="1">
      <c r="A39395" s="740"/>
    </row>
    <row r="39396" ht="14.25" customHeight="1">
      <c r="A39396" s="740"/>
    </row>
    <row r="39397" ht="14.25" customHeight="1">
      <c r="A39397" s="740"/>
    </row>
    <row r="39398" ht="14.25" customHeight="1">
      <c r="A39398" s="740"/>
    </row>
    <row r="39399" ht="14.25" customHeight="1">
      <c r="A39399" s="740"/>
    </row>
    <row r="39400" ht="14.25" customHeight="1">
      <c r="A39400" s="740"/>
    </row>
    <row r="39401" ht="14.25" customHeight="1">
      <c r="A39401" s="740"/>
    </row>
    <row r="39402" ht="14.25" customHeight="1">
      <c r="A39402" s="740"/>
    </row>
    <row r="39403" ht="14.25" customHeight="1">
      <c r="A39403" s="740"/>
    </row>
    <row r="39404" ht="14.25" customHeight="1">
      <c r="A39404" s="740"/>
    </row>
    <row r="39405" ht="14.25" customHeight="1">
      <c r="A39405" s="740"/>
    </row>
    <row r="39406" ht="14.25" customHeight="1">
      <c r="A39406" s="740"/>
    </row>
    <row r="39407" ht="14.25" customHeight="1">
      <c r="A39407" s="740"/>
    </row>
    <row r="39408" ht="14.25" customHeight="1">
      <c r="A39408" s="740"/>
    </row>
    <row r="39409" ht="14.25" customHeight="1">
      <c r="A39409" s="740"/>
    </row>
    <row r="39410" ht="14.25" customHeight="1">
      <c r="A39410" s="740"/>
    </row>
    <row r="39411" ht="14.25" customHeight="1">
      <c r="A39411" s="740"/>
    </row>
    <row r="39412" ht="14.25" customHeight="1">
      <c r="A39412" s="740"/>
    </row>
    <row r="39413" ht="14.25" customHeight="1">
      <c r="A39413" s="740"/>
    </row>
    <row r="39414" ht="14.25" customHeight="1">
      <c r="A39414" s="740"/>
    </row>
    <row r="39415" ht="14.25" customHeight="1">
      <c r="A39415" s="740"/>
    </row>
    <row r="39416" ht="14.25" customHeight="1">
      <c r="A39416" s="740"/>
    </row>
    <row r="39417" ht="14.25" customHeight="1">
      <c r="A39417" s="740"/>
    </row>
    <row r="39418" ht="14.25" customHeight="1">
      <c r="A39418" s="740"/>
    </row>
    <row r="39419" ht="14.25" customHeight="1">
      <c r="A39419" s="740"/>
    </row>
    <row r="39420" ht="14.25" customHeight="1">
      <c r="A39420" s="740"/>
    </row>
    <row r="39421" ht="14.25" customHeight="1">
      <c r="A39421" s="740"/>
    </row>
    <row r="39422" ht="14.25" customHeight="1">
      <c r="A39422" s="740"/>
    </row>
    <row r="39423" ht="14.25" customHeight="1">
      <c r="A39423" s="740"/>
    </row>
    <row r="39424" ht="14.25" customHeight="1">
      <c r="A39424" s="740"/>
    </row>
    <row r="39425" ht="14.25" customHeight="1">
      <c r="A39425" s="740"/>
    </row>
    <row r="39426" ht="14.25" customHeight="1">
      <c r="A39426" s="740"/>
    </row>
    <row r="39427" ht="14.25" customHeight="1">
      <c r="A39427" s="740"/>
    </row>
    <row r="39428" ht="14.25" customHeight="1">
      <c r="A39428" s="740"/>
    </row>
    <row r="39429" ht="14.25" customHeight="1">
      <c r="A39429" s="740"/>
    </row>
    <row r="39430" ht="14.25" customHeight="1">
      <c r="A39430" s="740"/>
    </row>
    <row r="39431" ht="14.25" customHeight="1">
      <c r="A39431" s="740"/>
    </row>
    <row r="39432" ht="14.25" customHeight="1">
      <c r="A39432" s="740"/>
    </row>
    <row r="39433" ht="14.25" customHeight="1">
      <c r="A39433" s="740"/>
    </row>
    <row r="39434" ht="14.25" customHeight="1">
      <c r="A39434" s="740"/>
    </row>
    <row r="39435" ht="14.25" customHeight="1">
      <c r="A39435" s="740"/>
    </row>
    <row r="39436" ht="14.25" customHeight="1">
      <c r="A39436" s="740"/>
    </row>
    <row r="39437" ht="14.25" customHeight="1">
      <c r="A39437" s="740"/>
    </row>
    <row r="39438" ht="14.25" customHeight="1">
      <c r="A39438" s="740"/>
    </row>
    <row r="39439" ht="14.25" customHeight="1">
      <c r="A39439" s="740"/>
    </row>
    <row r="39440" ht="14.25" customHeight="1">
      <c r="A39440" s="740"/>
    </row>
    <row r="39441" ht="14.25" customHeight="1">
      <c r="A39441" s="740"/>
    </row>
    <row r="39442" ht="14.25" customHeight="1">
      <c r="A39442" s="740"/>
    </row>
    <row r="39443" ht="14.25" customHeight="1">
      <c r="A39443" s="740"/>
    </row>
    <row r="39444" ht="14.25" customHeight="1">
      <c r="A39444" s="740"/>
    </row>
    <row r="39445" ht="14.25" customHeight="1">
      <c r="A39445" s="740"/>
    </row>
    <row r="39446" ht="14.25" customHeight="1">
      <c r="A39446" s="740"/>
    </row>
    <row r="39447" ht="14.25" customHeight="1">
      <c r="A39447" s="740"/>
    </row>
    <row r="39448" ht="14.25" customHeight="1">
      <c r="A39448" s="740"/>
    </row>
    <row r="39449" ht="14.25" customHeight="1">
      <c r="A39449" s="740"/>
    </row>
    <row r="39450" ht="14.25" customHeight="1">
      <c r="A39450" s="740"/>
    </row>
    <row r="39451" ht="14.25" customHeight="1">
      <c r="A39451" s="740"/>
    </row>
    <row r="39452" ht="14.25" customHeight="1">
      <c r="A39452" s="740"/>
    </row>
    <row r="39453" ht="14.25" customHeight="1">
      <c r="A39453" s="740"/>
    </row>
    <row r="39454" ht="14.25" customHeight="1">
      <c r="A39454" s="740"/>
    </row>
    <row r="39455" ht="14.25" customHeight="1">
      <c r="A39455" s="740"/>
    </row>
    <row r="39456" ht="14.25" customHeight="1">
      <c r="A39456" s="740"/>
    </row>
    <row r="39457" ht="14.25" customHeight="1">
      <c r="A39457" s="740"/>
    </row>
    <row r="39458" ht="14.25" customHeight="1">
      <c r="A39458" s="740"/>
    </row>
    <row r="39459" ht="14.25" customHeight="1">
      <c r="A39459" s="740"/>
    </row>
    <row r="39460" ht="14.25" customHeight="1">
      <c r="A39460" s="740"/>
    </row>
    <row r="39461" ht="14.25" customHeight="1">
      <c r="A39461" s="740"/>
    </row>
    <row r="39462" ht="14.25" customHeight="1">
      <c r="A39462" s="740"/>
    </row>
    <row r="39463" ht="14.25" customHeight="1">
      <c r="A39463" s="740"/>
    </row>
    <row r="39464" ht="14.25" customHeight="1">
      <c r="A39464" s="740"/>
    </row>
    <row r="39465" ht="14.25" customHeight="1">
      <c r="A39465" s="740"/>
    </row>
    <row r="39466" ht="14.25" customHeight="1">
      <c r="A39466" s="740"/>
    </row>
    <row r="39467" ht="14.25" customHeight="1">
      <c r="A39467" s="740"/>
    </row>
    <row r="39468" ht="14.25" customHeight="1">
      <c r="A39468" s="740"/>
    </row>
    <row r="39469" ht="14.25" customHeight="1">
      <c r="A39469" s="740"/>
    </row>
    <row r="39470" ht="14.25" customHeight="1">
      <c r="A39470" s="740"/>
    </row>
    <row r="39471" ht="14.25" customHeight="1">
      <c r="A39471" s="740"/>
    </row>
    <row r="39472" ht="14.25" customHeight="1">
      <c r="A39472" s="740"/>
    </row>
    <row r="39473" ht="14.25" customHeight="1">
      <c r="A39473" s="740"/>
    </row>
    <row r="39474" ht="14.25" customHeight="1">
      <c r="A39474" s="740"/>
    </row>
    <row r="39475" ht="14.25" customHeight="1">
      <c r="A39475" s="740"/>
    </row>
    <row r="39476" ht="14.25" customHeight="1">
      <c r="A39476" s="740"/>
    </row>
    <row r="39477" ht="14.25" customHeight="1">
      <c r="A39477" s="740"/>
    </row>
    <row r="39478" ht="14.25" customHeight="1">
      <c r="A39478" s="740"/>
    </row>
    <row r="39479" ht="14.25" customHeight="1">
      <c r="A39479" s="740"/>
    </row>
    <row r="39480" ht="14.25" customHeight="1">
      <c r="A39480" s="740"/>
    </row>
    <row r="39481" ht="14.25" customHeight="1">
      <c r="A39481" s="740"/>
    </row>
    <row r="39482" ht="14.25" customHeight="1">
      <c r="A39482" s="740"/>
    </row>
    <row r="39483" ht="14.25" customHeight="1">
      <c r="A39483" s="740"/>
    </row>
    <row r="39484" ht="14.25" customHeight="1">
      <c r="A39484" s="740"/>
    </row>
    <row r="39485" ht="14.25" customHeight="1">
      <c r="A39485" s="740"/>
    </row>
    <row r="39486" ht="14.25" customHeight="1">
      <c r="A39486" s="740"/>
    </row>
    <row r="39487" ht="14.25" customHeight="1">
      <c r="A39487" s="740"/>
    </row>
    <row r="39488" ht="14.25" customHeight="1">
      <c r="A39488" s="740"/>
    </row>
    <row r="39489" ht="14.25" customHeight="1">
      <c r="A39489" s="740"/>
    </row>
    <row r="39490" ht="14.25" customHeight="1">
      <c r="A39490" s="740"/>
    </row>
    <row r="39491" ht="14.25" customHeight="1">
      <c r="A39491" s="740"/>
    </row>
    <row r="39492" ht="14.25" customHeight="1">
      <c r="A39492" s="740"/>
    </row>
    <row r="39493" ht="14.25" customHeight="1">
      <c r="A39493" s="740"/>
    </row>
    <row r="39494" ht="14.25" customHeight="1">
      <c r="A39494" s="740"/>
    </row>
    <row r="39495" ht="14.25" customHeight="1">
      <c r="A39495" s="740"/>
    </row>
    <row r="39496" ht="14.25" customHeight="1">
      <c r="A39496" s="740"/>
    </row>
    <row r="39497" ht="14.25" customHeight="1">
      <c r="A39497" s="740"/>
    </row>
    <row r="39498" ht="14.25" customHeight="1">
      <c r="A39498" s="740"/>
    </row>
    <row r="39499" ht="14.25" customHeight="1">
      <c r="A39499" s="740"/>
    </row>
    <row r="39500" ht="14.25" customHeight="1">
      <c r="A39500" s="740"/>
    </row>
    <row r="39501" ht="14.25" customHeight="1">
      <c r="A39501" s="740"/>
    </row>
    <row r="39502" ht="14.25" customHeight="1">
      <c r="A39502" s="740"/>
    </row>
    <row r="39503" ht="14.25" customHeight="1">
      <c r="A39503" s="740"/>
    </row>
    <row r="39504" ht="14.25" customHeight="1">
      <c r="A39504" s="740"/>
    </row>
    <row r="39505" ht="14.25" customHeight="1">
      <c r="A39505" s="740"/>
    </row>
    <row r="39506" ht="14.25" customHeight="1">
      <c r="A39506" s="740"/>
    </row>
    <row r="39507" ht="14.25" customHeight="1">
      <c r="A39507" s="740"/>
    </row>
    <row r="39508" ht="14.25" customHeight="1">
      <c r="A39508" s="740"/>
    </row>
    <row r="39509" ht="14.25" customHeight="1">
      <c r="A39509" s="740"/>
    </row>
    <row r="39510" ht="14.25" customHeight="1">
      <c r="A39510" s="740"/>
    </row>
    <row r="39511" ht="14.25" customHeight="1">
      <c r="A39511" s="740"/>
    </row>
    <row r="39512" ht="14.25" customHeight="1">
      <c r="A39512" s="740"/>
    </row>
    <row r="39513" ht="14.25" customHeight="1">
      <c r="A39513" s="740"/>
    </row>
    <row r="39514" ht="14.25" customHeight="1">
      <c r="A39514" s="740"/>
    </row>
    <row r="39515" ht="14.25" customHeight="1">
      <c r="A39515" s="740"/>
    </row>
    <row r="39516" ht="14.25" customHeight="1">
      <c r="A39516" s="740"/>
    </row>
    <row r="39517" ht="14.25" customHeight="1">
      <c r="A39517" s="740"/>
    </row>
    <row r="39518" ht="14.25" customHeight="1">
      <c r="A39518" s="740"/>
    </row>
    <row r="39519" ht="14.25" customHeight="1">
      <c r="A39519" s="740"/>
    </row>
    <row r="39520" ht="14.25" customHeight="1">
      <c r="A39520" s="740"/>
    </row>
    <row r="39521" ht="14.25" customHeight="1">
      <c r="A39521" s="740"/>
    </row>
    <row r="39522" ht="14.25" customHeight="1">
      <c r="A39522" s="740"/>
    </row>
    <row r="39523" ht="14.25" customHeight="1">
      <c r="A39523" s="740"/>
    </row>
    <row r="39524" ht="14.25" customHeight="1">
      <c r="A39524" s="740"/>
    </row>
    <row r="39525" ht="14.25" customHeight="1">
      <c r="A39525" s="740"/>
    </row>
    <row r="39526" ht="14.25" customHeight="1">
      <c r="A39526" s="740"/>
    </row>
    <row r="39527" ht="14.25" customHeight="1">
      <c r="A39527" s="740"/>
    </row>
    <row r="39528" ht="14.25" customHeight="1">
      <c r="A39528" s="740"/>
    </row>
    <row r="39529" ht="14.25" customHeight="1">
      <c r="A39529" s="740"/>
    </row>
    <row r="39530" ht="14.25" customHeight="1">
      <c r="A39530" s="740"/>
    </row>
    <row r="39531" ht="14.25" customHeight="1">
      <c r="A39531" s="740"/>
    </row>
    <row r="39532" ht="14.25" customHeight="1">
      <c r="A39532" s="740"/>
    </row>
    <row r="39533" ht="14.25" customHeight="1">
      <c r="A39533" s="740"/>
    </row>
    <row r="39534" ht="14.25" customHeight="1">
      <c r="A39534" s="740"/>
    </row>
    <row r="39535" ht="14.25" customHeight="1">
      <c r="A39535" s="740"/>
    </row>
    <row r="39536" ht="14.25" customHeight="1">
      <c r="A39536" s="740"/>
    </row>
    <row r="39537" ht="14.25" customHeight="1">
      <c r="A39537" s="740"/>
    </row>
    <row r="39538" ht="14.25" customHeight="1">
      <c r="A39538" s="740"/>
    </row>
    <row r="39539" ht="14.25" customHeight="1">
      <c r="A39539" s="740"/>
    </row>
    <row r="39540" ht="14.25" customHeight="1">
      <c r="A39540" s="740"/>
    </row>
    <row r="39541" ht="14.25" customHeight="1">
      <c r="A39541" s="740"/>
    </row>
    <row r="39542" ht="14.25" customHeight="1">
      <c r="A39542" s="740"/>
    </row>
    <row r="39543" ht="14.25" customHeight="1">
      <c r="A39543" s="740"/>
    </row>
    <row r="39544" ht="14.25" customHeight="1">
      <c r="A39544" s="740"/>
    </row>
    <row r="39545" ht="14.25" customHeight="1">
      <c r="A39545" s="740"/>
    </row>
    <row r="39546" ht="14.25" customHeight="1">
      <c r="A39546" s="740"/>
    </row>
    <row r="39547" ht="14.25" customHeight="1">
      <c r="A39547" s="740"/>
    </row>
    <row r="39548" ht="14.25" customHeight="1">
      <c r="A39548" s="740"/>
    </row>
    <row r="39549" ht="14.25" customHeight="1">
      <c r="A39549" s="740"/>
    </row>
    <row r="39550" ht="14.25" customHeight="1">
      <c r="A39550" s="740"/>
    </row>
    <row r="39551" ht="14.25" customHeight="1">
      <c r="A39551" s="740"/>
    </row>
    <row r="39552" ht="14.25" customHeight="1">
      <c r="A39552" s="740"/>
    </row>
    <row r="39553" ht="14.25" customHeight="1">
      <c r="A39553" s="740"/>
    </row>
    <row r="39554" ht="14.25" customHeight="1">
      <c r="A39554" s="740"/>
    </row>
    <row r="39555" ht="14.25" customHeight="1">
      <c r="A39555" s="740"/>
    </row>
    <row r="39556" ht="14.25" customHeight="1">
      <c r="A39556" s="740"/>
    </row>
    <row r="39557" ht="14.25" customHeight="1">
      <c r="A39557" s="740"/>
    </row>
    <row r="39558" ht="14.25" customHeight="1">
      <c r="A39558" s="740"/>
    </row>
    <row r="39559" ht="14.25" customHeight="1">
      <c r="A39559" s="740"/>
    </row>
    <row r="39560" ht="14.25" customHeight="1">
      <c r="A39560" s="740"/>
    </row>
    <row r="39561" ht="14.25" customHeight="1">
      <c r="A39561" s="740"/>
    </row>
    <row r="39562" ht="14.25" customHeight="1">
      <c r="A39562" s="740"/>
    </row>
    <row r="39563" ht="14.25" customHeight="1">
      <c r="A39563" s="740"/>
    </row>
    <row r="39564" ht="14.25" customHeight="1">
      <c r="A39564" s="740"/>
    </row>
    <row r="39565" ht="14.25" customHeight="1">
      <c r="A39565" s="740"/>
    </row>
    <row r="39566" ht="14.25" customHeight="1">
      <c r="A39566" s="740"/>
    </row>
    <row r="39567" ht="14.25" customHeight="1">
      <c r="A39567" s="740"/>
    </row>
    <row r="39568" ht="14.25" customHeight="1">
      <c r="A39568" s="740"/>
    </row>
    <row r="39569" ht="14.25" customHeight="1">
      <c r="A39569" s="740"/>
    </row>
    <row r="39570" ht="14.25" customHeight="1">
      <c r="A39570" s="740"/>
    </row>
    <row r="39571" ht="14.25" customHeight="1">
      <c r="A39571" s="740"/>
    </row>
    <row r="39572" ht="14.25" customHeight="1">
      <c r="A39572" s="740"/>
    </row>
    <row r="39573" ht="14.25" customHeight="1">
      <c r="A39573" s="740"/>
    </row>
    <row r="39574" ht="14.25" customHeight="1">
      <c r="A39574" s="740"/>
    </row>
    <row r="39575" ht="14.25" customHeight="1">
      <c r="A39575" s="740"/>
    </row>
    <row r="39576" ht="14.25" customHeight="1">
      <c r="A39576" s="740"/>
    </row>
    <row r="39577" ht="14.25" customHeight="1">
      <c r="A39577" s="740"/>
    </row>
    <row r="39578" ht="14.25" customHeight="1">
      <c r="A39578" s="740"/>
    </row>
    <row r="39579" ht="14.25" customHeight="1">
      <c r="A39579" s="740"/>
    </row>
    <row r="39580" ht="14.25" customHeight="1">
      <c r="A39580" s="740"/>
    </row>
    <row r="39581" ht="14.25" customHeight="1">
      <c r="A39581" s="740"/>
    </row>
    <row r="39582" ht="14.25" customHeight="1">
      <c r="A39582" s="740"/>
    </row>
    <row r="39583" ht="14.25" customHeight="1">
      <c r="A39583" s="740"/>
    </row>
    <row r="39584" ht="14.25" customHeight="1">
      <c r="A39584" s="740"/>
    </row>
    <row r="39585" ht="14.25" customHeight="1">
      <c r="A39585" s="740"/>
    </row>
    <row r="39586" ht="14.25" customHeight="1">
      <c r="A39586" s="740"/>
    </row>
    <row r="39587" ht="14.25" customHeight="1">
      <c r="A39587" s="740"/>
    </row>
    <row r="39588" ht="14.25" customHeight="1">
      <c r="A39588" s="740"/>
    </row>
    <row r="39589" ht="14.25" customHeight="1">
      <c r="A39589" s="740"/>
    </row>
    <row r="39590" ht="14.25" customHeight="1">
      <c r="A39590" s="740"/>
    </row>
    <row r="39591" ht="14.25" customHeight="1">
      <c r="A39591" s="740"/>
    </row>
    <row r="39592" ht="14.25" customHeight="1">
      <c r="A39592" s="740"/>
    </row>
    <row r="39593" ht="14.25" customHeight="1">
      <c r="A39593" s="740"/>
    </row>
    <row r="39594" ht="14.25" customHeight="1">
      <c r="A39594" s="740"/>
    </row>
    <row r="39595" ht="14.25" customHeight="1">
      <c r="A39595" s="740"/>
    </row>
    <row r="39596" ht="14.25" customHeight="1">
      <c r="A39596" s="740"/>
    </row>
    <row r="39597" ht="14.25" customHeight="1">
      <c r="A39597" s="740"/>
    </row>
    <row r="39598" ht="14.25" customHeight="1">
      <c r="A39598" s="740"/>
    </row>
    <row r="39599" ht="14.25" customHeight="1">
      <c r="A39599" s="740"/>
    </row>
    <row r="39600" ht="14.25" customHeight="1">
      <c r="A39600" s="740"/>
    </row>
    <row r="39601" ht="14.25" customHeight="1">
      <c r="A39601" s="740"/>
    </row>
    <row r="39602" ht="14.25" customHeight="1">
      <c r="A39602" s="740"/>
    </row>
    <row r="39603" ht="14.25" customHeight="1">
      <c r="A39603" s="740"/>
    </row>
    <row r="39604" ht="14.25" customHeight="1">
      <c r="A39604" s="740"/>
    </row>
    <row r="39605" ht="14.25" customHeight="1">
      <c r="A39605" s="740"/>
    </row>
    <row r="39606" ht="14.25" customHeight="1">
      <c r="A39606" s="740"/>
    </row>
    <row r="39607" ht="14.25" customHeight="1">
      <c r="A39607" s="740"/>
    </row>
    <row r="39608" ht="14.25" customHeight="1">
      <c r="A39608" s="740"/>
    </row>
    <row r="39609" ht="14.25" customHeight="1">
      <c r="A39609" s="740"/>
    </row>
    <row r="39610" ht="14.25" customHeight="1">
      <c r="A39610" s="740"/>
    </row>
    <row r="39611" ht="14.25" customHeight="1">
      <c r="A39611" s="740"/>
    </row>
    <row r="39612" ht="14.25" customHeight="1">
      <c r="A39612" s="740"/>
    </row>
    <row r="39613" ht="14.25" customHeight="1">
      <c r="A39613" s="740"/>
    </row>
    <row r="39614" ht="14.25" customHeight="1">
      <c r="A39614" s="740"/>
    </row>
    <row r="39615" ht="14.25" customHeight="1">
      <c r="A39615" s="740"/>
    </row>
    <row r="39616" ht="14.25" customHeight="1">
      <c r="A39616" s="740"/>
    </row>
    <row r="39617" ht="14.25" customHeight="1">
      <c r="A39617" s="740"/>
    </row>
    <row r="39618" ht="14.25" customHeight="1">
      <c r="A39618" s="740"/>
    </row>
    <row r="39619" ht="14.25" customHeight="1">
      <c r="A39619" s="740"/>
    </row>
    <row r="39620" ht="14.25" customHeight="1">
      <c r="A39620" s="740"/>
    </row>
    <row r="39621" ht="14.25" customHeight="1">
      <c r="A39621" s="740"/>
    </row>
    <row r="39622" ht="14.25" customHeight="1">
      <c r="A39622" s="740"/>
    </row>
    <row r="39623" ht="14.25" customHeight="1">
      <c r="A39623" s="740"/>
    </row>
    <row r="39624" ht="14.25" customHeight="1">
      <c r="A39624" s="740"/>
    </row>
    <row r="39625" ht="14.25" customHeight="1">
      <c r="A39625" s="740"/>
    </row>
    <row r="39626" ht="14.25" customHeight="1">
      <c r="A39626" s="740"/>
    </row>
    <row r="39627" ht="14.25" customHeight="1">
      <c r="A39627" s="740"/>
    </row>
    <row r="39628" ht="14.25" customHeight="1">
      <c r="A39628" s="740"/>
    </row>
    <row r="39629" ht="14.25" customHeight="1">
      <c r="A39629" s="740"/>
    </row>
    <row r="39630" ht="14.25" customHeight="1">
      <c r="A39630" s="740"/>
    </row>
    <row r="39631" ht="14.25" customHeight="1">
      <c r="A39631" s="740"/>
    </row>
    <row r="39632" ht="14.25" customHeight="1">
      <c r="A39632" s="740"/>
    </row>
    <row r="39633" ht="14.25" customHeight="1">
      <c r="A39633" s="740"/>
    </row>
    <row r="39634" ht="14.25" customHeight="1">
      <c r="A39634" s="740"/>
    </row>
    <row r="39635" ht="14.25" customHeight="1">
      <c r="A39635" s="740"/>
    </row>
    <row r="39636" ht="14.25" customHeight="1">
      <c r="A39636" s="740"/>
    </row>
    <row r="39637" ht="14.25" customHeight="1">
      <c r="A39637" s="740"/>
    </row>
    <row r="39638" ht="14.25" customHeight="1">
      <c r="A39638" s="740"/>
    </row>
    <row r="39639" ht="14.25" customHeight="1">
      <c r="A39639" s="740"/>
    </row>
    <row r="39640" ht="14.25" customHeight="1">
      <c r="A39640" s="740"/>
    </row>
    <row r="39641" ht="14.25" customHeight="1">
      <c r="A39641" s="740"/>
    </row>
    <row r="39642" ht="14.25" customHeight="1">
      <c r="A39642" s="740"/>
    </row>
    <row r="39643" ht="14.25" customHeight="1">
      <c r="A39643" s="740"/>
    </row>
    <row r="39644" ht="14.25" customHeight="1">
      <c r="A39644" s="740"/>
    </row>
    <row r="39645" ht="14.25" customHeight="1">
      <c r="A39645" s="740"/>
    </row>
    <row r="39646" ht="14.25" customHeight="1">
      <c r="A39646" s="740"/>
    </row>
    <row r="39647" ht="14.25" customHeight="1">
      <c r="A39647" s="740"/>
    </row>
    <row r="39648" ht="14.25" customHeight="1">
      <c r="A39648" s="740"/>
    </row>
    <row r="39649" ht="14.25" customHeight="1">
      <c r="A39649" s="740"/>
    </row>
    <row r="39650" ht="14.25" customHeight="1">
      <c r="A39650" s="740"/>
    </row>
    <row r="39651" ht="14.25" customHeight="1">
      <c r="A39651" s="740"/>
    </row>
    <row r="39652" ht="14.25" customHeight="1">
      <c r="A39652" s="740"/>
    </row>
    <row r="39653" ht="14.25" customHeight="1">
      <c r="A39653" s="740"/>
    </row>
    <row r="39654" ht="14.25" customHeight="1">
      <c r="A39654" s="740"/>
    </row>
    <row r="39655" ht="14.25" customHeight="1">
      <c r="A39655" s="740"/>
    </row>
    <row r="39656" ht="14.25" customHeight="1">
      <c r="A39656" s="740"/>
    </row>
    <row r="39657" ht="14.25" customHeight="1">
      <c r="A39657" s="740"/>
    </row>
    <row r="39658" ht="14.25" customHeight="1">
      <c r="A39658" s="740"/>
    </row>
    <row r="39659" ht="14.25" customHeight="1">
      <c r="A39659" s="740"/>
    </row>
    <row r="39660" ht="14.25" customHeight="1">
      <c r="A39660" s="740"/>
    </row>
    <row r="39661" ht="14.25" customHeight="1">
      <c r="A39661" s="740"/>
    </row>
    <row r="39662" ht="14.25" customHeight="1">
      <c r="A39662" s="740"/>
    </row>
    <row r="39663" ht="14.25" customHeight="1">
      <c r="A39663" s="740"/>
    </row>
    <row r="39664" ht="14.25" customHeight="1">
      <c r="A39664" s="740"/>
    </row>
    <row r="39665" ht="14.25" customHeight="1">
      <c r="A39665" s="740"/>
    </row>
    <row r="39666" ht="14.25" customHeight="1">
      <c r="A39666" s="740"/>
    </row>
    <row r="39667" ht="14.25" customHeight="1">
      <c r="A39667" s="740"/>
    </row>
    <row r="39668" ht="14.25" customHeight="1">
      <c r="A39668" s="740"/>
    </row>
    <row r="39669" ht="14.25" customHeight="1">
      <c r="A39669" s="740"/>
    </row>
    <row r="39670" ht="14.25" customHeight="1">
      <c r="A39670" s="740"/>
    </row>
    <row r="39671" ht="14.25" customHeight="1">
      <c r="A39671" s="740"/>
    </row>
    <row r="39672" ht="14.25" customHeight="1">
      <c r="A39672" s="740"/>
    </row>
    <row r="39673" ht="14.25" customHeight="1">
      <c r="A39673" s="740"/>
    </row>
    <row r="39674" ht="14.25" customHeight="1">
      <c r="A39674" s="740"/>
    </row>
    <row r="39675" ht="14.25" customHeight="1">
      <c r="A39675" s="740"/>
    </row>
    <row r="39676" ht="14.25" customHeight="1">
      <c r="A39676" s="740"/>
    </row>
    <row r="39677" ht="14.25" customHeight="1">
      <c r="A39677" s="740"/>
    </row>
    <row r="39678" ht="14.25" customHeight="1">
      <c r="A39678" s="740"/>
    </row>
    <row r="39679" ht="14.25" customHeight="1">
      <c r="A39679" s="740"/>
    </row>
    <row r="39680" ht="14.25" customHeight="1">
      <c r="A39680" s="740"/>
    </row>
    <row r="39681" ht="14.25" customHeight="1">
      <c r="A39681" s="740"/>
    </row>
    <row r="39682" ht="14.25" customHeight="1">
      <c r="A39682" s="740"/>
    </row>
    <row r="39683" ht="14.25" customHeight="1">
      <c r="A39683" s="740"/>
    </row>
    <row r="39684" ht="14.25" customHeight="1">
      <c r="A39684" s="740"/>
    </row>
    <row r="39685" ht="14.25" customHeight="1">
      <c r="A39685" s="740"/>
    </row>
    <row r="39686" ht="14.25" customHeight="1">
      <c r="A39686" s="740"/>
    </row>
    <row r="39687" ht="14.25" customHeight="1">
      <c r="A39687" s="740"/>
    </row>
    <row r="39688" ht="14.25" customHeight="1">
      <c r="A39688" s="740"/>
    </row>
    <row r="39689" ht="14.25" customHeight="1">
      <c r="A39689" s="740"/>
    </row>
    <row r="39690" ht="14.25" customHeight="1">
      <c r="A39690" s="740"/>
    </row>
    <row r="39691" ht="14.25" customHeight="1">
      <c r="A39691" s="740"/>
    </row>
    <row r="39692" ht="14.25" customHeight="1">
      <c r="A39692" s="740"/>
    </row>
    <row r="39693" ht="14.25" customHeight="1">
      <c r="A39693" s="740"/>
    </row>
    <row r="39694" ht="14.25" customHeight="1">
      <c r="A39694" s="740"/>
    </row>
    <row r="39695" ht="14.25" customHeight="1">
      <c r="A39695" s="740"/>
    </row>
    <row r="39696" ht="14.25" customHeight="1">
      <c r="A39696" s="740"/>
    </row>
    <row r="39697" ht="14.25" customHeight="1">
      <c r="A39697" s="740"/>
    </row>
    <row r="39698" ht="14.25" customHeight="1">
      <c r="A39698" s="740"/>
    </row>
    <row r="39699" ht="14.25" customHeight="1">
      <c r="A39699" s="740"/>
    </row>
    <row r="39700" ht="14.25" customHeight="1">
      <c r="A39700" s="740"/>
    </row>
    <row r="39701" ht="14.25" customHeight="1">
      <c r="A39701" s="740"/>
    </row>
    <row r="39702" ht="14.25" customHeight="1">
      <c r="A39702" s="740"/>
    </row>
    <row r="39703" ht="14.25" customHeight="1">
      <c r="A39703" s="740"/>
    </row>
    <row r="39704" ht="14.25" customHeight="1">
      <c r="A39704" s="740"/>
    </row>
    <row r="39705" ht="14.25" customHeight="1">
      <c r="A39705" s="740"/>
    </row>
    <row r="39706" ht="14.25" customHeight="1">
      <c r="A39706" s="740"/>
    </row>
    <row r="39707" ht="14.25" customHeight="1">
      <c r="A39707" s="740"/>
    </row>
    <row r="39708" ht="14.25" customHeight="1">
      <c r="A39708" s="740"/>
    </row>
    <row r="39709" ht="14.25" customHeight="1">
      <c r="A39709" s="740"/>
    </row>
    <row r="39710" ht="14.25" customHeight="1">
      <c r="A39710" s="740"/>
    </row>
    <row r="39711" ht="14.25" customHeight="1">
      <c r="A39711" s="740"/>
    </row>
    <row r="39712" ht="14.25" customHeight="1">
      <c r="A39712" s="740"/>
    </row>
    <row r="39713" ht="14.25" customHeight="1">
      <c r="A39713" s="740"/>
    </row>
    <row r="39714" ht="14.25" customHeight="1">
      <c r="A39714" s="740"/>
    </row>
    <row r="39715" ht="14.25" customHeight="1">
      <c r="A39715" s="740"/>
    </row>
    <row r="39716" ht="14.25" customHeight="1">
      <c r="A39716" s="740"/>
    </row>
    <row r="39717" ht="14.25" customHeight="1">
      <c r="A39717" s="740"/>
    </row>
    <row r="39718" ht="14.25" customHeight="1">
      <c r="A39718" s="740"/>
    </row>
    <row r="39719" ht="14.25" customHeight="1">
      <c r="A39719" s="740"/>
    </row>
    <row r="39720" ht="14.25" customHeight="1">
      <c r="A39720" s="740"/>
    </row>
    <row r="39721" ht="14.25" customHeight="1">
      <c r="A39721" s="740"/>
    </row>
    <row r="39722" ht="14.25" customHeight="1">
      <c r="A39722" s="740"/>
    </row>
    <row r="39723" ht="14.25" customHeight="1">
      <c r="A39723" s="740"/>
    </row>
    <row r="39724" ht="14.25" customHeight="1">
      <c r="A39724" s="740"/>
    </row>
    <row r="39725" ht="14.25" customHeight="1">
      <c r="A39725" s="740"/>
    </row>
    <row r="39726" ht="14.25" customHeight="1">
      <c r="A39726" s="740"/>
    </row>
    <row r="39727" ht="14.25" customHeight="1">
      <c r="A39727" s="740"/>
    </row>
    <row r="39728" ht="14.25" customHeight="1">
      <c r="A39728" s="740"/>
    </row>
    <row r="39729" ht="14.25" customHeight="1">
      <c r="A39729" s="740"/>
    </row>
    <row r="39730" ht="14.25" customHeight="1">
      <c r="A39730" s="740"/>
    </row>
    <row r="39731" ht="14.25" customHeight="1">
      <c r="A39731" s="740"/>
    </row>
    <row r="39732" ht="14.25" customHeight="1">
      <c r="A39732" s="740"/>
    </row>
    <row r="39733" ht="14.25" customHeight="1">
      <c r="A39733" s="740"/>
    </row>
    <row r="39734" ht="14.25" customHeight="1">
      <c r="A39734" s="740"/>
    </row>
    <row r="39735" ht="14.25" customHeight="1">
      <c r="A39735" s="740"/>
    </row>
    <row r="39736" ht="14.25" customHeight="1">
      <c r="A39736" s="740"/>
    </row>
    <row r="39737" ht="14.25" customHeight="1">
      <c r="A39737" s="740"/>
    </row>
    <row r="39738" ht="14.25" customHeight="1">
      <c r="A39738" s="740"/>
    </row>
    <row r="39739" ht="14.25" customHeight="1">
      <c r="A39739" s="740"/>
    </row>
    <row r="39740" ht="14.25" customHeight="1">
      <c r="A39740" s="740"/>
    </row>
    <row r="39741" ht="14.25" customHeight="1">
      <c r="A39741" s="740"/>
    </row>
    <row r="39742" ht="14.25" customHeight="1">
      <c r="A39742" s="740"/>
    </row>
    <row r="39743" ht="14.25" customHeight="1">
      <c r="A39743" s="740"/>
    </row>
    <row r="39744" ht="14.25" customHeight="1">
      <c r="A39744" s="740"/>
    </row>
    <row r="39745" ht="14.25" customHeight="1">
      <c r="A39745" s="740"/>
    </row>
    <row r="39746" ht="14.25" customHeight="1">
      <c r="A39746" s="740"/>
    </row>
    <row r="39747" ht="14.25" customHeight="1">
      <c r="A39747" s="740"/>
    </row>
    <row r="39748" ht="14.25" customHeight="1">
      <c r="A39748" s="740"/>
    </row>
    <row r="39749" ht="14.25" customHeight="1">
      <c r="A39749" s="740"/>
    </row>
    <row r="39750" ht="14.25" customHeight="1">
      <c r="A39750" s="740"/>
    </row>
    <row r="39751" ht="14.25" customHeight="1">
      <c r="A39751" s="740"/>
    </row>
    <row r="39752" ht="14.25" customHeight="1">
      <c r="A39752" s="740"/>
    </row>
    <row r="39753" ht="14.25" customHeight="1">
      <c r="A39753" s="740"/>
    </row>
    <row r="39754" ht="14.25" customHeight="1">
      <c r="A39754" s="740"/>
    </row>
    <row r="39755" ht="14.25" customHeight="1">
      <c r="A39755" s="740"/>
    </row>
    <row r="39756" ht="14.25" customHeight="1">
      <c r="A39756" s="740"/>
    </row>
    <row r="39757" ht="14.25" customHeight="1">
      <c r="A39757" s="740"/>
    </row>
    <row r="39758" ht="14.25" customHeight="1">
      <c r="A39758" s="740"/>
    </row>
    <row r="39759" ht="14.25" customHeight="1">
      <c r="A39759" s="740"/>
    </row>
    <row r="39760" ht="14.25" customHeight="1">
      <c r="A39760" s="740"/>
    </row>
    <row r="39761" ht="14.25" customHeight="1">
      <c r="A39761" s="740"/>
    </row>
    <row r="39762" ht="14.25" customHeight="1">
      <c r="A39762" s="740"/>
    </row>
    <row r="39763" ht="14.25" customHeight="1">
      <c r="A39763" s="740"/>
    </row>
    <row r="39764" ht="14.25" customHeight="1">
      <c r="A39764" s="740"/>
    </row>
    <row r="39765" ht="14.25" customHeight="1">
      <c r="A39765" s="740"/>
    </row>
    <row r="39766" ht="14.25" customHeight="1">
      <c r="A39766" s="740"/>
    </row>
    <row r="39767" ht="14.25" customHeight="1">
      <c r="A39767" s="740"/>
    </row>
    <row r="39768" ht="14.25" customHeight="1">
      <c r="A39768" s="740"/>
    </row>
    <row r="39769" ht="14.25" customHeight="1">
      <c r="A39769" s="740"/>
    </row>
    <row r="39770" ht="14.25" customHeight="1">
      <c r="A39770" s="740"/>
    </row>
    <row r="39771" ht="14.25" customHeight="1">
      <c r="A39771" s="740"/>
    </row>
    <row r="39772" ht="14.25" customHeight="1">
      <c r="A39772" s="740"/>
    </row>
    <row r="39773" ht="14.25" customHeight="1">
      <c r="A39773" s="740"/>
    </row>
    <row r="39774" ht="14.25" customHeight="1">
      <c r="A39774" s="740"/>
    </row>
    <row r="39775" ht="14.25" customHeight="1">
      <c r="A39775" s="740"/>
    </row>
    <row r="39776" ht="14.25" customHeight="1">
      <c r="A39776" s="740"/>
    </row>
    <row r="39777" ht="14.25" customHeight="1">
      <c r="A39777" s="740"/>
    </row>
    <row r="39778" ht="14.25" customHeight="1">
      <c r="A39778" s="740"/>
    </row>
    <row r="39779" ht="14.25" customHeight="1">
      <c r="A39779" s="740"/>
    </row>
    <row r="39780" ht="14.25" customHeight="1">
      <c r="A39780" s="740"/>
    </row>
    <row r="39781" ht="14.25" customHeight="1">
      <c r="A39781" s="740"/>
    </row>
    <row r="39782" ht="14.25" customHeight="1">
      <c r="A39782" s="740"/>
    </row>
    <row r="39783" ht="14.25" customHeight="1">
      <c r="A39783" s="740"/>
    </row>
    <row r="39784" ht="14.25" customHeight="1">
      <c r="A39784" s="740"/>
    </row>
    <row r="39785" ht="14.25" customHeight="1">
      <c r="A39785" s="740"/>
    </row>
    <row r="39786" ht="14.25" customHeight="1">
      <c r="A39786" s="740"/>
    </row>
    <row r="39787" ht="14.25" customHeight="1">
      <c r="A39787" s="740"/>
    </row>
    <row r="39788" ht="14.25" customHeight="1">
      <c r="A39788" s="740"/>
    </row>
    <row r="39789" ht="14.25" customHeight="1">
      <c r="A39789" s="740"/>
    </row>
    <row r="39790" ht="14.25" customHeight="1">
      <c r="A39790" s="740"/>
    </row>
    <row r="39791" ht="14.25" customHeight="1">
      <c r="A39791" s="740"/>
    </row>
    <row r="39792" ht="14.25" customHeight="1">
      <c r="A39792" s="740"/>
    </row>
    <row r="39793" ht="14.25" customHeight="1">
      <c r="A39793" s="740"/>
    </row>
    <row r="39794" ht="14.25" customHeight="1">
      <c r="A39794" s="740"/>
    </row>
    <row r="39795" ht="14.25" customHeight="1">
      <c r="A39795" s="740"/>
    </row>
    <row r="39796" ht="14.25" customHeight="1">
      <c r="A39796" s="740"/>
    </row>
    <row r="39797" ht="14.25" customHeight="1">
      <c r="A39797" s="740"/>
    </row>
    <row r="39798" ht="14.25" customHeight="1">
      <c r="A39798" s="740"/>
    </row>
    <row r="39799" ht="14.25" customHeight="1">
      <c r="A39799" s="740"/>
    </row>
    <row r="39800" ht="14.25" customHeight="1">
      <c r="A39800" s="740"/>
    </row>
    <row r="39801" ht="14.25" customHeight="1">
      <c r="A39801" s="740"/>
    </row>
    <row r="39802" ht="14.25" customHeight="1">
      <c r="A39802" s="740"/>
    </row>
    <row r="39803" ht="14.25" customHeight="1">
      <c r="A39803" s="740"/>
    </row>
    <row r="39804" ht="14.25" customHeight="1">
      <c r="A39804" s="740"/>
    </row>
    <row r="39805" ht="14.25" customHeight="1">
      <c r="A39805" s="740"/>
    </row>
    <row r="39806" ht="14.25" customHeight="1">
      <c r="A39806" s="740"/>
    </row>
    <row r="39807" ht="14.25" customHeight="1">
      <c r="A39807" s="740"/>
    </row>
    <row r="39808" ht="14.25" customHeight="1">
      <c r="A39808" s="740"/>
    </row>
    <row r="39809" ht="14.25" customHeight="1">
      <c r="A39809" s="740"/>
    </row>
    <row r="39810" ht="14.25" customHeight="1">
      <c r="A39810" s="740"/>
    </row>
    <row r="39811" ht="14.25" customHeight="1">
      <c r="A39811" s="740"/>
    </row>
    <row r="39812" ht="14.25" customHeight="1">
      <c r="A39812" s="740"/>
    </row>
    <row r="39813" ht="14.25" customHeight="1">
      <c r="A39813" s="740"/>
    </row>
    <row r="39814" ht="14.25" customHeight="1">
      <c r="A39814" s="740"/>
    </row>
    <row r="39815" ht="14.25" customHeight="1">
      <c r="A39815" s="740"/>
    </row>
    <row r="39816" ht="14.25" customHeight="1">
      <c r="A39816" s="740"/>
    </row>
    <row r="39817" ht="14.25" customHeight="1">
      <c r="A39817" s="740"/>
    </row>
    <row r="39818" ht="14.25" customHeight="1">
      <c r="A39818" s="740"/>
    </row>
    <row r="39819" ht="14.25" customHeight="1">
      <c r="A39819" s="740"/>
    </row>
    <row r="39820" ht="14.25" customHeight="1">
      <c r="A39820" s="740"/>
    </row>
    <row r="39821" ht="14.25" customHeight="1">
      <c r="A39821" s="740"/>
    </row>
    <row r="39822" ht="14.25" customHeight="1">
      <c r="A39822" s="740"/>
    </row>
    <row r="39823" ht="14.25" customHeight="1">
      <c r="A39823" s="740"/>
    </row>
    <row r="39824" ht="14.25" customHeight="1">
      <c r="A39824" s="740"/>
    </row>
    <row r="39825" ht="14.25" customHeight="1">
      <c r="A39825" s="740"/>
    </row>
    <row r="39826" ht="14.25" customHeight="1">
      <c r="A39826" s="740"/>
    </row>
    <row r="39827" ht="14.25" customHeight="1">
      <c r="A39827" s="740"/>
    </row>
    <row r="39828" ht="14.25" customHeight="1">
      <c r="A39828" s="740"/>
    </row>
    <row r="39829" ht="14.25" customHeight="1">
      <c r="A39829" s="740"/>
    </row>
    <row r="39830" ht="14.25" customHeight="1">
      <c r="A39830" s="740"/>
    </row>
    <row r="39831" ht="14.25" customHeight="1">
      <c r="A39831" s="740"/>
    </row>
    <row r="39832" ht="14.25" customHeight="1">
      <c r="A39832" s="740"/>
    </row>
    <row r="39833" ht="14.25" customHeight="1">
      <c r="A39833" s="740"/>
    </row>
    <row r="39834" ht="14.25" customHeight="1">
      <c r="A39834" s="740"/>
    </row>
    <row r="39835" ht="14.25" customHeight="1">
      <c r="A39835" s="740"/>
    </row>
    <row r="39836" ht="14.25" customHeight="1">
      <c r="A39836" s="740"/>
    </row>
    <row r="39837" ht="14.25" customHeight="1">
      <c r="A39837" s="740"/>
    </row>
    <row r="39838" ht="14.25" customHeight="1">
      <c r="A39838" s="740"/>
    </row>
    <row r="39839" ht="14.25" customHeight="1">
      <c r="A39839" s="740"/>
    </row>
    <row r="39840" ht="14.25" customHeight="1">
      <c r="A39840" s="740"/>
    </row>
    <row r="39841" ht="14.25" customHeight="1">
      <c r="A39841" s="740"/>
    </row>
    <row r="39842" ht="14.25" customHeight="1">
      <c r="A39842" s="740"/>
    </row>
    <row r="39843" ht="14.25" customHeight="1">
      <c r="A39843" s="740"/>
    </row>
    <row r="39844" ht="14.25" customHeight="1">
      <c r="A39844" s="740"/>
    </row>
    <row r="39845" ht="14.25" customHeight="1">
      <c r="A39845" s="740"/>
    </row>
    <row r="39846" ht="14.25" customHeight="1">
      <c r="A39846" s="740"/>
    </row>
    <row r="39847" ht="14.25" customHeight="1">
      <c r="A39847" s="740"/>
    </row>
    <row r="39848" ht="14.25" customHeight="1">
      <c r="A39848" s="740"/>
    </row>
    <row r="39849" ht="14.25" customHeight="1">
      <c r="A39849" s="740"/>
    </row>
    <row r="39850" ht="14.25" customHeight="1">
      <c r="A39850" s="740"/>
    </row>
    <row r="39851" ht="14.25" customHeight="1">
      <c r="A39851" s="740"/>
    </row>
    <row r="39852" ht="14.25" customHeight="1">
      <c r="A39852" s="740"/>
    </row>
    <row r="39853" ht="14.25" customHeight="1">
      <c r="A39853" s="740"/>
    </row>
    <row r="39854" ht="14.25" customHeight="1">
      <c r="A39854" s="740"/>
    </row>
    <row r="39855" ht="14.25" customHeight="1">
      <c r="A39855" s="740"/>
    </row>
    <row r="39856" ht="14.25" customHeight="1">
      <c r="A39856" s="740"/>
    </row>
    <row r="39857" ht="14.25" customHeight="1">
      <c r="A39857" s="740"/>
    </row>
    <row r="39858" ht="14.25" customHeight="1">
      <c r="A39858" s="740"/>
    </row>
    <row r="39859" ht="14.25" customHeight="1">
      <c r="A39859" s="740"/>
    </row>
    <row r="39860" ht="14.25" customHeight="1">
      <c r="A39860" s="740"/>
    </row>
    <row r="39861" ht="14.25" customHeight="1">
      <c r="A39861" s="740"/>
    </row>
    <row r="39862" ht="14.25" customHeight="1">
      <c r="A39862" s="740"/>
    </row>
    <row r="39863" ht="14.25" customHeight="1">
      <c r="A39863" s="740"/>
    </row>
    <row r="39864" ht="14.25" customHeight="1">
      <c r="A39864" s="740"/>
    </row>
    <row r="39865" ht="14.25" customHeight="1">
      <c r="A39865" s="740"/>
    </row>
    <row r="39866" ht="14.25" customHeight="1">
      <c r="A39866" s="740"/>
    </row>
    <row r="39867" ht="14.25" customHeight="1">
      <c r="A39867" s="740"/>
    </row>
    <row r="39868" ht="14.25" customHeight="1">
      <c r="A39868" s="740"/>
    </row>
    <row r="39869" ht="14.25" customHeight="1">
      <c r="A39869" s="740"/>
    </row>
    <row r="39870" ht="14.25" customHeight="1">
      <c r="A39870" s="740"/>
    </row>
    <row r="39871" ht="14.25" customHeight="1">
      <c r="A39871" s="740"/>
    </row>
    <row r="39872" ht="14.25" customHeight="1">
      <c r="A39872" s="740"/>
    </row>
    <row r="39873" ht="14.25" customHeight="1">
      <c r="A39873" s="740"/>
    </row>
    <row r="39874" ht="14.25" customHeight="1">
      <c r="A39874" s="740"/>
    </row>
    <row r="39875" ht="14.25" customHeight="1">
      <c r="A39875" s="740"/>
    </row>
    <row r="39876" ht="14.25" customHeight="1">
      <c r="A39876" s="740"/>
    </row>
    <row r="39877" ht="14.25" customHeight="1">
      <c r="A39877" s="740"/>
    </row>
    <row r="39878" ht="14.25" customHeight="1">
      <c r="A39878" s="740"/>
    </row>
    <row r="39879" ht="14.25" customHeight="1">
      <c r="A39879" s="740"/>
    </row>
    <row r="39880" ht="14.25" customHeight="1">
      <c r="A39880" s="740"/>
    </row>
    <row r="39881" ht="14.25" customHeight="1">
      <c r="A39881" s="740"/>
    </row>
    <row r="39882" ht="14.25" customHeight="1">
      <c r="A39882" s="740"/>
    </row>
    <row r="39883" ht="14.25" customHeight="1">
      <c r="A39883" s="740"/>
    </row>
    <row r="39884" ht="14.25" customHeight="1">
      <c r="A39884" s="740"/>
    </row>
    <row r="39885" ht="14.25" customHeight="1">
      <c r="A39885" s="740"/>
    </row>
    <row r="39886" ht="14.25" customHeight="1">
      <c r="A39886" s="740"/>
    </row>
    <row r="39887" ht="14.25" customHeight="1">
      <c r="A39887" s="740"/>
    </row>
    <row r="39888" ht="14.25" customHeight="1">
      <c r="A39888" s="740"/>
    </row>
    <row r="39889" ht="14.25" customHeight="1">
      <c r="A39889" s="740"/>
    </row>
    <row r="39890" ht="14.25" customHeight="1">
      <c r="A39890" s="740"/>
    </row>
    <row r="39891" ht="14.25" customHeight="1">
      <c r="A39891" s="740"/>
    </row>
    <row r="39892" ht="14.25" customHeight="1">
      <c r="A39892" s="740"/>
    </row>
    <row r="39893" ht="14.25" customHeight="1">
      <c r="A39893" s="740"/>
    </row>
    <row r="39894" ht="14.25" customHeight="1">
      <c r="A39894" s="740"/>
    </row>
    <row r="39895" ht="14.25" customHeight="1">
      <c r="A39895" s="740"/>
    </row>
    <row r="39896" ht="14.25" customHeight="1">
      <c r="A39896" s="740"/>
    </row>
    <row r="39897" ht="14.25" customHeight="1">
      <c r="A39897" s="740"/>
    </row>
    <row r="39898" ht="14.25" customHeight="1">
      <c r="A39898" s="740"/>
    </row>
    <row r="39899" ht="14.25" customHeight="1">
      <c r="A39899" s="740"/>
    </row>
    <row r="39900" ht="14.25" customHeight="1">
      <c r="A39900" s="740"/>
    </row>
    <row r="39901" ht="14.25" customHeight="1">
      <c r="A39901" s="740"/>
    </row>
    <row r="39902" ht="14.25" customHeight="1">
      <c r="A39902" s="740"/>
    </row>
    <row r="39903" ht="14.25" customHeight="1">
      <c r="A39903" s="740"/>
    </row>
    <row r="39904" ht="14.25" customHeight="1">
      <c r="A39904" s="740"/>
    </row>
    <row r="39905" ht="14.25" customHeight="1">
      <c r="A39905" s="740"/>
    </row>
    <row r="39906" ht="14.25" customHeight="1">
      <c r="A39906" s="740"/>
    </row>
    <row r="39907" ht="14.25" customHeight="1">
      <c r="A39907" s="740"/>
    </row>
    <row r="39908" ht="14.25" customHeight="1">
      <c r="A39908" s="740"/>
    </row>
    <row r="39909" ht="14.25" customHeight="1">
      <c r="A39909" s="740"/>
    </row>
    <row r="39910" ht="14.25" customHeight="1">
      <c r="A39910" s="740"/>
    </row>
    <row r="39911" ht="14.25" customHeight="1">
      <c r="A39911" s="740"/>
    </row>
    <row r="39912" ht="14.25" customHeight="1">
      <c r="A39912" s="740"/>
    </row>
    <row r="39913" ht="14.25" customHeight="1">
      <c r="A39913" s="740"/>
    </row>
    <row r="39914" ht="14.25" customHeight="1">
      <c r="A39914" s="740"/>
    </row>
    <row r="39915" ht="14.25" customHeight="1">
      <c r="A39915" s="740"/>
    </row>
    <row r="39916" ht="14.25" customHeight="1">
      <c r="A39916" s="740"/>
    </row>
    <row r="39917" ht="14.25" customHeight="1">
      <c r="A39917" s="740"/>
    </row>
    <row r="39918" ht="14.25" customHeight="1">
      <c r="A39918" s="740"/>
    </row>
    <row r="39919" ht="14.25" customHeight="1">
      <c r="A39919" s="740"/>
    </row>
    <row r="39920" ht="14.25" customHeight="1">
      <c r="A39920" s="740"/>
    </row>
    <row r="39921" ht="14.25" customHeight="1">
      <c r="A39921" s="740"/>
    </row>
    <row r="39922" ht="14.25" customHeight="1">
      <c r="A39922" s="740"/>
    </row>
    <row r="39923" ht="14.25" customHeight="1">
      <c r="A39923" s="740"/>
    </row>
    <row r="39924" ht="14.25" customHeight="1">
      <c r="A39924" s="740"/>
    </row>
    <row r="39925" ht="14.25" customHeight="1">
      <c r="A39925" s="740"/>
    </row>
    <row r="39926" ht="14.25" customHeight="1">
      <c r="A39926" s="740"/>
    </row>
    <row r="39927" ht="14.25" customHeight="1">
      <c r="A39927" s="740"/>
    </row>
    <row r="39928" ht="14.25" customHeight="1">
      <c r="A39928" s="740"/>
    </row>
    <row r="39929" ht="14.25" customHeight="1">
      <c r="A39929" s="740"/>
    </row>
    <row r="39930" ht="14.25" customHeight="1">
      <c r="A39930" s="740"/>
    </row>
    <row r="39931" ht="14.25" customHeight="1">
      <c r="A39931" s="740"/>
    </row>
    <row r="39932" ht="14.25" customHeight="1">
      <c r="A39932" s="740"/>
    </row>
    <row r="39933" ht="14.25" customHeight="1">
      <c r="A39933" s="740"/>
    </row>
    <row r="39934" ht="14.25" customHeight="1">
      <c r="A39934" s="740"/>
    </row>
    <row r="39935" ht="14.25" customHeight="1">
      <c r="A39935" s="740"/>
    </row>
    <row r="39936" ht="14.25" customHeight="1">
      <c r="A39936" s="740"/>
    </row>
    <row r="39937" ht="14.25" customHeight="1">
      <c r="A39937" s="740"/>
    </row>
    <row r="39938" ht="14.25" customHeight="1">
      <c r="A39938" s="740"/>
    </row>
    <row r="39939" ht="14.25" customHeight="1">
      <c r="A39939" s="740"/>
    </row>
    <row r="39940" ht="14.25" customHeight="1">
      <c r="A39940" s="740"/>
    </row>
    <row r="39941" ht="14.25" customHeight="1">
      <c r="A39941" s="740"/>
    </row>
    <row r="39942" ht="14.25" customHeight="1">
      <c r="A39942" s="740"/>
    </row>
    <row r="39943" ht="14.25" customHeight="1">
      <c r="A39943" s="740"/>
    </row>
    <row r="39944" ht="14.25" customHeight="1">
      <c r="A39944" s="740"/>
    </row>
    <row r="39945" ht="14.25" customHeight="1">
      <c r="A39945" s="740"/>
    </row>
    <row r="39946" ht="14.25" customHeight="1">
      <c r="A39946" s="740"/>
    </row>
    <row r="39947" ht="14.25" customHeight="1">
      <c r="A39947" s="740"/>
    </row>
    <row r="39948" ht="14.25" customHeight="1">
      <c r="A39948" s="740"/>
    </row>
    <row r="39949" ht="14.25" customHeight="1">
      <c r="A39949" s="740"/>
    </row>
    <row r="39950" ht="14.25" customHeight="1">
      <c r="A39950" s="740"/>
    </row>
    <row r="39951" ht="14.25" customHeight="1">
      <c r="A39951" s="740"/>
    </row>
    <row r="39952" ht="14.25" customHeight="1">
      <c r="A39952" s="740"/>
    </row>
    <row r="39953" ht="14.25" customHeight="1">
      <c r="A39953" s="740"/>
    </row>
    <row r="39954" ht="14.25" customHeight="1">
      <c r="A39954" s="740"/>
    </row>
    <row r="39955" ht="14.25" customHeight="1">
      <c r="A39955" s="740"/>
    </row>
    <row r="39956" ht="14.25" customHeight="1">
      <c r="A39956" s="740"/>
    </row>
    <row r="39957" ht="14.25" customHeight="1">
      <c r="A39957" s="740"/>
    </row>
    <row r="39958" ht="14.25" customHeight="1">
      <c r="A39958" s="740"/>
    </row>
    <row r="39959" ht="14.25" customHeight="1">
      <c r="A39959" s="740"/>
    </row>
    <row r="39960" ht="14.25" customHeight="1">
      <c r="A39960" s="740"/>
    </row>
    <row r="39961" ht="14.25" customHeight="1">
      <c r="A39961" s="740"/>
    </row>
    <row r="39962" ht="14.25" customHeight="1">
      <c r="A39962" s="740"/>
    </row>
    <row r="39963" ht="14.25" customHeight="1">
      <c r="A39963" s="740"/>
    </row>
    <row r="39964" ht="14.25" customHeight="1">
      <c r="A39964" s="740"/>
    </row>
    <row r="39965" ht="14.25" customHeight="1">
      <c r="A39965" s="740"/>
    </row>
    <row r="39966" ht="14.25" customHeight="1">
      <c r="A39966" s="740"/>
    </row>
    <row r="39967" ht="14.25" customHeight="1">
      <c r="A39967" s="740"/>
    </row>
    <row r="39968" ht="14.25" customHeight="1">
      <c r="A39968" s="740"/>
    </row>
    <row r="39969" ht="14.25" customHeight="1">
      <c r="A39969" s="740"/>
    </row>
    <row r="39970" ht="14.25" customHeight="1">
      <c r="A39970" s="740"/>
    </row>
    <row r="39971" ht="14.25" customHeight="1">
      <c r="A39971" s="740"/>
    </row>
    <row r="39972" ht="14.25" customHeight="1">
      <c r="A39972" s="740"/>
    </row>
    <row r="39973" ht="14.25" customHeight="1">
      <c r="A39973" s="740"/>
    </row>
    <row r="39974" ht="14.25" customHeight="1">
      <c r="A39974" s="740"/>
    </row>
    <row r="39975" ht="14.25" customHeight="1">
      <c r="A39975" s="740"/>
    </row>
    <row r="39976" ht="14.25" customHeight="1">
      <c r="A39976" s="740"/>
    </row>
    <row r="39977" ht="14.25" customHeight="1">
      <c r="A39977" s="740"/>
    </row>
    <row r="39978" ht="14.25" customHeight="1">
      <c r="A39978" s="740"/>
    </row>
    <row r="39979" ht="14.25" customHeight="1">
      <c r="A39979" s="740"/>
    </row>
    <row r="39980" ht="14.25" customHeight="1">
      <c r="A39980" s="740"/>
    </row>
    <row r="39981" ht="14.25" customHeight="1">
      <c r="A39981" s="740"/>
    </row>
    <row r="39982" ht="14.25" customHeight="1">
      <c r="A39982" s="740"/>
    </row>
    <row r="39983" ht="14.25" customHeight="1">
      <c r="A39983" s="740"/>
    </row>
    <row r="39984" ht="14.25" customHeight="1">
      <c r="A39984" s="740"/>
    </row>
    <row r="39985" ht="14.25" customHeight="1">
      <c r="A39985" s="740"/>
    </row>
    <row r="39986" ht="14.25" customHeight="1">
      <c r="A39986" s="740"/>
    </row>
    <row r="39987" ht="14.25" customHeight="1">
      <c r="A39987" s="740"/>
    </row>
    <row r="39988" ht="14.25" customHeight="1">
      <c r="A39988" s="740"/>
    </row>
    <row r="39989" ht="14.25" customHeight="1">
      <c r="A39989" s="740"/>
    </row>
    <row r="39990" ht="14.25" customHeight="1">
      <c r="A39990" s="740"/>
    </row>
    <row r="39991" ht="14.25" customHeight="1">
      <c r="A39991" s="740"/>
    </row>
    <row r="39992" ht="14.25" customHeight="1">
      <c r="A39992" s="740"/>
    </row>
    <row r="39993" ht="14.25" customHeight="1">
      <c r="A39993" s="740"/>
    </row>
    <row r="39994" ht="14.25" customHeight="1">
      <c r="A39994" s="740"/>
    </row>
    <row r="39995" ht="14.25" customHeight="1">
      <c r="A39995" s="740"/>
    </row>
    <row r="39996" ht="14.25" customHeight="1">
      <c r="A39996" s="740"/>
    </row>
    <row r="39997" ht="14.25" customHeight="1">
      <c r="A39997" s="740"/>
    </row>
    <row r="39998" ht="14.25" customHeight="1">
      <c r="A39998" s="740"/>
    </row>
    <row r="39999" ht="14.25" customHeight="1">
      <c r="A39999" s="740"/>
    </row>
    <row r="40000" ht="14.25" customHeight="1">
      <c r="A40000" s="740"/>
    </row>
    <row r="40001" ht="14.25" customHeight="1">
      <c r="A40001" s="740"/>
    </row>
    <row r="40002" ht="14.25" customHeight="1">
      <c r="A40002" s="740"/>
    </row>
    <row r="40003" ht="14.25" customHeight="1">
      <c r="A40003" s="740"/>
    </row>
    <row r="40004" ht="14.25" customHeight="1">
      <c r="A40004" s="740"/>
    </row>
    <row r="40005" ht="14.25" customHeight="1">
      <c r="A40005" s="740"/>
    </row>
    <row r="40006" ht="14.25" customHeight="1">
      <c r="A40006" s="740"/>
    </row>
    <row r="40007" ht="14.25" customHeight="1">
      <c r="A40007" s="740"/>
    </row>
    <row r="40008" ht="14.25" customHeight="1">
      <c r="A40008" s="740"/>
    </row>
    <row r="40009" ht="14.25" customHeight="1">
      <c r="A40009" s="740"/>
    </row>
    <row r="40010" ht="14.25" customHeight="1">
      <c r="A40010" s="740"/>
    </row>
    <row r="40011" ht="14.25" customHeight="1">
      <c r="A40011" s="740"/>
    </row>
    <row r="40012" ht="14.25" customHeight="1">
      <c r="A40012" s="740"/>
    </row>
    <row r="40013" ht="14.25" customHeight="1">
      <c r="A40013" s="740"/>
    </row>
    <row r="40014" ht="14.25" customHeight="1">
      <c r="A40014" s="740"/>
    </row>
    <row r="40015" ht="14.25" customHeight="1">
      <c r="A40015" s="740"/>
    </row>
    <row r="40016" ht="14.25" customHeight="1">
      <c r="A40016" s="740"/>
    </row>
    <row r="40017" ht="14.25" customHeight="1">
      <c r="A40017" s="740"/>
    </row>
    <row r="40018" ht="14.25" customHeight="1">
      <c r="A40018" s="740"/>
    </row>
    <row r="40019" ht="14.25" customHeight="1">
      <c r="A40019" s="740"/>
    </row>
    <row r="40020" ht="14.25" customHeight="1">
      <c r="A40020" s="740"/>
    </row>
    <row r="40021" ht="14.25" customHeight="1">
      <c r="A40021" s="740"/>
    </row>
    <row r="40022" ht="14.25" customHeight="1">
      <c r="A40022" s="740"/>
    </row>
    <row r="40023" ht="14.25" customHeight="1">
      <c r="A40023" s="740"/>
    </row>
    <row r="40024" ht="14.25" customHeight="1">
      <c r="A40024" s="740"/>
    </row>
    <row r="40025" ht="14.25" customHeight="1">
      <c r="A40025" s="740"/>
    </row>
    <row r="40026" ht="14.25" customHeight="1">
      <c r="A40026" s="740"/>
    </row>
    <row r="40027" ht="14.25" customHeight="1">
      <c r="A40027" s="740"/>
    </row>
    <row r="40028" ht="14.25" customHeight="1">
      <c r="A40028" s="740"/>
    </row>
    <row r="40029" ht="14.25" customHeight="1">
      <c r="A40029" s="740"/>
    </row>
    <row r="40030" ht="14.25" customHeight="1">
      <c r="A40030" s="740"/>
    </row>
    <row r="40031" ht="14.25" customHeight="1">
      <c r="A40031" s="740"/>
    </row>
    <row r="40032" ht="14.25" customHeight="1">
      <c r="A40032" s="740"/>
    </row>
    <row r="40033" ht="14.25" customHeight="1">
      <c r="A40033" s="740"/>
    </row>
    <row r="40034" ht="14.25" customHeight="1">
      <c r="A40034" s="740"/>
    </row>
    <row r="40035" ht="14.25" customHeight="1">
      <c r="A40035" s="740"/>
    </row>
    <row r="40036" ht="14.25" customHeight="1">
      <c r="A40036" s="740"/>
    </row>
    <row r="40037" ht="14.25" customHeight="1">
      <c r="A40037" s="740"/>
    </row>
    <row r="40038" ht="14.25" customHeight="1">
      <c r="A40038" s="740"/>
    </row>
    <row r="40039" ht="14.25" customHeight="1">
      <c r="A40039" s="740"/>
    </row>
    <row r="40040" ht="14.25" customHeight="1">
      <c r="A40040" s="740"/>
    </row>
    <row r="40041" ht="14.25" customHeight="1">
      <c r="A40041" s="740"/>
    </row>
    <row r="40042" ht="14.25" customHeight="1">
      <c r="A40042" s="740"/>
    </row>
    <row r="40043" ht="14.25" customHeight="1">
      <c r="A40043" s="740"/>
    </row>
    <row r="40044" ht="14.25" customHeight="1">
      <c r="A40044" s="740"/>
    </row>
    <row r="40045" ht="14.25" customHeight="1">
      <c r="A40045" s="740"/>
    </row>
    <row r="40046" ht="14.25" customHeight="1">
      <c r="A40046" s="740"/>
    </row>
    <row r="40047" ht="14.25" customHeight="1">
      <c r="A40047" s="740"/>
    </row>
    <row r="40048" ht="14.25" customHeight="1">
      <c r="A40048" s="740"/>
    </row>
    <row r="40049" ht="14.25" customHeight="1">
      <c r="A40049" s="740"/>
    </row>
    <row r="40050" ht="14.25" customHeight="1">
      <c r="A40050" s="740"/>
    </row>
    <row r="40051" ht="14.25" customHeight="1">
      <c r="A40051" s="740"/>
    </row>
    <row r="40052" ht="14.25" customHeight="1">
      <c r="A40052" s="740"/>
    </row>
    <row r="40053" ht="14.25" customHeight="1">
      <c r="A40053" s="740"/>
    </row>
    <row r="40054" ht="14.25" customHeight="1">
      <c r="A40054" s="740"/>
    </row>
    <row r="40055" ht="14.25" customHeight="1">
      <c r="A40055" s="740"/>
    </row>
    <row r="40056" ht="14.25" customHeight="1">
      <c r="A40056" s="740"/>
    </row>
    <row r="40057" ht="14.25" customHeight="1">
      <c r="A40057" s="740"/>
    </row>
    <row r="40058" ht="14.25" customHeight="1">
      <c r="A40058" s="740"/>
    </row>
    <row r="40059" ht="14.25" customHeight="1">
      <c r="A40059" s="740"/>
    </row>
    <row r="40060" ht="14.25" customHeight="1">
      <c r="A40060" s="740"/>
    </row>
    <row r="40061" ht="14.25" customHeight="1">
      <c r="A40061" s="740"/>
    </row>
    <row r="40062" ht="14.25" customHeight="1">
      <c r="A40062" s="740"/>
    </row>
    <row r="40063" ht="14.25" customHeight="1">
      <c r="A40063" s="740"/>
    </row>
    <row r="40064" ht="14.25" customHeight="1">
      <c r="A40064" s="740"/>
    </row>
    <row r="40065" ht="14.25" customHeight="1">
      <c r="A40065" s="740"/>
    </row>
    <row r="40066" ht="14.25" customHeight="1">
      <c r="A40066" s="740"/>
    </row>
    <row r="40067" ht="14.25" customHeight="1">
      <c r="A40067" s="740"/>
    </row>
    <row r="40068" ht="14.25" customHeight="1">
      <c r="A40068" s="740"/>
    </row>
    <row r="40069" ht="14.25" customHeight="1">
      <c r="A40069" s="740"/>
    </row>
    <row r="40070" ht="14.25" customHeight="1">
      <c r="A40070" s="740"/>
    </row>
    <row r="40071" ht="14.25" customHeight="1">
      <c r="A40071" s="740"/>
    </row>
    <row r="40072" ht="14.25" customHeight="1">
      <c r="A40072" s="740"/>
    </row>
    <row r="40073" ht="14.25" customHeight="1">
      <c r="A40073" s="740"/>
    </row>
    <row r="40074" ht="14.25" customHeight="1">
      <c r="A40074" s="740"/>
    </row>
    <row r="40075" ht="14.25" customHeight="1">
      <c r="A40075" s="740"/>
    </row>
    <row r="40076" ht="14.25" customHeight="1">
      <c r="A40076" s="740"/>
    </row>
    <row r="40077" ht="14.25" customHeight="1">
      <c r="A40077" s="740"/>
    </row>
    <row r="40078" ht="14.25" customHeight="1">
      <c r="A40078" s="740"/>
    </row>
    <row r="40079" ht="14.25" customHeight="1">
      <c r="A40079" s="740"/>
    </row>
    <row r="40080" ht="14.25" customHeight="1">
      <c r="A40080" s="740"/>
    </row>
    <row r="40081" ht="14.25" customHeight="1">
      <c r="A40081" s="740"/>
    </row>
    <row r="40082" ht="14.25" customHeight="1">
      <c r="A40082" s="740"/>
    </row>
    <row r="40083" ht="14.25" customHeight="1">
      <c r="A40083" s="740"/>
    </row>
    <row r="40084" ht="14.25" customHeight="1">
      <c r="A40084" s="740"/>
    </row>
    <row r="40085" ht="14.25" customHeight="1">
      <c r="A40085" s="740"/>
    </row>
    <row r="40086" ht="14.25" customHeight="1">
      <c r="A40086" s="740"/>
    </row>
    <row r="40087" ht="14.25" customHeight="1">
      <c r="A40087" s="740"/>
    </row>
    <row r="40088" ht="14.25" customHeight="1">
      <c r="A40088" s="740"/>
    </row>
    <row r="40089" ht="14.25" customHeight="1">
      <c r="A40089" s="740"/>
    </row>
    <row r="40090" ht="14.25" customHeight="1">
      <c r="A40090" s="740"/>
    </row>
    <row r="40091" ht="14.25" customHeight="1">
      <c r="A40091" s="740"/>
    </row>
    <row r="40092" ht="14.25" customHeight="1">
      <c r="A40092" s="740"/>
    </row>
    <row r="40093" ht="14.25" customHeight="1">
      <c r="A40093" s="740"/>
    </row>
    <row r="40094" ht="14.25" customHeight="1">
      <c r="A40094" s="740"/>
    </row>
    <row r="40095" ht="14.25" customHeight="1">
      <c r="A40095" s="740"/>
    </row>
    <row r="40096" ht="14.25" customHeight="1">
      <c r="A40096" s="740"/>
    </row>
    <row r="40097" ht="14.25" customHeight="1">
      <c r="A40097" s="740"/>
    </row>
    <row r="40098" ht="14.25" customHeight="1">
      <c r="A40098" s="740"/>
    </row>
    <row r="40099" ht="14.25" customHeight="1">
      <c r="A40099" s="740"/>
    </row>
    <row r="40100" ht="14.25" customHeight="1">
      <c r="A40100" s="740"/>
    </row>
    <row r="40101" ht="14.25" customHeight="1">
      <c r="A40101" s="740"/>
    </row>
    <row r="40102" ht="14.25" customHeight="1">
      <c r="A40102" s="740"/>
    </row>
    <row r="40103" ht="14.25" customHeight="1">
      <c r="A40103" s="740"/>
    </row>
    <row r="40104" ht="14.25" customHeight="1">
      <c r="A40104" s="740"/>
    </row>
    <row r="40105" ht="14.25" customHeight="1">
      <c r="A40105" s="740"/>
    </row>
    <row r="40106" ht="14.25" customHeight="1">
      <c r="A40106" s="740"/>
    </row>
    <row r="40107" ht="14.25" customHeight="1">
      <c r="A40107" s="740"/>
    </row>
    <row r="40108" ht="14.25" customHeight="1">
      <c r="A40108" s="740"/>
    </row>
    <row r="40109" ht="14.25" customHeight="1">
      <c r="A40109" s="740"/>
    </row>
    <row r="40110" ht="14.25" customHeight="1">
      <c r="A40110" s="740"/>
    </row>
    <row r="40111" ht="14.25" customHeight="1">
      <c r="A40111" s="740"/>
    </row>
    <row r="40112" ht="14.25" customHeight="1">
      <c r="A40112" s="740"/>
    </row>
    <row r="40113" ht="14.25" customHeight="1">
      <c r="A40113" s="740"/>
    </row>
    <row r="40114" ht="14.25" customHeight="1">
      <c r="A40114" s="740"/>
    </row>
    <row r="40115" ht="14.25" customHeight="1">
      <c r="A40115" s="740"/>
    </row>
    <row r="40116" ht="14.25" customHeight="1">
      <c r="A40116" s="740"/>
    </row>
    <row r="40117" ht="14.25" customHeight="1">
      <c r="A40117" s="740"/>
    </row>
    <row r="40118" ht="14.25" customHeight="1">
      <c r="A40118" s="740"/>
    </row>
    <row r="40119" ht="14.25" customHeight="1">
      <c r="A40119" s="740"/>
    </row>
    <row r="40120" ht="14.25" customHeight="1">
      <c r="A40120" s="740"/>
    </row>
    <row r="40121" ht="14.25" customHeight="1">
      <c r="A40121" s="740"/>
    </row>
    <row r="40122" ht="14.25" customHeight="1">
      <c r="A40122" s="740"/>
    </row>
    <row r="40123" ht="14.25" customHeight="1">
      <c r="A40123" s="740"/>
    </row>
    <row r="40124" ht="14.25" customHeight="1">
      <c r="A40124" s="740"/>
    </row>
    <row r="40125" ht="14.25" customHeight="1">
      <c r="A40125" s="740"/>
    </row>
    <row r="40126" ht="14.25" customHeight="1">
      <c r="A40126" s="740"/>
    </row>
    <row r="40127" ht="14.25" customHeight="1">
      <c r="A40127" s="740"/>
    </row>
    <row r="40128" ht="14.25" customHeight="1">
      <c r="A40128" s="740"/>
    </row>
    <row r="40129" ht="14.25" customHeight="1">
      <c r="A40129" s="740"/>
    </row>
    <row r="40130" ht="14.25" customHeight="1">
      <c r="A40130" s="740"/>
    </row>
    <row r="40131" ht="14.25" customHeight="1">
      <c r="A40131" s="740"/>
    </row>
    <row r="40132" ht="14.25" customHeight="1">
      <c r="A40132" s="740"/>
    </row>
    <row r="40133" ht="14.25" customHeight="1">
      <c r="A40133" s="740"/>
    </row>
    <row r="40134" ht="14.25" customHeight="1">
      <c r="A40134" s="740"/>
    </row>
    <row r="40135" ht="14.25" customHeight="1">
      <c r="A40135" s="740"/>
    </row>
    <row r="40136" ht="14.25" customHeight="1">
      <c r="A40136" s="740"/>
    </row>
    <row r="40137" ht="14.25" customHeight="1">
      <c r="A40137" s="740"/>
    </row>
    <row r="40138" ht="14.25" customHeight="1">
      <c r="A40138" s="740"/>
    </row>
    <row r="40139" ht="14.25" customHeight="1">
      <c r="A40139" s="740"/>
    </row>
    <row r="40140" ht="14.25" customHeight="1">
      <c r="A40140" s="740"/>
    </row>
    <row r="40141" ht="14.25" customHeight="1">
      <c r="A40141" s="740"/>
    </row>
    <row r="40142" ht="14.25" customHeight="1">
      <c r="A40142" s="740"/>
    </row>
    <row r="40143" ht="14.25" customHeight="1">
      <c r="A40143" s="740"/>
    </row>
    <row r="40144" ht="14.25" customHeight="1">
      <c r="A40144" s="740"/>
    </row>
    <row r="40145" ht="14.25" customHeight="1">
      <c r="A40145" s="740"/>
    </row>
    <row r="40146" ht="14.25" customHeight="1">
      <c r="A40146" s="740"/>
    </row>
    <row r="40147" ht="14.25" customHeight="1">
      <c r="A40147" s="740"/>
    </row>
    <row r="40148" ht="14.25" customHeight="1">
      <c r="A40148" s="740"/>
    </row>
    <row r="40149" ht="14.25" customHeight="1">
      <c r="A40149" s="740"/>
    </row>
    <row r="40150" ht="14.25" customHeight="1">
      <c r="A40150" s="740"/>
    </row>
    <row r="40151" ht="14.25" customHeight="1">
      <c r="A40151" s="740"/>
    </row>
    <row r="40152" ht="14.25" customHeight="1">
      <c r="A40152" s="740"/>
    </row>
    <row r="40153" ht="14.25" customHeight="1">
      <c r="A40153" s="740"/>
    </row>
    <row r="40154" ht="14.25" customHeight="1">
      <c r="A40154" s="740"/>
    </row>
    <row r="40155" ht="14.25" customHeight="1">
      <c r="A40155" s="740"/>
    </row>
    <row r="40156" ht="14.25" customHeight="1">
      <c r="A40156" s="740"/>
    </row>
    <row r="40157" ht="14.25" customHeight="1">
      <c r="A40157" s="740"/>
    </row>
    <row r="40158" ht="14.25" customHeight="1">
      <c r="A40158" s="740"/>
    </row>
    <row r="40159" ht="14.25" customHeight="1">
      <c r="A40159" s="740"/>
    </row>
    <row r="40160" ht="14.25" customHeight="1">
      <c r="A40160" s="740"/>
    </row>
    <row r="40161" ht="14.25" customHeight="1">
      <c r="A40161" s="740"/>
    </row>
    <row r="40162" ht="14.25" customHeight="1">
      <c r="A40162" s="740"/>
    </row>
    <row r="40163" ht="14.25" customHeight="1">
      <c r="A40163" s="740"/>
    </row>
    <row r="40164" ht="14.25" customHeight="1">
      <c r="A40164" s="740"/>
    </row>
    <row r="40165" ht="14.25" customHeight="1">
      <c r="A40165" s="740"/>
    </row>
    <row r="40166" ht="14.25" customHeight="1">
      <c r="A40166" s="740"/>
    </row>
    <row r="40167" ht="14.25" customHeight="1">
      <c r="A40167" s="740"/>
    </row>
    <row r="40168" ht="14.25" customHeight="1">
      <c r="A40168" s="740"/>
    </row>
    <row r="40169" ht="14.25" customHeight="1">
      <c r="A40169" s="740"/>
    </row>
    <row r="40170" ht="14.25" customHeight="1">
      <c r="A40170" s="740"/>
    </row>
    <row r="40171" ht="14.25" customHeight="1">
      <c r="A40171" s="740"/>
    </row>
    <row r="40172" ht="14.25" customHeight="1">
      <c r="A40172" s="740"/>
    </row>
    <row r="40173" ht="14.25" customHeight="1">
      <c r="A40173" s="740"/>
    </row>
    <row r="40174" ht="14.25" customHeight="1">
      <c r="A40174" s="740"/>
    </row>
    <row r="40175" ht="14.25" customHeight="1">
      <c r="A40175" s="740"/>
    </row>
    <row r="40176" ht="14.25" customHeight="1">
      <c r="A40176" s="740"/>
    </row>
    <row r="40177" ht="14.25" customHeight="1">
      <c r="A40177" s="740"/>
    </row>
    <row r="40178" ht="14.25" customHeight="1">
      <c r="A40178" s="740"/>
    </row>
    <row r="40179" ht="14.25" customHeight="1">
      <c r="A40179" s="740"/>
    </row>
    <row r="40180" ht="14.25" customHeight="1">
      <c r="A40180" s="740"/>
    </row>
    <row r="40181" ht="14.25" customHeight="1">
      <c r="A40181" s="740"/>
    </row>
    <row r="40182" ht="14.25" customHeight="1">
      <c r="A40182" s="740"/>
    </row>
    <row r="40183" ht="14.25" customHeight="1">
      <c r="A40183" s="740"/>
    </row>
    <row r="40184" ht="14.25" customHeight="1">
      <c r="A40184" s="740"/>
    </row>
    <row r="40185" ht="14.25" customHeight="1">
      <c r="A40185" s="740"/>
    </row>
    <row r="40186" ht="14.25" customHeight="1">
      <c r="A40186" s="740"/>
    </row>
    <row r="40187" ht="14.25" customHeight="1">
      <c r="A40187" s="740"/>
    </row>
    <row r="40188" ht="14.25" customHeight="1">
      <c r="A40188" s="740"/>
    </row>
    <row r="40189" ht="14.25" customHeight="1">
      <c r="A40189" s="740"/>
    </row>
    <row r="40190" ht="14.25" customHeight="1">
      <c r="A40190" s="740"/>
    </row>
    <row r="40191" ht="14.25" customHeight="1">
      <c r="A40191" s="740"/>
    </row>
    <row r="40192" ht="14.25" customHeight="1">
      <c r="A40192" s="740"/>
    </row>
    <row r="40193" ht="14.25" customHeight="1">
      <c r="A40193" s="740"/>
    </row>
    <row r="40194" ht="14.25" customHeight="1">
      <c r="A40194" s="740"/>
    </row>
    <row r="40195" ht="14.25" customHeight="1">
      <c r="A40195" s="740"/>
    </row>
    <row r="40196" ht="14.25" customHeight="1">
      <c r="A40196" s="740"/>
    </row>
    <row r="40197" ht="14.25" customHeight="1">
      <c r="A40197" s="740"/>
    </row>
    <row r="40198" ht="14.25" customHeight="1">
      <c r="A40198" s="740"/>
    </row>
    <row r="40199" ht="14.25" customHeight="1">
      <c r="A40199" s="740"/>
    </row>
    <row r="40200" ht="14.25" customHeight="1">
      <c r="A40200" s="740"/>
    </row>
    <row r="40201" ht="14.25" customHeight="1">
      <c r="A40201" s="740"/>
    </row>
    <row r="40202" ht="14.25" customHeight="1">
      <c r="A40202" s="740"/>
    </row>
    <row r="40203" ht="14.25" customHeight="1">
      <c r="A40203" s="740"/>
    </row>
    <row r="40204" ht="14.25" customHeight="1">
      <c r="A40204" s="740"/>
    </row>
    <row r="40205" ht="14.25" customHeight="1">
      <c r="A40205" s="740"/>
    </row>
    <row r="40206" ht="14.25" customHeight="1">
      <c r="A40206" s="740"/>
    </row>
    <row r="40207" ht="14.25" customHeight="1">
      <c r="A40207" s="740"/>
    </row>
    <row r="40208" ht="14.25" customHeight="1">
      <c r="A40208" s="740"/>
    </row>
    <row r="40209" ht="14.25" customHeight="1">
      <c r="A40209" s="740"/>
    </row>
    <row r="40210" ht="14.25" customHeight="1">
      <c r="A40210" s="740"/>
    </row>
    <row r="40211" ht="14.25" customHeight="1">
      <c r="A40211" s="740"/>
    </row>
    <row r="40212" ht="14.25" customHeight="1">
      <c r="A40212" s="740"/>
    </row>
    <row r="40213" ht="14.25" customHeight="1">
      <c r="A40213" s="740"/>
    </row>
    <row r="40214" ht="14.25" customHeight="1">
      <c r="A40214" s="740"/>
    </row>
    <row r="40215" ht="14.25" customHeight="1">
      <c r="A40215" s="740"/>
    </row>
    <row r="40216" ht="14.25" customHeight="1">
      <c r="A40216" s="740"/>
    </row>
    <row r="40217" ht="14.25" customHeight="1">
      <c r="A40217" s="740"/>
    </row>
    <row r="40218" ht="14.25" customHeight="1">
      <c r="A40218" s="740"/>
    </row>
    <row r="40219" ht="14.25" customHeight="1">
      <c r="A40219" s="740"/>
    </row>
    <row r="40220" ht="14.25" customHeight="1">
      <c r="A40220" s="740"/>
    </row>
    <row r="40221" ht="14.25" customHeight="1">
      <c r="A40221" s="740"/>
    </row>
    <row r="40222" ht="14.25" customHeight="1">
      <c r="A40222" s="740"/>
    </row>
    <row r="40223" ht="14.25" customHeight="1">
      <c r="A40223" s="740"/>
    </row>
    <row r="40224" ht="14.25" customHeight="1">
      <c r="A40224" s="740"/>
    </row>
    <row r="40225" ht="14.25" customHeight="1">
      <c r="A40225" s="740"/>
    </row>
    <row r="40226" ht="14.25" customHeight="1">
      <c r="A40226" s="740"/>
    </row>
    <row r="40227" ht="14.25" customHeight="1">
      <c r="A40227" s="740"/>
    </row>
    <row r="40228" ht="14.25" customHeight="1">
      <c r="A40228" s="740"/>
    </row>
    <row r="40229" ht="14.25" customHeight="1">
      <c r="A40229" s="740"/>
    </row>
    <row r="40230" ht="14.25" customHeight="1">
      <c r="A40230" s="740"/>
    </row>
    <row r="40231" ht="14.25" customHeight="1">
      <c r="A40231" s="740"/>
    </row>
    <row r="40232" ht="14.25" customHeight="1">
      <c r="A40232" s="740"/>
    </row>
    <row r="40233" ht="14.25" customHeight="1">
      <c r="A40233" s="740"/>
    </row>
    <row r="40234" ht="14.25" customHeight="1">
      <c r="A40234" s="740"/>
    </row>
    <row r="40235" ht="14.25" customHeight="1">
      <c r="A40235" s="740"/>
    </row>
    <row r="40236" ht="14.25" customHeight="1">
      <c r="A40236" s="740"/>
    </row>
    <row r="40237" ht="14.25" customHeight="1">
      <c r="A40237" s="740"/>
    </row>
    <row r="40238" ht="14.25" customHeight="1">
      <c r="A40238" s="740"/>
    </row>
    <row r="40239" ht="14.25" customHeight="1">
      <c r="A40239" s="740"/>
    </row>
    <row r="40240" ht="14.25" customHeight="1">
      <c r="A40240" s="740"/>
    </row>
    <row r="40241" ht="14.25" customHeight="1">
      <c r="A40241" s="740"/>
    </row>
    <row r="40242" ht="14.25" customHeight="1">
      <c r="A40242" s="740"/>
    </row>
    <row r="40243" ht="14.25" customHeight="1">
      <c r="A40243" s="740"/>
    </row>
    <row r="40244" ht="14.25" customHeight="1">
      <c r="A40244" s="740"/>
    </row>
    <row r="40245" ht="14.25" customHeight="1">
      <c r="A40245" s="740"/>
    </row>
    <row r="40246" ht="14.25" customHeight="1">
      <c r="A40246" s="740"/>
    </row>
    <row r="40247" ht="14.25" customHeight="1">
      <c r="A40247" s="740"/>
    </row>
    <row r="40248" ht="14.25" customHeight="1">
      <c r="A40248" s="740"/>
    </row>
    <row r="40249" ht="14.25" customHeight="1">
      <c r="A40249" s="740"/>
    </row>
    <row r="40250" ht="14.25" customHeight="1">
      <c r="A40250" s="740"/>
    </row>
    <row r="40251" ht="14.25" customHeight="1">
      <c r="A40251" s="740"/>
    </row>
    <row r="40252" ht="14.25" customHeight="1">
      <c r="A40252" s="740"/>
    </row>
    <row r="40253" ht="14.25" customHeight="1">
      <c r="A40253" s="740"/>
    </row>
    <row r="40254" ht="14.25" customHeight="1">
      <c r="A40254" s="740"/>
    </row>
    <row r="40255" ht="14.25" customHeight="1">
      <c r="A40255" s="740"/>
    </row>
    <row r="40256" ht="14.25" customHeight="1">
      <c r="A40256" s="740"/>
    </row>
    <row r="40257" ht="14.25" customHeight="1">
      <c r="A40257" s="740"/>
    </row>
    <row r="40258" ht="14.25" customHeight="1">
      <c r="A40258" s="740"/>
    </row>
    <row r="40259" ht="14.25" customHeight="1">
      <c r="A40259" s="740"/>
    </row>
    <row r="40260" ht="14.25" customHeight="1">
      <c r="A40260" s="740"/>
    </row>
    <row r="40261" ht="14.25" customHeight="1">
      <c r="A40261" s="740"/>
    </row>
    <row r="40262" ht="14.25" customHeight="1">
      <c r="A40262" s="740"/>
    </row>
    <row r="40263" ht="14.25" customHeight="1">
      <c r="A40263" s="740"/>
    </row>
    <row r="40264" ht="14.25" customHeight="1">
      <c r="A40264" s="740"/>
    </row>
    <row r="40265" ht="14.25" customHeight="1">
      <c r="A40265" s="740"/>
    </row>
    <row r="40266" ht="14.25" customHeight="1">
      <c r="A40266" s="740"/>
    </row>
    <row r="40267" ht="14.25" customHeight="1">
      <c r="A40267" s="740"/>
    </row>
    <row r="40268" ht="14.25" customHeight="1">
      <c r="A40268" s="740"/>
    </row>
    <row r="40269" ht="14.25" customHeight="1">
      <c r="A40269" s="740"/>
    </row>
    <row r="40270" ht="14.25" customHeight="1">
      <c r="A40270" s="740"/>
    </row>
    <row r="40271" ht="14.25" customHeight="1">
      <c r="A40271" s="740"/>
    </row>
    <row r="40272" ht="14.25" customHeight="1">
      <c r="A40272" s="740"/>
    </row>
    <row r="40273" ht="14.25" customHeight="1">
      <c r="A40273" s="740"/>
    </row>
    <row r="40274" ht="14.25" customHeight="1">
      <c r="A40274" s="740"/>
    </row>
    <row r="40275" ht="14.25" customHeight="1">
      <c r="A40275" s="740"/>
    </row>
    <row r="40276" ht="14.25" customHeight="1">
      <c r="A40276" s="740"/>
    </row>
    <row r="40277" ht="14.25" customHeight="1">
      <c r="A40277" s="740"/>
    </row>
    <row r="40278" ht="14.25" customHeight="1">
      <c r="A40278" s="740"/>
    </row>
    <row r="40279" ht="14.25" customHeight="1">
      <c r="A40279" s="740"/>
    </row>
    <row r="40280" ht="14.25" customHeight="1">
      <c r="A40280" s="740"/>
    </row>
    <row r="40281" ht="14.25" customHeight="1">
      <c r="A40281" s="740"/>
    </row>
    <row r="40282" ht="14.25" customHeight="1">
      <c r="A40282" s="740"/>
    </row>
    <row r="40283" ht="14.25" customHeight="1">
      <c r="A40283" s="740"/>
    </row>
    <row r="40284" ht="14.25" customHeight="1">
      <c r="A40284" s="740"/>
    </row>
    <row r="40285" ht="14.25" customHeight="1">
      <c r="A40285" s="740"/>
    </row>
    <row r="40286" ht="14.25" customHeight="1">
      <c r="A40286" s="740"/>
    </row>
    <row r="40287" ht="14.25" customHeight="1">
      <c r="A40287" s="740"/>
    </row>
    <row r="40288" ht="14.25" customHeight="1">
      <c r="A40288" s="740"/>
    </row>
    <row r="40289" ht="14.25" customHeight="1">
      <c r="A40289" s="740"/>
    </row>
    <row r="40290" ht="14.25" customHeight="1">
      <c r="A40290" s="740"/>
    </row>
    <row r="40291" ht="14.25" customHeight="1">
      <c r="A40291" s="740"/>
    </row>
    <row r="40292" ht="14.25" customHeight="1">
      <c r="A40292" s="740"/>
    </row>
    <row r="40293" ht="14.25" customHeight="1">
      <c r="A40293" s="740"/>
    </row>
    <row r="40294" ht="14.25" customHeight="1">
      <c r="A40294" s="740"/>
    </row>
    <row r="40295" ht="14.25" customHeight="1">
      <c r="A40295" s="740"/>
    </row>
    <row r="40296" ht="14.25" customHeight="1">
      <c r="A40296" s="740"/>
    </row>
    <row r="40297" ht="14.25" customHeight="1">
      <c r="A40297" s="740"/>
    </row>
    <row r="40298" ht="14.25" customHeight="1">
      <c r="A40298" s="740"/>
    </row>
    <row r="40299" ht="14.25" customHeight="1">
      <c r="A40299" s="740"/>
    </row>
    <row r="40300" ht="14.25" customHeight="1">
      <c r="A40300" s="740"/>
    </row>
    <row r="40301" ht="14.25" customHeight="1">
      <c r="A40301" s="740"/>
    </row>
    <row r="40302" ht="14.25" customHeight="1">
      <c r="A40302" s="740"/>
    </row>
    <row r="40303" ht="14.25" customHeight="1">
      <c r="A40303" s="740"/>
    </row>
    <row r="40304" ht="14.25" customHeight="1">
      <c r="A40304" s="740"/>
    </row>
    <row r="40305" ht="14.25" customHeight="1">
      <c r="A40305" s="740"/>
    </row>
    <row r="40306" ht="14.25" customHeight="1">
      <c r="A40306" s="740"/>
    </row>
    <row r="40307" ht="14.25" customHeight="1">
      <c r="A40307" s="740"/>
    </row>
    <row r="40308" ht="14.25" customHeight="1">
      <c r="A40308" s="740"/>
    </row>
    <row r="40309" ht="14.25" customHeight="1">
      <c r="A40309" s="740"/>
    </row>
    <row r="40310" ht="14.25" customHeight="1">
      <c r="A40310" s="740"/>
    </row>
    <row r="40311" ht="14.25" customHeight="1">
      <c r="A40311" s="740"/>
    </row>
    <row r="40312" ht="14.25" customHeight="1">
      <c r="A40312" s="740"/>
    </row>
    <row r="40313" ht="14.25" customHeight="1">
      <c r="A40313" s="740"/>
    </row>
    <row r="40314" ht="14.25" customHeight="1">
      <c r="A40314" s="740"/>
    </row>
    <row r="40315" ht="14.25" customHeight="1">
      <c r="A40315" s="740"/>
    </row>
    <row r="40316" ht="14.25" customHeight="1">
      <c r="A40316" s="740"/>
    </row>
    <row r="40317" ht="14.25" customHeight="1">
      <c r="A40317" s="740"/>
    </row>
    <row r="40318" ht="14.25" customHeight="1">
      <c r="A40318" s="740"/>
    </row>
    <row r="40319" ht="14.25" customHeight="1">
      <c r="A40319" s="740"/>
    </row>
    <row r="40320" ht="14.25" customHeight="1">
      <c r="A40320" s="740"/>
    </row>
    <row r="40321" ht="14.25" customHeight="1">
      <c r="A40321" s="740"/>
    </row>
    <row r="40322" ht="14.25" customHeight="1">
      <c r="A40322" s="740"/>
    </row>
    <row r="40323" ht="14.25" customHeight="1">
      <c r="A40323" s="740"/>
    </row>
    <row r="40324" ht="14.25" customHeight="1">
      <c r="A40324" s="740"/>
    </row>
    <row r="40325" ht="14.25" customHeight="1">
      <c r="A40325" s="740"/>
    </row>
    <row r="40326" ht="14.25" customHeight="1">
      <c r="A40326" s="740"/>
    </row>
    <row r="40327" ht="14.25" customHeight="1">
      <c r="A40327" s="740"/>
    </row>
    <row r="40328" ht="14.25" customHeight="1">
      <c r="A40328" s="740"/>
    </row>
    <row r="40329" ht="14.25" customHeight="1">
      <c r="A40329" s="740"/>
    </row>
    <row r="40330" ht="14.25" customHeight="1">
      <c r="A40330" s="740"/>
    </row>
    <row r="40331" ht="14.25" customHeight="1">
      <c r="A40331" s="740"/>
    </row>
    <row r="40332" ht="14.25" customHeight="1">
      <c r="A40332" s="740"/>
    </row>
    <row r="40333" ht="14.25" customHeight="1">
      <c r="A40333" s="740"/>
    </row>
    <row r="40334" ht="14.25" customHeight="1">
      <c r="A40334" s="740"/>
    </row>
    <row r="40335" ht="14.25" customHeight="1">
      <c r="A40335" s="740"/>
    </row>
    <row r="40336" ht="14.25" customHeight="1">
      <c r="A40336" s="740"/>
    </row>
    <row r="40337" ht="14.25" customHeight="1">
      <c r="A40337" s="740"/>
    </row>
    <row r="40338" ht="14.25" customHeight="1">
      <c r="A40338" s="740"/>
    </row>
    <row r="40339" ht="14.25" customHeight="1">
      <c r="A40339" s="740"/>
    </row>
    <row r="40340" ht="14.25" customHeight="1">
      <c r="A40340" s="740"/>
    </row>
    <row r="40341" ht="14.25" customHeight="1">
      <c r="A40341" s="740"/>
    </row>
    <row r="40342" ht="14.25" customHeight="1">
      <c r="A40342" s="740"/>
    </row>
    <row r="40343" ht="14.25" customHeight="1">
      <c r="A40343" s="740"/>
    </row>
    <row r="40344" ht="14.25" customHeight="1">
      <c r="A40344" s="740"/>
    </row>
    <row r="40345" ht="14.25" customHeight="1">
      <c r="A40345" s="740"/>
    </row>
    <row r="40346" ht="14.25" customHeight="1">
      <c r="A40346" s="740"/>
    </row>
    <row r="40347" ht="14.25" customHeight="1">
      <c r="A40347" s="740"/>
    </row>
    <row r="40348" ht="14.25" customHeight="1">
      <c r="A40348" s="740"/>
    </row>
    <row r="40349" ht="14.25" customHeight="1">
      <c r="A40349" s="740"/>
    </row>
    <row r="40350" ht="14.25" customHeight="1">
      <c r="A40350" s="740"/>
    </row>
    <row r="40351" ht="14.25" customHeight="1">
      <c r="A40351" s="740"/>
    </row>
    <row r="40352" ht="14.25" customHeight="1">
      <c r="A40352" s="740"/>
    </row>
    <row r="40353" ht="14.25" customHeight="1">
      <c r="A40353" s="740"/>
    </row>
    <row r="40354" ht="14.25" customHeight="1">
      <c r="A40354" s="740"/>
    </row>
    <row r="40355" ht="14.25" customHeight="1">
      <c r="A40355" s="740"/>
    </row>
    <row r="40356" ht="14.25" customHeight="1">
      <c r="A40356" s="740"/>
    </row>
    <row r="40357" ht="14.25" customHeight="1">
      <c r="A40357" s="740"/>
    </row>
    <row r="40358" ht="14.25" customHeight="1">
      <c r="A40358" s="740"/>
    </row>
    <row r="40359" ht="14.25" customHeight="1">
      <c r="A40359" s="740"/>
    </row>
    <row r="40360" ht="14.25" customHeight="1">
      <c r="A40360" s="740"/>
    </row>
    <row r="40361" ht="14.25" customHeight="1">
      <c r="A40361" s="740"/>
    </row>
    <row r="40362" ht="14.25" customHeight="1">
      <c r="A40362" s="740"/>
    </row>
    <row r="40363" ht="14.25" customHeight="1">
      <c r="A40363" s="740"/>
    </row>
    <row r="40364" ht="14.25" customHeight="1">
      <c r="A40364" s="740"/>
    </row>
    <row r="40365" ht="14.25" customHeight="1">
      <c r="A40365" s="740"/>
    </row>
    <row r="40366" ht="14.25" customHeight="1">
      <c r="A40366" s="740"/>
    </row>
    <row r="40367" ht="14.25" customHeight="1">
      <c r="A40367" s="740"/>
    </row>
    <row r="40368" ht="14.25" customHeight="1">
      <c r="A40368" s="740"/>
    </row>
    <row r="40369" ht="14.25" customHeight="1">
      <c r="A40369" s="740"/>
    </row>
    <row r="40370" ht="14.25" customHeight="1">
      <c r="A40370" s="740"/>
    </row>
    <row r="40371" ht="14.25" customHeight="1">
      <c r="A40371" s="740"/>
    </row>
    <row r="40372" ht="14.25" customHeight="1">
      <c r="A40372" s="740"/>
    </row>
    <row r="40373" ht="14.25" customHeight="1">
      <c r="A40373" s="740"/>
    </row>
    <row r="40374" ht="14.25" customHeight="1">
      <c r="A40374" s="740"/>
    </row>
    <row r="40375" ht="14.25" customHeight="1">
      <c r="A40375" s="740"/>
    </row>
    <row r="40376" ht="14.25" customHeight="1">
      <c r="A40376" s="740"/>
    </row>
    <row r="40377" ht="14.25" customHeight="1">
      <c r="A40377" s="740"/>
    </row>
    <row r="40378" ht="14.25" customHeight="1">
      <c r="A40378" s="740"/>
    </row>
    <row r="40379" ht="14.25" customHeight="1">
      <c r="A40379" s="740"/>
    </row>
    <row r="40380" ht="14.25" customHeight="1">
      <c r="A40380" s="740"/>
    </row>
    <row r="40381" ht="14.25" customHeight="1">
      <c r="A40381" s="740"/>
    </row>
    <row r="40382" ht="14.25" customHeight="1">
      <c r="A40382" s="740"/>
    </row>
    <row r="40383" ht="14.25" customHeight="1">
      <c r="A40383" s="740"/>
    </row>
    <row r="40384" ht="14.25" customHeight="1">
      <c r="A40384" s="740"/>
    </row>
    <row r="40385" ht="14.25" customHeight="1">
      <c r="A40385" s="740"/>
    </row>
    <row r="40386" ht="14.25" customHeight="1">
      <c r="A40386" s="740"/>
    </row>
    <row r="40387" ht="14.25" customHeight="1">
      <c r="A40387" s="740"/>
    </row>
    <row r="40388" ht="14.25" customHeight="1">
      <c r="A40388" s="740"/>
    </row>
    <row r="40389" ht="14.25" customHeight="1">
      <c r="A40389" s="740"/>
    </row>
    <row r="40390" ht="14.25" customHeight="1">
      <c r="A40390" s="740"/>
    </row>
    <row r="40391" ht="14.25" customHeight="1">
      <c r="A40391" s="740"/>
    </row>
    <row r="40392" ht="14.25" customHeight="1">
      <c r="A40392" s="740"/>
    </row>
    <row r="40393" ht="14.25" customHeight="1">
      <c r="A40393" s="740"/>
    </row>
    <row r="40394" ht="14.25" customHeight="1">
      <c r="A40394" s="740"/>
    </row>
    <row r="40395" ht="14.25" customHeight="1">
      <c r="A40395" s="740"/>
    </row>
    <row r="40396" ht="14.25" customHeight="1">
      <c r="A40396" s="740"/>
    </row>
    <row r="40397" ht="14.25" customHeight="1">
      <c r="A40397" s="740"/>
    </row>
    <row r="40398" ht="14.25" customHeight="1">
      <c r="A40398" s="740"/>
    </row>
    <row r="40399" ht="14.25" customHeight="1">
      <c r="A40399" s="740"/>
    </row>
    <row r="40400" ht="14.25" customHeight="1">
      <c r="A40400" s="740"/>
    </row>
    <row r="40401" ht="14.25" customHeight="1">
      <c r="A40401" s="740"/>
    </row>
    <row r="40402" ht="14.25" customHeight="1">
      <c r="A40402" s="740"/>
    </row>
    <row r="40403" ht="14.25" customHeight="1">
      <c r="A40403" s="740"/>
    </row>
    <row r="40404" ht="14.25" customHeight="1">
      <c r="A40404" s="740"/>
    </row>
    <row r="40405" ht="14.25" customHeight="1">
      <c r="A40405" s="740"/>
    </row>
    <row r="40406" ht="14.25" customHeight="1">
      <c r="A40406" s="740"/>
    </row>
    <row r="40407" ht="14.25" customHeight="1">
      <c r="A40407" s="740"/>
    </row>
    <row r="40408" ht="14.25" customHeight="1">
      <c r="A40408" s="740"/>
    </row>
    <row r="40409" ht="14.25" customHeight="1">
      <c r="A40409" s="740"/>
    </row>
    <row r="40410" ht="14.25" customHeight="1">
      <c r="A40410" s="740"/>
    </row>
    <row r="40411" ht="14.25" customHeight="1">
      <c r="A40411" s="740"/>
    </row>
    <row r="40412" ht="14.25" customHeight="1">
      <c r="A40412" s="740"/>
    </row>
    <row r="40413" ht="14.25" customHeight="1">
      <c r="A40413" s="740"/>
    </row>
    <row r="40414" ht="14.25" customHeight="1">
      <c r="A40414" s="740"/>
    </row>
    <row r="40415" ht="14.25" customHeight="1">
      <c r="A40415" s="740"/>
    </row>
    <row r="40416" ht="14.25" customHeight="1">
      <c r="A40416" s="740"/>
    </row>
    <row r="40417" ht="14.25" customHeight="1">
      <c r="A40417" s="740"/>
    </row>
    <row r="40418" ht="14.25" customHeight="1">
      <c r="A40418" s="740"/>
    </row>
    <row r="40419" ht="14.25" customHeight="1">
      <c r="A40419" s="740"/>
    </row>
    <row r="40420" ht="14.25" customHeight="1">
      <c r="A40420" s="740"/>
    </row>
    <row r="40421" ht="14.25" customHeight="1">
      <c r="A40421" s="740"/>
    </row>
    <row r="40422" ht="14.25" customHeight="1">
      <c r="A40422" s="740"/>
    </row>
    <row r="40423" ht="14.25" customHeight="1">
      <c r="A40423" s="740"/>
    </row>
    <row r="40424" ht="14.25" customHeight="1">
      <c r="A40424" s="740"/>
    </row>
    <row r="40425" ht="14.25" customHeight="1">
      <c r="A40425" s="740"/>
    </row>
    <row r="40426" ht="14.25" customHeight="1">
      <c r="A40426" s="740"/>
    </row>
    <row r="40427" ht="14.25" customHeight="1">
      <c r="A40427" s="740"/>
    </row>
    <row r="40428" ht="14.25" customHeight="1">
      <c r="A40428" s="740"/>
    </row>
    <row r="40429" ht="14.25" customHeight="1">
      <c r="A40429" s="740"/>
    </row>
    <row r="40430" ht="14.25" customHeight="1">
      <c r="A40430" s="740"/>
    </row>
    <row r="40431" ht="14.25" customHeight="1">
      <c r="A40431" s="740"/>
    </row>
    <row r="40432" ht="14.25" customHeight="1">
      <c r="A40432" s="740"/>
    </row>
    <row r="40433" ht="14.25" customHeight="1">
      <c r="A40433" s="740"/>
    </row>
    <row r="40434" ht="14.25" customHeight="1">
      <c r="A40434" s="740"/>
    </row>
    <row r="40435" ht="14.25" customHeight="1">
      <c r="A40435" s="740"/>
    </row>
    <row r="40436" ht="14.25" customHeight="1">
      <c r="A40436" s="740"/>
    </row>
    <row r="40437" ht="14.25" customHeight="1">
      <c r="A40437" s="740"/>
    </row>
    <row r="40438" ht="14.25" customHeight="1">
      <c r="A40438" s="740"/>
    </row>
    <row r="40439" ht="14.25" customHeight="1">
      <c r="A40439" s="740"/>
    </row>
    <row r="40440" ht="14.25" customHeight="1">
      <c r="A40440" s="740"/>
    </row>
    <row r="40441" ht="14.25" customHeight="1">
      <c r="A40441" s="740"/>
    </row>
    <row r="40442" ht="14.25" customHeight="1">
      <c r="A40442" s="740"/>
    </row>
    <row r="40443" ht="14.25" customHeight="1">
      <c r="A40443" s="740"/>
    </row>
    <row r="40444" ht="14.25" customHeight="1">
      <c r="A40444" s="740"/>
    </row>
    <row r="40445" ht="14.25" customHeight="1">
      <c r="A40445" s="740"/>
    </row>
    <row r="40446" ht="14.25" customHeight="1">
      <c r="A40446" s="740"/>
    </row>
    <row r="40447" ht="14.25" customHeight="1">
      <c r="A40447" s="740"/>
    </row>
    <row r="40448" ht="14.25" customHeight="1">
      <c r="A40448" s="740"/>
    </row>
    <row r="40449" ht="14.25" customHeight="1">
      <c r="A40449" s="740"/>
    </row>
    <row r="40450" ht="14.25" customHeight="1">
      <c r="A40450" s="740"/>
    </row>
    <row r="40451" ht="14.25" customHeight="1">
      <c r="A40451" s="740"/>
    </row>
    <row r="40452" ht="14.25" customHeight="1">
      <c r="A40452" s="740"/>
    </row>
    <row r="40453" ht="14.25" customHeight="1">
      <c r="A40453" s="740"/>
    </row>
    <row r="40454" ht="14.25" customHeight="1">
      <c r="A40454" s="740"/>
    </row>
    <row r="40455" ht="14.25" customHeight="1">
      <c r="A40455" s="740"/>
    </row>
    <row r="40456" ht="14.25" customHeight="1">
      <c r="A40456" s="740"/>
    </row>
    <row r="40457" ht="14.25" customHeight="1">
      <c r="A40457" s="740"/>
    </row>
    <row r="40458" ht="14.25" customHeight="1">
      <c r="A40458" s="740"/>
    </row>
    <row r="40459" ht="14.25" customHeight="1">
      <c r="A40459" s="740"/>
    </row>
    <row r="40460" ht="14.25" customHeight="1">
      <c r="A40460" s="740"/>
    </row>
    <row r="40461" ht="14.25" customHeight="1">
      <c r="A40461" s="740"/>
    </row>
    <row r="40462" ht="14.25" customHeight="1">
      <c r="A40462" s="740"/>
    </row>
    <row r="40463" ht="14.25" customHeight="1">
      <c r="A40463" s="740"/>
    </row>
    <row r="40464" ht="14.25" customHeight="1">
      <c r="A40464" s="740"/>
    </row>
    <row r="40465" ht="14.25" customHeight="1">
      <c r="A40465" s="740"/>
    </row>
    <row r="40466" ht="14.25" customHeight="1">
      <c r="A40466" s="740"/>
    </row>
    <row r="40467" ht="14.25" customHeight="1">
      <c r="A40467" s="740"/>
    </row>
    <row r="40468" ht="14.25" customHeight="1">
      <c r="A40468" s="740"/>
    </row>
    <row r="40469" ht="14.25" customHeight="1">
      <c r="A40469" s="740"/>
    </row>
    <row r="40470" ht="14.25" customHeight="1">
      <c r="A40470" s="740"/>
    </row>
    <row r="40471" ht="14.25" customHeight="1">
      <c r="A40471" s="740"/>
    </row>
    <row r="40472" ht="14.25" customHeight="1">
      <c r="A40472" s="740"/>
    </row>
    <row r="40473" ht="14.25" customHeight="1">
      <c r="A40473" s="740"/>
    </row>
    <row r="40474" ht="14.25" customHeight="1">
      <c r="A40474" s="740"/>
    </row>
    <row r="40475" ht="14.25" customHeight="1">
      <c r="A40475" s="740"/>
    </row>
    <row r="40476" ht="14.25" customHeight="1">
      <c r="A40476" s="740"/>
    </row>
    <row r="40477" ht="14.25" customHeight="1">
      <c r="A40477" s="740"/>
    </row>
    <row r="40478" ht="14.25" customHeight="1">
      <c r="A40478" s="740"/>
    </row>
    <row r="40479" ht="14.25" customHeight="1">
      <c r="A40479" s="740"/>
    </row>
    <row r="40480" ht="14.25" customHeight="1">
      <c r="A40480" s="740"/>
    </row>
    <row r="40481" ht="14.25" customHeight="1">
      <c r="A40481" s="740"/>
    </row>
    <row r="40482" ht="14.25" customHeight="1">
      <c r="A40482" s="740"/>
    </row>
    <row r="40483" ht="14.25" customHeight="1">
      <c r="A40483" s="740"/>
    </row>
    <row r="40484" ht="14.25" customHeight="1">
      <c r="A40484" s="740"/>
    </row>
    <row r="40485" ht="14.25" customHeight="1">
      <c r="A40485" s="740"/>
    </row>
    <row r="40486" ht="14.25" customHeight="1">
      <c r="A40486" s="740"/>
    </row>
    <row r="40487" ht="14.25" customHeight="1">
      <c r="A40487" s="740"/>
    </row>
    <row r="40488" ht="14.25" customHeight="1">
      <c r="A40488" s="740"/>
    </row>
    <row r="40489" ht="14.25" customHeight="1">
      <c r="A40489" s="740"/>
    </row>
    <row r="40490" ht="14.25" customHeight="1">
      <c r="A40490" s="740"/>
    </row>
    <row r="40491" ht="14.25" customHeight="1">
      <c r="A40491" s="740"/>
    </row>
    <row r="40492" ht="14.25" customHeight="1">
      <c r="A40492" s="740"/>
    </row>
    <row r="40493" ht="14.25" customHeight="1">
      <c r="A40493" s="740"/>
    </row>
    <row r="40494" ht="14.25" customHeight="1">
      <c r="A40494" s="740"/>
    </row>
    <row r="40495" ht="14.25" customHeight="1">
      <c r="A40495" s="740"/>
    </row>
    <row r="40496" ht="14.25" customHeight="1">
      <c r="A40496" s="740"/>
    </row>
    <row r="40497" ht="14.25" customHeight="1">
      <c r="A40497" s="740"/>
    </row>
    <row r="40498" ht="14.25" customHeight="1">
      <c r="A40498" s="740"/>
    </row>
    <row r="40499" ht="14.25" customHeight="1">
      <c r="A40499" s="740"/>
    </row>
    <row r="40500" ht="14.25" customHeight="1">
      <c r="A40500" s="740"/>
    </row>
    <row r="40501" ht="14.25" customHeight="1">
      <c r="A40501" s="740"/>
    </row>
    <row r="40502" ht="14.25" customHeight="1">
      <c r="A40502" s="740"/>
    </row>
    <row r="40503" ht="14.25" customHeight="1">
      <c r="A40503" s="740"/>
    </row>
    <row r="40504" ht="14.25" customHeight="1">
      <c r="A40504" s="740"/>
    </row>
    <row r="40505" ht="14.25" customHeight="1">
      <c r="A40505" s="740"/>
    </row>
    <row r="40506" ht="14.25" customHeight="1">
      <c r="A40506" s="740"/>
    </row>
    <row r="40507" ht="14.25" customHeight="1">
      <c r="A40507" s="740"/>
    </row>
    <row r="40508" ht="14.25" customHeight="1">
      <c r="A40508" s="740"/>
    </row>
    <row r="40509" ht="14.25" customHeight="1">
      <c r="A40509" s="740"/>
    </row>
    <row r="40510" ht="14.25" customHeight="1">
      <c r="A40510" s="740"/>
    </row>
    <row r="40511" ht="14.25" customHeight="1">
      <c r="A40511" s="740"/>
    </row>
    <row r="40512" ht="14.25" customHeight="1">
      <c r="A40512" s="740"/>
    </row>
    <row r="40513" ht="14.25" customHeight="1">
      <c r="A40513" s="740"/>
    </row>
    <row r="40514" ht="14.25" customHeight="1">
      <c r="A40514" s="740"/>
    </row>
    <row r="40515" ht="14.25" customHeight="1">
      <c r="A40515" s="740"/>
    </row>
    <row r="40516" ht="14.25" customHeight="1">
      <c r="A40516" s="740"/>
    </row>
    <row r="40517" ht="14.25" customHeight="1">
      <c r="A40517" s="740"/>
    </row>
    <row r="40518" ht="14.25" customHeight="1">
      <c r="A40518" s="740"/>
    </row>
    <row r="40519" ht="14.25" customHeight="1">
      <c r="A40519" s="740"/>
    </row>
    <row r="40520" ht="14.25" customHeight="1">
      <c r="A40520" s="740"/>
    </row>
    <row r="40521" ht="14.25" customHeight="1">
      <c r="A40521" s="740"/>
    </row>
    <row r="40522" ht="14.25" customHeight="1">
      <c r="A40522" s="740"/>
    </row>
    <row r="40523" ht="14.25" customHeight="1">
      <c r="A40523" s="740"/>
    </row>
    <row r="40524" ht="14.25" customHeight="1">
      <c r="A40524" s="740"/>
    </row>
    <row r="40525" ht="14.25" customHeight="1">
      <c r="A40525" s="740"/>
    </row>
    <row r="40526" ht="14.25" customHeight="1">
      <c r="A40526" s="740"/>
    </row>
    <row r="40527" ht="14.25" customHeight="1">
      <c r="A40527" s="740"/>
    </row>
    <row r="40528" ht="14.25" customHeight="1">
      <c r="A40528" s="740"/>
    </row>
    <row r="40529" ht="14.25" customHeight="1">
      <c r="A40529" s="740"/>
    </row>
    <row r="40530" ht="14.25" customHeight="1">
      <c r="A40530" s="740"/>
    </row>
    <row r="40531" ht="14.25" customHeight="1">
      <c r="A40531" s="740"/>
    </row>
    <row r="40532" ht="14.25" customHeight="1">
      <c r="A40532" s="740"/>
    </row>
    <row r="40533" ht="14.25" customHeight="1">
      <c r="A40533" s="740"/>
    </row>
    <row r="40534" ht="14.25" customHeight="1">
      <c r="A40534" s="740"/>
    </row>
    <row r="40535" ht="14.25" customHeight="1">
      <c r="A40535" s="740"/>
    </row>
    <row r="40536" ht="14.25" customHeight="1">
      <c r="A40536" s="740"/>
    </row>
    <row r="40537" ht="14.25" customHeight="1">
      <c r="A40537" s="740"/>
    </row>
    <row r="40538" ht="14.25" customHeight="1">
      <c r="A40538" s="740"/>
    </row>
    <row r="40539" ht="14.25" customHeight="1">
      <c r="A40539" s="740"/>
    </row>
    <row r="40540" ht="14.25" customHeight="1">
      <c r="A40540" s="740"/>
    </row>
    <row r="40541" ht="14.25" customHeight="1">
      <c r="A40541" s="740"/>
    </row>
    <row r="40542" ht="14.25" customHeight="1">
      <c r="A40542" s="740"/>
    </row>
    <row r="40543" ht="14.25" customHeight="1">
      <c r="A40543" s="740"/>
    </row>
    <row r="40544" ht="14.25" customHeight="1">
      <c r="A40544" s="740"/>
    </row>
    <row r="40545" ht="14.25" customHeight="1">
      <c r="A40545" s="740"/>
    </row>
    <row r="40546" ht="14.25" customHeight="1">
      <c r="A40546" s="740"/>
    </row>
    <row r="40547" ht="14.25" customHeight="1">
      <c r="A40547" s="740"/>
    </row>
    <row r="40548" ht="14.25" customHeight="1">
      <c r="A40548" s="740"/>
    </row>
    <row r="40549" ht="14.25" customHeight="1">
      <c r="A40549" s="740"/>
    </row>
    <row r="40550" ht="14.25" customHeight="1">
      <c r="A40550" s="740"/>
    </row>
    <row r="40551" ht="14.25" customHeight="1">
      <c r="A40551" s="740"/>
    </row>
    <row r="40552" ht="14.25" customHeight="1">
      <c r="A40552" s="740"/>
    </row>
    <row r="40553" ht="14.25" customHeight="1">
      <c r="A40553" s="740"/>
    </row>
    <row r="40554" ht="14.25" customHeight="1">
      <c r="A40554" s="740"/>
    </row>
    <row r="40555" ht="14.25" customHeight="1">
      <c r="A40555" s="740"/>
    </row>
    <row r="40556" ht="14.25" customHeight="1">
      <c r="A40556" s="740"/>
    </row>
    <row r="40557" ht="14.25" customHeight="1">
      <c r="A40557" s="740"/>
    </row>
    <row r="40558" ht="14.25" customHeight="1">
      <c r="A40558" s="740"/>
    </row>
    <row r="40559" ht="14.25" customHeight="1">
      <c r="A40559" s="740"/>
    </row>
    <row r="40560" ht="14.25" customHeight="1">
      <c r="A40560" s="740"/>
    </row>
    <row r="40561" ht="14.25" customHeight="1">
      <c r="A40561" s="740"/>
    </row>
    <row r="40562" ht="14.25" customHeight="1">
      <c r="A40562" s="740"/>
    </row>
    <row r="40563" ht="14.25" customHeight="1">
      <c r="A40563" s="740"/>
    </row>
    <row r="40564" ht="14.25" customHeight="1">
      <c r="A40564" s="740"/>
    </row>
    <row r="40565" ht="14.25" customHeight="1">
      <c r="A40565" s="740"/>
    </row>
    <row r="40566" ht="14.25" customHeight="1">
      <c r="A40566" s="740"/>
    </row>
    <row r="40567" ht="14.25" customHeight="1">
      <c r="A40567" s="740"/>
    </row>
    <row r="40568" ht="14.25" customHeight="1">
      <c r="A40568" s="740"/>
    </row>
    <row r="40569" ht="14.25" customHeight="1">
      <c r="A40569" s="740"/>
    </row>
    <row r="40570" ht="14.25" customHeight="1">
      <c r="A40570" s="740"/>
    </row>
    <row r="40571" ht="14.25" customHeight="1">
      <c r="A40571" s="740"/>
    </row>
    <row r="40572" ht="14.25" customHeight="1">
      <c r="A40572" s="740"/>
    </row>
    <row r="40573" ht="14.25" customHeight="1">
      <c r="A40573" s="740"/>
    </row>
    <row r="40574" ht="14.25" customHeight="1">
      <c r="A40574" s="740"/>
    </row>
    <row r="40575" ht="14.25" customHeight="1">
      <c r="A40575" s="740"/>
    </row>
    <row r="40576" ht="14.25" customHeight="1">
      <c r="A40576" s="740"/>
    </row>
    <row r="40577" ht="14.25" customHeight="1">
      <c r="A40577" s="740"/>
    </row>
    <row r="40578" ht="14.25" customHeight="1">
      <c r="A40578" s="740"/>
    </row>
    <row r="40579" ht="14.25" customHeight="1">
      <c r="A40579" s="740"/>
    </row>
    <row r="40580" ht="14.25" customHeight="1">
      <c r="A40580" s="740"/>
    </row>
    <row r="40581" ht="14.25" customHeight="1">
      <c r="A40581" s="740"/>
    </row>
    <row r="40582" ht="14.25" customHeight="1">
      <c r="A40582" s="740"/>
    </row>
    <row r="40583" ht="14.25" customHeight="1">
      <c r="A40583" s="740"/>
    </row>
    <row r="40584" ht="14.25" customHeight="1">
      <c r="A40584" s="740"/>
    </row>
    <row r="40585" ht="14.25" customHeight="1">
      <c r="A40585" s="740"/>
    </row>
    <row r="40586" ht="14.25" customHeight="1">
      <c r="A40586" s="740"/>
    </row>
    <row r="40587" ht="14.25" customHeight="1">
      <c r="A40587" s="740"/>
    </row>
    <row r="40588" ht="14.25" customHeight="1">
      <c r="A40588" s="740"/>
    </row>
    <row r="40589" ht="14.25" customHeight="1">
      <c r="A40589" s="740"/>
    </row>
    <row r="40590" ht="14.25" customHeight="1">
      <c r="A40590" s="740"/>
    </row>
    <row r="40591" ht="14.25" customHeight="1">
      <c r="A40591" s="740"/>
    </row>
    <row r="40592" ht="14.25" customHeight="1">
      <c r="A40592" s="740"/>
    </row>
    <row r="40593" ht="14.25" customHeight="1">
      <c r="A40593" s="740"/>
    </row>
    <row r="40594" ht="14.25" customHeight="1">
      <c r="A40594" s="740"/>
    </row>
    <row r="40595" ht="14.25" customHeight="1">
      <c r="A40595" s="740"/>
    </row>
    <row r="40596" ht="14.25" customHeight="1">
      <c r="A40596" s="740"/>
    </row>
    <row r="40597" ht="14.25" customHeight="1">
      <c r="A40597" s="740"/>
    </row>
    <row r="40598" ht="14.25" customHeight="1">
      <c r="A40598" s="740"/>
    </row>
    <row r="40599" ht="14.25" customHeight="1">
      <c r="A40599" s="740"/>
    </row>
    <row r="40600" ht="14.25" customHeight="1">
      <c r="A40600" s="740"/>
    </row>
    <row r="40601" ht="14.25" customHeight="1">
      <c r="A40601" s="740"/>
    </row>
    <row r="40602" ht="14.25" customHeight="1">
      <c r="A40602" s="740"/>
    </row>
    <row r="40603" ht="14.25" customHeight="1">
      <c r="A40603" s="740"/>
    </row>
    <row r="40604" ht="14.25" customHeight="1">
      <c r="A40604" s="740"/>
    </row>
    <row r="40605" ht="14.25" customHeight="1">
      <c r="A40605" s="740"/>
    </row>
    <row r="40606" ht="14.25" customHeight="1">
      <c r="A40606" s="740"/>
    </row>
    <row r="40607" ht="14.25" customHeight="1">
      <c r="A40607" s="740"/>
    </row>
    <row r="40608" ht="14.25" customHeight="1">
      <c r="A40608" s="740"/>
    </row>
    <row r="40609" ht="14.25" customHeight="1">
      <c r="A40609" s="740"/>
    </row>
    <row r="40610" ht="14.25" customHeight="1">
      <c r="A40610" s="740"/>
    </row>
    <row r="40611" ht="14.25" customHeight="1">
      <c r="A40611" s="740"/>
    </row>
    <row r="40612" ht="14.25" customHeight="1">
      <c r="A40612" s="740"/>
    </row>
    <row r="40613" ht="14.25" customHeight="1">
      <c r="A40613" s="740"/>
    </row>
    <row r="40614" ht="14.25" customHeight="1">
      <c r="A40614" s="740"/>
    </row>
    <row r="40615" ht="14.25" customHeight="1">
      <c r="A40615" s="740"/>
    </row>
    <row r="40616" ht="14.25" customHeight="1">
      <c r="A40616" s="740"/>
    </row>
    <row r="40617" ht="14.25" customHeight="1">
      <c r="A40617" s="740"/>
    </row>
    <row r="40618" ht="14.25" customHeight="1">
      <c r="A40618" s="740"/>
    </row>
    <row r="40619" ht="14.25" customHeight="1">
      <c r="A40619" s="740"/>
    </row>
    <row r="40620" ht="14.25" customHeight="1">
      <c r="A40620" s="740"/>
    </row>
    <row r="40621" ht="14.25" customHeight="1">
      <c r="A40621" s="740"/>
    </row>
    <row r="40622" ht="14.25" customHeight="1">
      <c r="A40622" s="740"/>
    </row>
    <row r="40623" ht="14.25" customHeight="1">
      <c r="A40623" s="740"/>
    </row>
    <row r="40624" ht="14.25" customHeight="1">
      <c r="A40624" s="740"/>
    </row>
    <row r="40625" ht="14.25" customHeight="1">
      <c r="A40625" s="740"/>
    </row>
    <row r="40626" ht="14.25" customHeight="1">
      <c r="A40626" s="740"/>
    </row>
    <row r="40627" ht="14.25" customHeight="1">
      <c r="A40627" s="740"/>
    </row>
    <row r="40628" ht="14.25" customHeight="1">
      <c r="A40628" s="740"/>
    </row>
    <row r="40629" ht="14.25" customHeight="1">
      <c r="A40629" s="740"/>
    </row>
    <row r="40630" ht="14.25" customHeight="1">
      <c r="A40630" s="740"/>
    </row>
    <row r="40631" ht="14.25" customHeight="1">
      <c r="A40631" s="740"/>
    </row>
    <row r="40632" ht="14.25" customHeight="1">
      <c r="A40632" s="740"/>
    </row>
    <row r="40633" ht="14.25" customHeight="1">
      <c r="A40633" s="740"/>
    </row>
    <row r="40634" ht="14.25" customHeight="1">
      <c r="A40634" s="740"/>
    </row>
    <row r="40635" ht="14.25" customHeight="1">
      <c r="A40635" s="740"/>
    </row>
    <row r="40636" ht="14.25" customHeight="1">
      <c r="A40636" s="740"/>
    </row>
    <row r="40637" ht="14.25" customHeight="1">
      <c r="A40637" s="740"/>
    </row>
    <row r="40638" ht="14.25" customHeight="1">
      <c r="A40638" s="740"/>
    </row>
    <row r="40639" ht="14.25" customHeight="1">
      <c r="A40639" s="740"/>
    </row>
    <row r="40640" ht="14.25" customHeight="1">
      <c r="A40640" s="740"/>
    </row>
    <row r="40641" ht="14.25" customHeight="1">
      <c r="A40641" s="740"/>
    </row>
    <row r="40642" ht="14.25" customHeight="1">
      <c r="A40642" s="740"/>
    </row>
    <row r="40643" ht="14.25" customHeight="1">
      <c r="A40643" s="740"/>
    </row>
    <row r="40644" ht="14.25" customHeight="1">
      <c r="A40644" s="740"/>
    </row>
    <row r="40645" ht="14.25" customHeight="1">
      <c r="A40645" s="740"/>
    </row>
    <row r="40646" ht="14.25" customHeight="1">
      <c r="A40646" s="740"/>
    </row>
    <row r="40647" ht="14.25" customHeight="1">
      <c r="A40647" s="740"/>
    </row>
    <row r="40648" ht="14.25" customHeight="1">
      <c r="A40648" s="740"/>
    </row>
    <row r="40649" ht="14.25" customHeight="1">
      <c r="A40649" s="740"/>
    </row>
    <row r="40650" ht="14.25" customHeight="1">
      <c r="A40650" s="740"/>
    </row>
    <row r="40651" ht="14.25" customHeight="1">
      <c r="A40651" s="740"/>
    </row>
    <row r="40652" ht="14.25" customHeight="1">
      <c r="A40652" s="740"/>
    </row>
    <row r="40653" ht="14.25" customHeight="1">
      <c r="A40653" s="740"/>
    </row>
    <row r="40654" ht="14.25" customHeight="1">
      <c r="A40654" s="740"/>
    </row>
    <row r="40655" ht="14.25" customHeight="1">
      <c r="A40655" s="740"/>
    </row>
    <row r="40656" ht="14.25" customHeight="1">
      <c r="A40656" s="740"/>
    </row>
    <row r="40657" ht="14.25" customHeight="1">
      <c r="A40657" s="740"/>
    </row>
    <row r="40658" ht="14.25" customHeight="1">
      <c r="A40658" s="740"/>
    </row>
    <row r="40659" ht="14.25" customHeight="1">
      <c r="A40659" s="740"/>
    </row>
    <row r="40660" ht="14.25" customHeight="1">
      <c r="A40660" s="740"/>
    </row>
    <row r="40661" ht="14.25" customHeight="1">
      <c r="A40661" s="740"/>
    </row>
    <row r="40662" ht="14.25" customHeight="1">
      <c r="A40662" s="740"/>
    </row>
    <row r="40663" ht="14.25" customHeight="1">
      <c r="A40663" s="740"/>
    </row>
    <row r="40664" ht="14.25" customHeight="1">
      <c r="A40664" s="740"/>
    </row>
    <row r="40665" ht="14.25" customHeight="1">
      <c r="A40665" s="740"/>
    </row>
    <row r="40666" ht="14.25" customHeight="1">
      <c r="A40666" s="740"/>
    </row>
    <row r="40667" ht="14.25" customHeight="1">
      <c r="A40667" s="740"/>
    </row>
    <row r="40668" ht="14.25" customHeight="1">
      <c r="A40668" s="740"/>
    </row>
    <row r="40669" ht="14.25" customHeight="1">
      <c r="A40669" s="740"/>
    </row>
    <row r="40670" ht="14.25" customHeight="1">
      <c r="A40670" s="740"/>
    </row>
    <row r="40671" ht="14.25" customHeight="1">
      <c r="A40671" s="740"/>
    </row>
    <row r="40672" ht="14.25" customHeight="1">
      <c r="A40672" s="740"/>
    </row>
    <row r="40673" ht="14.25" customHeight="1">
      <c r="A40673" s="740"/>
    </row>
    <row r="40674" ht="14.25" customHeight="1">
      <c r="A40674" s="740"/>
    </row>
    <row r="40675" ht="14.25" customHeight="1">
      <c r="A40675" s="740"/>
    </row>
    <row r="40676" ht="14.25" customHeight="1">
      <c r="A40676" s="740"/>
    </row>
    <row r="40677" ht="14.25" customHeight="1">
      <c r="A40677" s="740"/>
    </row>
    <row r="40678" ht="14.25" customHeight="1">
      <c r="A40678" s="740"/>
    </row>
    <row r="40679" ht="14.25" customHeight="1">
      <c r="A40679" s="740"/>
    </row>
    <row r="40680" ht="14.25" customHeight="1">
      <c r="A40680" s="740"/>
    </row>
    <row r="40681" ht="14.25" customHeight="1">
      <c r="A40681" s="740"/>
    </row>
    <row r="40682" ht="14.25" customHeight="1">
      <c r="A40682" s="740"/>
    </row>
    <row r="40683" ht="14.25" customHeight="1">
      <c r="A40683" s="740"/>
    </row>
    <row r="40684" ht="14.25" customHeight="1">
      <c r="A40684" s="740"/>
    </row>
    <row r="40685" ht="14.25" customHeight="1">
      <c r="A40685" s="740"/>
    </row>
    <row r="40686" ht="14.25" customHeight="1">
      <c r="A40686" s="740"/>
    </row>
    <row r="40687" ht="14.25" customHeight="1">
      <c r="A40687" s="740"/>
    </row>
    <row r="40688" ht="14.25" customHeight="1">
      <c r="A40688" s="740"/>
    </row>
    <row r="40689" ht="14.25" customHeight="1">
      <c r="A40689" s="740"/>
    </row>
    <row r="40690" ht="14.25" customHeight="1">
      <c r="A40690" s="740"/>
    </row>
    <row r="40691" ht="14.25" customHeight="1">
      <c r="A40691" s="740"/>
    </row>
    <row r="40692" ht="14.25" customHeight="1">
      <c r="A40692" s="740"/>
    </row>
    <row r="40693" ht="14.25" customHeight="1">
      <c r="A40693" s="740"/>
    </row>
    <row r="40694" ht="14.25" customHeight="1">
      <c r="A40694" s="740"/>
    </row>
    <row r="40695" ht="14.25" customHeight="1">
      <c r="A40695" s="740"/>
    </row>
    <row r="40696" ht="14.25" customHeight="1">
      <c r="A40696" s="740"/>
    </row>
    <row r="40697" ht="14.25" customHeight="1">
      <c r="A40697" s="740"/>
    </row>
    <row r="40698" ht="14.25" customHeight="1">
      <c r="A40698" s="740"/>
    </row>
    <row r="40699" ht="14.25" customHeight="1">
      <c r="A40699" s="740"/>
    </row>
    <row r="40700" ht="14.25" customHeight="1">
      <c r="A40700" s="740"/>
    </row>
    <row r="40701" ht="14.25" customHeight="1">
      <c r="A40701" s="740"/>
    </row>
    <row r="40702" ht="14.25" customHeight="1">
      <c r="A40702" s="740"/>
    </row>
    <row r="40703" ht="14.25" customHeight="1">
      <c r="A40703" s="740"/>
    </row>
    <row r="40704" ht="14.25" customHeight="1">
      <c r="A40704" s="740"/>
    </row>
    <row r="40705" ht="14.25" customHeight="1">
      <c r="A40705" s="740"/>
    </row>
    <row r="40706" ht="14.25" customHeight="1">
      <c r="A40706" s="740"/>
    </row>
    <row r="40707" ht="14.25" customHeight="1">
      <c r="A40707" s="740"/>
    </row>
    <row r="40708" ht="14.25" customHeight="1">
      <c r="A40708" s="740"/>
    </row>
    <row r="40709" ht="14.25" customHeight="1">
      <c r="A40709" s="740"/>
    </row>
    <row r="40710" ht="14.25" customHeight="1">
      <c r="A40710" s="740"/>
    </row>
    <row r="40711" ht="14.25" customHeight="1">
      <c r="A40711" s="740"/>
    </row>
    <row r="40712" ht="14.25" customHeight="1">
      <c r="A40712" s="740"/>
    </row>
    <row r="40713" ht="14.25" customHeight="1">
      <c r="A40713" s="740"/>
    </row>
    <row r="40714" ht="14.25" customHeight="1">
      <c r="A40714" s="740"/>
    </row>
    <row r="40715" ht="14.25" customHeight="1">
      <c r="A40715" s="740"/>
    </row>
    <row r="40716" ht="14.25" customHeight="1">
      <c r="A40716" s="740"/>
    </row>
    <row r="40717" ht="14.25" customHeight="1">
      <c r="A40717" s="740"/>
    </row>
    <row r="40718" ht="14.25" customHeight="1">
      <c r="A40718" s="740"/>
    </row>
    <row r="40719" ht="14.25" customHeight="1">
      <c r="A40719" s="740"/>
    </row>
    <row r="40720" ht="14.25" customHeight="1">
      <c r="A40720" s="740"/>
    </row>
    <row r="40721" ht="14.25" customHeight="1">
      <c r="A40721" s="740"/>
    </row>
    <row r="40722" ht="14.25" customHeight="1">
      <c r="A40722" s="740"/>
    </row>
    <row r="40723" ht="14.25" customHeight="1">
      <c r="A40723" s="740"/>
    </row>
    <row r="40724" ht="14.25" customHeight="1">
      <c r="A40724" s="740"/>
    </row>
    <row r="40725" ht="14.25" customHeight="1">
      <c r="A40725" s="740"/>
    </row>
    <row r="40726" ht="14.25" customHeight="1">
      <c r="A40726" s="740"/>
    </row>
    <row r="40727" ht="14.25" customHeight="1">
      <c r="A40727" s="740"/>
    </row>
    <row r="40728" ht="14.25" customHeight="1">
      <c r="A40728" s="740"/>
    </row>
    <row r="40729" ht="14.25" customHeight="1">
      <c r="A40729" s="740"/>
    </row>
    <row r="40730" ht="14.25" customHeight="1">
      <c r="A40730" s="740"/>
    </row>
    <row r="40731" ht="14.25" customHeight="1">
      <c r="A40731" s="740"/>
    </row>
    <row r="40732" ht="14.25" customHeight="1">
      <c r="A40732" s="740"/>
    </row>
    <row r="40733" ht="14.25" customHeight="1">
      <c r="A40733" s="740"/>
    </row>
    <row r="40734" ht="14.25" customHeight="1">
      <c r="A40734" s="740"/>
    </row>
    <row r="40735" ht="14.25" customHeight="1">
      <c r="A40735" s="740"/>
    </row>
    <row r="40736" ht="14.25" customHeight="1">
      <c r="A40736" s="740"/>
    </row>
    <row r="40737" ht="14.25" customHeight="1">
      <c r="A40737" s="740"/>
    </row>
    <row r="40738" ht="14.25" customHeight="1">
      <c r="A40738" s="740"/>
    </row>
    <row r="40739" ht="14.25" customHeight="1">
      <c r="A40739" s="740"/>
    </row>
    <row r="40740" ht="14.25" customHeight="1">
      <c r="A40740" s="740"/>
    </row>
    <row r="40741" ht="14.25" customHeight="1">
      <c r="A40741" s="740"/>
    </row>
    <row r="40742" ht="14.25" customHeight="1">
      <c r="A40742" s="740"/>
    </row>
    <row r="40743" ht="14.25" customHeight="1">
      <c r="A40743" s="740"/>
    </row>
    <row r="40744" ht="14.25" customHeight="1">
      <c r="A40744" s="740"/>
    </row>
    <row r="40745" ht="14.25" customHeight="1">
      <c r="A40745" s="740"/>
    </row>
    <row r="40746" ht="14.25" customHeight="1">
      <c r="A40746" s="740"/>
    </row>
    <row r="40747" ht="14.25" customHeight="1">
      <c r="A40747" s="740"/>
    </row>
    <row r="40748" ht="14.25" customHeight="1">
      <c r="A40748" s="740"/>
    </row>
    <row r="40749" ht="14.25" customHeight="1">
      <c r="A40749" s="740"/>
    </row>
    <row r="40750" ht="14.25" customHeight="1">
      <c r="A40750" s="740"/>
    </row>
    <row r="40751" ht="14.25" customHeight="1">
      <c r="A40751" s="740"/>
    </row>
    <row r="40752" ht="14.25" customHeight="1">
      <c r="A40752" s="740"/>
    </row>
    <row r="40753" ht="14.25" customHeight="1">
      <c r="A40753" s="740"/>
    </row>
    <row r="40754" ht="14.25" customHeight="1">
      <c r="A40754" s="740"/>
    </row>
    <row r="40755" ht="14.25" customHeight="1">
      <c r="A40755" s="740"/>
    </row>
    <row r="40756" ht="14.25" customHeight="1">
      <c r="A40756" s="740"/>
    </row>
    <row r="40757" ht="14.25" customHeight="1">
      <c r="A40757" s="740"/>
    </row>
    <row r="40758" ht="14.25" customHeight="1">
      <c r="A40758" s="740"/>
    </row>
    <row r="40759" ht="14.25" customHeight="1">
      <c r="A40759" s="740"/>
    </row>
    <row r="40760" ht="14.25" customHeight="1">
      <c r="A40760" s="740"/>
    </row>
    <row r="40761" ht="14.25" customHeight="1">
      <c r="A40761" s="740"/>
    </row>
    <row r="40762" ht="14.25" customHeight="1">
      <c r="A40762" s="740"/>
    </row>
    <row r="40763" ht="14.25" customHeight="1">
      <c r="A40763" s="740"/>
    </row>
    <row r="40764" ht="14.25" customHeight="1">
      <c r="A40764" s="740"/>
    </row>
    <row r="40765" ht="14.25" customHeight="1">
      <c r="A40765" s="740"/>
    </row>
    <row r="40766" ht="14.25" customHeight="1">
      <c r="A40766" s="740"/>
    </row>
    <row r="40767" ht="14.25" customHeight="1">
      <c r="A40767" s="740"/>
    </row>
    <row r="40768" ht="14.25" customHeight="1">
      <c r="A40768" s="740"/>
    </row>
    <row r="40769" ht="14.25" customHeight="1">
      <c r="A40769" s="740"/>
    </row>
    <row r="40770" ht="14.25" customHeight="1">
      <c r="A40770" s="740"/>
    </row>
    <row r="40771" ht="14.25" customHeight="1">
      <c r="A40771" s="740"/>
    </row>
    <row r="40772" ht="14.25" customHeight="1">
      <c r="A40772" s="740"/>
    </row>
    <row r="40773" ht="14.25" customHeight="1">
      <c r="A40773" s="740"/>
    </row>
    <row r="40774" ht="14.25" customHeight="1">
      <c r="A40774" s="740"/>
    </row>
    <row r="40775" ht="14.25" customHeight="1">
      <c r="A40775" s="740"/>
    </row>
    <row r="40776" ht="14.25" customHeight="1">
      <c r="A40776" s="740"/>
    </row>
    <row r="40777" ht="14.25" customHeight="1">
      <c r="A40777" s="740"/>
    </row>
    <row r="40778" ht="14.25" customHeight="1">
      <c r="A40778" s="740"/>
    </row>
    <row r="40779" ht="14.25" customHeight="1">
      <c r="A40779" s="740"/>
    </row>
    <row r="40780" ht="14.25" customHeight="1">
      <c r="A40780" s="740"/>
    </row>
    <row r="40781" ht="14.25" customHeight="1">
      <c r="A40781" s="740"/>
    </row>
    <row r="40782" ht="14.25" customHeight="1">
      <c r="A40782" s="740"/>
    </row>
    <row r="40783" ht="14.25" customHeight="1">
      <c r="A40783" s="740"/>
    </row>
    <row r="40784" ht="14.25" customHeight="1">
      <c r="A40784" s="740"/>
    </row>
    <row r="40785" ht="14.25" customHeight="1">
      <c r="A40785" s="740"/>
    </row>
    <row r="40786" ht="14.25" customHeight="1">
      <c r="A40786" s="740"/>
    </row>
    <row r="40787" ht="14.25" customHeight="1">
      <c r="A40787" s="740"/>
    </row>
    <row r="40788" ht="14.25" customHeight="1">
      <c r="A40788" s="740"/>
    </row>
    <row r="40789" ht="14.25" customHeight="1">
      <c r="A40789" s="740"/>
    </row>
    <row r="40790" ht="14.25" customHeight="1">
      <c r="A40790" s="740"/>
    </row>
    <row r="40791" ht="14.25" customHeight="1">
      <c r="A40791" s="740"/>
    </row>
    <row r="40792" ht="14.25" customHeight="1">
      <c r="A40792" s="740"/>
    </row>
    <row r="40793" ht="14.25" customHeight="1">
      <c r="A40793" s="740"/>
    </row>
    <row r="40794" ht="14.25" customHeight="1">
      <c r="A40794" s="740"/>
    </row>
    <row r="40795" ht="14.25" customHeight="1">
      <c r="A40795" s="740"/>
    </row>
    <row r="40796" ht="14.25" customHeight="1">
      <c r="A40796" s="740"/>
    </row>
    <row r="40797" ht="14.25" customHeight="1">
      <c r="A40797" s="740"/>
    </row>
    <row r="40798" ht="14.25" customHeight="1">
      <c r="A40798" s="740"/>
    </row>
    <row r="40799" ht="14.25" customHeight="1">
      <c r="A40799" s="740"/>
    </row>
    <row r="40800" ht="14.25" customHeight="1">
      <c r="A40800" s="740"/>
    </row>
    <row r="40801" ht="14.25" customHeight="1">
      <c r="A40801" s="740"/>
    </row>
    <row r="40802" ht="14.25" customHeight="1">
      <c r="A40802" s="740"/>
    </row>
    <row r="40803" ht="14.25" customHeight="1">
      <c r="A40803" s="740"/>
    </row>
    <row r="40804" ht="14.25" customHeight="1">
      <c r="A40804" s="740"/>
    </row>
    <row r="40805" ht="14.25" customHeight="1">
      <c r="A40805" s="740"/>
    </row>
    <row r="40806" ht="14.25" customHeight="1">
      <c r="A40806" s="740"/>
    </row>
    <row r="40807" ht="14.25" customHeight="1">
      <c r="A40807" s="740"/>
    </row>
    <row r="40808" ht="14.25" customHeight="1">
      <c r="A40808" s="740"/>
    </row>
    <row r="40809" ht="14.25" customHeight="1">
      <c r="A40809" s="740"/>
    </row>
    <row r="40810" ht="14.25" customHeight="1">
      <c r="A40810" s="740"/>
    </row>
    <row r="40811" ht="14.25" customHeight="1">
      <c r="A40811" s="740"/>
    </row>
    <row r="40812" ht="14.25" customHeight="1">
      <c r="A40812" s="740"/>
    </row>
    <row r="40813" ht="14.25" customHeight="1">
      <c r="A40813" s="740"/>
    </row>
    <row r="40814" ht="14.25" customHeight="1">
      <c r="A40814" s="740"/>
    </row>
    <row r="40815" ht="14.25" customHeight="1">
      <c r="A40815" s="740"/>
    </row>
    <row r="40816" ht="14.25" customHeight="1">
      <c r="A40816" s="740"/>
    </row>
    <row r="40817" ht="14.25" customHeight="1">
      <c r="A40817" s="740"/>
    </row>
    <row r="40818" ht="14.25" customHeight="1">
      <c r="A40818" s="740"/>
    </row>
    <row r="40819" ht="14.25" customHeight="1">
      <c r="A40819" s="740"/>
    </row>
    <row r="40820" ht="14.25" customHeight="1">
      <c r="A40820" s="740"/>
    </row>
    <row r="40821" ht="14.25" customHeight="1">
      <c r="A40821" s="740"/>
    </row>
    <row r="40822" ht="14.25" customHeight="1">
      <c r="A40822" s="740"/>
    </row>
    <row r="40823" ht="14.25" customHeight="1">
      <c r="A40823" s="740"/>
    </row>
    <row r="40824" ht="14.25" customHeight="1">
      <c r="A40824" s="740"/>
    </row>
    <row r="40825" ht="14.25" customHeight="1">
      <c r="A40825" s="740"/>
    </row>
    <row r="40826" ht="14.25" customHeight="1">
      <c r="A40826" s="740"/>
    </row>
    <row r="40827" ht="14.25" customHeight="1">
      <c r="A40827" s="740"/>
    </row>
    <row r="40828" ht="14.25" customHeight="1">
      <c r="A40828" s="740"/>
    </row>
    <row r="40829" ht="14.25" customHeight="1">
      <c r="A40829" s="740"/>
    </row>
    <row r="40830" ht="14.25" customHeight="1">
      <c r="A40830" s="740"/>
    </row>
    <row r="40831" ht="14.25" customHeight="1">
      <c r="A40831" s="740"/>
    </row>
    <row r="40832" ht="14.25" customHeight="1">
      <c r="A40832" s="740"/>
    </row>
    <row r="40833" ht="14.25" customHeight="1">
      <c r="A40833" s="740"/>
    </row>
    <row r="40834" ht="14.25" customHeight="1">
      <c r="A40834" s="740"/>
    </row>
    <row r="40835" ht="14.25" customHeight="1">
      <c r="A40835" s="740"/>
    </row>
    <row r="40836" ht="14.25" customHeight="1">
      <c r="A40836" s="740"/>
    </row>
    <row r="40837" ht="14.25" customHeight="1">
      <c r="A40837" s="740"/>
    </row>
    <row r="40838" ht="14.25" customHeight="1">
      <c r="A40838" s="740"/>
    </row>
    <row r="40839" ht="14.25" customHeight="1">
      <c r="A40839" s="740"/>
    </row>
    <row r="40840" ht="14.25" customHeight="1">
      <c r="A40840" s="740"/>
    </row>
    <row r="40841" ht="14.25" customHeight="1">
      <c r="A40841" s="740"/>
    </row>
    <row r="40842" ht="14.25" customHeight="1">
      <c r="A40842" s="740"/>
    </row>
    <row r="40843" ht="14.25" customHeight="1">
      <c r="A40843" s="740"/>
    </row>
    <row r="40844" ht="14.25" customHeight="1">
      <c r="A40844" s="740"/>
    </row>
    <row r="40845" ht="14.25" customHeight="1">
      <c r="A40845" s="740"/>
    </row>
    <row r="40846" ht="14.25" customHeight="1">
      <c r="A40846" s="740"/>
    </row>
    <row r="40847" ht="14.25" customHeight="1">
      <c r="A40847" s="740"/>
    </row>
    <row r="40848" ht="14.25" customHeight="1">
      <c r="A40848" s="740"/>
    </row>
    <row r="40849" ht="14.25" customHeight="1">
      <c r="A40849" s="740"/>
    </row>
    <row r="40850" ht="14.25" customHeight="1">
      <c r="A40850" s="740"/>
    </row>
    <row r="40851" ht="14.25" customHeight="1">
      <c r="A40851" s="740"/>
    </row>
    <row r="40852" ht="14.25" customHeight="1">
      <c r="A40852" s="740"/>
    </row>
    <row r="40853" ht="14.25" customHeight="1">
      <c r="A40853" s="740"/>
    </row>
    <row r="40854" ht="14.25" customHeight="1">
      <c r="A40854" s="740"/>
    </row>
    <row r="40855" ht="14.25" customHeight="1">
      <c r="A40855" s="740"/>
    </row>
    <row r="40856" ht="14.25" customHeight="1">
      <c r="A40856" s="740"/>
    </row>
    <row r="40857" ht="14.25" customHeight="1">
      <c r="A40857" s="740"/>
    </row>
    <row r="40858" ht="14.25" customHeight="1">
      <c r="A40858" s="740"/>
    </row>
    <row r="40859" ht="14.25" customHeight="1">
      <c r="A40859" s="740"/>
    </row>
    <row r="40860" ht="14.25" customHeight="1">
      <c r="A40860" s="740"/>
    </row>
    <row r="40861" ht="14.25" customHeight="1">
      <c r="A40861" s="740"/>
    </row>
    <row r="40862" ht="14.25" customHeight="1">
      <c r="A40862" s="740"/>
    </row>
    <row r="40863" ht="14.25" customHeight="1">
      <c r="A40863" s="740"/>
    </row>
    <row r="40864" ht="14.25" customHeight="1">
      <c r="A40864" s="740"/>
    </row>
    <row r="40865" ht="14.25" customHeight="1">
      <c r="A40865" s="740"/>
    </row>
    <row r="40866" ht="14.25" customHeight="1">
      <c r="A40866" s="740"/>
    </row>
    <row r="40867" ht="14.25" customHeight="1">
      <c r="A40867" s="740"/>
    </row>
    <row r="40868" ht="14.25" customHeight="1">
      <c r="A40868" s="740"/>
    </row>
    <row r="40869" ht="14.25" customHeight="1">
      <c r="A40869" s="740"/>
    </row>
    <row r="40870" ht="14.25" customHeight="1">
      <c r="A40870" s="740"/>
    </row>
    <row r="40871" ht="14.25" customHeight="1">
      <c r="A40871" s="740"/>
    </row>
    <row r="40872" ht="14.25" customHeight="1">
      <c r="A40872" s="740"/>
    </row>
    <row r="40873" ht="14.25" customHeight="1">
      <c r="A40873" s="740"/>
    </row>
    <row r="40874" ht="14.25" customHeight="1">
      <c r="A40874" s="740"/>
    </row>
    <row r="40875" ht="14.25" customHeight="1">
      <c r="A40875" s="740"/>
    </row>
    <row r="40876" ht="14.25" customHeight="1">
      <c r="A40876" s="740"/>
    </row>
    <row r="40877" ht="14.25" customHeight="1">
      <c r="A40877" s="740"/>
    </row>
    <row r="40878" ht="14.25" customHeight="1">
      <c r="A40878" s="740"/>
    </row>
    <row r="40879" ht="14.25" customHeight="1">
      <c r="A40879" s="740"/>
    </row>
    <row r="40880" ht="14.25" customHeight="1">
      <c r="A40880" s="740"/>
    </row>
    <row r="40881" ht="14.25" customHeight="1">
      <c r="A40881" s="740"/>
    </row>
    <row r="40882" ht="14.25" customHeight="1">
      <c r="A40882" s="740"/>
    </row>
    <row r="40883" ht="14.25" customHeight="1">
      <c r="A40883" s="740"/>
    </row>
    <row r="40884" ht="14.25" customHeight="1">
      <c r="A40884" s="740"/>
    </row>
    <row r="40885" ht="14.25" customHeight="1">
      <c r="A40885" s="740"/>
    </row>
    <row r="40886" ht="14.25" customHeight="1">
      <c r="A40886" s="740"/>
    </row>
    <row r="40887" ht="14.25" customHeight="1">
      <c r="A40887" s="740"/>
    </row>
    <row r="40888" ht="14.25" customHeight="1">
      <c r="A40888" s="740"/>
    </row>
    <row r="40889" ht="14.25" customHeight="1">
      <c r="A40889" s="740"/>
    </row>
    <row r="40890" ht="14.25" customHeight="1">
      <c r="A40890" s="740"/>
    </row>
    <row r="40891" ht="14.25" customHeight="1">
      <c r="A40891" s="740"/>
    </row>
    <row r="40892" ht="14.25" customHeight="1">
      <c r="A40892" s="740"/>
    </row>
    <row r="40893" ht="14.25" customHeight="1">
      <c r="A40893" s="740"/>
    </row>
    <row r="40894" ht="14.25" customHeight="1">
      <c r="A40894" s="740"/>
    </row>
    <row r="40895" ht="14.25" customHeight="1">
      <c r="A40895" s="740"/>
    </row>
    <row r="40896" ht="14.25" customHeight="1">
      <c r="A40896" s="740"/>
    </row>
    <row r="40897" ht="14.25" customHeight="1">
      <c r="A40897" s="740"/>
    </row>
    <row r="40898" ht="14.25" customHeight="1">
      <c r="A40898" s="740"/>
    </row>
    <row r="40899" ht="14.25" customHeight="1">
      <c r="A40899" s="740"/>
    </row>
    <row r="40900" ht="14.25" customHeight="1">
      <c r="A40900" s="740"/>
    </row>
    <row r="40901" ht="14.25" customHeight="1">
      <c r="A40901" s="740"/>
    </row>
    <row r="40902" ht="14.25" customHeight="1">
      <c r="A40902" s="740"/>
    </row>
    <row r="40903" ht="14.25" customHeight="1">
      <c r="A40903" s="740"/>
    </row>
    <row r="40904" ht="14.25" customHeight="1">
      <c r="A40904" s="740"/>
    </row>
    <row r="40905" ht="14.25" customHeight="1">
      <c r="A40905" s="740"/>
    </row>
    <row r="40906" ht="14.25" customHeight="1">
      <c r="A40906" s="740"/>
    </row>
    <row r="40907" ht="14.25" customHeight="1">
      <c r="A40907" s="740"/>
    </row>
    <row r="40908" ht="14.25" customHeight="1">
      <c r="A40908" s="740"/>
    </row>
    <row r="40909" ht="14.25" customHeight="1">
      <c r="A40909" s="740"/>
    </row>
    <row r="40910" ht="14.25" customHeight="1">
      <c r="A40910" s="740"/>
    </row>
    <row r="40911" ht="14.25" customHeight="1">
      <c r="A40911" s="740"/>
    </row>
    <row r="40912" ht="14.25" customHeight="1">
      <c r="A40912" s="740"/>
    </row>
    <row r="40913" ht="14.25" customHeight="1">
      <c r="A40913" s="740"/>
    </row>
    <row r="40914" ht="14.25" customHeight="1">
      <c r="A40914" s="740"/>
    </row>
    <row r="40915" ht="14.25" customHeight="1">
      <c r="A40915" s="740"/>
    </row>
    <row r="40916" ht="14.25" customHeight="1">
      <c r="A40916" s="740"/>
    </row>
    <row r="40917" ht="14.25" customHeight="1">
      <c r="A40917" s="740"/>
    </row>
    <row r="40918" ht="14.25" customHeight="1">
      <c r="A40918" s="740"/>
    </row>
    <row r="40919" ht="14.25" customHeight="1">
      <c r="A40919" s="740"/>
    </row>
    <row r="40920" ht="14.25" customHeight="1">
      <c r="A40920" s="740"/>
    </row>
    <row r="40921" ht="14.25" customHeight="1">
      <c r="A40921" s="740"/>
    </row>
    <row r="40922" ht="14.25" customHeight="1">
      <c r="A40922" s="740"/>
    </row>
    <row r="40923" ht="14.25" customHeight="1">
      <c r="A40923" s="740"/>
    </row>
    <row r="40924" ht="14.25" customHeight="1">
      <c r="A40924" s="740"/>
    </row>
    <row r="40925" ht="14.25" customHeight="1">
      <c r="A40925" s="740"/>
    </row>
    <row r="40926" ht="14.25" customHeight="1">
      <c r="A40926" s="740"/>
    </row>
    <row r="40927" ht="14.25" customHeight="1">
      <c r="A40927" s="740"/>
    </row>
    <row r="40928" ht="14.25" customHeight="1">
      <c r="A40928" s="740"/>
    </row>
    <row r="40929" ht="14.25" customHeight="1">
      <c r="A40929" s="740"/>
    </row>
    <row r="40930" ht="14.25" customHeight="1">
      <c r="A40930" s="740"/>
    </row>
    <row r="40931" ht="14.25" customHeight="1">
      <c r="A40931" s="740"/>
    </row>
    <row r="40932" ht="14.25" customHeight="1">
      <c r="A40932" s="740"/>
    </row>
    <row r="40933" ht="14.25" customHeight="1">
      <c r="A40933" s="740"/>
    </row>
    <row r="40934" ht="14.25" customHeight="1">
      <c r="A40934" s="740"/>
    </row>
    <row r="40935" ht="14.25" customHeight="1">
      <c r="A40935" s="740"/>
    </row>
    <row r="40936" ht="14.25" customHeight="1">
      <c r="A40936" s="740"/>
    </row>
    <row r="40937" ht="14.25" customHeight="1">
      <c r="A40937" s="740"/>
    </row>
    <row r="40938" ht="14.25" customHeight="1">
      <c r="A40938" s="740"/>
    </row>
    <row r="40939" ht="14.25" customHeight="1">
      <c r="A40939" s="740"/>
    </row>
    <row r="40940" ht="14.25" customHeight="1">
      <c r="A40940" s="740"/>
    </row>
    <row r="40941" ht="14.25" customHeight="1">
      <c r="A40941" s="740"/>
    </row>
    <row r="40942" ht="14.25" customHeight="1">
      <c r="A40942" s="740"/>
    </row>
    <row r="40943" ht="14.25" customHeight="1">
      <c r="A40943" s="740"/>
    </row>
    <row r="40944" ht="14.25" customHeight="1">
      <c r="A40944" s="740"/>
    </row>
    <row r="40945" ht="14.25" customHeight="1">
      <c r="A40945" s="740"/>
    </row>
    <row r="40946" ht="14.25" customHeight="1">
      <c r="A40946" s="740"/>
    </row>
    <row r="40947" ht="14.25" customHeight="1">
      <c r="A40947" s="740"/>
    </row>
    <row r="40948" ht="14.25" customHeight="1">
      <c r="A40948" s="740"/>
    </row>
    <row r="40949" ht="14.25" customHeight="1">
      <c r="A40949" s="740"/>
    </row>
    <row r="40950" ht="14.25" customHeight="1">
      <c r="A40950" s="740"/>
    </row>
    <row r="40951" ht="14.25" customHeight="1">
      <c r="A40951" s="740"/>
    </row>
    <row r="40952" ht="14.25" customHeight="1">
      <c r="A40952" s="740"/>
    </row>
    <row r="40953" ht="14.25" customHeight="1">
      <c r="A40953" s="740"/>
    </row>
    <row r="40954" ht="14.25" customHeight="1">
      <c r="A40954" s="740"/>
    </row>
    <row r="40955" ht="14.25" customHeight="1">
      <c r="A40955" s="740"/>
    </row>
    <row r="40956" ht="14.25" customHeight="1">
      <c r="A40956" s="740"/>
    </row>
    <row r="40957" ht="14.25" customHeight="1">
      <c r="A40957" s="740"/>
    </row>
    <row r="40958" ht="14.25" customHeight="1">
      <c r="A40958" s="740"/>
    </row>
    <row r="40959" ht="14.25" customHeight="1">
      <c r="A40959" s="740"/>
    </row>
    <row r="40960" ht="14.25" customHeight="1">
      <c r="A40960" s="740"/>
    </row>
    <row r="40961" ht="14.25" customHeight="1">
      <c r="A40961" s="740"/>
    </row>
    <row r="40962" ht="14.25" customHeight="1">
      <c r="A40962" s="740"/>
    </row>
    <row r="40963" ht="14.25" customHeight="1">
      <c r="A40963" s="740"/>
    </row>
    <row r="40964" ht="14.25" customHeight="1">
      <c r="A40964" s="740"/>
    </row>
    <row r="40965" ht="14.25" customHeight="1">
      <c r="A40965" s="740"/>
    </row>
    <row r="40966" ht="14.25" customHeight="1">
      <c r="A40966" s="740"/>
    </row>
    <row r="40967" ht="14.25" customHeight="1">
      <c r="A40967" s="740"/>
    </row>
    <row r="40968" ht="14.25" customHeight="1">
      <c r="A40968" s="740"/>
    </row>
    <row r="40969" ht="14.25" customHeight="1">
      <c r="A40969" s="740"/>
    </row>
    <row r="40970" ht="14.25" customHeight="1">
      <c r="A40970" s="740"/>
    </row>
    <row r="40971" ht="14.25" customHeight="1">
      <c r="A40971" s="740"/>
    </row>
    <row r="40972" ht="14.25" customHeight="1">
      <c r="A40972" s="740"/>
    </row>
    <row r="40973" ht="14.25" customHeight="1">
      <c r="A40973" s="740"/>
    </row>
    <row r="40974" ht="14.25" customHeight="1">
      <c r="A40974" s="740"/>
    </row>
    <row r="40975" ht="14.25" customHeight="1">
      <c r="A40975" s="740"/>
    </row>
    <row r="40976" ht="14.25" customHeight="1">
      <c r="A40976" s="740"/>
    </row>
    <row r="40977" ht="14.25" customHeight="1">
      <c r="A40977" s="740"/>
    </row>
    <row r="40978" ht="14.25" customHeight="1">
      <c r="A40978" s="740"/>
    </row>
    <row r="40979" ht="14.25" customHeight="1">
      <c r="A40979" s="740"/>
    </row>
    <row r="40980" ht="14.25" customHeight="1">
      <c r="A40980" s="740"/>
    </row>
    <row r="40981" ht="14.25" customHeight="1">
      <c r="A40981" s="740"/>
    </row>
    <row r="40982" ht="14.25" customHeight="1">
      <c r="A40982" s="740"/>
    </row>
    <row r="40983" ht="14.25" customHeight="1">
      <c r="A40983" s="740"/>
    </row>
    <row r="40984" ht="14.25" customHeight="1">
      <c r="A40984" s="740"/>
    </row>
    <row r="40985" ht="14.25" customHeight="1">
      <c r="A40985" s="740"/>
    </row>
    <row r="40986" ht="14.25" customHeight="1">
      <c r="A40986" s="740"/>
    </row>
    <row r="40987" ht="14.25" customHeight="1">
      <c r="A40987" s="740"/>
    </row>
    <row r="40988" ht="14.25" customHeight="1">
      <c r="A40988" s="740"/>
    </row>
    <row r="40989" ht="14.25" customHeight="1">
      <c r="A40989" s="740"/>
    </row>
    <row r="40990" ht="14.25" customHeight="1">
      <c r="A40990" s="740"/>
    </row>
    <row r="40991" ht="14.25" customHeight="1">
      <c r="A40991" s="740"/>
    </row>
    <row r="40992" ht="14.25" customHeight="1">
      <c r="A40992" s="740"/>
    </row>
    <row r="40993" ht="14.25" customHeight="1">
      <c r="A40993" s="740"/>
    </row>
    <row r="40994" ht="14.25" customHeight="1">
      <c r="A40994" s="740"/>
    </row>
    <row r="40995" ht="14.25" customHeight="1">
      <c r="A40995" s="740"/>
    </row>
    <row r="40996" ht="14.25" customHeight="1">
      <c r="A40996" s="740"/>
    </row>
    <row r="40997" ht="14.25" customHeight="1">
      <c r="A40997" s="740"/>
    </row>
    <row r="40998" ht="14.25" customHeight="1">
      <c r="A40998" s="740"/>
    </row>
    <row r="40999" ht="14.25" customHeight="1">
      <c r="A40999" s="740"/>
    </row>
    <row r="41000" ht="14.25" customHeight="1">
      <c r="A41000" s="740"/>
    </row>
    <row r="41001" ht="14.25" customHeight="1">
      <c r="A41001" s="740"/>
    </row>
    <row r="41002" ht="14.25" customHeight="1">
      <c r="A41002" s="740"/>
    </row>
    <row r="41003" ht="14.25" customHeight="1">
      <c r="A41003" s="740"/>
    </row>
    <row r="41004" ht="14.25" customHeight="1">
      <c r="A41004" s="740"/>
    </row>
    <row r="41005" ht="14.25" customHeight="1">
      <c r="A41005" s="740"/>
    </row>
    <row r="41006" ht="14.25" customHeight="1">
      <c r="A41006" s="740"/>
    </row>
    <row r="41007" ht="14.25" customHeight="1">
      <c r="A41007" s="740"/>
    </row>
    <row r="41008" ht="14.25" customHeight="1">
      <c r="A41008" s="740"/>
    </row>
    <row r="41009" ht="14.25" customHeight="1">
      <c r="A41009" s="740"/>
    </row>
    <row r="41010" ht="14.25" customHeight="1">
      <c r="A41010" s="740"/>
    </row>
    <row r="41011" ht="14.25" customHeight="1">
      <c r="A41011" s="740"/>
    </row>
    <row r="41012" ht="14.25" customHeight="1">
      <c r="A41012" s="740"/>
    </row>
    <row r="41013" ht="14.25" customHeight="1">
      <c r="A41013" s="740"/>
    </row>
    <row r="41014" ht="14.25" customHeight="1">
      <c r="A41014" s="740"/>
    </row>
    <row r="41015" ht="14.25" customHeight="1">
      <c r="A41015" s="740"/>
    </row>
    <row r="41016" ht="14.25" customHeight="1">
      <c r="A41016" s="740"/>
    </row>
    <row r="41017" ht="14.25" customHeight="1">
      <c r="A41017" s="740"/>
    </row>
    <row r="41018" ht="14.25" customHeight="1">
      <c r="A41018" s="740"/>
    </row>
    <row r="41019" ht="14.25" customHeight="1">
      <c r="A41019" s="740"/>
    </row>
    <row r="41020" ht="14.25" customHeight="1">
      <c r="A41020" s="740"/>
    </row>
    <row r="41021" ht="14.25" customHeight="1">
      <c r="A41021" s="740"/>
    </row>
    <row r="41022" ht="14.25" customHeight="1">
      <c r="A41022" s="740"/>
    </row>
    <row r="41023" ht="14.25" customHeight="1">
      <c r="A41023" s="740"/>
    </row>
    <row r="41024" ht="14.25" customHeight="1">
      <c r="A41024" s="740"/>
    </row>
    <row r="41025" ht="14.25" customHeight="1">
      <c r="A41025" s="740"/>
    </row>
    <row r="41026" ht="14.25" customHeight="1">
      <c r="A41026" s="740"/>
    </row>
    <row r="41027" ht="14.25" customHeight="1">
      <c r="A41027" s="740"/>
    </row>
    <row r="41028" ht="14.25" customHeight="1">
      <c r="A41028" s="740"/>
    </row>
    <row r="41029" ht="14.25" customHeight="1">
      <c r="A41029" s="740"/>
    </row>
    <row r="41030" ht="14.25" customHeight="1">
      <c r="A41030" s="740"/>
    </row>
    <row r="41031" ht="14.25" customHeight="1">
      <c r="A41031" s="740"/>
    </row>
    <row r="41032" ht="14.25" customHeight="1">
      <c r="A41032" s="740"/>
    </row>
    <row r="41033" ht="14.25" customHeight="1">
      <c r="A41033" s="740"/>
    </row>
    <row r="41034" ht="14.25" customHeight="1">
      <c r="A41034" s="740"/>
    </row>
    <row r="41035" ht="14.25" customHeight="1">
      <c r="A41035" s="740"/>
    </row>
    <row r="41036" ht="14.25" customHeight="1">
      <c r="A41036" s="740"/>
    </row>
    <row r="41037" ht="14.25" customHeight="1">
      <c r="A41037" s="740"/>
    </row>
    <row r="41038" ht="14.25" customHeight="1">
      <c r="A41038" s="740"/>
    </row>
    <row r="41039" ht="14.25" customHeight="1">
      <c r="A41039" s="740"/>
    </row>
    <row r="41040" ht="14.25" customHeight="1">
      <c r="A41040" s="740"/>
    </row>
    <row r="41041" ht="14.25" customHeight="1">
      <c r="A41041" s="740"/>
    </row>
    <row r="41042" ht="14.25" customHeight="1">
      <c r="A41042" s="740"/>
    </row>
    <row r="41043" ht="14.25" customHeight="1">
      <c r="A41043" s="740"/>
    </row>
    <row r="41044" ht="14.25" customHeight="1">
      <c r="A41044" s="740"/>
    </row>
    <row r="41045" ht="14.25" customHeight="1">
      <c r="A41045" s="740"/>
    </row>
    <row r="41046" ht="14.25" customHeight="1">
      <c r="A41046" s="740"/>
    </row>
    <row r="41047" ht="14.25" customHeight="1">
      <c r="A41047" s="740"/>
    </row>
    <row r="41048" ht="14.25" customHeight="1">
      <c r="A41048" s="740"/>
    </row>
    <row r="41049" ht="14.25" customHeight="1">
      <c r="A41049" s="740"/>
    </row>
    <row r="41050" ht="14.25" customHeight="1">
      <c r="A41050" s="740"/>
    </row>
    <row r="41051" ht="14.25" customHeight="1">
      <c r="A41051" s="740"/>
    </row>
    <row r="41052" ht="14.25" customHeight="1">
      <c r="A41052" s="740"/>
    </row>
    <row r="41053" ht="14.25" customHeight="1">
      <c r="A41053" s="740"/>
    </row>
    <row r="41054" ht="14.25" customHeight="1">
      <c r="A41054" s="740"/>
    </row>
    <row r="41055" ht="14.25" customHeight="1">
      <c r="A41055" s="740"/>
    </row>
    <row r="41056" ht="14.25" customHeight="1">
      <c r="A41056" s="740"/>
    </row>
    <row r="41057" ht="14.25" customHeight="1">
      <c r="A41057" s="740"/>
    </row>
    <row r="41058" ht="14.25" customHeight="1">
      <c r="A41058" s="740"/>
    </row>
    <row r="41059" ht="14.25" customHeight="1">
      <c r="A41059" s="740"/>
    </row>
    <row r="41060" ht="14.25" customHeight="1">
      <c r="A41060" s="740"/>
    </row>
    <row r="41061" ht="14.25" customHeight="1">
      <c r="A41061" s="740"/>
    </row>
    <row r="41062" ht="14.25" customHeight="1">
      <c r="A41062" s="740"/>
    </row>
    <row r="41063" ht="14.25" customHeight="1">
      <c r="A41063" s="740"/>
    </row>
    <row r="41064" ht="14.25" customHeight="1">
      <c r="A41064" s="740"/>
    </row>
    <row r="41065" ht="14.25" customHeight="1">
      <c r="A41065" s="740"/>
    </row>
    <row r="41066" ht="14.25" customHeight="1">
      <c r="A41066" s="740"/>
    </row>
    <row r="41067" ht="14.25" customHeight="1">
      <c r="A41067" s="740"/>
    </row>
    <row r="41068" ht="14.25" customHeight="1">
      <c r="A41068" s="740"/>
    </row>
    <row r="41069" ht="14.25" customHeight="1">
      <c r="A41069" s="740"/>
    </row>
    <row r="41070" ht="14.25" customHeight="1">
      <c r="A41070" s="740"/>
    </row>
    <row r="41071" ht="14.25" customHeight="1">
      <c r="A41071" s="740"/>
    </row>
    <row r="41072" ht="14.25" customHeight="1">
      <c r="A41072" s="740"/>
    </row>
    <row r="41073" ht="14.25" customHeight="1">
      <c r="A41073" s="740"/>
    </row>
    <row r="41074" ht="14.25" customHeight="1">
      <c r="A41074" s="740"/>
    </row>
    <row r="41075" ht="14.25" customHeight="1">
      <c r="A41075" s="740"/>
    </row>
    <row r="41076" ht="14.25" customHeight="1">
      <c r="A41076" s="740"/>
    </row>
    <row r="41077" ht="14.25" customHeight="1">
      <c r="A41077" s="740"/>
    </row>
    <row r="41078" ht="14.25" customHeight="1">
      <c r="A41078" s="740"/>
    </row>
    <row r="41079" ht="14.25" customHeight="1">
      <c r="A41079" s="740"/>
    </row>
    <row r="41080" ht="14.25" customHeight="1">
      <c r="A41080" s="740"/>
    </row>
    <row r="41081" ht="14.25" customHeight="1">
      <c r="A41081" s="740"/>
    </row>
    <row r="41082" ht="14.25" customHeight="1">
      <c r="A41082" s="740"/>
    </row>
    <row r="41083" ht="14.25" customHeight="1">
      <c r="A41083" s="740"/>
    </row>
    <row r="41084" ht="14.25" customHeight="1">
      <c r="A41084" s="740"/>
    </row>
    <row r="41085" ht="14.25" customHeight="1">
      <c r="A41085" s="740"/>
    </row>
    <row r="41086" ht="14.25" customHeight="1">
      <c r="A41086" s="740"/>
    </row>
    <row r="41087" ht="14.25" customHeight="1">
      <c r="A41087" s="740"/>
    </row>
    <row r="41088" ht="14.25" customHeight="1">
      <c r="A41088" s="740"/>
    </row>
    <row r="41089" ht="14.25" customHeight="1">
      <c r="A41089" s="740"/>
    </row>
    <row r="41090" ht="14.25" customHeight="1">
      <c r="A41090" s="740"/>
    </row>
    <row r="41091" ht="14.25" customHeight="1">
      <c r="A41091" s="740"/>
    </row>
    <row r="41092" ht="14.25" customHeight="1">
      <c r="A41092" s="740"/>
    </row>
    <row r="41093" ht="14.25" customHeight="1">
      <c r="A41093" s="740"/>
    </row>
    <row r="41094" ht="14.25" customHeight="1">
      <c r="A41094" s="740"/>
    </row>
    <row r="41095" ht="14.25" customHeight="1">
      <c r="A41095" s="740"/>
    </row>
    <row r="41096" ht="14.25" customHeight="1">
      <c r="A41096" s="740"/>
    </row>
    <row r="41097" ht="14.25" customHeight="1">
      <c r="A41097" s="740"/>
    </row>
    <row r="41098" ht="14.25" customHeight="1">
      <c r="A41098" s="740"/>
    </row>
    <row r="41099" ht="14.25" customHeight="1">
      <c r="A41099" s="740"/>
    </row>
    <row r="41100" ht="14.25" customHeight="1">
      <c r="A41100" s="740"/>
    </row>
    <row r="41101" ht="14.25" customHeight="1">
      <c r="A41101" s="740"/>
    </row>
    <row r="41102" ht="14.25" customHeight="1">
      <c r="A41102" s="740"/>
    </row>
    <row r="41103" ht="14.25" customHeight="1">
      <c r="A41103" s="740"/>
    </row>
    <row r="41104" ht="14.25" customHeight="1">
      <c r="A41104" s="740"/>
    </row>
    <row r="41105" ht="14.25" customHeight="1">
      <c r="A41105" s="740"/>
    </row>
    <row r="41106" ht="14.25" customHeight="1">
      <c r="A41106" s="740"/>
    </row>
    <row r="41107" ht="14.25" customHeight="1">
      <c r="A41107" s="740"/>
    </row>
    <row r="41108" ht="14.25" customHeight="1">
      <c r="A41108" s="740"/>
    </row>
    <row r="41109" ht="14.25" customHeight="1">
      <c r="A41109" s="740"/>
    </row>
    <row r="41110" ht="14.25" customHeight="1">
      <c r="A41110" s="740"/>
    </row>
    <row r="41111" ht="14.25" customHeight="1">
      <c r="A41111" s="740"/>
    </row>
    <row r="41112" ht="14.25" customHeight="1">
      <c r="A41112" s="740"/>
    </row>
    <row r="41113" ht="14.25" customHeight="1">
      <c r="A41113" s="740"/>
    </row>
    <row r="41114" ht="14.25" customHeight="1">
      <c r="A41114" s="740"/>
    </row>
    <row r="41115" ht="14.25" customHeight="1">
      <c r="A41115" s="740"/>
    </row>
    <row r="41116" ht="14.25" customHeight="1">
      <c r="A41116" s="740"/>
    </row>
    <row r="41117" ht="14.25" customHeight="1">
      <c r="A41117" s="740"/>
    </row>
    <row r="41118" ht="14.25" customHeight="1">
      <c r="A41118" s="740"/>
    </row>
    <row r="41119" ht="14.25" customHeight="1">
      <c r="A41119" s="740"/>
    </row>
    <row r="41120" ht="14.25" customHeight="1">
      <c r="A41120" s="740"/>
    </row>
    <row r="41121" ht="14.25" customHeight="1">
      <c r="A41121" s="740"/>
    </row>
    <row r="41122" ht="14.25" customHeight="1">
      <c r="A41122" s="740"/>
    </row>
    <row r="41123" ht="14.25" customHeight="1">
      <c r="A41123" s="740"/>
    </row>
    <row r="41124" ht="14.25" customHeight="1">
      <c r="A41124" s="740"/>
    </row>
    <row r="41125" ht="14.25" customHeight="1">
      <c r="A41125" s="740"/>
    </row>
    <row r="41126" ht="14.25" customHeight="1">
      <c r="A41126" s="740"/>
    </row>
    <row r="41127" ht="14.25" customHeight="1">
      <c r="A41127" s="740"/>
    </row>
    <row r="41128" ht="14.25" customHeight="1">
      <c r="A41128" s="740"/>
    </row>
    <row r="41129" ht="14.25" customHeight="1">
      <c r="A41129" s="740"/>
    </row>
    <row r="41130" ht="14.25" customHeight="1">
      <c r="A41130" s="740"/>
    </row>
    <row r="41131" ht="14.25" customHeight="1">
      <c r="A41131" s="740"/>
    </row>
    <row r="41132" ht="14.25" customHeight="1">
      <c r="A41132" s="740"/>
    </row>
    <row r="41133" ht="14.25" customHeight="1">
      <c r="A41133" s="740"/>
    </row>
    <row r="41134" ht="14.25" customHeight="1">
      <c r="A41134" s="740"/>
    </row>
    <row r="41135" ht="14.25" customHeight="1">
      <c r="A41135" s="740"/>
    </row>
    <row r="41136" ht="14.25" customHeight="1">
      <c r="A41136" s="740"/>
    </row>
    <row r="41137" ht="14.25" customHeight="1">
      <c r="A41137" s="740"/>
    </row>
    <row r="41138" ht="14.25" customHeight="1">
      <c r="A41138" s="740"/>
    </row>
    <row r="41139" ht="14.25" customHeight="1">
      <c r="A41139" s="740"/>
    </row>
    <row r="41140" ht="14.25" customHeight="1">
      <c r="A41140" s="740"/>
    </row>
    <row r="41141" ht="14.25" customHeight="1">
      <c r="A41141" s="740"/>
    </row>
    <row r="41142" ht="14.25" customHeight="1">
      <c r="A41142" s="740"/>
    </row>
    <row r="41143" ht="14.25" customHeight="1">
      <c r="A41143" s="740"/>
    </row>
    <row r="41144" ht="14.25" customHeight="1">
      <c r="A41144" s="740"/>
    </row>
    <row r="41145" ht="14.25" customHeight="1">
      <c r="A41145" s="740"/>
    </row>
    <row r="41146" ht="14.25" customHeight="1">
      <c r="A41146" s="740"/>
    </row>
    <row r="41147" ht="14.25" customHeight="1">
      <c r="A41147" s="740"/>
    </row>
    <row r="41148" ht="14.25" customHeight="1">
      <c r="A41148" s="740"/>
    </row>
    <row r="41149" ht="14.25" customHeight="1">
      <c r="A41149" s="740"/>
    </row>
    <row r="41150" ht="14.25" customHeight="1">
      <c r="A41150" s="740"/>
    </row>
    <row r="41151" ht="14.25" customHeight="1">
      <c r="A41151" s="740"/>
    </row>
    <row r="41152" ht="14.25" customHeight="1">
      <c r="A41152" s="740"/>
    </row>
    <row r="41153" ht="14.25" customHeight="1">
      <c r="A41153" s="740"/>
    </row>
    <row r="41154" ht="14.25" customHeight="1">
      <c r="A41154" s="740"/>
    </row>
    <row r="41155" ht="14.25" customHeight="1">
      <c r="A41155" s="740"/>
    </row>
    <row r="41156" ht="14.25" customHeight="1">
      <c r="A41156" s="740"/>
    </row>
    <row r="41157" ht="14.25" customHeight="1">
      <c r="A41157" s="740"/>
    </row>
    <row r="41158" ht="14.25" customHeight="1">
      <c r="A41158" s="740"/>
    </row>
    <row r="41159" ht="14.25" customHeight="1">
      <c r="A41159" s="740"/>
    </row>
    <row r="41160" ht="14.25" customHeight="1">
      <c r="A41160" s="740"/>
    </row>
    <row r="41161" ht="14.25" customHeight="1">
      <c r="A41161" s="740"/>
    </row>
    <row r="41162" ht="14.25" customHeight="1">
      <c r="A41162" s="740"/>
    </row>
    <row r="41163" ht="14.25" customHeight="1">
      <c r="A41163" s="740"/>
    </row>
    <row r="41164" ht="14.25" customHeight="1">
      <c r="A41164" s="740"/>
    </row>
    <row r="41165" ht="14.25" customHeight="1">
      <c r="A41165" s="740"/>
    </row>
    <row r="41166" ht="14.25" customHeight="1">
      <c r="A41166" s="740"/>
    </row>
    <row r="41167" ht="14.25" customHeight="1">
      <c r="A41167" s="740"/>
    </row>
    <row r="41168" ht="14.25" customHeight="1">
      <c r="A41168" s="740"/>
    </row>
    <row r="41169" ht="14.25" customHeight="1">
      <c r="A41169" s="740"/>
    </row>
    <row r="41170" ht="14.25" customHeight="1">
      <c r="A41170" s="740"/>
    </row>
    <row r="41171" ht="14.25" customHeight="1">
      <c r="A41171" s="740"/>
    </row>
    <row r="41172" ht="14.25" customHeight="1">
      <c r="A41172" s="740"/>
    </row>
    <row r="41173" ht="14.25" customHeight="1">
      <c r="A41173" s="740"/>
    </row>
    <row r="41174" ht="14.25" customHeight="1">
      <c r="A41174" s="740"/>
    </row>
    <row r="41175" ht="14.25" customHeight="1">
      <c r="A41175" s="740"/>
    </row>
    <row r="41176" ht="14.25" customHeight="1">
      <c r="A41176" s="740"/>
    </row>
    <row r="41177" ht="14.25" customHeight="1">
      <c r="A41177" s="740"/>
    </row>
    <row r="41178" ht="14.25" customHeight="1">
      <c r="A41178" s="740"/>
    </row>
    <row r="41179" ht="14.25" customHeight="1">
      <c r="A41179" s="740"/>
    </row>
    <row r="41180" ht="14.25" customHeight="1">
      <c r="A41180" s="740"/>
    </row>
    <row r="41181" ht="14.25" customHeight="1">
      <c r="A41181" s="740"/>
    </row>
    <row r="41182" ht="14.25" customHeight="1">
      <c r="A41182" s="740"/>
    </row>
    <row r="41183" ht="14.25" customHeight="1">
      <c r="A41183" s="740"/>
    </row>
    <row r="41184" ht="14.25" customHeight="1">
      <c r="A41184" s="740"/>
    </row>
    <row r="41185" ht="14.25" customHeight="1">
      <c r="A41185" s="740"/>
    </row>
    <row r="41186" ht="14.25" customHeight="1">
      <c r="A41186" s="740"/>
    </row>
    <row r="41187" ht="14.25" customHeight="1">
      <c r="A41187" s="740"/>
    </row>
    <row r="41188" ht="14.25" customHeight="1">
      <c r="A41188" s="740"/>
    </row>
    <row r="41189" ht="14.25" customHeight="1">
      <c r="A41189" s="740"/>
    </row>
    <row r="41190" ht="14.25" customHeight="1">
      <c r="A41190" s="740"/>
    </row>
    <row r="41191" ht="14.25" customHeight="1">
      <c r="A41191" s="740"/>
    </row>
    <row r="41192" ht="14.25" customHeight="1">
      <c r="A41192" s="740"/>
    </row>
    <row r="41193" ht="14.25" customHeight="1">
      <c r="A41193" s="740"/>
    </row>
    <row r="41194" ht="14.25" customHeight="1">
      <c r="A41194" s="740"/>
    </row>
    <row r="41195" ht="14.25" customHeight="1">
      <c r="A41195" s="740"/>
    </row>
    <row r="41196" ht="14.25" customHeight="1">
      <c r="A41196" s="740"/>
    </row>
    <row r="41197" ht="14.25" customHeight="1">
      <c r="A41197" s="740"/>
    </row>
    <row r="41198" ht="14.25" customHeight="1">
      <c r="A41198" s="740"/>
    </row>
    <row r="41199" ht="14.25" customHeight="1">
      <c r="A41199" s="740"/>
    </row>
    <row r="41200" ht="14.25" customHeight="1">
      <c r="A41200" s="740"/>
    </row>
    <row r="41201" ht="14.25" customHeight="1">
      <c r="A41201" s="740"/>
    </row>
    <row r="41202" ht="14.25" customHeight="1">
      <c r="A41202" s="740"/>
    </row>
    <row r="41203" ht="14.25" customHeight="1">
      <c r="A41203" s="740"/>
    </row>
    <row r="41204" ht="14.25" customHeight="1">
      <c r="A41204" s="740"/>
    </row>
    <row r="41205" ht="14.25" customHeight="1">
      <c r="A41205" s="740"/>
    </row>
    <row r="41206" ht="14.25" customHeight="1">
      <c r="A41206" s="740"/>
    </row>
    <row r="41207" ht="14.25" customHeight="1">
      <c r="A41207" s="740"/>
    </row>
    <row r="41208" ht="14.25" customHeight="1">
      <c r="A41208" s="740"/>
    </row>
    <row r="41209" ht="14.25" customHeight="1">
      <c r="A41209" s="740"/>
    </row>
    <row r="41210" ht="14.25" customHeight="1">
      <c r="A41210" s="740"/>
    </row>
    <row r="41211" ht="14.25" customHeight="1">
      <c r="A41211" s="740"/>
    </row>
    <row r="41212" ht="14.25" customHeight="1">
      <c r="A41212" s="740"/>
    </row>
    <row r="41213" ht="14.25" customHeight="1">
      <c r="A41213" s="740"/>
    </row>
    <row r="41214" ht="14.25" customHeight="1">
      <c r="A41214" s="740"/>
    </row>
    <row r="41215" ht="14.25" customHeight="1">
      <c r="A41215" s="740"/>
    </row>
    <row r="41216" ht="14.25" customHeight="1">
      <c r="A41216" s="740"/>
    </row>
    <row r="41217" ht="14.25" customHeight="1">
      <c r="A41217" s="740"/>
    </row>
    <row r="41218" ht="14.25" customHeight="1">
      <c r="A41218" s="740"/>
    </row>
    <row r="41219" ht="14.25" customHeight="1">
      <c r="A41219" s="740"/>
    </row>
    <row r="41220" ht="14.25" customHeight="1">
      <c r="A41220" s="740"/>
    </row>
    <row r="41221" ht="14.25" customHeight="1">
      <c r="A41221" s="740"/>
    </row>
    <row r="41222" ht="14.25" customHeight="1">
      <c r="A41222" s="740"/>
    </row>
    <row r="41223" ht="14.25" customHeight="1">
      <c r="A41223" s="740"/>
    </row>
    <row r="41224" ht="14.25" customHeight="1">
      <c r="A41224" s="740"/>
    </row>
    <row r="41225" ht="14.25" customHeight="1">
      <c r="A41225" s="740"/>
    </row>
    <row r="41226" ht="14.25" customHeight="1">
      <c r="A41226" s="740"/>
    </row>
    <row r="41227" ht="14.25" customHeight="1">
      <c r="A41227" s="740"/>
    </row>
    <row r="41228" ht="14.25" customHeight="1">
      <c r="A41228" s="740"/>
    </row>
    <row r="41229" ht="14.25" customHeight="1">
      <c r="A41229" s="740"/>
    </row>
    <row r="41230" ht="14.25" customHeight="1">
      <c r="A41230" s="740"/>
    </row>
    <row r="41231" ht="14.25" customHeight="1">
      <c r="A41231" s="740"/>
    </row>
    <row r="41232" ht="14.25" customHeight="1">
      <c r="A41232" s="740"/>
    </row>
    <row r="41233" ht="14.25" customHeight="1">
      <c r="A41233" s="740"/>
    </row>
    <row r="41234" ht="14.25" customHeight="1">
      <c r="A41234" s="740"/>
    </row>
    <row r="41235" ht="14.25" customHeight="1">
      <c r="A41235" s="740"/>
    </row>
    <row r="41236" ht="14.25" customHeight="1">
      <c r="A41236" s="740"/>
    </row>
    <row r="41237" ht="14.25" customHeight="1">
      <c r="A41237" s="740"/>
    </row>
    <row r="41238" ht="14.25" customHeight="1">
      <c r="A41238" s="740"/>
    </row>
    <row r="41239" ht="14.25" customHeight="1">
      <c r="A41239" s="740"/>
    </row>
    <row r="41240" ht="14.25" customHeight="1">
      <c r="A41240" s="740"/>
    </row>
    <row r="41241" ht="14.25" customHeight="1">
      <c r="A41241" s="740"/>
    </row>
    <row r="41242" ht="14.25" customHeight="1">
      <c r="A41242" s="740"/>
    </row>
    <row r="41243" ht="14.25" customHeight="1">
      <c r="A41243" s="740"/>
    </row>
    <row r="41244" ht="14.25" customHeight="1">
      <c r="A41244" s="740"/>
    </row>
    <row r="41245" ht="14.25" customHeight="1">
      <c r="A41245" s="740"/>
    </row>
    <row r="41246" ht="14.25" customHeight="1">
      <c r="A41246" s="740"/>
    </row>
    <row r="41247" ht="14.25" customHeight="1">
      <c r="A41247" s="740"/>
    </row>
    <row r="41248" ht="14.25" customHeight="1">
      <c r="A41248" s="740"/>
    </row>
    <row r="41249" ht="14.25" customHeight="1">
      <c r="A41249" s="740"/>
    </row>
    <row r="41250" ht="14.25" customHeight="1">
      <c r="A41250" s="740"/>
    </row>
    <row r="41251" ht="14.25" customHeight="1">
      <c r="A41251" s="740"/>
    </row>
    <row r="41252" ht="14.25" customHeight="1">
      <c r="A41252" s="740"/>
    </row>
    <row r="41253" ht="14.25" customHeight="1">
      <c r="A41253" s="740"/>
    </row>
    <row r="41254" ht="14.25" customHeight="1">
      <c r="A41254" s="740"/>
    </row>
    <row r="41255" ht="14.25" customHeight="1">
      <c r="A41255" s="740"/>
    </row>
    <row r="41256" ht="14.25" customHeight="1">
      <c r="A41256" s="740"/>
    </row>
    <row r="41257" ht="14.25" customHeight="1">
      <c r="A41257" s="740"/>
    </row>
    <row r="41258" ht="14.25" customHeight="1">
      <c r="A41258" s="740"/>
    </row>
    <row r="41259" ht="14.25" customHeight="1">
      <c r="A41259" s="740"/>
    </row>
    <row r="41260" ht="14.25" customHeight="1">
      <c r="A41260" s="740"/>
    </row>
    <row r="41261" ht="14.25" customHeight="1">
      <c r="A41261" s="740"/>
    </row>
    <row r="41262" ht="14.25" customHeight="1">
      <c r="A41262" s="740"/>
    </row>
    <row r="41263" ht="14.25" customHeight="1">
      <c r="A41263" s="740"/>
    </row>
    <row r="41264" ht="14.25" customHeight="1">
      <c r="A41264" s="740"/>
    </row>
    <row r="41265" ht="14.25" customHeight="1">
      <c r="A41265" s="740"/>
    </row>
    <row r="41266" ht="14.25" customHeight="1">
      <c r="A41266" s="740"/>
    </row>
    <row r="41267" ht="14.25" customHeight="1">
      <c r="A41267" s="740"/>
    </row>
    <row r="41268" ht="14.25" customHeight="1">
      <c r="A41268" s="740"/>
    </row>
    <row r="41269" ht="14.25" customHeight="1">
      <c r="A41269" s="740"/>
    </row>
    <row r="41270" ht="14.25" customHeight="1">
      <c r="A41270" s="740"/>
    </row>
    <row r="41271" ht="14.25" customHeight="1">
      <c r="A41271" s="740"/>
    </row>
    <row r="41272" ht="14.25" customHeight="1">
      <c r="A41272" s="740"/>
    </row>
    <row r="41273" ht="14.25" customHeight="1">
      <c r="A41273" s="740"/>
    </row>
    <row r="41274" ht="14.25" customHeight="1">
      <c r="A41274" s="740"/>
    </row>
    <row r="41275" ht="14.25" customHeight="1">
      <c r="A41275" s="740"/>
    </row>
    <row r="41276" ht="14.25" customHeight="1">
      <c r="A41276" s="740"/>
    </row>
    <row r="41277" ht="14.25" customHeight="1">
      <c r="A41277" s="740"/>
    </row>
    <row r="41278" ht="14.25" customHeight="1">
      <c r="A41278" s="740"/>
    </row>
    <row r="41279" ht="14.25" customHeight="1">
      <c r="A41279" s="740"/>
    </row>
    <row r="41280" ht="14.25" customHeight="1">
      <c r="A41280" s="740"/>
    </row>
    <row r="41281" ht="14.25" customHeight="1">
      <c r="A41281" s="740"/>
    </row>
    <row r="41282" ht="14.25" customHeight="1">
      <c r="A41282" s="740"/>
    </row>
    <row r="41283" ht="14.25" customHeight="1">
      <c r="A41283" s="740"/>
    </row>
    <row r="41284" ht="14.25" customHeight="1">
      <c r="A41284" s="740"/>
    </row>
    <row r="41285" ht="14.25" customHeight="1">
      <c r="A41285" s="740"/>
    </row>
    <row r="41286" ht="14.25" customHeight="1">
      <c r="A41286" s="740"/>
    </row>
    <row r="41287" ht="14.25" customHeight="1">
      <c r="A41287" s="740"/>
    </row>
    <row r="41288" ht="14.25" customHeight="1">
      <c r="A41288" s="740"/>
    </row>
    <row r="41289" ht="14.25" customHeight="1">
      <c r="A41289" s="740"/>
    </row>
    <row r="41290" ht="14.25" customHeight="1">
      <c r="A41290" s="740"/>
    </row>
    <row r="41291" ht="14.25" customHeight="1">
      <c r="A41291" s="740"/>
    </row>
    <row r="41292" ht="14.25" customHeight="1">
      <c r="A41292" s="740"/>
    </row>
    <row r="41293" ht="14.25" customHeight="1">
      <c r="A41293" s="740"/>
    </row>
    <row r="41294" ht="14.25" customHeight="1">
      <c r="A41294" s="740"/>
    </row>
    <row r="41295" ht="14.25" customHeight="1">
      <c r="A41295" s="740"/>
    </row>
    <row r="41296" ht="14.25" customHeight="1">
      <c r="A41296" s="740"/>
    </row>
    <row r="41297" ht="14.25" customHeight="1">
      <c r="A41297" s="740"/>
    </row>
    <row r="41298" ht="14.25" customHeight="1">
      <c r="A41298" s="740"/>
    </row>
    <row r="41299" ht="14.25" customHeight="1">
      <c r="A41299" s="740"/>
    </row>
    <row r="41300" ht="14.25" customHeight="1">
      <c r="A41300" s="740"/>
    </row>
    <row r="41301" ht="14.25" customHeight="1">
      <c r="A41301" s="740"/>
    </row>
    <row r="41302" ht="14.25" customHeight="1">
      <c r="A41302" s="740"/>
    </row>
    <row r="41303" ht="14.25" customHeight="1">
      <c r="A41303" s="740"/>
    </row>
    <row r="41304" ht="14.25" customHeight="1">
      <c r="A41304" s="740"/>
    </row>
    <row r="41305" ht="14.25" customHeight="1">
      <c r="A41305" s="740"/>
    </row>
    <row r="41306" ht="14.25" customHeight="1">
      <c r="A41306" s="740"/>
    </row>
    <row r="41307" ht="14.25" customHeight="1">
      <c r="A41307" s="740"/>
    </row>
    <row r="41308" ht="14.25" customHeight="1">
      <c r="A41308" s="740"/>
    </row>
    <row r="41309" ht="14.25" customHeight="1">
      <c r="A41309" s="740"/>
    </row>
    <row r="41310" ht="14.25" customHeight="1">
      <c r="A41310" s="740"/>
    </row>
    <row r="41311" ht="14.25" customHeight="1">
      <c r="A41311" s="740"/>
    </row>
    <row r="41312" ht="14.25" customHeight="1">
      <c r="A41312" s="740"/>
    </row>
    <row r="41313" ht="14.25" customHeight="1">
      <c r="A41313" s="740"/>
    </row>
    <row r="41314" ht="14.25" customHeight="1">
      <c r="A41314" s="740"/>
    </row>
    <row r="41315" ht="14.25" customHeight="1">
      <c r="A41315" s="740"/>
    </row>
    <row r="41316" ht="14.25" customHeight="1">
      <c r="A41316" s="740"/>
    </row>
    <row r="41317" ht="14.25" customHeight="1">
      <c r="A41317" s="740"/>
    </row>
    <row r="41318" ht="14.25" customHeight="1">
      <c r="A41318" s="740"/>
    </row>
    <row r="41319" ht="14.25" customHeight="1">
      <c r="A41319" s="740"/>
    </row>
    <row r="41320" ht="14.25" customHeight="1">
      <c r="A41320" s="740"/>
    </row>
    <row r="41321" ht="14.25" customHeight="1">
      <c r="A41321" s="740"/>
    </row>
    <row r="41322" ht="14.25" customHeight="1">
      <c r="A41322" s="740"/>
    </row>
    <row r="41323" ht="14.25" customHeight="1">
      <c r="A41323" s="740"/>
    </row>
    <row r="41324" ht="14.25" customHeight="1">
      <c r="A41324" s="740"/>
    </row>
    <row r="41325" ht="14.25" customHeight="1">
      <c r="A41325" s="740"/>
    </row>
    <row r="41326" ht="14.25" customHeight="1">
      <c r="A41326" s="740"/>
    </row>
    <row r="41327" ht="14.25" customHeight="1">
      <c r="A41327" s="740"/>
    </row>
    <row r="41328" ht="14.25" customHeight="1">
      <c r="A41328" s="740"/>
    </row>
    <row r="41329" ht="14.25" customHeight="1">
      <c r="A41329" s="740"/>
    </row>
    <row r="41330" ht="14.25" customHeight="1">
      <c r="A41330" s="740"/>
    </row>
    <row r="41331" ht="14.25" customHeight="1">
      <c r="A41331" s="740"/>
    </row>
    <row r="41332" ht="14.25" customHeight="1">
      <c r="A41332" s="740"/>
    </row>
    <row r="41333" ht="14.25" customHeight="1">
      <c r="A41333" s="740"/>
    </row>
    <row r="41334" ht="14.25" customHeight="1">
      <c r="A41334" s="740"/>
    </row>
    <row r="41335" ht="14.25" customHeight="1">
      <c r="A41335" s="740"/>
    </row>
    <row r="41336" ht="14.25" customHeight="1">
      <c r="A41336" s="740"/>
    </row>
    <row r="41337" ht="14.25" customHeight="1">
      <c r="A41337" s="740"/>
    </row>
    <row r="41338" ht="14.25" customHeight="1">
      <c r="A41338" s="740"/>
    </row>
    <row r="41339" ht="14.25" customHeight="1">
      <c r="A41339" s="740"/>
    </row>
    <row r="41340" ht="14.25" customHeight="1">
      <c r="A41340" s="740"/>
    </row>
    <row r="41341" ht="14.25" customHeight="1">
      <c r="A41341" s="740"/>
    </row>
    <row r="41342" ht="14.25" customHeight="1">
      <c r="A41342" s="740"/>
    </row>
    <row r="41343" ht="14.25" customHeight="1">
      <c r="A41343" s="740"/>
    </row>
    <row r="41344" ht="14.25" customHeight="1">
      <c r="A41344" s="740"/>
    </row>
    <row r="41345" ht="14.25" customHeight="1">
      <c r="A41345" s="740"/>
    </row>
    <row r="41346" ht="14.25" customHeight="1">
      <c r="A41346" s="740"/>
    </row>
    <row r="41347" ht="14.25" customHeight="1">
      <c r="A41347" s="740"/>
    </row>
    <row r="41348" ht="14.25" customHeight="1">
      <c r="A41348" s="740"/>
    </row>
    <row r="41349" ht="14.25" customHeight="1">
      <c r="A41349" s="740"/>
    </row>
    <row r="41350" ht="14.25" customHeight="1">
      <c r="A41350" s="740"/>
    </row>
    <row r="41351" ht="14.25" customHeight="1">
      <c r="A41351" s="740"/>
    </row>
    <row r="41352" ht="14.25" customHeight="1">
      <c r="A41352" s="740"/>
    </row>
    <row r="41353" ht="14.25" customHeight="1">
      <c r="A41353" s="740"/>
    </row>
    <row r="41354" ht="14.25" customHeight="1">
      <c r="A41354" s="740"/>
    </row>
    <row r="41355" ht="14.25" customHeight="1">
      <c r="A41355" s="740"/>
    </row>
    <row r="41356" ht="14.25" customHeight="1">
      <c r="A41356" s="740"/>
    </row>
    <row r="41357" ht="14.25" customHeight="1">
      <c r="A41357" s="740"/>
    </row>
    <row r="41358" ht="14.25" customHeight="1">
      <c r="A41358" s="740"/>
    </row>
    <row r="41359" ht="14.25" customHeight="1">
      <c r="A41359" s="740"/>
    </row>
    <row r="41360" ht="14.25" customHeight="1">
      <c r="A41360" s="740"/>
    </row>
    <row r="41361" ht="14.25" customHeight="1">
      <c r="A41361" s="740"/>
    </row>
    <row r="41362" ht="14.25" customHeight="1">
      <c r="A41362" s="740"/>
    </row>
    <row r="41363" ht="14.25" customHeight="1">
      <c r="A41363" s="740"/>
    </row>
    <row r="41364" ht="14.25" customHeight="1">
      <c r="A41364" s="740"/>
    </row>
    <row r="41365" ht="14.25" customHeight="1">
      <c r="A41365" s="740"/>
    </row>
    <row r="41366" ht="14.25" customHeight="1">
      <c r="A41366" s="740"/>
    </row>
    <row r="41367" ht="14.25" customHeight="1">
      <c r="A41367" s="740"/>
    </row>
    <row r="41368" ht="14.25" customHeight="1">
      <c r="A41368" s="740"/>
    </row>
    <row r="41369" ht="14.25" customHeight="1">
      <c r="A41369" s="740"/>
    </row>
    <row r="41370" ht="14.25" customHeight="1">
      <c r="A41370" s="740"/>
    </row>
    <row r="41371" ht="14.25" customHeight="1">
      <c r="A41371" s="740"/>
    </row>
    <row r="41372" ht="14.25" customHeight="1">
      <c r="A41372" s="740"/>
    </row>
    <row r="41373" ht="14.25" customHeight="1">
      <c r="A41373" s="740"/>
    </row>
    <row r="41374" ht="14.25" customHeight="1">
      <c r="A41374" s="740"/>
    </row>
    <row r="41375" ht="14.25" customHeight="1">
      <c r="A41375" s="740"/>
    </row>
    <row r="41376" ht="14.25" customHeight="1">
      <c r="A41376" s="740"/>
    </row>
    <row r="41377" ht="14.25" customHeight="1">
      <c r="A41377" s="740"/>
    </row>
    <row r="41378" ht="14.25" customHeight="1">
      <c r="A41378" s="740"/>
    </row>
    <row r="41379" ht="14.25" customHeight="1">
      <c r="A41379" s="740"/>
    </row>
    <row r="41380" ht="14.25" customHeight="1">
      <c r="A41380" s="740"/>
    </row>
    <row r="41381" ht="14.25" customHeight="1">
      <c r="A41381" s="740"/>
    </row>
    <row r="41382" ht="14.25" customHeight="1">
      <c r="A41382" s="740"/>
    </row>
    <row r="41383" ht="14.25" customHeight="1">
      <c r="A41383" s="740"/>
    </row>
    <row r="41384" ht="14.25" customHeight="1">
      <c r="A41384" s="740"/>
    </row>
    <row r="41385" ht="14.25" customHeight="1">
      <c r="A41385" s="740"/>
    </row>
    <row r="41386" ht="14.25" customHeight="1">
      <c r="A41386" s="740"/>
    </row>
    <row r="41387" ht="14.25" customHeight="1">
      <c r="A41387" s="740"/>
    </row>
    <row r="41388" ht="14.25" customHeight="1">
      <c r="A41388" s="740"/>
    </row>
    <row r="41389" ht="14.25" customHeight="1">
      <c r="A41389" s="740"/>
    </row>
    <row r="41390" ht="14.25" customHeight="1">
      <c r="A41390" s="740"/>
    </row>
    <row r="41391" ht="14.25" customHeight="1">
      <c r="A41391" s="740"/>
    </row>
    <row r="41392" ht="14.25" customHeight="1">
      <c r="A41392" s="740"/>
    </row>
    <row r="41393" ht="14.25" customHeight="1">
      <c r="A41393" s="740"/>
    </row>
    <row r="41394" ht="14.25" customHeight="1">
      <c r="A41394" s="740"/>
    </row>
    <row r="41395" ht="14.25" customHeight="1">
      <c r="A41395" s="740"/>
    </row>
    <row r="41396" ht="14.25" customHeight="1">
      <c r="A41396" s="740"/>
    </row>
    <row r="41397" ht="14.25" customHeight="1">
      <c r="A41397" s="740"/>
    </row>
    <row r="41398" ht="14.25" customHeight="1">
      <c r="A41398" s="740"/>
    </row>
    <row r="41399" ht="14.25" customHeight="1">
      <c r="A41399" s="740"/>
    </row>
    <row r="41400" ht="14.25" customHeight="1">
      <c r="A41400" s="740"/>
    </row>
    <row r="41401" ht="14.25" customHeight="1">
      <c r="A41401" s="740"/>
    </row>
    <row r="41402" ht="14.25" customHeight="1">
      <c r="A41402" s="740"/>
    </row>
    <row r="41403" ht="14.25" customHeight="1">
      <c r="A41403" s="740"/>
    </row>
    <row r="41404" ht="14.25" customHeight="1">
      <c r="A41404" s="740"/>
    </row>
    <row r="41405" ht="14.25" customHeight="1">
      <c r="A41405" s="740"/>
    </row>
    <row r="41406" ht="14.25" customHeight="1">
      <c r="A41406" s="740"/>
    </row>
    <row r="41407" ht="14.25" customHeight="1">
      <c r="A41407" s="740"/>
    </row>
    <row r="41408" ht="14.25" customHeight="1">
      <c r="A41408" s="740"/>
    </row>
    <row r="41409" ht="14.25" customHeight="1">
      <c r="A41409" s="740"/>
    </row>
    <row r="41410" ht="14.25" customHeight="1">
      <c r="A41410" s="740"/>
    </row>
    <row r="41411" ht="14.25" customHeight="1">
      <c r="A41411" s="740"/>
    </row>
    <row r="41412" ht="14.25" customHeight="1">
      <c r="A41412" s="740"/>
    </row>
    <row r="41413" ht="14.25" customHeight="1">
      <c r="A41413" s="740"/>
    </row>
    <row r="41414" ht="14.25" customHeight="1">
      <c r="A41414" s="740"/>
    </row>
    <row r="41415" ht="14.25" customHeight="1">
      <c r="A41415" s="740"/>
    </row>
    <row r="41416" ht="14.25" customHeight="1">
      <c r="A41416" s="740"/>
    </row>
    <row r="41417" ht="14.25" customHeight="1">
      <c r="A41417" s="740"/>
    </row>
    <row r="41418" ht="14.25" customHeight="1">
      <c r="A41418" s="740"/>
    </row>
    <row r="41419" ht="14.25" customHeight="1">
      <c r="A41419" s="740"/>
    </row>
    <row r="41420" ht="14.25" customHeight="1">
      <c r="A41420" s="740"/>
    </row>
    <row r="41421" ht="14.25" customHeight="1">
      <c r="A41421" s="740"/>
    </row>
    <row r="41422" ht="14.25" customHeight="1">
      <c r="A41422" s="740"/>
    </row>
    <row r="41423" ht="14.25" customHeight="1">
      <c r="A41423" s="740"/>
    </row>
    <row r="41424" ht="14.25" customHeight="1">
      <c r="A41424" s="740"/>
    </row>
    <row r="41425" ht="14.25" customHeight="1">
      <c r="A41425" s="740"/>
    </row>
    <row r="41426" ht="14.25" customHeight="1">
      <c r="A41426" s="740"/>
    </row>
    <row r="41427" ht="14.25" customHeight="1">
      <c r="A41427" s="740"/>
    </row>
    <row r="41428" ht="14.25" customHeight="1">
      <c r="A41428" s="740"/>
    </row>
    <row r="41429" ht="14.25" customHeight="1">
      <c r="A41429" s="740"/>
    </row>
    <row r="41430" ht="14.25" customHeight="1">
      <c r="A41430" s="740"/>
    </row>
    <row r="41431" ht="14.25" customHeight="1">
      <c r="A41431" s="740"/>
    </row>
    <row r="41432" ht="14.25" customHeight="1">
      <c r="A41432" s="740"/>
    </row>
    <row r="41433" ht="14.25" customHeight="1">
      <c r="A41433" s="740"/>
    </row>
    <row r="41434" ht="14.25" customHeight="1">
      <c r="A41434" s="740"/>
    </row>
    <row r="41435" ht="14.25" customHeight="1">
      <c r="A41435" s="740"/>
    </row>
    <row r="41436" ht="14.25" customHeight="1">
      <c r="A41436" s="740"/>
    </row>
    <row r="41437" ht="14.25" customHeight="1">
      <c r="A41437" s="740"/>
    </row>
    <row r="41438" ht="14.25" customHeight="1">
      <c r="A41438" s="740"/>
    </row>
    <row r="41439" ht="14.25" customHeight="1">
      <c r="A41439" s="740"/>
    </row>
    <row r="41440" ht="14.25" customHeight="1">
      <c r="A41440" s="740"/>
    </row>
    <row r="41441" ht="14.25" customHeight="1">
      <c r="A41441" s="740"/>
    </row>
    <row r="41442" ht="14.25" customHeight="1">
      <c r="A41442" s="740"/>
    </row>
    <row r="41443" ht="14.25" customHeight="1">
      <c r="A41443" s="740"/>
    </row>
    <row r="41444" ht="14.25" customHeight="1">
      <c r="A41444" s="740"/>
    </row>
    <row r="41445" ht="14.25" customHeight="1">
      <c r="A41445" s="740"/>
    </row>
    <row r="41446" ht="14.25" customHeight="1">
      <c r="A41446" s="740"/>
    </row>
    <row r="41447" ht="14.25" customHeight="1">
      <c r="A41447" s="740"/>
    </row>
    <row r="41448" ht="14.25" customHeight="1">
      <c r="A41448" s="740"/>
    </row>
    <row r="41449" ht="14.25" customHeight="1">
      <c r="A41449" s="740"/>
    </row>
    <row r="41450" ht="14.25" customHeight="1">
      <c r="A41450" s="740"/>
    </row>
    <row r="41451" ht="14.25" customHeight="1">
      <c r="A41451" s="740"/>
    </row>
    <row r="41452" ht="14.25" customHeight="1">
      <c r="A41452" s="740"/>
    </row>
    <row r="41453" ht="14.25" customHeight="1">
      <c r="A41453" s="740"/>
    </row>
    <row r="41454" ht="14.25" customHeight="1">
      <c r="A41454" s="740"/>
    </row>
    <row r="41455" ht="14.25" customHeight="1">
      <c r="A41455" s="740"/>
    </row>
    <row r="41456" ht="14.25" customHeight="1">
      <c r="A41456" s="740"/>
    </row>
    <row r="41457" ht="14.25" customHeight="1">
      <c r="A41457" s="740"/>
    </row>
    <row r="41458" ht="14.25" customHeight="1">
      <c r="A41458" s="740"/>
    </row>
    <row r="41459" ht="14.25" customHeight="1">
      <c r="A41459" s="740"/>
    </row>
    <row r="41460" ht="14.25" customHeight="1">
      <c r="A41460" s="740"/>
    </row>
    <row r="41461" ht="14.25" customHeight="1">
      <c r="A41461" s="740"/>
    </row>
    <row r="41462" ht="14.25" customHeight="1">
      <c r="A41462" s="740"/>
    </row>
    <row r="41463" ht="14.25" customHeight="1">
      <c r="A41463" s="740"/>
    </row>
    <row r="41464" ht="14.25" customHeight="1">
      <c r="A41464" s="740"/>
    </row>
    <row r="41465" ht="14.25" customHeight="1">
      <c r="A41465" s="740"/>
    </row>
    <row r="41466" ht="14.25" customHeight="1">
      <c r="A41466" s="740"/>
    </row>
    <row r="41467" ht="14.25" customHeight="1">
      <c r="A41467" s="740"/>
    </row>
    <row r="41468" ht="14.25" customHeight="1">
      <c r="A41468" s="740"/>
    </row>
    <row r="41469" ht="14.25" customHeight="1">
      <c r="A41469" s="740"/>
    </row>
    <row r="41470" ht="14.25" customHeight="1">
      <c r="A41470" s="740"/>
    </row>
    <row r="41471" ht="14.25" customHeight="1">
      <c r="A41471" s="740"/>
    </row>
    <row r="41472" ht="14.25" customHeight="1">
      <c r="A41472" s="740"/>
    </row>
    <row r="41473" ht="14.25" customHeight="1">
      <c r="A41473" s="740"/>
    </row>
    <row r="41474" ht="14.25" customHeight="1">
      <c r="A41474" s="740"/>
    </row>
    <row r="41475" ht="14.25" customHeight="1">
      <c r="A41475" s="740"/>
    </row>
    <row r="41476" ht="14.25" customHeight="1">
      <c r="A41476" s="740"/>
    </row>
    <row r="41477" ht="14.25" customHeight="1">
      <c r="A41477" s="740"/>
    </row>
    <row r="41478" ht="14.25" customHeight="1">
      <c r="A41478" s="740"/>
    </row>
    <row r="41479" ht="14.25" customHeight="1">
      <c r="A41479" s="740"/>
    </row>
    <row r="41480" ht="14.25" customHeight="1">
      <c r="A41480" s="740"/>
    </row>
    <row r="41481" ht="14.25" customHeight="1">
      <c r="A41481" s="740"/>
    </row>
    <row r="41482" ht="14.25" customHeight="1">
      <c r="A41482" s="740"/>
    </row>
    <row r="41483" ht="14.25" customHeight="1">
      <c r="A41483" s="740"/>
    </row>
    <row r="41484" ht="14.25" customHeight="1">
      <c r="A41484" s="740"/>
    </row>
    <row r="41485" ht="14.25" customHeight="1">
      <c r="A41485" s="740"/>
    </row>
    <row r="41486" ht="14.25" customHeight="1">
      <c r="A41486" s="740"/>
    </row>
    <row r="41487" ht="14.25" customHeight="1">
      <c r="A41487" s="740"/>
    </row>
    <row r="41488" ht="14.25" customHeight="1">
      <c r="A41488" s="740"/>
    </row>
    <row r="41489" ht="14.25" customHeight="1">
      <c r="A41489" s="740"/>
    </row>
    <row r="41490" ht="14.25" customHeight="1">
      <c r="A41490" s="740"/>
    </row>
    <row r="41491" ht="14.25" customHeight="1">
      <c r="A41491" s="740"/>
    </row>
    <row r="41492" ht="14.25" customHeight="1">
      <c r="A41492" s="740"/>
    </row>
    <row r="41493" ht="14.25" customHeight="1">
      <c r="A41493" s="740"/>
    </row>
    <row r="41494" ht="14.25" customHeight="1">
      <c r="A41494" s="740"/>
    </row>
    <row r="41495" ht="14.25" customHeight="1">
      <c r="A41495" s="740"/>
    </row>
    <row r="41496" ht="14.25" customHeight="1">
      <c r="A41496" s="740"/>
    </row>
    <row r="41497" ht="14.25" customHeight="1">
      <c r="A41497" s="740"/>
    </row>
    <row r="41498" ht="14.25" customHeight="1">
      <c r="A41498" s="740"/>
    </row>
    <row r="41499" ht="14.25" customHeight="1">
      <c r="A41499" s="740"/>
    </row>
    <row r="41500" ht="14.25" customHeight="1">
      <c r="A41500" s="740"/>
    </row>
    <row r="41501" ht="14.25" customHeight="1">
      <c r="A41501" s="740"/>
    </row>
    <row r="41502" ht="14.25" customHeight="1">
      <c r="A41502" s="740"/>
    </row>
    <row r="41503" ht="14.25" customHeight="1">
      <c r="A41503" s="740"/>
    </row>
    <row r="41504" ht="14.25" customHeight="1">
      <c r="A41504" s="740"/>
    </row>
    <row r="41505" ht="14.25" customHeight="1">
      <c r="A41505" s="740"/>
    </row>
    <row r="41506" ht="14.25" customHeight="1">
      <c r="A41506" s="740"/>
    </row>
    <row r="41507" ht="14.25" customHeight="1">
      <c r="A41507" s="740"/>
    </row>
    <row r="41508" ht="14.25" customHeight="1">
      <c r="A41508" s="740"/>
    </row>
    <row r="41509" ht="14.25" customHeight="1">
      <c r="A41509" s="740"/>
    </row>
    <row r="41510" ht="14.25" customHeight="1">
      <c r="A41510" s="740"/>
    </row>
    <row r="41511" ht="14.25" customHeight="1">
      <c r="A41511" s="740"/>
    </row>
    <row r="41512" ht="14.25" customHeight="1">
      <c r="A41512" s="740"/>
    </row>
    <row r="41513" ht="14.25" customHeight="1">
      <c r="A41513" s="740"/>
    </row>
    <row r="41514" ht="14.25" customHeight="1">
      <c r="A41514" s="740"/>
    </row>
    <row r="41515" ht="14.25" customHeight="1">
      <c r="A41515" s="740"/>
    </row>
    <row r="41516" ht="14.25" customHeight="1">
      <c r="A41516" s="740"/>
    </row>
    <row r="41517" ht="14.25" customHeight="1">
      <c r="A41517" s="740"/>
    </row>
    <row r="41518" ht="14.25" customHeight="1">
      <c r="A41518" s="740"/>
    </row>
    <row r="41519" ht="14.25" customHeight="1">
      <c r="A41519" s="740"/>
    </row>
    <row r="41520" ht="14.25" customHeight="1">
      <c r="A41520" s="740"/>
    </row>
    <row r="41521" ht="14.25" customHeight="1">
      <c r="A41521" s="740"/>
    </row>
    <row r="41522" ht="14.25" customHeight="1">
      <c r="A41522" s="740"/>
    </row>
    <row r="41523" ht="14.25" customHeight="1">
      <c r="A41523" s="740"/>
    </row>
    <row r="41524" ht="14.25" customHeight="1">
      <c r="A41524" s="740"/>
    </row>
    <row r="41525" ht="14.25" customHeight="1">
      <c r="A41525" s="740"/>
    </row>
    <row r="41526" ht="14.25" customHeight="1">
      <c r="A41526" s="740"/>
    </row>
    <row r="41527" ht="14.25" customHeight="1">
      <c r="A41527" s="740"/>
    </row>
    <row r="41528" ht="14.25" customHeight="1">
      <c r="A41528" s="740"/>
    </row>
    <row r="41529" ht="14.25" customHeight="1">
      <c r="A41529" s="740"/>
    </row>
    <row r="41530" ht="14.25" customHeight="1">
      <c r="A41530" s="740"/>
    </row>
    <row r="41531" ht="14.25" customHeight="1">
      <c r="A41531" s="740"/>
    </row>
    <row r="41532" ht="14.25" customHeight="1">
      <c r="A41532" s="740"/>
    </row>
    <row r="41533" ht="14.25" customHeight="1">
      <c r="A41533" s="740"/>
    </row>
    <row r="41534" ht="14.25" customHeight="1">
      <c r="A41534" s="740"/>
    </row>
    <row r="41535" ht="14.25" customHeight="1">
      <c r="A41535" s="740"/>
    </row>
    <row r="41536" ht="14.25" customHeight="1">
      <c r="A41536" s="740"/>
    </row>
    <row r="41537" ht="14.25" customHeight="1">
      <c r="A41537" s="740"/>
    </row>
    <row r="41538" ht="14.25" customHeight="1">
      <c r="A41538" s="740"/>
    </row>
    <row r="41539" ht="14.25" customHeight="1">
      <c r="A41539" s="740"/>
    </row>
    <row r="41540" ht="14.25" customHeight="1">
      <c r="A41540" s="740"/>
    </row>
    <row r="41541" ht="14.25" customHeight="1">
      <c r="A41541" s="740"/>
    </row>
    <row r="41542" ht="14.25" customHeight="1">
      <c r="A41542" s="740"/>
    </row>
    <row r="41543" ht="14.25" customHeight="1">
      <c r="A41543" s="740"/>
    </row>
    <row r="41544" ht="14.25" customHeight="1">
      <c r="A41544" s="740"/>
    </row>
    <row r="41545" ht="14.25" customHeight="1">
      <c r="A41545" s="740"/>
    </row>
    <row r="41546" ht="14.25" customHeight="1">
      <c r="A41546" s="740"/>
    </row>
    <row r="41547" ht="14.25" customHeight="1">
      <c r="A41547" s="740"/>
    </row>
    <row r="41548" ht="14.25" customHeight="1">
      <c r="A41548" s="740"/>
    </row>
    <row r="41549" ht="14.25" customHeight="1">
      <c r="A41549" s="740"/>
    </row>
    <row r="41550" ht="14.25" customHeight="1">
      <c r="A41550" s="740"/>
    </row>
    <row r="41551" ht="14.25" customHeight="1">
      <c r="A41551" s="740"/>
    </row>
    <row r="41552" ht="14.25" customHeight="1">
      <c r="A41552" s="740"/>
    </row>
    <row r="41553" ht="14.25" customHeight="1">
      <c r="A41553" s="740"/>
    </row>
    <row r="41554" ht="14.25" customHeight="1">
      <c r="A41554" s="740"/>
    </row>
    <row r="41555" ht="14.25" customHeight="1">
      <c r="A41555" s="740"/>
    </row>
    <row r="41556" ht="14.25" customHeight="1">
      <c r="A41556" s="740"/>
    </row>
    <row r="41557" ht="14.25" customHeight="1">
      <c r="A41557" s="740"/>
    </row>
    <row r="41558" ht="14.25" customHeight="1">
      <c r="A41558" s="740"/>
    </row>
    <row r="41559" ht="14.25" customHeight="1">
      <c r="A41559" s="740"/>
    </row>
    <row r="41560" ht="14.25" customHeight="1">
      <c r="A41560" s="740"/>
    </row>
    <row r="41561" ht="14.25" customHeight="1">
      <c r="A41561" s="740"/>
    </row>
    <row r="41562" ht="14.25" customHeight="1">
      <c r="A41562" s="740"/>
    </row>
    <row r="41563" ht="14.25" customHeight="1">
      <c r="A41563" s="740"/>
    </row>
    <row r="41564" ht="14.25" customHeight="1">
      <c r="A41564" s="740"/>
    </row>
    <row r="41565" ht="14.25" customHeight="1">
      <c r="A41565" s="740"/>
    </row>
    <row r="41566" ht="14.25" customHeight="1">
      <c r="A41566" s="740"/>
    </row>
    <row r="41567" ht="14.25" customHeight="1">
      <c r="A41567" s="740"/>
    </row>
    <row r="41568" ht="14.25" customHeight="1">
      <c r="A41568" s="740"/>
    </row>
    <row r="41569" ht="14.25" customHeight="1">
      <c r="A41569" s="740"/>
    </row>
    <row r="41570" ht="14.25" customHeight="1">
      <c r="A41570" s="740"/>
    </row>
    <row r="41571" ht="14.25" customHeight="1">
      <c r="A41571" s="740"/>
    </row>
    <row r="41572" ht="14.25" customHeight="1">
      <c r="A41572" s="740"/>
    </row>
    <row r="41573" ht="14.25" customHeight="1">
      <c r="A41573" s="740"/>
    </row>
    <row r="41574" ht="14.25" customHeight="1">
      <c r="A41574" s="740"/>
    </row>
    <row r="41575" ht="14.25" customHeight="1">
      <c r="A41575" s="740"/>
    </row>
    <row r="41576" ht="14.25" customHeight="1">
      <c r="A41576" s="740"/>
    </row>
    <row r="41577" ht="14.25" customHeight="1">
      <c r="A41577" s="740"/>
    </row>
    <row r="41578" ht="14.25" customHeight="1">
      <c r="A41578" s="740"/>
    </row>
    <row r="41579" ht="14.25" customHeight="1">
      <c r="A41579" s="740"/>
    </row>
    <row r="41580" ht="14.25" customHeight="1">
      <c r="A41580" s="740"/>
    </row>
    <row r="41581" ht="14.25" customHeight="1">
      <c r="A41581" s="740"/>
    </row>
    <row r="41582" ht="14.25" customHeight="1">
      <c r="A41582" s="740"/>
    </row>
    <row r="41583" ht="14.25" customHeight="1">
      <c r="A41583" s="740"/>
    </row>
    <row r="41584" ht="14.25" customHeight="1">
      <c r="A41584" s="740"/>
    </row>
    <row r="41585" ht="14.25" customHeight="1">
      <c r="A41585" s="740"/>
    </row>
    <row r="41586" ht="14.25" customHeight="1">
      <c r="A41586" s="740"/>
    </row>
    <row r="41587" ht="14.25" customHeight="1">
      <c r="A41587" s="740"/>
    </row>
    <row r="41588" ht="14.25" customHeight="1">
      <c r="A41588" s="740"/>
    </row>
    <row r="41589" ht="14.25" customHeight="1">
      <c r="A41589" s="740"/>
    </row>
    <row r="41590" ht="14.25" customHeight="1">
      <c r="A41590" s="740"/>
    </row>
    <row r="41591" ht="14.25" customHeight="1">
      <c r="A41591" s="740"/>
    </row>
    <row r="41592" ht="14.25" customHeight="1">
      <c r="A41592" s="740"/>
    </row>
    <row r="41593" ht="14.25" customHeight="1">
      <c r="A41593" s="740"/>
    </row>
    <row r="41594" ht="14.25" customHeight="1">
      <c r="A41594" s="740"/>
    </row>
    <row r="41595" ht="14.25" customHeight="1">
      <c r="A41595" s="740"/>
    </row>
    <row r="41596" ht="14.25" customHeight="1">
      <c r="A41596" s="740"/>
    </row>
    <row r="41597" ht="14.25" customHeight="1">
      <c r="A41597" s="740"/>
    </row>
    <row r="41598" ht="14.25" customHeight="1">
      <c r="A41598" s="740"/>
    </row>
    <row r="41599" ht="14.25" customHeight="1">
      <c r="A41599" s="740"/>
    </row>
    <row r="41600" ht="14.25" customHeight="1">
      <c r="A41600" s="740"/>
    </row>
    <row r="41601" ht="14.25" customHeight="1">
      <c r="A41601" s="740"/>
    </row>
    <row r="41602" ht="14.25" customHeight="1">
      <c r="A41602" s="740"/>
    </row>
    <row r="41603" ht="14.25" customHeight="1">
      <c r="A41603" s="740"/>
    </row>
    <row r="41604" ht="14.25" customHeight="1">
      <c r="A41604" s="740"/>
    </row>
    <row r="41605" ht="14.25" customHeight="1">
      <c r="A41605" s="740"/>
    </row>
    <row r="41606" ht="14.25" customHeight="1">
      <c r="A41606" s="740"/>
    </row>
    <row r="41607" ht="14.25" customHeight="1">
      <c r="A41607" s="740"/>
    </row>
    <row r="41608" ht="14.25" customHeight="1">
      <c r="A41608" s="740"/>
    </row>
    <row r="41609" ht="14.25" customHeight="1">
      <c r="A41609" s="740"/>
    </row>
    <row r="41610" ht="14.25" customHeight="1">
      <c r="A41610" s="740"/>
    </row>
    <row r="41611" ht="14.25" customHeight="1">
      <c r="A41611" s="740"/>
    </row>
    <row r="41612" ht="14.25" customHeight="1">
      <c r="A41612" s="740"/>
    </row>
    <row r="41613" ht="14.25" customHeight="1">
      <c r="A41613" s="740"/>
    </row>
    <row r="41614" ht="14.25" customHeight="1">
      <c r="A41614" s="740"/>
    </row>
    <row r="41615" ht="14.25" customHeight="1">
      <c r="A41615" s="740"/>
    </row>
    <row r="41616" ht="14.25" customHeight="1">
      <c r="A41616" s="740"/>
    </row>
    <row r="41617" ht="14.25" customHeight="1">
      <c r="A41617" s="740"/>
    </row>
    <row r="41618" ht="14.25" customHeight="1">
      <c r="A41618" s="740"/>
    </row>
    <row r="41619" ht="14.25" customHeight="1">
      <c r="A41619" s="740"/>
    </row>
    <row r="41620" ht="14.25" customHeight="1">
      <c r="A41620" s="740"/>
    </row>
    <row r="41621" ht="14.25" customHeight="1">
      <c r="A41621" s="740"/>
    </row>
    <row r="41622" ht="14.25" customHeight="1">
      <c r="A41622" s="740"/>
    </row>
    <row r="41623" ht="14.25" customHeight="1">
      <c r="A41623" s="740"/>
    </row>
    <row r="41624" ht="14.25" customHeight="1">
      <c r="A41624" s="740"/>
    </row>
    <row r="41625" ht="14.25" customHeight="1">
      <c r="A41625" s="740"/>
    </row>
    <row r="41626" ht="14.25" customHeight="1">
      <c r="A41626" s="740"/>
    </row>
    <row r="41627" ht="14.25" customHeight="1">
      <c r="A41627" s="740"/>
    </row>
    <row r="41628" ht="14.25" customHeight="1">
      <c r="A41628" s="740"/>
    </row>
    <row r="41629" ht="14.25" customHeight="1">
      <c r="A41629" s="740"/>
    </row>
    <row r="41630" ht="14.25" customHeight="1">
      <c r="A41630" s="740"/>
    </row>
    <row r="41631" ht="14.25" customHeight="1">
      <c r="A41631" s="740"/>
    </row>
    <row r="41632" ht="14.25" customHeight="1">
      <c r="A41632" s="740"/>
    </row>
    <row r="41633" ht="14.25" customHeight="1">
      <c r="A41633" s="740"/>
    </row>
    <row r="41634" ht="14.25" customHeight="1">
      <c r="A41634" s="740"/>
    </row>
    <row r="41635" ht="14.25" customHeight="1">
      <c r="A41635" s="740"/>
    </row>
    <row r="41636" ht="14.25" customHeight="1">
      <c r="A41636" s="740"/>
    </row>
    <row r="41637" ht="14.25" customHeight="1">
      <c r="A41637" s="740"/>
    </row>
    <row r="41638" ht="14.25" customHeight="1">
      <c r="A41638" s="740"/>
    </row>
    <row r="41639" ht="14.25" customHeight="1">
      <c r="A41639" s="740"/>
    </row>
    <row r="41640" ht="14.25" customHeight="1">
      <c r="A41640" s="740"/>
    </row>
    <row r="41641" ht="14.25" customHeight="1">
      <c r="A41641" s="740"/>
    </row>
    <row r="41642" ht="14.25" customHeight="1">
      <c r="A41642" s="740"/>
    </row>
    <row r="41643" ht="14.25" customHeight="1">
      <c r="A41643" s="740"/>
    </row>
    <row r="41644" ht="14.25" customHeight="1">
      <c r="A41644" s="740"/>
    </row>
    <row r="41645" ht="14.25" customHeight="1">
      <c r="A41645" s="740"/>
    </row>
    <row r="41646" ht="14.25" customHeight="1">
      <c r="A41646" s="740"/>
    </row>
    <row r="41647" ht="14.25" customHeight="1">
      <c r="A41647" s="740"/>
    </row>
    <row r="41648" ht="14.25" customHeight="1">
      <c r="A41648" s="740"/>
    </row>
    <row r="41649" ht="14.25" customHeight="1">
      <c r="A41649" s="740"/>
    </row>
    <row r="41650" ht="14.25" customHeight="1">
      <c r="A41650" s="740"/>
    </row>
    <row r="41651" ht="14.25" customHeight="1">
      <c r="A41651" s="740"/>
    </row>
    <row r="41652" ht="14.25" customHeight="1">
      <c r="A41652" s="740"/>
    </row>
    <row r="41653" ht="14.25" customHeight="1">
      <c r="A41653" s="740"/>
    </row>
    <row r="41654" ht="14.25" customHeight="1">
      <c r="A41654" s="740"/>
    </row>
    <row r="41655" ht="14.25" customHeight="1">
      <c r="A41655" s="740"/>
    </row>
    <row r="41656" ht="14.25" customHeight="1">
      <c r="A41656" s="740"/>
    </row>
    <row r="41657" ht="14.25" customHeight="1">
      <c r="A41657" s="740"/>
    </row>
    <row r="41658" ht="14.25" customHeight="1">
      <c r="A41658" s="740"/>
    </row>
    <row r="41659" ht="14.25" customHeight="1">
      <c r="A41659" s="740"/>
    </row>
    <row r="41660" ht="14.25" customHeight="1">
      <c r="A41660" s="740"/>
    </row>
    <row r="41661" ht="14.25" customHeight="1">
      <c r="A41661" s="740"/>
    </row>
    <row r="41662" ht="14.25" customHeight="1">
      <c r="A41662" s="740"/>
    </row>
    <row r="41663" ht="14.25" customHeight="1">
      <c r="A41663" s="740"/>
    </row>
    <row r="41664" ht="14.25" customHeight="1">
      <c r="A41664" s="740"/>
    </row>
    <row r="41665" ht="14.25" customHeight="1">
      <c r="A41665" s="740"/>
    </row>
    <row r="41666" ht="14.25" customHeight="1">
      <c r="A41666" s="740"/>
    </row>
    <row r="41667" ht="14.25" customHeight="1">
      <c r="A41667" s="740"/>
    </row>
    <row r="41668" ht="14.25" customHeight="1">
      <c r="A41668" s="740"/>
    </row>
    <row r="41669" ht="14.25" customHeight="1">
      <c r="A41669" s="740"/>
    </row>
    <row r="41670" ht="14.25" customHeight="1">
      <c r="A41670" s="740"/>
    </row>
    <row r="41671" ht="14.25" customHeight="1">
      <c r="A41671" s="740"/>
    </row>
    <row r="41672" ht="14.25" customHeight="1">
      <c r="A41672" s="740"/>
    </row>
    <row r="41673" ht="14.25" customHeight="1">
      <c r="A41673" s="740"/>
    </row>
    <row r="41674" ht="14.25" customHeight="1">
      <c r="A41674" s="740"/>
    </row>
    <row r="41675" ht="14.25" customHeight="1">
      <c r="A41675" s="740"/>
    </row>
    <row r="41676" ht="14.25" customHeight="1">
      <c r="A41676" s="740"/>
    </row>
    <row r="41677" ht="14.25" customHeight="1">
      <c r="A41677" s="740"/>
    </row>
    <row r="41678" ht="14.25" customHeight="1">
      <c r="A41678" s="740"/>
    </row>
    <row r="41679" ht="14.25" customHeight="1">
      <c r="A41679" s="740"/>
    </row>
    <row r="41680" ht="14.25" customHeight="1">
      <c r="A41680" s="740"/>
    </row>
    <row r="41681" ht="14.25" customHeight="1">
      <c r="A41681" s="740"/>
    </row>
    <row r="41682" ht="14.25" customHeight="1">
      <c r="A41682" s="740"/>
    </row>
    <row r="41683" ht="14.25" customHeight="1">
      <c r="A41683" s="740"/>
    </row>
    <row r="41684" ht="14.25" customHeight="1">
      <c r="A41684" s="740"/>
    </row>
    <row r="41685" ht="14.25" customHeight="1">
      <c r="A41685" s="740"/>
    </row>
    <row r="41686" ht="14.25" customHeight="1">
      <c r="A41686" s="740"/>
    </row>
    <row r="41687" ht="14.25" customHeight="1">
      <c r="A41687" s="740"/>
    </row>
    <row r="41688" ht="14.25" customHeight="1">
      <c r="A41688" s="740"/>
    </row>
    <row r="41689" ht="14.25" customHeight="1">
      <c r="A41689" s="740"/>
    </row>
    <row r="41690" ht="14.25" customHeight="1">
      <c r="A41690" s="740"/>
    </row>
    <row r="41691" ht="14.25" customHeight="1">
      <c r="A41691" s="740"/>
    </row>
    <row r="41692" ht="14.25" customHeight="1">
      <c r="A41692" s="740"/>
    </row>
    <row r="41693" ht="14.25" customHeight="1">
      <c r="A41693" s="740"/>
    </row>
    <row r="41694" ht="14.25" customHeight="1">
      <c r="A41694" s="740"/>
    </row>
    <row r="41695" ht="14.25" customHeight="1">
      <c r="A41695" s="740"/>
    </row>
    <row r="41696" ht="14.25" customHeight="1">
      <c r="A41696" s="740"/>
    </row>
    <row r="41697" ht="14.25" customHeight="1">
      <c r="A41697" s="740"/>
    </row>
    <row r="41698" ht="14.25" customHeight="1">
      <c r="A41698" s="740"/>
    </row>
    <row r="41699" ht="14.25" customHeight="1">
      <c r="A41699" s="740"/>
    </row>
    <row r="41700" ht="14.25" customHeight="1">
      <c r="A41700" s="740"/>
    </row>
    <row r="41701" ht="14.25" customHeight="1">
      <c r="A41701" s="740"/>
    </row>
    <row r="41702" ht="14.25" customHeight="1">
      <c r="A41702" s="740"/>
    </row>
    <row r="41703" ht="14.25" customHeight="1">
      <c r="A41703" s="740"/>
    </row>
    <row r="41704" ht="14.25" customHeight="1">
      <c r="A41704" s="740"/>
    </row>
    <row r="41705" ht="14.25" customHeight="1">
      <c r="A41705" s="740"/>
    </row>
    <row r="41706" ht="14.25" customHeight="1">
      <c r="A41706" s="740"/>
    </row>
    <row r="41707" ht="14.25" customHeight="1">
      <c r="A41707" s="740"/>
    </row>
    <row r="41708" ht="14.25" customHeight="1">
      <c r="A41708" s="740"/>
    </row>
    <row r="41709" ht="14.25" customHeight="1">
      <c r="A41709" s="740"/>
    </row>
    <row r="41710" ht="14.25" customHeight="1">
      <c r="A41710" s="740"/>
    </row>
    <row r="41711" ht="14.25" customHeight="1">
      <c r="A41711" s="740"/>
    </row>
    <row r="41712" ht="14.25" customHeight="1">
      <c r="A41712" s="740"/>
    </row>
    <row r="41713" ht="14.25" customHeight="1">
      <c r="A41713" s="740"/>
    </row>
    <row r="41714" ht="14.25" customHeight="1">
      <c r="A41714" s="740"/>
    </row>
    <row r="41715" ht="14.25" customHeight="1">
      <c r="A41715" s="740"/>
    </row>
    <row r="41716" ht="14.25" customHeight="1">
      <c r="A41716" s="740"/>
    </row>
    <row r="41717" ht="14.25" customHeight="1">
      <c r="A41717" s="740"/>
    </row>
    <row r="41718" ht="14.25" customHeight="1">
      <c r="A41718" s="740"/>
    </row>
    <row r="41719" ht="14.25" customHeight="1">
      <c r="A41719" s="740"/>
    </row>
    <row r="41720" ht="14.25" customHeight="1">
      <c r="A41720" s="740"/>
    </row>
    <row r="41721" ht="14.25" customHeight="1">
      <c r="A41721" s="740"/>
    </row>
    <row r="41722" ht="14.25" customHeight="1">
      <c r="A41722" s="740"/>
    </row>
    <row r="41723" ht="14.25" customHeight="1">
      <c r="A41723" s="740"/>
    </row>
    <row r="41724" ht="14.25" customHeight="1">
      <c r="A41724" s="740"/>
    </row>
    <row r="41725" ht="14.25" customHeight="1">
      <c r="A41725" s="740"/>
    </row>
    <row r="41726" ht="14.25" customHeight="1">
      <c r="A41726" s="740"/>
    </row>
    <row r="41727" ht="14.25" customHeight="1">
      <c r="A41727" s="740"/>
    </row>
    <row r="41728" ht="14.25" customHeight="1">
      <c r="A41728" s="740"/>
    </row>
    <row r="41729" ht="14.25" customHeight="1">
      <c r="A41729" s="740"/>
    </row>
    <row r="41730" ht="14.25" customHeight="1">
      <c r="A41730" s="740"/>
    </row>
    <row r="41731" ht="14.25" customHeight="1">
      <c r="A41731" s="740"/>
    </row>
    <row r="41732" ht="14.25" customHeight="1">
      <c r="A41732" s="740"/>
    </row>
    <row r="41733" ht="14.25" customHeight="1">
      <c r="A41733" s="740"/>
    </row>
    <row r="41734" ht="14.25" customHeight="1">
      <c r="A41734" s="740"/>
    </row>
    <row r="41735" ht="14.25" customHeight="1">
      <c r="A41735" s="740"/>
    </row>
    <row r="41736" ht="14.25" customHeight="1">
      <c r="A41736" s="740"/>
    </row>
    <row r="41737" ht="14.25" customHeight="1">
      <c r="A41737" s="740"/>
    </row>
    <row r="41738" ht="14.25" customHeight="1">
      <c r="A41738" s="740"/>
    </row>
    <row r="41739" ht="14.25" customHeight="1">
      <c r="A41739" s="740"/>
    </row>
    <row r="41740" ht="14.25" customHeight="1">
      <c r="A41740" s="740"/>
    </row>
    <row r="41741" ht="14.25" customHeight="1">
      <c r="A41741" s="740"/>
    </row>
    <row r="41742" ht="14.25" customHeight="1">
      <c r="A41742" s="740"/>
    </row>
    <row r="41743" ht="14.25" customHeight="1">
      <c r="A41743" s="740"/>
    </row>
    <row r="41744" ht="14.25" customHeight="1">
      <c r="A41744" s="740"/>
    </row>
    <row r="41745" ht="14.25" customHeight="1">
      <c r="A41745" s="740"/>
    </row>
    <row r="41746" ht="14.25" customHeight="1">
      <c r="A41746" s="740"/>
    </row>
    <row r="41747" ht="14.25" customHeight="1">
      <c r="A41747" s="740"/>
    </row>
    <row r="41748" ht="14.25" customHeight="1">
      <c r="A41748" s="740"/>
    </row>
    <row r="41749" ht="14.25" customHeight="1">
      <c r="A41749" s="740"/>
    </row>
    <row r="41750" ht="14.25" customHeight="1">
      <c r="A41750" s="740"/>
    </row>
    <row r="41751" ht="14.25" customHeight="1">
      <c r="A41751" s="740"/>
    </row>
    <row r="41752" ht="14.25" customHeight="1">
      <c r="A41752" s="740"/>
    </row>
    <row r="41753" ht="14.25" customHeight="1">
      <c r="A41753" s="740"/>
    </row>
    <row r="41754" ht="14.25" customHeight="1">
      <c r="A41754" s="740"/>
    </row>
    <row r="41755" ht="14.25" customHeight="1">
      <c r="A41755" s="740"/>
    </row>
    <row r="41756" ht="14.25" customHeight="1">
      <c r="A41756" s="740"/>
    </row>
    <row r="41757" ht="14.25" customHeight="1">
      <c r="A41757" s="740"/>
    </row>
    <row r="41758" ht="14.25" customHeight="1">
      <c r="A41758" s="740"/>
    </row>
    <row r="41759" ht="14.25" customHeight="1">
      <c r="A41759" s="740"/>
    </row>
    <row r="41760" ht="14.25" customHeight="1">
      <c r="A41760" s="740"/>
    </row>
    <row r="41761" ht="14.25" customHeight="1">
      <c r="A41761" s="740"/>
    </row>
    <row r="41762" ht="14.25" customHeight="1">
      <c r="A41762" s="740"/>
    </row>
    <row r="41763" ht="14.25" customHeight="1">
      <c r="A41763" s="740"/>
    </row>
    <row r="41764" ht="14.25" customHeight="1">
      <c r="A41764" s="740"/>
    </row>
    <row r="41765" ht="14.25" customHeight="1">
      <c r="A41765" s="740"/>
    </row>
    <row r="41766" ht="14.25" customHeight="1">
      <c r="A41766" s="740"/>
    </row>
    <row r="41767" ht="14.25" customHeight="1">
      <c r="A41767" s="740"/>
    </row>
    <row r="41768" ht="14.25" customHeight="1">
      <c r="A41768" s="740"/>
    </row>
    <row r="41769" ht="14.25" customHeight="1">
      <c r="A41769" s="740"/>
    </row>
    <row r="41770" ht="14.25" customHeight="1">
      <c r="A41770" s="740"/>
    </row>
    <row r="41771" ht="14.25" customHeight="1">
      <c r="A41771" s="740"/>
    </row>
    <row r="41772" ht="14.25" customHeight="1">
      <c r="A41772" s="740"/>
    </row>
    <row r="41773" ht="14.25" customHeight="1">
      <c r="A41773" s="740"/>
    </row>
    <row r="41774" ht="14.25" customHeight="1">
      <c r="A41774" s="740"/>
    </row>
    <row r="41775" ht="14.25" customHeight="1">
      <c r="A41775" s="740"/>
    </row>
    <row r="41776" ht="14.25" customHeight="1">
      <c r="A41776" s="740"/>
    </row>
    <row r="41777" ht="14.25" customHeight="1">
      <c r="A41777" s="740"/>
    </row>
    <row r="41778" ht="14.25" customHeight="1">
      <c r="A41778" s="740"/>
    </row>
    <row r="41779" ht="14.25" customHeight="1">
      <c r="A41779" s="740"/>
    </row>
    <row r="41780" ht="14.25" customHeight="1">
      <c r="A41780" s="740"/>
    </row>
    <row r="41781" ht="14.25" customHeight="1">
      <c r="A41781" s="740"/>
    </row>
    <row r="41782" ht="14.25" customHeight="1">
      <c r="A41782" s="740"/>
    </row>
    <row r="41783" ht="14.25" customHeight="1">
      <c r="A41783" s="740"/>
    </row>
    <row r="41784" ht="14.25" customHeight="1">
      <c r="A41784" s="740"/>
    </row>
    <row r="41785" ht="14.25" customHeight="1">
      <c r="A41785" s="740"/>
    </row>
    <row r="41786" ht="14.25" customHeight="1">
      <c r="A41786" s="740"/>
    </row>
    <row r="41787" ht="14.25" customHeight="1">
      <c r="A41787" s="740"/>
    </row>
    <row r="41788" ht="14.25" customHeight="1">
      <c r="A41788" s="740"/>
    </row>
    <row r="41789" ht="14.25" customHeight="1">
      <c r="A41789" s="740"/>
    </row>
    <row r="41790" ht="14.25" customHeight="1">
      <c r="A41790" s="740"/>
    </row>
    <row r="41791" ht="14.25" customHeight="1">
      <c r="A41791" s="740"/>
    </row>
    <row r="41792" ht="14.25" customHeight="1">
      <c r="A41792" s="740"/>
    </row>
    <row r="41793" ht="14.25" customHeight="1">
      <c r="A41793" s="740"/>
    </row>
    <row r="41794" ht="14.25" customHeight="1">
      <c r="A41794" s="740"/>
    </row>
    <row r="41795" ht="14.25" customHeight="1">
      <c r="A41795" s="740"/>
    </row>
    <row r="41796" ht="14.25" customHeight="1">
      <c r="A41796" s="740"/>
    </row>
    <row r="41797" ht="14.25" customHeight="1">
      <c r="A41797" s="740"/>
    </row>
    <row r="41798" ht="14.25" customHeight="1">
      <c r="A41798" s="740"/>
    </row>
    <row r="41799" ht="14.25" customHeight="1">
      <c r="A41799" s="740"/>
    </row>
    <row r="41800" ht="14.25" customHeight="1">
      <c r="A41800" s="740"/>
    </row>
    <row r="41801" ht="14.25" customHeight="1">
      <c r="A41801" s="740"/>
    </row>
    <row r="41802" ht="14.25" customHeight="1">
      <c r="A41802" s="740"/>
    </row>
    <row r="41803" ht="14.25" customHeight="1">
      <c r="A41803" s="740"/>
    </row>
    <row r="41804" ht="14.25" customHeight="1">
      <c r="A41804" s="740"/>
    </row>
    <row r="41805" ht="14.25" customHeight="1">
      <c r="A41805" s="740"/>
    </row>
    <row r="41806" ht="14.25" customHeight="1">
      <c r="A41806" s="740"/>
    </row>
    <row r="41807" ht="14.25" customHeight="1">
      <c r="A41807" s="740"/>
    </row>
    <row r="41808" ht="14.25" customHeight="1">
      <c r="A41808" s="740"/>
    </row>
    <row r="41809" ht="14.25" customHeight="1">
      <c r="A41809" s="740"/>
    </row>
    <row r="41810" ht="14.25" customHeight="1">
      <c r="A41810" s="740"/>
    </row>
    <row r="41811" ht="14.25" customHeight="1">
      <c r="A41811" s="740"/>
    </row>
    <row r="41812" ht="14.25" customHeight="1">
      <c r="A41812" s="740"/>
    </row>
    <row r="41813" ht="14.25" customHeight="1">
      <c r="A41813" s="740"/>
    </row>
    <row r="41814" ht="14.25" customHeight="1">
      <c r="A41814" s="740"/>
    </row>
    <row r="41815" ht="14.25" customHeight="1">
      <c r="A41815" s="740"/>
    </row>
    <row r="41816" ht="14.25" customHeight="1">
      <c r="A41816" s="740"/>
    </row>
    <row r="41817" ht="14.25" customHeight="1">
      <c r="A41817" s="740"/>
    </row>
    <row r="41818" ht="14.25" customHeight="1">
      <c r="A41818" s="740"/>
    </row>
    <row r="41819" ht="14.25" customHeight="1">
      <c r="A41819" s="740"/>
    </row>
    <row r="41820" ht="14.25" customHeight="1">
      <c r="A41820" s="740"/>
    </row>
    <row r="41821" ht="14.25" customHeight="1">
      <c r="A41821" s="740"/>
    </row>
    <row r="41822" ht="14.25" customHeight="1">
      <c r="A41822" s="740"/>
    </row>
    <row r="41823" ht="14.25" customHeight="1">
      <c r="A41823" s="740"/>
    </row>
    <row r="41824" ht="14.25" customHeight="1">
      <c r="A41824" s="740"/>
    </row>
    <row r="41825" ht="14.25" customHeight="1">
      <c r="A41825" s="740"/>
    </row>
    <row r="41826" ht="14.25" customHeight="1">
      <c r="A41826" s="740"/>
    </row>
    <row r="41827" ht="14.25" customHeight="1">
      <c r="A41827" s="740"/>
    </row>
    <row r="41828" ht="14.25" customHeight="1">
      <c r="A41828" s="740"/>
    </row>
    <row r="41829" ht="14.25" customHeight="1">
      <c r="A41829" s="740"/>
    </row>
    <row r="41830" ht="14.25" customHeight="1">
      <c r="A41830" s="740"/>
    </row>
    <row r="41831" ht="14.25" customHeight="1">
      <c r="A41831" s="740"/>
    </row>
    <row r="41832" ht="14.25" customHeight="1">
      <c r="A41832" s="740"/>
    </row>
    <row r="41833" ht="14.25" customHeight="1">
      <c r="A41833" s="740"/>
    </row>
    <row r="41834" ht="14.25" customHeight="1">
      <c r="A41834" s="740"/>
    </row>
    <row r="41835" ht="14.25" customHeight="1">
      <c r="A41835" s="740"/>
    </row>
    <row r="41836" ht="14.25" customHeight="1">
      <c r="A41836" s="740"/>
    </row>
    <row r="41837" ht="14.25" customHeight="1">
      <c r="A41837" s="740"/>
    </row>
    <row r="41838" ht="14.25" customHeight="1">
      <c r="A41838" s="740"/>
    </row>
    <row r="41839" ht="14.25" customHeight="1">
      <c r="A41839" s="740"/>
    </row>
    <row r="41840" ht="14.25" customHeight="1">
      <c r="A41840" s="740"/>
    </row>
    <row r="41841" ht="14.25" customHeight="1">
      <c r="A41841" s="740"/>
    </row>
    <row r="41842" ht="14.25" customHeight="1">
      <c r="A41842" s="740"/>
    </row>
    <row r="41843" ht="14.25" customHeight="1">
      <c r="A41843" s="740"/>
    </row>
    <row r="41844" ht="14.25" customHeight="1">
      <c r="A41844" s="740"/>
    </row>
    <row r="41845" ht="14.25" customHeight="1">
      <c r="A41845" s="740"/>
    </row>
    <row r="41846" ht="14.25" customHeight="1">
      <c r="A41846" s="740"/>
    </row>
    <row r="41847" ht="14.25" customHeight="1">
      <c r="A41847" s="740"/>
    </row>
    <row r="41848" ht="14.25" customHeight="1">
      <c r="A41848" s="740"/>
    </row>
    <row r="41849" ht="14.25" customHeight="1">
      <c r="A41849" s="740"/>
    </row>
    <row r="41850" ht="14.25" customHeight="1">
      <c r="A41850" s="740"/>
    </row>
    <row r="41851" ht="14.25" customHeight="1">
      <c r="A41851" s="740"/>
    </row>
    <row r="41852" ht="14.25" customHeight="1">
      <c r="A41852" s="740"/>
    </row>
    <row r="41853" ht="14.25" customHeight="1">
      <c r="A41853" s="740"/>
    </row>
    <row r="41854" ht="14.25" customHeight="1">
      <c r="A41854" s="740"/>
    </row>
    <row r="41855" ht="14.25" customHeight="1">
      <c r="A41855" s="740"/>
    </row>
    <row r="41856" ht="14.25" customHeight="1">
      <c r="A41856" s="740"/>
    </row>
    <row r="41857" ht="14.25" customHeight="1">
      <c r="A41857" s="740"/>
    </row>
    <row r="41858" ht="14.25" customHeight="1">
      <c r="A41858" s="740"/>
    </row>
    <row r="41859" ht="14.25" customHeight="1">
      <c r="A41859" s="740"/>
    </row>
    <row r="41860" ht="14.25" customHeight="1">
      <c r="A41860" s="740"/>
    </row>
    <row r="41861" ht="14.25" customHeight="1">
      <c r="A41861" s="740"/>
    </row>
    <row r="41862" ht="14.25" customHeight="1">
      <c r="A41862" s="740"/>
    </row>
    <row r="41863" ht="14.25" customHeight="1">
      <c r="A41863" s="740"/>
    </row>
    <row r="41864" ht="14.25" customHeight="1">
      <c r="A41864" s="740"/>
    </row>
    <row r="41865" ht="14.25" customHeight="1">
      <c r="A41865" s="740"/>
    </row>
    <row r="41866" ht="14.25" customHeight="1">
      <c r="A41866" s="740"/>
    </row>
    <row r="41867" ht="14.25" customHeight="1">
      <c r="A41867" s="740"/>
    </row>
    <row r="41868" ht="14.25" customHeight="1">
      <c r="A41868" s="740"/>
    </row>
    <row r="41869" ht="14.25" customHeight="1">
      <c r="A41869" s="740"/>
    </row>
    <row r="41870" ht="14.25" customHeight="1">
      <c r="A41870" s="740"/>
    </row>
    <row r="41871" ht="14.25" customHeight="1">
      <c r="A41871" s="740"/>
    </row>
    <row r="41872" ht="14.25" customHeight="1">
      <c r="A41872" s="740"/>
    </row>
    <row r="41873" ht="14.25" customHeight="1">
      <c r="A41873" s="740"/>
    </row>
    <row r="41874" ht="14.25" customHeight="1">
      <c r="A41874" s="740"/>
    </row>
    <row r="41875" ht="14.25" customHeight="1">
      <c r="A41875" s="740"/>
    </row>
    <row r="41876" ht="14.25" customHeight="1">
      <c r="A41876" s="740"/>
    </row>
    <row r="41877" ht="14.25" customHeight="1">
      <c r="A41877" s="740"/>
    </row>
    <row r="41878" ht="14.25" customHeight="1">
      <c r="A41878" s="740"/>
    </row>
    <row r="41879" ht="14.25" customHeight="1">
      <c r="A41879" s="740"/>
    </row>
    <row r="41880" ht="14.25" customHeight="1">
      <c r="A41880" s="740"/>
    </row>
    <row r="41881" ht="14.25" customHeight="1">
      <c r="A41881" s="740"/>
    </row>
    <row r="41882" ht="14.25" customHeight="1">
      <c r="A41882" s="740"/>
    </row>
    <row r="41883" ht="14.25" customHeight="1">
      <c r="A41883" s="740"/>
    </row>
    <row r="41884" ht="14.25" customHeight="1">
      <c r="A41884" s="740"/>
    </row>
    <row r="41885" ht="14.25" customHeight="1">
      <c r="A41885" s="740"/>
    </row>
    <row r="41886" ht="14.25" customHeight="1">
      <c r="A41886" s="740"/>
    </row>
    <row r="41887" ht="14.25" customHeight="1">
      <c r="A41887" s="740"/>
    </row>
    <row r="41888" ht="14.25" customHeight="1">
      <c r="A41888" s="740"/>
    </row>
    <row r="41889" ht="14.25" customHeight="1">
      <c r="A41889" s="740"/>
    </row>
    <row r="41890" ht="14.25" customHeight="1">
      <c r="A41890" s="740"/>
    </row>
    <row r="41891" ht="14.25" customHeight="1">
      <c r="A41891" s="740"/>
    </row>
    <row r="41892" ht="14.25" customHeight="1">
      <c r="A41892" s="740"/>
    </row>
    <row r="41893" ht="14.25" customHeight="1">
      <c r="A41893" s="740"/>
    </row>
    <row r="41894" ht="14.25" customHeight="1">
      <c r="A41894" s="740"/>
    </row>
    <row r="41895" ht="14.25" customHeight="1">
      <c r="A41895" s="740"/>
    </row>
    <row r="41896" ht="14.25" customHeight="1">
      <c r="A41896" s="740"/>
    </row>
    <row r="41897" ht="14.25" customHeight="1">
      <c r="A41897" s="740"/>
    </row>
    <row r="41898" ht="14.25" customHeight="1">
      <c r="A41898" s="740"/>
    </row>
    <row r="41899" ht="14.25" customHeight="1">
      <c r="A41899" s="740"/>
    </row>
    <row r="41900" ht="14.25" customHeight="1">
      <c r="A41900" s="740"/>
    </row>
    <row r="41901" ht="14.25" customHeight="1">
      <c r="A41901" s="740"/>
    </row>
    <row r="41902" ht="14.25" customHeight="1">
      <c r="A41902" s="740"/>
    </row>
    <row r="41903" ht="14.25" customHeight="1">
      <c r="A41903" s="740"/>
    </row>
    <row r="41904" ht="14.25" customHeight="1">
      <c r="A41904" s="740"/>
    </row>
    <row r="41905" ht="14.25" customHeight="1">
      <c r="A41905" s="740"/>
    </row>
    <row r="41906" ht="14.25" customHeight="1">
      <c r="A41906" s="740"/>
    </row>
    <row r="41907" ht="14.25" customHeight="1">
      <c r="A41907" s="740"/>
    </row>
    <row r="41908" ht="14.25" customHeight="1">
      <c r="A41908" s="740"/>
    </row>
    <row r="41909" ht="14.25" customHeight="1">
      <c r="A41909" s="740"/>
    </row>
    <row r="41910" ht="14.25" customHeight="1">
      <c r="A41910" s="740"/>
    </row>
    <row r="41911" ht="14.25" customHeight="1">
      <c r="A41911" s="740"/>
    </row>
    <row r="41912" ht="14.25" customHeight="1">
      <c r="A41912" s="740"/>
    </row>
    <row r="41913" ht="14.25" customHeight="1">
      <c r="A41913" s="740"/>
    </row>
    <row r="41914" ht="14.25" customHeight="1">
      <c r="A41914" s="740"/>
    </row>
    <row r="41915" ht="14.25" customHeight="1">
      <c r="A41915" s="740"/>
    </row>
    <row r="41916" ht="14.25" customHeight="1">
      <c r="A41916" s="740"/>
    </row>
    <row r="41917" ht="14.25" customHeight="1">
      <c r="A41917" s="740"/>
    </row>
    <row r="41918" ht="14.25" customHeight="1">
      <c r="A41918" s="740"/>
    </row>
    <row r="41919" ht="14.25" customHeight="1">
      <c r="A41919" s="740"/>
    </row>
    <row r="41920" ht="14.25" customHeight="1">
      <c r="A41920" s="740"/>
    </row>
    <row r="41921" ht="14.25" customHeight="1">
      <c r="A41921" s="740"/>
    </row>
    <row r="41922" ht="14.25" customHeight="1">
      <c r="A41922" s="740"/>
    </row>
    <row r="41923" ht="14.25" customHeight="1">
      <c r="A41923" s="740"/>
    </row>
    <row r="41924" ht="14.25" customHeight="1">
      <c r="A41924" s="740"/>
    </row>
    <row r="41925" ht="14.25" customHeight="1">
      <c r="A41925" s="740"/>
    </row>
    <row r="41926" ht="14.25" customHeight="1">
      <c r="A41926" s="740"/>
    </row>
    <row r="41927" ht="14.25" customHeight="1">
      <c r="A41927" s="740"/>
    </row>
    <row r="41928" ht="14.25" customHeight="1">
      <c r="A41928" s="740"/>
    </row>
    <row r="41929" ht="14.25" customHeight="1">
      <c r="A41929" s="740"/>
    </row>
    <row r="41930" ht="14.25" customHeight="1">
      <c r="A41930" s="740"/>
    </row>
    <row r="41931" ht="14.25" customHeight="1">
      <c r="A41931" s="740"/>
    </row>
    <row r="41932" ht="14.25" customHeight="1">
      <c r="A41932" s="740"/>
    </row>
    <row r="41933" ht="14.25" customHeight="1">
      <c r="A41933" s="740"/>
    </row>
    <row r="41934" ht="14.25" customHeight="1">
      <c r="A41934" s="740"/>
    </row>
    <row r="41935" ht="14.25" customHeight="1">
      <c r="A41935" s="740"/>
    </row>
    <row r="41936" ht="14.25" customHeight="1">
      <c r="A41936" s="740"/>
    </row>
    <row r="41937" ht="14.25" customHeight="1">
      <c r="A41937" s="740"/>
    </row>
    <row r="41938" ht="14.25" customHeight="1">
      <c r="A41938" s="740"/>
    </row>
    <row r="41939" ht="14.25" customHeight="1">
      <c r="A41939" s="740"/>
    </row>
    <row r="41940" ht="14.25" customHeight="1">
      <c r="A41940" s="740"/>
    </row>
    <row r="41941" ht="14.25" customHeight="1">
      <c r="A41941" s="740"/>
    </row>
    <row r="41942" ht="14.25" customHeight="1">
      <c r="A41942" s="740"/>
    </row>
    <row r="41943" ht="14.25" customHeight="1">
      <c r="A41943" s="740"/>
    </row>
    <row r="41944" ht="14.25" customHeight="1">
      <c r="A41944" s="740"/>
    </row>
    <row r="41945" ht="14.25" customHeight="1">
      <c r="A41945" s="740"/>
    </row>
    <row r="41946" ht="14.25" customHeight="1">
      <c r="A41946" s="740"/>
    </row>
    <row r="41947" ht="14.25" customHeight="1">
      <c r="A41947" s="740"/>
    </row>
    <row r="41948" ht="14.25" customHeight="1">
      <c r="A41948" s="740"/>
    </row>
    <row r="41949" ht="14.25" customHeight="1">
      <c r="A41949" s="740"/>
    </row>
    <row r="41950" ht="14.25" customHeight="1">
      <c r="A41950" s="740"/>
    </row>
    <row r="41951" ht="14.25" customHeight="1">
      <c r="A41951" s="740"/>
    </row>
    <row r="41952" ht="14.25" customHeight="1">
      <c r="A41952" s="740"/>
    </row>
    <row r="41953" ht="14.25" customHeight="1">
      <c r="A41953" s="740"/>
    </row>
    <row r="41954" ht="14.25" customHeight="1">
      <c r="A41954" s="740"/>
    </row>
    <row r="41955" ht="14.25" customHeight="1">
      <c r="A41955" s="740"/>
    </row>
    <row r="41956" ht="14.25" customHeight="1">
      <c r="A41956" s="740"/>
    </row>
    <row r="41957" ht="14.25" customHeight="1">
      <c r="A41957" s="740"/>
    </row>
    <row r="41958" ht="14.25" customHeight="1">
      <c r="A41958" s="740"/>
    </row>
    <row r="41959" ht="14.25" customHeight="1">
      <c r="A41959" s="740"/>
    </row>
    <row r="41960" ht="14.25" customHeight="1">
      <c r="A41960" s="740"/>
    </row>
    <row r="41961" ht="14.25" customHeight="1">
      <c r="A41961" s="740"/>
    </row>
    <row r="41962" ht="14.25" customHeight="1">
      <c r="A41962" s="740"/>
    </row>
    <row r="41963" ht="14.25" customHeight="1">
      <c r="A41963" s="740"/>
    </row>
    <row r="41964" ht="14.25" customHeight="1">
      <c r="A41964" s="740"/>
    </row>
    <row r="41965" ht="14.25" customHeight="1">
      <c r="A41965" s="740"/>
    </row>
    <row r="41966" ht="14.25" customHeight="1">
      <c r="A41966" s="740"/>
    </row>
    <row r="41967" ht="14.25" customHeight="1">
      <c r="A41967" s="740"/>
    </row>
    <row r="41968" ht="14.25" customHeight="1">
      <c r="A41968" s="740"/>
    </row>
    <row r="41969" ht="14.25" customHeight="1">
      <c r="A41969" s="740"/>
    </row>
    <row r="41970" ht="14.25" customHeight="1">
      <c r="A41970" s="740"/>
    </row>
    <row r="41971" ht="14.25" customHeight="1">
      <c r="A41971" s="740"/>
    </row>
    <row r="41972" ht="14.25" customHeight="1">
      <c r="A41972" s="740"/>
    </row>
    <row r="41973" ht="14.25" customHeight="1">
      <c r="A41973" s="740"/>
    </row>
    <row r="41974" ht="14.25" customHeight="1">
      <c r="A41974" s="740"/>
    </row>
    <row r="41975" ht="14.25" customHeight="1">
      <c r="A41975" s="740"/>
    </row>
    <row r="41976" ht="14.25" customHeight="1">
      <c r="A41976" s="740"/>
    </row>
    <row r="41977" ht="14.25" customHeight="1">
      <c r="A41977" s="740"/>
    </row>
    <row r="41978" ht="14.25" customHeight="1">
      <c r="A41978" s="740"/>
    </row>
    <row r="41979" ht="14.25" customHeight="1">
      <c r="A41979" s="740"/>
    </row>
    <row r="41980" ht="14.25" customHeight="1">
      <c r="A41980" s="740"/>
    </row>
    <row r="41981" ht="14.25" customHeight="1">
      <c r="A41981" s="740"/>
    </row>
    <row r="41982" ht="14.25" customHeight="1">
      <c r="A41982" s="740"/>
    </row>
    <row r="41983" ht="14.25" customHeight="1">
      <c r="A41983" s="740"/>
    </row>
    <row r="41984" ht="14.25" customHeight="1">
      <c r="A41984" s="740"/>
    </row>
    <row r="41985" ht="14.25" customHeight="1">
      <c r="A41985" s="740"/>
    </row>
    <row r="41986" ht="14.25" customHeight="1">
      <c r="A41986" s="740"/>
    </row>
    <row r="41987" ht="14.25" customHeight="1">
      <c r="A41987" s="740"/>
    </row>
    <row r="41988" ht="14.25" customHeight="1">
      <c r="A41988" s="740"/>
    </row>
    <row r="41989" ht="14.25" customHeight="1">
      <c r="A41989" s="740"/>
    </row>
    <row r="41990" ht="14.25" customHeight="1">
      <c r="A41990" s="740"/>
    </row>
    <row r="41991" ht="14.25" customHeight="1">
      <c r="A41991" s="740"/>
    </row>
    <row r="41992" ht="14.25" customHeight="1">
      <c r="A41992" s="740"/>
    </row>
    <row r="41993" ht="14.25" customHeight="1">
      <c r="A41993" s="740"/>
    </row>
    <row r="41994" ht="14.25" customHeight="1">
      <c r="A41994" s="740"/>
    </row>
    <row r="41995" ht="14.25" customHeight="1">
      <c r="A41995" s="740"/>
    </row>
    <row r="41996" ht="14.25" customHeight="1">
      <c r="A41996" s="740"/>
    </row>
    <row r="41997" ht="14.25" customHeight="1">
      <c r="A41997" s="740"/>
    </row>
    <row r="41998" ht="14.25" customHeight="1">
      <c r="A41998" s="740"/>
    </row>
    <row r="41999" ht="14.25" customHeight="1">
      <c r="A41999" s="740"/>
    </row>
    <row r="42000" ht="14.25" customHeight="1">
      <c r="A42000" s="740"/>
    </row>
    <row r="42001" ht="14.25" customHeight="1">
      <c r="A42001" s="740"/>
    </row>
    <row r="42002" ht="14.25" customHeight="1">
      <c r="A42002" s="740"/>
    </row>
    <row r="42003" ht="14.25" customHeight="1">
      <c r="A42003" s="740"/>
    </row>
    <row r="42004" ht="14.25" customHeight="1">
      <c r="A42004" s="740"/>
    </row>
    <row r="42005" ht="14.25" customHeight="1">
      <c r="A42005" s="740"/>
    </row>
    <row r="42006" ht="14.25" customHeight="1">
      <c r="A42006" s="740"/>
    </row>
    <row r="42007" ht="14.25" customHeight="1">
      <c r="A42007" s="740"/>
    </row>
    <row r="42008" ht="14.25" customHeight="1">
      <c r="A42008" s="740"/>
    </row>
    <row r="42009" ht="14.25" customHeight="1">
      <c r="A42009" s="740"/>
    </row>
    <row r="42010" ht="14.25" customHeight="1">
      <c r="A42010" s="740"/>
    </row>
    <row r="42011" ht="14.25" customHeight="1">
      <c r="A42011" s="740"/>
    </row>
    <row r="42012" ht="14.25" customHeight="1">
      <c r="A42012" s="740"/>
    </row>
    <row r="42013" ht="14.25" customHeight="1">
      <c r="A42013" s="740"/>
    </row>
    <row r="42014" ht="14.25" customHeight="1">
      <c r="A42014" s="740"/>
    </row>
    <row r="42015" ht="14.25" customHeight="1">
      <c r="A42015" s="740"/>
    </row>
    <row r="42016" ht="14.25" customHeight="1">
      <c r="A42016" s="740"/>
    </row>
    <row r="42017" ht="14.25" customHeight="1">
      <c r="A42017" s="740"/>
    </row>
    <row r="42018" ht="14.25" customHeight="1">
      <c r="A42018" s="740"/>
    </row>
    <row r="42019" ht="14.25" customHeight="1">
      <c r="A42019" s="740"/>
    </row>
    <row r="42020" ht="14.25" customHeight="1">
      <c r="A42020" s="740"/>
    </row>
    <row r="42021" ht="14.25" customHeight="1">
      <c r="A42021" s="740"/>
    </row>
    <row r="42022" ht="14.25" customHeight="1">
      <c r="A42022" s="740"/>
    </row>
    <row r="42023" ht="14.25" customHeight="1">
      <c r="A42023" s="740"/>
    </row>
    <row r="42024" ht="14.25" customHeight="1">
      <c r="A42024" s="740"/>
    </row>
    <row r="42025" ht="14.25" customHeight="1">
      <c r="A42025" s="740"/>
    </row>
    <row r="42026" ht="14.25" customHeight="1">
      <c r="A42026" s="740"/>
    </row>
    <row r="42027" ht="14.25" customHeight="1">
      <c r="A42027" s="740"/>
    </row>
    <row r="42028" ht="14.25" customHeight="1">
      <c r="A42028" s="740"/>
    </row>
    <row r="42029" ht="14.25" customHeight="1">
      <c r="A42029" s="740"/>
    </row>
    <row r="42030" ht="14.25" customHeight="1">
      <c r="A42030" s="740"/>
    </row>
    <row r="42031" ht="14.25" customHeight="1">
      <c r="A42031" s="740"/>
    </row>
    <row r="42032" ht="14.25" customHeight="1">
      <c r="A42032" s="740"/>
    </row>
    <row r="42033" ht="14.25" customHeight="1">
      <c r="A42033" s="740"/>
    </row>
    <row r="42034" ht="14.25" customHeight="1">
      <c r="A42034" s="740"/>
    </row>
    <row r="42035" ht="14.25" customHeight="1">
      <c r="A42035" s="740"/>
    </row>
    <row r="42036" ht="14.25" customHeight="1">
      <c r="A42036" s="740"/>
    </row>
    <row r="42037" ht="14.25" customHeight="1">
      <c r="A42037" s="740"/>
    </row>
    <row r="42038" ht="14.25" customHeight="1">
      <c r="A42038" s="740"/>
    </row>
    <row r="42039" ht="14.25" customHeight="1">
      <c r="A42039" s="740"/>
    </row>
    <row r="42040" ht="14.25" customHeight="1">
      <c r="A42040" s="740"/>
    </row>
    <row r="42041" ht="14.25" customHeight="1">
      <c r="A42041" s="740"/>
    </row>
    <row r="42042" ht="14.25" customHeight="1">
      <c r="A42042" s="740"/>
    </row>
    <row r="42043" ht="14.25" customHeight="1">
      <c r="A42043" s="740"/>
    </row>
    <row r="42044" ht="14.25" customHeight="1">
      <c r="A42044" s="740"/>
    </row>
    <row r="42045" ht="14.25" customHeight="1">
      <c r="A42045" s="740"/>
    </row>
    <row r="42046" ht="14.25" customHeight="1">
      <c r="A42046" s="740"/>
    </row>
    <row r="42047" ht="14.25" customHeight="1">
      <c r="A42047" s="740"/>
    </row>
    <row r="42048" ht="14.25" customHeight="1">
      <c r="A42048" s="740"/>
    </row>
    <row r="42049" ht="14.25" customHeight="1">
      <c r="A42049" s="740"/>
    </row>
    <row r="42050" ht="14.25" customHeight="1">
      <c r="A42050" s="740"/>
    </row>
    <row r="42051" ht="14.25" customHeight="1">
      <c r="A42051" s="740"/>
    </row>
    <row r="42052" ht="14.25" customHeight="1">
      <c r="A42052" s="740"/>
    </row>
    <row r="42053" ht="14.25" customHeight="1">
      <c r="A42053" s="740"/>
    </row>
    <row r="42054" ht="14.25" customHeight="1">
      <c r="A42054" s="740"/>
    </row>
    <row r="42055" ht="14.25" customHeight="1">
      <c r="A42055" s="740"/>
    </row>
    <row r="42056" ht="14.25" customHeight="1">
      <c r="A42056" s="740"/>
    </row>
    <row r="42057" ht="14.25" customHeight="1">
      <c r="A42057" s="740"/>
    </row>
    <row r="42058" ht="14.25" customHeight="1">
      <c r="A42058" s="740"/>
    </row>
    <row r="42059" ht="14.25" customHeight="1">
      <c r="A42059" s="740"/>
    </row>
    <row r="42060" ht="14.25" customHeight="1">
      <c r="A42060" s="740"/>
    </row>
    <row r="42061" ht="14.25" customHeight="1">
      <c r="A42061" s="740"/>
    </row>
    <row r="42062" ht="14.25" customHeight="1">
      <c r="A42062" s="740"/>
    </row>
    <row r="42063" ht="14.25" customHeight="1">
      <c r="A42063" s="740"/>
    </row>
    <row r="42064" ht="14.25" customHeight="1">
      <c r="A42064" s="740"/>
    </row>
    <row r="42065" ht="14.25" customHeight="1">
      <c r="A42065" s="740"/>
    </row>
    <row r="42066" ht="14.25" customHeight="1">
      <c r="A42066" s="740"/>
    </row>
    <row r="42067" ht="14.25" customHeight="1">
      <c r="A42067" s="740"/>
    </row>
    <row r="42068" ht="14.25" customHeight="1">
      <c r="A42068" s="740"/>
    </row>
    <row r="42069" ht="14.25" customHeight="1">
      <c r="A42069" s="740"/>
    </row>
    <row r="42070" ht="14.25" customHeight="1">
      <c r="A42070" s="740"/>
    </row>
    <row r="42071" ht="14.25" customHeight="1">
      <c r="A42071" s="740"/>
    </row>
    <row r="42072" ht="14.25" customHeight="1">
      <c r="A42072" s="740"/>
    </row>
    <row r="42073" ht="14.25" customHeight="1">
      <c r="A42073" s="740"/>
    </row>
    <row r="42074" ht="14.25" customHeight="1">
      <c r="A42074" s="740"/>
    </row>
    <row r="42075" ht="14.25" customHeight="1">
      <c r="A42075" s="740"/>
    </row>
    <row r="42076" ht="14.25" customHeight="1">
      <c r="A42076" s="740"/>
    </row>
    <row r="42077" ht="14.25" customHeight="1">
      <c r="A42077" s="740"/>
    </row>
    <row r="42078" ht="14.25" customHeight="1">
      <c r="A42078" s="740"/>
    </row>
    <row r="42079" ht="14.25" customHeight="1">
      <c r="A42079" s="740"/>
    </row>
    <row r="42080" ht="14.25" customHeight="1">
      <c r="A42080" s="740"/>
    </row>
    <row r="42081" ht="14.25" customHeight="1">
      <c r="A42081" s="740"/>
    </row>
    <row r="42082" ht="14.25" customHeight="1">
      <c r="A42082" s="740"/>
    </row>
    <row r="42083" ht="14.25" customHeight="1">
      <c r="A42083" s="740"/>
    </row>
    <row r="42084" ht="14.25" customHeight="1">
      <c r="A42084" s="740"/>
    </row>
    <row r="42085" ht="14.25" customHeight="1">
      <c r="A42085" s="740"/>
    </row>
    <row r="42086" ht="14.25" customHeight="1">
      <c r="A42086" s="740"/>
    </row>
    <row r="42087" ht="14.25" customHeight="1">
      <c r="A42087" s="740"/>
    </row>
    <row r="42088" ht="14.25" customHeight="1">
      <c r="A42088" s="740"/>
    </row>
    <row r="42089" ht="14.25" customHeight="1">
      <c r="A42089" s="740"/>
    </row>
    <row r="42090" ht="14.25" customHeight="1">
      <c r="A42090" s="740"/>
    </row>
    <row r="42091" ht="14.25" customHeight="1">
      <c r="A42091" s="740"/>
    </row>
    <row r="42092" ht="14.25" customHeight="1">
      <c r="A42092" s="740"/>
    </row>
    <row r="42093" ht="14.25" customHeight="1">
      <c r="A42093" s="740"/>
    </row>
    <row r="42094" ht="14.25" customHeight="1">
      <c r="A42094" s="740"/>
    </row>
    <row r="42095" ht="14.25" customHeight="1">
      <c r="A42095" s="740"/>
    </row>
    <row r="42096" ht="14.25" customHeight="1">
      <c r="A42096" s="740"/>
    </row>
    <row r="42097" ht="14.25" customHeight="1">
      <c r="A42097" s="740"/>
    </row>
    <row r="42098" ht="14.25" customHeight="1">
      <c r="A42098" s="740"/>
    </row>
    <row r="42099" ht="14.25" customHeight="1">
      <c r="A42099" s="740"/>
    </row>
    <row r="42100" ht="14.25" customHeight="1">
      <c r="A42100" s="740"/>
    </row>
    <row r="42101" ht="14.25" customHeight="1">
      <c r="A42101" s="740"/>
    </row>
    <row r="42102" ht="14.25" customHeight="1">
      <c r="A42102" s="740"/>
    </row>
    <row r="42103" ht="14.25" customHeight="1">
      <c r="A42103" s="740"/>
    </row>
    <row r="42104" ht="14.25" customHeight="1">
      <c r="A42104" s="740"/>
    </row>
    <row r="42105" ht="14.25" customHeight="1">
      <c r="A42105" s="740"/>
    </row>
    <row r="42106" ht="14.25" customHeight="1">
      <c r="A42106" s="740"/>
    </row>
    <row r="42107" ht="14.25" customHeight="1">
      <c r="A42107" s="740"/>
    </row>
    <row r="42108" ht="14.25" customHeight="1">
      <c r="A42108" s="740"/>
    </row>
    <row r="42109" ht="14.25" customHeight="1">
      <c r="A42109" s="740"/>
    </row>
    <row r="42110" ht="14.25" customHeight="1">
      <c r="A42110" s="740"/>
    </row>
    <row r="42111" ht="14.25" customHeight="1">
      <c r="A42111" s="740"/>
    </row>
    <row r="42112" ht="14.25" customHeight="1">
      <c r="A42112" s="740"/>
    </row>
    <row r="42113" ht="14.25" customHeight="1">
      <c r="A42113" s="740"/>
    </row>
    <row r="42114" ht="14.25" customHeight="1">
      <c r="A42114" s="740"/>
    </row>
    <row r="42115" ht="14.25" customHeight="1">
      <c r="A42115" s="740"/>
    </row>
    <row r="42116" ht="14.25" customHeight="1">
      <c r="A42116" s="740"/>
    </row>
    <row r="42117" ht="14.25" customHeight="1">
      <c r="A42117" s="740"/>
    </row>
    <row r="42118" ht="14.25" customHeight="1">
      <c r="A42118" s="740"/>
    </row>
    <row r="42119" ht="14.25" customHeight="1">
      <c r="A42119" s="740"/>
    </row>
    <row r="42120" ht="14.25" customHeight="1">
      <c r="A42120" s="740"/>
    </row>
    <row r="42121" ht="14.25" customHeight="1">
      <c r="A42121" s="740"/>
    </row>
    <row r="42122" ht="14.25" customHeight="1">
      <c r="A42122" s="740"/>
    </row>
    <row r="42123" ht="14.25" customHeight="1">
      <c r="A42123" s="740"/>
    </row>
    <row r="42124" ht="14.25" customHeight="1">
      <c r="A42124" s="740"/>
    </row>
    <row r="42125" ht="14.25" customHeight="1">
      <c r="A42125" s="740"/>
    </row>
    <row r="42126" ht="14.25" customHeight="1">
      <c r="A42126" s="740"/>
    </row>
    <row r="42127" ht="14.25" customHeight="1">
      <c r="A42127" s="740"/>
    </row>
    <row r="42128" ht="14.25" customHeight="1">
      <c r="A42128" s="740"/>
    </row>
    <row r="42129" ht="14.25" customHeight="1">
      <c r="A42129" s="740"/>
    </row>
    <row r="42130" ht="14.25" customHeight="1">
      <c r="A42130" s="740"/>
    </row>
    <row r="42131" ht="14.25" customHeight="1">
      <c r="A42131" s="740"/>
    </row>
    <row r="42132" ht="14.25" customHeight="1">
      <c r="A42132" s="740"/>
    </row>
    <row r="42133" ht="14.25" customHeight="1">
      <c r="A42133" s="740"/>
    </row>
    <row r="42134" ht="14.25" customHeight="1">
      <c r="A42134" s="740"/>
    </row>
    <row r="42135" ht="14.25" customHeight="1">
      <c r="A42135" s="740"/>
    </row>
    <row r="42136" ht="14.25" customHeight="1">
      <c r="A42136" s="740"/>
    </row>
    <row r="42137" ht="14.25" customHeight="1">
      <c r="A42137" s="740"/>
    </row>
    <row r="42138" ht="14.25" customHeight="1">
      <c r="A42138" s="740"/>
    </row>
    <row r="42139" ht="14.25" customHeight="1">
      <c r="A42139" s="740"/>
    </row>
    <row r="42140" ht="14.25" customHeight="1">
      <c r="A42140" s="740"/>
    </row>
    <row r="42141" ht="14.25" customHeight="1">
      <c r="A42141" s="740"/>
    </row>
    <row r="42142" ht="14.25" customHeight="1">
      <c r="A42142" s="740"/>
    </row>
    <row r="42143" ht="14.25" customHeight="1">
      <c r="A42143" s="740"/>
    </row>
    <row r="42144" ht="14.25" customHeight="1">
      <c r="A42144" s="740"/>
    </row>
    <row r="42145" ht="14.25" customHeight="1">
      <c r="A42145" s="740"/>
    </row>
    <row r="42146" ht="14.25" customHeight="1">
      <c r="A42146" s="740"/>
    </row>
    <row r="42147" ht="14.25" customHeight="1">
      <c r="A42147" s="740"/>
    </row>
    <row r="42148" ht="14.25" customHeight="1">
      <c r="A42148" s="740"/>
    </row>
    <row r="42149" ht="14.25" customHeight="1">
      <c r="A42149" s="740"/>
    </row>
    <row r="42150" ht="14.25" customHeight="1">
      <c r="A42150" s="740"/>
    </row>
    <row r="42151" ht="14.25" customHeight="1">
      <c r="A42151" s="740"/>
    </row>
    <row r="42152" ht="14.25" customHeight="1">
      <c r="A42152" s="740"/>
    </row>
    <row r="42153" ht="14.25" customHeight="1">
      <c r="A42153" s="740"/>
    </row>
    <row r="42154" ht="14.25" customHeight="1">
      <c r="A42154" s="740"/>
    </row>
    <row r="42155" ht="14.25" customHeight="1">
      <c r="A42155" s="740"/>
    </row>
    <row r="42156" ht="14.25" customHeight="1">
      <c r="A42156" s="740"/>
    </row>
    <row r="42157" ht="14.25" customHeight="1">
      <c r="A42157" s="740"/>
    </row>
    <row r="42158" ht="14.25" customHeight="1">
      <c r="A42158" s="740"/>
    </row>
    <row r="42159" ht="14.25" customHeight="1">
      <c r="A42159" s="740"/>
    </row>
    <row r="42160" ht="14.25" customHeight="1">
      <c r="A42160" s="740"/>
    </row>
    <row r="42161" ht="14.25" customHeight="1">
      <c r="A42161" s="740"/>
    </row>
    <row r="42162" ht="14.25" customHeight="1">
      <c r="A42162" s="740"/>
    </row>
    <row r="42163" ht="14.25" customHeight="1">
      <c r="A42163" s="740"/>
    </row>
    <row r="42164" ht="14.25" customHeight="1">
      <c r="A42164" s="740"/>
    </row>
    <row r="42165" ht="14.25" customHeight="1">
      <c r="A42165" s="740"/>
    </row>
    <row r="42166" ht="14.25" customHeight="1">
      <c r="A42166" s="740"/>
    </row>
    <row r="42167" ht="14.25" customHeight="1">
      <c r="A42167" s="740"/>
    </row>
    <row r="42168" ht="14.25" customHeight="1">
      <c r="A42168" s="740"/>
    </row>
    <row r="42169" ht="14.25" customHeight="1">
      <c r="A42169" s="740"/>
    </row>
    <row r="42170" ht="14.25" customHeight="1">
      <c r="A42170" s="740"/>
    </row>
    <row r="42171" ht="14.25" customHeight="1">
      <c r="A42171" s="740"/>
    </row>
    <row r="42172" ht="14.25" customHeight="1">
      <c r="A42172" s="740"/>
    </row>
    <row r="42173" ht="14.25" customHeight="1">
      <c r="A42173" s="740"/>
    </row>
    <row r="42174" ht="14.25" customHeight="1">
      <c r="A42174" s="740"/>
    </row>
    <row r="42175" ht="14.25" customHeight="1">
      <c r="A42175" s="740"/>
    </row>
    <row r="42176" ht="14.25" customHeight="1">
      <c r="A42176" s="740"/>
    </row>
    <row r="42177" ht="14.25" customHeight="1">
      <c r="A42177" s="740"/>
    </row>
    <row r="42178" ht="14.25" customHeight="1">
      <c r="A42178" s="740"/>
    </row>
    <row r="42179" ht="14.25" customHeight="1">
      <c r="A42179" s="740"/>
    </row>
    <row r="42180" ht="14.25" customHeight="1">
      <c r="A42180" s="740"/>
    </row>
    <row r="42181" ht="14.25" customHeight="1">
      <c r="A42181" s="740"/>
    </row>
    <row r="42182" ht="14.25" customHeight="1">
      <c r="A42182" s="740"/>
    </row>
    <row r="42183" ht="14.25" customHeight="1">
      <c r="A42183" s="740"/>
    </row>
    <row r="42184" ht="14.25" customHeight="1">
      <c r="A42184" s="740"/>
    </row>
    <row r="42185" ht="14.25" customHeight="1">
      <c r="A42185" s="740"/>
    </row>
    <row r="42186" ht="14.25" customHeight="1">
      <c r="A42186" s="740"/>
    </row>
    <row r="42187" ht="14.25" customHeight="1">
      <c r="A42187" s="740"/>
    </row>
    <row r="42188" ht="14.25" customHeight="1">
      <c r="A42188" s="740"/>
    </row>
    <row r="42189" ht="14.25" customHeight="1">
      <c r="A42189" s="740"/>
    </row>
    <row r="42190" ht="14.25" customHeight="1">
      <c r="A42190" s="740"/>
    </row>
    <row r="42191" ht="14.25" customHeight="1">
      <c r="A42191" s="740"/>
    </row>
    <row r="42192" ht="14.25" customHeight="1">
      <c r="A42192" s="740"/>
    </row>
    <row r="42193" ht="14.25" customHeight="1">
      <c r="A42193" s="740"/>
    </row>
    <row r="42194" ht="14.25" customHeight="1">
      <c r="A42194" s="740"/>
    </row>
    <row r="42195" ht="14.25" customHeight="1">
      <c r="A42195" s="740"/>
    </row>
    <row r="42196" ht="14.25" customHeight="1">
      <c r="A42196" s="740"/>
    </row>
    <row r="42197" ht="14.25" customHeight="1">
      <c r="A42197" s="740"/>
    </row>
    <row r="42198" ht="14.25" customHeight="1">
      <c r="A42198" s="740"/>
    </row>
    <row r="42199" ht="14.25" customHeight="1">
      <c r="A42199" s="740"/>
    </row>
    <row r="42200" ht="14.25" customHeight="1">
      <c r="A42200" s="740"/>
    </row>
    <row r="42201" ht="14.25" customHeight="1">
      <c r="A42201" s="740"/>
    </row>
    <row r="42202" ht="14.25" customHeight="1">
      <c r="A42202" s="740"/>
    </row>
    <row r="42203" ht="14.25" customHeight="1">
      <c r="A42203" s="740"/>
    </row>
    <row r="42204" ht="14.25" customHeight="1">
      <c r="A42204" s="740"/>
    </row>
    <row r="42205" ht="14.25" customHeight="1">
      <c r="A42205" s="740"/>
    </row>
    <row r="42206" ht="14.25" customHeight="1">
      <c r="A42206" s="740"/>
    </row>
    <row r="42207" ht="14.25" customHeight="1">
      <c r="A42207" s="740"/>
    </row>
    <row r="42208" ht="14.25" customHeight="1">
      <c r="A42208" s="740"/>
    </row>
    <row r="42209" ht="14.25" customHeight="1">
      <c r="A42209" s="740"/>
    </row>
    <row r="42210" ht="14.25" customHeight="1">
      <c r="A42210" s="740"/>
    </row>
    <row r="42211" ht="14.25" customHeight="1">
      <c r="A42211" s="740"/>
    </row>
    <row r="42212" ht="14.25" customHeight="1">
      <c r="A42212" s="740"/>
    </row>
    <row r="42213" ht="14.25" customHeight="1">
      <c r="A42213" s="740"/>
    </row>
    <row r="42214" ht="14.25" customHeight="1">
      <c r="A42214" s="740"/>
    </row>
    <row r="42215" ht="14.25" customHeight="1">
      <c r="A42215" s="740"/>
    </row>
    <row r="42216" ht="14.25" customHeight="1">
      <c r="A42216" s="740"/>
    </row>
    <row r="42217" ht="14.25" customHeight="1">
      <c r="A42217" s="740"/>
    </row>
    <row r="42218" ht="14.25" customHeight="1">
      <c r="A42218" s="740"/>
    </row>
    <row r="42219" ht="14.25" customHeight="1">
      <c r="A42219" s="740"/>
    </row>
    <row r="42220" ht="14.25" customHeight="1">
      <c r="A42220" s="740"/>
    </row>
    <row r="42221" ht="14.25" customHeight="1">
      <c r="A42221" s="740"/>
    </row>
    <row r="42222" ht="14.25" customHeight="1">
      <c r="A42222" s="740"/>
    </row>
    <row r="42223" ht="14.25" customHeight="1">
      <c r="A42223" s="740"/>
    </row>
    <row r="42224" ht="14.25" customHeight="1">
      <c r="A42224" s="740"/>
    </row>
    <row r="42225" ht="14.25" customHeight="1">
      <c r="A42225" s="740"/>
    </row>
    <row r="42226" ht="14.25" customHeight="1">
      <c r="A42226" s="740"/>
    </row>
    <row r="42227" ht="14.25" customHeight="1">
      <c r="A42227" s="740"/>
    </row>
    <row r="42228" ht="14.25" customHeight="1">
      <c r="A42228" s="740"/>
    </row>
    <row r="42229" ht="14.25" customHeight="1">
      <c r="A42229" s="740"/>
    </row>
    <row r="42230" ht="14.25" customHeight="1">
      <c r="A42230" s="740"/>
    </row>
    <row r="42231" ht="14.25" customHeight="1">
      <c r="A42231" s="740"/>
    </row>
    <row r="42232" ht="14.25" customHeight="1">
      <c r="A42232" s="740"/>
    </row>
    <row r="42233" ht="14.25" customHeight="1">
      <c r="A42233" s="740"/>
    </row>
    <row r="42234" ht="14.25" customHeight="1">
      <c r="A42234" s="740"/>
    </row>
    <row r="42235" ht="14.25" customHeight="1">
      <c r="A42235" s="740"/>
    </row>
    <row r="42236" ht="14.25" customHeight="1">
      <c r="A42236" s="740"/>
    </row>
    <row r="42237" ht="14.25" customHeight="1">
      <c r="A42237" s="740"/>
    </row>
    <row r="42238" ht="14.25" customHeight="1">
      <c r="A42238" s="740"/>
    </row>
    <row r="42239" ht="14.25" customHeight="1">
      <c r="A42239" s="740"/>
    </row>
    <row r="42240" ht="14.25" customHeight="1">
      <c r="A42240" s="740"/>
    </row>
    <row r="42241" ht="14.25" customHeight="1">
      <c r="A42241" s="740"/>
    </row>
    <row r="42242" ht="14.25" customHeight="1">
      <c r="A42242" s="740"/>
    </row>
    <row r="42243" ht="14.25" customHeight="1">
      <c r="A42243" s="740"/>
    </row>
    <row r="42244" ht="14.25" customHeight="1">
      <c r="A42244" s="740"/>
    </row>
    <row r="42245" ht="14.25" customHeight="1">
      <c r="A42245" s="740"/>
    </row>
    <row r="42246" ht="14.25" customHeight="1">
      <c r="A42246" s="740"/>
    </row>
    <row r="42247" ht="14.25" customHeight="1">
      <c r="A42247" s="740"/>
    </row>
    <row r="42248" ht="14.25" customHeight="1">
      <c r="A42248" s="740"/>
    </row>
    <row r="42249" ht="14.25" customHeight="1">
      <c r="A42249" s="740"/>
    </row>
    <row r="42250" ht="14.25" customHeight="1">
      <c r="A42250" s="740"/>
    </row>
    <row r="42251" ht="14.25" customHeight="1">
      <c r="A42251" s="740"/>
    </row>
    <row r="42252" ht="14.25" customHeight="1">
      <c r="A42252" s="740"/>
    </row>
    <row r="42253" ht="14.25" customHeight="1">
      <c r="A42253" s="740"/>
    </row>
    <row r="42254" ht="14.25" customHeight="1">
      <c r="A42254" s="740"/>
    </row>
    <row r="42255" ht="14.25" customHeight="1">
      <c r="A42255" s="740"/>
    </row>
    <row r="42256" ht="14.25" customHeight="1">
      <c r="A42256" s="740"/>
    </row>
    <row r="42257" ht="14.25" customHeight="1">
      <c r="A42257" s="740"/>
    </row>
    <row r="42258" ht="14.25" customHeight="1">
      <c r="A42258" s="740"/>
    </row>
    <row r="42259" ht="14.25" customHeight="1">
      <c r="A42259" s="740"/>
    </row>
    <row r="42260" ht="14.25" customHeight="1">
      <c r="A42260" s="740"/>
    </row>
    <row r="42261" ht="14.25" customHeight="1">
      <c r="A42261" s="740"/>
    </row>
    <row r="42262" ht="14.25" customHeight="1">
      <c r="A42262" s="740"/>
    </row>
    <row r="42263" ht="14.25" customHeight="1">
      <c r="A42263" s="740"/>
    </row>
    <row r="42264" ht="14.25" customHeight="1">
      <c r="A42264" s="740"/>
    </row>
    <row r="42265" ht="14.25" customHeight="1">
      <c r="A42265" s="740"/>
    </row>
    <row r="42266" ht="14.25" customHeight="1">
      <c r="A42266" s="740"/>
    </row>
    <row r="42267" ht="14.25" customHeight="1">
      <c r="A42267" s="740"/>
    </row>
    <row r="42268" ht="14.25" customHeight="1">
      <c r="A42268" s="740"/>
    </row>
    <row r="42269" ht="14.25" customHeight="1">
      <c r="A42269" s="740"/>
    </row>
    <row r="42270" ht="14.25" customHeight="1">
      <c r="A42270" s="740"/>
    </row>
    <row r="42271" ht="14.25" customHeight="1">
      <c r="A42271" s="740"/>
    </row>
    <row r="42272" ht="14.25" customHeight="1">
      <c r="A42272" s="740"/>
    </row>
    <row r="42273" ht="14.25" customHeight="1">
      <c r="A42273" s="740"/>
    </row>
    <row r="42274" ht="14.25" customHeight="1">
      <c r="A42274" s="740"/>
    </row>
    <row r="42275" ht="14.25" customHeight="1">
      <c r="A42275" s="740"/>
    </row>
    <row r="42276" ht="14.25" customHeight="1">
      <c r="A42276" s="740"/>
    </row>
    <row r="42277" ht="14.25" customHeight="1">
      <c r="A42277" s="740"/>
    </row>
    <row r="42278" ht="14.25" customHeight="1">
      <c r="A42278" s="740"/>
    </row>
    <row r="42279" ht="14.25" customHeight="1">
      <c r="A42279" s="740"/>
    </row>
    <row r="42280" ht="14.25" customHeight="1">
      <c r="A42280" s="740"/>
    </row>
    <row r="42281" ht="14.25" customHeight="1">
      <c r="A42281" s="740"/>
    </row>
    <row r="42282" ht="14.25" customHeight="1">
      <c r="A42282" s="740"/>
    </row>
    <row r="42283" ht="14.25" customHeight="1">
      <c r="A42283" s="740"/>
    </row>
    <row r="42284" ht="14.25" customHeight="1">
      <c r="A42284" s="740"/>
    </row>
    <row r="42285" ht="14.25" customHeight="1">
      <c r="A42285" s="740"/>
    </row>
    <row r="42286" ht="14.25" customHeight="1">
      <c r="A42286" s="740"/>
    </row>
    <row r="42287" ht="14.25" customHeight="1">
      <c r="A42287" s="740"/>
    </row>
    <row r="42288" ht="14.25" customHeight="1">
      <c r="A42288" s="740"/>
    </row>
    <row r="42289" ht="14.25" customHeight="1">
      <c r="A42289" s="740"/>
    </row>
    <row r="42290" ht="14.25" customHeight="1">
      <c r="A42290" s="740"/>
    </row>
    <row r="42291" ht="14.25" customHeight="1">
      <c r="A42291" s="740"/>
    </row>
    <row r="42292" ht="14.25" customHeight="1">
      <c r="A42292" s="740"/>
    </row>
    <row r="42293" ht="14.25" customHeight="1">
      <c r="A42293" s="740"/>
    </row>
    <row r="42294" ht="14.25" customHeight="1">
      <c r="A42294" s="740"/>
    </row>
    <row r="42295" ht="14.25" customHeight="1">
      <c r="A42295" s="740"/>
    </row>
    <row r="42296" ht="14.25" customHeight="1">
      <c r="A42296" s="740"/>
    </row>
    <row r="42297" ht="14.25" customHeight="1">
      <c r="A42297" s="740"/>
    </row>
    <row r="42298" ht="14.25" customHeight="1">
      <c r="A42298" s="740"/>
    </row>
    <row r="42299" ht="14.25" customHeight="1">
      <c r="A42299" s="740"/>
    </row>
    <row r="42300" ht="14.25" customHeight="1">
      <c r="A42300" s="740"/>
    </row>
    <row r="42301" ht="14.25" customHeight="1">
      <c r="A42301" s="740"/>
    </row>
    <row r="42302" ht="14.25" customHeight="1">
      <c r="A42302" s="740"/>
    </row>
    <row r="42303" ht="14.25" customHeight="1">
      <c r="A42303" s="740"/>
    </row>
    <row r="42304" ht="14.25" customHeight="1">
      <c r="A42304" s="740"/>
    </row>
    <row r="42305" ht="14.25" customHeight="1">
      <c r="A42305" s="740"/>
    </row>
    <row r="42306" ht="14.25" customHeight="1">
      <c r="A42306" s="740"/>
    </row>
    <row r="42307" ht="14.25" customHeight="1">
      <c r="A42307" s="740"/>
    </row>
    <row r="42308" ht="14.25" customHeight="1">
      <c r="A42308" s="740"/>
    </row>
    <row r="42309" ht="14.25" customHeight="1">
      <c r="A42309" s="740"/>
    </row>
    <row r="42310" ht="14.25" customHeight="1">
      <c r="A42310" s="740"/>
    </row>
    <row r="42311" ht="14.25" customHeight="1">
      <c r="A42311" s="740"/>
    </row>
    <row r="42312" ht="14.25" customHeight="1">
      <c r="A42312" s="740"/>
    </row>
    <row r="42313" ht="14.25" customHeight="1">
      <c r="A42313" s="740"/>
    </row>
    <row r="42314" ht="14.25" customHeight="1">
      <c r="A42314" s="740"/>
    </row>
    <row r="42315" ht="14.25" customHeight="1">
      <c r="A42315" s="740"/>
    </row>
    <row r="42316" ht="14.25" customHeight="1">
      <c r="A42316" s="740"/>
    </row>
    <row r="42317" ht="14.25" customHeight="1">
      <c r="A42317" s="740"/>
    </row>
    <row r="42318" ht="14.25" customHeight="1">
      <c r="A42318" s="740"/>
    </row>
    <row r="42319" ht="14.25" customHeight="1">
      <c r="A42319" s="740"/>
    </row>
    <row r="42320" ht="14.25" customHeight="1">
      <c r="A42320" s="740"/>
    </row>
    <row r="42321" ht="14.25" customHeight="1">
      <c r="A42321" s="740"/>
    </row>
    <row r="42322" ht="14.25" customHeight="1">
      <c r="A42322" s="740"/>
    </row>
    <row r="42323" ht="14.25" customHeight="1">
      <c r="A42323" s="740"/>
    </row>
    <row r="42324" ht="14.25" customHeight="1">
      <c r="A42324" s="740"/>
    </row>
    <row r="42325" ht="14.25" customHeight="1">
      <c r="A42325" s="740"/>
    </row>
    <row r="42326" ht="14.25" customHeight="1">
      <c r="A42326" s="740"/>
    </row>
    <row r="42327" ht="14.25" customHeight="1">
      <c r="A42327" s="740"/>
    </row>
    <row r="42328" ht="14.25" customHeight="1">
      <c r="A42328" s="740"/>
    </row>
    <row r="42329" ht="14.25" customHeight="1">
      <c r="A42329" s="740"/>
    </row>
    <row r="42330" ht="14.25" customHeight="1">
      <c r="A42330" s="740"/>
    </row>
    <row r="42331" ht="14.25" customHeight="1">
      <c r="A42331" s="740"/>
    </row>
    <row r="42332" ht="14.25" customHeight="1">
      <c r="A42332" s="740"/>
    </row>
    <row r="42333" ht="14.25" customHeight="1">
      <c r="A42333" s="740"/>
    </row>
    <row r="42334" ht="14.25" customHeight="1">
      <c r="A42334" s="740"/>
    </row>
    <row r="42335" ht="14.25" customHeight="1">
      <c r="A42335" s="740"/>
    </row>
    <row r="42336" ht="14.25" customHeight="1">
      <c r="A42336" s="740"/>
    </row>
    <row r="42337" ht="14.25" customHeight="1">
      <c r="A42337" s="740"/>
    </row>
    <row r="42338" ht="14.25" customHeight="1">
      <c r="A42338" s="740"/>
    </row>
    <row r="42339" ht="14.25" customHeight="1">
      <c r="A42339" s="740"/>
    </row>
    <row r="42340" ht="14.25" customHeight="1">
      <c r="A42340" s="740"/>
    </row>
    <row r="42341" ht="14.25" customHeight="1">
      <c r="A42341" s="740"/>
    </row>
    <row r="42342" ht="14.25" customHeight="1">
      <c r="A42342" s="740"/>
    </row>
    <row r="42343" ht="14.25" customHeight="1">
      <c r="A42343" s="740"/>
    </row>
    <row r="42344" ht="14.25" customHeight="1">
      <c r="A42344" s="740"/>
    </row>
    <row r="42345" ht="14.25" customHeight="1">
      <c r="A42345" s="740"/>
    </row>
    <row r="42346" ht="14.25" customHeight="1">
      <c r="A42346" s="740"/>
    </row>
    <row r="42347" ht="14.25" customHeight="1">
      <c r="A42347" s="740"/>
    </row>
    <row r="42348" ht="14.25" customHeight="1">
      <c r="A42348" s="740"/>
    </row>
    <row r="42349" ht="14.25" customHeight="1">
      <c r="A42349" s="740"/>
    </row>
    <row r="42350" ht="14.25" customHeight="1">
      <c r="A42350" s="740"/>
    </row>
    <row r="42351" ht="14.25" customHeight="1">
      <c r="A42351" s="740"/>
    </row>
    <row r="42352" ht="14.25" customHeight="1">
      <c r="A42352" s="740"/>
    </row>
    <row r="42353" ht="14.25" customHeight="1">
      <c r="A42353" s="740"/>
    </row>
    <row r="42354" ht="14.25" customHeight="1">
      <c r="A42354" s="740"/>
    </row>
    <row r="42355" ht="14.25" customHeight="1">
      <c r="A42355" s="740"/>
    </row>
    <row r="42356" ht="14.25" customHeight="1">
      <c r="A42356" s="740"/>
    </row>
    <row r="42357" ht="14.25" customHeight="1">
      <c r="A42357" s="740"/>
    </row>
    <row r="42358" ht="14.25" customHeight="1">
      <c r="A42358" s="740"/>
    </row>
    <row r="42359" ht="14.25" customHeight="1">
      <c r="A42359" s="740"/>
    </row>
    <row r="42360" ht="14.25" customHeight="1">
      <c r="A42360" s="740"/>
    </row>
    <row r="42361" ht="14.25" customHeight="1">
      <c r="A42361" s="740"/>
    </row>
    <row r="42362" ht="14.25" customHeight="1">
      <c r="A42362" s="740"/>
    </row>
    <row r="42363" ht="14.25" customHeight="1">
      <c r="A42363" s="740"/>
    </row>
    <row r="42364" ht="14.25" customHeight="1">
      <c r="A42364" s="740"/>
    </row>
    <row r="42365" ht="14.25" customHeight="1">
      <c r="A42365" s="740"/>
    </row>
    <row r="42366" ht="14.25" customHeight="1">
      <c r="A42366" s="740"/>
    </row>
    <row r="42367" ht="14.25" customHeight="1">
      <c r="A42367" s="740"/>
    </row>
    <row r="42368" ht="14.25" customHeight="1">
      <c r="A42368" s="740"/>
    </row>
    <row r="42369" ht="14.25" customHeight="1">
      <c r="A42369" s="740"/>
    </row>
    <row r="42370" ht="14.25" customHeight="1">
      <c r="A42370" s="740"/>
    </row>
    <row r="42371" ht="14.25" customHeight="1">
      <c r="A42371" s="740"/>
    </row>
    <row r="42372" ht="14.25" customHeight="1">
      <c r="A42372" s="740"/>
    </row>
    <row r="42373" ht="14.25" customHeight="1">
      <c r="A42373" s="740"/>
    </row>
    <row r="42374" ht="14.25" customHeight="1">
      <c r="A42374" s="740"/>
    </row>
    <row r="42375" ht="14.25" customHeight="1">
      <c r="A42375" s="740"/>
    </row>
    <row r="42376" ht="14.25" customHeight="1">
      <c r="A42376" s="740"/>
    </row>
    <row r="42377" ht="14.25" customHeight="1">
      <c r="A42377" s="740"/>
    </row>
    <row r="42378" ht="14.25" customHeight="1">
      <c r="A42378" s="740"/>
    </row>
    <row r="42379" ht="14.25" customHeight="1">
      <c r="A42379" s="740"/>
    </row>
    <row r="42380" ht="14.25" customHeight="1">
      <c r="A42380" s="740"/>
    </row>
    <row r="42381" ht="14.25" customHeight="1">
      <c r="A42381" s="740"/>
    </row>
    <row r="42382" ht="14.25" customHeight="1">
      <c r="A42382" s="740"/>
    </row>
    <row r="42383" ht="14.25" customHeight="1">
      <c r="A42383" s="740"/>
    </row>
    <row r="42384" ht="14.25" customHeight="1">
      <c r="A42384" s="740"/>
    </row>
    <row r="42385" ht="14.25" customHeight="1">
      <c r="A42385" s="740"/>
    </row>
    <row r="42386" ht="14.25" customHeight="1">
      <c r="A42386" s="740"/>
    </row>
    <row r="42387" ht="14.25" customHeight="1">
      <c r="A42387" s="740"/>
    </row>
    <row r="42388" ht="14.25" customHeight="1">
      <c r="A42388" s="740"/>
    </row>
    <row r="42389" ht="14.25" customHeight="1">
      <c r="A42389" s="740"/>
    </row>
    <row r="42390" ht="14.25" customHeight="1">
      <c r="A42390" s="740"/>
    </row>
    <row r="42391" ht="14.25" customHeight="1">
      <c r="A42391" s="740"/>
    </row>
    <row r="42392" ht="14.25" customHeight="1">
      <c r="A42392" s="740"/>
    </row>
    <row r="42393" ht="14.25" customHeight="1">
      <c r="A42393" s="740"/>
    </row>
    <row r="42394" ht="14.25" customHeight="1">
      <c r="A42394" s="740"/>
    </row>
    <row r="42395" ht="14.25" customHeight="1">
      <c r="A42395" s="740"/>
    </row>
    <row r="42396" ht="14.25" customHeight="1">
      <c r="A42396" s="740"/>
    </row>
    <row r="42397" ht="14.25" customHeight="1">
      <c r="A42397" s="740"/>
    </row>
    <row r="42398" ht="14.25" customHeight="1">
      <c r="A42398" s="740"/>
    </row>
    <row r="42399" ht="14.25" customHeight="1">
      <c r="A42399" s="740"/>
    </row>
    <row r="42400" ht="14.25" customHeight="1">
      <c r="A42400" s="740"/>
    </row>
    <row r="42401" ht="14.25" customHeight="1">
      <c r="A42401" s="740"/>
    </row>
    <row r="42402" ht="14.25" customHeight="1">
      <c r="A42402" s="740"/>
    </row>
    <row r="42403" ht="14.25" customHeight="1">
      <c r="A42403" s="740"/>
    </row>
    <row r="42404" ht="14.25" customHeight="1">
      <c r="A42404" s="740"/>
    </row>
    <row r="42405" ht="14.25" customHeight="1">
      <c r="A42405" s="740"/>
    </row>
    <row r="42406" ht="14.25" customHeight="1">
      <c r="A42406" s="740"/>
    </row>
    <row r="42407" ht="14.25" customHeight="1">
      <c r="A42407" s="740"/>
    </row>
    <row r="42408" ht="14.25" customHeight="1">
      <c r="A42408" s="740"/>
    </row>
    <row r="42409" ht="14.25" customHeight="1">
      <c r="A42409" s="740"/>
    </row>
    <row r="42410" ht="14.25" customHeight="1">
      <c r="A42410" s="740"/>
    </row>
    <row r="42411" ht="14.25" customHeight="1">
      <c r="A42411" s="740"/>
    </row>
    <row r="42412" ht="14.25" customHeight="1">
      <c r="A42412" s="740"/>
    </row>
    <row r="42413" ht="14.25" customHeight="1">
      <c r="A42413" s="740"/>
    </row>
    <row r="42414" ht="14.25" customHeight="1">
      <c r="A42414" s="740"/>
    </row>
    <row r="42415" ht="14.25" customHeight="1">
      <c r="A42415" s="740"/>
    </row>
    <row r="42416" ht="14.25" customHeight="1">
      <c r="A42416" s="740"/>
    </row>
    <row r="42417" ht="14.25" customHeight="1">
      <c r="A42417" s="740"/>
    </row>
    <row r="42418" ht="14.25" customHeight="1">
      <c r="A42418" s="740"/>
    </row>
    <row r="42419" ht="14.25" customHeight="1">
      <c r="A42419" s="740"/>
    </row>
    <row r="42420" ht="14.25" customHeight="1">
      <c r="A42420" s="740"/>
    </row>
    <row r="42421" ht="14.25" customHeight="1">
      <c r="A42421" s="740"/>
    </row>
    <row r="42422" ht="14.25" customHeight="1">
      <c r="A42422" s="740"/>
    </row>
    <row r="42423" ht="14.25" customHeight="1">
      <c r="A42423" s="740"/>
    </row>
    <row r="42424" ht="14.25" customHeight="1">
      <c r="A42424" s="740"/>
    </row>
    <row r="42425" ht="14.25" customHeight="1">
      <c r="A42425" s="740"/>
    </row>
    <row r="42426" ht="14.25" customHeight="1">
      <c r="A42426" s="740"/>
    </row>
    <row r="42427" ht="14.25" customHeight="1">
      <c r="A42427" s="740"/>
    </row>
    <row r="42428" ht="14.25" customHeight="1">
      <c r="A42428" s="740"/>
    </row>
    <row r="42429" ht="14.25" customHeight="1">
      <c r="A42429" s="740"/>
    </row>
    <row r="42430" ht="14.25" customHeight="1">
      <c r="A42430" s="740"/>
    </row>
    <row r="42431" ht="14.25" customHeight="1">
      <c r="A42431" s="740"/>
    </row>
    <row r="42432" ht="14.25" customHeight="1">
      <c r="A42432" s="740"/>
    </row>
    <row r="42433" ht="14.25" customHeight="1">
      <c r="A42433" s="740"/>
    </row>
    <row r="42434" ht="14.25" customHeight="1">
      <c r="A42434" s="740"/>
    </row>
    <row r="42435" ht="14.25" customHeight="1">
      <c r="A42435" s="740"/>
    </row>
    <row r="42436" ht="14.25" customHeight="1">
      <c r="A42436" s="740"/>
    </row>
    <row r="42437" ht="14.25" customHeight="1">
      <c r="A42437" s="740"/>
    </row>
    <row r="42438" ht="14.25" customHeight="1">
      <c r="A42438" s="740"/>
    </row>
    <row r="42439" ht="14.25" customHeight="1">
      <c r="A42439" s="740"/>
    </row>
    <row r="42440" ht="14.25" customHeight="1">
      <c r="A42440" s="740"/>
    </row>
    <row r="42441" ht="14.25" customHeight="1">
      <c r="A42441" s="740"/>
    </row>
    <row r="42442" ht="14.25" customHeight="1">
      <c r="A42442" s="740"/>
    </row>
    <row r="42443" ht="14.25" customHeight="1">
      <c r="A42443" s="740"/>
    </row>
    <row r="42444" ht="14.25" customHeight="1">
      <c r="A42444" s="740"/>
    </row>
    <row r="42445" ht="14.25" customHeight="1">
      <c r="A42445" s="740"/>
    </row>
    <row r="42446" ht="14.25" customHeight="1">
      <c r="A42446" s="740"/>
    </row>
    <row r="42447" ht="14.25" customHeight="1">
      <c r="A42447" s="740"/>
    </row>
    <row r="42448" ht="14.25" customHeight="1">
      <c r="A42448" s="740"/>
    </row>
    <row r="42449" ht="14.25" customHeight="1">
      <c r="A42449" s="740"/>
    </row>
    <row r="42450" ht="14.25" customHeight="1">
      <c r="A42450" s="740"/>
    </row>
    <row r="42451" ht="14.25" customHeight="1">
      <c r="A42451" s="740"/>
    </row>
    <row r="42452" ht="14.25" customHeight="1">
      <c r="A42452" s="740"/>
    </row>
    <row r="42453" ht="14.25" customHeight="1">
      <c r="A42453" s="740"/>
    </row>
    <row r="42454" ht="14.25" customHeight="1">
      <c r="A42454" s="740"/>
    </row>
    <row r="42455" ht="14.25" customHeight="1">
      <c r="A42455" s="740"/>
    </row>
    <row r="42456" ht="14.25" customHeight="1">
      <c r="A42456" s="740"/>
    </row>
    <row r="42457" ht="14.25" customHeight="1">
      <c r="A42457" s="740"/>
    </row>
    <row r="42458" ht="14.25" customHeight="1">
      <c r="A42458" s="740"/>
    </row>
    <row r="42459" ht="14.25" customHeight="1">
      <c r="A42459" s="740"/>
    </row>
    <row r="42460" ht="14.25" customHeight="1">
      <c r="A42460" s="740"/>
    </row>
    <row r="42461" ht="14.25" customHeight="1">
      <c r="A42461" s="740"/>
    </row>
    <row r="42462" ht="14.25" customHeight="1">
      <c r="A42462" s="740"/>
    </row>
    <row r="42463" ht="14.25" customHeight="1">
      <c r="A42463" s="740"/>
    </row>
    <row r="42464" ht="14.25" customHeight="1">
      <c r="A42464" s="740"/>
    </row>
    <row r="42465" ht="14.25" customHeight="1">
      <c r="A42465" s="740"/>
    </row>
    <row r="42466" ht="14.25" customHeight="1">
      <c r="A42466" s="740"/>
    </row>
    <row r="42467" ht="14.25" customHeight="1">
      <c r="A42467" s="740"/>
    </row>
    <row r="42468" ht="14.25" customHeight="1">
      <c r="A42468" s="740"/>
    </row>
    <row r="42469" ht="14.25" customHeight="1">
      <c r="A42469" s="740"/>
    </row>
    <row r="42470" ht="14.25" customHeight="1">
      <c r="A42470" s="740"/>
    </row>
    <row r="42471" ht="14.25" customHeight="1">
      <c r="A42471" s="740"/>
    </row>
    <row r="42472" ht="14.25" customHeight="1">
      <c r="A42472" s="740"/>
    </row>
    <row r="42473" ht="14.25" customHeight="1">
      <c r="A42473" s="740"/>
    </row>
    <row r="42474" ht="14.25" customHeight="1">
      <c r="A42474" s="740"/>
    </row>
    <row r="42475" ht="14.25" customHeight="1">
      <c r="A42475" s="740"/>
    </row>
    <row r="42476" ht="14.25" customHeight="1">
      <c r="A42476" s="740"/>
    </row>
    <row r="42477" ht="14.25" customHeight="1">
      <c r="A42477" s="740"/>
    </row>
    <row r="42478" ht="14.25" customHeight="1">
      <c r="A42478" s="740"/>
    </row>
    <row r="42479" ht="14.25" customHeight="1">
      <c r="A42479" s="740"/>
    </row>
    <row r="42480" ht="14.25" customHeight="1">
      <c r="A42480" s="740"/>
    </row>
    <row r="42481" ht="14.25" customHeight="1">
      <c r="A42481" s="740"/>
    </row>
    <row r="42482" ht="14.25" customHeight="1">
      <c r="A42482" s="740"/>
    </row>
    <row r="42483" ht="14.25" customHeight="1">
      <c r="A42483" s="740"/>
    </row>
    <row r="42484" ht="14.25" customHeight="1">
      <c r="A42484" s="740"/>
    </row>
    <row r="42485" ht="14.25" customHeight="1">
      <c r="A42485" s="740"/>
    </row>
    <row r="42486" ht="14.25" customHeight="1">
      <c r="A42486" s="740"/>
    </row>
    <row r="42487" ht="14.25" customHeight="1">
      <c r="A42487" s="740"/>
    </row>
    <row r="42488" ht="14.25" customHeight="1">
      <c r="A42488" s="740"/>
    </row>
    <row r="42489" ht="14.25" customHeight="1">
      <c r="A42489" s="740"/>
    </row>
    <row r="42490" ht="14.25" customHeight="1">
      <c r="A42490" s="740"/>
    </row>
    <row r="42491" ht="14.25" customHeight="1">
      <c r="A42491" s="740"/>
    </row>
    <row r="42492" ht="14.25" customHeight="1">
      <c r="A42492" s="740"/>
    </row>
    <row r="42493" ht="14.25" customHeight="1">
      <c r="A42493" s="740"/>
    </row>
    <row r="42494" ht="14.25" customHeight="1">
      <c r="A42494" s="740"/>
    </row>
    <row r="42495" ht="14.25" customHeight="1">
      <c r="A42495" s="740"/>
    </row>
    <row r="42496" ht="14.25" customHeight="1">
      <c r="A42496" s="740"/>
    </row>
    <row r="42497" ht="14.25" customHeight="1">
      <c r="A42497" s="740"/>
    </row>
    <row r="42498" ht="14.25" customHeight="1">
      <c r="A42498" s="740"/>
    </row>
    <row r="42499" ht="14.25" customHeight="1">
      <c r="A42499" s="740"/>
    </row>
    <row r="42500" ht="14.25" customHeight="1">
      <c r="A42500" s="740"/>
    </row>
    <row r="42501" ht="14.25" customHeight="1">
      <c r="A42501" s="740"/>
    </row>
    <row r="42502" ht="14.25" customHeight="1">
      <c r="A42502" s="740"/>
    </row>
    <row r="42503" ht="14.25" customHeight="1">
      <c r="A42503" s="740"/>
    </row>
    <row r="42504" ht="14.25" customHeight="1">
      <c r="A42504" s="740"/>
    </row>
    <row r="42505" ht="14.25" customHeight="1">
      <c r="A42505" s="740"/>
    </row>
    <row r="42506" ht="14.25" customHeight="1">
      <c r="A42506" s="740"/>
    </row>
    <row r="42507" ht="14.25" customHeight="1">
      <c r="A42507" s="740"/>
    </row>
    <row r="42508" ht="14.25" customHeight="1">
      <c r="A42508" s="740"/>
    </row>
    <row r="42509" ht="14.25" customHeight="1">
      <c r="A42509" s="740"/>
    </row>
    <row r="42510" ht="14.25" customHeight="1">
      <c r="A42510" s="740"/>
    </row>
    <row r="42511" ht="14.25" customHeight="1">
      <c r="A42511" s="740"/>
    </row>
    <row r="42512" ht="14.25" customHeight="1">
      <c r="A42512" s="740"/>
    </row>
    <row r="42513" ht="14.25" customHeight="1">
      <c r="A42513" s="740"/>
    </row>
    <row r="42514" ht="14.25" customHeight="1">
      <c r="A42514" s="740"/>
    </row>
    <row r="42515" ht="14.25" customHeight="1">
      <c r="A42515" s="740"/>
    </row>
    <row r="42516" ht="14.25" customHeight="1">
      <c r="A42516" s="740"/>
    </row>
    <row r="42517" ht="14.25" customHeight="1">
      <c r="A42517" s="740"/>
    </row>
    <row r="42518" ht="14.25" customHeight="1">
      <c r="A42518" s="740"/>
    </row>
    <row r="42519" ht="14.25" customHeight="1">
      <c r="A42519" s="740"/>
    </row>
    <row r="42520" ht="14.25" customHeight="1">
      <c r="A42520" s="740"/>
    </row>
    <row r="42521" ht="14.25" customHeight="1">
      <c r="A42521" s="740"/>
    </row>
    <row r="42522" ht="14.25" customHeight="1">
      <c r="A42522" s="740"/>
    </row>
    <row r="42523" ht="14.25" customHeight="1">
      <c r="A42523" s="740"/>
    </row>
    <row r="42524" ht="14.25" customHeight="1">
      <c r="A42524" s="740"/>
    </row>
    <row r="42525" ht="14.25" customHeight="1">
      <c r="A42525" s="740"/>
    </row>
    <row r="42526" ht="14.25" customHeight="1">
      <c r="A42526" s="740"/>
    </row>
    <row r="42527" ht="14.25" customHeight="1">
      <c r="A42527" s="740"/>
    </row>
    <row r="42528" ht="14.25" customHeight="1">
      <c r="A42528" s="740"/>
    </row>
    <row r="42529" ht="14.25" customHeight="1">
      <c r="A42529" s="740"/>
    </row>
    <row r="42530" ht="14.25" customHeight="1">
      <c r="A42530" s="740"/>
    </row>
    <row r="42531" ht="14.25" customHeight="1">
      <c r="A42531" s="740"/>
    </row>
    <row r="42532" ht="14.25" customHeight="1">
      <c r="A42532" s="740"/>
    </row>
    <row r="42533" ht="14.25" customHeight="1">
      <c r="A42533" s="740"/>
    </row>
    <row r="42534" ht="14.25" customHeight="1">
      <c r="A42534" s="740"/>
    </row>
    <row r="42535" ht="14.25" customHeight="1">
      <c r="A42535" s="740"/>
    </row>
    <row r="42536" ht="14.25" customHeight="1">
      <c r="A42536" s="740"/>
    </row>
    <row r="42537" ht="14.25" customHeight="1">
      <c r="A42537" s="740"/>
    </row>
    <row r="42538" ht="14.25" customHeight="1">
      <c r="A42538" s="740"/>
    </row>
    <row r="42539" ht="14.25" customHeight="1">
      <c r="A42539" s="740"/>
    </row>
    <row r="42540" ht="14.25" customHeight="1">
      <c r="A42540" s="740"/>
    </row>
    <row r="42541" ht="14.25" customHeight="1">
      <c r="A42541" s="740"/>
    </row>
    <row r="42542" ht="14.25" customHeight="1">
      <c r="A42542" s="740"/>
    </row>
    <row r="42543" ht="14.25" customHeight="1">
      <c r="A42543" s="740"/>
    </row>
    <row r="42544" ht="14.25" customHeight="1">
      <c r="A42544" s="740"/>
    </row>
    <row r="42545" ht="14.25" customHeight="1">
      <c r="A42545" s="740"/>
    </row>
    <row r="42546" ht="14.25" customHeight="1">
      <c r="A42546" s="740"/>
    </row>
    <row r="42547" ht="14.25" customHeight="1">
      <c r="A42547" s="740"/>
    </row>
    <row r="42548" ht="14.25" customHeight="1">
      <c r="A42548" s="740"/>
    </row>
    <row r="42549" ht="14.25" customHeight="1">
      <c r="A42549" s="740"/>
    </row>
    <row r="42550" ht="14.25" customHeight="1">
      <c r="A42550" s="740"/>
    </row>
    <row r="42551" ht="14.25" customHeight="1">
      <c r="A42551" s="740"/>
    </row>
    <row r="42552" ht="14.25" customHeight="1">
      <c r="A42552" s="740"/>
    </row>
    <row r="42553" ht="14.25" customHeight="1">
      <c r="A42553" s="740"/>
    </row>
    <row r="42554" ht="14.25" customHeight="1">
      <c r="A42554" s="740"/>
    </row>
    <row r="42555" ht="14.25" customHeight="1">
      <c r="A42555" s="740"/>
    </row>
    <row r="42556" ht="14.25" customHeight="1">
      <c r="A42556" s="740"/>
    </row>
    <row r="42557" ht="14.25" customHeight="1">
      <c r="A42557" s="740"/>
    </row>
    <row r="42558" ht="14.25" customHeight="1">
      <c r="A42558" s="740"/>
    </row>
    <row r="42559" ht="14.25" customHeight="1">
      <c r="A42559" s="740"/>
    </row>
    <row r="42560" ht="14.25" customHeight="1">
      <c r="A42560" s="740"/>
    </row>
    <row r="42561" ht="14.25" customHeight="1">
      <c r="A42561" s="740"/>
    </row>
    <row r="42562" ht="14.25" customHeight="1">
      <c r="A42562" s="740"/>
    </row>
    <row r="42563" ht="14.25" customHeight="1">
      <c r="A42563" s="740"/>
    </row>
    <row r="42564" ht="14.25" customHeight="1">
      <c r="A42564" s="740"/>
    </row>
    <row r="42565" ht="14.25" customHeight="1">
      <c r="A42565" s="740"/>
    </row>
    <row r="42566" ht="14.25" customHeight="1">
      <c r="A42566" s="740"/>
    </row>
    <row r="42567" ht="14.25" customHeight="1">
      <c r="A42567" s="740"/>
    </row>
    <row r="42568" ht="14.25" customHeight="1">
      <c r="A42568" s="740"/>
    </row>
    <row r="42569" ht="14.25" customHeight="1">
      <c r="A42569" s="740"/>
    </row>
    <row r="42570" ht="14.25" customHeight="1">
      <c r="A42570" s="740"/>
    </row>
    <row r="42571" ht="14.25" customHeight="1">
      <c r="A42571" s="740"/>
    </row>
    <row r="42572" ht="14.25" customHeight="1">
      <c r="A42572" s="740"/>
    </row>
    <row r="42573" ht="14.25" customHeight="1">
      <c r="A42573" s="740"/>
    </row>
    <row r="42574" ht="14.25" customHeight="1">
      <c r="A42574" s="740"/>
    </row>
    <row r="42575" ht="14.25" customHeight="1">
      <c r="A42575" s="740"/>
    </row>
    <row r="42576" ht="14.25" customHeight="1">
      <c r="A42576" s="740"/>
    </row>
    <row r="42577" ht="14.25" customHeight="1">
      <c r="A42577" s="740"/>
    </row>
    <row r="42578" ht="14.25" customHeight="1">
      <c r="A42578" s="740"/>
    </row>
    <row r="42579" ht="14.25" customHeight="1">
      <c r="A42579" s="740"/>
    </row>
    <row r="42580" ht="14.25" customHeight="1">
      <c r="A42580" s="740"/>
    </row>
    <row r="42581" ht="14.25" customHeight="1">
      <c r="A42581" s="740"/>
    </row>
    <row r="42582" ht="14.25" customHeight="1">
      <c r="A42582" s="740"/>
    </row>
    <row r="42583" ht="14.25" customHeight="1">
      <c r="A42583" s="740"/>
    </row>
    <row r="42584" ht="14.25" customHeight="1">
      <c r="A42584" s="740"/>
    </row>
    <row r="42585" ht="14.25" customHeight="1">
      <c r="A42585" s="740"/>
    </row>
    <row r="42586" ht="14.25" customHeight="1">
      <c r="A42586" s="740"/>
    </row>
    <row r="42587" ht="14.25" customHeight="1">
      <c r="A42587" s="740"/>
    </row>
    <row r="42588" ht="14.25" customHeight="1">
      <c r="A42588" s="740"/>
    </row>
    <row r="42589" ht="14.25" customHeight="1">
      <c r="A42589" s="740"/>
    </row>
    <row r="42590" ht="14.25" customHeight="1">
      <c r="A42590" s="740"/>
    </row>
    <row r="42591" ht="14.25" customHeight="1">
      <c r="A42591" s="740"/>
    </row>
    <row r="42592" ht="14.25" customHeight="1">
      <c r="A42592" s="740"/>
    </row>
    <row r="42593" ht="14.25" customHeight="1">
      <c r="A42593" s="740"/>
    </row>
    <row r="42594" ht="14.25" customHeight="1">
      <c r="A42594" s="740"/>
    </row>
    <row r="42595" ht="14.25" customHeight="1">
      <c r="A42595" s="740"/>
    </row>
    <row r="42596" ht="14.25" customHeight="1">
      <c r="A42596" s="740"/>
    </row>
    <row r="42597" ht="14.25" customHeight="1">
      <c r="A42597" s="740"/>
    </row>
    <row r="42598" ht="14.25" customHeight="1">
      <c r="A42598" s="740"/>
    </row>
    <row r="42599" ht="14.25" customHeight="1">
      <c r="A42599" s="740"/>
    </row>
    <row r="42600" ht="14.25" customHeight="1">
      <c r="A42600" s="740"/>
    </row>
    <row r="42601" ht="14.25" customHeight="1">
      <c r="A42601" s="740"/>
    </row>
    <row r="42602" ht="14.25" customHeight="1">
      <c r="A42602" s="740"/>
    </row>
    <row r="42603" ht="14.25" customHeight="1">
      <c r="A42603" s="740"/>
    </row>
    <row r="42604" ht="14.25" customHeight="1">
      <c r="A42604" s="740"/>
    </row>
    <row r="42605" ht="14.25" customHeight="1">
      <c r="A42605" s="740"/>
    </row>
    <row r="42606" ht="14.25" customHeight="1">
      <c r="A42606" s="740"/>
    </row>
    <row r="42607" ht="14.25" customHeight="1">
      <c r="A42607" s="740"/>
    </row>
    <row r="42608" ht="14.25" customHeight="1">
      <c r="A42608" s="740"/>
    </row>
    <row r="42609" ht="14.25" customHeight="1">
      <c r="A42609" s="740"/>
    </row>
    <row r="42610" ht="14.25" customHeight="1">
      <c r="A42610" s="740"/>
    </row>
    <row r="42611" ht="14.25" customHeight="1">
      <c r="A42611" s="740"/>
    </row>
    <row r="42612" ht="14.25" customHeight="1">
      <c r="A42612" s="740"/>
    </row>
    <row r="42613" ht="14.25" customHeight="1">
      <c r="A42613" s="740"/>
    </row>
    <row r="42614" ht="14.25" customHeight="1">
      <c r="A42614" s="740"/>
    </row>
    <row r="42615" ht="14.25" customHeight="1">
      <c r="A42615" s="740"/>
    </row>
    <row r="42616" ht="14.25" customHeight="1">
      <c r="A42616" s="740"/>
    </row>
    <row r="42617" ht="14.25" customHeight="1">
      <c r="A42617" s="740"/>
    </row>
    <row r="42618" ht="14.25" customHeight="1">
      <c r="A42618" s="740"/>
    </row>
    <row r="42619" ht="14.25" customHeight="1">
      <c r="A42619" s="740"/>
    </row>
    <row r="42620" ht="14.25" customHeight="1">
      <c r="A42620" s="740"/>
    </row>
    <row r="42621" ht="14.25" customHeight="1">
      <c r="A42621" s="740"/>
    </row>
    <row r="42622" ht="14.25" customHeight="1">
      <c r="A42622" s="740"/>
    </row>
    <row r="42623" ht="14.25" customHeight="1">
      <c r="A42623" s="740"/>
    </row>
    <row r="42624" ht="14.25" customHeight="1">
      <c r="A42624" s="740"/>
    </row>
    <row r="42625" ht="14.25" customHeight="1">
      <c r="A42625" s="740"/>
    </row>
    <row r="42626" ht="14.25" customHeight="1">
      <c r="A42626" s="740"/>
    </row>
    <row r="42627" ht="14.25" customHeight="1">
      <c r="A42627" s="740"/>
    </row>
    <row r="42628" ht="14.25" customHeight="1">
      <c r="A42628" s="740"/>
    </row>
    <row r="42629" ht="14.25" customHeight="1">
      <c r="A42629" s="740"/>
    </row>
    <row r="42630" ht="14.25" customHeight="1">
      <c r="A42630" s="740"/>
    </row>
    <row r="42631" ht="14.25" customHeight="1">
      <c r="A42631" s="740"/>
    </row>
    <row r="42632" ht="14.25" customHeight="1">
      <c r="A42632" s="740"/>
    </row>
    <row r="42633" ht="14.25" customHeight="1">
      <c r="A42633" s="740"/>
    </row>
    <row r="42634" ht="14.25" customHeight="1">
      <c r="A42634" s="740"/>
    </row>
    <row r="42635" ht="14.25" customHeight="1">
      <c r="A42635" s="740"/>
    </row>
    <row r="42636" ht="14.25" customHeight="1">
      <c r="A42636" s="740"/>
    </row>
    <row r="42637" ht="14.25" customHeight="1">
      <c r="A42637" s="740"/>
    </row>
    <row r="42638" ht="14.25" customHeight="1">
      <c r="A42638" s="740"/>
    </row>
    <row r="42639" ht="14.25" customHeight="1">
      <c r="A42639" s="740"/>
    </row>
    <row r="42640" ht="14.25" customHeight="1">
      <c r="A42640" s="740"/>
    </row>
    <row r="42641" ht="14.25" customHeight="1">
      <c r="A42641" s="740"/>
    </row>
    <row r="42642" ht="14.25" customHeight="1">
      <c r="A42642" s="740"/>
    </row>
    <row r="42643" ht="14.25" customHeight="1">
      <c r="A42643" s="740"/>
    </row>
    <row r="42644" ht="14.25" customHeight="1">
      <c r="A42644" s="740"/>
    </row>
    <row r="42645" ht="14.25" customHeight="1">
      <c r="A42645" s="740"/>
    </row>
    <row r="42646" ht="14.25" customHeight="1">
      <c r="A42646" s="740"/>
    </row>
    <row r="42647" ht="14.25" customHeight="1">
      <c r="A42647" s="740"/>
    </row>
    <row r="42648" ht="14.25" customHeight="1">
      <c r="A42648" s="740"/>
    </row>
    <row r="42649" ht="14.25" customHeight="1">
      <c r="A42649" s="740"/>
    </row>
    <row r="42650" ht="14.25" customHeight="1">
      <c r="A42650" s="740"/>
    </row>
    <row r="42651" ht="14.25" customHeight="1">
      <c r="A42651" s="740"/>
    </row>
    <row r="42652" ht="14.25" customHeight="1">
      <c r="A42652" s="740"/>
    </row>
    <row r="42653" ht="14.25" customHeight="1">
      <c r="A42653" s="740"/>
    </row>
    <row r="42654" ht="14.25" customHeight="1">
      <c r="A42654" s="740"/>
    </row>
    <row r="42655" ht="14.25" customHeight="1">
      <c r="A42655" s="740"/>
    </row>
    <row r="42656" ht="14.25" customHeight="1">
      <c r="A42656" s="740"/>
    </row>
    <row r="42657" ht="14.25" customHeight="1">
      <c r="A42657" s="740"/>
    </row>
    <row r="42658" ht="14.25" customHeight="1">
      <c r="A42658" s="740"/>
    </row>
    <row r="42659" ht="14.25" customHeight="1">
      <c r="A42659" s="740"/>
    </row>
    <row r="42660" ht="14.25" customHeight="1">
      <c r="A42660" s="740"/>
    </row>
    <row r="42661" ht="14.25" customHeight="1">
      <c r="A42661" s="740"/>
    </row>
    <row r="42662" ht="14.25" customHeight="1">
      <c r="A42662" s="740"/>
    </row>
    <row r="42663" ht="14.25" customHeight="1">
      <c r="A42663" s="740"/>
    </row>
    <row r="42664" ht="14.25" customHeight="1">
      <c r="A42664" s="740"/>
    </row>
    <row r="42665" ht="14.25" customHeight="1">
      <c r="A42665" s="740"/>
    </row>
    <row r="42666" ht="14.25" customHeight="1">
      <c r="A42666" s="740"/>
    </row>
    <row r="42667" ht="14.25" customHeight="1">
      <c r="A42667" s="740"/>
    </row>
    <row r="42668" ht="14.25" customHeight="1">
      <c r="A42668" s="740"/>
    </row>
    <row r="42669" ht="14.25" customHeight="1">
      <c r="A42669" s="740"/>
    </row>
    <row r="42670" ht="14.25" customHeight="1">
      <c r="A42670" s="740"/>
    </row>
    <row r="42671" ht="14.25" customHeight="1">
      <c r="A42671" s="740"/>
    </row>
    <row r="42672" ht="14.25" customHeight="1">
      <c r="A42672" s="740"/>
    </row>
    <row r="42673" ht="14.25" customHeight="1">
      <c r="A42673" s="740"/>
    </row>
    <row r="42674" ht="14.25" customHeight="1">
      <c r="A42674" s="740"/>
    </row>
    <row r="42675" ht="14.25" customHeight="1">
      <c r="A42675" s="740"/>
    </row>
    <row r="42676" ht="14.25" customHeight="1">
      <c r="A42676" s="740"/>
    </row>
    <row r="42677" ht="14.25" customHeight="1">
      <c r="A42677" s="740"/>
    </row>
    <row r="42678" ht="14.25" customHeight="1">
      <c r="A42678" s="740"/>
    </row>
    <row r="42679" ht="14.25" customHeight="1">
      <c r="A42679" s="740"/>
    </row>
    <row r="42680" ht="14.25" customHeight="1">
      <c r="A42680" s="740"/>
    </row>
    <row r="42681" ht="14.25" customHeight="1">
      <c r="A42681" s="740"/>
    </row>
    <row r="42682" ht="14.25" customHeight="1">
      <c r="A42682" s="740"/>
    </row>
    <row r="42683" ht="14.25" customHeight="1">
      <c r="A42683" s="740"/>
    </row>
    <row r="42684" ht="14.25" customHeight="1">
      <c r="A42684" s="740"/>
    </row>
    <row r="42685" ht="14.25" customHeight="1">
      <c r="A42685" s="740"/>
    </row>
    <row r="42686" ht="14.25" customHeight="1">
      <c r="A42686" s="740"/>
    </row>
    <row r="42687" ht="14.25" customHeight="1">
      <c r="A42687" s="740"/>
    </row>
    <row r="42688" ht="14.25" customHeight="1">
      <c r="A42688" s="740"/>
    </row>
    <row r="42689" ht="14.25" customHeight="1">
      <c r="A42689" s="740"/>
    </row>
    <row r="42690" ht="14.25" customHeight="1">
      <c r="A42690" s="740"/>
    </row>
    <row r="42691" ht="14.25" customHeight="1">
      <c r="A42691" s="740"/>
    </row>
    <row r="42692" ht="14.25" customHeight="1">
      <c r="A42692" s="740"/>
    </row>
    <row r="42693" ht="14.25" customHeight="1">
      <c r="A42693" s="740"/>
    </row>
    <row r="42694" ht="14.25" customHeight="1">
      <c r="A42694" s="740"/>
    </row>
    <row r="42695" ht="14.25" customHeight="1">
      <c r="A42695" s="740"/>
    </row>
    <row r="42696" ht="14.25" customHeight="1">
      <c r="A42696" s="740"/>
    </row>
    <row r="42697" ht="14.25" customHeight="1">
      <c r="A42697" s="740"/>
    </row>
    <row r="42698" ht="14.25" customHeight="1">
      <c r="A42698" s="740"/>
    </row>
    <row r="42699" ht="14.25" customHeight="1">
      <c r="A42699" s="740"/>
    </row>
    <row r="42700" ht="14.25" customHeight="1">
      <c r="A42700" s="740"/>
    </row>
    <row r="42701" ht="14.25" customHeight="1">
      <c r="A42701" s="740"/>
    </row>
    <row r="42702" ht="14.25" customHeight="1">
      <c r="A42702" s="740"/>
    </row>
    <row r="42703" ht="14.25" customHeight="1">
      <c r="A42703" s="740"/>
    </row>
    <row r="42704" ht="14.25" customHeight="1">
      <c r="A42704" s="740"/>
    </row>
    <row r="42705" ht="14.25" customHeight="1">
      <c r="A42705" s="740"/>
    </row>
    <row r="42706" ht="14.25" customHeight="1">
      <c r="A42706" s="740"/>
    </row>
    <row r="42707" ht="14.25" customHeight="1">
      <c r="A42707" s="740"/>
    </row>
    <row r="42708" ht="14.25" customHeight="1">
      <c r="A42708" s="740"/>
    </row>
    <row r="42709" ht="14.25" customHeight="1">
      <c r="A42709" s="740"/>
    </row>
    <row r="42710" ht="14.25" customHeight="1">
      <c r="A42710" s="740"/>
    </row>
    <row r="42711" ht="14.25" customHeight="1">
      <c r="A42711" s="740"/>
    </row>
    <row r="42712" ht="14.25" customHeight="1">
      <c r="A42712" s="740"/>
    </row>
    <row r="42713" ht="14.25" customHeight="1">
      <c r="A42713" s="740"/>
    </row>
    <row r="42714" ht="14.25" customHeight="1">
      <c r="A42714" s="740"/>
    </row>
    <row r="42715" ht="14.25" customHeight="1">
      <c r="A42715" s="740"/>
    </row>
    <row r="42716" ht="14.25" customHeight="1">
      <c r="A42716" s="740"/>
    </row>
    <row r="42717" ht="14.25" customHeight="1">
      <c r="A42717" s="740"/>
    </row>
    <row r="42718" ht="14.25" customHeight="1">
      <c r="A42718" s="740"/>
    </row>
    <row r="42719" ht="14.25" customHeight="1">
      <c r="A42719" s="740"/>
    </row>
    <row r="42720" ht="14.25" customHeight="1">
      <c r="A42720" s="740"/>
    </row>
    <row r="42721" ht="14.25" customHeight="1">
      <c r="A42721" s="740"/>
    </row>
    <row r="42722" ht="14.25" customHeight="1">
      <c r="A42722" s="740"/>
    </row>
    <row r="42723" ht="14.25" customHeight="1">
      <c r="A42723" s="740"/>
    </row>
    <row r="42724" ht="14.25" customHeight="1">
      <c r="A42724" s="740"/>
    </row>
    <row r="42725" ht="14.25" customHeight="1">
      <c r="A42725" s="740"/>
    </row>
    <row r="42726" ht="14.25" customHeight="1">
      <c r="A42726" s="740"/>
    </row>
    <row r="42727" ht="14.25" customHeight="1">
      <c r="A42727" s="740"/>
    </row>
    <row r="42728" ht="14.25" customHeight="1">
      <c r="A42728" s="740"/>
    </row>
    <row r="42729" ht="14.25" customHeight="1">
      <c r="A42729" s="740"/>
    </row>
    <row r="42730" ht="14.25" customHeight="1">
      <c r="A42730" s="740"/>
    </row>
    <row r="42731" ht="14.25" customHeight="1">
      <c r="A42731" s="740"/>
    </row>
    <row r="42732" ht="14.25" customHeight="1">
      <c r="A42732" s="740"/>
    </row>
    <row r="42733" ht="14.25" customHeight="1">
      <c r="A42733" s="740"/>
    </row>
    <row r="42734" ht="14.25" customHeight="1">
      <c r="A42734" s="740"/>
    </row>
    <row r="42735" ht="14.25" customHeight="1">
      <c r="A42735" s="740"/>
    </row>
    <row r="42736" ht="14.25" customHeight="1">
      <c r="A42736" s="740"/>
    </row>
    <row r="42737" ht="14.25" customHeight="1">
      <c r="A42737" s="740"/>
    </row>
    <row r="42738" ht="14.25" customHeight="1">
      <c r="A42738" s="740"/>
    </row>
    <row r="42739" ht="14.25" customHeight="1">
      <c r="A42739" s="740"/>
    </row>
    <row r="42740" ht="14.25" customHeight="1">
      <c r="A42740" s="740"/>
    </row>
    <row r="42741" ht="14.25" customHeight="1">
      <c r="A42741" s="740"/>
    </row>
    <row r="42742" ht="14.25" customHeight="1">
      <c r="A42742" s="740"/>
    </row>
    <row r="42743" ht="14.25" customHeight="1">
      <c r="A42743" s="740"/>
    </row>
    <row r="42744" ht="14.25" customHeight="1">
      <c r="A42744" s="740"/>
    </row>
    <row r="42745" ht="14.25" customHeight="1">
      <c r="A42745" s="740"/>
    </row>
    <row r="42746" ht="14.25" customHeight="1">
      <c r="A42746" s="740"/>
    </row>
    <row r="42747" ht="14.25" customHeight="1">
      <c r="A42747" s="740"/>
    </row>
    <row r="42748" ht="14.25" customHeight="1">
      <c r="A42748" s="740"/>
    </row>
    <row r="42749" ht="14.25" customHeight="1">
      <c r="A42749" s="740"/>
    </row>
    <row r="42750" ht="14.25" customHeight="1">
      <c r="A42750" s="740"/>
    </row>
    <row r="42751" ht="14.25" customHeight="1">
      <c r="A42751" s="740"/>
    </row>
    <row r="42752" ht="14.25" customHeight="1">
      <c r="A42752" s="740"/>
    </row>
    <row r="42753" ht="14.25" customHeight="1">
      <c r="A42753" s="740"/>
    </row>
    <row r="42754" ht="14.25" customHeight="1">
      <c r="A42754" s="740"/>
    </row>
    <row r="42755" ht="14.25" customHeight="1">
      <c r="A42755" s="740"/>
    </row>
    <row r="42756" ht="14.25" customHeight="1">
      <c r="A42756" s="740"/>
    </row>
    <row r="42757" ht="14.25" customHeight="1">
      <c r="A42757" s="740"/>
    </row>
    <row r="42758" ht="14.25" customHeight="1">
      <c r="A42758" s="740"/>
    </row>
    <row r="42759" ht="14.25" customHeight="1">
      <c r="A42759" s="740"/>
    </row>
    <row r="42760" ht="14.25" customHeight="1">
      <c r="A42760" s="740"/>
    </row>
    <row r="42761" ht="14.25" customHeight="1">
      <c r="A42761" s="740"/>
    </row>
    <row r="42762" ht="14.25" customHeight="1">
      <c r="A42762" s="740"/>
    </row>
    <row r="42763" ht="14.25" customHeight="1">
      <c r="A42763" s="740"/>
    </row>
    <row r="42764" ht="14.25" customHeight="1">
      <c r="A42764" s="740"/>
    </row>
    <row r="42765" ht="14.25" customHeight="1">
      <c r="A42765" s="740"/>
    </row>
    <row r="42766" ht="14.25" customHeight="1">
      <c r="A42766" s="740"/>
    </row>
    <row r="42767" ht="14.25" customHeight="1">
      <c r="A42767" s="740"/>
    </row>
    <row r="42768" ht="14.25" customHeight="1">
      <c r="A42768" s="740"/>
    </row>
    <row r="42769" ht="14.25" customHeight="1">
      <c r="A42769" s="740"/>
    </row>
    <row r="42770" ht="14.25" customHeight="1">
      <c r="A42770" s="740"/>
    </row>
    <row r="42771" ht="14.25" customHeight="1">
      <c r="A42771" s="740"/>
    </row>
    <row r="42772" ht="14.25" customHeight="1">
      <c r="A42772" s="740"/>
    </row>
    <row r="42773" ht="14.25" customHeight="1">
      <c r="A42773" s="740"/>
    </row>
    <row r="42774" ht="14.25" customHeight="1">
      <c r="A42774" s="740"/>
    </row>
    <row r="42775" ht="14.25" customHeight="1">
      <c r="A42775" s="740"/>
    </row>
    <row r="42776" ht="14.25" customHeight="1">
      <c r="A42776" s="740"/>
    </row>
    <row r="42777" ht="14.25" customHeight="1">
      <c r="A42777" s="740"/>
    </row>
    <row r="42778" ht="14.25" customHeight="1">
      <c r="A42778" s="740"/>
    </row>
    <row r="42779" ht="14.25" customHeight="1">
      <c r="A42779" s="740"/>
    </row>
    <row r="42780" ht="14.25" customHeight="1">
      <c r="A42780" s="740"/>
    </row>
    <row r="42781" ht="14.25" customHeight="1">
      <c r="A42781" s="740"/>
    </row>
    <row r="42782" ht="14.25" customHeight="1">
      <c r="A42782" s="740"/>
    </row>
    <row r="42783" ht="14.25" customHeight="1">
      <c r="A42783" s="740"/>
    </row>
    <row r="42784" ht="14.25" customHeight="1">
      <c r="A42784" s="740"/>
    </row>
    <row r="42785" ht="14.25" customHeight="1">
      <c r="A42785" s="740"/>
    </row>
    <row r="42786" ht="14.25" customHeight="1">
      <c r="A42786" s="740"/>
    </row>
    <row r="42787" ht="14.25" customHeight="1">
      <c r="A42787" s="740"/>
    </row>
    <row r="42788" ht="14.25" customHeight="1">
      <c r="A42788" s="740"/>
    </row>
    <row r="42789" ht="14.25" customHeight="1">
      <c r="A42789" s="740"/>
    </row>
    <row r="42790" ht="14.25" customHeight="1">
      <c r="A42790" s="740"/>
    </row>
    <row r="42791" ht="14.25" customHeight="1">
      <c r="A42791" s="740"/>
    </row>
    <row r="42792" ht="14.25" customHeight="1">
      <c r="A42792" s="740"/>
    </row>
    <row r="42793" ht="14.25" customHeight="1">
      <c r="A42793" s="740"/>
    </row>
    <row r="42794" ht="14.25" customHeight="1">
      <c r="A42794" s="740"/>
    </row>
    <row r="42795" ht="14.25" customHeight="1">
      <c r="A42795" s="740"/>
    </row>
    <row r="42796" ht="14.25" customHeight="1">
      <c r="A42796" s="740"/>
    </row>
    <row r="42797" ht="14.25" customHeight="1">
      <c r="A42797" s="740"/>
    </row>
    <row r="42798" ht="14.25" customHeight="1">
      <c r="A42798" s="740"/>
    </row>
    <row r="42799" ht="14.25" customHeight="1">
      <c r="A42799" s="740"/>
    </row>
    <row r="42800" ht="14.25" customHeight="1">
      <c r="A42800" s="740"/>
    </row>
    <row r="42801" ht="14.25" customHeight="1">
      <c r="A42801" s="740"/>
    </row>
    <row r="42802" ht="14.25" customHeight="1">
      <c r="A42802" s="740"/>
    </row>
    <row r="42803" ht="14.25" customHeight="1">
      <c r="A42803" s="740"/>
    </row>
    <row r="42804" ht="14.25" customHeight="1">
      <c r="A42804" s="740"/>
    </row>
    <row r="42805" ht="14.25" customHeight="1">
      <c r="A42805" s="740"/>
    </row>
    <row r="42806" ht="14.25" customHeight="1">
      <c r="A42806" s="740"/>
    </row>
    <row r="42807" ht="14.25" customHeight="1">
      <c r="A42807" s="740"/>
    </row>
    <row r="42808" ht="14.25" customHeight="1">
      <c r="A42808" s="740"/>
    </row>
    <row r="42809" ht="14.25" customHeight="1">
      <c r="A42809" s="740"/>
    </row>
    <row r="42810" ht="14.25" customHeight="1">
      <c r="A42810" s="740"/>
    </row>
    <row r="42811" ht="14.25" customHeight="1">
      <c r="A42811" s="740"/>
    </row>
    <row r="42812" ht="14.25" customHeight="1">
      <c r="A42812" s="740"/>
    </row>
    <row r="42813" ht="14.25" customHeight="1">
      <c r="A42813" s="740"/>
    </row>
    <row r="42814" ht="14.25" customHeight="1">
      <c r="A42814" s="740"/>
    </row>
    <row r="42815" ht="14.25" customHeight="1">
      <c r="A42815" s="740"/>
    </row>
    <row r="42816" ht="14.25" customHeight="1">
      <c r="A42816" s="740"/>
    </row>
    <row r="42817" ht="14.25" customHeight="1">
      <c r="A42817" s="740"/>
    </row>
    <row r="42818" ht="14.25" customHeight="1">
      <c r="A42818" s="740"/>
    </row>
    <row r="42819" ht="14.25" customHeight="1">
      <c r="A42819" s="740"/>
    </row>
    <row r="42820" ht="14.25" customHeight="1">
      <c r="A42820" s="740"/>
    </row>
    <row r="42821" ht="14.25" customHeight="1">
      <c r="A42821" s="740"/>
    </row>
    <row r="42822" ht="14.25" customHeight="1">
      <c r="A42822" s="740"/>
    </row>
    <row r="42823" ht="14.25" customHeight="1">
      <c r="A42823" s="740"/>
    </row>
    <row r="42824" ht="14.25" customHeight="1">
      <c r="A42824" s="740"/>
    </row>
    <row r="42825" ht="14.25" customHeight="1">
      <c r="A42825" s="740"/>
    </row>
    <row r="42826" ht="14.25" customHeight="1">
      <c r="A42826" s="740"/>
    </row>
    <row r="42827" ht="14.25" customHeight="1">
      <c r="A42827" s="740"/>
    </row>
    <row r="42828" ht="14.25" customHeight="1">
      <c r="A42828" s="740"/>
    </row>
    <row r="42829" ht="14.25" customHeight="1">
      <c r="A42829" s="740"/>
    </row>
    <row r="42830" ht="14.25" customHeight="1">
      <c r="A42830" s="740"/>
    </row>
    <row r="42831" ht="14.25" customHeight="1">
      <c r="A42831" s="740"/>
    </row>
    <row r="42832" ht="14.25" customHeight="1">
      <c r="A42832" s="740"/>
    </row>
    <row r="42833" ht="14.25" customHeight="1">
      <c r="A42833" s="740"/>
    </row>
    <row r="42834" ht="14.25" customHeight="1">
      <c r="A42834" s="740"/>
    </row>
    <row r="42835" ht="14.25" customHeight="1">
      <c r="A42835" s="740"/>
    </row>
    <row r="42836" ht="14.25" customHeight="1">
      <c r="A42836" s="740"/>
    </row>
    <row r="42837" ht="14.25" customHeight="1">
      <c r="A42837" s="740"/>
    </row>
    <row r="42838" ht="14.25" customHeight="1">
      <c r="A42838" s="740"/>
    </row>
    <row r="42839" ht="14.25" customHeight="1">
      <c r="A42839" s="740"/>
    </row>
    <row r="42840" ht="14.25" customHeight="1">
      <c r="A42840" s="740"/>
    </row>
    <row r="42841" ht="14.25" customHeight="1">
      <c r="A42841" s="740"/>
    </row>
    <row r="42842" ht="14.25" customHeight="1">
      <c r="A42842" s="740"/>
    </row>
    <row r="42843" ht="14.25" customHeight="1">
      <c r="A42843" s="740"/>
    </row>
    <row r="42844" ht="14.25" customHeight="1">
      <c r="A42844" s="740"/>
    </row>
    <row r="42845" ht="14.25" customHeight="1">
      <c r="A42845" s="740"/>
    </row>
    <row r="42846" ht="14.25" customHeight="1">
      <c r="A42846" s="740"/>
    </row>
    <row r="42847" ht="14.25" customHeight="1">
      <c r="A42847" s="740"/>
    </row>
    <row r="42848" ht="14.25" customHeight="1">
      <c r="A42848" s="740"/>
    </row>
    <row r="42849" ht="14.25" customHeight="1">
      <c r="A42849" s="740"/>
    </row>
    <row r="42850" ht="14.25" customHeight="1">
      <c r="A42850" s="740"/>
    </row>
    <row r="42851" ht="14.25" customHeight="1">
      <c r="A42851" s="740"/>
    </row>
    <row r="42852" ht="14.25" customHeight="1">
      <c r="A42852" s="740"/>
    </row>
    <row r="42853" ht="14.25" customHeight="1">
      <c r="A42853" s="740"/>
    </row>
    <row r="42854" ht="14.25" customHeight="1">
      <c r="A42854" s="740"/>
    </row>
    <row r="42855" ht="14.25" customHeight="1">
      <c r="A42855" s="740"/>
    </row>
    <row r="42856" ht="14.25" customHeight="1">
      <c r="A42856" s="740"/>
    </row>
    <row r="42857" ht="14.25" customHeight="1">
      <c r="A42857" s="740"/>
    </row>
    <row r="42858" ht="14.25" customHeight="1">
      <c r="A42858" s="740"/>
    </row>
    <row r="42859" ht="14.25" customHeight="1">
      <c r="A42859" s="740"/>
    </row>
    <row r="42860" ht="14.25" customHeight="1">
      <c r="A42860" s="740"/>
    </row>
    <row r="42861" ht="14.25" customHeight="1">
      <c r="A42861" s="740"/>
    </row>
    <row r="42862" ht="14.25" customHeight="1">
      <c r="A42862" s="740"/>
    </row>
    <row r="42863" ht="14.25" customHeight="1">
      <c r="A42863" s="740"/>
    </row>
    <row r="42864" ht="14.25" customHeight="1">
      <c r="A42864" s="740"/>
    </row>
    <row r="42865" ht="14.25" customHeight="1">
      <c r="A42865" s="740"/>
    </row>
    <row r="42866" ht="14.25" customHeight="1">
      <c r="A42866" s="740"/>
    </row>
    <row r="42867" ht="14.25" customHeight="1">
      <c r="A42867" s="740"/>
    </row>
    <row r="42868" ht="14.25" customHeight="1">
      <c r="A42868" s="740"/>
    </row>
    <row r="42869" ht="14.25" customHeight="1">
      <c r="A42869" s="740"/>
    </row>
    <row r="42870" ht="14.25" customHeight="1">
      <c r="A42870" s="740"/>
    </row>
    <row r="42871" ht="14.25" customHeight="1">
      <c r="A42871" s="740"/>
    </row>
    <row r="42872" ht="14.25" customHeight="1">
      <c r="A42872" s="740"/>
    </row>
    <row r="42873" ht="14.25" customHeight="1">
      <c r="A42873" s="740"/>
    </row>
    <row r="42874" ht="14.25" customHeight="1">
      <c r="A42874" s="740"/>
    </row>
    <row r="42875" ht="14.25" customHeight="1">
      <c r="A42875" s="740"/>
    </row>
    <row r="42876" ht="14.25" customHeight="1">
      <c r="A42876" s="740"/>
    </row>
    <row r="42877" ht="14.25" customHeight="1">
      <c r="A42877" s="740"/>
    </row>
    <row r="42878" ht="14.25" customHeight="1">
      <c r="A42878" s="740"/>
    </row>
    <row r="42879" ht="14.25" customHeight="1">
      <c r="A42879" s="740"/>
    </row>
    <row r="42880" ht="14.25" customHeight="1">
      <c r="A42880" s="740"/>
    </row>
    <row r="42881" ht="14.25" customHeight="1">
      <c r="A42881" s="740"/>
    </row>
    <row r="42882" ht="14.25" customHeight="1">
      <c r="A42882" s="740"/>
    </row>
    <row r="42883" ht="14.25" customHeight="1">
      <c r="A42883" s="740"/>
    </row>
    <row r="42884" ht="14.25" customHeight="1">
      <c r="A42884" s="740"/>
    </row>
    <row r="42885" ht="14.25" customHeight="1">
      <c r="A42885" s="740"/>
    </row>
    <row r="42886" ht="14.25" customHeight="1">
      <c r="A42886" s="740"/>
    </row>
    <row r="42887" ht="14.25" customHeight="1">
      <c r="A42887" s="740"/>
    </row>
    <row r="42888" ht="14.25" customHeight="1">
      <c r="A42888" s="740"/>
    </row>
    <row r="42889" ht="14.25" customHeight="1">
      <c r="A42889" s="740"/>
    </row>
    <row r="42890" ht="14.25" customHeight="1">
      <c r="A42890" s="740"/>
    </row>
    <row r="42891" ht="14.25" customHeight="1">
      <c r="A42891" s="740"/>
    </row>
    <row r="42892" ht="14.25" customHeight="1">
      <c r="A42892" s="740"/>
    </row>
    <row r="42893" ht="14.25" customHeight="1">
      <c r="A42893" s="740"/>
    </row>
    <row r="42894" ht="14.25" customHeight="1">
      <c r="A42894" s="740"/>
    </row>
    <row r="42895" ht="14.25" customHeight="1">
      <c r="A42895" s="740"/>
    </row>
    <row r="42896" ht="14.25" customHeight="1">
      <c r="A42896" s="740"/>
    </row>
    <row r="42897" ht="14.25" customHeight="1">
      <c r="A42897" s="740"/>
    </row>
    <row r="42898" ht="14.25" customHeight="1">
      <c r="A42898" s="740"/>
    </row>
    <row r="42899" ht="14.25" customHeight="1">
      <c r="A42899" s="740"/>
    </row>
    <row r="42900" ht="14.25" customHeight="1">
      <c r="A42900" s="740"/>
    </row>
    <row r="42901" ht="14.25" customHeight="1">
      <c r="A42901" s="740"/>
    </row>
    <row r="42902" ht="14.25" customHeight="1">
      <c r="A42902" s="740"/>
    </row>
    <row r="42903" ht="14.25" customHeight="1">
      <c r="A42903" s="740"/>
    </row>
    <row r="42904" ht="14.25" customHeight="1">
      <c r="A42904" s="740"/>
    </row>
    <row r="42905" ht="14.25" customHeight="1">
      <c r="A42905" s="740"/>
    </row>
    <row r="42906" ht="14.25" customHeight="1">
      <c r="A42906" s="740"/>
    </row>
    <row r="42907" ht="14.25" customHeight="1">
      <c r="A42907" s="740"/>
    </row>
    <row r="42908" ht="14.25" customHeight="1">
      <c r="A42908" s="740"/>
    </row>
    <row r="42909" ht="14.25" customHeight="1">
      <c r="A42909" s="740"/>
    </row>
    <row r="42910" ht="14.25" customHeight="1">
      <c r="A42910" s="740"/>
    </row>
    <row r="42911" ht="14.25" customHeight="1">
      <c r="A42911" s="740"/>
    </row>
    <row r="42912" ht="14.25" customHeight="1">
      <c r="A42912" s="740"/>
    </row>
    <row r="42913" ht="14.25" customHeight="1">
      <c r="A42913" s="740"/>
    </row>
    <row r="42914" ht="14.25" customHeight="1">
      <c r="A42914" s="740"/>
    </row>
    <row r="42915" ht="14.25" customHeight="1">
      <c r="A42915" s="740"/>
    </row>
    <row r="42916" ht="14.25" customHeight="1">
      <c r="A42916" s="740"/>
    </row>
    <row r="42917" ht="14.25" customHeight="1">
      <c r="A42917" s="740"/>
    </row>
    <row r="42918" ht="14.25" customHeight="1">
      <c r="A42918" s="740"/>
    </row>
    <row r="42919" ht="14.25" customHeight="1">
      <c r="A42919" s="740"/>
    </row>
    <row r="42920" ht="14.25" customHeight="1">
      <c r="A42920" s="740"/>
    </row>
    <row r="42921" ht="14.25" customHeight="1">
      <c r="A42921" s="740"/>
    </row>
    <row r="42922" ht="14.25" customHeight="1">
      <c r="A42922" s="740"/>
    </row>
    <row r="42923" ht="14.25" customHeight="1">
      <c r="A42923" s="740"/>
    </row>
    <row r="42924" ht="14.25" customHeight="1">
      <c r="A42924" s="740"/>
    </row>
    <row r="42925" ht="14.25" customHeight="1">
      <c r="A42925" s="740"/>
    </row>
    <row r="42926" ht="14.25" customHeight="1">
      <c r="A42926" s="740"/>
    </row>
    <row r="42927" ht="14.25" customHeight="1">
      <c r="A42927" s="740"/>
    </row>
    <row r="42928" ht="14.25" customHeight="1">
      <c r="A42928" s="740"/>
    </row>
    <row r="42929" ht="14.25" customHeight="1">
      <c r="A42929" s="740"/>
    </row>
    <row r="42930" ht="14.25" customHeight="1">
      <c r="A42930" s="740"/>
    </row>
    <row r="42931" ht="14.25" customHeight="1">
      <c r="A42931" s="740"/>
    </row>
    <row r="42932" ht="14.25" customHeight="1">
      <c r="A42932" s="740"/>
    </row>
    <row r="42933" ht="14.25" customHeight="1">
      <c r="A42933" s="740"/>
    </row>
    <row r="42934" ht="14.25" customHeight="1">
      <c r="A42934" s="740"/>
    </row>
    <row r="42935" ht="14.25" customHeight="1">
      <c r="A42935" s="740"/>
    </row>
    <row r="42936" ht="14.25" customHeight="1">
      <c r="A42936" s="740"/>
    </row>
    <row r="42937" ht="14.25" customHeight="1">
      <c r="A42937" s="740"/>
    </row>
    <row r="42938" ht="14.25" customHeight="1">
      <c r="A42938" s="740"/>
    </row>
    <row r="42939" ht="14.25" customHeight="1">
      <c r="A42939" s="740"/>
    </row>
    <row r="42940" ht="14.25" customHeight="1">
      <c r="A42940" s="740"/>
    </row>
    <row r="42941" ht="14.25" customHeight="1">
      <c r="A42941" s="740"/>
    </row>
    <row r="42942" ht="14.25" customHeight="1">
      <c r="A42942" s="740"/>
    </row>
    <row r="42943" ht="14.25" customHeight="1">
      <c r="A42943" s="740"/>
    </row>
    <row r="42944" ht="14.25" customHeight="1">
      <c r="A42944" s="740"/>
    </row>
    <row r="42945" ht="14.25" customHeight="1">
      <c r="A42945" s="740"/>
    </row>
    <row r="42946" ht="14.25" customHeight="1">
      <c r="A42946" s="740"/>
    </row>
    <row r="42947" ht="14.25" customHeight="1">
      <c r="A42947" s="740"/>
    </row>
    <row r="42948" ht="14.25" customHeight="1">
      <c r="A42948" s="740"/>
    </row>
    <row r="42949" ht="14.25" customHeight="1">
      <c r="A42949" s="740"/>
    </row>
    <row r="42950" ht="14.25" customHeight="1">
      <c r="A42950" s="740"/>
    </row>
    <row r="42951" ht="14.25" customHeight="1">
      <c r="A42951" s="740"/>
    </row>
    <row r="42952" ht="14.25" customHeight="1">
      <c r="A42952" s="740"/>
    </row>
    <row r="42953" ht="14.25" customHeight="1">
      <c r="A42953" s="740"/>
    </row>
    <row r="42954" ht="14.25" customHeight="1">
      <c r="A42954" s="740"/>
    </row>
    <row r="42955" ht="14.25" customHeight="1">
      <c r="A42955" s="740"/>
    </row>
    <row r="42956" ht="14.25" customHeight="1">
      <c r="A42956" s="740"/>
    </row>
    <row r="42957" ht="14.25" customHeight="1">
      <c r="A42957" s="740"/>
    </row>
    <row r="42958" ht="14.25" customHeight="1">
      <c r="A42958" s="740"/>
    </row>
    <row r="42959" ht="14.25" customHeight="1">
      <c r="A42959" s="740"/>
    </row>
    <row r="42960" ht="14.25" customHeight="1">
      <c r="A42960" s="740"/>
    </row>
    <row r="42961" ht="14.25" customHeight="1">
      <c r="A42961" s="740"/>
    </row>
    <row r="42962" ht="14.25" customHeight="1">
      <c r="A42962" s="740"/>
    </row>
    <row r="42963" ht="14.25" customHeight="1">
      <c r="A42963" s="740"/>
    </row>
    <row r="42964" ht="14.25" customHeight="1">
      <c r="A42964" s="740"/>
    </row>
    <row r="42965" ht="14.25" customHeight="1">
      <c r="A42965" s="740"/>
    </row>
    <row r="42966" ht="14.25" customHeight="1">
      <c r="A42966" s="740"/>
    </row>
    <row r="42967" ht="14.25" customHeight="1">
      <c r="A42967" s="740"/>
    </row>
    <row r="42968" ht="14.25" customHeight="1">
      <c r="A42968" s="740"/>
    </row>
    <row r="42969" ht="14.25" customHeight="1">
      <c r="A42969" s="740"/>
    </row>
    <row r="42970" ht="14.25" customHeight="1">
      <c r="A42970" s="740"/>
    </row>
    <row r="42971" ht="14.25" customHeight="1">
      <c r="A42971" s="740"/>
    </row>
    <row r="42972" ht="14.25" customHeight="1">
      <c r="A42972" s="740"/>
    </row>
    <row r="42973" ht="14.25" customHeight="1">
      <c r="A42973" s="740"/>
    </row>
    <row r="42974" ht="14.25" customHeight="1">
      <c r="A42974" s="740"/>
    </row>
    <row r="42975" ht="14.25" customHeight="1">
      <c r="A42975" s="740"/>
    </row>
    <row r="42976" ht="14.25" customHeight="1">
      <c r="A42976" s="740"/>
    </row>
    <row r="42977" ht="14.25" customHeight="1">
      <c r="A42977" s="740"/>
    </row>
    <row r="42978" ht="14.25" customHeight="1">
      <c r="A42978" s="740"/>
    </row>
    <row r="42979" ht="14.25" customHeight="1">
      <c r="A42979" s="740"/>
    </row>
    <row r="42980" ht="14.25" customHeight="1">
      <c r="A42980" s="740"/>
    </row>
    <row r="42981" ht="14.25" customHeight="1">
      <c r="A42981" s="740"/>
    </row>
    <row r="42982" ht="14.25" customHeight="1">
      <c r="A42982" s="740"/>
    </row>
    <row r="42983" ht="14.25" customHeight="1">
      <c r="A42983" s="740"/>
    </row>
    <row r="42984" ht="14.25" customHeight="1">
      <c r="A42984" s="740"/>
    </row>
    <row r="42985" ht="14.25" customHeight="1">
      <c r="A42985" s="740"/>
    </row>
    <row r="42986" ht="14.25" customHeight="1">
      <c r="A42986" s="740"/>
    </row>
    <row r="42987" ht="14.25" customHeight="1">
      <c r="A42987" s="740"/>
    </row>
    <row r="42988" ht="14.25" customHeight="1">
      <c r="A42988" s="740"/>
    </row>
    <row r="42989" ht="14.25" customHeight="1">
      <c r="A42989" s="740"/>
    </row>
    <row r="42990" ht="14.25" customHeight="1">
      <c r="A42990" s="740"/>
    </row>
    <row r="42991" ht="14.25" customHeight="1">
      <c r="A42991" s="740"/>
    </row>
    <row r="42992" ht="14.25" customHeight="1">
      <c r="A42992" s="740"/>
    </row>
    <row r="42993" ht="14.25" customHeight="1">
      <c r="A42993" s="740"/>
    </row>
    <row r="42994" ht="14.25" customHeight="1">
      <c r="A42994" s="740"/>
    </row>
    <row r="42995" ht="14.25" customHeight="1">
      <c r="A42995" s="740"/>
    </row>
    <row r="42996" ht="14.25" customHeight="1">
      <c r="A42996" s="740"/>
    </row>
    <row r="42997" ht="14.25" customHeight="1">
      <c r="A42997" s="740"/>
    </row>
    <row r="42998" ht="14.25" customHeight="1">
      <c r="A42998" s="740"/>
    </row>
    <row r="42999" ht="14.25" customHeight="1">
      <c r="A42999" s="740"/>
    </row>
    <row r="43000" ht="14.25" customHeight="1">
      <c r="A43000" s="740"/>
    </row>
    <row r="43001" ht="14.25" customHeight="1">
      <c r="A43001" s="740"/>
    </row>
    <row r="43002" ht="14.25" customHeight="1">
      <c r="A43002" s="740"/>
    </row>
    <row r="43003" ht="14.25" customHeight="1">
      <c r="A43003" s="740"/>
    </row>
    <row r="43004" ht="14.25" customHeight="1">
      <c r="A43004" s="740"/>
    </row>
    <row r="43005" ht="14.25" customHeight="1">
      <c r="A43005" s="740"/>
    </row>
    <row r="43006" ht="14.25" customHeight="1">
      <c r="A43006" s="740"/>
    </row>
    <row r="43007" ht="14.25" customHeight="1">
      <c r="A43007" s="740"/>
    </row>
    <row r="43008" ht="14.25" customHeight="1">
      <c r="A43008" s="740"/>
    </row>
    <row r="43009" ht="14.25" customHeight="1">
      <c r="A43009" s="740"/>
    </row>
    <row r="43010" ht="14.25" customHeight="1">
      <c r="A43010" s="740"/>
    </row>
    <row r="43011" ht="14.25" customHeight="1">
      <c r="A43011" s="740"/>
    </row>
    <row r="43012" ht="14.25" customHeight="1">
      <c r="A43012" s="740"/>
    </row>
    <row r="43013" ht="14.25" customHeight="1">
      <c r="A43013" s="740"/>
    </row>
    <row r="43014" ht="14.25" customHeight="1">
      <c r="A43014" s="740"/>
    </row>
    <row r="43015" ht="14.25" customHeight="1">
      <c r="A43015" s="740"/>
    </row>
    <row r="43016" ht="14.25" customHeight="1">
      <c r="A43016" s="740"/>
    </row>
    <row r="43017" ht="14.25" customHeight="1">
      <c r="A43017" s="740"/>
    </row>
    <row r="43018" ht="14.25" customHeight="1">
      <c r="A43018" s="740"/>
    </row>
    <row r="43019" ht="14.25" customHeight="1">
      <c r="A43019" s="740"/>
    </row>
    <row r="43020" ht="14.25" customHeight="1">
      <c r="A43020" s="740"/>
    </row>
    <row r="43021" ht="14.25" customHeight="1">
      <c r="A43021" s="740"/>
    </row>
    <row r="43022" ht="14.25" customHeight="1">
      <c r="A43022" s="740"/>
    </row>
    <row r="43023" ht="14.25" customHeight="1">
      <c r="A43023" s="740"/>
    </row>
    <row r="43024" ht="14.25" customHeight="1">
      <c r="A43024" s="740"/>
    </row>
    <row r="43025" ht="14.25" customHeight="1">
      <c r="A43025" s="740"/>
    </row>
    <row r="43026" ht="14.25" customHeight="1">
      <c r="A43026" s="740"/>
    </row>
    <row r="43027" ht="14.25" customHeight="1">
      <c r="A43027" s="740"/>
    </row>
    <row r="43028" ht="14.25" customHeight="1">
      <c r="A43028" s="740"/>
    </row>
    <row r="43029" ht="14.25" customHeight="1">
      <c r="A43029" s="740"/>
    </row>
    <row r="43030" ht="14.25" customHeight="1">
      <c r="A43030" s="740"/>
    </row>
    <row r="43031" ht="14.25" customHeight="1">
      <c r="A43031" s="740"/>
    </row>
    <row r="43032" ht="14.25" customHeight="1">
      <c r="A43032" s="740"/>
    </row>
    <row r="43033" ht="14.25" customHeight="1">
      <c r="A43033" s="740"/>
    </row>
    <row r="43034" ht="14.25" customHeight="1">
      <c r="A43034" s="740"/>
    </row>
    <row r="43035" ht="14.25" customHeight="1">
      <c r="A43035" s="740"/>
    </row>
    <row r="43036" ht="14.25" customHeight="1">
      <c r="A43036" s="740"/>
    </row>
    <row r="43037" ht="14.25" customHeight="1">
      <c r="A43037" s="740"/>
    </row>
    <row r="43038" ht="14.25" customHeight="1">
      <c r="A43038" s="740"/>
    </row>
    <row r="43039" ht="14.25" customHeight="1">
      <c r="A43039" s="740"/>
    </row>
    <row r="43040" ht="14.25" customHeight="1">
      <c r="A43040" s="740"/>
    </row>
    <row r="43041" ht="14.25" customHeight="1">
      <c r="A43041" s="740"/>
    </row>
    <row r="43042" ht="14.25" customHeight="1">
      <c r="A43042" s="740"/>
    </row>
    <row r="43043" ht="14.25" customHeight="1">
      <c r="A43043" s="740"/>
    </row>
    <row r="43044" ht="14.25" customHeight="1">
      <c r="A43044" s="740"/>
    </row>
    <row r="43045" ht="14.25" customHeight="1">
      <c r="A43045" s="740"/>
    </row>
    <row r="43046" ht="14.25" customHeight="1">
      <c r="A43046" s="740"/>
    </row>
    <row r="43047" ht="14.25" customHeight="1">
      <c r="A43047" s="740"/>
    </row>
    <row r="43048" ht="14.25" customHeight="1">
      <c r="A43048" s="740"/>
    </row>
    <row r="43049" ht="14.25" customHeight="1">
      <c r="A43049" s="740"/>
    </row>
    <row r="43050" ht="14.25" customHeight="1">
      <c r="A43050" s="740"/>
    </row>
    <row r="43051" ht="14.25" customHeight="1">
      <c r="A43051" s="740"/>
    </row>
    <row r="43052" ht="14.25" customHeight="1">
      <c r="A43052" s="740"/>
    </row>
    <row r="43053" ht="14.25" customHeight="1">
      <c r="A43053" s="740"/>
    </row>
    <row r="43054" ht="14.25" customHeight="1">
      <c r="A43054" s="740"/>
    </row>
    <row r="43055" ht="14.25" customHeight="1">
      <c r="A43055" s="740"/>
    </row>
    <row r="43056" ht="14.25" customHeight="1">
      <c r="A43056" s="740"/>
    </row>
    <row r="43057" ht="14.25" customHeight="1">
      <c r="A43057" s="740"/>
    </row>
    <row r="43058" ht="14.25" customHeight="1">
      <c r="A43058" s="740"/>
    </row>
    <row r="43059" ht="14.25" customHeight="1">
      <c r="A43059" s="740"/>
    </row>
    <row r="43060" ht="14.25" customHeight="1">
      <c r="A43060" s="740"/>
    </row>
    <row r="43061" ht="14.25" customHeight="1">
      <c r="A43061" s="740"/>
    </row>
    <row r="43062" ht="14.25" customHeight="1">
      <c r="A43062" s="740"/>
    </row>
    <row r="43063" ht="14.25" customHeight="1">
      <c r="A43063" s="740"/>
    </row>
    <row r="43064" ht="14.25" customHeight="1">
      <c r="A43064" s="740"/>
    </row>
    <row r="43065" ht="14.25" customHeight="1">
      <c r="A43065" s="740"/>
    </row>
    <row r="43066" ht="14.25" customHeight="1">
      <c r="A43066" s="740"/>
    </row>
    <row r="43067" ht="14.25" customHeight="1">
      <c r="A43067" s="740"/>
    </row>
    <row r="43068" ht="14.25" customHeight="1">
      <c r="A43068" s="740"/>
    </row>
    <row r="43069" ht="14.25" customHeight="1">
      <c r="A43069" s="740"/>
    </row>
    <row r="43070" ht="14.25" customHeight="1">
      <c r="A43070" s="740"/>
    </row>
    <row r="43071" ht="14.25" customHeight="1">
      <c r="A43071" s="740"/>
    </row>
    <row r="43072" ht="14.25" customHeight="1">
      <c r="A43072" s="740"/>
    </row>
    <row r="43073" ht="14.25" customHeight="1">
      <c r="A43073" s="740"/>
    </row>
    <row r="43074" ht="14.25" customHeight="1">
      <c r="A43074" s="740"/>
    </row>
    <row r="43075" ht="14.25" customHeight="1">
      <c r="A43075" s="740"/>
    </row>
    <row r="43076" ht="14.25" customHeight="1">
      <c r="A43076" s="740"/>
    </row>
    <row r="43077" ht="14.25" customHeight="1">
      <c r="A43077" s="740"/>
    </row>
    <row r="43078" ht="14.25" customHeight="1">
      <c r="A43078" s="740"/>
    </row>
    <row r="43079" ht="14.25" customHeight="1">
      <c r="A43079" s="740"/>
    </row>
    <row r="43080" ht="14.25" customHeight="1">
      <c r="A43080" s="740"/>
    </row>
    <row r="43081" ht="14.25" customHeight="1">
      <c r="A43081" s="740"/>
    </row>
    <row r="43082" ht="14.25" customHeight="1">
      <c r="A43082" s="740"/>
    </row>
    <row r="43083" ht="14.25" customHeight="1">
      <c r="A43083" s="740"/>
    </row>
    <row r="43084" ht="14.25" customHeight="1">
      <c r="A43084" s="740"/>
    </row>
    <row r="43085" ht="14.25" customHeight="1">
      <c r="A43085" s="740"/>
    </row>
    <row r="43086" ht="14.25" customHeight="1">
      <c r="A43086" s="740"/>
    </row>
    <row r="43087" ht="14.25" customHeight="1">
      <c r="A43087" s="740"/>
    </row>
    <row r="43088" ht="14.25" customHeight="1">
      <c r="A43088" s="740"/>
    </row>
    <row r="43089" ht="14.25" customHeight="1">
      <c r="A43089" s="740"/>
    </row>
    <row r="43090" ht="14.25" customHeight="1">
      <c r="A43090" s="740"/>
    </row>
    <row r="43091" ht="14.25" customHeight="1">
      <c r="A43091" s="740"/>
    </row>
    <row r="43092" ht="14.25" customHeight="1">
      <c r="A43092" s="740"/>
    </row>
    <row r="43093" ht="14.25" customHeight="1">
      <c r="A43093" s="740"/>
    </row>
    <row r="43094" ht="14.25" customHeight="1">
      <c r="A43094" s="740"/>
    </row>
    <row r="43095" ht="14.25" customHeight="1">
      <c r="A43095" s="740"/>
    </row>
    <row r="43096" ht="14.25" customHeight="1">
      <c r="A43096" s="740"/>
    </row>
    <row r="43097" ht="14.25" customHeight="1">
      <c r="A43097" s="740"/>
    </row>
    <row r="43098" ht="14.25" customHeight="1">
      <c r="A43098" s="740"/>
    </row>
    <row r="43099" ht="14.25" customHeight="1">
      <c r="A43099" s="740"/>
    </row>
    <row r="43100" ht="14.25" customHeight="1">
      <c r="A43100" s="740"/>
    </row>
    <row r="43101" ht="14.25" customHeight="1">
      <c r="A43101" s="740"/>
    </row>
    <row r="43102" ht="14.25" customHeight="1">
      <c r="A43102" s="740"/>
    </row>
    <row r="43103" ht="14.25" customHeight="1">
      <c r="A43103" s="740"/>
    </row>
    <row r="43104" ht="14.25" customHeight="1">
      <c r="A43104" s="740"/>
    </row>
    <row r="43105" ht="14.25" customHeight="1">
      <c r="A43105" s="740"/>
    </row>
    <row r="43106" ht="14.25" customHeight="1">
      <c r="A43106" s="740"/>
    </row>
    <row r="43107" ht="14.25" customHeight="1">
      <c r="A43107" s="740"/>
    </row>
    <row r="43108" ht="14.25" customHeight="1">
      <c r="A43108" s="740"/>
    </row>
    <row r="43109" ht="14.25" customHeight="1">
      <c r="A43109" s="740"/>
    </row>
    <row r="43110" ht="14.25" customHeight="1">
      <c r="A43110" s="740"/>
    </row>
    <row r="43111" ht="14.25" customHeight="1">
      <c r="A43111" s="740"/>
    </row>
    <row r="43112" ht="14.25" customHeight="1">
      <c r="A43112" s="740"/>
    </row>
    <row r="43113" ht="14.25" customHeight="1">
      <c r="A43113" s="740"/>
    </row>
    <row r="43114" ht="14.25" customHeight="1">
      <c r="A43114" s="740"/>
    </row>
    <row r="43115" ht="14.25" customHeight="1">
      <c r="A43115" s="740"/>
    </row>
    <row r="43116" ht="14.25" customHeight="1">
      <c r="A43116" s="740"/>
    </row>
    <row r="43117" ht="14.25" customHeight="1">
      <c r="A43117" s="740"/>
    </row>
    <row r="43118" ht="14.25" customHeight="1">
      <c r="A43118" s="740"/>
    </row>
    <row r="43119" ht="14.25" customHeight="1">
      <c r="A43119" s="740"/>
    </row>
    <row r="43120" ht="14.25" customHeight="1">
      <c r="A43120" s="740"/>
    </row>
    <row r="43121" ht="14.25" customHeight="1">
      <c r="A43121" s="740"/>
    </row>
    <row r="43122" ht="14.25" customHeight="1">
      <c r="A43122" s="740"/>
    </row>
    <row r="43123" ht="14.25" customHeight="1">
      <c r="A43123" s="740"/>
    </row>
    <row r="43124" ht="14.25" customHeight="1">
      <c r="A43124" s="740"/>
    </row>
    <row r="43125" ht="14.25" customHeight="1">
      <c r="A43125" s="740"/>
    </row>
    <row r="43126" ht="14.25" customHeight="1">
      <c r="A43126" s="740"/>
    </row>
    <row r="43127" ht="14.25" customHeight="1">
      <c r="A43127" s="740"/>
    </row>
    <row r="43128" ht="14.25" customHeight="1">
      <c r="A43128" s="740"/>
    </row>
    <row r="43129" ht="14.25" customHeight="1">
      <c r="A43129" s="740"/>
    </row>
    <row r="43130" ht="14.25" customHeight="1">
      <c r="A43130" s="740"/>
    </row>
    <row r="43131" ht="14.25" customHeight="1">
      <c r="A43131" s="740"/>
    </row>
    <row r="43132" ht="14.25" customHeight="1">
      <c r="A43132" s="740"/>
    </row>
    <row r="43133" ht="14.25" customHeight="1">
      <c r="A43133" s="740"/>
    </row>
    <row r="43134" ht="14.25" customHeight="1">
      <c r="A43134" s="740"/>
    </row>
    <row r="43135" ht="14.25" customHeight="1">
      <c r="A43135" s="740"/>
    </row>
    <row r="43136" ht="14.25" customHeight="1">
      <c r="A43136" s="740"/>
    </row>
    <row r="43137" ht="14.25" customHeight="1">
      <c r="A43137" s="740"/>
    </row>
    <row r="43138" ht="14.25" customHeight="1">
      <c r="A43138" s="740"/>
    </row>
    <row r="43139" ht="14.25" customHeight="1">
      <c r="A43139" s="740"/>
    </row>
    <row r="43140" ht="14.25" customHeight="1">
      <c r="A43140" s="740"/>
    </row>
    <row r="43141" ht="14.25" customHeight="1">
      <c r="A43141" s="740"/>
    </row>
    <row r="43142" ht="14.25" customHeight="1">
      <c r="A43142" s="740"/>
    </row>
    <row r="43143" ht="14.25" customHeight="1">
      <c r="A43143" s="740"/>
    </row>
    <row r="43144" ht="14.25" customHeight="1">
      <c r="A43144" s="740"/>
    </row>
    <row r="43145" ht="14.25" customHeight="1">
      <c r="A43145" s="740"/>
    </row>
    <row r="43146" ht="14.25" customHeight="1">
      <c r="A43146" s="740"/>
    </row>
    <row r="43147" ht="14.25" customHeight="1">
      <c r="A43147" s="740"/>
    </row>
    <row r="43148" ht="14.25" customHeight="1">
      <c r="A43148" s="740"/>
    </row>
    <row r="43149" ht="14.25" customHeight="1">
      <c r="A43149" s="740"/>
    </row>
    <row r="43150" ht="14.25" customHeight="1">
      <c r="A43150" s="740"/>
    </row>
    <row r="43151" ht="14.25" customHeight="1">
      <c r="A43151" s="740"/>
    </row>
    <row r="43152" ht="14.25" customHeight="1">
      <c r="A43152" s="740"/>
    </row>
    <row r="43153" ht="14.25" customHeight="1">
      <c r="A43153" s="740"/>
    </row>
    <row r="43154" ht="14.25" customHeight="1">
      <c r="A43154" s="740"/>
    </row>
    <row r="43155" ht="14.25" customHeight="1">
      <c r="A43155" s="740"/>
    </row>
    <row r="43156" ht="14.25" customHeight="1">
      <c r="A43156" s="740"/>
    </row>
    <row r="43157" ht="14.25" customHeight="1">
      <c r="A43157" s="740"/>
    </row>
    <row r="43158" ht="14.25" customHeight="1">
      <c r="A43158" s="740"/>
    </row>
    <row r="43159" ht="14.25" customHeight="1">
      <c r="A43159" s="740"/>
    </row>
    <row r="43160" ht="14.25" customHeight="1">
      <c r="A43160" s="740"/>
    </row>
    <row r="43161" ht="14.25" customHeight="1">
      <c r="A43161" s="740"/>
    </row>
    <row r="43162" ht="14.25" customHeight="1">
      <c r="A43162" s="740"/>
    </row>
    <row r="43163" ht="14.25" customHeight="1">
      <c r="A43163" s="740"/>
    </row>
    <row r="43164" ht="14.25" customHeight="1">
      <c r="A43164" s="740"/>
    </row>
    <row r="43165" ht="14.25" customHeight="1">
      <c r="A43165" s="740"/>
    </row>
    <row r="43166" ht="14.25" customHeight="1">
      <c r="A43166" s="740"/>
    </row>
    <row r="43167" ht="14.25" customHeight="1">
      <c r="A43167" s="740"/>
    </row>
    <row r="43168" ht="14.25" customHeight="1">
      <c r="A43168" s="740"/>
    </row>
    <row r="43169" ht="14.25" customHeight="1">
      <c r="A43169" s="740"/>
    </row>
    <row r="43170" ht="14.25" customHeight="1">
      <c r="A43170" s="740"/>
    </row>
    <row r="43171" ht="14.25" customHeight="1">
      <c r="A43171" s="740"/>
    </row>
    <row r="43172" ht="14.25" customHeight="1">
      <c r="A43172" s="740"/>
    </row>
    <row r="43173" ht="14.25" customHeight="1">
      <c r="A43173" s="740"/>
    </row>
    <row r="43174" ht="14.25" customHeight="1">
      <c r="A43174" s="740"/>
    </row>
    <row r="43175" ht="14.25" customHeight="1">
      <c r="A43175" s="740"/>
    </row>
    <row r="43176" ht="14.25" customHeight="1">
      <c r="A43176" s="740"/>
    </row>
    <row r="43177" ht="14.25" customHeight="1">
      <c r="A43177" s="740"/>
    </row>
    <row r="43178" ht="14.25" customHeight="1">
      <c r="A43178" s="740"/>
    </row>
    <row r="43179" ht="14.25" customHeight="1">
      <c r="A43179" s="740"/>
    </row>
    <row r="43180" ht="14.25" customHeight="1">
      <c r="A43180" s="740"/>
    </row>
    <row r="43181" ht="14.25" customHeight="1">
      <c r="A43181" s="740"/>
    </row>
    <row r="43182" ht="14.25" customHeight="1">
      <c r="A43182" s="740"/>
    </row>
    <row r="43183" ht="14.25" customHeight="1">
      <c r="A43183" s="740"/>
    </row>
    <row r="43184" ht="14.25" customHeight="1">
      <c r="A43184" s="740"/>
    </row>
    <row r="43185" ht="14.25" customHeight="1">
      <c r="A43185" s="740"/>
    </row>
    <row r="43186" ht="14.25" customHeight="1">
      <c r="A43186" s="740"/>
    </row>
    <row r="43187" ht="14.25" customHeight="1">
      <c r="A43187" s="740"/>
    </row>
    <row r="43188" ht="14.25" customHeight="1">
      <c r="A43188" s="740"/>
    </row>
    <row r="43189" ht="14.25" customHeight="1">
      <c r="A43189" s="740"/>
    </row>
    <row r="43190" ht="14.25" customHeight="1">
      <c r="A43190" s="740"/>
    </row>
    <row r="43191" ht="14.25" customHeight="1">
      <c r="A43191" s="740"/>
    </row>
    <row r="43192" ht="14.25" customHeight="1">
      <c r="A43192" s="740"/>
    </row>
    <row r="43193" ht="14.25" customHeight="1">
      <c r="A43193" s="740"/>
    </row>
    <row r="43194" ht="14.25" customHeight="1">
      <c r="A43194" s="740"/>
    </row>
    <row r="43195" ht="14.25" customHeight="1">
      <c r="A43195" s="740"/>
    </row>
    <row r="43196" ht="14.25" customHeight="1">
      <c r="A43196" s="740"/>
    </row>
    <row r="43197" ht="14.25" customHeight="1">
      <c r="A43197" s="740"/>
    </row>
    <row r="43198" ht="14.25" customHeight="1">
      <c r="A43198" s="740"/>
    </row>
    <row r="43199" ht="14.25" customHeight="1">
      <c r="A43199" s="740"/>
    </row>
    <row r="43200" ht="14.25" customHeight="1">
      <c r="A43200" s="740"/>
    </row>
    <row r="43201" ht="14.25" customHeight="1">
      <c r="A43201" s="740"/>
    </row>
    <row r="43202" ht="14.25" customHeight="1">
      <c r="A43202" s="740"/>
    </row>
    <row r="43203" ht="14.25" customHeight="1">
      <c r="A43203" s="740"/>
    </row>
    <row r="43204" ht="14.25" customHeight="1">
      <c r="A43204" s="740"/>
    </row>
    <row r="43205" ht="14.25" customHeight="1">
      <c r="A43205" s="740"/>
    </row>
    <row r="43206" ht="14.25" customHeight="1">
      <c r="A43206" s="740"/>
    </row>
    <row r="43207" ht="14.25" customHeight="1">
      <c r="A43207" s="740"/>
    </row>
    <row r="43208" ht="14.25" customHeight="1">
      <c r="A43208" s="740"/>
    </row>
    <row r="43209" ht="14.25" customHeight="1">
      <c r="A43209" s="740"/>
    </row>
    <row r="43210" ht="14.25" customHeight="1">
      <c r="A43210" s="740"/>
    </row>
    <row r="43211" ht="14.25" customHeight="1">
      <c r="A43211" s="740"/>
    </row>
    <row r="43212" ht="14.25" customHeight="1">
      <c r="A43212" s="740"/>
    </row>
    <row r="43213" ht="14.25" customHeight="1">
      <c r="A43213" s="740"/>
    </row>
    <row r="43214" ht="14.25" customHeight="1">
      <c r="A43214" s="740"/>
    </row>
    <row r="43215" ht="14.25" customHeight="1">
      <c r="A43215" s="740"/>
    </row>
    <row r="43216" ht="14.25" customHeight="1">
      <c r="A43216" s="740"/>
    </row>
    <row r="43217" ht="14.25" customHeight="1">
      <c r="A43217" s="740"/>
    </row>
    <row r="43218" ht="14.25" customHeight="1">
      <c r="A43218" s="740"/>
    </row>
    <row r="43219" ht="14.25" customHeight="1">
      <c r="A43219" s="740"/>
    </row>
    <row r="43220" ht="14.25" customHeight="1">
      <c r="A43220" s="740"/>
    </row>
    <row r="43221" ht="14.25" customHeight="1">
      <c r="A43221" s="740"/>
    </row>
    <row r="43222" ht="14.25" customHeight="1">
      <c r="A43222" s="740"/>
    </row>
    <row r="43223" ht="14.25" customHeight="1">
      <c r="A43223" s="740"/>
    </row>
    <row r="43224" ht="14.25" customHeight="1">
      <c r="A43224" s="740"/>
    </row>
    <row r="43225" ht="14.25" customHeight="1">
      <c r="A43225" s="740"/>
    </row>
    <row r="43226" ht="14.25" customHeight="1">
      <c r="A43226" s="740"/>
    </row>
    <row r="43227" ht="14.25" customHeight="1">
      <c r="A43227" s="740"/>
    </row>
    <row r="43228" ht="14.25" customHeight="1">
      <c r="A43228" s="740"/>
    </row>
    <row r="43229" ht="14.25" customHeight="1">
      <c r="A43229" s="740"/>
    </row>
    <row r="43230" ht="14.25" customHeight="1">
      <c r="A43230" s="740"/>
    </row>
    <row r="43231" ht="14.25" customHeight="1">
      <c r="A43231" s="740"/>
    </row>
    <row r="43232" ht="14.25" customHeight="1">
      <c r="A43232" s="740"/>
    </row>
    <row r="43233" ht="14.25" customHeight="1">
      <c r="A43233" s="740"/>
    </row>
    <row r="43234" ht="14.25" customHeight="1">
      <c r="A43234" s="740"/>
    </row>
    <row r="43235" ht="14.25" customHeight="1">
      <c r="A43235" s="740"/>
    </row>
    <row r="43236" ht="14.25" customHeight="1">
      <c r="A43236" s="740"/>
    </row>
    <row r="43237" ht="14.25" customHeight="1">
      <c r="A43237" s="740"/>
    </row>
    <row r="43238" ht="14.25" customHeight="1">
      <c r="A43238" s="740"/>
    </row>
    <row r="43239" ht="14.25" customHeight="1">
      <c r="A43239" s="740"/>
    </row>
    <row r="43240" ht="14.25" customHeight="1">
      <c r="A43240" s="740"/>
    </row>
    <row r="43241" ht="14.25" customHeight="1">
      <c r="A43241" s="740"/>
    </row>
    <row r="43242" ht="14.25" customHeight="1">
      <c r="A43242" s="740"/>
    </row>
    <row r="43243" ht="14.25" customHeight="1">
      <c r="A43243" s="740"/>
    </row>
    <row r="43244" ht="14.25" customHeight="1">
      <c r="A43244" s="740"/>
    </row>
    <row r="43245" ht="14.25" customHeight="1">
      <c r="A43245" s="740"/>
    </row>
    <row r="43246" ht="14.25" customHeight="1">
      <c r="A43246" s="740"/>
    </row>
    <row r="43247" ht="14.25" customHeight="1">
      <c r="A43247" s="740"/>
    </row>
    <row r="43248" ht="14.25" customHeight="1">
      <c r="A43248" s="740"/>
    </row>
    <row r="43249" ht="14.25" customHeight="1">
      <c r="A43249" s="740"/>
    </row>
    <row r="43250" ht="14.25" customHeight="1">
      <c r="A43250" s="740"/>
    </row>
    <row r="43251" ht="14.25" customHeight="1">
      <c r="A43251" s="740"/>
    </row>
    <row r="43252" ht="14.25" customHeight="1">
      <c r="A43252" s="740"/>
    </row>
    <row r="43253" ht="14.25" customHeight="1">
      <c r="A43253" s="740"/>
    </row>
    <row r="43254" ht="14.25" customHeight="1">
      <c r="A43254" s="740"/>
    </row>
    <row r="43255" ht="14.25" customHeight="1">
      <c r="A43255" s="740"/>
    </row>
    <row r="43256" ht="14.25" customHeight="1">
      <c r="A43256" s="740"/>
    </row>
    <row r="43257" ht="14.25" customHeight="1">
      <c r="A43257" s="740"/>
    </row>
    <row r="43258" ht="14.25" customHeight="1">
      <c r="A43258" s="740"/>
    </row>
    <row r="43259" ht="14.25" customHeight="1">
      <c r="A43259" s="740"/>
    </row>
    <row r="43260" ht="14.25" customHeight="1">
      <c r="A43260" s="740"/>
    </row>
    <row r="43261" ht="14.25" customHeight="1">
      <c r="A43261" s="740"/>
    </row>
    <row r="43262" ht="14.25" customHeight="1">
      <c r="A43262" s="740"/>
    </row>
    <row r="43263" ht="14.25" customHeight="1">
      <c r="A43263" s="740"/>
    </row>
    <row r="43264" ht="14.25" customHeight="1">
      <c r="A43264" s="740"/>
    </row>
    <row r="43265" ht="14.25" customHeight="1">
      <c r="A43265" s="740"/>
    </row>
    <row r="43266" ht="14.25" customHeight="1">
      <c r="A43266" s="740"/>
    </row>
    <row r="43267" ht="14.25" customHeight="1">
      <c r="A43267" s="740"/>
    </row>
    <row r="43268" ht="14.25" customHeight="1">
      <c r="A43268" s="740"/>
    </row>
    <row r="43269" ht="14.25" customHeight="1">
      <c r="A43269" s="740"/>
    </row>
    <row r="43270" ht="14.25" customHeight="1">
      <c r="A43270" s="740"/>
    </row>
    <row r="43271" ht="14.25" customHeight="1">
      <c r="A43271" s="740"/>
    </row>
    <row r="43272" ht="14.25" customHeight="1">
      <c r="A43272" s="740"/>
    </row>
    <row r="43273" ht="14.25" customHeight="1">
      <c r="A43273" s="740"/>
    </row>
    <row r="43274" ht="14.25" customHeight="1">
      <c r="A43274" s="740"/>
    </row>
    <row r="43275" ht="14.25" customHeight="1">
      <c r="A43275" s="740"/>
    </row>
    <row r="43276" ht="14.25" customHeight="1">
      <c r="A43276" s="740"/>
    </row>
    <row r="43277" ht="14.25" customHeight="1">
      <c r="A43277" s="740"/>
    </row>
    <row r="43278" ht="14.25" customHeight="1">
      <c r="A43278" s="740"/>
    </row>
    <row r="43279" ht="14.25" customHeight="1">
      <c r="A43279" s="740"/>
    </row>
    <row r="43280" ht="14.25" customHeight="1">
      <c r="A43280" s="740"/>
    </row>
    <row r="43281" ht="14.25" customHeight="1">
      <c r="A43281" s="740"/>
    </row>
    <row r="43282" ht="14.25" customHeight="1">
      <c r="A43282" s="740"/>
    </row>
    <row r="43283" ht="14.25" customHeight="1">
      <c r="A43283" s="740"/>
    </row>
    <row r="43284" ht="14.25" customHeight="1">
      <c r="A43284" s="740"/>
    </row>
    <row r="43285" ht="14.25" customHeight="1">
      <c r="A43285" s="740"/>
    </row>
    <row r="43286" ht="14.25" customHeight="1">
      <c r="A43286" s="740"/>
    </row>
    <row r="43287" ht="14.25" customHeight="1">
      <c r="A43287" s="740"/>
    </row>
    <row r="43288" ht="14.25" customHeight="1">
      <c r="A43288" s="740"/>
    </row>
    <row r="43289" ht="14.25" customHeight="1">
      <c r="A43289" s="740"/>
    </row>
    <row r="43290" ht="14.25" customHeight="1">
      <c r="A43290" s="740"/>
    </row>
    <row r="43291" ht="14.25" customHeight="1">
      <c r="A43291" s="740"/>
    </row>
    <row r="43292" ht="14.25" customHeight="1">
      <c r="A43292" s="740"/>
    </row>
    <row r="43293" ht="14.25" customHeight="1">
      <c r="A43293" s="740"/>
    </row>
    <row r="43294" ht="14.25" customHeight="1">
      <c r="A43294" s="740"/>
    </row>
    <row r="43295" ht="14.25" customHeight="1">
      <c r="A43295" s="740"/>
    </row>
    <row r="43296" ht="14.25" customHeight="1">
      <c r="A43296" s="740"/>
    </row>
    <row r="43297" ht="14.25" customHeight="1">
      <c r="A43297" s="740"/>
    </row>
    <row r="43298" ht="14.25" customHeight="1">
      <c r="A43298" s="740"/>
    </row>
    <row r="43299" ht="14.25" customHeight="1">
      <c r="A43299" s="740"/>
    </row>
    <row r="43300" ht="14.25" customHeight="1">
      <c r="A43300" s="740"/>
    </row>
    <row r="43301" ht="14.25" customHeight="1">
      <c r="A43301" s="740"/>
    </row>
    <row r="43302" ht="14.25" customHeight="1">
      <c r="A43302" s="740"/>
    </row>
    <row r="43303" ht="14.25" customHeight="1">
      <c r="A43303" s="740"/>
    </row>
    <row r="43304" ht="14.25" customHeight="1">
      <c r="A43304" s="740"/>
    </row>
    <row r="43305" ht="14.25" customHeight="1">
      <c r="A43305" s="740"/>
    </row>
    <row r="43306" ht="14.25" customHeight="1">
      <c r="A43306" s="740"/>
    </row>
    <row r="43307" ht="14.25" customHeight="1">
      <c r="A43307" s="740"/>
    </row>
    <row r="43308" ht="14.25" customHeight="1">
      <c r="A43308" s="740"/>
    </row>
    <row r="43309" ht="14.25" customHeight="1">
      <c r="A43309" s="740"/>
    </row>
    <row r="43310" ht="14.25" customHeight="1">
      <c r="A43310" s="740"/>
    </row>
    <row r="43311" ht="14.25" customHeight="1">
      <c r="A43311" s="740"/>
    </row>
    <row r="43312" ht="14.25" customHeight="1">
      <c r="A43312" s="740"/>
    </row>
    <row r="43313" ht="14.25" customHeight="1">
      <c r="A43313" s="740"/>
    </row>
    <row r="43314" ht="14.25" customHeight="1">
      <c r="A43314" s="740"/>
    </row>
    <row r="43315" ht="14.25" customHeight="1">
      <c r="A43315" s="740"/>
    </row>
    <row r="43316" ht="14.25" customHeight="1">
      <c r="A43316" s="740"/>
    </row>
    <row r="43317" ht="14.25" customHeight="1">
      <c r="A43317" s="740"/>
    </row>
    <row r="43318" ht="14.25" customHeight="1">
      <c r="A43318" s="740"/>
    </row>
    <row r="43319" ht="14.25" customHeight="1">
      <c r="A43319" s="740"/>
    </row>
    <row r="43320" ht="14.25" customHeight="1">
      <c r="A43320" s="740"/>
    </row>
    <row r="43321" ht="14.25" customHeight="1">
      <c r="A43321" s="740"/>
    </row>
    <row r="43322" ht="14.25" customHeight="1">
      <c r="A43322" s="740"/>
    </row>
    <row r="43323" ht="14.25" customHeight="1">
      <c r="A43323" s="740"/>
    </row>
    <row r="43324" ht="14.25" customHeight="1">
      <c r="A43324" s="740"/>
    </row>
    <row r="43325" ht="14.25" customHeight="1">
      <c r="A43325" s="740"/>
    </row>
    <row r="43326" ht="14.25" customHeight="1">
      <c r="A43326" s="740"/>
    </row>
    <row r="43327" ht="14.25" customHeight="1">
      <c r="A43327" s="740"/>
    </row>
    <row r="43328" ht="14.25" customHeight="1">
      <c r="A43328" s="740"/>
    </row>
    <row r="43329" ht="14.25" customHeight="1">
      <c r="A43329" s="740"/>
    </row>
    <row r="43330" ht="14.25" customHeight="1">
      <c r="A43330" s="740"/>
    </row>
    <row r="43331" ht="14.25" customHeight="1">
      <c r="A43331" s="740"/>
    </row>
    <row r="43332" ht="14.25" customHeight="1">
      <c r="A43332" s="740"/>
    </row>
    <row r="43333" ht="14.25" customHeight="1">
      <c r="A43333" s="740"/>
    </row>
    <row r="43334" ht="14.25" customHeight="1">
      <c r="A43334" s="740"/>
    </row>
    <row r="43335" ht="14.25" customHeight="1">
      <c r="A43335" s="740"/>
    </row>
    <row r="43336" ht="14.25" customHeight="1">
      <c r="A43336" s="740"/>
    </row>
    <row r="43337" ht="14.25" customHeight="1">
      <c r="A43337" s="740"/>
    </row>
    <row r="43338" ht="14.25" customHeight="1">
      <c r="A43338" s="740"/>
    </row>
    <row r="43339" ht="14.25" customHeight="1">
      <c r="A43339" s="740"/>
    </row>
    <row r="43340" ht="14.25" customHeight="1">
      <c r="A43340" s="740"/>
    </row>
    <row r="43341" ht="14.25" customHeight="1">
      <c r="A43341" s="740"/>
    </row>
    <row r="43342" ht="14.25" customHeight="1">
      <c r="A43342" s="740"/>
    </row>
    <row r="43343" ht="14.25" customHeight="1">
      <c r="A43343" s="740"/>
    </row>
    <row r="43344" ht="14.25" customHeight="1">
      <c r="A43344" s="740"/>
    </row>
    <row r="43345" ht="14.25" customHeight="1">
      <c r="A43345" s="740"/>
    </row>
    <row r="43346" ht="14.25" customHeight="1">
      <c r="A43346" s="740"/>
    </row>
    <row r="43347" ht="14.25" customHeight="1">
      <c r="A43347" s="740"/>
    </row>
    <row r="43348" ht="14.25" customHeight="1">
      <c r="A43348" s="740"/>
    </row>
    <row r="43349" ht="14.25" customHeight="1">
      <c r="A43349" s="740"/>
    </row>
    <row r="43350" ht="14.25" customHeight="1">
      <c r="A43350" s="740"/>
    </row>
    <row r="43351" ht="14.25" customHeight="1">
      <c r="A43351" s="740"/>
    </row>
    <row r="43352" ht="14.25" customHeight="1">
      <c r="A43352" s="740"/>
    </row>
    <row r="43353" ht="14.25" customHeight="1">
      <c r="A43353" s="740"/>
    </row>
    <row r="43354" ht="14.25" customHeight="1">
      <c r="A43354" s="740"/>
    </row>
    <row r="43355" ht="14.25" customHeight="1">
      <c r="A43355" s="740"/>
    </row>
    <row r="43356" ht="14.25" customHeight="1">
      <c r="A43356" s="740"/>
    </row>
    <row r="43357" ht="14.25" customHeight="1">
      <c r="A43357" s="740"/>
    </row>
    <row r="43358" ht="14.25" customHeight="1">
      <c r="A43358" s="740"/>
    </row>
    <row r="43359" ht="14.25" customHeight="1">
      <c r="A43359" s="740"/>
    </row>
    <row r="43360" ht="14.25" customHeight="1">
      <c r="A43360" s="740"/>
    </row>
    <row r="43361" ht="14.25" customHeight="1">
      <c r="A43361" s="740"/>
    </row>
    <row r="43362" ht="14.25" customHeight="1">
      <c r="A43362" s="740"/>
    </row>
    <row r="43363" ht="14.25" customHeight="1">
      <c r="A43363" s="740"/>
    </row>
    <row r="43364" ht="14.25" customHeight="1">
      <c r="A43364" s="740"/>
    </row>
    <row r="43365" ht="14.25" customHeight="1">
      <c r="A43365" s="740"/>
    </row>
    <row r="43366" ht="14.25" customHeight="1">
      <c r="A43366" s="740"/>
    </row>
    <row r="43367" ht="14.25" customHeight="1">
      <c r="A43367" s="740"/>
    </row>
    <row r="43368" ht="14.25" customHeight="1">
      <c r="A43368" s="740"/>
    </row>
    <row r="43369" ht="14.25" customHeight="1">
      <c r="A43369" s="740"/>
    </row>
    <row r="43370" ht="14.25" customHeight="1">
      <c r="A43370" s="740"/>
    </row>
    <row r="43371" ht="14.25" customHeight="1">
      <c r="A43371" s="740"/>
    </row>
    <row r="43372" ht="14.25" customHeight="1">
      <c r="A43372" s="740"/>
    </row>
    <row r="43373" ht="14.25" customHeight="1">
      <c r="A43373" s="740"/>
    </row>
    <row r="43374" ht="14.25" customHeight="1">
      <c r="A43374" s="740"/>
    </row>
    <row r="43375" ht="14.25" customHeight="1">
      <c r="A43375" s="740"/>
    </row>
    <row r="43376" ht="14.25" customHeight="1">
      <c r="A43376" s="740"/>
    </row>
    <row r="43377" ht="14.25" customHeight="1">
      <c r="A43377" s="740"/>
    </row>
    <row r="43378" ht="14.25" customHeight="1">
      <c r="A43378" s="740"/>
    </row>
    <row r="43379" ht="14.25" customHeight="1">
      <c r="A43379" s="740"/>
    </row>
    <row r="43380" ht="14.25" customHeight="1">
      <c r="A43380" s="740"/>
    </row>
    <row r="43381" ht="14.25" customHeight="1">
      <c r="A43381" s="740"/>
    </row>
    <row r="43382" ht="14.25" customHeight="1">
      <c r="A43382" s="740"/>
    </row>
    <row r="43383" ht="14.25" customHeight="1">
      <c r="A43383" s="740"/>
    </row>
    <row r="43384" ht="14.25" customHeight="1">
      <c r="A43384" s="740"/>
    </row>
    <row r="43385" ht="14.25" customHeight="1">
      <c r="A43385" s="740"/>
    </row>
    <row r="43386" ht="14.25" customHeight="1">
      <c r="A43386" s="740"/>
    </row>
    <row r="43387" ht="14.25" customHeight="1">
      <c r="A43387" s="740"/>
    </row>
    <row r="43388" ht="14.25" customHeight="1">
      <c r="A43388" s="740"/>
    </row>
    <row r="43389" ht="14.25" customHeight="1">
      <c r="A43389" s="740"/>
    </row>
    <row r="43390" ht="14.25" customHeight="1">
      <c r="A43390" s="740"/>
    </row>
    <row r="43391" ht="14.25" customHeight="1">
      <c r="A43391" s="740"/>
    </row>
    <row r="43392" ht="14.25" customHeight="1">
      <c r="A43392" s="740"/>
    </row>
    <row r="43393" ht="14.25" customHeight="1">
      <c r="A43393" s="740"/>
    </row>
    <row r="43394" ht="14.25" customHeight="1">
      <c r="A43394" s="740"/>
    </row>
    <row r="43395" ht="14.25" customHeight="1">
      <c r="A43395" s="740"/>
    </row>
    <row r="43396" ht="14.25" customHeight="1">
      <c r="A43396" s="740"/>
    </row>
    <row r="43397" ht="14.25" customHeight="1">
      <c r="A43397" s="740"/>
    </row>
    <row r="43398" ht="14.25" customHeight="1">
      <c r="A43398" s="740"/>
    </row>
    <row r="43399" ht="14.25" customHeight="1">
      <c r="A43399" s="740"/>
    </row>
    <row r="43400" ht="14.25" customHeight="1">
      <c r="A43400" s="740"/>
    </row>
    <row r="43401" ht="14.25" customHeight="1">
      <c r="A43401" s="740"/>
    </row>
    <row r="43402" ht="14.25" customHeight="1">
      <c r="A43402" s="740"/>
    </row>
    <row r="43403" ht="14.25" customHeight="1">
      <c r="A43403" s="740"/>
    </row>
    <row r="43404" ht="14.25" customHeight="1">
      <c r="A43404" s="740"/>
    </row>
    <row r="43405" ht="14.25" customHeight="1">
      <c r="A43405" s="740"/>
    </row>
    <row r="43406" ht="14.25" customHeight="1">
      <c r="A43406" s="740"/>
    </row>
    <row r="43407" ht="14.25" customHeight="1">
      <c r="A43407" s="740"/>
    </row>
    <row r="43408" ht="14.25" customHeight="1">
      <c r="A43408" s="740"/>
    </row>
    <row r="43409" ht="14.25" customHeight="1">
      <c r="A43409" s="740"/>
    </row>
    <row r="43410" ht="14.25" customHeight="1">
      <c r="A43410" s="740"/>
    </row>
    <row r="43411" ht="14.25" customHeight="1">
      <c r="A43411" s="740"/>
    </row>
    <row r="43412" ht="14.25" customHeight="1">
      <c r="A43412" s="740"/>
    </row>
    <row r="43413" ht="14.25" customHeight="1">
      <c r="A43413" s="740"/>
    </row>
    <row r="43414" ht="14.25" customHeight="1">
      <c r="A43414" s="740"/>
    </row>
    <row r="43415" ht="14.25" customHeight="1">
      <c r="A43415" s="740"/>
    </row>
    <row r="43416" ht="14.25" customHeight="1">
      <c r="A43416" s="740"/>
    </row>
    <row r="43417" ht="14.25" customHeight="1">
      <c r="A43417" s="740"/>
    </row>
    <row r="43418" ht="14.25" customHeight="1">
      <c r="A43418" s="740"/>
    </row>
    <row r="43419" ht="14.25" customHeight="1">
      <c r="A43419" s="740"/>
    </row>
    <row r="43420" ht="14.25" customHeight="1">
      <c r="A43420" s="740"/>
    </row>
    <row r="43421" ht="14.25" customHeight="1">
      <c r="A43421" s="740"/>
    </row>
    <row r="43422" ht="14.25" customHeight="1">
      <c r="A43422" s="740"/>
    </row>
    <row r="43423" ht="14.25" customHeight="1">
      <c r="A43423" s="740"/>
    </row>
    <row r="43424" ht="14.25" customHeight="1">
      <c r="A43424" s="740"/>
    </row>
    <row r="43425" ht="14.25" customHeight="1">
      <c r="A43425" s="740"/>
    </row>
    <row r="43426" ht="14.25" customHeight="1">
      <c r="A43426" s="740"/>
    </row>
    <row r="43427" ht="14.25" customHeight="1">
      <c r="A43427" s="740"/>
    </row>
    <row r="43428" ht="14.25" customHeight="1">
      <c r="A43428" s="740"/>
    </row>
    <row r="43429" ht="14.25" customHeight="1">
      <c r="A43429" s="740"/>
    </row>
    <row r="43430" ht="14.25" customHeight="1">
      <c r="A43430" s="740"/>
    </row>
    <row r="43431" ht="14.25" customHeight="1">
      <c r="A43431" s="740"/>
    </row>
    <row r="43432" ht="14.25" customHeight="1">
      <c r="A43432" s="740"/>
    </row>
    <row r="43433" ht="14.25" customHeight="1">
      <c r="A43433" s="740"/>
    </row>
    <row r="43434" ht="14.25" customHeight="1">
      <c r="A43434" s="740"/>
    </row>
    <row r="43435" ht="14.25" customHeight="1">
      <c r="A43435" s="740"/>
    </row>
    <row r="43436" ht="14.25" customHeight="1">
      <c r="A43436" s="740"/>
    </row>
    <row r="43437" ht="14.25" customHeight="1">
      <c r="A43437" s="740"/>
    </row>
    <row r="43438" ht="14.25" customHeight="1">
      <c r="A43438" s="740"/>
    </row>
    <row r="43439" ht="14.25" customHeight="1">
      <c r="A43439" s="740"/>
    </row>
    <row r="43440" ht="14.25" customHeight="1">
      <c r="A43440" s="740"/>
    </row>
    <row r="43441" ht="14.25" customHeight="1">
      <c r="A43441" s="740"/>
    </row>
    <row r="43442" ht="14.25" customHeight="1">
      <c r="A43442" s="740"/>
    </row>
    <row r="43443" ht="14.25" customHeight="1">
      <c r="A43443" s="740"/>
    </row>
    <row r="43444" ht="14.25" customHeight="1">
      <c r="A43444" s="740"/>
    </row>
    <row r="43445" ht="14.25" customHeight="1">
      <c r="A43445" s="740"/>
    </row>
    <row r="43446" ht="14.25" customHeight="1">
      <c r="A43446" s="740"/>
    </row>
    <row r="43447" ht="14.25" customHeight="1">
      <c r="A43447" s="740"/>
    </row>
    <row r="43448" ht="14.25" customHeight="1">
      <c r="A43448" s="740"/>
    </row>
    <row r="43449" ht="14.25" customHeight="1">
      <c r="A43449" s="740"/>
    </row>
    <row r="43450" ht="14.25" customHeight="1">
      <c r="A43450" s="740"/>
    </row>
    <row r="43451" ht="14.25" customHeight="1">
      <c r="A43451" s="740"/>
    </row>
    <row r="43452" ht="14.25" customHeight="1">
      <c r="A43452" s="740"/>
    </row>
    <row r="43453" ht="14.25" customHeight="1">
      <c r="A43453" s="740"/>
    </row>
    <row r="43454" ht="14.25" customHeight="1">
      <c r="A43454" s="740"/>
    </row>
    <row r="43455" ht="14.25" customHeight="1">
      <c r="A43455" s="740"/>
    </row>
    <row r="43456" ht="14.25" customHeight="1">
      <c r="A43456" s="740"/>
    </row>
    <row r="43457" ht="14.25" customHeight="1">
      <c r="A43457" s="740"/>
    </row>
    <row r="43458" ht="14.25" customHeight="1">
      <c r="A43458" s="740"/>
    </row>
    <row r="43459" ht="14.25" customHeight="1">
      <c r="A43459" s="740"/>
    </row>
    <row r="43460" ht="14.25" customHeight="1">
      <c r="A43460" s="740"/>
    </row>
    <row r="43461" ht="14.25" customHeight="1">
      <c r="A43461" s="740"/>
    </row>
    <row r="43462" ht="14.25" customHeight="1">
      <c r="A43462" s="740"/>
    </row>
    <row r="43463" ht="14.25" customHeight="1">
      <c r="A43463" s="740"/>
    </row>
    <row r="43464" ht="14.25" customHeight="1">
      <c r="A43464" s="740"/>
    </row>
    <row r="43465" ht="14.25" customHeight="1">
      <c r="A43465" s="740"/>
    </row>
    <row r="43466" ht="14.25" customHeight="1">
      <c r="A43466" s="740"/>
    </row>
    <row r="43467" ht="14.25" customHeight="1">
      <c r="A43467" s="740"/>
    </row>
    <row r="43468" ht="14.25" customHeight="1">
      <c r="A43468" s="740"/>
    </row>
    <row r="43469" ht="14.25" customHeight="1">
      <c r="A43469" s="740"/>
    </row>
    <row r="43470" ht="14.25" customHeight="1">
      <c r="A43470" s="740"/>
    </row>
    <row r="43471" ht="14.25" customHeight="1">
      <c r="A43471" s="740"/>
    </row>
    <row r="43472" ht="14.25" customHeight="1">
      <c r="A43472" s="740"/>
    </row>
    <row r="43473" ht="14.25" customHeight="1">
      <c r="A43473" s="740"/>
    </row>
    <row r="43474" ht="14.25" customHeight="1">
      <c r="A43474" s="740"/>
    </row>
    <row r="43475" ht="14.25" customHeight="1">
      <c r="A43475" s="740"/>
    </row>
    <row r="43476" ht="14.25" customHeight="1">
      <c r="A43476" s="740"/>
    </row>
    <row r="43477" ht="14.25" customHeight="1">
      <c r="A43477" s="740"/>
    </row>
    <row r="43478" ht="14.25" customHeight="1">
      <c r="A43478" s="740"/>
    </row>
    <row r="43479" ht="14.25" customHeight="1">
      <c r="A43479" s="740"/>
    </row>
    <row r="43480" ht="14.25" customHeight="1">
      <c r="A43480" s="740"/>
    </row>
    <row r="43481" ht="14.25" customHeight="1">
      <c r="A43481" s="740"/>
    </row>
    <row r="43482" ht="14.25" customHeight="1">
      <c r="A43482" s="740"/>
    </row>
    <row r="43483" ht="14.25" customHeight="1">
      <c r="A43483" s="740"/>
    </row>
    <row r="43484" ht="14.25" customHeight="1">
      <c r="A43484" s="740"/>
    </row>
    <row r="43485" ht="14.25" customHeight="1">
      <c r="A43485" s="740"/>
    </row>
    <row r="43486" ht="14.25" customHeight="1">
      <c r="A43486" s="740"/>
    </row>
    <row r="43487" ht="14.25" customHeight="1">
      <c r="A43487" s="740"/>
    </row>
    <row r="43488" ht="14.25" customHeight="1">
      <c r="A43488" s="740"/>
    </row>
    <row r="43489" ht="14.25" customHeight="1">
      <c r="A43489" s="740"/>
    </row>
    <row r="43490" ht="14.25" customHeight="1">
      <c r="A43490" s="740"/>
    </row>
    <row r="43491" ht="14.25" customHeight="1">
      <c r="A43491" s="740"/>
    </row>
    <row r="43492" ht="14.25" customHeight="1">
      <c r="A43492" s="740"/>
    </row>
    <row r="43493" ht="14.25" customHeight="1">
      <c r="A43493" s="740"/>
    </row>
    <row r="43494" ht="14.25" customHeight="1">
      <c r="A43494" s="740"/>
    </row>
    <row r="43495" ht="14.25" customHeight="1">
      <c r="A43495" s="740"/>
    </row>
    <row r="43496" ht="14.25" customHeight="1">
      <c r="A43496" s="740"/>
    </row>
    <row r="43497" ht="14.25" customHeight="1">
      <c r="A43497" s="740"/>
    </row>
    <row r="43498" ht="14.25" customHeight="1">
      <c r="A43498" s="740"/>
    </row>
    <row r="43499" ht="14.25" customHeight="1">
      <c r="A43499" s="740"/>
    </row>
    <row r="43500" ht="14.25" customHeight="1">
      <c r="A43500" s="740"/>
    </row>
    <row r="43501" ht="14.25" customHeight="1">
      <c r="A43501" s="740"/>
    </row>
    <row r="43502" ht="14.25" customHeight="1">
      <c r="A43502" s="740"/>
    </row>
    <row r="43503" ht="14.25" customHeight="1">
      <c r="A43503" s="740"/>
    </row>
    <row r="43504" ht="14.25" customHeight="1">
      <c r="A43504" s="740"/>
    </row>
    <row r="43505" ht="14.25" customHeight="1">
      <c r="A43505" s="740"/>
    </row>
    <row r="43506" ht="14.25" customHeight="1">
      <c r="A43506" s="740"/>
    </row>
    <row r="43507" ht="14.25" customHeight="1">
      <c r="A43507" s="740"/>
    </row>
    <row r="43508" ht="14.25" customHeight="1">
      <c r="A43508" s="740"/>
    </row>
    <row r="43509" ht="14.25" customHeight="1">
      <c r="A43509" s="740"/>
    </row>
    <row r="43510" ht="14.25" customHeight="1">
      <c r="A43510" s="740"/>
    </row>
    <row r="43511" ht="14.25" customHeight="1">
      <c r="A43511" s="740"/>
    </row>
    <row r="43512" ht="14.25" customHeight="1">
      <c r="A43512" s="740"/>
    </row>
    <row r="43513" ht="14.25" customHeight="1">
      <c r="A43513" s="740"/>
    </row>
    <row r="43514" ht="14.25" customHeight="1">
      <c r="A43514" s="740"/>
    </row>
    <row r="43515" ht="14.25" customHeight="1">
      <c r="A43515" s="740"/>
    </row>
    <row r="43516" ht="14.25" customHeight="1">
      <c r="A43516" s="740"/>
    </row>
    <row r="43517" ht="14.25" customHeight="1">
      <c r="A43517" s="740"/>
    </row>
    <row r="43518" ht="14.25" customHeight="1">
      <c r="A43518" s="740"/>
    </row>
    <row r="43519" ht="14.25" customHeight="1">
      <c r="A43519" s="740"/>
    </row>
    <row r="43520" ht="14.25" customHeight="1">
      <c r="A43520" s="740"/>
    </row>
    <row r="43521" ht="14.25" customHeight="1">
      <c r="A43521" s="740"/>
    </row>
    <row r="43522" ht="14.25" customHeight="1">
      <c r="A43522" s="740"/>
    </row>
    <row r="43523" ht="14.25" customHeight="1">
      <c r="A43523" s="740"/>
    </row>
    <row r="43524" ht="14.25" customHeight="1">
      <c r="A43524" s="740"/>
    </row>
    <row r="43525" ht="14.25" customHeight="1">
      <c r="A43525" s="740"/>
    </row>
    <row r="43526" ht="14.25" customHeight="1">
      <c r="A43526" s="740"/>
    </row>
    <row r="43527" ht="14.25" customHeight="1">
      <c r="A43527" s="740"/>
    </row>
    <row r="43528" ht="14.25" customHeight="1">
      <c r="A43528" s="740"/>
    </row>
    <row r="43529" ht="14.25" customHeight="1">
      <c r="A43529" s="740"/>
    </row>
    <row r="43530" ht="14.25" customHeight="1">
      <c r="A43530" s="740"/>
    </row>
    <row r="43531" ht="14.25" customHeight="1">
      <c r="A43531" s="740"/>
    </row>
    <row r="43532" ht="14.25" customHeight="1">
      <c r="A43532" s="740"/>
    </row>
    <row r="43533" ht="14.25" customHeight="1">
      <c r="A43533" s="740"/>
    </row>
    <row r="43534" ht="14.25" customHeight="1">
      <c r="A43534" s="740"/>
    </row>
    <row r="43535" ht="14.25" customHeight="1">
      <c r="A43535" s="740"/>
    </row>
    <row r="43536" ht="14.25" customHeight="1">
      <c r="A43536" s="740"/>
    </row>
    <row r="43537" ht="14.25" customHeight="1">
      <c r="A43537" s="740"/>
    </row>
    <row r="43538" ht="14.25" customHeight="1">
      <c r="A43538" s="740"/>
    </row>
    <row r="43539" ht="14.25" customHeight="1">
      <c r="A43539" s="740"/>
    </row>
    <row r="43540" ht="14.25" customHeight="1">
      <c r="A43540" s="740"/>
    </row>
    <row r="43541" ht="14.25" customHeight="1">
      <c r="A43541" s="740"/>
    </row>
    <row r="43542" ht="14.25" customHeight="1">
      <c r="A43542" s="740"/>
    </row>
    <row r="43543" ht="14.25" customHeight="1">
      <c r="A43543" s="740"/>
    </row>
    <row r="43544" ht="14.25" customHeight="1">
      <c r="A43544" s="740"/>
    </row>
    <row r="43545" ht="14.25" customHeight="1">
      <c r="A43545" s="740"/>
    </row>
    <row r="43546" ht="14.25" customHeight="1">
      <c r="A43546" s="740"/>
    </row>
    <row r="43547" ht="14.25" customHeight="1">
      <c r="A43547" s="740"/>
    </row>
    <row r="43548" ht="14.25" customHeight="1">
      <c r="A43548" s="740"/>
    </row>
    <row r="43549" ht="14.25" customHeight="1">
      <c r="A43549" s="740"/>
    </row>
    <row r="43550" ht="14.25" customHeight="1">
      <c r="A43550" s="740"/>
    </row>
    <row r="43551" ht="14.25" customHeight="1">
      <c r="A43551" s="740"/>
    </row>
    <row r="43552" ht="14.25" customHeight="1">
      <c r="A43552" s="740"/>
    </row>
    <row r="43553" ht="14.25" customHeight="1">
      <c r="A43553" s="740"/>
    </row>
    <row r="43554" ht="14.25" customHeight="1">
      <c r="A43554" s="740"/>
    </row>
    <row r="43555" ht="14.25" customHeight="1">
      <c r="A43555" s="740"/>
    </row>
    <row r="43556" ht="14.25" customHeight="1">
      <c r="A43556" s="740"/>
    </row>
    <row r="43557" ht="14.25" customHeight="1">
      <c r="A43557" s="740"/>
    </row>
    <row r="43558" ht="14.25" customHeight="1">
      <c r="A43558" s="740"/>
    </row>
    <row r="43559" ht="14.25" customHeight="1">
      <c r="A43559" s="740"/>
    </row>
    <row r="43560" ht="14.25" customHeight="1">
      <c r="A43560" s="740"/>
    </row>
    <row r="43561" ht="14.25" customHeight="1">
      <c r="A43561" s="740"/>
    </row>
    <row r="43562" ht="14.25" customHeight="1">
      <c r="A43562" s="740"/>
    </row>
    <row r="43563" ht="14.25" customHeight="1">
      <c r="A43563" s="740"/>
    </row>
    <row r="43564" ht="14.25" customHeight="1">
      <c r="A43564" s="740"/>
    </row>
    <row r="43565" ht="14.25" customHeight="1">
      <c r="A43565" s="740"/>
    </row>
    <row r="43566" ht="14.25" customHeight="1">
      <c r="A43566" s="740"/>
    </row>
    <row r="43567" ht="14.25" customHeight="1">
      <c r="A43567" s="740"/>
    </row>
    <row r="43568" ht="14.25" customHeight="1">
      <c r="A43568" s="740"/>
    </row>
    <row r="43569" ht="14.25" customHeight="1">
      <c r="A43569" s="740"/>
    </row>
    <row r="43570" ht="14.25" customHeight="1">
      <c r="A43570" s="740"/>
    </row>
    <row r="43571" ht="14.25" customHeight="1">
      <c r="A43571" s="740"/>
    </row>
    <row r="43572" ht="14.25" customHeight="1">
      <c r="A43572" s="740"/>
    </row>
    <row r="43573" ht="14.25" customHeight="1">
      <c r="A43573" s="740"/>
    </row>
    <row r="43574" ht="14.25" customHeight="1">
      <c r="A43574" s="740"/>
    </row>
    <row r="43575" ht="14.25" customHeight="1">
      <c r="A43575" s="740"/>
    </row>
    <row r="43576" ht="14.25" customHeight="1">
      <c r="A43576" s="740"/>
    </row>
  </sheetData>
  <sheetProtection formatCells="0" formatColumns="0" formatRows="0" insertColumns="0" insertRows="0" sort="0" autoFilter="0" pivotTables="0"/>
  <mergeCells>
    <mergeCell ref="B59:B63"/>
    <mergeCell ref="AJ157:AN158"/>
    <mergeCell ref="AJ160:AN161"/>
    <mergeCell ref="AJ123:AN124"/>
    <mergeCell ref="AJ139:AN141"/>
    <mergeCell ref="AJ146:AN147"/>
    <mergeCell ref="AJ125:AN126"/>
    <mergeCell ref="AJ142:AN143"/>
    <mergeCell ref="AJ148:AN149"/>
    <mergeCell ref="AJ84:AJ86"/>
    <mergeCell ref="AM83:AM85"/>
    <mergeCell ref="AJ151:AN152"/>
    <mergeCell ref="AJ154:AN155"/>
    <mergeCell ref="AJ116:AN117"/>
    <mergeCell ref="AJ119:AN120"/>
    <mergeCell ref="A4:B4"/>
    <mergeCell ref="E24:P24"/>
    <mergeCell ref="E4:P4"/>
    <mergeCell ref="R4:Y4"/>
    <mergeCell ref="R24:Y24"/>
    <mergeCell ref="D20:AH22"/>
    <mergeCell ref="E2:AH2"/>
    <mergeCell ref="BD10:BH10"/>
    <mergeCell ref="AJ64:AN65"/>
    <mergeCell ref="AJ66:AN67"/>
    <mergeCell ref="AJ114:AN115"/>
    <mergeCell ref="AJ110:AN111"/>
    <mergeCell ref="AJ88:AN89"/>
    <mergeCell ref="AJ112:AN113"/>
    <mergeCell ref="AA4:AH4"/>
    <mergeCell ref="AA24:AH24"/>
    <mergeCell ref="AJ55:AN56"/>
    <mergeCell ref="AJ58:AN59"/>
    <mergeCell ref="AJ62:AN63"/>
    <mergeCell ref="AJ60:AN61"/>
    <mergeCell ref="BD24:BH24"/>
    <mergeCell ref="BD38:BH38"/>
    <mergeCell ref="AZ10:BA10"/>
    <mergeCell ref="BB10:BC10"/>
    <mergeCell ref="AZ24:BA24"/>
    <mergeCell ref="BB24:BC24"/>
    <mergeCell ref="AZ38:BA38"/>
    <mergeCell ref="BB38:BC38"/>
  </mergeCells>
  <conditionalFormatting sqref="B32">
    <cfRule type="cellIs" dxfId="12" priority="123" operator="equal" text="null">
      <formula>"Requires Manual Lookup"</formula>
    </cfRule>
  </conditionalFormatting>
  <conditionalFormatting sqref="B21:B22">
    <cfRule type="cellIs" dxfId="12" priority="122" operator="equal" text="null">
      <formula>"Requires Manual Lookup"</formula>
    </cfRule>
  </conditionalFormatting>
  <conditionalFormatting sqref="D63">
    <cfRule type="cellIs" dxfId="13" priority="121" operator="equal" text="null">
      <formula>"Link Loan Adder (warning: market size)"</formula>
    </cfRule>
  </conditionalFormatting>
  <conditionalFormatting sqref="E63:P63">
    <cfRule type="expression" dxfId="13" priority="120" text="null">
      <formula>$D$63="Link Loan Adder (warning: market size)"</formula>
    </cfRule>
  </conditionalFormatting>
  <conditionalFormatting sqref="E37:P37">
    <cfRule type="expression" dxfId="12" priority="119" text="null">
      <formula>AND(E30&gt;0,E37&lt;3500)</formula>
    </cfRule>
  </conditionalFormatting>
  <conditionalFormatting sqref="E36:P36">
    <cfRule type="expression" dxfId="12" priority="118" text="null">
      <formula>AND(E30&gt;0,E36&lt;25000)</formula>
    </cfRule>
  </conditionalFormatting>
  <conditionalFormatting sqref="E31:P32">
    <cfRule type="expression" dxfId="13" priority="116" text="null">
      <formula>(E$31+E$32)&lt;E$33</formula>
    </cfRule>
  </conditionalFormatting>
  <conditionalFormatting sqref="K25:P25 Y25">
    <cfRule type="expression" dxfId="12" priority="115" text="null">
      <formula>AND(K25&lt;&gt;0,K25&lt;1500000)</formula>
    </cfRule>
  </conditionalFormatting>
  <conditionalFormatting sqref="K25:P25">
    <cfRule type="cellIs" dxfId="12" priority="114" operator="greaterThan" text="null">
      <formula>7500000</formula>
    </cfRule>
  </conditionalFormatting>
  <conditionalFormatting sqref="Y25">
    <cfRule type="cellIs" dxfId="12" priority="113" operator="greaterThan" text="null">
      <formula>9000000</formula>
    </cfRule>
  </conditionalFormatting>
  <conditionalFormatting sqref="E30:P30 R30:Y30">
    <cfRule type="expression" dxfId="12" priority="112" text="null">
      <formula>AND(E30&lt;&gt;0,E30&lt;1500000)</formula>
    </cfRule>
  </conditionalFormatting>
  <conditionalFormatting sqref="E30:P30">
    <cfRule type="cellIs" dxfId="12" priority="111" operator="greaterThan" text="null">
      <formula>7500000</formula>
    </cfRule>
  </conditionalFormatting>
  <conditionalFormatting sqref="R30:Y30">
    <cfRule type="cellIs" dxfId="12" priority="110" operator="greaterThan" text="null">
      <formula>6000000</formula>
    </cfRule>
  </conditionalFormatting>
  <conditionalFormatting sqref="E48:P48">
    <cfRule type="containsText" dxfId="12" priority="50" operator="containsText" text="FAIL">
      <formula>NOT(ISERROR(SEARCH("FAIL",E48)))</formula>
    </cfRule>
  </conditionalFormatting>
  <conditionalFormatting sqref="E48:P48">
    <cfRule type="containsText" dxfId="14" priority="107" operator="containsText" text="PASS">
      <formula>NOT(ISERROR(SEARCH("PASS",E48)))</formula>
    </cfRule>
  </conditionalFormatting>
  <conditionalFormatting sqref="E49:P49">
    <cfRule type="containsText" dxfId="12" priority="103" operator="containsText" text="FAIL">
      <formula>NOT(ISERROR(SEARCH("FAIL",E49)))</formula>
    </cfRule>
  </conditionalFormatting>
  <conditionalFormatting sqref="E49:P49">
    <cfRule type="containsText" dxfId="14" priority="104" operator="containsText" text="PASS">
      <formula>NOT(ISERROR(SEARCH("PASS",E49)))</formula>
    </cfRule>
  </conditionalFormatting>
  <conditionalFormatting sqref="E49:P49">
    <cfRule type="containsText" dxfId="14" priority="106" operator="containsText" text="Top">
      <formula>NOT(ISERROR(SEARCH("Top",E49)))</formula>
    </cfRule>
  </conditionalFormatting>
  <conditionalFormatting sqref="R23:Y23">
    <cfRule type="cellIs" dxfId="14" priority="102" operator="equal" text="null">
      <formula>"Selected"</formula>
    </cfRule>
  </conditionalFormatting>
  <conditionalFormatting sqref="E23:P23">
    <cfRule type="cellIs" dxfId="14" priority="101" operator="equal" text="null">
      <formula>"Selected"</formula>
    </cfRule>
  </conditionalFormatting>
  <conditionalFormatting sqref="B39">
    <cfRule type="expression" dxfId="11" priority="127" text="null">
      <formula>$B$38="Acquisition"</formula>
    </cfRule>
  </conditionalFormatting>
  <conditionalFormatting sqref="A39">
    <cfRule type="expression" dxfId="8" priority="128" text="null">
      <formula>$B$38="Refinance"</formula>
    </cfRule>
  </conditionalFormatting>
  <conditionalFormatting sqref="A49">
    <cfRule type="expression" dxfId="1" priority="58" text="null">
      <formula>$B$48="Performance Differentiation"</formula>
    </cfRule>
  </conditionalFormatting>
  <conditionalFormatting sqref="R82:Y82">
    <cfRule type="expression" dxfId="14" priority="56" text="null">
      <formula>R82="PD: Pass"</formula>
    </cfRule>
  </conditionalFormatting>
  <conditionalFormatting sqref="R82:Y82">
    <cfRule type="expression" dxfId="15" priority="57" text="null">
      <formula>R82="PD: Fail"</formula>
    </cfRule>
  </conditionalFormatting>
  <conditionalFormatting sqref="D29">
    <cfRule type="expression" dxfId="16" priority="52" text="null">
      <formula>SUM($E$29:$Y$29)=0</formula>
    </cfRule>
  </conditionalFormatting>
  <conditionalFormatting sqref="D32">
    <cfRule type="expression" dxfId="13" priority="51" text="null">
      <formula>RIGHT(D32,10)="below min)"</formula>
    </cfRule>
  </conditionalFormatting>
  <conditionalFormatting sqref="AA36:AH36">
    <cfRule type="expression" dxfId="12" priority="45" text="null">
      <formula>IFERROR(FIND("&lt;",AA36)&gt;0,FALSE)</formula>
    </cfRule>
  </conditionalFormatting>
  <conditionalFormatting sqref="AA30:AH30">
    <cfRule type="cellIs" dxfId="12" priority="42" operator="between" text="null">
      <formula>1</formula>
      <formula>2000000</formula>
    </cfRule>
  </conditionalFormatting>
  <conditionalFormatting sqref="AA30:AH30">
    <cfRule type="cellIs" dxfId="12" priority="41" operator="greaterThan" text="null">
      <formula>15000000</formula>
    </cfRule>
  </conditionalFormatting>
  <conditionalFormatting sqref="AA37:AH37">
    <cfRule type="cellIs" dxfId="12" priority="40" operator="between" text="null">
      <formula>1</formula>
      <formula>3500</formula>
    </cfRule>
  </conditionalFormatting>
  <conditionalFormatting sqref="AA23:AH23">
    <cfRule type="cellIs" dxfId="14" priority="39" operator="equal" text="null">
      <formula>"Selected"</formula>
    </cfRule>
  </conditionalFormatting>
  <conditionalFormatting sqref="AI27 AI29">
    <cfRule type="expression" dxfId="15" priority="571" stopIfTrue="1" text="null">
      <formula>AND(AI$101,AI$29&gt;0,AI$27-AI$28&lt;&gt;AI$29)</formula>
    </cfRule>
  </conditionalFormatting>
  <conditionalFormatting sqref="AI27">
    <cfRule type="expression" dxfId="17" priority="573" text="null">
      <formula>AND(AI$101,AI$28&gt;0,AI$29&gt;0,AI$27-AI$28=AI$29)</formula>
    </cfRule>
  </conditionalFormatting>
  <conditionalFormatting sqref="AI28">
    <cfRule type="expression" dxfId="18" priority="574" text="null">
      <formula>AND(AI$101,AI$28&gt;0,AI$29&gt;0,AI$27-AI$28=AI$29)</formula>
    </cfRule>
  </conditionalFormatting>
  <conditionalFormatting sqref="AA94:AH94">
    <cfRule type="expression" dxfId="19" priority="35" text="null">
      <formula>AND(AA94&gt;=1.1,AA94&lt;1.2)</formula>
    </cfRule>
  </conditionalFormatting>
  <conditionalFormatting sqref="AA94:AH94">
    <cfRule type="expression" dxfId="12" priority="36" text="null">
      <formula>AND(AA94&gt;0,AA94&lt;1.1)</formula>
    </cfRule>
  </conditionalFormatting>
  <conditionalFormatting sqref="AA95:AH95">
    <cfRule type="expression" dxfId="19" priority="33" text="null">
      <formula>AND(AA95&gt;=5%,AA95&lt;5.5%)</formula>
    </cfRule>
  </conditionalFormatting>
  <conditionalFormatting sqref="AA95:AH95">
    <cfRule type="expression" dxfId="12" priority="34" text="null">
      <formula>AND(AA95&gt;0,AA95&lt;5%)</formula>
    </cfRule>
  </conditionalFormatting>
  <conditionalFormatting sqref="Y26">
    <cfRule type="expression" dxfId="15" priority="32" text="null">
      <formula>LET(Term,Y26,Term="20 YR Fixed")</formula>
    </cfRule>
  </conditionalFormatting>
  <conditionalFormatting sqref="E28:AH28 E30:AH30">
    <cfRule type="expression" dxfId="15" priority="576" stopIfTrue="1" text="null">
      <formula>AND(E$102,E$30&gt;0,E$28-E$29&lt;&gt;E$30)</formula>
    </cfRule>
  </conditionalFormatting>
  <conditionalFormatting sqref="E28:AH28">
    <cfRule type="expression" dxfId="17" priority="580" text="null">
      <formula>AND(E$102,E$29&gt;0,E$30&gt;0,E$28-E$29=E$30)</formula>
    </cfRule>
  </conditionalFormatting>
  <conditionalFormatting sqref="E29:AH29">
    <cfRule type="expression" dxfId="18" priority="582" text="null">
      <formula>AND(E$102,E$29&gt;0,E$30&gt;0,E$28-E$29=E$30)</formula>
    </cfRule>
  </conditionalFormatting>
  <conditionalFormatting sqref="R27:Y27">
    <cfRule type="expression" dxfId="15" priority="31" text="null">
      <formula>LEN(R27)&gt;0</formula>
    </cfRule>
  </conditionalFormatting>
  <conditionalFormatting sqref="R56:Y56 R50:Z52">
    <cfRule type="expression" dxfId="15" priority="30" text="null">
      <formula>AND(LEN(R$27)&gt;0,ISFORMULA(R50))</formula>
    </cfRule>
  </conditionalFormatting>
  <conditionalFormatting sqref="R37:Y37">
    <cfRule type="expression" dxfId="12" priority="29" text="null">
      <formula>AND(R30&gt;0,R37&lt;3500)</formula>
    </cfRule>
  </conditionalFormatting>
  <conditionalFormatting sqref="R36:Y36">
    <cfRule type="expression" dxfId="12" priority="28" text="null">
      <formula>AND(R30&gt;0,R36&lt;25000)</formula>
    </cfRule>
  </conditionalFormatting>
  <conditionalFormatting sqref="R63:Y63">
    <cfRule type="expression" dxfId="13" priority="27" text="null">
      <formula>$D$63="Link Loan Adder (warning: market size)"</formula>
    </cfRule>
  </conditionalFormatting>
  <conditionalFormatting sqref="AA48">
    <cfRule type="containsText" dxfId="12" priority="22" operator="containsText" text="FAIL">
      <formula>NOT(ISERROR(SEARCH("FAIL",AA48)))</formula>
    </cfRule>
  </conditionalFormatting>
  <conditionalFormatting sqref="AA48">
    <cfRule type="containsText" dxfId="14" priority="23" operator="containsText" text="PASS">
      <formula>NOT(ISERROR(SEARCH("PASS",AA48)))</formula>
    </cfRule>
  </conditionalFormatting>
  <conditionalFormatting sqref="AA49:AH49">
    <cfRule type="containsText" dxfId="11" priority="17" operator="containsText" text="See cell">
      <formula>NOT(ISERROR(SEARCH("See cell",AA49)))</formula>
    </cfRule>
  </conditionalFormatting>
  <conditionalFormatting sqref="AA49:AH49">
    <cfRule type="containsText" dxfId="12" priority="19" operator="containsText" text="FAIL">
      <formula>NOT(ISERROR(SEARCH("FAIL",AA49)))</formula>
    </cfRule>
  </conditionalFormatting>
  <conditionalFormatting sqref="AA49:AH49">
    <cfRule type="containsText" dxfId="14" priority="20" operator="containsText" text="PASS">
      <formula>NOT(ISERROR(SEARCH("PASS",AA49)))</formula>
    </cfRule>
  </conditionalFormatting>
  <conditionalFormatting sqref="AA38:AH38">
    <cfRule type="expression" dxfId="15" priority="16" text="null">
      <formula>ISERROR(MATCH(AA38,IF(RIGHT(AA26,8)="Floating",FRE_PrepayOptions_3YrFloating,IF(AA26="5 YR Fixed",FRE_PrepayOptions_5YrFixed,IF(AA26="7 YR Fixed",FRE_PrepayOptions_7YrFixed,FRE_PrepayOptions_10YrFixed))),0))</formula>
    </cfRule>
  </conditionalFormatting>
  <conditionalFormatting sqref="AA63:AH63">
    <cfRule type="expression" dxfId="13" priority="15" text="null">
      <formula>$D$63="Link Loan Adder (warning: market size)"</formula>
    </cfRule>
  </conditionalFormatting>
  <conditionalFormatting sqref="AA65:AH65">
    <cfRule type="expression" dxfId="13" priority="14" text="null">
      <formula>$D$63="Link Loan Adder (warning: market size)"</formula>
    </cfRule>
  </conditionalFormatting>
  <conditionalFormatting sqref="AA50:AH50">
    <cfRule type="expression" dxfId="11" priority="13" text="null">
      <formula>AA$50&lt;=0.0001%</formula>
    </cfRule>
  </conditionalFormatting>
  <conditionalFormatting sqref="A35">
    <cfRule type="expression" dxfId="20" priority="11" stopIfTrue="1" text="null">
      <formula>$B$12&lt;51</formula>
    </cfRule>
  </conditionalFormatting>
  <conditionalFormatting sqref="B35">
    <cfRule type="expression" dxfId="21" priority="10" text="null">
      <formula>$B$12&lt;51</formula>
    </cfRule>
  </conditionalFormatting>
  <conditionalFormatting sqref="E25:J25">
    <cfRule type="expression" dxfId="12" priority="9" text="null">
      <formula>AND(E25&lt;&gt;0,E25&lt;1500000)</formula>
    </cfRule>
  </conditionalFormatting>
  <conditionalFormatting sqref="E25:J25">
    <cfRule type="cellIs" dxfId="12" priority="8" operator="greaterThan" text="null">
      <formula>7500000</formula>
    </cfRule>
  </conditionalFormatting>
  <conditionalFormatting sqref="R26:X26">
    <cfRule type="expression" dxfId="15" priority="7" text="null">
      <formula>LET(Term,R26,Term="20 YR Fixed")</formula>
    </cfRule>
  </conditionalFormatting>
  <conditionalFormatting sqref="R25:X25">
    <cfRule type="expression" dxfId="12" priority="6" text="null">
      <formula>AND(R25&lt;&gt;0,R25&lt;1500000)</formula>
    </cfRule>
  </conditionalFormatting>
  <conditionalFormatting sqref="R25:X25">
    <cfRule type="cellIs" dxfId="12" priority="5" operator="greaterThan" text="null">
      <formula>9000000</formula>
    </cfRule>
  </conditionalFormatting>
  <conditionalFormatting sqref="R31:X32">
    <cfRule type="expression" dxfId="13" priority="4" text="null">
      <formula>(R$31+R$32)&lt;R$33</formula>
    </cfRule>
  </conditionalFormatting>
  <conditionalFormatting sqref="AA25:AH25">
    <cfRule type="expression" dxfId="12" priority="3" text="null">
      <formula>AND(AA25&lt;&gt;0,AA25&lt;1500000)</formula>
    </cfRule>
  </conditionalFormatting>
  <conditionalFormatting sqref="AA25:AH25">
    <cfRule type="cellIs" dxfId="12" priority="2" operator="greaterThan" text="null">
      <formula>6000000</formula>
    </cfRule>
  </conditionalFormatting>
  <conditionalFormatting sqref="R60:Y60">
    <cfRule type="expression" dxfId="15" priority="1" text="null">
      <formula>AND(LEN(R$27)&gt;0,ISFORMULA(R60))</formula>
    </cfRule>
  </conditionalFormatting>
  <dataValidations count="56">
    <dataValidation allowBlank="1" showErrorMessage="1" showInputMessage="1" sqref="AA39:AH39" type="list">
      <formula1>"Tier 2 (70%),Tier 3 (65%),Tier 4 (60%)"</formula1>
    </dataValidation>
    <dataValidation allowBlank="1" showErrorMessage="1" showInputMessage="1" sqref="AA26:AH26" type="list">
      <formula1>"3 YR Floating,5 YR Floating,7 YR Floating,10 YR Floating,5 YR Fixed,7 YR Fixed,10 YR Fixed"</formula1>
    </dataValidation>
    <dataValidation allowBlank="1" showErrorMessage="1" showInputMessage="1" sqref="AA38:AH38" type="list">
      <formula1>IF(RIGHT(AA26,8) ="Floating",FRE_PrepayOptions_3YrFloating,IF(AA26="5 YR Fixed",PropCap_PrepayOptions_5YrFixed,IF(AA26="7 YR Fixed",FRE_PrepayOptions_7YrFixed,FRE_PrepayOptions_10YrFixed)))</formula1>
    </dataValidation>
    <dataValidation allowBlank="1" error="You must select from the listed values." errorTitle="Invalid Premium Buy-up" showErrorMessage="1" showInputMessage="1" sqref="AA32:AH32" type="list">
      <formula1>"0,0.25%,0.50%, 0.75%, 1%"</formula1>
    </dataValidation>
    <dataValidation allowBlank="1" error="Must be whole number,_x005F_x005F_x000A_either 11 digits, or_x005F_x005F_x000A_10 digits with a leading zero." errorTitle="Invalid Census Tract #" showErrorMessage="1" showInputMessage="1" sqref="B10" type="whole">
      <formula1>1000000000</formula1>
      <formula2>99999999999</formula2>
    </dataValidation>
    <dataValidation allowBlank="1" error="Must be a 4-digit whole number,_x005F_x005F_x000A_not in the future." errorTitle="Invalid Year" showErrorMessage="1" showInputMessage="1" sqref="B14" type="whole">
      <formula1>1850</formula1>
      <formula2>YEAR(TODAY())</formula2>
    </dataValidation>
    <dataValidation allowBlank="1" showErrorMessage="1" showInputMessage="1" sqref="AA47:AH47" type="list">
      <formula1>"Standard"</formula1>
    </dataValidation>
    <dataValidation allowBlank="1" showErrorMessage="1" showInputMessage="1" sqref="E38:P38" type="list">
      <formula1>IF(OR(E26="5 YR Fixed",E26="5 YR Hybrid"),FRE_PrepayOptions_5YrFixed,IF(OR(E26="7 YR Fixed",E26="7 YR Hybrid"),FRE_PrepayOptions_7YrFixed,FRE_PrepayOptions_10YrFixed))</formula1>
    </dataValidation>
    <dataValidation showErrorMessage="1" showInputMessage="1" sqref="AN5" type="list">
      <formula1>$BM$2:$BM$16</formula1>
    </dataValidation>
    <dataValidation operator="lessThanOrEqual" allowBlank="1" showErrorMessage="1" showInputMessage="1" sqref="E43:P43 R43:Y43 AA43:AH43 AJ43:AN43" type="decimal">
      <formula1>_xlfn.NUMBERVALUE(TRIM(LEFT(E26,2)))</formula1>
    </dataValidation>
    <dataValidation allowBlank="1" showErrorMessage="1" showInputMessage="1" sqref="B47" type="list">
      <formula1>"TRUE, FALSE"</formula1>
    </dataValidation>
    <dataValidation operator="lessThanOrEqual" allowBlank="1" error="Must be a valid Excel date, _x005F_x005F_x000A_not in the future." errorTitle="Invalid Date" showErrorMessage="1" showInputMessage="1" sqref="AQ4" type="date">
      <formula1>TODAY()</formula1>
    </dataValidation>
    <dataValidation allowBlank="1" showErrorMessage="1" showInputMessage="1" sqref="B49" type="list">
      <formula1>Dropdowns_BorrowerPriority</formula1>
    </dataValidation>
    <dataValidation allowBlank="1" showErrorMessage="1" showInputMessage="1" sqref="R99:Y99 AA99:AH99 AI97" type="list">
      <formula1>"Select,1-83mo,84-119mo,120-143mo,144mo+"</formula1>
    </dataValidation>
    <dataValidation allowBlank="1" error="You must pick from the list." errorTitle="Invalid Selection" showErrorMessage="1" showInputMessage="1" sqref="R1 AA1" type="list">
      <formula1>"0,1,2,3,4,5,6,7,8"</formula1>
    </dataValidation>
    <dataValidation allowBlank="1" error="You must chose from the list." errorTitle="Invalid Selection" showErrorMessage="1" showInputMessage="1" sqref="E1" type="list">
      <formula1>"0,1,2,3,4,5,6,7,8,9,10,11,12"</formula1>
    </dataValidation>
    <dataValidation allowBlank="1" error="Must be a valid Excel date,_x005F_x005F_x000A_not in the future, _x005F_x005F_x000A_and not more than 90 days ago." errorTitle="Invalid Date" showErrorMessage="1" showInputMessage="1" sqref="B15" type="date">
      <formula1>TODAY()-90</formula1>
      <formula2>TODAY()</formula2>
    </dataValidation>
    <dataValidation allowBlank="1" showErrorMessage="1" showInputMessage="1" sqref="E97 R39:Y39" type="list">
      <formula1>"2,3,4"</formula1>
    </dataValidation>
    <dataValidation allowBlank="1" showErrorMessage="1" showInputMessage="1" sqref="B50:B51" type="list">
      <formula1>"Select,No,Yes"</formula1>
    </dataValidation>
    <dataValidation allowBlank="1" showErrorMessage="1" showInputMessage="1" sqref="AN32" type="list">
      <formula1>"Conventional, Supplemental, Seniors, Dedicated Student"</formula1>
    </dataValidation>
    <dataValidation allowBlank="1" showErrorMessage="1" showInputMessage="1" sqref="AN33" type="list">
      <formula1>"2nd Supplemental"</formula1>
    </dataValidation>
    <dataValidation allowBlank="1" showErrorMessage="1" showInputMessage="1" sqref="AN34" type="list">
      <formula1>"3rd Supplemental"</formula1>
    </dataValidation>
    <dataValidation allowBlank="1" showErrorMessage="1" showInputMessage="1" sqref="AN35" type="list">
      <formula1>"Assumption"</formula1>
    </dataValidation>
    <dataValidation allowBlank="1" showErrorMessage="1" showInputMessage="1" sqref="AN36" type="list">
      <formula1>"Chapter 9 SBL, ILP"</formula1>
    </dataValidation>
    <dataValidation allowBlank="1" showErrorMessage="1" showInputMessage="1" sqref="AJ30" type="list">
      <formula1>"If Refinance,If Acquisition (within 1 year),If Acquisition (beyond 1 year),If Construction"</formula1>
    </dataValidation>
    <dataValidation allowBlank="1" error="must choose from the list based on list found in the 'Dropdowns (DNP)' very-hidden worksheet." errorTitle="Invalid Delegated Level" showErrorMessage="1" showInputMessage="1" sqref="C39"/>
    <dataValidation allowBlank="1" error="must choose from the list based on list found in the 'Dropdowns (DNP)' very-hidden worksheet." errorTitle="Invalid Delegated Level" showErrorMessage="1" showInputMessage="1" sqref="B48" type="list">
      <formula1>Dropdowns_DelegatedLevel</formula1>
    </dataValidation>
    <dataValidation allowBlank="1" error="Must be 5 digit number." errorTitle="Invalid ZipCode" showErrorMessage="1" showInputMessage="1" sqref="B9" type="custom">
      <formula1>LEN(B9)=5</formula1>
    </dataValidation>
    <dataValidation allowBlank="1" showErrorMessage="1" showInputMessage="1" sqref="AN46:AN48 AK72:AK75 AN41:AN42 AK44:AK46 AN79:AN83 AK78:AK84 AK128:AK130 AN132:AN136 AK135:AK136 AK50:AK51" type="list">
      <formula1>"Select,Yes,No"</formula1>
    </dataValidation>
    <dataValidation allowBlank="1" showErrorMessage="1" showInputMessage="1" sqref="AN100 AN92 AK100:AL100 AK92:AL92 AN104 AK104:AL104" type="list">
      <formula1>#REF!</formula1>
    </dataValidation>
    <dataValidation showErrorMessage="1" showInputMessage="1" sqref="AN20" type="list">
      <formula1>"Select,No Direct Value Add / Market forces only w/ Stable T-24 Occ.,Value Add w/ Stable T12 Occ.,Value Add w/ Lease-up or Retenanting over T12,New Construction w/ Lease Up over T12,Unstable Physical Occupancy over T-24 (other)"</formula1>
    </dataValidation>
    <dataValidation allowBlank="1" showErrorMessage="1" showInputMessage="1" sqref="AN10" type="list">
      <formula1>"Select,Fannie,Freddie,Other"</formula1>
    </dataValidation>
    <dataValidation allowBlank="1" showErrorMessage="1" showInputMessage="1" sqref="AK7 B18" type="list">
      <formula1>DataPage_MSA_Type_List</formula1>
    </dataValidation>
    <dataValidation allowBlank="1" showErrorMessage="1" showInputMessage="1" sqref="AK14" type="list">
      <formula1>"Select,Garden,Mid-Rise,Single Family Rental,Townhouse,Other"</formula1>
    </dataValidation>
    <dataValidation allowBlank="1" error="You must select from the list." errorTitle="Invalid Property Type" showErrorMessage="1" showInputMessage="1" sqref="B13" type="list">
      <formula1>"Multifamily,Cooperative,Dedicated Student,Manufactured Housing,Seniors,Military"</formula1>
    </dataValidation>
    <dataValidation showErrorMessage="1" showInputMessage="1" sqref="AK16" type="list">
      <formula1>"Select,A,A-/B+,B,B-/C+,C"</formula1>
    </dataValidation>
    <dataValidation showErrorMessage="1" showInputMessage="1" sqref="AK20" type="list">
      <formula1>"Select,Acquisition,Financing within 1 year of acquisition,Refinance within 3 years of acquisition,Refinance of a long-term hold"</formula1>
    </dataValidation>
    <dataValidation allowBlank="1" showErrorMessage="1" showInputMessage="1" sqref="AK11" type="list">
      <formula1>"Select,1,2,3,4,5"</formula1>
    </dataValidation>
    <dataValidation allowBlank="1" showErrorMessage="1" showInputMessage="1" sqref="B58" type="list">
      <formula1>DropDowns_ProducerNames</formula1>
    </dataValidation>
    <dataValidation allowBlank="1" showErrorMessage="1" showInputMessage="1" sqref="R38:Y38" type="list">
      <formula1>"Yield Maintenance, Prepayment Lockout, Declining Premium, Defeasance, Defeasance Lockout, Fee Maintenance, Other Prepayment Premium,1%  Fixed Prepayment"</formula1>
    </dataValidation>
    <dataValidation allowBlank="1" showErrorMessage="1" showInputMessage="1" sqref="E47:P47" type="list">
      <formula1>"Standard Delivery,30-Days,60-Days,90-Days,120-Days,150-Days"</formula1>
    </dataValidation>
    <dataValidation allowBlank="1" showErrorMessage="1" showInputMessage="1" sqref="B53" type="list">
      <formula1>"None,Freddie Mac SBL,Fannie Mae SML,Proprietary Capital"</formula1>
    </dataValidation>
    <dataValidation allowBlank="1" showErrorMessage="1" showInputMessage="1" sqref="B54" type="list">
      <formula1>IF(LEFT($B$53,7) ="Freddie",DropDowns_FRE_LoanOptions,IF(LEFT($B$53,6) ="Fannie",DropDowns_FNM_LoanOptions,DropDowns_PC_LoanOptions))</formula1>
    </dataValidation>
    <dataValidation allowBlank="1" showErrorMessage="1" showInputMessage="1" sqref="B38" type="list">
      <formula1>"Acquisition,Refinance"</formula1>
    </dataValidation>
    <dataValidation allowBlank="1" showErrorMessage="1" showInputMessage="1" sqref="E26:P26" type="list">
      <formula1>"5 YR Hybrid,7 YR Hybrid,10 YR Hybrid,5 YR Fixed,7 YR Fixed,10 YR Fixed"</formula1>
    </dataValidation>
    <dataValidation allowBlank="1" showErrorMessage="1" showInputMessage="1" sqref="R26:Y26" type="list">
      <formula1>Dropdowns_FNM_TermOptions</formula1>
    </dataValidation>
    <dataValidation allowBlank="1" showErrorMessage="1" showInputMessage="1" sqref="R32:Y32 E35:P35 E32:P32" type="list">
      <formula1>"0.000%,0.125%,0.250%,0.375%,0.500%,0.625%,0.750%,0.875%,1.000%,1.125%,1.250%,1.375%,1.500%,1.625%,1.750%,1.875%,2.000%,2.125%,2.250%,2.375%,2.500%,2.625%,2.750%,2.875%,3.000%,3.125%,3.250%,3.375%,3.500%,3.625%,3.750%,3.875%,4.000%"</formula1>
    </dataValidation>
    <dataValidation allowBlank="1" showErrorMessage="1" showInputMessage="1" sqref="B24:B31 B34:B37" type="list">
      <formula1>"Yes,No"</formula1>
    </dataValidation>
    <dataValidation allowBlank="1" showErrorMessage="1" showInputMessage="1" sqref="B21" type="list">
      <formula1>"NC,NE,SC,SE,WE"</formula1>
    </dataValidation>
    <dataValidation allowBlank="1" showErrorMessage="1" showInputMessage="1" sqref="B22" type="list">
      <formula1>"Top,Standard,Small,Very Small"</formula1>
    </dataValidation>
    <dataValidation allowBlank="1" showErrorMessage="1" showInputMessage="1" sqref="R47:Y47" type="list">
      <formula1>"Standard,90 Days,120 Days,150 Days,180 Days,210 Days,240 Days,270 Days,365 Days"</formula1>
    </dataValidation>
    <dataValidation allowBlank="1" showErrorMessage="1" showInputMessage="1" sqref="B32" type="list">
      <formula1>"Nationwide,Eligible,Strong,Pre-Review"</formula1>
    </dataValidation>
  </dataValidations>
  <hyperlinks>
    <hyperlink ref="AU4" r:id="rId1" display="Treasury Rates"/>
  </hyperlinks>
  <printOptions/>
  <pageMargins left="0.25" right="0.25" top="0.75" bottom="0.75" header="0.3" footer="0.3"/>
  <pageSetup useFirstPageNumber="1" fitToHeight="1" fitToWidth="1" paperSize="1" firstPageNumber="1" scale="95" pageOrder="downThenOver" orientation="landscape"/>
  <headerFooter>
    <oddHeader>&amp;L&amp;D&amp;C&amp;R</oddHeader>
    <oddFooter>&amp;LSelect Producer Above&amp;C&amp;R</oddFooter>
  </headerFooter>
  <drawing r:id="rId4"/>
  <legacyDrawing r:id="rId3"/>
  <mc:AlternateContent xmlns:mc="http://schemas.openxmlformats.org/markup-compatibility/2006">
    <mc:Choice Requires="x14">
      <controls>
        <mc:AlternateContent xmlns:mc="http://schemas.openxmlformats.org/markup-compatibility/2006">
          <mc:Choice Requires="x14">
            <control shapeId="1325072" name="button_ResetToDefaultValues" r:id="rId5">
              <controlPr defaultSize="0" autoPict="0" print="0">
                <anchor moveWithCells="1" sizeWithCells="1">
                  <from>
                    <xdr:col>1</xdr:col>
                    <xdr:colOff>469868</xdr:colOff>
                    <xdr:row>66</xdr:row>
                    <xdr:rowOff>12668</xdr:rowOff>
                  </from>
                  <to>
                    <xdr:col>1</xdr:col>
                    <xdr:colOff>2006632</xdr:colOff>
                    <xdr:row>68</xdr:row>
                    <xdr:rowOff>88868</xdr:rowOff>
                  </to>
                </anchor>
              </controlPr>
            </control>
          </mc:Choice>
        </mc:AlternateContent>
        <mc:AlternateContent xmlns:mc="http://schemas.openxmlformats.org/markup-compatibility/2006">
          <mc:Choice Requires="x14">
            <control shapeId="1325074" name="Button 18" r:id="rId6">
              <controlPr defaultSize="0" autoPict="0" print="0">
                <anchor moveWithCells="1" sizeWithCells="1">
                  <from>
                    <xdr:col>1</xdr:col>
                    <xdr:colOff>482632</xdr:colOff>
                    <xdr:row>64</xdr:row>
                    <xdr:rowOff>63532</xdr:rowOff>
                  </from>
                  <to>
                    <xdr:col>1</xdr:col>
                    <xdr:colOff>2006632</xdr:colOff>
                    <xdr:row>65</xdr:row>
                    <xdr:rowOff>177832</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id="{27068751-3c55-4361-940c-14e60b165283}" priority="12">
            <x14:f>COUNTBLANK('FNM Exit Strategy'!$E$7:$I$7) = 0</x14:f>
            <x14:dxf>
              <font>
                <strike/>
                <color theme="0" tint="-0.35"/>
              </font>
              <fill>
                <patternFill patternType="solid">
                  <fgColor theme="0"/>
                  <bgColor theme="0"/>
                </patternFill>
              </fill>
            </x14:dxf>
          </x14:cfRule>
          <xm:sqref>Q86</xm:sqref>
        </x14:conditionalFormatting>
      </x14:conditionalFormattings>
    </ext>
    <ext xmlns:x14="http://schemas.microsoft.com/office/spreadsheetml/2009/9/main" uri="{CCE6A557-97BC-4b89-ADB6-D9C93CAAB3DF}">
      <x14:dataValidations xmlns:xm="http://schemas.microsoft.com/office/excel/2006/main" count="4">
        <x14:dataValidation allowBlank="1" showErrorMessage="1" showInputMessage="1" sqref="B33" type="list">
          <x14:formula1>
            <xm:f>'Dropdowns (DNP)'!$EG$2:$EG$3</xm:f>
          </x14:formula1>
          <xm:sqref>B33</xm:sqref>
        </x14:dataValidation>
        <x14:dataValidation allowBlank="1" showErrorMessage="1" showInputMessage="1" sqref="AM96 AM100 AM92 AM104" type="list">
          <x14:formula1>
            <xm:f>'Dropdowns (DNP)'!$GZ$2:$GZ$18</xm:f>
          </x14:formula1>
          <xm:sqref>AM96 AM100 AM92 AM104</xm:sqref>
        </x14:dataValidation>
        <x14:dataValidation allowBlank="1" showErrorMessage="1" showInputMessage="1" sqref="AJ92 AJ100 AJ104 AJ96" type="list">
          <x14:formula1>
            <xm:f>'Dropdowns (DNP)'!$GY$2:$GY$14</xm:f>
          </x14:formula1>
          <xm:sqref>AJ92 AJ100 AJ104 AJ96</xm:sqref>
        </x14:dataValidation>
        <x14:dataValidation allowBlank="1" showErrorMessage="1" showInputMessage="1" sqref="B55" type="list">
          <x14:formula1>
            <xm:f>Boilerplate!$B$6:$V$6</xm:f>
          </x14:formula1>
          <xm:sqref>B55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8EFD9996-3987-E648-D37A-817C8920B514}" mc:Ignorable="x14ac xr xr2 xr3">
  <sheetPr>
    <tabColor theme="8" tint="-0.5"/>
  </sheetPr>
  <dimension ref="A1:L120"/>
  <sheetViews>
    <sheetView topLeftCell="A1" workbookViewId="0">
      <selection activeCell="A1" sqref="A1"/>
    </sheetView>
  </sheetViews>
  <sheetFormatPr defaultRowHeight="15" defaultColWidth="8.8515625" customHeight="1"/>
  <cols>
    <col min="1" max="1" style="625" width="24.57421875" customWidth="1"/>
    <col min="2" max="2" style="625" width="19.7109375" customWidth="1"/>
    <col min="3" max="3" style="625" width="32.57421875" customWidth="1"/>
    <col min="4" max="4" style="625" width="21.57421875" customWidth="1"/>
    <col min="5" max="5" style="1155" width="85.57421875" customWidth="1"/>
    <col min="6" max="7" style="625" width="22.57421875" customWidth="1"/>
    <col min="11" max="11" style="625" width="15.8515625" customWidth="1"/>
  </cols>
  <sheetData>
    <row r="1" ht="20.25" customHeight="1">
      <c r="A1" s="1103" t="s">
        <v>1040</v>
      </c>
      <c r="B1" s="1103"/>
      <c r="C1" s="1103"/>
      <c r="D1" s="1103"/>
      <c r="E1" s="1103"/>
      <c r="F1" s="1103"/>
      <c r="G1" s="1103"/>
    </row>
    <row r="2" ht="15" customHeight="1">
      <c r="A2" s="1104" t="s">
        <v>1041</v>
      </c>
      <c r="B2" s="1104" t="s">
        <v>1042</v>
      </c>
      <c r="C2" s="1104" t="s">
        <v>1043</v>
      </c>
      <c r="D2" s="1104" t="s">
        <v>1044</v>
      </c>
      <c r="E2" s="1105" t="s">
        <v>1045</v>
      </c>
      <c r="F2" s="1106" t="s">
        <v>1046</v>
      </c>
      <c r="G2" s="1106" t="s">
        <v>1047</v>
      </c>
    </row>
    <row r="3" ht="15" customHeight="1">
      <c r="A3" s="1107" t="s">
        <v>1048</v>
      </c>
      <c r="B3" s="1108"/>
      <c r="C3" s="1108"/>
      <c r="D3" s="1108"/>
      <c r="E3" s="1108"/>
      <c r="F3" s="1108"/>
      <c r="G3" s="1109"/>
    </row>
    <row r="4" ht="15" customHeight="1">
      <c r="A4" s="1110">
        <v>1</v>
      </c>
      <c r="B4" s="1110" t="s">
        <v>1049</v>
      </c>
      <c r="C4" s="1110" t="s">
        <v>1050</v>
      </c>
      <c r="D4" s="1110" t="s">
        <v>1051</v>
      </c>
      <c r="E4" s="1111" t="s">
        <v>1052</v>
      </c>
      <c r="F4" s="1112" t="str">
        <f>IF('SBL Quotes'!AN4&lt;1000000,"EXCEPTION",IF('SBL Quotes'!AN4&lt;1200000,"PRE-SCREEN",""))</f>
        <v>EXCEPTION</v>
      </c>
      <c r="G4" s="1113"/>
    </row>
    <row r="5" ht="15" customHeight="1">
      <c r="A5" s="1110">
        <v>2</v>
      </c>
      <c r="B5" s="1110" t="s">
        <v>1054</v>
      </c>
      <c r="C5" s="1110" t="s">
        <v>1050</v>
      </c>
      <c r="D5" s="1110" t="s">
        <v>1055</v>
      </c>
      <c r="E5" s="1111" t="s">
        <v>1056</v>
      </c>
      <c r="F5" s="1112">
        <f>IF(AND(OR('SBL Quotes'!B22="Small",'SBL Quotes'!B22="Very Small"),'SBL Quotes'!AN4&gt;6000000),"EXCEPTION","")</f>
      </c>
      <c r="G5" s="1113"/>
    </row>
    <row r="6" ht="15" customHeight="1">
      <c r="A6" s="1110">
        <v>3</v>
      </c>
      <c r="B6" s="1110" t="s">
        <v>1054</v>
      </c>
      <c r="C6" s="1110" t="s">
        <v>1050</v>
      </c>
      <c r="D6" s="1110" t="s">
        <v>1055</v>
      </c>
      <c r="E6" s="1111" t="s">
        <v>1057</v>
      </c>
      <c r="F6" s="1112">
        <f>IF(AND(number_units&gt;100,'SBL Quotes'!AN4&gt;6000000),"EXCEPTION","")</f>
      </c>
      <c r="G6" s="1113"/>
    </row>
    <row r="7" ht="15" customHeight="1">
      <c r="A7" s="1110">
        <v>4</v>
      </c>
      <c r="B7" s="1110" t="s">
        <v>1054</v>
      </c>
      <c r="C7" s="1110" t="s">
        <v>1050</v>
      </c>
      <c r="D7" s="1110" t="s">
        <v>1055</v>
      </c>
      <c r="E7" s="1111" t="s">
        <v>1058</v>
      </c>
      <c r="F7" s="1112">
        <f>IF(AND('SBL Quotes'!$AN$30&lt;1.25,'SBL Quotes'!$AN$4&gt;6000000),"EXCEPTION","")</f>
      </c>
      <c r="G7" s="1113"/>
    </row>
    <row r="8" ht="15" customHeight="1">
      <c r="A8" s="1110">
        <v>5</v>
      </c>
      <c r="B8" s="1110" t="s">
        <v>1059</v>
      </c>
      <c r="C8" s="1110" t="s">
        <v>1060</v>
      </c>
      <c r="D8" s="1110" t="s">
        <v>1061</v>
      </c>
      <c r="E8" s="1111" t="s">
        <v>1062</v>
      </c>
      <c r="F8" s="1112" t="str">
        <f>IF(AND('SBL Quotes'!AK26&gt;80%,'SBL Quotes'!AK27&lt;1),"EXCEPTION","")</f>
        <v/>
      </c>
      <c r="G8" s="1113"/>
    </row>
    <row r="9" ht="15" customHeight="1">
      <c r="A9" s="1110">
        <v>6</v>
      </c>
      <c r="B9" s="1110" t="s">
        <v>1049</v>
      </c>
      <c r="C9" s="1110" t="s">
        <v>1063</v>
      </c>
      <c r="D9" s="1110" t="s">
        <v>1064</v>
      </c>
      <c r="E9" s="1111" t="s">
        <v>1065</v>
      </c>
      <c r="F9" s="1114"/>
      <c r="G9" s="1113"/>
    </row>
    <row r="10" ht="15" customHeight="1">
      <c r="A10" s="1110">
        <v>7</v>
      </c>
      <c r="B10" s="1110" t="s">
        <v>1049</v>
      </c>
      <c r="C10" s="1110" t="s">
        <v>1063</v>
      </c>
      <c r="D10" s="1110" t="s">
        <v>1064</v>
      </c>
      <c r="E10" s="1111" t="s">
        <v>1066</v>
      </c>
      <c r="F10" s="1114"/>
      <c r="G10" s="1113"/>
    </row>
    <row r="11" ht="15" customHeight="1">
      <c r="A11" s="1110">
        <v>8</v>
      </c>
      <c r="B11" s="1110" t="s">
        <v>1049</v>
      </c>
      <c r="C11" s="1110" t="s">
        <v>1063</v>
      </c>
      <c r="D11" s="1110" t="s">
        <v>1067</v>
      </c>
      <c r="E11" s="1111" t="s">
        <v>1068</v>
      </c>
      <c r="F11" s="1114"/>
      <c r="G11" s="1113"/>
      <c r="K11" s="625" t="s">
        <v>572</v>
      </c>
      <c r="L11" t="s">
        <v>1069</v>
      </c>
    </row>
    <row r="12" ht="15" customHeight="1">
      <c r="A12" s="1110">
        <v>9</v>
      </c>
      <c r="B12" s="1110" t="s">
        <v>1049</v>
      </c>
      <c r="C12" s="1110" t="s">
        <v>1063</v>
      </c>
      <c r="D12" s="1110" t="s">
        <v>1067</v>
      </c>
      <c r="E12" s="1111" t="s">
        <v>1070</v>
      </c>
      <c r="F12" s="1114"/>
      <c r="G12" s="1113"/>
      <c r="K12" s="625" t="s">
        <v>1071</v>
      </c>
    </row>
    <row r="13" ht="15" customHeight="1">
      <c r="A13" s="1110">
        <v>10</v>
      </c>
      <c r="B13" s="1110" t="s">
        <v>1054</v>
      </c>
      <c r="C13" s="1110" t="s">
        <v>1050</v>
      </c>
      <c r="D13" s="1110" t="s">
        <v>1072</v>
      </c>
      <c r="E13" s="1111" t="s">
        <v>1073</v>
      </c>
      <c r="F13" s="1114"/>
      <c r="G13" s="1113"/>
    </row>
    <row r="14" ht="15" customHeight="1">
      <c r="A14" s="1110">
        <v>11</v>
      </c>
      <c r="B14" s="1110" t="s">
        <v>1054</v>
      </c>
      <c r="C14" s="1110" t="s">
        <v>1050</v>
      </c>
      <c r="D14" s="1110" t="s">
        <v>1074</v>
      </c>
      <c r="E14" s="1111" t="s">
        <v>1075</v>
      </c>
      <c r="F14" s="1112">
        <f>IF(AND('SBL Quotes'!AN29&lt;65%,'SBL Quotes'!AK73="Yes"),"EXCEPTION","")</f>
      </c>
      <c r="G14" s="1113"/>
    </row>
    <row r="15" ht="15" customHeight="1">
      <c r="A15" s="1110">
        <v>12</v>
      </c>
      <c r="B15" s="1110" t="s">
        <v>1054</v>
      </c>
      <c r="C15" s="1110" t="s">
        <v>1050</v>
      </c>
      <c r="D15" s="1110" t="s">
        <v>1074</v>
      </c>
      <c r="E15" s="1111" t="s">
        <v>1076</v>
      </c>
      <c r="F15" s="1112">
        <f>IF('SBL Quotes'!AK74="Yes","EXCEPTION","")</f>
      </c>
      <c r="G15" s="1113"/>
      <c r="K15" s="625" t="s">
        <v>1077</v>
      </c>
    </row>
    <row r="16" ht="15" customHeight="1">
      <c r="A16" s="1110">
        <v>13</v>
      </c>
      <c r="B16" s="1110" t="s">
        <v>1054</v>
      </c>
      <c r="C16" s="1110" t="s">
        <v>1050</v>
      </c>
      <c r="D16" s="1110" t="s">
        <v>1078</v>
      </c>
      <c r="E16" s="1111" t="s">
        <v>1079</v>
      </c>
      <c r="F16" s="1115"/>
      <c r="G16" s="1113"/>
    </row>
    <row r="17" ht="15" customHeight="1">
      <c r="A17" s="1110">
        <v>14</v>
      </c>
      <c r="B17" s="1110" t="s">
        <v>1059</v>
      </c>
      <c r="C17" s="1110" t="s">
        <v>1050</v>
      </c>
      <c r="D17" s="1110" t="s">
        <v>1055</v>
      </c>
      <c r="E17" s="1111" t="s">
        <v>1080</v>
      </c>
      <c r="F17" s="1114"/>
      <c r="G17" s="1113"/>
      <c r="K17" s="625" t="s">
        <v>1081</v>
      </c>
    </row>
    <row r="18" ht="15" customHeight="1">
      <c r="A18" s="1116" t="s">
        <v>1082</v>
      </c>
      <c r="B18" s="1117"/>
      <c r="C18" s="1117"/>
      <c r="D18" s="1117"/>
      <c r="E18" s="1117"/>
      <c r="F18" s="1117"/>
      <c r="G18" s="1118"/>
    </row>
    <row r="19" ht="15" customHeight="1">
      <c r="A19" s="1110">
        <v>15</v>
      </c>
      <c r="B19" s="1110" t="s">
        <v>1054</v>
      </c>
      <c r="C19" s="1110" t="s">
        <v>1050</v>
      </c>
      <c r="D19" s="1110" t="s">
        <v>1083</v>
      </c>
      <c r="E19" s="1111" t="s">
        <v>1084</v>
      </c>
      <c r="F19" s="1112">
        <f>_xlfn.IFERROR(IF(('SBL Quotes'!AK48/'SBL Quotes'!AN4)&lt;1,"EXCEPTION",""),"")</f>
      </c>
      <c r="G19" s="1113"/>
    </row>
    <row r="20" ht="15" customHeight="1">
      <c r="A20" s="1110">
        <v>16</v>
      </c>
      <c r="B20" s="1110" t="s">
        <v>1054</v>
      </c>
      <c r="C20" s="1110" t="s">
        <v>1050</v>
      </c>
      <c r="D20" s="1110" t="s">
        <v>1083</v>
      </c>
      <c r="E20" s="1111" t="s">
        <v>1085</v>
      </c>
      <c r="F20" s="1112">
        <f>IF('SBL Quotes'!AK47&lt;(3/4)*'SBL Quotes'!AN11,"EXCEPTION","")</f>
      </c>
      <c r="G20" s="1113"/>
    </row>
    <row r="21" ht="15" customHeight="1">
      <c r="A21" s="1110">
        <v>17</v>
      </c>
      <c r="B21" s="1110" t="s">
        <v>1049</v>
      </c>
      <c r="C21" s="1110" t="s">
        <v>1050</v>
      </c>
      <c r="D21" s="1110" t="s">
        <v>1086</v>
      </c>
      <c r="E21" s="1111" t="s">
        <v>1087</v>
      </c>
      <c r="F21" s="1112" t="str">
        <f>IF('SBL Quotes'!AK137&lt;1,"EXCEPTION","")</f>
        <v>EXCEPTION</v>
      </c>
      <c r="G21" s="1113"/>
    </row>
    <row r="22" ht="36" customHeight="1">
      <c r="A22" s="1110">
        <v>18</v>
      </c>
      <c r="B22" s="1110" t="s">
        <v>1054</v>
      </c>
      <c r="C22" s="1110" t="s">
        <v>1050</v>
      </c>
      <c r="D22" s="1110" t="s">
        <v>1088</v>
      </c>
      <c r="E22" s="1111" t="s">
        <v>1089</v>
      </c>
      <c r="F22" s="1112">
        <f>IF('SBL Quotes'!AN136="Yes","EXCEPTION","")</f>
      </c>
      <c r="G22" s="1113"/>
    </row>
    <row r="23" ht="15" customHeight="1">
      <c r="A23" s="1110">
        <v>19</v>
      </c>
      <c r="B23" s="1110" t="s">
        <v>1054</v>
      </c>
      <c r="C23" s="1110" t="s">
        <v>1050</v>
      </c>
      <c r="D23" s="1110" t="s">
        <v>1090</v>
      </c>
      <c r="E23" s="1111" t="s">
        <v>1091</v>
      </c>
      <c r="F23" s="1112">
        <f>IF('SBL Quotes'!AK132&lt;1,"EXCEPTION","")</f>
      </c>
      <c r="G23" s="1113"/>
    </row>
    <row r="24" ht="24" customHeight="1">
      <c r="A24" s="1110">
        <v>20</v>
      </c>
      <c r="B24" s="1110" t="s">
        <v>1054</v>
      </c>
      <c r="C24" s="1110" t="s">
        <v>1050</v>
      </c>
      <c r="D24" s="1110" t="s">
        <v>1090</v>
      </c>
      <c r="E24" s="1111" t="s">
        <v>1092</v>
      </c>
      <c r="F24" s="1112">
        <f>_xlfn.IFERROR(IF(OR(AND('SBL Quotes'!AK134&gt;1,'SBL Quotes'!AK136="No",'SBL Quotes'!AK48/'SBL Quotes'!AN4&lt;2,'SBL Quotes'!AK47&lt;1.5*'SBL Quotes'!AN11),AND('SBL Quotes'!AK132=1,'SBL Quotes'!AK134=1,'SBL Quotes'!AK135="No")),"EXCEPTION",""),"")</f>
      </c>
      <c r="G24" s="1113"/>
    </row>
    <row r="25" ht="15" customHeight="1">
      <c r="A25" s="1110">
        <v>21</v>
      </c>
      <c r="B25" s="1110" t="s">
        <v>1054</v>
      </c>
      <c r="C25" s="1110" t="s">
        <v>1050</v>
      </c>
      <c r="D25" s="1110" t="s">
        <v>1055</v>
      </c>
      <c r="E25" s="1111" t="s">
        <v>1093</v>
      </c>
      <c r="F25" s="1114"/>
      <c r="G25" s="1113"/>
    </row>
    <row r="26" ht="15" customHeight="1">
      <c r="A26" s="1110">
        <v>22</v>
      </c>
      <c r="B26" s="1110" t="s">
        <v>1054</v>
      </c>
      <c r="C26" s="1110" t="s">
        <v>1050</v>
      </c>
      <c r="D26" s="1110" t="s">
        <v>1055</v>
      </c>
      <c r="E26" s="1111" t="s">
        <v>1094</v>
      </c>
      <c r="F26" s="1112">
        <f>IF('SBL Quotes'!AK129="Yes","EXCEPTION","")</f>
      </c>
      <c r="G26" s="1113"/>
    </row>
    <row r="27" ht="15" customHeight="1">
      <c r="A27" s="1110">
        <v>23</v>
      </c>
      <c r="B27" s="1110" t="s">
        <v>1054</v>
      </c>
      <c r="C27" s="1110" t="s">
        <v>1050</v>
      </c>
      <c r="D27" s="1110" t="s">
        <v>1055</v>
      </c>
      <c r="E27" s="1111" t="s">
        <v>1095</v>
      </c>
      <c r="F27" s="1112">
        <f>IF('SBL Quotes'!AK51="Yes","EXCEPTION","")</f>
      </c>
      <c r="G27" s="1113"/>
    </row>
    <row r="28" ht="15" customHeight="1">
      <c r="A28" s="1110">
        <v>24</v>
      </c>
      <c r="B28" s="1110" t="s">
        <v>1059</v>
      </c>
      <c r="C28" s="1110" t="s">
        <v>1096</v>
      </c>
      <c r="D28" s="1110" t="s">
        <v>1097</v>
      </c>
      <c r="E28" s="1111" t="s">
        <v>1098</v>
      </c>
      <c r="F28" s="1112">
        <f>IF(OR('SBL Quotes'!AK49&gt;5,AND('SBL Quotes'!AK49&gt;1,'SBL Quotes'!AK50="Yes")),"EXCEPTION","")</f>
      </c>
      <c r="G28" s="1113"/>
    </row>
    <row r="29" ht="36" customHeight="1">
      <c r="A29" s="1110">
        <v>25</v>
      </c>
      <c r="B29" s="1110" t="s">
        <v>1054</v>
      </c>
      <c r="C29" s="1110" t="s">
        <v>1050</v>
      </c>
      <c r="D29" s="1110" t="s">
        <v>1099</v>
      </c>
      <c r="E29" s="1111" t="s">
        <v>1100</v>
      </c>
      <c r="F29" s="1114"/>
      <c r="G29" s="1113"/>
    </row>
    <row r="30" ht="15" customHeight="1">
      <c r="A30" s="1110">
        <v>26</v>
      </c>
      <c r="B30" s="1110" t="s">
        <v>1059</v>
      </c>
      <c r="C30" s="1110" t="s">
        <v>1096</v>
      </c>
      <c r="D30" s="1110" t="s">
        <v>1101</v>
      </c>
      <c r="E30" s="1111" t="s">
        <v>1102</v>
      </c>
      <c r="F30" s="1114"/>
      <c r="G30" s="1113"/>
    </row>
    <row r="31" ht="15" customHeight="1">
      <c r="A31" s="1110">
        <v>56</v>
      </c>
      <c r="B31" s="1110" t="s">
        <v>1059</v>
      </c>
      <c r="C31" s="1110" t="s">
        <v>1096</v>
      </c>
      <c r="D31" s="1110" t="s">
        <v>1101</v>
      </c>
      <c r="E31" s="1111" t="s">
        <v>1103</v>
      </c>
      <c r="F31" s="1112">
        <f>IF(AND('SBL Quotes'!B22="Very Small",'SBL Quotes'!AK45="No",'SBL Quotes'!AK43&gt;0),"EXCEPTION","")</f>
      </c>
      <c r="G31" s="1113"/>
    </row>
    <row r="32" ht="15" customHeight="1">
      <c r="A32" s="1119" t="s">
        <v>1104</v>
      </c>
      <c r="B32" s="1120"/>
      <c r="C32" s="1120"/>
      <c r="D32" s="1120"/>
      <c r="E32" s="1120"/>
      <c r="F32" s="1120"/>
      <c r="G32" s="1121"/>
    </row>
    <row r="33" ht="15" customHeight="1">
      <c r="A33" s="1110">
        <v>27</v>
      </c>
      <c r="B33" s="1110" t="s">
        <v>1054</v>
      </c>
      <c r="C33" s="1110" t="s">
        <v>1050</v>
      </c>
      <c r="D33" s="1110" t="s">
        <v>1101</v>
      </c>
      <c r="E33" s="1111" t="s">
        <v>1105</v>
      </c>
      <c r="F33" s="1112">
        <f>IF('SBL Quotes'!AK75="No","EXCEPTION","")</f>
      </c>
      <c r="G33" s="1113"/>
    </row>
    <row r="34" ht="24" customHeight="1">
      <c r="A34" s="1110">
        <v>28</v>
      </c>
      <c r="B34" s="1110" t="s">
        <v>1054</v>
      </c>
      <c r="C34" s="1110" t="s">
        <v>1050</v>
      </c>
      <c r="D34" s="1110" t="s">
        <v>1101</v>
      </c>
      <c r="E34" s="1111" t="s">
        <v>1106</v>
      </c>
      <c r="F34" s="1112">
        <f>IF('SBL Quotes'!AK76="No","EXCEPTION","")</f>
      </c>
      <c r="G34" s="1113"/>
    </row>
    <row r="35" ht="15" customHeight="1">
      <c r="A35" s="1119" t="s">
        <v>1107</v>
      </c>
      <c r="B35" s="1120"/>
      <c r="C35" s="1120"/>
      <c r="D35" s="1120"/>
      <c r="E35" s="1120"/>
      <c r="F35" s="1120"/>
      <c r="G35" s="1121"/>
    </row>
    <row r="36" ht="15" customHeight="1">
      <c r="A36" s="1110">
        <v>29</v>
      </c>
      <c r="B36" s="1110" t="s">
        <v>1054</v>
      </c>
      <c r="C36" s="1110" t="s">
        <v>1050</v>
      </c>
      <c r="D36" s="1110" t="s">
        <v>1108</v>
      </c>
      <c r="E36" s="1111" t="s">
        <v>1109</v>
      </c>
      <c r="F36" s="1112">
        <f>IF(AND('SBL Quotes'!AK77="Yes",'SBL Quotes'!AK78="Yes"),"EXCEPTION","")</f>
      </c>
      <c r="G36" s="1113"/>
    </row>
    <row r="37" ht="15" customHeight="1">
      <c r="A37" s="1110">
        <v>30</v>
      </c>
      <c r="B37" s="1110" t="s">
        <v>1049</v>
      </c>
      <c r="C37" s="1110" t="s">
        <v>1050</v>
      </c>
      <c r="D37" s="1110" t="s">
        <v>1110</v>
      </c>
      <c r="E37" s="1111" t="s">
        <v>1111</v>
      </c>
      <c r="F37" s="1112">
        <f>IF(AND('SBL Quotes'!AK77="Yes",'SBL Quotes'!AK79="No"),"EXCEPTION","")</f>
      </c>
      <c r="G37" s="1113"/>
    </row>
    <row r="38" ht="15" customHeight="1">
      <c r="A38" s="1110">
        <v>31</v>
      </c>
      <c r="B38" s="1110" t="s">
        <v>1054</v>
      </c>
      <c r="C38" s="1110" t="s">
        <v>1050</v>
      </c>
      <c r="D38" s="1110" t="s">
        <v>1112</v>
      </c>
      <c r="E38" s="1111" t="s">
        <v>1113</v>
      </c>
      <c r="F38" s="1112">
        <f>IF('SBL Quotes'!AK80="Yes","EXCEPTION","")</f>
      </c>
      <c r="G38" s="1113"/>
    </row>
    <row r="39" ht="15" customHeight="1">
      <c r="A39" s="1110">
        <v>32</v>
      </c>
      <c r="B39" s="1110" t="s">
        <v>1054</v>
      </c>
      <c r="C39" s="1110" t="s">
        <v>1050</v>
      </c>
      <c r="D39" s="1110" t="s">
        <v>1114</v>
      </c>
      <c r="E39" s="1111"/>
      <c r="F39" s="1112" t="str">
        <f>IF('SBL Quotes'!AK17&lt;85%,"DISCUSS","")</f>
        <v>DISCUSS</v>
      </c>
      <c r="G39" s="1113"/>
    </row>
    <row r="40" ht="15" customHeight="1">
      <c r="A40" s="1110">
        <v>33</v>
      </c>
      <c r="B40" s="1110" t="s">
        <v>1054</v>
      </c>
      <c r="C40" s="1110" t="s">
        <v>1050</v>
      </c>
      <c r="D40" s="1110" t="s">
        <v>1114</v>
      </c>
      <c r="E40" s="1111" t="s">
        <v>1116</v>
      </c>
      <c r="F40" s="1112">
        <f>IF(AND('SBL Quotes'!AK17&lt;90%,'SBL Quotes'!AK17&gt;=85%),"DISCUSS","")</f>
      </c>
      <c r="G40" s="1113"/>
    </row>
    <row r="41" ht="15" customHeight="1">
      <c r="A41" s="1110">
        <v>34</v>
      </c>
      <c r="B41" s="1110" t="s">
        <v>1059</v>
      </c>
      <c r="C41" s="1110" t="s">
        <v>1117</v>
      </c>
      <c r="D41" s="1110" t="s">
        <v>1101</v>
      </c>
      <c r="E41" s="1111" t="s">
        <v>1118</v>
      </c>
      <c r="F41" s="1122" t="s">
        <v>1119</v>
      </c>
      <c r="G41" s="1113"/>
    </row>
    <row r="42" ht="15" customHeight="1">
      <c r="A42" s="1110">
        <v>35</v>
      </c>
      <c r="B42" s="1110" t="s">
        <v>1054</v>
      </c>
      <c r="C42" s="1110" t="s">
        <v>1050</v>
      </c>
      <c r="D42" s="1110" t="s">
        <v>1055</v>
      </c>
      <c r="E42" s="1111" t="s">
        <v>1120</v>
      </c>
      <c r="F42" s="1112">
        <f>IF('SBL Quotes'!AK81="Yes","DISCUSS","")</f>
      </c>
      <c r="G42" s="1113"/>
    </row>
    <row r="43" ht="15" customHeight="1">
      <c r="A43" s="1110">
        <v>36</v>
      </c>
      <c r="B43" s="1110" t="s">
        <v>1059</v>
      </c>
      <c r="C43" s="1110" t="s">
        <v>1121</v>
      </c>
      <c r="D43" s="1110" t="s">
        <v>1122</v>
      </c>
      <c r="E43" s="1111" t="s">
        <v>1123</v>
      </c>
      <c r="F43" s="1112">
        <f>IF(AND('SBL Quotes'!AK81="Yes",'SBL Quotes'!AK82="No"),"EXCEPTION","")</f>
      </c>
      <c r="G43" s="1113"/>
    </row>
    <row r="44" ht="15" customHeight="1">
      <c r="A44" s="1119" t="s">
        <v>1124</v>
      </c>
      <c r="B44" s="1120"/>
      <c r="C44" s="1120"/>
      <c r="D44" s="1120"/>
      <c r="E44" s="1120"/>
      <c r="F44" s="1120"/>
      <c r="G44" s="1121"/>
    </row>
    <row r="45" ht="15" customHeight="1">
      <c r="A45" s="1110">
        <v>37</v>
      </c>
      <c r="B45" s="1110" t="s">
        <v>1059</v>
      </c>
      <c r="C45" s="1110" t="s">
        <v>1117</v>
      </c>
      <c r="D45" s="1110" t="s">
        <v>1101</v>
      </c>
      <c r="E45" s="1111" t="s">
        <v>1125</v>
      </c>
      <c r="F45" s="1122" t="s">
        <v>1119</v>
      </c>
      <c r="G45" s="1113"/>
    </row>
    <row r="46" ht="15" customHeight="1">
      <c r="A46" s="1110">
        <v>38</v>
      </c>
      <c r="B46" s="1110" t="s">
        <v>1054</v>
      </c>
      <c r="C46" s="1110" t="s">
        <v>1050</v>
      </c>
      <c r="D46" s="1110" t="s">
        <v>1112</v>
      </c>
      <c r="E46" s="1111" t="s">
        <v>1126</v>
      </c>
      <c r="F46" s="1112">
        <f>IF('SBL Quotes'!AN73&gt;25%,"EXCEPTION",IF('SBL Quotes'!AN73&gt;15%,"DISCUSS",""))</f>
      </c>
      <c r="G46" s="1113"/>
    </row>
    <row r="47" ht="24" customHeight="1">
      <c r="A47" s="1110">
        <v>39</v>
      </c>
      <c r="B47" s="1110" t="s">
        <v>1059</v>
      </c>
      <c r="C47" s="1110" t="s">
        <v>1050</v>
      </c>
      <c r="D47" s="1110" t="s">
        <v>1055</v>
      </c>
      <c r="E47" s="1111" t="s">
        <v>1127</v>
      </c>
      <c r="F47" s="1112">
        <f>IF('SBL Quotes'!AN70&gt;25%,"EXCEPTION",IF('SBL Quotes'!AN70&gt;15%,"DISCUSS",""))</f>
      </c>
      <c r="G47" s="1113"/>
    </row>
    <row r="48" ht="15" customHeight="1">
      <c r="A48" s="1110">
        <v>40</v>
      </c>
      <c r="B48" s="1110" t="s">
        <v>1059</v>
      </c>
      <c r="C48" s="1110" t="s">
        <v>1050</v>
      </c>
      <c r="D48" s="1110" t="s">
        <v>1055</v>
      </c>
      <c r="E48" s="1111" t="s">
        <v>1128</v>
      </c>
      <c r="F48" s="1112">
        <f>IF('SBL Quotes'!AN71&gt;25%,"EXCEPTION",IF('SBL Quotes'!AN71&gt;15%,"DISCUSS",""))</f>
      </c>
      <c r="G48" s="1113"/>
    </row>
    <row r="49" ht="36" customHeight="1">
      <c r="A49" s="1110">
        <v>41</v>
      </c>
      <c r="B49" s="1110" t="s">
        <v>1054</v>
      </c>
      <c r="C49" s="1110" t="s">
        <v>1050</v>
      </c>
      <c r="D49" s="1110" t="s">
        <v>1055</v>
      </c>
      <c r="E49" s="1111" t="s">
        <v>1129</v>
      </c>
      <c r="F49" s="1114"/>
      <c r="G49" s="1113"/>
    </row>
    <row r="50" ht="15" customHeight="1">
      <c r="A50" s="1110">
        <v>42</v>
      </c>
      <c r="B50" s="1110" t="s">
        <v>1059</v>
      </c>
      <c r="C50" s="1110" t="s">
        <v>1050</v>
      </c>
      <c r="D50" s="1110" t="s">
        <v>1055</v>
      </c>
      <c r="E50" s="1111" t="s">
        <v>1130</v>
      </c>
      <c r="F50" s="1112">
        <f>IF('SBL Quotes'!AN74&gt;25%,"EXCEPTION",IF('SBL Quotes'!AN74&gt;15%,"DISCUSS",""))</f>
      </c>
      <c r="G50" s="1113"/>
    </row>
    <row r="51" ht="15" customHeight="1">
      <c r="A51" s="1119" t="s">
        <v>1131</v>
      </c>
      <c r="B51" s="1120"/>
      <c r="C51" s="1120"/>
      <c r="D51" s="1120"/>
      <c r="E51" s="1120"/>
      <c r="F51" s="1120"/>
      <c r="G51" s="1121"/>
    </row>
    <row r="52" ht="15" customHeight="1">
      <c r="A52" s="1110">
        <v>43</v>
      </c>
      <c r="B52" s="1110" t="s">
        <v>1054</v>
      </c>
      <c r="C52" s="1110" t="s">
        <v>1050</v>
      </c>
      <c r="D52" s="1110" t="s">
        <v>1132</v>
      </c>
      <c r="E52" s="1111" t="s">
        <v>1133</v>
      </c>
      <c r="F52" s="1112">
        <f>IF(AND('SBL Quotes'!AN41="Yes",'SBL Quotes'!AN42="No"),"EXCEPTION","")</f>
      </c>
      <c r="G52" s="1113"/>
    </row>
    <row r="53" ht="15" customHeight="1">
      <c r="A53" s="1123" t="s">
        <v>1134</v>
      </c>
      <c r="B53" s="1124"/>
      <c r="C53" s="1124"/>
      <c r="D53" s="1124"/>
      <c r="E53" s="1124"/>
      <c r="F53" s="1124"/>
      <c r="G53" s="1125"/>
    </row>
    <row r="54" ht="15" customHeight="1">
      <c r="A54" s="1110">
        <v>44</v>
      </c>
      <c r="B54" s="1110" t="s">
        <v>1054</v>
      </c>
      <c r="C54" s="1110" t="s">
        <v>1050</v>
      </c>
      <c r="D54" s="1110" t="s">
        <v>1101</v>
      </c>
      <c r="E54" s="1111" t="s">
        <v>1135</v>
      </c>
      <c r="F54" s="1122" t="s">
        <v>1119</v>
      </c>
      <c r="G54" s="1113"/>
    </row>
    <row r="55" ht="15" customHeight="1">
      <c r="A55" s="1110">
        <v>45</v>
      </c>
      <c r="B55" s="1110" t="s">
        <v>1054</v>
      </c>
      <c r="C55" s="1110" t="s">
        <v>1050</v>
      </c>
      <c r="D55" s="1110" t="s">
        <v>1136</v>
      </c>
      <c r="E55" s="1111" t="s">
        <v>1137</v>
      </c>
      <c r="F55" s="1112">
        <f>IF(AND(OR('SBL Quotes'!B22="Small",'SBL Quotes'!B22="Very Small"),'SBL Quotes'!B28="Yes"),"EXCEPTION","")</f>
      </c>
      <c r="G55" s="1113"/>
    </row>
    <row r="56" ht="15" customHeight="1">
      <c r="A56" s="1110">
        <v>46</v>
      </c>
      <c r="B56" s="1110" t="s">
        <v>1054</v>
      </c>
      <c r="C56" s="1110" t="s">
        <v>1050</v>
      </c>
      <c r="D56" s="1110" t="s">
        <v>1136</v>
      </c>
      <c r="E56" s="1111" t="s">
        <v>1138</v>
      </c>
      <c r="F56" s="1112">
        <f>IF(AND('SBL Quotes'!B28="Yes",'SBL Quotes'!AN79="No"),"EXCEPTION","")</f>
      </c>
      <c r="G56" s="1113"/>
    </row>
    <row r="57" ht="15" customHeight="1">
      <c r="A57" s="1110">
        <v>47</v>
      </c>
      <c r="B57" s="1110" t="s">
        <v>1054</v>
      </c>
      <c r="C57" s="1110" t="s">
        <v>1050</v>
      </c>
      <c r="D57" s="1110" t="s">
        <v>1055</v>
      </c>
      <c r="E57" s="1111" t="s">
        <v>1139</v>
      </c>
      <c r="F57" s="1112">
        <f>IF('SBL Quotes'!AN76&gt;5%,"EXCEPTION",IF('SBL Quotes'!AN76&gt;0%,"DISCUSS",""))</f>
      </c>
      <c r="G57" s="1113"/>
    </row>
    <row r="58" ht="15" customHeight="1">
      <c r="A58" s="1110">
        <v>48</v>
      </c>
      <c r="B58" s="1110" t="s">
        <v>1054</v>
      </c>
      <c r="C58" s="1110" t="s">
        <v>1050</v>
      </c>
      <c r="D58" s="1110" t="s">
        <v>1140</v>
      </c>
      <c r="E58" s="1111" t="s">
        <v>1141</v>
      </c>
      <c r="F58" s="1114"/>
      <c r="G58" s="1113"/>
    </row>
    <row r="59" ht="15" customHeight="1">
      <c r="A59" s="1110">
        <v>49</v>
      </c>
      <c r="B59" s="1110" t="s">
        <v>1054</v>
      </c>
      <c r="C59" s="1110" t="s">
        <v>1050</v>
      </c>
      <c r="D59" s="1110" t="s">
        <v>1142</v>
      </c>
      <c r="E59" s="1111" t="s">
        <v>1143</v>
      </c>
      <c r="F59" s="1122" t="s">
        <v>1119</v>
      </c>
      <c r="G59" s="1113"/>
    </row>
    <row r="60" ht="24" customHeight="1">
      <c r="A60" s="1110">
        <v>50</v>
      </c>
      <c r="B60" s="1110" t="s">
        <v>1054</v>
      </c>
      <c r="C60" s="1110" t="s">
        <v>1050</v>
      </c>
      <c r="D60" s="1110" t="s">
        <v>1144</v>
      </c>
      <c r="E60" s="1111" t="s">
        <v>1145</v>
      </c>
      <c r="F60" s="1112" t="e">
        <f>IF(AND(number_units&gt;=50,RentRestrictions="Yes"),"EXCEPTION",IF(AND(number_units&lt;50,OR('SBL Quotes'!AN81="Yes",'SBL Quotes'!AN82="Yes",'SBL Quotes'!AN83="Yes")),"EXCEPTION",""))</f>
        <v>#NAME?</v>
      </c>
      <c r="G60" s="1113"/>
    </row>
    <row r="61" ht="15" customHeight="1">
      <c r="A61" s="1123" t="s">
        <v>1146</v>
      </c>
      <c r="B61" s="1124"/>
      <c r="C61" s="1124"/>
      <c r="D61" s="1124"/>
      <c r="E61" s="1124"/>
      <c r="F61" s="1124"/>
      <c r="G61" s="1125"/>
    </row>
    <row r="62" ht="15" customHeight="1">
      <c r="A62" s="1110">
        <v>51</v>
      </c>
      <c r="B62" s="1110" t="s">
        <v>1054</v>
      </c>
      <c r="C62" s="1110" t="s">
        <v>1050</v>
      </c>
      <c r="D62" s="1110" t="s">
        <v>1147</v>
      </c>
      <c r="E62" s="1111" t="s">
        <v>1148</v>
      </c>
      <c r="F62" s="1112">
        <f>IF('SBL Quotes'!AK72="Yes","DISCUSS","")</f>
      </c>
      <c r="G62" s="1113"/>
    </row>
    <row r="63" ht="36" customHeight="1">
      <c r="A63" s="1110">
        <v>52</v>
      </c>
      <c r="B63" s="1110" t="s">
        <v>1054</v>
      </c>
      <c r="C63" s="1110" t="s">
        <v>1050</v>
      </c>
      <c r="D63" s="1110" t="s">
        <v>1074</v>
      </c>
      <c r="E63" s="1111" t="s">
        <v>1149</v>
      </c>
      <c r="F63" s="1122" t="s">
        <v>1119</v>
      </c>
      <c r="G63" s="1113"/>
    </row>
    <row r="64" ht="15" customHeight="1">
      <c r="A64" s="1123" t="s">
        <v>1150</v>
      </c>
      <c r="B64" s="1124"/>
      <c r="C64" s="1124"/>
      <c r="D64" s="1124"/>
      <c r="E64" s="1124"/>
      <c r="F64" s="1124"/>
      <c r="G64" s="1125"/>
    </row>
    <row r="65" ht="24" customHeight="1">
      <c r="A65" s="1110">
        <v>53</v>
      </c>
      <c r="B65" s="1110" t="s">
        <v>1059</v>
      </c>
      <c r="C65" s="1110" t="s">
        <v>1050</v>
      </c>
      <c r="D65" s="1110" t="s">
        <v>1151</v>
      </c>
      <c r="E65" s="1111" t="s">
        <v>1152</v>
      </c>
      <c r="F65" s="1122" t="s">
        <v>1119</v>
      </c>
      <c r="G65" s="1113"/>
    </row>
    <row r="66" ht="15" customHeight="1">
      <c r="A66" s="1110">
        <v>54</v>
      </c>
      <c r="B66" s="1110" t="s">
        <v>1054</v>
      </c>
      <c r="C66" s="1110" t="s">
        <v>1050</v>
      </c>
      <c r="D66" s="1110" t="s">
        <v>1153</v>
      </c>
      <c r="E66" s="1111" t="s">
        <v>1154</v>
      </c>
      <c r="F66" s="1114"/>
      <c r="G66" s="1113"/>
    </row>
    <row r="67" ht="15" customHeight="1">
      <c r="A67" s="1110">
        <v>55</v>
      </c>
      <c r="B67" s="1110" t="s">
        <v>1054</v>
      </c>
      <c r="C67" s="1110" t="s">
        <v>1050</v>
      </c>
      <c r="D67" s="1110" t="s">
        <v>1155</v>
      </c>
      <c r="E67" s="1111" t="s">
        <v>1156</v>
      </c>
      <c r="F67" s="1112">
        <f>IF('SBL Quotes'!AK84="Yes","EXCEPTION","")</f>
      </c>
      <c r="G67" s="1113"/>
    </row>
    <row r="69" ht="21" customHeight="1">
      <c r="D69" s="1126" t="s">
        <v>1157</v>
      </c>
      <c r="E69" s="1127"/>
      <c r="F69" s="1128"/>
      <c r="G69" s="1127"/>
    </row>
    <row r="70" ht="15" customHeight="1">
      <c r="D70" s="1129" t="s">
        <v>1158</v>
      </c>
      <c r="E70" s="1130"/>
      <c r="F70" s="1131"/>
      <c r="G70" s="1131"/>
    </row>
    <row r="71" ht="15" customHeight="1">
      <c r="D71" s="1132" t="s">
        <v>1159</v>
      </c>
      <c r="E71" s="1133"/>
      <c r="F71" s="1106" t="s">
        <v>1046</v>
      </c>
      <c r="G71" s="1106" t="s">
        <v>1160</v>
      </c>
    </row>
    <row r="72" ht="15" customHeight="1">
      <c r="D72" s="1134" t="s">
        <v>1161</v>
      </c>
      <c r="E72" s="1135"/>
      <c r="F72" s="1113"/>
      <c r="G72" s="1113"/>
    </row>
    <row r="73" ht="15" customHeight="1">
      <c r="D73" s="1107" t="s">
        <v>1048</v>
      </c>
      <c r="E73" s="1108"/>
      <c r="F73" s="1108"/>
      <c r="G73" s="1108"/>
    </row>
    <row r="74" ht="15" customHeight="1">
      <c r="D74" s="1136">
        <v>1</v>
      </c>
      <c r="E74" s="1137" t="s">
        <v>1162</v>
      </c>
      <c r="F74" s="1138"/>
      <c r="G74" s="1138"/>
    </row>
    <row r="75" ht="15" customHeight="1">
      <c r="D75" s="1136">
        <v>2</v>
      </c>
      <c r="E75" s="1137" t="s">
        <v>1163</v>
      </c>
      <c r="F75" s="1138"/>
      <c r="G75" s="1138"/>
    </row>
    <row r="76" ht="15" customHeight="1">
      <c r="D76" s="1136">
        <v>3</v>
      </c>
      <c r="E76" s="1137" t="s">
        <v>1164</v>
      </c>
      <c r="F76" s="1138"/>
      <c r="G76" s="1138"/>
    </row>
    <row r="77" ht="24" customHeight="1">
      <c r="D77" s="1136">
        <v>4</v>
      </c>
      <c r="E77" s="1137" t="s">
        <v>1165</v>
      </c>
      <c r="F77" s="1138"/>
      <c r="G77" s="1138"/>
    </row>
    <row r="78" ht="15" customHeight="1">
      <c r="D78" s="1139" t="s">
        <v>1082</v>
      </c>
      <c r="E78" s="1140"/>
      <c r="F78" s="1140"/>
      <c r="G78" s="1140"/>
    </row>
    <row r="79" ht="15" customHeight="1">
      <c r="D79" s="1136">
        <v>5</v>
      </c>
      <c r="E79" s="1137" t="s">
        <v>1166</v>
      </c>
      <c r="F79" s="1138"/>
      <c r="G79" s="1138"/>
    </row>
    <row r="80" ht="24" customHeight="1">
      <c r="D80" s="1136">
        <v>6</v>
      </c>
      <c r="E80" s="1137" t="s">
        <v>1167</v>
      </c>
      <c r="F80" s="1138"/>
      <c r="G80" s="1138"/>
    </row>
    <row r="81" ht="15" customHeight="1">
      <c r="D81" s="1141" t="s">
        <v>1104</v>
      </c>
      <c r="E81" s="1142"/>
      <c r="F81" s="1142"/>
      <c r="G81" s="1142"/>
    </row>
    <row r="82" ht="48" customHeight="1">
      <c r="D82" s="1136">
        <v>7</v>
      </c>
      <c r="E82" s="1137" t="s">
        <v>1168</v>
      </c>
      <c r="F82" s="1138"/>
      <c r="G82" s="1138"/>
    </row>
    <row r="83" ht="15" customHeight="1">
      <c r="D83" s="1136"/>
      <c r="E83" s="1137" t="s">
        <v>1169</v>
      </c>
      <c r="F83" s="1138"/>
      <c r="G83" s="1138"/>
    </row>
    <row r="84" ht="15" customHeight="1">
      <c r="D84" s="1136"/>
      <c r="E84" s="1137" t="s">
        <v>1170</v>
      </c>
      <c r="F84" s="1138"/>
      <c r="G84" s="1138"/>
    </row>
    <row r="85" ht="15" customHeight="1">
      <c r="D85" s="1136">
        <v>8</v>
      </c>
      <c r="E85" s="1137" t="s">
        <v>1171</v>
      </c>
      <c r="F85" s="1138"/>
      <c r="G85" s="1138"/>
    </row>
    <row r="86" ht="15" customHeight="1">
      <c r="D86" s="1136">
        <v>9</v>
      </c>
      <c r="E86" s="1137" t="s">
        <v>1172</v>
      </c>
      <c r="F86" s="1138"/>
      <c r="G86" s="1138"/>
    </row>
    <row r="87" ht="24" customHeight="1">
      <c r="D87" s="1136">
        <v>10</v>
      </c>
      <c r="E87" s="1137" t="s">
        <v>1173</v>
      </c>
      <c r="F87" s="1138"/>
      <c r="G87" s="1138"/>
    </row>
    <row r="88" ht="15" customHeight="1">
      <c r="D88" s="1141" t="s">
        <v>1107</v>
      </c>
      <c r="E88" s="1142"/>
      <c r="F88" s="1142"/>
      <c r="G88" s="1142"/>
    </row>
    <row r="89" ht="15" customHeight="1">
      <c r="D89" s="1136">
        <v>11</v>
      </c>
      <c r="E89" s="1137" t="s">
        <v>1174</v>
      </c>
      <c r="F89" s="1138"/>
      <c r="G89" s="1138"/>
    </row>
    <row r="90" ht="15" customHeight="1">
      <c r="D90" s="1136">
        <v>12</v>
      </c>
      <c r="E90" s="1137" t="s">
        <v>1175</v>
      </c>
      <c r="F90" s="1138"/>
      <c r="G90" s="1138"/>
    </row>
    <row r="91" ht="15" customHeight="1">
      <c r="D91" s="1136">
        <v>13</v>
      </c>
      <c r="E91" s="1137" t="s">
        <v>1176</v>
      </c>
      <c r="F91" s="1138"/>
      <c r="G91" s="1138"/>
    </row>
    <row r="92" ht="15" customHeight="1">
      <c r="D92" s="1136">
        <v>14</v>
      </c>
      <c r="E92" s="1137" t="s">
        <v>1177</v>
      </c>
      <c r="F92" s="1138"/>
      <c r="G92" s="1138"/>
    </row>
    <row r="93" ht="15" customHeight="1">
      <c r="D93" s="1141" t="s">
        <v>1124</v>
      </c>
      <c r="E93" s="1142"/>
      <c r="F93" s="1142"/>
      <c r="G93" s="1142"/>
    </row>
    <row r="94" ht="15" customHeight="1">
      <c r="D94" s="1136">
        <v>15</v>
      </c>
      <c r="E94" s="1137" t="s">
        <v>1178</v>
      </c>
      <c r="F94" s="1138"/>
      <c r="G94" s="1138"/>
    </row>
    <row r="95" ht="15" customHeight="1">
      <c r="D95" s="1136">
        <v>16</v>
      </c>
      <c r="E95" s="1137" t="s">
        <v>1179</v>
      </c>
      <c r="F95" s="1138"/>
      <c r="G95" s="1138"/>
    </row>
    <row r="96" ht="15" customHeight="1">
      <c r="D96" s="1141" t="s">
        <v>1131</v>
      </c>
      <c r="E96" s="1142"/>
      <c r="F96" s="1142"/>
      <c r="G96" s="1142"/>
    </row>
    <row r="97" ht="15" customHeight="1">
      <c r="D97" s="1136">
        <v>17</v>
      </c>
      <c r="E97" s="1137" t="s">
        <v>1180</v>
      </c>
      <c r="F97" s="1138"/>
      <c r="G97" s="1138"/>
    </row>
    <row r="98" ht="15" customHeight="1">
      <c r="D98" s="1143" t="s">
        <v>1134</v>
      </c>
      <c r="E98" s="1144"/>
      <c r="F98" s="1144"/>
      <c r="G98" s="1144"/>
    </row>
    <row r="99" ht="15" customHeight="1">
      <c r="D99" s="1136">
        <v>18</v>
      </c>
      <c r="E99" s="1137" t="s">
        <v>1181</v>
      </c>
      <c r="F99" s="1138"/>
      <c r="G99" s="1138"/>
    </row>
    <row r="100" ht="15" customHeight="1">
      <c r="D100" s="1136">
        <v>19</v>
      </c>
      <c r="E100" s="1145" t="s">
        <v>1182</v>
      </c>
      <c r="F100" s="1138"/>
      <c r="G100" s="1138"/>
    </row>
    <row r="101" ht="15" customHeight="1">
      <c r="D101" s="1143" t="s">
        <v>1146</v>
      </c>
      <c r="E101" s="1144"/>
      <c r="F101" s="1144"/>
      <c r="G101" s="1144"/>
    </row>
    <row r="102" ht="15" customHeight="1">
      <c r="D102" s="1136">
        <v>20</v>
      </c>
      <c r="E102" s="1137" t="s">
        <v>1183</v>
      </c>
      <c r="F102" s="1138"/>
      <c r="G102" s="1138"/>
    </row>
    <row r="103" ht="15" customHeight="1">
      <c r="D103" s="1136">
        <v>21</v>
      </c>
      <c r="E103" s="1137" t="s">
        <v>1184</v>
      </c>
      <c r="F103" s="1138"/>
      <c r="G103" s="1138"/>
    </row>
    <row r="104" ht="15" customHeight="1">
      <c r="D104" s="1136">
        <v>22</v>
      </c>
      <c r="E104" s="1137" t="s">
        <v>1185</v>
      </c>
      <c r="F104" s="1138"/>
      <c r="G104" s="1138"/>
    </row>
    <row r="105" ht="15" customHeight="1">
      <c r="D105" s="1136">
        <v>23</v>
      </c>
      <c r="E105" s="1137" t="s">
        <v>1186</v>
      </c>
      <c r="F105" s="1138"/>
      <c r="G105" s="1138"/>
    </row>
    <row r="106" ht="15" customHeight="1">
      <c r="D106" s="1143" t="s">
        <v>1150</v>
      </c>
      <c r="E106" s="1144"/>
      <c r="F106" s="1144"/>
      <c r="G106" s="1144"/>
    </row>
    <row r="107" ht="15" customHeight="1">
      <c r="D107" s="1136">
        <v>24</v>
      </c>
      <c r="E107" s="1137" t="s">
        <v>1187</v>
      </c>
      <c r="F107" s="1138"/>
      <c r="G107" s="1138"/>
    </row>
    <row r="108" ht="15" customHeight="1">
      <c r="D108" s="1136">
        <v>25</v>
      </c>
      <c r="E108" s="1137" t="s">
        <v>1188</v>
      </c>
      <c r="F108" s="1138"/>
      <c r="G108" s="1138"/>
    </row>
    <row r="109" ht="15" customHeight="1">
      <c r="D109" s="1136">
        <v>26</v>
      </c>
      <c r="E109" s="1137" t="s">
        <v>1189</v>
      </c>
      <c r="F109" s="1138"/>
      <c r="G109" s="1138"/>
    </row>
    <row r="110" ht="15" customHeight="1">
      <c r="D110" s="1127"/>
      <c r="E110" s="1127"/>
      <c r="F110" s="1127"/>
      <c r="G110" s="1127"/>
    </row>
    <row r="111" ht="15" customHeight="1">
      <c r="D111" s="1146" t="s">
        <v>1190</v>
      </c>
      <c r="E111" s="1147"/>
      <c r="G111" s="1128"/>
    </row>
    <row r="112" ht="15" customHeight="1">
      <c r="D112" s="1148">
        <v>1</v>
      </c>
      <c r="E112" s="1149" t="s">
        <v>1191</v>
      </c>
      <c r="G112" s="1127"/>
    </row>
    <row r="113" ht="15" customHeight="1">
      <c r="D113" s="1148">
        <v>2</v>
      </c>
      <c r="E113" s="1149" t="s">
        <v>1192</v>
      </c>
      <c r="G113" s="1127"/>
    </row>
    <row r="114" ht="15" customHeight="1">
      <c r="D114" s="1148">
        <v>3</v>
      </c>
      <c r="E114" s="1149" t="s">
        <v>1193</v>
      </c>
      <c r="G114" s="1127"/>
    </row>
    <row r="115" ht="15" customHeight="1">
      <c r="D115" s="1148">
        <v>4</v>
      </c>
      <c r="E115" s="1149" t="s">
        <v>1194</v>
      </c>
      <c r="G115" s="1127"/>
    </row>
    <row r="116" ht="15" customHeight="1">
      <c r="D116" s="1150">
        <v>5</v>
      </c>
      <c r="E116" s="1149" t="s">
        <v>1195</v>
      </c>
      <c r="G116" s="1127"/>
    </row>
    <row r="117" ht="15" customHeight="1">
      <c r="D117" s="1151"/>
      <c r="E117" s="1152"/>
      <c r="F117" s="1153"/>
      <c r="G117" s="1127"/>
    </row>
    <row r="118" ht="60" customHeight="1">
      <c r="D118" s="1151"/>
      <c r="E118" s="1154" t="s">
        <v>1196</v>
      </c>
      <c r="G118" s="1127"/>
    </row>
    <row r="119" ht="15" customHeight="1">
      <c r="D119" s="1151"/>
      <c r="E119" s="1154"/>
      <c r="G119" s="1127"/>
    </row>
    <row r="120" ht="15" customHeight="1">
      <c r="D120" s="1151"/>
      <c r="E120" s="1154"/>
      <c r="G120" s="1127"/>
    </row>
  </sheetData>
  <mergeCells>
    <mergeCell ref="A51:G51"/>
    <mergeCell ref="A3:G3"/>
    <mergeCell ref="A18:G18"/>
    <mergeCell ref="A32:G32"/>
    <mergeCell ref="A35:G35"/>
    <mergeCell ref="A44:G44"/>
    <mergeCell ref="D106:G106"/>
    <mergeCell ref="A53:G53"/>
    <mergeCell ref="A61:G61"/>
    <mergeCell ref="A64:G64"/>
    <mergeCell ref="D70:E70"/>
    <mergeCell ref="D71:E71"/>
    <mergeCell ref="D72:E72"/>
    <mergeCell ref="D73:G73"/>
    <mergeCell ref="D78:G78"/>
    <mergeCell ref="D81:G81"/>
    <mergeCell ref="D88:G88"/>
    <mergeCell ref="D93:G93"/>
    <mergeCell ref="D96:G96"/>
    <mergeCell ref="D98:G98"/>
    <mergeCell ref="D101:G101"/>
  </mergeCells>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56411CDA-29E8-4A22-3F9B-F37B6EF8BC94}" mc:Ignorable="x14ac xr xr2 xr3">
  <dimension ref="A1:CN117"/>
  <sheetViews>
    <sheetView topLeftCell="K1" zoomScale="80" workbookViewId="0">
      <selection activeCell="A3" sqref="A3"/>
    </sheetView>
  </sheetViews>
  <sheetFormatPr defaultRowHeight="15" defaultColWidth="9.140625" customHeight="1" outlineLevelCol="2"/>
  <cols>
    <col min="1" max="1" style="21" width="25.140625" hidden="1" customWidth="1" outlineLevel="1"/>
    <col min="2" max="2" style="1166" width="29.7109375" hidden="1" customWidth="1" outlineLevel="1"/>
    <col min="3" max="10" style="1167" width="9.8515625" hidden="1" customWidth="1" outlineLevel="2"/>
    <col min="11" max="11" style="1" width="3.00390625" collapsed="1" customWidth="1"/>
    <col min="12" max="12" style="1166" width="22.7109375" hidden="1" customWidth="1" outlineLevel="1"/>
    <col min="13" max="20" style="1166" width="9.140625" hidden="1" customWidth="1" outlineLevel="2"/>
    <col min="21" max="21" style="1" width="3.00390625" collapsed="1" customWidth="1"/>
    <col min="22" max="22" style="1166" width="16.7109375" hidden="1" customWidth="1" outlineLevel="1"/>
    <col min="23" max="23" style="1166" width="7.57421875" hidden="1" customWidth="1" outlineLevel="2"/>
    <col min="24" max="30" style="1166" width="7.7109375" hidden="1" customWidth="1" outlineLevel="2"/>
    <col min="31" max="31" style="1166" width="3.28125" hidden="1" customWidth="1" outlineLevel="1"/>
    <col min="32" max="32" style="1" width="3.00390625" collapsed="1" customWidth="1"/>
    <col min="33" max="33" style="1" width="32.57421875" customWidth="1"/>
    <col min="34" max="41" style="6" width="9.57421875" hidden="1" customWidth="1" outlineLevel="1"/>
    <col min="42" max="42" style="1" width="36.140625" collapsed="1" customWidth="1"/>
    <col min="43" max="44" style="1" width="22.57421875" customWidth="1"/>
    <col min="45" max="45" style="1" width="19.57421875" customWidth="1"/>
    <col min="46" max="46" style="1" width="15.8515625" customWidth="1"/>
    <col min="47" max="47" style="1" width="14.8515625" customWidth="1"/>
    <col min="48" max="48" style="1" width="4.8515625" customWidth="1"/>
    <col min="49" max="92" style="6" width="9.140625" customWidth="1"/>
  </cols>
  <sheetData>
    <row r="1" ht="15" customHeight="1">
      <c r="A1" s="1156" t="s">
        <v>1197</v>
      </c>
      <c r="B1" s="1156"/>
      <c r="C1" s="1156"/>
      <c r="D1" s="1156"/>
      <c r="E1" s="1156"/>
      <c r="F1" s="1156"/>
      <c r="G1" s="1156"/>
      <c r="H1" s="1156"/>
      <c r="I1" s="1156"/>
      <c r="J1" s="1156"/>
      <c r="L1" s="1156" t="s">
        <v>1198</v>
      </c>
      <c r="M1" s="1156"/>
      <c r="N1" s="1156"/>
      <c r="O1" s="1156"/>
      <c r="P1" s="1156"/>
      <c r="Q1" s="1156"/>
      <c r="R1" s="1156"/>
      <c r="S1" s="1156"/>
      <c r="T1" s="1156"/>
      <c r="V1" s="1157" t="s">
        <v>1199</v>
      </c>
      <c r="W1" s="1157"/>
      <c r="X1" s="1157"/>
      <c r="Y1" s="1157"/>
      <c r="Z1" s="1157"/>
      <c r="AA1" s="1157"/>
      <c r="AB1" s="1157"/>
      <c r="AC1" s="1157"/>
      <c r="AD1" s="1157"/>
      <c r="AG1" s="1158" t="s">
        <v>1200</v>
      </c>
      <c r="AP1" s="1159" t="str">
        <f>IF('SBL Quotes'!B33="MAH","MAH","Conventional")</f>
        <v>Conventional</v>
      </c>
    </row>
    <row r="2" ht="15" customHeight="1">
      <c r="A2" s="1156"/>
      <c r="B2" s="1156" t="s">
        <v>1201</v>
      </c>
      <c r="C2" s="1160" t="s">
        <v>1202</v>
      </c>
      <c r="D2" s="1161"/>
      <c r="E2" s="1161"/>
      <c r="F2" s="1161"/>
      <c r="G2" s="1161"/>
      <c r="H2" s="1161"/>
      <c r="I2" s="1161"/>
      <c r="J2" s="1161"/>
      <c r="L2" s="1156"/>
      <c r="M2" s="1156"/>
      <c r="N2" s="1156"/>
      <c r="O2" s="1156"/>
      <c r="P2" s="1156"/>
      <c r="Q2" s="1156"/>
      <c r="R2" s="1156"/>
      <c r="S2" s="1156"/>
      <c r="T2" s="1156"/>
      <c r="V2" s="1162"/>
      <c r="W2" s="1162"/>
      <c r="X2" s="1162"/>
      <c r="Y2" s="1162"/>
      <c r="Z2" s="1162"/>
      <c r="AA2" s="1162"/>
      <c r="AB2" s="1162"/>
      <c r="AC2" s="1162"/>
      <c r="AD2" s="1162"/>
      <c r="AG2" s="1163" t="str">
        <f>IF($AP$1="MAH","Requires Manual Lookup",V5)</f>
        <v>Pass</v>
      </c>
      <c r="AH2" s="1164" t="str">
        <f t="shared" si="0" ref="AH2:AO2">IF($AP$1="Conventional",IF(OR(W5=Pass,W5=Fail),"PD: "&amp;W5,"NA"),"? - MAH")</f>
        <v>NA</v>
      </c>
      <c r="AI2" s="1164" t="str">
        <f t="shared" si="0"/>
        <v>NA</v>
      </c>
      <c r="AJ2" s="1164" t="str">
        <f t="shared" si="0"/>
        <v>NA</v>
      </c>
      <c r="AK2" s="1164" t="str">
        <f t="shared" si="0"/>
        <v>NA</v>
      </c>
      <c r="AL2" s="1164" t="str">
        <f t="shared" si="0"/>
        <v>NA</v>
      </c>
      <c r="AM2" s="1164" t="str">
        <f t="shared" si="0"/>
        <v>NA</v>
      </c>
      <c r="AN2" s="1164" t="str">
        <f t="shared" si="0"/>
        <v>NA</v>
      </c>
      <c r="AO2" s="1165" t="str">
        <f t="shared" si="0"/>
        <v>NA</v>
      </c>
    </row>
    <row r="3" ht="15" customHeight="1">
      <c r="B3" s="1166" t="s">
        <v>1204</v>
      </c>
      <c r="C3" s="1167" t="str">
        <f>IF(Loan_Option_Accepted&lt;=C4,"Selected","-")</f>
        <v>-</v>
      </c>
      <c r="D3" s="1167" t="str">
        <f t="shared" si="1" ref="D3:J3">IF(Loan_Option_Accepted=D4,"Selected","-")</f>
        <v>-</v>
      </c>
      <c r="E3" s="1167" t="str">
        <f t="shared" si="1"/>
        <v>-</v>
      </c>
      <c r="F3" s="1167" t="str">
        <f t="shared" si="1"/>
        <v>-</v>
      </c>
      <c r="G3" s="1167" t="str">
        <f t="shared" si="1"/>
        <v>-</v>
      </c>
      <c r="H3" s="1167" t="str">
        <f t="shared" si="1"/>
        <v>-</v>
      </c>
      <c r="I3" s="1167" t="str">
        <f t="shared" si="1"/>
        <v>-</v>
      </c>
      <c r="J3" s="1167" t="str">
        <f t="shared" si="1"/>
        <v>-</v>
      </c>
      <c r="M3" s="1166" t="str">
        <f t="shared" si="2" ref="M3:T3">C3</f>
        <v>-</v>
      </c>
      <c r="N3" s="1166" t="str">
        <f t="shared" si="2"/>
        <v>-</v>
      </c>
      <c r="O3" s="1166" t="str">
        <f t="shared" si="2"/>
        <v>-</v>
      </c>
      <c r="P3" s="1166" t="str">
        <f t="shared" si="2"/>
        <v>-</v>
      </c>
      <c r="Q3" s="1166" t="str">
        <f t="shared" si="2"/>
        <v>-</v>
      </c>
      <c r="R3" s="1166" t="str">
        <f t="shared" si="2"/>
        <v>-</v>
      </c>
      <c r="S3" s="1166" t="str">
        <f t="shared" si="2"/>
        <v>-</v>
      </c>
      <c r="T3" s="1166" t="str">
        <f t="shared" si="2"/>
        <v>-</v>
      </c>
      <c r="V3" s="1166" t="s">
        <v>1205</v>
      </c>
      <c r="W3" s="1166" t="str">
        <f t="shared" si="3" ref="W3:AD3">C3</f>
        <v>-</v>
      </c>
      <c r="X3" s="1166" t="str">
        <f t="shared" si="3"/>
        <v>-</v>
      </c>
      <c r="Y3" s="1166" t="str">
        <f t="shared" si="3"/>
        <v>-</v>
      </c>
      <c r="Z3" s="1166" t="str">
        <f t="shared" si="3"/>
        <v>-</v>
      </c>
      <c r="AA3" s="1166" t="str">
        <f t="shared" si="3"/>
        <v>-</v>
      </c>
      <c r="AB3" s="1166" t="str">
        <f t="shared" si="3"/>
        <v>-</v>
      </c>
      <c r="AC3" s="1166" t="str">
        <f t="shared" si="3"/>
        <v>-</v>
      </c>
      <c r="AD3" s="1166" t="str">
        <f t="shared" si="3"/>
        <v>-</v>
      </c>
      <c r="AH3" s="1168" t="str">
        <f t="shared" si="4" ref="AH3:AO105">W3</f>
        <v>-</v>
      </c>
      <c r="AI3" s="1168" t="str">
        <f t="shared" si="4"/>
        <v>-</v>
      </c>
      <c r="AJ3" s="1168" t="str">
        <f t="shared" si="4"/>
        <v>-</v>
      </c>
      <c r="AK3" s="1168" t="str">
        <f t="shared" si="4"/>
        <v>-</v>
      </c>
      <c r="AL3" s="1168" t="str">
        <f t="shared" si="4"/>
        <v>-</v>
      </c>
      <c r="AM3" s="1168" t="str">
        <f t="shared" si="4"/>
        <v>-</v>
      </c>
      <c r="AN3" s="1168" t="str">
        <f t="shared" si="4"/>
        <v>-</v>
      </c>
      <c r="AO3" s="1168" t="str">
        <f t="shared" si="4"/>
        <v>-</v>
      </c>
      <c r="AP3" s="1169" t="s">
        <v>1206</v>
      </c>
    </row>
    <row r="4" ht="32.25" customHeight="1">
      <c r="B4" s="1170"/>
      <c r="C4" s="1171">
        <v>1</v>
      </c>
      <c r="D4" s="1172">
        <v>2</v>
      </c>
      <c r="E4" s="1172">
        <v>3</v>
      </c>
      <c r="F4" s="1172">
        <v>4</v>
      </c>
      <c r="G4" s="1172">
        <v>5</v>
      </c>
      <c r="H4" s="1172">
        <v>6</v>
      </c>
      <c r="I4" s="1172">
        <v>7</v>
      </c>
      <c r="J4" s="1173">
        <v>8</v>
      </c>
      <c r="L4" s="1174" t="s">
        <v>1207</v>
      </c>
      <c r="M4" s="1175" t="s">
        <v>539</v>
      </c>
      <c r="N4" s="1175" t="s">
        <v>540</v>
      </c>
      <c r="O4" s="1175" t="s">
        <v>541</v>
      </c>
      <c r="P4" s="1175" t="s">
        <v>542</v>
      </c>
      <c r="Q4" s="1175" t="s">
        <v>543</v>
      </c>
      <c r="R4" s="1175" t="s">
        <v>544</v>
      </c>
      <c r="S4" s="1175" t="s">
        <v>545</v>
      </c>
      <c r="T4" s="1176" t="s">
        <v>546</v>
      </c>
      <c r="V4" s="1177" t="s">
        <v>1207</v>
      </c>
      <c r="W4" s="1178" t="s">
        <v>539</v>
      </c>
      <c r="X4" s="1178" t="s">
        <v>540</v>
      </c>
      <c r="Y4" s="1178" t="s">
        <v>541</v>
      </c>
      <c r="Z4" s="1178" t="s">
        <v>542</v>
      </c>
      <c r="AA4" s="1178" t="s">
        <v>543</v>
      </c>
      <c r="AB4" s="1178" t="s">
        <v>544</v>
      </c>
      <c r="AC4" s="1178" t="s">
        <v>545</v>
      </c>
      <c r="AD4" s="1179" t="s">
        <v>546</v>
      </c>
      <c r="AG4" s="1180" t="s">
        <v>1208</v>
      </c>
      <c r="AH4" s="1181" t="s">
        <v>539</v>
      </c>
      <c r="AI4" s="1181" t="s">
        <v>540</v>
      </c>
      <c r="AJ4" s="1181" t="s">
        <v>541</v>
      </c>
      <c r="AK4" s="1181" t="s">
        <v>542</v>
      </c>
      <c r="AL4" s="1181" t="s">
        <v>543</v>
      </c>
      <c r="AM4" s="1181" t="s">
        <v>544</v>
      </c>
      <c r="AN4" s="1181" t="s">
        <v>545</v>
      </c>
      <c r="AO4" s="1181" t="s">
        <v>546</v>
      </c>
      <c r="AP4" s="1182"/>
    </row>
    <row r="5" ht="15.75" customHeight="1">
      <c r="A5" s="21" t="s">
        <v>1209</v>
      </c>
      <c r="B5" s="1183">
        <f>_xlfn.IFERROR(LoanAmount,0)</f>
        <v>0</v>
      </c>
      <c r="C5" s="1184">
        <f>'SBL Quotes'!R30</f>
        <v>0</v>
      </c>
      <c r="D5" s="1184">
        <f>'SBL Quotes'!S30</f>
        <v>0</v>
      </c>
      <c r="E5" s="1184">
        <f>'SBL Quotes'!T30</f>
        <v>0</v>
      </c>
      <c r="F5" s="1184">
        <f>'SBL Quotes'!U30</f>
        <v>0</v>
      </c>
      <c r="G5" s="1184">
        <f>'SBL Quotes'!V30</f>
        <v>0</v>
      </c>
      <c r="H5" s="1184">
        <f>'SBL Quotes'!W30</f>
        <v>0</v>
      </c>
      <c r="I5" s="1184">
        <f>'SBL Quotes'!X30</f>
        <v>0</v>
      </c>
      <c r="J5" s="1184">
        <f>'SBL Quotes'!Y30</f>
        <v>0</v>
      </c>
      <c r="L5" s="1185"/>
      <c r="T5" s="1186"/>
      <c r="V5" s="1187" t="str">
        <f>IF(COUNTIF(V6:V70,"=Fail")=0,Pass,IF(B5&gt;0,Fail,"NA"))</f>
        <v>Pass</v>
      </c>
      <c r="W5" s="1187" t="str">
        <f t="shared" si="5" ref="W5:AD5">IF(C5=0,"NA",IF(COUNTIF(W6:W70,"=Fail")=0,Pass,Fail))</f>
        <v>NA</v>
      </c>
      <c r="X5" s="1187" t="str">
        <f t="shared" si="5"/>
        <v>NA</v>
      </c>
      <c r="Y5" s="1187" t="str">
        <f t="shared" si="5"/>
        <v>NA</v>
      </c>
      <c r="Z5" s="1187" t="str">
        <f t="shared" si="5"/>
        <v>NA</v>
      </c>
      <c r="AA5" s="1187" t="str">
        <f t="shared" si="5"/>
        <v>NA</v>
      </c>
      <c r="AB5" s="1187" t="str">
        <f t="shared" si="5"/>
        <v>NA</v>
      </c>
      <c r="AC5" s="1187" t="str">
        <f t="shared" si="5"/>
        <v>NA</v>
      </c>
      <c r="AD5" s="1187" t="str">
        <f t="shared" si="5"/>
        <v>NA</v>
      </c>
      <c r="AG5" s="1188" t="s">
        <v>1210</v>
      </c>
      <c r="AH5" s="1189"/>
      <c r="AI5" s="1189"/>
      <c r="AJ5" s="1189"/>
      <c r="AK5" s="1189"/>
      <c r="AL5" s="1189"/>
      <c r="AM5" s="1189"/>
      <c r="AN5" s="1189"/>
      <c r="AO5" s="1189"/>
      <c r="AP5" s="1190"/>
      <c r="AQ5" s="1190"/>
      <c r="AR5" s="1190"/>
      <c r="AS5" s="1190"/>
      <c r="AT5" s="1190"/>
      <c r="AU5" s="1191"/>
    </row>
    <row r="6" ht="15.75" customHeight="1">
      <c r="A6" s="21" t="s">
        <v>1211</v>
      </c>
      <c r="B6" s="1166" t="b">
        <f>'SBL Quotes'!B33="MAH"</f>
        <v>0</v>
      </c>
      <c r="C6" s="1192"/>
      <c r="D6" s="1192"/>
      <c r="E6" s="1192"/>
      <c r="F6" s="1192"/>
      <c r="G6" s="1192"/>
      <c r="H6" s="1192"/>
      <c r="I6" s="1192"/>
      <c r="J6" s="1192"/>
      <c r="K6" s="1193"/>
      <c r="T6" s="1194"/>
      <c r="U6" s="1193"/>
      <c r="AE6" s="1195"/>
      <c r="AF6" s="1196"/>
      <c r="AG6" s="1196" t="s">
        <v>1212</v>
      </c>
      <c r="AP6" s="1197"/>
      <c r="AQ6" s="1196"/>
      <c r="AR6" s="1196"/>
      <c r="AS6" s="1196"/>
      <c r="AT6" s="1196"/>
      <c r="AU6" s="1196"/>
      <c r="AV6" s="1196"/>
    </row>
    <row r="7" ht="15" customHeight="1">
      <c r="A7" s="21" t="s">
        <v>1213</v>
      </c>
      <c r="B7" s="1166" t="str">
        <f>Interest_Rate_Type</f>
        <v>Fixed</v>
      </c>
      <c r="C7" s="1198" t="str">
        <f>IF(ISERROR(FIND("Fixed",'SBL Quotes'!R26)),"Variable","Fixed")</f>
        <v>Fixed</v>
      </c>
      <c r="D7" s="1198" t="str">
        <f>IF(ISERROR(FIND("Fixed",'SBL Quotes'!S26)),"Variable","Fixed")</f>
        <v>Fixed</v>
      </c>
      <c r="E7" s="1198" t="str">
        <f>IF(ISERROR(FIND("Fixed",'SBL Quotes'!T26)),"Variable","Fixed")</f>
        <v>Fixed</v>
      </c>
      <c r="F7" s="1198" t="str">
        <f>IF(ISERROR(FIND("Fixed",'SBL Quotes'!U26)),"Variable","Fixed")</f>
        <v>Fixed</v>
      </c>
      <c r="G7" s="1198" t="str">
        <f>IF(ISERROR(FIND("Fixed",'SBL Quotes'!V26)),"Variable","Fixed")</f>
        <v>Fixed</v>
      </c>
      <c r="H7" s="1198" t="str">
        <f>IF(ISERROR(FIND("Fixed",'SBL Quotes'!W26)),"Variable","Fixed")</f>
        <v>Fixed</v>
      </c>
      <c r="I7" s="1198" t="str">
        <f>IF(ISERROR(FIND("Fixed",'SBL Quotes'!X26)),"Variable","Fixed")</f>
        <v>Fixed</v>
      </c>
      <c r="J7" s="1198" t="str">
        <f>IF(ISERROR(FIND("Fixed",'SBL Quotes'!Y26)),"Variable","Fixed")</f>
        <v>Variable</v>
      </c>
      <c r="K7" s="1193"/>
      <c r="L7" s="1199" t="s">
        <v>384</v>
      </c>
      <c r="M7" s="1200" t="s">
        <v>507</v>
      </c>
      <c r="N7" s="1200" t="s">
        <v>507</v>
      </c>
      <c r="O7" s="1200" t="s">
        <v>507</v>
      </c>
      <c r="P7" s="1200" t="s">
        <v>507</v>
      </c>
      <c r="Q7" s="1200" t="s">
        <v>507</v>
      </c>
      <c r="R7" s="1200" t="s">
        <v>507</v>
      </c>
      <c r="S7" s="1200" t="s">
        <v>507</v>
      </c>
      <c r="T7" s="1201" t="s">
        <v>507</v>
      </c>
      <c r="U7" s="1193"/>
      <c r="V7" s="1202" t="str">
        <f t="shared" si="6" ref="V7:AD7">IF(B7=$L7,Pass,Fail)</f>
        <v>Pass</v>
      </c>
      <c r="W7" s="1203" t="str">
        <f t="shared" si="6"/>
        <v>Pass</v>
      </c>
      <c r="X7" s="1203" t="str">
        <f t="shared" si="6"/>
        <v>Pass</v>
      </c>
      <c r="Y7" s="1203" t="str">
        <f t="shared" si="6"/>
        <v>Pass</v>
      </c>
      <c r="Z7" s="1203" t="str">
        <f t="shared" si="6"/>
        <v>Pass</v>
      </c>
      <c r="AA7" s="1203" t="str">
        <f t="shared" si="6"/>
        <v>Pass</v>
      </c>
      <c r="AB7" s="1203" t="str">
        <f t="shared" si="6"/>
        <v>Pass</v>
      </c>
      <c r="AC7" s="1203" t="str">
        <f t="shared" si="6"/>
        <v>Pass</v>
      </c>
      <c r="AD7" s="1203" t="str">
        <f t="shared" si="6"/>
        <v>Fail</v>
      </c>
      <c r="AE7" s="1204"/>
      <c r="AF7" s="1196"/>
      <c r="AG7" s="1205" t="s">
        <v>1216</v>
      </c>
      <c r="AH7" s="1206" t="str">
        <f t="shared" si="4"/>
        <v>Pass</v>
      </c>
      <c r="AI7" s="1206" t="str">
        <f t="shared" si="4"/>
        <v>Pass</v>
      </c>
      <c r="AJ7" s="1206" t="str">
        <f t="shared" si="4"/>
        <v>Pass</v>
      </c>
      <c r="AK7" s="1206" t="str">
        <f t="shared" si="4"/>
        <v>Pass</v>
      </c>
      <c r="AL7" s="1206" t="str">
        <f t="shared" si="4"/>
        <v>Pass</v>
      </c>
      <c r="AM7" s="1206" t="str">
        <f t="shared" si="4"/>
        <v>Pass</v>
      </c>
      <c r="AN7" s="1206" t="str">
        <f t="shared" si="4"/>
        <v>Pass</v>
      </c>
      <c r="AO7" s="1206" t="str">
        <f t="shared" si="4"/>
        <v>Fail</v>
      </c>
      <c r="AP7" s="1207" t="s">
        <v>1217</v>
      </c>
      <c r="AQ7" s="1208"/>
      <c r="AR7" s="1208"/>
      <c r="AS7" s="1208"/>
      <c r="AT7" s="1208"/>
      <c r="AU7" s="1209"/>
      <c r="AV7" s="1196"/>
    </row>
    <row r="8" ht="15.75" customHeight="1">
      <c r="A8" s="21" t="s">
        <v>204</v>
      </c>
      <c r="B8" s="1210" t="e">
        <f>Requested_Tier</f>
        <v>#NAME?</v>
      </c>
      <c r="C8" s="1211">
        <f>'SBL Quotes'!R39</f>
        <v>2</v>
      </c>
      <c r="D8" s="1211">
        <f>'SBL Quotes'!S39</f>
        <v>2</v>
      </c>
      <c r="E8" s="1211">
        <f>'SBL Quotes'!T39</f>
        <v>2</v>
      </c>
      <c r="F8" s="1211">
        <f>'SBL Quotes'!U39</f>
        <v>3</v>
      </c>
      <c r="G8" s="1211">
        <f>'SBL Quotes'!V39</f>
        <v>4</v>
      </c>
      <c r="H8" s="1211">
        <f>'SBL Quotes'!W39</f>
        <v>3</v>
      </c>
      <c r="I8" s="1211">
        <f>'SBL Quotes'!X39</f>
        <v>4</v>
      </c>
      <c r="J8" s="1211">
        <f>'SBL Quotes'!Y39</f>
        <v>2</v>
      </c>
      <c r="K8" s="1193"/>
      <c r="T8" s="1194"/>
      <c r="U8" s="1193"/>
      <c r="AE8" s="1195"/>
      <c r="AF8" s="1196"/>
      <c r="AG8" s="1212"/>
      <c r="AP8" s="1213"/>
      <c r="AQ8" s="1193"/>
      <c r="AR8" s="1193"/>
      <c r="AS8" s="1193"/>
      <c r="AT8" s="1193"/>
      <c r="AU8" s="1214"/>
      <c r="AV8" s="1196"/>
    </row>
    <row r="9" ht="15" customHeight="1">
      <c r="A9" s="21" t="s">
        <v>1218</v>
      </c>
      <c r="B9" s="1166">
        <f>SblQuotes_FannieMktTier</f>
        <v>0</v>
      </c>
      <c r="K9" s="1215"/>
      <c r="L9" s="1216">
        <f>_xlfn.LET(_xlpm.IsPriorityBorrower,B13,_xlpm.IsStrongMktOrEligibleMSA,B14,_xlpm.LTV,B11,_xlpm.MaxLTV,65%,IF(AND(_xlpm.IsStrongMktOrEligibleMSA,_xlpm.LTV&lt;=_xlpm.MaxLTV),AR9,IF(OR(_xlpm.IsStrongMktOrEligibleMSA,_xlpm.IsPriorityBorrower),AR10,AR11)))</f>
        <v>9000000</v>
      </c>
      <c r="M9" s="1217" t="s">
        <v>507</v>
      </c>
      <c r="N9" s="1217" t="s">
        <v>507</v>
      </c>
      <c r="O9" s="1217" t="s">
        <v>507</v>
      </c>
      <c r="P9" s="1217" t="s">
        <v>507</v>
      </c>
      <c r="Q9" s="1217" t="s">
        <v>507</v>
      </c>
      <c r="R9" s="1217" t="s">
        <v>507</v>
      </c>
      <c r="S9" s="1217" t="s">
        <v>507</v>
      </c>
      <c r="T9" s="1218" t="s">
        <v>507</v>
      </c>
      <c r="U9" s="1215"/>
      <c r="V9" s="1219" t="str">
        <f t="shared" si="7" ref="V9:AD9">IF(B5&lt;$AR$11,Pass,Fail)</f>
        <v>Pass</v>
      </c>
      <c r="W9" s="1219" t="str">
        <f t="shared" si="7"/>
        <v>Pass</v>
      </c>
      <c r="X9" s="1219" t="str">
        <f t="shared" si="7"/>
        <v>Pass</v>
      </c>
      <c r="Y9" s="1219" t="str">
        <f t="shared" si="7"/>
        <v>Pass</v>
      </c>
      <c r="Z9" s="1219" t="str">
        <f t="shared" si="7"/>
        <v>Pass</v>
      </c>
      <c r="AA9" s="1219" t="str">
        <f t="shared" si="7"/>
        <v>Pass</v>
      </c>
      <c r="AB9" s="1219" t="str">
        <f t="shared" si="7"/>
        <v>Pass</v>
      </c>
      <c r="AC9" s="1219" t="str">
        <f t="shared" si="7"/>
        <v>Pass</v>
      </c>
      <c r="AD9" s="1219" t="str">
        <f t="shared" si="7"/>
        <v>Pass</v>
      </c>
      <c r="AE9" s="1220"/>
      <c r="AG9" s="1205" t="s">
        <v>1219</v>
      </c>
      <c r="AH9" s="1206" t="str">
        <f t="shared" si="4"/>
        <v>Pass</v>
      </c>
      <c r="AI9" s="1206" t="str">
        <f t="shared" si="4"/>
        <v>Pass</v>
      </c>
      <c r="AJ9" s="1206" t="str">
        <f t="shared" si="4"/>
        <v>Pass</v>
      </c>
      <c r="AK9" s="1206" t="str">
        <f t="shared" si="4"/>
        <v>Pass</v>
      </c>
      <c r="AL9" s="1206" t="str">
        <f t="shared" si="4"/>
        <v>Pass</v>
      </c>
      <c r="AM9" s="1206" t="str">
        <f t="shared" si="4"/>
        <v>Pass</v>
      </c>
      <c r="AN9" s="1206" t="str">
        <f t="shared" si="4"/>
        <v>Pass</v>
      </c>
      <c r="AO9" s="1206" t="str">
        <f t="shared" si="4"/>
        <v>Pass</v>
      </c>
      <c r="AP9" s="1221" t="s">
        <v>1220</v>
      </c>
      <c r="AQ9" s="1222" t="s">
        <v>1221</v>
      </c>
      <c r="AR9" s="1223">
        <f>AR11</f>
        <v>9000000</v>
      </c>
      <c r="AS9" s="1224"/>
      <c r="AT9" s="1224"/>
      <c r="AU9" s="1225"/>
    </row>
    <row r="10" ht="15" customHeight="1">
      <c r="A10" s="21" t="s">
        <v>680</v>
      </c>
      <c r="B10" s="1226">
        <f>MSA_DataPageTab</f>
      </c>
      <c r="C10" s="1227"/>
      <c r="D10" s="1227"/>
      <c r="E10" s="1227"/>
      <c r="F10" s="1227"/>
      <c r="G10" s="1227"/>
      <c r="H10" s="1227"/>
      <c r="I10" s="1227"/>
      <c r="J10" s="1227"/>
      <c r="L10" s="1198"/>
      <c r="M10" s="1198"/>
      <c r="N10" s="1198"/>
      <c r="O10" s="1198"/>
      <c r="P10" s="1198"/>
      <c r="Q10" s="1198"/>
      <c r="R10" s="1198"/>
      <c r="S10" s="1198"/>
      <c r="T10" s="1228"/>
      <c r="V10" s="1229"/>
      <c r="W10" s="1229"/>
      <c r="X10" s="1229"/>
      <c r="Y10" s="1229"/>
      <c r="Z10" s="1229"/>
      <c r="AA10" s="1229"/>
      <c r="AB10" s="1229"/>
      <c r="AC10" s="1229"/>
      <c r="AD10" s="1229"/>
      <c r="AE10" s="1229"/>
      <c r="AG10" s="1230" t="str">
        <f t="shared" si="25" ref="AG10:AG107">"Loan Amt: "&amp;TEXT($B$5,"$0,000")</f>
        <v>Loan Amt: $0,000</v>
      </c>
      <c r="AP10" s="1231"/>
      <c r="AQ10" s="1232" t="s">
        <v>1223</v>
      </c>
      <c r="AR10" s="1233">
        <f>AR11</f>
        <v>9000000</v>
      </c>
      <c r="AU10" s="1234"/>
    </row>
    <row r="11" ht="15.75" customHeight="1">
      <c r="A11" s="21" t="s">
        <v>760</v>
      </c>
      <c r="B11" s="1235">
        <f>LTV</f>
        <v>0</v>
      </c>
      <c r="C11" s="1236">
        <f>_xlfn.LET(_xlpm.LTV,'SBL Quotes'!R16,IF(LEN(_xlpm.LTV)&gt;0,_xlpm.LTV,0))</f>
        <v>0</v>
      </c>
      <c r="D11" s="1236">
        <f>_xlfn.LET(_xlpm.LTV,'SBL Quotes'!S16,IF(LEN(_xlpm.LTV)&gt;0,_xlpm.LTV,0))</f>
        <v>0</v>
      </c>
      <c r="E11" s="1236">
        <f>_xlfn.LET(_xlpm.LTV,'SBL Quotes'!T16,IF(LEN(_xlpm.LTV)&gt;0,_xlpm.LTV,0))</f>
        <v>0</v>
      </c>
      <c r="F11" s="1236">
        <f>_xlfn.LET(_xlpm.LTV,'SBL Quotes'!U16,IF(LEN(_xlpm.LTV)&gt;0,_xlpm.LTV,0))</f>
        <v>0</v>
      </c>
      <c r="G11" s="1236">
        <f>_xlfn.LET(_xlpm.LTV,'SBL Quotes'!V16,IF(LEN(_xlpm.LTV)&gt;0,_xlpm.LTV,0))</f>
        <v>0</v>
      </c>
      <c r="H11" s="1236">
        <f>_xlfn.LET(_xlpm.LTV,'SBL Quotes'!W16,IF(LEN(_xlpm.LTV)&gt;0,_xlpm.LTV,0))</f>
        <v>0</v>
      </c>
      <c r="I11" s="1236">
        <f>_xlfn.LET(_xlpm.LTV,'SBL Quotes'!X16,IF(LEN(_xlpm.LTV)&gt;0,_xlpm.LTV,0))</f>
        <v>0</v>
      </c>
      <c r="J11" s="1236">
        <f>_xlfn.LET(_xlpm.LTV,'SBL Quotes'!Y16,IF(LEN(_xlpm.LTV)&gt;0,_xlpm.LTV,0))</f>
        <v>0</v>
      </c>
      <c r="K11" s="1237"/>
      <c r="L11" s="1238"/>
      <c r="M11" s="1238"/>
      <c r="N11" s="1238"/>
      <c r="O11" s="1238"/>
      <c r="P11" s="1238"/>
      <c r="Q11" s="1238"/>
      <c r="R11" s="1238"/>
      <c r="S11" s="1238"/>
      <c r="T11" s="1239"/>
      <c r="U11" s="1237"/>
      <c r="V11" s="1240"/>
      <c r="W11" s="1240"/>
      <c r="X11" s="1240"/>
      <c r="Y11" s="1240"/>
      <c r="Z11" s="1240"/>
      <c r="AA11" s="1240"/>
      <c r="AB11" s="1240"/>
      <c r="AC11" s="1240"/>
      <c r="AD11" s="1240"/>
      <c r="AE11" s="1240"/>
      <c r="AF11" s="1237"/>
      <c r="AG11" s="1241"/>
      <c r="AP11" s="1242" t="s">
        <v>1224</v>
      </c>
      <c r="AQ11" s="1243"/>
      <c r="AR11" s="1244">
        <v>9000000</v>
      </c>
      <c r="AS11" s="1245"/>
      <c r="AT11" s="1245"/>
      <c r="AU11" s="1246"/>
      <c r="AV11" s="1237"/>
    </row>
    <row r="12" ht="15" customHeight="1">
      <c r="A12" s="21" t="s">
        <v>1225</v>
      </c>
      <c r="B12" s="1247">
        <f>Actual_UW_DSCR</f>
        <v>0</v>
      </c>
      <c r="C12" s="1248">
        <f>_xlfn.LET(_xlpm.DSCR,'SBL Quotes'!R15,IF(LEN(_xlpm.DSCR)&gt;0,_xlpm.DSCR,0))</f>
        <v>0</v>
      </c>
      <c r="D12" s="1248">
        <f>_xlfn.LET(_xlpm.DSCR,'SBL Quotes'!S15,IF(LEN(_xlpm.DSCR)&gt;0,_xlpm.DSCR,0))</f>
        <v>0</v>
      </c>
      <c r="E12" s="1248">
        <f>_xlfn.LET(_xlpm.DSCR,'SBL Quotes'!T15,IF(LEN(_xlpm.DSCR)&gt;0,_xlpm.DSCR,0))</f>
        <v>0</v>
      </c>
      <c r="F12" s="1248">
        <f>_xlfn.LET(_xlpm.DSCR,'SBL Quotes'!U15,IF(LEN(_xlpm.DSCR)&gt;0,_xlpm.DSCR,0))</f>
        <v>0</v>
      </c>
      <c r="G12" s="1248">
        <f>_xlfn.LET(_xlpm.DSCR,'SBL Quotes'!V15,IF(LEN(_xlpm.DSCR)&gt;0,_xlpm.DSCR,0))</f>
        <v>0</v>
      </c>
      <c r="H12" s="1248">
        <f>_xlfn.LET(_xlpm.DSCR,'SBL Quotes'!W15,IF(LEN(_xlpm.DSCR)&gt;0,_xlpm.DSCR,0))</f>
        <v>0</v>
      </c>
      <c r="I12" s="1248">
        <f>_xlfn.LET(_xlpm.DSCR,'SBL Quotes'!X15,IF(LEN(_xlpm.DSCR)&gt;0,_xlpm.DSCR,0))</f>
        <v>0</v>
      </c>
      <c r="J12" s="1248">
        <f>_xlfn.LET(_xlpm.DSCR,'SBL Quotes'!Y15,IF(LEN(_xlpm.DSCR)&gt;0,_xlpm.DSCR,0))</f>
        <v>0</v>
      </c>
      <c r="K12" s="1215"/>
      <c r="L12" s="1249">
        <f t="shared" si="8" ref="L12:T12">_xlfn.LET(_xlpm.LTV,B11,_xlpm.MaxLTV,65%,IF(_xlpm.LTV&gt;_xlpm.MaxLTV,$AQ13,$AQ14))</f>
        <v>0.07</v>
      </c>
      <c r="M12" s="1249">
        <f t="shared" si="8"/>
        <v>0.07</v>
      </c>
      <c r="N12" s="1249">
        <f t="shared" si="8"/>
        <v>0.07</v>
      </c>
      <c r="O12" s="1249">
        <f t="shared" si="8"/>
        <v>0.07</v>
      </c>
      <c r="P12" s="1249">
        <f t="shared" si="8"/>
        <v>0.07</v>
      </c>
      <c r="Q12" s="1249">
        <f t="shared" si="8"/>
        <v>0.07</v>
      </c>
      <c r="R12" s="1249">
        <f t="shared" si="8"/>
        <v>0.07</v>
      </c>
      <c r="S12" s="1249">
        <f t="shared" si="8"/>
        <v>0.07</v>
      </c>
      <c r="T12" s="1250">
        <f t="shared" si="8"/>
        <v>0.07</v>
      </c>
      <c r="U12" s="1215"/>
      <c r="V12" s="1251" t="e">
        <f>IF(B15="N/A","NA",IF(B15&gt;=L12,Pass,Fail))</f>
        <v>#NAME?</v>
      </c>
      <c r="W12" s="1251" t="str">
        <f t="shared" si="9" ref="W12:AD12">IF(OR(C5=0,C15="N/A"),"NA",IF(C15&gt;=M12,Pass,Fail))</f>
        <v>NA</v>
      </c>
      <c r="X12" s="1251" t="str">
        <f t="shared" si="9"/>
        <v>NA</v>
      </c>
      <c r="Y12" s="1251" t="str">
        <f t="shared" si="9"/>
        <v>NA</v>
      </c>
      <c r="Z12" s="1251" t="str">
        <f t="shared" si="9"/>
        <v>NA</v>
      </c>
      <c r="AA12" s="1251" t="str">
        <f t="shared" si="9"/>
        <v>NA</v>
      </c>
      <c r="AB12" s="1251" t="str">
        <f t="shared" si="9"/>
        <v>NA</v>
      </c>
      <c r="AC12" s="1251" t="str">
        <f t="shared" si="9"/>
        <v>NA</v>
      </c>
      <c r="AD12" s="1251" t="str">
        <f t="shared" si="9"/>
        <v>NA</v>
      </c>
      <c r="AE12" s="1252"/>
      <c r="AF12" s="1253"/>
      <c r="AG12" s="1205" t="s">
        <v>1226</v>
      </c>
      <c r="AH12" s="1254" t="str">
        <f t="shared" si="4"/>
        <v>NA</v>
      </c>
      <c r="AI12" s="1254" t="str">
        <f t="shared" si="4"/>
        <v>NA</v>
      </c>
      <c r="AJ12" s="1254" t="str">
        <f t="shared" si="4"/>
        <v>NA</v>
      </c>
      <c r="AK12" s="1254" t="str">
        <f t="shared" si="4"/>
        <v>NA</v>
      </c>
      <c r="AL12" s="1254" t="str">
        <f t="shared" si="4"/>
        <v>NA</v>
      </c>
      <c r="AM12" s="1254" t="str">
        <f t="shared" si="4"/>
        <v>NA</v>
      </c>
      <c r="AN12" s="1254" t="str">
        <f t="shared" si="4"/>
        <v>NA</v>
      </c>
      <c r="AO12" s="1254" t="str">
        <f t="shared" si="4"/>
        <v>NA</v>
      </c>
      <c r="AP12" s="1207"/>
      <c r="AQ12" s="1224"/>
      <c r="AR12" s="1255"/>
      <c r="AS12" s="1255"/>
      <c r="AT12" s="1255"/>
      <c r="AU12" s="1256"/>
      <c r="AV12" s="1253"/>
    </row>
    <row r="13" ht="15" customHeight="1">
      <c r="A13" s="21" t="s">
        <v>1227</v>
      </c>
      <c r="B13" s="1166" t="b">
        <f>BorrowerPriority="Priority Borrower"</f>
        <v>0</v>
      </c>
      <c r="C13" s="1257" t="b">
        <f t="shared" si="10" ref="C13:J36">$B13</f>
        <v>0</v>
      </c>
      <c r="D13" s="1257" t="b">
        <f t="shared" si="10"/>
        <v>0</v>
      </c>
      <c r="E13" s="1257" t="b">
        <f t="shared" si="10"/>
        <v>0</v>
      </c>
      <c r="F13" s="1257" t="b">
        <f t="shared" si="10"/>
        <v>0</v>
      </c>
      <c r="G13" s="1257" t="b">
        <f t="shared" si="10"/>
        <v>0</v>
      </c>
      <c r="H13" s="1257" t="b">
        <f t="shared" si="10"/>
        <v>0</v>
      </c>
      <c r="I13" s="1257" t="b">
        <f t="shared" si="10"/>
        <v>0</v>
      </c>
      <c r="J13" s="1257" t="b">
        <f t="shared" si="10"/>
        <v>0</v>
      </c>
      <c r="T13" s="1194"/>
      <c r="V13" s="1258"/>
      <c r="W13" s="1258"/>
      <c r="X13" s="1258"/>
      <c r="Y13" s="1258"/>
      <c r="Z13" s="1258"/>
      <c r="AA13" s="1258"/>
      <c r="AB13" s="1258"/>
      <c r="AC13" s="1258"/>
      <c r="AD13" s="1258"/>
      <c r="AE13" s="1258"/>
      <c r="AG13" s="1230" t="e">
        <f>"Base Exit Rate: "&amp;TEXT(B15,"0.00%")</f>
        <v>#NAME?</v>
      </c>
      <c r="AP13" s="1259" t="s">
        <v>1228</v>
      </c>
      <c r="AQ13" s="1260">
        <v>0.075</v>
      </c>
      <c r="AR13" s="1261"/>
      <c r="AU13" s="1234"/>
    </row>
    <row r="14" ht="15.75" customHeight="1">
      <c r="A14" s="21" t="s">
        <v>1229</v>
      </c>
      <c r="B14" s="1166" t="b">
        <f>OR(B9="Strong",B9="Eligible")</f>
        <v>0</v>
      </c>
      <c r="C14" s="1257" t="b">
        <f t="shared" si="10"/>
        <v>0</v>
      </c>
      <c r="D14" s="1257" t="b">
        <f t="shared" si="10"/>
        <v>0</v>
      </c>
      <c r="E14" s="1257" t="b">
        <f t="shared" si="10"/>
        <v>0</v>
      </c>
      <c r="F14" s="1257" t="b">
        <f t="shared" si="10"/>
        <v>0</v>
      </c>
      <c r="G14" s="1257" t="b">
        <f t="shared" si="10"/>
        <v>0</v>
      </c>
      <c r="H14" s="1257" t="b">
        <f t="shared" si="10"/>
        <v>0</v>
      </c>
      <c r="I14" s="1257" t="b">
        <f t="shared" si="10"/>
        <v>0</v>
      </c>
      <c r="J14" s="1257" t="b">
        <f t="shared" si="10"/>
        <v>0</v>
      </c>
      <c r="T14" s="1194"/>
      <c r="V14" s="1258"/>
      <c r="W14" s="1258"/>
      <c r="X14" s="1258"/>
      <c r="Y14" s="1258"/>
      <c r="Z14" s="1258"/>
      <c r="AA14" s="1258"/>
      <c r="AB14" s="1258"/>
      <c r="AC14" s="1258"/>
      <c r="AD14" s="1258"/>
      <c r="AE14" s="1258"/>
      <c r="AG14" s="1262" t="str">
        <f t="shared" si="13" ref="AG14:AG108">"LTV: "&amp;TEXT($B$11,"0.00%")</f>
        <v>LTV: 0.00%</v>
      </c>
      <c r="AP14" s="1242" t="s">
        <v>1231</v>
      </c>
      <c r="AQ14" s="1263">
        <v>0.07</v>
      </c>
      <c r="AR14" s="1264"/>
      <c r="AS14" s="1265"/>
      <c r="AT14" s="1265"/>
      <c r="AU14" s="1266"/>
    </row>
    <row r="15" ht="15" customHeight="1">
      <c r="A15" s="21" t="s">
        <v>1232</v>
      </c>
      <c r="B15" s="1267" t="e">
        <f>Exit_Rate_Standard</f>
        <v>#NAME?</v>
      </c>
      <c r="C15" s="1268">
        <f>_xlfn.LET(_xlpm.baseExitRate,'SBL Quotes'!R93,IF(LEN(_xlpm.baseExitRate)&gt;0,_xlpm.baseExitRate,0))</f>
        <v>0</v>
      </c>
      <c r="D15" s="1268">
        <f>_xlfn.LET(_xlpm.baseExitRate,'SBL Quotes'!S93,IF(LEN(_xlpm.baseExitRate)&gt;0,_xlpm.baseExitRate,0))</f>
        <v>0</v>
      </c>
      <c r="E15" s="1268">
        <f>_xlfn.LET(_xlpm.baseExitRate,'SBL Quotes'!T93,IF(LEN(_xlpm.baseExitRate)&gt;0,_xlpm.baseExitRate,0))</f>
        <v>0</v>
      </c>
      <c r="F15" s="1268">
        <f>_xlfn.LET(_xlpm.baseExitRate,'SBL Quotes'!U93,IF(LEN(_xlpm.baseExitRate)&gt;0,_xlpm.baseExitRate,0))</f>
        <v>0</v>
      </c>
      <c r="G15" s="1268">
        <f>_xlfn.LET(_xlpm.baseExitRate,'SBL Quotes'!V93,IF(LEN(_xlpm.baseExitRate)&gt;0,_xlpm.baseExitRate,0))</f>
        <v>0</v>
      </c>
      <c r="H15" s="1268">
        <f>_xlfn.LET(_xlpm.baseExitRate,'SBL Quotes'!W93,IF(LEN(_xlpm.baseExitRate)&gt;0,_xlpm.baseExitRate,0))</f>
        <v>0</v>
      </c>
      <c r="I15" s="1268">
        <f>_xlfn.LET(_xlpm.baseExitRate,'SBL Quotes'!X93,IF(LEN(_xlpm.baseExitRate)&gt;0,_xlpm.baseExitRate,0))</f>
        <v>0</v>
      </c>
      <c r="J15" s="1268">
        <f>_xlfn.LET(_xlpm.baseExitRate,'SBL Quotes'!Y93,IF(LEN(_xlpm.baseExitRate)&gt;0,_xlpm.baseExitRate,0))</f>
        <v>0</v>
      </c>
      <c r="K15" s="1215"/>
      <c r="L15" s="1269"/>
      <c r="M15" s="1269"/>
      <c r="N15" s="1269"/>
      <c r="O15" s="1269"/>
      <c r="P15" s="1269"/>
      <c r="Q15" s="1269"/>
      <c r="R15" s="1269"/>
      <c r="S15" s="1269"/>
      <c r="T15" s="1270"/>
      <c r="U15" s="1215"/>
      <c r="V15" s="1271" t="str">
        <f t="shared" si="11" ref="V15:AD15">IF($B17,IF(AND(B12&gt;=$L17,B11&lt;=$L18),Pass,Fail),"NA")</f>
        <v>NA</v>
      </c>
      <c r="W15" s="1271" t="str">
        <f t="shared" si="11"/>
        <v>NA</v>
      </c>
      <c r="X15" s="1271" t="str">
        <f t="shared" si="11"/>
        <v>NA</v>
      </c>
      <c r="Y15" s="1271" t="str">
        <f t="shared" si="11"/>
        <v>NA</v>
      </c>
      <c r="Z15" s="1271" t="str">
        <f t="shared" si="11"/>
        <v>NA</v>
      </c>
      <c r="AA15" s="1271" t="str">
        <f t="shared" si="11"/>
        <v>NA</v>
      </c>
      <c r="AB15" s="1271" t="str">
        <f t="shared" si="11"/>
        <v>NA</v>
      </c>
      <c r="AC15" s="1271" t="str">
        <f t="shared" si="11"/>
        <v>NA</v>
      </c>
      <c r="AD15" s="1271" t="str">
        <f t="shared" si="11"/>
        <v>NA</v>
      </c>
      <c r="AE15" s="1220"/>
      <c r="AG15" s="1272" t="s">
        <v>1233</v>
      </c>
      <c r="AH15" s="1273" t="str">
        <f t="shared" si="4"/>
        <v>NA</v>
      </c>
      <c r="AI15" s="1273" t="str">
        <f t="shared" si="4"/>
        <v>NA</v>
      </c>
      <c r="AJ15" s="1273" t="str">
        <f t="shared" si="4"/>
        <v>NA</v>
      </c>
      <c r="AK15" s="1273" t="str">
        <f t="shared" si="4"/>
        <v>NA</v>
      </c>
      <c r="AL15" s="1273" t="str">
        <f t="shared" si="4"/>
        <v>NA</v>
      </c>
      <c r="AM15" s="1273" t="str">
        <f t="shared" si="4"/>
        <v>NA</v>
      </c>
      <c r="AN15" s="1273" t="str">
        <f t="shared" si="4"/>
        <v>NA</v>
      </c>
      <c r="AO15" s="1273" t="str">
        <f t="shared" si="4"/>
        <v>NA</v>
      </c>
      <c r="AP15" s="1207" t="s">
        <v>1234</v>
      </c>
      <c r="AQ15" s="1274" t="s">
        <v>1235</v>
      </c>
      <c r="AR15" s="1224"/>
      <c r="AS15" s="1224"/>
      <c r="AT15" s="1224"/>
      <c r="AU15" s="1225"/>
    </row>
    <row r="16" ht="15" customHeight="1">
      <c r="L16" s="1198"/>
      <c r="M16" s="1198"/>
      <c r="N16" s="1198"/>
      <c r="O16" s="1198"/>
      <c r="P16" s="1198"/>
      <c r="Q16" s="1198"/>
      <c r="R16" s="1198"/>
      <c r="S16" s="1198"/>
      <c r="T16" s="1228"/>
      <c r="V16" s="1229"/>
      <c r="W16" s="1229"/>
      <c r="X16" s="1229"/>
      <c r="Y16" s="1229"/>
      <c r="Z16" s="1229"/>
      <c r="AA16" s="1229"/>
      <c r="AB16" s="1229"/>
      <c r="AC16" s="1229"/>
      <c r="AD16" s="1229"/>
      <c r="AE16" s="1229"/>
      <c r="AG16" s="1275"/>
      <c r="AP16" s="1276"/>
      <c r="AQ16" s="1277" t="s">
        <v>1236</v>
      </c>
      <c r="AU16" s="1234"/>
    </row>
    <row r="17" ht="15" customHeight="1">
      <c r="A17" s="21" t="s">
        <v>1237</v>
      </c>
      <c r="B17" s="1166" t="b">
        <f>OR($B$10=AQ15,$B$10=AQ16)</f>
        <v>0</v>
      </c>
      <c r="C17" s="1257" t="b">
        <f t="shared" si="10"/>
        <v>0</v>
      </c>
      <c r="D17" s="1257" t="b">
        <f t="shared" si="10"/>
        <v>0</v>
      </c>
      <c r="E17" s="1257" t="b">
        <f t="shared" si="10"/>
        <v>0</v>
      </c>
      <c r="F17" s="1257" t="b">
        <f t="shared" si="10"/>
        <v>0</v>
      </c>
      <c r="G17" s="1257" t="b">
        <f t="shared" si="10"/>
        <v>0</v>
      </c>
      <c r="H17" s="1257" t="b">
        <f t="shared" si="10"/>
        <v>0</v>
      </c>
      <c r="I17" s="1257" t="b">
        <f t="shared" si="10"/>
        <v>0</v>
      </c>
      <c r="J17" s="1257" t="b">
        <f t="shared" si="10"/>
        <v>0</v>
      </c>
      <c r="L17" s="1278">
        <f t="shared" si="12" ref="L17:L18">AR18</f>
        <v>1.3</v>
      </c>
      <c r="M17" s="1279" t="s">
        <v>507</v>
      </c>
      <c r="N17" s="1279" t="s">
        <v>507</v>
      </c>
      <c r="O17" s="1279" t="s">
        <v>507</v>
      </c>
      <c r="P17" s="1279" t="s">
        <v>507</v>
      </c>
      <c r="Q17" s="1279" t="s">
        <v>507</v>
      </c>
      <c r="R17" s="1279" t="s">
        <v>507</v>
      </c>
      <c r="S17" s="1279" t="s">
        <v>507</v>
      </c>
      <c r="T17" s="1280" t="s">
        <v>507</v>
      </c>
      <c r="V17" s="1229"/>
      <c r="W17" s="1229"/>
      <c r="X17" s="1229"/>
      <c r="Y17" s="1229"/>
      <c r="Z17" s="1229"/>
      <c r="AA17" s="1229"/>
      <c r="AB17" s="1229"/>
      <c r="AC17" s="1229"/>
      <c r="AD17" s="1229"/>
      <c r="AE17" s="1229"/>
      <c r="AG17" s="1275"/>
      <c r="AP17" s="1276" t="s">
        <v>1238</v>
      </c>
      <c r="AQ17" s="1277"/>
      <c r="AU17" s="1234"/>
    </row>
    <row r="18" ht="15" customHeight="1">
      <c r="L18" s="1281">
        <f t="shared" si="12"/>
        <v>0.7</v>
      </c>
      <c r="M18" s="1279" t="s">
        <v>507</v>
      </c>
      <c r="N18" s="1279" t="s">
        <v>507</v>
      </c>
      <c r="O18" s="1279" t="s">
        <v>507</v>
      </c>
      <c r="P18" s="1279" t="s">
        <v>507</v>
      </c>
      <c r="Q18" s="1279" t="s">
        <v>507</v>
      </c>
      <c r="R18" s="1279" t="s">
        <v>507</v>
      </c>
      <c r="S18" s="1279" t="s">
        <v>507</v>
      </c>
      <c r="T18" s="1280" t="s">
        <v>507</v>
      </c>
      <c r="V18" s="1229"/>
      <c r="W18" s="1229"/>
      <c r="X18" s="1229"/>
      <c r="Y18" s="1229"/>
      <c r="Z18" s="1229"/>
      <c r="AA18" s="1229"/>
      <c r="AB18" s="1229"/>
      <c r="AC18" s="1229"/>
      <c r="AD18" s="1229"/>
      <c r="AE18" s="1229"/>
      <c r="AG18" s="1230" t="str">
        <f>"DSCR: "&amp;TEXT(B12,"0.000")</f>
        <v>DSCR: 0.000</v>
      </c>
      <c r="AP18" s="1276" t="s">
        <v>1240</v>
      </c>
      <c r="AQ18" s="1276" t="s">
        <v>1241</v>
      </c>
      <c r="AR18" s="1">
        <v>1.3</v>
      </c>
      <c r="AU18" s="1234"/>
    </row>
    <row r="19" ht="15.75" customHeight="1">
      <c r="A19" s="21" t="s">
        <v>1242</v>
      </c>
      <c r="B19" s="1282" t="e">
        <f t="shared" si="22" ref="B19:B108">Term</f>
        <v>#NAME?</v>
      </c>
      <c r="C19" s="1283">
        <f>'SBL Quotes'!R98</f>
        <v>10</v>
      </c>
      <c r="D19" s="1283">
        <f>'SBL Quotes'!S98</f>
        <v>12</v>
      </c>
      <c r="E19" s="1283">
        <f>'SBL Quotes'!T98</f>
        <v>15</v>
      </c>
      <c r="F19" s="1283">
        <f>'SBL Quotes'!U98</f>
        <v>10</v>
      </c>
      <c r="G19" s="1283">
        <f>'SBL Quotes'!V98</f>
        <v>10</v>
      </c>
      <c r="H19" s="1283">
        <f>'SBL Quotes'!W98</f>
        <v>5</v>
      </c>
      <c r="I19" s="1283">
        <f>'SBL Quotes'!X98</f>
        <v>5</v>
      </c>
      <c r="J19" s="1283">
        <f>'SBL Quotes'!Y98</f>
        <v>10</v>
      </c>
      <c r="L19" s="1198"/>
      <c r="M19" s="1198"/>
      <c r="N19" s="1198"/>
      <c r="O19" s="1198"/>
      <c r="P19" s="1198"/>
      <c r="Q19" s="1198"/>
      <c r="R19" s="1198"/>
      <c r="S19" s="1198"/>
      <c r="T19" s="1228"/>
      <c r="V19" s="1229"/>
      <c r="W19" s="1229"/>
      <c r="X19" s="1229"/>
      <c r="Y19" s="1229"/>
      <c r="Z19" s="1229"/>
      <c r="AA19" s="1229"/>
      <c r="AB19" s="1229"/>
      <c r="AC19" s="1229"/>
      <c r="AD19" s="1229"/>
      <c r="AE19" s="1229"/>
      <c r="AG19" s="1262" t="str">
        <f t="shared" si="13"/>
        <v>LTV: 0.00%</v>
      </c>
      <c r="AP19" s="1284" t="s">
        <v>760</v>
      </c>
      <c r="AQ19" s="1284" t="s">
        <v>1243</v>
      </c>
      <c r="AR19" s="1285">
        <v>0.7</v>
      </c>
      <c r="AS19" s="1265"/>
      <c r="AT19" s="1265"/>
      <c r="AU19" s="1266"/>
    </row>
    <row r="20" ht="15" customHeight="1">
      <c r="A20" s="21" t="s">
        <v>1244</v>
      </c>
      <c r="B20" s="1282" t="e">
        <f>InterestOnly</f>
        <v>#NAME?</v>
      </c>
      <c r="C20" s="1283">
        <f>_xlfn.LET(_xlpm.requested_yrs_of_io,'SBL Quotes'!R43,IF(LEN(_xlpm.requested_yrs_of_io)&gt;0,_xlpm.requested_yrs_of_io,0))</f>
        <v>0</v>
      </c>
      <c r="D20" s="1283">
        <f>_xlfn.LET(_xlpm.requested_yrs_of_io,'SBL Quotes'!S43,IF(LEN(_xlpm.requested_yrs_of_io)&gt;0,_xlpm.requested_yrs_of_io,0))</f>
        <v>0</v>
      </c>
      <c r="E20" s="1283">
        <f>_xlfn.LET(_xlpm.requested_yrs_of_io,'SBL Quotes'!T43,IF(LEN(_xlpm.requested_yrs_of_io)&gt;0,_xlpm.requested_yrs_of_io,0))</f>
        <v>0</v>
      </c>
      <c r="F20" s="1283">
        <f>_xlfn.LET(_xlpm.requested_yrs_of_io,'SBL Quotes'!U43,IF(LEN(_xlpm.requested_yrs_of_io)&gt;0,_xlpm.requested_yrs_of_io,0))</f>
        <v>5</v>
      </c>
      <c r="G20" s="1283">
        <f>_xlfn.LET(_xlpm.requested_yrs_of_io,'SBL Quotes'!V43,IF(LEN(_xlpm.requested_yrs_of_io)&gt;0,_xlpm.requested_yrs_of_io,0))</f>
        <v>10</v>
      </c>
      <c r="H20" s="1283">
        <f>_xlfn.LET(_xlpm.requested_yrs_of_io,'SBL Quotes'!W43,IF(LEN(_xlpm.requested_yrs_of_io)&gt;0,_xlpm.requested_yrs_of_io,0))</f>
        <v>2</v>
      </c>
      <c r="I20" s="1283">
        <f>_xlfn.LET(_xlpm.requested_yrs_of_io,'SBL Quotes'!X43,IF(LEN(_xlpm.requested_yrs_of_io)&gt;0,_xlpm.requested_yrs_of_io,0))</f>
        <v>5</v>
      </c>
      <c r="J20" s="1283">
        <f>_xlfn.LET(_xlpm.requested_yrs_of_io,'SBL Quotes'!Y43,IF(LEN(_xlpm.requested_yrs_of_io)&gt;0,_xlpm.requested_yrs_of_io,0))</f>
        <v>0</v>
      </c>
      <c r="K20" s="1215"/>
      <c r="L20" s="1286" t="e">
        <f t="shared" si="14" ref="L20:T20">IF(B8=4,$AS$24,0)+IF(B8=3,$AS$23,0)+IF(AND(B8=2,B11&lt;=$AQ$22),$AS$22,0)+IF(AND(B8=2,B11&gt;$AQ$21),$AS$21,0)</f>
        <v>#NAME?</v>
      </c>
      <c r="M20" s="1286" t="e">
        <f t="shared" si="14"/>
        <v>#NAME?</v>
      </c>
      <c r="N20" s="1286" t="e">
        <f t="shared" si="14"/>
        <v>#NAME?</v>
      </c>
      <c r="O20" s="1286" t="e">
        <f t="shared" si="14"/>
        <v>#NAME?</v>
      </c>
      <c r="P20" s="1286" t="e">
        <f t="shared" si="14"/>
        <v>#NAME?</v>
      </c>
      <c r="Q20" s="1286" t="e">
        <f t="shared" si="14"/>
        <v>#NAME?</v>
      </c>
      <c r="R20" s="1286" t="e">
        <f t="shared" si="14"/>
        <v>#NAME?</v>
      </c>
      <c r="S20" s="1286" t="e">
        <f t="shared" si="14"/>
        <v>#NAME?</v>
      </c>
      <c r="T20" s="1287" t="e">
        <f t="shared" si="14"/>
        <v>#NAME?</v>
      </c>
      <c r="U20" s="1215"/>
      <c r="V20" s="1288" t="e">
        <f t="shared" si="15" ref="V20:AD20">IF(B20=0,"NA",IF(B20&lt;=L20,Pass,Fail))</f>
        <v>#NAME?</v>
      </c>
      <c r="W20" s="1288" t="str">
        <f t="shared" si="15"/>
        <v>NA</v>
      </c>
      <c r="X20" s="1288" t="str">
        <f t="shared" si="15"/>
        <v>NA</v>
      </c>
      <c r="Y20" s="1288" t="str">
        <f t="shared" si="15"/>
        <v>NA</v>
      </c>
      <c r="Z20" s="1288" t="e">
        <f t="shared" si="15"/>
        <v>#NAME?</v>
      </c>
      <c r="AA20" s="1288" t="e">
        <f t="shared" si="15"/>
        <v>#NAME?</v>
      </c>
      <c r="AB20" s="1288" t="e">
        <f t="shared" si="15"/>
        <v>#NAME?</v>
      </c>
      <c r="AC20" s="1288" t="e">
        <f t="shared" si="15"/>
        <v>#NAME?</v>
      </c>
      <c r="AD20" s="1288" t="str">
        <f t="shared" si="15"/>
        <v>NA</v>
      </c>
      <c r="AE20" s="1252"/>
      <c r="AG20" s="1289" t="s">
        <v>228</v>
      </c>
      <c r="AH20" s="1273" t="str">
        <f t="shared" si="4"/>
        <v>NA</v>
      </c>
      <c r="AI20" s="1273" t="str">
        <f t="shared" si="4"/>
        <v>NA</v>
      </c>
      <c r="AJ20" s="1273" t="str">
        <f t="shared" si="4"/>
        <v>NA</v>
      </c>
      <c r="AK20" s="1273" t="e">
        <f t="shared" si="4"/>
        <v>#NAME?</v>
      </c>
      <c r="AL20" s="1273" t="e">
        <f t="shared" si="4"/>
        <v>#NAME?</v>
      </c>
      <c r="AM20" s="1273" t="e">
        <f t="shared" si="4"/>
        <v>#NAME?</v>
      </c>
      <c r="AN20" s="1273" t="e">
        <f t="shared" si="4"/>
        <v>#NAME?</v>
      </c>
      <c r="AO20" s="1273" t="str">
        <f t="shared" si="4"/>
        <v>NA</v>
      </c>
      <c r="AP20" s="1276"/>
      <c r="AQ20" s="1290" t="s">
        <v>760</v>
      </c>
      <c r="AR20" s="1" t="s">
        <v>1245</v>
      </c>
      <c r="AS20" s="1276" t="e">
        <f>"Max IO: "&amp;IF(B20=0,"",IF($B$8&gt;2,"Full-term","Half-term (round up)")&amp;", max of 15yrs"&amp;IF(AND($B$8=2,$B$11&gt;65%)," and at least 5 yrs Amort",""))</f>
        <v>#NAME?</v>
      </c>
      <c r="AU20" s="1234"/>
    </row>
    <row r="21" ht="15" customHeight="1">
      <c r="A21" s="21" t="s">
        <v>1246</v>
      </c>
      <c r="B21" s="1291" t="e">
        <f>GR_InterestOnly</f>
        <v>#NAME?</v>
      </c>
      <c r="C21" s="1283">
        <f>_xlfn.LET(_xlpm.max_yrs_io_per_guide,'SBL Quotes'!R44,IF(LEN(_xlpm.max_yrs_io_per_guide)&gt;0,_xlpm.max_yrs_io_per_guide,0))</f>
        <v>0</v>
      </c>
      <c r="D21" s="1283">
        <f>_xlfn.LET(_xlpm.max_yrs_io_per_guide,'SBL Quotes'!S44,IF(LEN(_xlpm.max_yrs_io_per_guide)&gt;0,_xlpm.max_yrs_io_per_guide,0))</f>
        <v>0</v>
      </c>
      <c r="E21" s="1283">
        <f>_xlfn.LET(_xlpm.max_yrs_io_per_guide,'SBL Quotes'!T44,IF(LEN(_xlpm.max_yrs_io_per_guide)&gt;0,_xlpm.max_yrs_io_per_guide,0))</f>
        <v>0</v>
      </c>
      <c r="F21" s="1283">
        <f>_xlfn.LET(_xlpm.max_yrs_io_per_guide,'SBL Quotes'!U44,IF(LEN(_xlpm.max_yrs_io_per_guide)&gt;0,_xlpm.max_yrs_io_per_guide,0))</f>
        <v>5</v>
      </c>
      <c r="G21" s="1283">
        <f>_xlfn.LET(_xlpm.max_yrs_io_per_guide,'SBL Quotes'!V44,IF(LEN(_xlpm.max_yrs_io_per_guide)&gt;0,_xlpm.max_yrs_io_per_guide,0))</f>
        <v>10</v>
      </c>
      <c r="H21" s="1283">
        <f>_xlfn.LET(_xlpm.max_yrs_io_per_guide,'SBL Quotes'!W44,IF(LEN(_xlpm.max_yrs_io_per_guide)&gt;0,_xlpm.max_yrs_io_per_guide,0))</f>
        <v>2</v>
      </c>
      <c r="I21" s="1283">
        <f>_xlfn.LET(_xlpm.max_yrs_io_per_guide,'SBL Quotes'!X44,IF(LEN(_xlpm.max_yrs_io_per_guide)&gt;0,_xlpm.max_yrs_io_per_guide,0))</f>
        <v>5</v>
      </c>
      <c r="J21" s="1283">
        <f>_xlfn.LET(_xlpm.max_yrs_io_per_guide,'SBL Quotes'!Y44,IF(LEN(_xlpm.max_yrs_io_per_guide)&gt;0,_xlpm.max_yrs_io_per_guide,0))</f>
        <v>0</v>
      </c>
      <c r="K21" s="1215"/>
      <c r="L21" s="1291"/>
      <c r="M21" s="1291"/>
      <c r="N21" s="1291"/>
      <c r="O21" s="1291"/>
      <c r="P21" s="1291"/>
      <c r="Q21" s="1291"/>
      <c r="R21" s="1291"/>
      <c r="S21" s="1291"/>
      <c r="T21" s="1292"/>
      <c r="U21" s="1215"/>
      <c r="V21" s="1258"/>
      <c r="W21" s="1293"/>
      <c r="X21" s="1293"/>
      <c r="Y21" s="1293"/>
      <c r="Z21" s="1293"/>
      <c r="AA21" s="1293"/>
      <c r="AB21" s="1293"/>
      <c r="AC21" s="1293"/>
      <c r="AD21" s="1293"/>
      <c r="AE21" s="1294"/>
      <c r="AG21" s="1230" t="e">
        <f>"Tier: "&amp;$B$8</f>
        <v>#NAME?</v>
      </c>
      <c r="AH21" s="1"/>
      <c r="AI21" s="1"/>
      <c r="AJ21" s="1"/>
      <c r="AK21" s="1"/>
      <c r="AL21" s="1"/>
      <c r="AM21" s="1"/>
      <c r="AN21" s="1"/>
      <c r="AO21" s="1"/>
      <c r="AP21" s="1295" t="s">
        <v>1247</v>
      </c>
      <c r="AQ21" s="1296">
        <v>0.65</v>
      </c>
      <c r="AR21" s="1297">
        <v>5</v>
      </c>
      <c r="AS21" s="1298" t="e">
        <f>MIN(ROUNDUP($B$19/2,0),15,MAX($B$19-5,0))</f>
        <v>#NAME?</v>
      </c>
      <c r="AT21" s="1299"/>
      <c r="AU21" s="1234"/>
    </row>
    <row r="22" ht="15" customHeight="1">
      <c r="B22" s="1291"/>
      <c r="C22" s="1283"/>
      <c r="D22" s="1283"/>
      <c r="E22" s="1283"/>
      <c r="F22" s="1283"/>
      <c r="G22" s="1283"/>
      <c r="H22" s="1283"/>
      <c r="I22" s="1283"/>
      <c r="J22" s="1283"/>
      <c r="K22" s="1215"/>
      <c r="L22" s="1291"/>
      <c r="M22" s="1291"/>
      <c r="N22" s="1291"/>
      <c r="O22" s="1291"/>
      <c r="P22" s="1291"/>
      <c r="Q22" s="1291"/>
      <c r="R22" s="1291"/>
      <c r="S22" s="1291"/>
      <c r="T22" s="1292"/>
      <c r="U22" s="1215"/>
      <c r="V22" s="1258"/>
      <c r="W22" s="1293"/>
      <c r="X22" s="1293"/>
      <c r="Y22" s="1293"/>
      <c r="Z22" s="1293"/>
      <c r="AA22" s="1293"/>
      <c r="AB22" s="1293"/>
      <c r="AC22" s="1293"/>
      <c r="AD22" s="1293"/>
      <c r="AE22" s="1294"/>
      <c r="AG22" s="1230" t="str">
        <f t="shared" si="13"/>
        <v>LTV: 0.00%</v>
      </c>
      <c r="AH22" s="1"/>
      <c r="AI22" s="1"/>
      <c r="AJ22" s="1"/>
      <c r="AK22" s="1"/>
      <c r="AL22" s="1"/>
      <c r="AM22" s="1"/>
      <c r="AN22" s="1"/>
      <c r="AO22" s="1"/>
      <c r="AP22" s="1300"/>
      <c r="AQ22" s="1301">
        <f>AQ21</f>
        <v>0.65</v>
      </c>
      <c r="AR22" s="1302"/>
      <c r="AS22" s="1298" t="e">
        <f>MIN(ROUNDUP($B$19/2,0),15)</f>
        <v>#NAME?</v>
      </c>
      <c r="AT22" s="1299"/>
      <c r="AU22" s="1234"/>
    </row>
    <row r="23" ht="15" customHeight="1">
      <c r="B23" s="1291"/>
      <c r="C23" s="1283"/>
      <c r="D23" s="1283"/>
      <c r="E23" s="1283"/>
      <c r="F23" s="1283"/>
      <c r="G23" s="1283"/>
      <c r="H23" s="1283"/>
      <c r="I23" s="1283"/>
      <c r="J23" s="1283"/>
      <c r="K23" s="1215"/>
      <c r="L23" s="1291"/>
      <c r="M23" s="1291"/>
      <c r="N23" s="1291"/>
      <c r="O23" s="1291"/>
      <c r="P23" s="1291"/>
      <c r="Q23" s="1291"/>
      <c r="R23" s="1291"/>
      <c r="S23" s="1291"/>
      <c r="T23" s="1292"/>
      <c r="U23" s="1215"/>
      <c r="V23" s="1258"/>
      <c r="W23" s="1293"/>
      <c r="X23" s="1293"/>
      <c r="Y23" s="1293"/>
      <c r="Z23" s="1293"/>
      <c r="AA23" s="1293"/>
      <c r="AB23" s="1293"/>
      <c r="AC23" s="1293"/>
      <c r="AD23" s="1293"/>
      <c r="AE23" s="1294"/>
      <c r="AG23" s="1230" t="e">
        <f>"Requested Yrs of IO: "&amp;$B$20</f>
        <v>#NAME?</v>
      </c>
      <c r="AH23" s="1"/>
      <c r="AI23" s="1"/>
      <c r="AJ23" s="1"/>
      <c r="AK23" s="1"/>
      <c r="AL23" s="1"/>
      <c r="AM23" s="1"/>
      <c r="AN23" s="1"/>
      <c r="AO23" s="1"/>
      <c r="AP23" s="1303" t="s">
        <v>873</v>
      </c>
      <c r="AQ23" s="1304"/>
      <c r="AR23" s="1302"/>
      <c r="AS23" s="1298" t="e">
        <f t="shared" si="16" ref="AS23:AS24">MIN($B$19,15)</f>
        <v>#NAME?</v>
      </c>
      <c r="AT23" s="1299"/>
      <c r="AU23" s="1234"/>
    </row>
    <row r="24" ht="15.75" customHeight="1">
      <c r="B24" s="1291"/>
      <c r="C24" s="1283"/>
      <c r="D24" s="1283"/>
      <c r="E24" s="1283"/>
      <c r="F24" s="1283"/>
      <c r="G24" s="1283"/>
      <c r="H24" s="1283"/>
      <c r="I24" s="1283"/>
      <c r="J24" s="1283"/>
      <c r="K24" s="1215"/>
      <c r="L24" s="1291"/>
      <c r="M24" s="1291"/>
      <c r="N24" s="1291"/>
      <c r="O24" s="1291"/>
      <c r="P24" s="1291"/>
      <c r="Q24" s="1291"/>
      <c r="R24" s="1291"/>
      <c r="S24" s="1291"/>
      <c r="T24" s="1292"/>
      <c r="U24" s="1215"/>
      <c r="V24" s="1258"/>
      <c r="W24" s="1293"/>
      <c r="X24" s="1293"/>
      <c r="Y24" s="1293"/>
      <c r="Z24" s="1293"/>
      <c r="AA24" s="1293"/>
      <c r="AB24" s="1293"/>
      <c r="AC24" s="1293"/>
      <c r="AD24" s="1293"/>
      <c r="AE24" s="1294"/>
      <c r="AG24" s="1289"/>
      <c r="AH24" s="1"/>
      <c r="AI24" s="1"/>
      <c r="AJ24" s="1"/>
      <c r="AK24" s="1"/>
      <c r="AL24" s="1"/>
      <c r="AM24" s="1"/>
      <c r="AN24" s="1"/>
      <c r="AO24" s="1"/>
      <c r="AP24" s="1305" t="s">
        <v>867</v>
      </c>
      <c r="AQ24" s="1306"/>
      <c r="AR24" s="1243"/>
      <c r="AS24" s="1307" t="e">
        <f t="shared" si="16"/>
        <v>#NAME?</v>
      </c>
      <c r="AT24" s="1308"/>
      <c r="AU24" s="1234"/>
    </row>
    <row r="25" ht="15" customHeight="1">
      <c r="K25" s="1215"/>
      <c r="L25" s="1309">
        <f>AQ26</f>
        <v>0.9</v>
      </c>
      <c r="M25" s="1310" t="s">
        <v>507</v>
      </c>
      <c r="N25" s="1310" t="s">
        <v>507</v>
      </c>
      <c r="O25" s="1310" t="s">
        <v>507</v>
      </c>
      <c r="P25" s="1310" t="s">
        <v>507</v>
      </c>
      <c r="Q25" s="1310" t="s">
        <v>507</v>
      </c>
      <c r="R25" s="1310" t="s">
        <v>507</v>
      </c>
      <c r="S25" s="1310" t="s">
        <v>507</v>
      </c>
      <c r="T25" s="1311" t="s">
        <v>507</v>
      </c>
      <c r="U25" s="1215"/>
      <c r="V25" s="1271" t="str">
        <f>IF(AND(B26&gt;=$L25,IF($L26="Not Applicable",TRUE,B27&gt;=$L26)),Pass,Fail)</f>
        <v>Pass</v>
      </c>
      <c r="W25" s="1312" t="str">
        <f t="shared" si="17" ref="W25:AD25">IF(C5=0,"NA",IF(AND(C26&gt;=$L25,IF($L26="Not Applicable",TRUE,C27&gt;=$L26)),Pass,Fail))</f>
        <v>NA</v>
      </c>
      <c r="X25" s="1312" t="str">
        <f t="shared" si="17"/>
        <v>NA</v>
      </c>
      <c r="Y25" s="1312" t="str">
        <f t="shared" si="17"/>
        <v>NA</v>
      </c>
      <c r="Z25" s="1312" t="str">
        <f t="shared" si="17"/>
        <v>NA</v>
      </c>
      <c r="AA25" s="1312" t="str">
        <f t="shared" si="17"/>
        <v>NA</v>
      </c>
      <c r="AB25" s="1312" t="str">
        <f t="shared" si="17"/>
        <v>NA</v>
      </c>
      <c r="AC25" s="1312" t="str">
        <f t="shared" si="17"/>
        <v>NA</v>
      </c>
      <c r="AD25" s="1312" t="str">
        <f t="shared" si="17"/>
        <v>NA</v>
      </c>
      <c r="AE25" s="1220"/>
      <c r="AG25" s="1205" t="s">
        <v>1248</v>
      </c>
      <c r="AH25" s="1273" t="str">
        <f t="shared" si="4"/>
        <v>NA</v>
      </c>
      <c r="AI25" s="1273" t="str">
        <f t="shared" si="4"/>
        <v>NA</v>
      </c>
      <c r="AJ25" s="1273" t="str">
        <f t="shared" si="4"/>
        <v>NA</v>
      </c>
      <c r="AK25" s="1273" t="str">
        <f t="shared" si="4"/>
        <v>NA</v>
      </c>
      <c r="AL25" s="1273" t="str">
        <f t="shared" si="4"/>
        <v>NA</v>
      </c>
      <c r="AM25" s="1273" t="str">
        <f t="shared" si="4"/>
        <v>NA</v>
      </c>
      <c r="AN25" s="1273" t="str">
        <f t="shared" si="4"/>
        <v>NA</v>
      </c>
      <c r="AO25" s="1273" t="str">
        <f t="shared" si="4"/>
        <v>NA</v>
      </c>
      <c r="AP25" s="1207"/>
      <c r="AQ25" s="1313" t="s">
        <v>1249</v>
      </c>
      <c r="AR25" s="1313" t="s">
        <v>1250</v>
      </c>
      <c r="AS25" s="1224"/>
      <c r="AT25" s="1224"/>
      <c r="AU25" s="1225"/>
    </row>
    <row r="26" ht="15" customHeight="1">
      <c r="A26" s="21" t="s">
        <v>1251</v>
      </c>
      <c r="B26" s="1314">
        <f>'Rent Roll'!D137</f>
        <v>0.9504950495049505</v>
      </c>
      <c r="C26" s="1315">
        <f t="shared" si="10"/>
        <v>0.9504950495049505</v>
      </c>
      <c r="D26" s="1315">
        <f t="shared" si="10"/>
        <v>0.9504950495049505</v>
      </c>
      <c r="E26" s="1315">
        <f t="shared" si="10"/>
        <v>0.9504950495049505</v>
      </c>
      <c r="F26" s="1315">
        <f t="shared" si="10"/>
        <v>0.9504950495049505</v>
      </c>
      <c r="G26" s="1315">
        <f t="shared" si="10"/>
        <v>0.9504950495049505</v>
      </c>
      <c r="H26" s="1315">
        <f t="shared" si="10"/>
        <v>0.9504950495049505</v>
      </c>
      <c r="I26" s="1315">
        <f t="shared" si="10"/>
        <v>0.9504950495049505</v>
      </c>
      <c r="J26" s="1315">
        <f t="shared" si="10"/>
        <v>0.9504950495049505</v>
      </c>
      <c r="L26" s="1316" t="str">
        <f>AR26</f>
        <v>Not Applicable</v>
      </c>
      <c r="M26" s="1279" t="s">
        <v>507</v>
      </c>
      <c r="N26" s="1279" t="s">
        <v>507</v>
      </c>
      <c r="O26" s="1279" t="s">
        <v>507</v>
      </c>
      <c r="P26" s="1279" t="s">
        <v>507</v>
      </c>
      <c r="Q26" s="1279" t="s">
        <v>507</v>
      </c>
      <c r="R26" s="1279" t="s">
        <v>507</v>
      </c>
      <c r="S26" s="1279" t="s">
        <v>507</v>
      </c>
      <c r="T26" s="1280" t="s">
        <v>507</v>
      </c>
      <c r="V26" s="1229"/>
      <c r="W26" s="1229"/>
      <c r="X26" s="1229"/>
      <c r="Y26" s="1229"/>
      <c r="Z26" s="1229"/>
      <c r="AA26" s="1229"/>
      <c r="AB26" s="1229"/>
      <c r="AC26" s="1229"/>
      <c r="AD26" s="1229"/>
      <c r="AE26" s="1229"/>
      <c r="AG26" s="1230" t="str">
        <f>"Phys Occ: "&amp;TEXT(B26,"0.00%")</f>
        <v>Phys Occ: 95.05%</v>
      </c>
      <c r="AP26" s="830" t="s">
        <v>1254</v>
      </c>
      <c r="AQ26" s="1317">
        <v>0.9</v>
      </c>
      <c r="AR26" s="1318" t="s">
        <v>1252</v>
      </c>
      <c r="AS26" s="1276"/>
      <c r="AT26" s="1276"/>
      <c r="AU26" s="1234"/>
    </row>
    <row r="27" ht="15.75" customHeight="1">
      <c r="A27" s="21" t="s">
        <v>1255</v>
      </c>
      <c r="B27" s="1314">
        <f>'Rent Roll'!D138</f>
        <v>0.8517956031813334</v>
      </c>
      <c r="C27" s="1315">
        <f t="shared" si="10"/>
        <v>0.8517956031813334</v>
      </c>
      <c r="D27" s="1315">
        <f t="shared" si="10"/>
        <v>0.8517956031813334</v>
      </c>
      <c r="E27" s="1315">
        <f t="shared" si="10"/>
        <v>0.8517956031813334</v>
      </c>
      <c r="F27" s="1315">
        <f t="shared" si="10"/>
        <v>0.8517956031813334</v>
      </c>
      <c r="G27" s="1315">
        <f t="shared" si="10"/>
        <v>0.8517956031813334</v>
      </c>
      <c r="H27" s="1315">
        <f t="shared" si="10"/>
        <v>0.8517956031813334</v>
      </c>
      <c r="I27" s="1315">
        <f t="shared" si="10"/>
        <v>0.8517956031813334</v>
      </c>
      <c r="J27" s="1315">
        <f t="shared" si="10"/>
        <v>0.8517956031813334</v>
      </c>
      <c r="L27" s="1198"/>
      <c r="M27" s="1198"/>
      <c r="N27" s="1198"/>
      <c r="O27" s="1198"/>
      <c r="P27" s="1198"/>
      <c r="Q27" s="1198"/>
      <c r="R27" s="1198"/>
      <c r="S27" s="1198"/>
      <c r="T27" s="1228"/>
      <c r="V27" s="1229"/>
      <c r="W27" s="1229"/>
      <c r="X27" s="1229"/>
      <c r="Y27" s="1229"/>
      <c r="Z27" s="1229"/>
      <c r="AA27" s="1229"/>
      <c r="AB27" s="1229"/>
      <c r="AC27" s="1229"/>
      <c r="AD27" s="1229"/>
      <c r="AE27" s="1229"/>
      <c r="AG27" s="1262"/>
      <c r="AP27" s="1265"/>
      <c r="AQ27" s="1319"/>
      <c r="AR27" s="1320"/>
      <c r="AS27" s="1284"/>
      <c r="AT27" s="1284"/>
      <c r="AU27" s="1266"/>
    </row>
    <row r="28" ht="15" customHeight="1">
      <c r="K28" s="1215"/>
      <c r="L28" s="1321">
        <f t="shared" si="18" ref="L28:T28">IF(B30,IF(B31,$AR29,$AR33),$AR28)</f>
        <v>0.8</v>
      </c>
      <c r="M28" s="1321">
        <f t="shared" si="18"/>
        <v>0.8</v>
      </c>
      <c r="N28" s="1321">
        <f t="shared" si="18"/>
        <v>0.8</v>
      </c>
      <c r="O28" s="1321">
        <f t="shared" si="18"/>
        <v>0.8</v>
      </c>
      <c r="P28" s="1321">
        <f t="shared" si="18"/>
        <v>0.8</v>
      </c>
      <c r="Q28" s="1321">
        <f t="shared" si="18"/>
        <v>0.8</v>
      </c>
      <c r="R28" s="1321">
        <f t="shared" si="18"/>
        <v>0.8</v>
      </c>
      <c r="S28" s="1321">
        <f t="shared" si="18"/>
        <v>0.8</v>
      </c>
      <c r="T28" s="1322">
        <f t="shared" si="18"/>
        <v>0.8</v>
      </c>
      <c r="U28" s="1215"/>
      <c r="V28" s="1288" t="str">
        <f>IF(B11&lt;=L28,Pass,Fail)</f>
        <v>Pass</v>
      </c>
      <c r="W28" s="1288" t="str">
        <f t="shared" si="19" ref="W28:AD28">IF(C5=0,"NA",IF(C11&lt;=M28,Pass,Fail))</f>
        <v>NA</v>
      </c>
      <c r="X28" s="1288" t="str">
        <f t="shared" si="19"/>
        <v>NA</v>
      </c>
      <c r="Y28" s="1288" t="str">
        <f t="shared" si="19"/>
        <v>NA</v>
      </c>
      <c r="Z28" s="1288" t="str">
        <f t="shared" si="19"/>
        <v>NA</v>
      </c>
      <c r="AA28" s="1288" t="str">
        <f t="shared" si="19"/>
        <v>NA</v>
      </c>
      <c r="AB28" s="1288" t="str">
        <f t="shared" si="19"/>
        <v>NA</v>
      </c>
      <c r="AC28" s="1288" t="str">
        <f t="shared" si="19"/>
        <v>NA</v>
      </c>
      <c r="AD28" s="1288" t="str">
        <f t="shared" si="19"/>
        <v>NA</v>
      </c>
      <c r="AE28" s="1252"/>
      <c r="AG28" s="1289" t="s">
        <v>760</v>
      </c>
      <c r="AH28" s="1273" t="str">
        <f t="shared" si="4"/>
        <v>NA</v>
      </c>
      <c r="AI28" s="1273" t="str">
        <f t="shared" si="4"/>
        <v>NA</v>
      </c>
      <c r="AJ28" s="1273" t="str">
        <f t="shared" si="4"/>
        <v>NA</v>
      </c>
      <c r="AK28" s="1273" t="str">
        <f t="shared" si="4"/>
        <v>NA</v>
      </c>
      <c r="AL28" s="1273" t="str">
        <f t="shared" si="4"/>
        <v>NA</v>
      </c>
      <c r="AM28" s="1273" t="str">
        <f t="shared" si="4"/>
        <v>NA</v>
      </c>
      <c r="AN28" s="1273" t="str">
        <f t="shared" si="4"/>
        <v>NA</v>
      </c>
      <c r="AO28" s="1273" t="str">
        <f t="shared" si="4"/>
        <v>NA</v>
      </c>
      <c r="AP28" s="1323" t="s">
        <v>1224</v>
      </c>
      <c r="AQ28" s="9"/>
      <c r="AR28" s="1324">
        <v>0.8</v>
      </c>
      <c r="AU28" s="1234"/>
    </row>
    <row r="29" ht="15" customHeight="1">
      <c r="A29" s="1325" t="s">
        <v>1256</v>
      </c>
      <c r="B29" s="1326">
        <f>_xlfn.IFERROR('Data Page'!AO35,0)</f>
        <v>0</v>
      </c>
      <c r="C29" s="1327"/>
      <c r="D29" s="1327"/>
      <c r="E29" s="1327"/>
      <c r="F29" s="1327"/>
      <c r="G29" s="1327"/>
      <c r="H29" s="1327"/>
      <c r="I29" s="1327"/>
      <c r="J29" s="1327"/>
      <c r="L29" s="1328"/>
      <c r="M29" s="1328"/>
      <c r="N29" s="1328"/>
      <c r="O29" s="1328"/>
      <c r="P29" s="1328"/>
      <c r="Q29" s="1328"/>
      <c r="R29" s="1328"/>
      <c r="S29" s="1328"/>
      <c r="T29" s="1329"/>
      <c r="V29" s="1258"/>
      <c r="W29" s="1258"/>
      <c r="X29" s="1258"/>
      <c r="Y29" s="1258"/>
      <c r="Z29" s="1258"/>
      <c r="AA29" s="1258"/>
      <c r="AB29" s="1258"/>
      <c r="AC29" s="1258"/>
      <c r="AD29" s="1258"/>
      <c r="AE29" s="1258"/>
      <c r="AG29" s="1230" t="str">
        <f t="shared" si="13"/>
        <v>LTV: 0.00%</v>
      </c>
      <c r="AP29" s="1330" t="s">
        <v>1257</v>
      </c>
      <c r="AQ29" s="6" t="s">
        <v>1258</v>
      </c>
      <c r="AR29" s="1331">
        <v>0.8</v>
      </c>
      <c r="AU29" s="1234"/>
    </row>
    <row r="30" ht="15" customHeight="1">
      <c r="A30" s="21" t="s">
        <v>1259</v>
      </c>
      <c r="B30" s="1332" t="b">
        <f>IsCashOutRefinance="Yes"</f>
        <v>0</v>
      </c>
      <c r="C30" s="1327" t="b">
        <f t="shared" si="10"/>
        <v>0</v>
      </c>
      <c r="D30" s="1327" t="b">
        <f t="shared" si="10"/>
        <v>0</v>
      </c>
      <c r="E30" s="1327" t="b">
        <f t="shared" si="10"/>
        <v>0</v>
      </c>
      <c r="F30" s="1327" t="b">
        <f t="shared" si="10"/>
        <v>0</v>
      </c>
      <c r="G30" s="1327" t="b">
        <f t="shared" si="10"/>
        <v>0</v>
      </c>
      <c r="H30" s="1327" t="b">
        <f t="shared" si="10"/>
        <v>0</v>
      </c>
      <c r="I30" s="1327" t="b">
        <f t="shared" si="10"/>
        <v>0</v>
      </c>
      <c r="J30" s="1327" t="b">
        <f t="shared" si="10"/>
        <v>0</v>
      </c>
      <c r="L30" s="1328"/>
      <c r="M30" s="1328"/>
      <c r="N30" s="1328"/>
      <c r="O30" s="1328"/>
      <c r="P30" s="1328"/>
      <c r="Q30" s="1328"/>
      <c r="R30" s="1328"/>
      <c r="S30" s="1328"/>
      <c r="T30" s="1329"/>
      <c r="V30" s="1258"/>
      <c r="W30" s="1258"/>
      <c r="X30" s="1258"/>
      <c r="Y30" s="1258"/>
      <c r="Z30" s="1258"/>
      <c r="AA30" s="1258"/>
      <c r="AB30" s="1258"/>
      <c r="AC30" s="1258"/>
      <c r="AD30" s="1258"/>
      <c r="AE30" s="1258"/>
      <c r="AG30" s="1230" t="str">
        <f>IF(B30,"Cash-out","not Cash-out")</f>
        <v>not Cash-out</v>
      </c>
      <c r="AP30" s="1333" t="s">
        <v>1261</v>
      </c>
      <c r="AQ30" s="154" t="s">
        <v>1262</v>
      </c>
      <c r="AR30" s="1334"/>
      <c r="AU30" s="1234"/>
    </row>
    <row r="31" ht="15" customHeight="1">
      <c r="A31" s="21" t="s">
        <v>1263</v>
      </c>
      <c r="B31" s="1332" t="b">
        <f>OR($B$9="Strong",$B$10=AQ30,$B$10=AQ31,$B$10=AQ32)</f>
        <v>0</v>
      </c>
      <c r="C31" s="1327" t="b">
        <f t="shared" si="10"/>
        <v>0</v>
      </c>
      <c r="D31" s="1327" t="b">
        <f t="shared" si="10"/>
        <v>0</v>
      </c>
      <c r="E31" s="1327" t="b">
        <f t="shared" si="10"/>
        <v>0</v>
      </c>
      <c r="F31" s="1327" t="b">
        <f t="shared" si="10"/>
        <v>0</v>
      </c>
      <c r="G31" s="1327" t="b">
        <f t="shared" si="10"/>
        <v>0</v>
      </c>
      <c r="H31" s="1327" t="b">
        <f t="shared" si="10"/>
        <v>0</v>
      </c>
      <c r="I31" s="1327" t="b">
        <f t="shared" si="10"/>
        <v>0</v>
      </c>
      <c r="J31" s="1327" t="b">
        <f t="shared" si="10"/>
        <v>0</v>
      </c>
      <c r="T31" s="1194"/>
      <c r="V31" s="1258"/>
      <c r="W31" s="1258"/>
      <c r="X31" s="1258"/>
      <c r="Y31" s="1258"/>
      <c r="Z31" s="1258"/>
      <c r="AA31" s="1258"/>
      <c r="AB31" s="1258"/>
      <c r="AC31" s="1258"/>
      <c r="AD31" s="1258"/>
      <c r="AE31" s="1258"/>
      <c r="AG31" s="1335"/>
      <c r="AP31" s="1336"/>
      <c r="AQ31" s="154" t="s">
        <v>1264</v>
      </c>
      <c r="AR31" s="1334"/>
      <c r="AU31" s="1234"/>
    </row>
    <row r="32" ht="15" customHeight="1">
      <c r="T32" s="1194"/>
      <c r="V32" s="1258"/>
      <c r="W32" s="1258"/>
      <c r="X32" s="1258"/>
      <c r="Y32" s="1258"/>
      <c r="Z32" s="1258"/>
      <c r="AA32" s="1258"/>
      <c r="AB32" s="1258"/>
      <c r="AC32" s="1258"/>
      <c r="AD32" s="1258"/>
      <c r="AE32" s="1258"/>
      <c r="AG32" s="1275"/>
      <c r="AP32" s="1323"/>
      <c r="AQ32" s="1337" t="s">
        <v>1265</v>
      </c>
      <c r="AR32" s="1324"/>
      <c r="AU32" s="1234"/>
    </row>
    <row r="33" ht="15.75" customHeight="1">
      <c r="T33" s="1194"/>
      <c r="U33" s="1215"/>
      <c r="V33" s="1258"/>
      <c r="W33" s="1258"/>
      <c r="X33" s="1258"/>
      <c r="Y33" s="1258"/>
      <c r="Z33" s="1258"/>
      <c r="AA33" s="1258"/>
      <c r="AB33" s="1258"/>
      <c r="AC33" s="1258"/>
      <c r="AD33" s="1258"/>
      <c r="AE33" s="1258"/>
      <c r="AG33" s="1275"/>
      <c r="AP33" s="1330" t="s">
        <v>1266</v>
      </c>
      <c r="AQ33" s="830"/>
      <c r="AR33" s="1331">
        <v>0.75</v>
      </c>
      <c r="AU33" s="1234"/>
    </row>
    <row r="34" ht="15" customHeight="1">
      <c r="A34" s="21" t="s">
        <v>1267</v>
      </c>
      <c r="B34" s="1332">
        <f>RentRollTotalUnits</f>
        <v>101</v>
      </c>
      <c r="C34" s="1257">
        <f t="shared" si="10"/>
        <v>101</v>
      </c>
      <c r="D34" s="1257">
        <f t="shared" si="10"/>
        <v>101</v>
      </c>
      <c r="E34" s="1257">
        <f t="shared" si="10"/>
        <v>101</v>
      </c>
      <c r="F34" s="1257">
        <f t="shared" si="10"/>
        <v>101</v>
      </c>
      <c r="G34" s="1257">
        <f t="shared" si="10"/>
        <v>101</v>
      </c>
      <c r="H34" s="1257">
        <f t="shared" si="10"/>
        <v>101</v>
      </c>
      <c r="I34" s="1257">
        <f t="shared" si="10"/>
        <v>101</v>
      </c>
      <c r="J34" s="1257">
        <f t="shared" si="10"/>
        <v>101</v>
      </c>
      <c r="K34" s="1215"/>
      <c r="L34" s="1269" t="e">
        <f t="shared" si="20" ref="L34:T34">_xlfn.LET(_xlpm.Is5_50,B35,_xlpm.IsStrongOrLA,B36,_xlpm.loan_size_is_ok,B5&lt;=$L$9,_xlpm.LoanTermInMos,B37*12,_xlpm._LTV,B11,_xlpm.MaxLTV,$AS37,_xlpm.requested_yrs_io,B20,_xlpm.max_yrs_io,B21,IF(AND(_xlpm.Is5_50,_xlpm.IsStrongOrLA,_xlpm.loan_size_is_ok,_xlpm.LoanTermInMos&gt;=$AR37,_xlpm._LTV&lt;=_xlpm.MaxLTV,_xlpm.requested_yrs_io&lt;=_xlpm.max_yrs_io),$AU37,$AU40))</f>
        <v>#NAME?</v>
      </c>
      <c r="M34" s="1269">
        <f t="shared" si="20"/>
        <v>1.25</v>
      </c>
      <c r="N34" s="1269">
        <f t="shared" si="20"/>
        <v>1.25</v>
      </c>
      <c r="O34" s="1269">
        <f t="shared" si="20"/>
        <v>1.25</v>
      </c>
      <c r="P34" s="1269">
        <f t="shared" si="20"/>
        <v>1.25</v>
      </c>
      <c r="Q34" s="1269">
        <f t="shared" si="20"/>
        <v>1.25</v>
      </c>
      <c r="R34" s="1269">
        <f t="shared" si="20"/>
        <v>1.25</v>
      </c>
      <c r="S34" s="1269">
        <f t="shared" si="20"/>
        <v>1.25</v>
      </c>
      <c r="T34" s="1270">
        <f t="shared" si="20"/>
        <v>1.25</v>
      </c>
      <c r="U34" s="1215"/>
      <c r="V34" s="1271" t="e">
        <f>IF(B12&gt;=L34,Pass,Fail)</f>
        <v>#NAME?</v>
      </c>
      <c r="W34" s="1271" t="str">
        <f t="shared" si="21" ref="W34:AD34">IF(C5=0,"NA",IF(C12&gt;=M34,Pass,Fail))</f>
        <v>NA</v>
      </c>
      <c r="X34" s="1271" t="str">
        <f t="shared" si="21"/>
        <v>NA</v>
      </c>
      <c r="Y34" s="1271" t="str">
        <f t="shared" si="21"/>
        <v>NA</v>
      </c>
      <c r="Z34" s="1271" t="str">
        <f t="shared" si="21"/>
        <v>NA</v>
      </c>
      <c r="AA34" s="1271" t="str">
        <f t="shared" si="21"/>
        <v>NA</v>
      </c>
      <c r="AB34" s="1271" t="str">
        <f t="shared" si="21"/>
        <v>NA</v>
      </c>
      <c r="AC34" s="1271" t="str">
        <f t="shared" si="21"/>
        <v>NA</v>
      </c>
      <c r="AD34" s="1271" t="str">
        <f t="shared" si="21"/>
        <v>NA</v>
      </c>
      <c r="AE34" s="1220"/>
      <c r="AG34" s="1205" t="s">
        <v>1268</v>
      </c>
      <c r="AH34" s="1273" t="str">
        <f t="shared" si="4"/>
        <v>NA</v>
      </c>
      <c r="AI34" s="1273" t="str">
        <f t="shared" si="4"/>
        <v>NA</v>
      </c>
      <c r="AJ34" s="1273" t="str">
        <f t="shared" si="4"/>
        <v>NA</v>
      </c>
      <c r="AK34" s="1273" t="str">
        <f t="shared" si="4"/>
        <v>NA</v>
      </c>
      <c r="AL34" s="1273" t="str">
        <f t="shared" si="4"/>
        <v>NA</v>
      </c>
      <c r="AM34" s="1273" t="str">
        <f t="shared" si="4"/>
        <v>NA</v>
      </c>
      <c r="AN34" s="1273" t="str">
        <f t="shared" si="4"/>
        <v>NA</v>
      </c>
      <c r="AO34" s="1273" t="str">
        <f t="shared" si="4"/>
        <v>NA</v>
      </c>
      <c r="AP34" s="1338"/>
      <c r="AQ34" s="1339"/>
      <c r="AR34" s="1339"/>
      <c r="AS34" s="1339"/>
      <c r="AT34" s="1339"/>
      <c r="AU34" s="1340" t="s">
        <v>1269</v>
      </c>
    </row>
    <row r="35" ht="15" customHeight="1">
      <c r="A35" s="21" t="s">
        <v>1270</v>
      </c>
      <c r="B35" s="1341" t="b">
        <f>AND(B34&gt;=5,B34&lt;=50)</f>
        <v>0</v>
      </c>
      <c r="C35" s="1257" t="b">
        <f t="shared" si="10"/>
        <v>0</v>
      </c>
      <c r="D35" s="1257" t="b">
        <f t="shared" si="10"/>
        <v>0</v>
      </c>
      <c r="E35" s="1257" t="b">
        <f t="shared" si="10"/>
        <v>0</v>
      </c>
      <c r="F35" s="1257" t="b">
        <f t="shared" si="10"/>
        <v>0</v>
      </c>
      <c r="G35" s="1257" t="b">
        <f t="shared" si="10"/>
        <v>0</v>
      </c>
      <c r="H35" s="1257" t="b">
        <f t="shared" si="10"/>
        <v>0</v>
      </c>
      <c r="I35" s="1257" t="b">
        <f t="shared" si="10"/>
        <v>0</v>
      </c>
      <c r="J35" s="1257" t="b">
        <f t="shared" si="10"/>
        <v>0</v>
      </c>
      <c r="K35" s="1215"/>
      <c r="L35" s="1198"/>
      <c r="M35" s="1198"/>
      <c r="N35" s="1198"/>
      <c r="O35" s="1198"/>
      <c r="P35" s="1198"/>
      <c r="Q35" s="1198"/>
      <c r="R35" s="1198"/>
      <c r="S35" s="1198"/>
      <c r="T35" s="1228"/>
      <c r="U35" s="1215"/>
      <c r="V35" s="1229"/>
      <c r="W35" s="1229"/>
      <c r="X35" s="1229"/>
      <c r="Y35" s="1229"/>
      <c r="Z35" s="1229"/>
      <c r="AA35" s="1229"/>
      <c r="AB35" s="1229"/>
      <c r="AC35" s="1229"/>
      <c r="AD35" s="1229"/>
      <c r="AE35" s="1342"/>
      <c r="AG35" s="1230" t="str">
        <f t="shared" si="13"/>
        <v>LTV: 0.00%</v>
      </c>
      <c r="AP35" s="714"/>
      <c r="AQ35" s="6"/>
      <c r="AR35" s="6"/>
      <c r="AS35" s="6"/>
      <c r="AT35" s="6"/>
      <c r="AU35" s="1343"/>
    </row>
    <row r="36" ht="15" customHeight="1">
      <c r="A36" s="21" t="s">
        <v>1271</v>
      </c>
      <c r="B36" s="1166" t="b">
        <f>OR($B$9="Strong",$B$10=AP39)</f>
        <v>0</v>
      </c>
      <c r="C36" s="1257" t="b">
        <f t="shared" si="10"/>
        <v>0</v>
      </c>
      <c r="D36" s="1257" t="b">
        <f t="shared" si="10"/>
        <v>0</v>
      </c>
      <c r="E36" s="1257" t="b">
        <f t="shared" si="10"/>
        <v>0</v>
      </c>
      <c r="F36" s="1257" t="b">
        <f t="shared" si="10"/>
        <v>0</v>
      </c>
      <c r="G36" s="1257" t="b">
        <f t="shared" si="10"/>
        <v>0</v>
      </c>
      <c r="H36" s="1257" t="b">
        <f t="shared" si="10"/>
        <v>0</v>
      </c>
      <c r="I36" s="1257" t="b">
        <f t="shared" si="10"/>
        <v>0</v>
      </c>
      <c r="J36" s="1257" t="b">
        <f t="shared" si="10"/>
        <v>0</v>
      </c>
      <c r="K36" s="1215"/>
      <c r="L36" s="1198"/>
      <c r="M36" s="1198"/>
      <c r="N36" s="1198"/>
      <c r="O36" s="1198"/>
      <c r="P36" s="1198"/>
      <c r="Q36" s="1198"/>
      <c r="R36" s="1198"/>
      <c r="S36" s="1198"/>
      <c r="T36" s="1228"/>
      <c r="U36" s="1215"/>
      <c r="V36" s="1229"/>
      <c r="W36" s="1229"/>
      <c r="X36" s="1229"/>
      <c r="Y36" s="1229"/>
      <c r="Z36" s="1229"/>
      <c r="AA36" s="1229"/>
      <c r="AB36" s="1229"/>
      <c r="AC36" s="1229"/>
      <c r="AD36" s="1229"/>
      <c r="AE36" s="1342"/>
      <c r="AG36" s="1230" t="e">
        <f>"Loan Term: "&amp;B37*12&amp;" mos"</f>
        <v>#NAME?</v>
      </c>
      <c r="AP36" s="1344" t="s">
        <v>1272</v>
      </c>
      <c r="AQ36" s="1345" t="s">
        <v>572</v>
      </c>
      <c r="AR36" s="1345" t="s">
        <v>1273</v>
      </c>
      <c r="AS36" s="1345" t="s">
        <v>932</v>
      </c>
      <c r="AT36" s="1345" t="s">
        <v>228</v>
      </c>
      <c r="AU36" s="1346"/>
    </row>
    <row r="37" ht="15" customHeight="1">
      <c r="A37" s="21" t="s">
        <v>1242</v>
      </c>
      <c r="B37" s="1347" t="e">
        <f t="shared" si="22"/>
        <v>#NAME?</v>
      </c>
      <c r="C37" s="1348">
        <f>'SBL Quotes'!R98</f>
        <v>10</v>
      </c>
      <c r="D37" s="1348">
        <f>'SBL Quotes'!S98</f>
        <v>12</v>
      </c>
      <c r="E37" s="1348">
        <f>'SBL Quotes'!T98</f>
        <v>15</v>
      </c>
      <c r="F37" s="1348">
        <f>'SBL Quotes'!U98</f>
        <v>10</v>
      </c>
      <c r="G37" s="1348">
        <f>'SBL Quotes'!V98</f>
        <v>10</v>
      </c>
      <c r="H37" s="1348">
        <f>'SBL Quotes'!W98</f>
        <v>5</v>
      </c>
      <c r="I37" s="1348">
        <f>'SBL Quotes'!X98</f>
        <v>5</v>
      </c>
      <c r="J37" s="1348">
        <f>'SBL Quotes'!Y98</f>
        <v>10</v>
      </c>
      <c r="L37" s="1198"/>
      <c r="M37" s="1198"/>
      <c r="N37" s="1198"/>
      <c r="O37" s="1198"/>
      <c r="P37" s="1198"/>
      <c r="Q37" s="1198"/>
      <c r="R37" s="1198"/>
      <c r="S37" s="1198"/>
      <c r="T37" s="1228"/>
      <c r="V37" s="1229"/>
      <c r="W37" s="1229"/>
      <c r="X37" s="1229"/>
      <c r="Y37" s="1229"/>
      <c r="Z37" s="1229"/>
      <c r="AA37" s="1229"/>
      <c r="AB37" s="1229"/>
      <c r="AC37" s="1229"/>
      <c r="AD37" s="1229"/>
      <c r="AE37" s="1229"/>
      <c r="AG37" s="1230" t="str">
        <f>"Units: "&amp;B34</f>
        <v>Units: 101</v>
      </c>
      <c r="AP37" s="4" t="s">
        <v>1275</v>
      </c>
      <c r="AQ37" s="1349" t="s">
        <v>1276</v>
      </c>
      <c r="AR37" s="1350">
        <v>120</v>
      </c>
      <c r="AS37" s="1351">
        <v>0.7</v>
      </c>
      <c r="AT37" s="1349" t="s">
        <v>1277</v>
      </c>
      <c r="AU37" s="1352">
        <v>1.2</v>
      </c>
    </row>
    <row r="38" ht="15" customHeight="1">
      <c r="B38" s="21"/>
      <c r="C38" s="1353"/>
      <c r="D38" s="1353"/>
      <c r="E38" s="1353"/>
      <c r="F38" s="1353"/>
      <c r="G38" s="1353"/>
      <c r="H38" s="1353"/>
      <c r="I38" s="1353"/>
      <c r="J38" s="1353"/>
      <c r="L38" s="1198"/>
      <c r="M38" s="1198"/>
      <c r="N38" s="1198"/>
      <c r="O38" s="1198"/>
      <c r="P38" s="1198"/>
      <c r="Q38" s="1198"/>
      <c r="R38" s="1198"/>
      <c r="S38" s="1198"/>
      <c r="T38" s="1228"/>
      <c r="V38" s="1229"/>
      <c r="W38" s="1229"/>
      <c r="X38" s="1229"/>
      <c r="Y38" s="1229"/>
      <c r="Z38" s="1229"/>
      <c r="AA38" s="1229"/>
      <c r="AB38" s="1229"/>
      <c r="AC38" s="1229"/>
      <c r="AD38" s="1229"/>
      <c r="AE38" s="1229"/>
      <c r="AG38" s="1230" t="e">
        <f>"Requested IO: "&amp;B20&amp;" yrs ("&amp;B21&amp;" yrs Max)"</f>
        <v>#NAME?</v>
      </c>
      <c r="AP38" s="1295" t="s">
        <v>1278</v>
      </c>
      <c r="AQ38" s="1354"/>
      <c r="AR38" s="1355"/>
      <c r="AS38" s="1356"/>
      <c r="AT38" s="1354"/>
      <c r="AU38" s="1357"/>
    </row>
    <row r="39" ht="15" customHeight="1">
      <c r="B39" s="21"/>
      <c r="C39" s="1353"/>
      <c r="D39" s="1353"/>
      <c r="E39" s="1353"/>
      <c r="F39" s="1353"/>
      <c r="G39" s="1353"/>
      <c r="H39" s="1353"/>
      <c r="I39" s="1353"/>
      <c r="J39" s="1353"/>
      <c r="L39" s="1198"/>
      <c r="M39" s="1198"/>
      <c r="N39" s="1198"/>
      <c r="O39" s="1198"/>
      <c r="P39" s="1198"/>
      <c r="Q39" s="1198"/>
      <c r="R39" s="1198"/>
      <c r="S39" s="1198"/>
      <c r="T39" s="1228"/>
      <c r="V39" s="1229"/>
      <c r="W39" s="1229"/>
      <c r="X39" s="1229"/>
      <c r="Y39" s="1229"/>
      <c r="Z39" s="1229"/>
      <c r="AA39" s="1229"/>
      <c r="AB39" s="1229"/>
      <c r="AC39" s="1229"/>
      <c r="AD39" s="1229"/>
      <c r="AE39" s="1229"/>
      <c r="AG39" s="1230" t="str">
        <f>"DSCR: "&amp;TEXT(B12,"0.000")</f>
        <v>DSCR: 0.000</v>
      </c>
      <c r="AP39" s="1358" t="s">
        <v>1264</v>
      </c>
      <c r="AQ39" s="1359"/>
      <c r="AR39" s="1360"/>
      <c r="AS39" s="1361"/>
      <c r="AT39" s="1359"/>
      <c r="AU39" s="1362"/>
    </row>
    <row r="40" ht="15.75" customHeight="1">
      <c r="C40" s="1363"/>
      <c r="D40" s="1363"/>
      <c r="E40" s="1363"/>
      <c r="F40" s="1363"/>
      <c r="G40" s="1363"/>
      <c r="H40" s="1363"/>
      <c r="I40" s="1363"/>
      <c r="J40" s="1363"/>
      <c r="L40" s="1198"/>
      <c r="M40" s="1198"/>
      <c r="N40" s="1198"/>
      <c r="O40" s="1198"/>
      <c r="P40" s="1198"/>
      <c r="Q40" s="1198"/>
      <c r="R40" s="1198"/>
      <c r="S40" s="1198"/>
      <c r="T40" s="1228"/>
      <c r="V40" s="1229"/>
      <c r="W40" s="1229"/>
      <c r="X40" s="1229"/>
      <c r="Y40" s="1229"/>
      <c r="Z40" s="1229"/>
      <c r="AA40" s="1229"/>
      <c r="AB40" s="1229"/>
      <c r="AC40" s="1229"/>
      <c r="AD40" s="1229"/>
      <c r="AE40" s="1229"/>
      <c r="AG40" s="1364"/>
      <c r="AH40" s="1365"/>
      <c r="AI40" s="1365"/>
      <c r="AJ40" s="1365"/>
      <c r="AK40" s="1365"/>
      <c r="AL40" s="1365"/>
      <c r="AM40" s="1365"/>
      <c r="AN40" s="1365"/>
      <c r="AO40" s="1366"/>
      <c r="AP40" s="1305" t="s">
        <v>1279</v>
      </c>
      <c r="AQ40" s="1367"/>
      <c r="AR40" s="1265"/>
      <c r="AS40" s="1367"/>
      <c r="AT40" s="1367"/>
      <c r="AU40" s="1368">
        <v>1.25</v>
      </c>
    </row>
    <row r="41" ht="15" customHeight="1">
      <c r="L41" s="1269"/>
      <c r="M41" s="1269"/>
      <c r="N41" s="1269"/>
      <c r="O41" s="1269"/>
      <c r="P41" s="1269"/>
      <c r="Q41" s="1269"/>
      <c r="R41" s="1269"/>
      <c r="S41" s="1269"/>
      <c r="T41" s="1270"/>
      <c r="V41" s="1271"/>
      <c r="W41" s="1271"/>
      <c r="X41" s="1271"/>
      <c r="Y41" s="1271"/>
      <c r="Z41" s="1271"/>
      <c r="AA41" s="1271"/>
      <c r="AB41" s="1271"/>
      <c r="AC41" s="1271"/>
      <c r="AD41" s="1271"/>
      <c r="AE41" s="1271"/>
      <c r="AG41" s="1205" t="s">
        <v>1280</v>
      </c>
      <c r="AH41" s="1224"/>
      <c r="AI41" s="1224"/>
      <c r="AJ41" s="1224"/>
      <c r="AK41" s="1224"/>
      <c r="AL41" s="1224"/>
      <c r="AM41" s="1224"/>
      <c r="AN41" s="1224"/>
      <c r="AO41" s="1224"/>
      <c r="AP41" s="1224"/>
      <c r="AQ41" s="1224"/>
      <c r="AR41" s="1224"/>
      <c r="AS41" s="1224"/>
      <c r="AT41" s="1224"/>
      <c r="AU41" s="1225"/>
    </row>
    <row r="42" ht="15" customHeight="1">
      <c r="L42" s="1198"/>
      <c r="M42" s="1198"/>
      <c r="N42" s="1198"/>
      <c r="O42" s="1198"/>
      <c r="P42" s="1198"/>
      <c r="Q42" s="1198"/>
      <c r="R42" s="1198"/>
      <c r="S42" s="1198"/>
      <c r="T42" s="1228"/>
      <c r="V42" s="1229"/>
      <c r="W42" s="1229"/>
      <c r="X42" s="1229"/>
      <c r="Y42" s="1229"/>
      <c r="Z42" s="1229"/>
      <c r="AA42" s="1229"/>
      <c r="AB42" s="1229"/>
      <c r="AC42" s="1229"/>
      <c r="AD42" s="1229"/>
      <c r="AE42" s="1229"/>
      <c r="AG42" s="1275"/>
      <c r="AH42" s="613"/>
      <c r="AI42" s="613"/>
      <c r="AJ42" s="613"/>
      <c r="AK42" s="613"/>
      <c r="AL42" s="613"/>
      <c r="AM42" s="613"/>
      <c r="AN42" s="613"/>
      <c r="AO42" s="613"/>
      <c r="AP42" s="613" t="s">
        <v>1281</v>
      </c>
      <c r="AU42" s="1234"/>
    </row>
    <row r="43" ht="15" customHeight="1">
      <c r="L43" s="1198"/>
      <c r="M43" s="1198"/>
      <c r="N43" s="1198"/>
      <c r="O43" s="1198"/>
      <c r="P43" s="1198"/>
      <c r="Q43" s="1198"/>
      <c r="R43" s="1198"/>
      <c r="S43" s="1198"/>
      <c r="T43" s="1228"/>
      <c r="V43" s="1229"/>
      <c r="W43" s="1229"/>
      <c r="X43" s="1229"/>
      <c r="Y43" s="1229"/>
      <c r="Z43" s="1229"/>
      <c r="AA43" s="1229"/>
      <c r="AB43" s="1229"/>
      <c r="AC43" s="1229"/>
      <c r="AD43" s="1229"/>
      <c r="AE43" s="1229"/>
      <c r="AG43" s="1275"/>
      <c r="AH43" s="1369"/>
      <c r="AI43" s="1369"/>
      <c r="AJ43" s="1369"/>
      <c r="AK43" s="1369"/>
      <c r="AL43" s="1369"/>
      <c r="AM43" s="1369"/>
      <c r="AN43" s="1369"/>
      <c r="AO43" s="1369"/>
      <c r="AP43" s="1369" t="s">
        <v>1282</v>
      </c>
      <c r="AQ43" s="6"/>
      <c r="AU43" s="1234"/>
    </row>
    <row r="44" ht="15" customHeight="1">
      <c r="L44" s="1198"/>
      <c r="M44" s="1198"/>
      <c r="N44" s="1198"/>
      <c r="O44" s="1198"/>
      <c r="P44" s="1198"/>
      <c r="Q44" s="1198"/>
      <c r="R44" s="1198"/>
      <c r="S44" s="1198"/>
      <c r="T44" s="1228"/>
      <c r="V44" s="1229"/>
      <c r="W44" s="1229"/>
      <c r="X44" s="1229"/>
      <c r="Y44" s="1229"/>
      <c r="Z44" s="1229"/>
      <c r="AA44" s="1229"/>
      <c r="AB44" s="1229"/>
      <c r="AC44" s="1229"/>
      <c r="AD44" s="1229"/>
      <c r="AE44" s="1229"/>
      <c r="AG44" s="1275"/>
      <c r="AH44" s="1369"/>
      <c r="AI44" s="1369"/>
      <c r="AJ44" s="1369"/>
      <c r="AK44" s="1369"/>
      <c r="AL44" s="1369"/>
      <c r="AM44" s="1369"/>
      <c r="AN44" s="1369"/>
      <c r="AO44" s="1369"/>
      <c r="AP44" s="1369" t="s">
        <v>1283</v>
      </c>
      <c r="AQ44" s="6"/>
      <c r="AU44" s="1234"/>
    </row>
    <row r="45" ht="15" customHeight="1">
      <c r="L45" s="1198"/>
      <c r="M45" s="1198"/>
      <c r="N45" s="1198"/>
      <c r="O45" s="1198"/>
      <c r="P45" s="1198"/>
      <c r="Q45" s="1198"/>
      <c r="R45" s="1198"/>
      <c r="S45" s="1198"/>
      <c r="T45" s="1228"/>
      <c r="V45" s="1229"/>
      <c r="W45" s="1229"/>
      <c r="X45" s="1229"/>
      <c r="Y45" s="1229"/>
      <c r="Z45" s="1229"/>
      <c r="AA45" s="1229"/>
      <c r="AB45" s="1229"/>
      <c r="AC45" s="1229"/>
      <c r="AD45" s="1229"/>
      <c r="AE45" s="1229"/>
      <c r="AG45" s="1275"/>
      <c r="AH45" s="1370"/>
      <c r="AI45" s="1370"/>
      <c r="AJ45" s="1370"/>
      <c r="AK45" s="1370"/>
      <c r="AL45" s="1370"/>
      <c r="AM45" s="1370"/>
      <c r="AN45" s="1370"/>
      <c r="AO45" s="1370"/>
      <c r="AP45" s="1370" t="s">
        <v>1284</v>
      </c>
      <c r="AQ45" s="6"/>
      <c r="AU45" s="1234"/>
    </row>
    <row r="46" ht="15" customHeight="1">
      <c r="L46" s="1198"/>
      <c r="M46" s="1198"/>
      <c r="N46" s="1198"/>
      <c r="O46" s="1198"/>
      <c r="P46" s="1198"/>
      <c r="Q46" s="1198"/>
      <c r="R46" s="1198"/>
      <c r="S46" s="1198"/>
      <c r="T46" s="1228"/>
      <c r="V46" s="1229"/>
      <c r="W46" s="1229"/>
      <c r="X46" s="1229"/>
      <c r="Y46" s="1229"/>
      <c r="Z46" s="1229"/>
      <c r="AA46" s="1229"/>
      <c r="AB46" s="1229"/>
      <c r="AC46" s="1229"/>
      <c r="AD46" s="1229"/>
      <c r="AE46" s="1229"/>
      <c r="AG46" s="1275"/>
      <c r="AH46" s="1370"/>
      <c r="AI46" s="1370"/>
      <c r="AJ46" s="1370"/>
      <c r="AK46" s="1370"/>
      <c r="AL46" s="1370"/>
      <c r="AM46" s="1370"/>
      <c r="AN46" s="1370"/>
      <c r="AO46" s="1370"/>
      <c r="AP46" s="1370" t="s">
        <v>1285</v>
      </c>
      <c r="AQ46" s="6"/>
      <c r="AU46" s="1234"/>
    </row>
    <row r="47" ht="15" customHeight="1">
      <c r="L47" s="1198"/>
      <c r="M47" s="1198"/>
      <c r="N47" s="1198"/>
      <c r="O47" s="1198"/>
      <c r="P47" s="1198"/>
      <c r="Q47" s="1198"/>
      <c r="R47" s="1198"/>
      <c r="S47" s="1198"/>
      <c r="T47" s="1228"/>
      <c r="V47" s="1229"/>
      <c r="W47" s="1229"/>
      <c r="X47" s="1229"/>
      <c r="Y47" s="1229"/>
      <c r="Z47" s="1229"/>
      <c r="AA47" s="1229"/>
      <c r="AB47" s="1229"/>
      <c r="AC47" s="1229"/>
      <c r="AD47" s="1229"/>
      <c r="AE47" s="1229"/>
      <c r="AG47" s="1275"/>
      <c r="AH47" s="1371"/>
      <c r="AI47" s="1371"/>
      <c r="AJ47" s="1371"/>
      <c r="AK47" s="1371"/>
      <c r="AL47" s="1371"/>
      <c r="AM47" s="1371"/>
      <c r="AN47" s="1371"/>
      <c r="AO47" s="1371"/>
      <c r="AP47" s="1371" t="s">
        <v>1286</v>
      </c>
      <c r="AQ47" s="6"/>
      <c r="AU47" s="1234"/>
    </row>
    <row r="48" ht="15" customHeight="1">
      <c r="L48" s="1198"/>
      <c r="M48" s="1198"/>
      <c r="N48" s="1198"/>
      <c r="O48" s="1198"/>
      <c r="P48" s="1198"/>
      <c r="Q48" s="1198"/>
      <c r="R48" s="1198"/>
      <c r="S48" s="1198"/>
      <c r="T48" s="1228"/>
      <c r="V48" s="1229"/>
      <c r="W48" s="1229"/>
      <c r="X48" s="1229"/>
      <c r="Y48" s="1229"/>
      <c r="Z48" s="1229"/>
      <c r="AA48" s="1229"/>
      <c r="AB48" s="1229"/>
      <c r="AC48" s="1229"/>
      <c r="AD48" s="1229"/>
      <c r="AE48" s="1229"/>
      <c r="AG48" s="1275"/>
      <c r="AH48" s="1370"/>
      <c r="AI48" s="1370"/>
      <c r="AJ48" s="1370"/>
      <c r="AK48" s="1370"/>
      <c r="AL48" s="1370"/>
      <c r="AM48" s="1370"/>
      <c r="AN48" s="1370"/>
      <c r="AO48" s="1370"/>
      <c r="AP48" s="1370" t="s">
        <v>1287</v>
      </c>
      <c r="AQ48" s="6"/>
      <c r="AU48" s="1234"/>
    </row>
    <row r="49" ht="15" customHeight="1">
      <c r="L49" s="1198"/>
      <c r="M49" s="1198"/>
      <c r="N49" s="1198"/>
      <c r="O49" s="1198"/>
      <c r="P49" s="1198"/>
      <c r="Q49" s="1198"/>
      <c r="R49" s="1198"/>
      <c r="S49" s="1198"/>
      <c r="T49" s="1228"/>
      <c r="V49" s="1229"/>
      <c r="W49" s="1229"/>
      <c r="X49" s="1229"/>
      <c r="Y49" s="1229"/>
      <c r="Z49" s="1229"/>
      <c r="AA49" s="1229"/>
      <c r="AB49" s="1229"/>
      <c r="AC49" s="1229"/>
      <c r="AD49" s="1229"/>
      <c r="AE49" s="1229"/>
      <c r="AG49" s="1275"/>
      <c r="AH49" s="1370"/>
      <c r="AI49" s="1370"/>
      <c r="AJ49" s="1370"/>
      <c r="AK49" s="1370"/>
      <c r="AL49" s="1370"/>
      <c r="AM49" s="1370"/>
      <c r="AN49" s="1370"/>
      <c r="AO49" s="1370"/>
      <c r="AP49" s="1370" t="s">
        <v>1288</v>
      </c>
      <c r="AQ49" s="6"/>
      <c r="AU49" s="1234"/>
    </row>
    <row r="50" ht="15" customHeight="1">
      <c r="L50" s="1198"/>
      <c r="M50" s="1198"/>
      <c r="N50" s="1198"/>
      <c r="O50" s="1198"/>
      <c r="P50" s="1198"/>
      <c r="Q50" s="1198"/>
      <c r="R50" s="1198"/>
      <c r="S50" s="1198"/>
      <c r="T50" s="1228"/>
      <c r="V50" s="1229"/>
      <c r="W50" s="1229"/>
      <c r="X50" s="1229"/>
      <c r="Y50" s="1229"/>
      <c r="Z50" s="1229"/>
      <c r="AA50" s="1229"/>
      <c r="AB50" s="1229"/>
      <c r="AC50" s="1229"/>
      <c r="AD50" s="1229"/>
      <c r="AE50" s="1229"/>
      <c r="AG50" s="1275"/>
      <c r="AH50" s="1370"/>
      <c r="AI50" s="1370"/>
      <c r="AJ50" s="1370"/>
      <c r="AK50" s="1370"/>
      <c r="AL50" s="1370"/>
      <c r="AM50" s="1370"/>
      <c r="AN50" s="1370"/>
      <c r="AO50" s="1370"/>
      <c r="AP50" s="1370" t="s">
        <v>1289</v>
      </c>
      <c r="AQ50" s="6"/>
      <c r="AU50" s="1234"/>
    </row>
    <row r="51" ht="15" customHeight="1">
      <c r="L51" s="1198"/>
      <c r="M51" s="1198"/>
      <c r="N51" s="1198"/>
      <c r="O51" s="1198"/>
      <c r="P51" s="1198"/>
      <c r="Q51" s="1198"/>
      <c r="R51" s="1198"/>
      <c r="S51" s="1198"/>
      <c r="T51" s="1228"/>
      <c r="V51" s="1229"/>
      <c r="W51" s="1229"/>
      <c r="X51" s="1229"/>
      <c r="Y51" s="1229"/>
      <c r="Z51" s="1229"/>
      <c r="AA51" s="1229"/>
      <c r="AB51" s="1229"/>
      <c r="AC51" s="1229"/>
      <c r="AD51" s="1229"/>
      <c r="AE51" s="1229"/>
      <c r="AG51" s="1275"/>
      <c r="AH51" s="613"/>
      <c r="AI51" s="613"/>
      <c r="AJ51" s="613"/>
      <c r="AK51" s="613"/>
      <c r="AL51" s="613"/>
      <c r="AM51" s="613"/>
      <c r="AN51" s="613"/>
      <c r="AO51" s="613"/>
      <c r="AP51" s="613" t="s">
        <v>1290</v>
      </c>
      <c r="AU51" s="1234"/>
    </row>
    <row r="52" ht="15.75" customHeight="1">
      <c r="L52" s="1198"/>
      <c r="M52" s="1198"/>
      <c r="N52" s="1198"/>
      <c r="O52" s="1198"/>
      <c r="P52" s="1198"/>
      <c r="Q52" s="1198"/>
      <c r="R52" s="1198"/>
      <c r="S52" s="1198"/>
      <c r="T52" s="1372"/>
      <c r="V52" s="1229"/>
      <c r="W52" s="1229"/>
      <c r="X52" s="1229"/>
      <c r="Y52" s="1229"/>
      <c r="Z52" s="1229"/>
      <c r="AA52" s="1229"/>
      <c r="AB52" s="1229"/>
      <c r="AC52" s="1229"/>
      <c r="AD52" s="1229"/>
      <c r="AE52" s="1229"/>
      <c r="AG52" s="1364"/>
      <c r="AH52" s="1373"/>
      <c r="AI52" s="1373"/>
      <c r="AJ52" s="1373"/>
      <c r="AK52" s="1373"/>
      <c r="AL52" s="1373"/>
      <c r="AM52" s="1373"/>
      <c r="AN52" s="1373"/>
      <c r="AO52" s="1373"/>
      <c r="AP52" s="1373" t="s">
        <v>1291</v>
      </c>
      <c r="AQ52" s="1265"/>
      <c r="AR52" s="1265"/>
      <c r="AS52" s="1265"/>
      <c r="AT52" s="1265"/>
      <c r="AU52" s="1266"/>
    </row>
    <row r="53" ht="15" customHeight="1">
      <c r="L53" s="1374"/>
      <c r="M53" s="1374"/>
      <c r="N53" s="1374"/>
      <c r="O53" s="1374"/>
      <c r="P53" s="1374"/>
      <c r="Q53" s="1374"/>
      <c r="R53" s="1374"/>
      <c r="S53" s="1374"/>
      <c r="T53" s="1374"/>
      <c r="V53" s="1288"/>
      <c r="W53" s="1288"/>
      <c r="X53" s="1288"/>
      <c r="Y53" s="1288"/>
      <c r="Z53" s="1288"/>
      <c r="AA53" s="1288"/>
      <c r="AB53" s="1288"/>
      <c r="AC53" s="1288"/>
      <c r="AD53" s="1288"/>
      <c r="AE53" s="1288"/>
      <c r="AG53" s="1289" t="s">
        <v>1292</v>
      </c>
      <c r="AH53" s="1"/>
      <c r="AI53" s="1"/>
      <c r="AJ53" s="1"/>
      <c r="AK53" s="1"/>
      <c r="AL53" s="1"/>
      <c r="AM53" s="1"/>
      <c r="AN53" s="1"/>
      <c r="AO53" s="1"/>
      <c r="AU53" s="1234"/>
    </row>
    <row r="54" ht="15" customHeight="1">
      <c r="V54" s="1258"/>
      <c r="W54" s="1258"/>
      <c r="X54" s="1258"/>
      <c r="Y54" s="1258"/>
      <c r="Z54" s="1258"/>
      <c r="AA54" s="1258"/>
      <c r="AB54" s="1258"/>
      <c r="AC54" s="1258"/>
      <c r="AD54" s="1258"/>
      <c r="AE54" s="1258"/>
      <c r="AG54" s="1275"/>
      <c r="AH54" s="613"/>
      <c r="AI54" s="613"/>
      <c r="AJ54" s="613"/>
      <c r="AK54" s="613"/>
      <c r="AL54" s="613"/>
      <c r="AM54" s="613"/>
      <c r="AN54" s="613"/>
      <c r="AO54" s="613"/>
      <c r="AP54" s="613" t="s">
        <v>1293</v>
      </c>
      <c r="AU54" s="1234"/>
    </row>
    <row r="55" ht="15" customHeight="1">
      <c r="V55" s="1258"/>
      <c r="W55" s="1258"/>
      <c r="X55" s="1258"/>
      <c r="Y55" s="1258"/>
      <c r="Z55" s="1258"/>
      <c r="AA55" s="1258"/>
      <c r="AB55" s="1258"/>
      <c r="AC55" s="1258"/>
      <c r="AD55" s="1258"/>
      <c r="AE55" s="1258"/>
      <c r="AG55" s="1275"/>
      <c r="AH55" s="613"/>
      <c r="AI55" s="613"/>
      <c r="AJ55" s="613"/>
      <c r="AK55" s="613"/>
      <c r="AL55" s="613"/>
      <c r="AM55" s="613"/>
      <c r="AN55" s="613"/>
      <c r="AO55" s="613"/>
      <c r="AP55" s="613" t="s">
        <v>1294</v>
      </c>
      <c r="AU55" s="1234"/>
    </row>
    <row r="56" ht="15" customHeight="1">
      <c r="V56" s="1258"/>
      <c r="W56" s="1258"/>
      <c r="X56" s="1258"/>
      <c r="Y56" s="1258"/>
      <c r="Z56" s="1258"/>
      <c r="AA56" s="1258"/>
      <c r="AB56" s="1258"/>
      <c r="AC56" s="1258"/>
      <c r="AD56" s="1258"/>
      <c r="AE56" s="1258"/>
      <c r="AG56" s="1275"/>
      <c r="AH56" s="1276"/>
      <c r="AI56" s="1276"/>
      <c r="AJ56" s="1276"/>
      <c r="AK56" s="1276"/>
      <c r="AL56" s="1276"/>
      <c r="AM56" s="1276"/>
      <c r="AN56" s="1276"/>
      <c r="AO56" s="1276"/>
      <c r="AP56" s="1276" t="s">
        <v>1295</v>
      </c>
      <c r="AU56" s="1234"/>
    </row>
    <row r="57" ht="15" customHeight="1">
      <c r="V57" s="1258"/>
      <c r="W57" s="1258"/>
      <c r="X57" s="1258"/>
      <c r="Y57" s="1258"/>
      <c r="Z57" s="1258"/>
      <c r="AA57" s="1258"/>
      <c r="AB57" s="1258"/>
      <c r="AC57" s="1258"/>
      <c r="AD57" s="1258"/>
      <c r="AE57" s="1258"/>
      <c r="AG57" s="1275"/>
      <c r="AH57" s="1276"/>
      <c r="AI57" s="1276"/>
      <c r="AJ57" s="1276"/>
      <c r="AK57" s="1276"/>
      <c r="AL57" s="1276"/>
      <c r="AM57" s="1276"/>
      <c r="AN57" s="1276"/>
      <c r="AO57" s="1276"/>
      <c r="AP57" s="1276" t="s">
        <v>1296</v>
      </c>
      <c r="AU57" s="1234"/>
    </row>
    <row r="58" ht="15" customHeight="1">
      <c r="V58" s="1258"/>
      <c r="W58" s="1258"/>
      <c r="X58" s="1258"/>
      <c r="Y58" s="1258"/>
      <c r="Z58" s="1258"/>
      <c r="AA58" s="1258"/>
      <c r="AB58" s="1258"/>
      <c r="AC58" s="1258"/>
      <c r="AD58" s="1258"/>
      <c r="AE58" s="1258"/>
      <c r="AG58" s="1275"/>
      <c r="AH58" s="1276"/>
      <c r="AI58" s="1276"/>
      <c r="AJ58" s="1276"/>
      <c r="AK58" s="1276"/>
      <c r="AL58" s="1276"/>
      <c r="AM58" s="1276"/>
      <c r="AN58" s="1276"/>
      <c r="AO58" s="1276"/>
      <c r="AP58" s="1276" t="s">
        <v>1297</v>
      </c>
      <c r="AU58" s="1234"/>
    </row>
    <row r="59" ht="15" customHeight="1">
      <c r="V59" s="1258"/>
      <c r="W59" s="1258"/>
      <c r="X59" s="1258"/>
      <c r="Y59" s="1258"/>
      <c r="Z59" s="1258"/>
      <c r="AA59" s="1258"/>
      <c r="AB59" s="1258"/>
      <c r="AC59" s="1258"/>
      <c r="AD59" s="1258"/>
      <c r="AE59" s="1258"/>
      <c r="AG59" s="1275"/>
      <c r="AH59" s="1276"/>
      <c r="AI59" s="1276"/>
      <c r="AJ59" s="1276"/>
      <c r="AK59" s="1276"/>
      <c r="AL59" s="1276"/>
      <c r="AM59" s="1276"/>
      <c r="AN59" s="1276"/>
      <c r="AO59" s="1276"/>
      <c r="AP59" s="1276" t="s">
        <v>1298</v>
      </c>
      <c r="AU59" s="1234"/>
    </row>
    <row r="60" ht="15" customHeight="1">
      <c r="V60" s="1258"/>
      <c r="W60" s="1258"/>
      <c r="X60" s="1258"/>
      <c r="Y60" s="1258"/>
      <c r="Z60" s="1258"/>
      <c r="AA60" s="1258"/>
      <c r="AB60" s="1258"/>
      <c r="AC60" s="1258"/>
      <c r="AD60" s="1258"/>
      <c r="AE60" s="1258"/>
      <c r="AG60" s="1275"/>
      <c r="AH60" s="1276"/>
      <c r="AI60" s="1276"/>
      <c r="AJ60" s="1276"/>
      <c r="AK60" s="1276"/>
      <c r="AL60" s="1276"/>
      <c r="AM60" s="1276"/>
      <c r="AN60" s="1276"/>
      <c r="AO60" s="1276"/>
      <c r="AP60" s="1276" t="s">
        <v>1299</v>
      </c>
      <c r="AU60" s="1234"/>
    </row>
    <row r="61" ht="15" customHeight="1">
      <c r="V61" s="1258"/>
      <c r="W61" s="1258"/>
      <c r="X61" s="1258"/>
      <c r="Y61" s="1258"/>
      <c r="Z61" s="1258"/>
      <c r="AA61" s="1258"/>
      <c r="AB61" s="1258"/>
      <c r="AC61" s="1258"/>
      <c r="AD61" s="1258"/>
      <c r="AE61" s="1258"/>
      <c r="AG61" s="1275"/>
      <c r="AH61" s="1276"/>
      <c r="AI61" s="1276"/>
      <c r="AJ61" s="1276"/>
      <c r="AK61" s="1276"/>
      <c r="AL61" s="1276"/>
      <c r="AM61" s="1276"/>
      <c r="AN61" s="1276"/>
      <c r="AO61" s="1276"/>
      <c r="AP61" s="1276" t="s">
        <v>1300</v>
      </c>
      <c r="AU61" s="1234"/>
    </row>
    <row r="62" ht="15" customHeight="1">
      <c r="V62" s="1258"/>
      <c r="W62" s="1258"/>
      <c r="X62" s="1258"/>
      <c r="Y62" s="1258"/>
      <c r="Z62" s="1258"/>
      <c r="AA62" s="1258"/>
      <c r="AB62" s="1258"/>
      <c r="AC62" s="1258"/>
      <c r="AD62" s="1258"/>
      <c r="AE62" s="1258"/>
      <c r="AG62" s="1275"/>
      <c r="AH62" s="1276"/>
      <c r="AI62" s="1276"/>
      <c r="AJ62" s="1276"/>
      <c r="AK62" s="1276"/>
      <c r="AL62" s="1276"/>
      <c r="AM62" s="1276"/>
      <c r="AN62" s="1276"/>
      <c r="AO62" s="1276"/>
      <c r="AP62" s="1276" t="s">
        <v>1301</v>
      </c>
      <c r="AU62" s="1234"/>
    </row>
    <row r="63" ht="15" customHeight="1">
      <c r="V63" s="1258"/>
      <c r="W63" s="1258"/>
      <c r="X63" s="1258"/>
      <c r="Y63" s="1258"/>
      <c r="Z63" s="1258"/>
      <c r="AA63" s="1258"/>
      <c r="AB63" s="1258"/>
      <c r="AC63" s="1258"/>
      <c r="AD63" s="1258"/>
      <c r="AE63" s="1258"/>
      <c r="AG63" s="1275"/>
      <c r="AH63" s="1276"/>
      <c r="AI63" s="1276"/>
      <c r="AJ63" s="1276"/>
      <c r="AK63" s="1276"/>
      <c r="AL63" s="1276"/>
      <c r="AM63" s="1276"/>
      <c r="AN63" s="1276"/>
      <c r="AO63" s="1276"/>
      <c r="AP63" s="1276"/>
      <c r="AU63" s="1234"/>
    </row>
    <row r="64" ht="15" customHeight="1">
      <c r="V64" s="1258"/>
      <c r="W64" s="1258"/>
      <c r="X64" s="1258"/>
      <c r="Y64" s="1258"/>
      <c r="Z64" s="1258"/>
      <c r="AA64" s="1258"/>
      <c r="AB64" s="1258"/>
      <c r="AC64" s="1258"/>
      <c r="AD64" s="1258"/>
      <c r="AE64" s="1258"/>
      <c r="AG64" s="1275"/>
      <c r="AH64" s="613"/>
      <c r="AI64" s="613"/>
      <c r="AJ64" s="613"/>
      <c r="AK64" s="613"/>
      <c r="AL64" s="613"/>
      <c r="AM64" s="613"/>
      <c r="AN64" s="613"/>
      <c r="AO64" s="613"/>
      <c r="AP64" s="613" t="s">
        <v>1302</v>
      </c>
      <c r="AU64" s="1234"/>
    </row>
    <row r="65" ht="15" customHeight="1">
      <c r="V65" s="1258"/>
      <c r="W65" s="1258"/>
      <c r="X65" s="1258"/>
      <c r="Y65" s="1258"/>
      <c r="Z65" s="1258"/>
      <c r="AA65" s="1258"/>
      <c r="AB65" s="1258"/>
      <c r="AC65" s="1258"/>
      <c r="AD65" s="1258"/>
      <c r="AE65" s="1258"/>
      <c r="AG65" s="1275"/>
      <c r="AH65" s="613"/>
      <c r="AI65" s="613"/>
      <c r="AJ65" s="613"/>
      <c r="AK65" s="613"/>
      <c r="AL65" s="613"/>
      <c r="AM65" s="613"/>
      <c r="AN65" s="613"/>
      <c r="AO65" s="613"/>
      <c r="AP65" s="613" t="s">
        <v>1303</v>
      </c>
      <c r="AU65" s="1234"/>
    </row>
    <row r="66" ht="15.75" customHeight="1">
      <c r="V66" s="1258"/>
      <c r="W66" s="1258"/>
      <c r="X66" s="1258"/>
      <c r="Y66" s="1258"/>
      <c r="Z66" s="1258"/>
      <c r="AA66" s="1258"/>
      <c r="AB66" s="1258"/>
      <c r="AC66" s="1258"/>
      <c r="AD66" s="1258"/>
      <c r="AE66" s="1258"/>
      <c r="AG66" s="1275"/>
      <c r="AH66" s="613"/>
      <c r="AI66" s="613"/>
      <c r="AJ66" s="613"/>
      <c r="AK66" s="613"/>
      <c r="AL66" s="613"/>
      <c r="AM66" s="613"/>
      <c r="AN66" s="613"/>
      <c r="AO66" s="613"/>
      <c r="AP66" s="613" t="s">
        <v>1304</v>
      </c>
      <c r="AU66" s="1234"/>
    </row>
    <row r="67" ht="15" customHeight="1">
      <c r="L67" s="1374"/>
      <c r="M67" s="1374"/>
      <c r="N67" s="1374"/>
      <c r="O67" s="1374"/>
      <c r="P67" s="1374"/>
      <c r="Q67" s="1374"/>
      <c r="R67" s="1374"/>
      <c r="S67" s="1374"/>
      <c r="T67" s="1374"/>
      <c r="V67" s="1288"/>
      <c r="W67" s="1288"/>
      <c r="X67" s="1288"/>
      <c r="Y67" s="1288"/>
      <c r="Z67" s="1288"/>
      <c r="AA67" s="1288"/>
      <c r="AB67" s="1288"/>
      <c r="AC67" s="1288"/>
      <c r="AD67" s="1288"/>
      <c r="AE67" s="1288"/>
      <c r="AG67" s="1205" t="s">
        <v>1305</v>
      </c>
      <c r="AH67" s="1375"/>
      <c r="AI67" s="1375"/>
      <c r="AJ67" s="1375"/>
      <c r="AK67" s="1375"/>
      <c r="AL67" s="1375"/>
      <c r="AM67" s="1375"/>
      <c r="AN67" s="1375"/>
      <c r="AO67" s="1375"/>
      <c r="AP67" s="1375"/>
      <c r="AQ67" s="1273"/>
      <c r="AR67" s="1273"/>
      <c r="AS67" s="1273"/>
      <c r="AT67" s="1273"/>
      <c r="AU67" s="1376"/>
    </row>
    <row r="68" ht="15" customHeight="1">
      <c r="V68" s="1258"/>
      <c r="W68" s="1258"/>
      <c r="X68" s="1258"/>
      <c r="Y68" s="1258"/>
      <c r="Z68" s="1258"/>
      <c r="AA68" s="1258"/>
      <c r="AB68" s="1258"/>
      <c r="AC68" s="1258"/>
      <c r="AD68" s="1258"/>
      <c r="AE68" s="1258"/>
      <c r="AG68" s="1377" t="s">
        <v>1306</v>
      </c>
      <c r="AH68" s="1"/>
      <c r="AI68" s="1"/>
      <c r="AJ68" s="1"/>
      <c r="AK68" s="1"/>
      <c r="AL68" s="1"/>
      <c r="AM68" s="1"/>
      <c r="AN68" s="1"/>
      <c r="AO68" s="1"/>
      <c r="AP68" s="613" t="s">
        <v>1307</v>
      </c>
      <c r="AU68" s="1378"/>
    </row>
    <row r="69" ht="15.75" customHeight="1">
      <c r="V69" s="1258"/>
      <c r="W69" s="1258"/>
      <c r="X69" s="1258"/>
      <c r="Y69" s="1258"/>
      <c r="Z69" s="1258"/>
      <c r="AA69" s="1258"/>
      <c r="AB69" s="1258"/>
      <c r="AC69" s="1258"/>
      <c r="AD69" s="1258"/>
      <c r="AE69" s="1258"/>
      <c r="AG69" s="1379"/>
      <c r="AH69" s="1380"/>
      <c r="AI69" s="1380"/>
      <c r="AJ69" s="1380"/>
      <c r="AK69" s="1380"/>
      <c r="AL69" s="1380"/>
      <c r="AM69" s="1380"/>
      <c r="AN69" s="1380"/>
      <c r="AO69" s="1380"/>
      <c r="AP69" s="1380"/>
      <c r="AQ69" s="1380"/>
      <c r="AR69" s="1380"/>
      <c r="AS69" s="1380"/>
      <c r="AT69" s="1380"/>
      <c r="AU69" s="1381"/>
    </row>
    <row r="70" ht="15" customHeight="1">
      <c r="V70" s="1258"/>
      <c r="W70" s="1258"/>
      <c r="X70" s="1258"/>
      <c r="Y70" s="1258"/>
      <c r="Z70" s="1258"/>
      <c r="AA70" s="1258"/>
      <c r="AB70" s="1258"/>
      <c r="AC70" s="1258"/>
      <c r="AD70" s="1258"/>
      <c r="AE70" s="1258"/>
    </row>
    <row r="71" ht="15" customHeight="1">
      <c r="V71" s="1258"/>
      <c r="W71" s="1258"/>
      <c r="X71" s="1258"/>
      <c r="Y71" s="1258"/>
      <c r="Z71" s="1258"/>
      <c r="AA71" s="1258"/>
      <c r="AB71" s="1258"/>
      <c r="AC71" s="1258"/>
      <c r="AD71" s="1258"/>
      <c r="AE71" s="1258"/>
    </row>
    <row r="105" ht="15" customHeight="1">
      <c r="A105" s="1382" t="s">
        <v>1308</v>
      </c>
      <c r="B105" s="1383" t="b">
        <f>_xlfn.IFERROR(FIND("Variable: SARM",B7)&gt;0,FALSE)</f>
        <v>0</v>
      </c>
      <c r="C105" s="1384" t="b">
        <f>_xlfn.IFERROR(FIND("Variable: SARM",'SBL Quotes'!R26)&gt;0,FALSE)</f>
        <v>0</v>
      </c>
      <c r="D105" s="1384" t="b">
        <f>_xlfn.IFERROR(FIND("Variable: SARM",'SBL Quotes'!S26)&gt;0,FALSE)</f>
        <v>0</v>
      </c>
      <c r="E105" s="1384" t="b">
        <f>_xlfn.IFERROR(FIND("Variable: SARM",'SBL Quotes'!T26)&gt;0,FALSE)</f>
        <v>0</v>
      </c>
      <c r="F105" s="1384" t="b">
        <f>_xlfn.IFERROR(FIND("Variable: SARM",'SBL Quotes'!U26)&gt;0,FALSE)</f>
        <v>0</v>
      </c>
      <c r="G105" s="1384" t="b">
        <f>_xlfn.IFERROR(FIND("Variable: SARM",'SBL Quotes'!V26)&gt;0,FALSE)</f>
        <v>0</v>
      </c>
      <c r="H105" s="1384" t="b">
        <f>_xlfn.IFERROR(FIND("Variable: SARM",'SBL Quotes'!W26)&gt;0,FALSE)</f>
        <v>0</v>
      </c>
      <c r="I105" s="1384" t="b">
        <f>_xlfn.IFERROR(FIND("Variable: SARM",'SBL Quotes'!X26)&gt;0,FALSE)</f>
        <v>0</v>
      </c>
      <c r="J105" s="1384" t="b">
        <f>_xlfn.IFERROR(FIND("Variable: SARM",'SBL Quotes'!Y26)&gt;0,FALSE)</f>
        <v>0</v>
      </c>
      <c r="L105" s="1385"/>
      <c r="M105" s="1385"/>
      <c r="N105" s="1385"/>
      <c r="O105" s="1385"/>
      <c r="P105" s="1385"/>
      <c r="Q105" s="1385"/>
      <c r="R105" s="1385"/>
      <c r="S105" s="1385"/>
      <c r="T105" s="1386"/>
      <c r="V105" s="1387" t="str">
        <f>IF($B$105,IF(AP105&lt;&gt;"-",AP105,IF(COUNTIF(AE106:AE116,"=Fail")=0,Pass,Fail)),"NA")</f>
        <v>NA</v>
      </c>
      <c r="W105" s="1387" t="str">
        <f t="shared" si="23" ref="W105:AD105">IF(AND(C5&gt;0,$B$105),IF(AQ105&lt;&gt;"-",AQ105,IF(COUNTIF(AF106:AF116,"=Fail")=0,Pass,Fail)),"NA")</f>
        <v>NA</v>
      </c>
      <c r="X105" s="1387" t="str">
        <f t="shared" si="23"/>
        <v>NA</v>
      </c>
      <c r="Y105" s="1387" t="str">
        <f t="shared" si="23"/>
        <v>NA</v>
      </c>
      <c r="Z105" s="1387" t="str">
        <f t="shared" si="23"/>
        <v>NA</v>
      </c>
      <c r="AA105" s="1387" t="str">
        <f t="shared" si="23"/>
        <v>NA</v>
      </c>
      <c r="AB105" s="1387" t="str">
        <f t="shared" si="23"/>
        <v>NA</v>
      </c>
      <c r="AC105" s="1387" t="str">
        <f t="shared" si="23"/>
        <v>NA</v>
      </c>
      <c r="AD105" s="1387" t="str">
        <f t="shared" si="23"/>
        <v>NA</v>
      </c>
      <c r="AE105" s="1388"/>
      <c r="AG105" s="1289" t="s">
        <v>1309</v>
      </c>
      <c r="AH105" s="1" t="str">
        <f t="shared" si="4"/>
        <v>NA</v>
      </c>
      <c r="AI105" s="1" t="str">
        <f t="shared" si="4"/>
        <v>NA</v>
      </c>
      <c r="AJ105" s="1" t="str">
        <f t="shared" si="4"/>
        <v>NA</v>
      </c>
      <c r="AK105" s="1" t="str">
        <f t="shared" si="4"/>
        <v>NA</v>
      </c>
      <c r="AL105" s="1" t="str">
        <f t="shared" si="4"/>
        <v>NA</v>
      </c>
      <c r="AM105" s="1" t="str">
        <f t="shared" si="4"/>
        <v>NA</v>
      </c>
      <c r="AN105" s="1" t="str">
        <f t="shared" si="4"/>
        <v>NA</v>
      </c>
      <c r="AO105" s="1" t="str">
        <f t="shared" si="4"/>
        <v>NA</v>
      </c>
      <c r="AP105" s="1389" t="s">
        <v>260</v>
      </c>
      <c r="AQ105" s="613" t="s">
        <v>1310</v>
      </c>
      <c r="AT105" s="5"/>
      <c r="AU105" s="1234"/>
    </row>
    <row r="106" ht="15" customHeight="1">
      <c r="A106" s="21" t="s">
        <v>1311</v>
      </c>
      <c r="B106" s="1166" t="b">
        <f>BorrowerPriority="Repeat Borrower"</f>
        <v>0</v>
      </c>
      <c r="C106" s="1257" t="b">
        <f t="shared" si="24" ref="C106:J106">B106</f>
        <v>0</v>
      </c>
      <c r="D106" s="1257" t="b">
        <f t="shared" si="24"/>
        <v>0</v>
      </c>
      <c r="E106" s="1257" t="b">
        <f t="shared" si="24"/>
        <v>0</v>
      </c>
      <c r="F106" s="1257" t="b">
        <f t="shared" si="24"/>
        <v>0</v>
      </c>
      <c r="G106" s="1257" t="b">
        <f t="shared" si="24"/>
        <v>0</v>
      </c>
      <c r="H106" s="1257" t="b">
        <f t="shared" si="24"/>
        <v>0</v>
      </c>
      <c r="I106" s="1257" t="b">
        <f t="shared" si="24"/>
        <v>0</v>
      </c>
      <c r="J106" s="1257" t="b">
        <f t="shared" si="24"/>
        <v>0</v>
      </c>
      <c r="L106" s="1390" t="str">
        <f>IF($B$13,"Priority",IF($B$106,"Repeat","All Others"))</f>
        <v>All Others</v>
      </c>
      <c r="M106" s="1391" t="s">
        <v>507</v>
      </c>
      <c r="N106" s="1391" t="s">
        <v>507</v>
      </c>
      <c r="O106" s="1391" t="s">
        <v>507</v>
      </c>
      <c r="P106" s="1391" t="s">
        <v>507</v>
      </c>
      <c r="Q106" s="1391" t="s">
        <v>507</v>
      </c>
      <c r="R106" s="1391" t="s">
        <v>507</v>
      </c>
      <c r="S106" s="1391" t="s">
        <v>507</v>
      </c>
      <c r="T106" s="1392" t="s">
        <v>507</v>
      </c>
      <c r="V106" s="1393"/>
      <c r="W106" s="1393"/>
      <c r="X106" s="1393"/>
      <c r="Y106" s="1393"/>
      <c r="Z106" s="1393"/>
      <c r="AA106" s="1393"/>
      <c r="AB106" s="1393"/>
      <c r="AC106" s="1393"/>
      <c r="AD106" s="1393"/>
      <c r="AE106" s="1393"/>
      <c r="AG106" s="1230">
        <f>BorrowerPriority</f>
      </c>
      <c r="AP106" s="1330" t="s">
        <v>1313</v>
      </c>
      <c r="AQ106" s="1394" t="s">
        <v>1314</v>
      </c>
      <c r="AR106" s="1394" t="s">
        <v>1315</v>
      </c>
      <c r="AS106" s="1395" t="s">
        <v>1312</v>
      </c>
      <c r="AT106" s="1396"/>
      <c r="AU106" s="1234"/>
    </row>
    <row r="107" ht="15" customHeight="1">
      <c r="L107" s="1397">
        <f>IF(L106="Priority",$AQ107,IF(L$106="Repeat",$AR107,$AS107))</f>
        <v>25000000</v>
      </c>
      <c r="M107" s="1391" t="s">
        <v>507</v>
      </c>
      <c r="N107" s="1391" t="s">
        <v>507</v>
      </c>
      <c r="O107" s="1391" t="s">
        <v>507</v>
      </c>
      <c r="P107" s="1391" t="s">
        <v>507</v>
      </c>
      <c r="Q107" s="1391" t="s">
        <v>507</v>
      </c>
      <c r="R107" s="1391" t="s">
        <v>507</v>
      </c>
      <c r="S107" s="1391" t="s">
        <v>507</v>
      </c>
      <c r="T107" s="1392" t="s">
        <v>507</v>
      </c>
      <c r="V107" s="1393"/>
      <c r="W107" s="1393"/>
      <c r="X107" s="1393"/>
      <c r="Y107" s="1393"/>
      <c r="Z107" s="1393"/>
      <c r="AA107" s="1393"/>
      <c r="AB107" s="1393"/>
      <c r="AC107" s="1393"/>
      <c r="AD107" s="1393"/>
      <c r="AE107" s="1393"/>
      <c r="AG107" s="1230" t="str">
        <f t="shared" si="25"/>
        <v>Loan Amt: $0,000</v>
      </c>
      <c r="AP107" s="1336" t="s">
        <v>1316</v>
      </c>
      <c r="AQ107" s="1398">
        <v>10000000</v>
      </c>
      <c r="AR107" s="1398">
        <v>15000000</v>
      </c>
      <c r="AS107" s="1399">
        <v>25000000</v>
      </c>
      <c r="AT107" s="1400"/>
      <c r="AU107" s="1234"/>
    </row>
    <row r="108" ht="15" customHeight="1">
      <c r="A108" s="21" t="s">
        <v>211</v>
      </c>
      <c r="B108" s="1291" t="e">
        <f t="shared" si="22"/>
        <v>#NAME?</v>
      </c>
      <c r="C108" s="1348">
        <f t="shared" si="26" ref="C108:J108">C37</f>
        <v>10</v>
      </c>
      <c r="D108" s="1348">
        <f t="shared" si="26"/>
        <v>12</v>
      </c>
      <c r="E108" s="1348">
        <f t="shared" si="26"/>
        <v>15</v>
      </c>
      <c r="F108" s="1348">
        <f t="shared" si="26"/>
        <v>10</v>
      </c>
      <c r="G108" s="1348">
        <f t="shared" si="26"/>
        <v>10</v>
      </c>
      <c r="H108" s="1348">
        <f t="shared" si="26"/>
        <v>5</v>
      </c>
      <c r="I108" s="1348">
        <f t="shared" si="26"/>
        <v>5</v>
      </c>
      <c r="J108" s="1348">
        <f t="shared" si="26"/>
        <v>10</v>
      </c>
      <c r="L108" s="1401">
        <f>IF(L$106="Priority",AQ108,IF(L$106="Repeat",AR108,AS108))</f>
        <v>0.7</v>
      </c>
      <c r="M108" s="1401"/>
      <c r="N108" s="1401"/>
      <c r="O108" s="1401"/>
      <c r="P108" s="1401"/>
      <c r="Q108" s="1401"/>
      <c r="R108" s="1401"/>
      <c r="S108" s="1401"/>
      <c r="T108" s="1402"/>
      <c r="V108" s="1393"/>
      <c r="W108" s="1393"/>
      <c r="X108" s="1393"/>
      <c r="Y108" s="1393"/>
      <c r="Z108" s="1393"/>
      <c r="AA108" s="1393"/>
      <c r="AB108" s="1393"/>
      <c r="AC108" s="1393"/>
      <c r="AD108" s="1393"/>
      <c r="AE108" s="1393"/>
      <c r="AG108" s="1230" t="str">
        <f t="shared" si="13"/>
        <v>LTV: 0.00%</v>
      </c>
      <c r="AP108" s="1323" t="s">
        <v>1317</v>
      </c>
      <c r="AQ108" s="1403">
        <v>0.75</v>
      </c>
      <c r="AR108" s="1403">
        <v>0.75</v>
      </c>
      <c r="AS108" s="1404">
        <v>0.7</v>
      </c>
      <c r="AU108" s="1234"/>
    </row>
    <row r="109" ht="15" customHeight="1">
      <c r="A109" s="21" t="s">
        <v>1318</v>
      </c>
      <c r="B109" s="1166" t="e">
        <f>AND(Term&gt;0,InterestOnly=Term)</f>
        <v>#NAME?</v>
      </c>
      <c r="C109" s="1353" t="b">
        <f>'SBL Quotes'!R43='SBL Quotes'!R98</f>
        <v>0</v>
      </c>
      <c r="D109" s="1353" t="b">
        <f>'SBL Quotes'!S43='SBL Quotes'!S98</f>
        <v>0</v>
      </c>
      <c r="E109" s="1353" t="b">
        <f>'SBL Quotes'!T43='SBL Quotes'!T98</f>
        <v>0</v>
      </c>
      <c r="F109" s="1353" t="b">
        <f>'SBL Quotes'!U43='SBL Quotes'!U98</f>
        <v>0</v>
      </c>
      <c r="G109" s="1353" t="b">
        <f>'SBL Quotes'!V43='SBL Quotes'!V98</f>
        <v>1</v>
      </c>
      <c r="H109" s="1353" t="b">
        <f>'SBL Quotes'!W43='SBL Quotes'!W98</f>
        <v>0</v>
      </c>
      <c r="I109" s="1353" t="b">
        <f>'SBL Quotes'!X43='SBL Quotes'!X98</f>
        <v>1</v>
      </c>
      <c r="J109" s="1353" t="b">
        <f>'SBL Quotes'!Y43='SBL Quotes'!Y98</f>
        <v>0</v>
      </c>
      <c r="L109" s="1405">
        <f t="shared" si="27" ref="L109:L112">AQ109</f>
        <v>0.0475</v>
      </c>
      <c r="M109" s="1405"/>
      <c r="N109" s="1405"/>
      <c r="O109" s="1405"/>
      <c r="P109" s="1405"/>
      <c r="Q109" s="1405"/>
      <c r="R109" s="1405"/>
      <c r="S109" s="1405"/>
      <c r="T109" s="1406"/>
      <c r="V109" s="1393"/>
      <c r="W109" s="1393"/>
      <c r="X109" s="1393"/>
      <c r="Y109" s="1393"/>
      <c r="Z109" s="1393"/>
      <c r="AA109" s="1393"/>
      <c r="AB109" s="1393"/>
      <c r="AC109" s="1393"/>
      <c r="AD109" s="1393"/>
      <c r="AE109" s="1393"/>
      <c r="AG109" s="1230" t="str">
        <f>"Strike Rate: "&amp;TEXT($B$110,"0.000%")</f>
        <v>Strike Rate: =IFERROR(IF(B38,'SARM Sizing'!F38,'SARM Sizing'!F37),0)</v>
      </c>
      <c r="AP109" s="1330" t="s">
        <v>1320</v>
      </c>
      <c r="AQ109" s="1407">
        <v>0.0475</v>
      </c>
      <c r="AR109" s="1394"/>
      <c r="AS109" s="1395"/>
      <c r="AT109" s="1408"/>
      <c r="AU109" s="1234"/>
    </row>
    <row r="110" ht="15" customHeight="1">
      <c r="A110" s="21" t="s">
        <v>1321</v>
      </c>
      <c r="B110" s="1409" t="s">
        <v>1322</v>
      </c>
      <c r="C110" s="1268"/>
      <c r="D110" s="1268"/>
      <c r="E110" s="1268"/>
      <c r="F110" s="1268"/>
      <c r="G110" s="1268"/>
      <c r="H110" s="1268"/>
      <c r="I110" s="1268"/>
      <c r="J110" s="1268"/>
      <c r="L110" s="1390"/>
      <c r="M110" s="1390"/>
      <c r="N110" s="1390"/>
      <c r="O110" s="1390"/>
      <c r="P110" s="1390"/>
      <c r="Q110" s="1390"/>
      <c r="R110" s="1390"/>
      <c r="S110" s="1390"/>
      <c r="T110" s="1410"/>
      <c r="V110" s="1393"/>
      <c r="W110" s="1393"/>
      <c r="X110" s="1393"/>
      <c r="Y110" s="1393"/>
      <c r="Z110" s="1393"/>
      <c r="AA110" s="1393"/>
      <c r="AB110" s="1393"/>
      <c r="AC110" s="1393"/>
      <c r="AD110" s="1393"/>
      <c r="AE110" s="1393"/>
      <c r="AG110" s="1275"/>
      <c r="AP110" s="1323"/>
      <c r="AQ110" s="1411"/>
      <c r="AR110" s="1411"/>
      <c r="AS110" s="1412"/>
      <c r="AT110" s="1408"/>
      <c r="AU110" s="1234"/>
    </row>
    <row r="111" ht="15" customHeight="1">
      <c r="A111" s="21" t="s">
        <v>1323</v>
      </c>
      <c r="B111" s="1409" t="s">
        <v>1324</v>
      </c>
      <c r="C111" s="1268"/>
      <c r="D111" s="1268"/>
      <c r="E111" s="1268"/>
      <c r="F111" s="1268"/>
      <c r="G111" s="1268"/>
      <c r="H111" s="1268"/>
      <c r="I111" s="1268"/>
      <c r="J111" s="1268"/>
      <c r="L111" s="1405">
        <f t="shared" si="27"/>
        <v>0.02</v>
      </c>
      <c r="M111" s="1405"/>
      <c r="N111" s="1405"/>
      <c r="O111" s="1405"/>
      <c r="P111" s="1405"/>
      <c r="Q111" s="1405"/>
      <c r="R111" s="1405"/>
      <c r="S111" s="1405"/>
      <c r="T111" s="1406"/>
      <c r="V111" s="1393"/>
      <c r="W111" s="1393"/>
      <c r="X111" s="1393"/>
      <c r="Y111" s="1393"/>
      <c r="Z111" s="1393"/>
      <c r="AA111" s="1393"/>
      <c r="AB111" s="1393"/>
      <c r="AC111" s="1393"/>
      <c r="AD111" s="1393"/>
      <c r="AE111" s="1393"/>
      <c r="AG111" s="1230" t="str">
        <f>"Rate Spread: "&amp;TEXT($B$111,"0.000%")</f>
        <v>Rate Spread: ='SARM Sizing'!F36</v>
      </c>
      <c r="AP111" s="1259" t="s">
        <v>1326</v>
      </c>
      <c r="AQ111" s="1413">
        <v>0.02</v>
      </c>
      <c r="AR111" s="1413"/>
      <c r="AS111" s="1414"/>
      <c r="AU111" s="1234"/>
    </row>
    <row r="112" ht="15" customHeight="1">
      <c r="A112" s="21" t="s">
        <v>1327</v>
      </c>
      <c r="B112" s="1415" t="str">
        <f>LEFT(B113,1)</f>
        <v>=</v>
      </c>
      <c r="C112" s="1416"/>
      <c r="D112" s="1416"/>
      <c r="E112" s="1416"/>
      <c r="F112" s="1416"/>
      <c r="G112" s="1416"/>
      <c r="H112" s="1416"/>
      <c r="I112" s="1416"/>
      <c r="J112" s="1416"/>
      <c r="L112" s="1391">
        <f t="shared" si="27"/>
        <v>3</v>
      </c>
      <c r="M112" s="1391"/>
      <c r="N112" s="1391"/>
      <c r="O112" s="1391"/>
      <c r="P112" s="1391"/>
      <c r="Q112" s="1391"/>
      <c r="R112" s="1391"/>
      <c r="S112" s="1391"/>
      <c r="T112" s="1392"/>
      <c r="V112" s="1393"/>
      <c r="W112" s="1393"/>
      <c r="X112" s="1393"/>
      <c r="Y112" s="1393"/>
      <c r="Z112" s="1393"/>
      <c r="AA112" s="1393"/>
      <c r="AB112" s="1393"/>
      <c r="AC112" s="1393"/>
      <c r="AD112" s="1393"/>
      <c r="AE112" s="1393"/>
      <c r="AG112" s="1230" t="e">
        <f>"Term: "&amp;Term&amp;" years"</f>
        <v>#NAME?</v>
      </c>
      <c r="AP112" s="1330" t="s">
        <v>1329</v>
      </c>
      <c r="AQ112" s="1417">
        <v>3</v>
      </c>
      <c r="AR112" s="830"/>
      <c r="AS112" s="1418"/>
      <c r="AU112" s="1234"/>
    </row>
    <row r="113" ht="15" customHeight="1">
      <c r="A113" s="21" t="s">
        <v>1330</v>
      </c>
      <c r="B113" s="1419" t="s">
        <v>1331</v>
      </c>
      <c r="C113" s="1420"/>
      <c r="D113" s="1420"/>
      <c r="E113" s="1420"/>
      <c r="F113" s="1420"/>
      <c r="G113" s="1420"/>
      <c r="H113" s="1420"/>
      <c r="I113" s="1420"/>
      <c r="J113" s="1420"/>
      <c r="L113" s="1421" t="e">
        <f>IF(Term=10,AQ114,IF(Term=7,AR114,IF(Term=5,AS114,"Fail")))</f>
        <v>#NAME?</v>
      </c>
      <c r="M113" s="1421"/>
      <c r="N113" s="1421"/>
      <c r="O113" s="1421"/>
      <c r="P113" s="1421"/>
      <c r="Q113" s="1421"/>
      <c r="R113" s="1421"/>
      <c r="S113" s="1421"/>
      <c r="T113" s="1422"/>
      <c r="V113" s="1393"/>
      <c r="W113" s="1393"/>
      <c r="X113" s="1393"/>
      <c r="Y113" s="1393"/>
      <c r="Z113" s="1393"/>
      <c r="AA113" s="1393"/>
      <c r="AB113" s="1393"/>
      <c r="AC113" s="1393"/>
      <c r="AD113" s="1393"/>
      <c r="AE113" s="1393"/>
      <c r="AG113" s="1230" t="str">
        <f>"Selected on SARMS wks: "</f>
        <v>Selected on SARMS wks: </v>
      </c>
      <c r="AP113" s="1330" t="s">
        <v>1333</v>
      </c>
      <c r="AQ113" s="1423">
        <v>5</v>
      </c>
      <c r="AR113" s="1423">
        <v>7</v>
      </c>
      <c r="AS113" s="1424">
        <v>10</v>
      </c>
      <c r="AT113" s="1425"/>
      <c r="AU113" s="1234"/>
    </row>
    <row r="114" ht="15" customHeight="1">
      <c r="L114" s="1390"/>
      <c r="M114" s="1390"/>
      <c r="N114" s="1390"/>
      <c r="O114" s="1390"/>
      <c r="P114" s="1390"/>
      <c r="Q114" s="1390"/>
      <c r="R114" s="1390"/>
      <c r="S114" s="1390"/>
      <c r="T114" s="1410"/>
      <c r="V114" s="1393"/>
      <c r="W114" s="1393"/>
      <c r="X114" s="1393"/>
      <c r="Y114" s="1393"/>
      <c r="Z114" s="1393"/>
      <c r="AA114" s="1393"/>
      <c r="AB114" s="1393"/>
      <c r="AC114" s="1393"/>
      <c r="AD114" s="1393"/>
      <c r="AE114" s="1393"/>
      <c r="AG114" s="1426" t="str">
        <f>$B$113</f>
        <v>='SARM Sizing'!O6</v>
      </c>
      <c r="AP114" s="1323"/>
      <c r="AQ114" s="1427" t="s">
        <v>1334</v>
      </c>
      <c r="AR114" s="1427" t="s">
        <v>1335</v>
      </c>
      <c r="AS114" s="1428" t="s">
        <v>1336</v>
      </c>
      <c r="AT114" s="1429"/>
      <c r="AU114" s="1234"/>
    </row>
    <row r="115" ht="15" customHeight="1">
      <c r="L115" s="1421" t="e">
        <f>IF($B$109,"IO Basis","Amort Basis")</f>
        <v>#NAME?</v>
      </c>
      <c r="M115" s="1421"/>
      <c r="N115" s="1421"/>
      <c r="O115" s="1421"/>
      <c r="P115" s="1421"/>
      <c r="Q115" s="1421"/>
      <c r="R115" s="1421"/>
      <c r="S115" s="1421"/>
      <c r="T115" s="1422"/>
      <c r="V115" s="1393"/>
      <c r="W115" s="1393"/>
      <c r="X115" s="1393"/>
      <c r="Y115" s="1393"/>
      <c r="Z115" s="1393"/>
      <c r="AA115" s="1393"/>
      <c r="AB115" s="1393"/>
      <c r="AC115" s="1393"/>
      <c r="AD115" s="1393"/>
      <c r="AE115" s="1430"/>
      <c r="AF115" s="1378"/>
      <c r="AG115" s="1431" t="e">
        <f>IF($B$109,"Is Full Term IO","Not Full Term IO")</f>
        <v>#NAME?</v>
      </c>
      <c r="AP115" s="1330" t="s">
        <v>1337</v>
      </c>
      <c r="AQ115" s="1432" t="s">
        <v>1338</v>
      </c>
      <c r="AR115" s="1432" t="s">
        <v>1312</v>
      </c>
      <c r="AS115" s="1433"/>
      <c r="AT115" s="5"/>
      <c r="AU115" s="1234"/>
    </row>
    <row r="116" ht="15" customHeight="1">
      <c r="L116" s="1390"/>
      <c r="M116" s="1390"/>
      <c r="N116" s="1390"/>
      <c r="O116" s="1390"/>
      <c r="P116" s="1390"/>
      <c r="Q116" s="1390"/>
      <c r="R116" s="1390"/>
      <c r="S116" s="1390"/>
      <c r="T116" s="1410"/>
      <c r="V116" s="1393"/>
      <c r="W116" s="1393"/>
      <c r="X116" s="1393"/>
      <c r="Y116" s="1393"/>
      <c r="Z116" s="1393"/>
      <c r="AA116" s="1393"/>
      <c r="AB116" s="1393"/>
      <c r="AC116" s="1393"/>
      <c r="AD116" s="1393"/>
      <c r="AE116" s="1393"/>
      <c r="AG116" s="1275"/>
      <c r="AP116" s="1323"/>
      <c r="AQ116" s="1345" t="s">
        <v>1339</v>
      </c>
      <c r="AR116" s="1345" t="s">
        <v>1340</v>
      </c>
      <c r="AS116" s="1434"/>
      <c r="AT116" s="5"/>
      <c r="AU116" s="1234"/>
    </row>
    <row r="117" ht="15.75" customHeight="1">
      <c r="L117" s="1390"/>
      <c r="M117" s="1390"/>
      <c r="N117" s="1390"/>
      <c r="O117" s="1390"/>
      <c r="P117" s="1390"/>
      <c r="Q117" s="1390"/>
      <c r="R117" s="1390"/>
      <c r="S117" s="1390"/>
      <c r="T117" s="1410"/>
      <c r="V117" s="1393"/>
      <c r="W117" s="1393"/>
      <c r="X117" s="1393"/>
      <c r="Y117" s="1393"/>
      <c r="Z117" s="1393"/>
      <c r="AA117" s="1393"/>
      <c r="AB117" s="1393"/>
      <c r="AC117" s="1393"/>
      <c r="AD117" s="1393"/>
      <c r="AE117" s="1393"/>
      <c r="AG117" s="1435"/>
      <c r="AH117" s="21"/>
      <c r="AI117" s="21"/>
      <c r="AJ117" s="21"/>
      <c r="AK117" s="21"/>
      <c r="AL117" s="21"/>
      <c r="AM117" s="21"/>
      <c r="AN117" s="21"/>
      <c r="AO117" s="21"/>
      <c r="AP117" s="1436" t="s">
        <v>1341</v>
      </c>
      <c r="AQ117" s="1166"/>
      <c r="AR117" s="1166"/>
      <c r="AS117" s="1437"/>
      <c r="AT117" s="1438"/>
      <c r="AU117" s="1439"/>
    </row>
  </sheetData>
  <mergeCells>
    <mergeCell ref="A1:J1"/>
    <mergeCell ref="L1:T1"/>
    <mergeCell ref="V1:AD1"/>
    <mergeCell ref="AU34:AU36"/>
    <mergeCell ref="AQ37:AQ39"/>
    <mergeCell ref="AS37:AS39"/>
    <mergeCell ref="AT37:AT39"/>
    <mergeCell ref="AU37:AU39"/>
    <mergeCell ref="C2:J2"/>
    <mergeCell ref="AR37:AR39"/>
  </mergeCells>
  <conditionalFormatting sqref="AP13:AR13">
    <cfRule type="expression" dxfId="22" priority="117" text="null">
      <formula>AND($B$11&gt;0,$B$11&lt;=65%)</formula>
    </cfRule>
  </conditionalFormatting>
  <conditionalFormatting sqref="AP14:AR14">
    <cfRule type="expression" dxfId="22" priority="116" text="null">
      <formula>$B$11&gt;65%</formula>
    </cfRule>
  </conditionalFormatting>
  <conditionalFormatting sqref="AQ15:AR17">
    <cfRule type="expression" dxfId="23" priority="111" text="null">
      <formula>$AQ15&lt;&gt;$B$10</formula>
    </cfRule>
  </conditionalFormatting>
  <conditionalFormatting sqref="AG15:AU19">
    <cfRule type="expression" dxfId="22" priority="40" text="null">
      <formula>NOT($B$17)</formula>
    </cfRule>
  </conditionalFormatting>
  <conditionalFormatting sqref="AP26:AR26">
    <cfRule type="expression" dxfId="22" priority="101" text="null">
      <formula>NOT(PD_IsSmallLoan)</formula>
    </cfRule>
  </conditionalFormatting>
  <conditionalFormatting sqref="AP27:AR27">
    <cfRule type="expression" dxfId="22" priority="100" text="null">
      <formula>PD_IsSmallLoan</formula>
    </cfRule>
  </conditionalFormatting>
  <conditionalFormatting sqref="AP29:AR32">
    <cfRule type="expression" dxfId="22" priority="94" stopIfTrue="1" text="null">
      <formula>NOT($B$31)</formula>
    </cfRule>
  </conditionalFormatting>
  <conditionalFormatting sqref="AP33:AR33">
    <cfRule type="expression" dxfId="22" priority="98" text="null">
      <formula>$B$31</formula>
    </cfRule>
  </conditionalFormatting>
  <conditionalFormatting sqref="AQ30:AQ32">
    <cfRule type="expression" dxfId="10" priority="123" text="null">
      <formula>AQ30&lt;&gt;$B$10</formula>
    </cfRule>
  </conditionalFormatting>
  <conditionalFormatting sqref="AP29:AR33">
    <cfRule type="expression" dxfId="22" priority="95" stopIfTrue="1" text="null">
      <formula>NOT($B$30)</formula>
    </cfRule>
  </conditionalFormatting>
  <conditionalFormatting sqref="AP28:AR28">
    <cfRule type="expression" dxfId="22" priority="124" text="null">
      <formula>$B$30</formula>
    </cfRule>
  </conditionalFormatting>
  <conditionalFormatting sqref="AQ29">
    <cfRule type="expression" dxfId="10" priority="99" text="null">
      <formula>$B$9&lt;&gt;"Strong"</formula>
    </cfRule>
  </conditionalFormatting>
  <conditionalFormatting sqref="AP38">
    <cfRule type="expression" dxfId="10" priority="93" text="null">
      <formula>NOT($B$9="Strong")</formula>
    </cfRule>
  </conditionalFormatting>
  <conditionalFormatting sqref="AP39">
    <cfRule type="expression" dxfId="10" priority="92" text="null">
      <formula>$B$10&lt;&gt;$AP$39</formula>
    </cfRule>
  </conditionalFormatting>
  <conditionalFormatting sqref="AP37">
    <cfRule type="expression" dxfId="10" priority="125" text="null">
      <formula>NOT($B$35)</formula>
    </cfRule>
  </conditionalFormatting>
  <conditionalFormatting sqref="AQ37:AU37 AQ38:AQ39 AS38:AU39">
    <cfRule type="expression" dxfId="22" priority="85" text="null">
      <formula>NOT(AND($B$35,$B$36))</formula>
    </cfRule>
  </conditionalFormatting>
  <conditionalFormatting sqref="AS37:AU39">
    <cfRule type="expression" dxfId="22" priority="126" text="null">
      <formula>$B$37*12&lt;$AR$37</formula>
    </cfRule>
  </conditionalFormatting>
  <conditionalFormatting sqref="AR37">
    <cfRule type="expression" dxfId="22" priority="89" text="null">
      <formula>$B$39</formula>
    </cfRule>
  </conditionalFormatting>
  <conditionalFormatting sqref="AR37">
    <cfRule type="expression" dxfId="10" priority="91" text="null">
      <formula>AND($B$37*12&lt;$AR$37,NOT($B$39))</formula>
    </cfRule>
  </conditionalFormatting>
  <conditionalFormatting sqref="AG105:AU116">
    <cfRule type="expression" dxfId="22" priority="68" text="null">
      <formula>NOT($B$105)</formula>
    </cfRule>
  </conditionalFormatting>
  <conditionalFormatting sqref="AR106:AR108">
    <cfRule type="expression" dxfId="22" priority="79" text="null">
      <formula>OR($B$13,NOT($B$106))</formula>
    </cfRule>
  </conditionalFormatting>
  <conditionalFormatting sqref="AQ106:AQ108">
    <cfRule type="expression" dxfId="22" priority="78" text="null">
      <formula>NOT($B$13)</formula>
    </cfRule>
  </conditionalFormatting>
  <conditionalFormatting sqref="AS106:AS108">
    <cfRule type="expression" dxfId="22" priority="77" text="null">
      <formula>OR($B$13,$B$106)</formula>
    </cfRule>
  </conditionalFormatting>
  <conditionalFormatting sqref="AP105">
    <cfRule type="expression" dxfId="6" priority="76" text="null">
      <formula>$AP$105=Pass</formula>
    </cfRule>
  </conditionalFormatting>
  <conditionalFormatting sqref="AP36">
    <cfRule type="expression" dxfId="24" priority="73" text="null">
      <formula>NOT(AND($B$35,$B$36))</formula>
    </cfRule>
  </conditionalFormatting>
  <conditionalFormatting sqref="AS36">
    <cfRule type="expression" dxfId="24" priority="71" text="null">
      <formula>$B$11&gt;$AS$37</formula>
    </cfRule>
  </conditionalFormatting>
  <conditionalFormatting sqref="AR36">
    <cfRule type="expression" dxfId="24" priority="70" text="null">
      <formula>IF($B$39,$B$37*12&lt;$AR$39,$B$37*12&lt;$AR$37)</formula>
    </cfRule>
  </conditionalFormatting>
  <conditionalFormatting sqref="AR37:AU39">
    <cfRule type="expression" dxfId="22" priority="754" text="null">
      <formula>$V$9=Fail</formula>
    </cfRule>
  </conditionalFormatting>
  <conditionalFormatting sqref="AQ37:AQ39">
    <cfRule type="expression" dxfId="10" priority="755" text="null">
      <formula>AND($B$36,$V$9=Fail)</formula>
    </cfRule>
  </conditionalFormatting>
  <conditionalFormatting sqref="AQ36">
    <cfRule type="expression" dxfId="24" priority="11" text="null">
      <formula>$V$9=Fail</formula>
    </cfRule>
  </conditionalFormatting>
  <conditionalFormatting sqref="A106:J117 C105:J105">
    <cfRule type="expression" dxfId="25" priority="25" text="null">
      <formula>NOT($B$105)</formula>
    </cfRule>
  </conditionalFormatting>
  <conditionalFormatting sqref="C3:J4 M3:T4 W3:AD4 AH3:AO4">
    <cfRule type="expression" dxfId="26" priority="19" text="null">
      <formula>C$3="Selected"</formula>
    </cfRule>
  </conditionalFormatting>
  <conditionalFormatting sqref="AP107:AP113">
    <cfRule type="expression" dxfId="24" priority="763" text="null">
      <formula>$V107=Fail</formula>
    </cfRule>
  </conditionalFormatting>
  <conditionalFormatting sqref="AG2:AO2">
    <cfRule type="expression" dxfId="15" priority="21" text="null">
      <formula>RIGHT(AG2,4)=Fail</formula>
    </cfRule>
  </conditionalFormatting>
  <conditionalFormatting sqref="AG2:AO2">
    <cfRule type="expression" dxfId="6" priority="29" text="null">
      <formula>RIGHT(AG2,4)=Pass</formula>
    </cfRule>
  </conditionalFormatting>
  <conditionalFormatting sqref="AG105">
    <cfRule type="expression" dxfId="15" priority="81" text="null">
      <formula>$V105="Fail"</formula>
    </cfRule>
  </conditionalFormatting>
  <conditionalFormatting sqref="AG105">
    <cfRule type="expression" dxfId="6" priority="82" text="null">
      <formula>$V105="Pass"</formula>
    </cfRule>
  </conditionalFormatting>
  <conditionalFormatting sqref="AG34">
    <cfRule type="expression" dxfId="15" priority="83" text="null">
      <formula>$V34="Fail"</formula>
    </cfRule>
  </conditionalFormatting>
  <conditionalFormatting sqref="AG34">
    <cfRule type="expression" dxfId="6" priority="84" text="null">
      <formula>$V34="Pass"</formula>
    </cfRule>
  </conditionalFormatting>
  <conditionalFormatting sqref="AG28">
    <cfRule type="expression" dxfId="15" priority="96" text="null">
      <formula>$V28="Fail"</formula>
    </cfRule>
  </conditionalFormatting>
  <conditionalFormatting sqref="AG28">
    <cfRule type="expression" dxfId="6" priority="97" text="null">
      <formula>$V28="Pass"</formula>
    </cfRule>
  </conditionalFormatting>
  <conditionalFormatting sqref="AG25">
    <cfRule type="expression" dxfId="15" priority="103" text="null">
      <formula>$V25="Fail"</formula>
    </cfRule>
  </conditionalFormatting>
  <conditionalFormatting sqref="AG25">
    <cfRule type="expression" dxfId="6" priority="104" text="null">
      <formula>$V25="Pass"</formula>
    </cfRule>
  </conditionalFormatting>
  <conditionalFormatting sqref="AG15">
    <cfRule type="expression" dxfId="15" priority="106" text="null">
      <formula>$V15="Fail"</formula>
    </cfRule>
  </conditionalFormatting>
  <conditionalFormatting sqref="AG15">
    <cfRule type="expression" dxfId="6" priority="107" text="null">
      <formula>$V15="Pass"</formula>
    </cfRule>
  </conditionalFormatting>
  <conditionalFormatting sqref="AG20 AG24">
    <cfRule type="expression" dxfId="15" priority="109" text="null">
      <formula>$V20="Fail"</formula>
    </cfRule>
  </conditionalFormatting>
  <conditionalFormatting sqref="AG20 AG24">
    <cfRule type="expression" dxfId="6" priority="110" text="null">
      <formula>$V20="Pass"</formula>
    </cfRule>
  </conditionalFormatting>
  <conditionalFormatting sqref="V105:AD117 V5:AD40">
    <cfRule type="expression" dxfId="27" priority="22" text="null">
      <formula>V5="NA"</formula>
    </cfRule>
  </conditionalFormatting>
  <conditionalFormatting sqref="V105:AD117 V5:AD40">
    <cfRule type="expression" dxfId="15" priority="23" text="null">
      <formula>V5=Fail</formula>
    </cfRule>
  </conditionalFormatting>
  <conditionalFormatting sqref="V105:AD117 V5:AD40">
    <cfRule type="expression" dxfId="6" priority="24" text="null">
      <formula>V5=Pass</formula>
    </cfRule>
  </conditionalFormatting>
  <conditionalFormatting sqref="AQ113:AS114">
    <cfRule type="expression" dxfId="22" priority="964" text="null">
      <formula>$L$113&lt;&gt;AQ$114</formula>
    </cfRule>
  </conditionalFormatting>
  <conditionalFormatting sqref="AQ115:AR116">
    <cfRule type="expression" dxfId="22" priority="965" text="null">
      <formula>$L$115&lt;&gt;AQ$116</formula>
    </cfRule>
  </conditionalFormatting>
  <conditionalFormatting sqref="AG7">
    <cfRule type="expression" dxfId="15" priority="14" text="null">
      <formula>$V7="Fail"</formula>
    </cfRule>
  </conditionalFormatting>
  <conditionalFormatting sqref="AG7">
    <cfRule type="expression" dxfId="6" priority="15" text="null">
      <formula>$V7="Pass"</formula>
    </cfRule>
  </conditionalFormatting>
  <conditionalFormatting sqref="AH7:AO7">
    <cfRule type="expression" dxfId="15" priority="12" text="null">
      <formula>AH7=Fail</formula>
    </cfRule>
  </conditionalFormatting>
  <conditionalFormatting sqref="AH7:AO7">
    <cfRule type="expression" dxfId="6" priority="13" text="null">
      <formula>AH7=Pass</formula>
    </cfRule>
  </conditionalFormatting>
  <conditionalFormatting sqref="AT36">
    <cfRule type="expression" dxfId="24" priority="1194" text="null">
      <formula>$B$20&gt;$B21</formula>
    </cfRule>
  </conditionalFormatting>
  <conditionalFormatting sqref="AG20:AG24 AP20:AU24">
    <cfRule type="expression" dxfId="22" priority="1" stopIfTrue="1" text="null">
      <formula>$B$20=0</formula>
    </cfRule>
  </conditionalFormatting>
  <conditionalFormatting sqref="AH1:AO69">
    <cfRule type="expression" dxfId="28" priority="16" text="null">
      <formula>C$5=0</formula>
    </cfRule>
  </conditionalFormatting>
  <conditionalFormatting sqref="AH1:AO69">
    <cfRule type="expression" dxfId="27" priority="17" text="null">
      <formula>OR(C$5=0,AH1="NA")</formula>
    </cfRule>
  </conditionalFormatting>
  <conditionalFormatting sqref="AG9:AO69">
    <cfRule type="expression" dxfId="15" priority="18" text="null">
      <formula>V9=Fail</formula>
    </cfRule>
  </conditionalFormatting>
  <conditionalFormatting sqref="AG9:AO69">
    <cfRule type="expression" dxfId="6" priority="112" text="null">
      <formula>V9=Pass</formula>
    </cfRule>
  </conditionalFormatting>
  <conditionalFormatting sqref="AP24:AT24">
    <cfRule type="expression" dxfId="29" priority="10" text="null">
      <formula>$B$8&lt;&gt;4</formula>
    </cfRule>
  </conditionalFormatting>
  <conditionalFormatting sqref="AP23:AT23">
    <cfRule type="expression" dxfId="29" priority="9" text="null">
      <formula>$B$8&lt;&gt;3</formula>
    </cfRule>
  </conditionalFormatting>
  <conditionalFormatting sqref="AP21:AT22">
    <cfRule type="expression" dxfId="29" priority="2" stopIfTrue="1" text="null">
      <formula>$B$8&lt;&gt;2</formula>
    </cfRule>
  </conditionalFormatting>
  <conditionalFormatting sqref="AQ20:AT20">
    <cfRule type="expression" dxfId="2" priority="7" text="null">
      <formula>OR($B$8&lt;&gt;2,AND($B$8=2,$B$11&lt;=$AQ$21))</formula>
    </cfRule>
  </conditionalFormatting>
  <conditionalFormatting sqref="AQ21:AT21">
    <cfRule type="expression" dxfId="29" priority="4" stopIfTrue="1" text="null">
      <formula>$B$11&lt;=$AQ$21</formula>
    </cfRule>
  </conditionalFormatting>
  <conditionalFormatting sqref="AQ22:AT22">
    <cfRule type="expression" dxfId="29" priority="3" stopIfTrue="1" text="null">
      <formula>$B$11&gt;$AQ$21</formula>
    </cfRule>
  </conditionalFormatting>
  <conditionalFormatting sqref="AR21">
    <cfRule type="expression" dxfId="24" priority="8" text="null">
      <formula>$B$19-$B$20&lt;$AR$21</formula>
    </cfRule>
  </conditionalFormatting>
  <conditionalFormatting sqref="AS21">
    <cfRule type="expression" dxfId="24" priority="5" text="null">
      <formula>$B$20&gt;$AS$21</formula>
    </cfRule>
  </conditionalFormatting>
  <conditionalFormatting sqref="AS22">
    <cfRule type="expression" dxfId="24" priority="6" text="null">
      <formula>$B$20&gt;$AS$22</formula>
    </cfRule>
  </conditionalFormatting>
  <dataValidations count="1">
    <dataValidation showErrorMessage="1" showInputMessage="1" sqref="AP105" type="list">
      <formula1>"-,Fail,Pass"</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legacyDrawing r:id="rId2"/>
  <extLst/>
</worksheet>
</file>

<file path=xl/worksheets/sheet7.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667FDAEA-707D-341C-4A4D-C35F9358B184}" mc:Ignorable="x14ac xr xr2 xr3">
  <sheetPr>
    <tabColor theme="8" tint="-0.5"/>
    <pageSetUpPr fitToPage="1"/>
  </sheetPr>
  <dimension ref="A1:BF91"/>
  <sheetViews>
    <sheetView topLeftCell="A7" workbookViewId="0">
      <selection activeCell="G23" sqref="G23"/>
    </sheetView>
  </sheetViews>
  <sheetFormatPr defaultRowHeight="15" defaultColWidth="0" customHeight="1"/>
  <cols>
    <col min="1" max="1" style="625" width="3.140625" customWidth="1"/>
    <col min="2" max="2" style="625" width="50.7109375" customWidth="1"/>
    <col min="3" max="3" style="625" width="14.140625" customWidth="1"/>
    <col min="4" max="4" style="625" width="13.57421875" customWidth="1"/>
    <col min="5" max="5" style="1159" width="2.7109375" customWidth="1"/>
    <col min="6" max="13" style="625" width="18.28125" customWidth="1"/>
    <col min="14" max="14" style="625" width="2.57421875" customWidth="1"/>
    <col min="15" max="15" style="625" width="31.00390625" hidden="1" customWidth="1"/>
    <col min="16" max="47" style="625" width="12.00390625" hidden="1" customWidth="1"/>
    <col min="48" max="48" style="625" width="3.57421875" hidden="1" customWidth="1"/>
    <col min="49" max="49" style="625" width="34.28125" hidden="1" customWidth="1"/>
    <col min="50" max="51" style="625" width="11.7109375" hidden="1" customWidth="1"/>
    <col min="52" max="52" style="625" width="19.7109375" hidden="1" customWidth="1"/>
    <col min="53" max="58" style="625" width="11.140625" hidden="1" customWidth="1"/>
  </cols>
  <sheetData>
    <row r="1" ht="15" customHeight="1">
      <c r="A1" s="6"/>
      <c r="B1" s="6"/>
      <c r="C1" s="6"/>
      <c r="D1" s="6"/>
      <c r="E1" s="1"/>
      <c r="F1" s="6"/>
      <c r="G1" s="6"/>
      <c r="H1" s="6"/>
      <c r="I1" s="6"/>
      <c r="J1" s="6"/>
      <c r="K1" s="6"/>
      <c r="L1" s="6"/>
      <c r="M1" s="6"/>
    </row>
    <row r="2" ht="15" customHeight="1">
      <c r="A2" s="6"/>
      <c r="B2" s="1440" t="str">
        <f>property_name</f>
        <v>XXXX</v>
      </c>
      <c r="C2" s="1441" t="str">
        <f>"Built: "&amp;'SBL Quotes'!$B$14</f>
        <v>Built: XXXX</v>
      </c>
      <c r="D2" s="6"/>
      <c r="E2" s="1442"/>
      <c r="F2" s="6"/>
      <c r="G2" s="6"/>
      <c r="H2" s="6"/>
      <c r="I2" s="6"/>
      <c r="J2" s="32"/>
      <c r="K2" s="1443"/>
      <c r="L2" s="1444" t="s">
        <v>1343</v>
      </c>
      <c r="M2" s="1445"/>
    </row>
    <row r="3" ht="15" customHeight="1">
      <c r="A3" s="6"/>
      <c r="B3" s="1440" t="str">
        <f>SblQuotes_CityState</f>
        <v>City, XX</v>
      </c>
      <c r="C3" s="1446">
        <f>number_units</f>
        <v>101</v>
      </c>
      <c r="D3" s="6"/>
      <c r="E3" s="1442"/>
      <c r="F3" s="1440"/>
      <c r="G3" s="6"/>
      <c r="H3" s="6"/>
      <c r="I3" s="6"/>
      <c r="J3" s="32"/>
      <c r="K3" s="1443"/>
      <c r="L3" s="1447" t="s">
        <v>1071</v>
      </c>
      <c r="M3" s="1448"/>
      <c r="BA3" s="615"/>
    </row>
    <row r="4" ht="15" customHeight="1">
      <c r="A4" s="6"/>
      <c r="B4" s="6"/>
      <c r="C4" s="1440"/>
      <c r="D4" s="6"/>
      <c r="E4" s="1442"/>
      <c r="F4" s="6"/>
      <c r="G4" s="6"/>
      <c r="H4" s="6"/>
      <c r="I4" s="6"/>
      <c r="J4" s="32"/>
      <c r="K4" s="1443"/>
      <c r="L4" s="1447" t="s">
        <v>1344</v>
      </c>
      <c r="M4" s="1448"/>
    </row>
    <row r="5" ht="15" customHeight="1">
      <c r="A5" s="6"/>
      <c r="B5" s="1449" t="s">
        <v>1345</v>
      </c>
      <c r="C5" s="1450">
        <f>EOMONTH(TODAY()+32,1)+1</f>
        <v>45292</v>
      </c>
      <c r="E5" s="1442"/>
      <c r="F5" s="1451" t="s">
        <v>1346</v>
      </c>
      <c r="G5" s="6"/>
      <c r="H5" s="6"/>
      <c r="I5" s="6"/>
      <c r="J5" s="1452"/>
      <c r="K5" s="1443"/>
      <c r="L5" s="1453" t="str">
        <f>HYPERLINK("https://maps.google.com/maps?q="&amp;Address_DataPageTab,"Google Maps")</f>
        <v>Google Maps</v>
      </c>
      <c r="M5" s="1454"/>
    </row>
    <row r="6" ht="15" customHeight="1">
      <c r="A6" s="6"/>
      <c r="B6" s="6"/>
      <c r="C6" s="1455"/>
      <c r="D6" s="6"/>
      <c r="E6" s="1"/>
      <c r="F6" s="1451">
        <f>'DUS Gateway Data'!B3</f>
        <v>0</v>
      </c>
      <c r="G6" s="6"/>
      <c r="H6" s="6"/>
      <c r="I6" s="6"/>
      <c r="J6" s="6"/>
      <c r="K6" s="6"/>
      <c r="L6" s="1276"/>
      <c r="M6" s="6"/>
    </row>
    <row r="7" ht="15" customHeight="1">
      <c r="A7" s="6"/>
      <c r="B7" s="1456" t="s">
        <v>1348</v>
      </c>
      <c r="C7" s="1442"/>
      <c r="D7" s="1457"/>
      <c r="E7" s="1442"/>
      <c r="F7" s="1458" t="s">
        <v>1349</v>
      </c>
      <c r="G7" s="1459"/>
      <c r="H7" s="1459"/>
      <c r="I7" s="1459"/>
      <c r="J7" s="1459"/>
      <c r="K7" s="1459"/>
      <c r="L7" s="1459"/>
      <c r="M7" s="1460"/>
    </row>
    <row r="8" ht="15" customHeight="1">
      <c r="A8" s="6"/>
      <c r="B8" s="1456" t="s">
        <v>1350</v>
      </c>
      <c r="C8" s="1461"/>
      <c r="D8" s="1462"/>
      <c r="E8" s="1442"/>
      <c r="F8" s="1463">
        <v>1</v>
      </c>
      <c r="G8" s="1463">
        <v>2</v>
      </c>
      <c r="H8" s="1463">
        <v>3</v>
      </c>
      <c r="I8" s="1464">
        <v>4</v>
      </c>
      <c r="J8" s="1464">
        <v>5</v>
      </c>
      <c r="K8" s="1464">
        <v>6</v>
      </c>
      <c r="L8" s="1465">
        <v>7</v>
      </c>
      <c r="M8" s="1464">
        <v>8</v>
      </c>
      <c r="BC8" s="1466"/>
    </row>
    <row r="9" ht="15" customHeight="1">
      <c r="A9" s="6"/>
      <c r="B9" s="1467" t="s">
        <v>1351</v>
      </c>
      <c r="C9" s="1468"/>
      <c r="D9" s="1468"/>
      <c r="E9" s="1469"/>
      <c r="F9" s="1470">
        <f t="array" ref="F9">_xlfn.TEXTJOIN("",TRUE,_xlfn.IFERROR(MID('SBL Quotes'!R8,ROW(INDIRECT("1:100")),1)+0,""))+0</f>
        <v>10</v>
      </c>
      <c r="G9" s="1470">
        <f t="array" ref="G9">_xlfn.TEXTJOIN("",TRUE,_xlfn.IFERROR(MID('SBL Quotes'!S8,ROW(INDIRECT("1:100")),1)+0,""))+0</f>
        <v>12</v>
      </c>
      <c r="H9" s="1470">
        <f t="array" ref="H9">_xlfn.TEXTJOIN("",TRUE,_xlfn.IFERROR(MID('SBL Quotes'!T8,ROW(INDIRECT("1:100")),1)+0,""))+0</f>
        <v>15</v>
      </c>
      <c r="I9" s="1470">
        <f t="array" ref="I9">_xlfn.TEXTJOIN("",TRUE,_xlfn.IFERROR(MID('SBL Quotes'!U8,ROW(INDIRECT("1:100")),1)+0,""))+0</f>
        <v>10</v>
      </c>
      <c r="J9" s="1470">
        <f t="array" ref="J9">_xlfn.TEXTJOIN("",TRUE,_xlfn.IFERROR(MID('SBL Quotes'!V8,ROW(INDIRECT("1:100")),1)+0,""))+0</f>
        <v>10</v>
      </c>
      <c r="K9" s="1470">
        <f t="array" ref="K9">_xlfn.TEXTJOIN("",TRUE,_xlfn.IFERROR(MID('SBL Quotes'!W8,ROW(INDIRECT("1:100")),1)+0,""))+0</f>
        <v>5</v>
      </c>
      <c r="L9" s="1470">
        <f t="array" ref="L9">_xlfn.TEXTJOIN("",TRUE,_xlfn.IFERROR(MID('SBL Quotes'!X8,ROW(INDIRECT("1:100")),1)+0,""))+0</f>
        <v>5</v>
      </c>
      <c r="M9" s="1470">
        <f t="array" ref="M9">_xlfn.TEXTJOIN("",TRUE,_xlfn.IFERROR(MID('SBL Quotes'!Y8,ROW(INDIRECT("1:100")),1)+0,""))+0</f>
        <v>1010</v>
      </c>
    </row>
    <row r="10" ht="15" customHeight="1">
      <c r="A10" s="6"/>
      <c r="B10" s="1471" t="s">
        <v>572</v>
      </c>
      <c r="C10" s="1472"/>
      <c r="D10" s="1472"/>
      <c r="E10" s="1473"/>
      <c r="F10" s="1474">
        <f>'SBL Quotes'!R7</f>
        <v>0</v>
      </c>
      <c r="G10" s="1474">
        <f>'SBL Quotes'!S7</f>
        <v>0</v>
      </c>
      <c r="H10" s="1474">
        <f>'SBL Quotes'!T7</f>
        <v>0</v>
      </c>
      <c r="I10" s="1474">
        <f>'SBL Quotes'!U7</f>
        <v>0</v>
      </c>
      <c r="J10" s="1474">
        <f>'SBL Quotes'!V7</f>
        <v>0</v>
      </c>
      <c r="K10" s="1474">
        <f>'SBL Quotes'!W7</f>
        <v>0</v>
      </c>
      <c r="L10" s="1474">
        <f>'SBL Quotes'!X7</f>
        <v>0</v>
      </c>
      <c r="M10" s="1474">
        <f>'SBL Quotes'!Y7</f>
        <v>0</v>
      </c>
    </row>
    <row r="11" ht="15" customHeight="1">
      <c r="A11" s="6"/>
      <c r="B11" s="1467" t="s">
        <v>1352</v>
      </c>
      <c r="C11" s="1468"/>
      <c r="D11" s="1468"/>
      <c r="E11" s="1469"/>
      <c r="F11" s="1475" t="str">
        <f>IF(RIGHT('SBL Quotes'!R26,5)="Fixed","Fixed Rate","Variable Rate")</f>
        <v>Fixed Rate</v>
      </c>
      <c r="G11" s="1475" t="str">
        <f>IF(RIGHT('SBL Quotes'!S26,5)="Fixed","Fixed Rate","Variable Rate")</f>
        <v>Fixed Rate</v>
      </c>
      <c r="H11" s="1475" t="str">
        <f>IF(RIGHT('SBL Quotes'!T26,5)="Fixed","Fixed Rate","Variable Rate")</f>
        <v>Fixed Rate</v>
      </c>
      <c r="I11" s="1475" t="str">
        <f>IF(RIGHT('SBL Quotes'!U26,5)="Fixed","Fixed Rate","Variable Rate")</f>
        <v>Fixed Rate</v>
      </c>
      <c r="J11" s="1475" t="str">
        <f>IF(RIGHT('SBL Quotes'!V26,5)="Fixed","Fixed Rate","Variable Rate")</f>
        <v>Fixed Rate</v>
      </c>
      <c r="K11" s="1475" t="str">
        <f>IF(RIGHT('SBL Quotes'!W26,5)="Fixed","Fixed Rate","Variable Rate")</f>
        <v>Fixed Rate</v>
      </c>
      <c r="L11" s="1475" t="str">
        <f>IF(RIGHT('SBL Quotes'!X26,5)="Fixed","Fixed Rate","Variable Rate")</f>
        <v>Fixed Rate</v>
      </c>
      <c r="M11" s="1475" t="str">
        <f>IF(RIGHT('SBL Quotes'!Y26,5)="Fixed","Fixed Rate","Variable Rate")</f>
        <v>Variable Rate</v>
      </c>
    </row>
    <row r="12" ht="15" customHeight="1">
      <c r="A12" s="6"/>
      <c r="B12" s="1476" t="s">
        <v>1354</v>
      </c>
      <c r="C12" s="829"/>
      <c r="D12" s="829"/>
      <c r="E12" s="1418"/>
      <c r="F12" s="1477" t="str">
        <f>'SBL Quotes'!R$38</f>
        <v>Yield Maintenance</v>
      </c>
      <c r="G12" s="1477" t="str">
        <f>'SBL Quotes'!S$38</f>
        <v>Yield Maintenance</v>
      </c>
      <c r="H12" s="1477" t="str">
        <f>'SBL Quotes'!T$38</f>
        <v>Yield Maintenance</v>
      </c>
      <c r="I12" s="1477" t="str">
        <f>'SBL Quotes'!U$38</f>
        <v>Yield Maintenance</v>
      </c>
      <c r="J12" s="1477" t="str">
        <f>'SBL Quotes'!V$38</f>
        <v>Yield Maintenance</v>
      </c>
      <c r="K12" s="1477" t="str">
        <f>'SBL Quotes'!W$38</f>
        <v>Yield Maintenance</v>
      </c>
      <c r="L12" s="1477" t="str">
        <f>'SBL Quotes'!X$38</f>
        <v>Yield Maintenance</v>
      </c>
      <c r="M12" s="1478" t="str">
        <f>'SBL Quotes'!Y$38</f>
        <v>Yield Maintenance</v>
      </c>
    </row>
    <row r="13" ht="15" customHeight="1">
      <c r="A13" s="6"/>
      <c r="B13" s="1479" t="s">
        <v>1355</v>
      </c>
      <c r="C13" s="9"/>
      <c r="D13" s="9"/>
      <c r="E13" s="1480"/>
      <c r="F13" s="1481">
        <f>('FNM Loan Terms'!F$9*12)-6</f>
        <v>114</v>
      </c>
      <c r="G13" s="1481">
        <f>('FNM Loan Terms'!G$9*12)-6</f>
        <v>138</v>
      </c>
      <c r="H13" s="1481">
        <f>('FNM Loan Terms'!H$9*12)-6</f>
        <v>174</v>
      </c>
      <c r="I13" s="1481">
        <f>('FNM Loan Terms'!I$9*12)-6</f>
        <v>114</v>
      </c>
      <c r="J13" s="1481">
        <f>('FNM Loan Terms'!J$9*12)-6</f>
        <v>114</v>
      </c>
      <c r="K13" s="1481">
        <f>('FNM Loan Terms'!K$9*12)-6</f>
        <v>54</v>
      </c>
      <c r="L13" s="1481">
        <f>('FNM Loan Terms'!L$9*12)-6</f>
        <v>54</v>
      </c>
      <c r="M13" s="1482">
        <f>('FNM Loan Terms'!M$9*12)-6</f>
        <v>12114</v>
      </c>
    </row>
    <row r="14" ht="15" customHeight="1">
      <c r="A14" s="6"/>
      <c r="B14" s="1483" t="s">
        <v>1356</v>
      </c>
      <c r="C14" s="1440"/>
      <c r="D14" s="1440"/>
      <c r="E14" s="1484"/>
      <c r="F14" s="1485">
        <f>'SBL Quotes'!B44</f>
        <v>-1720952.21</v>
      </c>
      <c r="G14" s="1486">
        <f t="shared" si="0" ref="G14:M15">$F14</f>
        <v>-1720952.21</v>
      </c>
      <c r="H14" s="1486">
        <f t="shared" si="0"/>
        <v>-1720952.21</v>
      </c>
      <c r="I14" s="1486">
        <f t="shared" si="0"/>
        <v>-1720952.21</v>
      </c>
      <c r="J14" s="1486">
        <f t="shared" si="0"/>
        <v>-1720952.21</v>
      </c>
      <c r="K14" s="1486">
        <f t="shared" si="0"/>
        <v>-1720952.21</v>
      </c>
      <c r="L14" s="1486">
        <f t="shared" si="0"/>
        <v>-1720952.21</v>
      </c>
      <c r="M14" s="1487">
        <f t="shared" si="0"/>
        <v>-1720952.21</v>
      </c>
    </row>
    <row r="15" ht="15" customHeight="1">
      <c r="A15" s="6"/>
      <c r="B15" s="1488" t="s">
        <v>1357</v>
      </c>
      <c r="C15" s="1489"/>
      <c r="D15" s="1489"/>
      <c r="E15" s="1490"/>
      <c r="F15" s="1491">
        <f>'SBL Quotes'!B45</f>
        <v>-34419044.199999996</v>
      </c>
      <c r="G15" s="1492">
        <f t="shared" si="0"/>
        <v>-34419044.199999996</v>
      </c>
      <c r="H15" s="1492">
        <f t="shared" si="0"/>
        <v>-34419044.199999996</v>
      </c>
      <c r="I15" s="1492">
        <f t="shared" si="0"/>
        <v>-34419044.199999996</v>
      </c>
      <c r="J15" s="1492">
        <f t="shared" si="0"/>
        <v>-34419044.199999996</v>
      </c>
      <c r="K15" s="1492">
        <f t="shared" si="0"/>
        <v>-34419044.199999996</v>
      </c>
      <c r="L15" s="1492">
        <f t="shared" si="0"/>
        <v>-34419044.199999996</v>
      </c>
      <c r="M15" s="1493">
        <f t="shared" si="0"/>
        <v>-34419044.199999996</v>
      </c>
    </row>
    <row r="16" ht="15" customHeight="1">
      <c r="A16" s="6"/>
      <c r="B16" s="1494" t="s">
        <v>1358</v>
      </c>
      <c r="C16" s="1495"/>
      <c r="D16" s="1495"/>
      <c r="E16" s="1496"/>
      <c r="F16" s="1497">
        <v>0</v>
      </c>
      <c r="G16" s="1498">
        <v>0</v>
      </c>
      <c r="H16" s="1498">
        <v>0</v>
      </c>
      <c r="I16" s="1498">
        <v>0</v>
      </c>
      <c r="J16" s="1498">
        <v>0</v>
      </c>
      <c r="K16" s="1498">
        <v>0</v>
      </c>
      <c r="L16" s="1498">
        <v>0</v>
      </c>
      <c r="M16" s="1499">
        <v>0</v>
      </c>
    </row>
    <row r="17" ht="15" customHeight="1">
      <c r="A17" s="6"/>
      <c r="B17" s="1500" t="s">
        <v>1359</v>
      </c>
      <c r="C17" s="1501"/>
      <c r="D17" s="1501"/>
      <c r="E17" s="1502"/>
      <c r="F17" s="1503">
        <f>'SBL Quotes'!AK33</f>
        <v>0</v>
      </c>
      <c r="G17" s="1504">
        <f t="shared" si="1" ref="G17:M19">$F$17</f>
        <v>0</v>
      </c>
      <c r="H17" s="1504">
        <f t="shared" si="1"/>
        <v>0</v>
      </c>
      <c r="I17" s="1504">
        <f t="shared" si="1"/>
        <v>0</v>
      </c>
      <c r="J17" s="1504">
        <f t="shared" si="1"/>
        <v>0</v>
      </c>
      <c r="K17" s="1504">
        <f t="shared" si="1"/>
        <v>0</v>
      </c>
      <c r="L17" s="1504">
        <f t="shared" si="1"/>
        <v>0</v>
      </c>
      <c r="M17" s="1505">
        <f t="shared" si="1"/>
        <v>0</v>
      </c>
    </row>
    <row r="18" ht="15" customHeight="1">
      <c r="A18" s="6"/>
      <c r="B18" s="1471" t="s">
        <v>1360</v>
      </c>
      <c r="C18" s="1472"/>
      <c r="D18" s="1472"/>
      <c r="E18" s="1473"/>
      <c r="F18" s="1506">
        <f t="shared" si="2" ref="F18:M18">F15+SUM(F16:F17)</f>
        <v>-34419044.199999996</v>
      </c>
      <c r="G18" s="1506">
        <f t="shared" si="2"/>
        <v>-34419044.199999996</v>
      </c>
      <c r="H18" s="1506">
        <f t="shared" si="2"/>
        <v>-34419044.199999996</v>
      </c>
      <c r="I18" s="1506">
        <f t="shared" si="2"/>
        <v>-34419044.199999996</v>
      </c>
      <c r="J18" s="1506">
        <f t="shared" si="2"/>
        <v>-34419044.199999996</v>
      </c>
      <c r="K18" s="1506">
        <f t="shared" si="2"/>
        <v>-34419044.199999996</v>
      </c>
      <c r="L18" s="1506">
        <f t="shared" si="2"/>
        <v>-34419044.199999996</v>
      </c>
      <c r="M18" s="1507">
        <f t="shared" si="2"/>
        <v>-34419044.199999996</v>
      </c>
    </row>
    <row r="19" ht="15" customHeight="1">
      <c r="A19" s="6"/>
      <c r="B19" s="1500" t="str">
        <f>IF('SBL Quotes'!AN32="Supplemental","Existing UPB to Remain (Supplemental)","Existing Debt to be Paid Off")</f>
        <v>Existing Debt to be Paid Off</v>
      </c>
      <c r="C19" s="1501"/>
      <c r="D19" s="1501"/>
      <c r="E19" s="1502"/>
      <c r="F19" s="1503">
        <f>IF('SBL Quotes'!$AJ$30="If Refinance",'SBL Quotes'!AK32,0)</f>
        <v>0</v>
      </c>
      <c r="G19" s="1504">
        <f t="shared" si="1"/>
        <v>0</v>
      </c>
      <c r="H19" s="1504">
        <f t="shared" si="1"/>
        <v>0</v>
      </c>
      <c r="I19" s="1504">
        <f t="shared" si="1"/>
        <v>0</v>
      </c>
      <c r="J19" s="1504">
        <f t="shared" si="1"/>
        <v>0</v>
      </c>
      <c r="K19" s="1504">
        <f t="shared" si="1"/>
        <v>0</v>
      </c>
      <c r="L19" s="1504">
        <f t="shared" si="1"/>
        <v>0</v>
      </c>
      <c r="M19" s="1505">
        <f t="shared" si="1"/>
        <v>0</v>
      </c>
    </row>
    <row r="20" ht="15" customHeight="1">
      <c r="A20" s="6"/>
      <c r="B20" s="1467" t="s">
        <v>1256</v>
      </c>
      <c r="C20" s="1468"/>
      <c r="D20" s="1468"/>
      <c r="E20" s="1469"/>
      <c r="F20" s="1508">
        <f t="shared" si="3" ref="F20:M20">F10-F19</f>
        <v>0</v>
      </c>
      <c r="G20" s="1508">
        <f t="shared" si="3"/>
        <v>0</v>
      </c>
      <c r="H20" s="1508">
        <f t="shared" si="3"/>
        <v>0</v>
      </c>
      <c r="I20" s="1508">
        <f t="shared" si="3"/>
        <v>0</v>
      </c>
      <c r="J20" s="1508">
        <f t="shared" si="3"/>
        <v>0</v>
      </c>
      <c r="K20" s="1508">
        <f t="shared" si="3"/>
        <v>0</v>
      </c>
      <c r="L20" s="1508">
        <f t="shared" si="3"/>
        <v>0</v>
      </c>
      <c r="M20" s="1509">
        <f t="shared" si="3"/>
        <v>0</v>
      </c>
    </row>
    <row r="21" ht="15" customHeight="1">
      <c r="A21" s="6"/>
      <c r="B21" s="1510" t="s">
        <v>1362</v>
      </c>
      <c r="C21" s="1511"/>
      <c r="D21" s="1511"/>
      <c r="E21" s="1473"/>
      <c r="F21" s="1512" cm="1">
        <f t="array" ref="F21">_xlfn.TEXTJOIN("",TRUE,_xlfn.IFERROR(MID('SBL Quotes'!R$10,ROW(INDIRECT("1:100")),1)+0,""))+0</f>
        <v>0</v>
      </c>
      <c r="G21" s="1512" cm="1">
        <f t="array" ref="G21">_xlfn.TEXTJOIN("",TRUE,_xlfn.IFERROR(MID('SBL Quotes'!S$10,ROW(INDIRECT("1:100")),1)+0,""))+0</f>
        <v>0</v>
      </c>
      <c r="H21" s="1512" cm="1">
        <f t="array" ref="H21">_xlfn.TEXTJOIN("",TRUE,_xlfn.IFERROR(MID('SBL Quotes'!T$10,ROW(INDIRECT("1:100")),1)+0,""))+0</f>
        <v>0</v>
      </c>
      <c r="I21" s="1512" cm="1">
        <f t="array" ref="I21">_xlfn.TEXTJOIN("",TRUE,_xlfn.IFERROR(MID('SBL Quotes'!U$10,ROW(INDIRECT("1:100")),1)+0,""))+0</f>
        <v>5</v>
      </c>
      <c r="J21" s="1512" cm="1">
        <f t="array" ref="J21">_xlfn.TEXTJOIN("",TRUE,_xlfn.IFERROR(MID('SBL Quotes'!V$10,ROW(INDIRECT("1:100")),1)+0,""))+0</f>
        <v>10</v>
      </c>
      <c r="K21" s="1512" cm="1">
        <f t="array" ref="K21">_xlfn.TEXTJOIN("",TRUE,_xlfn.IFERROR(MID('SBL Quotes'!W$10,ROW(INDIRECT("1:100")),1)+0,""))+0</f>
        <v>2</v>
      </c>
      <c r="L21" s="1512" cm="1">
        <f t="array" ref="L21">_xlfn.TEXTJOIN("",TRUE,_xlfn.IFERROR(MID('SBL Quotes'!X$10,ROW(INDIRECT("1:100")),1)+0,""))+0</f>
        <v>5</v>
      </c>
      <c r="M21" s="1512" cm="1">
        <f t="array" ref="M21">_xlfn.TEXTJOIN("",TRUE,_xlfn.IFERROR(MID('SBL Quotes'!Y$10,ROW(INDIRECT("1:100")),1)+0,""))+0</f>
        <v>0</v>
      </c>
    </row>
    <row r="22" ht="15" customHeight="1">
      <c r="A22" s="6"/>
      <c r="B22" s="1488" t="s">
        <v>1363</v>
      </c>
      <c r="C22" s="1489"/>
      <c r="D22" s="1489"/>
      <c r="E22" s="1490"/>
      <c r="F22" s="1513">
        <f>'SBL Quotes'!R$50</f>
        <v>0.043144</v>
      </c>
      <c r="G22" s="1513">
        <f>'SBL Quotes'!S$50</f>
        <v>0.043144</v>
      </c>
      <c r="H22" s="1513">
        <f>'SBL Quotes'!T$50</f>
        <v>0.043144</v>
      </c>
      <c r="I22" s="1513">
        <f>'SBL Quotes'!U$50</f>
        <v>0.043144</v>
      </c>
      <c r="J22" s="1513">
        <f>'SBL Quotes'!V$50</f>
        <v>0.043144</v>
      </c>
      <c r="K22" s="1513">
        <f>'SBL Quotes'!W$50</f>
        <v>0.044509</v>
      </c>
      <c r="L22" s="1513">
        <f>'SBL Quotes'!X$50</f>
        <v>0.044509</v>
      </c>
      <c r="M22" s="1513">
        <f>'SBL Quotes'!Y$50</f>
        <v>0.043144</v>
      </c>
    </row>
    <row r="23" ht="15" customHeight="1">
      <c r="A23" s="6"/>
      <c r="B23" s="1514" t="s">
        <v>453</v>
      </c>
      <c r="C23" s="1515"/>
      <c r="D23" s="1515"/>
      <c r="E23" s="1516"/>
      <c r="F23" s="1517">
        <f>('SBL Quotes'!R$51+'SBL Quotes'!R$54+'SBL Quotes'!R$56+'SBL Quotes'!R$58+'SBL Quotes'!R$64)/0.0001</f>
        <v>86</v>
      </c>
      <c r="G23" s="1517">
        <f>('SBL Quotes'!S$51+'SBL Quotes'!S$54+'SBL Quotes'!S$56+'SBL Quotes'!S$58+'SBL Quotes'!S$64)/0.0001</f>
        <v>97.99999999999999</v>
      </c>
      <c r="H23" s="1517">
        <f>('SBL Quotes'!T$51+'SBL Quotes'!T$54+'SBL Quotes'!T$56+'SBL Quotes'!T$58+'SBL Quotes'!T$64)/0.0001</f>
        <v>116</v>
      </c>
      <c r="I23" s="1517">
        <f>('SBL Quotes'!U$51+'SBL Quotes'!U$54+'SBL Quotes'!U$56+'SBL Quotes'!U$58+'SBL Quotes'!U$64)/0.0001</f>
        <v>86.22579999999999</v>
      </c>
      <c r="J23" s="1517">
        <f>('SBL Quotes'!V$51+'SBL Quotes'!V$54+'SBL Quotes'!V$56+'SBL Quotes'!V$58+'SBL Quotes'!V$64)/0.0001</f>
        <v>85.9735</v>
      </c>
      <c r="K23" s="1517">
        <f>('SBL Quotes'!W$51+'SBL Quotes'!W$54+'SBL Quotes'!W$56+'SBL Quotes'!W$58+'SBL Quotes'!W$64)/0.0001</f>
        <v>92.13279999999999</v>
      </c>
      <c r="L23" s="1517">
        <f>('SBL Quotes'!X$51+'SBL Quotes'!X$54+'SBL Quotes'!X$56+'SBL Quotes'!X$58+'SBL Quotes'!X$64)/0.0001</f>
        <v>91.6373</v>
      </c>
      <c r="M23" s="1517">
        <f>('SBL Quotes'!Y$51+'SBL Quotes'!Y$54+'SBL Quotes'!Y$56+'SBL Quotes'!Y$58+'SBL Quotes'!Y$64)/0.0001</f>
        <v>86</v>
      </c>
    </row>
    <row r="24" ht="15" customHeight="1">
      <c r="A24" s="6"/>
      <c r="B24" s="1494" t="s">
        <v>458</v>
      </c>
      <c r="C24" s="1495"/>
      <c r="D24" s="1518">
        <v>0.6</v>
      </c>
      <c r="E24" s="1496"/>
      <c r="F24" s="1517">
        <f>_xlfn.LET(_xlpm.fnm_credit_fees,'SBL Quotes'!R$52,_xlpm.affordability_adjustment,'SBL Quotes'!R$57,_xlpm.small_loan_le_2million_adjustment,'SBL Quotes'!R$63,_xlpm.g_and_s_adjustment,'SBL Quotes'!R$65,_xlpm.prepay_adjustment,'SBL Quotes'!R$55,_xlpm.ltv_adjustment,'SBL Quotes'!R$60,(_xlpm.fnm_credit_fees+_xlpm.affordability_adjustment+_xlpm.small_loan_le_2million_adjustment+_xlpm.g_and_s_adjustment+_xlpm.ltv_adjustment)/0.0001*$D$24+_xlpm.prepay_adjustment)</f>
        <v>115.19999999999997</v>
      </c>
      <c r="G24" s="1517">
        <f>_xlfn.LET(_xlpm.fnm_credit_fees,'SBL Quotes'!S$52,_xlpm.affordability_adjustment,'SBL Quotes'!S$57,_xlpm.small_loan_le_2million_adjustment,'SBL Quotes'!S$63,_xlpm.g_and_s_adjustment,'SBL Quotes'!S$65,_xlpm.prepay_adjustment,'SBL Quotes'!S$55,_xlpm.ltv_adjustment,'SBL Quotes'!S$60,(_xlpm.fnm_credit_fees+_xlpm.affordability_adjustment+_xlpm.small_loan_le_2million_adjustment+_xlpm.g_and_s_adjustment+_xlpm.ltv_adjustment)/0.0001*$D$24+_xlpm.prepay_adjustment)</f>
        <v>115.19999999999997</v>
      </c>
      <c r="H24" s="1517">
        <f>_xlfn.LET(_xlpm.fnm_credit_fees,'SBL Quotes'!T$52,_xlpm.affordability_adjustment,'SBL Quotes'!T$57,_xlpm.small_loan_le_2million_adjustment,'SBL Quotes'!T$63,_xlpm.g_and_s_adjustment,'SBL Quotes'!T$65,_xlpm.prepay_adjustment,'SBL Quotes'!T$55,_xlpm.ltv_adjustment,'SBL Quotes'!T$60,(_xlpm.fnm_credit_fees+_xlpm.affordability_adjustment+_xlpm.small_loan_le_2million_adjustment+_xlpm.g_and_s_adjustment+_xlpm.ltv_adjustment)/0.0001*$D$24+_xlpm.prepay_adjustment)</f>
        <v>115.19999999999997</v>
      </c>
      <c r="I24" s="1517">
        <f>_xlfn.LET(_xlpm.fnm_credit_fees,'SBL Quotes'!U$52,_xlpm.affordability_adjustment,'SBL Quotes'!U$57,_xlpm.small_loan_le_2million_adjustment,'SBL Quotes'!U$63,_xlpm.g_and_s_adjustment,'SBL Quotes'!U$65,_xlpm.prepay_adjustment,'SBL Quotes'!U$55,_xlpm.ltv_adjustment,'SBL Quotes'!U$60,(_xlpm.fnm_credit_fees+_xlpm.affordability_adjustment+_xlpm.small_loan_le_2million_adjustment+_xlpm.g_and_s_adjustment+_xlpm.ltv_adjustment)/0.0001*$D$24+_xlpm.prepay_adjustment)</f>
        <v>103.2</v>
      </c>
      <c r="J24" s="1517">
        <f>_xlfn.LET(_xlpm.fnm_credit_fees,'SBL Quotes'!V$52,_xlpm.affordability_adjustment,'SBL Quotes'!V$57,_xlpm.small_loan_le_2million_adjustment,'SBL Quotes'!V$63,_xlpm.g_and_s_adjustment,'SBL Quotes'!V$65,_xlpm.prepay_adjustment,'SBL Quotes'!V$55,_xlpm.ltv_adjustment,'SBL Quotes'!V$60,(_xlpm.fnm_credit_fees+_xlpm.affordability_adjustment+_xlpm.small_loan_le_2million_adjustment+_xlpm.g_and_s_adjustment+_xlpm.ltv_adjustment)/0.0001*$D$24+_xlpm.prepay_adjustment)</f>
        <v>91.2</v>
      </c>
      <c r="K24" s="1517">
        <f>_xlfn.LET(_xlpm.fnm_credit_fees,'SBL Quotes'!W$52,_xlpm.affordability_adjustment,'SBL Quotes'!W$57,_xlpm.small_loan_le_2million_adjustment,'SBL Quotes'!W$63,_xlpm.g_and_s_adjustment,'SBL Quotes'!W$65,_xlpm.prepay_adjustment,'SBL Quotes'!W$55,_xlpm.ltv_adjustment,'SBL Quotes'!W$60,(_xlpm.fnm_credit_fees+_xlpm.affordability_adjustment+_xlpm.small_loan_le_2million_adjustment+_xlpm.g_and_s_adjustment+_xlpm.ltv_adjustment)/0.0001*$D$24+_xlpm.prepay_adjustment)</f>
        <v>107.99999999999999</v>
      </c>
      <c r="L24" s="1517">
        <f>_xlfn.LET(_xlpm.fnm_credit_fees,'SBL Quotes'!X$52,_xlpm.affordability_adjustment,'SBL Quotes'!X$57,_xlpm.small_loan_le_2million_adjustment,'SBL Quotes'!X$63,_xlpm.g_and_s_adjustment,'SBL Quotes'!X$65,_xlpm.prepay_adjustment,'SBL Quotes'!X$55,_xlpm.ltv_adjustment,'SBL Quotes'!X$60,(_xlpm.fnm_credit_fees+_xlpm.affordability_adjustment+_xlpm.small_loan_le_2million_adjustment+_xlpm.g_and_s_adjustment+_xlpm.ltv_adjustment)/0.0001*$D$24+_xlpm.prepay_adjustment)</f>
        <v>96</v>
      </c>
      <c r="M24" s="1517">
        <f>_xlfn.LET(_xlpm.fnm_credit_fees,'SBL Quotes'!Y$52,_xlpm.affordability_adjustment,'SBL Quotes'!Y$57,_xlpm.small_loan_le_2million_adjustment,'SBL Quotes'!Y$63,_xlpm.g_and_s_adjustment,'SBL Quotes'!Y$65,_xlpm.prepay_adjustment,'SBL Quotes'!Y$55,_xlpm.ltv_adjustment,'SBL Quotes'!Y$60,(_xlpm.fnm_credit_fees+_xlpm.affordability_adjustment+_xlpm.small_loan_le_2million_adjustment+_xlpm.g_and_s_adjustment+_xlpm.ltv_adjustment)/0.0001*$D$24+_xlpm.prepay_adjustment)</f>
        <v>115.19999999999997</v>
      </c>
    </row>
    <row r="25" ht="15" customHeight="1">
      <c r="A25" s="6"/>
      <c r="B25" s="1494" t="s">
        <v>461</v>
      </c>
      <c r="C25" s="1495"/>
      <c r="D25" s="1519">
        <f>100%-D24</f>
        <v>0.4</v>
      </c>
      <c r="E25" s="1496"/>
      <c r="F25" s="1517">
        <f>_xlfn.LET(_xlpm.fnm_credit_fees,'SBL Quotes'!R$52,_xlpm.affordability_adjustment,'SBL Quotes'!R$57,_xlpm.small_loan_le_2million_adjustment,'SBL Quotes'!R$63,_xlpm.g_and_s_adjustment,'SBL Quotes'!R$65,_xlpm.ltv_adjustment,'SBL Quotes'!R$60,(_xlpm.fnm_credit_fees+_xlpm.affordability_adjustment+_xlpm.small_loan_le_2million_adjustment+_xlpm.g_and_s_adjustment+_xlpm.ltv_adjustment)/0.0001*$D25)</f>
        <v>76.8</v>
      </c>
      <c r="G25" s="1517">
        <f>_xlfn.LET(_xlpm.fnm_credit_fees,'SBL Quotes'!S$52,_xlpm.affordability_adjustment,'SBL Quotes'!S$57,_xlpm.small_loan_le_2million_adjustment,'SBL Quotes'!S$63,_xlpm.g_and_s_adjustment,'SBL Quotes'!S$65,_xlpm.ltv_adjustment,'SBL Quotes'!S$60,(_xlpm.fnm_credit_fees+_xlpm.affordability_adjustment+_xlpm.small_loan_le_2million_adjustment+_xlpm.g_and_s_adjustment+_xlpm.ltv_adjustment)/0.0001*$D25)</f>
        <v>76.8</v>
      </c>
      <c r="H25" s="1517">
        <f>_xlfn.LET(_xlpm.fnm_credit_fees,'SBL Quotes'!T$52,_xlpm.affordability_adjustment,'SBL Quotes'!T$57,_xlpm.small_loan_le_2million_adjustment,'SBL Quotes'!T$63,_xlpm.g_and_s_adjustment,'SBL Quotes'!T$65,_xlpm.ltv_adjustment,'SBL Quotes'!T$60,(_xlpm.fnm_credit_fees+_xlpm.affordability_adjustment+_xlpm.small_loan_le_2million_adjustment+_xlpm.g_and_s_adjustment+_xlpm.ltv_adjustment)/0.0001*$D25)</f>
        <v>76.8</v>
      </c>
      <c r="I25" s="1517">
        <f>_xlfn.LET(_xlpm.fnm_credit_fees,'SBL Quotes'!U$52,_xlpm.affordability_adjustment,'SBL Quotes'!U$57,_xlpm.small_loan_le_2million_adjustment,'SBL Quotes'!U$63,_xlpm.g_and_s_adjustment,'SBL Quotes'!U$65,_xlpm.ltv_adjustment,'SBL Quotes'!U$60,(_xlpm.fnm_credit_fees+_xlpm.affordability_adjustment+_xlpm.small_loan_le_2million_adjustment+_xlpm.g_and_s_adjustment+_xlpm.ltv_adjustment)/0.0001*$D25)</f>
        <v>68.8</v>
      </c>
      <c r="J25" s="1517">
        <f>_xlfn.LET(_xlpm.fnm_credit_fees,'SBL Quotes'!V$52,_xlpm.affordability_adjustment,'SBL Quotes'!V$57,_xlpm.small_loan_le_2million_adjustment,'SBL Quotes'!V$63,_xlpm.g_and_s_adjustment,'SBL Quotes'!V$65,_xlpm.ltv_adjustment,'SBL Quotes'!V$60,(_xlpm.fnm_credit_fees+_xlpm.affordability_adjustment+_xlpm.small_loan_le_2million_adjustment+_xlpm.g_and_s_adjustment+_xlpm.ltv_adjustment)/0.0001*$D25)</f>
        <v>60.800000000000004</v>
      </c>
      <c r="K25" s="1517">
        <f>_xlfn.LET(_xlpm.fnm_credit_fees,'SBL Quotes'!W$52,_xlpm.affordability_adjustment,'SBL Quotes'!W$57,_xlpm.small_loan_le_2million_adjustment,'SBL Quotes'!W$63,_xlpm.g_and_s_adjustment,'SBL Quotes'!W$65,_xlpm.ltv_adjustment,'SBL Quotes'!W$60,(_xlpm.fnm_credit_fees+_xlpm.affordability_adjustment+_xlpm.small_loan_le_2million_adjustment+_xlpm.g_and_s_adjustment+_xlpm.ltv_adjustment)/0.0001*$D25)</f>
        <v>71.99999999999999</v>
      </c>
      <c r="L25" s="1517">
        <f>_xlfn.LET(_xlpm.fnm_credit_fees,'SBL Quotes'!X$52,_xlpm.affordability_adjustment,'SBL Quotes'!X$57,_xlpm.small_loan_le_2million_adjustment,'SBL Quotes'!X$63,_xlpm.g_and_s_adjustment,'SBL Quotes'!X$65,_xlpm.ltv_adjustment,'SBL Quotes'!X$60,(_xlpm.fnm_credit_fees+_xlpm.affordability_adjustment+_xlpm.small_loan_le_2million_adjustment+_xlpm.g_and_s_adjustment+_xlpm.ltv_adjustment)/0.0001*$D25)</f>
        <v>64</v>
      </c>
      <c r="M25" s="1517">
        <f>_xlfn.LET(_xlpm.fnm_credit_fees,'SBL Quotes'!Y$52,_xlpm.affordability_adjustment,'SBL Quotes'!Y$57,_xlpm.small_loan_le_2million_adjustment,'SBL Quotes'!Y$63,_xlpm.g_and_s_adjustment,'SBL Quotes'!Y$65,_xlpm.ltv_adjustment,'SBL Quotes'!Y$60,(_xlpm.fnm_credit_fees+_xlpm.affordability_adjustment+_xlpm.small_loan_le_2million_adjustment+_xlpm.g_and_s_adjustment+_xlpm.ltv_adjustment)/0.0001*$D25)</f>
        <v>76.8</v>
      </c>
    </row>
    <row r="26" ht="15" customHeight="1">
      <c r="A26" s="6"/>
      <c r="B26" s="1500" t="s">
        <v>465</v>
      </c>
      <c r="C26" s="1501"/>
      <c r="D26" s="1501"/>
      <c r="E26" s="1496"/>
      <c r="F26" s="1520">
        <f>'SBL Quotes'!R$66/0.0001</f>
        <v>0</v>
      </c>
      <c r="G26" s="1520">
        <f>'SBL Quotes'!S$66/0.0001</f>
        <v>0</v>
      </c>
      <c r="H26" s="1520">
        <f>'SBL Quotes'!T$66/0.0001</f>
        <v>0</v>
      </c>
      <c r="I26" s="1520">
        <f>'SBL Quotes'!U$66/0.0001</f>
        <v>0</v>
      </c>
      <c r="J26" s="1520">
        <f>'SBL Quotes'!V$66/0.0001</f>
        <v>0</v>
      </c>
      <c r="K26" s="1520">
        <f>'SBL Quotes'!W$66/0.0001</f>
        <v>0</v>
      </c>
      <c r="L26" s="1520">
        <f>'SBL Quotes'!X$66/0.0001</f>
        <v>0</v>
      </c>
      <c r="M26" s="1520">
        <f>'SBL Quotes'!Y$66/0.0001</f>
        <v>0</v>
      </c>
    </row>
    <row r="27" ht="15" customHeight="1">
      <c r="A27" s="6"/>
      <c r="B27" s="1521" t="s">
        <v>1364</v>
      </c>
      <c r="C27" s="1522"/>
      <c r="D27" s="1522"/>
      <c r="E27" s="1469"/>
      <c r="F27" s="1523">
        <f t="shared" si="4" ref="F27:M27">SUM(F23:F26)</f>
        <v>278</v>
      </c>
      <c r="G27" s="1523">
        <f t="shared" si="4"/>
        <v>289.99999999999994</v>
      </c>
      <c r="H27" s="1523">
        <f t="shared" si="4"/>
        <v>308</v>
      </c>
      <c r="I27" s="1523">
        <f t="shared" si="4"/>
        <v>258.2258</v>
      </c>
      <c r="J27" s="1523">
        <f t="shared" si="4"/>
        <v>237.9735</v>
      </c>
      <c r="K27" s="1523">
        <f t="shared" si="4"/>
        <v>272.1328</v>
      </c>
      <c r="L27" s="1523">
        <f t="shared" si="4"/>
        <v>251.63729999999998</v>
      </c>
      <c r="M27" s="1523">
        <f t="shared" si="4"/>
        <v>278</v>
      </c>
    </row>
    <row r="28" ht="15" customHeight="1">
      <c r="A28" s="6"/>
      <c r="B28" s="1521" t="s">
        <v>255</v>
      </c>
      <c r="C28" s="1522"/>
      <c r="D28" s="1522"/>
      <c r="E28" s="1469"/>
      <c r="F28" s="1524">
        <f t="shared" si="5" ref="F28:M28">F22+(F27*0.0001)</f>
        <v>0.07094400000000001</v>
      </c>
      <c r="G28" s="1524">
        <f t="shared" si="5"/>
        <v>0.072144</v>
      </c>
      <c r="H28" s="1524">
        <f t="shared" si="5"/>
        <v>0.07394400000000001</v>
      </c>
      <c r="I28" s="1524">
        <f t="shared" si="5"/>
        <v>0.06896658</v>
      </c>
      <c r="J28" s="1524">
        <f t="shared" si="5"/>
        <v>0.06694135000000001</v>
      </c>
      <c r="K28" s="1524">
        <f t="shared" si="5"/>
        <v>0.07172228</v>
      </c>
      <c r="L28" s="1524">
        <f t="shared" si="5"/>
        <v>0.06967273</v>
      </c>
      <c r="M28" s="1524">
        <f t="shared" si="5"/>
        <v>0.07094400000000001</v>
      </c>
    </row>
    <row r="29" ht="15" customHeight="1">
      <c r="A29" s="6"/>
      <c r="B29" s="1521" t="s">
        <v>1365</v>
      </c>
      <c r="C29" s="1522"/>
      <c r="D29" s="1522"/>
      <c r="E29" s="1469"/>
      <c r="F29" s="1525">
        <f>PMT(F28/12,'SBL Quotes'!R46*12,-F10,0)</f>
        <v>0</v>
      </c>
      <c r="G29" s="1525">
        <f>PMT(G28/12,'SBL Quotes'!S46*12,-G10,0)</f>
        <v>0</v>
      </c>
      <c r="H29" s="1525">
        <f>PMT(H28/12,'SBL Quotes'!T46*12,-H10,0)</f>
        <v>0</v>
      </c>
      <c r="I29" s="1525">
        <f>PMT(I28/12,'SBL Quotes'!U46*12,-I10,0)</f>
        <v>0</v>
      </c>
      <c r="J29" s="1525">
        <f>PMT(J28/12,'SBL Quotes'!V46*12,-J10,0)</f>
        <v>0</v>
      </c>
      <c r="K29" s="1525">
        <f>PMT(K28/12,'SBL Quotes'!W46*12,-K10,0)</f>
        <v>0</v>
      </c>
      <c r="L29" s="1525">
        <f>PMT(L28/12,'SBL Quotes'!X46*12,-L10,0)</f>
        <v>0</v>
      </c>
      <c r="M29" s="1525">
        <f>PMT(M28/12,'SBL Quotes'!Y46*12,-M10,0)</f>
        <v>0</v>
      </c>
    </row>
    <row r="30" ht="15" customHeight="1">
      <c r="A30" s="6"/>
      <c r="B30" s="1471" t="s">
        <v>392</v>
      </c>
      <c r="C30" s="1472"/>
      <c r="D30" s="1472"/>
      <c r="E30" s="1473"/>
      <c r="F30" s="1526" t="str">
        <f>'SBL Quotes'!R$47</f>
        <v>Standard</v>
      </c>
      <c r="G30" s="1526" t="str">
        <f>'SBL Quotes'!S$47</f>
        <v>Standard</v>
      </c>
      <c r="H30" s="1526" t="str">
        <f>'SBL Quotes'!T$47</f>
        <v>Standard</v>
      </c>
      <c r="I30" s="1526" t="str">
        <f>'SBL Quotes'!U$47</f>
        <v>Standard</v>
      </c>
      <c r="J30" s="1526" t="str">
        <f>'SBL Quotes'!V$47</f>
        <v>Standard</v>
      </c>
      <c r="K30" s="1526" t="str">
        <f>'SBL Quotes'!W$47</f>
        <v>Standard</v>
      </c>
      <c r="L30" s="1526" t="str">
        <f>'SBL Quotes'!X$47</f>
        <v>Standard</v>
      </c>
      <c r="M30" s="1526" t="str">
        <f>'SBL Quotes'!Y$47</f>
        <v>Standard</v>
      </c>
    </row>
    <row r="31" ht="15" customHeight="1">
      <c r="A31" s="6"/>
      <c r="B31" s="1494" t="s">
        <v>1366</v>
      </c>
      <c r="C31" s="1495"/>
      <c r="D31" s="1495"/>
      <c r="E31" s="1496"/>
      <c r="F31" s="1527">
        <f>'SBL Quotes'!R$76</f>
        <v>-17081723.51155998</v>
      </c>
      <c r="G31" s="1527">
        <f>'SBL Quotes'!S$76</f>
        <v>-16877955.580361508</v>
      </c>
      <c r="H31" s="1527">
        <f>'SBL Quotes'!T$76</f>
        <v>-16579553.352712335</v>
      </c>
      <c r="I31" s="1527">
        <f>'SBL Quotes'!U$76</f>
        <v>-16135387.568689754</v>
      </c>
      <c r="J31" s="1527">
        <f>'SBL Quotes'!V$76</f>
        <v>-14347323.995971369</v>
      </c>
      <c r="K31" s="1527">
        <f>'SBL Quotes'!W$76</f>
        <v>-15693629.013439042</v>
      </c>
      <c r="L31" s="1527">
        <f>'SBL Quotes'!X$76</f>
        <v>-13953170.44231928</v>
      </c>
      <c r="M31" s="1527">
        <f>'SBL Quotes'!Y$76</f>
        <v>-17081723.51155998</v>
      </c>
    </row>
    <row r="32" ht="15" customHeight="1">
      <c r="A32" s="6"/>
      <c r="B32" s="1494" t="s">
        <v>1367</v>
      </c>
      <c r="C32" s="1495"/>
      <c r="D32" s="1495"/>
      <c r="E32" s="1496"/>
      <c r="F32" s="1528">
        <f>'SBL Quotes'!R$78</f>
        <v>-21372117.369187858</v>
      </c>
      <c r="G32" s="1528">
        <f>'SBL Quotes'!S$78</f>
      </c>
      <c r="H32" s="1528">
        <f>'SBL Quotes'!T$78</f>
      </c>
      <c r="I32" s="1528">
        <f>'SBL Quotes'!U$78</f>
      </c>
      <c r="J32" s="1528">
        <f>'SBL Quotes'!V$78</f>
      </c>
      <c r="K32" s="1528">
        <f>'SBL Quotes'!W$78</f>
      </c>
      <c r="L32" s="1528">
        <f>'SBL Quotes'!X$78</f>
      </c>
      <c r="M32" s="1527">
        <f>'SBL Quotes'!Y$78</f>
        <v>-21372117.369187858</v>
      </c>
    </row>
    <row r="33" ht="15" customHeight="1">
      <c r="A33" s="6"/>
      <c r="B33" s="1494" t="s">
        <v>1368</v>
      </c>
      <c r="C33" s="1495"/>
      <c r="D33" s="1495"/>
      <c r="E33" s="1496"/>
      <c r="F33" s="1528">
        <f>'SBL Quotes'!R$77</f>
        <v>-27535235.36</v>
      </c>
      <c r="G33" s="1528">
        <f>'SBL Quotes'!S$77</f>
        <v>-27535235.36</v>
      </c>
      <c r="H33" s="1528">
        <f>'SBL Quotes'!T$77</f>
        <v>-27535235.36</v>
      </c>
      <c r="I33" s="1528">
        <f>'SBL Quotes'!U$77</f>
        <v>-22372378.729999997</v>
      </c>
      <c r="J33" s="1528">
        <f>'SBL Quotes'!V$77</f>
        <v>-18930474.31</v>
      </c>
      <c r="K33" s="1528">
        <f>'SBL Quotes'!W$77</f>
        <v>-22372378.729999997</v>
      </c>
      <c r="L33" s="1528">
        <f>'SBL Quotes'!X$77</f>
        <v>-18930474.31</v>
      </c>
      <c r="M33" s="1527">
        <f>'SBL Quotes'!Y$77</f>
        <v>-27535235.36</v>
      </c>
    </row>
    <row r="34" ht="15" customHeight="1">
      <c r="A34" s="6"/>
      <c r="B34" s="1500" t="s">
        <v>1369</v>
      </c>
      <c r="C34" s="1501"/>
      <c r="D34" s="1501"/>
      <c r="E34" s="1496"/>
      <c r="F34" s="1503">
        <f t="shared" si="6" ref="F34:M34">F18*F35</f>
        <v>-27535235.36</v>
      </c>
      <c r="G34" s="1503">
        <f t="shared" si="6"/>
        <v>-27535235.36</v>
      </c>
      <c r="H34" s="1503">
        <f t="shared" si="6"/>
        <v>-27535235.36</v>
      </c>
      <c r="I34" s="1503">
        <f t="shared" si="6"/>
        <v>-22372378.729999997</v>
      </c>
      <c r="J34" s="1503">
        <f t="shared" si="6"/>
        <v>-18930474.31</v>
      </c>
      <c r="K34" s="1503">
        <f t="shared" si="6"/>
        <v>-22372378.729999997</v>
      </c>
      <c r="L34" s="1503">
        <f t="shared" si="6"/>
        <v>-18930474.31</v>
      </c>
      <c r="M34" s="1529">
        <f t="shared" si="6"/>
        <v>-27535235.36</v>
      </c>
    </row>
    <row r="35" ht="15" customHeight="1">
      <c r="A35" s="6"/>
      <c r="B35" s="1514" t="s">
        <v>932</v>
      </c>
      <c r="C35" s="1515"/>
      <c r="D35" s="1515"/>
      <c r="E35" s="1516"/>
      <c r="F35" s="1530">
        <f>'SBL Quotes'!R$74</f>
        <v>0.8</v>
      </c>
      <c r="G35" s="1530">
        <f>'SBL Quotes'!S$74</f>
        <v>0.8</v>
      </c>
      <c r="H35" s="1530">
        <f>'SBL Quotes'!T$74</f>
        <v>0.8</v>
      </c>
      <c r="I35" s="1530">
        <f>'SBL Quotes'!U$74</f>
        <v>0.65</v>
      </c>
      <c r="J35" s="1530">
        <f>'SBL Quotes'!V$74</f>
        <v>0.55</v>
      </c>
      <c r="K35" s="1530">
        <f>'SBL Quotes'!W$74</f>
        <v>0.65</v>
      </c>
      <c r="L35" s="1530">
        <f>'SBL Quotes'!X$74</f>
        <v>0.55</v>
      </c>
      <c r="M35" s="1530">
        <f>'SBL Quotes'!Y$74</f>
        <v>0.8</v>
      </c>
    </row>
    <row r="36" ht="15" customHeight="1">
      <c r="A36" s="6"/>
      <c r="B36" s="1494" t="s">
        <v>1370</v>
      </c>
      <c r="C36" s="1495"/>
      <c r="D36" s="1495"/>
      <c r="E36" s="1496"/>
      <c r="F36" s="1530">
        <f t="shared" si="7" ref="F36:M36">_xlfn.IFERROR(F10/F15,0)</f>
        <v>0</v>
      </c>
      <c r="G36" s="1530">
        <f t="shared" si="7"/>
        <v>0</v>
      </c>
      <c r="H36" s="1530">
        <f t="shared" si="7"/>
        <v>0</v>
      </c>
      <c r="I36" s="1530">
        <f t="shared" si="7"/>
        <v>0</v>
      </c>
      <c r="J36" s="1530">
        <f t="shared" si="7"/>
        <v>0</v>
      </c>
      <c r="K36" s="1530">
        <f t="shared" si="7"/>
        <v>0</v>
      </c>
      <c r="L36" s="1530">
        <f t="shared" si="7"/>
        <v>0</v>
      </c>
      <c r="M36" s="1530">
        <f t="shared" si="7"/>
        <v>0</v>
      </c>
    </row>
    <row r="37" ht="15" customHeight="1">
      <c r="A37" s="6"/>
      <c r="B37" s="1494" t="s">
        <v>1371</v>
      </c>
      <c r="C37" s="1495"/>
      <c r="D37" s="1495"/>
      <c r="E37" s="1496"/>
      <c r="F37" s="1530">
        <f t="shared" si="8" ref="F37:M37">_xlfn.IFERROR(F10/F18,0)</f>
        <v>0</v>
      </c>
      <c r="G37" s="1530">
        <f t="shared" si="8"/>
        <v>0</v>
      </c>
      <c r="H37" s="1530">
        <f t="shared" si="8"/>
        <v>0</v>
      </c>
      <c r="I37" s="1530">
        <f t="shared" si="8"/>
        <v>0</v>
      </c>
      <c r="J37" s="1530">
        <f t="shared" si="8"/>
        <v>0</v>
      </c>
      <c r="K37" s="1530">
        <f t="shared" si="8"/>
        <v>0</v>
      </c>
      <c r="L37" s="1530">
        <f t="shared" si="8"/>
        <v>0</v>
      </c>
      <c r="M37" s="1530">
        <f t="shared" si="8"/>
        <v>0</v>
      </c>
    </row>
    <row r="38" ht="15" customHeight="1">
      <c r="A38" s="6"/>
      <c r="B38" s="1494" t="s">
        <v>1372</v>
      </c>
      <c r="C38" s="1495"/>
      <c r="D38" s="1495"/>
      <c r="E38" s="1496"/>
      <c r="F38" s="1531">
        <f>'SBL Quotes'!R$72</f>
        <v>1.25</v>
      </c>
      <c r="G38" s="1531">
        <f>'SBL Quotes'!S$72</f>
        <v>1.25</v>
      </c>
      <c r="H38" s="1531">
        <f>'SBL Quotes'!T$72</f>
        <v>1.25</v>
      </c>
      <c r="I38" s="1531">
        <f>'SBL Quotes'!U$72</f>
        <v>1.35</v>
      </c>
      <c r="J38" s="1531">
        <f>'SBL Quotes'!V$72</f>
        <v>1.55</v>
      </c>
      <c r="K38" s="1531">
        <f>'SBL Quotes'!W$72</f>
        <v>1.35</v>
      </c>
      <c r="L38" s="1531">
        <f>'SBL Quotes'!X$72</f>
        <v>1.55</v>
      </c>
      <c r="M38" s="1531">
        <f>'SBL Quotes'!Y$72</f>
        <v>1.25</v>
      </c>
    </row>
    <row r="39" ht="15" customHeight="1">
      <c r="A39" s="6"/>
      <c r="B39" s="1494" t="s">
        <v>1373</v>
      </c>
      <c r="C39" s="1495"/>
      <c r="D39" s="1495"/>
      <c r="E39" s="1532"/>
      <c r="F39" s="1531">
        <f t="shared" si="9" ref="F39:M39">_xlfn.IFERROR((F$14/(PMT(F$28/12,360,-F$10)*12)),0)</f>
        <v>0</v>
      </c>
      <c r="G39" s="1531">
        <f t="shared" si="9"/>
        <v>0</v>
      </c>
      <c r="H39" s="1531">
        <f t="shared" si="9"/>
        <v>0</v>
      </c>
      <c r="I39" s="1531">
        <f t="shared" si="9"/>
        <v>0</v>
      </c>
      <c r="J39" s="1531">
        <f t="shared" si="9"/>
        <v>0</v>
      </c>
      <c r="K39" s="1531">
        <f t="shared" si="9"/>
        <v>0</v>
      </c>
      <c r="L39" s="1531">
        <f t="shared" si="9"/>
        <v>0</v>
      </c>
      <c r="M39" s="1531">
        <f t="shared" si="9"/>
        <v>0</v>
      </c>
    </row>
    <row r="40" ht="15" customHeight="1">
      <c r="A40" s="6"/>
      <c r="B40" s="1494" t="str">
        <f>"Floor Rate/Max Rate (Strike = "&amp;_xlfn.IFERROR(ROUND(100*(F40-(F27*0.0001)-0.001),2)&amp;"%)","N/A)")</f>
        <v>Floor Rate/Max Rate (Strike = 2.12%)</v>
      </c>
      <c r="C40" s="1495"/>
      <c r="D40" s="1495"/>
      <c r="E40" s="1496"/>
      <c r="F40" s="1533">
        <f>IF(ISNUMBER('SBL Quotes'!R$79),'SBL Quotes'!R$79,'SBL Quotes'!R$68)</f>
        <v>0.05</v>
      </c>
      <c r="G40" s="1533">
        <f>IF(ISNUMBER('SBL Quotes'!S$79),'SBL Quotes'!S$79,'SBL Quotes'!S$68)</f>
        <v>0.072144</v>
      </c>
      <c r="H40" s="1533">
        <f>IF(ISNUMBER('SBL Quotes'!T$79),'SBL Quotes'!T$79,'SBL Quotes'!T$68)</f>
        <v>0.07394400000000001</v>
      </c>
      <c r="I40" s="1533">
        <f>IF(ISNUMBER('SBL Quotes'!U$79),'SBL Quotes'!U$79,'SBL Quotes'!U$68)</f>
        <v>0.06896658000000001</v>
      </c>
      <c r="J40" s="1533">
        <f>IF(ISNUMBER('SBL Quotes'!V$79),'SBL Quotes'!V$79,'SBL Quotes'!V$68)</f>
        <v>0.06694135000000001</v>
      </c>
      <c r="K40" s="1533">
        <f>IF(ISNUMBER('SBL Quotes'!W$79),'SBL Quotes'!W$79,'SBL Quotes'!W$68)</f>
        <v>0.07172228</v>
      </c>
      <c r="L40" s="1533">
        <f>IF(ISNUMBER('SBL Quotes'!X$79),'SBL Quotes'!X$79,'SBL Quotes'!X$68)</f>
        <v>0.06967273</v>
      </c>
      <c r="M40" s="1533">
        <f>IF(ISNUMBER('SBL Quotes'!Y$79),'SBL Quotes'!Y$79,'SBL Quotes'!Y$68)</f>
        <v>0.05</v>
      </c>
    </row>
    <row r="41" ht="15" customHeight="1">
      <c r="A41" s="6"/>
      <c r="B41" s="1494" t="s">
        <v>1375</v>
      </c>
      <c r="C41" s="1495"/>
      <c r="D41" s="1495"/>
      <c r="E41" s="1496"/>
      <c r="F41" s="1531">
        <f>IF(SBL_DelegatedLevel="Performance Differentiation",1.1,'SBL Quotes'!R$73)</f>
        <v>1.25</v>
      </c>
      <c r="G41" s="1531">
        <f>IF(SBL_DelegatedLevel="Performance Differentiation",1.1,'SBL Quotes'!S$73)</f>
        <v>1.25</v>
      </c>
      <c r="H41" s="1531">
        <f>IF(SBL_DelegatedLevel="Performance Differentiation",1.1,'SBL Quotes'!T$73)</f>
        <v>1.25</v>
      </c>
      <c r="I41" s="1531">
        <f>IF(SBL_DelegatedLevel="Performance Differentiation",1.1,'SBL Quotes'!U$73)</f>
        <v>1.35</v>
      </c>
      <c r="J41" s="1531">
        <f>IF(SBL_DelegatedLevel="Performance Differentiation",1.1,'SBL Quotes'!V$73)</f>
        <v>1.55</v>
      </c>
      <c r="K41" s="1531">
        <f>IF(SBL_DelegatedLevel="Performance Differentiation",1.1,'SBL Quotes'!W$73)</f>
        <v>1.35</v>
      </c>
      <c r="L41" s="1531">
        <f>IF(SBL_DelegatedLevel="Performance Differentiation",1.1,'SBL Quotes'!X$73)</f>
        <v>1.55</v>
      </c>
      <c r="M41" s="1531">
        <f>IF(SBL_DelegatedLevel="Performance Differentiation",1.1,'SBL Quotes'!Y$73)</f>
        <v>1.25</v>
      </c>
    </row>
    <row r="42" ht="15" customHeight="1">
      <c r="A42" s="6"/>
      <c r="B42" s="1500" t="s">
        <v>1376</v>
      </c>
      <c r="C42" s="1501"/>
      <c r="D42" s="1501"/>
      <c r="E42" s="1502"/>
      <c r="F42" s="1534">
        <f t="shared" si="10" ref="F42:M42">IF(F11="Fixed Rate",_xlfn.IFERROR((F$14/(PMT(F$40/12,360,-F$10)*12)),0),_xlfn.IFERROR((F$14/(F10*F40)),0))</f>
        <v>0</v>
      </c>
      <c r="G42" s="1534">
        <f t="shared" si="10"/>
        <v>0</v>
      </c>
      <c r="H42" s="1534">
        <f t="shared" si="10"/>
        <v>0</v>
      </c>
      <c r="I42" s="1534">
        <f t="shared" si="10"/>
        <v>0</v>
      </c>
      <c r="J42" s="1534">
        <f t="shared" si="10"/>
        <v>0</v>
      </c>
      <c r="K42" s="1534">
        <f t="shared" si="10"/>
        <v>0</v>
      </c>
      <c r="L42" s="1534">
        <f t="shared" si="10"/>
        <v>0</v>
      </c>
      <c r="M42" s="1534">
        <f t="shared" si="10"/>
        <v>0</v>
      </c>
    </row>
    <row r="43" ht="15" customHeight="1">
      <c r="A43" s="6"/>
      <c r="B43" s="1535" t="s">
        <v>1377</v>
      </c>
      <c r="C43" s="1495"/>
      <c r="D43" s="1495"/>
      <c r="E43" s="1496"/>
      <c r="F43" s="1536" t="str">
        <f>"Tier "&amp;'SBL Quotes'!R$39</f>
        <v>Tier 2</v>
      </c>
      <c r="G43" s="1536" t="str">
        <f>"Tier "&amp;'SBL Quotes'!S$39</f>
        <v>Tier 2</v>
      </c>
      <c r="H43" s="1536" t="str">
        <f>"Tier "&amp;'SBL Quotes'!T$39</f>
        <v>Tier 2</v>
      </c>
      <c r="I43" s="1536" t="str">
        <f>"Tier "&amp;'SBL Quotes'!U$39</f>
        <v>Tier 3</v>
      </c>
      <c r="J43" s="1536" t="str">
        <f>"Tier "&amp;'SBL Quotes'!V$39</f>
        <v>Tier 4</v>
      </c>
      <c r="K43" s="1536" t="str">
        <f>"Tier "&amp;'SBL Quotes'!W$39</f>
        <v>Tier 3</v>
      </c>
      <c r="L43" s="1536" t="str">
        <f>"Tier "&amp;'SBL Quotes'!X$39</f>
        <v>Tier 4</v>
      </c>
      <c r="M43" s="1536" t="str">
        <f>"Tier "&amp;'SBL Quotes'!Y$39</f>
        <v>Tier 2</v>
      </c>
    </row>
    <row r="44" ht="15" customHeight="1">
      <c r="A44" s="6"/>
      <c r="B44" s="1535" t="s">
        <v>1378</v>
      </c>
      <c r="C44" s="1495"/>
      <c r="D44" s="1495"/>
      <c r="E44" s="1496"/>
      <c r="F44" s="1537">
        <f>'SBL Quotes'!R$72</f>
        <v>1.25</v>
      </c>
      <c r="G44" s="1537">
        <f>'SBL Quotes'!S$72</f>
        <v>1.25</v>
      </c>
      <c r="H44" s="1537">
        <f>'SBL Quotes'!T$72</f>
        <v>1.25</v>
      </c>
      <c r="I44" s="1537">
        <f>'SBL Quotes'!U$72</f>
        <v>1.35</v>
      </c>
      <c r="J44" s="1537">
        <f>'SBL Quotes'!V$72</f>
        <v>1.55</v>
      </c>
      <c r="K44" s="1537">
        <f>'SBL Quotes'!W$72</f>
        <v>1.35</v>
      </c>
      <c r="L44" s="1537">
        <f>'SBL Quotes'!X$72</f>
        <v>1.55</v>
      </c>
      <c r="M44" s="1538">
        <f>'SBL Quotes'!Y$72</f>
        <v>1.25</v>
      </c>
    </row>
    <row r="45" ht="15" customHeight="1">
      <c r="A45" s="6"/>
      <c r="B45" s="1535" t="s">
        <v>1379</v>
      </c>
      <c r="C45" s="1495"/>
      <c r="D45" s="1495"/>
      <c r="E45" s="1496"/>
      <c r="F45" s="1539">
        <f>'SBL Quotes'!R$74</f>
        <v>0.8</v>
      </c>
      <c r="G45" s="1539">
        <f>'SBL Quotes'!S$74</f>
        <v>0.8</v>
      </c>
      <c r="H45" s="1539">
        <f>'SBL Quotes'!T$74</f>
        <v>0.8</v>
      </c>
      <c r="I45" s="1539">
        <f>'SBL Quotes'!U$74</f>
        <v>0.65</v>
      </c>
      <c r="J45" s="1539">
        <f>'SBL Quotes'!V$74</f>
        <v>0.55</v>
      </c>
      <c r="K45" s="1539">
        <f>'SBL Quotes'!W$74</f>
        <v>0.65</v>
      </c>
      <c r="L45" s="1539">
        <f>'SBL Quotes'!X$74</f>
        <v>0.55</v>
      </c>
      <c r="M45" s="1540">
        <f>'SBL Quotes'!Y$74</f>
        <v>0.8</v>
      </c>
    </row>
    <row r="46" ht="15" customHeight="1">
      <c r="A46" s="6"/>
      <c r="B46" s="1541" t="s">
        <v>1380</v>
      </c>
      <c r="C46" s="1542"/>
      <c r="D46" s="1542"/>
      <c r="E46" s="1543"/>
      <c r="F46" s="1541"/>
      <c r="G46" s="1544"/>
      <c r="H46" s="1545"/>
      <c r="I46" s="1544"/>
      <c r="J46" s="1545"/>
      <c r="K46" s="1544"/>
      <c r="L46" s="1545"/>
      <c r="M46" s="1541"/>
    </row>
    <row r="47" ht="15" customHeight="1">
      <c r="A47" s="6"/>
      <c r="B47" s="1546" t="s">
        <v>1381</v>
      </c>
      <c r="C47" s="1547"/>
      <c r="D47" s="1547"/>
      <c r="E47" s="1548"/>
      <c r="F47" s="1549">
        <f>'SBL Quotes'!R86</f>
        <v>-2277314.0883136215</v>
      </c>
      <c r="G47" s="1549">
        <f>'SBL Quotes'!S86</f>
        <v>-2408656.340927534</v>
      </c>
      <c r="H47" s="1549">
        <f>'SBL Quotes'!T86</f>
        <v>-2620065.277827656</v>
      </c>
      <c r="I47" s="1549">
        <f>'SBL Quotes'!U86</f>
        <v>-2277314.0883136215</v>
      </c>
      <c r="J47" s="1549">
        <f>'SBL Quotes'!V86</f>
        <v>-2277314.0883136215</v>
      </c>
      <c r="K47" s="1549">
        <f>'SBL Quotes'!W86</f>
        <v>-1979569.6748393609</v>
      </c>
      <c r="L47" s="1549">
        <f>'SBL Quotes'!X86</f>
        <v>-1979569.6748393609</v>
      </c>
      <c r="M47" s="1549">
        <f>'SBL Quotes'!Y86</f>
        <v>-2277314.0883136215</v>
      </c>
    </row>
    <row r="48" ht="15" customHeight="1">
      <c r="A48" s="6"/>
      <c r="B48" s="1550" t="s">
        <v>1382</v>
      </c>
      <c r="C48" s="1551"/>
      <c r="D48" s="1551"/>
      <c r="E48" s="1552"/>
      <c r="F48" s="1553" t="e">
        <f>'SBL Quotes'!R87</f>
        <v>#NAME?</v>
      </c>
      <c r="G48" s="1553" t="e">
        <f>'SBL Quotes'!S87</f>
        <v>#NAME?</v>
      </c>
      <c r="H48" s="1553" t="e">
        <f>'SBL Quotes'!T87</f>
        <v>#NAME?</v>
      </c>
      <c r="I48" s="1553" t="e">
        <f>'SBL Quotes'!U87</f>
        <v>#NAME?</v>
      </c>
      <c r="J48" s="1553">
        <f>'SBL Quotes'!V87</f>
        <v>0</v>
      </c>
      <c r="K48" s="1553" t="e">
        <f>'SBL Quotes'!W87</f>
        <v>#NAME?</v>
      </c>
      <c r="L48" s="1553">
        <f>'SBL Quotes'!X87</f>
        <v>0</v>
      </c>
      <c r="M48" s="1553" t="e">
        <f>'SBL Quotes'!Y87</f>
        <v>#NAME?</v>
      </c>
    </row>
    <row r="49" ht="15" customHeight="1">
      <c r="A49" s="1554"/>
      <c r="B49" s="1550" t="s">
        <v>982</v>
      </c>
      <c r="C49" s="1551"/>
      <c r="D49" s="1551"/>
      <c r="E49" s="1552"/>
      <c r="F49" s="1553">
        <f>'SBL Quotes'!R88</f>
        <v>-32533058.404480305</v>
      </c>
      <c r="G49" s="1553">
        <f>'SBL Quotes'!S88</f>
        <v>-34409376.29896477</v>
      </c>
      <c r="H49" s="1553">
        <f>'SBL Quotes'!T88</f>
        <v>-37429503.96896651</v>
      </c>
      <c r="I49" s="1553">
        <f>'SBL Quotes'!U88</f>
        <v>-32533058.404480305</v>
      </c>
      <c r="J49" s="1553">
        <f>'SBL Quotes'!V88</f>
        <v>-32533058.404480305</v>
      </c>
      <c r="K49" s="1553">
        <f>'SBL Quotes'!W88</f>
        <v>-28279566.783419438</v>
      </c>
      <c r="L49" s="1553">
        <f>'SBL Quotes'!X88</f>
        <v>-28279566.783419438</v>
      </c>
      <c r="M49" s="1553">
        <f>'SBL Quotes'!Y88</f>
        <v>-32533058.404480305</v>
      </c>
    </row>
    <row r="50" ht="15" customHeight="1">
      <c r="A50" s="6"/>
      <c r="B50" s="1555" t="s">
        <v>985</v>
      </c>
      <c r="C50" s="1556"/>
      <c r="D50" s="1556"/>
      <c r="E50" s="1552"/>
      <c r="F50" s="1557">
        <f>'SBL Quotes'!R89</f>
        <v>0.028407919214384413</v>
      </c>
      <c r="G50" s="1557">
        <f>'SBL Quotes'!S89</f>
        <v>0.028412079667409208</v>
      </c>
      <c r="H50" s="1557">
        <f>'SBL Quotes'!T89</f>
        <v>0.028417725546511872</v>
      </c>
      <c r="I50" s="1557">
        <f>'SBL Quotes'!U89</f>
        <v>0.028407919214384413</v>
      </c>
      <c r="J50" s="1557">
        <f>'SBL Quotes'!V89</f>
        <v>0.028407919214384413</v>
      </c>
      <c r="K50" s="1557">
        <f>'SBL Quotes'!W89</f>
        <v>0.02839604169460341</v>
      </c>
      <c r="L50" s="1557">
        <f>'SBL Quotes'!X89</f>
        <v>0.02839604169460341</v>
      </c>
      <c r="M50" s="1557">
        <f>'SBL Quotes'!Y89</f>
        <v>0.028407919214384413</v>
      </c>
    </row>
    <row r="51" ht="15" customHeight="1">
      <c r="A51" s="6"/>
      <c r="B51" s="1555" t="s">
        <v>417</v>
      </c>
      <c r="C51" s="1556"/>
      <c r="D51" s="1556"/>
      <c r="E51" s="1552"/>
      <c r="F51" s="1557">
        <f>'SBL Quotes'!R90</f>
        <v>0</v>
      </c>
      <c r="G51" s="1557">
        <f>'SBL Quotes'!S90</f>
        <v>0</v>
      </c>
      <c r="H51" s="1557">
        <f>'SBL Quotes'!T90</f>
        <v>0</v>
      </c>
      <c r="I51" s="1557">
        <f>'SBL Quotes'!U90</f>
        <v>0</v>
      </c>
      <c r="J51" s="1557">
        <f>'SBL Quotes'!V90</f>
        <v>0</v>
      </c>
      <c r="K51" s="1557">
        <f>'SBL Quotes'!W90</f>
        <v>0</v>
      </c>
      <c r="L51" s="1557">
        <f>'SBL Quotes'!X90</f>
        <v>0</v>
      </c>
      <c r="M51" s="1557">
        <f>'SBL Quotes'!Y90</f>
        <v>0</v>
      </c>
    </row>
    <row r="52" ht="15" customHeight="1">
      <c r="A52" s="6"/>
      <c r="B52" s="1558" t="s">
        <v>988</v>
      </c>
      <c r="C52" s="1559"/>
      <c r="D52" s="1559"/>
      <c r="E52" s="1560"/>
      <c r="F52" s="1561">
        <f>'SBL Quotes'!R91</f>
        <v>0</v>
      </c>
      <c r="G52" s="1561">
        <f>'SBL Quotes'!S91</f>
        <v>0</v>
      </c>
      <c r="H52" s="1561">
        <f>'SBL Quotes'!T91</f>
        <v>0</v>
      </c>
      <c r="I52" s="1561">
        <f>'SBL Quotes'!U91</f>
        <v>0</v>
      </c>
      <c r="J52" s="1561">
        <f>'SBL Quotes'!V91</f>
        <v>0</v>
      </c>
      <c r="K52" s="1561">
        <f>'SBL Quotes'!W91</f>
        <v>0</v>
      </c>
      <c r="L52" s="1561">
        <f>'SBL Quotes'!X91</f>
        <v>0</v>
      </c>
      <c r="M52" s="1561">
        <f>'SBL Quotes'!Y91</f>
        <v>0</v>
      </c>
    </row>
    <row r="53" ht="15" customHeight="1">
      <c r="A53" s="6"/>
      <c r="B53" s="1555" t="s">
        <v>990</v>
      </c>
      <c r="C53" s="1556"/>
      <c r="D53" s="1556"/>
      <c r="E53" s="1552"/>
      <c r="F53" s="1557">
        <f>'SBL Quotes'!R92</f>
        <v>0</v>
      </c>
      <c r="G53" s="1557">
        <f>'SBL Quotes'!S92</f>
        <v>0</v>
      </c>
      <c r="H53" s="1557">
        <f>'SBL Quotes'!T92</f>
        <v>0</v>
      </c>
      <c r="I53" s="1557">
        <f>'SBL Quotes'!U92</f>
        <v>0</v>
      </c>
      <c r="J53" s="1557">
        <f>'SBL Quotes'!V92</f>
        <v>0</v>
      </c>
      <c r="K53" s="1557">
        <f>'SBL Quotes'!W92</f>
        <v>0</v>
      </c>
      <c r="L53" s="1557">
        <f>'SBL Quotes'!X92</f>
        <v>0</v>
      </c>
      <c r="M53" s="1557">
        <f>'SBL Quotes'!Y92</f>
        <v>0</v>
      </c>
    </row>
    <row r="54" ht="15" customHeight="1">
      <c r="A54" s="6"/>
      <c r="B54" s="1555" t="s">
        <v>993</v>
      </c>
      <c r="C54" s="1556"/>
      <c r="D54" s="1556"/>
      <c r="E54" s="1552"/>
      <c r="F54" s="1557">
        <f>'SBL Quotes'!R93</f>
        <v>0</v>
      </c>
      <c r="G54" s="1557">
        <f>'SBL Quotes'!S93</f>
        <v>0</v>
      </c>
      <c r="H54" s="1557">
        <f>'SBL Quotes'!T93</f>
        <v>0</v>
      </c>
      <c r="I54" s="1557">
        <f>'SBL Quotes'!U93</f>
        <v>0</v>
      </c>
      <c r="J54" s="1557">
        <f>'SBL Quotes'!V93</f>
        <v>0</v>
      </c>
      <c r="K54" s="1557">
        <f>'SBL Quotes'!W93</f>
        <v>0</v>
      </c>
      <c r="L54" s="1557">
        <f>'SBL Quotes'!X93</f>
        <v>0</v>
      </c>
      <c r="M54" s="1557">
        <f>'SBL Quotes'!Y93</f>
        <v>0</v>
      </c>
    </row>
    <row r="55" ht="15" customHeight="1">
      <c r="A55" s="6"/>
      <c r="B55" s="1562" t="s">
        <v>994</v>
      </c>
      <c r="C55" s="1563"/>
      <c r="D55" s="1563"/>
      <c r="E55" s="1564"/>
      <c r="F55" s="1565">
        <f>'SBL Quotes'!R94</f>
        <v>0</v>
      </c>
      <c r="G55" s="1565">
        <f>'SBL Quotes'!S94</f>
        <v>0</v>
      </c>
      <c r="H55" s="1565">
        <f>'SBL Quotes'!T94</f>
        <v>0</v>
      </c>
      <c r="I55" s="1565">
        <f>'SBL Quotes'!U94</f>
        <v>0</v>
      </c>
      <c r="J55" s="1565">
        <f>'SBL Quotes'!V94</f>
        <v>0</v>
      </c>
      <c r="K55" s="1565">
        <f>'SBL Quotes'!W94</f>
        <v>0</v>
      </c>
      <c r="L55" s="1565">
        <f>'SBL Quotes'!X94</f>
        <v>0</v>
      </c>
      <c r="M55" s="1565">
        <f>'SBL Quotes'!Y94</f>
        <v>0</v>
      </c>
    </row>
    <row r="56" ht="15" customHeight="1">
      <c r="A56" s="6"/>
      <c r="B56" s="1566" t="s">
        <v>995</v>
      </c>
      <c r="C56" s="1567"/>
      <c r="D56" s="1567"/>
      <c r="E56" s="1568"/>
      <c r="F56" s="1569">
        <f>'SBL Quotes'!R95</f>
        <v>0</v>
      </c>
      <c r="G56" s="1569">
        <f>'SBL Quotes'!S95</f>
        <v>0</v>
      </c>
      <c r="H56" s="1569">
        <f>'SBL Quotes'!T95</f>
        <v>0</v>
      </c>
      <c r="I56" s="1569">
        <f>'SBL Quotes'!U95</f>
        <v>0</v>
      </c>
      <c r="J56" s="1569">
        <f>'SBL Quotes'!V95</f>
        <v>0</v>
      </c>
      <c r="K56" s="1569">
        <f>'SBL Quotes'!W95</f>
        <v>0</v>
      </c>
      <c r="L56" s="1569">
        <f>'SBL Quotes'!X95</f>
        <v>0</v>
      </c>
      <c r="M56" s="1569">
        <f>'SBL Quotes'!Y95</f>
        <v>0</v>
      </c>
    </row>
    <row r="57" ht="15" customHeight="1">
      <c r="A57" s="6"/>
      <c r="B57" s="1570" t="s">
        <v>1383</v>
      </c>
      <c r="C57" s="1571"/>
      <c r="D57" s="1571"/>
      <c r="E57" s="1572"/>
      <c r="F57" s="1570"/>
      <c r="G57" s="1573"/>
      <c r="H57" s="1574"/>
      <c r="I57" s="1573"/>
      <c r="J57" s="1574"/>
      <c r="K57" s="1573"/>
      <c r="L57" s="1574"/>
      <c r="M57" s="1570"/>
    </row>
    <row r="58" ht="15" customHeight="1" s="1575" customFormat="1">
      <c r="A58" s="6"/>
      <c r="B58" s="1576" t="s">
        <v>1384</v>
      </c>
      <c r="C58" s="1577"/>
      <c r="D58" s="1577"/>
      <c r="E58" s="1577"/>
      <c r="F58" s="1578">
        <f>INDEX('FNM Exit Strategy'!$D$73:$AH$73,1,F9+1)</f>
        <v>-2413186.968021325</v>
      </c>
      <c r="G58" s="1579">
        <f>INDEX('FNM Exit Strategy'!$D$73:$AH$73,1,G9+1)</f>
        <v>-2586156.2168738237</v>
      </c>
      <c r="H58" s="1580">
        <f>INDEX('FNM Exit Strategy'!$D$73:$AH$73,1,H9+1)</f>
        <v>-2867659.804901883</v>
      </c>
      <c r="I58" s="1579">
        <f>INDEX('FNM Exit Strategy'!$D$73:$AH$73,1,I9+1)</f>
        <v>-2413186.968021325</v>
      </c>
      <c r="J58" s="1580">
        <f>INDEX('FNM Exit Strategy'!$D$73:$AH$73,1,J9+1)</f>
        <v>-2413186.968021325</v>
      </c>
      <c r="K58" s="1579">
        <f>INDEX('FNM Exit Strategy'!$D$73:$AH$73,1,K9+1)</f>
        <v>-2027131.8386105904</v>
      </c>
      <c r="L58" s="1580">
        <f>INDEX('FNM Exit Strategy'!$D$73:$AH$73,1,L9+1)</f>
        <v>-2027131.8386105904</v>
      </c>
      <c r="M58" s="1578" t="e">
        <f>INDEX('FNM Exit Strategy'!$D$73:$AH$73,1,M9+1)</f>
        <v>#REF!</v>
      </c>
    </row>
    <row r="59" ht="15" customHeight="1">
      <c r="A59" s="6"/>
      <c r="B59" s="1581" t="s">
        <v>1382</v>
      </c>
      <c r="C59" s="1582"/>
      <c r="D59" s="1582"/>
      <c r="E59" s="1582"/>
      <c r="F59" s="1583" t="e">
        <f t="shared" si="11" ref="F59:M59">F48</f>
        <v>#NAME?</v>
      </c>
      <c r="G59" s="1584" t="e">
        <f t="shared" si="11"/>
        <v>#NAME?</v>
      </c>
      <c r="H59" s="1585" t="e">
        <f t="shared" si="11"/>
        <v>#NAME?</v>
      </c>
      <c r="I59" s="1584" t="e">
        <f t="shared" si="11"/>
        <v>#NAME?</v>
      </c>
      <c r="J59" s="1585">
        <f t="shared" si="11"/>
        <v>0</v>
      </c>
      <c r="K59" s="1584" t="e">
        <f t="shared" si="11"/>
        <v>#NAME?</v>
      </c>
      <c r="L59" s="1585">
        <f t="shared" si="11"/>
        <v>0</v>
      </c>
      <c r="M59" s="1583" t="e">
        <f t="shared" si="11"/>
        <v>#NAME?</v>
      </c>
    </row>
    <row r="60" ht="15" customHeight="1">
      <c r="A60" s="1554"/>
      <c r="B60" s="1581" t="s">
        <v>1385</v>
      </c>
      <c r="C60" s="1582"/>
      <c r="D60" s="1582"/>
      <c r="E60" s="1582"/>
      <c r="F60" s="1578">
        <f>_xlfn.IFERROR(F58/'FNM Exit Strategy'!$AM$20,0)</f>
        <v>-34474099.54316178</v>
      </c>
      <c r="G60" s="1579">
        <f>_xlfn.IFERROR(G58/'FNM Exit Strategy'!$AM$20,0)</f>
        <v>-36945088.81248319</v>
      </c>
      <c r="H60" s="1580">
        <f>_xlfn.IFERROR(H58/'FNM Exit Strategy'!$AM$20,0)</f>
        <v>-40966568.641455464</v>
      </c>
      <c r="I60" s="1579">
        <f>_xlfn.IFERROR(I58/'FNM Exit Strategy'!$AM$20,0)</f>
        <v>-34474099.54316178</v>
      </c>
      <c r="J60" s="1580">
        <f>_xlfn.IFERROR(J58/'FNM Exit Strategy'!$AM$20,0)</f>
        <v>-34474099.54316178</v>
      </c>
      <c r="K60" s="1579">
        <f>_xlfn.IFERROR(K58/'FNM Exit Strategy'!$AM$20,0)</f>
        <v>-28959026.265865576</v>
      </c>
      <c r="L60" s="1580">
        <f>_xlfn.IFERROR(L58/'FNM Exit Strategy'!$AM$20,0)</f>
        <v>-28959026.265865576</v>
      </c>
      <c r="M60" s="1578">
        <f>_xlfn.IFERROR(M58/'FNM Exit Strategy'!$AM$20,0)</f>
        <v>0</v>
      </c>
    </row>
    <row r="61" ht="15" customHeight="1">
      <c r="A61" s="6"/>
      <c r="B61" s="1586" t="s">
        <v>985</v>
      </c>
      <c r="C61" s="1587"/>
      <c r="D61" s="1587"/>
      <c r="E61" s="1587"/>
      <c r="F61" s="1588">
        <f>_xlfn.IFERROR(RATE(F9,0,-'Fannie Historical Ops'!$AK$77,F58,1),0)</f>
        <v>0.03438500486914776</v>
      </c>
      <c r="G61" s="1589">
        <f>_xlfn.IFERROR(RATE(G9,0,-'Fannie Historical Ops'!$AK$77,G58,1),0)</f>
        <v>0.0345238214186415</v>
      </c>
      <c r="H61" s="1590">
        <f>_xlfn.IFERROR(RATE(H9,0,-'Fannie Historical Ops'!$AK$77,H58,1),0)</f>
        <v>0.03462727043242429</v>
      </c>
      <c r="I61" s="1589">
        <f>_xlfn.IFERROR(RATE(I9,0,-'Fannie Historical Ops'!$AK$77,I58,1),0)</f>
        <v>0.03438500486914776</v>
      </c>
      <c r="J61" s="1590">
        <f>_xlfn.IFERROR(RATE(J9,0,-'Fannie Historical Ops'!$AK$77,J58,1),0)</f>
        <v>0.03438500486914776</v>
      </c>
      <c r="K61" s="1589">
        <f>_xlfn.IFERROR(RATE(K9,0,-'Fannie Historical Ops'!$AK$77,K58,1),0)</f>
        <v>0.03329097670738963</v>
      </c>
      <c r="L61" s="1590">
        <f>_xlfn.IFERROR(RATE(L9,0,-'Fannie Historical Ops'!$AK$77,L58,1),0)</f>
        <v>0.03329097670738963</v>
      </c>
      <c r="M61" s="1588">
        <f>_xlfn.IFERROR(RATE(M9,0,-'Fannie Historical Ops'!$AK$77,M58,1),0)</f>
        <v>0</v>
      </c>
    </row>
    <row r="62" ht="15" customHeight="1">
      <c r="A62" s="6"/>
      <c r="B62" s="1586" t="s">
        <v>417</v>
      </c>
      <c r="C62" s="1587"/>
      <c r="D62" s="1587"/>
      <c r="E62" s="1587"/>
      <c r="F62" s="1591">
        <f t="shared" si="12" ref="F62:M62">_xlfn.IFERROR(F58/F59,0)</f>
        <v>0</v>
      </c>
      <c r="G62" s="1592">
        <f t="shared" si="12"/>
        <v>0</v>
      </c>
      <c r="H62" s="1593">
        <f t="shared" si="12"/>
        <v>0</v>
      </c>
      <c r="I62" s="1592">
        <f t="shared" si="12"/>
        <v>0</v>
      </c>
      <c r="J62" s="1593">
        <f t="shared" si="12"/>
        <v>0</v>
      </c>
      <c r="K62" s="1592">
        <f t="shared" si="12"/>
        <v>0</v>
      </c>
      <c r="L62" s="1593">
        <f t="shared" si="12"/>
        <v>0</v>
      </c>
      <c r="M62" s="1591">
        <f t="shared" si="12"/>
        <v>0</v>
      </c>
    </row>
    <row r="63" ht="15" customHeight="1">
      <c r="A63" s="6"/>
      <c r="B63" s="1594" t="s">
        <v>988</v>
      </c>
      <c r="C63" s="1595"/>
      <c r="D63" s="1595"/>
      <c r="E63" s="1595"/>
      <c r="F63" s="1596">
        <f>_xlfn.IFERROR(F59/(F58/'FNM Exit Strategy'!$AM$20),0)</f>
        <v>0</v>
      </c>
      <c r="G63" s="1597">
        <f>_xlfn.IFERROR(G59/(G58/'FNM Exit Strategy'!$AM$20),0)</f>
        <v>0</v>
      </c>
      <c r="H63" s="1598">
        <f>_xlfn.IFERROR(H59/(H58/'FNM Exit Strategy'!$AM$20),0)</f>
        <v>0</v>
      </c>
      <c r="I63" s="1597">
        <f>_xlfn.IFERROR(I59/(I58/'FNM Exit Strategy'!$AM$20),0)</f>
        <v>0</v>
      </c>
      <c r="J63" s="1598">
        <f>_xlfn.IFERROR(J59/(J58/'FNM Exit Strategy'!$AM$20),0)</f>
        <v>0</v>
      </c>
      <c r="K63" s="1597">
        <f>_xlfn.IFERROR(K59/(K58/'FNM Exit Strategy'!$AM$20),0)</f>
        <v>0</v>
      </c>
      <c r="L63" s="1598">
        <f>_xlfn.IFERROR(L59/(L58/'FNM Exit Strategy'!$AM$20),0)</f>
        <v>0</v>
      </c>
      <c r="M63" s="1596">
        <f>_xlfn.IFERROR(M59/(M58/'FNM Exit Strategy'!$AM$20),0)</f>
        <v>0</v>
      </c>
    </row>
    <row r="64" ht="15" customHeight="1">
      <c r="A64" s="6"/>
      <c r="B64" s="1586" t="str">
        <f>"Cap Rate to Achieve "&amp;TEXT(D64,"0%")&amp;" LTV"</f>
        <v>Cap Rate to Achieve 80% LTV</v>
      </c>
      <c r="C64" s="1587"/>
      <c r="D64" s="1599">
        <v>0.8</v>
      </c>
      <c r="E64" s="1587"/>
      <c r="F64" s="1588">
        <f t="shared" si="13" ref="F64:M64">_xlfn.IFERROR(F58/(F59/$D$64),0)</f>
        <v>0</v>
      </c>
      <c r="G64" s="1589">
        <f t="shared" si="13"/>
        <v>0</v>
      </c>
      <c r="H64" s="1590">
        <f t="shared" si="13"/>
        <v>0</v>
      </c>
      <c r="I64" s="1589">
        <f t="shared" si="13"/>
        <v>0</v>
      </c>
      <c r="J64" s="1590">
        <f t="shared" si="13"/>
        <v>0</v>
      </c>
      <c r="K64" s="1589">
        <f t="shared" si="13"/>
        <v>0</v>
      </c>
      <c r="L64" s="1590">
        <f t="shared" si="13"/>
        <v>0</v>
      </c>
      <c r="M64" s="1588">
        <f t="shared" si="13"/>
        <v>0</v>
      </c>
    </row>
    <row r="65" ht="15" customHeight="1">
      <c r="A65" s="6"/>
      <c r="B65" s="1586" t="s">
        <v>993</v>
      </c>
      <c r="C65" s="1600">
        <v>360</v>
      </c>
      <c r="D65" s="1601">
        <v>1.25</v>
      </c>
      <c r="E65" s="1587"/>
      <c r="F65" s="1602">
        <f t="shared" si="14" ref="F65:M65">_xlfn.IFERROR(RATE($C$65,-F58/$D$65/12,F59)*12,0)</f>
        <v>0</v>
      </c>
      <c r="G65" s="1603">
        <f t="shared" si="14"/>
        <v>0</v>
      </c>
      <c r="H65" s="1604">
        <f t="shared" si="14"/>
        <v>0</v>
      </c>
      <c r="I65" s="1603">
        <f t="shared" si="14"/>
        <v>0</v>
      </c>
      <c r="J65" s="1604">
        <f t="shared" si="14"/>
        <v>0</v>
      </c>
      <c r="K65" s="1603">
        <f t="shared" si="14"/>
        <v>0</v>
      </c>
      <c r="L65" s="1604">
        <f t="shared" si="14"/>
        <v>0</v>
      </c>
      <c r="M65" s="1602">
        <f t="shared" si="14"/>
        <v>0</v>
      </c>
    </row>
    <row r="66" ht="15" customHeight="1">
      <c r="A66" s="6"/>
      <c r="B66" s="1605" t="s">
        <v>994</v>
      </c>
      <c r="C66" s="1600">
        <v>360</v>
      </c>
      <c r="D66" s="1606">
        <v>0.075</v>
      </c>
      <c r="E66" s="1607"/>
      <c r="F66" s="1608">
        <f t="shared" si="15" ref="F66:M66">_xlfn.IFERROR(F58/(F59*PMT($D$66/12,$C$66,-1)*12),0)</f>
        <v>0</v>
      </c>
      <c r="G66" s="1609">
        <f t="shared" si="15"/>
        <v>0</v>
      </c>
      <c r="H66" s="1609">
        <f t="shared" si="15"/>
        <v>0</v>
      </c>
      <c r="I66" s="1609">
        <f t="shared" si="15"/>
        <v>0</v>
      </c>
      <c r="J66" s="1609">
        <f t="shared" si="15"/>
        <v>0</v>
      </c>
      <c r="K66" s="1609">
        <f t="shared" si="15"/>
        <v>0</v>
      </c>
      <c r="L66" s="1609">
        <f t="shared" si="15"/>
        <v>0</v>
      </c>
      <c r="M66" s="1609">
        <f t="shared" si="15"/>
        <v>0</v>
      </c>
    </row>
    <row r="67" ht="15" customHeight="1">
      <c r="A67" s="6"/>
      <c r="B67" s="1610" t="s">
        <v>995</v>
      </c>
      <c r="C67" s="1611"/>
      <c r="D67" s="1611"/>
      <c r="E67" s="1611"/>
      <c r="F67" s="1612">
        <f>_xlfn.IFERROR(F59/(F58/'FNM Exit Strategy'!$AL$35),0)</f>
        <v>0</v>
      </c>
      <c r="G67" s="1613">
        <f>_xlfn.IFERROR(G59/(G58/'FNM Exit Strategy'!$AL$35),0)</f>
        <v>0</v>
      </c>
      <c r="H67" s="1614">
        <f>_xlfn.IFERROR(H59/(H58/'FNM Exit Strategy'!$AL$35),0)</f>
        <v>0</v>
      </c>
      <c r="I67" s="1613">
        <f>_xlfn.IFERROR(I59/(I58/'FNM Exit Strategy'!$AL$35),0)</f>
        <v>0</v>
      </c>
      <c r="J67" s="1614">
        <f>_xlfn.IFERROR(J59/(J58/'FNM Exit Strategy'!$AL$35),0)</f>
        <v>0</v>
      </c>
      <c r="K67" s="1613">
        <f>_xlfn.IFERROR(K59/(K58/'FNM Exit Strategy'!$AL$35),0)</f>
        <v>0</v>
      </c>
      <c r="L67" s="1614">
        <f>_xlfn.IFERROR(L59/(L58/'FNM Exit Strategy'!$AL$35),0)</f>
        <v>0</v>
      </c>
      <c r="M67" s="1612">
        <f>_xlfn.IFERROR(M59/(M58/'FNM Exit Strategy'!$AL$35),0)</f>
        <v>0</v>
      </c>
    </row>
    <row r="68" ht="15" customHeight="1">
      <c r="A68" s="6"/>
      <c r="B68" s="6"/>
      <c r="C68" s="6"/>
      <c r="D68" s="6"/>
      <c r="E68" s="1"/>
      <c r="F68" s="6"/>
      <c r="G68" s="6"/>
      <c r="H68" s="6"/>
      <c r="I68" s="6"/>
      <c r="J68" s="6"/>
      <c r="K68" s="6"/>
      <c r="L68" s="6"/>
      <c r="M68" s="6"/>
    </row>
    <row r="69" ht="15" customHeight="1">
      <c r="A69" s="6"/>
      <c r="B69" s="6"/>
      <c r="C69" s="6"/>
      <c r="D69" s="6"/>
      <c r="E69" s="1"/>
      <c r="F69" s="6"/>
      <c r="G69" s="6"/>
      <c r="H69" s="6"/>
      <c r="I69" s="6"/>
      <c r="J69" s="6"/>
      <c r="K69" s="6"/>
      <c r="L69" s="6"/>
      <c r="M69" s="6"/>
    </row>
    <row r="70" ht="15" customHeight="1">
      <c r="A70" s="6"/>
      <c r="B70" s="6"/>
      <c r="C70" s="6"/>
      <c r="D70" s="6"/>
      <c r="E70" s="1"/>
      <c r="F70" s="6"/>
      <c r="G70" s="6"/>
      <c r="H70" s="6"/>
      <c r="I70" s="6"/>
      <c r="J70" s="6"/>
      <c r="K70" s="6"/>
      <c r="L70" s="6"/>
      <c r="M70" s="6"/>
    </row>
    <row r="71" ht="15" customHeight="1">
      <c r="A71" s="6"/>
      <c r="B71" s="6"/>
      <c r="C71" s="6"/>
      <c r="D71" s="6"/>
      <c r="E71" s="1"/>
      <c r="F71" s="6"/>
      <c r="G71" s="6"/>
      <c r="H71" s="6"/>
      <c r="I71" s="6"/>
      <c r="J71" s="6"/>
      <c r="K71" s="6"/>
      <c r="L71" s="6"/>
      <c r="M71" s="6"/>
    </row>
    <row r="72" ht="15" customHeight="1">
      <c r="A72" s="6"/>
      <c r="B72" s="6"/>
      <c r="C72" s="6"/>
      <c r="D72" s="6"/>
      <c r="E72" s="1"/>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ht="15" customHeight="1">
      <c r="A73" s="6"/>
      <c r="B73" s="6"/>
      <c r="C73" s="6"/>
      <c r="D73" s="6"/>
      <c r="E73" s="1"/>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ht="15" customHeight="1">
      <c r="A74" s="6"/>
      <c r="B74" s="6"/>
      <c r="C74" s="6"/>
      <c r="D74" s="6"/>
      <c r="E74" s="1"/>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ht="15" customHeight="1">
      <c r="A75" s="6"/>
      <c r="B75" s="6"/>
      <c r="C75" s="6"/>
      <c r="D75" s="6"/>
      <c r="E75" s="1"/>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row>
    <row r="76" ht="15" customHeight="1">
      <c r="A76" s="6"/>
      <c r="B76" s="6"/>
      <c r="C76" s="6"/>
      <c r="D76" s="6"/>
      <c r="E76" s="1"/>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row>
    <row r="77" ht="15" customHeight="1">
      <c r="A77" s="6"/>
      <c r="B77" s="6"/>
      <c r="C77" s="6"/>
      <c r="D77" s="6"/>
      <c r="E77" s="1"/>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row>
    <row r="78" ht="15" customHeight="1">
      <c r="A78" s="6"/>
      <c r="B78" s="6"/>
      <c r="C78" s="6"/>
      <c r="D78" s="6"/>
      <c r="E78" s="1"/>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row>
    <row r="79" ht="15" customHeight="1">
      <c r="A79" s="6"/>
      <c r="B79" s="6"/>
      <c r="C79" s="6"/>
      <c r="D79" s="6"/>
      <c r="E79" s="1"/>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row>
    <row r="80" ht="15" customHeight="1">
      <c r="A80" s="6"/>
      <c r="B80" s="6"/>
      <c r="C80" s="6"/>
      <c r="D80" s="6"/>
      <c r="E80" s="1"/>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row>
    <row r="81" ht="15" customHeight="1">
      <c r="A81" s="6"/>
      <c r="B81" s="6"/>
      <c r="C81" s="6"/>
      <c r="D81" s="6"/>
      <c r="E81" s="1"/>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ht="15.75" customHeight="1">
      <c r="A82" s="6"/>
      <c r="B82" s="6"/>
      <c r="C82" s="6"/>
      <c r="D82" s="6"/>
      <c r="E82" s="1"/>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1615"/>
      <c r="AX82" s="1615"/>
      <c r="AY82" s="1615"/>
      <c r="AZ82" s="1615"/>
    </row>
    <row r="83" ht="15" customHeight="1">
      <c r="A83" s="6"/>
      <c r="B83" s="6"/>
      <c r="C83" s="6"/>
      <c r="D83" s="6"/>
      <c r="E83" s="1"/>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row>
    <row r="84" ht="15" customHeight="1">
      <c r="A84" s="6"/>
      <c r="B84" s="6"/>
      <c r="C84" s="6"/>
      <c r="D84" s="6"/>
      <c r="E84" s="1"/>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row>
    <row r="85" ht="15" customHeight="1">
      <c r="A85" s="6"/>
      <c r="B85" s="6"/>
      <c r="C85" s="6"/>
      <c r="D85" s="6"/>
      <c r="E85" s="1"/>
      <c r="F85" s="6"/>
      <c r="G85" s="6"/>
      <c r="H85" s="6"/>
      <c r="I85" s="6"/>
      <c r="J85" s="6"/>
      <c r="K85" s="6"/>
      <c r="L85" s="6"/>
      <c r="M85" s="6"/>
      <c r="N85" s="6"/>
      <c r="O85" s="6"/>
      <c r="P85" s="6"/>
      <c r="Q85" s="6"/>
      <c r="R85" s="6"/>
      <c r="S85" s="6"/>
      <c r="T85" s="6"/>
      <c r="U85" s="6"/>
      <c r="V85" s="6"/>
      <c r="W85" s="6"/>
      <c r="X85" s="6"/>
      <c r="Y85" s="6"/>
      <c r="Z85" s="6"/>
    </row>
    <row r="86" ht="15" customHeight="1">
      <c r="A86" s="6"/>
      <c r="B86" s="6"/>
      <c r="C86" s="6"/>
      <c r="D86" s="6"/>
      <c r="E86" s="1"/>
      <c r="F86" s="6"/>
      <c r="G86" s="6"/>
      <c r="H86" s="6"/>
      <c r="I86" s="6"/>
      <c r="J86" s="6"/>
      <c r="K86" s="6"/>
      <c r="L86" s="6"/>
      <c r="M86" s="6"/>
      <c r="N86" s="6"/>
      <c r="O86" s="6"/>
      <c r="P86" s="6"/>
      <c r="Q86" s="6"/>
      <c r="R86" s="6"/>
      <c r="S86" s="6"/>
      <c r="T86" s="6"/>
      <c r="U86" s="6"/>
      <c r="V86" s="6"/>
      <c r="W86" s="6"/>
      <c r="X86" s="6"/>
      <c r="Y86" s="6"/>
      <c r="Z86" s="6"/>
    </row>
    <row r="87" ht="15" customHeight="1">
      <c r="A87" s="6"/>
      <c r="B87" s="6"/>
      <c r="C87" s="6"/>
      <c r="D87" s="6"/>
      <c r="E87" s="1"/>
      <c r="F87" s="6"/>
      <c r="G87" s="6"/>
      <c r="H87" s="6"/>
      <c r="I87" s="6"/>
      <c r="J87" s="6"/>
      <c r="K87" s="6"/>
      <c r="L87" s="6"/>
      <c r="M87" s="6"/>
      <c r="N87" s="6"/>
      <c r="O87" s="6"/>
      <c r="P87" s="6"/>
      <c r="Q87" s="6"/>
      <c r="R87" s="6"/>
      <c r="S87" s="6"/>
      <c r="T87" s="6"/>
      <c r="U87" s="6"/>
      <c r="V87" s="6"/>
      <c r="W87" s="6"/>
      <c r="X87" s="6"/>
      <c r="Y87" s="6"/>
      <c r="Z87" s="6"/>
    </row>
    <row r="88" ht="15" customHeight="1">
      <c r="B88" s="6"/>
      <c r="C88" s="6"/>
      <c r="D88" s="6"/>
      <c r="E88" s="1"/>
      <c r="F88" s="6"/>
      <c r="G88" s="6"/>
      <c r="H88" s="6"/>
      <c r="I88" s="6"/>
      <c r="J88" s="6"/>
      <c r="K88" s="6"/>
      <c r="L88" s="6"/>
      <c r="M88" s="6"/>
      <c r="N88" s="6"/>
      <c r="O88" s="6"/>
      <c r="P88" s="6"/>
      <c r="Q88" s="6"/>
      <c r="R88" s="6"/>
      <c r="S88" s="6"/>
      <c r="T88" s="6"/>
      <c r="U88" s="6"/>
      <c r="V88" s="6"/>
      <c r="W88" s="6"/>
      <c r="X88" s="6"/>
      <c r="Y88" s="6"/>
      <c r="Z88" s="6"/>
    </row>
    <row r="89" ht="15" customHeight="1">
      <c r="B89" s="6"/>
      <c r="C89" s="6"/>
      <c r="D89" s="6"/>
      <c r="E89" s="1"/>
      <c r="F89" s="6"/>
      <c r="G89" s="6"/>
      <c r="H89" s="6"/>
      <c r="I89" s="6"/>
      <c r="J89" s="6"/>
      <c r="K89" s="6"/>
      <c r="L89" s="6"/>
      <c r="M89" s="6"/>
      <c r="N89" s="6"/>
    </row>
    <row r="90" ht="15" customHeight="1">
      <c r="B90" s="6"/>
      <c r="C90" s="6"/>
      <c r="D90" s="6"/>
      <c r="E90" s="1"/>
      <c r="F90" s="6"/>
      <c r="G90" s="6"/>
      <c r="H90" s="6"/>
      <c r="I90" s="6"/>
      <c r="J90" s="6"/>
      <c r="K90" s="6"/>
      <c r="L90" s="6"/>
      <c r="M90" s="6"/>
    </row>
    <row r="91" ht="15" customHeight="1">
      <c r="B91" s="6"/>
      <c r="C91" s="6"/>
      <c r="D91" s="6"/>
      <c r="E91" s="1"/>
      <c r="F91" s="6"/>
      <c r="G91" s="6"/>
      <c r="H91" s="6"/>
      <c r="I91" s="6"/>
      <c r="J91" s="6"/>
      <c r="K91" s="6"/>
      <c r="L91" s="6"/>
      <c r="M91" s="6"/>
    </row>
  </sheetData>
  <mergeCells>
    <mergeCell ref="F7:M7"/>
  </mergeCells>
  <conditionalFormatting sqref="G8:M9 G11:M67">
    <cfRule type="expression" dxfId="30" priority="5" text="null">
      <formula>G$10=0</formula>
    </cfRule>
  </conditionalFormatting>
  <conditionalFormatting sqref="F5:F6">
    <cfRule type="expression" dxfId="6" priority="3" text="null">
      <formula>$F$6=0</formula>
    </cfRule>
  </conditionalFormatting>
  <dataValidations count="3">
    <dataValidation allowBlank="1" showErrorMessage="1" showInputMessage="1" sqref="D8" type="list">
      <formula1>$F$8:$M$8</formula1>
    </dataValidation>
    <dataValidation allowBlank="1" showErrorMessage="1" showInputMessage="1" sqref="F30:M30" type="list">
      <formula1>"Standard,Streamlined"</formula1>
    </dataValidation>
    <dataValidation allowBlank="1" showErrorMessage="1" showInputMessage="1" sqref="F11:M11" type="list">
      <formula1>"Fixed Rate,Variable Rate"</formula1>
    </dataValidation>
  </dataValidations>
  <hyperlinks>
    <hyperlink ref="L2" r:id="rId1" display="Costar"/>
    <hyperlink ref="L3" r:id="rId2" display="Security Gauge"/>
    <hyperlink ref="L4" r:id="rId3" display="Axiometrics (if Students)"/>
  </hyperlinks>
  <printOptions/>
  <pageMargins left="0.25" right="0.25" top="0.75" bottom="0.75" header="0.3" footer="0.3"/>
  <pageSetup useFirstPageNumber="1" fitToHeight="1" fitToWidth="1" paperSize="1" firstPageNumber="1" scale="53" pageOrder="downThenOver" orientation="landscape"/>
  <headerFooter>
    <oddHeader>&amp;L&amp;C&amp;R</oddHeader>
    <oddFooter>&amp;L&amp;C&amp;R</oddFooter>
  </headerFooter>
  <drawing r:id="rId4"/>
  <legacyDrawing r:id="rId5"/>
  <mc:AlternateContent xmlns:mc="http://schemas.openxmlformats.org/markup-compatibility/2006">
    <mc:Choice Requires="x14">
      <controls>
        <mc:AlternateContent xmlns:mc="http://schemas.openxmlformats.org/markup-compatibility/2006">
          <mc:Choice Requires="x14">
            <control shapeId="1120258" name="buttton_PrintToPDF" r:id="rId6">
              <controlPr defaultSize="0" autoPict="0" print="0">
                <anchor moveWithCells="1" sizeWithCells="1">
                  <from>
                    <xdr:col>6</xdr:col>
                    <xdr:colOff>863632</xdr:colOff>
                    <xdr:row>1</xdr:row>
                    <xdr:rowOff>0</xdr:rowOff>
                  </from>
                  <to>
                    <xdr:col>8</xdr:col>
                    <xdr:colOff>419100</xdr:colOff>
                    <xdr:row>3</xdr:row>
                    <xdr:rowOff>101632</xdr:rowOff>
                  </to>
                </anchor>
              </controlPr>
            </control>
          </mc:Choice>
        </mc:AlternateContent>
        <mc:AlternateContent xmlns:mc="http://schemas.openxmlformats.org/markup-compatibility/2006">
          <mc:Choice Requires="x14">
            <control shapeId="1120260" name="button_ExportForDUSGateway" r:id="rId7">
              <controlPr defaultSize="0" autoPict="0" print="0">
                <anchor moveWithCells="1" sizeWithCells="1">
                  <from>
                    <xdr:col>3</xdr:col>
                    <xdr:colOff>609600</xdr:colOff>
                    <xdr:row>0</xdr:row>
                    <xdr:rowOff>177832</xdr:rowOff>
                  </from>
                  <to>
                    <xdr:col>6</xdr:col>
                    <xdr:colOff>330232</xdr:colOff>
                    <xdr:row>3</xdr:row>
                    <xdr:rowOff>101632</xdr:rowOff>
                  </to>
                </anchor>
              </controlPr>
            </control>
          </mc:Choice>
        </mc:AlternateContent>
      </controls>
    </mc:Choice>
  </mc:AlternateConten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3902475F-12BA-A29F-373A-348D4E7AC021}" mc:Ignorable="x14ac xr xr2 xr3">
  <sheetPr>
    <tabColor theme="8" tint="-0.5"/>
  </sheetPr>
  <dimension ref="A1:AP98"/>
  <sheetViews>
    <sheetView topLeftCell="A1" zoomScale="90" workbookViewId="0">
      <selection activeCell="C9" sqref="C9"/>
    </sheetView>
  </sheetViews>
  <sheetFormatPr defaultRowHeight="15" defaultColWidth="16.57421875" customHeight="1"/>
  <cols>
    <col min="1" max="1" style="625" width="2.57421875" customWidth="1"/>
    <col min="2" max="2" style="625" width="35.8515625" customWidth="1"/>
    <col min="3" max="14" style="625" width="12.00390625" customWidth="1"/>
    <col min="15" max="34" style="625" width="12.00390625" hidden="1" customWidth="1"/>
    <col min="35" max="35" style="625" width="2.57421875" customWidth="1"/>
    <col min="36" max="36" style="625" width="3.57421875" customWidth="1"/>
    <col min="37" max="37" style="625" width="34.28125" customWidth="1"/>
    <col min="38" max="39" style="625" width="15.57421875" customWidth="1"/>
  </cols>
  <sheetData>
    <row r="1" ht="15" customHeight="1">
      <c r="A1" s="6"/>
      <c r="B1" s="1440" t="str">
        <f>property_name</f>
        <v>XXXX</v>
      </c>
      <c r="C1" s="1616"/>
      <c r="D1" s="1440" t="str">
        <f>"Built: "&amp;'SBL Quotes'!$B$14</f>
        <v>Built: XXXX</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5" customHeight="1">
      <c r="A2" s="1440"/>
      <c r="B2" s="1440" t="str">
        <f>SblQuotes_CityState&amp;" "&amp;ZipCode_DataPageTab</f>
        <v>City, XX XXXXX</v>
      </c>
      <c r="C2" s="1617"/>
      <c r="D2" s="1440">
        <f>number_units</f>
        <v>101</v>
      </c>
      <c r="F2" s="6"/>
      <c r="G2" s="1618"/>
      <c r="H2" s="1619"/>
      <c r="J2" s="1618"/>
      <c r="K2" s="1618"/>
      <c r="L2" s="6"/>
      <c r="M2" s="6"/>
      <c r="N2" s="6"/>
      <c r="O2" s="6"/>
      <c r="P2" s="6"/>
      <c r="Q2" s="6"/>
      <c r="R2" s="6"/>
      <c r="S2" s="6"/>
      <c r="T2" s="6"/>
      <c r="U2" s="6"/>
      <c r="V2" s="6"/>
      <c r="W2" s="6"/>
      <c r="X2" s="6"/>
      <c r="Y2" s="6"/>
      <c r="Z2" s="6"/>
      <c r="AA2" s="6"/>
      <c r="AB2" s="6"/>
      <c r="AC2" s="6"/>
      <c r="AD2" s="6"/>
      <c r="AE2" s="6"/>
      <c r="AF2" s="6"/>
      <c r="AG2" s="6"/>
      <c r="AH2" s="6"/>
      <c r="AI2" s="6"/>
      <c r="AJ2" s="6"/>
      <c r="AK2" s="6"/>
      <c r="AL2" s="6"/>
      <c r="AM2" s="6"/>
      <c r="AN2" s="6"/>
    </row>
    <row r="3" ht="15" customHeight="1">
      <c r="A3" s="1440"/>
      <c r="B3" s="1620"/>
      <c r="C3" s="1617"/>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row>
    <row r="4" ht="15" customHeight="1">
      <c r="A4" s="1440"/>
      <c r="B4" s="1620" t="s">
        <v>1387</v>
      </c>
      <c r="C4" s="1621" t="s">
        <v>451</v>
      </c>
      <c r="D4" s="1237"/>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5.75" customHeight="1">
      <c r="A5" s="1440"/>
      <c r="B5" s="1622" t="s">
        <v>1388</v>
      </c>
      <c r="C5" s="1623" t="e">
        <f>Exit_LoanTerm+1</f>
        <v>#NAME?</v>
      </c>
      <c r="D5" s="1624"/>
      <c r="E5" s="625" t="str">
        <f>IF(COUNTBLANK(E7:I7)&gt;0,"↓ Requires DUS Gateway lookup ↓","-")</f>
        <v>↓ Requires DUS Gateway lookup ↓</v>
      </c>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21.75" customHeight="1">
      <c r="A6" s="1625"/>
      <c r="B6" s="1626" t="s">
        <v>1390</v>
      </c>
      <c r="C6" s="1627" t="s">
        <v>1391</v>
      </c>
      <c r="D6" s="1628">
        <v>1</v>
      </c>
      <c r="E6" s="1628">
        <f t="shared" si="0" ref="E6:AH45">D6+1</f>
        <v>2</v>
      </c>
      <c r="F6" s="1628">
        <f t="shared" si="0"/>
        <v>3</v>
      </c>
      <c r="G6" s="1628">
        <f t="shared" si="0"/>
        <v>4</v>
      </c>
      <c r="H6" s="1628">
        <f t="shared" si="0"/>
        <v>5</v>
      </c>
      <c r="I6" s="1628">
        <f t="shared" si="0"/>
        <v>6</v>
      </c>
      <c r="J6" s="1628">
        <f t="shared" si="0"/>
        <v>7</v>
      </c>
      <c r="K6" s="1628">
        <f t="shared" si="0"/>
        <v>8</v>
      </c>
      <c r="L6" s="1628">
        <f t="shared" si="0"/>
        <v>9</v>
      </c>
      <c r="M6" s="1628">
        <f t="shared" si="0"/>
        <v>10</v>
      </c>
      <c r="N6" s="1628">
        <f t="shared" si="0"/>
        <v>11</v>
      </c>
      <c r="O6" s="1628">
        <f t="shared" si="0"/>
        <v>12</v>
      </c>
      <c r="P6" s="1628">
        <f t="shared" si="0"/>
        <v>13</v>
      </c>
      <c r="Q6" s="1628">
        <f t="shared" si="0"/>
        <v>14</v>
      </c>
      <c r="R6" s="1628">
        <f t="shared" si="0"/>
        <v>15</v>
      </c>
      <c r="S6" s="1628">
        <f t="shared" si="0"/>
        <v>16</v>
      </c>
      <c r="T6" s="1628">
        <f t="shared" si="0"/>
        <v>17</v>
      </c>
      <c r="U6" s="1628">
        <f t="shared" si="0"/>
        <v>18</v>
      </c>
      <c r="V6" s="1628">
        <f t="shared" si="0"/>
        <v>19</v>
      </c>
      <c r="W6" s="1628">
        <f t="shared" si="0"/>
        <v>20</v>
      </c>
      <c r="X6" s="1628">
        <f t="shared" si="0"/>
        <v>21</v>
      </c>
      <c r="Y6" s="1628">
        <f t="shared" si="0"/>
        <v>22</v>
      </c>
      <c r="Z6" s="1628">
        <f t="shared" si="0"/>
        <v>23</v>
      </c>
      <c r="AA6" s="1628">
        <f t="shared" si="0"/>
        <v>24</v>
      </c>
      <c r="AB6" s="1628">
        <f t="shared" si="0"/>
        <v>25</v>
      </c>
      <c r="AC6" s="1628">
        <f t="shared" si="0"/>
        <v>26</v>
      </c>
      <c r="AD6" s="1628">
        <f t="shared" si="0"/>
        <v>27</v>
      </c>
      <c r="AE6" s="1628">
        <f t="shared" si="0"/>
        <v>28</v>
      </c>
      <c r="AF6" s="1628">
        <f t="shared" si="0"/>
        <v>29</v>
      </c>
      <c r="AG6" s="1628">
        <f t="shared" si="0"/>
        <v>30</v>
      </c>
      <c r="AH6" s="1628">
        <f t="shared" si="0"/>
        <v>31</v>
      </c>
      <c r="AI6" s="1629"/>
      <c r="AJ6" s="6"/>
      <c r="AK6" s="1630" t="str">
        <f>"Proposed Transaction "&amp;IF('SBL Quotes'!AN34="3rd Supplemental","(4th Mortgage)",IF('SBL Quotes'!AN33="2nd Supplemental","(3rd Mortgage)",IF('SBL Quotes'!AN32="Supplemental","(2nd Mortgage)","(1st Mortgage)")))</f>
        <v>Proposed Transaction (1st Mortgage)</v>
      </c>
      <c r="AL6" s="1631"/>
      <c r="AM6" s="6"/>
      <c r="AN6" s="6"/>
    </row>
    <row r="7" ht="15.75" customHeight="1">
      <c r="A7" s="1625"/>
      <c r="B7" s="1632" t="s">
        <v>1393</v>
      </c>
      <c r="C7" s="1633"/>
      <c r="D7" s="1634">
        <v>0</v>
      </c>
      <c r="E7" s="1635"/>
      <c r="F7" s="1635"/>
      <c r="G7" s="1635"/>
      <c r="H7" s="1635"/>
      <c r="I7" s="1636"/>
      <c r="J7" s="1636">
        <f t="shared" si="1" ref="J7:AH7">I7</f>
        <v>0</v>
      </c>
      <c r="K7" s="1636">
        <f t="shared" si="1"/>
        <v>0</v>
      </c>
      <c r="L7" s="1636">
        <f t="shared" si="1"/>
        <v>0</v>
      </c>
      <c r="M7" s="1636">
        <f t="shared" si="1"/>
        <v>0</v>
      </c>
      <c r="N7" s="1636">
        <f t="shared" si="1"/>
        <v>0</v>
      </c>
      <c r="O7" s="1636">
        <f t="shared" si="1"/>
        <v>0</v>
      </c>
      <c r="P7" s="1636">
        <f t="shared" si="1"/>
        <v>0</v>
      </c>
      <c r="Q7" s="1636">
        <f t="shared" si="1"/>
        <v>0</v>
      </c>
      <c r="R7" s="1636">
        <f t="shared" si="1"/>
        <v>0</v>
      </c>
      <c r="S7" s="1636">
        <f t="shared" si="1"/>
        <v>0</v>
      </c>
      <c r="T7" s="1636">
        <f t="shared" si="1"/>
        <v>0</v>
      </c>
      <c r="U7" s="1636">
        <f t="shared" si="1"/>
        <v>0</v>
      </c>
      <c r="V7" s="1636">
        <f t="shared" si="1"/>
        <v>0</v>
      </c>
      <c r="W7" s="1636">
        <f t="shared" si="1"/>
        <v>0</v>
      </c>
      <c r="X7" s="1636">
        <f t="shared" si="1"/>
        <v>0</v>
      </c>
      <c r="Y7" s="1636">
        <f t="shared" si="1"/>
        <v>0</v>
      </c>
      <c r="Z7" s="1636">
        <f t="shared" si="1"/>
        <v>0</v>
      </c>
      <c r="AA7" s="1636">
        <f t="shared" si="1"/>
        <v>0</v>
      </c>
      <c r="AB7" s="1636">
        <f t="shared" si="1"/>
        <v>0</v>
      </c>
      <c r="AC7" s="1636">
        <f t="shared" si="1"/>
        <v>0</v>
      </c>
      <c r="AD7" s="1636">
        <f t="shared" si="1"/>
        <v>0</v>
      </c>
      <c r="AE7" s="1636">
        <f t="shared" si="1"/>
        <v>0</v>
      </c>
      <c r="AF7" s="1636">
        <f t="shared" si="1"/>
        <v>0</v>
      </c>
      <c r="AG7" s="1636">
        <f t="shared" si="1"/>
        <v>0</v>
      </c>
      <c r="AH7" s="1636">
        <f t="shared" si="1"/>
        <v>0</v>
      </c>
      <c r="AI7" s="1637"/>
      <c r="AJ7" s="6"/>
      <c r="AK7" s="1638" t="s">
        <v>1394</v>
      </c>
      <c r="AL7" s="1639" t="e">
        <f>Term</f>
        <v>#NAME?</v>
      </c>
      <c r="AM7" s="6"/>
      <c r="AN7" s="1640"/>
    </row>
    <row r="8" ht="15" customHeight="1">
      <c r="A8" s="1625"/>
      <c r="B8" s="613" t="s">
        <v>1395</v>
      </c>
      <c r="C8" s="1"/>
      <c r="D8" s="1641">
        <f>ROUND(SOps_UnderwrittenGPR*(1+D7),0)</f>
        <v>1556580</v>
      </c>
      <c r="E8" s="1641">
        <f t="shared" si="2" ref="E8:AH8">ROUND(D8*(1+E7),0)</f>
        <v>1556580</v>
      </c>
      <c r="F8" s="1641">
        <f t="shared" si="2"/>
        <v>1556580</v>
      </c>
      <c r="G8" s="1641">
        <f t="shared" si="2"/>
        <v>1556580</v>
      </c>
      <c r="H8" s="1641">
        <f t="shared" si="2"/>
        <v>1556580</v>
      </c>
      <c r="I8" s="1641">
        <f t="shared" si="2"/>
        <v>1556580</v>
      </c>
      <c r="J8" s="1641">
        <f t="shared" si="2"/>
        <v>1556580</v>
      </c>
      <c r="K8" s="1641">
        <f t="shared" si="2"/>
        <v>1556580</v>
      </c>
      <c r="L8" s="1641">
        <f t="shared" si="2"/>
        <v>1556580</v>
      </c>
      <c r="M8" s="1641">
        <f t="shared" si="2"/>
        <v>1556580</v>
      </c>
      <c r="N8" s="1641">
        <f t="shared" si="2"/>
        <v>1556580</v>
      </c>
      <c r="O8" s="1641">
        <f t="shared" si="2"/>
        <v>1556580</v>
      </c>
      <c r="P8" s="1641">
        <f t="shared" si="2"/>
        <v>1556580</v>
      </c>
      <c r="Q8" s="1641">
        <f t="shared" si="2"/>
        <v>1556580</v>
      </c>
      <c r="R8" s="1641">
        <f t="shared" si="2"/>
        <v>1556580</v>
      </c>
      <c r="S8" s="1641">
        <f t="shared" si="2"/>
        <v>1556580</v>
      </c>
      <c r="T8" s="1641">
        <f t="shared" si="2"/>
        <v>1556580</v>
      </c>
      <c r="U8" s="1641">
        <f t="shared" si="2"/>
        <v>1556580</v>
      </c>
      <c r="V8" s="1641">
        <f t="shared" si="2"/>
        <v>1556580</v>
      </c>
      <c r="W8" s="1641">
        <f t="shared" si="2"/>
        <v>1556580</v>
      </c>
      <c r="X8" s="1641">
        <f t="shared" si="2"/>
        <v>1556580</v>
      </c>
      <c r="Y8" s="1641">
        <f t="shared" si="2"/>
        <v>1556580</v>
      </c>
      <c r="Z8" s="1641">
        <f t="shared" si="2"/>
        <v>1556580</v>
      </c>
      <c r="AA8" s="1641">
        <f t="shared" si="2"/>
        <v>1556580</v>
      </c>
      <c r="AB8" s="1641">
        <f t="shared" si="2"/>
        <v>1556580</v>
      </c>
      <c r="AC8" s="1641">
        <f t="shared" si="2"/>
        <v>1556580</v>
      </c>
      <c r="AD8" s="1641">
        <f t="shared" si="2"/>
        <v>1556580</v>
      </c>
      <c r="AE8" s="1641">
        <f t="shared" si="2"/>
        <v>1556580</v>
      </c>
      <c r="AF8" s="1641">
        <f t="shared" si="2"/>
        <v>1556580</v>
      </c>
      <c r="AG8" s="1641">
        <f t="shared" si="2"/>
        <v>1556580</v>
      </c>
      <c r="AH8" s="1641">
        <f t="shared" si="2"/>
        <v>1556580</v>
      </c>
      <c r="AI8" s="1637"/>
      <c r="AJ8" s="6"/>
      <c r="AK8" s="1642" t="s">
        <v>1396</v>
      </c>
      <c r="AL8" s="1643">
        <f>DataPage_RefiClosingDate+1</f>
        <v>45293</v>
      </c>
      <c r="AM8" s="6"/>
      <c r="AN8" s="1640"/>
      <c r="AP8" s="1466"/>
    </row>
    <row r="9" ht="15" customHeight="1">
      <c r="A9" s="1625"/>
      <c r="B9" s="613" t="s">
        <v>1397</v>
      </c>
      <c r="C9" s="1644">
        <f>'Summary OPS'!$AV10</f>
        <v>0.11960323272816045</v>
      </c>
      <c r="D9" s="1645">
        <f t="shared" si="3" ref="D9:AH53">ROUND(D8*-$C9,0)</f>
        <v>-186172</v>
      </c>
      <c r="E9" s="1645">
        <f t="shared" si="3"/>
        <v>-186172</v>
      </c>
      <c r="F9" s="1645">
        <f t="shared" si="3"/>
        <v>-186172</v>
      </c>
      <c r="G9" s="1645">
        <f t="shared" si="3"/>
        <v>-186172</v>
      </c>
      <c r="H9" s="1645">
        <f t="shared" si="3"/>
        <v>-186172</v>
      </c>
      <c r="I9" s="1645">
        <f t="shared" si="3"/>
        <v>-186172</v>
      </c>
      <c r="J9" s="1645">
        <f t="shared" si="3"/>
        <v>-186172</v>
      </c>
      <c r="K9" s="1645">
        <f t="shared" si="3"/>
        <v>-186172</v>
      </c>
      <c r="L9" s="1645">
        <f t="shared" si="3"/>
        <v>-186172</v>
      </c>
      <c r="M9" s="1645">
        <f t="shared" si="3"/>
        <v>-186172</v>
      </c>
      <c r="N9" s="1645">
        <f t="shared" si="3"/>
        <v>-186172</v>
      </c>
      <c r="O9" s="1645">
        <f t="shared" si="3"/>
        <v>-186172</v>
      </c>
      <c r="P9" s="1645">
        <f t="shared" si="3"/>
        <v>-186172</v>
      </c>
      <c r="Q9" s="1645">
        <f t="shared" si="3"/>
        <v>-186172</v>
      </c>
      <c r="R9" s="1645">
        <f t="shared" si="3"/>
        <v>-186172</v>
      </c>
      <c r="S9" s="1645">
        <f t="shared" si="3"/>
        <v>-186172</v>
      </c>
      <c r="T9" s="1645">
        <f t="shared" si="3"/>
        <v>-186172</v>
      </c>
      <c r="U9" s="1645">
        <f t="shared" si="3"/>
        <v>-186172</v>
      </c>
      <c r="V9" s="1645">
        <f t="shared" si="3"/>
        <v>-186172</v>
      </c>
      <c r="W9" s="1645">
        <f t="shared" si="3"/>
        <v>-186172</v>
      </c>
      <c r="X9" s="1645">
        <f t="shared" si="3"/>
        <v>-186172</v>
      </c>
      <c r="Y9" s="1645">
        <f t="shared" si="3"/>
        <v>-186172</v>
      </c>
      <c r="Z9" s="1645">
        <f t="shared" si="3"/>
        <v>-186172</v>
      </c>
      <c r="AA9" s="1645">
        <f t="shared" si="3"/>
        <v>-186172</v>
      </c>
      <c r="AB9" s="1645">
        <f t="shared" si="3"/>
        <v>-186172</v>
      </c>
      <c r="AC9" s="1645">
        <f t="shared" si="3"/>
        <v>-186172</v>
      </c>
      <c r="AD9" s="1645">
        <f t="shared" si="3"/>
        <v>-186172</v>
      </c>
      <c r="AE9" s="1645">
        <f t="shared" si="3"/>
        <v>-186172</v>
      </c>
      <c r="AF9" s="1645">
        <f t="shared" si="3"/>
        <v>-186172</v>
      </c>
      <c r="AG9" s="1645">
        <f t="shared" si="3"/>
        <v>-186172</v>
      </c>
      <c r="AH9" s="1645">
        <f t="shared" si="3"/>
        <v>-186172</v>
      </c>
      <c r="AI9" s="1646"/>
      <c r="AJ9" s="6"/>
      <c r="AK9" s="1642" t="s">
        <v>1398</v>
      </c>
      <c r="AL9" s="1378" t="e">
        <f>InterestOnly</f>
        <v>#NAME?</v>
      </c>
      <c r="AM9" s="1640"/>
      <c r="AN9" s="1640"/>
    </row>
    <row r="10" ht="15.75" customHeight="1">
      <c r="A10" s="1625"/>
      <c r="B10" s="613" t="s">
        <v>1399</v>
      </c>
      <c r="C10" s="1644">
        <f>'Summary OPS'!$AV11</f>
        <v>0.028601164090506108</v>
      </c>
      <c r="D10" s="1645">
        <f t="shared" si="4" ref="D10:AH54">ROUND(D8*-$C10,0)</f>
        <v>-44520</v>
      </c>
      <c r="E10" s="1645">
        <f t="shared" si="4"/>
        <v>-44520</v>
      </c>
      <c r="F10" s="1645">
        <f t="shared" si="4"/>
        <v>-44520</v>
      </c>
      <c r="G10" s="1645">
        <f t="shared" si="4"/>
        <v>-44520</v>
      </c>
      <c r="H10" s="1645">
        <f t="shared" si="4"/>
        <v>-44520</v>
      </c>
      <c r="I10" s="1645">
        <f t="shared" si="4"/>
        <v>-44520</v>
      </c>
      <c r="J10" s="1645">
        <f t="shared" si="4"/>
        <v>-44520</v>
      </c>
      <c r="K10" s="1645">
        <f t="shared" si="4"/>
        <v>-44520</v>
      </c>
      <c r="L10" s="1645">
        <f t="shared" si="4"/>
        <v>-44520</v>
      </c>
      <c r="M10" s="1645">
        <f t="shared" si="4"/>
        <v>-44520</v>
      </c>
      <c r="N10" s="1645">
        <f t="shared" si="4"/>
        <v>-44520</v>
      </c>
      <c r="O10" s="1645">
        <f t="shared" si="4"/>
        <v>-44520</v>
      </c>
      <c r="P10" s="1645">
        <f t="shared" si="4"/>
        <v>-44520</v>
      </c>
      <c r="Q10" s="1645">
        <f t="shared" si="4"/>
        <v>-44520</v>
      </c>
      <c r="R10" s="1645">
        <f t="shared" si="4"/>
        <v>-44520</v>
      </c>
      <c r="S10" s="1645">
        <f t="shared" si="4"/>
        <v>-44520</v>
      </c>
      <c r="T10" s="1645">
        <f t="shared" si="4"/>
        <v>-44520</v>
      </c>
      <c r="U10" s="1645">
        <f t="shared" si="4"/>
        <v>-44520</v>
      </c>
      <c r="V10" s="1645">
        <f t="shared" si="4"/>
        <v>-44520</v>
      </c>
      <c r="W10" s="1645">
        <f t="shared" si="4"/>
        <v>-44520</v>
      </c>
      <c r="X10" s="1645">
        <f t="shared" si="4"/>
        <v>-44520</v>
      </c>
      <c r="Y10" s="1645">
        <f t="shared" si="4"/>
        <v>-44520</v>
      </c>
      <c r="Z10" s="1645">
        <f t="shared" si="4"/>
        <v>-44520</v>
      </c>
      <c r="AA10" s="1645">
        <f t="shared" si="4"/>
        <v>-44520</v>
      </c>
      <c r="AB10" s="1645">
        <f t="shared" si="4"/>
        <v>-44520</v>
      </c>
      <c r="AC10" s="1645">
        <f t="shared" si="4"/>
        <v>-44520</v>
      </c>
      <c r="AD10" s="1645">
        <f t="shared" si="4"/>
        <v>-44520</v>
      </c>
      <c r="AE10" s="1645">
        <f t="shared" si="4"/>
        <v>-44520</v>
      </c>
      <c r="AF10" s="1645">
        <f t="shared" si="4"/>
        <v>-44520</v>
      </c>
      <c r="AG10" s="1645">
        <f t="shared" si="4"/>
        <v>-44520</v>
      </c>
      <c r="AH10" s="1645">
        <f t="shared" si="4"/>
        <v>-44520</v>
      </c>
      <c r="AI10" s="1647"/>
      <c r="AJ10" s="6"/>
      <c r="AK10" s="1648" t="s">
        <v>572</v>
      </c>
      <c r="AL10" s="1649" t="e">
        <f>LoanAmount</f>
        <v>#NAME?</v>
      </c>
      <c r="AM10" s="1640"/>
      <c r="AN10" s="1640"/>
    </row>
    <row r="11" ht="15.75" customHeight="1">
      <c r="A11" s="1625"/>
      <c r="B11" s="1650" t="s">
        <v>1400</v>
      </c>
      <c r="C11" s="1651">
        <f>'Summary OPS'!$AV12</f>
        <v>0</v>
      </c>
      <c r="D11" s="1652">
        <f t="shared" si="5" ref="D11:AH55">ROUND(D8*-$C11,0)</f>
        <v>0</v>
      </c>
      <c r="E11" s="1652">
        <f t="shared" si="5"/>
        <v>0</v>
      </c>
      <c r="F11" s="1652">
        <f t="shared" si="5"/>
        <v>0</v>
      </c>
      <c r="G11" s="1652">
        <f t="shared" si="5"/>
        <v>0</v>
      </c>
      <c r="H11" s="1652">
        <f t="shared" si="5"/>
        <v>0</v>
      </c>
      <c r="I11" s="1652">
        <f t="shared" si="5"/>
        <v>0</v>
      </c>
      <c r="J11" s="1652">
        <f t="shared" si="5"/>
        <v>0</v>
      </c>
      <c r="K11" s="1652">
        <f t="shared" si="5"/>
        <v>0</v>
      </c>
      <c r="L11" s="1652">
        <f t="shared" si="5"/>
        <v>0</v>
      </c>
      <c r="M11" s="1652">
        <f t="shared" si="5"/>
        <v>0</v>
      </c>
      <c r="N11" s="1652">
        <f t="shared" si="5"/>
        <v>0</v>
      </c>
      <c r="O11" s="1652">
        <f t="shared" si="5"/>
        <v>0</v>
      </c>
      <c r="P11" s="1652">
        <f t="shared" si="5"/>
        <v>0</v>
      </c>
      <c r="Q11" s="1652">
        <f t="shared" si="5"/>
        <v>0</v>
      </c>
      <c r="R11" s="1652">
        <f t="shared" si="5"/>
        <v>0</v>
      </c>
      <c r="S11" s="1652">
        <f t="shared" si="5"/>
        <v>0</v>
      </c>
      <c r="T11" s="1652">
        <f t="shared" si="5"/>
        <v>0</v>
      </c>
      <c r="U11" s="1652">
        <f t="shared" si="5"/>
        <v>0</v>
      </c>
      <c r="V11" s="1652">
        <f t="shared" si="5"/>
        <v>0</v>
      </c>
      <c r="W11" s="1652">
        <f t="shared" si="5"/>
        <v>0</v>
      </c>
      <c r="X11" s="1652">
        <f t="shared" si="5"/>
        <v>0</v>
      </c>
      <c r="Y11" s="1652">
        <f t="shared" si="5"/>
        <v>0</v>
      </c>
      <c r="Z11" s="1652">
        <f t="shared" si="5"/>
        <v>0</v>
      </c>
      <c r="AA11" s="1652">
        <f t="shared" si="5"/>
        <v>0</v>
      </c>
      <c r="AB11" s="1652">
        <f t="shared" si="5"/>
        <v>0</v>
      </c>
      <c r="AC11" s="1652">
        <f t="shared" si="5"/>
        <v>0</v>
      </c>
      <c r="AD11" s="1652">
        <f t="shared" si="5"/>
        <v>0</v>
      </c>
      <c r="AE11" s="1652">
        <f t="shared" si="5"/>
        <v>0</v>
      </c>
      <c r="AF11" s="1652">
        <f t="shared" si="5"/>
        <v>0</v>
      </c>
      <c r="AG11" s="1652">
        <f t="shared" si="5"/>
        <v>0</v>
      </c>
      <c r="AH11" s="1652">
        <f t="shared" si="5"/>
        <v>0</v>
      </c>
      <c r="AI11" s="1647"/>
      <c r="AJ11" s="6"/>
      <c r="AK11" s="6"/>
      <c r="AL11" s="1653"/>
      <c r="AM11" s="1640"/>
      <c r="AN11" s="1654"/>
    </row>
    <row r="12" ht="15.75" customHeight="1">
      <c r="A12" s="1625"/>
      <c r="B12" s="1655" t="s">
        <v>1401</v>
      </c>
      <c r="C12" s="1656"/>
      <c r="D12" s="1657">
        <f t="shared" si="6" ref="D12:AH84">SUM(D8:D11)</f>
        <v>1325888</v>
      </c>
      <c r="E12" s="1657">
        <f t="shared" si="6"/>
        <v>1325888</v>
      </c>
      <c r="F12" s="1657">
        <f t="shared" si="6"/>
        <v>1325888</v>
      </c>
      <c r="G12" s="1657">
        <f t="shared" si="6"/>
        <v>1325888</v>
      </c>
      <c r="H12" s="1657">
        <f t="shared" si="6"/>
        <v>1325888</v>
      </c>
      <c r="I12" s="1657">
        <f t="shared" si="6"/>
        <v>1325888</v>
      </c>
      <c r="J12" s="1657">
        <f t="shared" si="6"/>
        <v>1325888</v>
      </c>
      <c r="K12" s="1657">
        <f t="shared" si="6"/>
        <v>1325888</v>
      </c>
      <c r="L12" s="1657">
        <f t="shared" si="6"/>
        <v>1325888</v>
      </c>
      <c r="M12" s="1657">
        <f t="shared" si="6"/>
        <v>1325888</v>
      </c>
      <c r="N12" s="1657">
        <f t="shared" si="6"/>
        <v>1325888</v>
      </c>
      <c r="O12" s="1657">
        <f t="shared" si="6"/>
        <v>1325888</v>
      </c>
      <c r="P12" s="1657">
        <f t="shared" si="6"/>
        <v>1325888</v>
      </c>
      <c r="Q12" s="1657">
        <f t="shared" si="6"/>
        <v>1325888</v>
      </c>
      <c r="R12" s="1657">
        <f t="shared" si="6"/>
        <v>1325888</v>
      </c>
      <c r="S12" s="1657">
        <f t="shared" si="6"/>
        <v>1325888</v>
      </c>
      <c r="T12" s="1657">
        <f t="shared" si="6"/>
        <v>1325888</v>
      </c>
      <c r="U12" s="1657">
        <f t="shared" si="6"/>
        <v>1325888</v>
      </c>
      <c r="V12" s="1657">
        <f t="shared" si="6"/>
        <v>1325888</v>
      </c>
      <c r="W12" s="1657">
        <f t="shared" si="6"/>
        <v>1325888</v>
      </c>
      <c r="X12" s="1657">
        <f t="shared" si="6"/>
        <v>1325888</v>
      </c>
      <c r="Y12" s="1657">
        <f t="shared" si="6"/>
        <v>1325888</v>
      </c>
      <c r="Z12" s="1657">
        <f t="shared" si="6"/>
        <v>1325888</v>
      </c>
      <c r="AA12" s="1657">
        <f t="shared" si="6"/>
        <v>1325888</v>
      </c>
      <c r="AB12" s="1657">
        <f t="shared" si="6"/>
        <v>1325888</v>
      </c>
      <c r="AC12" s="1657">
        <f t="shared" si="6"/>
        <v>1325888</v>
      </c>
      <c r="AD12" s="1657">
        <f t="shared" si="6"/>
        <v>1325888</v>
      </c>
      <c r="AE12" s="1657">
        <f t="shared" si="6"/>
        <v>1325888</v>
      </c>
      <c r="AF12" s="1657">
        <f t="shared" si="6"/>
        <v>1325888</v>
      </c>
      <c r="AG12" s="1657">
        <f t="shared" si="6"/>
        <v>1325888</v>
      </c>
      <c r="AH12" s="1657">
        <f t="shared" si="6"/>
        <v>1325888</v>
      </c>
      <c r="AI12" s="1647"/>
      <c r="AJ12" s="6"/>
      <c r="AK12" s="1630" t="s">
        <v>1402</v>
      </c>
      <c r="AL12" s="1658" t="s">
        <v>393</v>
      </c>
      <c r="AM12" s="1659" t="s">
        <v>1403</v>
      </c>
      <c r="AN12" s="1654"/>
    </row>
    <row r="13" ht="15" customHeight="1">
      <c r="A13" s="1660"/>
      <c r="B13" s="613" t="s">
        <v>1404</v>
      </c>
      <c r="C13" s="1661"/>
      <c r="D13" s="1641">
        <f>ROUND('Summary OPS'!$AU$15*(1+D7),0)</f>
        <v>29692</v>
      </c>
      <c r="E13" s="1641">
        <f t="shared" si="7" ref="E13:AH68">ROUND(D13*(1+E7),0)</f>
        <v>29692</v>
      </c>
      <c r="F13" s="1641">
        <f t="shared" si="7"/>
        <v>29692</v>
      </c>
      <c r="G13" s="1641">
        <f t="shared" si="7"/>
        <v>29692</v>
      </c>
      <c r="H13" s="1641">
        <f t="shared" si="7"/>
        <v>29692</v>
      </c>
      <c r="I13" s="1641">
        <f t="shared" si="7"/>
        <v>29692</v>
      </c>
      <c r="J13" s="1641">
        <f t="shared" si="7"/>
        <v>29692</v>
      </c>
      <c r="K13" s="1641">
        <f t="shared" si="7"/>
        <v>29692</v>
      </c>
      <c r="L13" s="1641">
        <f t="shared" si="7"/>
        <v>29692</v>
      </c>
      <c r="M13" s="1641">
        <f t="shared" si="7"/>
        <v>29692</v>
      </c>
      <c r="N13" s="1641">
        <f t="shared" si="7"/>
        <v>29692</v>
      </c>
      <c r="O13" s="1641">
        <f t="shared" si="7"/>
        <v>29692</v>
      </c>
      <c r="P13" s="1641">
        <f t="shared" si="7"/>
        <v>29692</v>
      </c>
      <c r="Q13" s="1641">
        <f t="shared" si="7"/>
        <v>29692</v>
      </c>
      <c r="R13" s="1641">
        <f t="shared" si="7"/>
        <v>29692</v>
      </c>
      <c r="S13" s="1641">
        <f t="shared" si="7"/>
        <v>29692</v>
      </c>
      <c r="T13" s="1641">
        <f t="shared" si="7"/>
        <v>29692</v>
      </c>
      <c r="U13" s="1641">
        <f t="shared" si="7"/>
        <v>29692</v>
      </c>
      <c r="V13" s="1641">
        <f t="shared" si="7"/>
        <v>29692</v>
      </c>
      <c r="W13" s="1641">
        <f t="shared" si="7"/>
        <v>29692</v>
      </c>
      <c r="X13" s="1641">
        <f t="shared" si="7"/>
        <v>29692</v>
      </c>
      <c r="Y13" s="1641">
        <f t="shared" si="7"/>
        <v>29692</v>
      </c>
      <c r="Z13" s="1641">
        <f t="shared" si="7"/>
        <v>29692</v>
      </c>
      <c r="AA13" s="1641">
        <f t="shared" si="7"/>
        <v>29692</v>
      </c>
      <c r="AB13" s="1641">
        <f t="shared" si="7"/>
        <v>29692</v>
      </c>
      <c r="AC13" s="1641">
        <f t="shared" si="7"/>
        <v>29692</v>
      </c>
      <c r="AD13" s="1641">
        <f t="shared" si="7"/>
        <v>29692</v>
      </c>
      <c r="AE13" s="1641">
        <f t="shared" si="7"/>
        <v>29692</v>
      </c>
      <c r="AF13" s="1641">
        <f t="shared" si="7"/>
        <v>29692</v>
      </c>
      <c r="AG13" s="1641">
        <f t="shared" si="7"/>
        <v>29692</v>
      </c>
      <c r="AH13" s="1641">
        <f t="shared" si="7"/>
        <v>29692</v>
      </c>
      <c r="AI13" s="1647"/>
      <c r="AJ13" s="6"/>
      <c r="AK13" s="1662" t="s">
        <v>1381</v>
      </c>
      <c r="AL13" s="1663" t="e">
        <f>INDEX(D29:AH29,1,ROUNDDOWN(AL7+1,0))</f>
        <v>#NAME?</v>
      </c>
      <c r="AM13" s="1664" t="e">
        <f>INDEX(D73:AH73,1,ROUNDDOWN(AL7+1,0))</f>
        <v>#NAME?</v>
      </c>
      <c r="AN13" s="1654"/>
    </row>
    <row r="14" ht="15" customHeight="1">
      <c r="A14" s="1665"/>
      <c r="B14" s="613" t="s">
        <v>1405</v>
      </c>
      <c r="C14" s="1661"/>
      <c r="D14" s="1641">
        <f>ROUND('Summary OPS'!$AU$16*(1+D7),0)</f>
        <v>0</v>
      </c>
      <c r="E14" s="1641">
        <f t="shared" si="8" ref="E14:AH69">ROUND(D14*(1+E7),0)</f>
        <v>0</v>
      </c>
      <c r="F14" s="1641">
        <f t="shared" si="8"/>
        <v>0</v>
      </c>
      <c r="G14" s="1641">
        <f t="shared" si="8"/>
        <v>0</v>
      </c>
      <c r="H14" s="1641">
        <f t="shared" si="8"/>
        <v>0</v>
      </c>
      <c r="I14" s="1641">
        <f t="shared" si="8"/>
        <v>0</v>
      </c>
      <c r="J14" s="1641">
        <f t="shared" si="8"/>
        <v>0</v>
      </c>
      <c r="K14" s="1641">
        <f t="shared" si="8"/>
        <v>0</v>
      </c>
      <c r="L14" s="1641">
        <f t="shared" si="8"/>
        <v>0</v>
      </c>
      <c r="M14" s="1641">
        <f t="shared" si="8"/>
        <v>0</v>
      </c>
      <c r="N14" s="1641">
        <f t="shared" si="8"/>
        <v>0</v>
      </c>
      <c r="O14" s="1641">
        <f t="shared" si="8"/>
        <v>0</v>
      </c>
      <c r="P14" s="1641">
        <f t="shared" si="8"/>
        <v>0</v>
      </c>
      <c r="Q14" s="1641">
        <f t="shared" si="8"/>
        <v>0</v>
      </c>
      <c r="R14" s="1641">
        <f t="shared" si="8"/>
        <v>0</v>
      </c>
      <c r="S14" s="1641">
        <f t="shared" si="8"/>
        <v>0</v>
      </c>
      <c r="T14" s="1641">
        <f t="shared" si="8"/>
        <v>0</v>
      </c>
      <c r="U14" s="1641">
        <f t="shared" si="8"/>
        <v>0</v>
      </c>
      <c r="V14" s="1641">
        <f t="shared" si="8"/>
        <v>0</v>
      </c>
      <c r="W14" s="1641">
        <f t="shared" si="8"/>
        <v>0</v>
      </c>
      <c r="X14" s="1641">
        <f t="shared" si="8"/>
        <v>0</v>
      </c>
      <c r="Y14" s="1641">
        <f t="shared" si="8"/>
        <v>0</v>
      </c>
      <c r="Z14" s="1641">
        <f t="shared" si="8"/>
        <v>0</v>
      </c>
      <c r="AA14" s="1641">
        <f t="shared" si="8"/>
        <v>0</v>
      </c>
      <c r="AB14" s="1641">
        <f t="shared" si="8"/>
        <v>0</v>
      </c>
      <c r="AC14" s="1641">
        <f t="shared" si="8"/>
        <v>0</v>
      </c>
      <c r="AD14" s="1641">
        <f t="shared" si="8"/>
        <v>0</v>
      </c>
      <c r="AE14" s="1641">
        <f t="shared" si="8"/>
        <v>0</v>
      </c>
      <c r="AF14" s="1641">
        <f t="shared" si="8"/>
        <v>0</v>
      </c>
      <c r="AG14" s="1641">
        <f t="shared" si="8"/>
        <v>0</v>
      </c>
      <c r="AH14" s="1641">
        <f t="shared" si="8"/>
        <v>0</v>
      </c>
      <c r="AI14" s="1666"/>
      <c r="AJ14" s="6"/>
      <c r="AK14" s="1662" t="s">
        <v>1382</v>
      </c>
      <c r="AL14" s="1663" t="e">
        <f>INDEX($D$39:$AH$39,1,ROUNDDOWN($AL$7,0))</f>
        <v>#NAME?</v>
      </c>
      <c r="AM14" s="1664" t="e">
        <f>INDEX($D$84:$AH$84,1,ROUNDDOWN($AL$7,0))</f>
        <v>#NAME?</v>
      </c>
      <c r="AN14" s="1654"/>
    </row>
    <row r="15" ht="15" customHeight="1">
      <c r="A15" s="1647"/>
      <c r="B15" s="613" t="s">
        <v>1406</v>
      </c>
      <c r="C15" s="1661"/>
      <c r="D15" s="1641">
        <f>ROUND('Summary OPS'!$AU$17*(1+D7),0)</f>
        <v>0</v>
      </c>
      <c r="E15" s="1641">
        <f t="shared" si="9" ref="E15:AH59">ROUND(D15*(1+E7),0)</f>
        <v>0</v>
      </c>
      <c r="F15" s="1641">
        <f t="shared" si="9"/>
        <v>0</v>
      </c>
      <c r="G15" s="1641">
        <f t="shared" si="9"/>
        <v>0</v>
      </c>
      <c r="H15" s="1641">
        <f t="shared" si="9"/>
        <v>0</v>
      </c>
      <c r="I15" s="1641">
        <f t="shared" si="9"/>
        <v>0</v>
      </c>
      <c r="J15" s="1641">
        <f t="shared" si="9"/>
        <v>0</v>
      </c>
      <c r="K15" s="1641">
        <f t="shared" si="9"/>
        <v>0</v>
      </c>
      <c r="L15" s="1641">
        <f t="shared" si="9"/>
        <v>0</v>
      </c>
      <c r="M15" s="1641">
        <f t="shared" si="9"/>
        <v>0</v>
      </c>
      <c r="N15" s="1641">
        <f t="shared" si="9"/>
        <v>0</v>
      </c>
      <c r="O15" s="1641">
        <f t="shared" si="9"/>
        <v>0</v>
      </c>
      <c r="P15" s="1641">
        <f t="shared" si="9"/>
        <v>0</v>
      </c>
      <c r="Q15" s="1641">
        <f t="shared" si="9"/>
        <v>0</v>
      </c>
      <c r="R15" s="1641">
        <f t="shared" si="9"/>
        <v>0</v>
      </c>
      <c r="S15" s="1641">
        <f t="shared" si="9"/>
        <v>0</v>
      </c>
      <c r="T15" s="1641">
        <f t="shared" si="9"/>
        <v>0</v>
      </c>
      <c r="U15" s="1641">
        <f t="shared" si="9"/>
        <v>0</v>
      </c>
      <c r="V15" s="1641">
        <f t="shared" si="9"/>
        <v>0</v>
      </c>
      <c r="W15" s="1641">
        <f t="shared" si="9"/>
        <v>0</v>
      </c>
      <c r="X15" s="1641">
        <f t="shared" si="9"/>
        <v>0</v>
      </c>
      <c r="Y15" s="1641">
        <f t="shared" si="9"/>
        <v>0</v>
      </c>
      <c r="Z15" s="1641">
        <f t="shared" si="9"/>
        <v>0</v>
      </c>
      <c r="AA15" s="1641">
        <f t="shared" si="9"/>
        <v>0</v>
      </c>
      <c r="AB15" s="1641">
        <f t="shared" si="9"/>
        <v>0</v>
      </c>
      <c r="AC15" s="1641">
        <f t="shared" si="9"/>
        <v>0</v>
      </c>
      <c r="AD15" s="1641">
        <f t="shared" si="9"/>
        <v>0</v>
      </c>
      <c r="AE15" s="1641">
        <f t="shared" si="9"/>
        <v>0</v>
      </c>
      <c r="AF15" s="1641">
        <f t="shared" si="9"/>
        <v>0</v>
      </c>
      <c r="AG15" s="1641">
        <f t="shared" si="9"/>
        <v>0</v>
      </c>
      <c r="AH15" s="1641">
        <f t="shared" si="9"/>
        <v>0</v>
      </c>
      <c r="AI15" s="1647"/>
      <c r="AJ15" s="6"/>
      <c r="AK15" s="1662" t="s">
        <v>985</v>
      </c>
      <c r="AL15" s="1667">
        <f>_xlfn.IFERROR(RATE(Term,0,-'Fannie Historical Ops'!AK77,AL13,1),0)</f>
        <v>0</v>
      </c>
      <c r="AM15" s="1668">
        <f>_xlfn.IFERROR(RATE(Term,0,-'Fannie Historical Ops'!AK77,AM13,1),0)</f>
        <v>0</v>
      </c>
      <c r="AN15" s="1237"/>
    </row>
    <row r="16" ht="15.75" customHeight="1">
      <c r="A16" s="1647"/>
      <c r="B16" s="1650" t="s">
        <v>1407</v>
      </c>
      <c r="C16" s="1669"/>
      <c r="D16" s="1670">
        <f>ROUND(SUM('Summary OPS'!$AU$19:$AU$25)*(1+D7),0)</f>
        <v>-245742</v>
      </c>
      <c r="E16" s="1641">
        <f t="shared" si="10" ref="E16:AH60">ROUND(D16*(1+E7),0)</f>
        <v>-245742</v>
      </c>
      <c r="F16" s="1641">
        <f t="shared" si="10"/>
        <v>-245742</v>
      </c>
      <c r="G16" s="1641">
        <f t="shared" si="10"/>
        <v>-245742</v>
      </c>
      <c r="H16" s="1641">
        <f t="shared" si="10"/>
        <v>-245742</v>
      </c>
      <c r="I16" s="1641">
        <f t="shared" si="10"/>
        <v>-245742</v>
      </c>
      <c r="J16" s="1641">
        <f t="shared" si="10"/>
        <v>-245742</v>
      </c>
      <c r="K16" s="1641">
        <f t="shared" si="10"/>
        <v>-245742</v>
      </c>
      <c r="L16" s="1641">
        <f t="shared" si="10"/>
        <v>-245742</v>
      </c>
      <c r="M16" s="1641">
        <f t="shared" si="10"/>
        <v>-245742</v>
      </c>
      <c r="N16" s="1641">
        <f t="shared" si="10"/>
        <v>-245742</v>
      </c>
      <c r="O16" s="1641">
        <f t="shared" si="10"/>
        <v>-245742</v>
      </c>
      <c r="P16" s="1641">
        <f t="shared" si="10"/>
        <v>-245742</v>
      </c>
      <c r="Q16" s="1641">
        <f t="shared" si="10"/>
        <v>-245742</v>
      </c>
      <c r="R16" s="1641">
        <f t="shared" si="10"/>
        <v>-245742</v>
      </c>
      <c r="S16" s="1641">
        <f t="shared" si="10"/>
        <v>-245742</v>
      </c>
      <c r="T16" s="1641">
        <f t="shared" si="10"/>
        <v>-245742</v>
      </c>
      <c r="U16" s="1641">
        <f t="shared" si="10"/>
        <v>-245742</v>
      </c>
      <c r="V16" s="1641">
        <f t="shared" si="10"/>
        <v>-245742</v>
      </c>
      <c r="W16" s="1641">
        <f t="shared" si="10"/>
        <v>-245742</v>
      </c>
      <c r="X16" s="1641">
        <f t="shared" si="10"/>
        <v>-245742</v>
      </c>
      <c r="Y16" s="1641">
        <f t="shared" si="10"/>
        <v>-245742</v>
      </c>
      <c r="Z16" s="1641">
        <f t="shared" si="10"/>
        <v>-245742</v>
      </c>
      <c r="AA16" s="1641">
        <f t="shared" si="10"/>
        <v>-245742</v>
      </c>
      <c r="AB16" s="1641">
        <f t="shared" si="10"/>
        <v>-245742</v>
      </c>
      <c r="AC16" s="1641">
        <f t="shared" si="10"/>
        <v>-245742</v>
      </c>
      <c r="AD16" s="1641">
        <f t="shared" si="10"/>
        <v>-245742</v>
      </c>
      <c r="AE16" s="1641">
        <f t="shared" si="10"/>
        <v>-245742</v>
      </c>
      <c r="AF16" s="1641">
        <f t="shared" si="10"/>
        <v>-245742</v>
      </c>
      <c r="AG16" s="1641">
        <f t="shared" si="10"/>
        <v>-245742</v>
      </c>
      <c r="AH16" s="1641">
        <f t="shared" si="10"/>
        <v>-245742</v>
      </c>
      <c r="AI16" s="1671"/>
      <c r="AJ16" s="6"/>
      <c r="AK16" s="1662" t="s">
        <v>1408</v>
      </c>
      <c r="AL16" s="1667" t="e">
        <f>IF('SBL Quotes'!AN32="Supplemental",IF(FirstOrigLoan_IfSupp&lt;&gt;0,1-((PV(FirstRate_IfSupp/12,(FirstAmort_IfSupp-FirstRemTerm_IfSupp+FirstRemIO_IfSupp)*12,-(FirstDebtService_IfSupp/12))+PV(SecondRate_IfSupp/12,(SecondAmort_IfSupp-SecondRemTerm_IfSupp+SecondRemIO_IfSupp)*12,-(SecondDebtService_IfSupp/12))+PV(ThirdRate_IfSupp/12,(ThirdAmort_IfSupp-ThirdRemTerm_IfSupp+ThirdRemIO_IfSupp)*12,-(ThirdDebtService_IfSupp/12)))/(FirstOrigLoan_IfSupp+SecondOrigLoan_IfSupp+ThirdOrigLoan_IfSupp)),0),IF(AL10&lt;&gt;0,1-(PV(NoteRate/12,(Amort-AL7+AL9)*12,-(AL10*NoteConstant/12))/AL10),0))</f>
        <v>#NAME?</v>
      </c>
      <c r="AM16" s="1668" t="e">
        <f>IF('SBL Quotes'!AN32="Supplemental",IF(FirstOrigLoan_IfSupp&lt;&gt;0,1-((PV(FirstRate_IfSupp/12,(FirstAmort_IfSupp-FirstRemTerm_IfSupp+FirstRemIO_IfSupp)*12,-(FirstDebtService_IfSupp/12))+PV(SecondRate_IfSupp/12,(SecondAmort_IfSupp-SecondRemTerm_IfSupp+SecondRemIO_IfSupp)*12,-(SecondDebtService_IfSupp/12))+PV(ThirdRate_IfSupp/12,(ThirdAmort_IfSupp-ThirdRemTerm_IfSupp+ThirdRemIO_IfSupp)*12,-(ThirdDebtService_IfSupp/12)))/(FirstOrigLoan_IfSupp+SecondOrigLoan_IfSupp+ThirdOrigLoan_IfSupp)),0),IF(AL10&lt;&gt;0,1-(PV(NoteRate/12,(Amort-AL7+AL9)*12,-(AL10*NoteConstant/12))/AL10),0))</f>
        <v>#NAME?</v>
      </c>
      <c r="AN16" s="1"/>
    </row>
    <row r="17" ht="15.75" customHeight="1">
      <c r="A17" s="1647"/>
      <c r="B17" s="1632" t="s">
        <v>1409</v>
      </c>
      <c r="C17" s="1633"/>
      <c r="D17" s="1672">
        <f t="shared" si="11" ref="D17:AH17">SUM(D12:D16)</f>
        <v>1109838</v>
      </c>
      <c r="E17" s="1672">
        <f t="shared" si="11"/>
        <v>1109838</v>
      </c>
      <c r="F17" s="1672">
        <f t="shared" si="11"/>
        <v>1109838</v>
      </c>
      <c r="G17" s="1672">
        <f t="shared" si="11"/>
        <v>1109838</v>
      </c>
      <c r="H17" s="1672">
        <f t="shared" si="11"/>
        <v>1109838</v>
      </c>
      <c r="I17" s="1672">
        <f t="shared" si="11"/>
        <v>1109838</v>
      </c>
      <c r="J17" s="1672">
        <f t="shared" si="11"/>
        <v>1109838</v>
      </c>
      <c r="K17" s="1672">
        <f t="shared" si="11"/>
        <v>1109838</v>
      </c>
      <c r="L17" s="1672">
        <f t="shared" si="11"/>
        <v>1109838</v>
      </c>
      <c r="M17" s="1672">
        <f t="shared" si="11"/>
        <v>1109838</v>
      </c>
      <c r="N17" s="1672">
        <f t="shared" si="11"/>
        <v>1109838</v>
      </c>
      <c r="O17" s="1672">
        <f t="shared" si="11"/>
        <v>1109838</v>
      </c>
      <c r="P17" s="1672">
        <f t="shared" si="11"/>
        <v>1109838</v>
      </c>
      <c r="Q17" s="1672">
        <f t="shared" si="11"/>
        <v>1109838</v>
      </c>
      <c r="R17" s="1672">
        <f t="shared" si="11"/>
        <v>1109838</v>
      </c>
      <c r="S17" s="1672">
        <f t="shared" si="11"/>
        <v>1109838</v>
      </c>
      <c r="T17" s="1672">
        <f t="shared" si="11"/>
        <v>1109838</v>
      </c>
      <c r="U17" s="1672">
        <f t="shared" si="11"/>
        <v>1109838</v>
      </c>
      <c r="V17" s="1672">
        <f t="shared" si="11"/>
        <v>1109838</v>
      </c>
      <c r="W17" s="1672">
        <f t="shared" si="11"/>
        <v>1109838</v>
      </c>
      <c r="X17" s="1672">
        <f t="shared" si="11"/>
        <v>1109838</v>
      </c>
      <c r="Y17" s="1672">
        <f t="shared" si="11"/>
        <v>1109838</v>
      </c>
      <c r="Z17" s="1672">
        <f t="shared" si="11"/>
        <v>1109838</v>
      </c>
      <c r="AA17" s="1672">
        <f t="shared" si="11"/>
        <v>1109838</v>
      </c>
      <c r="AB17" s="1672">
        <f t="shared" si="11"/>
        <v>1109838</v>
      </c>
      <c r="AC17" s="1672">
        <f t="shared" si="11"/>
        <v>1109838</v>
      </c>
      <c r="AD17" s="1672">
        <f t="shared" si="11"/>
        <v>1109838</v>
      </c>
      <c r="AE17" s="1672">
        <f t="shared" si="11"/>
        <v>1109838</v>
      </c>
      <c r="AF17" s="1672">
        <f t="shared" si="11"/>
        <v>1109838</v>
      </c>
      <c r="AG17" s="1672">
        <f t="shared" si="11"/>
        <v>1109838</v>
      </c>
      <c r="AH17" s="1672">
        <f t="shared" si="11"/>
        <v>1109838</v>
      </c>
      <c r="AI17" s="1673"/>
      <c r="AJ17" s="6"/>
      <c r="AK17" s="1648" t="s">
        <v>417</v>
      </c>
      <c r="AL17" s="1674">
        <f t="shared" si="12" ref="AL17:AM17">_xlfn.IFERROR(AL13/AL14,0)</f>
        <v>0</v>
      </c>
      <c r="AM17" s="1675">
        <f t="shared" si="12"/>
        <v>0</v>
      </c>
      <c r="AN17" s="1"/>
    </row>
    <row r="18" ht="15.75" customHeight="1">
      <c r="A18" s="1647"/>
      <c r="B18" s="1632" t="s">
        <v>1410</v>
      </c>
      <c r="C18" s="1633" t="s">
        <v>1411</v>
      </c>
      <c r="D18" s="1676"/>
      <c r="E18" s="1676">
        <v>0.03</v>
      </c>
      <c r="F18" s="1634">
        <f t="shared" si="13" ref="F18:AM20">E18</f>
        <v>0.03</v>
      </c>
      <c r="G18" s="1634">
        <f t="shared" si="13"/>
        <v>0.03</v>
      </c>
      <c r="H18" s="1634">
        <f t="shared" si="13"/>
        <v>0.03</v>
      </c>
      <c r="I18" s="1634">
        <f t="shared" si="13"/>
        <v>0.03</v>
      </c>
      <c r="J18" s="1634">
        <f t="shared" si="13"/>
        <v>0.03</v>
      </c>
      <c r="K18" s="1634">
        <f t="shared" si="13"/>
        <v>0.03</v>
      </c>
      <c r="L18" s="1634">
        <f t="shared" si="13"/>
        <v>0.03</v>
      </c>
      <c r="M18" s="1634">
        <f t="shared" si="13"/>
        <v>0.03</v>
      </c>
      <c r="N18" s="1634">
        <f t="shared" si="13"/>
        <v>0.03</v>
      </c>
      <c r="O18" s="1634">
        <f t="shared" si="13"/>
        <v>0.03</v>
      </c>
      <c r="P18" s="1634">
        <f t="shared" si="13"/>
        <v>0.03</v>
      </c>
      <c r="Q18" s="1634">
        <f t="shared" si="13"/>
        <v>0.03</v>
      </c>
      <c r="R18" s="1634">
        <f t="shared" si="13"/>
        <v>0.03</v>
      </c>
      <c r="S18" s="1634">
        <f t="shared" si="13"/>
        <v>0.03</v>
      </c>
      <c r="T18" s="1634">
        <f t="shared" si="13"/>
        <v>0.03</v>
      </c>
      <c r="U18" s="1634">
        <f t="shared" si="13"/>
        <v>0.03</v>
      </c>
      <c r="V18" s="1634">
        <f t="shared" si="13"/>
        <v>0.03</v>
      </c>
      <c r="W18" s="1634">
        <f t="shared" si="13"/>
        <v>0.03</v>
      </c>
      <c r="X18" s="1634">
        <f t="shared" si="13"/>
        <v>0.03</v>
      </c>
      <c r="Y18" s="1634">
        <f t="shared" si="13"/>
        <v>0.03</v>
      </c>
      <c r="Z18" s="1634">
        <f t="shared" si="13"/>
        <v>0.03</v>
      </c>
      <c r="AA18" s="1634">
        <f t="shared" si="13"/>
        <v>0.03</v>
      </c>
      <c r="AB18" s="1634">
        <f t="shared" si="13"/>
        <v>0.03</v>
      </c>
      <c r="AC18" s="1634">
        <f t="shared" si="13"/>
        <v>0.03</v>
      </c>
      <c r="AD18" s="1634">
        <f t="shared" si="13"/>
        <v>0.03</v>
      </c>
      <c r="AE18" s="1634">
        <f t="shared" si="13"/>
        <v>0.03</v>
      </c>
      <c r="AF18" s="1634">
        <f t="shared" si="13"/>
        <v>0.03</v>
      </c>
      <c r="AG18" s="1634">
        <f t="shared" si="13"/>
        <v>0.03</v>
      </c>
      <c r="AH18" s="1634">
        <f t="shared" si="13"/>
        <v>0.03</v>
      </c>
      <c r="AI18" s="1673"/>
      <c r="AJ18" s="613"/>
      <c r="AL18" s="1237"/>
      <c r="AM18" s="1159"/>
      <c r="AN18" s="1677"/>
    </row>
    <row r="19" ht="15.75" customHeight="1">
      <c r="A19" s="1647"/>
      <c r="B19" s="613" t="s">
        <v>1412</v>
      </c>
      <c r="C19" s="1237">
        <f t="shared" si="37" ref="C19:C63">HOps_ManagementFee</f>
        <v>0.035</v>
      </c>
      <c r="D19" s="1641">
        <f>'Summary OPS'!$AU$35</f>
        <v>38844.33</v>
      </c>
      <c r="E19" s="1641">
        <f t="shared" si="14" ref="E19:AH63">ROUND(E17*$C19,0)</f>
        <v>38844</v>
      </c>
      <c r="F19" s="1641">
        <f t="shared" si="14"/>
        <v>38844</v>
      </c>
      <c r="G19" s="1641">
        <f t="shared" si="14"/>
        <v>38844</v>
      </c>
      <c r="H19" s="1641">
        <f t="shared" si="14"/>
        <v>38844</v>
      </c>
      <c r="I19" s="1641">
        <f t="shared" si="14"/>
        <v>38844</v>
      </c>
      <c r="J19" s="1641">
        <f t="shared" si="14"/>
        <v>38844</v>
      </c>
      <c r="K19" s="1641">
        <f t="shared" si="14"/>
        <v>38844</v>
      </c>
      <c r="L19" s="1641">
        <f t="shared" si="14"/>
        <v>38844</v>
      </c>
      <c r="M19" s="1641">
        <f t="shared" si="14"/>
        <v>38844</v>
      </c>
      <c r="N19" s="1641">
        <f t="shared" si="14"/>
        <v>38844</v>
      </c>
      <c r="O19" s="1641">
        <f t="shared" si="14"/>
        <v>38844</v>
      </c>
      <c r="P19" s="1641">
        <f t="shared" si="14"/>
        <v>38844</v>
      </c>
      <c r="Q19" s="1641">
        <f t="shared" si="14"/>
        <v>38844</v>
      </c>
      <c r="R19" s="1641">
        <f t="shared" si="14"/>
        <v>38844</v>
      </c>
      <c r="S19" s="1641">
        <f t="shared" si="14"/>
        <v>38844</v>
      </c>
      <c r="T19" s="1641">
        <f t="shared" si="14"/>
        <v>38844</v>
      </c>
      <c r="U19" s="1641">
        <f t="shared" si="14"/>
        <v>38844</v>
      </c>
      <c r="V19" s="1641">
        <f t="shared" si="14"/>
        <v>38844</v>
      </c>
      <c r="W19" s="1641">
        <f t="shared" si="14"/>
        <v>38844</v>
      </c>
      <c r="X19" s="1641">
        <f t="shared" si="14"/>
        <v>38844</v>
      </c>
      <c r="Y19" s="1641">
        <f t="shared" si="14"/>
        <v>38844</v>
      </c>
      <c r="Z19" s="1641">
        <f t="shared" si="14"/>
        <v>38844</v>
      </c>
      <c r="AA19" s="1641">
        <f t="shared" si="14"/>
        <v>38844</v>
      </c>
      <c r="AB19" s="1641">
        <f t="shared" si="14"/>
        <v>38844</v>
      </c>
      <c r="AC19" s="1641">
        <f t="shared" si="14"/>
        <v>38844</v>
      </c>
      <c r="AD19" s="1641">
        <f t="shared" si="14"/>
        <v>38844</v>
      </c>
      <c r="AE19" s="1641">
        <f t="shared" si="14"/>
        <v>38844</v>
      </c>
      <c r="AF19" s="1641">
        <f t="shared" si="14"/>
        <v>38844</v>
      </c>
      <c r="AG19" s="1641">
        <f t="shared" si="14"/>
        <v>38844</v>
      </c>
      <c r="AH19" s="1641">
        <f t="shared" si="14"/>
        <v>38844</v>
      </c>
      <c r="AI19" s="1673"/>
      <c r="AJ19" s="613"/>
      <c r="AK19" s="1630" t="str">
        <f>IF('SBL Quotes'!AN32="Supplemental",IF(ThirdCoterminous_IfSupp="Yes","Exit Analysis (Coterminous Supplemental)",IF(SecondCoterminous_IfSupp="Yes","Exit Analysis (Coterminous Supplemental)",IF(FirstCoterminous_IfSupp="Yes","Exit Analysis (Coterminous Supplemental)","Exit Analysis (Non-Coterminous Supplemental)"))),"Conventional")&amp;" Exit (term of loan)"</f>
        <v>Conventional Exit (term of loan)</v>
      </c>
      <c r="AL19" s="1658" t="s">
        <v>393</v>
      </c>
      <c r="AM19" s="1659" t="s">
        <v>1403</v>
      </c>
      <c r="AN19" s="1678"/>
    </row>
    <row r="20" ht="15" customHeight="1">
      <c r="A20" s="1647"/>
      <c r="B20" s="613" t="s">
        <v>1414</v>
      </c>
      <c r="C20" s="1237"/>
      <c r="D20" s="1641">
        <f>'Summary OPS'!$AU$36+'Summary OPS'!$AU$37+'Summary OPS'!$AU$38+'Summary OPS'!$AU$39+'Summary OPS'!$AU$40+'Summary OPS'!$AU$47+'Summary OPS'!$AU$48</f>
        <v>294976.55</v>
      </c>
      <c r="E20" s="1641">
        <f t="shared" si="15" ref="E20:AH64">ROUND(D20*(1+E18),0)</f>
        <v>303826</v>
      </c>
      <c r="F20" s="1641">
        <f t="shared" si="15"/>
        <v>312941</v>
      </c>
      <c r="G20" s="1641">
        <f t="shared" si="15"/>
        <v>322329</v>
      </c>
      <c r="H20" s="1641">
        <f t="shared" si="15"/>
        <v>331999</v>
      </c>
      <c r="I20" s="1641">
        <f t="shared" si="15"/>
        <v>341959</v>
      </c>
      <c r="J20" s="1641">
        <f t="shared" si="15"/>
        <v>352218</v>
      </c>
      <c r="K20" s="1641">
        <f t="shared" si="15"/>
        <v>362785</v>
      </c>
      <c r="L20" s="1641">
        <f t="shared" si="15"/>
        <v>373669</v>
      </c>
      <c r="M20" s="1641">
        <f t="shared" si="15"/>
        <v>384879</v>
      </c>
      <c r="N20" s="1641">
        <f t="shared" si="15"/>
        <v>396425</v>
      </c>
      <c r="O20" s="1641">
        <f t="shared" si="15"/>
        <v>408318</v>
      </c>
      <c r="P20" s="1641">
        <f t="shared" si="15"/>
        <v>420568</v>
      </c>
      <c r="Q20" s="1641">
        <f t="shared" si="15"/>
        <v>433185</v>
      </c>
      <c r="R20" s="1641">
        <f t="shared" si="15"/>
        <v>446181</v>
      </c>
      <c r="S20" s="1641">
        <f t="shared" si="15"/>
        <v>459566</v>
      </c>
      <c r="T20" s="1641">
        <f t="shared" si="15"/>
        <v>473353</v>
      </c>
      <c r="U20" s="1641">
        <f t="shared" si="15"/>
        <v>487554</v>
      </c>
      <c r="V20" s="1641">
        <f t="shared" si="15"/>
        <v>502181</v>
      </c>
      <c r="W20" s="1641">
        <f t="shared" si="15"/>
        <v>517246</v>
      </c>
      <c r="X20" s="1641">
        <f t="shared" si="15"/>
        <v>532763</v>
      </c>
      <c r="Y20" s="1641">
        <f t="shared" si="15"/>
        <v>548746</v>
      </c>
      <c r="Z20" s="1641">
        <f t="shared" si="15"/>
        <v>565208</v>
      </c>
      <c r="AA20" s="1641">
        <f t="shared" si="15"/>
        <v>582164</v>
      </c>
      <c r="AB20" s="1641">
        <f t="shared" si="15"/>
        <v>599629</v>
      </c>
      <c r="AC20" s="1641">
        <f t="shared" si="15"/>
        <v>617618</v>
      </c>
      <c r="AD20" s="1641">
        <f t="shared" si="15"/>
        <v>636147</v>
      </c>
      <c r="AE20" s="1641">
        <f t="shared" si="15"/>
        <v>655231</v>
      </c>
      <c r="AF20" s="1641">
        <f t="shared" si="15"/>
        <v>674888</v>
      </c>
      <c r="AG20" s="1641">
        <f t="shared" si="15"/>
        <v>695135</v>
      </c>
      <c r="AH20" s="1641">
        <f t="shared" si="15"/>
        <v>715989</v>
      </c>
      <c r="AI20" s="1679"/>
      <c r="AJ20" s="6"/>
      <c r="AK20" s="1642" t="s">
        <v>1415</v>
      </c>
      <c r="AL20" s="1680">
        <f>Appraised_Cap+0.02</f>
        <v>0.07</v>
      </c>
      <c r="AM20" s="1681">
        <f t="shared" si="13"/>
        <v>0.07</v>
      </c>
      <c r="AN20" s="1682"/>
    </row>
    <row r="21" ht="15" customHeight="1">
      <c r="A21" s="1647"/>
      <c r="B21" s="613" t="s">
        <v>1416</v>
      </c>
      <c r="C21" s="1237"/>
      <c r="D21" s="1641">
        <f>'Summary OPS'!$AU$41</f>
        <v>492493.47</v>
      </c>
      <c r="E21" s="1641">
        <f t="shared" si="16" ref="E21:AH65">ROUND(D21*(1+E18),0)</f>
        <v>507268</v>
      </c>
      <c r="F21" s="1641">
        <f t="shared" si="16"/>
        <v>522486</v>
      </c>
      <c r="G21" s="1641">
        <f t="shared" si="16"/>
        <v>538161</v>
      </c>
      <c r="H21" s="1641">
        <f t="shared" si="16"/>
        <v>554306</v>
      </c>
      <c r="I21" s="1641">
        <f t="shared" si="16"/>
        <v>570935</v>
      </c>
      <c r="J21" s="1641">
        <f t="shared" si="16"/>
        <v>588063</v>
      </c>
      <c r="K21" s="1641">
        <f t="shared" si="16"/>
        <v>605705</v>
      </c>
      <c r="L21" s="1641">
        <f t="shared" si="16"/>
        <v>623876</v>
      </c>
      <c r="M21" s="1641">
        <f t="shared" si="16"/>
        <v>642592</v>
      </c>
      <c r="N21" s="1641">
        <f t="shared" si="16"/>
        <v>661870</v>
      </c>
      <c r="O21" s="1641">
        <f t="shared" si="16"/>
        <v>681726</v>
      </c>
      <c r="P21" s="1641">
        <f t="shared" si="16"/>
        <v>702178</v>
      </c>
      <c r="Q21" s="1641">
        <f t="shared" si="16"/>
        <v>723243</v>
      </c>
      <c r="R21" s="1641">
        <f t="shared" si="16"/>
        <v>744940</v>
      </c>
      <c r="S21" s="1641">
        <f t="shared" si="16"/>
        <v>767288</v>
      </c>
      <c r="T21" s="1641">
        <f t="shared" si="16"/>
        <v>790307</v>
      </c>
      <c r="U21" s="1641">
        <f t="shared" si="16"/>
        <v>814016</v>
      </c>
      <c r="V21" s="1641">
        <f t="shared" si="16"/>
        <v>838436</v>
      </c>
      <c r="W21" s="1641">
        <f t="shared" si="16"/>
        <v>863589</v>
      </c>
      <c r="X21" s="1641">
        <f t="shared" si="16"/>
        <v>889497</v>
      </c>
      <c r="Y21" s="1641">
        <f t="shared" si="16"/>
        <v>916182</v>
      </c>
      <c r="Z21" s="1641">
        <f t="shared" si="16"/>
        <v>943667</v>
      </c>
      <c r="AA21" s="1641">
        <f t="shared" si="16"/>
        <v>971977</v>
      </c>
      <c r="AB21" s="1641">
        <f t="shared" si="16"/>
        <v>1001136</v>
      </c>
      <c r="AC21" s="1641">
        <f t="shared" si="16"/>
        <v>1031170</v>
      </c>
      <c r="AD21" s="1641">
        <f t="shared" si="16"/>
        <v>1062105</v>
      </c>
      <c r="AE21" s="1641">
        <f t="shared" si="16"/>
        <v>1093968</v>
      </c>
      <c r="AF21" s="1641">
        <f t="shared" si="16"/>
        <v>1126787</v>
      </c>
      <c r="AG21" s="1641">
        <f t="shared" si="16"/>
        <v>1160591</v>
      </c>
      <c r="AH21" s="1641">
        <f t="shared" si="16"/>
        <v>1195409</v>
      </c>
      <c r="AI21" s="1671"/>
      <c r="AJ21" s="6"/>
      <c r="AK21" s="1642" t="s">
        <v>988</v>
      </c>
      <c r="AL21" s="1683">
        <f t="shared" si="17" ref="AL21:AM21">_xlfn.IFERROR(AL14/(AL13/AL20),0)</f>
        <v>0</v>
      </c>
      <c r="AM21" s="1684">
        <f t="shared" si="17"/>
        <v>0</v>
      </c>
      <c r="AN21" s="1678"/>
    </row>
    <row r="22" ht="15" customHeight="1">
      <c r="A22" s="1647"/>
      <c r="B22" s="613" t="s">
        <v>1417</v>
      </c>
      <c r="C22" s="1237"/>
      <c r="D22" s="1641">
        <f>'Summary OPS'!$AU$42</f>
        <v>183091.77</v>
      </c>
      <c r="E22" s="1641">
        <f t="shared" si="18" ref="E22:AH66">ROUND(D22*(1+E18),0)</f>
        <v>188585</v>
      </c>
      <c r="F22" s="1641">
        <f t="shared" si="18"/>
        <v>194243</v>
      </c>
      <c r="G22" s="1641">
        <f t="shared" si="18"/>
        <v>200070</v>
      </c>
      <c r="H22" s="1641">
        <f t="shared" si="18"/>
        <v>206072</v>
      </c>
      <c r="I22" s="1641">
        <f t="shared" si="18"/>
        <v>212254</v>
      </c>
      <c r="J22" s="1641">
        <f t="shared" si="18"/>
        <v>218622</v>
      </c>
      <c r="K22" s="1641">
        <f t="shared" si="18"/>
        <v>225181</v>
      </c>
      <c r="L22" s="1641">
        <f t="shared" si="18"/>
        <v>231936</v>
      </c>
      <c r="M22" s="1641">
        <f t="shared" si="18"/>
        <v>238894</v>
      </c>
      <c r="N22" s="1641">
        <f t="shared" si="18"/>
        <v>246061</v>
      </c>
      <c r="O22" s="1641">
        <f t="shared" si="18"/>
        <v>253443</v>
      </c>
      <c r="P22" s="1641">
        <f t="shared" si="18"/>
        <v>261046</v>
      </c>
      <c r="Q22" s="1641">
        <f t="shared" si="18"/>
        <v>268877</v>
      </c>
      <c r="R22" s="1641">
        <f t="shared" si="18"/>
        <v>276943</v>
      </c>
      <c r="S22" s="1641">
        <f t="shared" si="18"/>
        <v>285251</v>
      </c>
      <c r="T22" s="1641">
        <f t="shared" si="18"/>
        <v>293809</v>
      </c>
      <c r="U22" s="1641">
        <f t="shared" si="18"/>
        <v>302623</v>
      </c>
      <c r="V22" s="1641">
        <f t="shared" si="18"/>
        <v>311702</v>
      </c>
      <c r="W22" s="1641">
        <f t="shared" si="18"/>
        <v>321053</v>
      </c>
      <c r="X22" s="1641">
        <f t="shared" si="18"/>
        <v>330685</v>
      </c>
      <c r="Y22" s="1641">
        <f t="shared" si="18"/>
        <v>340606</v>
      </c>
      <c r="Z22" s="1641">
        <f t="shared" si="18"/>
        <v>350824</v>
      </c>
      <c r="AA22" s="1641">
        <f t="shared" si="18"/>
        <v>361349</v>
      </c>
      <c r="AB22" s="1641">
        <f t="shared" si="18"/>
        <v>372189</v>
      </c>
      <c r="AC22" s="1641">
        <f t="shared" si="18"/>
        <v>383355</v>
      </c>
      <c r="AD22" s="1641">
        <f t="shared" si="18"/>
        <v>394856</v>
      </c>
      <c r="AE22" s="1641">
        <f t="shared" si="18"/>
        <v>406702</v>
      </c>
      <c r="AF22" s="1641">
        <f t="shared" si="18"/>
        <v>418903</v>
      </c>
      <c r="AG22" s="1641">
        <f t="shared" si="18"/>
        <v>431470</v>
      </c>
      <c r="AH22" s="1641">
        <f t="shared" si="18"/>
        <v>444414</v>
      </c>
      <c r="AI22" s="1671"/>
      <c r="AJ22" s="6"/>
      <c r="AK22" s="1642" t="s">
        <v>1418</v>
      </c>
      <c r="AL22" s="1685">
        <f>IF('SBL Quotes'!$AN$32="Dedicated Student",75%,80%)</f>
        <v>0.8</v>
      </c>
      <c r="AM22" s="1685">
        <f>IF('SBL Quotes'!$AN$32="Dedicated Student",75%,80%)</f>
        <v>0.8</v>
      </c>
      <c r="AN22" s="1010"/>
    </row>
    <row r="23" ht="15" customHeight="1">
      <c r="A23" s="1647"/>
      <c r="B23" s="613" t="s">
        <v>1419</v>
      </c>
      <c r="C23" s="1237"/>
      <c r="D23" s="1641">
        <f>'Summary OPS'!$AU$43</f>
        <v>117599.22</v>
      </c>
      <c r="E23" s="1641">
        <f t="shared" si="19" ref="E23:AH67">ROUND(D23*(1+E18),0)</f>
        <v>121127</v>
      </c>
      <c r="F23" s="1641">
        <f t="shared" si="19"/>
        <v>124761</v>
      </c>
      <c r="G23" s="1641">
        <f t="shared" si="19"/>
        <v>128504</v>
      </c>
      <c r="H23" s="1641">
        <f t="shared" si="19"/>
        <v>132359</v>
      </c>
      <c r="I23" s="1641">
        <f t="shared" si="19"/>
        <v>136330</v>
      </c>
      <c r="J23" s="1641">
        <f t="shared" si="19"/>
        <v>140420</v>
      </c>
      <c r="K23" s="1641">
        <f t="shared" si="19"/>
        <v>144633</v>
      </c>
      <c r="L23" s="1641">
        <f t="shared" si="19"/>
        <v>148972</v>
      </c>
      <c r="M23" s="1641">
        <f t="shared" si="19"/>
        <v>153441</v>
      </c>
      <c r="N23" s="1641">
        <f t="shared" si="19"/>
        <v>158044</v>
      </c>
      <c r="O23" s="1641">
        <f t="shared" si="19"/>
        <v>162785</v>
      </c>
      <c r="P23" s="1641">
        <f t="shared" si="19"/>
        <v>167669</v>
      </c>
      <c r="Q23" s="1641">
        <f t="shared" si="19"/>
        <v>172699</v>
      </c>
      <c r="R23" s="1641">
        <f t="shared" si="19"/>
        <v>177880</v>
      </c>
      <c r="S23" s="1641">
        <f t="shared" si="19"/>
        <v>183216</v>
      </c>
      <c r="T23" s="1641">
        <f t="shared" si="19"/>
        <v>188712</v>
      </c>
      <c r="U23" s="1641">
        <f t="shared" si="19"/>
        <v>194373</v>
      </c>
      <c r="V23" s="1641">
        <f t="shared" si="19"/>
        <v>200204</v>
      </c>
      <c r="W23" s="1641">
        <f t="shared" si="19"/>
        <v>206210</v>
      </c>
      <c r="X23" s="1641">
        <f t="shared" si="19"/>
        <v>212396</v>
      </c>
      <c r="Y23" s="1641">
        <f t="shared" si="19"/>
        <v>218768</v>
      </c>
      <c r="Z23" s="1641">
        <f t="shared" si="19"/>
        <v>225331</v>
      </c>
      <c r="AA23" s="1641">
        <f t="shared" si="19"/>
        <v>232091</v>
      </c>
      <c r="AB23" s="1641">
        <f t="shared" si="19"/>
        <v>239054</v>
      </c>
      <c r="AC23" s="1641">
        <f t="shared" si="19"/>
        <v>246226</v>
      </c>
      <c r="AD23" s="1641">
        <f t="shared" si="19"/>
        <v>253613</v>
      </c>
      <c r="AE23" s="1641">
        <f t="shared" si="19"/>
        <v>261221</v>
      </c>
      <c r="AF23" s="1641">
        <f t="shared" si="19"/>
        <v>269058</v>
      </c>
      <c r="AG23" s="1641">
        <f t="shared" si="19"/>
        <v>277130</v>
      </c>
      <c r="AH23" s="1641">
        <f t="shared" si="19"/>
        <v>285444</v>
      </c>
      <c r="AI23" s="1671"/>
      <c r="AJ23" s="6"/>
      <c r="AK23" s="1662" t="s">
        <v>1420</v>
      </c>
      <c r="AL23" s="1686">
        <f t="shared" si="20" ref="AL23:AM23">_xlfn.IFERROR(AL13/(AL14/AL22),0)</f>
        <v>0</v>
      </c>
      <c r="AM23" s="1687">
        <f t="shared" si="20"/>
        <v>0</v>
      </c>
      <c r="AN23" s="1688"/>
    </row>
    <row r="24" ht="15" customHeight="1">
      <c r="A24" s="1647"/>
      <c r="B24" s="613" t="s">
        <v>1421</v>
      </c>
      <c r="C24" s="1237"/>
      <c r="D24" s="1641">
        <f>'Summary OPS'!$AU$44</f>
        <v>395766.17</v>
      </c>
      <c r="E24" s="1641">
        <f t="shared" si="7"/>
        <v>407639</v>
      </c>
      <c r="F24" s="1641">
        <f t="shared" si="7"/>
        <v>419868</v>
      </c>
      <c r="G24" s="1641">
        <f t="shared" si="7"/>
        <v>432464</v>
      </c>
      <c r="H24" s="1641">
        <f t="shared" si="7"/>
        <v>445438</v>
      </c>
      <c r="I24" s="1641">
        <f t="shared" si="7"/>
        <v>458801</v>
      </c>
      <c r="J24" s="1641">
        <f t="shared" si="7"/>
        <v>472565</v>
      </c>
      <c r="K24" s="1641">
        <f t="shared" si="7"/>
        <v>486742</v>
      </c>
      <c r="L24" s="1641">
        <f t="shared" si="7"/>
        <v>501344</v>
      </c>
      <c r="M24" s="1641">
        <f t="shared" si="7"/>
        <v>516384</v>
      </c>
      <c r="N24" s="1641">
        <f t="shared" si="7"/>
        <v>531876</v>
      </c>
      <c r="O24" s="1641">
        <f t="shared" si="7"/>
        <v>547832</v>
      </c>
      <c r="P24" s="1641">
        <f t="shared" si="7"/>
        <v>564267</v>
      </c>
      <c r="Q24" s="1641">
        <f t="shared" si="7"/>
        <v>581195</v>
      </c>
      <c r="R24" s="1641">
        <f t="shared" si="7"/>
        <v>598631</v>
      </c>
      <c r="S24" s="1641">
        <f t="shared" si="7"/>
        <v>616590</v>
      </c>
      <c r="T24" s="1641">
        <f t="shared" si="7"/>
        <v>635088</v>
      </c>
      <c r="U24" s="1641">
        <f t="shared" si="7"/>
        <v>654141</v>
      </c>
      <c r="V24" s="1641">
        <f t="shared" si="7"/>
        <v>673765</v>
      </c>
      <c r="W24" s="1641">
        <f t="shared" si="7"/>
        <v>693978</v>
      </c>
      <c r="X24" s="1641">
        <f t="shared" si="7"/>
        <v>714797</v>
      </c>
      <c r="Y24" s="1641">
        <f t="shared" si="7"/>
        <v>736241</v>
      </c>
      <c r="Z24" s="1641">
        <f t="shared" si="7"/>
        <v>758328</v>
      </c>
      <c r="AA24" s="1641">
        <f t="shared" si="7"/>
        <v>781078</v>
      </c>
      <c r="AB24" s="1641">
        <f t="shared" si="7"/>
        <v>804510</v>
      </c>
      <c r="AC24" s="1641">
        <f t="shared" si="7"/>
        <v>828645</v>
      </c>
      <c r="AD24" s="1641">
        <f t="shared" si="7"/>
        <v>853504</v>
      </c>
      <c r="AE24" s="1641">
        <f t="shared" si="7"/>
        <v>879109</v>
      </c>
      <c r="AF24" s="1641">
        <f t="shared" si="7"/>
        <v>905482</v>
      </c>
      <c r="AG24" s="1641">
        <f t="shared" si="7"/>
        <v>932646</v>
      </c>
      <c r="AH24" s="1641">
        <f t="shared" si="7"/>
        <v>960625</v>
      </c>
      <c r="AI24" s="1671"/>
      <c r="AJ24" s="1653"/>
      <c r="AK24" s="1662" t="s">
        <v>1422</v>
      </c>
      <c r="AL24" s="1689">
        <f>IF('SBL Quotes'!$AN$32="Dedicated Student",1.3,1.25)</f>
        <v>1.25</v>
      </c>
      <c r="AM24" s="1690">
        <f>IF('SBL Quotes'!$AN$32="Dedicated Student",1.3,1.25)</f>
        <v>1.25</v>
      </c>
      <c r="AN24" s="1691"/>
    </row>
    <row r="25" ht="15" customHeight="1">
      <c r="A25" s="1647"/>
      <c r="B25" s="613" t="s">
        <v>1151</v>
      </c>
      <c r="C25" s="1237"/>
      <c r="D25" s="1641">
        <f>'Summary OPS'!$AU$45</f>
        <v>250385.79</v>
      </c>
      <c r="E25" s="1641">
        <f t="shared" si="8"/>
        <v>257897</v>
      </c>
      <c r="F25" s="1641">
        <f t="shared" si="8"/>
        <v>265634</v>
      </c>
      <c r="G25" s="1641">
        <f t="shared" si="8"/>
        <v>273603</v>
      </c>
      <c r="H25" s="1641">
        <f t="shared" si="8"/>
        <v>281811</v>
      </c>
      <c r="I25" s="1641">
        <f t="shared" si="8"/>
        <v>290265</v>
      </c>
      <c r="J25" s="1641">
        <f t="shared" si="8"/>
        <v>298973</v>
      </c>
      <c r="K25" s="1641">
        <f t="shared" si="8"/>
        <v>307942</v>
      </c>
      <c r="L25" s="1641">
        <f t="shared" si="8"/>
        <v>317180</v>
      </c>
      <c r="M25" s="1641">
        <f t="shared" si="8"/>
        <v>326695</v>
      </c>
      <c r="N25" s="1641">
        <f t="shared" si="8"/>
        <v>336496</v>
      </c>
      <c r="O25" s="1641">
        <f t="shared" si="8"/>
        <v>346591</v>
      </c>
      <c r="P25" s="1641">
        <f t="shared" si="8"/>
        <v>356989</v>
      </c>
      <c r="Q25" s="1641">
        <f t="shared" si="8"/>
        <v>367699</v>
      </c>
      <c r="R25" s="1641">
        <f t="shared" si="8"/>
        <v>378730</v>
      </c>
      <c r="S25" s="1641">
        <f t="shared" si="8"/>
        <v>390092</v>
      </c>
      <c r="T25" s="1641">
        <f t="shared" si="8"/>
        <v>401795</v>
      </c>
      <c r="U25" s="1641">
        <f t="shared" si="8"/>
        <v>413849</v>
      </c>
      <c r="V25" s="1641">
        <f t="shared" si="8"/>
        <v>426264</v>
      </c>
      <c r="W25" s="1641">
        <f t="shared" si="8"/>
        <v>439052</v>
      </c>
      <c r="X25" s="1641">
        <f t="shared" si="8"/>
        <v>452224</v>
      </c>
      <c r="Y25" s="1641">
        <f t="shared" si="8"/>
        <v>465791</v>
      </c>
      <c r="Z25" s="1641">
        <f t="shared" si="8"/>
        <v>479765</v>
      </c>
      <c r="AA25" s="1641">
        <f t="shared" si="8"/>
        <v>494158</v>
      </c>
      <c r="AB25" s="1641">
        <f t="shared" si="8"/>
        <v>508983</v>
      </c>
      <c r="AC25" s="1641">
        <f t="shared" si="8"/>
        <v>524252</v>
      </c>
      <c r="AD25" s="1641">
        <f t="shared" si="8"/>
        <v>539980</v>
      </c>
      <c r="AE25" s="1641">
        <f t="shared" si="8"/>
        <v>556179</v>
      </c>
      <c r="AF25" s="1641">
        <f t="shared" si="8"/>
        <v>572864</v>
      </c>
      <c r="AG25" s="1641">
        <f t="shared" si="8"/>
        <v>590050</v>
      </c>
      <c r="AH25" s="1641">
        <f t="shared" si="8"/>
        <v>607752</v>
      </c>
      <c r="AI25" s="1679"/>
      <c r="AJ25" s="6"/>
      <c r="AK25" s="1662" t="s">
        <v>993</v>
      </c>
      <c r="AL25" s="1692">
        <f t="shared" si="21" ref="AL25:AM25">_xlfn.IFERROR(RATE(AL26*12,-AL13/AL24/12,AL14)*12,0)</f>
        <v>0</v>
      </c>
      <c r="AM25" s="1693">
        <f t="shared" si="21"/>
        <v>0</v>
      </c>
      <c r="AN25" s="1"/>
    </row>
    <row r="26" ht="15" customHeight="1">
      <c r="A26" s="1647"/>
      <c r="B26" s="613" t="s">
        <v>1423</v>
      </c>
      <c r="C26" s="1644">
        <f t="shared" si="38" ref="C26:C70">IF(State_DataPageTab="CA",2%,3%)</f>
        <v>0.03</v>
      </c>
      <c r="D26" s="1694">
        <f>'Fannie Historical Ops'!AK$33</f>
        <v>1036382.91</v>
      </c>
      <c r="E26" s="1694">
        <f t="shared" si="22" ref="E26:AH26">ROUND(D26*(1+$C26),0)</f>
        <v>1067474</v>
      </c>
      <c r="F26" s="1694">
        <f t="shared" si="22"/>
        <v>1099498</v>
      </c>
      <c r="G26" s="1694">
        <f t="shared" si="22"/>
        <v>1132483</v>
      </c>
      <c r="H26" s="1694">
        <f t="shared" si="22"/>
        <v>1166457</v>
      </c>
      <c r="I26" s="1694">
        <f t="shared" si="22"/>
        <v>1201451</v>
      </c>
      <c r="J26" s="1694">
        <f t="shared" si="22"/>
        <v>1237495</v>
      </c>
      <c r="K26" s="1694">
        <f t="shared" si="22"/>
        <v>1274620</v>
      </c>
      <c r="L26" s="1694">
        <f t="shared" si="22"/>
        <v>1312859</v>
      </c>
      <c r="M26" s="1694">
        <f t="shared" si="22"/>
        <v>1352245</v>
      </c>
      <c r="N26" s="1694">
        <f t="shared" si="22"/>
        <v>1392812</v>
      </c>
      <c r="O26" s="1694">
        <f t="shared" si="22"/>
        <v>1434596</v>
      </c>
      <c r="P26" s="1694">
        <f t="shared" si="22"/>
        <v>1477634</v>
      </c>
      <c r="Q26" s="1694">
        <f t="shared" si="22"/>
        <v>1521963</v>
      </c>
      <c r="R26" s="1694">
        <f t="shared" si="22"/>
        <v>1567622</v>
      </c>
      <c r="S26" s="1694">
        <f t="shared" si="22"/>
        <v>1614651</v>
      </c>
      <c r="T26" s="1694">
        <f t="shared" si="22"/>
        <v>1663091</v>
      </c>
      <c r="U26" s="1694">
        <f t="shared" si="22"/>
        <v>1712984</v>
      </c>
      <c r="V26" s="1694">
        <f t="shared" si="22"/>
        <v>1764374</v>
      </c>
      <c r="W26" s="1694">
        <f t="shared" si="22"/>
        <v>1817305</v>
      </c>
      <c r="X26" s="1694">
        <f t="shared" si="22"/>
        <v>1871824</v>
      </c>
      <c r="Y26" s="1694">
        <f t="shared" si="22"/>
        <v>1927979</v>
      </c>
      <c r="Z26" s="1694">
        <f t="shared" si="22"/>
        <v>1985818</v>
      </c>
      <c r="AA26" s="1694">
        <f t="shared" si="22"/>
        <v>2045393</v>
      </c>
      <c r="AB26" s="1694">
        <f t="shared" si="22"/>
        <v>2106755</v>
      </c>
      <c r="AC26" s="1694">
        <f t="shared" si="22"/>
        <v>2169958</v>
      </c>
      <c r="AD26" s="1694">
        <f t="shared" si="22"/>
        <v>2235057</v>
      </c>
      <c r="AE26" s="1694">
        <f t="shared" si="22"/>
        <v>2302109</v>
      </c>
      <c r="AF26" s="1694">
        <f t="shared" si="22"/>
        <v>2371172</v>
      </c>
      <c r="AG26" s="1694">
        <f t="shared" si="22"/>
        <v>2442307</v>
      </c>
      <c r="AH26" s="1694">
        <f t="shared" si="22"/>
        <v>2515576</v>
      </c>
      <c r="AI26" s="1695"/>
      <c r="AJ26" s="6"/>
      <c r="AK26" s="1642" t="s">
        <v>1424</v>
      </c>
      <c r="AL26" s="1696">
        <v>30</v>
      </c>
      <c r="AM26" s="1697">
        <v>30</v>
      </c>
      <c r="AN26" s="1"/>
    </row>
    <row r="27" ht="15.75" customHeight="1">
      <c r="A27" s="1647"/>
      <c r="B27" s="1650" t="s">
        <v>1425</v>
      </c>
      <c r="C27" s="1698"/>
      <c r="D27" s="1670">
        <f>'Summary OPS'!$AU$51</f>
        <v>21250</v>
      </c>
      <c r="E27" s="1670">
        <f t="shared" si="23" ref="E27:AH27">$D27</f>
        <v>21250</v>
      </c>
      <c r="F27" s="1670">
        <f t="shared" si="23"/>
        <v>21250</v>
      </c>
      <c r="G27" s="1670">
        <f t="shared" si="23"/>
        <v>21250</v>
      </c>
      <c r="H27" s="1670">
        <f t="shared" si="23"/>
        <v>21250</v>
      </c>
      <c r="I27" s="1670">
        <f t="shared" si="23"/>
        <v>21250</v>
      </c>
      <c r="J27" s="1670">
        <f t="shared" si="23"/>
        <v>21250</v>
      </c>
      <c r="K27" s="1670">
        <f t="shared" si="23"/>
        <v>21250</v>
      </c>
      <c r="L27" s="1670">
        <f t="shared" si="23"/>
        <v>21250</v>
      </c>
      <c r="M27" s="1670">
        <f t="shared" si="23"/>
        <v>21250</v>
      </c>
      <c r="N27" s="1670">
        <f t="shared" si="23"/>
        <v>21250</v>
      </c>
      <c r="O27" s="1670">
        <f t="shared" si="23"/>
        <v>21250</v>
      </c>
      <c r="P27" s="1670">
        <f t="shared" si="23"/>
        <v>21250</v>
      </c>
      <c r="Q27" s="1670">
        <f t="shared" si="23"/>
        <v>21250</v>
      </c>
      <c r="R27" s="1670">
        <f t="shared" si="23"/>
        <v>21250</v>
      </c>
      <c r="S27" s="1670">
        <f t="shared" si="23"/>
        <v>21250</v>
      </c>
      <c r="T27" s="1670">
        <f t="shared" si="23"/>
        <v>21250</v>
      </c>
      <c r="U27" s="1670">
        <f t="shared" si="23"/>
        <v>21250</v>
      </c>
      <c r="V27" s="1670">
        <f t="shared" si="23"/>
        <v>21250</v>
      </c>
      <c r="W27" s="1670">
        <f t="shared" si="23"/>
        <v>21250</v>
      </c>
      <c r="X27" s="1670">
        <f t="shared" si="23"/>
        <v>21250</v>
      </c>
      <c r="Y27" s="1670">
        <f t="shared" si="23"/>
        <v>21250</v>
      </c>
      <c r="Z27" s="1670">
        <f t="shared" si="23"/>
        <v>21250</v>
      </c>
      <c r="AA27" s="1670">
        <f t="shared" si="23"/>
        <v>21250</v>
      </c>
      <c r="AB27" s="1670">
        <f t="shared" si="23"/>
        <v>21250</v>
      </c>
      <c r="AC27" s="1670">
        <f t="shared" si="23"/>
        <v>21250</v>
      </c>
      <c r="AD27" s="1670">
        <f t="shared" si="23"/>
        <v>21250</v>
      </c>
      <c r="AE27" s="1670">
        <f t="shared" si="23"/>
        <v>21250</v>
      </c>
      <c r="AF27" s="1670">
        <f t="shared" si="23"/>
        <v>21250</v>
      </c>
      <c r="AG27" s="1670">
        <f t="shared" si="23"/>
        <v>21250</v>
      </c>
      <c r="AH27" s="1670">
        <f t="shared" si="23"/>
        <v>21250</v>
      </c>
      <c r="AI27" s="1671"/>
      <c r="AJ27" s="6"/>
      <c r="AK27" s="1648" t="s">
        <v>994</v>
      </c>
      <c r="AL27" s="1699">
        <f t="shared" si="24" ref="AL27:AM27">_xlfn.IFERROR(AL13/(AL14*PMT(AL25/12,AL26*12,-1)*12),0)</f>
        <v>0</v>
      </c>
      <c r="AM27" s="1700">
        <f t="shared" si="24"/>
        <v>0</v>
      </c>
      <c r="AN27" s="1701"/>
    </row>
    <row r="28" ht="15.75" customHeight="1">
      <c r="A28" s="1647"/>
      <c r="B28" s="1632" t="s">
        <v>1426</v>
      </c>
      <c r="C28" s="1633"/>
      <c r="D28" s="1672">
        <f t="shared" si="25" ref="D28:AH72">SUM(D19:D27)</f>
        <v>2830790.21</v>
      </c>
      <c r="E28" s="1672">
        <f t="shared" si="25"/>
        <v>2913910</v>
      </c>
      <c r="F28" s="1672">
        <f t="shared" si="25"/>
        <v>2999525</v>
      </c>
      <c r="G28" s="1672">
        <f t="shared" si="25"/>
        <v>3087708</v>
      </c>
      <c r="H28" s="1672">
        <f t="shared" si="25"/>
        <v>3178536</v>
      </c>
      <c r="I28" s="1672">
        <f t="shared" si="25"/>
        <v>3272089</v>
      </c>
      <c r="J28" s="1672">
        <f t="shared" si="25"/>
        <v>3368450</v>
      </c>
      <c r="K28" s="1672">
        <f t="shared" si="25"/>
        <v>3467702</v>
      </c>
      <c r="L28" s="1672">
        <f t="shared" si="25"/>
        <v>3569930</v>
      </c>
      <c r="M28" s="1672">
        <f t="shared" si="25"/>
        <v>3675224</v>
      </c>
      <c r="N28" s="1672">
        <f t="shared" si="25"/>
        <v>3783678</v>
      </c>
      <c r="O28" s="1672">
        <f t="shared" si="25"/>
        <v>3895385</v>
      </c>
      <c r="P28" s="1672">
        <f t="shared" si="25"/>
        <v>4010445</v>
      </c>
      <c r="Q28" s="1672">
        <f t="shared" si="25"/>
        <v>4128955</v>
      </c>
      <c r="R28" s="1672">
        <f t="shared" si="25"/>
        <v>4251021</v>
      </c>
      <c r="S28" s="1672">
        <f t="shared" si="25"/>
        <v>4376748</v>
      </c>
      <c r="T28" s="1672">
        <f t="shared" si="25"/>
        <v>4506249</v>
      </c>
      <c r="U28" s="1672">
        <f t="shared" si="25"/>
        <v>4639634</v>
      </c>
      <c r="V28" s="1672">
        <f t="shared" si="25"/>
        <v>4777020</v>
      </c>
      <c r="W28" s="1672">
        <f t="shared" si="25"/>
        <v>4918527</v>
      </c>
      <c r="X28" s="1672">
        <f t="shared" si="25"/>
        <v>5064280</v>
      </c>
      <c r="Y28" s="1672">
        <f t="shared" si="25"/>
        <v>5214407</v>
      </c>
      <c r="Z28" s="1672">
        <f t="shared" si="25"/>
        <v>5369035</v>
      </c>
      <c r="AA28" s="1672">
        <f t="shared" si="25"/>
        <v>5528304</v>
      </c>
      <c r="AB28" s="1672">
        <f t="shared" si="25"/>
        <v>5692350</v>
      </c>
      <c r="AC28" s="1672">
        <f t="shared" si="25"/>
        <v>5861318</v>
      </c>
      <c r="AD28" s="1672">
        <f t="shared" si="25"/>
        <v>6035356</v>
      </c>
      <c r="AE28" s="1672">
        <f t="shared" si="25"/>
        <v>6214613</v>
      </c>
      <c r="AF28" s="1672">
        <f t="shared" si="25"/>
        <v>6399248</v>
      </c>
      <c r="AG28" s="1672">
        <f t="shared" si="25"/>
        <v>6589423</v>
      </c>
      <c r="AH28" s="1672">
        <f t="shared" si="25"/>
        <v>6785303</v>
      </c>
      <c r="AI28" s="1671"/>
      <c r="AJ28" s="6"/>
      <c r="AK28" s="6"/>
      <c r="AL28" s="6"/>
      <c r="AM28" s="1"/>
      <c r="AN28" s="1678"/>
    </row>
    <row r="29" ht="15.75" customHeight="1">
      <c r="A29" s="1647"/>
      <c r="B29" s="1632" t="s">
        <v>1427</v>
      </c>
      <c r="C29" s="1633"/>
      <c r="D29" s="1672">
        <f t="shared" si="26" ref="D29:AH73">D17-D28</f>
        <v>-1720952.21</v>
      </c>
      <c r="E29" s="1672">
        <f t="shared" si="26"/>
        <v>-1804072</v>
      </c>
      <c r="F29" s="1672">
        <f t="shared" si="26"/>
        <v>-1889687</v>
      </c>
      <c r="G29" s="1672">
        <f t="shared" si="26"/>
        <v>-1977870</v>
      </c>
      <c r="H29" s="1672">
        <f t="shared" si="26"/>
        <v>-2068698</v>
      </c>
      <c r="I29" s="1672">
        <f t="shared" si="26"/>
        <v>-2162251</v>
      </c>
      <c r="J29" s="1672">
        <f t="shared" si="26"/>
        <v>-2258612</v>
      </c>
      <c r="K29" s="1672">
        <f t="shared" si="26"/>
        <v>-2357864</v>
      </c>
      <c r="L29" s="1672">
        <f t="shared" si="26"/>
        <v>-2460092</v>
      </c>
      <c r="M29" s="1672">
        <f t="shared" si="26"/>
        <v>-2565386</v>
      </c>
      <c r="N29" s="1672">
        <f t="shared" si="26"/>
        <v>-2673840</v>
      </c>
      <c r="O29" s="1672">
        <f t="shared" si="26"/>
        <v>-2785547</v>
      </c>
      <c r="P29" s="1672">
        <f t="shared" si="26"/>
        <v>-2900607</v>
      </c>
      <c r="Q29" s="1672">
        <f t="shared" si="26"/>
        <v>-3019117</v>
      </c>
      <c r="R29" s="1672">
        <f t="shared" si="26"/>
        <v>-3141183</v>
      </c>
      <c r="S29" s="1672">
        <f t="shared" si="26"/>
        <v>-3266910</v>
      </c>
      <c r="T29" s="1672">
        <f t="shared" si="26"/>
        <v>-3396411</v>
      </c>
      <c r="U29" s="1672">
        <f t="shared" si="26"/>
        <v>-3529796</v>
      </c>
      <c r="V29" s="1672">
        <f t="shared" si="26"/>
        <v>-3667182</v>
      </c>
      <c r="W29" s="1672">
        <f t="shared" si="26"/>
        <v>-3808689</v>
      </c>
      <c r="X29" s="1672">
        <f t="shared" si="26"/>
        <v>-3954442</v>
      </c>
      <c r="Y29" s="1672">
        <f t="shared" si="26"/>
        <v>-4104569</v>
      </c>
      <c r="Z29" s="1672">
        <f t="shared" si="26"/>
        <v>-4259197</v>
      </c>
      <c r="AA29" s="1672">
        <f t="shared" si="26"/>
        <v>-4418466</v>
      </c>
      <c r="AB29" s="1672">
        <f t="shared" si="26"/>
        <v>-4582512</v>
      </c>
      <c r="AC29" s="1672">
        <f t="shared" si="26"/>
        <v>-4751480</v>
      </c>
      <c r="AD29" s="1672">
        <f t="shared" si="26"/>
        <v>-4925518</v>
      </c>
      <c r="AE29" s="1672">
        <f t="shared" si="26"/>
        <v>-5104775</v>
      </c>
      <c r="AF29" s="1672">
        <f t="shared" si="26"/>
        <v>-5289410</v>
      </c>
      <c r="AG29" s="1672">
        <f t="shared" si="26"/>
        <v>-5479585</v>
      </c>
      <c r="AH29" s="1672">
        <f t="shared" si="26"/>
        <v>-5675465</v>
      </c>
      <c r="AI29" s="1671"/>
      <c r="AJ29" s="6"/>
      <c r="AK29" s="1630" t="s">
        <v>1428</v>
      </c>
      <c r="AL29" s="1658" t="s">
        <v>393</v>
      </c>
      <c r="AM29" s="1659" t="s">
        <v>1403</v>
      </c>
      <c r="AN29" s="1702"/>
    </row>
    <row r="30" ht="15" customHeight="1">
      <c r="A30" s="1647"/>
      <c r="B30" s="1703" t="s">
        <v>1429</v>
      </c>
      <c r="C30" s="1704"/>
      <c r="D30" s="1705" t="e">
        <f>IF('SBL Quotes'!$AN$35="Assumption",AmortizingDebtService,AmortizingDebtService+FirstDebtService_IfSupp+SecondDebtService_IfSupp+ThirdDebtService_IfSupp)</f>
        <v>#NAME?</v>
      </c>
      <c r="E30" s="1705" t="e">
        <f t="shared" si="27" ref="E30:AM74">D30</f>
        <v>#NAME?</v>
      </c>
      <c r="F30" s="1705" t="e">
        <f t="shared" si="27"/>
        <v>#NAME?</v>
      </c>
      <c r="G30" s="1705" t="e">
        <f t="shared" si="27"/>
        <v>#NAME?</v>
      </c>
      <c r="H30" s="1705" t="e">
        <f t="shared" si="27"/>
        <v>#NAME?</v>
      </c>
      <c r="I30" s="1705" t="e">
        <f t="shared" si="27"/>
        <v>#NAME?</v>
      </c>
      <c r="J30" s="1705" t="e">
        <f t="shared" si="27"/>
        <v>#NAME?</v>
      </c>
      <c r="K30" s="1705" t="e">
        <f t="shared" si="27"/>
        <v>#NAME?</v>
      </c>
      <c r="L30" s="1705" t="e">
        <f t="shared" si="27"/>
        <v>#NAME?</v>
      </c>
      <c r="M30" s="1705" t="e">
        <f t="shared" si="27"/>
        <v>#NAME?</v>
      </c>
      <c r="N30" s="1705" t="e">
        <f t="shared" si="27"/>
        <v>#NAME?</v>
      </c>
      <c r="O30" s="1705" t="e">
        <f t="shared" si="27"/>
        <v>#NAME?</v>
      </c>
      <c r="P30" s="1705" t="e">
        <f t="shared" si="27"/>
        <v>#NAME?</v>
      </c>
      <c r="Q30" s="1705" t="e">
        <f t="shared" si="27"/>
        <v>#NAME?</v>
      </c>
      <c r="R30" s="1705" t="e">
        <f t="shared" si="27"/>
        <v>#NAME?</v>
      </c>
      <c r="S30" s="1705" t="e">
        <f t="shared" si="27"/>
        <v>#NAME?</v>
      </c>
      <c r="T30" s="1705" t="e">
        <f t="shared" si="27"/>
        <v>#NAME?</v>
      </c>
      <c r="U30" s="1705" t="e">
        <f t="shared" si="27"/>
        <v>#NAME?</v>
      </c>
      <c r="V30" s="1705" t="e">
        <f t="shared" si="27"/>
        <v>#NAME?</v>
      </c>
      <c r="W30" s="1705" t="e">
        <f t="shared" si="27"/>
        <v>#NAME?</v>
      </c>
      <c r="X30" s="1705" t="e">
        <f t="shared" si="27"/>
        <v>#NAME?</v>
      </c>
      <c r="Y30" s="1705" t="e">
        <f t="shared" si="27"/>
        <v>#NAME?</v>
      </c>
      <c r="Z30" s="1705" t="e">
        <f t="shared" si="27"/>
        <v>#NAME?</v>
      </c>
      <c r="AA30" s="1705" t="e">
        <f t="shared" si="27"/>
        <v>#NAME?</v>
      </c>
      <c r="AB30" s="1705" t="e">
        <f t="shared" si="27"/>
        <v>#NAME?</v>
      </c>
      <c r="AC30" s="1705" t="e">
        <f t="shared" si="27"/>
        <v>#NAME?</v>
      </c>
      <c r="AD30" s="1705" t="e">
        <f t="shared" si="27"/>
        <v>#NAME?</v>
      </c>
      <c r="AE30" s="1705" t="e">
        <f t="shared" si="27"/>
        <v>#NAME?</v>
      </c>
      <c r="AF30" s="1705" t="e">
        <f t="shared" si="27"/>
        <v>#NAME?</v>
      </c>
      <c r="AG30" s="1705" t="e">
        <f t="shared" si="27"/>
        <v>#NAME?</v>
      </c>
      <c r="AH30" s="1705" t="e">
        <f t="shared" si="27"/>
        <v>#NAME?</v>
      </c>
      <c r="AI30" s="1671"/>
      <c r="AJ30" s="613"/>
      <c r="AK30" s="1706" t="s">
        <v>1430</v>
      </c>
      <c r="AL30" s="1707">
        <f>IF(Loan_Program_Accepted="Proprietary Capital",IF(Exit_LoanTerm=10,6%,5.5%),IF(Delegated_Level="Performance Differentiation",IF(MSA_Type="MSA (Pre-Review Market)",7.5%,IF('Data Page'!I7="MAH",IF(MSA_Type="MSA (Strong Market)",6.75%,7%),IF(MSA_Type="MSA (Strong Market)",6.5%,6.75%))),7.5%))</f>
        <v>0.075</v>
      </c>
      <c r="AM30" s="1708">
        <f t="shared" si="27"/>
        <v>0.075</v>
      </c>
      <c r="AN30" s="1709"/>
    </row>
    <row r="31" ht="15" customHeight="1">
      <c r="A31" s="1647"/>
      <c r="B31" s="1169" t="s">
        <v>1225</v>
      </c>
      <c r="C31" s="1710"/>
      <c r="D31" s="1711">
        <f t="shared" si="28" ref="D31:AH75">_xlfn.IFERROR(D29/D30,0)</f>
        <v>0</v>
      </c>
      <c r="E31" s="1711">
        <f t="shared" si="28"/>
        <v>0</v>
      </c>
      <c r="F31" s="1711">
        <f t="shared" si="28"/>
        <v>0</v>
      </c>
      <c r="G31" s="1711">
        <f t="shared" si="28"/>
        <v>0</v>
      </c>
      <c r="H31" s="1711">
        <f t="shared" si="28"/>
        <v>0</v>
      </c>
      <c r="I31" s="1711">
        <f t="shared" si="28"/>
        <v>0</v>
      </c>
      <c r="J31" s="1711">
        <f t="shared" si="28"/>
        <v>0</v>
      </c>
      <c r="K31" s="1711">
        <f t="shared" si="28"/>
        <v>0</v>
      </c>
      <c r="L31" s="1711">
        <f t="shared" si="28"/>
        <v>0</v>
      </c>
      <c r="M31" s="1711">
        <f t="shared" si="28"/>
        <v>0</v>
      </c>
      <c r="N31" s="1711">
        <f t="shared" si="28"/>
        <v>0</v>
      </c>
      <c r="O31" s="1711">
        <f t="shared" si="28"/>
        <v>0</v>
      </c>
      <c r="P31" s="1711">
        <f t="shared" si="28"/>
        <v>0</v>
      </c>
      <c r="Q31" s="1711">
        <f t="shared" si="28"/>
        <v>0</v>
      </c>
      <c r="R31" s="1711">
        <f t="shared" si="28"/>
        <v>0</v>
      </c>
      <c r="S31" s="1711">
        <f t="shared" si="28"/>
        <v>0</v>
      </c>
      <c r="T31" s="1711">
        <f t="shared" si="28"/>
        <v>0</v>
      </c>
      <c r="U31" s="1711">
        <f t="shared" si="28"/>
        <v>0</v>
      </c>
      <c r="V31" s="1711">
        <f t="shared" si="28"/>
        <v>0</v>
      </c>
      <c r="W31" s="1711">
        <f t="shared" si="28"/>
        <v>0</v>
      </c>
      <c r="X31" s="1711">
        <f t="shared" si="28"/>
        <v>0</v>
      </c>
      <c r="Y31" s="1711">
        <f t="shared" si="28"/>
        <v>0</v>
      </c>
      <c r="Z31" s="1711">
        <f t="shared" si="28"/>
        <v>0</v>
      </c>
      <c r="AA31" s="1711">
        <f t="shared" si="28"/>
        <v>0</v>
      </c>
      <c r="AB31" s="1711">
        <f t="shared" si="28"/>
        <v>0</v>
      </c>
      <c r="AC31" s="1711">
        <f t="shared" si="28"/>
        <v>0</v>
      </c>
      <c r="AD31" s="1711">
        <f t="shared" si="28"/>
        <v>0</v>
      </c>
      <c r="AE31" s="1711">
        <f t="shared" si="28"/>
        <v>0</v>
      </c>
      <c r="AF31" s="1711">
        <f t="shared" si="28"/>
        <v>0</v>
      </c>
      <c r="AG31" s="1711">
        <f t="shared" si="28"/>
        <v>0</v>
      </c>
      <c r="AH31" s="1711">
        <f t="shared" si="28"/>
        <v>0</v>
      </c>
      <c r="AI31" s="1671"/>
      <c r="AJ31" s="6"/>
      <c r="AK31" s="1662" t="s">
        <v>1431</v>
      </c>
      <c r="AL31" s="1712">
        <v>30</v>
      </c>
      <c r="AM31" s="1713">
        <v>30</v>
      </c>
      <c r="AN31" s="6"/>
    </row>
    <row r="32" ht="15.75" customHeight="1">
      <c r="A32" s="1647"/>
      <c r="B32" s="1169"/>
      <c r="C32" s="1714"/>
      <c r="D32" s="1715" t="str">
        <f>IF('SBL Quotes'!$AN$32="Supplemental",IF(D$45&gt;FirstRemTerm_IfSupp,D35,MAX(0,FirstTerm_IfSupp-FirstRemTerm_IfSupp+D$45-FirstIO_IfSupp)),"")</f>
        <v/>
      </c>
      <c r="E32" s="1715" t="str">
        <f>IF('SBL Quotes'!$AN$32="Supplemental",IF(E$45&gt;FirstRemTerm_IfSupp,D32+E35-D35,MAX(0,FirstTerm_IfSupp-FirstRemTerm_IfSupp+E$45-FirstIO_IfSupp)),"")</f>
        <v/>
      </c>
      <c r="F32" s="1715" t="str">
        <f>IF('SBL Quotes'!$AN$32="Supplemental",IF(F$45&gt;FirstRemTerm_IfSupp,E32+F35-E35,MAX(0,FirstTerm_IfSupp-FirstRemTerm_IfSupp+F$45-FirstIO_IfSupp)),"")</f>
        <v/>
      </c>
      <c r="G32" s="1715" t="str">
        <f>IF('SBL Quotes'!$AN$32="Supplemental",IF(G$45&gt;FirstRemTerm_IfSupp,F32+G35-F35,MAX(0,FirstTerm_IfSupp-FirstRemTerm_IfSupp+G$45-FirstIO_IfSupp)),"")</f>
        <v/>
      </c>
      <c r="H32" s="1715" t="str">
        <f>IF('SBL Quotes'!$AN$32="Supplemental",IF(H$45&gt;FirstRemTerm_IfSupp,G32+H35-G35,MAX(0,FirstTerm_IfSupp-FirstRemTerm_IfSupp+H$45-FirstIO_IfSupp)),"")</f>
        <v/>
      </c>
      <c r="I32" s="1715" t="str">
        <f>IF('SBL Quotes'!$AN$32="Supplemental",IF(I$45&gt;FirstRemTerm_IfSupp,H32+I35-H35,MAX(0,FirstTerm_IfSupp-FirstRemTerm_IfSupp+I$45-FirstIO_IfSupp)),"")</f>
        <v/>
      </c>
      <c r="J32" s="1715" t="str">
        <f>IF('SBL Quotes'!$AN$32="Supplemental",IF(J$45&gt;FirstRemTerm_IfSupp,I32+J35-I35,MAX(0,FirstTerm_IfSupp-FirstRemTerm_IfSupp+J$45-FirstIO_IfSupp)),"")</f>
        <v/>
      </c>
      <c r="K32" s="1715" t="str">
        <f>IF('SBL Quotes'!$AN$32="Supplemental",IF(K$45&gt;FirstRemTerm_IfSupp,J32+K35-J35,MAX(0,FirstTerm_IfSupp-FirstRemTerm_IfSupp+K$45-FirstIO_IfSupp)),"")</f>
        <v/>
      </c>
      <c r="L32" s="1715" t="str">
        <f>IF('SBL Quotes'!$AN$32="Supplemental",IF(L$45&gt;FirstRemTerm_IfSupp,K32+L35-K35,MAX(0,FirstTerm_IfSupp-FirstRemTerm_IfSupp+L$45-FirstIO_IfSupp)),"")</f>
        <v/>
      </c>
      <c r="M32" s="1715" t="str">
        <f>IF('SBL Quotes'!$AN$32="Supplemental",IF(M$45&gt;FirstRemTerm_IfSupp,L32+M35-L35,MAX(0,FirstTerm_IfSupp-FirstRemTerm_IfSupp+M$45-FirstIO_IfSupp)),"")</f>
        <v/>
      </c>
      <c r="N32" s="1715" t="str">
        <f>IF('SBL Quotes'!$AN$32="Supplemental",IF(N$45&gt;FirstRemTerm_IfSupp,M32+N35-M35,MAX(0,FirstTerm_IfSupp-FirstRemTerm_IfSupp+N$45-FirstIO_IfSupp)),"")</f>
        <v/>
      </c>
      <c r="O32" s="1715" t="str">
        <f>IF('SBL Quotes'!$AN$32="Supplemental",IF(O$45&gt;FirstRemTerm_IfSupp,N32+O35-N35,MAX(0,FirstTerm_IfSupp-FirstRemTerm_IfSupp+O$45-FirstIO_IfSupp)),"")</f>
        <v/>
      </c>
      <c r="P32" s="1715" t="str">
        <f>IF('SBL Quotes'!$AN$32="Supplemental",IF(P$45&gt;FirstRemTerm_IfSupp,O32+P35-O35,MAX(0,FirstTerm_IfSupp-FirstRemTerm_IfSupp+P$45-FirstIO_IfSupp)),"")</f>
        <v/>
      </c>
      <c r="Q32" s="1715" t="str">
        <f>IF('SBL Quotes'!$AN$32="Supplemental",IF(Q$45&gt;FirstRemTerm_IfSupp,P32+Q35-P35,MAX(0,FirstTerm_IfSupp-FirstRemTerm_IfSupp+Q$45-FirstIO_IfSupp)),"")</f>
        <v/>
      </c>
      <c r="R32" s="1715" t="str">
        <f>IF('SBL Quotes'!$AN$32="Supplemental",IF(R$45&gt;FirstRemTerm_IfSupp,Q32+R35-Q35,MAX(0,FirstTerm_IfSupp-FirstRemTerm_IfSupp+R$45-FirstIO_IfSupp)),"")</f>
        <v/>
      </c>
      <c r="S32" s="1715" t="str">
        <f>IF('SBL Quotes'!$AN$32="Supplemental",IF(S$45&gt;FirstRemTerm_IfSupp,R32+S35-R35,MAX(0,FirstTerm_IfSupp-FirstRemTerm_IfSupp+S$45-FirstIO_IfSupp)),"")</f>
        <v/>
      </c>
      <c r="T32" s="1715" t="str">
        <f>IF('SBL Quotes'!$AN$32="Supplemental",IF(T$45&gt;FirstRemTerm_IfSupp,S32+T35-S35,MAX(0,FirstTerm_IfSupp-FirstRemTerm_IfSupp+T$45-FirstIO_IfSupp)),"")</f>
        <v/>
      </c>
      <c r="U32" s="1715" t="str">
        <f>IF('SBL Quotes'!$AN$32="Supplemental",IF(U$45&gt;FirstRemTerm_IfSupp,T32+U35-T35,MAX(0,FirstTerm_IfSupp-FirstRemTerm_IfSupp+U$45-FirstIO_IfSupp)),"")</f>
        <v/>
      </c>
      <c r="V32" s="1715" t="str">
        <f>IF('SBL Quotes'!$AN$32="Supplemental",IF(V$45&gt;FirstRemTerm_IfSupp,U32+V35-U35,MAX(0,FirstTerm_IfSupp-FirstRemTerm_IfSupp+V$45-FirstIO_IfSupp)),"")</f>
        <v/>
      </c>
      <c r="W32" s="1715" t="str">
        <f>IF('SBL Quotes'!$AN$32="Supplemental",IF(W$45&gt;FirstRemTerm_IfSupp,V32+W35-V35,MAX(0,FirstTerm_IfSupp-FirstRemTerm_IfSupp+W$45-FirstIO_IfSupp)),"")</f>
        <v/>
      </c>
      <c r="X32" s="1715" t="str">
        <f>IF('SBL Quotes'!$AN$32="Supplemental",IF(X$45&gt;FirstRemTerm_IfSupp,W32+X35-W35,MAX(0,FirstTerm_IfSupp-FirstRemTerm_IfSupp+X$45-FirstIO_IfSupp)),"")</f>
        <v/>
      </c>
      <c r="Y32" s="1715" t="str">
        <f>IF('SBL Quotes'!$AN$32="Supplemental",IF(Y$45&gt;FirstRemTerm_IfSupp,X32+Y35-X35,MAX(0,FirstTerm_IfSupp-FirstRemTerm_IfSupp+Y$45-FirstIO_IfSupp)),"")</f>
        <v/>
      </c>
      <c r="Z32" s="1715" t="str">
        <f>IF('SBL Quotes'!$AN$32="Supplemental",IF(Z$45&gt;FirstRemTerm_IfSupp,Y32+Z35-Y35,MAX(0,FirstTerm_IfSupp-FirstRemTerm_IfSupp+Z$45-FirstIO_IfSupp)),"")</f>
        <v/>
      </c>
      <c r="AA32" s="1715" t="str">
        <f>IF('SBL Quotes'!$AN$32="Supplemental",IF(AA$45&gt;FirstRemTerm_IfSupp,Z32+AA35-Z35,MAX(0,FirstTerm_IfSupp-FirstRemTerm_IfSupp+AA$45-FirstIO_IfSupp)),"")</f>
        <v/>
      </c>
      <c r="AB32" s="1715" t="str">
        <f>IF('SBL Quotes'!$AN$32="Supplemental",IF(AB$45&gt;FirstRemTerm_IfSupp,AA32+AB35-AA35,MAX(0,FirstTerm_IfSupp-FirstRemTerm_IfSupp+AB$45-FirstIO_IfSupp)),"")</f>
        <v/>
      </c>
      <c r="AC32" s="1715" t="str">
        <f>IF('SBL Quotes'!$AN$32="Supplemental",IF(AC$45&gt;FirstRemTerm_IfSupp,AB32+AC35-AB35,MAX(0,FirstTerm_IfSupp-FirstRemTerm_IfSupp+AC$45-FirstIO_IfSupp)),"")</f>
        <v/>
      </c>
      <c r="AD32" s="1715" t="str">
        <f>IF('SBL Quotes'!$AN$32="Supplemental",IF(AD$45&gt;FirstRemTerm_IfSupp,AC32+AD35-AC35,MAX(0,FirstTerm_IfSupp-FirstRemTerm_IfSupp+AD$45-FirstIO_IfSupp)),"")</f>
        <v/>
      </c>
      <c r="AE32" s="1715" t="str">
        <f>IF('SBL Quotes'!$AN$32="Supplemental",IF(AE$45&gt;FirstRemTerm_IfSupp,AD32+AE35-AD35,MAX(0,FirstTerm_IfSupp-FirstRemTerm_IfSupp+AE$45-FirstIO_IfSupp)),"")</f>
        <v/>
      </c>
      <c r="AF32" s="1715" t="str">
        <f>IF('SBL Quotes'!$AN$32="Supplemental",IF(AF$45&gt;FirstRemTerm_IfSupp,AE32+AF35-AE35,MAX(0,FirstTerm_IfSupp-FirstRemTerm_IfSupp+AF$45-FirstIO_IfSupp)),"")</f>
        <v/>
      </c>
      <c r="AG32" s="1715" t="str">
        <f>IF('SBL Quotes'!$AN$32="Supplemental",IF(AG$45&gt;FirstRemTerm_IfSupp,AF32+AG35-AF35,MAX(0,FirstTerm_IfSupp-FirstRemTerm_IfSupp+AG$45-FirstIO_IfSupp)),"")</f>
        <v/>
      </c>
      <c r="AH32" s="1715" t="str">
        <f>IF('SBL Quotes'!$AN$32="Supplemental",IF(AH$45&gt;FirstRemTerm_IfSupp,AG32+AH35-AG35,MAX(0,FirstTerm_IfSupp-FirstRemTerm_IfSupp+AH$45-FirstIO_IfSupp)),"")</f>
        <v/>
      </c>
      <c r="AI32" s="1671"/>
      <c r="AJ32" s="6"/>
      <c r="AK32" s="1648" t="s">
        <v>1432</v>
      </c>
      <c r="AL32" s="1716">
        <f t="shared" si="29" ref="AL32:AM32">_xlfn.IFERROR(AL13/(AL14*PMT(AL30/12,AL31*12,-1)*12),0)</f>
        <v>0</v>
      </c>
      <c r="AM32" s="1717">
        <f t="shared" si="29"/>
        <v>0</v>
      </c>
      <c r="AN32" s="6"/>
    </row>
    <row r="33" ht="15.75" customHeight="1">
      <c r="A33" s="1647"/>
      <c r="B33" s="1169"/>
      <c r="C33" s="1714"/>
      <c r="D33" s="1715" t="str">
        <f>IF('SBL Quotes'!$AN$33="2nd Supplemental",IF(D$45&gt;SecondRemTerm_IfSupp,D35,MAX(0,SecondTerm_IfSupp-SecondRemTerm_IfSupp+D$45-SecondIO_IfSupp)),"")</f>
        <v/>
      </c>
      <c r="E33" s="1715" t="str">
        <f>IF('SBL Quotes'!$AN$33="2nd Supplemental",IF(E$45&gt;SecondRemTerm_IfSupp,D33+E35-D35,MAX(0,SecondTerm_IfSupp-SecondRemTerm_IfSupp+E$45-SecondIO_IfSupp)),"")</f>
        <v/>
      </c>
      <c r="F33" s="1715" t="str">
        <f>IF('SBL Quotes'!$AN$33="2nd Supplemental",IF(F$45&gt;SecondRemTerm_IfSupp,E33+F35-E35,MAX(0,SecondTerm_IfSupp-SecondRemTerm_IfSupp+F$45-SecondIO_IfSupp)),"")</f>
        <v/>
      </c>
      <c r="G33" s="1715" t="str">
        <f>IF('SBL Quotes'!$AN$33="2nd Supplemental",IF(G$45&gt;SecondRemTerm_IfSupp,F33+G35-F35,MAX(0,SecondTerm_IfSupp-SecondRemTerm_IfSupp+G$45-SecondIO_IfSupp)),"")</f>
        <v/>
      </c>
      <c r="H33" s="1715" t="str">
        <f>IF('SBL Quotes'!$AN$33="2nd Supplemental",IF(H$45&gt;SecondRemTerm_IfSupp,G33+H35-G35,MAX(0,SecondTerm_IfSupp-SecondRemTerm_IfSupp+H$45-SecondIO_IfSupp)),"")</f>
        <v/>
      </c>
      <c r="I33" s="1715" t="str">
        <f>IF('SBL Quotes'!$AN$33="2nd Supplemental",IF(I$45&gt;SecondRemTerm_IfSupp,H33+I35-H35,MAX(0,SecondTerm_IfSupp-SecondRemTerm_IfSupp+I$45-SecondIO_IfSupp)),"")</f>
        <v/>
      </c>
      <c r="J33" s="1715" t="str">
        <f>IF('SBL Quotes'!$AN$33="2nd Supplemental",IF(J$45&gt;SecondRemTerm_IfSupp,I33+J35-I35,MAX(0,SecondTerm_IfSupp-SecondRemTerm_IfSupp+J$45-SecondIO_IfSupp)),"")</f>
        <v/>
      </c>
      <c r="K33" s="1715" t="str">
        <f>IF('SBL Quotes'!$AN$33="2nd Supplemental",IF(K$45&gt;SecondRemTerm_IfSupp,J33+K35-J35,MAX(0,SecondTerm_IfSupp-SecondRemTerm_IfSupp+K$45-SecondIO_IfSupp)),"")</f>
        <v/>
      </c>
      <c r="L33" s="1715" t="str">
        <f>IF('SBL Quotes'!$AN$33="2nd Supplemental",IF(L$45&gt;SecondRemTerm_IfSupp,K33+L35-K35,MAX(0,SecondTerm_IfSupp-SecondRemTerm_IfSupp+L$45-SecondIO_IfSupp)),"")</f>
        <v/>
      </c>
      <c r="M33" s="1715" t="str">
        <f>IF('SBL Quotes'!$AN$33="2nd Supplemental",IF(M$45&gt;SecondRemTerm_IfSupp,L33+M35-L35,MAX(0,SecondTerm_IfSupp-SecondRemTerm_IfSupp+M$45-SecondIO_IfSupp)),"")</f>
        <v/>
      </c>
      <c r="N33" s="1715" t="str">
        <f>IF('SBL Quotes'!$AN$33="2nd Supplemental",IF(N$45&gt;SecondRemTerm_IfSupp,M33+N35-M35,MAX(0,SecondTerm_IfSupp-SecondRemTerm_IfSupp+N$45-SecondIO_IfSupp)),"")</f>
        <v/>
      </c>
      <c r="O33" s="1715" t="str">
        <f>IF('SBL Quotes'!$AN$33="2nd Supplemental",IF(O$45&gt;SecondRemTerm_IfSupp,N33+O35-N35,MAX(0,SecondTerm_IfSupp-SecondRemTerm_IfSupp+O$45-SecondIO_IfSupp)),"")</f>
        <v/>
      </c>
      <c r="P33" s="1715" t="str">
        <f>IF('SBL Quotes'!$AN$33="2nd Supplemental",IF(P$45&gt;SecondRemTerm_IfSupp,O33+P35-O35,MAX(0,SecondTerm_IfSupp-SecondRemTerm_IfSupp+P$45-SecondIO_IfSupp)),"")</f>
        <v/>
      </c>
      <c r="Q33" s="1715" t="str">
        <f>IF('SBL Quotes'!$AN$33="2nd Supplemental",IF(Q$45&gt;SecondRemTerm_IfSupp,P33+Q35-P35,MAX(0,SecondTerm_IfSupp-SecondRemTerm_IfSupp+Q$45-SecondIO_IfSupp)),"")</f>
        <v/>
      </c>
      <c r="R33" s="1715" t="str">
        <f>IF('SBL Quotes'!$AN$33="2nd Supplemental",IF(R$45&gt;SecondRemTerm_IfSupp,Q33+R35-Q35,MAX(0,SecondTerm_IfSupp-SecondRemTerm_IfSupp+R$45-SecondIO_IfSupp)),"")</f>
        <v/>
      </c>
      <c r="S33" s="1715" t="str">
        <f>IF('SBL Quotes'!$AN$33="2nd Supplemental",IF(S$45&gt;SecondRemTerm_IfSupp,R33+S35-R35,MAX(0,SecondTerm_IfSupp-SecondRemTerm_IfSupp+S$45-SecondIO_IfSupp)),"")</f>
        <v/>
      </c>
      <c r="T33" s="1715" t="str">
        <f>IF('SBL Quotes'!$AN$33="2nd Supplemental",IF(T$45&gt;SecondRemTerm_IfSupp,S33+T35-S35,MAX(0,SecondTerm_IfSupp-SecondRemTerm_IfSupp+T$45-SecondIO_IfSupp)),"")</f>
        <v/>
      </c>
      <c r="U33" s="1715" t="str">
        <f>IF('SBL Quotes'!$AN$33="2nd Supplemental",IF(U$45&gt;SecondRemTerm_IfSupp,T33+U35-T35,MAX(0,SecondTerm_IfSupp-SecondRemTerm_IfSupp+U$45-SecondIO_IfSupp)),"")</f>
        <v/>
      </c>
      <c r="V33" s="1715" t="str">
        <f>IF('SBL Quotes'!$AN$33="2nd Supplemental",IF(V$45&gt;SecondRemTerm_IfSupp,U33+V35-U35,MAX(0,SecondTerm_IfSupp-SecondRemTerm_IfSupp+V$45-SecondIO_IfSupp)),"")</f>
        <v/>
      </c>
      <c r="W33" s="1715" t="str">
        <f>IF('SBL Quotes'!$AN$33="2nd Supplemental",IF(W$45&gt;SecondRemTerm_IfSupp,V33+W35-V35,MAX(0,SecondTerm_IfSupp-SecondRemTerm_IfSupp+W$45-SecondIO_IfSupp)),"")</f>
        <v/>
      </c>
      <c r="X33" s="1715" t="str">
        <f>IF('SBL Quotes'!$AN$33="2nd Supplemental",IF(X$45&gt;SecondRemTerm_IfSupp,W33+X35-W35,MAX(0,SecondTerm_IfSupp-SecondRemTerm_IfSupp+X$45-SecondIO_IfSupp)),"")</f>
        <v/>
      </c>
      <c r="Y33" s="1715" t="str">
        <f>IF('SBL Quotes'!$AN$33="2nd Supplemental",IF(Y$45&gt;SecondRemTerm_IfSupp,X33+Y35-X35,MAX(0,SecondTerm_IfSupp-SecondRemTerm_IfSupp+Y$45-SecondIO_IfSupp)),"")</f>
        <v/>
      </c>
      <c r="Z33" s="1715" t="str">
        <f>IF('SBL Quotes'!$AN$33="2nd Supplemental",IF(Z$45&gt;SecondRemTerm_IfSupp,Y33+Z35-Y35,MAX(0,SecondTerm_IfSupp-SecondRemTerm_IfSupp+Z$45-SecondIO_IfSupp)),"")</f>
        <v/>
      </c>
      <c r="AA33" s="1715" t="str">
        <f>IF('SBL Quotes'!$AN$33="2nd Supplemental",IF(AA$45&gt;SecondRemTerm_IfSupp,Z33+AA35-Z35,MAX(0,SecondTerm_IfSupp-SecondRemTerm_IfSupp+AA$45-SecondIO_IfSupp)),"")</f>
        <v/>
      </c>
      <c r="AB33" s="1715" t="str">
        <f>IF('SBL Quotes'!$AN$33="2nd Supplemental",IF(AB$45&gt;SecondRemTerm_IfSupp,AA33+AB35-AA35,MAX(0,SecondTerm_IfSupp-SecondRemTerm_IfSupp+AB$45-SecondIO_IfSupp)),"")</f>
        <v/>
      </c>
      <c r="AC33" s="1715" t="str">
        <f>IF('SBL Quotes'!$AN$33="2nd Supplemental",IF(AC$45&gt;SecondRemTerm_IfSupp,AB33+AC35-AB35,MAX(0,SecondTerm_IfSupp-SecondRemTerm_IfSupp+AC$45-SecondIO_IfSupp)),"")</f>
        <v/>
      </c>
      <c r="AD33" s="1715" t="str">
        <f>IF('SBL Quotes'!$AN$33="2nd Supplemental",IF(AD$45&gt;SecondRemTerm_IfSupp,AC33+AD35-AC35,MAX(0,SecondTerm_IfSupp-SecondRemTerm_IfSupp+AD$45-SecondIO_IfSupp)),"")</f>
        <v/>
      </c>
      <c r="AE33" s="1715" t="str">
        <f>IF('SBL Quotes'!$AN$33="2nd Supplemental",IF(AE$45&gt;SecondRemTerm_IfSupp,AD33+AE35-AD35,MAX(0,SecondTerm_IfSupp-SecondRemTerm_IfSupp+AE$45-SecondIO_IfSupp)),"")</f>
        <v/>
      </c>
      <c r="AF33" s="1715" t="str">
        <f>IF('SBL Quotes'!$AN$33="2nd Supplemental",IF(AF$45&gt;SecondRemTerm_IfSupp,AE33+AF35-AE35,MAX(0,SecondTerm_IfSupp-SecondRemTerm_IfSupp+AF$45-SecondIO_IfSupp)),"")</f>
        <v/>
      </c>
      <c r="AG33" s="1715" t="str">
        <f>IF('SBL Quotes'!$AN$33="2nd Supplemental",IF(AG$45&gt;SecondRemTerm_IfSupp,AF33+AG35-AF35,MAX(0,SecondTerm_IfSupp-SecondRemTerm_IfSupp+AG$45-SecondIO_IfSupp)),"")</f>
        <v/>
      </c>
      <c r="AH33" s="1715" t="str">
        <f>IF('SBL Quotes'!$AN$33="2nd Supplemental",IF(AH$45&gt;SecondRemTerm_IfSupp,AG33+AH35-AG35,MAX(0,SecondTerm_IfSupp-SecondRemTerm_IfSupp+AH$45-SecondIO_IfSupp)),"")</f>
        <v/>
      </c>
      <c r="AI33" s="1671"/>
      <c r="AJ33" s="6"/>
      <c r="AK33" s="6"/>
      <c r="AL33" s="6"/>
      <c r="AM33" s="6"/>
      <c r="AN33" s="6"/>
    </row>
    <row r="34" ht="15.75" customHeight="1">
      <c r="A34" s="1647"/>
      <c r="B34" s="1169"/>
      <c r="C34" s="1714"/>
      <c r="D34" s="1715" t="str">
        <f>IF('SBL Quotes'!$AN$34="3rd Supplemental",IF(D$45&gt;ThirdRemTerm_IfSupp,D35,MAX(0,ThirdTerm_IfSupp-ThirdRemTerm_IfSupp+D$45-ThirdIO_IfSupp)),"")</f>
        <v/>
      </c>
      <c r="E34" s="1715" t="str">
        <f>IF('SBL Quotes'!$AN$34="3rd Supplemental",IF(E$45&gt;ThirdRemTerm_IfSupp,D34+E35-D35,MAX(0,ThirdTerm_IfSupp-ThirdRemTerm_IfSupp+E$45-ThirdIO_IfSupp)),"")</f>
        <v/>
      </c>
      <c r="F34" s="1715" t="str">
        <f>IF('SBL Quotes'!$AN$34="3rd Supplemental",IF(F$45&gt;ThirdRemTerm_IfSupp,E34+F35-E35,MAX(0,ThirdTerm_IfSupp-ThirdRemTerm_IfSupp+F$45-ThirdIO_IfSupp)),"")</f>
        <v/>
      </c>
      <c r="G34" s="1715" t="str">
        <f>IF('SBL Quotes'!$AN$34="3rd Supplemental",IF(G$45&gt;ThirdRemTerm_IfSupp,F34+G35-F35,MAX(0,ThirdTerm_IfSupp-ThirdRemTerm_IfSupp+G$45-ThirdIO_IfSupp)),"")</f>
        <v/>
      </c>
      <c r="H34" s="1715" t="str">
        <f>IF('SBL Quotes'!$AN$34="3rd Supplemental",IF(H$45&gt;ThirdRemTerm_IfSupp,G34+H35-G35,MAX(0,ThirdTerm_IfSupp-ThirdRemTerm_IfSupp+H$45-ThirdIO_IfSupp)),"")</f>
        <v/>
      </c>
      <c r="I34" s="1715" t="str">
        <f>IF('SBL Quotes'!$AN$34="3rd Supplemental",IF(I$45&gt;ThirdRemTerm_IfSupp,H34+I35-H35,MAX(0,ThirdTerm_IfSupp-ThirdRemTerm_IfSupp+I$45-ThirdIO_IfSupp)),"")</f>
        <v/>
      </c>
      <c r="J34" s="1715" t="str">
        <f>IF('SBL Quotes'!$AN$34="3rd Supplemental",IF(J$45&gt;ThirdRemTerm_IfSupp,I34+J35-I35,MAX(0,ThirdTerm_IfSupp-ThirdRemTerm_IfSupp+J$45-ThirdIO_IfSupp)),"")</f>
        <v/>
      </c>
      <c r="K34" s="1715" t="str">
        <f>IF('SBL Quotes'!$AN$34="3rd Supplemental",IF(K$45&gt;ThirdRemTerm_IfSupp,J34+K35-J35,MAX(0,ThirdTerm_IfSupp-ThirdRemTerm_IfSupp+K$45-ThirdIO_IfSupp)),"")</f>
        <v/>
      </c>
      <c r="L34" s="1715" t="str">
        <f>IF('SBL Quotes'!$AN$34="3rd Supplemental",IF(L$45&gt;ThirdRemTerm_IfSupp,K34+L35-K35,MAX(0,ThirdTerm_IfSupp-ThirdRemTerm_IfSupp+L$45-ThirdIO_IfSupp)),"")</f>
        <v/>
      </c>
      <c r="M34" s="1715" t="str">
        <f>IF('SBL Quotes'!$AN$34="3rd Supplemental",IF(M$45&gt;ThirdRemTerm_IfSupp,L34+M35-L35,MAX(0,ThirdTerm_IfSupp-ThirdRemTerm_IfSupp+M$45-ThirdIO_IfSupp)),"")</f>
        <v/>
      </c>
      <c r="N34" s="1715" t="str">
        <f>IF('SBL Quotes'!$AN$34="3rd Supplemental",IF(N$45&gt;ThirdRemTerm_IfSupp,M34+N35-M35,MAX(0,ThirdTerm_IfSupp-ThirdRemTerm_IfSupp+N$45-ThirdIO_IfSupp)),"")</f>
        <v/>
      </c>
      <c r="O34" s="1715" t="str">
        <f>IF('SBL Quotes'!$AN$34="3rd Supplemental",IF(O$45&gt;ThirdRemTerm_IfSupp,N34+O35-N35,MAX(0,ThirdTerm_IfSupp-ThirdRemTerm_IfSupp+O$45-ThirdIO_IfSupp)),"")</f>
        <v/>
      </c>
      <c r="P34" s="1715" t="str">
        <f>IF('SBL Quotes'!$AN$34="3rd Supplemental",IF(P$45&gt;ThirdRemTerm_IfSupp,O34+P35-O35,MAX(0,ThirdTerm_IfSupp-ThirdRemTerm_IfSupp+P$45-ThirdIO_IfSupp)),"")</f>
        <v/>
      </c>
      <c r="Q34" s="1715" t="str">
        <f>IF('SBL Quotes'!$AN$34="3rd Supplemental",IF(Q$45&gt;ThirdRemTerm_IfSupp,P34+Q35-P35,MAX(0,ThirdTerm_IfSupp-ThirdRemTerm_IfSupp+Q$45-ThirdIO_IfSupp)),"")</f>
        <v/>
      </c>
      <c r="R34" s="1715" t="str">
        <f>IF('SBL Quotes'!$AN$34="3rd Supplemental",IF(R$45&gt;ThirdRemTerm_IfSupp,Q34+R35-Q35,MAX(0,ThirdTerm_IfSupp-ThirdRemTerm_IfSupp+R$45-ThirdIO_IfSupp)),"")</f>
        <v/>
      </c>
      <c r="S34" s="1715" t="str">
        <f>IF('SBL Quotes'!$AN$34="3rd Supplemental",IF(S$45&gt;ThirdRemTerm_IfSupp,R34+S35-R35,MAX(0,ThirdTerm_IfSupp-ThirdRemTerm_IfSupp+S$45-ThirdIO_IfSupp)),"")</f>
        <v/>
      </c>
      <c r="T34" s="1715" t="str">
        <f>IF('SBL Quotes'!$AN$34="3rd Supplemental",IF(T$45&gt;ThirdRemTerm_IfSupp,S34+T35-S35,MAX(0,ThirdTerm_IfSupp-ThirdRemTerm_IfSupp+T$45-ThirdIO_IfSupp)),"")</f>
        <v/>
      </c>
      <c r="U34" s="1715" t="str">
        <f>IF('SBL Quotes'!$AN$34="3rd Supplemental",IF(U$45&gt;ThirdRemTerm_IfSupp,T34+U35-T35,MAX(0,ThirdTerm_IfSupp-ThirdRemTerm_IfSupp+U$45-ThirdIO_IfSupp)),"")</f>
        <v/>
      </c>
      <c r="V34" s="1715" t="str">
        <f>IF('SBL Quotes'!$AN$34="3rd Supplemental",IF(V$45&gt;ThirdRemTerm_IfSupp,U34+V35-U35,MAX(0,ThirdTerm_IfSupp-ThirdRemTerm_IfSupp+V$45-ThirdIO_IfSupp)),"")</f>
        <v/>
      </c>
      <c r="W34" s="1715" t="str">
        <f>IF('SBL Quotes'!$AN$34="3rd Supplemental",IF(W$45&gt;ThirdRemTerm_IfSupp,V34+W35-V35,MAX(0,ThirdTerm_IfSupp-ThirdRemTerm_IfSupp+W$45-ThirdIO_IfSupp)),"")</f>
        <v/>
      </c>
      <c r="X34" s="1715" t="str">
        <f>IF('SBL Quotes'!$AN$34="3rd Supplemental",IF(X$45&gt;ThirdRemTerm_IfSupp,W34+X35-W35,MAX(0,ThirdTerm_IfSupp-ThirdRemTerm_IfSupp+X$45-ThirdIO_IfSupp)),"")</f>
        <v/>
      </c>
      <c r="Y34" s="1715" t="str">
        <f>IF('SBL Quotes'!$AN$34="3rd Supplemental",IF(Y$45&gt;ThirdRemTerm_IfSupp,X34+Y35-X35,MAX(0,ThirdTerm_IfSupp-ThirdRemTerm_IfSupp+Y$45-ThirdIO_IfSupp)),"")</f>
        <v/>
      </c>
      <c r="Z34" s="1715" t="str">
        <f>IF('SBL Quotes'!$AN$34="3rd Supplemental",IF(Z$45&gt;ThirdRemTerm_IfSupp,Y34+Z35-Y35,MAX(0,ThirdTerm_IfSupp-ThirdRemTerm_IfSupp+Z$45-ThirdIO_IfSupp)),"")</f>
        <v/>
      </c>
      <c r="AA34" s="1715" t="str">
        <f>IF('SBL Quotes'!$AN$34="3rd Supplemental",IF(AA$45&gt;ThirdRemTerm_IfSupp,Z34+AA35-Z35,MAX(0,ThirdTerm_IfSupp-ThirdRemTerm_IfSupp+AA$45-ThirdIO_IfSupp)),"")</f>
        <v/>
      </c>
      <c r="AB34" s="1715" t="str">
        <f>IF('SBL Quotes'!$AN$34="3rd Supplemental",IF(AB$45&gt;ThirdRemTerm_IfSupp,AA34+AB35-AA35,MAX(0,ThirdTerm_IfSupp-ThirdRemTerm_IfSupp+AB$45-ThirdIO_IfSupp)),"")</f>
        <v/>
      </c>
      <c r="AC34" s="1715" t="str">
        <f>IF('SBL Quotes'!$AN$34="3rd Supplemental",IF(AC$45&gt;ThirdRemTerm_IfSupp,AB34+AC35-AB35,MAX(0,ThirdTerm_IfSupp-ThirdRemTerm_IfSupp+AC$45-ThirdIO_IfSupp)),"")</f>
        <v/>
      </c>
      <c r="AD34" s="1715" t="str">
        <f>IF('SBL Quotes'!$AN$34="3rd Supplemental",IF(AD$45&gt;ThirdRemTerm_IfSupp,AC34+AD35-AC35,MAX(0,ThirdTerm_IfSupp-ThirdRemTerm_IfSupp+AD$45-ThirdIO_IfSupp)),"")</f>
        <v/>
      </c>
      <c r="AE34" s="1715" t="str">
        <f>IF('SBL Quotes'!$AN$34="3rd Supplemental",IF(AE$45&gt;ThirdRemTerm_IfSupp,AD34+AE35-AD35,MAX(0,ThirdTerm_IfSupp-ThirdRemTerm_IfSupp+AE$45-ThirdIO_IfSupp)),"")</f>
        <v/>
      </c>
      <c r="AF34" s="1715" t="str">
        <f>IF('SBL Quotes'!$AN$34="3rd Supplemental",IF(AF$45&gt;ThirdRemTerm_IfSupp,AE34+AF35-AE35,MAX(0,ThirdTerm_IfSupp-ThirdRemTerm_IfSupp+AF$45-ThirdIO_IfSupp)),"")</f>
        <v/>
      </c>
      <c r="AG34" s="1715" t="str">
        <f>IF('SBL Quotes'!$AN$34="3rd Supplemental",IF(AG$45&gt;ThirdRemTerm_IfSupp,AF34+AG35-AF35,MAX(0,ThirdTerm_IfSupp-ThirdRemTerm_IfSupp+AG$45-ThirdIO_IfSupp)),"")</f>
        <v/>
      </c>
      <c r="AH34" s="1715" t="str">
        <f>IF('SBL Quotes'!$AN$34="3rd Supplemental",IF(AH$45&gt;ThirdRemTerm_IfSupp,AG34+AH35-AG35,MAX(0,ThirdTerm_IfSupp-ThirdRemTerm_IfSupp+AH$45-ThirdIO_IfSupp)),"")</f>
        <v/>
      </c>
      <c r="AI34" s="1671"/>
      <c r="AJ34" s="6"/>
      <c r="AK34" s="1718" t="s">
        <v>1433</v>
      </c>
      <c r="AL34" s="1658" t="s">
        <v>393</v>
      </c>
      <c r="AM34" s="6"/>
      <c r="AN34" s="6"/>
    </row>
    <row r="35" ht="15" customHeight="1">
      <c r="A35" s="1647"/>
      <c r="B35" s="1719" t="s">
        <v>1434</v>
      </c>
      <c r="C35" s="1567"/>
      <c r="D35" s="1720" t="e">
        <f>IF(AND($AL$9=$AL$7,D$6&lt;=$AL$7),0,IF(0&lt;$AL$7-$AL$9,MIN(MAX(0,D$6-$AL$9),$AL$7-$AL$9),1))</f>
        <v>#NAME?</v>
      </c>
      <c r="E35" s="1720" t="e">
        <f t="shared" si="30" ref="E35:AH35">IF(AND($AL$9=$AL$7,E$6&lt;=$AL$7),0,IF(D35&lt;$AL$7-$AL$9,MIN(MAX(0,E$6-$AL$9),$AL$7-$AL$9),D35+1))</f>
        <v>#NAME?</v>
      </c>
      <c r="F35" s="1720" t="e">
        <f t="shared" si="30"/>
        <v>#NAME?</v>
      </c>
      <c r="G35" s="1720" t="e">
        <f t="shared" si="30"/>
        <v>#NAME?</v>
      </c>
      <c r="H35" s="1720" t="e">
        <f t="shared" si="30"/>
        <v>#NAME?</v>
      </c>
      <c r="I35" s="1720" t="e">
        <f t="shared" si="30"/>
        <v>#NAME?</v>
      </c>
      <c r="J35" s="1720" t="e">
        <f t="shared" si="30"/>
        <v>#NAME?</v>
      </c>
      <c r="K35" s="1720" t="e">
        <f t="shared" si="30"/>
        <v>#NAME?</v>
      </c>
      <c r="L35" s="1720" t="e">
        <f t="shared" si="30"/>
        <v>#NAME?</v>
      </c>
      <c r="M35" s="1720" t="e">
        <f t="shared" si="30"/>
        <v>#NAME?</v>
      </c>
      <c r="N35" s="1720" t="e">
        <f t="shared" si="30"/>
        <v>#NAME?</v>
      </c>
      <c r="O35" s="1720" t="e">
        <f t="shared" si="30"/>
        <v>#NAME?</v>
      </c>
      <c r="P35" s="1720" t="e">
        <f t="shared" si="30"/>
        <v>#NAME?</v>
      </c>
      <c r="Q35" s="1720" t="e">
        <f t="shared" si="30"/>
        <v>#NAME?</v>
      </c>
      <c r="R35" s="1720" t="e">
        <f t="shared" si="30"/>
        <v>#NAME?</v>
      </c>
      <c r="S35" s="1720" t="e">
        <f t="shared" si="30"/>
        <v>#NAME?</v>
      </c>
      <c r="T35" s="1720" t="e">
        <f t="shared" si="30"/>
        <v>#NAME?</v>
      </c>
      <c r="U35" s="1720" t="e">
        <f t="shared" si="30"/>
        <v>#NAME?</v>
      </c>
      <c r="V35" s="1720" t="e">
        <f t="shared" si="30"/>
        <v>#NAME?</v>
      </c>
      <c r="W35" s="1720" t="e">
        <f t="shared" si="30"/>
        <v>#NAME?</v>
      </c>
      <c r="X35" s="1720" t="e">
        <f t="shared" si="30"/>
        <v>#NAME?</v>
      </c>
      <c r="Y35" s="1720" t="e">
        <f t="shared" si="30"/>
        <v>#NAME?</v>
      </c>
      <c r="Z35" s="1720" t="e">
        <f t="shared" si="30"/>
        <v>#NAME?</v>
      </c>
      <c r="AA35" s="1720" t="e">
        <f t="shared" si="30"/>
        <v>#NAME?</v>
      </c>
      <c r="AB35" s="1720" t="e">
        <f t="shared" si="30"/>
        <v>#NAME?</v>
      </c>
      <c r="AC35" s="1720" t="e">
        <f t="shared" si="30"/>
        <v>#NAME?</v>
      </c>
      <c r="AD35" s="1720" t="e">
        <f t="shared" si="30"/>
        <v>#NAME?</v>
      </c>
      <c r="AE35" s="1720" t="e">
        <f t="shared" si="30"/>
        <v>#NAME?</v>
      </c>
      <c r="AF35" s="1720" t="e">
        <f t="shared" si="30"/>
        <v>#NAME?</v>
      </c>
      <c r="AG35" s="1720" t="e">
        <f t="shared" si="30"/>
        <v>#NAME?</v>
      </c>
      <c r="AH35" s="1720" t="e">
        <f t="shared" si="30"/>
        <v>#NAME?</v>
      </c>
      <c r="AI35" s="1671"/>
      <c r="AJ35" s="1653"/>
      <c r="AK35" s="1721" t="s">
        <v>1435</v>
      </c>
      <c r="AL35" s="1680">
        <f>_xlfn.IFERROR((SOps_UnderwrittenNCF/Appraised_Value)+0.02,0.02)</f>
        <v>0.07</v>
      </c>
      <c r="AM35" s="6"/>
      <c r="AN35" s="6"/>
    </row>
    <row r="36" ht="15.75" customHeight="1">
      <c r="A36" s="1647"/>
      <c r="B36" s="1169"/>
      <c r="C36" s="1714"/>
      <c r="D36" s="1722" t="str">
        <f>IF('SBL Quotes'!$AN$32="Supplemental",MAX(PV((FirstRate_IfSupp)/12,(FirstAmort_IfSupp-D32)*12,-(FirstDebtService_IfSupp/12)),0),"")</f>
        <v/>
      </c>
      <c r="E36" s="1722" t="str">
        <f>IF('SBL Quotes'!$AN$32="Supplemental",MAX(PV((FirstRate_IfSupp)/12,(FirstAmort_IfSupp-E32)*12,-(FirstDebtService_IfSupp/12)),0),"")</f>
        <v/>
      </c>
      <c r="F36" s="1722" t="str">
        <f>IF('SBL Quotes'!$AN$32="Supplemental",MAX(PV((FirstRate_IfSupp)/12,(FirstAmort_IfSupp-F32)*12,-(FirstDebtService_IfSupp/12)),0),"")</f>
        <v/>
      </c>
      <c r="G36" s="1722" t="str">
        <f>IF('SBL Quotes'!$AN$32="Supplemental",MAX(PV((FirstRate_IfSupp)/12,(FirstAmort_IfSupp-G32)*12,-(FirstDebtService_IfSupp/12)),0),"")</f>
        <v/>
      </c>
      <c r="H36" s="1722" t="str">
        <f>IF('SBL Quotes'!$AN$32="Supplemental",MAX(PV((FirstRate_IfSupp)/12,(FirstAmort_IfSupp-H32)*12,-(FirstDebtService_IfSupp/12)),0),"")</f>
        <v/>
      </c>
      <c r="I36" s="1722" t="str">
        <f>IF('SBL Quotes'!$AN$32="Supplemental",MAX(PV((FirstRate_IfSupp)/12,(FirstAmort_IfSupp-I32)*12,-(FirstDebtService_IfSupp/12)),0),"")</f>
        <v/>
      </c>
      <c r="J36" s="1722" t="str">
        <f>IF('SBL Quotes'!$AN$32="Supplemental",MAX(PV((FirstRate_IfSupp)/12,(FirstAmort_IfSupp-J32)*12,-(FirstDebtService_IfSupp/12)),0),"")</f>
        <v/>
      </c>
      <c r="K36" s="1722" t="str">
        <f>IF('SBL Quotes'!$AN$32="Supplemental",MAX(PV((FirstRate_IfSupp)/12,(FirstAmort_IfSupp-K32)*12,-(FirstDebtService_IfSupp/12)),0),"")</f>
        <v/>
      </c>
      <c r="L36" s="1722" t="str">
        <f>IF('SBL Quotes'!$AN$32="Supplemental",MAX(PV((FirstRate_IfSupp)/12,(FirstAmort_IfSupp-L32)*12,-(FirstDebtService_IfSupp/12)),0),"")</f>
        <v/>
      </c>
      <c r="M36" s="1722" t="str">
        <f>IF('SBL Quotes'!$AN$32="Supplemental",MAX(PV((FirstRate_IfSupp)/12,(FirstAmort_IfSupp-M32)*12,-(FirstDebtService_IfSupp/12)),0),"")</f>
        <v/>
      </c>
      <c r="N36" s="1722" t="str">
        <f>IF('SBL Quotes'!$AN$32="Supplemental",MAX(PV((FirstRate_IfSupp)/12,(FirstAmort_IfSupp-N32)*12,-(FirstDebtService_IfSupp/12)),0),"")</f>
        <v/>
      </c>
      <c r="O36" s="1722" t="str">
        <f>IF('SBL Quotes'!$AN$32="Supplemental",MAX(PV((FirstRate_IfSupp)/12,(FirstAmort_IfSupp-O32)*12,-(FirstDebtService_IfSupp/12)),0),"")</f>
        <v/>
      </c>
      <c r="P36" s="1722" t="str">
        <f>IF('SBL Quotes'!$AN$32="Supplemental",MAX(PV((FirstRate_IfSupp)/12,(FirstAmort_IfSupp-P32)*12,-(FirstDebtService_IfSupp/12)),0),"")</f>
        <v/>
      </c>
      <c r="Q36" s="1722" t="str">
        <f>IF('SBL Quotes'!$AN$32="Supplemental",MAX(PV((FirstRate_IfSupp)/12,(FirstAmort_IfSupp-Q32)*12,-(FirstDebtService_IfSupp/12)),0),"")</f>
        <v/>
      </c>
      <c r="R36" s="1722" t="str">
        <f>IF('SBL Quotes'!$AN$32="Supplemental",MAX(PV((FirstRate_IfSupp)/12,(FirstAmort_IfSupp-R32)*12,-(FirstDebtService_IfSupp/12)),0),"")</f>
        <v/>
      </c>
      <c r="S36" s="1722" t="str">
        <f>IF('SBL Quotes'!$AN$32="Supplemental",MAX(PV((FirstRate_IfSupp)/12,(FirstAmort_IfSupp-S32)*12,-(FirstDebtService_IfSupp/12)),0),"")</f>
        <v/>
      </c>
      <c r="T36" s="1722" t="str">
        <f>IF('SBL Quotes'!$AN$32="Supplemental",MAX(PV((FirstRate_IfSupp)/12,(FirstAmort_IfSupp-T32)*12,-(FirstDebtService_IfSupp/12)),0),"")</f>
        <v/>
      </c>
      <c r="U36" s="1722" t="str">
        <f>IF('SBL Quotes'!$AN$32="Supplemental",MAX(PV((FirstRate_IfSupp)/12,(FirstAmort_IfSupp-U32)*12,-(FirstDebtService_IfSupp/12)),0),"")</f>
        <v/>
      </c>
      <c r="V36" s="1722" t="str">
        <f>IF('SBL Quotes'!$AN$32="Supplemental",MAX(PV((FirstRate_IfSupp)/12,(FirstAmort_IfSupp-V32)*12,-(FirstDebtService_IfSupp/12)),0),"")</f>
        <v/>
      </c>
      <c r="W36" s="1722" t="str">
        <f>IF('SBL Quotes'!$AN$32="Supplemental",MAX(PV((FirstRate_IfSupp)/12,(FirstAmort_IfSupp-W32)*12,-(FirstDebtService_IfSupp/12)),0),"")</f>
        <v/>
      </c>
      <c r="X36" s="1722" t="str">
        <f>IF('SBL Quotes'!$AN$32="Supplemental",MAX(PV((FirstRate_IfSupp)/12,(FirstAmort_IfSupp-X32)*12,-(FirstDebtService_IfSupp/12)),0),"")</f>
        <v/>
      </c>
      <c r="Y36" s="1722" t="str">
        <f>IF('SBL Quotes'!$AN$32="Supplemental",MAX(PV((FirstRate_IfSupp)/12,(FirstAmort_IfSupp-Y32)*12,-(FirstDebtService_IfSupp/12)),0),"")</f>
        <v/>
      </c>
      <c r="Z36" s="1722" t="str">
        <f>IF('SBL Quotes'!$AN$32="Supplemental",MAX(PV((FirstRate_IfSupp)/12,(FirstAmort_IfSupp-Z32)*12,-(FirstDebtService_IfSupp/12)),0),"")</f>
        <v/>
      </c>
      <c r="AA36" s="1722" t="str">
        <f>IF('SBL Quotes'!$AN$32="Supplemental",MAX(PV((FirstRate_IfSupp)/12,(FirstAmort_IfSupp-AA32)*12,-(FirstDebtService_IfSupp/12)),0),"")</f>
        <v/>
      </c>
      <c r="AB36" s="1722" t="str">
        <f>IF('SBL Quotes'!$AN$32="Supplemental",MAX(PV((FirstRate_IfSupp)/12,(FirstAmort_IfSupp-AB32)*12,-(FirstDebtService_IfSupp/12)),0),"")</f>
        <v/>
      </c>
      <c r="AC36" s="1722" t="str">
        <f>IF('SBL Quotes'!$AN$32="Supplemental",MAX(PV((FirstRate_IfSupp)/12,(FirstAmort_IfSupp-AC32)*12,-(FirstDebtService_IfSupp/12)),0),"")</f>
        <v/>
      </c>
      <c r="AD36" s="1722" t="str">
        <f>IF('SBL Quotes'!$AN$32="Supplemental",MAX(PV((FirstRate_IfSupp)/12,(FirstAmort_IfSupp-AD32)*12,-(FirstDebtService_IfSupp/12)),0),"")</f>
        <v/>
      </c>
      <c r="AE36" s="1722" t="str">
        <f>IF('SBL Quotes'!$AN$32="Supplemental",MAX(PV((FirstRate_IfSupp)/12,(FirstAmort_IfSupp-AE32)*12,-(FirstDebtService_IfSupp/12)),0),"")</f>
        <v/>
      </c>
      <c r="AF36" s="1722" t="str">
        <f>IF('SBL Quotes'!$AN$32="Supplemental",MAX(PV((FirstRate_IfSupp)/12,(FirstAmort_IfSupp-AF32)*12,-(FirstDebtService_IfSupp/12)),0),"")</f>
        <v/>
      </c>
      <c r="AG36" s="1722" t="str">
        <f>IF('SBL Quotes'!$AN$32="Supplemental",MAX(PV((FirstRate_IfSupp)/12,(FirstAmort_IfSupp-AG32)*12,-(FirstDebtService_IfSupp/12)),0),"")</f>
        <v/>
      </c>
      <c r="AH36" s="1722" t="str">
        <f>IF('SBL Quotes'!$AN$32="Supplemental",MAX(PV((FirstRate_IfSupp)/12,(FirstAmort_IfSupp-AH32)*12,-(FirstDebtService_IfSupp/12)),0),"")</f>
        <v/>
      </c>
      <c r="AI36" s="1671"/>
      <c r="AJ36" s="6"/>
      <c r="AK36" s="1723" t="s">
        <v>995</v>
      </c>
      <c r="AL36" s="1674">
        <f>_xlfn.IFERROR(AL14/(AL13/AL35),0)</f>
        <v>0</v>
      </c>
      <c r="AM36" s="6"/>
      <c r="AN36" s="6"/>
    </row>
    <row r="37" ht="15" customHeight="1">
      <c r="A37" s="1647"/>
      <c r="B37" s="1169"/>
      <c r="C37" s="1714"/>
      <c r="D37" s="1724" t="str">
        <f>IF('SBL Quotes'!$AN$33="2nd Supplemental",MAX(0,PV((SecondRate_IfSupp)/12,(SecondAmort_IfSupp-D33)*12,-(SecondDebtService_IfSupp/12))),"")</f>
        <v/>
      </c>
      <c r="E37" s="1724" t="str">
        <f>IF('SBL Quotes'!$AN$33="2nd Supplemental",MAX(0,PV((SecondRate_IfSupp)/12,(SecondAmort_IfSupp-E33)*12,-(SecondDebtService_IfSupp/12))),"")</f>
        <v/>
      </c>
      <c r="F37" s="1724" t="str">
        <f>IF('SBL Quotes'!$AN$33="2nd Supplemental",MAX(0,PV((SecondRate_IfSupp)/12,(SecondAmort_IfSupp-F33)*12,-(SecondDebtService_IfSupp/12))),"")</f>
        <v/>
      </c>
      <c r="G37" s="1724" t="str">
        <f>IF('SBL Quotes'!$AN$33="2nd Supplemental",MAX(0,PV((SecondRate_IfSupp)/12,(SecondAmort_IfSupp-G33)*12,-(SecondDebtService_IfSupp/12))),"")</f>
        <v/>
      </c>
      <c r="H37" s="1724" t="str">
        <f>IF('SBL Quotes'!$AN$33="2nd Supplemental",MAX(0,PV((SecondRate_IfSupp)/12,(SecondAmort_IfSupp-H33)*12,-(SecondDebtService_IfSupp/12))),"")</f>
        <v/>
      </c>
      <c r="I37" s="1724" t="str">
        <f>IF('SBL Quotes'!$AN$33="2nd Supplemental",MAX(0,PV((SecondRate_IfSupp)/12,(SecondAmort_IfSupp-I33)*12,-(SecondDebtService_IfSupp/12))),"")</f>
        <v/>
      </c>
      <c r="J37" s="1724" t="str">
        <f>IF('SBL Quotes'!$AN$33="2nd Supplemental",MAX(0,PV((SecondRate_IfSupp)/12,(SecondAmort_IfSupp-J33)*12,-(SecondDebtService_IfSupp/12))),"")</f>
        <v/>
      </c>
      <c r="K37" s="1724" t="str">
        <f>IF('SBL Quotes'!$AN$33="2nd Supplemental",MAX(0,PV((SecondRate_IfSupp)/12,(SecondAmort_IfSupp-K33)*12,-(SecondDebtService_IfSupp/12))),"")</f>
        <v/>
      </c>
      <c r="L37" s="1724" t="str">
        <f>IF('SBL Quotes'!$AN$33="2nd Supplemental",MAX(0,PV((SecondRate_IfSupp)/12,(SecondAmort_IfSupp-L33)*12,-(SecondDebtService_IfSupp/12))),"")</f>
        <v/>
      </c>
      <c r="M37" s="1724" t="str">
        <f>IF('SBL Quotes'!$AN$33="2nd Supplemental",MAX(0,PV((SecondRate_IfSupp)/12,(SecondAmort_IfSupp-M33)*12,-(SecondDebtService_IfSupp/12))),"")</f>
        <v/>
      </c>
      <c r="N37" s="1724" t="str">
        <f>IF('SBL Quotes'!$AN$33="2nd Supplemental",MAX(0,PV((SecondRate_IfSupp)/12,(SecondAmort_IfSupp-N33)*12,-(SecondDebtService_IfSupp/12))),"")</f>
        <v/>
      </c>
      <c r="O37" s="1724" t="str">
        <f>IF('SBL Quotes'!$AN$33="2nd Supplemental",MAX(0,PV((SecondRate_IfSupp)/12,(SecondAmort_IfSupp-O33)*12,-(SecondDebtService_IfSupp/12))),"")</f>
        <v/>
      </c>
      <c r="P37" s="1724" t="str">
        <f>IF('SBL Quotes'!$AN$33="2nd Supplemental",MAX(0,PV((SecondRate_IfSupp)/12,(SecondAmort_IfSupp-P33)*12,-(SecondDebtService_IfSupp/12))),"")</f>
        <v/>
      </c>
      <c r="Q37" s="1724" t="str">
        <f>IF('SBL Quotes'!$AN$33="2nd Supplemental",MAX(0,PV((SecondRate_IfSupp)/12,(SecondAmort_IfSupp-Q33)*12,-(SecondDebtService_IfSupp/12))),"")</f>
        <v/>
      </c>
      <c r="R37" s="1724" t="str">
        <f>IF('SBL Quotes'!$AN$33="2nd Supplemental",MAX(0,PV((SecondRate_IfSupp)/12,(SecondAmort_IfSupp-R33)*12,-(SecondDebtService_IfSupp/12))),"")</f>
        <v/>
      </c>
      <c r="S37" s="1724" t="str">
        <f>IF('SBL Quotes'!$AN$33="2nd Supplemental",MAX(0,PV((SecondRate_IfSupp)/12,(SecondAmort_IfSupp-S33)*12,-(SecondDebtService_IfSupp/12))),"")</f>
        <v/>
      </c>
      <c r="T37" s="1724" t="str">
        <f>IF('SBL Quotes'!$AN$33="2nd Supplemental",MAX(0,PV((SecondRate_IfSupp)/12,(SecondAmort_IfSupp-T33)*12,-(SecondDebtService_IfSupp/12))),"")</f>
        <v/>
      </c>
      <c r="U37" s="1724" t="str">
        <f>IF('SBL Quotes'!$AN$33="2nd Supplemental",MAX(0,PV((SecondRate_IfSupp)/12,(SecondAmort_IfSupp-U33)*12,-(SecondDebtService_IfSupp/12))),"")</f>
        <v/>
      </c>
      <c r="V37" s="1724" t="str">
        <f>IF('SBL Quotes'!$AN$33="2nd Supplemental",MAX(0,PV((SecondRate_IfSupp)/12,(SecondAmort_IfSupp-V33)*12,-(SecondDebtService_IfSupp/12))),"")</f>
        <v/>
      </c>
      <c r="W37" s="1724" t="str">
        <f>IF('SBL Quotes'!$AN$33="2nd Supplemental",MAX(0,PV((SecondRate_IfSupp)/12,(SecondAmort_IfSupp-W33)*12,-(SecondDebtService_IfSupp/12))),"")</f>
        <v/>
      </c>
      <c r="X37" s="1724" t="str">
        <f>IF('SBL Quotes'!$AN$33="2nd Supplemental",MAX(0,PV((SecondRate_IfSupp)/12,(SecondAmort_IfSupp-X33)*12,-(SecondDebtService_IfSupp/12))),"")</f>
        <v/>
      </c>
      <c r="Y37" s="1724" t="str">
        <f>IF('SBL Quotes'!$AN$33="2nd Supplemental",MAX(0,PV((SecondRate_IfSupp)/12,(SecondAmort_IfSupp-Y33)*12,-(SecondDebtService_IfSupp/12))),"")</f>
        <v/>
      </c>
      <c r="Z37" s="1724" t="str">
        <f>IF('SBL Quotes'!$AN$33="2nd Supplemental",MAX(0,PV((SecondRate_IfSupp)/12,(SecondAmort_IfSupp-Z33)*12,-(SecondDebtService_IfSupp/12))),"")</f>
        <v/>
      </c>
      <c r="AA37" s="1724" t="str">
        <f>IF('SBL Quotes'!$AN$33="2nd Supplemental",MAX(0,PV((SecondRate_IfSupp)/12,(SecondAmort_IfSupp-AA33)*12,-(SecondDebtService_IfSupp/12))),"")</f>
        <v/>
      </c>
      <c r="AB37" s="1724" t="str">
        <f>IF('SBL Quotes'!$AN$33="2nd Supplemental",MAX(0,PV((SecondRate_IfSupp)/12,(SecondAmort_IfSupp-AB33)*12,-(SecondDebtService_IfSupp/12))),"")</f>
        <v/>
      </c>
      <c r="AC37" s="1724" t="str">
        <f>IF('SBL Quotes'!$AN$33="2nd Supplemental",MAX(0,PV((SecondRate_IfSupp)/12,(SecondAmort_IfSupp-AC33)*12,-(SecondDebtService_IfSupp/12))),"")</f>
        <v/>
      </c>
      <c r="AD37" s="1724" t="str">
        <f>IF('SBL Quotes'!$AN$33="2nd Supplemental",MAX(0,PV((SecondRate_IfSupp)/12,(SecondAmort_IfSupp-AD33)*12,-(SecondDebtService_IfSupp/12))),"")</f>
        <v/>
      </c>
      <c r="AE37" s="1724" t="str">
        <f>IF('SBL Quotes'!$AN$33="2nd Supplemental",MAX(0,PV((SecondRate_IfSupp)/12,(SecondAmort_IfSupp-AE33)*12,-(SecondDebtService_IfSupp/12))),"")</f>
        <v/>
      </c>
      <c r="AF37" s="1724" t="str">
        <f>IF('SBL Quotes'!$AN$33="2nd Supplemental",MAX(0,PV((SecondRate_IfSupp)/12,(SecondAmort_IfSupp-AF33)*12,-(SecondDebtService_IfSupp/12))),"")</f>
        <v/>
      </c>
      <c r="AG37" s="1724" t="str">
        <f>IF('SBL Quotes'!$AN$33="2nd Supplemental",MAX(0,PV((SecondRate_IfSupp)/12,(SecondAmort_IfSupp-AG33)*12,-(SecondDebtService_IfSupp/12))),"")</f>
        <v/>
      </c>
      <c r="AH37" s="1724" t="str">
        <f>IF('SBL Quotes'!$AN$33="2nd Supplemental",MAX(0,PV((SecondRate_IfSupp)/12,(SecondAmort_IfSupp-AH33)*12,-(SecondDebtService_IfSupp/12))),"")</f>
        <v/>
      </c>
      <c r="AI37" s="1671"/>
      <c r="AJ37" s="6"/>
      <c r="AK37" s="6"/>
      <c r="AL37" s="6"/>
      <c r="AM37" s="6"/>
      <c r="AN37" s="6"/>
    </row>
    <row r="38" ht="15" customHeight="1">
      <c r="A38" s="1647"/>
      <c r="B38" s="1169"/>
      <c r="C38" s="1714"/>
      <c r="D38" s="1724" t="str">
        <f>IF('SBL Quotes'!$AN$34="3rd Supplemental",MAX(0,PV((ThirdRate_IfSupp)/12,(ThirdAmort_IfSupp-D34)*12,-(ThirdDebtService_IfSupp/12))),"")</f>
        <v/>
      </c>
      <c r="E38" s="1724" t="str">
        <f>IF('SBL Quotes'!$AN$34="3rd Supplemental",MAX(0,PV((ThirdRate_IfSupp)/12,(ThirdAmort_IfSupp-E34)*12,-(ThirdDebtService_IfSupp/12))),"")</f>
        <v/>
      </c>
      <c r="F38" s="1724" t="str">
        <f>IF('SBL Quotes'!$AN$34="3rd Supplemental",MAX(0,PV((ThirdRate_IfSupp)/12,(ThirdAmort_IfSupp-F34)*12,-(ThirdDebtService_IfSupp/12))),"")</f>
        <v/>
      </c>
      <c r="G38" s="1724" t="str">
        <f>IF('SBL Quotes'!$AN$34="3rd Supplemental",MAX(0,PV((ThirdRate_IfSupp)/12,(ThirdAmort_IfSupp-G34)*12,-(ThirdDebtService_IfSupp/12))),"")</f>
        <v/>
      </c>
      <c r="H38" s="1724" t="str">
        <f>IF('SBL Quotes'!$AN$34="3rd Supplemental",MAX(0,PV((ThirdRate_IfSupp)/12,(ThirdAmort_IfSupp-H34)*12,-(ThirdDebtService_IfSupp/12))),"")</f>
        <v/>
      </c>
      <c r="I38" s="1724" t="str">
        <f>IF('SBL Quotes'!$AN$34="3rd Supplemental",MAX(0,PV((ThirdRate_IfSupp)/12,(ThirdAmort_IfSupp-I34)*12,-(ThirdDebtService_IfSupp/12))),"")</f>
        <v/>
      </c>
      <c r="J38" s="1724" t="str">
        <f>IF('SBL Quotes'!$AN$34="3rd Supplemental",MAX(0,PV((ThirdRate_IfSupp)/12,(ThirdAmort_IfSupp-J34)*12,-(ThirdDebtService_IfSupp/12))),"")</f>
        <v/>
      </c>
      <c r="K38" s="1724" t="str">
        <f>IF('SBL Quotes'!$AN$34="3rd Supplemental",MAX(0,PV((ThirdRate_IfSupp)/12,(ThirdAmort_IfSupp-K34)*12,-(ThirdDebtService_IfSupp/12))),"")</f>
        <v/>
      </c>
      <c r="L38" s="1724" t="str">
        <f>IF('SBL Quotes'!$AN$34="3rd Supplemental",MAX(0,PV((ThirdRate_IfSupp)/12,(ThirdAmort_IfSupp-L34)*12,-(ThirdDebtService_IfSupp/12))),"")</f>
        <v/>
      </c>
      <c r="M38" s="1724" t="str">
        <f>IF('SBL Quotes'!$AN$34="3rd Supplemental",MAX(0,PV((ThirdRate_IfSupp)/12,(ThirdAmort_IfSupp-M34)*12,-(ThirdDebtService_IfSupp/12))),"")</f>
        <v/>
      </c>
      <c r="N38" s="1724" t="str">
        <f>IF('SBL Quotes'!$AN$34="3rd Supplemental",MAX(0,PV((ThirdRate_IfSupp)/12,(ThirdAmort_IfSupp-N34)*12,-(ThirdDebtService_IfSupp/12))),"")</f>
        <v/>
      </c>
      <c r="O38" s="1724" t="str">
        <f>IF('SBL Quotes'!$AN$34="3rd Supplemental",MAX(0,PV((ThirdRate_IfSupp)/12,(ThirdAmort_IfSupp-O34)*12,-(ThirdDebtService_IfSupp/12))),"")</f>
        <v/>
      </c>
      <c r="P38" s="1724" t="str">
        <f>IF('SBL Quotes'!$AN$34="3rd Supplemental",MAX(0,PV((ThirdRate_IfSupp)/12,(ThirdAmort_IfSupp-P34)*12,-(ThirdDebtService_IfSupp/12))),"")</f>
        <v/>
      </c>
      <c r="Q38" s="1724" t="str">
        <f>IF('SBL Quotes'!$AN$34="3rd Supplemental",MAX(0,PV((ThirdRate_IfSupp)/12,(ThirdAmort_IfSupp-Q34)*12,-(ThirdDebtService_IfSupp/12))),"")</f>
        <v/>
      </c>
      <c r="R38" s="1724" t="str">
        <f>IF('SBL Quotes'!$AN$34="3rd Supplemental",MAX(0,PV((ThirdRate_IfSupp)/12,(ThirdAmort_IfSupp-R34)*12,-(ThirdDebtService_IfSupp/12))),"")</f>
        <v/>
      </c>
      <c r="S38" s="1724" t="str">
        <f>IF('SBL Quotes'!$AN$34="3rd Supplemental",MAX(0,PV((ThirdRate_IfSupp)/12,(ThirdAmort_IfSupp-S34)*12,-(ThirdDebtService_IfSupp/12))),"")</f>
        <v/>
      </c>
      <c r="T38" s="1724" t="str">
        <f>IF('SBL Quotes'!$AN$34="3rd Supplemental",MAX(0,PV((ThirdRate_IfSupp)/12,(ThirdAmort_IfSupp-T34)*12,-(ThirdDebtService_IfSupp/12))),"")</f>
        <v/>
      </c>
      <c r="U38" s="1724" t="str">
        <f>IF('SBL Quotes'!$AN$34="3rd Supplemental",MAX(0,PV((ThirdRate_IfSupp)/12,(ThirdAmort_IfSupp-U34)*12,-(ThirdDebtService_IfSupp/12))),"")</f>
        <v/>
      </c>
      <c r="V38" s="1724" t="str">
        <f>IF('SBL Quotes'!$AN$34="3rd Supplemental",MAX(0,PV((ThirdRate_IfSupp)/12,(ThirdAmort_IfSupp-V34)*12,-(ThirdDebtService_IfSupp/12))),"")</f>
        <v/>
      </c>
      <c r="W38" s="1724" t="str">
        <f>IF('SBL Quotes'!$AN$34="3rd Supplemental",MAX(0,PV((ThirdRate_IfSupp)/12,(ThirdAmort_IfSupp-W34)*12,-(ThirdDebtService_IfSupp/12))),"")</f>
        <v/>
      </c>
      <c r="X38" s="1724" t="str">
        <f>IF('SBL Quotes'!$AN$34="3rd Supplemental",MAX(0,PV((ThirdRate_IfSupp)/12,(ThirdAmort_IfSupp-X34)*12,-(ThirdDebtService_IfSupp/12))),"")</f>
        <v/>
      </c>
      <c r="Y38" s="1724" t="str">
        <f>IF('SBL Quotes'!$AN$34="3rd Supplemental",MAX(0,PV((ThirdRate_IfSupp)/12,(ThirdAmort_IfSupp-Y34)*12,-(ThirdDebtService_IfSupp/12))),"")</f>
        <v/>
      </c>
      <c r="Z38" s="1724" t="str">
        <f>IF('SBL Quotes'!$AN$34="3rd Supplemental",MAX(0,PV((ThirdRate_IfSupp)/12,(ThirdAmort_IfSupp-Z34)*12,-(ThirdDebtService_IfSupp/12))),"")</f>
        <v/>
      </c>
      <c r="AA38" s="1724" t="str">
        <f>IF('SBL Quotes'!$AN$34="3rd Supplemental",MAX(0,PV((ThirdRate_IfSupp)/12,(ThirdAmort_IfSupp-AA34)*12,-(ThirdDebtService_IfSupp/12))),"")</f>
        <v/>
      </c>
      <c r="AB38" s="1724" t="str">
        <f>IF('SBL Quotes'!$AN$34="3rd Supplemental",MAX(0,PV((ThirdRate_IfSupp)/12,(ThirdAmort_IfSupp-AB34)*12,-(ThirdDebtService_IfSupp/12))),"")</f>
        <v/>
      </c>
      <c r="AC38" s="1724" t="str">
        <f>IF('SBL Quotes'!$AN$34="3rd Supplemental",MAX(0,PV((ThirdRate_IfSupp)/12,(ThirdAmort_IfSupp-AC34)*12,-(ThirdDebtService_IfSupp/12))),"")</f>
        <v/>
      </c>
      <c r="AD38" s="1724" t="str">
        <f>IF('SBL Quotes'!$AN$34="3rd Supplemental",MAX(0,PV((ThirdRate_IfSupp)/12,(ThirdAmort_IfSupp-AD34)*12,-(ThirdDebtService_IfSupp/12))),"")</f>
        <v/>
      </c>
      <c r="AE38" s="1724" t="str">
        <f>IF('SBL Quotes'!$AN$34="3rd Supplemental",MAX(0,PV((ThirdRate_IfSupp)/12,(ThirdAmort_IfSupp-AE34)*12,-(ThirdDebtService_IfSupp/12))),"")</f>
        <v/>
      </c>
      <c r="AF38" s="1724" t="str">
        <f>IF('SBL Quotes'!$AN$34="3rd Supplemental",MAX(0,PV((ThirdRate_IfSupp)/12,(ThirdAmort_IfSupp-AF34)*12,-(ThirdDebtService_IfSupp/12))),"")</f>
        <v/>
      </c>
      <c r="AG38" s="1724" t="str">
        <f>IF('SBL Quotes'!$AN$34="3rd Supplemental",MAX(0,PV((ThirdRate_IfSupp)/12,(ThirdAmort_IfSupp-AG34)*12,-(ThirdDebtService_IfSupp/12))),"")</f>
        <v/>
      </c>
      <c r="AH38" s="1724" t="str">
        <f>IF('SBL Quotes'!$AN$34="3rd Supplemental",MAX(0,PV((ThirdRate_IfSupp)/12,(ThirdAmort_IfSupp-AH34)*12,-(ThirdDebtService_IfSupp/12))),"")</f>
        <v/>
      </c>
      <c r="AI38" s="1671"/>
      <c r="AJ38" s="6"/>
      <c r="AK38" s="6"/>
      <c r="AL38" s="6"/>
      <c r="AM38" s="6"/>
      <c r="AN38" s="6"/>
    </row>
    <row r="39" ht="15" customHeight="1">
      <c r="A39" s="1647"/>
      <c r="B39" s="1719" t="s">
        <v>1436</v>
      </c>
      <c r="C39" s="1567"/>
      <c r="D39" s="1725" t="e">
        <f>MAX(0,IF(D$35=0,Exit_LoanAmount,ACTUAL360UPB(NoteRate,Exit_LoanAmount,Exit_LoanStartDate,D$35*12,Amort*12)))</f>
        <v>#NAME?</v>
      </c>
      <c r="E39" s="1725" t="e">
        <f t="shared" si="31" ref="E39:AH39">IF(D39=0,0,MAX(0,IF(E$35=0,Exit_LoanAmount,ACTUAL360UPB(NoteRate,Exit_LoanAmount,Exit_LoanStartDate,E$35*12,Amort*12))))</f>
        <v>#NAME?</v>
      </c>
      <c r="F39" s="1725" t="e">
        <f t="shared" si="31"/>
        <v>#NAME?</v>
      </c>
      <c r="G39" s="1725" t="e">
        <f t="shared" si="31"/>
        <v>#NAME?</v>
      </c>
      <c r="H39" s="1725" t="e">
        <f t="shared" si="31"/>
        <v>#NAME?</v>
      </c>
      <c r="I39" s="1725" t="e">
        <f t="shared" si="31"/>
        <v>#NAME?</v>
      </c>
      <c r="J39" s="1725" t="e">
        <f t="shared" si="31"/>
        <v>#NAME?</v>
      </c>
      <c r="K39" s="1725" t="e">
        <f t="shared" si="31"/>
        <v>#NAME?</v>
      </c>
      <c r="L39" s="1725" t="e">
        <f t="shared" si="31"/>
        <v>#NAME?</v>
      </c>
      <c r="M39" s="1725" t="e">
        <f t="shared" si="31"/>
        <v>#NAME?</v>
      </c>
      <c r="N39" s="1725" t="e">
        <f t="shared" si="31"/>
        <v>#NAME?</v>
      </c>
      <c r="O39" s="1725" t="e">
        <f t="shared" si="31"/>
        <v>#NAME?</v>
      </c>
      <c r="P39" s="1725" t="e">
        <f t="shared" si="31"/>
        <v>#NAME?</v>
      </c>
      <c r="Q39" s="1725" t="e">
        <f t="shared" si="31"/>
        <v>#NAME?</v>
      </c>
      <c r="R39" s="1725" t="e">
        <f t="shared" si="31"/>
        <v>#NAME?</v>
      </c>
      <c r="S39" s="1725" t="e">
        <f t="shared" si="31"/>
        <v>#NAME?</v>
      </c>
      <c r="T39" s="1725" t="e">
        <f t="shared" si="31"/>
        <v>#NAME?</v>
      </c>
      <c r="U39" s="1725" t="e">
        <f t="shared" si="31"/>
        <v>#NAME?</v>
      </c>
      <c r="V39" s="1725" t="e">
        <f t="shared" si="31"/>
        <v>#NAME?</v>
      </c>
      <c r="W39" s="1725" t="e">
        <f t="shared" si="31"/>
        <v>#NAME?</v>
      </c>
      <c r="X39" s="1725" t="e">
        <f t="shared" si="31"/>
        <v>#NAME?</v>
      </c>
      <c r="Y39" s="1725" t="e">
        <f t="shared" si="31"/>
        <v>#NAME?</v>
      </c>
      <c r="Z39" s="1725" t="e">
        <f t="shared" si="31"/>
        <v>#NAME?</v>
      </c>
      <c r="AA39" s="1725" t="e">
        <f t="shared" si="31"/>
        <v>#NAME?</v>
      </c>
      <c r="AB39" s="1725" t="e">
        <f t="shared" si="31"/>
        <v>#NAME?</v>
      </c>
      <c r="AC39" s="1725" t="e">
        <f t="shared" si="31"/>
        <v>#NAME?</v>
      </c>
      <c r="AD39" s="1725" t="e">
        <f t="shared" si="31"/>
        <v>#NAME?</v>
      </c>
      <c r="AE39" s="1725" t="e">
        <f t="shared" si="31"/>
        <v>#NAME?</v>
      </c>
      <c r="AF39" s="1725" t="e">
        <f t="shared" si="31"/>
        <v>#NAME?</v>
      </c>
      <c r="AG39" s="1725" t="e">
        <f t="shared" si="31"/>
        <v>#NAME?</v>
      </c>
      <c r="AH39" s="1725" t="e">
        <f t="shared" si="31"/>
        <v>#NAME?</v>
      </c>
      <c r="AI39" s="1671"/>
      <c r="AJ39" s="6"/>
      <c r="AK39" s="6"/>
      <c r="AL39" s="6"/>
      <c r="AM39" s="6"/>
      <c r="AN39" s="6"/>
    </row>
    <row r="40" ht="15" customHeight="1">
      <c r="A40" s="1647"/>
      <c r="B40" s="1655" t="s">
        <v>1437</v>
      </c>
      <c r="C40" s="6"/>
      <c r="D40" s="1726" t="e">
        <f t="shared" si="6"/>
        <v>#NAME?</v>
      </c>
      <c r="E40" s="1726" t="e">
        <f t="shared" si="6"/>
        <v>#NAME?</v>
      </c>
      <c r="F40" s="1726" t="e">
        <f t="shared" si="6"/>
        <v>#NAME?</v>
      </c>
      <c r="G40" s="1726" t="e">
        <f t="shared" si="6"/>
        <v>#NAME?</v>
      </c>
      <c r="H40" s="1726" t="e">
        <f t="shared" si="6"/>
        <v>#NAME?</v>
      </c>
      <c r="I40" s="1726" t="e">
        <f t="shared" si="6"/>
        <v>#NAME?</v>
      </c>
      <c r="J40" s="1726" t="e">
        <f t="shared" si="6"/>
        <v>#NAME?</v>
      </c>
      <c r="K40" s="1726" t="e">
        <f t="shared" si="6"/>
        <v>#NAME?</v>
      </c>
      <c r="L40" s="1726" t="e">
        <f t="shared" si="6"/>
        <v>#NAME?</v>
      </c>
      <c r="M40" s="1726" t="e">
        <f t="shared" si="6"/>
        <v>#NAME?</v>
      </c>
      <c r="N40" s="1726" t="e">
        <f t="shared" si="6"/>
        <v>#NAME?</v>
      </c>
      <c r="O40" s="1726" t="e">
        <f t="shared" si="6"/>
        <v>#NAME?</v>
      </c>
      <c r="P40" s="1726" t="e">
        <f t="shared" si="6"/>
        <v>#NAME?</v>
      </c>
      <c r="Q40" s="1726" t="e">
        <f t="shared" si="6"/>
        <v>#NAME?</v>
      </c>
      <c r="R40" s="1726" t="e">
        <f t="shared" si="6"/>
        <v>#NAME?</v>
      </c>
      <c r="S40" s="1726" t="e">
        <f t="shared" si="6"/>
        <v>#NAME?</v>
      </c>
      <c r="T40" s="1726" t="e">
        <f t="shared" si="6"/>
        <v>#NAME?</v>
      </c>
      <c r="U40" s="1726" t="e">
        <f t="shared" si="6"/>
        <v>#NAME?</v>
      </c>
      <c r="V40" s="1726" t="e">
        <f t="shared" si="6"/>
        <v>#NAME?</v>
      </c>
      <c r="W40" s="1726" t="e">
        <f t="shared" si="6"/>
        <v>#NAME?</v>
      </c>
      <c r="X40" s="1726" t="e">
        <f t="shared" si="6"/>
        <v>#NAME?</v>
      </c>
      <c r="Y40" s="1726" t="e">
        <f t="shared" si="6"/>
        <v>#NAME?</v>
      </c>
      <c r="Z40" s="1726" t="e">
        <f t="shared" si="6"/>
        <v>#NAME?</v>
      </c>
      <c r="AA40" s="1726" t="e">
        <f t="shared" si="6"/>
        <v>#NAME?</v>
      </c>
      <c r="AB40" s="1726" t="e">
        <f t="shared" si="6"/>
        <v>#NAME?</v>
      </c>
      <c r="AC40" s="1726" t="e">
        <f t="shared" si="6"/>
        <v>#NAME?</v>
      </c>
      <c r="AD40" s="1726" t="e">
        <f t="shared" si="6"/>
        <v>#NAME?</v>
      </c>
      <c r="AE40" s="1726" t="e">
        <f t="shared" si="6"/>
        <v>#NAME?</v>
      </c>
      <c r="AF40" s="1726" t="e">
        <f t="shared" si="6"/>
        <v>#NAME?</v>
      </c>
      <c r="AG40" s="1726" t="e">
        <f t="shared" si="6"/>
        <v>#NAME?</v>
      </c>
      <c r="AH40" s="1726" t="e">
        <f t="shared" si="6"/>
        <v>#NAME?</v>
      </c>
      <c r="AI40" s="1727"/>
      <c r="AJ40" s="6"/>
      <c r="AK40" s="6"/>
      <c r="AL40" s="6"/>
      <c r="AM40" s="6"/>
      <c r="AN40" s="6"/>
    </row>
    <row r="41" ht="15" customHeight="1">
      <c r="A41" s="1647"/>
      <c r="B41" s="613" t="s">
        <v>1438</v>
      </c>
      <c r="C41" s="6"/>
      <c r="D41" s="1554">
        <f t="shared" si="32" ref="D41:AH41">_xlfn.IFERROR(IF(D29&gt;0,D29/(D40*PMT($AL$25/12,$AL$26*12,-1)*12),0),0)</f>
        <v>0</v>
      </c>
      <c r="E41" s="1554">
        <f t="shared" si="32"/>
        <v>0</v>
      </c>
      <c r="F41" s="1554">
        <f t="shared" si="32"/>
        <v>0</v>
      </c>
      <c r="G41" s="1554">
        <f t="shared" si="32"/>
        <v>0</v>
      </c>
      <c r="H41" s="1554">
        <f t="shared" si="32"/>
        <v>0</v>
      </c>
      <c r="I41" s="1554">
        <f t="shared" si="32"/>
        <v>0</v>
      </c>
      <c r="J41" s="1554">
        <f t="shared" si="32"/>
        <v>0</v>
      </c>
      <c r="K41" s="1554">
        <f t="shared" si="32"/>
        <v>0</v>
      </c>
      <c r="L41" s="1554">
        <f t="shared" si="32"/>
        <v>0</v>
      </c>
      <c r="M41" s="1554">
        <f t="shared" si="32"/>
        <v>0</v>
      </c>
      <c r="N41" s="1554">
        <f t="shared" si="32"/>
        <v>0</v>
      </c>
      <c r="O41" s="1554">
        <f t="shared" si="32"/>
        <v>0</v>
      </c>
      <c r="P41" s="1554">
        <f t="shared" si="32"/>
        <v>0</v>
      </c>
      <c r="Q41" s="1554">
        <f t="shared" si="32"/>
        <v>0</v>
      </c>
      <c r="R41" s="1554">
        <f t="shared" si="32"/>
        <v>0</v>
      </c>
      <c r="S41" s="1554">
        <f t="shared" si="32"/>
        <v>0</v>
      </c>
      <c r="T41" s="1554">
        <f t="shared" si="32"/>
        <v>0</v>
      </c>
      <c r="U41" s="1554">
        <f t="shared" si="32"/>
        <v>0</v>
      </c>
      <c r="V41" s="1554">
        <f t="shared" si="32"/>
        <v>0</v>
      </c>
      <c r="W41" s="1554">
        <f t="shared" si="32"/>
        <v>0</v>
      </c>
      <c r="X41" s="1554">
        <f t="shared" si="32"/>
        <v>0</v>
      </c>
      <c r="Y41" s="1554">
        <f t="shared" si="32"/>
        <v>0</v>
      </c>
      <c r="Z41" s="1554">
        <f t="shared" si="32"/>
        <v>0</v>
      </c>
      <c r="AA41" s="1554">
        <f t="shared" si="32"/>
        <v>0</v>
      </c>
      <c r="AB41" s="1554">
        <f t="shared" si="32"/>
        <v>0</v>
      </c>
      <c r="AC41" s="1554">
        <f t="shared" si="32"/>
        <v>0</v>
      </c>
      <c r="AD41" s="1554">
        <f t="shared" si="32"/>
        <v>0</v>
      </c>
      <c r="AE41" s="1554">
        <f t="shared" si="32"/>
        <v>0</v>
      </c>
      <c r="AF41" s="1554">
        <f t="shared" si="32"/>
        <v>0</v>
      </c>
      <c r="AG41" s="1554">
        <f t="shared" si="32"/>
        <v>0</v>
      </c>
      <c r="AH41" s="1554">
        <f t="shared" si="32"/>
        <v>0</v>
      </c>
      <c r="AI41" s="1727"/>
      <c r="AJ41" s="6"/>
      <c r="AK41" s="6"/>
      <c r="AL41" s="6"/>
      <c r="AM41" s="6"/>
      <c r="AN41" s="6"/>
    </row>
    <row r="42" ht="15" customHeight="1">
      <c r="A42" s="1647"/>
      <c r="B42" s="1728">
        <f>AM20</f>
        <v>0.07</v>
      </c>
      <c r="C42" s="9"/>
      <c r="D42" s="1729">
        <f t="shared" si="33" ref="D42:AH42">IF(D29&gt;0,D29/$B42,0)</f>
        <v>0</v>
      </c>
      <c r="E42" s="1729">
        <f t="shared" si="33"/>
        <v>0</v>
      </c>
      <c r="F42" s="1729">
        <f t="shared" si="33"/>
        <v>0</v>
      </c>
      <c r="G42" s="1729">
        <f t="shared" si="33"/>
        <v>0</v>
      </c>
      <c r="H42" s="1729">
        <f t="shared" si="33"/>
        <v>0</v>
      </c>
      <c r="I42" s="1729">
        <f t="shared" si="33"/>
        <v>0</v>
      </c>
      <c r="J42" s="1729">
        <f t="shared" si="33"/>
        <v>0</v>
      </c>
      <c r="K42" s="1729">
        <f t="shared" si="33"/>
        <v>0</v>
      </c>
      <c r="L42" s="1729">
        <f t="shared" si="33"/>
        <v>0</v>
      </c>
      <c r="M42" s="1729">
        <f t="shared" si="33"/>
        <v>0</v>
      </c>
      <c r="N42" s="1729">
        <f t="shared" si="33"/>
        <v>0</v>
      </c>
      <c r="O42" s="1729">
        <f t="shared" si="33"/>
        <v>0</v>
      </c>
      <c r="P42" s="1729">
        <f t="shared" si="33"/>
        <v>0</v>
      </c>
      <c r="Q42" s="1729">
        <f t="shared" si="33"/>
        <v>0</v>
      </c>
      <c r="R42" s="1729">
        <f t="shared" si="33"/>
        <v>0</v>
      </c>
      <c r="S42" s="1729">
        <f t="shared" si="33"/>
        <v>0</v>
      </c>
      <c r="T42" s="1729">
        <f t="shared" si="33"/>
        <v>0</v>
      </c>
      <c r="U42" s="1729">
        <f t="shared" si="33"/>
        <v>0</v>
      </c>
      <c r="V42" s="1729">
        <f t="shared" si="33"/>
        <v>0</v>
      </c>
      <c r="W42" s="1729">
        <f t="shared" si="33"/>
        <v>0</v>
      </c>
      <c r="X42" s="1729">
        <f t="shared" si="33"/>
        <v>0</v>
      </c>
      <c r="Y42" s="1729">
        <f t="shared" si="33"/>
        <v>0</v>
      </c>
      <c r="Z42" s="1729">
        <f t="shared" si="33"/>
        <v>0</v>
      </c>
      <c r="AA42" s="1729">
        <f t="shared" si="33"/>
        <v>0</v>
      </c>
      <c r="AB42" s="1729">
        <f t="shared" si="33"/>
        <v>0</v>
      </c>
      <c r="AC42" s="1729">
        <f t="shared" si="33"/>
        <v>0</v>
      </c>
      <c r="AD42" s="1729">
        <f t="shared" si="33"/>
        <v>0</v>
      </c>
      <c r="AE42" s="1729">
        <f t="shared" si="33"/>
        <v>0</v>
      </c>
      <c r="AF42" s="1729">
        <f t="shared" si="33"/>
        <v>0</v>
      </c>
      <c r="AG42" s="1729">
        <f t="shared" si="33"/>
        <v>0</v>
      </c>
      <c r="AH42" s="1729">
        <f t="shared" si="33"/>
        <v>0</v>
      </c>
      <c r="AI42" s="1727"/>
      <c r="AJ42" s="6"/>
      <c r="AK42" s="6"/>
      <c r="AL42" s="6"/>
      <c r="AM42" s="6"/>
      <c r="AN42" s="6"/>
    </row>
    <row r="43" ht="15" customHeight="1">
      <c r="A43" s="1647"/>
      <c r="B43" s="1655" t="s">
        <v>1439</v>
      </c>
      <c r="C43" s="6"/>
      <c r="D43" s="1730">
        <f t="shared" si="34" ref="D43:AH87">_xlfn.IFERROR(D40/D42,0)</f>
        <v>0</v>
      </c>
      <c r="E43" s="1730">
        <f t="shared" si="34"/>
        <v>0</v>
      </c>
      <c r="F43" s="1730">
        <f t="shared" si="34"/>
        <v>0</v>
      </c>
      <c r="G43" s="1730">
        <f t="shared" si="34"/>
        <v>0</v>
      </c>
      <c r="H43" s="1730">
        <f t="shared" si="34"/>
        <v>0</v>
      </c>
      <c r="I43" s="1730">
        <f t="shared" si="34"/>
        <v>0</v>
      </c>
      <c r="J43" s="1730">
        <f t="shared" si="34"/>
        <v>0</v>
      </c>
      <c r="K43" s="1730">
        <f t="shared" si="34"/>
        <v>0</v>
      </c>
      <c r="L43" s="1730">
        <f t="shared" si="34"/>
        <v>0</v>
      </c>
      <c r="M43" s="1730">
        <f t="shared" si="34"/>
        <v>0</v>
      </c>
      <c r="N43" s="1730">
        <f t="shared" si="34"/>
        <v>0</v>
      </c>
      <c r="O43" s="1730">
        <f t="shared" si="34"/>
        <v>0</v>
      </c>
      <c r="P43" s="1730">
        <f t="shared" si="34"/>
        <v>0</v>
      </c>
      <c r="Q43" s="1730">
        <f t="shared" si="34"/>
        <v>0</v>
      </c>
      <c r="R43" s="1730">
        <f t="shared" si="34"/>
        <v>0</v>
      </c>
      <c r="S43" s="1730">
        <f t="shared" si="34"/>
        <v>0</v>
      </c>
      <c r="T43" s="1730">
        <f t="shared" si="34"/>
        <v>0</v>
      </c>
      <c r="U43" s="1730">
        <f t="shared" si="34"/>
        <v>0</v>
      </c>
      <c r="V43" s="1730">
        <f t="shared" si="34"/>
        <v>0</v>
      </c>
      <c r="W43" s="1730">
        <f t="shared" si="34"/>
        <v>0</v>
      </c>
      <c r="X43" s="1730">
        <f t="shared" si="34"/>
        <v>0</v>
      </c>
      <c r="Y43" s="1730">
        <f t="shared" si="34"/>
        <v>0</v>
      </c>
      <c r="Z43" s="1730">
        <f t="shared" si="34"/>
        <v>0</v>
      </c>
      <c r="AA43" s="1730">
        <f t="shared" si="34"/>
        <v>0</v>
      </c>
      <c r="AB43" s="1730">
        <f t="shared" si="34"/>
        <v>0</v>
      </c>
      <c r="AC43" s="1730">
        <f t="shared" si="34"/>
        <v>0</v>
      </c>
      <c r="AD43" s="1730">
        <f t="shared" si="34"/>
        <v>0</v>
      </c>
      <c r="AE43" s="1730">
        <f t="shared" si="34"/>
        <v>0</v>
      </c>
      <c r="AF43" s="1730">
        <f t="shared" si="34"/>
        <v>0</v>
      </c>
      <c r="AG43" s="1730">
        <f t="shared" si="34"/>
        <v>0</v>
      </c>
      <c r="AH43" s="1730">
        <f t="shared" si="34"/>
        <v>0</v>
      </c>
      <c r="AI43" s="1731"/>
      <c r="AJ43" s="6"/>
      <c r="AK43" s="6"/>
      <c r="AL43" s="6"/>
      <c r="AM43" s="6"/>
      <c r="AN43" s="6"/>
    </row>
    <row r="44" ht="15" customHeight="1">
      <c r="A44" s="1647"/>
      <c r="B44" s="27"/>
      <c r="C44" s="27"/>
      <c r="D44" s="1729"/>
      <c r="E44" s="1729"/>
      <c r="F44" s="1729"/>
      <c r="G44" s="1729"/>
      <c r="H44" s="1729"/>
      <c r="I44" s="1729"/>
      <c r="J44" s="1729"/>
      <c r="K44" s="1729"/>
      <c r="L44" s="1729"/>
      <c r="M44" s="1729"/>
      <c r="N44" s="1729"/>
      <c r="O44" s="1729"/>
      <c r="P44" s="1729"/>
      <c r="Q44" s="1729"/>
      <c r="R44" s="1729"/>
      <c r="S44" s="1729"/>
      <c r="T44" s="1729"/>
      <c r="U44" s="1729"/>
      <c r="V44" s="1729"/>
      <c r="W44" s="1729"/>
      <c r="X44" s="1729"/>
      <c r="Y44" s="1729"/>
      <c r="Z44" s="1729"/>
      <c r="AA44" s="1729"/>
      <c r="AB44" s="1729"/>
      <c r="AC44" s="1729"/>
      <c r="AD44" s="1729"/>
      <c r="AE44" s="1729"/>
      <c r="AF44" s="1729"/>
      <c r="AG44" s="1729"/>
      <c r="AH44" s="1729"/>
      <c r="AI44" s="1731"/>
      <c r="AJ44" s="6"/>
      <c r="AK44" s="6"/>
      <c r="AL44" s="6"/>
      <c r="AM44" s="6"/>
      <c r="AN44" s="6"/>
    </row>
    <row r="45" ht="21" customHeight="1">
      <c r="A45" s="1732"/>
      <c r="B45" s="1733" t="s">
        <v>1440</v>
      </c>
      <c r="C45" s="1734" t="s">
        <v>1391</v>
      </c>
      <c r="D45" s="1735">
        <v>1</v>
      </c>
      <c r="E45" s="1735">
        <f t="shared" si="0"/>
        <v>2</v>
      </c>
      <c r="F45" s="1735">
        <f t="shared" si="0"/>
        <v>3</v>
      </c>
      <c r="G45" s="1735">
        <f t="shared" si="0"/>
        <v>4</v>
      </c>
      <c r="H45" s="1735">
        <f t="shared" si="0"/>
        <v>5</v>
      </c>
      <c r="I45" s="1735">
        <f t="shared" si="0"/>
        <v>6</v>
      </c>
      <c r="J45" s="1735">
        <f t="shared" si="0"/>
        <v>7</v>
      </c>
      <c r="K45" s="1735">
        <f t="shared" si="0"/>
        <v>8</v>
      </c>
      <c r="L45" s="1735">
        <f t="shared" si="0"/>
        <v>9</v>
      </c>
      <c r="M45" s="1735">
        <f t="shared" si="0"/>
        <v>10</v>
      </c>
      <c r="N45" s="1735">
        <f t="shared" si="0"/>
        <v>11</v>
      </c>
      <c r="O45" s="1735">
        <f t="shared" si="0"/>
        <v>12</v>
      </c>
      <c r="P45" s="1735">
        <f t="shared" si="0"/>
        <v>13</v>
      </c>
      <c r="Q45" s="1735">
        <f t="shared" si="0"/>
        <v>14</v>
      </c>
      <c r="R45" s="1735">
        <f t="shared" si="0"/>
        <v>15</v>
      </c>
      <c r="S45" s="1735">
        <f t="shared" si="0"/>
        <v>16</v>
      </c>
      <c r="T45" s="1735">
        <f t="shared" si="0"/>
        <v>17</v>
      </c>
      <c r="U45" s="1735">
        <f t="shared" si="0"/>
        <v>18</v>
      </c>
      <c r="V45" s="1735">
        <f t="shared" si="0"/>
        <v>19</v>
      </c>
      <c r="W45" s="1735">
        <f t="shared" si="0"/>
        <v>20</v>
      </c>
      <c r="X45" s="1735">
        <f t="shared" si="0"/>
        <v>21</v>
      </c>
      <c r="Y45" s="1735">
        <f t="shared" si="0"/>
        <v>22</v>
      </c>
      <c r="Z45" s="1735">
        <f t="shared" si="0"/>
        <v>23</v>
      </c>
      <c r="AA45" s="1735">
        <f t="shared" si="0"/>
        <v>24</v>
      </c>
      <c r="AB45" s="1735">
        <f t="shared" si="0"/>
        <v>25</v>
      </c>
      <c r="AC45" s="1735">
        <f t="shared" si="0"/>
        <v>26</v>
      </c>
      <c r="AD45" s="1735">
        <f t="shared" si="0"/>
        <v>27</v>
      </c>
      <c r="AE45" s="1735">
        <f t="shared" si="0"/>
        <v>28</v>
      </c>
      <c r="AF45" s="1735">
        <f t="shared" si="0"/>
        <v>29</v>
      </c>
      <c r="AG45" s="1735">
        <f t="shared" si="0"/>
        <v>30</v>
      </c>
      <c r="AH45" s="1735">
        <f t="shared" si="0"/>
        <v>31</v>
      </c>
      <c r="AI45" s="1735"/>
      <c r="AJ45" s="6"/>
      <c r="AK45" s="6"/>
      <c r="AL45" s="6"/>
      <c r="AM45" s="6"/>
      <c r="AN45" s="6"/>
    </row>
    <row r="46" ht="15" customHeight="1">
      <c r="A46" s="1732"/>
      <c r="B46" s="6"/>
      <c r="C46" s="6"/>
      <c r="D46" s="1408"/>
      <c r="E46" s="1641"/>
      <c r="F46" s="1554"/>
      <c r="G46" s="1736"/>
      <c r="H46" s="1554"/>
      <c r="I46" s="1554"/>
      <c r="J46" s="1554"/>
      <c r="K46" s="1554"/>
      <c r="L46" s="1554"/>
      <c r="M46" s="1554"/>
      <c r="N46" s="1554"/>
      <c r="O46" s="1711"/>
      <c r="P46" s="1711"/>
      <c r="Q46" s="1711"/>
      <c r="R46" s="1711"/>
      <c r="S46" s="1711"/>
      <c r="T46" s="1711"/>
      <c r="U46" s="1711"/>
      <c r="V46" s="1711"/>
      <c r="W46" s="1711"/>
      <c r="X46" s="1711"/>
      <c r="Y46" s="1711"/>
      <c r="Z46" s="1711"/>
      <c r="AA46" s="1711"/>
      <c r="AB46" s="1711"/>
      <c r="AC46" s="1711"/>
      <c r="AD46" s="1711"/>
      <c r="AE46" s="1711"/>
      <c r="AF46" s="1711"/>
      <c r="AG46" s="1711"/>
      <c r="AH46" s="1711"/>
      <c r="AI46" s="1732"/>
      <c r="AJ46" s="6"/>
      <c r="AK46" s="6"/>
      <c r="AL46" s="6"/>
      <c r="AM46" s="6"/>
      <c r="AN46" s="6"/>
    </row>
    <row r="47" ht="15" customHeight="1">
      <c r="A47" s="1732"/>
      <c r="B47" s="6" t="s">
        <v>1441</v>
      </c>
      <c r="C47" s="1737">
        <v>0</v>
      </c>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1732"/>
      <c r="AJ47" s="6"/>
      <c r="AK47" s="6"/>
      <c r="AL47" s="6"/>
      <c r="AM47" s="6"/>
      <c r="AN47" s="6"/>
    </row>
    <row r="48" ht="15" customHeight="1">
      <c r="A48" s="1732"/>
      <c r="B48" s="6" t="s">
        <v>191</v>
      </c>
      <c r="C48" s="1738">
        <v>1</v>
      </c>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1732"/>
      <c r="AJ48" s="6"/>
      <c r="AK48" s="6"/>
      <c r="AL48" s="6"/>
      <c r="AM48" s="6"/>
      <c r="AN48" s="6"/>
    </row>
    <row r="49" ht="15" customHeight="1">
      <c r="A49" s="1732"/>
      <c r="B49" s="6" t="s">
        <v>1442</v>
      </c>
      <c r="C49" s="1621">
        <v>0</v>
      </c>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1732"/>
      <c r="AJ49" s="6"/>
      <c r="AK49" s="6"/>
      <c r="AL49" s="6"/>
      <c r="AM49" s="6"/>
      <c r="AN49" s="6"/>
    </row>
    <row r="50" ht="15.75" customHeight="1">
      <c r="A50" s="1732"/>
      <c r="B50" s="1739"/>
      <c r="C50" s="1740"/>
      <c r="D50" s="1741"/>
      <c r="E50" s="1741"/>
      <c r="F50" s="1741"/>
      <c r="G50" s="1741"/>
      <c r="H50" s="1741"/>
      <c r="I50" s="1741"/>
      <c r="J50" s="1741"/>
      <c r="K50" s="1741"/>
      <c r="L50" s="1741"/>
      <c r="M50" s="1741"/>
      <c r="N50" s="1741"/>
      <c r="O50" s="1741"/>
      <c r="P50" s="1741"/>
      <c r="Q50" s="1741"/>
      <c r="R50" s="1741"/>
      <c r="S50" s="1741"/>
      <c r="T50" s="1741"/>
      <c r="U50" s="1741"/>
      <c r="V50" s="1741"/>
      <c r="W50" s="1741"/>
      <c r="X50" s="1741"/>
      <c r="Y50" s="1741"/>
      <c r="Z50" s="1741"/>
      <c r="AA50" s="1741"/>
      <c r="AB50" s="1741"/>
      <c r="AC50" s="1741"/>
      <c r="AD50" s="1741"/>
      <c r="AE50" s="1741"/>
      <c r="AF50" s="1741"/>
      <c r="AG50" s="1741"/>
      <c r="AH50" s="1741"/>
      <c r="AI50" s="1732"/>
      <c r="AJ50" s="6"/>
      <c r="AK50" s="6"/>
      <c r="AL50" s="6"/>
      <c r="AM50" s="6"/>
      <c r="AN50" s="6"/>
    </row>
    <row r="51" ht="15.75" customHeight="1">
      <c r="A51" s="1732"/>
      <c r="B51" s="1632" t="s">
        <v>1443</v>
      </c>
      <c r="C51" s="1633" t="s">
        <v>1411</v>
      </c>
      <c r="D51" s="1636">
        <v>0.02</v>
      </c>
      <c r="E51" s="1636">
        <f t="shared" si="27"/>
        <v>0.02</v>
      </c>
      <c r="F51" s="1636">
        <f t="shared" si="27"/>
        <v>0.02</v>
      </c>
      <c r="G51" s="1636">
        <f t="shared" si="27"/>
        <v>0.02</v>
      </c>
      <c r="H51" s="1636">
        <f t="shared" si="27"/>
        <v>0.02</v>
      </c>
      <c r="I51" s="1636">
        <f t="shared" si="27"/>
        <v>0.02</v>
      </c>
      <c r="J51" s="1636">
        <f t="shared" si="27"/>
        <v>0.02</v>
      </c>
      <c r="K51" s="1636">
        <f t="shared" si="27"/>
        <v>0.02</v>
      </c>
      <c r="L51" s="1636">
        <f t="shared" si="27"/>
        <v>0.02</v>
      </c>
      <c r="M51" s="1636">
        <f t="shared" si="27"/>
        <v>0.02</v>
      </c>
      <c r="N51" s="1636">
        <f t="shared" si="27"/>
        <v>0.02</v>
      </c>
      <c r="O51" s="1636">
        <f t="shared" si="27"/>
        <v>0.02</v>
      </c>
      <c r="P51" s="1636">
        <f t="shared" si="27"/>
        <v>0.02</v>
      </c>
      <c r="Q51" s="1636">
        <f t="shared" si="27"/>
        <v>0.02</v>
      </c>
      <c r="R51" s="1636">
        <f t="shared" si="27"/>
        <v>0.02</v>
      </c>
      <c r="S51" s="1636">
        <f t="shared" si="27"/>
        <v>0.02</v>
      </c>
      <c r="T51" s="1636">
        <f t="shared" si="27"/>
        <v>0.02</v>
      </c>
      <c r="U51" s="1636">
        <f t="shared" si="27"/>
        <v>0.02</v>
      </c>
      <c r="V51" s="1636">
        <f t="shared" si="27"/>
        <v>0.02</v>
      </c>
      <c r="W51" s="1636">
        <f t="shared" si="27"/>
        <v>0.02</v>
      </c>
      <c r="X51" s="1636">
        <f t="shared" si="27"/>
        <v>0.02</v>
      </c>
      <c r="Y51" s="1636">
        <f t="shared" si="27"/>
        <v>0.02</v>
      </c>
      <c r="Z51" s="1636">
        <f t="shared" si="27"/>
        <v>0.02</v>
      </c>
      <c r="AA51" s="1636">
        <f t="shared" si="27"/>
        <v>0.02</v>
      </c>
      <c r="AB51" s="1636">
        <f t="shared" si="27"/>
        <v>0.02</v>
      </c>
      <c r="AC51" s="1636">
        <f t="shared" si="27"/>
        <v>0.02</v>
      </c>
      <c r="AD51" s="1636">
        <f t="shared" si="27"/>
        <v>0.02</v>
      </c>
      <c r="AE51" s="1636">
        <f t="shared" si="27"/>
        <v>0.02</v>
      </c>
      <c r="AF51" s="1636">
        <f t="shared" si="27"/>
        <v>0.02</v>
      </c>
      <c r="AG51" s="1636">
        <f t="shared" si="27"/>
        <v>0.02</v>
      </c>
      <c r="AH51" s="1636">
        <f t="shared" si="27"/>
        <v>0.02</v>
      </c>
      <c r="AI51" s="1732"/>
      <c r="AJ51" s="6"/>
      <c r="AK51" s="6"/>
      <c r="AL51" s="6"/>
      <c r="AM51" s="6"/>
      <c r="AN51" s="6"/>
    </row>
    <row r="52" ht="15" customHeight="1">
      <c r="A52" s="1732"/>
      <c r="B52" s="613" t="s">
        <v>1395</v>
      </c>
      <c r="C52" s="1"/>
      <c r="D52" s="1641">
        <f>ROUND(SOps_UnderwrittenGPR*(1+D51),0)+_xlfn.IFERROR(IF(D45&lt;=$C$49,($C$47*TotalUnits*12*$C$48)/$C$49,0),0)</f>
        <v>1587712</v>
      </c>
      <c r="E52" s="1641">
        <f t="shared" si="35" ref="E52:AH52">ROUND(D52*(1+E51),0)+_xlfn.IFERROR(IF(E45&lt;=$C$49,($C$47*TotalUnits*12*$C$48)/$C$49,0),0)</f>
        <v>1619466</v>
      </c>
      <c r="F52" s="1641">
        <f t="shared" si="35"/>
        <v>1651855</v>
      </c>
      <c r="G52" s="1641">
        <f t="shared" si="35"/>
        <v>1684892</v>
      </c>
      <c r="H52" s="1641">
        <f t="shared" si="35"/>
        <v>1718590</v>
      </c>
      <c r="I52" s="1641">
        <f t="shared" si="35"/>
        <v>1752962</v>
      </c>
      <c r="J52" s="1641">
        <f t="shared" si="35"/>
        <v>1788021</v>
      </c>
      <c r="K52" s="1641">
        <f t="shared" si="35"/>
        <v>1823781</v>
      </c>
      <c r="L52" s="1641">
        <f t="shared" si="35"/>
        <v>1860257</v>
      </c>
      <c r="M52" s="1641">
        <f t="shared" si="35"/>
        <v>1897462</v>
      </c>
      <c r="N52" s="1641">
        <f t="shared" si="35"/>
        <v>1935411</v>
      </c>
      <c r="O52" s="1641">
        <f t="shared" si="35"/>
        <v>1974119</v>
      </c>
      <c r="P52" s="1641">
        <f t="shared" si="35"/>
        <v>2013601</v>
      </c>
      <c r="Q52" s="1641">
        <f t="shared" si="35"/>
        <v>2053873</v>
      </c>
      <c r="R52" s="1641">
        <f t="shared" si="35"/>
        <v>2094950</v>
      </c>
      <c r="S52" s="1641">
        <f t="shared" si="35"/>
        <v>2136849</v>
      </c>
      <c r="T52" s="1641">
        <f t="shared" si="35"/>
        <v>2179586</v>
      </c>
      <c r="U52" s="1641">
        <f t="shared" si="35"/>
        <v>2223178</v>
      </c>
      <c r="V52" s="1641">
        <f t="shared" si="35"/>
        <v>2267642</v>
      </c>
      <c r="W52" s="1641">
        <f t="shared" si="35"/>
        <v>2312995</v>
      </c>
      <c r="X52" s="1641">
        <f t="shared" si="35"/>
        <v>2359255</v>
      </c>
      <c r="Y52" s="1641">
        <f t="shared" si="35"/>
        <v>2406440</v>
      </c>
      <c r="Z52" s="1641">
        <f t="shared" si="35"/>
        <v>2454569</v>
      </c>
      <c r="AA52" s="1641">
        <f t="shared" si="35"/>
        <v>2503660</v>
      </c>
      <c r="AB52" s="1641">
        <f t="shared" si="35"/>
        <v>2553733</v>
      </c>
      <c r="AC52" s="1641">
        <f t="shared" si="35"/>
        <v>2604808</v>
      </c>
      <c r="AD52" s="1641">
        <f t="shared" si="35"/>
        <v>2656904</v>
      </c>
      <c r="AE52" s="1641">
        <f t="shared" si="35"/>
        <v>2710042</v>
      </c>
      <c r="AF52" s="1641">
        <f t="shared" si="35"/>
        <v>2764243</v>
      </c>
      <c r="AG52" s="1641">
        <f t="shared" si="35"/>
        <v>2819528</v>
      </c>
      <c r="AH52" s="1641">
        <f t="shared" si="35"/>
        <v>2875919</v>
      </c>
      <c r="AI52" s="1732"/>
      <c r="AJ52" s="6"/>
      <c r="AK52" s="6"/>
      <c r="AL52" s="6"/>
      <c r="AM52" s="6"/>
      <c r="AN52" s="6"/>
    </row>
    <row r="53" ht="15" customHeight="1">
      <c r="A53" s="1732"/>
      <c r="B53" s="613" t="s">
        <v>1397</v>
      </c>
      <c r="C53" s="1644">
        <f>'Summary OPS'!AV10</f>
        <v>0.11960323272816045</v>
      </c>
      <c r="D53" s="1645">
        <f t="shared" si="3"/>
        <v>-189895</v>
      </c>
      <c r="E53" s="1645">
        <f t="shared" si="3"/>
        <v>-193693</v>
      </c>
      <c r="F53" s="1645">
        <f t="shared" si="3"/>
        <v>-197567</v>
      </c>
      <c r="G53" s="1645">
        <f t="shared" si="3"/>
        <v>-201519</v>
      </c>
      <c r="H53" s="1645">
        <f t="shared" si="3"/>
        <v>-205549</v>
      </c>
      <c r="I53" s="1645">
        <f t="shared" si="3"/>
        <v>-209660</v>
      </c>
      <c r="J53" s="1645">
        <f t="shared" si="3"/>
        <v>-213853</v>
      </c>
      <c r="K53" s="1645">
        <f t="shared" si="3"/>
        <v>-218130</v>
      </c>
      <c r="L53" s="1645">
        <f t="shared" si="3"/>
        <v>-222493</v>
      </c>
      <c r="M53" s="1645">
        <f t="shared" si="3"/>
        <v>-226943</v>
      </c>
      <c r="N53" s="1645">
        <f t="shared" si="3"/>
        <v>-231481</v>
      </c>
      <c r="O53" s="1645">
        <f t="shared" si="3"/>
        <v>-236111</v>
      </c>
      <c r="P53" s="1645">
        <f t="shared" si="3"/>
        <v>-240833</v>
      </c>
      <c r="Q53" s="1645">
        <f t="shared" si="3"/>
        <v>-245650</v>
      </c>
      <c r="R53" s="1645">
        <f t="shared" si="3"/>
        <v>-250563</v>
      </c>
      <c r="S53" s="1645">
        <f t="shared" si="3"/>
        <v>-255574</v>
      </c>
      <c r="T53" s="1645">
        <f t="shared" si="3"/>
        <v>-260686</v>
      </c>
      <c r="U53" s="1645">
        <f t="shared" si="3"/>
        <v>-265899</v>
      </c>
      <c r="V53" s="1645">
        <f t="shared" si="3"/>
        <v>-271217</v>
      </c>
      <c r="W53" s="1645">
        <f t="shared" si="3"/>
        <v>-276642</v>
      </c>
      <c r="X53" s="1645">
        <f t="shared" si="3"/>
        <v>-282175</v>
      </c>
      <c r="Y53" s="1645">
        <f t="shared" si="3"/>
        <v>-287818</v>
      </c>
      <c r="Z53" s="1645">
        <f t="shared" si="3"/>
        <v>-293574</v>
      </c>
      <c r="AA53" s="1645">
        <f t="shared" si="3"/>
        <v>-299446</v>
      </c>
      <c r="AB53" s="1645">
        <f t="shared" si="3"/>
        <v>-305435</v>
      </c>
      <c r="AC53" s="1645">
        <f t="shared" si="3"/>
        <v>-311543</v>
      </c>
      <c r="AD53" s="1645">
        <f t="shared" si="3"/>
        <v>-317774</v>
      </c>
      <c r="AE53" s="1645">
        <f t="shared" si="3"/>
        <v>-324130</v>
      </c>
      <c r="AF53" s="1645">
        <f t="shared" si="3"/>
        <v>-330612</v>
      </c>
      <c r="AG53" s="1645">
        <f t="shared" si="3"/>
        <v>-337225</v>
      </c>
      <c r="AH53" s="1645">
        <f t="shared" si="3"/>
        <v>-343969</v>
      </c>
      <c r="AI53" s="1732"/>
      <c r="AJ53" s="6"/>
      <c r="AK53" s="6"/>
      <c r="AL53" s="6"/>
      <c r="AM53" s="6"/>
      <c r="AN53" s="6"/>
    </row>
    <row r="54" ht="15" customHeight="1">
      <c r="A54" s="1732"/>
      <c r="B54" s="613" t="s">
        <v>1399</v>
      </c>
      <c r="C54" s="1644">
        <f>'Summary OPS'!AV11</f>
        <v>0.028601164090506108</v>
      </c>
      <c r="D54" s="1645">
        <f t="shared" si="4"/>
        <v>-45410</v>
      </c>
      <c r="E54" s="1645">
        <f t="shared" si="4"/>
        <v>-46319</v>
      </c>
      <c r="F54" s="1645">
        <f t="shared" si="4"/>
        <v>-47245</v>
      </c>
      <c r="G54" s="1645">
        <f t="shared" si="4"/>
        <v>-48190</v>
      </c>
      <c r="H54" s="1645">
        <f t="shared" si="4"/>
        <v>-49154</v>
      </c>
      <c r="I54" s="1645">
        <f t="shared" si="4"/>
        <v>-50137</v>
      </c>
      <c r="J54" s="1645">
        <f t="shared" si="4"/>
        <v>-51139</v>
      </c>
      <c r="K54" s="1645">
        <f t="shared" si="4"/>
        <v>-52162</v>
      </c>
      <c r="L54" s="1645">
        <f t="shared" si="4"/>
        <v>-53206</v>
      </c>
      <c r="M54" s="1645">
        <f t="shared" si="4"/>
        <v>-54270</v>
      </c>
      <c r="N54" s="1645">
        <f t="shared" si="4"/>
        <v>-55355</v>
      </c>
      <c r="O54" s="1645">
        <f t="shared" si="4"/>
        <v>-56462</v>
      </c>
      <c r="P54" s="1645">
        <f t="shared" si="4"/>
        <v>-57591</v>
      </c>
      <c r="Q54" s="1645">
        <f t="shared" si="4"/>
        <v>-58743</v>
      </c>
      <c r="R54" s="1645">
        <f t="shared" si="4"/>
        <v>-59918</v>
      </c>
      <c r="S54" s="1645">
        <f t="shared" si="4"/>
        <v>-61116</v>
      </c>
      <c r="T54" s="1645">
        <f t="shared" si="4"/>
        <v>-62339</v>
      </c>
      <c r="U54" s="1645">
        <f t="shared" si="4"/>
        <v>-63585</v>
      </c>
      <c r="V54" s="1645">
        <f t="shared" si="4"/>
        <v>-64857</v>
      </c>
      <c r="W54" s="1645">
        <f t="shared" si="4"/>
        <v>-66154</v>
      </c>
      <c r="X54" s="1645">
        <f t="shared" si="4"/>
        <v>-67477</v>
      </c>
      <c r="Y54" s="1645">
        <f t="shared" si="4"/>
        <v>-68827</v>
      </c>
      <c r="Z54" s="1645">
        <f t="shared" si="4"/>
        <v>-70204</v>
      </c>
      <c r="AA54" s="1645">
        <f t="shared" si="4"/>
        <v>-71608</v>
      </c>
      <c r="AB54" s="1645">
        <f t="shared" si="4"/>
        <v>-73040</v>
      </c>
      <c r="AC54" s="1645">
        <f t="shared" si="4"/>
        <v>-74501</v>
      </c>
      <c r="AD54" s="1645">
        <f t="shared" si="4"/>
        <v>-75991</v>
      </c>
      <c r="AE54" s="1645">
        <f t="shared" si="4"/>
        <v>-77510</v>
      </c>
      <c r="AF54" s="1645">
        <f t="shared" si="4"/>
        <v>-79061</v>
      </c>
      <c r="AG54" s="1645">
        <f t="shared" si="4"/>
        <v>-80642</v>
      </c>
      <c r="AH54" s="1645">
        <f t="shared" si="4"/>
        <v>-82255</v>
      </c>
      <c r="AI54" s="1732"/>
      <c r="AJ54" s="6"/>
      <c r="AK54" s="6"/>
      <c r="AL54" s="6"/>
      <c r="AM54" s="6"/>
      <c r="AN54" s="6"/>
    </row>
    <row r="55" ht="15.75" customHeight="1">
      <c r="A55" s="1732"/>
      <c r="B55" s="1650" t="s">
        <v>1400</v>
      </c>
      <c r="C55" s="1651">
        <f>'Summary OPS'!AV12</f>
        <v>0</v>
      </c>
      <c r="D55" s="1652">
        <f t="shared" si="5"/>
        <v>0</v>
      </c>
      <c r="E55" s="1652">
        <f t="shared" si="5"/>
        <v>0</v>
      </c>
      <c r="F55" s="1652">
        <f t="shared" si="5"/>
        <v>0</v>
      </c>
      <c r="G55" s="1652">
        <f t="shared" si="5"/>
        <v>0</v>
      </c>
      <c r="H55" s="1652">
        <f t="shared" si="5"/>
        <v>0</v>
      </c>
      <c r="I55" s="1652">
        <f t="shared" si="5"/>
        <v>0</v>
      </c>
      <c r="J55" s="1652">
        <f t="shared" si="5"/>
        <v>0</v>
      </c>
      <c r="K55" s="1652">
        <f t="shared" si="5"/>
        <v>0</v>
      </c>
      <c r="L55" s="1652">
        <f t="shared" si="5"/>
        <v>0</v>
      </c>
      <c r="M55" s="1652">
        <f t="shared" si="5"/>
        <v>0</v>
      </c>
      <c r="N55" s="1652">
        <f t="shared" si="5"/>
        <v>0</v>
      </c>
      <c r="O55" s="1652">
        <f t="shared" si="5"/>
        <v>0</v>
      </c>
      <c r="P55" s="1652">
        <f t="shared" si="5"/>
        <v>0</v>
      </c>
      <c r="Q55" s="1652">
        <f t="shared" si="5"/>
        <v>0</v>
      </c>
      <c r="R55" s="1652">
        <f t="shared" si="5"/>
        <v>0</v>
      </c>
      <c r="S55" s="1652">
        <f t="shared" si="5"/>
        <v>0</v>
      </c>
      <c r="T55" s="1652">
        <f t="shared" si="5"/>
        <v>0</v>
      </c>
      <c r="U55" s="1652">
        <f t="shared" si="5"/>
        <v>0</v>
      </c>
      <c r="V55" s="1652">
        <f t="shared" si="5"/>
        <v>0</v>
      </c>
      <c r="W55" s="1652">
        <f t="shared" si="5"/>
        <v>0</v>
      </c>
      <c r="X55" s="1652">
        <f t="shared" si="5"/>
        <v>0</v>
      </c>
      <c r="Y55" s="1652">
        <f t="shared" si="5"/>
        <v>0</v>
      </c>
      <c r="Z55" s="1652">
        <f t="shared" si="5"/>
        <v>0</v>
      </c>
      <c r="AA55" s="1652">
        <f t="shared" si="5"/>
        <v>0</v>
      </c>
      <c r="AB55" s="1652">
        <f t="shared" si="5"/>
        <v>0</v>
      </c>
      <c r="AC55" s="1652">
        <f t="shared" si="5"/>
        <v>0</v>
      </c>
      <c r="AD55" s="1652">
        <f t="shared" si="5"/>
        <v>0</v>
      </c>
      <c r="AE55" s="1652">
        <f t="shared" si="5"/>
        <v>0</v>
      </c>
      <c r="AF55" s="1652">
        <f t="shared" si="5"/>
        <v>0</v>
      </c>
      <c r="AG55" s="1652">
        <f t="shared" si="5"/>
        <v>0</v>
      </c>
      <c r="AH55" s="1652">
        <f t="shared" si="5"/>
        <v>0</v>
      </c>
      <c r="AI55" s="1732"/>
      <c r="AJ55" s="6"/>
      <c r="AK55" s="6"/>
      <c r="AL55" s="6"/>
      <c r="AM55" s="6"/>
      <c r="AN55" s="6"/>
    </row>
    <row r="56" ht="15" customHeight="1">
      <c r="A56" s="1732"/>
      <c r="B56" s="1655" t="s">
        <v>1401</v>
      </c>
      <c r="C56" s="1656"/>
      <c r="D56" s="1657">
        <f t="shared" si="6"/>
        <v>1352407</v>
      </c>
      <c r="E56" s="1657">
        <f t="shared" si="6"/>
        <v>1379454</v>
      </c>
      <c r="F56" s="1657">
        <f t="shared" si="6"/>
        <v>1407043</v>
      </c>
      <c r="G56" s="1657">
        <f t="shared" si="6"/>
        <v>1435183</v>
      </c>
      <c r="H56" s="1657">
        <f t="shared" si="6"/>
        <v>1463887</v>
      </c>
      <c r="I56" s="1657">
        <f t="shared" si="6"/>
        <v>1493165</v>
      </c>
      <c r="J56" s="1657">
        <f t="shared" si="6"/>
        <v>1523029</v>
      </c>
      <c r="K56" s="1657">
        <f t="shared" si="6"/>
        <v>1553489</v>
      </c>
      <c r="L56" s="1657">
        <f t="shared" si="6"/>
        <v>1584558</v>
      </c>
      <c r="M56" s="1657">
        <f t="shared" si="6"/>
        <v>1616249</v>
      </c>
      <c r="N56" s="1657">
        <f t="shared" si="6"/>
        <v>1648575</v>
      </c>
      <c r="O56" s="1657">
        <f t="shared" si="6"/>
        <v>1681546</v>
      </c>
      <c r="P56" s="1657">
        <f t="shared" si="6"/>
        <v>1715177</v>
      </c>
      <c r="Q56" s="1657">
        <f t="shared" si="6"/>
        <v>1749480</v>
      </c>
      <c r="R56" s="1657">
        <f t="shared" si="6"/>
        <v>1784469</v>
      </c>
      <c r="S56" s="1657">
        <f t="shared" si="6"/>
        <v>1820159</v>
      </c>
      <c r="T56" s="1657">
        <f t="shared" si="6"/>
        <v>1856561</v>
      </c>
      <c r="U56" s="1657">
        <f t="shared" si="6"/>
        <v>1893694</v>
      </c>
      <c r="V56" s="1657">
        <f t="shared" si="6"/>
        <v>1931568</v>
      </c>
      <c r="W56" s="1657">
        <f t="shared" si="6"/>
        <v>1970199</v>
      </c>
      <c r="X56" s="1657">
        <f t="shared" si="6"/>
        <v>2009603</v>
      </c>
      <c r="Y56" s="1657">
        <f t="shared" si="6"/>
        <v>2049795</v>
      </c>
      <c r="Z56" s="1657">
        <f t="shared" si="6"/>
        <v>2090791</v>
      </c>
      <c r="AA56" s="1657">
        <f t="shared" si="6"/>
        <v>2132606</v>
      </c>
      <c r="AB56" s="1657">
        <f t="shared" si="6"/>
        <v>2175258</v>
      </c>
      <c r="AC56" s="1657">
        <f t="shared" si="6"/>
        <v>2218764</v>
      </c>
      <c r="AD56" s="1657">
        <f t="shared" si="6"/>
        <v>2263139</v>
      </c>
      <c r="AE56" s="1657">
        <f t="shared" si="6"/>
        <v>2308402</v>
      </c>
      <c r="AF56" s="1657">
        <f t="shared" si="6"/>
        <v>2354570</v>
      </c>
      <c r="AG56" s="1657">
        <f t="shared" si="6"/>
        <v>2401661</v>
      </c>
      <c r="AH56" s="1657">
        <f t="shared" si="6"/>
        <v>2449695</v>
      </c>
      <c r="AI56" s="1732"/>
      <c r="AJ56" s="6"/>
      <c r="AK56" s="6"/>
      <c r="AL56" s="6"/>
      <c r="AM56" s="6"/>
      <c r="AN56" s="6"/>
    </row>
    <row r="57" ht="15" customHeight="1">
      <c r="A57" s="1732"/>
      <c r="B57" s="613" t="s">
        <v>1404</v>
      </c>
      <c r="C57" s="1661"/>
      <c r="D57" s="1641">
        <f>ROUND('Summary OPS'!AU$15*(1+D51),0)</f>
        <v>30286</v>
      </c>
      <c r="E57" s="1641">
        <f t="shared" si="7"/>
        <v>30892</v>
      </c>
      <c r="F57" s="1641">
        <f t="shared" si="7"/>
        <v>31510</v>
      </c>
      <c r="G57" s="1641">
        <f t="shared" si="7"/>
        <v>32140</v>
      </c>
      <c r="H57" s="1641">
        <f t="shared" si="7"/>
        <v>32783</v>
      </c>
      <c r="I57" s="1641">
        <f t="shared" si="7"/>
        <v>33439</v>
      </c>
      <c r="J57" s="1641">
        <f t="shared" si="7"/>
        <v>34108</v>
      </c>
      <c r="K57" s="1641">
        <f t="shared" si="7"/>
        <v>34790</v>
      </c>
      <c r="L57" s="1641">
        <f t="shared" si="7"/>
        <v>35486</v>
      </c>
      <c r="M57" s="1641">
        <f t="shared" si="7"/>
        <v>36196</v>
      </c>
      <c r="N57" s="1641">
        <f t="shared" si="7"/>
        <v>36920</v>
      </c>
      <c r="O57" s="1641">
        <f t="shared" si="7"/>
        <v>37658</v>
      </c>
      <c r="P57" s="1641">
        <f t="shared" si="7"/>
        <v>38411</v>
      </c>
      <c r="Q57" s="1641">
        <f t="shared" si="7"/>
        <v>39179</v>
      </c>
      <c r="R57" s="1641">
        <f t="shared" si="7"/>
        <v>39963</v>
      </c>
      <c r="S57" s="1641">
        <f t="shared" si="7"/>
        <v>40762</v>
      </c>
      <c r="T57" s="1641">
        <f t="shared" si="7"/>
        <v>41577</v>
      </c>
      <c r="U57" s="1641">
        <f t="shared" si="7"/>
        <v>42409</v>
      </c>
      <c r="V57" s="1641">
        <f t="shared" si="7"/>
        <v>43257</v>
      </c>
      <c r="W57" s="1641">
        <f t="shared" si="7"/>
        <v>44122</v>
      </c>
      <c r="X57" s="1641">
        <f t="shared" si="7"/>
        <v>45004</v>
      </c>
      <c r="Y57" s="1641">
        <f t="shared" si="7"/>
        <v>45904</v>
      </c>
      <c r="Z57" s="1641">
        <f t="shared" si="7"/>
        <v>46822</v>
      </c>
      <c r="AA57" s="1641">
        <f t="shared" si="7"/>
        <v>47758</v>
      </c>
      <c r="AB57" s="1641">
        <f t="shared" si="7"/>
        <v>48713</v>
      </c>
      <c r="AC57" s="1641">
        <f t="shared" si="7"/>
        <v>49687</v>
      </c>
      <c r="AD57" s="1641">
        <f t="shared" si="7"/>
        <v>50681</v>
      </c>
      <c r="AE57" s="1641">
        <f t="shared" si="7"/>
        <v>51695</v>
      </c>
      <c r="AF57" s="1641">
        <f t="shared" si="7"/>
        <v>52729</v>
      </c>
      <c r="AG57" s="1641">
        <f t="shared" si="7"/>
        <v>53784</v>
      </c>
      <c r="AH57" s="1641">
        <f t="shared" si="7"/>
        <v>54860</v>
      </c>
      <c r="AI57" s="1732"/>
      <c r="AJ57" s="6"/>
      <c r="AK57" s="6"/>
      <c r="AL57" s="6"/>
      <c r="AM57" s="6"/>
      <c r="AN57" s="6"/>
    </row>
    <row r="58" ht="15" customHeight="1">
      <c r="A58" s="1732"/>
      <c r="B58" s="613" t="s">
        <v>1405</v>
      </c>
      <c r="C58" s="1661"/>
      <c r="D58" s="1641">
        <f>ROUND('Summary OPS'!AU$16*(1+D51),0)</f>
        <v>0</v>
      </c>
      <c r="E58" s="1641">
        <f t="shared" si="8"/>
        <v>0</v>
      </c>
      <c r="F58" s="1641">
        <f t="shared" si="8"/>
        <v>0</v>
      </c>
      <c r="G58" s="1641">
        <f t="shared" si="8"/>
        <v>0</v>
      </c>
      <c r="H58" s="1641">
        <f t="shared" si="8"/>
        <v>0</v>
      </c>
      <c r="I58" s="1641">
        <f t="shared" si="8"/>
        <v>0</v>
      </c>
      <c r="J58" s="1641">
        <f t="shared" si="8"/>
        <v>0</v>
      </c>
      <c r="K58" s="1641">
        <f t="shared" si="8"/>
        <v>0</v>
      </c>
      <c r="L58" s="1641">
        <f t="shared" si="8"/>
        <v>0</v>
      </c>
      <c r="M58" s="1641">
        <f t="shared" si="8"/>
        <v>0</v>
      </c>
      <c r="N58" s="1641">
        <f t="shared" si="8"/>
        <v>0</v>
      </c>
      <c r="O58" s="1641">
        <f t="shared" si="8"/>
        <v>0</v>
      </c>
      <c r="P58" s="1641">
        <f t="shared" si="8"/>
        <v>0</v>
      </c>
      <c r="Q58" s="1641">
        <f t="shared" si="8"/>
        <v>0</v>
      </c>
      <c r="R58" s="1641">
        <f t="shared" si="8"/>
        <v>0</v>
      </c>
      <c r="S58" s="1641">
        <f t="shared" si="8"/>
        <v>0</v>
      </c>
      <c r="T58" s="1641">
        <f t="shared" si="8"/>
        <v>0</v>
      </c>
      <c r="U58" s="1641">
        <f t="shared" si="8"/>
        <v>0</v>
      </c>
      <c r="V58" s="1641">
        <f t="shared" si="8"/>
        <v>0</v>
      </c>
      <c r="W58" s="1641">
        <f t="shared" si="8"/>
        <v>0</v>
      </c>
      <c r="X58" s="1641">
        <f t="shared" si="8"/>
        <v>0</v>
      </c>
      <c r="Y58" s="1641">
        <f t="shared" si="8"/>
        <v>0</v>
      </c>
      <c r="Z58" s="1641">
        <f t="shared" si="8"/>
        <v>0</v>
      </c>
      <c r="AA58" s="1641">
        <f t="shared" si="8"/>
        <v>0</v>
      </c>
      <c r="AB58" s="1641">
        <f t="shared" si="8"/>
        <v>0</v>
      </c>
      <c r="AC58" s="1641">
        <f t="shared" si="8"/>
        <v>0</v>
      </c>
      <c r="AD58" s="1641">
        <f t="shared" si="8"/>
        <v>0</v>
      </c>
      <c r="AE58" s="1641">
        <f t="shared" si="8"/>
        <v>0</v>
      </c>
      <c r="AF58" s="1641">
        <f t="shared" si="8"/>
        <v>0</v>
      </c>
      <c r="AG58" s="1641">
        <f t="shared" si="8"/>
        <v>0</v>
      </c>
      <c r="AH58" s="1641">
        <f t="shared" si="8"/>
        <v>0</v>
      </c>
      <c r="AI58" s="1732"/>
      <c r="AJ58" s="6"/>
      <c r="AK58" s="6"/>
      <c r="AL58" s="6"/>
      <c r="AM58" s="6"/>
      <c r="AN58" s="6"/>
    </row>
    <row r="59" ht="15" customHeight="1">
      <c r="A59" s="1732"/>
      <c r="B59" s="613" t="s">
        <v>1406</v>
      </c>
      <c r="C59" s="1661"/>
      <c r="D59" s="1641">
        <f>ROUND('Summary OPS'!AU$17*(1+D51),0)</f>
        <v>0</v>
      </c>
      <c r="E59" s="1641">
        <f t="shared" si="9"/>
        <v>0</v>
      </c>
      <c r="F59" s="1641">
        <f t="shared" si="9"/>
        <v>0</v>
      </c>
      <c r="G59" s="1641">
        <f t="shared" si="9"/>
        <v>0</v>
      </c>
      <c r="H59" s="1641">
        <f t="shared" si="9"/>
        <v>0</v>
      </c>
      <c r="I59" s="1641">
        <f t="shared" si="9"/>
        <v>0</v>
      </c>
      <c r="J59" s="1641">
        <f t="shared" si="9"/>
        <v>0</v>
      </c>
      <c r="K59" s="1641">
        <f t="shared" si="9"/>
        <v>0</v>
      </c>
      <c r="L59" s="1641">
        <f t="shared" si="9"/>
        <v>0</v>
      </c>
      <c r="M59" s="1641">
        <f t="shared" si="9"/>
        <v>0</v>
      </c>
      <c r="N59" s="1641">
        <f t="shared" si="9"/>
        <v>0</v>
      </c>
      <c r="O59" s="1641">
        <f t="shared" si="9"/>
        <v>0</v>
      </c>
      <c r="P59" s="1641">
        <f t="shared" si="9"/>
        <v>0</v>
      </c>
      <c r="Q59" s="1641">
        <f t="shared" si="9"/>
        <v>0</v>
      </c>
      <c r="R59" s="1641">
        <f t="shared" si="9"/>
        <v>0</v>
      </c>
      <c r="S59" s="1641">
        <f t="shared" si="9"/>
        <v>0</v>
      </c>
      <c r="T59" s="1641">
        <f t="shared" si="9"/>
        <v>0</v>
      </c>
      <c r="U59" s="1641">
        <f t="shared" si="9"/>
        <v>0</v>
      </c>
      <c r="V59" s="1641">
        <f t="shared" si="9"/>
        <v>0</v>
      </c>
      <c r="W59" s="1641">
        <f t="shared" si="9"/>
        <v>0</v>
      </c>
      <c r="X59" s="1641">
        <f t="shared" si="9"/>
        <v>0</v>
      </c>
      <c r="Y59" s="1641">
        <f t="shared" si="9"/>
        <v>0</v>
      </c>
      <c r="Z59" s="1641">
        <f t="shared" si="9"/>
        <v>0</v>
      </c>
      <c r="AA59" s="1641">
        <f t="shared" si="9"/>
        <v>0</v>
      </c>
      <c r="AB59" s="1641">
        <f t="shared" si="9"/>
        <v>0</v>
      </c>
      <c r="AC59" s="1641">
        <f t="shared" si="9"/>
        <v>0</v>
      </c>
      <c r="AD59" s="1641">
        <f t="shared" si="9"/>
        <v>0</v>
      </c>
      <c r="AE59" s="1641">
        <f t="shared" si="9"/>
        <v>0</v>
      </c>
      <c r="AF59" s="1641">
        <f t="shared" si="9"/>
        <v>0</v>
      </c>
      <c r="AG59" s="1641">
        <f t="shared" si="9"/>
        <v>0</v>
      </c>
      <c r="AH59" s="1641">
        <f t="shared" si="9"/>
        <v>0</v>
      </c>
      <c r="AI59" s="1732"/>
      <c r="AJ59" s="6"/>
      <c r="AK59" s="6"/>
      <c r="AL59" s="6"/>
      <c r="AM59" s="6"/>
      <c r="AN59" s="6"/>
    </row>
    <row r="60" ht="15.75" customHeight="1">
      <c r="A60" s="1732"/>
      <c r="B60" s="1650" t="s">
        <v>1407</v>
      </c>
      <c r="C60" s="1669"/>
      <c r="D60" s="1670">
        <f>ROUND(SUM('Summary OPS'!AU$19:AU$25)*(1+D51),0)</f>
        <v>-250657</v>
      </c>
      <c r="E60" s="1641">
        <f t="shared" si="10"/>
        <v>-255670</v>
      </c>
      <c r="F60" s="1641">
        <f t="shared" si="10"/>
        <v>-260783</v>
      </c>
      <c r="G60" s="1641">
        <f t="shared" si="10"/>
        <v>-265999</v>
      </c>
      <c r="H60" s="1641">
        <f t="shared" si="10"/>
        <v>-271319</v>
      </c>
      <c r="I60" s="1641">
        <f t="shared" si="10"/>
        <v>-276745</v>
      </c>
      <c r="J60" s="1641">
        <f t="shared" si="10"/>
        <v>-282280</v>
      </c>
      <c r="K60" s="1641">
        <f t="shared" si="10"/>
        <v>-287926</v>
      </c>
      <c r="L60" s="1641">
        <f t="shared" si="10"/>
        <v>-293685</v>
      </c>
      <c r="M60" s="1641">
        <f t="shared" si="10"/>
        <v>-299559</v>
      </c>
      <c r="N60" s="1641">
        <f t="shared" si="10"/>
        <v>-305550</v>
      </c>
      <c r="O60" s="1641">
        <f t="shared" si="10"/>
        <v>-311661</v>
      </c>
      <c r="P60" s="1641">
        <f t="shared" si="10"/>
        <v>-317894</v>
      </c>
      <c r="Q60" s="1641">
        <f t="shared" si="10"/>
        <v>-324252</v>
      </c>
      <c r="R60" s="1641">
        <f t="shared" si="10"/>
        <v>-330737</v>
      </c>
      <c r="S60" s="1641">
        <f t="shared" si="10"/>
        <v>-337352</v>
      </c>
      <c r="T60" s="1641">
        <f t="shared" si="10"/>
        <v>-344099</v>
      </c>
      <c r="U60" s="1641">
        <f t="shared" si="10"/>
        <v>-350981</v>
      </c>
      <c r="V60" s="1641">
        <f t="shared" si="10"/>
        <v>-358001</v>
      </c>
      <c r="W60" s="1641">
        <f t="shared" si="10"/>
        <v>-365161</v>
      </c>
      <c r="X60" s="1641">
        <f t="shared" si="10"/>
        <v>-372464</v>
      </c>
      <c r="Y60" s="1641">
        <f t="shared" si="10"/>
        <v>-379913</v>
      </c>
      <c r="Z60" s="1641">
        <f t="shared" si="10"/>
        <v>-387511</v>
      </c>
      <c r="AA60" s="1641">
        <f t="shared" si="10"/>
        <v>-395261</v>
      </c>
      <c r="AB60" s="1641">
        <f t="shared" si="10"/>
        <v>-403166</v>
      </c>
      <c r="AC60" s="1641">
        <f t="shared" si="10"/>
        <v>-411229</v>
      </c>
      <c r="AD60" s="1641">
        <f t="shared" si="10"/>
        <v>-419454</v>
      </c>
      <c r="AE60" s="1641">
        <f t="shared" si="10"/>
        <v>-427843</v>
      </c>
      <c r="AF60" s="1641">
        <f t="shared" si="10"/>
        <v>-436400</v>
      </c>
      <c r="AG60" s="1641">
        <f t="shared" si="10"/>
        <v>-445128</v>
      </c>
      <c r="AH60" s="1641">
        <f t="shared" si="10"/>
        <v>-454031</v>
      </c>
      <c r="AI60" s="1732"/>
      <c r="AJ60" s="6"/>
      <c r="AK60" s="6"/>
      <c r="AL60" s="6"/>
      <c r="AM60" s="6"/>
      <c r="AN60" s="6"/>
    </row>
    <row r="61" ht="15.75" customHeight="1">
      <c r="A61" s="1732"/>
      <c r="B61" s="1632" t="s">
        <v>1409</v>
      </c>
      <c r="C61" s="1633"/>
      <c r="D61" s="1672">
        <f t="shared" si="36" ref="D61:AH61">SUM(D56,D57:D60)</f>
        <v>1132036</v>
      </c>
      <c r="E61" s="1672">
        <f t="shared" si="36"/>
        <v>1154676</v>
      </c>
      <c r="F61" s="1672">
        <f t="shared" si="36"/>
        <v>1177770</v>
      </c>
      <c r="G61" s="1672">
        <f t="shared" si="36"/>
        <v>1201324</v>
      </c>
      <c r="H61" s="1672">
        <f t="shared" si="36"/>
        <v>1225351</v>
      </c>
      <c r="I61" s="1672">
        <f t="shared" si="36"/>
        <v>1249859</v>
      </c>
      <c r="J61" s="1672">
        <f t="shared" si="36"/>
        <v>1274857</v>
      </c>
      <c r="K61" s="1672">
        <f t="shared" si="36"/>
        <v>1300353</v>
      </c>
      <c r="L61" s="1672">
        <f t="shared" si="36"/>
        <v>1326359</v>
      </c>
      <c r="M61" s="1672">
        <f t="shared" si="36"/>
        <v>1352886</v>
      </c>
      <c r="N61" s="1672">
        <f t="shared" si="36"/>
        <v>1379945</v>
      </c>
      <c r="O61" s="1672">
        <f t="shared" si="36"/>
        <v>1407543</v>
      </c>
      <c r="P61" s="1672">
        <f t="shared" si="36"/>
        <v>1435694</v>
      </c>
      <c r="Q61" s="1672">
        <f t="shared" si="36"/>
        <v>1464407</v>
      </c>
      <c r="R61" s="1672">
        <f t="shared" si="36"/>
        <v>1493695</v>
      </c>
      <c r="S61" s="1672">
        <f t="shared" si="36"/>
        <v>1523569</v>
      </c>
      <c r="T61" s="1672">
        <f t="shared" si="36"/>
        <v>1554039</v>
      </c>
      <c r="U61" s="1672">
        <f t="shared" si="36"/>
        <v>1585122</v>
      </c>
      <c r="V61" s="1672">
        <f t="shared" si="36"/>
        <v>1616824</v>
      </c>
      <c r="W61" s="1672">
        <f t="shared" si="36"/>
        <v>1649160</v>
      </c>
      <c r="X61" s="1672">
        <f t="shared" si="36"/>
        <v>1682143</v>
      </c>
      <c r="Y61" s="1672">
        <f t="shared" si="36"/>
        <v>1715786</v>
      </c>
      <c r="Z61" s="1672">
        <f t="shared" si="36"/>
        <v>1750102</v>
      </c>
      <c r="AA61" s="1672">
        <f t="shared" si="36"/>
        <v>1785103</v>
      </c>
      <c r="AB61" s="1672">
        <f t="shared" si="36"/>
        <v>1820805</v>
      </c>
      <c r="AC61" s="1672">
        <f t="shared" si="36"/>
        <v>1857222</v>
      </c>
      <c r="AD61" s="1672">
        <f t="shared" si="36"/>
        <v>1894366</v>
      </c>
      <c r="AE61" s="1672">
        <f t="shared" si="36"/>
        <v>1932254</v>
      </c>
      <c r="AF61" s="1672">
        <f t="shared" si="36"/>
        <v>1970899</v>
      </c>
      <c r="AG61" s="1672">
        <f t="shared" si="36"/>
        <v>2010317</v>
      </c>
      <c r="AH61" s="1672">
        <f t="shared" si="36"/>
        <v>2050524</v>
      </c>
      <c r="AI61" s="1732"/>
      <c r="AJ61" s="6"/>
      <c r="AK61" s="6"/>
      <c r="AL61" s="6"/>
      <c r="AM61" s="6"/>
      <c r="AN61" s="6"/>
    </row>
    <row r="62" ht="15.75" customHeight="1">
      <c r="A62" s="1732"/>
      <c r="B62" s="1632" t="s">
        <v>1410</v>
      </c>
      <c r="C62" s="1633" t="s">
        <v>1411</v>
      </c>
      <c r="D62" s="1742"/>
      <c r="E62" s="1636">
        <v>0.03</v>
      </c>
      <c r="F62" s="1636">
        <f t="shared" si="27"/>
        <v>0.03</v>
      </c>
      <c r="G62" s="1636">
        <f t="shared" si="27"/>
        <v>0.03</v>
      </c>
      <c r="H62" s="1636">
        <f t="shared" si="27"/>
        <v>0.03</v>
      </c>
      <c r="I62" s="1636">
        <f t="shared" si="27"/>
        <v>0.03</v>
      </c>
      <c r="J62" s="1636">
        <f t="shared" si="27"/>
        <v>0.03</v>
      </c>
      <c r="K62" s="1636">
        <f t="shared" si="27"/>
        <v>0.03</v>
      </c>
      <c r="L62" s="1636">
        <f t="shared" si="27"/>
        <v>0.03</v>
      </c>
      <c r="M62" s="1636">
        <f t="shared" si="27"/>
        <v>0.03</v>
      </c>
      <c r="N62" s="1636">
        <f t="shared" si="27"/>
        <v>0.03</v>
      </c>
      <c r="O62" s="1636">
        <f t="shared" si="27"/>
        <v>0.03</v>
      </c>
      <c r="P62" s="1636">
        <f t="shared" si="27"/>
        <v>0.03</v>
      </c>
      <c r="Q62" s="1636">
        <f t="shared" si="27"/>
        <v>0.03</v>
      </c>
      <c r="R62" s="1636">
        <f t="shared" si="27"/>
        <v>0.03</v>
      </c>
      <c r="S62" s="1636">
        <f t="shared" si="27"/>
        <v>0.03</v>
      </c>
      <c r="T62" s="1636">
        <f t="shared" si="27"/>
        <v>0.03</v>
      </c>
      <c r="U62" s="1636">
        <f t="shared" si="27"/>
        <v>0.03</v>
      </c>
      <c r="V62" s="1636">
        <f t="shared" si="27"/>
        <v>0.03</v>
      </c>
      <c r="W62" s="1636">
        <f t="shared" si="27"/>
        <v>0.03</v>
      </c>
      <c r="X62" s="1636">
        <f t="shared" si="27"/>
        <v>0.03</v>
      </c>
      <c r="Y62" s="1636">
        <f t="shared" si="27"/>
        <v>0.03</v>
      </c>
      <c r="Z62" s="1636">
        <f t="shared" si="27"/>
        <v>0.03</v>
      </c>
      <c r="AA62" s="1636">
        <f t="shared" si="27"/>
        <v>0.03</v>
      </c>
      <c r="AB62" s="1636">
        <f t="shared" si="27"/>
        <v>0.03</v>
      </c>
      <c r="AC62" s="1636">
        <f t="shared" si="27"/>
        <v>0.03</v>
      </c>
      <c r="AD62" s="1636">
        <f t="shared" si="27"/>
        <v>0.03</v>
      </c>
      <c r="AE62" s="1636">
        <f t="shared" si="27"/>
        <v>0.03</v>
      </c>
      <c r="AF62" s="1636">
        <f t="shared" si="27"/>
        <v>0.03</v>
      </c>
      <c r="AG62" s="1636">
        <f t="shared" si="27"/>
        <v>0.03</v>
      </c>
      <c r="AH62" s="1636">
        <f t="shared" si="27"/>
        <v>0.03</v>
      </c>
      <c r="AI62" s="1732"/>
      <c r="AJ62" s="6"/>
      <c r="AK62" s="6"/>
      <c r="AL62" s="6"/>
      <c r="AM62" s="6"/>
      <c r="AN62" s="6"/>
    </row>
    <row r="63" ht="15" customHeight="1">
      <c r="A63" s="1732"/>
      <c r="B63" s="613" t="s">
        <v>1412</v>
      </c>
      <c r="C63" s="1237">
        <f t="shared" si="37"/>
        <v>0.035</v>
      </c>
      <c r="D63" s="1641">
        <f>'Summary OPS'!AU$35</f>
        <v>38844.33</v>
      </c>
      <c r="E63" s="1641">
        <f t="shared" si="14"/>
        <v>40414</v>
      </c>
      <c r="F63" s="1641">
        <f t="shared" si="14"/>
        <v>41222</v>
      </c>
      <c r="G63" s="1641">
        <f t="shared" si="14"/>
        <v>42046</v>
      </c>
      <c r="H63" s="1641">
        <f t="shared" si="14"/>
        <v>42887</v>
      </c>
      <c r="I63" s="1641">
        <f t="shared" si="14"/>
        <v>43745</v>
      </c>
      <c r="J63" s="1641">
        <f t="shared" si="14"/>
        <v>44620</v>
      </c>
      <c r="K63" s="1641">
        <f t="shared" si="14"/>
        <v>45512</v>
      </c>
      <c r="L63" s="1641">
        <f t="shared" si="14"/>
        <v>46423</v>
      </c>
      <c r="M63" s="1641">
        <f t="shared" si="14"/>
        <v>47351</v>
      </c>
      <c r="N63" s="1641">
        <f t="shared" si="14"/>
        <v>48298</v>
      </c>
      <c r="O63" s="1641">
        <f t="shared" si="14"/>
        <v>49264</v>
      </c>
      <c r="P63" s="1641">
        <f t="shared" si="14"/>
        <v>50249</v>
      </c>
      <c r="Q63" s="1641">
        <f t="shared" si="14"/>
        <v>51254</v>
      </c>
      <c r="R63" s="1641">
        <f t="shared" si="14"/>
        <v>52279</v>
      </c>
      <c r="S63" s="1641">
        <f t="shared" si="14"/>
        <v>53325</v>
      </c>
      <c r="T63" s="1641">
        <f t="shared" si="14"/>
        <v>54391</v>
      </c>
      <c r="U63" s="1641">
        <f t="shared" si="14"/>
        <v>55479</v>
      </c>
      <c r="V63" s="1641">
        <f t="shared" si="14"/>
        <v>56589</v>
      </c>
      <c r="W63" s="1641">
        <f t="shared" si="14"/>
        <v>57721</v>
      </c>
      <c r="X63" s="1641">
        <f t="shared" si="14"/>
        <v>58875</v>
      </c>
      <c r="Y63" s="1641">
        <f t="shared" si="14"/>
        <v>60053</v>
      </c>
      <c r="Z63" s="1641">
        <f t="shared" si="14"/>
        <v>61254</v>
      </c>
      <c r="AA63" s="1641">
        <f t="shared" si="14"/>
        <v>62479</v>
      </c>
      <c r="AB63" s="1641">
        <f t="shared" si="14"/>
        <v>63728</v>
      </c>
      <c r="AC63" s="1641">
        <f t="shared" si="14"/>
        <v>65003</v>
      </c>
      <c r="AD63" s="1641">
        <f t="shared" si="14"/>
        <v>66303</v>
      </c>
      <c r="AE63" s="1641">
        <f t="shared" si="14"/>
        <v>67629</v>
      </c>
      <c r="AF63" s="1641">
        <f t="shared" si="14"/>
        <v>68981</v>
      </c>
      <c r="AG63" s="1641">
        <f t="shared" si="14"/>
        <v>70361</v>
      </c>
      <c r="AH63" s="1641">
        <f t="shared" si="14"/>
        <v>71768</v>
      </c>
      <c r="AI63" s="1732"/>
      <c r="AJ63" s="6"/>
      <c r="AK63" s="6"/>
      <c r="AL63" s="6"/>
      <c r="AM63" s="6"/>
      <c r="AN63" s="6"/>
    </row>
    <row r="64" ht="15" customHeight="1">
      <c r="A64" s="1732"/>
      <c r="B64" s="613" t="s">
        <v>1414</v>
      </c>
      <c r="C64" s="1237"/>
      <c r="D64" s="1641">
        <f>'Summary OPS'!AU$36+'Summary OPS'!AU$37+'Summary OPS'!AU$38+'Summary OPS'!AU$39+'Summary OPS'!AU$40+'Summary OPS'!AU$47+'Summary OPS'!AU$48</f>
        <v>294976.55</v>
      </c>
      <c r="E64" s="1641">
        <f t="shared" si="15"/>
        <v>303826</v>
      </c>
      <c r="F64" s="1641">
        <f t="shared" si="15"/>
        <v>312941</v>
      </c>
      <c r="G64" s="1641">
        <f t="shared" si="15"/>
        <v>322329</v>
      </c>
      <c r="H64" s="1641">
        <f t="shared" si="15"/>
        <v>331999</v>
      </c>
      <c r="I64" s="1641">
        <f t="shared" si="15"/>
        <v>341959</v>
      </c>
      <c r="J64" s="1641">
        <f t="shared" si="15"/>
        <v>352218</v>
      </c>
      <c r="K64" s="1641">
        <f t="shared" si="15"/>
        <v>362785</v>
      </c>
      <c r="L64" s="1641">
        <f t="shared" si="15"/>
        <v>373669</v>
      </c>
      <c r="M64" s="1641">
        <f t="shared" si="15"/>
        <v>384879</v>
      </c>
      <c r="N64" s="1641">
        <f t="shared" si="15"/>
        <v>396425</v>
      </c>
      <c r="O64" s="1641">
        <f t="shared" si="15"/>
        <v>408318</v>
      </c>
      <c r="P64" s="1641">
        <f t="shared" si="15"/>
        <v>420568</v>
      </c>
      <c r="Q64" s="1641">
        <f t="shared" si="15"/>
        <v>433185</v>
      </c>
      <c r="R64" s="1641">
        <f t="shared" si="15"/>
        <v>446181</v>
      </c>
      <c r="S64" s="1641">
        <f t="shared" si="15"/>
        <v>459566</v>
      </c>
      <c r="T64" s="1641">
        <f t="shared" si="15"/>
        <v>473353</v>
      </c>
      <c r="U64" s="1641">
        <f t="shared" si="15"/>
        <v>487554</v>
      </c>
      <c r="V64" s="1641">
        <f t="shared" si="15"/>
        <v>502181</v>
      </c>
      <c r="W64" s="1641">
        <f t="shared" si="15"/>
        <v>517246</v>
      </c>
      <c r="X64" s="1641">
        <f t="shared" si="15"/>
        <v>532763</v>
      </c>
      <c r="Y64" s="1641">
        <f t="shared" si="15"/>
        <v>548746</v>
      </c>
      <c r="Z64" s="1641">
        <f t="shared" si="15"/>
        <v>565208</v>
      </c>
      <c r="AA64" s="1641">
        <f t="shared" si="15"/>
        <v>582164</v>
      </c>
      <c r="AB64" s="1641">
        <f t="shared" si="15"/>
        <v>599629</v>
      </c>
      <c r="AC64" s="1641">
        <f t="shared" si="15"/>
        <v>617618</v>
      </c>
      <c r="AD64" s="1641">
        <f t="shared" si="15"/>
        <v>636147</v>
      </c>
      <c r="AE64" s="1641">
        <f t="shared" si="15"/>
        <v>655231</v>
      </c>
      <c r="AF64" s="1641">
        <f t="shared" si="15"/>
        <v>674888</v>
      </c>
      <c r="AG64" s="1641">
        <f t="shared" si="15"/>
        <v>695135</v>
      </c>
      <c r="AH64" s="1641">
        <f t="shared" si="15"/>
        <v>715989</v>
      </c>
      <c r="AI64" s="1732"/>
      <c r="AJ64" s="6"/>
      <c r="AK64" s="6"/>
      <c r="AL64" s="6"/>
      <c r="AM64" s="6"/>
      <c r="AN64" s="6"/>
    </row>
    <row r="65" ht="15" customHeight="1">
      <c r="A65" s="1732"/>
      <c r="B65" s="613" t="s">
        <v>1416</v>
      </c>
      <c r="C65" s="1237"/>
      <c r="D65" s="1641">
        <f>'Summary OPS'!AU$41</f>
        <v>492493.47</v>
      </c>
      <c r="E65" s="1641">
        <f t="shared" si="16"/>
        <v>507268</v>
      </c>
      <c r="F65" s="1641">
        <f t="shared" si="16"/>
        <v>522486</v>
      </c>
      <c r="G65" s="1641">
        <f t="shared" si="16"/>
        <v>538161</v>
      </c>
      <c r="H65" s="1641">
        <f t="shared" si="16"/>
        <v>554306</v>
      </c>
      <c r="I65" s="1641">
        <f t="shared" si="16"/>
        <v>570935</v>
      </c>
      <c r="J65" s="1641">
        <f t="shared" si="16"/>
        <v>588063</v>
      </c>
      <c r="K65" s="1641">
        <f t="shared" si="16"/>
        <v>605705</v>
      </c>
      <c r="L65" s="1641">
        <f t="shared" si="16"/>
        <v>623876</v>
      </c>
      <c r="M65" s="1641">
        <f t="shared" si="16"/>
        <v>642592</v>
      </c>
      <c r="N65" s="1641">
        <f t="shared" si="16"/>
        <v>661870</v>
      </c>
      <c r="O65" s="1641">
        <f t="shared" si="16"/>
        <v>681726</v>
      </c>
      <c r="P65" s="1641">
        <f t="shared" si="16"/>
        <v>702178</v>
      </c>
      <c r="Q65" s="1641">
        <f t="shared" si="16"/>
        <v>723243</v>
      </c>
      <c r="R65" s="1641">
        <f t="shared" si="16"/>
        <v>744940</v>
      </c>
      <c r="S65" s="1641">
        <f t="shared" si="16"/>
        <v>767288</v>
      </c>
      <c r="T65" s="1641">
        <f t="shared" si="16"/>
        <v>790307</v>
      </c>
      <c r="U65" s="1641">
        <f t="shared" si="16"/>
        <v>814016</v>
      </c>
      <c r="V65" s="1641">
        <f t="shared" si="16"/>
        <v>838436</v>
      </c>
      <c r="W65" s="1641">
        <f t="shared" si="16"/>
        <v>863589</v>
      </c>
      <c r="X65" s="1641">
        <f t="shared" si="16"/>
        <v>889497</v>
      </c>
      <c r="Y65" s="1641">
        <f t="shared" si="16"/>
        <v>916182</v>
      </c>
      <c r="Z65" s="1641">
        <f t="shared" si="16"/>
        <v>943667</v>
      </c>
      <c r="AA65" s="1641">
        <f t="shared" si="16"/>
        <v>971977</v>
      </c>
      <c r="AB65" s="1641">
        <f t="shared" si="16"/>
        <v>1001136</v>
      </c>
      <c r="AC65" s="1641">
        <f t="shared" si="16"/>
        <v>1031170</v>
      </c>
      <c r="AD65" s="1641">
        <f t="shared" si="16"/>
        <v>1062105</v>
      </c>
      <c r="AE65" s="1641">
        <f t="shared" si="16"/>
        <v>1093968</v>
      </c>
      <c r="AF65" s="1641">
        <f t="shared" si="16"/>
        <v>1126787</v>
      </c>
      <c r="AG65" s="1641">
        <f t="shared" si="16"/>
        <v>1160591</v>
      </c>
      <c r="AH65" s="1641">
        <f t="shared" si="16"/>
        <v>1195409</v>
      </c>
      <c r="AI65" s="1732"/>
      <c r="AJ65" s="6"/>
      <c r="AK65" s="6"/>
      <c r="AL65" s="6"/>
      <c r="AM65" s="6"/>
      <c r="AN65" s="6"/>
    </row>
    <row r="66" ht="15" customHeight="1">
      <c r="A66" s="1732"/>
      <c r="B66" s="613" t="s">
        <v>1417</v>
      </c>
      <c r="C66" s="1237"/>
      <c r="D66" s="1641">
        <f>'Summary OPS'!AU$42</f>
        <v>183091.77</v>
      </c>
      <c r="E66" s="1641">
        <f t="shared" si="18"/>
        <v>188585</v>
      </c>
      <c r="F66" s="1641">
        <f t="shared" si="18"/>
        <v>194243</v>
      </c>
      <c r="G66" s="1641">
        <f t="shared" si="18"/>
        <v>200070</v>
      </c>
      <c r="H66" s="1641">
        <f t="shared" si="18"/>
        <v>206072</v>
      </c>
      <c r="I66" s="1641">
        <f t="shared" si="18"/>
        <v>212254</v>
      </c>
      <c r="J66" s="1641">
        <f t="shared" si="18"/>
        <v>218622</v>
      </c>
      <c r="K66" s="1641">
        <f t="shared" si="18"/>
        <v>225181</v>
      </c>
      <c r="L66" s="1641">
        <f t="shared" si="18"/>
        <v>231936</v>
      </c>
      <c r="M66" s="1641">
        <f t="shared" si="18"/>
        <v>238894</v>
      </c>
      <c r="N66" s="1641">
        <f t="shared" si="18"/>
        <v>246061</v>
      </c>
      <c r="O66" s="1641">
        <f t="shared" si="18"/>
        <v>253443</v>
      </c>
      <c r="P66" s="1641">
        <f t="shared" si="18"/>
        <v>261046</v>
      </c>
      <c r="Q66" s="1641">
        <f t="shared" si="18"/>
        <v>268877</v>
      </c>
      <c r="R66" s="1641">
        <f t="shared" si="18"/>
        <v>276943</v>
      </c>
      <c r="S66" s="1641">
        <f t="shared" si="18"/>
        <v>285251</v>
      </c>
      <c r="T66" s="1641">
        <f t="shared" si="18"/>
        <v>293809</v>
      </c>
      <c r="U66" s="1641">
        <f t="shared" si="18"/>
        <v>302623</v>
      </c>
      <c r="V66" s="1641">
        <f t="shared" si="18"/>
        <v>311702</v>
      </c>
      <c r="W66" s="1641">
        <f t="shared" si="18"/>
        <v>321053</v>
      </c>
      <c r="X66" s="1641">
        <f t="shared" si="18"/>
        <v>330685</v>
      </c>
      <c r="Y66" s="1641">
        <f t="shared" si="18"/>
        <v>340606</v>
      </c>
      <c r="Z66" s="1641">
        <f t="shared" si="18"/>
        <v>350824</v>
      </c>
      <c r="AA66" s="1641">
        <f t="shared" si="18"/>
        <v>361349</v>
      </c>
      <c r="AB66" s="1641">
        <f t="shared" si="18"/>
        <v>372189</v>
      </c>
      <c r="AC66" s="1641">
        <f t="shared" si="18"/>
        <v>383355</v>
      </c>
      <c r="AD66" s="1641">
        <f t="shared" si="18"/>
        <v>394856</v>
      </c>
      <c r="AE66" s="1641">
        <f t="shared" si="18"/>
        <v>406702</v>
      </c>
      <c r="AF66" s="1641">
        <f t="shared" si="18"/>
        <v>418903</v>
      </c>
      <c r="AG66" s="1641">
        <f t="shared" si="18"/>
        <v>431470</v>
      </c>
      <c r="AH66" s="1641">
        <f t="shared" si="18"/>
        <v>444414</v>
      </c>
      <c r="AI66" s="1732"/>
      <c r="AJ66" s="6"/>
      <c r="AK66" s="6"/>
      <c r="AL66" s="6"/>
      <c r="AM66" s="6"/>
      <c r="AN66" s="6"/>
    </row>
    <row r="67" ht="15" customHeight="1">
      <c r="A67" s="1732"/>
      <c r="B67" s="613" t="s">
        <v>1419</v>
      </c>
      <c r="C67" s="1237"/>
      <c r="D67" s="1641">
        <f>'Summary OPS'!AU43</f>
        <v>117599.22</v>
      </c>
      <c r="E67" s="1641">
        <f t="shared" si="19"/>
        <v>121127</v>
      </c>
      <c r="F67" s="1641">
        <f t="shared" si="19"/>
        <v>124761</v>
      </c>
      <c r="G67" s="1641">
        <f t="shared" si="19"/>
        <v>128504</v>
      </c>
      <c r="H67" s="1641">
        <f t="shared" si="19"/>
        <v>132359</v>
      </c>
      <c r="I67" s="1641">
        <f t="shared" si="19"/>
        <v>136330</v>
      </c>
      <c r="J67" s="1641">
        <f t="shared" si="19"/>
        <v>140420</v>
      </c>
      <c r="K67" s="1641">
        <f t="shared" si="19"/>
        <v>144633</v>
      </c>
      <c r="L67" s="1641">
        <f t="shared" si="19"/>
        <v>148972</v>
      </c>
      <c r="M67" s="1641">
        <f t="shared" si="19"/>
        <v>153441</v>
      </c>
      <c r="N67" s="1641">
        <f t="shared" si="19"/>
        <v>158044</v>
      </c>
      <c r="O67" s="1641">
        <f t="shared" si="19"/>
        <v>162785</v>
      </c>
      <c r="P67" s="1641">
        <f t="shared" si="19"/>
        <v>167669</v>
      </c>
      <c r="Q67" s="1641">
        <f t="shared" si="19"/>
        <v>172699</v>
      </c>
      <c r="R67" s="1641">
        <f t="shared" si="19"/>
        <v>177880</v>
      </c>
      <c r="S67" s="1641">
        <f t="shared" si="19"/>
        <v>183216</v>
      </c>
      <c r="T67" s="1641">
        <f t="shared" si="19"/>
        <v>188712</v>
      </c>
      <c r="U67" s="1641">
        <f t="shared" si="19"/>
        <v>194373</v>
      </c>
      <c r="V67" s="1641">
        <f t="shared" si="19"/>
        <v>200204</v>
      </c>
      <c r="W67" s="1641">
        <f t="shared" si="19"/>
        <v>206210</v>
      </c>
      <c r="X67" s="1641">
        <f t="shared" si="19"/>
        <v>212396</v>
      </c>
      <c r="Y67" s="1641">
        <f t="shared" si="19"/>
        <v>218768</v>
      </c>
      <c r="Z67" s="1641">
        <f t="shared" si="19"/>
        <v>225331</v>
      </c>
      <c r="AA67" s="1641">
        <f t="shared" si="19"/>
        <v>232091</v>
      </c>
      <c r="AB67" s="1641">
        <f t="shared" si="19"/>
        <v>239054</v>
      </c>
      <c r="AC67" s="1641">
        <f t="shared" si="19"/>
        <v>246226</v>
      </c>
      <c r="AD67" s="1641">
        <f t="shared" si="19"/>
        <v>253613</v>
      </c>
      <c r="AE67" s="1641">
        <f t="shared" si="19"/>
        <v>261221</v>
      </c>
      <c r="AF67" s="1641">
        <f t="shared" si="19"/>
        <v>269058</v>
      </c>
      <c r="AG67" s="1641">
        <f t="shared" si="19"/>
        <v>277130</v>
      </c>
      <c r="AH67" s="1641">
        <f t="shared" si="19"/>
        <v>285444</v>
      </c>
      <c r="AI67" s="1732"/>
      <c r="AJ67" s="6"/>
      <c r="AK67" s="6"/>
      <c r="AL67" s="6"/>
      <c r="AM67" s="6"/>
      <c r="AN67" s="6"/>
    </row>
    <row r="68" ht="15.75" customHeight="1">
      <c r="A68" s="1732"/>
      <c r="B68" s="613" t="s">
        <v>1421</v>
      </c>
      <c r="C68" s="1237"/>
      <c r="D68" s="1641">
        <f>'Summary OPS'!AU$44</f>
        <v>395766.17</v>
      </c>
      <c r="E68" s="1641">
        <f t="shared" si="7"/>
        <v>407639</v>
      </c>
      <c r="F68" s="1641">
        <f t="shared" si="7"/>
        <v>419868</v>
      </c>
      <c r="G68" s="1641">
        <f t="shared" si="7"/>
        <v>432464</v>
      </c>
      <c r="H68" s="1641">
        <f t="shared" si="7"/>
        <v>445438</v>
      </c>
      <c r="I68" s="1641">
        <f t="shared" si="7"/>
        <v>458801</v>
      </c>
      <c r="J68" s="1641">
        <f t="shared" si="7"/>
        <v>472565</v>
      </c>
      <c r="K68" s="1641">
        <f t="shared" si="7"/>
        <v>486742</v>
      </c>
      <c r="L68" s="1641">
        <f t="shared" si="7"/>
        <v>501344</v>
      </c>
      <c r="M68" s="1641">
        <f t="shared" si="7"/>
        <v>516384</v>
      </c>
      <c r="N68" s="1641">
        <f t="shared" si="7"/>
        <v>531876</v>
      </c>
      <c r="O68" s="1641">
        <f t="shared" si="7"/>
        <v>547832</v>
      </c>
      <c r="P68" s="1641">
        <f t="shared" si="7"/>
        <v>564267</v>
      </c>
      <c r="Q68" s="1641">
        <f t="shared" si="7"/>
        <v>581195</v>
      </c>
      <c r="R68" s="1641">
        <f t="shared" si="7"/>
        <v>598631</v>
      </c>
      <c r="S68" s="1641">
        <f t="shared" si="7"/>
        <v>616590</v>
      </c>
      <c r="T68" s="1641">
        <f t="shared" si="7"/>
        <v>635088</v>
      </c>
      <c r="U68" s="1641">
        <f t="shared" si="7"/>
        <v>654141</v>
      </c>
      <c r="V68" s="1641">
        <f t="shared" si="7"/>
        <v>673765</v>
      </c>
      <c r="W68" s="1641">
        <f t="shared" si="7"/>
        <v>693978</v>
      </c>
      <c r="X68" s="1641">
        <f t="shared" si="7"/>
        <v>714797</v>
      </c>
      <c r="Y68" s="1641">
        <f t="shared" si="7"/>
        <v>736241</v>
      </c>
      <c r="Z68" s="1641">
        <f t="shared" si="7"/>
        <v>758328</v>
      </c>
      <c r="AA68" s="1641">
        <f t="shared" si="7"/>
        <v>781078</v>
      </c>
      <c r="AB68" s="1641">
        <f t="shared" si="7"/>
        <v>804510</v>
      </c>
      <c r="AC68" s="1641">
        <f t="shared" si="7"/>
        <v>828645</v>
      </c>
      <c r="AD68" s="1641">
        <f t="shared" si="7"/>
        <v>853504</v>
      </c>
      <c r="AE68" s="1641">
        <f t="shared" si="7"/>
        <v>879109</v>
      </c>
      <c r="AF68" s="1641">
        <f t="shared" si="7"/>
        <v>905482</v>
      </c>
      <c r="AG68" s="1641">
        <f t="shared" si="7"/>
        <v>932646</v>
      </c>
      <c r="AH68" s="1641">
        <f t="shared" si="7"/>
        <v>960625</v>
      </c>
      <c r="AI68" s="1732"/>
      <c r="AJ68" s="6"/>
      <c r="AK68" s="1615"/>
      <c r="AL68" s="1615"/>
      <c r="AM68" s="1615"/>
      <c r="AN68" s="1615"/>
    </row>
    <row r="69" ht="15" customHeight="1">
      <c r="A69" s="1732"/>
      <c r="B69" s="613" t="s">
        <v>1151</v>
      </c>
      <c r="C69" s="1237"/>
      <c r="D69" s="1641">
        <f>'Summary OPS'!AU$45</f>
        <v>250385.79</v>
      </c>
      <c r="E69" s="1641">
        <f t="shared" si="8"/>
        <v>257897</v>
      </c>
      <c r="F69" s="1641">
        <f t="shared" si="8"/>
        <v>265634</v>
      </c>
      <c r="G69" s="1641">
        <f t="shared" si="8"/>
        <v>273603</v>
      </c>
      <c r="H69" s="1641">
        <f t="shared" si="8"/>
        <v>281811</v>
      </c>
      <c r="I69" s="1641">
        <f t="shared" si="8"/>
        <v>290265</v>
      </c>
      <c r="J69" s="1641">
        <f t="shared" si="8"/>
        <v>298973</v>
      </c>
      <c r="K69" s="1641">
        <f t="shared" si="8"/>
        <v>307942</v>
      </c>
      <c r="L69" s="1641">
        <f t="shared" si="8"/>
        <v>317180</v>
      </c>
      <c r="M69" s="1641">
        <f t="shared" si="8"/>
        <v>326695</v>
      </c>
      <c r="N69" s="1641">
        <f t="shared" si="8"/>
        <v>336496</v>
      </c>
      <c r="O69" s="1641">
        <f t="shared" si="8"/>
        <v>346591</v>
      </c>
      <c r="P69" s="1641">
        <f t="shared" si="8"/>
        <v>356989</v>
      </c>
      <c r="Q69" s="1641">
        <f t="shared" si="8"/>
        <v>367699</v>
      </c>
      <c r="R69" s="1641">
        <f t="shared" si="8"/>
        <v>378730</v>
      </c>
      <c r="S69" s="1641">
        <f t="shared" si="8"/>
        <v>390092</v>
      </c>
      <c r="T69" s="1641">
        <f t="shared" si="8"/>
        <v>401795</v>
      </c>
      <c r="U69" s="1641">
        <f t="shared" si="8"/>
        <v>413849</v>
      </c>
      <c r="V69" s="1641">
        <f t="shared" si="8"/>
        <v>426264</v>
      </c>
      <c r="W69" s="1641">
        <f t="shared" si="8"/>
        <v>439052</v>
      </c>
      <c r="X69" s="1641">
        <f t="shared" si="8"/>
        <v>452224</v>
      </c>
      <c r="Y69" s="1641">
        <f t="shared" si="8"/>
        <v>465791</v>
      </c>
      <c r="Z69" s="1641">
        <f t="shared" si="8"/>
        <v>479765</v>
      </c>
      <c r="AA69" s="1641">
        <f t="shared" si="8"/>
        <v>494158</v>
      </c>
      <c r="AB69" s="1641">
        <f t="shared" si="8"/>
        <v>508983</v>
      </c>
      <c r="AC69" s="1641">
        <f t="shared" si="8"/>
        <v>524252</v>
      </c>
      <c r="AD69" s="1641">
        <f t="shared" si="8"/>
        <v>539980</v>
      </c>
      <c r="AE69" s="1641">
        <f t="shared" si="8"/>
        <v>556179</v>
      </c>
      <c r="AF69" s="1641">
        <f t="shared" si="8"/>
        <v>572864</v>
      </c>
      <c r="AG69" s="1641">
        <f t="shared" si="8"/>
        <v>590050</v>
      </c>
      <c r="AH69" s="1641">
        <f t="shared" si="8"/>
        <v>607752</v>
      </c>
      <c r="AI69" s="1732"/>
      <c r="AJ69" s="6"/>
      <c r="AK69" s="6"/>
      <c r="AL69" s="6"/>
      <c r="AM69" s="6"/>
      <c r="AN69" s="6"/>
    </row>
    <row r="70" ht="15" customHeight="1">
      <c r="A70" s="1732"/>
      <c r="B70" s="613" t="s">
        <v>1423</v>
      </c>
      <c r="C70" s="1644">
        <f t="shared" si="38"/>
        <v>0.03</v>
      </c>
      <c r="D70" s="1743">
        <f>'Fannie Historical Ops'!AK$33</f>
        <v>1036382.91</v>
      </c>
      <c r="E70" s="1694">
        <f t="shared" si="39" ref="E70:AH70">D70*(1+$C70)</f>
        <v>1067474.3973</v>
      </c>
      <c r="F70" s="1694">
        <f t="shared" si="39"/>
        <v>1099498.629219</v>
      </c>
      <c r="G70" s="1694">
        <f t="shared" si="39"/>
        <v>1132483.58809557</v>
      </c>
      <c r="H70" s="1694">
        <f t="shared" si="39"/>
        <v>1166458.095738437</v>
      </c>
      <c r="I70" s="1694">
        <f t="shared" si="39"/>
        <v>1201451.8386105902</v>
      </c>
      <c r="J70" s="1694">
        <f t="shared" si="39"/>
        <v>1237495.393768908</v>
      </c>
      <c r="K70" s="1694">
        <f t="shared" si="39"/>
        <v>1274620.2555819752</v>
      </c>
      <c r="L70" s="1694">
        <f t="shared" si="39"/>
        <v>1312858.8632494344</v>
      </c>
      <c r="M70" s="1694">
        <f t="shared" si="39"/>
        <v>1352244.6291469175</v>
      </c>
      <c r="N70" s="1694">
        <f t="shared" si="39"/>
        <v>1392811.968021325</v>
      </c>
      <c r="O70" s="1694">
        <f t="shared" si="39"/>
        <v>1434596.327061965</v>
      </c>
      <c r="P70" s="1694">
        <f t="shared" si="39"/>
        <v>1477634.216873824</v>
      </c>
      <c r="Q70" s="1694">
        <f t="shared" si="39"/>
        <v>1521963.2433800388</v>
      </c>
      <c r="R70" s="1694">
        <f t="shared" si="39"/>
        <v>1567622.14068144</v>
      </c>
      <c r="S70" s="1694">
        <f t="shared" si="39"/>
        <v>1614650.8049018832</v>
      </c>
      <c r="T70" s="1694">
        <f t="shared" si="39"/>
        <v>1663090.3290489397</v>
      </c>
      <c r="U70" s="1694">
        <f t="shared" si="39"/>
        <v>1712983.0389204079</v>
      </c>
      <c r="V70" s="1694">
        <f t="shared" si="39"/>
        <v>1764372.5300880203</v>
      </c>
      <c r="W70" s="1694">
        <f t="shared" si="39"/>
        <v>1817303.705990661</v>
      </c>
      <c r="X70" s="1694">
        <f t="shared" si="39"/>
        <v>1871822.8171703808</v>
      </c>
      <c r="Y70" s="1694">
        <f t="shared" si="39"/>
        <v>1927977.5016854922</v>
      </c>
      <c r="Z70" s="1694">
        <f t="shared" si="39"/>
        <v>1985816.826736057</v>
      </c>
      <c r="AA70" s="1694">
        <f t="shared" si="39"/>
        <v>2045391.3315381387</v>
      </c>
      <c r="AB70" s="1694">
        <f t="shared" si="39"/>
        <v>2106753.071484283</v>
      </c>
      <c r="AC70" s="1694">
        <f t="shared" si="39"/>
        <v>2169955.6636288115</v>
      </c>
      <c r="AD70" s="1694">
        <f t="shared" si="39"/>
        <v>2235054.333537676</v>
      </c>
      <c r="AE70" s="1694">
        <f t="shared" si="39"/>
        <v>2302105.963543806</v>
      </c>
      <c r="AF70" s="1694">
        <f t="shared" si="39"/>
        <v>2371169.1424501203</v>
      </c>
      <c r="AG70" s="1694">
        <f t="shared" si="39"/>
        <v>2442304.216723624</v>
      </c>
      <c r="AH70" s="1694">
        <f t="shared" si="39"/>
        <v>2515573.343225333</v>
      </c>
      <c r="AI70" s="1732"/>
      <c r="AJ70" s="6"/>
      <c r="AK70" s="6"/>
      <c r="AL70" s="6"/>
      <c r="AM70" s="6"/>
      <c r="AN70" s="6"/>
    </row>
    <row r="71" ht="15.75" customHeight="1">
      <c r="A71" s="1732"/>
      <c r="B71" s="1650" t="s">
        <v>1425</v>
      </c>
      <c r="C71" s="1698"/>
      <c r="D71" s="1670">
        <f>'Summary OPS'!AU$51</f>
        <v>21250</v>
      </c>
      <c r="E71" s="1670">
        <f t="shared" si="27"/>
        <v>21250</v>
      </c>
      <c r="F71" s="1670">
        <f t="shared" si="27"/>
        <v>21250</v>
      </c>
      <c r="G71" s="1670">
        <f t="shared" si="27"/>
        <v>21250</v>
      </c>
      <c r="H71" s="1670">
        <f t="shared" si="27"/>
        <v>21250</v>
      </c>
      <c r="I71" s="1670">
        <f t="shared" si="27"/>
        <v>21250</v>
      </c>
      <c r="J71" s="1670">
        <f t="shared" si="27"/>
        <v>21250</v>
      </c>
      <c r="K71" s="1670">
        <f t="shared" si="27"/>
        <v>21250</v>
      </c>
      <c r="L71" s="1670">
        <f t="shared" si="27"/>
        <v>21250</v>
      </c>
      <c r="M71" s="1670">
        <f t="shared" si="27"/>
        <v>21250</v>
      </c>
      <c r="N71" s="1670">
        <f t="shared" si="27"/>
        <v>21250</v>
      </c>
      <c r="O71" s="1670">
        <f t="shared" si="27"/>
        <v>21250</v>
      </c>
      <c r="P71" s="1670">
        <f t="shared" si="27"/>
        <v>21250</v>
      </c>
      <c r="Q71" s="1670">
        <f t="shared" si="27"/>
        <v>21250</v>
      </c>
      <c r="R71" s="1670">
        <f t="shared" si="27"/>
        <v>21250</v>
      </c>
      <c r="S71" s="1670">
        <f t="shared" si="27"/>
        <v>21250</v>
      </c>
      <c r="T71" s="1670">
        <f t="shared" si="27"/>
        <v>21250</v>
      </c>
      <c r="U71" s="1670">
        <f t="shared" si="27"/>
        <v>21250</v>
      </c>
      <c r="V71" s="1670">
        <f t="shared" si="27"/>
        <v>21250</v>
      </c>
      <c r="W71" s="1670">
        <f t="shared" si="27"/>
        <v>21250</v>
      </c>
      <c r="X71" s="1670">
        <f t="shared" si="27"/>
        <v>21250</v>
      </c>
      <c r="Y71" s="1670">
        <f t="shared" si="27"/>
        <v>21250</v>
      </c>
      <c r="Z71" s="1670">
        <f t="shared" si="27"/>
        <v>21250</v>
      </c>
      <c r="AA71" s="1670">
        <f t="shared" si="27"/>
        <v>21250</v>
      </c>
      <c r="AB71" s="1670">
        <f t="shared" si="27"/>
        <v>21250</v>
      </c>
      <c r="AC71" s="1670">
        <f t="shared" si="27"/>
        <v>21250</v>
      </c>
      <c r="AD71" s="1670">
        <f t="shared" si="27"/>
        <v>21250</v>
      </c>
      <c r="AE71" s="1670">
        <f t="shared" si="27"/>
        <v>21250</v>
      </c>
      <c r="AF71" s="1670">
        <f t="shared" si="27"/>
        <v>21250</v>
      </c>
      <c r="AG71" s="1670">
        <f t="shared" si="27"/>
        <v>21250</v>
      </c>
      <c r="AH71" s="1670">
        <f t="shared" si="27"/>
        <v>21250</v>
      </c>
      <c r="AI71" s="1732"/>
      <c r="AJ71" s="6"/>
      <c r="AK71" s="6"/>
      <c r="AL71" s="6"/>
      <c r="AM71" s="6"/>
      <c r="AN71" s="6"/>
    </row>
    <row r="72" ht="15.75" customHeight="1">
      <c r="A72" s="1732"/>
      <c r="B72" s="1632" t="s">
        <v>1426</v>
      </c>
      <c r="C72" s="1633"/>
      <c r="D72" s="1672">
        <f t="shared" si="25"/>
        <v>2830790.21</v>
      </c>
      <c r="E72" s="1672">
        <f t="shared" si="25"/>
        <v>2915480.3973000003</v>
      </c>
      <c r="F72" s="1672">
        <f t="shared" si="25"/>
        <v>3001903.629219</v>
      </c>
      <c r="G72" s="1672">
        <f t="shared" si="25"/>
        <v>3090910.58809557</v>
      </c>
      <c r="H72" s="1672">
        <f t="shared" si="25"/>
        <v>3182580.095738437</v>
      </c>
      <c r="I72" s="1672">
        <f t="shared" si="25"/>
        <v>3276990.8386105904</v>
      </c>
      <c r="J72" s="1672">
        <f t="shared" si="25"/>
        <v>3374226.393768908</v>
      </c>
      <c r="K72" s="1672">
        <f t="shared" si="25"/>
        <v>3474370.255581975</v>
      </c>
      <c r="L72" s="1672">
        <f t="shared" si="25"/>
        <v>3577508.863249434</v>
      </c>
      <c r="M72" s="1672">
        <f t="shared" si="25"/>
        <v>3683730.6291469177</v>
      </c>
      <c r="N72" s="1672">
        <f t="shared" si="25"/>
        <v>3793131.968021325</v>
      </c>
      <c r="O72" s="1672">
        <f t="shared" si="25"/>
        <v>3905805.327061965</v>
      </c>
      <c r="P72" s="1672">
        <f t="shared" si="25"/>
        <v>4021850.2168738237</v>
      </c>
      <c r="Q72" s="1672">
        <f t="shared" si="25"/>
        <v>4141365.243380039</v>
      </c>
      <c r="R72" s="1672">
        <f t="shared" si="25"/>
        <v>4264456.14068144</v>
      </c>
      <c r="S72" s="1672">
        <f t="shared" si="25"/>
        <v>4391228.804901883</v>
      </c>
      <c r="T72" s="1672">
        <f t="shared" si="25"/>
        <v>4521795.32904894</v>
      </c>
      <c r="U72" s="1672">
        <f t="shared" si="25"/>
        <v>4656268.038920408</v>
      </c>
      <c r="V72" s="1672">
        <f t="shared" si="25"/>
        <v>4794763.5300880205</v>
      </c>
      <c r="W72" s="1672">
        <f t="shared" si="25"/>
        <v>4937402.705990661</v>
      </c>
      <c r="X72" s="1672">
        <f t="shared" si="25"/>
        <v>5084309.817170381</v>
      </c>
      <c r="Y72" s="1672">
        <f t="shared" si="25"/>
        <v>5235614.501685493</v>
      </c>
      <c r="Z72" s="1672">
        <f t="shared" si="25"/>
        <v>5391443.826736057</v>
      </c>
      <c r="AA72" s="1672">
        <f t="shared" si="25"/>
        <v>5551937.331538139</v>
      </c>
      <c r="AB72" s="1672">
        <f t="shared" si="25"/>
        <v>5717232.071484283</v>
      </c>
      <c r="AC72" s="1672">
        <f t="shared" si="25"/>
        <v>5887474.663628811</v>
      </c>
      <c r="AD72" s="1672">
        <f t="shared" si="25"/>
        <v>6062812.333537675</v>
      </c>
      <c r="AE72" s="1672">
        <f t="shared" si="25"/>
        <v>6243394.963543806</v>
      </c>
      <c r="AF72" s="1672">
        <f t="shared" si="25"/>
        <v>6429382.14245012</v>
      </c>
      <c r="AG72" s="1672">
        <f t="shared" si="25"/>
        <v>6620937.216723625</v>
      </c>
      <c r="AH72" s="1672">
        <f t="shared" si="25"/>
        <v>6818224.343225333</v>
      </c>
      <c r="AI72" s="1732"/>
      <c r="AJ72" s="6"/>
      <c r="AK72" s="6"/>
      <c r="AL72" s="6"/>
      <c r="AM72" s="6"/>
      <c r="AN72" s="6"/>
    </row>
    <row r="73" ht="15.75" customHeight="1">
      <c r="A73" s="1732"/>
      <c r="B73" s="1632" t="s">
        <v>1427</v>
      </c>
      <c r="C73" s="1633"/>
      <c r="D73" s="1672">
        <f t="shared" si="26"/>
        <v>-1698754.21</v>
      </c>
      <c r="E73" s="1672">
        <f t="shared" si="26"/>
        <v>-1760804.3973000003</v>
      </c>
      <c r="F73" s="1672">
        <f t="shared" si="26"/>
        <v>-1824133.6292190002</v>
      </c>
      <c r="G73" s="1672">
        <f t="shared" si="26"/>
        <v>-1889586.58809557</v>
      </c>
      <c r="H73" s="1672">
        <f t="shared" si="26"/>
        <v>-1957229.095738437</v>
      </c>
      <c r="I73" s="1672">
        <f t="shared" si="26"/>
        <v>-2027131.8386105904</v>
      </c>
      <c r="J73" s="1672">
        <f t="shared" si="26"/>
        <v>-2099369.393768908</v>
      </c>
      <c r="K73" s="1672">
        <f t="shared" si="26"/>
        <v>-2174017.255581975</v>
      </c>
      <c r="L73" s="1672">
        <f t="shared" si="26"/>
        <v>-2251149.863249434</v>
      </c>
      <c r="M73" s="1672">
        <f t="shared" si="26"/>
        <v>-2330844.6291469177</v>
      </c>
      <c r="N73" s="1672">
        <f t="shared" si="26"/>
        <v>-2413186.968021325</v>
      </c>
      <c r="O73" s="1672">
        <f t="shared" si="26"/>
        <v>-2498262.327061965</v>
      </c>
      <c r="P73" s="1672">
        <f t="shared" si="26"/>
        <v>-2586156.2168738237</v>
      </c>
      <c r="Q73" s="1672">
        <f t="shared" si="26"/>
        <v>-2676958.243380039</v>
      </c>
      <c r="R73" s="1672">
        <f t="shared" si="26"/>
        <v>-2770761.14068144</v>
      </c>
      <c r="S73" s="1672">
        <f t="shared" si="26"/>
        <v>-2867659.804901883</v>
      </c>
      <c r="T73" s="1672">
        <f t="shared" si="26"/>
        <v>-2967756.32904894</v>
      </c>
      <c r="U73" s="1672">
        <f t="shared" si="26"/>
        <v>-3071146.038920408</v>
      </c>
      <c r="V73" s="1672">
        <f t="shared" si="26"/>
        <v>-3177939.5300880205</v>
      </c>
      <c r="W73" s="1672">
        <f t="shared" si="26"/>
        <v>-3288242.705990661</v>
      </c>
      <c r="X73" s="1672">
        <f t="shared" si="26"/>
        <v>-3402166.8171703806</v>
      </c>
      <c r="Y73" s="1672">
        <f t="shared" si="26"/>
        <v>-3519828.5016854927</v>
      </c>
      <c r="Z73" s="1672">
        <f t="shared" si="26"/>
        <v>-3641341.826736057</v>
      </c>
      <c r="AA73" s="1672">
        <f t="shared" si="26"/>
        <v>-3766834.331538139</v>
      </c>
      <c r="AB73" s="1672">
        <f t="shared" si="26"/>
        <v>-3896427.0714842826</v>
      </c>
      <c r="AC73" s="1672">
        <f t="shared" si="26"/>
        <v>-4030252.663628811</v>
      </c>
      <c r="AD73" s="1672">
        <f t="shared" si="26"/>
        <v>-4168446.3335376754</v>
      </c>
      <c r="AE73" s="1672">
        <f t="shared" si="26"/>
        <v>-4311140.963543806</v>
      </c>
      <c r="AF73" s="1672">
        <f t="shared" si="26"/>
        <v>-4458483.14245012</v>
      </c>
      <c r="AG73" s="1672">
        <f t="shared" si="26"/>
        <v>-4610620.216723625</v>
      </c>
      <c r="AH73" s="1672">
        <f t="shared" si="26"/>
        <v>-4767700.343225333</v>
      </c>
      <c r="AI73" s="1732"/>
      <c r="AJ73" s="6"/>
      <c r="AK73" s="6"/>
      <c r="AL73" s="6"/>
      <c r="AM73" s="6"/>
      <c r="AN73" s="6"/>
    </row>
    <row r="74" ht="15" customHeight="1">
      <c r="A74" s="1732"/>
      <c r="B74" s="1703" t="s">
        <v>1429</v>
      </c>
      <c r="C74" s="1704"/>
      <c r="D74" s="1705" t="e">
        <f>IF('SBL Quotes'!$AN$35="Assumption",AmortizingDebtService,AmortizingDebtService+FirstDebtService_IfSupp+SecondDebtService_IfSupp+ThirdDebtService_IfSupp)</f>
        <v>#NAME?</v>
      </c>
      <c r="E74" s="1705" t="e">
        <f t="shared" si="27"/>
        <v>#NAME?</v>
      </c>
      <c r="F74" s="1705" t="e">
        <f t="shared" si="27"/>
        <v>#NAME?</v>
      </c>
      <c r="G74" s="1705" t="e">
        <f t="shared" si="27"/>
        <v>#NAME?</v>
      </c>
      <c r="H74" s="1705" t="e">
        <f t="shared" si="27"/>
        <v>#NAME?</v>
      </c>
      <c r="I74" s="1705" t="e">
        <f t="shared" si="27"/>
        <v>#NAME?</v>
      </c>
      <c r="J74" s="1705" t="e">
        <f t="shared" si="27"/>
        <v>#NAME?</v>
      </c>
      <c r="K74" s="1705" t="e">
        <f t="shared" si="27"/>
        <v>#NAME?</v>
      </c>
      <c r="L74" s="1705" t="e">
        <f t="shared" si="27"/>
        <v>#NAME?</v>
      </c>
      <c r="M74" s="1705" t="e">
        <f t="shared" si="27"/>
        <v>#NAME?</v>
      </c>
      <c r="N74" s="1705" t="e">
        <f t="shared" si="27"/>
        <v>#NAME?</v>
      </c>
      <c r="O74" s="1705" t="e">
        <f t="shared" si="27"/>
        <v>#NAME?</v>
      </c>
      <c r="P74" s="1705" t="e">
        <f t="shared" si="27"/>
        <v>#NAME?</v>
      </c>
      <c r="Q74" s="1705" t="e">
        <f t="shared" si="27"/>
        <v>#NAME?</v>
      </c>
      <c r="R74" s="1705" t="e">
        <f t="shared" si="27"/>
        <v>#NAME?</v>
      </c>
      <c r="S74" s="1705" t="e">
        <f t="shared" si="27"/>
        <v>#NAME?</v>
      </c>
      <c r="T74" s="1705" t="e">
        <f t="shared" si="27"/>
        <v>#NAME?</v>
      </c>
      <c r="U74" s="1705" t="e">
        <f t="shared" si="27"/>
        <v>#NAME?</v>
      </c>
      <c r="V74" s="1705" t="e">
        <f t="shared" si="27"/>
        <v>#NAME?</v>
      </c>
      <c r="W74" s="1705" t="e">
        <f t="shared" si="27"/>
        <v>#NAME?</v>
      </c>
      <c r="X74" s="1705" t="e">
        <f t="shared" si="27"/>
        <v>#NAME?</v>
      </c>
      <c r="Y74" s="1705" t="e">
        <f t="shared" si="27"/>
        <v>#NAME?</v>
      </c>
      <c r="Z74" s="1705" t="e">
        <f t="shared" si="27"/>
        <v>#NAME?</v>
      </c>
      <c r="AA74" s="1705" t="e">
        <f t="shared" si="27"/>
        <v>#NAME?</v>
      </c>
      <c r="AB74" s="1705" t="e">
        <f t="shared" si="27"/>
        <v>#NAME?</v>
      </c>
      <c r="AC74" s="1705" t="e">
        <f t="shared" si="27"/>
        <v>#NAME?</v>
      </c>
      <c r="AD74" s="1705" t="e">
        <f t="shared" si="27"/>
        <v>#NAME?</v>
      </c>
      <c r="AE74" s="1705" t="e">
        <f t="shared" si="27"/>
        <v>#NAME?</v>
      </c>
      <c r="AF74" s="1705" t="e">
        <f t="shared" si="27"/>
        <v>#NAME?</v>
      </c>
      <c r="AG74" s="1705" t="e">
        <f t="shared" si="27"/>
        <v>#NAME?</v>
      </c>
      <c r="AH74" s="1705" t="e">
        <f t="shared" si="27"/>
        <v>#NAME?</v>
      </c>
      <c r="AI74" s="1732"/>
      <c r="AJ74" s="6"/>
      <c r="AK74" s="6"/>
      <c r="AL74" s="6"/>
      <c r="AM74" s="6"/>
      <c r="AN74" s="6"/>
    </row>
    <row r="75" ht="15" customHeight="1">
      <c r="A75" s="1732"/>
      <c r="B75" s="1169" t="s">
        <v>1225</v>
      </c>
      <c r="C75" s="1710"/>
      <c r="D75" s="1711">
        <f t="shared" si="28"/>
        <v>0</v>
      </c>
      <c r="E75" s="1711">
        <f t="shared" si="28"/>
        <v>0</v>
      </c>
      <c r="F75" s="1711">
        <f t="shared" si="28"/>
        <v>0</v>
      </c>
      <c r="G75" s="1711">
        <f t="shared" si="28"/>
        <v>0</v>
      </c>
      <c r="H75" s="1711">
        <f t="shared" si="28"/>
        <v>0</v>
      </c>
      <c r="I75" s="1711">
        <f t="shared" si="28"/>
        <v>0</v>
      </c>
      <c r="J75" s="1711">
        <f t="shared" si="28"/>
        <v>0</v>
      </c>
      <c r="K75" s="1711">
        <f t="shared" si="28"/>
        <v>0</v>
      </c>
      <c r="L75" s="1711">
        <f t="shared" si="28"/>
        <v>0</v>
      </c>
      <c r="M75" s="1711">
        <f t="shared" si="28"/>
        <v>0</v>
      </c>
      <c r="N75" s="1711">
        <f t="shared" si="28"/>
        <v>0</v>
      </c>
      <c r="O75" s="1711">
        <f t="shared" si="28"/>
        <v>0</v>
      </c>
      <c r="P75" s="1711">
        <f t="shared" si="28"/>
        <v>0</v>
      </c>
      <c r="Q75" s="1711">
        <f t="shared" si="28"/>
        <v>0</v>
      </c>
      <c r="R75" s="1711">
        <f t="shared" si="28"/>
        <v>0</v>
      </c>
      <c r="S75" s="1711">
        <f t="shared" si="28"/>
        <v>0</v>
      </c>
      <c r="T75" s="1711">
        <f t="shared" si="28"/>
        <v>0</v>
      </c>
      <c r="U75" s="1711">
        <f t="shared" si="28"/>
        <v>0</v>
      </c>
      <c r="V75" s="1711">
        <f t="shared" si="28"/>
        <v>0</v>
      </c>
      <c r="W75" s="1711">
        <f t="shared" si="28"/>
        <v>0</v>
      </c>
      <c r="X75" s="1711">
        <f t="shared" si="28"/>
        <v>0</v>
      </c>
      <c r="Y75" s="1711">
        <f t="shared" si="28"/>
        <v>0</v>
      </c>
      <c r="Z75" s="1711">
        <f t="shared" si="28"/>
        <v>0</v>
      </c>
      <c r="AA75" s="1711">
        <f t="shared" si="28"/>
        <v>0</v>
      </c>
      <c r="AB75" s="1711">
        <f t="shared" si="28"/>
        <v>0</v>
      </c>
      <c r="AC75" s="1711">
        <f t="shared" si="28"/>
        <v>0</v>
      </c>
      <c r="AD75" s="1711">
        <f t="shared" si="28"/>
        <v>0</v>
      </c>
      <c r="AE75" s="1711">
        <f t="shared" si="28"/>
        <v>0</v>
      </c>
      <c r="AF75" s="1711">
        <f t="shared" si="28"/>
        <v>0</v>
      </c>
      <c r="AG75" s="1711">
        <f t="shared" si="28"/>
        <v>0</v>
      </c>
      <c r="AH75" s="1711">
        <f t="shared" si="28"/>
        <v>0</v>
      </c>
      <c r="AI75" s="1732"/>
      <c r="AJ75" s="6"/>
      <c r="AK75" s="6"/>
      <c r="AL75" s="6"/>
      <c r="AM75" s="6"/>
      <c r="AN75" s="6"/>
    </row>
    <row r="76" ht="15" customHeight="1">
      <c r="A76" s="1732"/>
      <c r="B76" s="1169">
        <f>IF('SBL Quotes'!AN32="Supplemental","Amortization of 1st (After IO)","")</f>
      </c>
      <c r="C76" s="1714"/>
      <c r="D76" s="1715" t="str">
        <f>IF('SBL Quotes'!$AN$32="Supplemental",IF(D$45&gt;FirstRemTerm_IfSupp,D79,MAX(0,FirstTerm_IfSupp-FirstRemTerm_IfSupp+D$45-FirstIO_IfSupp)),"")</f>
        <v/>
      </c>
      <c r="E76" s="1715" t="str">
        <f>IF('SBL Quotes'!$AN$32="Supplemental",IF(E$45&gt;FirstRemTerm_IfSupp,D76+E79-D79,MAX(0,FirstTerm_IfSupp-FirstRemTerm_IfSupp+E$45-FirstIO_IfSupp)),"")</f>
        <v/>
      </c>
      <c r="F76" s="1715" t="str">
        <f>IF('SBL Quotes'!$AN$32="Supplemental",IF(F$45&gt;FirstRemTerm_IfSupp,E76+F79-E79,MAX(0,FirstTerm_IfSupp-FirstRemTerm_IfSupp+F$45-FirstIO_IfSupp)),"")</f>
        <v/>
      </c>
      <c r="G76" s="1715" t="str">
        <f>IF('SBL Quotes'!$AN$32="Supplemental",IF(G$45&gt;FirstRemTerm_IfSupp,F76+G79-F79,MAX(0,FirstTerm_IfSupp-FirstRemTerm_IfSupp+G$45-FirstIO_IfSupp)),"")</f>
        <v/>
      </c>
      <c r="H76" s="1715" t="str">
        <f>IF('SBL Quotes'!$AN$32="Supplemental",IF(H$45&gt;FirstRemTerm_IfSupp,G76+H79-G79,MAX(0,FirstTerm_IfSupp-FirstRemTerm_IfSupp+H$45-FirstIO_IfSupp)),"")</f>
        <v/>
      </c>
      <c r="I76" s="1715" t="str">
        <f>IF('SBL Quotes'!$AN$32="Supplemental",IF(I$45&gt;FirstRemTerm_IfSupp,H76+I79-H79,MAX(0,FirstTerm_IfSupp-FirstRemTerm_IfSupp+I$45-FirstIO_IfSupp)),"")</f>
        <v/>
      </c>
      <c r="J76" s="1715" t="str">
        <f>IF('SBL Quotes'!$AN$32="Supplemental",IF(J$45&gt;FirstRemTerm_IfSupp,I76+J79-I79,MAX(0,FirstTerm_IfSupp-FirstRemTerm_IfSupp+J$45-FirstIO_IfSupp)),"")</f>
        <v/>
      </c>
      <c r="K76" s="1715" t="str">
        <f>IF('SBL Quotes'!$AN$32="Supplemental",IF(K$45&gt;FirstRemTerm_IfSupp,J76+K79-J79,MAX(0,FirstTerm_IfSupp-FirstRemTerm_IfSupp+K$45-FirstIO_IfSupp)),"")</f>
        <v/>
      </c>
      <c r="L76" s="1715" t="str">
        <f>IF('SBL Quotes'!$AN$32="Supplemental",IF(L$45&gt;FirstRemTerm_IfSupp,K76+L79-K79,MAX(0,FirstTerm_IfSupp-FirstRemTerm_IfSupp+L$45-FirstIO_IfSupp)),"")</f>
        <v/>
      </c>
      <c r="M76" s="1715" t="str">
        <f>IF('SBL Quotes'!$AN$32="Supplemental",IF(M$45&gt;FirstRemTerm_IfSupp,L76+M79-L79,MAX(0,FirstTerm_IfSupp-FirstRemTerm_IfSupp+M$45-FirstIO_IfSupp)),"")</f>
        <v/>
      </c>
      <c r="N76" s="1715" t="str">
        <f>IF('SBL Quotes'!$AN$32="Supplemental",IF(N$45&gt;FirstRemTerm_IfSupp,M76+N79-M79,MAX(0,FirstTerm_IfSupp-FirstRemTerm_IfSupp+N$45-FirstIO_IfSupp)),"")</f>
        <v/>
      </c>
      <c r="O76" s="1715" t="str">
        <f>IF('SBL Quotes'!$AN$32="Supplemental",IF(O$45&gt;FirstRemTerm_IfSupp,N76+O79-N79,MAX(0,FirstTerm_IfSupp-FirstRemTerm_IfSupp+O$45-FirstIO_IfSupp)),"")</f>
        <v/>
      </c>
      <c r="P76" s="1715" t="str">
        <f>IF('SBL Quotes'!$AN$32="Supplemental",IF(P$45&gt;FirstRemTerm_IfSupp,O76+P79-O79,MAX(0,FirstTerm_IfSupp-FirstRemTerm_IfSupp+P$45-FirstIO_IfSupp)),"")</f>
        <v/>
      </c>
      <c r="Q76" s="1715" t="str">
        <f>IF('SBL Quotes'!$AN$32="Supplemental",IF(Q$45&gt;FirstRemTerm_IfSupp,P76+Q79-P79,MAX(0,FirstTerm_IfSupp-FirstRemTerm_IfSupp+Q$45-FirstIO_IfSupp)),"")</f>
        <v/>
      </c>
      <c r="R76" s="1715" t="str">
        <f>IF('SBL Quotes'!$AN$32="Supplemental",IF(R$45&gt;FirstRemTerm_IfSupp,Q76+R79-Q79,MAX(0,FirstTerm_IfSupp-FirstRemTerm_IfSupp+R$45-FirstIO_IfSupp)),"")</f>
        <v/>
      </c>
      <c r="S76" s="1715" t="str">
        <f>IF('SBL Quotes'!$AN$32="Supplemental",IF(S$45&gt;FirstRemTerm_IfSupp,R76+S79-R79,MAX(0,FirstTerm_IfSupp-FirstRemTerm_IfSupp+S$45-FirstIO_IfSupp)),"")</f>
        <v/>
      </c>
      <c r="T76" s="1715" t="str">
        <f>IF('SBL Quotes'!$AN$32="Supplemental",IF(T$45&gt;FirstRemTerm_IfSupp,S76+T79-S79,MAX(0,FirstTerm_IfSupp-FirstRemTerm_IfSupp+T$45-FirstIO_IfSupp)),"")</f>
        <v/>
      </c>
      <c r="U76" s="1715" t="str">
        <f>IF('SBL Quotes'!$AN$32="Supplemental",IF(U$45&gt;FirstRemTerm_IfSupp,T76+U79-T79,MAX(0,FirstTerm_IfSupp-FirstRemTerm_IfSupp+U$45-FirstIO_IfSupp)),"")</f>
        <v/>
      </c>
      <c r="V76" s="1715" t="str">
        <f>IF('SBL Quotes'!$AN$32="Supplemental",IF(V$45&gt;FirstRemTerm_IfSupp,U76+V79-U79,MAX(0,FirstTerm_IfSupp-FirstRemTerm_IfSupp+V$45-FirstIO_IfSupp)),"")</f>
        <v/>
      </c>
      <c r="W76" s="1715" t="str">
        <f>IF('SBL Quotes'!$AN$32="Supplemental",IF(W$45&gt;FirstRemTerm_IfSupp,V76+W79-V79,MAX(0,FirstTerm_IfSupp-FirstRemTerm_IfSupp+W$45-FirstIO_IfSupp)),"")</f>
        <v/>
      </c>
      <c r="X76" s="1715" t="str">
        <f>IF('SBL Quotes'!$AN$32="Supplemental",IF(X$45&gt;FirstRemTerm_IfSupp,W76+X79-W79,MAX(0,FirstTerm_IfSupp-FirstRemTerm_IfSupp+X$45-FirstIO_IfSupp)),"")</f>
        <v/>
      </c>
      <c r="Y76" s="1715" t="str">
        <f>IF('SBL Quotes'!$AN$32="Supplemental",IF(Y$45&gt;FirstRemTerm_IfSupp,X76+Y79-X79,MAX(0,FirstTerm_IfSupp-FirstRemTerm_IfSupp+Y$45-FirstIO_IfSupp)),"")</f>
        <v/>
      </c>
      <c r="Z76" s="1715" t="str">
        <f>IF('SBL Quotes'!$AN$32="Supplemental",IF(Z$45&gt;FirstRemTerm_IfSupp,Y76+Z79-Y79,MAX(0,FirstTerm_IfSupp-FirstRemTerm_IfSupp+Z$45-FirstIO_IfSupp)),"")</f>
        <v/>
      </c>
      <c r="AA76" s="1715" t="str">
        <f>IF('SBL Quotes'!$AN$32="Supplemental",IF(AA$45&gt;FirstRemTerm_IfSupp,Z76+AA79-Z79,MAX(0,FirstTerm_IfSupp-FirstRemTerm_IfSupp+AA$45-FirstIO_IfSupp)),"")</f>
        <v/>
      </c>
      <c r="AB76" s="1715" t="str">
        <f>IF('SBL Quotes'!$AN$32="Supplemental",IF(AB$45&gt;FirstRemTerm_IfSupp,AA76+AB79-AA79,MAX(0,FirstTerm_IfSupp-FirstRemTerm_IfSupp+AB$45-FirstIO_IfSupp)),"")</f>
        <v/>
      </c>
      <c r="AC76" s="1715" t="str">
        <f>IF('SBL Quotes'!$AN$32="Supplemental",IF(AC$45&gt;FirstRemTerm_IfSupp,AB76+AC79-AB79,MAX(0,FirstTerm_IfSupp-FirstRemTerm_IfSupp+AC$45-FirstIO_IfSupp)),"")</f>
        <v/>
      </c>
      <c r="AD76" s="1715" t="str">
        <f>IF('SBL Quotes'!$AN$32="Supplemental",IF(AD$45&gt;FirstRemTerm_IfSupp,AC76+AD79-AC79,MAX(0,FirstTerm_IfSupp-FirstRemTerm_IfSupp+AD$45-FirstIO_IfSupp)),"")</f>
        <v/>
      </c>
      <c r="AE76" s="1715" t="str">
        <f>IF('SBL Quotes'!$AN$32="Supplemental",IF(AE$45&gt;FirstRemTerm_IfSupp,AD76+AE79-AD79,MAX(0,FirstTerm_IfSupp-FirstRemTerm_IfSupp+AE$45-FirstIO_IfSupp)),"")</f>
        <v/>
      </c>
      <c r="AF76" s="1715" t="str">
        <f>IF('SBL Quotes'!$AN$32="Supplemental",IF(AF$45&gt;FirstRemTerm_IfSupp,AE76+AF79-AE79,MAX(0,FirstTerm_IfSupp-FirstRemTerm_IfSupp+AF$45-FirstIO_IfSupp)),"")</f>
        <v/>
      </c>
      <c r="AG76" s="1715" t="str">
        <f>IF('SBL Quotes'!$AN$32="Supplemental",IF(AG$45&gt;FirstRemTerm_IfSupp,AF76+AG79-AF79,MAX(0,FirstTerm_IfSupp-FirstRemTerm_IfSupp+AG$45-FirstIO_IfSupp)),"")</f>
        <v/>
      </c>
      <c r="AH76" s="1715" t="str">
        <f>IF('SBL Quotes'!$AN$32="Supplemental",IF(AH$45&gt;FirstRemTerm_IfSupp,AG76+AH79-AG79,MAX(0,FirstTerm_IfSupp-FirstRemTerm_IfSupp+AH$45-FirstIO_IfSupp)),"")</f>
        <v/>
      </c>
      <c r="AI76" s="1732"/>
      <c r="AJ76" s="6"/>
      <c r="AK76" s="6"/>
      <c r="AL76" s="6"/>
      <c r="AM76" s="6"/>
      <c r="AN76" s="6"/>
    </row>
    <row r="77" ht="15" customHeight="1">
      <c r="A77" s="1732"/>
      <c r="B77" s="1169">
        <f>IF('SBL Quotes'!AN33="2nd Supplemental","Amortization of 2nd (After IO)","")</f>
      </c>
      <c r="C77" s="1714"/>
      <c r="D77" s="1715" t="str">
        <f>IF('SBL Quotes'!$AN$33="2nd Supplemental",IF(D$45&gt;SecondRemTerm_IfSupp,D79,MAX(0,SecondTerm_IfSupp-SecondRemTerm_IfSupp+D$45-SecondIO_IfSupp)),"")</f>
        <v/>
      </c>
      <c r="E77" s="1715" t="str">
        <f>IF('SBL Quotes'!$AN$33="2nd Supplemental",IF(E$45&gt;SecondRemTerm_IfSupp,D77+E79-D79,MAX(0,SecondTerm_IfSupp-SecondRemTerm_IfSupp+E$45-SecondIO_IfSupp)),"")</f>
        <v/>
      </c>
      <c r="F77" s="1715" t="str">
        <f>IF('SBL Quotes'!$AN$33="2nd Supplemental",IF(F$45&gt;SecondRemTerm_IfSupp,E77+F79-E79,MAX(0,SecondTerm_IfSupp-SecondRemTerm_IfSupp+F$45-SecondIO_IfSupp)),"")</f>
        <v/>
      </c>
      <c r="G77" s="1715" t="str">
        <f>IF('SBL Quotes'!$AN$33="2nd Supplemental",IF(G$45&gt;SecondRemTerm_IfSupp,F77+G79-F79,MAX(0,SecondTerm_IfSupp-SecondRemTerm_IfSupp+G$45-SecondIO_IfSupp)),"")</f>
        <v/>
      </c>
      <c r="H77" s="1715" t="str">
        <f>IF('SBL Quotes'!$AN$33="2nd Supplemental",IF(H$45&gt;SecondRemTerm_IfSupp,G77+H79-G79,MAX(0,SecondTerm_IfSupp-SecondRemTerm_IfSupp+H$45-SecondIO_IfSupp)),"")</f>
        <v/>
      </c>
      <c r="I77" s="1715" t="str">
        <f>IF('SBL Quotes'!$AN$33="2nd Supplemental",IF(I$45&gt;SecondRemTerm_IfSupp,H77+I79-H79,MAX(0,SecondTerm_IfSupp-SecondRemTerm_IfSupp+I$45-SecondIO_IfSupp)),"")</f>
        <v/>
      </c>
      <c r="J77" s="1715" t="str">
        <f>IF('SBL Quotes'!$AN$33="2nd Supplemental",IF(J$45&gt;SecondRemTerm_IfSupp,I77+J79-I79,MAX(0,SecondTerm_IfSupp-SecondRemTerm_IfSupp+J$45-SecondIO_IfSupp)),"")</f>
        <v/>
      </c>
      <c r="K77" s="1715" t="str">
        <f>IF('SBL Quotes'!$AN$33="2nd Supplemental",IF(K$45&gt;SecondRemTerm_IfSupp,J77+K79-J79,MAX(0,SecondTerm_IfSupp-SecondRemTerm_IfSupp+K$45-SecondIO_IfSupp)),"")</f>
        <v/>
      </c>
      <c r="L77" s="1715" t="str">
        <f>IF('SBL Quotes'!$AN$33="2nd Supplemental",IF(L$45&gt;SecondRemTerm_IfSupp,K77+L79-K79,MAX(0,SecondTerm_IfSupp-SecondRemTerm_IfSupp+L$45-SecondIO_IfSupp)),"")</f>
        <v/>
      </c>
      <c r="M77" s="1715" t="str">
        <f>IF('SBL Quotes'!$AN$33="2nd Supplemental",IF(M$45&gt;SecondRemTerm_IfSupp,L77+M79-L79,MAX(0,SecondTerm_IfSupp-SecondRemTerm_IfSupp+M$45-SecondIO_IfSupp)),"")</f>
        <v/>
      </c>
      <c r="N77" s="1715" t="str">
        <f>IF('SBL Quotes'!$AN$33="2nd Supplemental",IF(N$45&gt;SecondRemTerm_IfSupp,M77+N79-M79,MAX(0,SecondTerm_IfSupp-SecondRemTerm_IfSupp+N$45-SecondIO_IfSupp)),"")</f>
        <v/>
      </c>
      <c r="O77" s="1715" t="str">
        <f>IF('SBL Quotes'!$AN$33="2nd Supplemental",IF(O$45&gt;SecondRemTerm_IfSupp,N77+O79-N79,MAX(0,SecondTerm_IfSupp-SecondRemTerm_IfSupp+O$45-SecondIO_IfSupp)),"")</f>
        <v/>
      </c>
      <c r="P77" s="1715" t="str">
        <f>IF('SBL Quotes'!$AN$33="2nd Supplemental",IF(P$45&gt;SecondRemTerm_IfSupp,O77+P79-O79,MAX(0,SecondTerm_IfSupp-SecondRemTerm_IfSupp+P$45-SecondIO_IfSupp)),"")</f>
        <v/>
      </c>
      <c r="Q77" s="1715" t="str">
        <f>IF('SBL Quotes'!$AN$33="2nd Supplemental",IF(Q$45&gt;SecondRemTerm_IfSupp,P77+Q79-P79,MAX(0,SecondTerm_IfSupp-SecondRemTerm_IfSupp+Q$45-SecondIO_IfSupp)),"")</f>
        <v/>
      </c>
      <c r="R77" s="1715" t="str">
        <f>IF('SBL Quotes'!$AN$33="2nd Supplemental",IF(R$45&gt;SecondRemTerm_IfSupp,Q77+R79-Q79,MAX(0,SecondTerm_IfSupp-SecondRemTerm_IfSupp+R$45-SecondIO_IfSupp)),"")</f>
        <v/>
      </c>
      <c r="S77" s="1715" t="str">
        <f>IF('SBL Quotes'!$AN$33="2nd Supplemental",IF(S$45&gt;SecondRemTerm_IfSupp,R77+S79-R79,MAX(0,SecondTerm_IfSupp-SecondRemTerm_IfSupp+S$45-SecondIO_IfSupp)),"")</f>
        <v/>
      </c>
      <c r="T77" s="1715" t="str">
        <f>IF('SBL Quotes'!$AN$33="2nd Supplemental",IF(T$45&gt;SecondRemTerm_IfSupp,S77+T79-S79,MAX(0,SecondTerm_IfSupp-SecondRemTerm_IfSupp+T$45-SecondIO_IfSupp)),"")</f>
        <v/>
      </c>
      <c r="U77" s="1715" t="str">
        <f>IF('SBL Quotes'!$AN$33="2nd Supplemental",IF(U$45&gt;SecondRemTerm_IfSupp,T77+U79-T79,MAX(0,SecondTerm_IfSupp-SecondRemTerm_IfSupp+U$45-SecondIO_IfSupp)),"")</f>
        <v/>
      </c>
      <c r="V77" s="1715" t="str">
        <f>IF('SBL Quotes'!$AN$33="2nd Supplemental",IF(V$45&gt;SecondRemTerm_IfSupp,U77+V79-U79,MAX(0,SecondTerm_IfSupp-SecondRemTerm_IfSupp+V$45-SecondIO_IfSupp)),"")</f>
        <v/>
      </c>
      <c r="W77" s="1715" t="str">
        <f>IF('SBL Quotes'!$AN$33="2nd Supplemental",IF(W$45&gt;SecondRemTerm_IfSupp,V77+W79-V79,MAX(0,SecondTerm_IfSupp-SecondRemTerm_IfSupp+W$45-SecondIO_IfSupp)),"")</f>
        <v/>
      </c>
      <c r="X77" s="1715" t="str">
        <f>IF('SBL Quotes'!$AN$33="2nd Supplemental",IF(X$45&gt;SecondRemTerm_IfSupp,W77+X79-W79,MAX(0,SecondTerm_IfSupp-SecondRemTerm_IfSupp+X$45-SecondIO_IfSupp)),"")</f>
        <v/>
      </c>
      <c r="Y77" s="1715" t="str">
        <f>IF('SBL Quotes'!$AN$33="2nd Supplemental",IF(Y$45&gt;SecondRemTerm_IfSupp,X77+Y79-X79,MAX(0,SecondTerm_IfSupp-SecondRemTerm_IfSupp+Y$45-SecondIO_IfSupp)),"")</f>
        <v/>
      </c>
      <c r="Z77" s="1715" t="str">
        <f>IF('SBL Quotes'!$AN$33="2nd Supplemental",IF(Z$45&gt;SecondRemTerm_IfSupp,Y77+Z79-Y79,MAX(0,SecondTerm_IfSupp-SecondRemTerm_IfSupp+Z$45-SecondIO_IfSupp)),"")</f>
        <v/>
      </c>
      <c r="AA77" s="1715" t="str">
        <f>IF('SBL Quotes'!$AN$33="2nd Supplemental",IF(AA$45&gt;SecondRemTerm_IfSupp,Z77+AA79-Z79,MAX(0,SecondTerm_IfSupp-SecondRemTerm_IfSupp+AA$45-SecondIO_IfSupp)),"")</f>
        <v/>
      </c>
      <c r="AB77" s="1715" t="str">
        <f>IF('SBL Quotes'!$AN$33="2nd Supplemental",IF(AB$45&gt;SecondRemTerm_IfSupp,AA77+AB79-AA79,MAX(0,SecondTerm_IfSupp-SecondRemTerm_IfSupp+AB$45-SecondIO_IfSupp)),"")</f>
        <v/>
      </c>
      <c r="AC77" s="1715" t="str">
        <f>IF('SBL Quotes'!$AN$33="2nd Supplemental",IF(AC$45&gt;SecondRemTerm_IfSupp,AB77+AC79-AB79,MAX(0,SecondTerm_IfSupp-SecondRemTerm_IfSupp+AC$45-SecondIO_IfSupp)),"")</f>
        <v/>
      </c>
      <c r="AD77" s="1715" t="str">
        <f>IF('SBL Quotes'!$AN$33="2nd Supplemental",IF(AD$45&gt;SecondRemTerm_IfSupp,AC77+AD79-AC79,MAX(0,SecondTerm_IfSupp-SecondRemTerm_IfSupp+AD$45-SecondIO_IfSupp)),"")</f>
        <v/>
      </c>
      <c r="AE77" s="1715" t="str">
        <f>IF('SBL Quotes'!$AN$33="2nd Supplemental",IF(AE$45&gt;SecondRemTerm_IfSupp,AD77+AE79-AD79,MAX(0,SecondTerm_IfSupp-SecondRemTerm_IfSupp+AE$45-SecondIO_IfSupp)),"")</f>
        <v/>
      </c>
      <c r="AF77" s="1715" t="str">
        <f>IF('SBL Quotes'!$AN$33="2nd Supplemental",IF(AF$45&gt;SecondRemTerm_IfSupp,AE77+AF79-AE79,MAX(0,SecondTerm_IfSupp-SecondRemTerm_IfSupp+AF$45-SecondIO_IfSupp)),"")</f>
        <v/>
      </c>
      <c r="AG77" s="1715" t="str">
        <f>IF('SBL Quotes'!$AN$33="2nd Supplemental",IF(AG$45&gt;SecondRemTerm_IfSupp,AF77+AG79-AF79,MAX(0,SecondTerm_IfSupp-SecondRemTerm_IfSupp+AG$45-SecondIO_IfSupp)),"")</f>
        <v/>
      </c>
      <c r="AH77" s="1715" t="str">
        <f>IF('SBL Quotes'!$AN$33="2nd Supplemental",IF(AH$45&gt;SecondRemTerm_IfSupp,AG77+AH79-AG79,MAX(0,SecondTerm_IfSupp-SecondRemTerm_IfSupp+AH$45-SecondIO_IfSupp)),"")</f>
        <v/>
      </c>
      <c r="AI77" s="1732"/>
      <c r="AJ77" s="6"/>
      <c r="AK77" s="6"/>
      <c r="AL77" s="6"/>
      <c r="AM77" s="6"/>
      <c r="AN77" s="6"/>
    </row>
    <row r="78" ht="15" customHeight="1">
      <c r="A78" s="1732"/>
      <c r="B78" s="1169">
        <f>IF('SBL Quotes'!AN34="3rd Supplemental","Amortization of 3rd (After IO)","")</f>
      </c>
      <c r="C78" s="1714"/>
      <c r="D78" s="1715" t="str">
        <f>IF('SBL Quotes'!$AN$34="3rd Supplemental",IF(D$45&gt;ThirdRemTerm_IfSupp,D79,MAX(0,ThirdTerm_IfSupp-ThirdRemTerm_IfSupp+D$45-ThirdIO_IfSupp)),"")</f>
        <v/>
      </c>
      <c r="E78" s="1715" t="str">
        <f>IF('SBL Quotes'!$AN$34="3rd Supplemental",IF(E$45&gt;ThirdRemTerm_IfSupp,D78+E79-D79,MAX(0,ThirdTerm_IfSupp-ThirdRemTerm_IfSupp+E$45-ThirdIO_IfSupp)),"")</f>
        <v/>
      </c>
      <c r="F78" s="1715" t="str">
        <f>IF('SBL Quotes'!$AN$34="3rd Supplemental",IF(F$45&gt;ThirdRemTerm_IfSupp,E78+F79-E79,MAX(0,ThirdTerm_IfSupp-ThirdRemTerm_IfSupp+F$45-ThirdIO_IfSupp)),"")</f>
        <v/>
      </c>
      <c r="G78" s="1715" t="str">
        <f>IF('SBL Quotes'!$AN$34="3rd Supplemental",IF(G$45&gt;ThirdRemTerm_IfSupp,F78+G79-F79,MAX(0,ThirdTerm_IfSupp-ThirdRemTerm_IfSupp+G$45-ThirdIO_IfSupp)),"")</f>
        <v/>
      </c>
      <c r="H78" s="1715" t="str">
        <f>IF('SBL Quotes'!$AN$34="3rd Supplemental",IF(H$45&gt;ThirdRemTerm_IfSupp,G78+H79-G79,MAX(0,ThirdTerm_IfSupp-ThirdRemTerm_IfSupp+H$45-ThirdIO_IfSupp)),"")</f>
        <v/>
      </c>
      <c r="I78" s="1715" t="str">
        <f>IF('SBL Quotes'!$AN$34="3rd Supplemental",IF(I$45&gt;ThirdRemTerm_IfSupp,H78+I79-H79,MAX(0,ThirdTerm_IfSupp-ThirdRemTerm_IfSupp+I$45-ThirdIO_IfSupp)),"")</f>
        <v/>
      </c>
      <c r="J78" s="1715" t="str">
        <f>IF('SBL Quotes'!$AN$34="3rd Supplemental",IF(J$45&gt;ThirdRemTerm_IfSupp,I78+J79-I79,MAX(0,ThirdTerm_IfSupp-ThirdRemTerm_IfSupp+J$45-ThirdIO_IfSupp)),"")</f>
        <v/>
      </c>
      <c r="K78" s="1715" t="str">
        <f>IF('SBL Quotes'!$AN$34="3rd Supplemental",IF(K$45&gt;ThirdRemTerm_IfSupp,J78+K79-J79,MAX(0,ThirdTerm_IfSupp-ThirdRemTerm_IfSupp+K$45-ThirdIO_IfSupp)),"")</f>
        <v/>
      </c>
      <c r="L78" s="1715" t="str">
        <f>IF('SBL Quotes'!$AN$34="3rd Supplemental",IF(L$45&gt;ThirdRemTerm_IfSupp,K78+L79-K79,MAX(0,ThirdTerm_IfSupp-ThirdRemTerm_IfSupp+L$45-ThirdIO_IfSupp)),"")</f>
        <v/>
      </c>
      <c r="M78" s="1715" t="str">
        <f>IF('SBL Quotes'!$AN$34="3rd Supplemental",IF(M$45&gt;ThirdRemTerm_IfSupp,L78+M79-L79,MAX(0,ThirdTerm_IfSupp-ThirdRemTerm_IfSupp+M$45-ThirdIO_IfSupp)),"")</f>
        <v/>
      </c>
      <c r="N78" s="1715" t="str">
        <f>IF('SBL Quotes'!$AN$34="3rd Supplemental",IF(N$45&gt;ThirdRemTerm_IfSupp,M78+N79-M79,MAX(0,ThirdTerm_IfSupp-ThirdRemTerm_IfSupp+N$45-ThirdIO_IfSupp)),"")</f>
        <v/>
      </c>
      <c r="O78" s="1715" t="str">
        <f>IF('SBL Quotes'!$AN$34="3rd Supplemental",IF(O$45&gt;ThirdRemTerm_IfSupp,N78+O79-N79,MAX(0,ThirdTerm_IfSupp-ThirdRemTerm_IfSupp+O$45-ThirdIO_IfSupp)),"")</f>
        <v/>
      </c>
      <c r="P78" s="1715" t="str">
        <f>IF('SBL Quotes'!$AN$34="3rd Supplemental",IF(P$45&gt;ThirdRemTerm_IfSupp,O78+P79-O79,MAX(0,ThirdTerm_IfSupp-ThirdRemTerm_IfSupp+P$45-ThirdIO_IfSupp)),"")</f>
        <v/>
      </c>
      <c r="Q78" s="1715" t="str">
        <f>IF('SBL Quotes'!$AN$34="3rd Supplemental",IF(Q$45&gt;ThirdRemTerm_IfSupp,P78+Q79-P79,MAX(0,ThirdTerm_IfSupp-ThirdRemTerm_IfSupp+Q$45-ThirdIO_IfSupp)),"")</f>
        <v/>
      </c>
      <c r="R78" s="1715" t="str">
        <f>IF('SBL Quotes'!$AN$34="3rd Supplemental",IF(R$45&gt;ThirdRemTerm_IfSupp,Q78+R79-Q79,MAX(0,ThirdTerm_IfSupp-ThirdRemTerm_IfSupp+R$45-ThirdIO_IfSupp)),"")</f>
        <v/>
      </c>
      <c r="S78" s="1715" t="str">
        <f>IF('SBL Quotes'!$AN$34="3rd Supplemental",IF(S$45&gt;ThirdRemTerm_IfSupp,R78+S79-R79,MAX(0,ThirdTerm_IfSupp-ThirdRemTerm_IfSupp+S$45-ThirdIO_IfSupp)),"")</f>
        <v/>
      </c>
      <c r="T78" s="1715" t="str">
        <f>IF('SBL Quotes'!$AN$34="3rd Supplemental",IF(T$45&gt;ThirdRemTerm_IfSupp,S78+T79-S79,MAX(0,ThirdTerm_IfSupp-ThirdRemTerm_IfSupp+T$45-ThirdIO_IfSupp)),"")</f>
        <v/>
      </c>
      <c r="U78" s="1715" t="str">
        <f>IF('SBL Quotes'!$AN$34="3rd Supplemental",IF(U$45&gt;ThirdRemTerm_IfSupp,T78+U79-T79,MAX(0,ThirdTerm_IfSupp-ThirdRemTerm_IfSupp+U$45-ThirdIO_IfSupp)),"")</f>
        <v/>
      </c>
      <c r="V78" s="1715" t="str">
        <f>IF('SBL Quotes'!$AN$34="3rd Supplemental",IF(V$45&gt;ThirdRemTerm_IfSupp,U78+V79-U79,MAX(0,ThirdTerm_IfSupp-ThirdRemTerm_IfSupp+V$45-ThirdIO_IfSupp)),"")</f>
        <v/>
      </c>
      <c r="W78" s="1715" t="str">
        <f>IF('SBL Quotes'!$AN$34="3rd Supplemental",IF(W$45&gt;ThirdRemTerm_IfSupp,V78+W79-V79,MAX(0,ThirdTerm_IfSupp-ThirdRemTerm_IfSupp+W$45-ThirdIO_IfSupp)),"")</f>
        <v/>
      </c>
      <c r="X78" s="1715" t="str">
        <f>IF('SBL Quotes'!$AN$34="3rd Supplemental",IF(X$45&gt;ThirdRemTerm_IfSupp,W78+X79-W79,MAX(0,ThirdTerm_IfSupp-ThirdRemTerm_IfSupp+X$45-ThirdIO_IfSupp)),"")</f>
        <v/>
      </c>
      <c r="Y78" s="1715" t="str">
        <f>IF('SBL Quotes'!$AN$34="3rd Supplemental",IF(Y$45&gt;ThirdRemTerm_IfSupp,X78+Y79-X79,MAX(0,ThirdTerm_IfSupp-ThirdRemTerm_IfSupp+Y$45-ThirdIO_IfSupp)),"")</f>
        <v/>
      </c>
      <c r="Z78" s="1715" t="str">
        <f>IF('SBL Quotes'!$AN$34="3rd Supplemental",IF(Z$45&gt;ThirdRemTerm_IfSupp,Y78+Z79-Y79,MAX(0,ThirdTerm_IfSupp-ThirdRemTerm_IfSupp+Z$45-ThirdIO_IfSupp)),"")</f>
        <v/>
      </c>
      <c r="AA78" s="1715" t="str">
        <f>IF('SBL Quotes'!$AN$34="3rd Supplemental",IF(AA$45&gt;ThirdRemTerm_IfSupp,Z78+AA79-Z79,MAX(0,ThirdTerm_IfSupp-ThirdRemTerm_IfSupp+AA$45-ThirdIO_IfSupp)),"")</f>
        <v/>
      </c>
      <c r="AB78" s="1715" t="str">
        <f>IF('SBL Quotes'!$AN$34="3rd Supplemental",IF(AB$45&gt;ThirdRemTerm_IfSupp,AA78+AB79-AA79,MAX(0,ThirdTerm_IfSupp-ThirdRemTerm_IfSupp+AB$45-ThirdIO_IfSupp)),"")</f>
        <v/>
      </c>
      <c r="AC78" s="1715" t="str">
        <f>IF('SBL Quotes'!$AN$34="3rd Supplemental",IF(AC$45&gt;ThirdRemTerm_IfSupp,AB78+AC79-AB79,MAX(0,ThirdTerm_IfSupp-ThirdRemTerm_IfSupp+AC$45-ThirdIO_IfSupp)),"")</f>
        <v/>
      </c>
      <c r="AD78" s="1715" t="str">
        <f>IF('SBL Quotes'!$AN$34="3rd Supplemental",IF(AD$45&gt;ThirdRemTerm_IfSupp,AC78+AD79-AC79,MAX(0,ThirdTerm_IfSupp-ThirdRemTerm_IfSupp+AD$45-ThirdIO_IfSupp)),"")</f>
        <v/>
      </c>
      <c r="AE78" s="1715" t="str">
        <f>IF('SBL Quotes'!$AN$34="3rd Supplemental",IF(AE$45&gt;ThirdRemTerm_IfSupp,AD78+AE79-AD79,MAX(0,ThirdTerm_IfSupp-ThirdRemTerm_IfSupp+AE$45-ThirdIO_IfSupp)),"")</f>
        <v/>
      </c>
      <c r="AF78" s="1715" t="str">
        <f>IF('SBL Quotes'!$AN$34="3rd Supplemental",IF(AF$45&gt;ThirdRemTerm_IfSupp,AE78+AF79-AE79,MAX(0,ThirdTerm_IfSupp-ThirdRemTerm_IfSupp+AF$45-ThirdIO_IfSupp)),"")</f>
        <v/>
      </c>
      <c r="AG78" s="1715" t="str">
        <f>IF('SBL Quotes'!$AN$34="3rd Supplemental",IF(AG$45&gt;ThirdRemTerm_IfSupp,AF78+AG79-AF79,MAX(0,ThirdTerm_IfSupp-ThirdRemTerm_IfSupp+AG$45-ThirdIO_IfSupp)),"")</f>
        <v/>
      </c>
      <c r="AH78" s="1715" t="str">
        <f>IF('SBL Quotes'!$AN$34="3rd Supplemental",IF(AH$45&gt;ThirdRemTerm_IfSupp,AG78+AH79-AG79,MAX(0,ThirdTerm_IfSupp-ThirdRemTerm_IfSupp+AH$45-ThirdIO_IfSupp)),"")</f>
        <v/>
      </c>
      <c r="AI78" s="1732"/>
      <c r="AJ78" s="6"/>
      <c r="AK78" s="6"/>
      <c r="AL78" s="6"/>
      <c r="AM78" s="6"/>
      <c r="AN78" s="6"/>
    </row>
    <row r="79" ht="15" customHeight="1">
      <c r="A79" s="1732"/>
      <c r="B79" s="1744" t="str">
        <f>IF('SBL Quotes'!AN34="3rd Supplemental","Amortization of 4th (After IO)",IF('SBL Quotes'!AN33="2nd Supplemental","Amortization of 3rd (After IO)",IF('SBL Quotes'!AN32="Supplemental","Amortization of 2nd (After IO)","Amortization of 1st (After IO)")))</f>
        <v>Amortization of 1st (After IO)</v>
      </c>
      <c r="C79" s="1745"/>
      <c r="D79" s="1746" t="e">
        <f t="shared" si="40" ref="D79:AH83">D35</f>
        <v>#NAME?</v>
      </c>
      <c r="E79" s="1746" t="e">
        <f t="shared" si="40"/>
        <v>#NAME?</v>
      </c>
      <c r="F79" s="1746" t="e">
        <f t="shared" si="40"/>
        <v>#NAME?</v>
      </c>
      <c r="G79" s="1746" t="e">
        <f t="shared" si="40"/>
        <v>#NAME?</v>
      </c>
      <c r="H79" s="1746" t="e">
        <f t="shared" si="40"/>
        <v>#NAME?</v>
      </c>
      <c r="I79" s="1746" t="e">
        <f t="shared" si="40"/>
        <v>#NAME?</v>
      </c>
      <c r="J79" s="1746" t="e">
        <f t="shared" si="40"/>
        <v>#NAME?</v>
      </c>
      <c r="K79" s="1746" t="e">
        <f t="shared" si="40"/>
        <v>#NAME?</v>
      </c>
      <c r="L79" s="1746" t="e">
        <f t="shared" si="40"/>
        <v>#NAME?</v>
      </c>
      <c r="M79" s="1746" t="e">
        <f t="shared" si="40"/>
        <v>#NAME?</v>
      </c>
      <c r="N79" s="1746" t="e">
        <f t="shared" si="40"/>
        <v>#NAME?</v>
      </c>
      <c r="O79" s="1746" t="e">
        <f t="shared" si="40"/>
        <v>#NAME?</v>
      </c>
      <c r="P79" s="1746" t="e">
        <f t="shared" si="40"/>
        <v>#NAME?</v>
      </c>
      <c r="Q79" s="1746" t="e">
        <f t="shared" si="40"/>
        <v>#NAME?</v>
      </c>
      <c r="R79" s="1746" t="e">
        <f t="shared" si="40"/>
        <v>#NAME?</v>
      </c>
      <c r="S79" s="1746" t="e">
        <f t="shared" si="40"/>
        <v>#NAME?</v>
      </c>
      <c r="T79" s="1746" t="e">
        <f t="shared" si="40"/>
        <v>#NAME?</v>
      </c>
      <c r="U79" s="1746" t="e">
        <f t="shared" si="40"/>
        <v>#NAME?</v>
      </c>
      <c r="V79" s="1746" t="e">
        <f t="shared" si="40"/>
        <v>#NAME?</v>
      </c>
      <c r="W79" s="1746" t="e">
        <f t="shared" si="40"/>
        <v>#NAME?</v>
      </c>
      <c r="X79" s="1746" t="e">
        <f t="shared" si="40"/>
        <v>#NAME?</v>
      </c>
      <c r="Y79" s="1746" t="e">
        <f t="shared" si="40"/>
        <v>#NAME?</v>
      </c>
      <c r="Z79" s="1746" t="e">
        <f t="shared" si="40"/>
        <v>#NAME?</v>
      </c>
      <c r="AA79" s="1746" t="e">
        <f t="shared" si="40"/>
        <v>#NAME?</v>
      </c>
      <c r="AB79" s="1746" t="e">
        <f t="shared" si="40"/>
        <v>#NAME?</v>
      </c>
      <c r="AC79" s="1746" t="e">
        <f t="shared" si="40"/>
        <v>#NAME?</v>
      </c>
      <c r="AD79" s="1746" t="e">
        <f t="shared" si="40"/>
        <v>#NAME?</v>
      </c>
      <c r="AE79" s="1746" t="e">
        <f t="shared" si="40"/>
        <v>#NAME?</v>
      </c>
      <c r="AF79" s="1746" t="e">
        <f t="shared" si="40"/>
        <v>#NAME?</v>
      </c>
      <c r="AG79" s="1746" t="e">
        <f t="shared" si="40"/>
        <v>#NAME?</v>
      </c>
      <c r="AH79" s="1746" t="e">
        <f t="shared" si="40"/>
        <v>#NAME?</v>
      </c>
      <c r="AI79" s="1732"/>
      <c r="AJ79" s="6"/>
      <c r="AK79" s="6"/>
      <c r="AL79" s="6"/>
      <c r="AM79" s="6"/>
      <c r="AN79" s="6"/>
    </row>
    <row r="80" ht="15" customHeight="1">
      <c r="A80" s="1732"/>
      <c r="B80" s="1169">
        <f>IF('SBL Quotes'!AN32="Supplemental","UPB of 1st","")</f>
      </c>
      <c r="C80" s="1714"/>
      <c r="D80" s="1722" t="str">
        <f>IF('SBL Quotes'!$AN$32="Supplemental",MAX(PV((FirstRate_IfSupp)/12,(FirstAmort_IfSupp-D76)*12,-(FirstDebtService_IfSupp/12)),0),"")</f>
        <v/>
      </c>
      <c r="E80" s="1722" t="str">
        <f>IF('SBL Quotes'!$AN$32="Supplemental",MAX(PV((FirstRate_IfSupp)/12,(FirstAmort_IfSupp-E76)*12,-(FirstDebtService_IfSupp/12)),0),"")</f>
        <v/>
      </c>
      <c r="F80" s="1722" t="str">
        <f>IF('SBL Quotes'!$AN$32="Supplemental",MAX(PV((FirstRate_IfSupp)/12,(FirstAmort_IfSupp-F76)*12,-(FirstDebtService_IfSupp/12)),0),"")</f>
        <v/>
      </c>
      <c r="G80" s="1722" t="str">
        <f>IF('SBL Quotes'!$AN$32="Supplemental",MAX(PV((FirstRate_IfSupp)/12,(FirstAmort_IfSupp-G76)*12,-(FirstDebtService_IfSupp/12)),0),"")</f>
        <v/>
      </c>
      <c r="H80" s="1722" t="str">
        <f>IF('SBL Quotes'!$AN$32="Supplemental",MAX(PV((FirstRate_IfSupp)/12,(FirstAmort_IfSupp-H76)*12,-(FirstDebtService_IfSupp/12)),0),"")</f>
        <v/>
      </c>
      <c r="I80" s="1722" t="str">
        <f>IF('SBL Quotes'!$AN$32="Supplemental",MAX(PV((FirstRate_IfSupp)/12,(FirstAmort_IfSupp-I76)*12,-(FirstDebtService_IfSupp/12)),0),"")</f>
        <v/>
      </c>
      <c r="J80" s="1722" t="str">
        <f>IF('SBL Quotes'!$AN$32="Supplemental",MAX(PV((FirstRate_IfSupp)/12,(FirstAmort_IfSupp-J76)*12,-(FirstDebtService_IfSupp/12)),0),"")</f>
        <v/>
      </c>
      <c r="K80" s="1722" t="str">
        <f>IF('SBL Quotes'!$AN$32="Supplemental",MAX(PV((FirstRate_IfSupp)/12,(FirstAmort_IfSupp-K76)*12,-(FirstDebtService_IfSupp/12)),0),"")</f>
        <v/>
      </c>
      <c r="L80" s="1722" t="str">
        <f>IF('SBL Quotes'!$AN$32="Supplemental",MAX(PV((FirstRate_IfSupp)/12,(FirstAmort_IfSupp-L76)*12,-(FirstDebtService_IfSupp/12)),0),"")</f>
        <v/>
      </c>
      <c r="M80" s="1722" t="str">
        <f>IF('SBL Quotes'!$AN$32="Supplemental",MAX(PV((FirstRate_IfSupp)/12,(FirstAmort_IfSupp-M76)*12,-(FirstDebtService_IfSupp/12)),0),"")</f>
        <v/>
      </c>
      <c r="N80" s="1722" t="str">
        <f>IF('SBL Quotes'!$AN$32="Supplemental",MAX(PV((FirstRate_IfSupp)/12,(FirstAmort_IfSupp-N76)*12,-(FirstDebtService_IfSupp/12)),0),"")</f>
        <v/>
      </c>
      <c r="O80" s="1722" t="str">
        <f>IF('SBL Quotes'!$AN$32="Supplemental",MAX(PV((FirstRate_IfSupp)/12,(FirstAmort_IfSupp-O76)*12,-(FirstDebtService_IfSupp/12)),0),"")</f>
        <v/>
      </c>
      <c r="P80" s="1722" t="str">
        <f>IF('SBL Quotes'!$AN$32="Supplemental",MAX(PV((FirstRate_IfSupp)/12,(FirstAmort_IfSupp-P76)*12,-(FirstDebtService_IfSupp/12)),0),"")</f>
        <v/>
      </c>
      <c r="Q80" s="1722" t="str">
        <f>IF('SBL Quotes'!$AN$32="Supplemental",MAX(PV((FirstRate_IfSupp)/12,(FirstAmort_IfSupp-Q76)*12,-(FirstDebtService_IfSupp/12)),0),"")</f>
        <v/>
      </c>
      <c r="R80" s="1722" t="str">
        <f>IF('SBL Quotes'!$AN$32="Supplemental",MAX(PV((FirstRate_IfSupp)/12,(FirstAmort_IfSupp-R76)*12,-(FirstDebtService_IfSupp/12)),0),"")</f>
        <v/>
      </c>
      <c r="S80" s="1722" t="str">
        <f>IF('SBL Quotes'!$AN$32="Supplemental",MAX(PV((FirstRate_IfSupp)/12,(FirstAmort_IfSupp-S76)*12,-(FirstDebtService_IfSupp/12)),0),"")</f>
        <v/>
      </c>
      <c r="T80" s="1722" t="str">
        <f>IF('SBL Quotes'!$AN$32="Supplemental",MAX(PV((FirstRate_IfSupp)/12,(FirstAmort_IfSupp-T76)*12,-(FirstDebtService_IfSupp/12)),0),"")</f>
        <v/>
      </c>
      <c r="U80" s="1722" t="str">
        <f>IF('SBL Quotes'!$AN$32="Supplemental",MAX(PV((FirstRate_IfSupp)/12,(FirstAmort_IfSupp-U76)*12,-(FirstDebtService_IfSupp/12)),0),"")</f>
        <v/>
      </c>
      <c r="V80" s="1722" t="str">
        <f>IF('SBL Quotes'!$AN$32="Supplemental",MAX(PV((FirstRate_IfSupp)/12,(FirstAmort_IfSupp-V76)*12,-(FirstDebtService_IfSupp/12)),0),"")</f>
        <v/>
      </c>
      <c r="W80" s="1722" t="str">
        <f>IF('SBL Quotes'!$AN$32="Supplemental",MAX(PV((FirstRate_IfSupp)/12,(FirstAmort_IfSupp-W76)*12,-(FirstDebtService_IfSupp/12)),0),"")</f>
        <v/>
      </c>
      <c r="X80" s="1722" t="str">
        <f>IF('SBL Quotes'!$AN$32="Supplemental",MAX(PV((FirstRate_IfSupp)/12,(FirstAmort_IfSupp-X76)*12,-(FirstDebtService_IfSupp/12)),0),"")</f>
        <v/>
      </c>
      <c r="Y80" s="1722" t="str">
        <f>IF('SBL Quotes'!$AN$32="Supplemental",MAX(PV((FirstRate_IfSupp)/12,(FirstAmort_IfSupp-Y76)*12,-(FirstDebtService_IfSupp/12)),0),"")</f>
        <v/>
      </c>
      <c r="Z80" s="1722" t="str">
        <f>IF('SBL Quotes'!$AN$32="Supplemental",MAX(PV((FirstRate_IfSupp)/12,(FirstAmort_IfSupp-Z76)*12,-(FirstDebtService_IfSupp/12)),0),"")</f>
        <v/>
      </c>
      <c r="AA80" s="1722" t="str">
        <f>IF('SBL Quotes'!$AN$32="Supplemental",MAX(PV((FirstRate_IfSupp)/12,(FirstAmort_IfSupp-AA76)*12,-(FirstDebtService_IfSupp/12)),0),"")</f>
        <v/>
      </c>
      <c r="AB80" s="1722" t="str">
        <f>IF('SBL Quotes'!$AN$32="Supplemental",MAX(PV((FirstRate_IfSupp)/12,(FirstAmort_IfSupp-AB76)*12,-(FirstDebtService_IfSupp/12)),0),"")</f>
        <v/>
      </c>
      <c r="AC80" s="1722" t="str">
        <f>IF('SBL Quotes'!$AN$32="Supplemental",MAX(PV((FirstRate_IfSupp)/12,(FirstAmort_IfSupp-AC76)*12,-(FirstDebtService_IfSupp/12)),0),"")</f>
        <v/>
      </c>
      <c r="AD80" s="1722" t="str">
        <f>IF('SBL Quotes'!$AN$32="Supplemental",MAX(PV((FirstRate_IfSupp)/12,(FirstAmort_IfSupp-AD76)*12,-(FirstDebtService_IfSupp/12)),0),"")</f>
        <v/>
      </c>
      <c r="AE80" s="1722" t="str">
        <f>IF('SBL Quotes'!$AN$32="Supplemental",MAX(PV((FirstRate_IfSupp)/12,(FirstAmort_IfSupp-AE76)*12,-(FirstDebtService_IfSupp/12)),0),"")</f>
        <v/>
      </c>
      <c r="AF80" s="1722" t="str">
        <f>IF('SBL Quotes'!$AN$32="Supplemental",MAX(PV((FirstRate_IfSupp)/12,(FirstAmort_IfSupp-AF76)*12,-(FirstDebtService_IfSupp/12)),0),"")</f>
        <v/>
      </c>
      <c r="AG80" s="1722" t="str">
        <f>IF('SBL Quotes'!$AN$32="Supplemental",MAX(PV((FirstRate_IfSupp)/12,(FirstAmort_IfSupp-AG76)*12,-(FirstDebtService_IfSupp/12)),0),"")</f>
        <v/>
      </c>
      <c r="AH80" s="1722" t="str">
        <f>IF('SBL Quotes'!$AN$32="Supplemental",MAX(PV((FirstRate_IfSupp)/12,(FirstAmort_IfSupp-AH76)*12,-(FirstDebtService_IfSupp/12)),0),"")</f>
        <v/>
      </c>
      <c r="AI80" s="1732"/>
      <c r="AJ80" s="6"/>
      <c r="AK80" s="6"/>
      <c r="AL80" s="6"/>
      <c r="AM80" s="6"/>
      <c r="AN80" s="6"/>
    </row>
    <row r="81" ht="15" customHeight="1">
      <c r="A81" s="1732"/>
      <c r="B81" s="1169">
        <f>IF('SBL Quotes'!AN33="2nd Supplemental","UPB of 2nd","")</f>
      </c>
      <c r="C81" s="1714"/>
      <c r="D81" s="1724" t="str">
        <f>IF('SBL Quotes'!$AN$33="2nd Supplemental",MAX(0,PV((SecondRate_IfSupp)/12,(SecondAmort_IfSupp-D77)*12,-(SecondDebtService_IfSupp/12))),"")</f>
        <v/>
      </c>
      <c r="E81" s="1724" t="str">
        <f>IF('SBL Quotes'!$AN$33="2nd Supplemental",MAX(0,PV((SecondRate_IfSupp)/12,(SecondAmort_IfSupp-E77)*12,-(SecondDebtService_IfSupp/12))),"")</f>
        <v/>
      </c>
      <c r="F81" s="1724" t="str">
        <f>IF('SBL Quotes'!$AN$33="2nd Supplemental",MAX(0,PV((SecondRate_IfSupp)/12,(SecondAmort_IfSupp-F77)*12,-(SecondDebtService_IfSupp/12))),"")</f>
        <v/>
      </c>
      <c r="G81" s="1724" t="str">
        <f>IF('SBL Quotes'!$AN$33="2nd Supplemental",MAX(0,PV((SecondRate_IfSupp)/12,(SecondAmort_IfSupp-G77)*12,-(SecondDebtService_IfSupp/12))),"")</f>
        <v/>
      </c>
      <c r="H81" s="1724" t="str">
        <f>IF('SBL Quotes'!$AN$33="2nd Supplemental",MAX(0,PV((SecondRate_IfSupp)/12,(SecondAmort_IfSupp-H77)*12,-(SecondDebtService_IfSupp/12))),"")</f>
        <v/>
      </c>
      <c r="I81" s="1724" t="str">
        <f>IF('SBL Quotes'!$AN$33="2nd Supplemental",MAX(0,PV((SecondRate_IfSupp)/12,(SecondAmort_IfSupp-I77)*12,-(SecondDebtService_IfSupp/12))),"")</f>
        <v/>
      </c>
      <c r="J81" s="1724" t="str">
        <f>IF('SBL Quotes'!$AN$33="2nd Supplemental",MAX(0,PV((SecondRate_IfSupp)/12,(SecondAmort_IfSupp-J77)*12,-(SecondDebtService_IfSupp/12))),"")</f>
        <v/>
      </c>
      <c r="K81" s="1724" t="str">
        <f>IF('SBL Quotes'!$AN$33="2nd Supplemental",MAX(0,PV((SecondRate_IfSupp)/12,(SecondAmort_IfSupp-K77)*12,-(SecondDebtService_IfSupp/12))),"")</f>
        <v/>
      </c>
      <c r="L81" s="1724" t="str">
        <f>IF('SBL Quotes'!$AN$33="2nd Supplemental",MAX(0,PV((SecondRate_IfSupp)/12,(SecondAmort_IfSupp-L77)*12,-(SecondDebtService_IfSupp/12))),"")</f>
        <v/>
      </c>
      <c r="M81" s="1724" t="str">
        <f>IF('SBL Quotes'!$AN$33="2nd Supplemental",MAX(0,PV((SecondRate_IfSupp)/12,(SecondAmort_IfSupp-M77)*12,-(SecondDebtService_IfSupp/12))),"")</f>
        <v/>
      </c>
      <c r="N81" s="1724" t="str">
        <f>IF('SBL Quotes'!$AN$33="2nd Supplemental",MAX(0,PV((SecondRate_IfSupp)/12,(SecondAmort_IfSupp-N77)*12,-(SecondDebtService_IfSupp/12))),"")</f>
        <v/>
      </c>
      <c r="O81" s="1724" t="str">
        <f>IF('SBL Quotes'!$AN$33="2nd Supplemental",MAX(0,PV((SecondRate_IfSupp)/12,(SecondAmort_IfSupp-O77)*12,-(SecondDebtService_IfSupp/12))),"")</f>
        <v/>
      </c>
      <c r="P81" s="1724" t="str">
        <f>IF('SBL Quotes'!$AN$33="2nd Supplemental",MAX(0,PV((SecondRate_IfSupp)/12,(SecondAmort_IfSupp-P77)*12,-(SecondDebtService_IfSupp/12))),"")</f>
        <v/>
      </c>
      <c r="Q81" s="1724" t="str">
        <f>IF('SBL Quotes'!$AN$33="2nd Supplemental",MAX(0,PV((SecondRate_IfSupp)/12,(SecondAmort_IfSupp-Q77)*12,-(SecondDebtService_IfSupp/12))),"")</f>
        <v/>
      </c>
      <c r="R81" s="1724" t="str">
        <f>IF('SBL Quotes'!$AN$33="2nd Supplemental",MAX(0,PV((SecondRate_IfSupp)/12,(SecondAmort_IfSupp-R77)*12,-(SecondDebtService_IfSupp/12))),"")</f>
        <v/>
      </c>
      <c r="S81" s="1724" t="str">
        <f>IF('SBL Quotes'!$AN$33="2nd Supplemental",MAX(0,PV((SecondRate_IfSupp)/12,(SecondAmort_IfSupp-S77)*12,-(SecondDebtService_IfSupp/12))),"")</f>
        <v/>
      </c>
      <c r="T81" s="1724" t="str">
        <f>IF('SBL Quotes'!$AN$33="2nd Supplemental",MAX(0,PV((SecondRate_IfSupp)/12,(SecondAmort_IfSupp-T77)*12,-(SecondDebtService_IfSupp/12))),"")</f>
        <v/>
      </c>
      <c r="U81" s="1724" t="str">
        <f>IF('SBL Quotes'!$AN$33="2nd Supplemental",MAX(0,PV((SecondRate_IfSupp)/12,(SecondAmort_IfSupp-U77)*12,-(SecondDebtService_IfSupp/12))),"")</f>
        <v/>
      </c>
      <c r="V81" s="1724" t="str">
        <f>IF('SBL Quotes'!$AN$33="2nd Supplemental",MAX(0,PV((SecondRate_IfSupp)/12,(SecondAmort_IfSupp-V77)*12,-(SecondDebtService_IfSupp/12))),"")</f>
        <v/>
      </c>
      <c r="W81" s="1724" t="str">
        <f>IF('SBL Quotes'!$AN$33="2nd Supplemental",MAX(0,PV((SecondRate_IfSupp)/12,(SecondAmort_IfSupp-W77)*12,-(SecondDebtService_IfSupp/12))),"")</f>
        <v/>
      </c>
      <c r="X81" s="1724" t="str">
        <f>IF('SBL Quotes'!$AN$33="2nd Supplemental",MAX(0,PV((SecondRate_IfSupp)/12,(SecondAmort_IfSupp-X77)*12,-(SecondDebtService_IfSupp/12))),"")</f>
        <v/>
      </c>
      <c r="Y81" s="1724" t="str">
        <f>IF('SBL Quotes'!$AN$33="2nd Supplemental",MAX(0,PV((SecondRate_IfSupp)/12,(SecondAmort_IfSupp-Y77)*12,-(SecondDebtService_IfSupp/12))),"")</f>
        <v/>
      </c>
      <c r="Z81" s="1724" t="str">
        <f>IF('SBL Quotes'!$AN$33="2nd Supplemental",MAX(0,PV((SecondRate_IfSupp)/12,(SecondAmort_IfSupp-Z77)*12,-(SecondDebtService_IfSupp/12))),"")</f>
        <v/>
      </c>
      <c r="AA81" s="1724" t="str">
        <f>IF('SBL Quotes'!$AN$33="2nd Supplemental",MAX(0,PV((SecondRate_IfSupp)/12,(SecondAmort_IfSupp-AA77)*12,-(SecondDebtService_IfSupp/12))),"")</f>
        <v/>
      </c>
      <c r="AB81" s="1724" t="str">
        <f>IF('SBL Quotes'!$AN$33="2nd Supplemental",MAX(0,PV((SecondRate_IfSupp)/12,(SecondAmort_IfSupp-AB77)*12,-(SecondDebtService_IfSupp/12))),"")</f>
        <v/>
      </c>
      <c r="AC81" s="1724" t="str">
        <f>IF('SBL Quotes'!$AN$33="2nd Supplemental",MAX(0,PV((SecondRate_IfSupp)/12,(SecondAmort_IfSupp-AC77)*12,-(SecondDebtService_IfSupp/12))),"")</f>
        <v/>
      </c>
      <c r="AD81" s="1724" t="str">
        <f>IF('SBL Quotes'!$AN$33="2nd Supplemental",MAX(0,PV((SecondRate_IfSupp)/12,(SecondAmort_IfSupp-AD77)*12,-(SecondDebtService_IfSupp/12))),"")</f>
        <v/>
      </c>
      <c r="AE81" s="1724" t="str">
        <f>IF('SBL Quotes'!$AN$33="2nd Supplemental",MAX(0,PV((SecondRate_IfSupp)/12,(SecondAmort_IfSupp-AE77)*12,-(SecondDebtService_IfSupp/12))),"")</f>
        <v/>
      </c>
      <c r="AF81" s="1724" t="str">
        <f>IF('SBL Quotes'!$AN$33="2nd Supplemental",MAX(0,PV((SecondRate_IfSupp)/12,(SecondAmort_IfSupp-AF77)*12,-(SecondDebtService_IfSupp/12))),"")</f>
        <v/>
      </c>
      <c r="AG81" s="1724" t="str">
        <f>IF('SBL Quotes'!$AN$33="2nd Supplemental",MAX(0,PV((SecondRate_IfSupp)/12,(SecondAmort_IfSupp-AG77)*12,-(SecondDebtService_IfSupp/12))),"")</f>
        <v/>
      </c>
      <c r="AH81" s="1724" t="str">
        <f>IF('SBL Quotes'!$AN$33="2nd Supplemental",MAX(0,PV((SecondRate_IfSupp)/12,(SecondAmort_IfSupp-AH77)*12,-(SecondDebtService_IfSupp/12))),"")</f>
        <v/>
      </c>
      <c r="AI81" s="1732"/>
      <c r="AJ81" s="6"/>
      <c r="AK81" s="6"/>
      <c r="AL81" s="6"/>
      <c r="AM81" s="6"/>
      <c r="AN81" s="6"/>
    </row>
    <row r="82" ht="15" customHeight="1">
      <c r="A82" s="1732"/>
      <c r="B82" s="1169">
        <f>IF('SBL Quotes'!AN34="3rd Supplemental","UPB of 3rd","")</f>
      </c>
      <c r="C82" s="1714"/>
      <c r="D82" s="1724" t="str">
        <f>IF('SBL Quotes'!$AN$34="3rd Supplemental",MAX(0,PV((ThirdRate_IfSupp)/12,(ThirdAmort_IfSupp-D78)*12,-(ThirdDebtService_IfSupp/12))),"")</f>
        <v/>
      </c>
      <c r="E82" s="1724" t="str">
        <f>IF('SBL Quotes'!$AN$34="3rd Supplemental",MAX(0,PV((ThirdRate_IfSupp)/12,(ThirdAmort_IfSupp-E78)*12,-(ThirdDebtService_IfSupp/12))),"")</f>
        <v/>
      </c>
      <c r="F82" s="1724" t="str">
        <f>IF('SBL Quotes'!$AN$34="3rd Supplemental",MAX(0,PV((ThirdRate_IfSupp)/12,(ThirdAmort_IfSupp-F78)*12,-(ThirdDebtService_IfSupp/12))),"")</f>
        <v/>
      </c>
      <c r="G82" s="1724" t="str">
        <f>IF('SBL Quotes'!$AN$34="3rd Supplemental",MAX(0,PV((ThirdRate_IfSupp)/12,(ThirdAmort_IfSupp-G78)*12,-(ThirdDebtService_IfSupp/12))),"")</f>
        <v/>
      </c>
      <c r="H82" s="1724" t="str">
        <f>IF('SBL Quotes'!$AN$34="3rd Supplemental",MAX(0,PV((ThirdRate_IfSupp)/12,(ThirdAmort_IfSupp-H78)*12,-(ThirdDebtService_IfSupp/12))),"")</f>
        <v/>
      </c>
      <c r="I82" s="1724" t="str">
        <f>IF('SBL Quotes'!$AN$34="3rd Supplemental",MAX(0,PV((ThirdRate_IfSupp)/12,(ThirdAmort_IfSupp-I78)*12,-(ThirdDebtService_IfSupp/12))),"")</f>
        <v/>
      </c>
      <c r="J82" s="1724" t="str">
        <f>IF('SBL Quotes'!$AN$34="3rd Supplemental",MAX(0,PV((ThirdRate_IfSupp)/12,(ThirdAmort_IfSupp-J78)*12,-(ThirdDebtService_IfSupp/12))),"")</f>
        <v/>
      </c>
      <c r="K82" s="1724" t="str">
        <f>IF('SBL Quotes'!$AN$34="3rd Supplemental",MAX(0,PV((ThirdRate_IfSupp)/12,(ThirdAmort_IfSupp-K78)*12,-(ThirdDebtService_IfSupp/12))),"")</f>
        <v/>
      </c>
      <c r="L82" s="1724" t="str">
        <f>IF('SBL Quotes'!$AN$34="3rd Supplemental",MAX(0,PV((ThirdRate_IfSupp)/12,(ThirdAmort_IfSupp-L78)*12,-(ThirdDebtService_IfSupp/12))),"")</f>
        <v/>
      </c>
      <c r="M82" s="1724" t="str">
        <f>IF('SBL Quotes'!$AN$34="3rd Supplemental",MAX(0,PV((ThirdRate_IfSupp)/12,(ThirdAmort_IfSupp-M78)*12,-(ThirdDebtService_IfSupp/12))),"")</f>
        <v/>
      </c>
      <c r="N82" s="1724" t="str">
        <f>IF('SBL Quotes'!$AN$34="3rd Supplemental",MAX(0,PV((ThirdRate_IfSupp)/12,(ThirdAmort_IfSupp-N78)*12,-(ThirdDebtService_IfSupp/12))),"")</f>
        <v/>
      </c>
      <c r="O82" s="1724" t="str">
        <f>IF('SBL Quotes'!$AN$34="3rd Supplemental",MAX(0,PV((ThirdRate_IfSupp)/12,(ThirdAmort_IfSupp-O78)*12,-(ThirdDebtService_IfSupp/12))),"")</f>
        <v/>
      </c>
      <c r="P82" s="1724" t="str">
        <f>IF('SBL Quotes'!$AN$34="3rd Supplemental",MAX(0,PV((ThirdRate_IfSupp)/12,(ThirdAmort_IfSupp-P78)*12,-(ThirdDebtService_IfSupp/12))),"")</f>
        <v/>
      </c>
      <c r="Q82" s="1724" t="str">
        <f>IF('SBL Quotes'!$AN$34="3rd Supplemental",MAX(0,PV((ThirdRate_IfSupp)/12,(ThirdAmort_IfSupp-Q78)*12,-(ThirdDebtService_IfSupp/12))),"")</f>
        <v/>
      </c>
      <c r="R82" s="1724" t="str">
        <f>IF('SBL Quotes'!$AN$34="3rd Supplemental",MAX(0,PV((ThirdRate_IfSupp)/12,(ThirdAmort_IfSupp-R78)*12,-(ThirdDebtService_IfSupp/12))),"")</f>
        <v/>
      </c>
      <c r="S82" s="1724" t="str">
        <f>IF('SBL Quotes'!$AN$34="3rd Supplemental",MAX(0,PV((ThirdRate_IfSupp)/12,(ThirdAmort_IfSupp-S78)*12,-(ThirdDebtService_IfSupp/12))),"")</f>
        <v/>
      </c>
      <c r="T82" s="1724" t="str">
        <f>IF('SBL Quotes'!$AN$34="3rd Supplemental",MAX(0,PV((ThirdRate_IfSupp)/12,(ThirdAmort_IfSupp-T78)*12,-(ThirdDebtService_IfSupp/12))),"")</f>
        <v/>
      </c>
      <c r="U82" s="1724" t="str">
        <f>IF('SBL Quotes'!$AN$34="3rd Supplemental",MAX(0,PV((ThirdRate_IfSupp)/12,(ThirdAmort_IfSupp-U78)*12,-(ThirdDebtService_IfSupp/12))),"")</f>
        <v/>
      </c>
      <c r="V82" s="1724" t="str">
        <f>IF('SBL Quotes'!$AN$34="3rd Supplemental",MAX(0,PV((ThirdRate_IfSupp)/12,(ThirdAmort_IfSupp-V78)*12,-(ThirdDebtService_IfSupp/12))),"")</f>
        <v/>
      </c>
      <c r="W82" s="1724" t="str">
        <f>IF('SBL Quotes'!$AN$34="3rd Supplemental",MAX(0,PV((ThirdRate_IfSupp)/12,(ThirdAmort_IfSupp-W78)*12,-(ThirdDebtService_IfSupp/12))),"")</f>
        <v/>
      </c>
      <c r="X82" s="1724" t="str">
        <f>IF('SBL Quotes'!$AN$34="3rd Supplemental",MAX(0,PV((ThirdRate_IfSupp)/12,(ThirdAmort_IfSupp-X78)*12,-(ThirdDebtService_IfSupp/12))),"")</f>
        <v/>
      </c>
      <c r="Y82" s="1724" t="str">
        <f>IF('SBL Quotes'!$AN$34="3rd Supplemental",MAX(0,PV((ThirdRate_IfSupp)/12,(ThirdAmort_IfSupp-Y78)*12,-(ThirdDebtService_IfSupp/12))),"")</f>
        <v/>
      </c>
      <c r="Z82" s="1724" t="str">
        <f>IF('SBL Quotes'!$AN$34="3rd Supplemental",MAX(0,PV((ThirdRate_IfSupp)/12,(ThirdAmort_IfSupp-Z78)*12,-(ThirdDebtService_IfSupp/12))),"")</f>
        <v/>
      </c>
      <c r="AA82" s="1724" t="str">
        <f>IF('SBL Quotes'!$AN$34="3rd Supplemental",MAX(0,PV((ThirdRate_IfSupp)/12,(ThirdAmort_IfSupp-AA78)*12,-(ThirdDebtService_IfSupp/12))),"")</f>
        <v/>
      </c>
      <c r="AB82" s="1724" t="str">
        <f>IF('SBL Quotes'!$AN$34="3rd Supplemental",MAX(0,PV((ThirdRate_IfSupp)/12,(ThirdAmort_IfSupp-AB78)*12,-(ThirdDebtService_IfSupp/12))),"")</f>
        <v/>
      </c>
      <c r="AC82" s="1724" t="str">
        <f>IF('SBL Quotes'!$AN$34="3rd Supplemental",MAX(0,PV((ThirdRate_IfSupp)/12,(ThirdAmort_IfSupp-AC78)*12,-(ThirdDebtService_IfSupp/12))),"")</f>
        <v/>
      </c>
      <c r="AD82" s="1724" t="str">
        <f>IF('SBL Quotes'!$AN$34="3rd Supplemental",MAX(0,PV((ThirdRate_IfSupp)/12,(ThirdAmort_IfSupp-AD78)*12,-(ThirdDebtService_IfSupp/12))),"")</f>
        <v/>
      </c>
      <c r="AE82" s="1724" t="str">
        <f>IF('SBL Quotes'!$AN$34="3rd Supplemental",MAX(0,PV((ThirdRate_IfSupp)/12,(ThirdAmort_IfSupp-AE78)*12,-(ThirdDebtService_IfSupp/12))),"")</f>
        <v/>
      </c>
      <c r="AF82" s="1724" t="str">
        <f>IF('SBL Quotes'!$AN$34="3rd Supplemental",MAX(0,PV((ThirdRate_IfSupp)/12,(ThirdAmort_IfSupp-AF78)*12,-(ThirdDebtService_IfSupp/12))),"")</f>
        <v/>
      </c>
      <c r="AG82" s="1724" t="str">
        <f>IF('SBL Quotes'!$AN$34="3rd Supplemental",MAX(0,PV((ThirdRate_IfSupp)/12,(ThirdAmort_IfSupp-AG78)*12,-(ThirdDebtService_IfSupp/12))),"")</f>
        <v/>
      </c>
      <c r="AH82" s="1724" t="str">
        <f>IF('SBL Quotes'!$AN$34="3rd Supplemental",MAX(0,PV((ThirdRate_IfSupp)/12,(ThirdAmort_IfSupp-AH78)*12,-(ThirdDebtService_IfSupp/12))),"")</f>
        <v/>
      </c>
      <c r="AI82" s="1732"/>
      <c r="AJ82" s="6"/>
      <c r="AK82" s="6"/>
      <c r="AL82" s="6"/>
      <c r="AM82" s="6"/>
      <c r="AN82" s="6"/>
    </row>
    <row r="83" ht="15" customHeight="1">
      <c r="A83" s="1732"/>
      <c r="B83" s="1744" t="str">
        <f>IF('SBL Quotes'!AN34="3rd Supplemental","UPB of 4th",IF('SBL Quotes'!AN33="2nd Supplemental","UPB of 3rd",IF('SBL Quotes'!AN32="Supplemental","UPB of 2nd","UPB of 1st")))</f>
        <v>UPB of 1st</v>
      </c>
      <c r="C83" s="1745"/>
      <c r="D83" s="1747" t="e">
        <f t="shared" si="40"/>
        <v>#NAME?</v>
      </c>
      <c r="E83" s="1747" t="e">
        <f t="shared" si="40"/>
        <v>#NAME?</v>
      </c>
      <c r="F83" s="1747" t="e">
        <f t="shared" si="40"/>
        <v>#NAME?</v>
      </c>
      <c r="G83" s="1747" t="e">
        <f t="shared" si="40"/>
        <v>#NAME?</v>
      </c>
      <c r="H83" s="1747" t="e">
        <f t="shared" si="40"/>
        <v>#NAME?</v>
      </c>
      <c r="I83" s="1747" t="e">
        <f t="shared" si="40"/>
        <v>#NAME?</v>
      </c>
      <c r="J83" s="1747" t="e">
        <f t="shared" si="40"/>
        <v>#NAME?</v>
      </c>
      <c r="K83" s="1747" t="e">
        <f t="shared" si="40"/>
        <v>#NAME?</v>
      </c>
      <c r="L83" s="1747" t="e">
        <f t="shared" si="40"/>
        <v>#NAME?</v>
      </c>
      <c r="M83" s="1747" t="e">
        <f t="shared" si="40"/>
        <v>#NAME?</v>
      </c>
      <c r="N83" s="1747" t="e">
        <f t="shared" si="40"/>
        <v>#NAME?</v>
      </c>
      <c r="O83" s="1747" t="e">
        <f t="shared" si="40"/>
        <v>#NAME?</v>
      </c>
      <c r="P83" s="1747" t="e">
        <f t="shared" si="40"/>
        <v>#NAME?</v>
      </c>
      <c r="Q83" s="1747" t="e">
        <f t="shared" si="40"/>
        <v>#NAME?</v>
      </c>
      <c r="R83" s="1747" t="e">
        <f t="shared" si="40"/>
        <v>#NAME?</v>
      </c>
      <c r="S83" s="1747" t="e">
        <f t="shared" si="40"/>
        <v>#NAME?</v>
      </c>
      <c r="T83" s="1747" t="e">
        <f t="shared" si="40"/>
        <v>#NAME?</v>
      </c>
      <c r="U83" s="1747" t="e">
        <f t="shared" si="40"/>
        <v>#NAME?</v>
      </c>
      <c r="V83" s="1747" t="e">
        <f t="shared" si="40"/>
        <v>#NAME?</v>
      </c>
      <c r="W83" s="1747" t="e">
        <f t="shared" si="40"/>
        <v>#NAME?</v>
      </c>
      <c r="X83" s="1747" t="e">
        <f t="shared" si="40"/>
        <v>#NAME?</v>
      </c>
      <c r="Y83" s="1747" t="e">
        <f t="shared" si="40"/>
        <v>#NAME?</v>
      </c>
      <c r="Z83" s="1747" t="e">
        <f t="shared" si="40"/>
        <v>#NAME?</v>
      </c>
      <c r="AA83" s="1747" t="e">
        <f t="shared" si="40"/>
        <v>#NAME?</v>
      </c>
      <c r="AB83" s="1747" t="e">
        <f t="shared" si="40"/>
        <v>#NAME?</v>
      </c>
      <c r="AC83" s="1747" t="e">
        <f t="shared" si="40"/>
        <v>#NAME?</v>
      </c>
      <c r="AD83" s="1747" t="e">
        <f t="shared" si="40"/>
        <v>#NAME?</v>
      </c>
      <c r="AE83" s="1747" t="e">
        <f t="shared" si="40"/>
        <v>#NAME?</v>
      </c>
      <c r="AF83" s="1747" t="e">
        <f t="shared" si="40"/>
        <v>#NAME?</v>
      </c>
      <c r="AG83" s="1747" t="e">
        <f t="shared" si="40"/>
        <v>#NAME?</v>
      </c>
      <c r="AH83" s="1747" t="e">
        <f t="shared" si="40"/>
        <v>#NAME?</v>
      </c>
      <c r="AI83" s="1732"/>
      <c r="AJ83" s="6"/>
      <c r="AK83" s="6"/>
      <c r="AL83" s="6"/>
      <c r="AM83" s="6"/>
      <c r="AN83" s="6"/>
    </row>
    <row r="84" ht="15" customHeight="1">
      <c r="A84" s="1732"/>
      <c r="B84" s="1655" t="s">
        <v>1437</v>
      </c>
      <c r="C84" s="6"/>
      <c r="D84" s="1726" t="e">
        <f t="shared" si="6"/>
        <v>#NAME?</v>
      </c>
      <c r="E84" s="1726" t="e">
        <f t="shared" si="6"/>
        <v>#NAME?</v>
      </c>
      <c r="F84" s="1726" t="e">
        <f t="shared" si="6"/>
        <v>#NAME?</v>
      </c>
      <c r="G84" s="1726" t="e">
        <f t="shared" si="6"/>
        <v>#NAME?</v>
      </c>
      <c r="H84" s="1726" t="e">
        <f t="shared" si="6"/>
        <v>#NAME?</v>
      </c>
      <c r="I84" s="1726" t="e">
        <f t="shared" si="6"/>
        <v>#NAME?</v>
      </c>
      <c r="J84" s="1726" t="e">
        <f t="shared" si="6"/>
        <v>#NAME?</v>
      </c>
      <c r="K84" s="1726" t="e">
        <f t="shared" si="6"/>
        <v>#NAME?</v>
      </c>
      <c r="L84" s="1726" t="e">
        <f t="shared" si="6"/>
        <v>#NAME?</v>
      </c>
      <c r="M84" s="1726" t="e">
        <f t="shared" si="6"/>
        <v>#NAME?</v>
      </c>
      <c r="N84" s="1726" t="e">
        <f t="shared" si="6"/>
        <v>#NAME?</v>
      </c>
      <c r="O84" s="1726" t="e">
        <f t="shared" si="6"/>
        <v>#NAME?</v>
      </c>
      <c r="P84" s="1726" t="e">
        <f t="shared" si="6"/>
        <v>#NAME?</v>
      </c>
      <c r="Q84" s="1726" t="e">
        <f t="shared" si="6"/>
        <v>#NAME?</v>
      </c>
      <c r="R84" s="1726" t="e">
        <f t="shared" si="6"/>
        <v>#NAME?</v>
      </c>
      <c r="S84" s="1726" t="e">
        <f t="shared" si="6"/>
        <v>#NAME?</v>
      </c>
      <c r="T84" s="1726" t="e">
        <f t="shared" si="6"/>
        <v>#NAME?</v>
      </c>
      <c r="U84" s="1726" t="e">
        <f t="shared" si="6"/>
        <v>#NAME?</v>
      </c>
      <c r="V84" s="1726" t="e">
        <f t="shared" si="6"/>
        <v>#NAME?</v>
      </c>
      <c r="W84" s="1726" t="e">
        <f t="shared" si="6"/>
        <v>#NAME?</v>
      </c>
      <c r="X84" s="1726" t="e">
        <f t="shared" si="6"/>
        <v>#NAME?</v>
      </c>
      <c r="Y84" s="1726" t="e">
        <f t="shared" si="6"/>
        <v>#NAME?</v>
      </c>
      <c r="Z84" s="1726" t="e">
        <f t="shared" si="6"/>
        <v>#NAME?</v>
      </c>
      <c r="AA84" s="1726" t="e">
        <f t="shared" si="6"/>
        <v>#NAME?</v>
      </c>
      <c r="AB84" s="1726" t="e">
        <f t="shared" si="6"/>
        <v>#NAME?</v>
      </c>
      <c r="AC84" s="1726" t="e">
        <f t="shared" si="6"/>
        <v>#NAME?</v>
      </c>
      <c r="AD84" s="1726" t="e">
        <f t="shared" si="6"/>
        <v>#NAME?</v>
      </c>
      <c r="AE84" s="1726" t="e">
        <f t="shared" si="6"/>
        <v>#NAME?</v>
      </c>
      <c r="AF84" s="1726" t="e">
        <f t="shared" si="6"/>
        <v>#NAME?</v>
      </c>
      <c r="AG84" s="1726" t="e">
        <f t="shared" si="6"/>
        <v>#NAME?</v>
      </c>
      <c r="AH84" s="1726" t="e">
        <f t="shared" si="6"/>
        <v>#NAME?</v>
      </c>
      <c r="AI84" s="1732"/>
      <c r="AJ84" s="6"/>
      <c r="AK84" s="6"/>
      <c r="AL84" s="6"/>
      <c r="AM84" s="6"/>
      <c r="AN84" s="6"/>
    </row>
    <row r="85" ht="15" customHeight="1">
      <c r="A85" s="1732"/>
      <c r="B85" s="613" t="s">
        <v>1438</v>
      </c>
      <c r="C85" s="6"/>
      <c r="D85" s="1554">
        <f t="shared" si="41" ref="D85:AH85">_xlfn.IFERROR(IF(D73&gt;0,D73/(D84*PMT($AM$25/12,$AM$26*12,-1)*12),0),0)</f>
        <v>0</v>
      </c>
      <c r="E85" s="1554">
        <f t="shared" si="41"/>
        <v>0</v>
      </c>
      <c r="F85" s="1554">
        <f t="shared" si="41"/>
        <v>0</v>
      </c>
      <c r="G85" s="1554">
        <f t="shared" si="41"/>
        <v>0</v>
      </c>
      <c r="H85" s="1554">
        <f t="shared" si="41"/>
        <v>0</v>
      </c>
      <c r="I85" s="1554">
        <f t="shared" si="41"/>
        <v>0</v>
      </c>
      <c r="J85" s="1554">
        <f t="shared" si="41"/>
        <v>0</v>
      </c>
      <c r="K85" s="1554">
        <f t="shared" si="41"/>
        <v>0</v>
      </c>
      <c r="L85" s="1554">
        <f t="shared" si="41"/>
        <v>0</v>
      </c>
      <c r="M85" s="1554">
        <f t="shared" si="41"/>
        <v>0</v>
      </c>
      <c r="N85" s="1554">
        <f t="shared" si="41"/>
        <v>0</v>
      </c>
      <c r="O85" s="1554">
        <f t="shared" si="41"/>
        <v>0</v>
      </c>
      <c r="P85" s="1554">
        <f t="shared" si="41"/>
        <v>0</v>
      </c>
      <c r="Q85" s="1554">
        <f t="shared" si="41"/>
        <v>0</v>
      </c>
      <c r="R85" s="1554">
        <f t="shared" si="41"/>
        <v>0</v>
      </c>
      <c r="S85" s="1554">
        <f t="shared" si="41"/>
        <v>0</v>
      </c>
      <c r="T85" s="1554">
        <f t="shared" si="41"/>
        <v>0</v>
      </c>
      <c r="U85" s="1554">
        <f t="shared" si="41"/>
        <v>0</v>
      </c>
      <c r="V85" s="1554">
        <f t="shared" si="41"/>
        <v>0</v>
      </c>
      <c r="W85" s="1554">
        <f t="shared" si="41"/>
        <v>0</v>
      </c>
      <c r="X85" s="1554">
        <f t="shared" si="41"/>
        <v>0</v>
      </c>
      <c r="Y85" s="1554">
        <f t="shared" si="41"/>
        <v>0</v>
      </c>
      <c r="Z85" s="1554">
        <f t="shared" si="41"/>
        <v>0</v>
      </c>
      <c r="AA85" s="1554">
        <f t="shared" si="41"/>
        <v>0</v>
      </c>
      <c r="AB85" s="1554">
        <f t="shared" si="41"/>
        <v>0</v>
      </c>
      <c r="AC85" s="1554">
        <f t="shared" si="41"/>
        <v>0</v>
      </c>
      <c r="AD85" s="1554">
        <f t="shared" si="41"/>
        <v>0</v>
      </c>
      <c r="AE85" s="1554">
        <f t="shared" si="41"/>
        <v>0</v>
      </c>
      <c r="AF85" s="1554">
        <f t="shared" si="41"/>
        <v>0</v>
      </c>
      <c r="AG85" s="1554">
        <f t="shared" si="41"/>
        <v>0</v>
      </c>
      <c r="AH85" s="1554">
        <f t="shared" si="41"/>
        <v>0</v>
      </c>
      <c r="AI85" s="1732"/>
      <c r="AJ85" s="6"/>
      <c r="AK85" s="6"/>
      <c r="AL85" s="6"/>
      <c r="AM85" s="6"/>
      <c r="AN85" s="6"/>
    </row>
    <row r="86" ht="15" customHeight="1">
      <c r="A86" s="1732"/>
      <c r="B86" s="1728">
        <f>AM20</f>
        <v>0.07</v>
      </c>
      <c r="C86" s="9"/>
      <c r="D86" s="1729">
        <f t="shared" si="42" ref="D86:AH86">IF(D73&gt;0,D73/$B$86,0)</f>
        <v>0</v>
      </c>
      <c r="E86" s="1729">
        <f t="shared" si="42"/>
        <v>0</v>
      </c>
      <c r="F86" s="1729">
        <f t="shared" si="42"/>
        <v>0</v>
      </c>
      <c r="G86" s="1729">
        <f t="shared" si="42"/>
        <v>0</v>
      </c>
      <c r="H86" s="1729">
        <f t="shared" si="42"/>
        <v>0</v>
      </c>
      <c r="I86" s="1729">
        <f t="shared" si="42"/>
        <v>0</v>
      </c>
      <c r="J86" s="1729">
        <f t="shared" si="42"/>
        <v>0</v>
      </c>
      <c r="K86" s="1729">
        <f t="shared" si="42"/>
        <v>0</v>
      </c>
      <c r="L86" s="1729">
        <f t="shared" si="42"/>
        <v>0</v>
      </c>
      <c r="M86" s="1729">
        <f t="shared" si="42"/>
        <v>0</v>
      </c>
      <c r="N86" s="1729">
        <f t="shared" si="42"/>
        <v>0</v>
      </c>
      <c r="O86" s="1729">
        <f t="shared" si="42"/>
        <v>0</v>
      </c>
      <c r="P86" s="1729">
        <f t="shared" si="42"/>
        <v>0</v>
      </c>
      <c r="Q86" s="1729">
        <f t="shared" si="42"/>
        <v>0</v>
      </c>
      <c r="R86" s="1729">
        <f t="shared" si="42"/>
        <v>0</v>
      </c>
      <c r="S86" s="1729">
        <f t="shared" si="42"/>
        <v>0</v>
      </c>
      <c r="T86" s="1729">
        <f t="shared" si="42"/>
        <v>0</v>
      </c>
      <c r="U86" s="1729">
        <f t="shared" si="42"/>
        <v>0</v>
      </c>
      <c r="V86" s="1729">
        <f t="shared" si="42"/>
        <v>0</v>
      </c>
      <c r="W86" s="1729">
        <f t="shared" si="42"/>
        <v>0</v>
      </c>
      <c r="X86" s="1729">
        <f t="shared" si="42"/>
        <v>0</v>
      </c>
      <c r="Y86" s="1729">
        <f t="shared" si="42"/>
        <v>0</v>
      </c>
      <c r="Z86" s="1729">
        <f t="shared" si="42"/>
        <v>0</v>
      </c>
      <c r="AA86" s="1729">
        <f t="shared" si="42"/>
        <v>0</v>
      </c>
      <c r="AB86" s="1729">
        <f t="shared" si="42"/>
        <v>0</v>
      </c>
      <c r="AC86" s="1729">
        <f t="shared" si="42"/>
        <v>0</v>
      </c>
      <c r="AD86" s="1729">
        <f t="shared" si="42"/>
        <v>0</v>
      </c>
      <c r="AE86" s="1729">
        <f t="shared" si="42"/>
        <v>0</v>
      </c>
      <c r="AF86" s="1729">
        <f t="shared" si="42"/>
        <v>0</v>
      </c>
      <c r="AG86" s="1729">
        <f t="shared" si="42"/>
        <v>0</v>
      </c>
      <c r="AH86" s="1729">
        <f t="shared" si="42"/>
        <v>0</v>
      </c>
      <c r="AI86" s="1732"/>
      <c r="AJ86" s="6"/>
      <c r="AK86" s="6"/>
      <c r="AL86" s="6"/>
      <c r="AM86" s="6"/>
      <c r="AN86" s="6"/>
    </row>
    <row r="87" ht="15" customHeight="1">
      <c r="A87" s="1732"/>
      <c r="B87" s="1655" t="s">
        <v>1439</v>
      </c>
      <c r="C87" s="6"/>
      <c r="D87" s="1730">
        <f t="shared" si="34"/>
        <v>0</v>
      </c>
      <c r="E87" s="1730">
        <f t="shared" si="34"/>
        <v>0</v>
      </c>
      <c r="F87" s="1730">
        <f t="shared" si="34"/>
        <v>0</v>
      </c>
      <c r="G87" s="1730">
        <f t="shared" si="34"/>
        <v>0</v>
      </c>
      <c r="H87" s="1730">
        <f t="shared" si="34"/>
        <v>0</v>
      </c>
      <c r="I87" s="1730">
        <f t="shared" si="34"/>
        <v>0</v>
      </c>
      <c r="J87" s="1730">
        <f t="shared" si="34"/>
        <v>0</v>
      </c>
      <c r="K87" s="1730">
        <f t="shared" si="34"/>
        <v>0</v>
      </c>
      <c r="L87" s="1730">
        <f t="shared" si="34"/>
        <v>0</v>
      </c>
      <c r="M87" s="1730">
        <f t="shared" si="34"/>
        <v>0</v>
      </c>
      <c r="N87" s="1730">
        <f t="shared" si="34"/>
        <v>0</v>
      </c>
      <c r="O87" s="1730">
        <f t="shared" si="34"/>
        <v>0</v>
      </c>
      <c r="P87" s="1730">
        <f t="shared" si="34"/>
        <v>0</v>
      </c>
      <c r="Q87" s="1730">
        <f t="shared" si="34"/>
        <v>0</v>
      </c>
      <c r="R87" s="1730">
        <f t="shared" si="34"/>
        <v>0</v>
      </c>
      <c r="S87" s="1730">
        <f t="shared" si="34"/>
        <v>0</v>
      </c>
      <c r="T87" s="1730">
        <f t="shared" si="34"/>
        <v>0</v>
      </c>
      <c r="U87" s="1730">
        <f t="shared" si="34"/>
        <v>0</v>
      </c>
      <c r="V87" s="1730">
        <f t="shared" si="34"/>
        <v>0</v>
      </c>
      <c r="W87" s="1730">
        <f t="shared" si="34"/>
        <v>0</v>
      </c>
      <c r="X87" s="1730">
        <f t="shared" si="34"/>
        <v>0</v>
      </c>
      <c r="Y87" s="1730">
        <f t="shared" si="34"/>
        <v>0</v>
      </c>
      <c r="Z87" s="1730">
        <f t="shared" si="34"/>
        <v>0</v>
      </c>
      <c r="AA87" s="1730">
        <f t="shared" si="34"/>
        <v>0</v>
      </c>
      <c r="AB87" s="1730">
        <f t="shared" si="34"/>
        <v>0</v>
      </c>
      <c r="AC87" s="1730">
        <f t="shared" si="34"/>
        <v>0</v>
      </c>
      <c r="AD87" s="1730">
        <f t="shared" si="34"/>
        <v>0</v>
      </c>
      <c r="AE87" s="1730">
        <f t="shared" si="34"/>
        <v>0</v>
      </c>
      <c r="AF87" s="1730">
        <f t="shared" si="34"/>
        <v>0</v>
      </c>
      <c r="AG87" s="1730">
        <f t="shared" si="34"/>
        <v>0</v>
      </c>
      <c r="AH87" s="1730">
        <f t="shared" si="34"/>
        <v>0</v>
      </c>
      <c r="AI87" s="1732"/>
      <c r="AJ87" s="6"/>
      <c r="AK87" s="6"/>
      <c r="AL87" s="6"/>
      <c r="AM87" s="6"/>
      <c r="AN87" s="6"/>
    </row>
    <row r="88" ht="15" customHeight="1">
      <c r="A88" s="1732"/>
      <c r="B88" s="6"/>
      <c r="C88" s="1748"/>
      <c r="D88" s="1748"/>
      <c r="E88" s="1748"/>
      <c r="F88" s="1748"/>
      <c r="G88" s="1748"/>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1732"/>
      <c r="AJ88" s="6"/>
      <c r="AK88" s="6"/>
      <c r="AL88" s="6"/>
      <c r="AM88" s="6"/>
      <c r="AN88" s="6"/>
    </row>
    <row r="89" ht="15" customHeight="1">
      <c r="A89" s="173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1732"/>
      <c r="AJ89" s="6"/>
      <c r="AK89" s="6"/>
      <c r="AL89" s="6"/>
      <c r="AM89" s="6"/>
      <c r="AN89" s="6"/>
    </row>
    <row r="90" ht="15" customHeight="1" hidden="1"/>
    <row r="91" ht="15" customHeight="1" hidden="1"/>
    <row r="92" ht="15" customHeight="1" hidden="1"/>
    <row r="93" ht="15" customHeight="1" hidden="1"/>
    <row r="94" ht="15" customHeight="1" hidden="1"/>
    <row r="95" ht="15" customHeight="1" hidden="1"/>
    <row r="96" ht="15" customHeight="1" hidden="1"/>
    <row r="97" ht="15" customHeight="1" hidden="1"/>
    <row r="98" ht="15" customHeight="1" hidden="1"/>
  </sheetData>
  <conditionalFormatting sqref="D51:AH51">
    <cfRule type="expression" dxfId="31" priority="12" text="null">
      <formula>IFERROR(FIND("per FNM",$B$51),0)&gt;0</formula>
    </cfRule>
  </conditionalFormatting>
  <conditionalFormatting sqref="C4">
    <cfRule type="cellIs" dxfId="32" priority="10" operator="equal" text="null">
      <formula>"Yes"</formula>
    </cfRule>
  </conditionalFormatting>
  <conditionalFormatting sqref="D4">
    <cfRule type="expression" dxfId="32" priority="9" text="null">
      <formula>OR($C$3="Yes",$C$4="Yes")</formula>
    </cfRule>
  </conditionalFormatting>
  <conditionalFormatting sqref="C26">
    <cfRule type="expression" dxfId="33" priority="8" text="null">
      <formula>NOT(ISFORMULA(C26))</formula>
    </cfRule>
  </conditionalFormatting>
  <conditionalFormatting sqref="AL7:AL10">
    <cfRule type="expression" dxfId="18" priority="6" text="null">
      <formula>NOT(ISFORMULA(AL7))</formula>
    </cfRule>
  </conditionalFormatting>
  <conditionalFormatting sqref="D26:AH26">
    <cfRule type="expression" dxfId="33" priority="4" text="null">
      <formula>NOT(ISFORMULA(D26))</formula>
    </cfRule>
  </conditionalFormatting>
  <conditionalFormatting sqref="E7:I7">
    <cfRule type="expression" dxfId="34" priority="2" text="null">
      <formula>LEN(E7)=0</formula>
    </cfRule>
  </conditionalFormatting>
  <conditionalFormatting sqref="E5:I5">
    <cfRule type="expression" dxfId="15" priority="1" text="null">
      <formula>LEN($E$5)&gt;1</formula>
    </cfRule>
  </conditionalFormatting>
  <dataValidations count="1">
    <dataValidation error="Must be &quot;No&quot; or &quot;Yes&quot;" errorTitle="Invalid Entry" showErrorMessage="1" showInputMessage="1" sqref="C4" type="list">
      <formula1>"No,Yes"</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3"/>
  <legacyDrawing r:id="rId2"/>
  <extLst/>
</worksheet>
</file>

<file path=xl/worksheets/sheet9.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7B16548F-641E-8797-A07B-EE70550FB36F}" mc:Ignorable="x14ac xr xr2 xr3">
  <dimension ref="A1:N130"/>
  <sheetViews>
    <sheetView topLeftCell="A1" workbookViewId="0">
      <selection activeCell="A1" sqref="A1"/>
    </sheetView>
  </sheetViews>
  <sheetFormatPr defaultRowHeight="14.497499999999997" defaultColWidth="0" customHeight="1"/>
  <cols>
    <col min="1" max="1" style="625" width="59.57421875" customWidth="1"/>
    <col min="2" max="2" style="625" width="34.7109375" customWidth="1"/>
    <col min="3" max="10" style="625" width="18.57421875" customWidth="1"/>
    <col min="11" max="11" style="625" width="6.140625" customWidth="1"/>
    <col min="12" max="14" style="625" width="0" hidden="1"/>
  </cols>
  <sheetData>
    <row r="1" ht="15" customHeight="1">
      <c r="A1" s="1749" t="s">
        <v>1445</v>
      </c>
      <c r="B1" s="1749"/>
      <c r="C1" s="1750"/>
      <c r="D1" s="1750"/>
      <c r="E1" s="1751"/>
      <c r="F1" s="1751"/>
      <c r="G1" s="1751"/>
      <c r="H1" s="1751"/>
      <c r="I1" s="1751"/>
      <c r="J1" s="1751"/>
    </row>
    <row r="2" ht="15" customHeight="1">
      <c r="A2" s="1752" t="s">
        <v>1446</v>
      </c>
      <c r="B2" s="1451" t="s">
        <v>1447</v>
      </c>
      <c r="C2" s="1753"/>
      <c r="E2" s="1751"/>
      <c r="F2" s="1751"/>
      <c r="G2" s="1751"/>
      <c r="H2" s="1751"/>
      <c r="I2" s="1751"/>
      <c r="J2" s="1751"/>
    </row>
    <row r="3" ht="15.75" customHeight="1">
      <c r="A3" s="1754" t="s">
        <v>1448</v>
      </c>
      <c r="B3" s="1451" cm="1">
        <f t="array" ref="B3">SUMPRODUCT(--ISERROR(C5:C128))*IF(C$5&gt;0,1)+SUMPRODUCT(--ISERROR(D5:D128))*IF(D$5&gt;0,1)+SUMPRODUCT(--ISERROR(E5:E128))*IF(E$5&gt;0,1)+SUMPRODUCT(--ISERROR(F5:F128))*IF(F$5&gt;0,1)+SUMPRODUCT(--ISERROR(G5:G128))*IF(G$5&gt;0,1)+SUMPRODUCT(--ISERROR(H5:H128))*IF(H$5&gt;0,1)+SUMPRODUCT(--ISERROR(I5:I128))*IF(I$5&gt;0,1)+SUMPRODUCT(--ISERROR(J5:J128))*IF(J$5&gt;0,1)</f>
        <v>0</v>
      </c>
      <c r="C3" s="1753">
        <v>1</v>
      </c>
      <c r="D3" s="1753">
        <v>2</v>
      </c>
      <c r="E3" s="1753">
        <v>3</v>
      </c>
      <c r="F3" s="1753">
        <v>4</v>
      </c>
      <c r="G3" s="1753">
        <v>5</v>
      </c>
      <c r="H3" s="1753">
        <v>6</v>
      </c>
      <c r="I3" s="1753">
        <v>7</v>
      </c>
      <c r="J3" s="1753">
        <v>8</v>
      </c>
    </row>
    <row r="4" ht="15.75" customHeight="1">
      <c r="A4" s="1755" t="s">
        <v>1449</v>
      </c>
      <c r="B4" s="1756" t="s">
        <v>1450</v>
      </c>
      <c r="C4" s="1756" t="s">
        <v>1451</v>
      </c>
      <c r="D4" s="1756" t="s">
        <v>1451</v>
      </c>
      <c r="E4" s="1756" t="s">
        <v>1451</v>
      </c>
      <c r="F4" s="1756" t="s">
        <v>1451</v>
      </c>
      <c r="G4" s="1756" t="s">
        <v>1451</v>
      </c>
      <c r="H4" s="1756" t="s">
        <v>1451</v>
      </c>
      <c r="I4" s="1756" t="s">
        <v>1451</v>
      </c>
      <c r="J4" s="1757" t="s">
        <v>1451</v>
      </c>
    </row>
    <row r="5" ht="15" customHeight="1">
      <c r="A5" s="1758" t="s">
        <v>572</v>
      </c>
      <c r="B5" s="1759" t="s">
        <v>1452</v>
      </c>
      <c r="C5" s="1760">
        <f>'FNM Loan Terms'!F10</f>
        <v>0</v>
      </c>
      <c r="D5" s="1760">
        <f>'FNM Loan Terms'!G10</f>
        <v>0</v>
      </c>
      <c r="E5" s="1760">
        <f>'FNM Loan Terms'!H10</f>
        <v>0</v>
      </c>
      <c r="F5" s="1760">
        <f>'FNM Loan Terms'!I10</f>
        <v>0</v>
      </c>
      <c r="G5" s="1760">
        <f>'FNM Loan Terms'!J10</f>
        <v>0</v>
      </c>
      <c r="H5" s="1760">
        <f>'FNM Loan Terms'!K10</f>
        <v>0</v>
      </c>
      <c r="I5" s="1760">
        <f>'FNM Loan Terms'!L10</f>
        <v>0</v>
      </c>
      <c r="J5" s="1760">
        <f>'FNM Loan Terms'!M10</f>
        <v>0</v>
      </c>
    </row>
    <row r="6" ht="15" customHeight="1">
      <c r="A6" s="1758" t="s">
        <v>1453</v>
      </c>
      <c r="B6" s="1759" t="s">
        <v>1454</v>
      </c>
      <c r="C6" s="1761" t="str">
        <f>'FNM Loan Terms'!F11</f>
        <v>Fixed Rate</v>
      </c>
      <c r="D6" s="1761" t="str">
        <f>'FNM Loan Terms'!G11</f>
        <v>Fixed Rate</v>
      </c>
      <c r="E6" s="1761" t="str">
        <f>'FNM Loan Terms'!H11</f>
        <v>Fixed Rate</v>
      </c>
      <c r="F6" s="1761" t="str">
        <f>'FNM Loan Terms'!I11</f>
        <v>Fixed Rate</v>
      </c>
      <c r="G6" s="1761" t="str">
        <f>'FNM Loan Terms'!J11</f>
        <v>Fixed Rate</v>
      </c>
      <c r="H6" s="1761" t="str">
        <f>'FNM Loan Terms'!K11</f>
        <v>Fixed Rate</v>
      </c>
      <c r="I6" s="1761" t="str">
        <f>'FNM Loan Terms'!L11</f>
        <v>Fixed Rate</v>
      </c>
      <c r="J6" s="1761" t="str">
        <f>'FNM Loan Terms'!M11</f>
        <v>Variable Rate</v>
      </c>
    </row>
    <row r="7" ht="15" customHeight="1">
      <c r="A7" s="1762" t="s">
        <v>1455</v>
      </c>
      <c r="B7" s="1759" t="s">
        <v>1456</v>
      </c>
      <c r="C7" s="1763">
        <f>IF('FNM Loan Terms'!F11="Variable Rate",IF(Interest_Rate_Type="Variable: SARM","SARM",IF(Interest_Rate_Type="Variable: ARM 7-6","ARM 7/6",IF(Loan_Execution_Type="DMBS","DMBS",IF(OR(Loan_Execution_Type="(Fixed +1) DUS MBS",Loan_Execution_Type="(Fixed +1) DUS Cash"),"Fixed+1","")))),"")</f>
      </c>
      <c r="D7" s="1763">
        <f>IF('FNM Loan Terms'!G11="Variable Rate",IF(Interest_Rate_Type="Variable: SARM","SARM",IF(Interest_Rate_Type="Variable: ARM 7-6","ARM 7/6",IF(Loan_Execution_Type="DMBS","DMBS",IF(OR(Loan_Execution_Type="(Fixed +1) DUS MBS",Loan_Execution_Type="(Fixed +1) DUS Cash"),"Fixed+1","")))),"")</f>
      </c>
      <c r="E7" s="1763">
        <f>IF('FNM Loan Terms'!H11="Variable Rate",IF(Interest_Rate_Type="Variable: SARM","SARM",IF(Interest_Rate_Type="Variable: ARM 7-6","ARM 7/6",IF(Loan_Execution_Type="DMBS","DMBS",IF(OR(Loan_Execution_Type="(Fixed +1) DUS MBS",Loan_Execution_Type="(Fixed +1) DUS Cash"),"Fixed+1","")))),"")</f>
      </c>
      <c r="F7" s="1763">
        <f>IF('FNM Loan Terms'!I11="Variable Rate",IF(Interest_Rate_Type="Variable: SARM","SARM",IF(Interest_Rate_Type="Variable: ARM 7-6","ARM 7/6",IF(Loan_Execution_Type="DMBS","DMBS",IF(OR(Loan_Execution_Type="(Fixed +1) DUS MBS",Loan_Execution_Type="(Fixed +1) DUS Cash"),"Fixed+1","")))),"")</f>
      </c>
      <c r="G7" s="1763">
        <f>IF('FNM Loan Terms'!J11="Variable Rate",IF(Interest_Rate_Type="Variable: SARM","SARM",IF(Interest_Rate_Type="Variable: ARM 7-6","ARM 7/6",IF(Loan_Execution_Type="DMBS","DMBS",IF(OR(Loan_Execution_Type="(Fixed +1) DUS MBS",Loan_Execution_Type="(Fixed +1) DUS Cash"),"Fixed+1","")))),"")</f>
      </c>
      <c r="H7" s="1763">
        <f>IF('FNM Loan Terms'!K11="Variable Rate",IF(Interest_Rate_Type="Variable: SARM","SARM",IF(Interest_Rate_Type="Variable: ARM 7-6","ARM 7/6",IF(Loan_Execution_Type="DMBS","DMBS",IF(OR(Loan_Execution_Type="(Fixed +1) DUS MBS",Loan_Execution_Type="(Fixed +1) DUS Cash"),"Fixed+1","")))),"")</f>
      </c>
      <c r="I7" s="1763">
        <f>IF('FNM Loan Terms'!L11="Variable Rate",IF(Interest_Rate_Type="Variable: SARM","SARM",IF(Interest_Rate_Type="Variable: ARM 7-6","ARM 7/6",IF(Loan_Execution_Type="DMBS","DMBS",IF(OR(Loan_Execution_Type="(Fixed +1) DUS MBS",Loan_Execution_Type="(Fixed +1) DUS Cash"),"Fixed+1","")))),"")</f>
      </c>
      <c r="J7" s="1763">
        <f>IF('FNM Loan Terms'!M11="Variable Rate",IF(Interest_Rate_Type="Variable: SARM","SARM",IF(Interest_Rate_Type="Variable: ARM 7-6","ARM 7/6",IF(Loan_Execution_Type="DMBS","DMBS",IF(OR(Loan_Execution_Type="(Fixed +1) DUS MBS",Loan_Execution_Type="(Fixed +1) DUS Cash"),"Fixed+1","")))),"")</f>
      </c>
    </row>
    <row r="8" ht="15" customHeight="1">
      <c r="A8" s="1758" t="s">
        <v>1457</v>
      </c>
      <c r="B8" s="1759" t="s">
        <v>1458</v>
      </c>
      <c r="C8" s="1764">
        <f>IF('SBL Quotes'!AN34="3rd Supplemental",4,IF('SBL Quotes'!AN33="2nd Supplemental",3,IF('SBL Quotes'!AN32="Supplemental",2,1)))</f>
        <v>1</v>
      </c>
      <c r="D8" s="1765">
        <f>IF('SBL Quotes'!AN34="3rd Supplemental",4,IF('SBL Quotes'!AN33="2nd Supplemental",3,IF('SBL Quotes'!AN32="Supplemental",2,1)))</f>
        <v>1</v>
      </c>
      <c r="E8" s="1765">
        <f>IF('SBL Quotes'!AN34="3rd Supplemental",4,IF('SBL Quotes'!AN33="2nd Supplemental",3,IF('SBL Quotes'!AN32="Supplemental",2,1)))</f>
        <v>1</v>
      </c>
      <c r="F8" s="1765">
        <f>IF('SBL Quotes'!AN34="3rd Supplemental",4,IF('SBL Quotes'!AN33="2nd Supplemental",3,IF('SBL Quotes'!AN32="Supplemental",2,1)))</f>
        <v>1</v>
      </c>
      <c r="G8" s="1765">
        <f>IF('SBL Quotes'!AN34="3rd Supplemental",4,IF('SBL Quotes'!AN33="2nd Supplemental",3,IF('SBL Quotes'!AN32="Supplemental",2,1)))</f>
        <v>1</v>
      </c>
      <c r="H8" s="1765">
        <f>IF('SBL Quotes'!AN34="3rd Supplemental",4,IF('SBL Quotes'!AN33="2nd Supplemental",3,IF('SBL Quotes'!AN32="Supplemental",2,1)))</f>
        <v>1</v>
      </c>
      <c r="I8" s="1765">
        <f>IF('SBL Quotes'!AN34="3rd Supplemental",4,IF('SBL Quotes'!AN33="2nd Supplemental",3,IF('SBL Quotes'!AN32="Supplemental",2,1)))</f>
        <v>1</v>
      </c>
      <c r="J8" s="1765">
        <f>IF('SBL Quotes'!AN34="3rd Supplemental",4,IF('SBL Quotes'!AN33="2nd Supplemental",3,IF('SBL Quotes'!AN32="Supplemental",2,1)))</f>
        <v>1</v>
      </c>
    </row>
    <row r="9" ht="15" customHeight="1">
      <c r="A9" s="1762" t="s">
        <v>1459</v>
      </c>
      <c r="B9" s="1766" t="s">
        <v>1460</v>
      </c>
      <c r="C9" s="1763"/>
      <c r="D9" s="1767"/>
      <c r="E9" s="1767"/>
      <c r="F9" s="1767"/>
      <c r="G9" s="1767"/>
      <c r="H9" s="1767"/>
      <c r="I9" s="1767"/>
      <c r="J9" s="1767"/>
    </row>
    <row r="10" ht="15" customHeight="1">
      <c r="A10" s="1758" t="s">
        <v>1461</v>
      </c>
      <c r="B10" s="1759" t="s">
        <v>1462</v>
      </c>
      <c r="C10" s="1765">
        <f>'FNM Loan Terms'!F9*12</f>
        <v>120</v>
      </c>
      <c r="D10" s="1765">
        <f>'FNM Loan Terms'!G9*12</f>
        <v>144</v>
      </c>
      <c r="E10" s="1765">
        <f>'FNM Loan Terms'!H9*12</f>
        <v>180</v>
      </c>
      <c r="F10" s="1765">
        <f>'FNM Loan Terms'!I9*12</f>
        <v>120</v>
      </c>
      <c r="G10" s="1765">
        <f>'FNM Loan Terms'!J9*12</f>
        <v>120</v>
      </c>
      <c r="H10" s="1765">
        <f>'FNM Loan Terms'!K9*12</f>
        <v>60</v>
      </c>
      <c r="I10" s="1765">
        <f>'FNM Loan Terms'!L9*12</f>
        <v>60</v>
      </c>
      <c r="J10" s="1765">
        <f>'FNM Loan Terms'!M9*12</f>
        <v>12120</v>
      </c>
    </row>
    <row r="11" ht="15" customHeight="1">
      <c r="A11" s="1758" t="s">
        <v>1463</v>
      </c>
      <c r="B11" s="1759" t="s">
        <v>1464</v>
      </c>
      <c r="C11" s="1765">
        <f>'FNM Loan Terms'!F21*12</f>
        <v>0</v>
      </c>
      <c r="D11" s="1765">
        <f>'FNM Loan Terms'!G21*12</f>
        <v>0</v>
      </c>
      <c r="E11" s="1765">
        <f>'FNM Loan Terms'!H21*12</f>
        <v>0</v>
      </c>
      <c r="F11" s="1765">
        <f>'FNM Loan Terms'!I21*12</f>
        <v>60</v>
      </c>
      <c r="G11" s="1765">
        <f>'FNM Loan Terms'!J21*12</f>
        <v>120</v>
      </c>
      <c r="H11" s="1765">
        <f>'FNM Loan Terms'!K21*12</f>
        <v>24</v>
      </c>
      <c r="I11" s="1765">
        <f>'FNM Loan Terms'!L21*12</f>
        <v>60</v>
      </c>
      <c r="J11" s="1765">
        <f>'FNM Loan Terms'!M21*12</f>
        <v>0</v>
      </c>
    </row>
    <row r="12" ht="15" customHeight="1">
      <c r="A12" s="1758" t="s">
        <v>1465</v>
      </c>
      <c r="B12" s="1759" t="s">
        <v>1466</v>
      </c>
      <c r="C12" s="1764">
        <f>'SBL Quotes'!R46*12</f>
        <v>360</v>
      </c>
      <c r="D12" s="1764">
        <f>'SBL Quotes'!S46*12</f>
        <v>360</v>
      </c>
      <c r="E12" s="1764">
        <f>'SBL Quotes'!T46*12</f>
        <v>360</v>
      </c>
      <c r="F12" s="1765">
        <v>360</v>
      </c>
      <c r="G12" s="1765">
        <v>360</v>
      </c>
      <c r="H12" s="1765">
        <v>360</v>
      </c>
      <c r="I12" s="1765">
        <v>360</v>
      </c>
      <c r="J12" s="1765">
        <v>360</v>
      </c>
    </row>
    <row r="13" ht="15" customHeight="1">
      <c r="A13" s="1768" t="s">
        <v>1467</v>
      </c>
      <c r="B13" s="1769" t="s">
        <v>1468</v>
      </c>
      <c r="C13" s="1770" t="str">
        <f>TEXT(LossSharing_DataPageTab,"0.00%")</f>
        <v>100.00%</v>
      </c>
      <c r="D13" s="1771" t="str">
        <f t="shared" si="0" ref="D13:J122">C13</f>
        <v>100.00%</v>
      </c>
      <c r="E13" s="1771" t="str">
        <f t="shared" si="0"/>
        <v>100.00%</v>
      </c>
      <c r="F13" s="1771" t="str">
        <f t="shared" si="0"/>
        <v>100.00%</v>
      </c>
      <c r="G13" s="1771" t="str">
        <f t="shared" si="0"/>
        <v>100.00%</v>
      </c>
      <c r="H13" s="1771" t="str">
        <f t="shared" si="0"/>
        <v>100.00%</v>
      </c>
      <c r="I13" s="1771" t="str">
        <f t="shared" si="0"/>
        <v>100.00%</v>
      </c>
      <c r="J13" s="1771" t="str">
        <f t="shared" si="0"/>
        <v>100.00%</v>
      </c>
      <c r="L13" s="1772"/>
    </row>
    <row r="14" ht="15" customHeight="1">
      <c r="A14" s="1758" t="s">
        <v>1470</v>
      </c>
      <c r="B14" s="1766" t="s">
        <v>1471</v>
      </c>
      <c r="C14" s="1773" t="str">
        <f>'FNM Loan Terms'!F$12</f>
        <v>Yield Maintenance</v>
      </c>
      <c r="D14" s="1774" t="str">
        <f>'FNM Loan Terms'!G$12</f>
        <v>Yield Maintenance</v>
      </c>
      <c r="E14" s="1774" t="str">
        <f>'FNM Loan Terms'!H$12</f>
        <v>Yield Maintenance</v>
      </c>
      <c r="F14" s="1774" t="str">
        <f>'FNM Loan Terms'!I$12</f>
        <v>Yield Maintenance</v>
      </c>
      <c r="G14" s="1774" t="str">
        <f>'FNM Loan Terms'!J$12</f>
        <v>Yield Maintenance</v>
      </c>
      <c r="H14" s="1774" t="str">
        <f>'FNM Loan Terms'!K$12</f>
        <v>Yield Maintenance</v>
      </c>
      <c r="I14" s="1774" t="str">
        <f>'FNM Loan Terms'!L$12</f>
        <v>Yield Maintenance</v>
      </c>
      <c r="J14" s="1774" t="str">
        <f>'FNM Loan Terms'!M$12</f>
        <v>Yield Maintenance</v>
      </c>
    </row>
    <row r="15" ht="15" customHeight="1">
      <c r="A15" s="1758" t="s">
        <v>1472</v>
      </c>
      <c r="B15" s="1766" t="s">
        <v>1473</v>
      </c>
      <c r="C15" s="1773">
        <f>'FNM Loan Terms'!F$13</f>
        <v>114</v>
      </c>
      <c r="D15" s="1774">
        <f>'FNM Loan Terms'!G$13</f>
        <v>138</v>
      </c>
      <c r="E15" s="1774">
        <f>'FNM Loan Terms'!H$13</f>
        <v>174</v>
      </c>
      <c r="F15" s="1774">
        <f>'FNM Loan Terms'!I$13</f>
        <v>114</v>
      </c>
      <c r="G15" s="1774">
        <f>'FNM Loan Terms'!J$13</f>
        <v>114</v>
      </c>
      <c r="H15" s="1774">
        <f>'FNM Loan Terms'!K$13</f>
        <v>54</v>
      </c>
      <c r="I15" s="1774">
        <f>'FNM Loan Terms'!L$13</f>
        <v>54</v>
      </c>
      <c r="J15" s="1774">
        <f>'FNM Loan Terms'!M$13</f>
        <v>12114</v>
      </c>
    </row>
    <row r="16" ht="15" customHeight="1">
      <c r="A16" s="1762" t="s">
        <v>1474</v>
      </c>
      <c r="B16" s="1766" t="s">
        <v>1475</v>
      </c>
      <c r="C16" s="1761"/>
      <c r="D16" s="1775"/>
      <c r="E16" s="1775"/>
      <c r="F16" s="1775"/>
      <c r="G16" s="1775"/>
      <c r="H16" s="1775"/>
      <c r="I16" s="1775"/>
      <c r="J16" s="1775"/>
    </row>
    <row r="17" ht="15" customHeight="1">
      <c r="A17" s="1762" t="s">
        <v>1476</v>
      </c>
      <c r="B17" s="1766" t="s">
        <v>1477</v>
      </c>
      <c r="C17" s="1776"/>
      <c r="D17" s="1775"/>
      <c r="E17" s="1775"/>
      <c r="F17" s="1775"/>
      <c r="G17" s="1775"/>
      <c r="H17" s="1775"/>
      <c r="I17" s="1775"/>
      <c r="J17" s="1775"/>
    </row>
    <row r="18" ht="15" customHeight="1">
      <c r="A18" s="1777" t="s">
        <v>1478</v>
      </c>
      <c r="B18" s="1766" t="s">
        <v>1479</v>
      </c>
      <c r="C18" s="1767"/>
      <c r="D18" s="1767"/>
      <c r="E18" s="1767"/>
      <c r="F18" s="1767"/>
      <c r="G18" s="1767"/>
      <c r="H18" s="1767"/>
      <c r="I18" s="1767"/>
      <c r="J18" s="1767"/>
    </row>
    <row r="19" ht="15" customHeight="1">
      <c r="A19" s="1777" t="s">
        <v>1480</v>
      </c>
      <c r="B19" s="1766" t="s">
        <v>1481</v>
      </c>
      <c r="C19" s="1761"/>
      <c r="D19" s="1761"/>
      <c r="E19" s="1761"/>
      <c r="F19" s="1761"/>
      <c r="G19" s="1761"/>
      <c r="H19" s="1761"/>
      <c r="I19" s="1761"/>
      <c r="J19" s="1761"/>
    </row>
    <row r="20" ht="15" customHeight="1">
      <c r="A20" s="1758" t="s">
        <v>1482</v>
      </c>
      <c r="B20" s="1759" t="s">
        <v>1483</v>
      </c>
      <c r="C20" s="1778">
        <f>SOps_UnderwrittenGPR</f>
        <v>1556580</v>
      </c>
      <c r="D20" s="1779">
        <f t="shared" si="0"/>
        <v>1556580</v>
      </c>
      <c r="E20" s="1779">
        <f t="shared" si="0"/>
        <v>1556580</v>
      </c>
      <c r="F20" s="1779">
        <f t="shared" si="0"/>
        <v>1556580</v>
      </c>
      <c r="G20" s="1779">
        <f t="shared" si="0"/>
        <v>1556580</v>
      </c>
      <c r="H20" s="1779">
        <f t="shared" si="0"/>
        <v>1556580</v>
      </c>
      <c r="I20" s="1779">
        <f t="shared" si="0"/>
        <v>1556580</v>
      </c>
      <c r="J20" s="1779">
        <f t="shared" si="0"/>
        <v>1556580</v>
      </c>
    </row>
    <row r="21" ht="15" customHeight="1">
      <c r="A21" s="1758" t="s">
        <v>1484</v>
      </c>
      <c r="B21" s="1759" t="s">
        <v>1485</v>
      </c>
      <c r="C21" s="1778">
        <f>SUM('Summary OPS'!AU10:AU12)</f>
        <v>-230692</v>
      </c>
      <c r="D21" s="1779">
        <f t="shared" si="0"/>
        <v>-230692</v>
      </c>
      <c r="E21" s="1779">
        <f t="shared" si="0"/>
        <v>-230692</v>
      </c>
      <c r="F21" s="1779">
        <f t="shared" si="0"/>
        <v>-230692</v>
      </c>
      <c r="G21" s="1779">
        <f t="shared" si="0"/>
        <v>-230692</v>
      </c>
      <c r="H21" s="1779">
        <f t="shared" si="0"/>
        <v>-230692</v>
      </c>
      <c r="I21" s="1779">
        <f t="shared" si="0"/>
        <v>-230692</v>
      </c>
      <c r="J21" s="1779">
        <f t="shared" si="0"/>
        <v>-230692</v>
      </c>
    </row>
    <row r="22" ht="15" customHeight="1">
      <c r="A22" s="1758" t="s">
        <v>1486</v>
      </c>
      <c r="B22" s="1759" t="s">
        <v>1487</v>
      </c>
      <c r="C22" s="1778">
        <f>SOps_UnderwrittenTotalOtherIncome</f>
        <v>-216050</v>
      </c>
      <c r="D22" s="1779">
        <f t="shared" si="0"/>
        <v>-216050</v>
      </c>
      <c r="E22" s="1779">
        <f t="shared" si="0"/>
        <v>-216050</v>
      </c>
      <c r="F22" s="1779">
        <f t="shared" si="0"/>
        <v>-216050</v>
      </c>
      <c r="G22" s="1779">
        <f t="shared" si="0"/>
        <v>-216050</v>
      </c>
      <c r="H22" s="1779">
        <f t="shared" si="0"/>
        <v>-216050</v>
      </c>
      <c r="I22" s="1779">
        <f t="shared" si="0"/>
        <v>-216050</v>
      </c>
      <c r="J22" s="1779">
        <f t="shared" si="0"/>
        <v>-216050</v>
      </c>
    </row>
    <row r="23" ht="15" customHeight="1">
      <c r="A23" s="1758" t="s">
        <v>1488</v>
      </c>
      <c r="B23" s="1759" t="s">
        <v>1489</v>
      </c>
      <c r="C23" s="1778">
        <f>'Summary OPS'!AU35</f>
        <v>38844.33</v>
      </c>
      <c r="D23" s="1779">
        <f t="shared" si="0"/>
        <v>38844.33</v>
      </c>
      <c r="E23" s="1779">
        <f t="shared" si="0"/>
        <v>38844.33</v>
      </c>
      <c r="F23" s="1779">
        <f t="shared" si="0"/>
        <v>38844.33</v>
      </c>
      <c r="G23" s="1779">
        <f t="shared" si="0"/>
        <v>38844.33</v>
      </c>
      <c r="H23" s="1779">
        <f t="shared" si="0"/>
        <v>38844.33</v>
      </c>
      <c r="I23" s="1779">
        <f t="shared" si="0"/>
        <v>38844.33</v>
      </c>
      <c r="J23" s="1779">
        <f t="shared" si="0"/>
        <v>38844.33</v>
      </c>
    </row>
    <row r="24" ht="15" customHeight="1">
      <c r="A24" s="1758" t="s">
        <v>1490</v>
      </c>
      <c r="B24" s="1759" t="s">
        <v>1491</v>
      </c>
      <c r="C24" s="1778">
        <f>'Summary OPS'!AU46</f>
        <v>1036382.91</v>
      </c>
      <c r="D24" s="1779">
        <f t="shared" si="0"/>
        <v>1036382.91</v>
      </c>
      <c r="E24" s="1779">
        <f t="shared" si="0"/>
        <v>1036382.91</v>
      </c>
      <c r="F24" s="1779">
        <f t="shared" si="0"/>
        <v>1036382.91</v>
      </c>
      <c r="G24" s="1779">
        <f t="shared" si="0"/>
        <v>1036382.91</v>
      </c>
      <c r="H24" s="1779">
        <f t="shared" si="0"/>
        <v>1036382.91</v>
      </c>
      <c r="I24" s="1779">
        <f t="shared" si="0"/>
        <v>1036382.91</v>
      </c>
      <c r="J24" s="1779">
        <f t="shared" si="0"/>
        <v>1036382.91</v>
      </c>
    </row>
    <row r="25" ht="15" customHeight="1">
      <c r="A25" s="1758" t="s">
        <v>1492</v>
      </c>
      <c r="B25" s="1759" t="s">
        <v>1493</v>
      </c>
      <c r="C25" s="1778">
        <f>'Summary OPS'!AU45</f>
        <v>250385.79</v>
      </c>
      <c r="D25" s="1779">
        <f t="shared" si="0"/>
        <v>250385.79</v>
      </c>
      <c r="E25" s="1779">
        <f t="shared" si="0"/>
        <v>250385.79</v>
      </c>
      <c r="F25" s="1779">
        <f t="shared" si="0"/>
        <v>250385.79</v>
      </c>
      <c r="G25" s="1779">
        <f t="shared" si="0"/>
        <v>250385.79</v>
      </c>
      <c r="H25" s="1779">
        <f t="shared" si="0"/>
        <v>250385.79</v>
      </c>
      <c r="I25" s="1779">
        <f t="shared" si="0"/>
        <v>250385.79</v>
      </c>
      <c r="J25" s="1779">
        <f t="shared" si="0"/>
        <v>250385.79</v>
      </c>
    </row>
    <row r="26" ht="15" customHeight="1">
      <c r="A26" s="1758" t="s">
        <v>1494</v>
      </c>
      <c r="B26" s="1759" t="s">
        <v>1495</v>
      </c>
      <c r="C26" s="1778">
        <f>SUM('Summary OPS'!AU36:AU44,'Summary OPS'!AU47:AU48)</f>
        <v>1483927.18</v>
      </c>
      <c r="D26" s="1779">
        <f t="shared" si="0"/>
        <v>1483927.18</v>
      </c>
      <c r="E26" s="1779">
        <f t="shared" si="0"/>
        <v>1483927.18</v>
      </c>
      <c r="F26" s="1779">
        <f t="shared" si="0"/>
        <v>1483927.18</v>
      </c>
      <c r="G26" s="1779">
        <f t="shared" si="0"/>
        <v>1483927.18</v>
      </c>
      <c r="H26" s="1779">
        <f t="shared" si="0"/>
        <v>1483927.18</v>
      </c>
      <c r="I26" s="1779">
        <f t="shared" si="0"/>
        <v>1483927.18</v>
      </c>
      <c r="J26" s="1779">
        <f t="shared" si="0"/>
        <v>1483927.18</v>
      </c>
    </row>
    <row r="27" ht="15" customHeight="1">
      <c r="A27" s="1758" t="s">
        <v>1496</v>
      </c>
      <c r="B27" s="1759" t="s">
        <v>1497</v>
      </c>
      <c r="C27" s="1778">
        <f>'Summary OPS'!AU51</f>
        <v>21250</v>
      </c>
      <c r="D27" s="1779">
        <f t="shared" si="0"/>
        <v>21250</v>
      </c>
      <c r="E27" s="1779">
        <f t="shared" si="0"/>
        <v>21250</v>
      </c>
      <c r="F27" s="1779">
        <f t="shared" si="0"/>
        <v>21250</v>
      </c>
      <c r="G27" s="1779">
        <f t="shared" si="0"/>
        <v>21250</v>
      </c>
      <c r="H27" s="1779">
        <f t="shared" si="0"/>
        <v>21250</v>
      </c>
      <c r="I27" s="1779">
        <f t="shared" si="0"/>
        <v>21250</v>
      </c>
      <c r="J27" s="1779">
        <f t="shared" si="0"/>
        <v>21250</v>
      </c>
    </row>
    <row r="28" ht="15" customHeight="1">
      <c r="A28" s="1762" t="s">
        <v>1498</v>
      </c>
      <c r="B28" s="1766" t="s">
        <v>1499</v>
      </c>
      <c r="C28" s="1761"/>
      <c r="D28" s="1761"/>
      <c r="E28" s="1761">
        <f t="shared" si="0"/>
        <v>0</v>
      </c>
      <c r="F28" s="1761">
        <f t="shared" si="0"/>
        <v>0</v>
      </c>
      <c r="G28" s="1761">
        <f t="shared" si="0"/>
        <v>0</v>
      </c>
      <c r="H28" s="1761">
        <f t="shared" si="0"/>
        <v>0</v>
      </c>
      <c r="I28" s="1761">
        <f t="shared" si="0"/>
        <v>0</v>
      </c>
      <c r="J28" s="1761">
        <f t="shared" si="0"/>
        <v>0</v>
      </c>
    </row>
    <row r="29" ht="15" customHeight="1">
      <c r="A29" s="1780" t="s">
        <v>1500</v>
      </c>
      <c r="B29" s="1759" t="s">
        <v>1501</v>
      </c>
      <c r="C29" s="1781">
        <f>IF('SBL Quotes'!$B$38="Acquisition",'SBL Quotes'!$B$39,"")</f>
      </c>
      <c r="D29" s="1779">
        <f t="shared" si="0"/>
      </c>
      <c r="E29" s="1779">
        <f t="shared" si="0"/>
      </c>
      <c r="F29" s="1779">
        <f t="shared" si="0"/>
      </c>
      <c r="G29" s="1779">
        <f t="shared" si="0"/>
      </c>
      <c r="H29" s="1779">
        <f t="shared" si="0"/>
      </c>
      <c r="I29" s="1779">
        <f t="shared" si="0"/>
      </c>
      <c r="J29" s="1779">
        <f t="shared" si="0"/>
      </c>
    </row>
    <row r="30" ht="15" customHeight="1">
      <c r="A30" s="1780" t="s">
        <v>1502</v>
      </c>
      <c r="B30" s="1759" t="s">
        <v>1503</v>
      </c>
      <c r="C30" s="1781">
        <f>IF('SBL Quotes'!$B$38="Acquisition",'SBL Quotes'!$AK$25,"")</f>
      </c>
      <c r="D30" s="1779">
        <f t="shared" si="0"/>
      </c>
      <c r="E30" s="1779">
        <f t="shared" si="0"/>
      </c>
      <c r="F30" s="1779">
        <f t="shared" si="0"/>
      </c>
      <c r="G30" s="1779">
        <f t="shared" si="0"/>
      </c>
      <c r="H30" s="1779">
        <f t="shared" si="0"/>
      </c>
      <c r="I30" s="1779">
        <f t="shared" si="0"/>
      </c>
      <c r="J30" s="1779">
        <f t="shared" si="0"/>
      </c>
    </row>
    <row r="31" ht="15" customHeight="1">
      <c r="A31" s="1768" t="s">
        <v>1504</v>
      </c>
      <c r="B31" s="1759" t="s">
        <v>1505</v>
      </c>
      <c r="C31" s="1781">
        <f>'SBL Quotes'!$B$45</f>
        <v>-34419044.199999996</v>
      </c>
      <c r="D31" s="1779">
        <f t="shared" si="0"/>
        <v>-34419044.199999996</v>
      </c>
      <c r="E31" s="1779">
        <f t="shared" si="0"/>
        <v>-34419044.199999996</v>
      </c>
      <c r="F31" s="1779">
        <f t="shared" si="0"/>
        <v>-34419044.199999996</v>
      </c>
      <c r="G31" s="1779">
        <f t="shared" si="0"/>
        <v>-34419044.199999996</v>
      </c>
      <c r="H31" s="1779">
        <f t="shared" si="0"/>
        <v>-34419044.199999996</v>
      </c>
      <c r="I31" s="1779">
        <f t="shared" si="0"/>
        <v>-34419044.199999996</v>
      </c>
      <c r="J31" s="1779">
        <f t="shared" si="0"/>
        <v>-34419044.199999996</v>
      </c>
    </row>
    <row r="32" ht="15" customHeight="1">
      <c r="A32" s="1758" t="s">
        <v>1506</v>
      </c>
      <c r="B32" s="1759" t="s">
        <v>1507</v>
      </c>
      <c r="C32" s="1781">
        <f>TotalUnits</f>
        <v>85</v>
      </c>
      <c r="D32" s="1779">
        <f t="shared" si="0"/>
        <v>85</v>
      </c>
      <c r="E32" s="1779">
        <f t="shared" si="0"/>
        <v>85</v>
      </c>
      <c r="F32" s="1779">
        <f t="shared" si="0"/>
        <v>85</v>
      </c>
      <c r="G32" s="1779">
        <f t="shared" si="0"/>
        <v>85</v>
      </c>
      <c r="H32" s="1779">
        <f t="shared" si="0"/>
        <v>85</v>
      </c>
      <c r="I32" s="1779">
        <f t="shared" si="0"/>
        <v>85</v>
      </c>
      <c r="J32" s="1779">
        <f t="shared" si="0"/>
        <v>85</v>
      </c>
    </row>
    <row r="33" ht="15" customHeight="1">
      <c r="A33" s="1762" t="s">
        <v>1508</v>
      </c>
      <c r="B33" s="1759" t="s">
        <v>1509</v>
      </c>
      <c r="C33" s="1763"/>
      <c r="D33" s="1765">
        <f t="shared" si="1" ref="D33:J33">IF(LEN($C$33)&gt;0,$C$33,"")</f>
      </c>
      <c r="E33" s="1765">
        <f t="shared" si="1"/>
      </c>
      <c r="F33" s="1765">
        <f t="shared" si="1"/>
      </c>
      <c r="G33" s="1765">
        <f t="shared" si="1"/>
      </c>
      <c r="H33" s="1765">
        <f t="shared" si="1"/>
      </c>
      <c r="I33" s="1765">
        <f t="shared" si="1"/>
      </c>
      <c r="J33" s="1765">
        <f t="shared" si="1"/>
      </c>
    </row>
    <row r="34" ht="15" customHeight="1">
      <c r="A34" s="1782" t="s">
        <v>1510</v>
      </c>
      <c r="B34" s="1759" t="s">
        <v>1511</v>
      </c>
      <c r="C34" s="1781">
        <f>IF('SBL Quotes'!$AN$32="Supplemental",FirstOrigLoan_IfSupp,"")</f>
      </c>
      <c r="D34" s="1783">
        <f t="shared" si="0"/>
      </c>
      <c r="E34" s="1783">
        <f t="shared" si="0"/>
      </c>
      <c r="F34" s="1783">
        <f t="shared" si="0"/>
      </c>
      <c r="G34" s="1783">
        <f t="shared" si="0"/>
      </c>
      <c r="H34" s="1783">
        <f t="shared" si="0"/>
      </c>
      <c r="I34" s="1783">
        <f t="shared" si="0"/>
      </c>
      <c r="J34" s="1783">
        <f t="shared" si="0"/>
      </c>
    </row>
    <row r="35" ht="15" customHeight="1">
      <c r="A35" s="1777" t="s">
        <v>1512</v>
      </c>
      <c r="B35" s="1784" t="s">
        <v>1513</v>
      </c>
      <c r="C35" s="1785"/>
      <c r="D35" s="1761"/>
      <c r="E35" s="1761"/>
      <c r="F35" s="1761"/>
      <c r="G35" s="1761"/>
      <c r="H35" s="1761"/>
      <c r="I35" s="1761"/>
      <c r="J35" s="1761"/>
    </row>
    <row r="36" ht="15" customHeight="1">
      <c r="A36" s="1782" t="s">
        <v>1514</v>
      </c>
      <c r="B36" s="1759" t="s">
        <v>1515</v>
      </c>
      <c r="C36" s="1781">
        <f>IF('SBL Quotes'!$AN$32="Supplemental",FirstTerm_IfSupp,"")</f>
      </c>
      <c r="D36" s="1783">
        <f t="shared" si="0"/>
      </c>
      <c r="E36" s="1783">
        <f t="shared" si="0"/>
      </c>
      <c r="F36" s="1783">
        <f t="shared" si="0"/>
      </c>
      <c r="G36" s="1783">
        <f t="shared" si="0"/>
      </c>
      <c r="H36" s="1783">
        <f t="shared" si="0"/>
      </c>
      <c r="I36" s="1783">
        <f t="shared" si="0"/>
      </c>
      <c r="J36" s="1783">
        <f t="shared" si="0"/>
      </c>
    </row>
    <row r="37" ht="15" customHeight="1">
      <c r="A37" s="1782" t="s">
        <v>1516</v>
      </c>
      <c r="B37" s="1759" t="s">
        <v>1517</v>
      </c>
      <c r="C37" s="1781">
        <f>IF('SBL Quotes'!$AN$32="Supplemental",FirstIO_IfSupp,"")</f>
      </c>
      <c r="D37" s="1783">
        <f t="shared" si="0"/>
      </c>
      <c r="E37" s="1783">
        <f t="shared" si="0"/>
      </c>
      <c r="F37" s="1783">
        <f t="shared" si="0"/>
      </c>
      <c r="G37" s="1783">
        <f t="shared" si="0"/>
      </c>
      <c r="H37" s="1783">
        <f t="shared" si="0"/>
      </c>
      <c r="I37" s="1783">
        <f t="shared" si="0"/>
      </c>
      <c r="J37" s="1783">
        <f t="shared" si="0"/>
      </c>
    </row>
    <row r="38" ht="15" customHeight="1">
      <c r="A38" s="1782" t="s">
        <v>1518</v>
      </c>
      <c r="B38" s="1759" t="s">
        <v>1519</v>
      </c>
      <c r="C38" s="1781">
        <f>IF('SBL Quotes'!$AN$32="Supplemental",FirstAmort_IfSupp,"")</f>
      </c>
      <c r="D38" s="1783">
        <f t="shared" si="0"/>
      </c>
      <c r="E38" s="1783">
        <f t="shared" si="0"/>
      </c>
      <c r="F38" s="1783">
        <f t="shared" si="0"/>
      </c>
      <c r="G38" s="1783">
        <f t="shared" si="0"/>
      </c>
      <c r="H38" s="1783">
        <f t="shared" si="0"/>
      </c>
      <c r="I38" s="1783">
        <f t="shared" si="0"/>
      </c>
      <c r="J38" s="1783">
        <f t="shared" si="0"/>
      </c>
    </row>
    <row r="39" ht="15" customHeight="1">
      <c r="A39" s="1782" t="s">
        <v>1520</v>
      </c>
      <c r="B39" s="1769" t="s">
        <v>1521</v>
      </c>
      <c r="C39" s="1786">
        <f>IF('SBL Quotes'!$AN$32="Supplemental",TEXT(FirstRate_IfSupp,"0.000%"),"")</f>
      </c>
      <c r="D39" s="1787">
        <f t="shared" si="0"/>
      </c>
      <c r="E39" s="1787">
        <f t="shared" si="0"/>
      </c>
      <c r="F39" s="1787">
        <f t="shared" si="0"/>
      </c>
      <c r="G39" s="1787">
        <f t="shared" si="0"/>
      </c>
      <c r="H39" s="1787">
        <f t="shared" si="0"/>
      </c>
      <c r="I39" s="1787">
        <f t="shared" si="0"/>
      </c>
      <c r="J39" s="1787">
        <f t="shared" si="0"/>
      </c>
    </row>
    <row r="40" ht="15" customHeight="1">
      <c r="A40" s="1762" t="s">
        <v>1522</v>
      </c>
      <c r="B40" s="1784" t="s">
        <v>1523</v>
      </c>
      <c r="C40" s="1788"/>
      <c r="D40" s="1761"/>
      <c r="E40" s="1761"/>
      <c r="F40" s="1761"/>
      <c r="G40" s="1761"/>
      <c r="H40" s="1761"/>
      <c r="I40" s="1761"/>
      <c r="J40" s="1761"/>
    </row>
    <row r="41" ht="15" customHeight="1">
      <c r="A41" s="1762" t="s">
        <v>1524</v>
      </c>
      <c r="B41" s="1766" t="s">
        <v>1525</v>
      </c>
      <c r="C41" s="1761"/>
      <c r="D41" s="1789"/>
      <c r="E41" s="1789"/>
      <c r="F41" s="1789"/>
      <c r="G41" s="1789"/>
      <c r="H41" s="1789"/>
      <c r="I41" s="1789"/>
      <c r="J41" s="1789"/>
    </row>
    <row r="42" ht="15" customHeight="1">
      <c r="A42" s="1782" t="s">
        <v>1526</v>
      </c>
      <c r="B42" s="1790" t="s">
        <v>1527</v>
      </c>
      <c r="C42" s="1791">
        <f>IF('SBL Quotes'!$AN$32="Supplemental",FirstMaturity_IfSupp,"")</f>
      </c>
      <c r="D42" s="1792">
        <f t="shared" si="0"/>
      </c>
      <c r="E42" s="1792">
        <f t="shared" si="0"/>
      </c>
      <c r="F42" s="1792">
        <f t="shared" si="0"/>
      </c>
      <c r="G42" s="1792">
        <f t="shared" si="0"/>
      </c>
      <c r="H42" s="1792">
        <f t="shared" si="0"/>
      </c>
      <c r="I42" s="1792">
        <f t="shared" si="0"/>
      </c>
      <c r="J42" s="1792">
        <f t="shared" si="0"/>
      </c>
    </row>
    <row r="43" ht="15" customHeight="1">
      <c r="A43" s="1782" t="s">
        <v>1528</v>
      </c>
      <c r="B43" s="1759" t="s">
        <v>1529</v>
      </c>
      <c r="C43" s="1781">
        <f>IF('SBL Quotes'!$AN$32="Supplemental",FirstUPB_IfSupp,"")</f>
      </c>
      <c r="D43" s="1783">
        <f t="shared" si="0"/>
      </c>
      <c r="E43" s="1783">
        <f t="shared" si="0"/>
      </c>
      <c r="F43" s="1783">
        <f t="shared" si="0"/>
      </c>
      <c r="G43" s="1783">
        <f t="shared" si="0"/>
      </c>
      <c r="H43" s="1783">
        <f t="shared" si="0"/>
      </c>
      <c r="I43" s="1783">
        <f t="shared" si="0"/>
      </c>
      <c r="J43" s="1783">
        <f t="shared" si="0"/>
      </c>
    </row>
    <row r="44" ht="15" customHeight="1">
      <c r="A44" s="1762" t="s">
        <v>1530</v>
      </c>
      <c r="B44" s="1766" t="s">
        <v>1531</v>
      </c>
      <c r="C44" s="1793"/>
      <c r="D44" s="1761"/>
      <c r="E44" s="1761"/>
      <c r="F44" s="1761"/>
      <c r="G44" s="1761"/>
      <c r="H44" s="1761"/>
      <c r="I44" s="1761"/>
      <c r="J44" s="1761"/>
    </row>
    <row r="45" ht="15" customHeight="1">
      <c r="A45" s="1777" t="s">
        <v>1532</v>
      </c>
      <c r="B45" s="1766" t="s">
        <v>1533</v>
      </c>
      <c r="C45" s="1794"/>
      <c r="D45" s="1765">
        <f t="shared" si="2" ref="D45:J45">IF(LEN($C$45)&gt;0,$C$45,"")</f>
      </c>
      <c r="E45" s="1765">
        <f t="shared" si="2"/>
      </c>
      <c r="F45" s="1765">
        <f t="shared" si="2"/>
      </c>
      <c r="G45" s="1765">
        <f t="shared" si="2"/>
      </c>
      <c r="H45" s="1765">
        <f t="shared" si="2"/>
      </c>
      <c r="I45" s="1765">
        <f t="shared" si="2"/>
      </c>
      <c r="J45" s="1765">
        <f t="shared" si="2"/>
      </c>
    </row>
    <row r="46" ht="15" customHeight="1">
      <c r="A46" s="1795" t="s">
        <v>1534</v>
      </c>
      <c r="B46" s="1759" t="s">
        <v>1535</v>
      </c>
      <c r="C46" s="1781">
        <f>IF('SBL Quotes'!$AN$32="Supplemental",SecondOrigLoan_IfSupp,"")</f>
      </c>
      <c r="D46" s="1783">
        <f t="shared" si="0"/>
      </c>
      <c r="E46" s="1783">
        <f t="shared" si="0"/>
      </c>
      <c r="F46" s="1783">
        <f t="shared" si="0"/>
      </c>
      <c r="G46" s="1783">
        <f t="shared" si="0"/>
      </c>
      <c r="H46" s="1783">
        <f t="shared" si="0"/>
      </c>
      <c r="I46" s="1783">
        <f t="shared" si="0"/>
      </c>
      <c r="J46" s="1783">
        <f t="shared" si="0"/>
      </c>
    </row>
    <row r="47" ht="15" customHeight="1">
      <c r="A47" s="1777" t="s">
        <v>1536</v>
      </c>
      <c r="B47" s="1784" t="s">
        <v>1537</v>
      </c>
      <c r="C47" s="1788"/>
      <c r="D47" s="1761"/>
      <c r="E47" s="1761"/>
      <c r="F47" s="1761"/>
      <c r="G47" s="1761"/>
      <c r="H47" s="1761"/>
      <c r="I47" s="1761"/>
      <c r="J47" s="1761"/>
    </row>
    <row r="48" ht="15" customHeight="1">
      <c r="A48" s="1795" t="s">
        <v>1538</v>
      </c>
      <c r="B48" s="1759" t="s">
        <v>1539</v>
      </c>
      <c r="C48" s="1781">
        <f>IF('SBL Quotes'!$AN$32="Supplemental",SecondTerm_IfSupp,"")</f>
      </c>
      <c r="D48" s="1783">
        <f t="shared" si="0"/>
      </c>
      <c r="E48" s="1783">
        <f t="shared" si="0"/>
      </c>
      <c r="F48" s="1783">
        <f t="shared" si="0"/>
      </c>
      <c r="G48" s="1783">
        <f t="shared" si="0"/>
      </c>
      <c r="H48" s="1783">
        <f t="shared" si="0"/>
      </c>
      <c r="I48" s="1783">
        <f t="shared" si="0"/>
      </c>
      <c r="J48" s="1783">
        <f t="shared" si="0"/>
      </c>
    </row>
    <row r="49" ht="15" customHeight="1">
      <c r="A49" s="1795" t="s">
        <v>1540</v>
      </c>
      <c r="B49" s="1759" t="s">
        <v>1541</v>
      </c>
      <c r="C49" s="1781">
        <f>IF('SBL Quotes'!$AN$32="Supplemental",SecondIO_IfSupp,"")</f>
      </c>
      <c r="D49" s="1783">
        <f t="shared" si="0"/>
      </c>
      <c r="E49" s="1783">
        <f t="shared" si="0"/>
      </c>
      <c r="F49" s="1783">
        <f t="shared" si="0"/>
      </c>
      <c r="G49" s="1783">
        <f t="shared" si="0"/>
      </c>
      <c r="H49" s="1783">
        <f t="shared" si="0"/>
      </c>
      <c r="I49" s="1783">
        <f t="shared" si="0"/>
      </c>
      <c r="J49" s="1783">
        <f t="shared" si="0"/>
      </c>
    </row>
    <row r="50" ht="15" customHeight="1">
      <c r="A50" s="1795" t="s">
        <v>1542</v>
      </c>
      <c r="B50" s="1759" t="s">
        <v>1543</v>
      </c>
      <c r="C50" s="1781">
        <f>IF('SBL Quotes'!$AN$32="Supplemental",SecondAmort_IfSupp,"")</f>
      </c>
      <c r="D50" s="1783">
        <f t="shared" si="0"/>
      </c>
      <c r="E50" s="1783">
        <f t="shared" si="0"/>
      </c>
      <c r="F50" s="1783">
        <f t="shared" si="0"/>
      </c>
      <c r="G50" s="1783">
        <f t="shared" si="0"/>
      </c>
      <c r="H50" s="1783">
        <f t="shared" si="0"/>
      </c>
      <c r="I50" s="1783">
        <f t="shared" si="0"/>
      </c>
      <c r="J50" s="1783">
        <f t="shared" si="0"/>
      </c>
    </row>
    <row r="51" ht="15" customHeight="1">
      <c r="A51" s="1795" t="s">
        <v>1544</v>
      </c>
      <c r="B51" s="1769" t="s">
        <v>1545</v>
      </c>
      <c r="C51" s="1786">
        <f>IF('SBL Quotes'!$AN$32="Supplemental",TEXT(SecondRate_IfSupp,"0.000%"),"")</f>
      </c>
      <c r="D51" s="1787">
        <f t="shared" si="3" ref="D51:J104">$C51</f>
      </c>
      <c r="E51" s="1787">
        <f t="shared" si="3"/>
      </c>
      <c r="F51" s="1787">
        <f t="shared" si="3"/>
      </c>
      <c r="G51" s="1787">
        <f t="shared" si="3"/>
      </c>
      <c r="H51" s="1787">
        <f t="shared" si="3"/>
      </c>
      <c r="I51" s="1787">
        <f t="shared" si="3"/>
      </c>
      <c r="J51" s="1787">
        <f t="shared" si="3"/>
      </c>
    </row>
    <row r="52" ht="15" customHeight="1">
      <c r="A52" s="1777" t="s">
        <v>1546</v>
      </c>
      <c r="B52" s="1784" t="s">
        <v>1547</v>
      </c>
      <c r="C52" s="1788"/>
      <c r="D52" s="1761"/>
      <c r="E52" s="1761"/>
      <c r="F52" s="1761"/>
      <c r="G52" s="1761"/>
      <c r="H52" s="1761"/>
      <c r="I52" s="1761"/>
      <c r="J52" s="1761"/>
    </row>
    <row r="53" ht="15" customHeight="1">
      <c r="A53" s="1777" t="s">
        <v>1548</v>
      </c>
      <c r="B53" s="1766" t="s">
        <v>1549</v>
      </c>
      <c r="C53" s="1794"/>
      <c r="D53" s="1789"/>
      <c r="E53" s="1789"/>
      <c r="F53" s="1789"/>
      <c r="G53" s="1789"/>
      <c r="H53" s="1789"/>
      <c r="I53" s="1789"/>
      <c r="J53" s="1789"/>
    </row>
    <row r="54" ht="15" customHeight="1">
      <c r="A54" s="1795" t="s">
        <v>1550</v>
      </c>
      <c r="B54" s="1790" t="s">
        <v>1551</v>
      </c>
      <c r="C54" s="1791">
        <f>IF('SBL Quotes'!$AN$32="Supplemental",SecondMaturity_IfSupp,"")</f>
      </c>
      <c r="D54" s="1792">
        <f t="shared" si="0"/>
      </c>
      <c r="E54" s="1792">
        <f t="shared" si="0"/>
      </c>
      <c r="F54" s="1792">
        <f t="shared" si="0"/>
      </c>
      <c r="G54" s="1792">
        <f t="shared" si="0"/>
      </c>
      <c r="H54" s="1792">
        <f t="shared" si="0"/>
      </c>
      <c r="I54" s="1792">
        <f t="shared" si="0"/>
      </c>
      <c r="J54" s="1792">
        <f t="shared" si="0"/>
      </c>
    </row>
    <row r="55" ht="15" customHeight="1">
      <c r="A55" s="1795" t="s">
        <v>1552</v>
      </c>
      <c r="B55" s="1759" t="s">
        <v>1553</v>
      </c>
      <c r="C55" s="1781">
        <f>IF('SBL Quotes'!$AN$32="Supplemental",SecondUPB_IfSupp,"")</f>
      </c>
      <c r="D55" s="1783">
        <f t="shared" si="0"/>
      </c>
      <c r="E55" s="1783">
        <f t="shared" si="0"/>
      </c>
      <c r="F55" s="1783">
        <f t="shared" si="0"/>
      </c>
      <c r="G55" s="1783">
        <f t="shared" si="0"/>
      </c>
      <c r="H55" s="1783">
        <f t="shared" si="0"/>
      </c>
      <c r="I55" s="1783">
        <f t="shared" si="0"/>
      </c>
      <c r="J55" s="1783">
        <f t="shared" si="0"/>
      </c>
    </row>
    <row r="56" ht="15" customHeight="1">
      <c r="A56" s="1777" t="s">
        <v>1554</v>
      </c>
      <c r="B56" s="1766" t="s">
        <v>1555</v>
      </c>
      <c r="C56" s="1793"/>
      <c r="D56" s="1761"/>
      <c r="E56" s="1761"/>
      <c r="F56" s="1761"/>
      <c r="G56" s="1761"/>
      <c r="H56" s="1761"/>
      <c r="I56" s="1761"/>
      <c r="J56" s="1761"/>
    </row>
    <row r="57" ht="15" customHeight="1">
      <c r="A57" s="1758" t="s">
        <v>1556</v>
      </c>
      <c r="B57" s="1766" t="s">
        <v>1557</v>
      </c>
      <c r="C57" s="1767"/>
      <c r="D57" s="1767"/>
      <c r="E57" s="1767"/>
      <c r="F57" s="1767"/>
      <c r="G57" s="1767"/>
      <c r="H57" s="1767"/>
      <c r="I57" s="1767"/>
      <c r="J57" s="1767"/>
    </row>
    <row r="58" ht="15" customHeight="1">
      <c r="A58" s="1758" t="s">
        <v>1558</v>
      </c>
      <c r="B58" s="1766" t="s">
        <v>1559</v>
      </c>
      <c r="C58" s="1785"/>
      <c r="D58" s="1767"/>
      <c r="E58" s="1767"/>
      <c r="F58" s="1767"/>
      <c r="G58" s="1767"/>
      <c r="H58" s="1767"/>
      <c r="I58" s="1767"/>
      <c r="J58" s="1767"/>
    </row>
    <row r="59" ht="15" customHeight="1">
      <c r="A59" s="1758" t="s">
        <v>1560</v>
      </c>
      <c r="B59" s="1766" t="s">
        <v>1561</v>
      </c>
      <c r="C59" s="1785"/>
      <c r="D59" s="1767"/>
      <c r="E59" s="1767"/>
      <c r="F59" s="1767"/>
      <c r="G59" s="1767"/>
      <c r="H59" s="1767"/>
      <c r="I59" s="1767"/>
      <c r="J59" s="1767"/>
    </row>
    <row r="60" ht="15" customHeight="1">
      <c r="A60" s="1758" t="s">
        <v>1562</v>
      </c>
      <c r="B60" s="1766" t="s">
        <v>1563</v>
      </c>
      <c r="C60" s="1776"/>
      <c r="D60" s="1796"/>
      <c r="E60" s="1767"/>
      <c r="F60" s="1767"/>
      <c r="G60" s="1767"/>
      <c r="H60" s="1767"/>
      <c r="I60" s="1767"/>
      <c r="J60" s="1767"/>
    </row>
    <row r="61" ht="15" customHeight="1">
      <c r="A61" s="1758" t="s">
        <v>392</v>
      </c>
      <c r="B61" s="1759" t="s">
        <v>1564</v>
      </c>
      <c r="C61" s="1763" t="str">
        <f>'SBL Quotes'!R47</f>
        <v>Standard</v>
      </c>
      <c r="D61" s="1763" t="str">
        <f>'SBL Quotes'!S47</f>
        <v>Standard</v>
      </c>
      <c r="E61" s="1763" t="str">
        <f>'SBL Quotes'!T47</f>
        <v>Standard</v>
      </c>
      <c r="F61" s="1765" t="str">
        <f>'FNM Loan Terms'!I30</f>
        <v>Standard</v>
      </c>
      <c r="G61" s="1765" t="str">
        <f>'FNM Loan Terms'!J30</f>
        <v>Standard</v>
      </c>
      <c r="H61" s="1765" t="str">
        <f>'FNM Loan Terms'!K30</f>
        <v>Standard</v>
      </c>
      <c r="I61" s="1765" t="str">
        <f>'FNM Loan Terms'!L30</f>
        <v>Standard</v>
      </c>
      <c r="J61" s="1765" t="str">
        <f>'FNM Loan Terms'!M30</f>
        <v>Standard</v>
      </c>
    </row>
    <row r="62" ht="15" customHeight="1">
      <c r="A62" s="1797" t="s">
        <v>1565</v>
      </c>
      <c r="B62" s="1759" t="s">
        <v>1566</v>
      </c>
      <c r="C62" s="1763" t="str">
        <f>Interest_Calc</f>
        <v>Actual/360</v>
      </c>
      <c r="D62" s="1789" t="str">
        <f t="shared" si="0"/>
        <v>Actual/360</v>
      </c>
      <c r="E62" s="1789" t="str">
        <f t="shared" si="0"/>
        <v>Actual/360</v>
      </c>
      <c r="F62" s="1789" t="str">
        <f t="shared" si="0"/>
        <v>Actual/360</v>
      </c>
      <c r="G62" s="1789" t="str">
        <f t="shared" si="0"/>
        <v>Actual/360</v>
      </c>
      <c r="H62" s="1789" t="str">
        <f t="shared" si="0"/>
        <v>Actual/360</v>
      </c>
      <c r="I62" s="1789" t="str">
        <f t="shared" si="0"/>
        <v>Actual/360</v>
      </c>
      <c r="J62" s="1789" t="str">
        <f t="shared" si="0"/>
        <v>Actual/360</v>
      </c>
    </row>
    <row r="63" ht="15" customHeight="1">
      <c r="A63" s="1777" t="s">
        <v>1567</v>
      </c>
      <c r="B63" s="1769" t="s">
        <v>1568</v>
      </c>
      <c r="C63" s="1798" t="str">
        <f>TEXT(PremiumPerc_Broker+PremiumPerc_Lender,"0.0%")</f>
        <v>0.0%</v>
      </c>
      <c r="D63" s="1799" t="str">
        <f t="shared" si="3"/>
        <v>0.0%</v>
      </c>
      <c r="E63" s="1799" t="str">
        <f t="shared" si="3"/>
        <v>0.0%</v>
      </c>
      <c r="F63" s="1799" t="str">
        <f t="shared" si="3"/>
        <v>0.0%</v>
      </c>
      <c r="G63" s="1799" t="str">
        <f t="shared" si="3"/>
        <v>0.0%</v>
      </c>
      <c r="H63" s="1799" t="str">
        <f t="shared" si="3"/>
        <v>0.0%</v>
      </c>
      <c r="I63" s="1799" t="str">
        <f t="shared" si="3"/>
        <v>0.0%</v>
      </c>
      <c r="J63" s="1799" t="str">
        <f t="shared" si="3"/>
        <v>0.0%</v>
      </c>
    </row>
    <row r="64" ht="15" customHeight="1">
      <c r="A64" s="1777" t="s">
        <v>1570</v>
      </c>
      <c r="B64" s="1766" t="s">
        <v>1571</v>
      </c>
      <c r="C64" s="1761"/>
      <c r="D64" s="1761"/>
      <c r="E64" s="1761"/>
      <c r="F64" s="1761"/>
      <c r="G64" s="1761"/>
      <c r="H64" s="1761"/>
      <c r="I64" s="1761"/>
      <c r="J64" s="1761"/>
    </row>
    <row r="65" ht="15" customHeight="1">
      <c r="A65" s="1777" t="s">
        <v>1572</v>
      </c>
      <c r="B65" s="1769" t="s">
        <v>1573</v>
      </c>
      <c r="C65" s="1800" t="str">
        <f>TEXT(OriginationPerc_Broker+OriginationPerc_Lender,"0.00%")</f>
        <v>2.00%</v>
      </c>
      <c r="D65" s="1771" t="str">
        <f t="shared" si="3"/>
        <v>2.00%</v>
      </c>
      <c r="E65" s="1771" t="str">
        <f t="shared" si="3"/>
        <v>2.00%</v>
      </c>
      <c r="F65" s="1771" t="str">
        <f t="shared" si="3"/>
        <v>2.00%</v>
      </c>
      <c r="G65" s="1771" t="str">
        <f t="shared" si="3"/>
        <v>2.00%</v>
      </c>
      <c r="H65" s="1771" t="str">
        <f t="shared" si="3"/>
        <v>2.00%</v>
      </c>
      <c r="I65" s="1771" t="str">
        <f t="shared" si="3"/>
        <v>2.00%</v>
      </c>
      <c r="J65" s="1771" t="str">
        <f t="shared" si="3"/>
        <v>2.00%</v>
      </c>
    </row>
    <row r="66" ht="15" customHeight="1">
      <c r="A66" s="1777" t="s">
        <v>1575</v>
      </c>
      <c r="B66" s="1769" t="s">
        <v>1576</v>
      </c>
      <c r="C66" s="1800" t="str">
        <f>IF('Data Page'!B27="Broker Fee",TEXT(OriginationPerc_Broker+PremiumPerc_Broker,"0.00%"),0)</f>
        <v>1.00%</v>
      </c>
      <c r="D66" s="1771" t="str">
        <f t="shared" si="3"/>
        <v>1.00%</v>
      </c>
      <c r="E66" s="1771" t="str">
        <f t="shared" si="3"/>
        <v>1.00%</v>
      </c>
      <c r="F66" s="1771" t="str">
        <f t="shared" si="3"/>
        <v>1.00%</v>
      </c>
      <c r="G66" s="1771" t="str">
        <f t="shared" si="3"/>
        <v>1.00%</v>
      </c>
      <c r="H66" s="1771" t="str">
        <f t="shared" si="3"/>
        <v>1.00%</v>
      </c>
      <c r="I66" s="1771" t="str">
        <f t="shared" si="3"/>
        <v>1.00%</v>
      </c>
      <c r="J66" s="1771" t="str">
        <f t="shared" si="3"/>
        <v>1.00%</v>
      </c>
    </row>
    <row r="67" ht="15" customHeight="1">
      <c r="A67" s="1777" t="s">
        <v>1578</v>
      </c>
      <c r="B67" s="1769" t="s">
        <v>1579</v>
      </c>
      <c r="C67" s="1800" t="str">
        <f>TEXT(IF('Data Page'!B27="Correspondent Fee",OriginationPerc_Broker+PremiumPerc_Broker,0),"0.00%")</f>
        <v>0.00%</v>
      </c>
      <c r="D67" s="1771" t="str">
        <f t="shared" si="3"/>
        <v>0.00%</v>
      </c>
      <c r="E67" s="1771" t="str">
        <f t="shared" si="3"/>
        <v>0.00%</v>
      </c>
      <c r="F67" s="1771" t="str">
        <f t="shared" si="3"/>
        <v>0.00%</v>
      </c>
      <c r="G67" s="1771" t="str">
        <f t="shared" si="3"/>
        <v>0.00%</v>
      </c>
      <c r="H67" s="1771" t="str">
        <f t="shared" si="3"/>
        <v>0.00%</v>
      </c>
      <c r="I67" s="1771" t="str">
        <f t="shared" si="3"/>
        <v>0.00%</v>
      </c>
      <c r="J67" s="1771" t="str">
        <f t="shared" si="3"/>
        <v>0.00%</v>
      </c>
    </row>
    <row r="68" ht="15" customHeight="1">
      <c r="A68" s="1758" t="s">
        <v>1581</v>
      </c>
      <c r="B68" s="1766" t="s">
        <v>1582</v>
      </c>
      <c r="C68" s="1801"/>
      <c r="D68" s="1801"/>
      <c r="E68" s="1801"/>
      <c r="F68" s="1801"/>
      <c r="G68" s="1801"/>
      <c r="H68" s="1801"/>
      <c r="I68" s="1801"/>
      <c r="J68" s="1801"/>
    </row>
    <row r="69" ht="15" customHeight="1">
      <c r="A69" s="1758" t="s">
        <v>1363</v>
      </c>
      <c r="B69" s="1769" t="s">
        <v>1583</v>
      </c>
      <c r="C69" s="1787" t="str">
        <f>TEXT('FNM Loan Terms'!F22,"0.000%")</f>
        <v>4.314%</v>
      </c>
      <c r="D69" s="1787" t="str">
        <f>TEXT('FNM Loan Terms'!G22,"0.000%")</f>
        <v>4.314%</v>
      </c>
      <c r="E69" s="1787" t="str">
        <f>TEXT('FNM Loan Terms'!H22,"0.000%")</f>
        <v>4.314%</v>
      </c>
      <c r="F69" s="1787" t="str">
        <f>TEXT('FNM Loan Terms'!I22,"0.000%")</f>
        <v>4.314%</v>
      </c>
      <c r="G69" s="1787" t="str">
        <f>TEXT('FNM Loan Terms'!J22,"0.000%")</f>
        <v>4.314%</v>
      </c>
      <c r="H69" s="1787" t="str">
        <f>TEXT('FNM Loan Terms'!K22,"0.000%")</f>
        <v>4.451%</v>
      </c>
      <c r="I69" s="1787" t="str">
        <f>TEXT('FNM Loan Terms'!L22,"0.000%")</f>
        <v>4.451%</v>
      </c>
      <c r="J69" s="1787" t="str">
        <f>TEXT('FNM Loan Terms'!M22,"0.000%")</f>
        <v>4.314%</v>
      </c>
    </row>
    <row r="70" ht="15" customHeight="1">
      <c r="A70" s="1758" t="s">
        <v>1586</v>
      </c>
      <c r="B70" s="1769" t="s">
        <v>1587</v>
      </c>
      <c r="C70" s="1787" t="str">
        <f>TEXT('FNM Loan Terms'!F23/10000,"0.000%")</f>
        <v>0.860%</v>
      </c>
      <c r="D70" s="1787" t="str">
        <f>TEXT('FNM Loan Terms'!G23/10000,"0.000%")</f>
        <v>0.980%</v>
      </c>
      <c r="E70" s="1787" t="str">
        <f>TEXT('FNM Loan Terms'!H23/10000,"0.000%")</f>
        <v>1.160%</v>
      </c>
      <c r="F70" s="1787" t="str">
        <f>TEXT('FNM Loan Terms'!I23/10000,"0.000%")</f>
        <v>0.862%</v>
      </c>
      <c r="G70" s="1787" t="str">
        <f>TEXT('FNM Loan Terms'!J23/10000,"0.000%")</f>
        <v>0.860%</v>
      </c>
      <c r="H70" s="1787" t="str">
        <f>TEXT('FNM Loan Terms'!K23/10000,"0.000%")</f>
        <v>0.921%</v>
      </c>
      <c r="I70" s="1787" t="str">
        <f>TEXT('FNM Loan Terms'!L23/10000,"0.000%")</f>
        <v>0.916%</v>
      </c>
      <c r="J70" s="1787" t="str">
        <f>TEXT('FNM Loan Terms'!M23/10000,"0.000%")</f>
        <v>0.860%</v>
      </c>
    </row>
    <row r="71" ht="15" customHeight="1">
      <c r="A71" s="1758" t="s">
        <v>1594</v>
      </c>
      <c r="B71" s="1769" t="s">
        <v>1595</v>
      </c>
      <c r="C71" s="1787" t="str">
        <f>TEXT('FNM Loan Terms'!F24/10000,"0.000%")</f>
        <v>1.152%</v>
      </c>
      <c r="D71" s="1787" t="str">
        <f>TEXT('FNM Loan Terms'!G24/10000,"0.000%")</f>
        <v>1.152%</v>
      </c>
      <c r="E71" s="1787" t="str">
        <f>TEXT('FNM Loan Terms'!H24/10000,"0.000%")</f>
        <v>1.152%</v>
      </c>
      <c r="F71" s="1787" t="str">
        <f>TEXT('FNM Loan Terms'!I24/10000,"0.000%")</f>
        <v>1.032%</v>
      </c>
      <c r="G71" s="1787" t="str">
        <f>TEXT('FNM Loan Terms'!J24/10000,"0.000%")</f>
        <v>0.912%</v>
      </c>
      <c r="H71" s="1787" t="str">
        <f>TEXT('FNM Loan Terms'!K24/10000,"0.000%")</f>
        <v>1.080%</v>
      </c>
      <c r="I71" s="1787" t="str">
        <f>TEXT('FNM Loan Terms'!L24/10000,"0.000%")</f>
        <v>0.960%</v>
      </c>
      <c r="J71" s="1787" t="str">
        <f>TEXT('FNM Loan Terms'!M24/10000,"0.000%")</f>
        <v>1.152%</v>
      </c>
    </row>
    <row r="72" ht="15" customHeight="1">
      <c r="A72" s="1758" t="s">
        <v>1601</v>
      </c>
      <c r="B72" s="1769" t="s">
        <v>1602</v>
      </c>
      <c r="C72" s="1787" t="str">
        <f>TEXT('FNM Loan Terms'!F25/10000,"0.000%")</f>
        <v>0.768%</v>
      </c>
      <c r="D72" s="1787" t="str">
        <f>TEXT('FNM Loan Terms'!G25/10000,"0.000%")</f>
        <v>0.768%</v>
      </c>
      <c r="E72" s="1787" t="str">
        <f>TEXT('FNM Loan Terms'!H25/10000,"0.000%")</f>
        <v>0.768%</v>
      </c>
      <c r="F72" s="1787" t="str">
        <f>TEXT('FNM Loan Terms'!I25/10000,"0.000%")</f>
        <v>0.688%</v>
      </c>
      <c r="G72" s="1787" t="str">
        <f>TEXT('FNM Loan Terms'!J25/10000,"0.000%")</f>
        <v>0.608%</v>
      </c>
      <c r="H72" s="1787" t="str">
        <f>TEXT('FNM Loan Terms'!K25/10000,"0.000%")</f>
        <v>0.720%</v>
      </c>
      <c r="I72" s="1787" t="str">
        <f>TEXT('FNM Loan Terms'!L25/10000,"0.000%")</f>
        <v>0.640%</v>
      </c>
      <c r="J72" s="1787" t="str">
        <f>TEXT('FNM Loan Terms'!M25/10000,"0.000%")</f>
        <v>0.768%</v>
      </c>
    </row>
    <row r="73" ht="15" customHeight="1">
      <c r="A73" s="1758" t="s">
        <v>1608</v>
      </c>
      <c r="B73" s="1769" t="s">
        <v>1609</v>
      </c>
      <c r="C73" s="1787">
        <f>IF('FNM Loan Terms'!F26&gt;0,TEXT('FNM Loan Terms'!F26/10000,"0.000%"),"")</f>
      </c>
      <c r="D73" s="1787">
        <f>IF('FNM Loan Terms'!G26&gt;0,TEXT('FNM Loan Terms'!G26/10000,"0.000%"),"")</f>
      </c>
      <c r="E73" s="1787">
        <f>IF('FNM Loan Terms'!H26&gt;0,TEXT('FNM Loan Terms'!H26/10000,"0.000%"),"")</f>
      </c>
      <c r="F73" s="1787">
        <f>IF('FNM Loan Terms'!I26&gt;0,TEXT('FNM Loan Terms'!I26/10000,"0.000%"),"")</f>
      </c>
      <c r="G73" s="1787">
        <f>IF('FNM Loan Terms'!J26&gt;0,TEXT('FNM Loan Terms'!J26/10000,"0.000%"),"")</f>
      </c>
      <c r="H73" s="1787">
        <f>IF('FNM Loan Terms'!K26&gt;0,TEXT('FNM Loan Terms'!K26/10000,"0.000%"),"")</f>
      </c>
      <c r="I73" s="1787">
        <f>IF('FNM Loan Terms'!L26&gt;0,TEXT('FNM Loan Terms'!L26/10000,"0.000%"),"")</f>
      </c>
      <c r="J73" s="1787">
        <f>IF('FNM Loan Terms'!M26&gt;0,TEXT('FNM Loan Terms'!M26/10000,"0.000%"),"")</f>
      </c>
    </row>
    <row r="74" ht="15" customHeight="1">
      <c r="A74" s="1762" t="s">
        <v>1610</v>
      </c>
      <c r="B74" s="1766" t="s">
        <v>1611</v>
      </c>
      <c r="C74" s="1802"/>
      <c r="D74" s="1803"/>
      <c r="E74" s="1803"/>
      <c r="F74" s="1803"/>
      <c r="G74" s="1804"/>
      <c r="H74" s="1803"/>
      <c r="I74" s="1803"/>
      <c r="J74" s="1803"/>
    </row>
    <row r="75" ht="15" customHeight="1">
      <c r="A75" s="1762" t="s">
        <v>1612</v>
      </c>
      <c r="B75" s="1769" t="s">
        <v>1613</v>
      </c>
      <c r="C75" s="1805">
        <f>IF('FNM Loan Terms'!F$11="Fixed Rate","","0.000%")</f>
      </c>
      <c r="D75" s="1805">
        <f>IF('FNM Loan Terms'!G$11="Fixed Rate","","0.000%")</f>
      </c>
      <c r="E75" s="1805">
        <f>IF('FNM Loan Terms'!H$11="Fixed Rate","","0.000%")</f>
      </c>
      <c r="F75" s="1805">
        <f>IF('FNM Loan Terms'!I$11="Fixed Rate","","0.000%")</f>
      </c>
      <c r="G75" s="1805">
        <f>IF('FNM Loan Terms'!J$11="Fixed Rate","","0.000%")</f>
      </c>
      <c r="H75" s="1805">
        <f>IF('FNM Loan Terms'!K$11="Fixed Rate","","0.000%")</f>
      </c>
      <c r="I75" s="1805">
        <f>IF('FNM Loan Terms'!L$11="Fixed Rate","","0.000%")</f>
      </c>
      <c r="J75" s="1805" t="str">
        <f>IF('FNM Loan Terms'!M$11="Fixed Rate","","0.000%")</f>
        <v>0.000%</v>
      </c>
    </row>
    <row r="76" ht="15" customHeight="1">
      <c r="A76" s="1762" t="s">
        <v>1615</v>
      </c>
      <c r="B76" s="1769" t="s">
        <v>1616</v>
      </c>
      <c r="C76" s="1805">
        <f>IF('FNM Loan Terms'!F$11="Fixed Rate","",TEXT(SARMInvestorSpread,"0.000%"))</f>
      </c>
      <c r="D76" s="1805">
        <f>IF('FNM Loan Terms'!G$11="Fixed Rate","",TEXT(SARMInvestorSpread,"0.000%"))</f>
      </c>
      <c r="E76" s="1805">
        <f>IF('FNM Loan Terms'!H$11="Fixed Rate","",TEXT(SARMInvestorSpread,"0.000%"))</f>
      </c>
      <c r="F76" s="1805">
        <f>IF('FNM Loan Terms'!I$11="Fixed Rate","",TEXT(SARMInvestorSpread,"0.000%"))</f>
      </c>
      <c r="G76" s="1805">
        <f>IF('FNM Loan Terms'!J$11="Fixed Rate","",TEXT(SARMInvestorSpread,"0.000%"))</f>
      </c>
      <c r="H76" s="1805">
        <f>IF('FNM Loan Terms'!K$11="Fixed Rate","",TEXT(SARMInvestorSpread,"0.000%"))</f>
      </c>
      <c r="I76" s="1805">
        <f>IF('FNM Loan Terms'!L$11="Fixed Rate","",TEXT(SARMInvestorSpread,"0.000%"))</f>
      </c>
      <c r="J76" s="1805" t="str">
        <f>IF('FNM Loan Terms'!M$11="Fixed Rate","",TEXT(SARMInvestorSpread,"0.000%"))</f>
        <v>0.000%</v>
      </c>
    </row>
    <row r="77" ht="15" customHeight="1">
      <c r="A77" s="1762" t="s">
        <v>1617</v>
      </c>
      <c r="B77" s="1769" t="s">
        <v>1618</v>
      </c>
      <c r="C77" s="1805">
        <f>IF('FNM Loan Terms'!F$11="Fixed Rate","",TEXT(SARMGuarantyFee,"0.000%"))</f>
      </c>
      <c r="D77" s="1805">
        <f>IF('FNM Loan Terms'!G$11="Fixed Rate","",TEXT(SARMGuarantyFee,"0.000%"))</f>
      </c>
      <c r="E77" s="1805">
        <f>IF('FNM Loan Terms'!H$11="Fixed Rate","",TEXT(SARMGuarantyFee,"0.000%"))</f>
      </c>
      <c r="F77" s="1805">
        <f>IF('FNM Loan Terms'!I$11="Fixed Rate","",TEXT(SARMGuarantyFee,"0.000%"))</f>
      </c>
      <c r="G77" s="1805">
        <f>IF('FNM Loan Terms'!J$11="Fixed Rate","",TEXT(SARMGuarantyFee,"0.000%"))</f>
      </c>
      <c r="H77" s="1805">
        <f>IF('FNM Loan Terms'!K$11="Fixed Rate","",TEXT(SARMGuarantyFee,"0.000%"))</f>
      </c>
      <c r="I77" s="1805">
        <f>IF('FNM Loan Terms'!L$11="Fixed Rate","",TEXT(SARMGuarantyFee,"0.000%"))</f>
      </c>
      <c r="J77" s="1805" t="str">
        <f>IF('FNM Loan Terms'!M$11="Fixed Rate","",TEXT(SARMGuarantyFee,"0.000%"))</f>
        <v>0.000%</v>
      </c>
    </row>
    <row r="78" ht="15" customHeight="1">
      <c r="A78" s="1762" t="s">
        <v>1619</v>
      </c>
      <c r="B78" s="1769" t="s">
        <v>1620</v>
      </c>
      <c r="C78" s="1805">
        <f>IF('FNM Loan Terms'!F$11="Fixed Rate","",TEXT(SARMServicingFee,"0.000%"))</f>
      </c>
      <c r="D78" s="1805">
        <f>IF('FNM Loan Terms'!G$11="Fixed Rate","",TEXT(SARMServicingFee,"0.000%"))</f>
      </c>
      <c r="E78" s="1805">
        <f>IF('FNM Loan Terms'!H$11="Fixed Rate","",TEXT(SARMServicingFee,"0.000%"))</f>
      </c>
      <c r="F78" s="1805">
        <f>IF('FNM Loan Terms'!I$11="Fixed Rate","",TEXT(SARMServicingFee,"0.000%"))</f>
      </c>
      <c r="G78" s="1805">
        <f>IF('FNM Loan Terms'!J$11="Fixed Rate","",TEXT(SARMServicingFee,"0.000%"))</f>
      </c>
      <c r="H78" s="1805">
        <f>IF('FNM Loan Terms'!K$11="Fixed Rate","",TEXT(SARMServicingFee,"0.000%"))</f>
      </c>
      <c r="I78" s="1805">
        <f>IF('FNM Loan Terms'!L$11="Fixed Rate","",TEXT(SARMServicingFee,"0.000%"))</f>
      </c>
      <c r="J78" s="1805" t="str">
        <f>IF('FNM Loan Terms'!M$11="Fixed Rate","",TEXT(SARMServicingFee,"0.000%"))</f>
        <v>0.000%</v>
      </c>
    </row>
    <row r="79" ht="15" customHeight="1">
      <c r="A79" s="1762" t="s">
        <v>1621</v>
      </c>
      <c r="B79" s="1769" t="s">
        <v>1622</v>
      </c>
      <c r="C79" s="1805">
        <f>IF('FNM Loan Terms'!F$11="Fixed Rate","",TEXT(_xlfn.SINGLE(SARMCapCostFactor),"0.000%"))</f>
      </c>
      <c r="D79" s="1805">
        <f>IF('FNM Loan Terms'!G$11="Fixed Rate","",TEXT(_xlfn.SINGLE(SARMCapCostFactor),"0.000%"))</f>
      </c>
      <c r="E79" s="1805">
        <f>IF('FNM Loan Terms'!H$11="Fixed Rate","",TEXT(_xlfn.SINGLE(SARMCapCostFactor),"0.000%"))</f>
      </c>
      <c r="F79" s="1805">
        <f>IF('FNM Loan Terms'!I$11="Fixed Rate","",TEXT(_xlfn.SINGLE(SARMCapCostFactor),"0.000%"))</f>
      </c>
      <c r="G79" s="1805">
        <f>IF('FNM Loan Terms'!J$11="Fixed Rate","",TEXT(_xlfn.SINGLE(SARMCapCostFactor),"0.000%"))</f>
      </c>
      <c r="H79" s="1805">
        <f>IF('FNM Loan Terms'!K$11="Fixed Rate","",TEXT(_xlfn.SINGLE(SARMCapCostFactor),"0.000%"))</f>
      </c>
      <c r="I79" s="1805">
        <f>IF('FNM Loan Terms'!L$11="Fixed Rate","",TEXT(_xlfn.SINGLE(SARMCapCostFactor),"0.000%"))</f>
      </c>
      <c r="J79" s="1805" t="str">
        <f>IF('FNM Loan Terms'!M$11="Fixed Rate","",TEXT(_xlfn.SINGLE(SARMCapCostFactor),"0.000%"))</f>
        <v>0.000%</v>
      </c>
    </row>
    <row r="80" ht="15" customHeight="1">
      <c r="A80" s="1762" t="s">
        <v>1623</v>
      </c>
      <c r="B80" s="1769" t="s">
        <v>1624</v>
      </c>
      <c r="C80" s="1805">
        <f>IF('FNM Loan Terms'!F$11="Fixed Rate","",TEXT(_xlfn.SINGLE(SARMCushion),"0.000%"))</f>
      </c>
      <c r="D80" s="1805">
        <f>IF('FNM Loan Terms'!G$11="Fixed Rate","",TEXT(_xlfn.SINGLE(SARMCushion),"0.000%"))</f>
      </c>
      <c r="E80" s="1805">
        <f>IF('FNM Loan Terms'!H$11="Fixed Rate","",TEXT(_xlfn.SINGLE(SARMCushion),"0.000%"))</f>
      </c>
      <c r="F80" s="1805">
        <f>IF('FNM Loan Terms'!I$11="Fixed Rate","",TEXT(_xlfn.SINGLE(SARMCushion),"0.000%"))</f>
      </c>
      <c r="G80" s="1805">
        <f>IF('FNM Loan Terms'!J$11="Fixed Rate","",TEXT(_xlfn.SINGLE(SARMCushion),"0.000%"))</f>
      </c>
      <c r="H80" s="1805">
        <f>IF('FNM Loan Terms'!K$11="Fixed Rate","",TEXT(_xlfn.SINGLE(SARMCushion),"0.000%"))</f>
      </c>
      <c r="I80" s="1805">
        <f>IF('FNM Loan Terms'!L$11="Fixed Rate","",TEXT(_xlfn.SINGLE(SARMCushion),"0.000%"))</f>
      </c>
      <c r="J80" s="1805" t="str">
        <f>IF('FNM Loan Terms'!M$11="Fixed Rate","",TEXT(_xlfn.SINGLE(SARMCushion),"0.000%"))</f>
        <v>0.000%</v>
      </c>
    </row>
    <row r="81" ht="15" customHeight="1">
      <c r="A81" s="1762" t="s">
        <v>1625</v>
      </c>
      <c r="B81" s="1766" t="s">
        <v>1626</v>
      </c>
      <c r="C81" s="1776"/>
      <c r="D81" s="1761"/>
      <c r="E81" s="1761"/>
      <c r="F81" s="1761"/>
      <c r="G81" s="1761"/>
      <c r="H81" s="1761"/>
      <c r="I81" s="1761"/>
      <c r="J81" s="1761"/>
    </row>
    <row r="82" ht="15" customHeight="1">
      <c r="A82" s="1762" t="s">
        <v>1627</v>
      </c>
      <c r="B82" s="1769" t="s">
        <v>1628</v>
      </c>
      <c r="C82" s="1793" cm="1">
        <f t="array" ref="C82">_xlfn.IFERROR(IF(C7="SARM",IF(C10=C11,(SOps_UnderwrittenNCF/C5/C85)-(SUM(VALUE(C76:C79))),((RATE(C12,SOps_UnderwrittenNCF/12/C85,-C5))*12)-SUM(VALUE(C76:C79))),""),"")</f>
      </c>
      <c r="D82" s="1793" cm="1">
        <f t="array" ref="D82">_xlfn.IFERROR(IF(D7="SARM",IF(D10=D11,(SOps_UnderwrittenNCF/D5/D85)-(SUM(VALUE(D76:D79))),((RATE(D12,SOps_UnderwrittenNCF/12/D85,-D5))*12)-SUM(VALUE(D76:D79))),""),"")</f>
      </c>
      <c r="E82" s="1793" cm="1">
        <f t="array" ref="E82">_xlfn.IFERROR(IF(E7="SARM",IF(E10=E11,(SOps_UnderwrittenNCF/E5/E85)-(SUM(VALUE(E76:E79))),((RATE(E12,SOps_UnderwrittenNCF/12/E85,-E5))*12)-SUM(VALUE(E76:E79))),""),"")</f>
      </c>
      <c r="F82" s="1793" cm="1">
        <f t="array" ref="F82">_xlfn.IFERROR(IF(F7="SARM",IF(F10=F11,(SOps_UnderwrittenNCF/F5/F85)-(SUM(VALUE(F76:F79))),((RATE(F12,SOps_UnderwrittenNCF/12/F85,-F5))*12)-SUM(VALUE(F76:F79))),""),"")</f>
      </c>
      <c r="G82" s="1793" cm="1">
        <f t="array" ref="G82">_xlfn.IFERROR(IF(G7="SARM",IF(G10=G11,(SOps_UnderwrittenNCF/G5/G85)-(SUM(VALUE(G76:G79))),((RATE(G12,SOps_UnderwrittenNCF/12/G85,-G5))*12)-SUM(VALUE(G76:G79))),""),"")</f>
      </c>
      <c r="H82" s="1793" cm="1">
        <f t="array" ref="H82">_xlfn.IFERROR(IF(H7="SARM",IF(H10=H11,(SOps_UnderwrittenNCF/H5/H85)-(SUM(VALUE(H76:H79))),((RATE(H12,SOps_UnderwrittenNCF/12/H85,-H5))*12)-SUM(VALUE(H76:H79))),""),"")</f>
      </c>
      <c r="I82" s="1793" cm="1">
        <f t="array" ref="I82">_xlfn.IFERROR(IF(I7="SARM",IF(I10=I11,(SOps_UnderwrittenNCF/I5/I85)-(SUM(VALUE(I76:I79))),((RATE(I12,SOps_UnderwrittenNCF/12/I85,-I5))*12)-SUM(VALUE(I76:I79))),""),"")</f>
      </c>
      <c r="J82" s="1793" cm="1">
        <f t="array" ref="J82">_xlfn.IFERROR(IF(J7="SARM",IF(J10=J11,(SOps_UnderwrittenNCF/J5/J85)-(SUM(VALUE(J76:J79))),((RATE(J12,SOps_UnderwrittenNCF/12/J85,-J5))*12)-SUM(VALUE(J76:J79))),""),"")</f>
      </c>
      <c r="K82" s="1806"/>
    </row>
    <row r="83" ht="15" customHeight="1">
      <c r="A83" s="1762" t="s">
        <v>1629</v>
      </c>
      <c r="B83" s="1769" t="s">
        <v>1630</v>
      </c>
      <c r="C83" s="1787" t="str">
        <f>TEXT('FNM Loan Terms'!F40,"0.000%")</f>
        <v>5.000%</v>
      </c>
      <c r="D83" s="1787" t="str">
        <f>TEXT('FNM Loan Terms'!G40,"0.000%")</f>
        <v>7.214%</v>
      </c>
      <c r="E83" s="1787" t="str">
        <f>TEXT('FNM Loan Terms'!H40,"0.000%")</f>
        <v>7.394%</v>
      </c>
      <c r="F83" s="1787" t="str">
        <f>TEXT('FNM Loan Terms'!I40,"0.000%")</f>
        <v>6.897%</v>
      </c>
      <c r="G83" s="1787" t="str">
        <f>TEXT('FNM Loan Terms'!J40,"0.000%")</f>
        <v>6.694%</v>
      </c>
      <c r="H83" s="1787" t="str">
        <f>TEXT('FNM Loan Terms'!K40,"0.000%")</f>
        <v>7.172%</v>
      </c>
      <c r="I83" s="1787" t="str">
        <f>TEXT('FNM Loan Terms'!L40,"0.000%")</f>
        <v>6.967%</v>
      </c>
      <c r="J83" s="1787" t="str">
        <f>TEXT('FNM Loan Terms'!M40,"0.000%")</f>
        <v>5.000%</v>
      </c>
      <c r="K83" s="620"/>
    </row>
    <row r="84" ht="15" customHeight="1">
      <c r="A84" s="1758" t="s">
        <v>1377</v>
      </c>
      <c r="B84" s="1759" t="s">
        <v>1638</v>
      </c>
      <c r="C84" s="1779" t="str">
        <f>'FNM Loan Terms'!F43</f>
        <v>Tier 2</v>
      </c>
      <c r="D84" s="1779" t="str">
        <f>'FNM Loan Terms'!G43</f>
        <v>Tier 2</v>
      </c>
      <c r="E84" s="1779" t="str">
        <f>'FNM Loan Terms'!H43</f>
        <v>Tier 2</v>
      </c>
      <c r="F84" s="1779" t="str">
        <f>'FNM Loan Terms'!I43</f>
        <v>Tier 3</v>
      </c>
      <c r="G84" s="1779" t="str">
        <f>'FNM Loan Terms'!J43</f>
        <v>Tier 4</v>
      </c>
      <c r="H84" s="1779" t="str">
        <f>'FNM Loan Terms'!K43</f>
        <v>Tier 3</v>
      </c>
      <c r="I84" s="1779" t="str">
        <f>'FNM Loan Terms'!L43</f>
        <v>Tier 4</v>
      </c>
      <c r="J84" s="1779" t="str">
        <f>'FNM Loan Terms'!M43</f>
        <v>Tier 2</v>
      </c>
      <c r="K84" s="620"/>
    </row>
    <row r="85" ht="15" customHeight="1">
      <c r="A85" s="1797" t="s">
        <v>1639</v>
      </c>
      <c r="B85" s="1759" t="s">
        <v>1640</v>
      </c>
      <c r="C85" s="1807" t="e">
        <f>IF(Interest_Rate_Type="Fixed",Tier_Min_Actual_UW_DSCR,Variable_Min_Pay_UW_DSCR)</f>
        <v>#NAME?</v>
      </c>
      <c r="D85" s="1787" t="e">
        <f t="shared" si="0"/>
        <v>#NAME?</v>
      </c>
      <c r="E85" s="1787" t="e">
        <f t="shared" si="0"/>
        <v>#NAME?</v>
      </c>
      <c r="F85" s="1787" t="e">
        <f t="shared" si="0"/>
        <v>#NAME?</v>
      </c>
      <c r="G85" s="1787" t="e">
        <f t="shared" si="0"/>
        <v>#NAME?</v>
      </c>
      <c r="H85" s="1787" t="e">
        <f t="shared" si="0"/>
        <v>#NAME?</v>
      </c>
      <c r="I85" s="1787" t="e">
        <f t="shared" si="0"/>
        <v>#NAME?</v>
      </c>
      <c r="J85" s="1787" t="e">
        <f t="shared" si="0"/>
        <v>#NAME?</v>
      </c>
      <c r="K85" s="620"/>
    </row>
    <row r="86" ht="15" customHeight="1">
      <c r="A86" s="1758" t="s">
        <v>1378</v>
      </c>
      <c r="B86" s="1759" t="s">
        <v>1641</v>
      </c>
      <c r="C86" s="1808">
        <f>'FNM Loan Terms'!F44</f>
        <v>1.25</v>
      </c>
      <c r="D86" s="1808">
        <f>'FNM Loan Terms'!G44</f>
        <v>1.25</v>
      </c>
      <c r="E86" s="1808">
        <f>'FNM Loan Terms'!H44</f>
        <v>1.25</v>
      </c>
      <c r="F86" s="1787">
        <f>'FNM Loan Terms'!I44</f>
        <v>1.35</v>
      </c>
      <c r="G86" s="1787">
        <f>'FNM Loan Terms'!J44</f>
        <v>1.55</v>
      </c>
      <c r="H86" s="1787">
        <f>'FNM Loan Terms'!K44</f>
        <v>1.35</v>
      </c>
      <c r="I86" s="1787">
        <f>'FNM Loan Terms'!L44</f>
        <v>1.55</v>
      </c>
      <c r="J86" s="1787">
        <f>'FNM Loan Terms'!M44</f>
        <v>1.25</v>
      </c>
      <c r="K86" s="620"/>
    </row>
    <row r="87" ht="15" customHeight="1">
      <c r="A87" s="1758" t="s">
        <v>1379</v>
      </c>
      <c r="B87" s="1769" t="s">
        <v>1642</v>
      </c>
      <c r="C87" s="1799" t="str">
        <f>TEXT('FNM Loan Terms'!F45,"0.0%")</f>
        <v>80.0%</v>
      </c>
      <c r="D87" s="1799" t="str">
        <f>TEXT('FNM Loan Terms'!G45,"0.0%")</f>
        <v>80.0%</v>
      </c>
      <c r="E87" s="1799" t="str">
        <f>TEXT('FNM Loan Terms'!H45,"0.0%")</f>
        <v>80.0%</v>
      </c>
      <c r="F87" s="1799" t="str">
        <f>TEXT('FNM Loan Terms'!I45,"0.0%")</f>
        <v>65.0%</v>
      </c>
      <c r="G87" s="1799" t="str">
        <f>TEXT('FNM Loan Terms'!J45,"0.0%")</f>
        <v>55.0%</v>
      </c>
      <c r="H87" s="1799" t="str">
        <f>TEXT('FNM Loan Terms'!K45,"0.0%")</f>
        <v>65.0%</v>
      </c>
      <c r="I87" s="1799" t="str">
        <f>TEXT('FNM Loan Terms'!L45,"0.0%")</f>
        <v>55.0%</v>
      </c>
      <c r="J87" s="1799" t="str">
        <f>TEXT('FNM Loan Terms'!M45,"0.0%")</f>
        <v>80.0%</v>
      </c>
      <c r="K87" s="620"/>
    </row>
    <row r="88" ht="15" customHeight="1">
      <c r="A88" s="1782" t="s">
        <v>1646</v>
      </c>
      <c r="B88" s="1759" t="s">
        <v>1647</v>
      </c>
      <c r="C88" s="1761" cm="1">
        <f t="array" ref="C88">_xlfn.IFERROR(IF(C6="Fixed Rate","",ROUND(SOps_UnderwrittenNCF/(PMT(SUM(VALUE(C69:C72))/12,C12,-C5,0)*12),3)),"")</f>
      </c>
      <c r="D88" s="1761" cm="1">
        <f t="array" ref="D88">_xlfn.IFERROR(IF(D6="Fixed Rate","",ROUND(SOps_UnderwrittenNCF/(PMT(SUM(VALUE(D69:D72))/12,D12,-D5,0)*12),3)),"")</f>
      </c>
      <c r="E88" s="1761" cm="1">
        <f t="array" ref="E88">_xlfn.IFERROR(IF(E6="Fixed Rate","",ROUND(SOps_UnderwrittenNCF/(PMT(SUM(VALUE(E69:E72))/12,E12,-E5,0)*12),3)),"")</f>
      </c>
      <c r="F88" s="1761" cm="1">
        <f t="array" ref="F88">_xlfn.IFERROR(IF(F6="Fixed Rate","",ROUND(SOps_UnderwrittenNCF/(PMT(SUM(VALUE(F69:F72))/12,F12,-F5,0)*12),3)),"")</f>
      </c>
      <c r="G88" s="1761" cm="1">
        <f t="array" ref="G88">_xlfn.IFERROR(IF(G6="Fixed Rate","",ROUND(SOps_UnderwrittenNCF/(PMT(SUM(VALUE(G69:G72))/12,G12,-G5,0)*12),3)),"")</f>
      </c>
      <c r="H88" s="1761" cm="1">
        <f t="array" ref="H88">_xlfn.IFERROR(IF(H6="Fixed Rate","",ROUND(SOps_UnderwrittenNCF/(PMT(SUM(VALUE(H69:H72))/12,H12,-H5,0)*12),3)),"")</f>
      </c>
      <c r="I88" s="1761" cm="1">
        <f t="array" ref="I88">_xlfn.IFERROR(IF(I6="Fixed Rate","",ROUND(SOps_UnderwrittenNCF/(PMT(SUM(VALUE(I69:I72))/12,I12,-I5,0)*12),3)),"")</f>
      </c>
      <c r="J88" s="1761" cm="1">
        <f t="array" ref="J88">_xlfn.IFERROR(IF(J6="Fixed Rate","",ROUND(SOps_UnderwrittenNCF/(PMT(SUM(VALUE(J69:J72))/12,J12,-J5,0)*12),3)),"")</f>
      </c>
      <c r="K88" s="1806"/>
    </row>
    <row r="89" ht="15" customHeight="1">
      <c r="A89" s="1782" t="s">
        <v>1648</v>
      </c>
      <c r="B89" s="1759" t="s">
        <v>1649</v>
      </c>
      <c r="C89" s="1761">
        <f t="shared" si="4" ref="C89:J89">_xlfn.IFERROR(IF(C6="Fixed Rate","",ROUND(SOps_UnderwrittenNCF/(PMT(VALUE(C83)/12,C12,-C5,0)*12),3)),"")</f>
      </c>
      <c r="D89" s="1761">
        <f t="shared" si="4"/>
      </c>
      <c r="E89" s="1761">
        <f t="shared" si="4"/>
      </c>
      <c r="F89" s="1761">
        <f t="shared" si="4"/>
      </c>
      <c r="G89" s="1761">
        <f t="shared" si="4"/>
      </c>
      <c r="H89" s="1761">
        <f t="shared" si="4"/>
      </c>
      <c r="I89" s="1761">
        <f t="shared" si="4"/>
      </c>
      <c r="J89" s="1761">
        <f t="shared" si="4"/>
      </c>
      <c r="K89" s="1806"/>
    </row>
    <row r="90" ht="15" customHeight="1">
      <c r="A90" s="1782" t="s">
        <v>1650</v>
      </c>
      <c r="B90" s="1769" t="s">
        <v>1651</v>
      </c>
      <c r="C90" s="1798" t="str">
        <f>TEXT(Tier_Max_LTV,"0.0%")</f>
        <v>75.0%</v>
      </c>
      <c r="D90" s="1799" t="str">
        <f t="shared" si="5" ref="D90:J90">D87</f>
        <v>80.0%</v>
      </c>
      <c r="E90" s="1799" t="str">
        <f t="shared" si="5"/>
        <v>80.0%</v>
      </c>
      <c r="F90" s="1799" t="str">
        <f t="shared" si="5"/>
        <v>65.0%</v>
      </c>
      <c r="G90" s="1799" t="str">
        <f t="shared" si="5"/>
        <v>55.0%</v>
      </c>
      <c r="H90" s="1799" t="str">
        <f t="shared" si="5"/>
        <v>65.0%</v>
      </c>
      <c r="I90" s="1799" t="str">
        <f t="shared" si="5"/>
        <v>55.0%</v>
      </c>
      <c r="J90" s="1799" t="str">
        <f t="shared" si="5"/>
        <v>80.0%</v>
      </c>
    </row>
    <row r="91" ht="15" customHeight="1">
      <c r="A91" s="1758" t="s">
        <v>1653</v>
      </c>
      <c r="B91" s="1759" t="s">
        <v>1654</v>
      </c>
      <c r="C91" s="1763" t="str">
        <f>"Tier "&amp;'SBL Quotes'!R$39</f>
        <v>Tier 2</v>
      </c>
      <c r="D91" s="1763" t="str">
        <f>"Tier "&amp;'SBL Quotes'!S$39</f>
        <v>Tier 2</v>
      </c>
      <c r="E91" s="1763" t="str">
        <f>"Tier "&amp;'SBL Quotes'!T$39</f>
        <v>Tier 2</v>
      </c>
      <c r="F91" s="1763" t="str">
        <f>"Tier "&amp;'SBL Quotes'!U$39</f>
        <v>Tier 3</v>
      </c>
      <c r="G91" s="1763" t="str">
        <f>"Tier "&amp;'SBL Quotes'!V$39</f>
        <v>Tier 4</v>
      </c>
      <c r="H91" s="1763" t="str">
        <f>"Tier "&amp;'SBL Quotes'!W$39</f>
        <v>Tier 3</v>
      </c>
      <c r="I91" s="1763" t="str">
        <f>"Tier "&amp;'SBL Quotes'!X$39</f>
        <v>Tier 4</v>
      </c>
      <c r="J91" s="1763" t="str">
        <f>"Tier "&amp;'SBL Quotes'!Y$39</f>
        <v>Tier 2</v>
      </c>
    </row>
    <row r="92" ht="15" customHeight="1">
      <c r="A92" s="1758" t="s">
        <v>1655</v>
      </c>
      <c r="B92" s="1759" t="s">
        <v>1656</v>
      </c>
      <c r="C92" s="1807" t="e">
        <f>IF(Interest_Rate_Type="Fixed",ROUND(Requested_Actual_UW_DSCR,3),ROUND(Variable_Requested_Pay_UW_DSCR,3))</f>
        <v>#NAME?</v>
      </c>
      <c r="D92" s="1787">
        <f t="shared" si="6" ref="D92:J92">D94</f>
        <v>1.25</v>
      </c>
      <c r="E92" s="1787">
        <f t="shared" si="6"/>
        <v>1.25</v>
      </c>
      <c r="F92" s="1787">
        <f t="shared" si="6"/>
        <v>1.35</v>
      </c>
      <c r="G92" s="1787">
        <f t="shared" si="6"/>
        <v>1.55</v>
      </c>
      <c r="H92" s="1787">
        <f t="shared" si="6"/>
        <v>1.35</v>
      </c>
      <c r="I92" s="1787">
        <f t="shared" si="6"/>
        <v>1.55</v>
      </c>
      <c r="J92" s="1787">
        <f t="shared" si="6"/>
        <v>1.25</v>
      </c>
    </row>
    <row r="93" ht="15" customHeight="1">
      <c r="A93" s="1758" t="s">
        <v>1657</v>
      </c>
      <c r="B93" s="1759" t="s">
        <v>1658</v>
      </c>
      <c r="C93" s="1809">
        <f>'FNM Loan Terms'!F41</f>
        <v>1.25</v>
      </c>
      <c r="D93" s="1809">
        <f>'FNM Loan Terms'!G41</f>
        <v>1.25</v>
      </c>
      <c r="E93" s="1809">
        <f>'FNM Loan Terms'!H41</f>
        <v>1.25</v>
      </c>
      <c r="F93" s="1809">
        <f>'FNM Loan Terms'!I41</f>
        <v>1.35</v>
      </c>
      <c r="G93" s="1809">
        <f>'FNM Loan Terms'!J41</f>
        <v>1.55</v>
      </c>
      <c r="H93" s="1809">
        <f>'FNM Loan Terms'!K41</f>
        <v>1.35</v>
      </c>
      <c r="I93" s="1809">
        <f>'FNM Loan Terms'!L41</f>
        <v>1.55</v>
      </c>
      <c r="J93" s="1809">
        <f>'FNM Loan Terms'!M41</f>
        <v>1.25</v>
      </c>
    </row>
    <row r="94" ht="15" customHeight="1">
      <c r="A94" s="1758" t="s">
        <v>1659</v>
      </c>
      <c r="B94" s="1759" t="s">
        <v>1660</v>
      </c>
      <c r="C94" s="1807">
        <f>ROUND('FNM Loan Terms'!F38,3)</f>
        <v>1.25</v>
      </c>
      <c r="D94" s="1807">
        <f>ROUND('FNM Loan Terms'!G38,3)</f>
        <v>1.25</v>
      </c>
      <c r="E94" s="1807">
        <f>ROUND('FNM Loan Terms'!H38,3)</f>
        <v>1.25</v>
      </c>
      <c r="F94" s="1807">
        <f>ROUND('FNM Loan Terms'!I38,3)</f>
        <v>1.35</v>
      </c>
      <c r="G94" s="1807">
        <f>ROUND('FNM Loan Terms'!J38,3)</f>
        <v>1.55</v>
      </c>
      <c r="H94" s="1807">
        <f>ROUND('FNM Loan Terms'!K38,3)</f>
        <v>1.35</v>
      </c>
      <c r="I94" s="1807">
        <f>ROUND('FNM Loan Terms'!L38,3)</f>
        <v>1.55</v>
      </c>
      <c r="J94" s="1807">
        <f>ROUND('FNM Loan Terms'!M38,3)</f>
        <v>1.25</v>
      </c>
    </row>
    <row r="95" ht="15" customHeight="1">
      <c r="A95" s="1758" t="s">
        <v>1661</v>
      </c>
      <c r="B95" s="1769" t="s">
        <v>1662</v>
      </c>
      <c r="C95" s="1810" t="str">
        <f>TEXT('FNM Loan Terms'!F35,"0.0%")</f>
        <v>80.0%</v>
      </c>
      <c r="D95" s="1810" t="str">
        <f>TEXT('FNM Loan Terms'!G35,"0.0%")</f>
        <v>80.0%</v>
      </c>
      <c r="E95" s="1810" t="str">
        <f>TEXT('FNM Loan Terms'!H35,"0.0%")</f>
        <v>80.0%</v>
      </c>
      <c r="F95" s="1810" t="str">
        <f>TEXT('FNM Loan Terms'!I35,"0.0%")</f>
        <v>65.0%</v>
      </c>
      <c r="G95" s="1810" t="str">
        <f>TEXT('FNM Loan Terms'!J35,"0.0%")</f>
        <v>55.0%</v>
      </c>
      <c r="H95" s="1810" t="str">
        <f>TEXT('FNM Loan Terms'!K35,"0.0%")</f>
        <v>65.0%</v>
      </c>
      <c r="I95" s="1810" t="str">
        <f>TEXT('FNM Loan Terms'!L35,"0.0%")</f>
        <v>55.0%</v>
      </c>
      <c r="J95" s="1810" t="str">
        <f>TEXT('FNM Loan Terms'!M35,"0.0%")</f>
        <v>80.0%</v>
      </c>
    </row>
    <row r="96" ht="15" customHeight="1">
      <c r="A96" s="1762" t="s">
        <v>1663</v>
      </c>
      <c r="B96" s="1769" t="s">
        <v>1664</v>
      </c>
      <c r="C96" s="1798" t="str">
        <f t="shared" si="7" ref="C96:J96">C95</f>
        <v>80.0%</v>
      </c>
      <c r="D96" s="1798" t="str">
        <f t="shared" si="7"/>
        <v>80.0%</v>
      </c>
      <c r="E96" s="1798" t="str">
        <f t="shared" si="7"/>
        <v>80.0%</v>
      </c>
      <c r="F96" s="1798" t="str">
        <f t="shared" si="7"/>
        <v>65.0%</v>
      </c>
      <c r="G96" s="1798" t="str">
        <f t="shared" si="7"/>
        <v>55.0%</v>
      </c>
      <c r="H96" s="1798" t="str">
        <f t="shared" si="7"/>
        <v>65.0%</v>
      </c>
      <c r="I96" s="1798" t="str">
        <f t="shared" si="7"/>
        <v>55.0%</v>
      </c>
      <c r="J96" s="1798" t="str">
        <f t="shared" si="7"/>
        <v>80.0%</v>
      </c>
    </row>
    <row r="97" ht="15" customHeight="1">
      <c r="A97" s="1782" t="s">
        <v>1665</v>
      </c>
      <c r="B97" s="1759" t="s">
        <v>1666</v>
      </c>
      <c r="C97" s="1807">
        <f>IF(Interest_Rate_Type="Fixed","",ROUND(Actual_UW_DSCR,3))</f>
      </c>
      <c r="D97" s="1761">
        <f t="shared" si="8" ref="D97:J98">D88</f>
      </c>
      <c r="E97" s="1761">
        <f t="shared" si="8"/>
      </c>
      <c r="F97" s="1761">
        <f t="shared" si="8"/>
      </c>
      <c r="G97" s="1761">
        <f t="shared" si="8"/>
      </c>
      <c r="H97" s="1761">
        <f t="shared" si="8"/>
      </c>
      <c r="I97" s="1761">
        <f t="shared" si="8"/>
      </c>
      <c r="J97" s="1761">
        <f t="shared" si="8"/>
      </c>
      <c r="K97" s="1806"/>
    </row>
    <row r="98" ht="15" customHeight="1">
      <c r="A98" s="1782" t="s">
        <v>1667</v>
      </c>
      <c r="B98" s="1759" t="s">
        <v>1668</v>
      </c>
      <c r="C98" s="1807">
        <f>IF(Interest_Rate_Type="Fixed","",ROUND(Floor_UW_DSCR,3))</f>
      </c>
      <c r="D98" s="1761">
        <f t="shared" si="8"/>
      </c>
      <c r="E98" s="1761">
        <f t="shared" si="8"/>
      </c>
      <c r="F98" s="1761">
        <f t="shared" si="8"/>
      </c>
      <c r="G98" s="1761">
        <f t="shared" si="8"/>
      </c>
      <c r="H98" s="1761">
        <f t="shared" si="8"/>
      </c>
      <c r="I98" s="1761">
        <f t="shared" si="8"/>
      </c>
      <c r="J98" s="1761">
        <f t="shared" si="8"/>
      </c>
      <c r="K98" s="1806"/>
    </row>
    <row r="99" ht="15" customHeight="1">
      <c r="A99" s="1782" t="s">
        <v>1669</v>
      </c>
      <c r="B99" s="1759" t="s">
        <v>1670</v>
      </c>
      <c r="C99" s="1807">
        <f>C97</f>
      </c>
      <c r="D99" s="1761">
        <f t="shared" si="9" ref="D99:J99">D88</f>
      </c>
      <c r="E99" s="1761">
        <f t="shared" si="9"/>
      </c>
      <c r="F99" s="1761">
        <f t="shared" si="9"/>
      </c>
      <c r="G99" s="1761">
        <f t="shared" si="9"/>
      </c>
      <c r="H99" s="1761">
        <f t="shared" si="9"/>
      </c>
      <c r="I99" s="1761">
        <f t="shared" si="9"/>
      </c>
      <c r="J99" s="1761">
        <f t="shared" si="9"/>
      </c>
      <c r="K99" s="1806"/>
    </row>
    <row r="100" ht="15" customHeight="1">
      <c r="A100" s="1782" t="s">
        <v>1671</v>
      </c>
      <c r="B100" s="1759" t="s">
        <v>1672</v>
      </c>
      <c r="C100" s="1811">
        <f>IF(Interest_Rate_Type="Fixed","",LTV)</f>
      </c>
      <c r="D100" s="1761">
        <f t="shared" si="10" ref="D100:J100">IF(D6="Fixed Rate","",D90)</f>
      </c>
      <c r="E100" s="1761">
        <f t="shared" si="10"/>
      </c>
      <c r="F100" s="1761">
        <f t="shared" si="10"/>
      </c>
      <c r="G100" s="1761">
        <f t="shared" si="10"/>
      </c>
      <c r="H100" s="1761">
        <f t="shared" si="10"/>
      </c>
      <c r="I100" s="1761">
        <f t="shared" si="10"/>
      </c>
      <c r="J100" s="1761" t="str">
        <f t="shared" si="10"/>
        <v>80.0%</v>
      </c>
      <c r="K100" s="1806"/>
    </row>
    <row r="101" ht="15" customHeight="1">
      <c r="A101" s="1777" t="s">
        <v>1673</v>
      </c>
      <c r="B101" s="1766" t="s">
        <v>1674</v>
      </c>
      <c r="C101" s="1761"/>
      <c r="D101" s="1761"/>
      <c r="E101" s="1761"/>
      <c r="F101" s="1761"/>
      <c r="G101" s="1761"/>
      <c r="H101" s="1761"/>
      <c r="I101" s="1761"/>
      <c r="J101" s="1761"/>
    </row>
    <row r="102" ht="15" customHeight="1">
      <c r="A102" s="1777" t="s">
        <v>1675</v>
      </c>
      <c r="B102" s="1766" t="s">
        <v>1676</v>
      </c>
      <c r="C102" s="1761"/>
      <c r="D102" s="1761"/>
      <c r="E102" s="1761"/>
      <c r="F102" s="1761"/>
      <c r="G102" s="1761"/>
      <c r="H102" s="1761"/>
      <c r="I102" s="1761"/>
      <c r="J102" s="1761"/>
    </row>
    <row r="103" ht="15" customHeight="1">
      <c r="A103" s="1777" t="s">
        <v>1677</v>
      </c>
      <c r="B103" s="1759" t="s">
        <v>1678</v>
      </c>
      <c r="C103" s="1793">
        <v>1.25</v>
      </c>
      <c r="D103" s="1793">
        <v>1.25</v>
      </c>
      <c r="E103" s="1793">
        <v>1.25</v>
      </c>
      <c r="F103" s="1793">
        <v>1.25</v>
      </c>
      <c r="G103" s="1793">
        <v>1.25</v>
      </c>
      <c r="H103" s="1793">
        <v>1.25</v>
      </c>
      <c r="I103" s="1793">
        <v>1.25</v>
      </c>
      <c r="J103" s="1793">
        <v>1.25</v>
      </c>
      <c r="K103" s="1812"/>
    </row>
    <row r="104" ht="15" customHeight="1">
      <c r="A104" s="1777" t="s">
        <v>1679</v>
      </c>
      <c r="B104" s="1769" t="s">
        <v>1680</v>
      </c>
      <c r="C104" s="1813" t="str">
        <f>"80.0%"</f>
        <v>80.0%</v>
      </c>
      <c r="D104" s="1799" t="str">
        <f t="shared" si="3"/>
        <v>80.0%</v>
      </c>
      <c r="E104" s="1799" t="str">
        <f t="shared" si="3"/>
        <v>80.0%</v>
      </c>
      <c r="F104" s="1799" t="str">
        <f t="shared" si="3"/>
        <v>80.0%</v>
      </c>
      <c r="G104" s="1799" t="str">
        <f t="shared" si="3"/>
        <v>80.0%</v>
      </c>
      <c r="H104" s="1799" t="str">
        <f t="shared" si="3"/>
        <v>80.0%</v>
      </c>
      <c r="I104" s="1799" t="str">
        <f t="shared" si="3"/>
        <v>80.0%</v>
      </c>
      <c r="J104" s="1799" t="str">
        <f t="shared" si="3"/>
        <v>80.0%</v>
      </c>
    </row>
    <row r="105" ht="15" customHeight="1">
      <c r="A105" s="1777" t="s">
        <v>1681</v>
      </c>
      <c r="B105" s="1769" t="s">
        <v>1682</v>
      </c>
      <c r="C105" s="1800" t="str">
        <f>TEXT('FNM Exit Strategy'!AL25,"0.00%")</f>
        <v>0.00%</v>
      </c>
      <c r="D105" s="1771" t="str">
        <f>TEXT('FNM Loan Terms'!G54,"0.00%")</f>
        <v>0.00%</v>
      </c>
      <c r="E105" s="1771" t="str">
        <f>TEXT('FNM Loan Terms'!H54,"0.00%")</f>
        <v>0.00%</v>
      </c>
      <c r="F105" s="1771" t="str">
        <f>TEXT('FNM Loan Terms'!I54,"0.00%")</f>
        <v>0.00%</v>
      </c>
      <c r="G105" s="1771" t="str">
        <f>TEXT('FNM Loan Terms'!J54,"0.00%")</f>
        <v>0.00%</v>
      </c>
      <c r="H105" s="1771" t="str">
        <f>TEXT('FNM Loan Terms'!K54,"0.00%")</f>
        <v>0.00%</v>
      </c>
      <c r="I105" s="1771" t="str">
        <f>TEXT('FNM Loan Terms'!L54,"0.00%")</f>
        <v>0.00%</v>
      </c>
      <c r="J105" s="1771" t="str">
        <f>TEXT('FNM Loan Terms'!M54,"0.00%")</f>
        <v>0.00%</v>
      </c>
    </row>
    <row r="106" ht="15" customHeight="1">
      <c r="A106" s="1777" t="s">
        <v>1683</v>
      </c>
      <c r="B106" s="1769" t="s">
        <v>1684</v>
      </c>
      <c r="C106" s="1800" t="str">
        <f>TEXT('FNM Exit Strategy'!AL23,"0.00%")</f>
        <v>0.00%</v>
      </c>
      <c r="D106" s="1771" t="str">
        <f>TEXT('FNM Loan Terms'!G53,"0.00%")</f>
        <v>0.00%</v>
      </c>
      <c r="E106" s="1771" t="str">
        <f>TEXT('FNM Loan Terms'!H53,"0.00%")</f>
        <v>0.00%</v>
      </c>
      <c r="F106" s="1771" t="str">
        <f>TEXT('FNM Loan Terms'!I53,"0.00%")</f>
        <v>0.00%</v>
      </c>
      <c r="G106" s="1771" t="str">
        <f>TEXT('FNM Loan Terms'!J53,"0.00%")</f>
        <v>0.00%</v>
      </c>
      <c r="H106" s="1771" t="str">
        <f>TEXT('FNM Loan Terms'!K53,"0.00%")</f>
        <v>0.00%</v>
      </c>
      <c r="I106" s="1771" t="str">
        <f>TEXT('FNM Loan Terms'!L53,"0.00%")</f>
        <v>0.00%</v>
      </c>
      <c r="J106" s="1771" t="str">
        <f>TEXT('FNM Loan Terms'!M53,"0.00%")</f>
        <v>0.00%</v>
      </c>
    </row>
    <row r="107" ht="15" customHeight="1">
      <c r="A107" s="1777" t="s">
        <v>1685</v>
      </c>
      <c r="B107" s="1766" t="s">
        <v>1686</v>
      </c>
      <c r="C107" s="1761"/>
      <c r="D107" s="1761"/>
      <c r="E107" s="1761"/>
      <c r="F107" s="1761"/>
      <c r="G107" s="1761"/>
      <c r="H107" s="1761"/>
      <c r="I107" s="1761"/>
      <c r="J107" s="1761"/>
    </row>
    <row r="108" ht="15" customHeight="1">
      <c r="A108" s="1777" t="s">
        <v>1687</v>
      </c>
      <c r="B108" s="1766" t="s">
        <v>1688</v>
      </c>
      <c r="C108" s="1761"/>
      <c r="D108" s="1761"/>
      <c r="E108" s="1761"/>
      <c r="F108" s="1761"/>
      <c r="G108" s="1761"/>
      <c r="H108" s="1761"/>
      <c r="I108" s="1761"/>
      <c r="J108" s="1761"/>
    </row>
    <row r="109" ht="15" customHeight="1">
      <c r="A109" s="1777" t="s">
        <v>1689</v>
      </c>
      <c r="B109" s="1766" t="s">
        <v>1690</v>
      </c>
      <c r="C109" s="1761"/>
      <c r="D109" s="1761"/>
      <c r="E109" s="1761"/>
      <c r="F109" s="1761"/>
      <c r="G109" s="1761"/>
      <c r="H109" s="1761"/>
      <c r="I109" s="1761"/>
      <c r="J109" s="1761"/>
    </row>
    <row r="110" ht="15" customHeight="1">
      <c r="A110" s="1777" t="s">
        <v>1691</v>
      </c>
      <c r="B110" s="1766" t="s">
        <v>1692</v>
      </c>
      <c r="C110" s="1761"/>
      <c r="D110" s="1761"/>
      <c r="E110" s="1761"/>
      <c r="F110" s="1761"/>
      <c r="G110" s="1761"/>
      <c r="H110" s="1761"/>
      <c r="I110" s="1761"/>
      <c r="J110" s="1761"/>
    </row>
    <row r="111" ht="15" customHeight="1">
      <c r="A111" s="1777" t="s">
        <v>1693</v>
      </c>
      <c r="B111" s="1766" t="s">
        <v>1694</v>
      </c>
      <c r="C111" s="1761"/>
      <c r="D111" s="1761"/>
      <c r="E111" s="1761"/>
      <c r="F111" s="1761"/>
      <c r="G111" s="1761"/>
      <c r="H111" s="1761"/>
      <c r="I111" s="1761"/>
      <c r="J111" s="1761"/>
    </row>
    <row r="112" ht="15" customHeight="1">
      <c r="A112" s="1777" t="s">
        <v>1695</v>
      </c>
      <c r="B112" s="1766" t="s">
        <v>1696</v>
      </c>
      <c r="C112" s="1761"/>
      <c r="D112" s="1761"/>
      <c r="E112" s="1761"/>
      <c r="F112" s="1761"/>
      <c r="G112" s="1761"/>
      <c r="H112" s="1761"/>
      <c r="I112" s="1761"/>
      <c r="J112" s="1761"/>
    </row>
    <row r="113" ht="15" customHeight="1">
      <c r="A113" s="1777" t="s">
        <v>1697</v>
      </c>
      <c r="B113" s="1766" t="s">
        <v>1698</v>
      </c>
      <c r="C113" s="1761"/>
      <c r="D113" s="1761"/>
      <c r="E113" s="1761"/>
      <c r="F113" s="1761"/>
      <c r="G113" s="1761"/>
      <c r="H113" s="1761"/>
      <c r="I113" s="1761"/>
      <c r="J113" s="1761"/>
    </row>
    <row r="114" ht="15" customHeight="1">
      <c r="A114" s="1777" t="s">
        <v>1699</v>
      </c>
      <c r="B114" s="1766" t="s">
        <v>1700</v>
      </c>
      <c r="C114" s="1761"/>
      <c r="D114" s="1761"/>
      <c r="E114" s="1761"/>
      <c r="F114" s="1761"/>
      <c r="G114" s="1761"/>
      <c r="H114" s="1761"/>
      <c r="I114" s="1761"/>
      <c r="J114" s="1761"/>
    </row>
    <row r="115" ht="15" customHeight="1">
      <c r="A115" s="1795" t="s">
        <v>1701</v>
      </c>
      <c r="B115" s="1759" t="s">
        <v>1702</v>
      </c>
      <c r="C115" s="1781">
        <f>IF('SBL Quotes'!$B$38="Refinance",'SBL Quotes'!$AK$32,"")</f>
        <v>0</v>
      </c>
      <c r="D115" s="1779">
        <f t="shared" si="0"/>
        <v>0</v>
      </c>
      <c r="E115" s="1779">
        <f t="shared" si="0"/>
        <v>0</v>
      </c>
      <c r="F115" s="1779">
        <f t="shared" si="0"/>
        <v>0</v>
      </c>
      <c r="G115" s="1779">
        <f t="shared" si="0"/>
        <v>0</v>
      </c>
      <c r="H115" s="1779">
        <f t="shared" si="0"/>
        <v>0</v>
      </c>
      <c r="I115" s="1779">
        <f t="shared" si="0"/>
        <v>0</v>
      </c>
      <c r="J115" s="1779">
        <f t="shared" si="0"/>
        <v>0</v>
      </c>
    </row>
    <row r="116" ht="15" customHeight="1">
      <c r="A116" s="1795" t="s">
        <v>1703</v>
      </c>
      <c r="B116" s="1759" t="s">
        <v>1704</v>
      </c>
      <c r="C116" s="1781">
        <f>IF('SBL Quotes'!$B$38="Refinance",'SBL Quotes'!$AK$35,"")</f>
        <v>0</v>
      </c>
      <c r="D116" s="1779">
        <f t="shared" si="0"/>
        <v>0</v>
      </c>
      <c r="E116" s="1779">
        <f t="shared" si="0"/>
        <v>0</v>
      </c>
      <c r="F116" s="1779">
        <f t="shared" si="0"/>
        <v>0</v>
      </c>
      <c r="G116" s="1779">
        <f t="shared" si="0"/>
        <v>0</v>
      </c>
      <c r="H116" s="1779">
        <f t="shared" si="0"/>
        <v>0</v>
      </c>
      <c r="I116" s="1779">
        <f t="shared" si="0"/>
        <v>0</v>
      </c>
      <c r="J116" s="1779">
        <f t="shared" si="0"/>
        <v>0</v>
      </c>
    </row>
    <row r="117" ht="15" customHeight="1">
      <c r="A117" s="1795" t="s">
        <v>1705</v>
      </c>
      <c r="B117" s="1759" t="s">
        <v>1706</v>
      </c>
      <c r="C117" s="1778">
        <f>IF('Data Page'!H23="If Construction",'Data Page'!K25,"")</f>
      </c>
      <c r="D117" s="1779">
        <f t="shared" si="0"/>
      </c>
      <c r="E117" s="1779">
        <f t="shared" si="0"/>
      </c>
      <c r="F117" s="1779">
        <f t="shared" si="0"/>
      </c>
      <c r="G117" s="1779">
        <f t="shared" si="0"/>
      </c>
      <c r="H117" s="1779">
        <f t="shared" si="0"/>
      </c>
      <c r="I117" s="1779">
        <f t="shared" si="0"/>
      </c>
      <c r="J117" s="1779">
        <f t="shared" si="0"/>
      </c>
    </row>
    <row r="118" ht="15" customHeight="1">
      <c r="A118" s="1777" t="s">
        <v>1707</v>
      </c>
      <c r="B118" s="1766" t="s">
        <v>1708</v>
      </c>
      <c r="C118" s="1814"/>
      <c r="D118" s="1814"/>
      <c r="E118" s="1814"/>
      <c r="F118" s="1814"/>
      <c r="G118" s="1814"/>
      <c r="H118" s="1814"/>
      <c r="I118" s="1814"/>
      <c r="J118" s="1814"/>
    </row>
    <row r="119" ht="15" customHeight="1">
      <c r="A119" s="1777" t="s">
        <v>1709</v>
      </c>
      <c r="B119" s="1766" t="s">
        <v>1710</v>
      </c>
      <c r="C119" s="1814"/>
      <c r="D119" s="1814"/>
      <c r="E119" s="1814"/>
      <c r="F119" s="1814"/>
      <c r="G119" s="1814"/>
      <c r="H119" s="1814"/>
      <c r="I119" s="1814"/>
      <c r="J119" s="1814"/>
    </row>
    <row r="120" ht="15" customHeight="1">
      <c r="A120" s="1777" t="s">
        <v>1711</v>
      </c>
      <c r="B120" s="1766" t="s">
        <v>1712</v>
      </c>
      <c r="C120" s="1814"/>
      <c r="D120" s="1814"/>
      <c r="E120" s="1814"/>
      <c r="F120" s="1814"/>
      <c r="G120" s="1814"/>
      <c r="H120" s="1814"/>
      <c r="I120" s="1814"/>
      <c r="J120" s="1814"/>
    </row>
    <row r="121" ht="15" customHeight="1">
      <c r="A121" s="1795" t="s">
        <v>1713</v>
      </c>
      <c r="B121" s="1759" t="s">
        <v>1714</v>
      </c>
      <c r="C121" s="1778">
        <f>IF('Engineering schedule'!E42&gt;0,'Engineering schedule'!E42,"")</f>
      </c>
      <c r="D121" s="1779">
        <f t="shared" si="0"/>
      </c>
      <c r="E121" s="1779">
        <f t="shared" si="0"/>
      </c>
      <c r="F121" s="1779">
        <f t="shared" si="0"/>
      </c>
      <c r="G121" s="1779">
        <f t="shared" si="0"/>
      </c>
      <c r="H121" s="1779">
        <f t="shared" si="0"/>
      </c>
      <c r="I121" s="1779">
        <f t="shared" si="0"/>
      </c>
      <c r="J121" s="1779">
        <f t="shared" si="0"/>
      </c>
    </row>
    <row r="122" ht="15" customHeight="1">
      <c r="A122" s="1795" t="s">
        <v>1715</v>
      </c>
      <c r="B122" s="1759" t="s">
        <v>1716</v>
      </c>
      <c r="C122" s="1778">
        <f>_xlfn.IFERROR(IF(OR(Immediates_Waived="Yes",Immediates_Escrowed=0),"",Immediates_Escrowed),0)</f>
        <v>0</v>
      </c>
      <c r="D122" s="1779">
        <f t="shared" si="0"/>
        <v>0</v>
      </c>
      <c r="E122" s="1779">
        <f t="shared" si="0"/>
        <v>0</v>
      </c>
      <c r="F122" s="1779">
        <f t="shared" si="0"/>
        <v>0</v>
      </c>
      <c r="G122" s="1779">
        <f t="shared" si="0"/>
        <v>0</v>
      </c>
      <c r="H122" s="1779">
        <f t="shared" si="0"/>
        <v>0</v>
      </c>
      <c r="I122" s="1779">
        <f t="shared" si="0"/>
        <v>0</v>
      </c>
      <c r="J122" s="1779">
        <f t="shared" si="0"/>
        <v>0</v>
      </c>
    </row>
    <row r="123" ht="15" customHeight="1">
      <c r="A123" s="1777" t="s">
        <v>1717</v>
      </c>
      <c r="B123" s="1766" t="s">
        <v>1718</v>
      </c>
      <c r="C123" s="1814"/>
      <c r="D123" s="1814"/>
      <c r="E123" s="1814"/>
      <c r="F123" s="1814"/>
      <c r="G123" s="1814"/>
      <c r="H123" s="1814"/>
      <c r="I123" s="1814"/>
      <c r="J123" s="1814"/>
    </row>
    <row r="124" ht="15" customHeight="1">
      <c r="A124" s="1777" t="s">
        <v>1719</v>
      </c>
      <c r="B124" s="1766" t="s">
        <v>1720</v>
      </c>
      <c r="C124" s="1814"/>
      <c r="D124" s="1814"/>
      <c r="E124" s="1814"/>
      <c r="F124" s="1814"/>
      <c r="G124" s="1814"/>
      <c r="H124" s="1814"/>
      <c r="I124" s="1814"/>
      <c r="J124" s="1814"/>
    </row>
    <row r="125" ht="15" customHeight="1">
      <c r="A125" s="1795" t="s">
        <v>318</v>
      </c>
      <c r="B125" s="1759" t="s">
        <v>1721</v>
      </c>
      <c r="C125" s="1779"/>
      <c r="D125" s="1779"/>
      <c r="E125" s="1779"/>
      <c r="F125" s="1779"/>
      <c r="G125" s="1779"/>
      <c r="H125" s="1779"/>
      <c r="I125" s="1779"/>
      <c r="J125" s="1779"/>
    </row>
    <row r="126" ht="15" customHeight="1">
      <c r="A126" s="1777" t="s">
        <v>1722</v>
      </c>
      <c r="B126" s="1766" t="s">
        <v>1723</v>
      </c>
      <c r="C126" s="1761"/>
      <c r="D126" s="1761"/>
      <c r="E126" s="1761"/>
      <c r="F126" s="1761"/>
      <c r="G126" s="1761"/>
      <c r="H126" s="1761"/>
      <c r="I126" s="1761"/>
      <c r="J126" s="1761"/>
    </row>
    <row r="127" ht="15" customHeight="1">
      <c r="A127" s="1777" t="s">
        <v>1724</v>
      </c>
      <c r="B127" s="1766" t="s">
        <v>1725</v>
      </c>
      <c r="C127" s="1761"/>
      <c r="D127" s="1761"/>
      <c r="E127" s="1761"/>
      <c r="F127" s="1761"/>
      <c r="G127" s="1761"/>
      <c r="H127" s="1761"/>
      <c r="I127" s="1761"/>
      <c r="J127" s="1761"/>
    </row>
    <row r="128" ht="15" customHeight="1">
      <c r="A128" s="1777" t="s">
        <v>1726</v>
      </c>
      <c r="B128" s="1766" t="s">
        <v>1727</v>
      </c>
      <c r="C128" s="1761"/>
      <c r="D128" s="1761"/>
      <c r="E128" s="1761"/>
      <c r="F128" s="1761"/>
      <c r="G128" s="1761"/>
      <c r="H128" s="1761"/>
      <c r="I128" s="1761"/>
      <c r="J128" s="1761"/>
    </row>
    <row r="129" ht="14.25" customHeight="1">
      <c r="C129" s="1749" t="s">
        <v>1728</v>
      </c>
    </row>
    <row r="130" ht="14.25" customHeight="1"/>
  </sheetData>
  <conditionalFormatting sqref="C5:J128">
    <cfRule type="expression" dxfId="15" priority="3" text="null">
      <formula>AND(ISERROR(C5),C$5&gt;0)</formula>
    </cfRule>
  </conditionalFormatting>
  <conditionalFormatting sqref="B2:B3">
    <cfRule type="expression" dxfId="6" priority="2" text="null">
      <formula>$B$3=0</formula>
    </cfRule>
  </conditionalFormatting>
  <conditionalFormatting sqref="D6:J128">
    <cfRule type="expression" dxfId="30" priority="1" text="null">
      <formula>D$5=0</formula>
    </cfRule>
  </conditionalFormatting>
  <printOptions/>
  <pageMargins left="0.7" right="0.7" top="0.75" bottom="0.75" header="0.3" footer="0.3"/>
  <pageSetup paperSize="1" useFirstPageNumber="1" firstPageNumber="1" pageOrder="downThenOver" orientation="portrait"/>
  <headerFooter>
    <oddHeader>&amp;L&amp;C&amp;R</oddHeader>
    <oddFooter>&amp;L&amp;C&amp;R</oddFooter>
  </headerFooter>
  <drawing r:id="rId3"/>
  <legacyDrawing r:id="rId2"/>
  <mc:AlternateContent xmlns:mc="http://schemas.openxmlformats.org/markup-compatibility/2006">
    <mc:Choice Requires="x14">
      <controls>
        <mc:AlternateContent xmlns:mc="http://schemas.openxmlformats.org/markup-compatibility/2006">
          <mc:Choice Requires="x14">
            <control shapeId="995330" name="buttonExportForDUSGateway" r:id="rId4">
              <controlPr defaultSize="0" autoPict="0" print="0">
                <anchor moveWithCells="1" sizeWithCells="1">
                  <from>
                    <xdr:col>8</xdr:col>
                    <xdr:colOff>101632</xdr:colOff>
                    <xdr:row>0</xdr:row>
                    <xdr:rowOff>25432</xdr:rowOff>
                  </from>
                  <to>
                    <xdr:col>9</xdr:col>
                    <xdr:colOff>1181100</xdr:colOff>
                    <xdr:row>1</xdr:row>
                    <xdr:rowOff>152400</xdr:rowOff>
                  </to>
                </anchor>
              </controlPr>
            </control>
          </mc:Choice>
        </mc:AlternateContent>
      </controls>
    </mc:Choice>
  </mc:AlternateConten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61A5E09D-A58F-E9CE-A3AA-16597F4DF907}" mc:Ignorable="x14ac xr xr2 xr3">
  <sheetPr>
    <tabColor rgb="FF00B050"/>
  </sheetPr>
  <dimension ref="A1:BD87"/>
  <sheetViews>
    <sheetView showGridLines="0" topLeftCell="A1" zoomScale="90" workbookViewId="0">
      <selection activeCell="C7" sqref="C7:D7"/>
    </sheetView>
  </sheetViews>
  <sheetFormatPr defaultRowHeight="14.497499999999997" defaultColWidth="9.57421875" customHeight="1" outlineLevelRow="1" outlineLevelCol="1"/>
  <cols>
    <col min="1" max="1" style="696" width="2.7109375" customWidth="1"/>
    <col min="2" max="2" style="696" width="4.57421875" customWidth="1"/>
    <col min="3" max="3" style="696" width="34.140625" customWidth="1"/>
    <col min="4" max="4" style="696" width="9.57421875" customWidth="1"/>
    <col min="5" max="5" style="696" width="15.7109375" hidden="1" customWidth="1" outlineLevel="1"/>
    <col min="6" max="6" style="696" width="13.00390625" hidden="1" customWidth="1" outlineLevel="1"/>
    <col min="7" max="7" style="696" width="15.7109375" hidden="1" customWidth="1" outlineLevel="1"/>
    <col min="8" max="9" style="696" width="13.00390625" hidden="1" customWidth="1" outlineLevel="1"/>
    <col min="10" max="10" style="696" width="15.7109375" hidden="1" customWidth="1" outlineLevel="1"/>
    <col min="11" max="12" style="696" width="13.00390625" hidden="1" customWidth="1" outlineLevel="1"/>
    <col min="13" max="13" style="696" width="14.57421875" collapsed="1" customWidth="1"/>
    <col min="14" max="14" style="696" width="14.140625" customWidth="1"/>
    <col min="15" max="15" style="696" width="12.140625" customWidth="1"/>
    <col min="16" max="16" style="696" width="11.7109375" customWidth="1"/>
    <col min="17" max="17" style="696" width="17.8515625" hidden="1" customWidth="1"/>
    <col min="18" max="18" style="696" width="18.28125" hidden="1" customWidth="1"/>
    <col min="19" max="19" style="696" width="17.7109375" hidden="1" customWidth="1"/>
    <col min="20" max="20" style="696" width="5.28125" hidden="1" customWidth="1"/>
    <col min="21" max="21" style="696" width="9.57421875" hidden="1" customWidth="1"/>
    <col min="22" max="22" style="696" width="16.00390625" customWidth="1" outlineLevel="1"/>
    <col min="23" max="23" style="696" width="12.140625" customWidth="1" outlineLevel="1"/>
    <col min="24" max="24" style="696" width="14.28125" customWidth="1" outlineLevel="1"/>
    <col min="25" max="25" style="696" width="17.140625" customWidth="1" outlineLevel="1"/>
    <col min="26" max="26" style="696" width="16.00390625" customWidth="1" outlineLevel="1"/>
    <col min="27" max="27" style="696" width="12.140625" customWidth="1" outlineLevel="1"/>
    <col min="28" max="28" style="696" width="16.00390625" customWidth="1" outlineLevel="1"/>
    <col min="29" max="29" style="696" width="14.57421875" customWidth="1" outlineLevel="1"/>
    <col min="30" max="30" style="696" width="16.57421875" customWidth="1"/>
    <col min="31" max="31" style="696" width="14.57421875" customWidth="1"/>
    <col min="32" max="32" style="696" width="2.7109375" customWidth="1"/>
    <col min="33" max="33" style="696" width="13.140625" customWidth="1"/>
    <col min="34" max="34" style="696" width="2.7109375" customWidth="1"/>
    <col min="35" max="35" style="696" width="30.57421875" customWidth="1"/>
    <col min="36" max="36" style="696" width="2.7109375" customWidth="1"/>
    <col min="37" max="37" style="696" width="32.7109375" customWidth="1"/>
    <col min="38" max="48" style="696" width="12.28125" customWidth="1"/>
    <col min="49" max="49" style="696" width="12.57421875" customWidth="1"/>
  </cols>
  <sheetData>
    <row r="1" ht="15.75" customHeight="1">
      <c r="A1" s="631"/>
      <c r="B1" s="895"/>
      <c r="C1" s="895"/>
      <c r="D1" s="895"/>
      <c r="E1" s="1815"/>
      <c r="F1" s="1815"/>
      <c r="G1" s="1815"/>
      <c r="H1" s="1815"/>
      <c r="I1" s="1815"/>
      <c r="J1" s="1815"/>
      <c r="K1" s="1815"/>
      <c r="L1" s="1815"/>
      <c r="M1" s="1815"/>
      <c r="N1" s="1815"/>
      <c r="O1" s="1815"/>
      <c r="P1" s="1815"/>
      <c r="Q1" s="895"/>
      <c r="R1" s="895"/>
      <c r="S1" s="895"/>
      <c r="T1" s="895"/>
      <c r="U1" s="895"/>
      <c r="V1" s="895"/>
      <c r="W1" s="1815"/>
      <c r="X1" s="1815"/>
      <c r="Y1" s="1815"/>
      <c r="Z1" s="1815"/>
      <c r="AA1" s="1815"/>
      <c r="AB1" s="1815"/>
      <c r="AC1" s="1815"/>
      <c r="AD1" s="1815"/>
      <c r="AE1" s="1815"/>
      <c r="AF1" s="631"/>
      <c r="AG1" s="1"/>
      <c r="AH1" s="1816"/>
      <c r="AI1" s="631"/>
      <c r="AJ1" s="631"/>
      <c r="AK1" s="6"/>
      <c r="AL1" s="6"/>
      <c r="AM1" s="6"/>
      <c r="AN1" s="6"/>
      <c r="AO1" s="6"/>
      <c r="AP1" s="6"/>
      <c r="AQ1" s="6"/>
      <c r="AR1" s="6"/>
      <c r="AS1" s="6"/>
      <c r="AT1" s="6"/>
      <c r="AU1" s="6"/>
      <c r="AV1" s="6"/>
      <c r="AW1" s="6"/>
    </row>
    <row r="2" ht="15.75" customHeight="1" hidden="1" collapsed="0" outlineLevel="1">
      <c r="A2" s="895"/>
      <c r="B2" s="895"/>
      <c r="C2" s="1817" t="s">
        <v>1729</v>
      </c>
      <c r="D2" s="1818"/>
      <c r="E2" s="1819"/>
      <c r="F2" s="1820" t="e">
        <f t="shared" si="0" ref="F2:AE2">SUM(F3:F5)</f>
        <v>#DIV/0!</v>
      </c>
      <c r="G2" s="1819"/>
      <c r="H2" s="1820" t="e">
        <f t="shared" si="0"/>
        <v>#DIV/0!</v>
      </c>
      <c r="I2" s="1821"/>
      <c r="J2" s="1821"/>
      <c r="K2" s="1820" t="e">
        <f t="shared" si="0"/>
        <v>#DIV/0!</v>
      </c>
      <c r="L2" s="1821"/>
      <c r="M2" s="1821"/>
      <c r="N2" s="1821"/>
      <c r="O2" s="1820">
        <f t="shared" si="0"/>
        <v>0.04398920992362465</v>
      </c>
      <c r="P2" s="1821"/>
      <c r="Q2" s="1820" t="e">
        <f t="shared" si="0"/>
        <v>#DIV/0!</v>
      </c>
      <c r="R2" s="1820" t="e">
        <f t="shared" si="0"/>
        <v>#DIV/0!</v>
      </c>
      <c r="S2" s="1820" t="e">
        <f t="shared" si="0"/>
        <v>#DIV/0!</v>
      </c>
      <c r="T2" s="1821"/>
      <c r="U2" s="1820" t="e">
        <f t="shared" si="0"/>
        <v>#DIV/0!</v>
      </c>
      <c r="V2" s="1821"/>
      <c r="W2" s="1820" t="e">
        <f t="shared" si="0"/>
        <v>#DIV/0!</v>
      </c>
      <c r="X2" s="1821"/>
      <c r="Y2" s="1820" t="e">
        <f t="shared" si="0"/>
        <v>#DIV/0!</v>
      </c>
      <c r="Z2" s="1821"/>
      <c r="AA2" s="1820" t="e">
        <f t="shared" si="0"/>
        <v>#DIV/0!</v>
      </c>
      <c r="AB2" s="1821"/>
      <c r="AC2" s="1820" t="e">
        <f t="shared" si="0"/>
        <v>#DIV/0!</v>
      </c>
      <c r="AD2" s="1821"/>
      <c r="AE2" s="1822">
        <f t="shared" si="0"/>
        <v>0.07977938814580683</v>
      </c>
      <c r="AF2" s="631"/>
      <c r="AG2" s="1"/>
      <c r="AH2" s="1823"/>
      <c r="AI2" s="631"/>
      <c r="AJ2" s="631"/>
      <c r="AK2" s="6"/>
      <c r="AL2" s="6"/>
      <c r="AM2" s="6"/>
      <c r="AN2" s="6"/>
      <c r="AO2" s="6"/>
      <c r="AP2" s="6"/>
      <c r="AQ2" s="6"/>
      <c r="AR2" s="6"/>
      <c r="AS2" s="6"/>
      <c r="AT2" s="6"/>
      <c r="AU2" s="6"/>
      <c r="AV2" s="6"/>
      <c r="AW2" s="6"/>
    </row>
    <row r="3" ht="13.5" customHeight="1" hidden="1" collapsed="0" outlineLevel="1">
      <c r="A3" s="895"/>
      <c r="B3" s="895"/>
      <c r="C3" s="1817" t="s">
        <v>1730</v>
      </c>
      <c r="D3" s="1818"/>
      <c r="E3" s="1819"/>
      <c r="F3" s="1820" t="e">
        <f t="shared" si="1" ref="F3:AE3">E19/E18</f>
        <v>#DIV/0!</v>
      </c>
      <c r="G3" s="1819"/>
      <c r="H3" s="1820" t="e">
        <f t="shared" si="1"/>
        <v>#DIV/0!</v>
      </c>
      <c r="I3" s="1821"/>
      <c r="J3" s="1821"/>
      <c r="K3" s="1820" t="e">
        <f t="shared" si="1"/>
        <v>#DIV/0!</v>
      </c>
      <c r="L3" s="1821"/>
      <c r="M3" s="1821"/>
      <c r="N3" s="1821"/>
      <c r="O3" s="1820">
        <f t="shared" si="1"/>
        <v>0</v>
      </c>
      <c r="P3" s="1821"/>
      <c r="Q3" s="1820" t="e">
        <f t="shared" si="2" ref="Q3:S3">Q19/Q18</f>
        <v>#DIV/0!</v>
      </c>
      <c r="R3" s="1820" t="e">
        <f t="shared" si="2"/>
        <v>#DIV/0!</v>
      </c>
      <c r="S3" s="1820" t="e">
        <f t="shared" si="2"/>
        <v>#DIV/0!</v>
      </c>
      <c r="T3" s="1821"/>
      <c r="U3" s="1820" t="e">
        <f t="shared" si="1"/>
        <v>#DIV/0!</v>
      </c>
      <c r="V3" s="1821"/>
      <c r="W3" s="1820" t="e">
        <f t="shared" si="1"/>
        <v>#DIV/0!</v>
      </c>
      <c r="X3" s="1821"/>
      <c r="Y3" s="1820" t="e">
        <f t="shared" si="1"/>
        <v>#DIV/0!</v>
      </c>
      <c r="Z3" s="1821"/>
      <c r="AA3" s="1820" t="e">
        <f t="shared" si="1"/>
        <v>#DIV/0!</v>
      </c>
      <c r="AB3" s="1821"/>
      <c r="AC3" s="1820" t="e">
        <f t="shared" si="1"/>
        <v>#DIV/0!</v>
      </c>
      <c r="AD3" s="1821"/>
      <c r="AE3" s="1822">
        <f t="shared" si="1"/>
        <v>0</v>
      </c>
      <c r="AF3" s="631"/>
      <c r="AG3" s="1"/>
      <c r="AH3" s="1823"/>
      <c r="AI3" s="631"/>
      <c r="AJ3" s="631"/>
      <c r="AK3" s="6"/>
      <c r="AL3" s="6"/>
      <c r="AM3" s="6"/>
      <c r="AN3" s="6"/>
      <c r="AO3" s="6"/>
      <c r="AP3" s="6"/>
      <c r="AQ3" s="6"/>
      <c r="AR3" s="6"/>
      <c r="AS3" s="6"/>
      <c r="AT3" s="6"/>
      <c r="AU3" s="6"/>
      <c r="AV3" s="6"/>
      <c r="AW3" s="6"/>
    </row>
    <row r="4" ht="16.5" customHeight="1" hidden="1" collapsed="0" outlineLevel="1">
      <c r="A4" s="895"/>
      <c r="B4" s="895"/>
      <c r="C4" s="1817" t="s">
        <v>1731</v>
      </c>
      <c r="D4" s="1818"/>
      <c r="E4" s="1819"/>
      <c r="F4" s="1820" t="e">
        <f t="shared" si="3" ref="F4:AE4">E20/(E18-E19+E22)</f>
        <v>#DIV/0!</v>
      </c>
      <c r="G4" s="1819"/>
      <c r="H4" s="1820" t="e">
        <f t="shared" si="3"/>
        <v>#DIV/0!</v>
      </c>
      <c r="I4" s="1821"/>
      <c r="J4" s="1821"/>
      <c r="K4" s="1820" t="e">
        <f t="shared" si="3"/>
        <v>#DIV/0!</v>
      </c>
      <c r="L4" s="1821"/>
      <c r="M4" s="1821"/>
      <c r="N4" s="1821"/>
      <c r="O4" s="1820">
        <f t="shared" si="3"/>
        <v>0.0347706313276551</v>
      </c>
      <c r="P4" s="1821"/>
      <c r="Q4" s="1820" t="e">
        <f t="shared" si="4" ref="Q4:S4">Q20/(Q18-Q19+Q22)</f>
        <v>#DIV/0!</v>
      </c>
      <c r="R4" s="1820" t="e">
        <f t="shared" si="4"/>
        <v>#DIV/0!</v>
      </c>
      <c r="S4" s="1820" t="e">
        <f t="shared" si="4"/>
        <v>#DIV/0!</v>
      </c>
      <c r="T4" s="1821"/>
      <c r="U4" s="1820" t="e">
        <f t="shared" si="3"/>
        <v>#DIV/0!</v>
      </c>
      <c r="V4" s="1821"/>
      <c r="W4" s="1820" t="e">
        <f t="shared" si="3"/>
        <v>#DIV/0!</v>
      </c>
      <c r="X4" s="1821"/>
      <c r="Y4" s="1820" t="e">
        <f t="shared" si="3"/>
        <v>#DIV/0!</v>
      </c>
      <c r="Z4" s="1821"/>
      <c r="AA4" s="1820" t="e">
        <f t="shared" si="3"/>
        <v>#DIV/0!</v>
      </c>
      <c r="AB4" s="1821"/>
      <c r="AC4" s="1820" t="e">
        <f t="shared" si="3"/>
        <v>#DIV/0!</v>
      </c>
      <c r="AD4" s="1821"/>
      <c r="AE4" s="1822">
        <f t="shared" si="3"/>
        <v>0.05</v>
      </c>
      <c r="AF4" s="631"/>
      <c r="AG4" s="1"/>
      <c r="AH4" s="1823"/>
      <c r="AI4" s="631"/>
      <c r="AJ4" s="631"/>
      <c r="AK4" s="6"/>
      <c r="AL4" s="6"/>
      <c r="AM4" s="6"/>
      <c r="AN4" s="6"/>
      <c r="AO4" s="6"/>
      <c r="AP4" s="6"/>
      <c r="AQ4" s="6"/>
      <c r="AR4" s="6"/>
      <c r="AS4" s="6"/>
      <c r="AT4" s="6"/>
      <c r="AU4" s="6"/>
      <c r="AV4" s="6"/>
      <c r="AW4" s="6"/>
    </row>
    <row r="5" ht="14.25" customHeight="1" hidden="1" collapsed="0" outlineLevel="1">
      <c r="A5" s="895"/>
      <c r="B5" s="895"/>
      <c r="C5" s="1817" t="s">
        <v>1732</v>
      </c>
      <c r="D5" s="1818"/>
      <c r="E5" s="1819"/>
      <c r="F5" s="1820" t="e">
        <f t="shared" si="5" ref="F5:AE5">E21/(E18-E19+E22)</f>
        <v>#DIV/0!</v>
      </c>
      <c r="G5" s="1819"/>
      <c r="H5" s="1820" t="e">
        <f t="shared" si="5"/>
        <v>#DIV/0!</v>
      </c>
      <c r="I5" s="1821"/>
      <c r="J5" s="1821"/>
      <c r="K5" s="1820" t="e">
        <f t="shared" si="5"/>
        <v>#DIV/0!</v>
      </c>
      <c r="L5" s="1821"/>
      <c r="M5" s="1821"/>
      <c r="N5" s="1821"/>
      <c r="O5" s="1820">
        <f t="shared" si="5"/>
        <v>0.009218578595969551</v>
      </c>
      <c r="P5" s="1821"/>
      <c r="Q5" s="1820" t="e">
        <f t="shared" si="6" ref="Q5:S5">Q21/(Q18-Q19+Q22)</f>
        <v>#DIV/0!</v>
      </c>
      <c r="R5" s="1820" t="e">
        <f t="shared" si="6"/>
        <v>#DIV/0!</v>
      </c>
      <c r="S5" s="1820" t="e">
        <f t="shared" si="6"/>
        <v>#DIV/0!</v>
      </c>
      <c r="T5" s="1821"/>
      <c r="U5" s="1820" t="e">
        <f t="shared" si="5"/>
        <v>#DIV/0!</v>
      </c>
      <c r="V5" s="1821"/>
      <c r="W5" s="1820" t="e">
        <f t="shared" si="5"/>
        <v>#DIV/0!</v>
      </c>
      <c r="X5" s="1821"/>
      <c r="Y5" s="1820" t="e">
        <f t="shared" si="5"/>
        <v>#DIV/0!</v>
      </c>
      <c r="Z5" s="1821"/>
      <c r="AA5" s="1820" t="e">
        <f t="shared" si="5"/>
        <v>#DIV/0!</v>
      </c>
      <c r="AB5" s="1821"/>
      <c r="AC5" s="1820" t="e">
        <f t="shared" si="5"/>
        <v>#DIV/0!</v>
      </c>
      <c r="AD5" s="1821"/>
      <c r="AE5" s="1822">
        <f t="shared" si="5"/>
        <v>0.029779388145806832</v>
      </c>
      <c r="AF5" s="631"/>
      <c r="AG5" s="1"/>
      <c r="AH5" s="1"/>
      <c r="AI5" s="6"/>
      <c r="AJ5" s="6"/>
      <c r="AK5" s="6"/>
      <c r="AL5" s="6"/>
      <c r="AM5" s="6"/>
      <c r="AN5" s="6"/>
      <c r="AO5" s="6"/>
      <c r="AP5" s="6"/>
      <c r="AQ5" s="6"/>
      <c r="AR5" s="6"/>
      <c r="AS5" s="6"/>
      <c r="AT5" s="6"/>
      <c r="AU5" s="6"/>
      <c r="AV5" s="6"/>
      <c r="AW5" s="6"/>
    </row>
    <row r="6" ht="14.25" customHeight="1" hidden="1" collapsed="0" outlineLevel="1">
      <c r="A6" s="895"/>
      <c r="B6" s="895"/>
      <c r="C6" s="1824"/>
      <c r="D6" s="1825"/>
      <c r="E6" s="895"/>
      <c r="F6" s="895"/>
      <c r="G6" s="1826"/>
      <c r="H6" s="895"/>
      <c r="I6" s="1826"/>
      <c r="J6" s="1826"/>
      <c r="K6" s="895"/>
      <c r="L6" s="1826"/>
      <c r="M6" s="1826"/>
      <c r="N6" s="1826"/>
      <c r="O6" s="895"/>
      <c r="P6" s="1826"/>
      <c r="Q6" s="1826"/>
      <c r="R6" s="1826"/>
      <c r="S6" s="1826"/>
      <c r="T6" s="1826"/>
      <c r="U6" s="1826"/>
      <c r="V6" s="1826"/>
      <c r="W6" s="1826"/>
      <c r="X6" s="1826"/>
      <c r="Y6" s="1826"/>
      <c r="Z6" s="1826"/>
      <c r="AA6" s="1826"/>
      <c r="AB6" s="1826"/>
      <c r="AC6" s="1826"/>
      <c r="AD6" s="1826"/>
      <c r="AE6" s="1826"/>
      <c r="AF6" s="631"/>
      <c r="AG6" s="1"/>
      <c r="AH6" s="1"/>
      <c r="AI6" s="6"/>
      <c r="AJ6" s="6"/>
      <c r="AK6" s="6"/>
      <c r="AL6" s="6"/>
      <c r="AM6" s="6"/>
      <c r="AN6" s="6"/>
      <c r="AO6" s="6"/>
      <c r="AP6" s="6"/>
      <c r="AQ6" s="6"/>
      <c r="AR6" s="6"/>
      <c r="AS6" s="6"/>
      <c r="AT6" s="6"/>
      <c r="AU6" s="6"/>
      <c r="AV6" s="6"/>
      <c r="AW6" s="6"/>
    </row>
    <row r="7" ht="14.25" customHeight="1" collapsed="1" outlineLevel="0">
      <c r="A7" s="895"/>
      <c r="B7" s="895"/>
      <c r="C7" s="1827" t="str">
        <f>PropertyName_DataPageTab</f>
        <v>XXXX</v>
      </c>
      <c r="D7" s="1827"/>
      <c r="E7" s="895"/>
      <c r="F7" s="895"/>
      <c r="G7" s="1826"/>
      <c r="H7" s="895"/>
      <c r="I7" s="1826"/>
      <c r="J7" s="1826"/>
      <c r="K7" s="895"/>
      <c r="L7" s="1826"/>
      <c r="M7" s="1826"/>
      <c r="N7" s="1826"/>
      <c r="O7" s="895"/>
      <c r="P7" s="1826"/>
      <c r="Q7" s="1826"/>
      <c r="R7" s="1826"/>
      <c r="S7" s="1826"/>
      <c r="T7" s="1826"/>
      <c r="U7" s="1826"/>
      <c r="V7" s="1826"/>
      <c r="W7" s="1826"/>
      <c r="X7" s="1826"/>
      <c r="Y7" s="1826"/>
      <c r="Z7" s="1826"/>
      <c r="AA7" s="1826"/>
      <c r="AB7" s="1826"/>
      <c r="AC7" s="1826"/>
      <c r="AD7" s="1828" t="s">
        <v>1733</v>
      </c>
      <c r="AE7" s="1829">
        <f>'Rent Roll'!M138</f>
        <v>129715</v>
      </c>
      <c r="AF7" s="631"/>
      <c r="AG7" s="1"/>
      <c r="AH7" s="1"/>
      <c r="AI7" s="1830" t="s">
        <v>1734</v>
      </c>
      <c r="AJ7" s="1831"/>
      <c r="AK7" s="1831" t="s">
        <v>1735</v>
      </c>
      <c r="AL7" s="1832" t="s">
        <v>1736</v>
      </c>
      <c r="AM7" s="1832" t="s">
        <v>1737</v>
      </c>
      <c r="AN7" s="1833" t="s">
        <v>1738</v>
      </c>
      <c r="AO7" s="6"/>
      <c r="AP7" s="6"/>
      <c r="AQ7" s="6"/>
      <c r="AR7" s="6"/>
      <c r="AS7" s="6"/>
      <c r="AT7" s="6"/>
      <c r="AU7" s="6"/>
      <c r="AV7" s="6"/>
      <c r="AW7" s="6"/>
    </row>
    <row r="8" ht="14.25" customHeight="1">
      <c r="A8" s="895"/>
      <c r="B8" s="895"/>
      <c r="C8" s="1824" t="s">
        <v>1739</v>
      </c>
      <c r="D8" s="1825">
        <f t="shared" si="7" ref="D8:AE8">number_units</f>
        <v>101</v>
      </c>
      <c r="E8" s="895"/>
      <c r="F8" s="895"/>
      <c r="G8" s="1826"/>
      <c r="H8" s="895"/>
      <c r="I8" s="1826"/>
      <c r="J8" s="1826"/>
      <c r="K8" s="895"/>
      <c r="L8" s="1826"/>
      <c r="M8" s="1826"/>
      <c r="N8" s="1826"/>
      <c r="O8" s="895"/>
      <c r="P8" s="1826"/>
      <c r="Q8" s="1826"/>
      <c r="R8" s="1826"/>
      <c r="S8" s="1826"/>
      <c r="T8" s="1826"/>
      <c r="U8" s="1826"/>
      <c r="V8" s="1826"/>
      <c r="W8" s="1826"/>
      <c r="X8" s="1826"/>
      <c r="Y8" s="1826"/>
      <c r="Z8" s="1826"/>
      <c r="AA8" s="1826"/>
      <c r="AB8" s="1826"/>
      <c r="AC8" s="1826"/>
      <c r="AD8" s="1834" t="s">
        <v>1740</v>
      </c>
      <c r="AE8" s="1835">
        <f t="shared" si="7"/>
        <v>101</v>
      </c>
      <c r="AF8" s="631"/>
      <c r="AG8" s="1"/>
      <c r="AH8" s="1"/>
      <c r="AI8" s="1476" t="s">
        <v>1741</v>
      </c>
      <c r="AJ8" s="1836"/>
      <c r="AK8" s="1836">
        <f>'NRI Analysis'!E86</f>
        <v>401951</v>
      </c>
      <c r="AL8" s="1837">
        <f>'NRI Analysis'!H86</f>
        <v>408739.6666666667</v>
      </c>
      <c r="AM8" s="1837">
        <f>'NRI Analysis'!L86</f>
        <v>409082</v>
      </c>
      <c r="AN8" s="1838">
        <f>'NRI Analysis'!P86</f>
        <v>400594.3333333333</v>
      </c>
      <c r="AO8" s="6"/>
      <c r="AP8" s="6"/>
      <c r="AQ8" s="6"/>
      <c r="AR8" s="6"/>
      <c r="AS8" s="6"/>
      <c r="AT8" s="6"/>
      <c r="AU8" s="6"/>
      <c r="AV8" s="6"/>
      <c r="AW8" s="6"/>
    </row>
    <row r="9" ht="14.25" customHeight="1">
      <c r="A9" s="895"/>
      <c r="B9" s="895"/>
      <c r="C9" s="1824"/>
      <c r="D9" s="1825"/>
      <c r="E9" s="895"/>
      <c r="F9" s="895"/>
      <c r="G9" s="1826"/>
      <c r="H9" s="895"/>
      <c r="I9" s="1826"/>
      <c r="J9" s="1826"/>
      <c r="K9" s="895"/>
      <c r="L9" s="1826"/>
      <c r="M9" s="1826"/>
      <c r="N9" s="1826"/>
      <c r="O9" s="895"/>
      <c r="P9" s="1826"/>
      <c r="Q9" s="1826"/>
      <c r="R9" s="1826"/>
      <c r="S9" s="1826"/>
      <c r="T9" s="1826"/>
      <c r="U9" s="1826"/>
      <c r="V9" s="1826"/>
      <c r="W9" s="1826"/>
      <c r="X9" s="1826"/>
      <c r="Y9" s="1826"/>
      <c r="Z9" s="1826"/>
      <c r="AA9" s="1826"/>
      <c r="AB9" s="1826"/>
      <c r="AC9" s="1826"/>
      <c r="AD9" s="1834" t="s">
        <v>1742</v>
      </c>
      <c r="AE9" s="1839">
        <v>0.05</v>
      </c>
      <c r="AF9" s="631"/>
      <c r="AG9" s="1"/>
      <c r="AH9" s="1"/>
      <c r="AI9" s="714" t="s">
        <v>1743</v>
      </c>
      <c r="AJ9" s="1840"/>
      <c r="AK9" s="1840">
        <f>'NRI Analysis'!E87</f>
        <v>4823412</v>
      </c>
      <c r="AL9" s="1654">
        <f>'NRI Analysis'!H87</f>
        <v>4904876</v>
      </c>
      <c r="AM9" s="1654">
        <f>'NRI Analysis'!L87</f>
        <v>4908984</v>
      </c>
      <c r="AN9" s="1841">
        <f>'NRI Analysis'!P87</f>
        <v>4807132</v>
      </c>
      <c r="AO9" s="6"/>
      <c r="AP9" s="6"/>
      <c r="AQ9" s="6"/>
      <c r="AR9" s="6"/>
      <c r="AS9" s="6"/>
      <c r="AT9" s="6"/>
      <c r="AU9" s="6"/>
      <c r="AV9" s="6"/>
      <c r="AW9" s="6"/>
    </row>
    <row r="10" ht="14.25" customHeight="1">
      <c r="A10" s="895"/>
      <c r="B10" s="895"/>
      <c r="C10" s="1824"/>
      <c r="D10" s="1825"/>
      <c r="E10" s="895"/>
      <c r="F10" s="895"/>
      <c r="G10" s="1826"/>
      <c r="H10" s="895"/>
      <c r="I10" s="1826"/>
      <c r="J10" s="1826"/>
      <c r="K10" s="895"/>
      <c r="L10" s="1826"/>
      <c r="M10" s="1826"/>
      <c r="N10" s="1826"/>
      <c r="O10" s="895"/>
      <c r="P10" s="1826"/>
      <c r="Q10" s="1826"/>
      <c r="R10" s="1826"/>
      <c r="S10" s="1826"/>
      <c r="T10" s="1826"/>
      <c r="U10" s="1826"/>
      <c r="V10" s="1826"/>
      <c r="W10" s="1826"/>
      <c r="X10" s="1826"/>
      <c r="Y10" s="1826"/>
      <c r="Z10" s="1826"/>
      <c r="AA10" s="1826"/>
      <c r="AB10" s="1826"/>
      <c r="AC10" s="1826"/>
      <c r="AD10" s="1834" t="s">
        <v>1744</v>
      </c>
      <c r="AE10" s="1839">
        <v>0.03</v>
      </c>
      <c r="AF10" s="631"/>
      <c r="AG10" s="1"/>
      <c r="AH10" s="1"/>
      <c r="AI10" s="839" t="s">
        <v>1255</v>
      </c>
      <c r="AJ10" s="1842"/>
      <c r="AK10" s="1842">
        <f>'NRI Analysis'!E88</f>
        <v>0.9433432216516621</v>
      </c>
      <c r="AL10" s="1843">
        <f>'NRI Analysis'!H88</f>
        <v>0.9550795549781447</v>
      </c>
      <c r="AM10" s="1843">
        <f>'NRI Analysis'!L88</f>
        <v>0.9619739793910757</v>
      </c>
      <c r="AN10" s="1844">
        <f>'NRI Analysis'!P88</f>
        <v>0.9560107900763753</v>
      </c>
      <c r="AO10" s="6"/>
      <c r="AP10" s="6"/>
      <c r="AQ10" s="6"/>
      <c r="AR10" s="6"/>
      <c r="AS10" s="6"/>
      <c r="AT10" s="6"/>
      <c r="AU10" s="6"/>
      <c r="AV10" s="6"/>
      <c r="AW10" s="6"/>
    </row>
    <row r="11" ht="14.25" customHeight="1">
      <c r="A11" s="895"/>
      <c r="B11" s="895"/>
      <c r="C11" s="1824"/>
      <c r="D11" s="1825"/>
      <c r="E11" s="895"/>
      <c r="F11" s="895"/>
      <c r="G11" s="1826"/>
      <c r="H11" s="895"/>
      <c r="I11" s="1826"/>
      <c r="J11" s="1826"/>
      <c r="K11" s="895"/>
      <c r="L11" s="1826"/>
      <c r="M11" s="1826"/>
      <c r="N11" s="1826"/>
      <c r="O11" s="895"/>
      <c r="P11" s="1826"/>
      <c r="Q11" s="1826"/>
      <c r="R11" s="1826"/>
      <c r="S11" s="1826"/>
      <c r="T11" s="1826"/>
      <c r="U11" s="1826"/>
      <c r="V11" s="1826"/>
      <c r="W11" s="1826"/>
      <c r="X11" s="1826"/>
      <c r="Y11" s="1826"/>
      <c r="Z11" s="1826"/>
      <c r="AA11" s="1826"/>
      <c r="AB11" s="1826"/>
      <c r="AC11" s="1826"/>
      <c r="AD11" s="1845" t="s">
        <v>1425</v>
      </c>
      <c r="AE11" s="1846">
        <v>250</v>
      </c>
      <c r="AF11" s="631"/>
      <c r="AG11" s="1"/>
      <c r="AH11" s="1"/>
      <c r="AI11" s="6"/>
      <c r="AJ11" s="6"/>
      <c r="AK11" s="6"/>
      <c r="AL11" s="6"/>
      <c r="AM11" s="6"/>
      <c r="AN11" s="6"/>
      <c r="AO11" s="6"/>
      <c r="AP11" s="6"/>
      <c r="AQ11" s="6"/>
      <c r="AR11" s="6"/>
      <c r="AS11" s="6"/>
      <c r="AT11" s="6"/>
      <c r="AU11" s="6"/>
      <c r="AV11" s="6"/>
      <c r="AW11" s="6"/>
    </row>
    <row r="12" ht="14.25" customHeight="1">
      <c r="A12" s="895"/>
      <c r="B12" s="895"/>
      <c r="C12" s="1824"/>
      <c r="D12" s="1825"/>
      <c r="E12" s="895"/>
      <c r="F12" s="895"/>
      <c r="G12" s="1826"/>
      <c r="H12" s="895"/>
      <c r="I12" s="1826"/>
      <c r="J12" s="1826"/>
      <c r="K12" s="895"/>
      <c r="L12" s="1826"/>
      <c r="M12" s="1826"/>
      <c r="N12" s="1826"/>
      <c r="O12" s="895"/>
      <c r="P12" s="1826"/>
      <c r="Q12" s="1826"/>
      <c r="R12" s="1826"/>
      <c r="S12" s="1826"/>
      <c r="T12" s="1826"/>
      <c r="U12" s="1826"/>
      <c r="V12" s="1826"/>
      <c r="W12" s="1826"/>
      <c r="X12" s="1826"/>
      <c r="Y12" s="1826"/>
      <c r="Z12" s="1826"/>
      <c r="AA12" s="1826"/>
      <c r="AB12" s="1826"/>
      <c r="AC12" s="1826"/>
      <c r="AD12" s="1826"/>
      <c r="AE12" s="1826"/>
      <c r="AF12" s="631"/>
      <c r="AG12" s="1"/>
      <c r="AH12" s="1"/>
      <c r="AI12" s="6"/>
      <c r="AJ12" s="6"/>
      <c r="AK12" s="6"/>
      <c r="AL12" s="6"/>
      <c r="AM12" s="6"/>
      <c r="AN12" s="6"/>
      <c r="AO12" s="6"/>
      <c r="AP12" s="6"/>
      <c r="AQ12" s="6"/>
      <c r="AR12" s="6"/>
      <c r="AS12" s="6"/>
      <c r="AT12" s="6"/>
      <c r="AU12" s="6"/>
      <c r="AV12" s="6"/>
      <c r="AW12" s="6"/>
    </row>
    <row r="13" ht="15" customHeight="1">
      <c r="A13" s="895"/>
      <c r="B13" s="1847"/>
      <c r="C13" s="1848" t="s">
        <v>1745</v>
      </c>
      <c r="D13" s="1849"/>
      <c r="E13" s="1850" t="s">
        <v>1746</v>
      </c>
      <c r="F13" s="1851"/>
      <c r="G13" s="1850" t="s">
        <v>1746</v>
      </c>
      <c r="H13" s="1852"/>
      <c r="I13" s="1851"/>
      <c r="J13" s="1850" t="s">
        <v>1746</v>
      </c>
      <c r="K13" s="1852"/>
      <c r="L13" s="1851"/>
      <c r="M13" s="1853" t="s">
        <v>1747</v>
      </c>
      <c r="N13" s="1854" t="s">
        <v>1748</v>
      </c>
      <c r="O13" s="1855"/>
      <c r="P13" s="1856"/>
      <c r="Q13" s="1857" t="s">
        <v>1749</v>
      </c>
      <c r="R13" s="1857" t="s">
        <v>1750</v>
      </c>
      <c r="S13" s="1857" t="s">
        <v>1751</v>
      </c>
      <c r="T13" s="1857" t="s">
        <v>1752</v>
      </c>
      <c r="U13" s="1858"/>
      <c r="V13" s="1859" t="s">
        <v>1753</v>
      </c>
      <c r="W13" s="1860"/>
      <c r="X13" s="1859" t="s">
        <v>1754</v>
      </c>
      <c r="Y13" s="1860"/>
      <c r="Z13" s="1859" t="s">
        <v>1755</v>
      </c>
      <c r="AA13" s="1860"/>
      <c r="AB13" s="1859" t="s">
        <v>1756</v>
      </c>
      <c r="AC13" s="1860"/>
      <c r="AD13" s="1859" t="s">
        <v>1757</v>
      </c>
      <c r="AE13" s="1860"/>
      <c r="AF13" s="631"/>
      <c r="AG13" s="1861" t="s">
        <v>1758</v>
      </c>
      <c r="AH13" s="1"/>
      <c r="AI13" s="6"/>
      <c r="AJ13" s="6"/>
      <c r="AK13" s="6"/>
      <c r="AL13" s="6"/>
      <c r="AM13" s="6"/>
      <c r="AN13" s="6"/>
      <c r="AO13" s="6"/>
      <c r="AP13" s="6"/>
      <c r="AQ13" s="6"/>
      <c r="AR13" s="6"/>
      <c r="AS13" s="6"/>
      <c r="AT13" s="6"/>
      <c r="AU13" s="6"/>
      <c r="AV13" s="6"/>
      <c r="AW13" s="6"/>
    </row>
    <row r="14" ht="15.75" customHeight="1">
      <c r="A14" s="895"/>
      <c r="B14" s="1847"/>
      <c r="C14" s="1848"/>
      <c r="D14" s="1849"/>
      <c r="E14" s="1862" t="s">
        <v>1759</v>
      </c>
      <c r="F14" s="1863"/>
      <c r="G14" s="1862" t="s">
        <v>1760</v>
      </c>
      <c r="H14" s="1864"/>
      <c r="I14" s="1863"/>
      <c r="J14" s="1862" t="s">
        <v>1761</v>
      </c>
      <c r="K14" s="1864"/>
      <c r="L14" s="1863"/>
      <c r="M14" s="1865" t="s">
        <v>1762</v>
      </c>
      <c r="N14" s="1866" t="str">
        <f>IF(HOps_YTD_or_TR_DropDown="YTD","YTD","T-"&amp;HOps_YTD_or_TR_Months)</f>
        <v>T-12</v>
      </c>
      <c r="O14" s="1867"/>
      <c r="P14" s="1868"/>
      <c r="Q14" s="1869"/>
      <c r="R14" s="1869"/>
      <c r="S14" s="1869"/>
      <c r="T14" s="1869"/>
      <c r="U14" s="1870"/>
      <c r="V14" s="1871"/>
      <c r="W14" s="1872"/>
      <c r="X14" s="1871"/>
      <c r="Y14" s="1872"/>
      <c r="Z14" s="1871"/>
      <c r="AA14" s="1872"/>
      <c r="AB14" s="1871"/>
      <c r="AC14" s="1872"/>
      <c r="AD14" s="1871"/>
      <c r="AE14" s="1872"/>
      <c r="AF14" s="631"/>
      <c r="AG14" s="1873"/>
      <c r="AH14" s="1874"/>
      <c r="AI14" s="6"/>
      <c r="AJ14" s="6"/>
      <c r="AK14" s="6"/>
      <c r="AL14" s="6"/>
      <c r="AM14" s="6"/>
      <c r="AN14" s="6"/>
      <c r="AO14" s="6"/>
      <c r="AP14" s="6"/>
      <c r="AQ14" s="6"/>
      <c r="AR14" s="6"/>
      <c r="AS14" s="6"/>
      <c r="AT14" s="6"/>
      <c r="AU14" s="6"/>
      <c r="AV14" s="6"/>
      <c r="AW14" s="6"/>
    </row>
    <row r="15" ht="27" customHeight="1">
      <c r="A15" s="895"/>
      <c r="B15" s="895"/>
      <c r="C15" s="1848" t="s">
        <v>1763</v>
      </c>
      <c r="D15" s="1849"/>
      <c r="E15" s="1875">
        <f>EDATE(G15,-12)</f>
        <v>43709</v>
      </c>
      <c r="F15" s="1876"/>
      <c r="G15" s="1877">
        <f>EDATE(J15,-12)</f>
        <v>44075</v>
      </c>
      <c r="H15" s="1878"/>
      <c r="I15" s="1879"/>
      <c r="J15" s="1877">
        <f>EDATE(N15,-12)</f>
        <v>44440</v>
      </c>
      <c r="K15" s="1878"/>
      <c r="L15" s="1879"/>
      <c r="M15" s="1880" t="s">
        <v>1764</v>
      </c>
      <c r="N15" s="1875">
        <f>OSAnalysis_MostRecentMonth</f>
        <v>44805</v>
      </c>
      <c r="O15" s="1876"/>
      <c r="P15" s="1881"/>
      <c r="Q15" s="1882">
        <f>N15</f>
        <v>44805</v>
      </c>
      <c r="R15" s="1882">
        <f t="shared" si="8" ref="R15:Z15">N15</f>
        <v>44805</v>
      </c>
      <c r="S15" s="1882">
        <f>N15</f>
        <v>44805</v>
      </c>
      <c r="T15" s="1883">
        <f>N15</f>
        <v>44805</v>
      </c>
      <c r="U15" s="1884"/>
      <c r="V15" s="1875">
        <f>N15</f>
        <v>44805</v>
      </c>
      <c r="W15" s="1876"/>
      <c r="X15" s="1885">
        <f t="shared" si="9" ref="X15:AB15">V15</f>
        <v>44805</v>
      </c>
      <c r="Y15" s="1886"/>
      <c r="Z15" s="1875">
        <f t="shared" si="8"/>
        <v>44805</v>
      </c>
      <c r="AA15" s="1876"/>
      <c r="AB15" s="1875">
        <f t="shared" si="9"/>
        <v>44805</v>
      </c>
      <c r="AC15" s="1876"/>
      <c r="AD15" s="1887">
        <f t="shared" si="15" ref="AD15:AD85">N15</f>
        <v>44805</v>
      </c>
      <c r="AE15" s="1888"/>
      <c r="AF15" s="631"/>
      <c r="AG15" s="1889" t="s">
        <v>726</v>
      </c>
      <c r="AH15" s="1874"/>
      <c r="AI15" s="6"/>
      <c r="AJ15" s="6"/>
      <c r="AK15" s="1890" t="s">
        <v>1765</v>
      </c>
      <c r="AL15" s="1890"/>
      <c r="AM15" s="1890"/>
      <c r="AN15" s="1890"/>
      <c r="AO15" s="625"/>
      <c r="AP15" s="6"/>
      <c r="AQ15" s="6"/>
      <c r="AR15" s="6"/>
      <c r="AS15" s="6"/>
      <c r="AT15" s="6"/>
      <c r="AU15" s="6"/>
      <c r="AV15" s="6"/>
      <c r="AW15" s="6"/>
    </row>
    <row r="16" ht="15.75" customHeight="1">
      <c r="A16" s="895"/>
      <c r="B16" s="895"/>
      <c r="C16" s="895"/>
      <c r="D16" s="895"/>
      <c r="E16" s="1891"/>
      <c r="F16" s="1892" t="s">
        <v>1766</v>
      </c>
      <c r="G16" s="1891"/>
      <c r="H16" s="1893" t="s">
        <v>1766</v>
      </c>
      <c r="I16" s="1894" t="s">
        <v>1767</v>
      </c>
      <c r="J16" s="1891"/>
      <c r="K16" s="1893" t="s">
        <v>1766</v>
      </c>
      <c r="L16" s="1895" t="s">
        <v>1767</v>
      </c>
      <c r="M16" s="1896">
        <f>HOps_YTD_or_TR_Months</f>
        <v>12</v>
      </c>
      <c r="N16" s="1891"/>
      <c r="O16" s="1897" t="s">
        <v>1766</v>
      </c>
      <c r="P16" s="1898" t="s">
        <v>1767</v>
      </c>
      <c r="Q16" s="1899"/>
      <c r="R16" s="1899"/>
      <c r="S16" s="1899"/>
      <c r="T16" s="1899"/>
      <c r="U16" s="1892" t="s">
        <v>1766</v>
      </c>
      <c r="V16" s="1899"/>
      <c r="W16" s="1892" t="s">
        <v>1766</v>
      </c>
      <c r="X16" s="1899"/>
      <c r="Y16" s="1892" t="s">
        <v>1766</v>
      </c>
      <c r="Z16" s="1899"/>
      <c r="AA16" s="1892" t="s">
        <v>1766</v>
      </c>
      <c r="AB16" s="1899"/>
      <c r="AC16" s="1900" t="s">
        <v>1766</v>
      </c>
      <c r="AD16" s="1891"/>
      <c r="AE16" s="1901" t="s">
        <v>1766</v>
      </c>
      <c r="AF16" s="631"/>
      <c r="AG16" s="1902" t="s">
        <v>1766</v>
      </c>
      <c r="AH16" s="1903"/>
      <c r="AI16" s="6"/>
      <c r="AJ16" s="6"/>
      <c r="AK16" s="1904" t="str">
        <f>_xlfn.CONCAT("All Rate locked SBL loans through ",TEXT(_xlfn.CUBEVALUE("ThisWorkbookDataModel","[Measures].[Rate Lock]"),"mmmmmmmmmmmmmmmmmmmmmmm, yyyy"))</f>
        <v>All Rate locked SBL loans through December, 2022</v>
      </c>
      <c r="AL16" s="1904"/>
      <c r="AM16" s="1904"/>
      <c r="AN16" s="1904"/>
      <c r="AO16" s="625"/>
      <c r="AP16" s="6"/>
      <c r="AQ16" s="6"/>
      <c r="AR16" s="6"/>
      <c r="AS16" s="6"/>
      <c r="AT16" s="6"/>
      <c r="AU16" s="6"/>
      <c r="AV16" s="6"/>
      <c r="AW16" s="6"/>
    </row>
    <row r="17" ht="24.75" customHeight="1">
      <c r="A17" s="895"/>
      <c r="B17" s="895"/>
      <c r="C17" s="688" t="s">
        <v>1443</v>
      </c>
      <c r="D17" s="895"/>
      <c r="E17" s="1905"/>
      <c r="F17" s="1906" t="s">
        <v>1769</v>
      </c>
      <c r="G17" s="1907"/>
      <c r="H17" s="1908" t="s">
        <v>1769</v>
      </c>
      <c r="I17" s="1894" t="s">
        <v>1770</v>
      </c>
      <c r="J17" s="1907"/>
      <c r="K17" s="1908" t="s">
        <v>1769</v>
      </c>
      <c r="L17" s="1895" t="s">
        <v>1770</v>
      </c>
      <c r="M17" s="1909"/>
      <c r="N17" s="1910" t="s">
        <v>1771</v>
      </c>
      <c r="O17" s="1911" t="s">
        <v>1769</v>
      </c>
      <c r="P17" s="1912" t="s">
        <v>1770</v>
      </c>
      <c r="Q17" s="1913"/>
      <c r="R17" s="1913"/>
      <c r="S17" s="1913"/>
      <c r="T17" s="1913"/>
      <c r="U17" s="1914" t="s">
        <v>1769</v>
      </c>
      <c r="V17" s="1913"/>
      <c r="W17" s="1914" t="s">
        <v>1769</v>
      </c>
      <c r="X17" s="1913"/>
      <c r="Y17" s="1914" t="s">
        <v>1769</v>
      </c>
      <c r="Z17" s="1913"/>
      <c r="AA17" s="1914" t="s">
        <v>1769</v>
      </c>
      <c r="AB17" s="1913"/>
      <c r="AC17" s="1915" t="s">
        <v>1769</v>
      </c>
      <c r="AD17" s="1916"/>
      <c r="AE17" s="1917" t="s">
        <v>1769</v>
      </c>
      <c r="AF17" s="631"/>
      <c r="AG17" s="1918" t="s">
        <v>1769</v>
      </c>
      <c r="AH17" s="1903"/>
      <c r="AI17" s="1919" t="s">
        <v>1772</v>
      </c>
      <c r="AJ17" s="6"/>
      <c r="AK17" s="1920"/>
      <c r="AL17" s="1920"/>
      <c r="AM17" s="1920"/>
      <c r="AN17" s="1920"/>
      <c r="AO17" s="625"/>
      <c r="AP17" s="6"/>
      <c r="AQ17" s="6"/>
      <c r="AR17" s="6"/>
      <c r="AS17" s="6"/>
      <c r="AT17" s="6"/>
      <c r="AU17" s="6"/>
      <c r="AV17" s="6"/>
      <c r="AW17" s="6"/>
    </row>
    <row r="18" ht="18.75" customHeight="1">
      <c r="A18" s="895"/>
      <c r="B18" s="895"/>
      <c r="C18" s="1921" t="s">
        <v>1773</v>
      </c>
      <c r="D18" s="1815"/>
      <c r="E18" s="1922">
        <f>'Fannie Historical Ops'!D5</f>
        <v>0</v>
      </c>
      <c r="F18" s="1923">
        <f t="shared" si="10" ref="F18:AC86">ROUND(IF(E18=0,0,(E18)/number_units),2)</f>
        <v>0</v>
      </c>
      <c r="G18" s="1922">
        <f>'Fannie Historical Ops'!F5</f>
        <v>0</v>
      </c>
      <c r="H18" s="1924">
        <f t="shared" si="10"/>
        <v>0</v>
      </c>
      <c r="I18" s="1925" t="str">
        <f t="shared" si="11" ref="I18:I86">IF(E18=0,"N/A",(G18-E18)/E18)</f>
        <v>N/A</v>
      </c>
      <c r="J18" s="1922">
        <f>'Fannie Historical Ops'!H5</f>
        <v>0</v>
      </c>
      <c r="K18" s="1924">
        <f t="shared" si="10"/>
        <v>0</v>
      </c>
      <c r="L18" s="1925" t="str">
        <f t="shared" si="12" ref="L18:L86">IF(G18=0,"N/A",(J18-G18)/G18)</f>
        <v>N/A</v>
      </c>
      <c r="M18" s="1926">
        <f>'Fannie Historical Ops'!V5</f>
        <v>5028324</v>
      </c>
      <c r="N18" s="1922">
        <f>ROUND(IF(M16=0,0,M18*12/M16),2)</f>
        <v>5028324</v>
      </c>
      <c r="O18" s="1924">
        <f t="shared" si="10"/>
        <v>49785.39</v>
      </c>
      <c r="P18" s="1927" t="str">
        <f t="shared" si="13" ref="P18:P86">IF(J18=0,"N/A",(N18-J18)/J18)</f>
        <v>N/A</v>
      </c>
      <c r="Q18" s="1928">
        <v>0</v>
      </c>
      <c r="R18" s="1928">
        <v>0</v>
      </c>
      <c r="S18" s="1928">
        <v>0</v>
      </c>
      <c r="T18" s="1929">
        <f t="shared" si="14" ref="T18:T85">ROUND(((SUM(S18,R18,Q18)/3)*12),2)</f>
        <v>0</v>
      </c>
      <c r="U18" s="1924">
        <f t="shared" si="10"/>
        <v>0</v>
      </c>
      <c r="V18" s="1922">
        <f>'Fannie Historical Ops'!Y5</f>
        <v>0</v>
      </c>
      <c r="W18" s="1924">
        <f t="shared" si="10"/>
        <v>0</v>
      </c>
      <c r="X18" s="1922">
        <v>0</v>
      </c>
      <c r="Y18" s="1924">
        <f t="shared" si="10"/>
        <v>0</v>
      </c>
      <c r="Z18" s="1922">
        <f>'Fannie Historical Ops'!AA5</f>
        <v>0</v>
      </c>
      <c r="AA18" s="1924">
        <f t="shared" si="10"/>
        <v>0</v>
      </c>
      <c r="AB18" s="1922">
        <v>0</v>
      </c>
      <c r="AC18" s="1930">
        <f t="shared" si="10"/>
        <v>0</v>
      </c>
      <c r="AD18" s="1922">
        <f>$AE$7*12</f>
        <v>1556580</v>
      </c>
      <c r="AE18" s="1930">
        <f t="shared" si="16" ref="AE18:AE34">IF(number_units=0,0,ROUND(AD18/number_units,2))</f>
        <v>15411.68</v>
      </c>
      <c r="AF18" s="1931"/>
      <c r="AG18" s="1932"/>
      <c r="AH18" s="1933"/>
      <c r="AI18" s="1934"/>
      <c r="AJ18" s="6"/>
      <c r="AK18" s="1935" t="s">
        <v>1774</v>
      </c>
      <c r="AL18" s="1936"/>
      <c r="AM18" s="1936"/>
      <c r="AN18" s="1936"/>
      <c r="AO18" s="1159"/>
      <c r="AP18" s="6"/>
      <c r="AQ18" s="6"/>
      <c r="AR18" s="6"/>
      <c r="AS18" s="6"/>
      <c r="AT18" s="6"/>
      <c r="AU18" s="6"/>
      <c r="AV18" s="6"/>
      <c r="AW18" s="6"/>
    </row>
    <row r="19" ht="15" customHeight="1">
      <c r="A19" s="895"/>
      <c r="B19" s="895"/>
      <c r="C19" s="1937" t="s">
        <v>1775</v>
      </c>
      <c r="D19" s="1815"/>
      <c r="E19" s="1938">
        <f>-'Fannie Historical Ops'!D8</f>
        <v>0</v>
      </c>
      <c r="F19" s="1923">
        <f t="shared" si="10"/>
        <v>0</v>
      </c>
      <c r="G19" s="1938">
        <f>-'Fannie Historical Ops'!F8</f>
        <v>0</v>
      </c>
      <c r="H19" s="1923">
        <f t="shared" si="10"/>
        <v>0</v>
      </c>
      <c r="I19" s="1925" t="str">
        <f t="shared" si="11"/>
        <v>N/A</v>
      </c>
      <c r="J19" s="1938">
        <f>-'Fannie Historical Ops'!H8</f>
        <v>0</v>
      </c>
      <c r="K19" s="1923">
        <f t="shared" si="10"/>
        <v>0</v>
      </c>
      <c r="L19" s="1925" t="str">
        <f t="shared" si="12"/>
        <v>N/A</v>
      </c>
      <c r="M19" s="1939">
        <f>-'Fannie Historical Ops'!V8</f>
        <v>0</v>
      </c>
      <c r="N19" s="1938">
        <f>ROUND(IF(M16=0,0,M19*12/M16),2)</f>
        <v>0</v>
      </c>
      <c r="O19" s="1923">
        <f t="shared" si="10"/>
        <v>0</v>
      </c>
      <c r="P19" s="1927" t="str">
        <f t="shared" si="13"/>
        <v>N/A</v>
      </c>
      <c r="Q19" s="1940">
        <v>0</v>
      </c>
      <c r="R19" s="1940">
        <v>0</v>
      </c>
      <c r="S19" s="1940">
        <v>0</v>
      </c>
      <c r="T19" s="1929">
        <f t="shared" si="14"/>
        <v>0</v>
      </c>
      <c r="U19" s="1923">
        <f t="shared" si="10"/>
        <v>0</v>
      </c>
      <c r="V19" s="1938">
        <f>-'Fannie Historical Ops'!Y8</f>
        <v>0</v>
      </c>
      <c r="W19" s="1923">
        <f t="shared" si="10"/>
        <v>0</v>
      </c>
      <c r="X19" s="1938">
        <v>0</v>
      </c>
      <c r="Y19" s="1923">
        <f t="shared" si="10"/>
        <v>0</v>
      </c>
      <c r="Z19" s="1938">
        <f>-'Fannie Historical Ops'!AA8</f>
        <v>0</v>
      </c>
      <c r="AA19" s="1923">
        <f t="shared" si="10"/>
        <v>0</v>
      </c>
      <c r="AB19" s="1938">
        <v>0</v>
      </c>
      <c r="AC19" s="1941">
        <f t="shared" si="10"/>
        <v>0</v>
      </c>
      <c r="AD19" s="1938">
        <f t="shared" si="15"/>
        <v>0</v>
      </c>
      <c r="AE19" s="1941">
        <f t="shared" si="16"/>
        <v>0</v>
      </c>
      <c r="AF19" s="1931"/>
      <c r="AG19" s="1942"/>
      <c r="AH19" s="1933"/>
      <c r="AI19" s="1934"/>
      <c r="AJ19" s="6"/>
      <c r="AK19" s="1943" t="s">
        <v>1776</v>
      </c>
      <c r="AL19" s="1944">
        <f>_xlfn.CUBEVALUE("ThisWorkbookDataModel","[Measures].[# of Loans]",Slicer_MSA,Slicer_County,Slicer_City,Slicer_Market_Tier,Slicer_Conf_Status,Slicer_Rate_Lock_Time_Frame,Slicer_Rent_Level__Upper_Lower_Half,Slicer_Unit_Count,Slicer_Vintage__Built_Most_Recently_Renovated,Slicer_Flood_Zone)</f>
        <v>15227</v>
      </c>
      <c r="AM19" s="1944"/>
      <c r="AN19" s="1944"/>
      <c r="AO19" s="1159"/>
      <c r="AP19" s="6"/>
      <c r="AQ19" s="6"/>
      <c r="AR19" s="6"/>
      <c r="AS19" s="6"/>
      <c r="AT19" s="6"/>
      <c r="AU19" s="6"/>
      <c r="AV19" s="6"/>
      <c r="AW19" s="6"/>
    </row>
    <row r="20" ht="15" customHeight="1">
      <c r="A20" s="895"/>
      <c r="B20" s="895"/>
      <c r="C20" s="1937" t="s">
        <v>1777</v>
      </c>
      <c r="D20" s="1815"/>
      <c r="E20" s="1945">
        <f>-'Fannie Historical Ops'!D6</f>
        <v>0</v>
      </c>
      <c r="F20" s="1946">
        <f t="shared" si="10"/>
        <v>0</v>
      </c>
      <c r="G20" s="1945">
        <f>-'Fannie Historical Ops'!F6</f>
        <v>0</v>
      </c>
      <c r="H20" s="1923">
        <f t="shared" si="10"/>
        <v>0</v>
      </c>
      <c r="I20" s="1925" t="str">
        <f t="shared" si="11"/>
        <v>N/A</v>
      </c>
      <c r="J20" s="1945">
        <f>-'Fannie Historical Ops'!H6</f>
        <v>0</v>
      </c>
      <c r="K20" s="1923">
        <f t="shared" si="10"/>
        <v>0</v>
      </c>
      <c r="L20" s="1925" t="str">
        <f t="shared" si="12"/>
        <v>N/A</v>
      </c>
      <c r="M20" s="1947">
        <f>-'Fannie Historical Ops'!V6</f>
        <v>174838</v>
      </c>
      <c r="N20" s="1945">
        <f>ROUND(IF(M16=0,0,M20*12/M16),2)</f>
        <v>174838</v>
      </c>
      <c r="O20" s="1946">
        <f t="shared" si="10"/>
        <v>1731.07</v>
      </c>
      <c r="P20" s="1948" t="str">
        <f t="shared" si="13"/>
        <v>N/A</v>
      </c>
      <c r="Q20" s="1949">
        <v>0</v>
      </c>
      <c r="R20" s="1949">
        <v>0</v>
      </c>
      <c r="S20" s="1949">
        <v>0</v>
      </c>
      <c r="T20" s="1929">
        <f t="shared" si="14"/>
        <v>0</v>
      </c>
      <c r="U20" s="1946">
        <f t="shared" si="10"/>
        <v>0</v>
      </c>
      <c r="V20" s="1945">
        <f>-'Fannie Historical Ops'!Y6</f>
        <v>0</v>
      </c>
      <c r="W20" s="1946">
        <f t="shared" si="10"/>
        <v>0</v>
      </c>
      <c r="X20" s="1945">
        <v>0</v>
      </c>
      <c r="Y20" s="1946">
        <f t="shared" si="10"/>
        <v>0</v>
      </c>
      <c r="Z20" s="1945">
        <f>-'Fannie Historical Ops'!AA6</f>
        <v>0</v>
      </c>
      <c r="AA20" s="1946">
        <f t="shared" si="10"/>
        <v>0</v>
      </c>
      <c r="AB20" s="1945">
        <v>0</v>
      </c>
      <c r="AC20" s="1950">
        <f t="shared" si="10"/>
        <v>0</v>
      </c>
      <c r="AD20" s="1945">
        <f>AD18*AE9</f>
        <v>77829</v>
      </c>
      <c r="AE20" s="1950">
        <f t="shared" si="16"/>
        <v>770.58</v>
      </c>
      <c r="AF20" s="1931"/>
      <c r="AG20" s="1942"/>
      <c r="AH20" s="1933"/>
      <c r="AI20" s="1934"/>
      <c r="AJ20" s="6"/>
      <c r="AK20" s="1943" t="s">
        <v>1778</v>
      </c>
      <c r="AL20" s="1951">
        <f>_xlfn.CUBEVALUE("ThisWorkbookDataModel","[Measures].[Avg Final Loan Amount]",Slicer_MSA,Slicer_County,Slicer_City,Slicer_Market_Tier,Slicer_Conf_Status,Slicer_Rate_Lock_Time_Frame,Slicer_Rent_Level__Upper_Lower_Half,Slicer_Unit_Count,Slicer_Vintage__Built_Most_Recently_Renovated,Slicer_Flood_Zone)</f>
        <v>2683157.6686202143</v>
      </c>
      <c r="AM20" s="1951"/>
      <c r="AN20" s="1951"/>
      <c r="AO20" s="1159"/>
      <c r="AP20" s="6"/>
      <c r="AQ20" s="6"/>
      <c r="AR20" s="6"/>
      <c r="AS20" s="6"/>
      <c r="AT20" s="6"/>
      <c r="AU20" s="6"/>
      <c r="AV20" s="6"/>
      <c r="AW20" s="6"/>
    </row>
    <row r="21" ht="15" customHeight="1">
      <c r="A21" s="895"/>
      <c r="B21" s="895"/>
      <c r="C21" s="1937" t="s">
        <v>1779</v>
      </c>
      <c r="D21" s="1815"/>
      <c r="E21" s="1938">
        <f>-'Fannie Historical Ops'!D7</f>
        <v>0</v>
      </c>
      <c r="F21" s="1923">
        <f t="shared" si="10"/>
        <v>0</v>
      </c>
      <c r="G21" s="1938">
        <f>-'Fannie Historical Ops'!F7</f>
        <v>0</v>
      </c>
      <c r="H21" s="1923">
        <f t="shared" si="10"/>
        <v>0</v>
      </c>
      <c r="I21" s="1925" t="str">
        <f t="shared" si="11"/>
        <v>N/A</v>
      </c>
      <c r="J21" s="1938">
        <f>-'Fannie Historical Ops'!H7</f>
        <v>0</v>
      </c>
      <c r="K21" s="1923">
        <f t="shared" si="10"/>
        <v>0</v>
      </c>
      <c r="L21" s="1925" t="str">
        <f t="shared" si="12"/>
        <v>N/A</v>
      </c>
      <c r="M21" s="1939">
        <f>-'Fannie Historical Ops'!V7</f>
        <v>46354</v>
      </c>
      <c r="N21" s="1938">
        <f>ROUND(IF(M16=0,0,M21*12/M16),2)</f>
        <v>46354</v>
      </c>
      <c r="O21" s="1923">
        <f t="shared" si="10"/>
        <v>458.95</v>
      </c>
      <c r="P21" s="1927" t="str">
        <f t="shared" si="13"/>
        <v>N/A</v>
      </c>
      <c r="Q21" s="1940">
        <v>0</v>
      </c>
      <c r="R21" s="1940">
        <v>0</v>
      </c>
      <c r="S21" s="1940">
        <v>0</v>
      </c>
      <c r="T21" s="1929">
        <f t="shared" si="14"/>
        <v>0</v>
      </c>
      <c r="U21" s="1923">
        <f t="shared" si="10"/>
        <v>0</v>
      </c>
      <c r="V21" s="1938">
        <f>-'Fannie Historical Ops'!Y7</f>
        <v>0</v>
      </c>
      <c r="W21" s="1923">
        <f t="shared" si="10"/>
        <v>0</v>
      </c>
      <c r="X21" s="1938">
        <v>0</v>
      </c>
      <c r="Y21" s="1923">
        <f t="shared" si="10"/>
        <v>0</v>
      </c>
      <c r="Z21" s="1938">
        <f>-'Fannie Historical Ops'!AA7</f>
        <v>0</v>
      </c>
      <c r="AA21" s="1923">
        <f t="shared" si="10"/>
        <v>0</v>
      </c>
      <c r="AB21" s="1938">
        <v>0</v>
      </c>
      <c r="AC21" s="1941">
        <f t="shared" si="10"/>
        <v>0</v>
      </c>
      <c r="AD21" s="1938">
        <f t="shared" si="15"/>
        <v>46354</v>
      </c>
      <c r="AE21" s="1941">
        <f t="shared" si="16"/>
        <v>458.95</v>
      </c>
      <c r="AF21" s="1931"/>
      <c r="AG21" s="1942"/>
      <c r="AH21" s="1933"/>
      <c r="AI21" s="1934"/>
      <c r="AJ21" s="6"/>
      <c r="AK21" s="1952" t="s">
        <v>571</v>
      </c>
      <c r="AL21" s="1953" t="s">
        <v>1780</v>
      </c>
      <c r="AM21" s="1953" t="s">
        <v>1781</v>
      </c>
      <c r="AN21" s="1952" t="s">
        <v>1782</v>
      </c>
      <c r="AO21" s="625"/>
      <c r="AP21" s="6"/>
      <c r="AQ21" s="6"/>
      <c r="AR21" s="6"/>
      <c r="AS21" s="6"/>
      <c r="AT21" s="6"/>
      <c r="AU21" s="6"/>
      <c r="AV21" s="6"/>
      <c r="AW21" s="6"/>
    </row>
    <row r="22" ht="15.75" customHeight="1">
      <c r="A22" s="895"/>
      <c r="B22" s="895"/>
      <c r="C22" s="1937" t="s">
        <v>1783</v>
      </c>
      <c r="D22" s="1815"/>
      <c r="E22" s="1945">
        <f>'Fannie Historical Ops'!D22</f>
        <v>0</v>
      </c>
      <c r="F22" s="1946">
        <f t="shared" si="10"/>
        <v>0</v>
      </c>
      <c r="G22" s="1945">
        <f>'Fannie Historical Ops'!F22</f>
        <v>0</v>
      </c>
      <c r="H22" s="1923">
        <f t="shared" si="10"/>
        <v>0</v>
      </c>
      <c r="I22" s="1925" t="str">
        <f t="shared" si="11"/>
        <v>N/A</v>
      </c>
      <c r="J22" s="1945">
        <f>'Fannie Historical Ops'!H22</f>
        <v>0</v>
      </c>
      <c r="K22" s="1923">
        <f t="shared" si="10"/>
        <v>0</v>
      </c>
      <c r="L22" s="1925" t="str">
        <f t="shared" si="12"/>
        <v>N/A</v>
      </c>
      <c r="M22" s="1947">
        <f>'Fannie Historical Ops'!V22</f>
        <v>0</v>
      </c>
      <c r="N22" s="1945">
        <f>ROUND(IF(M16=0,0,M22*12/M16),2)</f>
        <v>0</v>
      </c>
      <c r="O22" s="1946">
        <f t="shared" si="10"/>
        <v>0</v>
      </c>
      <c r="P22" s="1948" t="str">
        <f t="shared" si="13"/>
        <v>N/A</v>
      </c>
      <c r="Q22" s="1949">
        <v>0</v>
      </c>
      <c r="R22" s="1949">
        <v>0</v>
      </c>
      <c r="S22" s="1949">
        <v>0</v>
      </c>
      <c r="T22" s="1929">
        <f t="shared" si="14"/>
        <v>0</v>
      </c>
      <c r="U22" s="1946">
        <f t="shared" si="10"/>
        <v>0</v>
      </c>
      <c r="V22" s="1945">
        <f>'Fannie Historical Ops'!Y22</f>
        <v>0</v>
      </c>
      <c r="W22" s="1946">
        <f t="shared" si="10"/>
        <v>0</v>
      </c>
      <c r="X22" s="1945">
        <v>0</v>
      </c>
      <c r="Y22" s="1946">
        <f t="shared" si="10"/>
        <v>0</v>
      </c>
      <c r="Z22" s="1945">
        <f>'Fannie Historical Ops'!AA22</f>
        <v>0</v>
      </c>
      <c r="AA22" s="1946">
        <f t="shared" si="10"/>
        <v>0</v>
      </c>
      <c r="AB22" s="1945">
        <v>0</v>
      </c>
      <c r="AC22" s="1950">
        <f t="shared" si="10"/>
        <v>0</v>
      </c>
      <c r="AD22" s="1945">
        <f t="shared" si="15"/>
        <v>0</v>
      </c>
      <c r="AE22" s="1950">
        <f t="shared" si="16"/>
        <v>0</v>
      </c>
      <c r="AF22" s="1931"/>
      <c r="AG22" s="1942"/>
      <c r="AH22" s="1933"/>
      <c r="AI22" s="1934"/>
      <c r="AJ22" s="6"/>
      <c r="AK22" s="1954" t="s">
        <v>1784</v>
      </c>
      <c r="AL22" s="1955">
        <v>37.02948709529126</v>
      </c>
      <c r="AM22" s="1955">
        <v>25</v>
      </c>
      <c r="AN22" s="1955">
        <v>33.87135567227529</v>
      </c>
      <c r="AO22" s="625"/>
      <c r="AP22" s="6"/>
      <c r="AQ22" s="6"/>
      <c r="AR22" s="6"/>
      <c r="AS22" s="6"/>
      <c r="AT22" s="6"/>
      <c r="AU22" s="6"/>
      <c r="AV22" s="6"/>
      <c r="AW22" s="6"/>
    </row>
    <row r="23" ht="15.75" customHeight="1">
      <c r="A23" s="895"/>
      <c r="B23" s="895"/>
      <c r="C23" s="1956" t="s">
        <v>1785</v>
      </c>
      <c r="D23" s="1957"/>
      <c r="E23" s="1958">
        <f t="shared" si="17" ref="E23:AB23">+E18-E19-E20-E21+E22</f>
        <v>0</v>
      </c>
      <c r="F23" s="1959">
        <f t="shared" si="10"/>
        <v>0</v>
      </c>
      <c r="G23" s="1958">
        <f t="shared" si="17"/>
        <v>0</v>
      </c>
      <c r="H23" s="1959">
        <f t="shared" si="10"/>
        <v>0</v>
      </c>
      <c r="I23" s="1960" t="str">
        <f t="shared" si="11"/>
        <v>N/A</v>
      </c>
      <c r="J23" s="1958">
        <f t="shared" si="17"/>
        <v>0</v>
      </c>
      <c r="K23" s="1959">
        <f t="shared" si="10"/>
        <v>0</v>
      </c>
      <c r="L23" s="1961" t="str">
        <f t="shared" si="12"/>
        <v>N/A</v>
      </c>
      <c r="M23" s="1962">
        <f t="shared" si="17"/>
        <v>4807132</v>
      </c>
      <c r="N23" s="1958">
        <f t="shared" si="17"/>
        <v>4807132</v>
      </c>
      <c r="O23" s="1959">
        <f t="shared" si="10"/>
        <v>47595.37</v>
      </c>
      <c r="P23" s="1963" t="str">
        <f t="shared" si="13"/>
        <v>N/A</v>
      </c>
      <c r="Q23" s="1958">
        <f t="shared" si="17"/>
        <v>0</v>
      </c>
      <c r="R23" s="1958">
        <f t="shared" si="17"/>
        <v>0</v>
      </c>
      <c r="S23" s="1958">
        <f t="shared" si="17"/>
        <v>0</v>
      </c>
      <c r="T23" s="1958">
        <f t="shared" si="17"/>
        <v>0</v>
      </c>
      <c r="U23" s="1959">
        <f t="shared" si="10"/>
        <v>0</v>
      </c>
      <c r="V23" s="1958">
        <f t="shared" si="17"/>
        <v>0</v>
      </c>
      <c r="W23" s="1959">
        <f t="shared" si="10"/>
        <v>0</v>
      </c>
      <c r="X23" s="1958">
        <f t="shared" si="17"/>
        <v>0</v>
      </c>
      <c r="Y23" s="1959">
        <f t="shared" si="10"/>
        <v>0</v>
      </c>
      <c r="Z23" s="1958">
        <f t="shared" si="17"/>
        <v>0</v>
      </c>
      <c r="AA23" s="1959">
        <f t="shared" si="10"/>
        <v>0</v>
      </c>
      <c r="AB23" s="1958">
        <f t="shared" si="17"/>
        <v>0</v>
      </c>
      <c r="AC23" s="1964">
        <f t="shared" si="10"/>
        <v>0</v>
      </c>
      <c r="AD23" s="1958">
        <f>AD18-AD19-AD20-AD21+AD22</f>
        <v>1432397</v>
      </c>
      <c r="AE23" s="1965">
        <f t="shared" si="16"/>
        <v>14182.15</v>
      </c>
      <c r="AF23" s="1931"/>
      <c r="AG23" s="1966" t="e">
        <f>GETPIVOTDATA("[Measures].[Average]",$AK$21,"[Summary Line Items].[Line Item Type]","[Summary Line Items].[Line Item Type].&amp;[Annual Residential NRI/Unit]")</f>
        <v>#REF!</v>
      </c>
      <c r="AH23" s="1967"/>
      <c r="AI23" s="1934"/>
      <c r="AJ23" s="6"/>
      <c r="AK23" s="1954" t="s">
        <v>1786</v>
      </c>
      <c r="AL23" s="1968">
        <v>1220.9215393708628</v>
      </c>
      <c r="AM23" s="1968">
        <v>1059.5</v>
      </c>
      <c r="AN23" s="1968">
        <v>625.3753944272022</v>
      </c>
      <c r="AO23" s="625"/>
      <c r="AP23" s="6"/>
      <c r="AQ23" s="6"/>
      <c r="AR23" s="6"/>
      <c r="AS23" s="6"/>
      <c r="AT23" s="6"/>
      <c r="AU23" s="6"/>
      <c r="AV23" s="6"/>
      <c r="AW23" s="6"/>
    </row>
    <row r="24" ht="15.75" customHeight="1">
      <c r="A24" s="895"/>
      <c r="B24" s="911"/>
      <c r="C24" s="1969" t="s">
        <v>1787</v>
      </c>
      <c r="D24" s="1957"/>
      <c r="E24" s="1958">
        <f t="shared" si="18" ref="E24:AB28">ROUND(+E23/12,2)</f>
        <v>0</v>
      </c>
      <c r="F24" s="1959"/>
      <c r="G24" s="1958">
        <f t="shared" si="18"/>
        <v>0</v>
      </c>
      <c r="H24" s="1959"/>
      <c r="I24" s="1960"/>
      <c r="J24" s="1958">
        <f t="shared" si="18"/>
        <v>0</v>
      </c>
      <c r="K24" s="1959"/>
      <c r="L24" s="1970"/>
      <c r="M24" s="1962">
        <f>ROUND(+M23/M16,2)</f>
        <v>400594.33</v>
      </c>
      <c r="N24" s="1958">
        <f t="shared" si="18"/>
        <v>400594.33</v>
      </c>
      <c r="O24" s="1959"/>
      <c r="P24" s="1963"/>
      <c r="Q24" s="1958">
        <f t="shared" si="18"/>
        <v>0</v>
      </c>
      <c r="R24" s="1958">
        <f t="shared" si="18"/>
        <v>0</v>
      </c>
      <c r="S24" s="1958">
        <f t="shared" si="18"/>
        <v>0</v>
      </c>
      <c r="T24" s="1958">
        <f t="shared" si="18"/>
        <v>0</v>
      </c>
      <c r="U24" s="1959"/>
      <c r="V24" s="1958">
        <f t="shared" si="18"/>
        <v>0</v>
      </c>
      <c r="W24" s="1959"/>
      <c r="X24" s="1958">
        <f t="shared" si="18"/>
        <v>0</v>
      </c>
      <c r="Y24" s="1959"/>
      <c r="Z24" s="1958">
        <f t="shared" si="18"/>
        <v>0</v>
      </c>
      <c r="AA24" s="1959"/>
      <c r="AB24" s="1958">
        <f t="shared" si="18"/>
        <v>0</v>
      </c>
      <c r="AC24" s="1964"/>
      <c r="AD24" s="1958">
        <f t="shared" si="20" ref="AD24:AD28">ROUND(AD23/12,2)</f>
        <v>119366.42</v>
      </c>
      <c r="AE24" s="1965"/>
      <c r="AF24" s="1931"/>
      <c r="AG24" s="1971" t="e">
        <f t="shared" si="21" ref="AG24:AG28">AG23/12</f>
        <v>#REF!</v>
      </c>
      <c r="AH24" s="1967"/>
      <c r="AI24" s="1934"/>
      <c r="AJ24" s="6"/>
      <c r="AK24" s="1954" t="s">
        <v>1788</v>
      </c>
      <c r="AL24" s="1968">
        <v>917.6961114221683</v>
      </c>
      <c r="AM24" s="1968">
        <v>843.465</v>
      </c>
      <c r="AN24" s="1968">
        <v>419.712106953847</v>
      </c>
      <c r="AO24" s="625"/>
      <c r="AP24" s="6"/>
      <c r="AQ24" s="6"/>
      <c r="AR24" s="6"/>
      <c r="AS24" s="6"/>
      <c r="AT24" s="6"/>
      <c r="AU24" s="6"/>
      <c r="AV24" s="6"/>
      <c r="AW24" s="6"/>
    </row>
    <row r="25" ht="15" customHeight="1">
      <c r="A25" s="895"/>
      <c r="B25" s="895"/>
      <c r="C25" s="1972" t="s">
        <v>1110</v>
      </c>
      <c r="D25" s="1815"/>
      <c r="E25" s="1922">
        <f>'Fannie Historical Ops'!D14</f>
        <v>0</v>
      </c>
      <c r="F25" s="1924">
        <f t="shared" si="10"/>
        <v>0</v>
      </c>
      <c r="G25" s="1922">
        <f>'Fannie Historical Ops'!F14</f>
        <v>0</v>
      </c>
      <c r="H25" s="1924">
        <f t="shared" si="10"/>
        <v>0</v>
      </c>
      <c r="I25" s="1973" t="str">
        <f t="shared" si="11"/>
        <v>N/A</v>
      </c>
      <c r="J25" s="1922">
        <f>'Fannie Historical Ops'!H14</f>
        <v>0</v>
      </c>
      <c r="K25" s="1924">
        <f t="shared" si="10"/>
        <v>0</v>
      </c>
      <c r="L25" s="1925" t="str">
        <f t="shared" si="12"/>
        <v>N/A</v>
      </c>
      <c r="M25" s="1926">
        <f>'Fannie Historical Ops'!V14</f>
        <v>0</v>
      </c>
      <c r="N25" s="1922">
        <f>ROUND(IF(M16=0,0,M25*12/M16),2)</f>
        <v>0</v>
      </c>
      <c r="O25" s="1924">
        <f t="shared" si="10"/>
        <v>0</v>
      </c>
      <c r="P25" s="1927" t="str">
        <f t="shared" si="13"/>
        <v>N/A</v>
      </c>
      <c r="Q25" s="1928">
        <v>0</v>
      </c>
      <c r="R25" s="1928">
        <v>0</v>
      </c>
      <c r="S25" s="1928">
        <v>0</v>
      </c>
      <c r="T25" s="1929">
        <f t="shared" si="14"/>
        <v>0</v>
      </c>
      <c r="U25" s="1924">
        <f t="shared" si="10"/>
        <v>0</v>
      </c>
      <c r="V25" s="1922">
        <f>'Fannie Historical Ops'!Y14</f>
        <v>0</v>
      </c>
      <c r="W25" s="1924">
        <f t="shared" si="10"/>
        <v>0</v>
      </c>
      <c r="X25" s="1922">
        <v>0</v>
      </c>
      <c r="Y25" s="1924">
        <f t="shared" si="10"/>
        <v>0</v>
      </c>
      <c r="Z25" s="1922">
        <f>'Fannie Historical Ops'!AA14</f>
        <v>0</v>
      </c>
      <c r="AA25" s="1924">
        <f t="shared" si="10"/>
        <v>0</v>
      </c>
      <c r="AB25" s="1922">
        <v>0</v>
      </c>
      <c r="AC25" s="1930">
        <f t="shared" si="10"/>
        <v>0</v>
      </c>
      <c r="AD25" s="1922">
        <f t="shared" si="15"/>
        <v>0</v>
      </c>
      <c r="AE25" s="1930">
        <f t="shared" si="16"/>
        <v>0</v>
      </c>
      <c r="AF25" s="1931"/>
      <c r="AG25" s="1932"/>
      <c r="AH25" s="1933"/>
      <c r="AI25" s="1934"/>
      <c r="AJ25" s="6"/>
      <c r="AK25" s="1954" t="s">
        <v>1789</v>
      </c>
      <c r="AL25" s="1968">
        <v>1035.5296851818416</v>
      </c>
      <c r="AM25" s="1968">
        <v>935</v>
      </c>
      <c r="AN25" s="1968">
        <v>463.78157162652</v>
      </c>
      <c r="AO25" s="625"/>
      <c r="AP25" s="6"/>
      <c r="AQ25" s="6"/>
      <c r="AR25" s="6"/>
      <c r="AS25" s="6"/>
      <c r="AT25" s="6"/>
      <c r="AU25" s="6"/>
      <c r="AV25" s="6"/>
      <c r="AW25" s="6"/>
    </row>
    <row r="26" ht="15.75" customHeight="1">
      <c r="A26" s="895"/>
      <c r="B26" s="895"/>
      <c r="C26" s="1815" t="s">
        <v>1790</v>
      </c>
      <c r="D26" s="1815"/>
      <c r="E26" s="1974">
        <v>0</v>
      </c>
      <c r="F26" s="1975">
        <f t="shared" si="10"/>
        <v>0</v>
      </c>
      <c r="G26" s="1974">
        <v>0</v>
      </c>
      <c r="H26" s="1975">
        <f t="shared" si="10"/>
        <v>0</v>
      </c>
      <c r="I26" s="1976" t="str">
        <f t="shared" si="11"/>
        <v>N/A</v>
      </c>
      <c r="J26" s="1974">
        <v>0</v>
      </c>
      <c r="K26" s="1975">
        <f t="shared" si="10"/>
        <v>0</v>
      </c>
      <c r="L26" s="1976" t="str">
        <f t="shared" si="12"/>
        <v>N/A</v>
      </c>
      <c r="M26" s="1977">
        <v>0</v>
      </c>
      <c r="N26" s="1974">
        <f>ROUND(IF(M16=0,0,M26*12/M16),2)</f>
        <v>0</v>
      </c>
      <c r="O26" s="1975">
        <f t="shared" si="10"/>
        <v>0</v>
      </c>
      <c r="P26" s="1948" t="str">
        <f t="shared" si="13"/>
        <v>N/A</v>
      </c>
      <c r="Q26" s="1978">
        <v>0</v>
      </c>
      <c r="R26" s="1978">
        <v>0</v>
      </c>
      <c r="S26" s="1978">
        <v>0</v>
      </c>
      <c r="T26" s="1929">
        <f t="shared" si="14"/>
        <v>0</v>
      </c>
      <c r="U26" s="1975">
        <f t="shared" si="10"/>
        <v>0</v>
      </c>
      <c r="V26" s="1974">
        <v>0</v>
      </c>
      <c r="W26" s="1975">
        <f t="shared" si="10"/>
        <v>0</v>
      </c>
      <c r="X26" s="1974">
        <v>0</v>
      </c>
      <c r="Y26" s="1975">
        <f t="shared" si="10"/>
        <v>0</v>
      </c>
      <c r="Z26" s="1974">
        <v>0</v>
      </c>
      <c r="AA26" s="1975">
        <f t="shared" si="10"/>
        <v>0</v>
      </c>
      <c r="AB26" s="1974">
        <v>0</v>
      </c>
      <c r="AC26" s="1979">
        <f t="shared" si="10"/>
        <v>0</v>
      </c>
      <c r="AD26" s="1974">
        <f>AD25*0.1</f>
        <v>0</v>
      </c>
      <c r="AE26" s="1979">
        <f t="shared" si="16"/>
        <v>0</v>
      </c>
      <c r="AF26" s="1931"/>
      <c r="AG26" s="1980"/>
      <c r="AH26" s="1933"/>
      <c r="AI26" s="1934"/>
      <c r="AJ26" s="6"/>
      <c r="AK26" s="1954" t="s">
        <v>1791</v>
      </c>
      <c r="AL26" s="1968">
        <v>1254.5079850390075</v>
      </c>
      <c r="AM26" s="1968">
        <v>1115</v>
      </c>
      <c r="AN26" s="1968">
        <v>609.0094263337681</v>
      </c>
      <c r="AO26" s="625"/>
      <c r="AP26" s="6"/>
      <c r="AQ26" s="6"/>
      <c r="AR26" s="6"/>
      <c r="AS26" s="6"/>
      <c r="AT26" s="6"/>
      <c r="AU26" s="6"/>
      <c r="AV26" s="6"/>
      <c r="AW26" s="6"/>
    </row>
    <row r="27" ht="15.75" customHeight="1">
      <c r="A27" s="895"/>
      <c r="B27" s="688"/>
      <c r="C27" s="1956" t="s">
        <v>1792</v>
      </c>
      <c r="D27" s="1956"/>
      <c r="E27" s="1958">
        <f t="shared" si="19" ref="E27:AB86">+E25-E26</f>
        <v>0</v>
      </c>
      <c r="F27" s="1981">
        <f t="shared" si="10"/>
        <v>0</v>
      </c>
      <c r="G27" s="1958">
        <f t="shared" si="19"/>
        <v>0</v>
      </c>
      <c r="H27" s="1981">
        <f t="shared" si="10"/>
        <v>0</v>
      </c>
      <c r="I27" s="1982" t="str">
        <f t="shared" si="11"/>
        <v>N/A</v>
      </c>
      <c r="J27" s="1958">
        <f t="shared" si="19"/>
        <v>0</v>
      </c>
      <c r="K27" s="1959">
        <f t="shared" si="10"/>
        <v>0</v>
      </c>
      <c r="L27" s="1961" t="str">
        <f t="shared" si="12"/>
        <v>N/A</v>
      </c>
      <c r="M27" s="1962">
        <f t="shared" si="19"/>
        <v>0</v>
      </c>
      <c r="N27" s="1958">
        <f t="shared" si="19"/>
        <v>0</v>
      </c>
      <c r="O27" s="1959">
        <f t="shared" si="10"/>
        <v>0</v>
      </c>
      <c r="P27" s="1963" t="str">
        <f t="shared" si="13"/>
        <v>N/A</v>
      </c>
      <c r="Q27" s="1958">
        <f t="shared" si="19"/>
        <v>0</v>
      </c>
      <c r="R27" s="1958">
        <f t="shared" si="19"/>
        <v>0</v>
      </c>
      <c r="S27" s="1958">
        <f t="shared" si="19"/>
        <v>0</v>
      </c>
      <c r="T27" s="1958">
        <f t="shared" si="19"/>
        <v>0</v>
      </c>
      <c r="U27" s="1981">
        <f t="shared" si="10"/>
        <v>0</v>
      </c>
      <c r="V27" s="1958">
        <f t="shared" si="19"/>
        <v>0</v>
      </c>
      <c r="W27" s="1981">
        <f t="shared" si="10"/>
        <v>0</v>
      </c>
      <c r="X27" s="1958">
        <f t="shared" si="19"/>
        <v>0</v>
      </c>
      <c r="Y27" s="1981">
        <f t="shared" si="10"/>
        <v>0</v>
      </c>
      <c r="Z27" s="1958">
        <f t="shared" si="19"/>
        <v>0</v>
      </c>
      <c r="AA27" s="1981">
        <f t="shared" si="10"/>
        <v>0</v>
      </c>
      <c r="AB27" s="1958">
        <f t="shared" si="19"/>
        <v>0</v>
      </c>
      <c r="AC27" s="1964">
        <f t="shared" si="10"/>
        <v>0</v>
      </c>
      <c r="AD27" s="1958">
        <f t="shared" si="44" ref="AD27:AD86">AD25-AD26</f>
        <v>0</v>
      </c>
      <c r="AE27" s="1965">
        <f t="shared" si="16"/>
        <v>0</v>
      </c>
      <c r="AF27" s="1931"/>
      <c r="AG27" s="1971" t="e">
        <f>GETPIVOTDATA("[Measures].[Average]",$AK$21,"[Summary Line Items].[Line Item Type]","[Summary Line Items].[Line Item Type].&amp;[Annual Commercial NRI/Unit]")</f>
        <v>#REF!</v>
      </c>
      <c r="AH27" s="1967"/>
      <c r="AI27" s="1934"/>
      <c r="AJ27" s="6"/>
      <c r="AK27" s="1954" t="s">
        <v>1793</v>
      </c>
      <c r="AL27" s="1968">
        <v>1655.6729319587582</v>
      </c>
      <c r="AM27" s="1968">
        <v>1416.375</v>
      </c>
      <c r="AN27" s="1968">
        <v>888.202986619762</v>
      </c>
      <c r="AO27" s="625"/>
      <c r="AP27" s="6"/>
      <c r="AQ27" s="6"/>
      <c r="AR27" s="6"/>
      <c r="AS27" s="6"/>
      <c r="AT27" s="6"/>
      <c r="AU27" s="6"/>
      <c r="AV27" s="6"/>
      <c r="AW27" s="6"/>
    </row>
    <row r="28" ht="15.75" customHeight="1">
      <c r="A28" s="895"/>
      <c r="B28" s="1983"/>
      <c r="C28" s="1969" t="s">
        <v>1794</v>
      </c>
      <c r="D28" s="1956"/>
      <c r="E28" s="1958">
        <f t="shared" si="18"/>
        <v>0</v>
      </c>
      <c r="F28" s="1959"/>
      <c r="G28" s="1958">
        <f t="shared" si="18"/>
        <v>0</v>
      </c>
      <c r="H28" s="1959"/>
      <c r="I28" s="1960"/>
      <c r="J28" s="1958">
        <f t="shared" si="18"/>
        <v>0</v>
      </c>
      <c r="K28" s="1959"/>
      <c r="L28" s="1961"/>
      <c r="M28" s="1962">
        <f>ROUND(+M27/M16,2)</f>
        <v>0</v>
      </c>
      <c r="N28" s="1958">
        <f t="shared" si="18"/>
        <v>0</v>
      </c>
      <c r="O28" s="1959"/>
      <c r="P28" s="1984"/>
      <c r="Q28" s="1958">
        <f t="shared" si="18"/>
        <v>0</v>
      </c>
      <c r="R28" s="1958">
        <f t="shared" si="18"/>
        <v>0</v>
      </c>
      <c r="S28" s="1958">
        <f t="shared" si="18"/>
        <v>0</v>
      </c>
      <c r="T28" s="1958">
        <f t="shared" si="18"/>
        <v>0</v>
      </c>
      <c r="U28" s="1959"/>
      <c r="V28" s="1958">
        <f t="shared" si="18"/>
        <v>0</v>
      </c>
      <c r="W28" s="1959"/>
      <c r="X28" s="1958">
        <f t="shared" si="18"/>
        <v>0</v>
      </c>
      <c r="Y28" s="1959"/>
      <c r="Z28" s="1958">
        <f t="shared" si="18"/>
        <v>0</v>
      </c>
      <c r="AA28" s="1959"/>
      <c r="AB28" s="1958">
        <f t="shared" si="18"/>
        <v>0</v>
      </c>
      <c r="AC28" s="1964"/>
      <c r="AD28" s="1958">
        <f t="shared" si="20"/>
        <v>0</v>
      </c>
      <c r="AE28" s="1965"/>
      <c r="AF28" s="1931"/>
      <c r="AG28" s="1971" t="e">
        <f t="shared" si="21"/>
        <v>#REF!</v>
      </c>
      <c r="AH28" s="1967"/>
      <c r="AI28" s="1934"/>
      <c r="AJ28" s="6"/>
      <c r="AK28" s="1954" t="s">
        <v>1795</v>
      </c>
      <c r="AL28" s="1968">
        <v>2490.1906038647335</v>
      </c>
      <c r="AM28" s="1968">
        <v>2202.69</v>
      </c>
      <c r="AN28" s="1968">
        <v>1335.593523948775</v>
      </c>
      <c r="AO28" s="625"/>
      <c r="AP28" s="6"/>
      <c r="AQ28" s="6"/>
      <c r="AR28" s="6"/>
      <c r="AS28" s="6"/>
      <c r="AT28" s="6"/>
      <c r="AU28" s="6"/>
      <c r="AV28" s="6"/>
      <c r="AW28" s="6"/>
    </row>
    <row r="29" ht="15" customHeight="1">
      <c r="A29" s="895"/>
      <c r="B29" s="895"/>
      <c r="C29" s="1937" t="s">
        <v>1796</v>
      </c>
      <c r="D29" s="1815"/>
      <c r="E29" s="1938">
        <v>0</v>
      </c>
      <c r="F29" s="1923">
        <f t="shared" si="10"/>
        <v>0</v>
      </c>
      <c r="G29" s="1938">
        <v>0</v>
      </c>
      <c r="H29" s="1923">
        <f t="shared" si="10"/>
        <v>0</v>
      </c>
      <c r="I29" s="1925" t="str">
        <f t="shared" si="11"/>
        <v>N/A</v>
      </c>
      <c r="J29" s="1938">
        <v>0</v>
      </c>
      <c r="K29" s="1923">
        <f t="shared" si="10"/>
        <v>0</v>
      </c>
      <c r="L29" s="1925" t="str">
        <f t="shared" si="12"/>
        <v>N/A</v>
      </c>
      <c r="M29" s="1939">
        <v>0</v>
      </c>
      <c r="N29" s="1938">
        <f>ROUND(IF(M16=0,0,M29*12/M16),2)</f>
        <v>0</v>
      </c>
      <c r="O29" s="1923">
        <f t="shared" si="10"/>
        <v>0</v>
      </c>
      <c r="P29" s="1927" t="str">
        <f t="shared" si="13"/>
        <v>N/A</v>
      </c>
      <c r="Q29" s="1940">
        <v>0</v>
      </c>
      <c r="R29" s="1940">
        <v>0</v>
      </c>
      <c r="S29" s="1940">
        <v>0</v>
      </c>
      <c r="T29" s="1985">
        <f t="shared" si="14"/>
        <v>0</v>
      </c>
      <c r="U29" s="1923">
        <f t="shared" si="10"/>
        <v>0</v>
      </c>
      <c r="V29" s="1938">
        <v>0</v>
      </c>
      <c r="W29" s="1923">
        <f t="shared" si="10"/>
        <v>0</v>
      </c>
      <c r="X29" s="1938">
        <v>0</v>
      </c>
      <c r="Y29" s="1923">
        <f t="shared" si="10"/>
        <v>0</v>
      </c>
      <c r="Z29" s="1938">
        <v>0</v>
      </c>
      <c r="AA29" s="1923">
        <f t="shared" si="10"/>
        <v>0</v>
      </c>
      <c r="AB29" s="1938">
        <v>0</v>
      </c>
      <c r="AC29" s="1941">
        <f t="shared" si="10"/>
        <v>0</v>
      </c>
      <c r="AD29" s="1938">
        <f t="shared" si="15"/>
        <v>0</v>
      </c>
      <c r="AE29" s="1941">
        <f t="shared" si="16"/>
        <v>0</v>
      </c>
      <c r="AF29" s="1931"/>
      <c r="AG29" s="1932"/>
      <c r="AH29" s="1933"/>
      <c r="AI29" s="1934"/>
      <c r="AJ29" s="6"/>
      <c r="AK29" s="1954" t="s">
        <v>1797</v>
      </c>
      <c r="AL29" s="1968">
        <v>13639.266659880483</v>
      </c>
      <c r="AM29" s="1968">
        <v>11863.49</v>
      </c>
      <c r="AN29" s="1968">
        <v>7068.132460757109</v>
      </c>
      <c r="AO29" s="625"/>
      <c r="AP29" s="6"/>
      <c r="AQ29" s="6"/>
      <c r="AR29" s="6"/>
      <c r="AS29" s="6"/>
      <c r="AT29" s="6"/>
      <c r="AU29" s="6"/>
      <c r="AV29" s="6"/>
      <c r="AW29" s="6"/>
    </row>
    <row r="30" ht="15" customHeight="1">
      <c r="A30" s="895"/>
      <c r="B30" s="895"/>
      <c r="C30" s="1937" t="s">
        <v>1798</v>
      </c>
      <c r="D30" s="1815"/>
      <c r="E30" s="1922">
        <f>'Fannie Historical Ops'!D16</f>
        <v>0</v>
      </c>
      <c r="F30" s="1924">
        <f t="shared" si="10"/>
        <v>0</v>
      </c>
      <c r="G30" s="1922">
        <f>'Fannie Historical Ops'!F16</f>
        <v>0</v>
      </c>
      <c r="H30" s="1924">
        <f t="shared" si="10"/>
        <v>0</v>
      </c>
      <c r="I30" s="1925" t="str">
        <f t="shared" si="11"/>
        <v>N/A</v>
      </c>
      <c r="J30" s="1922">
        <f>'Fannie Historical Ops'!H16</f>
        <v>0</v>
      </c>
      <c r="K30" s="1924">
        <f t="shared" si="10"/>
        <v>0</v>
      </c>
      <c r="L30" s="1925" t="str">
        <f t="shared" si="12"/>
        <v>N/A</v>
      </c>
      <c r="M30" s="1926">
        <f>'Fannie Historical Ops'!V16</f>
        <v>-254702</v>
      </c>
      <c r="N30" s="1922">
        <f>ROUND(IF(M16=0,0,M30*12/M16),2)</f>
        <v>-254702</v>
      </c>
      <c r="O30" s="1924">
        <f t="shared" si="10"/>
        <v>-2521.8</v>
      </c>
      <c r="P30" s="1927" t="str">
        <f t="shared" si="13"/>
        <v>N/A</v>
      </c>
      <c r="Q30" s="1928">
        <v>0</v>
      </c>
      <c r="R30" s="1928">
        <v>0</v>
      </c>
      <c r="S30" s="1928">
        <v>0</v>
      </c>
      <c r="T30" s="1985">
        <f t="shared" si="14"/>
        <v>0</v>
      </c>
      <c r="U30" s="1924">
        <f t="shared" si="10"/>
        <v>0</v>
      </c>
      <c r="V30" s="1922">
        <f>'Fannie Historical Ops'!Y16</f>
        <v>0</v>
      </c>
      <c r="W30" s="1924">
        <f t="shared" si="10"/>
        <v>0</v>
      </c>
      <c r="X30" s="1922">
        <v>0</v>
      </c>
      <c r="Y30" s="1924">
        <f t="shared" si="10"/>
        <v>0</v>
      </c>
      <c r="Z30" s="1922">
        <f>'Fannie Historical Ops'!AA16</f>
        <v>0</v>
      </c>
      <c r="AA30" s="1924">
        <f t="shared" si="10"/>
        <v>0</v>
      </c>
      <c r="AB30" s="1922">
        <v>0</v>
      </c>
      <c r="AC30" s="1930">
        <f t="shared" si="10"/>
        <v>0</v>
      </c>
      <c r="AD30" s="1922">
        <f t="shared" si="15"/>
        <v>-254702</v>
      </c>
      <c r="AE30" s="1930">
        <f t="shared" si="16"/>
        <v>-2521.8</v>
      </c>
      <c r="AF30" s="1931"/>
      <c r="AG30" s="1932"/>
      <c r="AH30" s="1933"/>
      <c r="AI30" s="1934"/>
      <c r="AJ30" s="6"/>
      <c r="AK30" s="1954" t="s">
        <v>1799</v>
      </c>
      <c r="AL30" s="1968">
        <v>310.11700334931334</v>
      </c>
      <c r="AM30" s="1968">
        <v>0</v>
      </c>
      <c r="AN30" s="1968">
        <v>1616.3993520402475</v>
      </c>
      <c r="AO30" s="625"/>
      <c r="AP30" s="6"/>
      <c r="AQ30" s="6"/>
      <c r="AR30" s="6"/>
      <c r="AS30" s="6"/>
      <c r="AT30" s="6"/>
      <c r="AU30" s="6"/>
      <c r="AV30" s="6"/>
      <c r="AW30" s="6"/>
    </row>
    <row r="31" ht="15" customHeight="1">
      <c r="A31" s="895"/>
      <c r="B31" s="895"/>
      <c r="C31" s="1937" t="s">
        <v>1404</v>
      </c>
      <c r="D31" s="1815"/>
      <c r="E31" s="1938">
        <f>'Fannie Historical Ops'!D12</f>
        <v>0</v>
      </c>
      <c r="F31" s="1923">
        <f t="shared" si="10"/>
        <v>0</v>
      </c>
      <c r="G31" s="1938">
        <f>'Fannie Historical Ops'!F12</f>
        <v>0</v>
      </c>
      <c r="H31" s="1923">
        <f t="shared" si="10"/>
        <v>0</v>
      </c>
      <c r="I31" s="1925" t="str">
        <f t="shared" si="11"/>
        <v>N/A</v>
      </c>
      <c r="J31" s="1938">
        <f>'Fannie Historical Ops'!H12</f>
        <v>0</v>
      </c>
      <c r="K31" s="1923">
        <f t="shared" si="10"/>
        <v>0</v>
      </c>
      <c r="L31" s="1925" t="str">
        <f t="shared" si="12"/>
        <v>N/A</v>
      </c>
      <c r="M31" s="1939">
        <f>'Fannie Historical Ops'!V12</f>
        <v>29692</v>
      </c>
      <c r="N31" s="1938">
        <f>ROUND(IF(M16=0,0,M31*12/M16),2)</f>
        <v>29692</v>
      </c>
      <c r="O31" s="1923">
        <f t="shared" si="10"/>
        <v>293.98</v>
      </c>
      <c r="P31" s="1927" t="str">
        <f t="shared" si="13"/>
        <v>N/A</v>
      </c>
      <c r="Q31" s="1940">
        <v>0</v>
      </c>
      <c r="R31" s="1940">
        <v>0</v>
      </c>
      <c r="S31" s="1940">
        <v>0</v>
      </c>
      <c r="T31" s="1985">
        <f t="shared" si="14"/>
        <v>0</v>
      </c>
      <c r="U31" s="1923">
        <f t="shared" si="10"/>
        <v>0</v>
      </c>
      <c r="V31" s="1938">
        <f>'Fannie Historical Ops'!Y12</f>
        <v>0</v>
      </c>
      <c r="W31" s="1923">
        <f t="shared" si="10"/>
        <v>0</v>
      </c>
      <c r="X31" s="1938">
        <v>0</v>
      </c>
      <c r="Y31" s="1923">
        <f t="shared" si="10"/>
        <v>0</v>
      </c>
      <c r="Z31" s="1938">
        <f>'Fannie Historical Ops'!AA12</f>
        <v>0</v>
      </c>
      <c r="AA31" s="1923">
        <f t="shared" si="10"/>
        <v>0</v>
      </c>
      <c r="AB31" s="1938">
        <v>0</v>
      </c>
      <c r="AC31" s="1941">
        <f t="shared" si="10"/>
        <v>0</v>
      </c>
      <c r="AD31" s="1938">
        <f t="shared" si="15"/>
        <v>29692</v>
      </c>
      <c r="AE31" s="1941">
        <f t="shared" si="16"/>
        <v>293.98</v>
      </c>
      <c r="AF31" s="1931"/>
      <c r="AG31" s="1932"/>
      <c r="AH31" s="1933"/>
      <c r="AI31" s="1934"/>
      <c r="AJ31" s="6"/>
      <c r="AK31" s="1954" t="s">
        <v>1409</v>
      </c>
      <c r="AL31" s="1968">
        <v>14333.227180009279</v>
      </c>
      <c r="AM31" s="1968">
        <v>12346.5</v>
      </c>
      <c r="AN31" s="1968">
        <v>7597.37549736149</v>
      </c>
      <c r="AO31" s="625"/>
      <c r="AP31" s="6"/>
      <c r="AQ31" s="6"/>
      <c r="AR31" s="6"/>
      <c r="AS31" s="6"/>
      <c r="AT31" s="6"/>
      <c r="AU31" s="6"/>
      <c r="AV31" s="6"/>
      <c r="AW31" s="6"/>
    </row>
    <row r="32" ht="15" customHeight="1">
      <c r="A32" s="895"/>
      <c r="B32" s="895"/>
      <c r="C32" s="1937" t="s">
        <v>1405</v>
      </c>
      <c r="D32" s="1815"/>
      <c r="E32" s="1938">
        <f>'Fannie Historical Ops'!D13</f>
        <v>0</v>
      </c>
      <c r="F32" s="1923">
        <f t="shared" si="10"/>
        <v>0</v>
      </c>
      <c r="G32" s="1938">
        <f>'Fannie Historical Ops'!F13</f>
        <v>0</v>
      </c>
      <c r="H32" s="1923">
        <f t="shared" si="10"/>
        <v>0</v>
      </c>
      <c r="I32" s="1925" t="str">
        <f t="shared" si="11"/>
        <v>N/A</v>
      </c>
      <c r="J32" s="1938">
        <f>'Fannie Historical Ops'!H13</f>
        <v>0</v>
      </c>
      <c r="K32" s="1923">
        <f t="shared" si="10"/>
        <v>0</v>
      </c>
      <c r="L32" s="1925" t="str">
        <f t="shared" si="12"/>
        <v>N/A</v>
      </c>
      <c r="M32" s="1939">
        <f>'Fannie Historical Ops'!V13</f>
        <v>0</v>
      </c>
      <c r="N32" s="1938">
        <f>ROUND(IF(M16=0,0,M32*12/M16),2)</f>
        <v>0</v>
      </c>
      <c r="O32" s="1923">
        <f t="shared" si="10"/>
        <v>0</v>
      </c>
      <c r="P32" s="1927" t="str">
        <f t="shared" si="13"/>
        <v>N/A</v>
      </c>
      <c r="Q32" s="1940">
        <v>0</v>
      </c>
      <c r="R32" s="1940">
        <v>0</v>
      </c>
      <c r="S32" s="1940">
        <v>0</v>
      </c>
      <c r="T32" s="1985">
        <f t="shared" si="14"/>
        <v>0</v>
      </c>
      <c r="U32" s="1923">
        <f t="shared" si="10"/>
        <v>0</v>
      </c>
      <c r="V32" s="1938">
        <f>'Fannie Historical Ops'!Y13</f>
        <v>0</v>
      </c>
      <c r="W32" s="1923">
        <f t="shared" si="10"/>
        <v>0</v>
      </c>
      <c r="X32" s="1938">
        <v>0</v>
      </c>
      <c r="Y32" s="1923">
        <f t="shared" si="10"/>
        <v>0</v>
      </c>
      <c r="Z32" s="1938">
        <f>'Fannie Historical Ops'!AA13</f>
        <v>0</v>
      </c>
      <c r="AA32" s="1923">
        <f t="shared" si="10"/>
        <v>0</v>
      </c>
      <c r="AB32" s="1938">
        <v>0</v>
      </c>
      <c r="AC32" s="1941">
        <f t="shared" si="10"/>
        <v>0</v>
      </c>
      <c r="AD32" s="1938">
        <f t="shared" si="15"/>
        <v>0</v>
      </c>
      <c r="AE32" s="1941">
        <f t="shared" si="16"/>
        <v>0</v>
      </c>
      <c r="AF32" s="1931"/>
      <c r="AG32" s="1932"/>
      <c r="AH32" s="1933"/>
      <c r="AI32" s="1934"/>
      <c r="AJ32" s="6"/>
      <c r="AK32" s="1954" t="s">
        <v>1800</v>
      </c>
      <c r="AL32" s="1968">
        <v>1636.7359493005804</v>
      </c>
      <c r="AM32" s="1968">
        <v>1368.53</v>
      </c>
      <c r="AN32" s="1968">
        <v>1231.9261301625436</v>
      </c>
      <c r="AO32" s="625"/>
      <c r="AP32" s="6"/>
      <c r="AQ32" s="6"/>
      <c r="AR32" s="6"/>
      <c r="AS32" s="6"/>
      <c r="AT32" s="6"/>
      <c r="AU32" s="6"/>
      <c r="AV32" s="6"/>
      <c r="AW32" s="6"/>
    </row>
    <row r="33" ht="15" customHeight="1">
      <c r="A33" s="895"/>
      <c r="B33" s="895"/>
      <c r="C33" s="1937" t="s">
        <v>1801</v>
      </c>
      <c r="D33" s="1815"/>
      <c r="E33" s="1938">
        <v>0</v>
      </c>
      <c r="F33" s="1923">
        <f t="shared" si="10"/>
        <v>0</v>
      </c>
      <c r="G33" s="1938">
        <v>0</v>
      </c>
      <c r="H33" s="1923">
        <f t="shared" si="10"/>
        <v>0</v>
      </c>
      <c r="I33" s="1925" t="str">
        <f t="shared" si="11"/>
        <v>N/A</v>
      </c>
      <c r="J33" s="1938">
        <v>0</v>
      </c>
      <c r="K33" s="1923">
        <f t="shared" si="10"/>
        <v>0</v>
      </c>
      <c r="L33" s="1925" t="str">
        <f t="shared" si="12"/>
        <v>N/A</v>
      </c>
      <c r="M33" s="1939">
        <v>0</v>
      </c>
      <c r="N33" s="1938">
        <f>ROUND(IF(M16=0,0,M33*12/M16),2)</f>
        <v>0</v>
      </c>
      <c r="O33" s="1923">
        <f t="shared" si="10"/>
        <v>0</v>
      </c>
      <c r="P33" s="1927" t="str">
        <f t="shared" si="13"/>
        <v>N/A</v>
      </c>
      <c r="Q33" s="1940">
        <v>0</v>
      </c>
      <c r="R33" s="1940">
        <v>0</v>
      </c>
      <c r="S33" s="1940">
        <v>0</v>
      </c>
      <c r="T33" s="1985">
        <f t="shared" si="14"/>
        <v>0</v>
      </c>
      <c r="U33" s="1923">
        <f t="shared" si="10"/>
        <v>0</v>
      </c>
      <c r="V33" s="1938">
        <v>0</v>
      </c>
      <c r="W33" s="1923">
        <f t="shared" si="10"/>
        <v>0</v>
      </c>
      <c r="X33" s="1938">
        <v>0</v>
      </c>
      <c r="Y33" s="1923">
        <f t="shared" si="10"/>
        <v>0</v>
      </c>
      <c r="Z33" s="1938">
        <v>0</v>
      </c>
      <c r="AA33" s="1923">
        <f t="shared" si="10"/>
        <v>0</v>
      </c>
      <c r="AB33" s="1938">
        <v>0</v>
      </c>
      <c r="AC33" s="1941">
        <f t="shared" si="10"/>
        <v>0</v>
      </c>
      <c r="AD33" s="1938">
        <f t="shared" si="15"/>
        <v>0</v>
      </c>
      <c r="AE33" s="1941">
        <f t="shared" si="16"/>
        <v>0</v>
      </c>
      <c r="AF33" s="1931"/>
      <c r="AG33" s="1932"/>
      <c r="AH33" s="1933"/>
      <c r="AI33" s="1934"/>
      <c r="AJ33" s="6"/>
      <c r="AK33" s="1954" t="s">
        <v>1802</v>
      </c>
      <c r="AL33" s="1968">
        <v>482.12980495172656</v>
      </c>
      <c r="AM33" s="1968">
        <v>406.8</v>
      </c>
      <c r="AN33" s="1968">
        <v>289.9541846456693</v>
      </c>
      <c r="AO33" s="625"/>
      <c r="AP33" s="6"/>
      <c r="AQ33" s="6"/>
      <c r="AR33" s="6"/>
      <c r="AS33" s="6"/>
      <c r="AT33" s="6"/>
      <c r="AU33" s="6"/>
      <c r="AV33" s="6"/>
      <c r="AW33" s="6"/>
    </row>
    <row r="34" ht="15.75" customHeight="1">
      <c r="A34" s="895"/>
      <c r="B34" s="895"/>
      <c r="C34" s="1937" t="s">
        <v>1803</v>
      </c>
      <c r="D34" s="1815"/>
      <c r="E34" s="1938">
        <f>SUM('Fannie Historical Ops'!D17:D21,'Fannie Historical Ops'!D23:D27)</f>
        <v>0</v>
      </c>
      <c r="F34" s="1923">
        <f t="shared" si="10"/>
        <v>0</v>
      </c>
      <c r="G34" s="1938">
        <f>SUM('Fannie Historical Ops'!F17:F21,'Fannie Historical Ops'!F23:F27)</f>
        <v>0</v>
      </c>
      <c r="H34" s="1923">
        <f t="shared" si="10"/>
        <v>0</v>
      </c>
      <c r="I34" s="1925" t="str">
        <f t="shared" si="11"/>
        <v>N/A</v>
      </c>
      <c r="J34" s="1938">
        <f>SUM('Fannie Historical Ops'!H17:H21,'Fannie Historical Ops'!H23:H27)</f>
        <v>0</v>
      </c>
      <c r="K34" s="1923">
        <f t="shared" si="10"/>
        <v>0</v>
      </c>
      <c r="L34" s="1925" t="str">
        <f t="shared" si="12"/>
        <v>N/A</v>
      </c>
      <c r="M34" s="1939">
        <f>SUM('Fannie Historical Ops'!V17:V21,'Fannie Historical Ops'!V23:V27)</f>
        <v>8960</v>
      </c>
      <c r="N34" s="1938">
        <f>ROUND(IF(M16=0,0,M34*12/M16),2)</f>
        <v>8960</v>
      </c>
      <c r="O34" s="1923">
        <f t="shared" si="10"/>
        <v>88.71</v>
      </c>
      <c r="P34" s="1927" t="str">
        <f t="shared" si="13"/>
        <v>N/A</v>
      </c>
      <c r="Q34" s="1940">
        <v>0</v>
      </c>
      <c r="R34" s="1940">
        <v>0</v>
      </c>
      <c r="S34" s="1940">
        <v>0</v>
      </c>
      <c r="T34" s="1985">
        <f t="shared" si="14"/>
        <v>0</v>
      </c>
      <c r="U34" s="1923">
        <f t="shared" si="10"/>
        <v>0</v>
      </c>
      <c r="V34" s="1938">
        <f>SUM('Fannie Historical Ops'!Y17:Y21,'Fannie Historical Ops'!Y23:Y27)</f>
        <v>0</v>
      </c>
      <c r="W34" s="1923">
        <f t="shared" si="10"/>
        <v>0</v>
      </c>
      <c r="X34" s="1938">
        <v>0</v>
      </c>
      <c r="Y34" s="1923">
        <f t="shared" si="10"/>
        <v>0</v>
      </c>
      <c r="Z34" s="1938">
        <f>SUM('Fannie Historical Ops'!AA17:AA21,'Fannie Historical Ops'!AA23:AA27)</f>
        <v>0</v>
      </c>
      <c r="AA34" s="1923">
        <f t="shared" si="10"/>
        <v>0</v>
      </c>
      <c r="AB34" s="1938">
        <v>0</v>
      </c>
      <c r="AC34" s="1941">
        <f t="shared" si="10"/>
        <v>0</v>
      </c>
      <c r="AD34" s="1938">
        <f t="shared" si="15"/>
        <v>8960</v>
      </c>
      <c r="AE34" s="1941">
        <f t="shared" si="16"/>
        <v>88.71</v>
      </c>
      <c r="AF34" s="1931"/>
      <c r="AG34" s="1932"/>
      <c r="AH34" s="1933"/>
      <c r="AI34" s="1934"/>
      <c r="AJ34" s="6"/>
      <c r="AK34" s="1954" t="s">
        <v>1804</v>
      </c>
      <c r="AL34" s="1968">
        <v>994.9597543836636</v>
      </c>
      <c r="AM34" s="1968">
        <v>901.08</v>
      </c>
      <c r="AN34" s="1968">
        <v>538.4752798898713</v>
      </c>
      <c r="AO34" s="625"/>
      <c r="AP34" s="6"/>
      <c r="AQ34" s="6"/>
      <c r="AR34" s="6"/>
      <c r="AS34" s="6"/>
      <c r="AT34" s="6"/>
      <c r="AU34" s="6"/>
      <c r="AV34" s="6"/>
      <c r="AW34" s="6"/>
    </row>
    <row r="35" ht="15.75" customHeight="1">
      <c r="A35" s="895"/>
      <c r="B35" s="895"/>
      <c r="C35" s="1956" t="s">
        <v>1805</v>
      </c>
      <c r="D35" s="1957"/>
      <c r="E35" s="1986">
        <f t="shared" si="22" ref="E35:AD35">SUM(E29:E34)</f>
        <v>0</v>
      </c>
      <c r="F35" s="1987">
        <f t="shared" si="23" ref="F35:AE86">IF(number_units=0,0,ROUND(E35/number_units,2))</f>
        <v>0</v>
      </c>
      <c r="G35" s="1986">
        <f t="shared" si="22"/>
        <v>0</v>
      </c>
      <c r="H35" s="1987">
        <f t="shared" si="23"/>
        <v>0</v>
      </c>
      <c r="I35" s="1988" t="str">
        <f t="shared" si="11"/>
        <v>N/A</v>
      </c>
      <c r="J35" s="1986">
        <f t="shared" si="22"/>
        <v>0</v>
      </c>
      <c r="K35" s="1987">
        <f t="shared" si="23"/>
        <v>0</v>
      </c>
      <c r="L35" s="1988" t="str">
        <f t="shared" si="12"/>
        <v>N/A</v>
      </c>
      <c r="M35" s="1989">
        <f t="shared" si="22"/>
        <v>-216050</v>
      </c>
      <c r="N35" s="1986">
        <f t="shared" si="22"/>
        <v>-216050</v>
      </c>
      <c r="O35" s="1987">
        <f t="shared" si="23"/>
        <v>-2139.11</v>
      </c>
      <c r="P35" s="1990" t="str">
        <f t="shared" si="13"/>
        <v>N/A</v>
      </c>
      <c r="Q35" s="1991">
        <f t="shared" si="24" ref="Q35:T35">IF(SUM(Q29:Q34)=0,0,SUM(Q29:Q34))</f>
        <v>0</v>
      </c>
      <c r="R35" s="1991">
        <f t="shared" si="24"/>
        <v>0</v>
      </c>
      <c r="S35" s="1991">
        <f t="shared" si="24"/>
        <v>0</v>
      </c>
      <c r="T35" s="1991">
        <f t="shared" si="24"/>
        <v>0</v>
      </c>
      <c r="U35" s="1992">
        <f t="shared" si="10"/>
        <v>0</v>
      </c>
      <c r="V35" s="1986">
        <f t="shared" si="22"/>
        <v>0</v>
      </c>
      <c r="W35" s="1987">
        <f t="shared" si="23"/>
        <v>0</v>
      </c>
      <c r="X35" s="1986">
        <f t="shared" si="22"/>
        <v>0</v>
      </c>
      <c r="Y35" s="1987">
        <f t="shared" si="23"/>
        <v>0</v>
      </c>
      <c r="Z35" s="1986">
        <f t="shared" si="22"/>
        <v>0</v>
      </c>
      <c r="AA35" s="1987">
        <f t="shared" si="23"/>
        <v>0</v>
      </c>
      <c r="AB35" s="1986">
        <f t="shared" si="22"/>
        <v>0</v>
      </c>
      <c r="AC35" s="1987">
        <f t="shared" si="23"/>
        <v>0</v>
      </c>
      <c r="AD35" s="1986">
        <f t="shared" si="22"/>
        <v>-216050</v>
      </c>
      <c r="AE35" s="1993">
        <f t="shared" si="23"/>
        <v>-2139.11</v>
      </c>
      <c r="AF35" s="1931"/>
      <c r="AG35" s="1971"/>
      <c r="AH35" s="1967"/>
      <c r="AI35" s="1934"/>
      <c r="AJ35" s="6"/>
      <c r="AK35" s="1954" t="s">
        <v>1806</v>
      </c>
      <c r="AL35" s="1968">
        <v>3113.817732317592</v>
      </c>
      <c r="AM35" s="1968">
        <v>2839.48</v>
      </c>
      <c r="AN35" s="1968">
        <v>1544.5404876852485</v>
      </c>
      <c r="AO35" s="625"/>
      <c r="AP35" s="6"/>
      <c r="AQ35" s="6"/>
      <c r="AR35" s="6"/>
      <c r="AS35" s="6"/>
      <c r="AT35" s="6"/>
      <c r="AU35" s="6"/>
      <c r="AV35" s="6"/>
      <c r="AW35" s="6"/>
    </row>
    <row r="36" ht="15.75" customHeight="1">
      <c r="A36" s="895"/>
      <c r="B36" s="895"/>
      <c r="C36" s="1956" t="s">
        <v>1409</v>
      </c>
      <c r="D36" s="1957"/>
      <c r="E36" s="1994">
        <f t="shared" si="25" ref="E36:AD36">E23+E27+E35</f>
        <v>0</v>
      </c>
      <c r="F36" s="1995">
        <f t="shared" si="23"/>
        <v>0</v>
      </c>
      <c r="G36" s="1994">
        <f t="shared" si="25"/>
        <v>0</v>
      </c>
      <c r="H36" s="1995">
        <f t="shared" si="23"/>
        <v>0</v>
      </c>
      <c r="I36" s="1960" t="str">
        <f t="shared" si="11"/>
        <v>N/A</v>
      </c>
      <c r="J36" s="1994">
        <f t="shared" si="25"/>
        <v>0</v>
      </c>
      <c r="K36" s="1995">
        <f t="shared" si="23"/>
        <v>0</v>
      </c>
      <c r="L36" s="1961" t="str">
        <f t="shared" si="12"/>
        <v>N/A</v>
      </c>
      <c r="M36" s="1962">
        <f t="shared" si="25"/>
        <v>4591082</v>
      </c>
      <c r="N36" s="1994">
        <f t="shared" si="25"/>
        <v>4591082</v>
      </c>
      <c r="O36" s="1995">
        <f t="shared" si="23"/>
        <v>45456.26</v>
      </c>
      <c r="P36" s="1963" t="str">
        <f t="shared" si="13"/>
        <v>N/A</v>
      </c>
      <c r="Q36" s="1958">
        <f t="shared" si="26" ref="Q36:T36">Q23+Q27+SUM(Q29:Q34)</f>
        <v>0</v>
      </c>
      <c r="R36" s="1958">
        <f t="shared" si="26"/>
        <v>0</v>
      </c>
      <c r="S36" s="1958">
        <f t="shared" si="26"/>
        <v>0</v>
      </c>
      <c r="T36" s="1958">
        <f t="shared" si="26"/>
        <v>0</v>
      </c>
      <c r="U36" s="1959">
        <f t="shared" si="10"/>
        <v>0</v>
      </c>
      <c r="V36" s="1994">
        <f t="shared" si="25"/>
        <v>0</v>
      </c>
      <c r="W36" s="1995">
        <f t="shared" si="23"/>
        <v>0</v>
      </c>
      <c r="X36" s="1994">
        <f t="shared" si="25"/>
        <v>0</v>
      </c>
      <c r="Y36" s="1995">
        <f t="shared" si="23"/>
        <v>0</v>
      </c>
      <c r="Z36" s="1994">
        <f t="shared" si="25"/>
        <v>0</v>
      </c>
      <c r="AA36" s="1995">
        <f t="shared" si="23"/>
        <v>0</v>
      </c>
      <c r="AB36" s="1994">
        <f t="shared" si="25"/>
        <v>0</v>
      </c>
      <c r="AC36" s="1995">
        <f t="shared" si="23"/>
        <v>0</v>
      </c>
      <c r="AD36" s="1994">
        <f t="shared" si="25"/>
        <v>1216347</v>
      </c>
      <c r="AE36" s="1965">
        <f t="shared" si="23"/>
        <v>12043.04</v>
      </c>
      <c r="AF36" s="1931"/>
      <c r="AG36" s="1971" t="e">
        <f>GETPIVOTDATA("[Measures].[Average]",$AK$21,"[Summary Line Items].[Line Item Type]","[Summary Line Items].[Line Item Type].&amp;[EGI]")</f>
        <v>#REF!</v>
      </c>
      <c r="AH36" s="1967"/>
      <c r="AI36" s="1934"/>
      <c r="AJ36" s="6"/>
      <c r="AK36" s="1954" t="s">
        <v>1807</v>
      </c>
      <c r="AL36" s="1968">
        <v>914.1702337952349</v>
      </c>
      <c r="AM36" s="1968">
        <v>816.65</v>
      </c>
      <c r="AN36" s="1968">
        <v>402.4525959360049</v>
      </c>
      <c r="AO36" s="625"/>
      <c r="AP36" s="6"/>
      <c r="AQ36" s="6"/>
      <c r="AR36" s="6"/>
      <c r="AS36" s="6"/>
      <c r="AT36" s="6"/>
      <c r="AU36" s="6"/>
      <c r="AV36" s="6"/>
      <c r="AW36" s="6"/>
    </row>
    <row r="37" ht="15" customHeight="1">
      <c r="A37" s="895"/>
      <c r="B37" s="895"/>
      <c r="C37" s="1996"/>
      <c r="D37" s="1996"/>
      <c r="E37" s="1997"/>
      <c r="F37" s="1998"/>
      <c r="G37" s="1997"/>
      <c r="H37" s="1999"/>
      <c r="I37" s="2000"/>
      <c r="J37" s="1997"/>
      <c r="K37" s="1999"/>
      <c r="L37" s="2001"/>
      <c r="M37" s="2002"/>
      <c r="N37" s="1997"/>
      <c r="O37" s="1999"/>
      <c r="P37" s="1996"/>
      <c r="Q37" s="1997"/>
      <c r="R37" s="1997"/>
      <c r="S37" s="1997"/>
      <c r="T37" s="1997"/>
      <c r="U37" s="1998"/>
      <c r="V37" s="1997"/>
      <c r="W37" s="1998"/>
      <c r="X37" s="1997"/>
      <c r="Y37" s="1998"/>
      <c r="Z37" s="1997"/>
      <c r="AA37" s="1998"/>
      <c r="AB37" s="1997"/>
      <c r="AC37" s="1996"/>
      <c r="AD37" s="2003"/>
      <c r="AE37" s="1996"/>
      <c r="AF37" s="1931"/>
      <c r="AG37" s="2003"/>
      <c r="AH37" s="1903"/>
      <c r="AI37" s="1934"/>
      <c r="AJ37" s="6"/>
      <c r="AK37" s="1954" t="s">
        <v>1808</v>
      </c>
      <c r="AL37" s="1968">
        <v>612.8948965653121</v>
      </c>
      <c r="AM37" s="1968">
        <v>537.06</v>
      </c>
      <c r="AN37" s="1968">
        <v>317.28703903855876</v>
      </c>
      <c r="AO37" s="625"/>
      <c r="AP37" s="6"/>
      <c r="AQ37" s="6"/>
      <c r="AR37" s="6"/>
      <c r="AS37" s="6"/>
      <c r="AT37" s="6"/>
      <c r="AU37" s="6"/>
      <c r="AV37" s="6"/>
      <c r="AW37" s="6"/>
    </row>
    <row r="38" ht="15" customHeight="1">
      <c r="A38" s="895"/>
      <c r="B38" s="895"/>
      <c r="C38" s="2004" t="s">
        <v>1809</v>
      </c>
      <c r="D38" s="1996"/>
      <c r="E38" s="1997"/>
      <c r="F38" s="2005"/>
      <c r="G38" s="1997"/>
      <c r="H38" s="2006"/>
      <c r="I38" s="2007"/>
      <c r="J38" s="1997"/>
      <c r="K38" s="2006"/>
      <c r="L38" s="2008"/>
      <c r="M38" s="2009"/>
      <c r="N38" s="1997"/>
      <c r="O38" s="2006"/>
      <c r="P38" s="2010"/>
      <c r="Q38" s="1997"/>
      <c r="R38" s="1997"/>
      <c r="S38" s="1997"/>
      <c r="T38" s="1997"/>
      <c r="U38" s="2005"/>
      <c r="V38" s="1997"/>
      <c r="W38" s="2005"/>
      <c r="X38" s="1997"/>
      <c r="Y38" s="2005"/>
      <c r="Z38" s="1997"/>
      <c r="AA38" s="2005"/>
      <c r="AB38" s="1997"/>
      <c r="AC38" s="2010"/>
      <c r="AD38" s="2011">
        <v>1.03</v>
      </c>
      <c r="AE38" s="2010"/>
      <c r="AF38" s="1931"/>
      <c r="AG38" s="2003"/>
      <c r="AH38" s="1967"/>
      <c r="AI38" s="1934"/>
      <c r="AJ38" s="6"/>
      <c r="AK38" s="1954" t="s">
        <v>1810</v>
      </c>
      <c r="AL38" s="1968">
        <v>522.4655716818805</v>
      </c>
      <c r="AM38" s="1968">
        <v>454.22</v>
      </c>
      <c r="AN38" s="1968">
        <v>445.5826220227684</v>
      </c>
      <c r="AO38" s="625"/>
      <c r="AP38" s="6"/>
      <c r="AQ38" s="6"/>
      <c r="AR38" s="6"/>
      <c r="AS38" s="6"/>
      <c r="AT38" s="6"/>
      <c r="AU38" s="6"/>
      <c r="AV38" s="6"/>
      <c r="AW38" s="6"/>
    </row>
    <row r="39" ht="15" customHeight="1">
      <c r="A39" s="895"/>
      <c r="B39" s="895"/>
      <c r="C39" s="1956" t="s">
        <v>1800</v>
      </c>
      <c r="D39" s="1956"/>
      <c r="E39" s="2012">
        <f>'Fannie Historical Ops'!D33</f>
        <v>0</v>
      </c>
      <c r="F39" s="2013">
        <f t="shared" si="10"/>
        <v>0</v>
      </c>
      <c r="G39" s="2012">
        <f>'Fannie Historical Ops'!F33</f>
        <v>0</v>
      </c>
      <c r="H39" s="2014">
        <f t="shared" si="10"/>
        <v>0</v>
      </c>
      <c r="I39" s="1988" t="str">
        <f t="shared" si="11"/>
        <v>N/A</v>
      </c>
      <c r="J39" s="2012">
        <f>'Fannie Historical Ops'!H33</f>
        <v>0</v>
      </c>
      <c r="K39" s="2014">
        <f t="shared" si="10"/>
        <v>0</v>
      </c>
      <c r="L39" s="1988" t="str">
        <f t="shared" si="12"/>
        <v>N/A</v>
      </c>
      <c r="M39" s="2015">
        <f>'Fannie Historical Ops'!V33</f>
        <v>1006197</v>
      </c>
      <c r="N39" s="2012">
        <f>ROUND(IF(M39&gt;0,(M39/M16)*12,0),2)</f>
        <v>1006197</v>
      </c>
      <c r="O39" s="2014">
        <f t="shared" si="10"/>
        <v>9962.35</v>
      </c>
      <c r="P39" s="1990" t="str">
        <f t="shared" si="13"/>
        <v>N/A</v>
      </c>
      <c r="Q39" s="2012">
        <v>0</v>
      </c>
      <c r="R39" s="2012">
        <v>0</v>
      </c>
      <c r="S39" s="2012">
        <v>0</v>
      </c>
      <c r="T39" s="2016">
        <f t="shared" si="14"/>
        <v>0</v>
      </c>
      <c r="U39" s="2013">
        <f t="shared" si="10"/>
        <v>0</v>
      </c>
      <c r="V39" s="2012">
        <f>'Fannie Historical Ops'!Y33</f>
        <v>0</v>
      </c>
      <c r="W39" s="2013">
        <f t="shared" si="10"/>
        <v>0</v>
      </c>
      <c r="X39" s="2012">
        <v>0</v>
      </c>
      <c r="Y39" s="2013">
        <f t="shared" si="10"/>
        <v>0</v>
      </c>
      <c r="Z39" s="2012">
        <f>'Fannie Historical Ops'!AA33</f>
        <v>0</v>
      </c>
      <c r="AA39" s="2013">
        <f t="shared" si="10"/>
        <v>0</v>
      </c>
      <c r="AB39" s="2012">
        <v>0</v>
      </c>
      <c r="AC39" s="2017">
        <f t="shared" si="10"/>
        <v>0</v>
      </c>
      <c r="AD39" s="2018">
        <f t="shared" si="27" ref="AD39:AD81">N39*FreddieIE_ExpenseGrowthRate</f>
        <v>1036382.91</v>
      </c>
      <c r="AE39" s="2017">
        <f t="shared" si="23"/>
        <v>10261.22</v>
      </c>
      <c r="AF39" s="1931"/>
      <c r="AG39" s="2019" t="e">
        <f>GETPIVOTDATA("[Measures].[Average]",$AK$21,"[Summary Line Items].[Line Item Type]","[Summary Line Items].[Line Item Type].&amp;[Real Estate Taxes]")</f>
        <v>#REF!</v>
      </c>
      <c r="AH39" s="1967"/>
      <c r="AI39" s="1934"/>
      <c r="AJ39" s="6"/>
      <c r="AK39" s="1954" t="s">
        <v>1811</v>
      </c>
      <c r="AL39" s="1968">
        <v>265.2086156169961</v>
      </c>
      <c r="AM39" s="1968">
        <v>220</v>
      </c>
      <c r="AN39" s="1968">
        <v>191.11796237043998</v>
      </c>
      <c r="AO39" s="625"/>
      <c r="AP39" s="6"/>
      <c r="AQ39" s="6"/>
      <c r="AR39" s="6"/>
      <c r="AS39" s="6"/>
      <c r="AT39" s="6"/>
      <c r="AU39" s="6"/>
      <c r="AV39" s="6"/>
      <c r="AW39" s="6"/>
    </row>
    <row r="40" ht="15" customHeight="1">
      <c r="A40" s="895"/>
      <c r="B40" s="895"/>
      <c r="C40" s="1956" t="s">
        <v>1802</v>
      </c>
      <c r="D40" s="1956"/>
      <c r="E40" s="2020">
        <f>'Fannie Historical Ops'!D35</f>
        <v>0</v>
      </c>
      <c r="F40" s="2021">
        <f t="shared" si="10"/>
        <v>0</v>
      </c>
      <c r="G40" s="2020">
        <f>'Fannie Historical Ops'!F35</f>
        <v>0</v>
      </c>
      <c r="H40" s="2022">
        <f t="shared" si="10"/>
        <v>0</v>
      </c>
      <c r="I40" s="1988" t="str">
        <f t="shared" si="11"/>
        <v>N/A</v>
      </c>
      <c r="J40" s="2020">
        <f>'Fannie Historical Ops'!H35</f>
        <v>0</v>
      </c>
      <c r="K40" s="2022">
        <f t="shared" si="10"/>
        <v>0</v>
      </c>
      <c r="L40" s="1988" t="str">
        <f t="shared" si="12"/>
        <v>N/A</v>
      </c>
      <c r="M40" s="2023">
        <f>'Fannie Historical Ops'!V35</f>
        <v>243093</v>
      </c>
      <c r="N40" s="2020">
        <f>ROUND(IF(M40&lt;&gt;0,(M40/M16)*12,0),2)</f>
        <v>243093</v>
      </c>
      <c r="O40" s="2022">
        <f t="shared" si="10"/>
        <v>2406.86</v>
      </c>
      <c r="P40" s="1990" t="str">
        <f t="shared" si="13"/>
        <v>N/A</v>
      </c>
      <c r="Q40" s="2020">
        <v>0</v>
      </c>
      <c r="R40" s="2020">
        <v>0</v>
      </c>
      <c r="S40" s="2020">
        <v>0</v>
      </c>
      <c r="T40" s="2016">
        <f t="shared" si="14"/>
        <v>0</v>
      </c>
      <c r="U40" s="2021">
        <f t="shared" si="10"/>
        <v>0</v>
      </c>
      <c r="V40" s="2020">
        <f>'Fannie Historical Ops'!Y35</f>
        <v>0</v>
      </c>
      <c r="W40" s="2021">
        <f t="shared" si="10"/>
        <v>0</v>
      </c>
      <c r="X40" s="2020">
        <v>0</v>
      </c>
      <c r="Y40" s="2021">
        <f t="shared" si="10"/>
        <v>0</v>
      </c>
      <c r="Z40" s="2020">
        <f>'Fannie Historical Ops'!AA35</f>
        <v>0</v>
      </c>
      <c r="AA40" s="2021">
        <f t="shared" si="10"/>
        <v>0</v>
      </c>
      <c r="AB40" s="2020">
        <v>0</v>
      </c>
      <c r="AC40" s="1993">
        <f t="shared" si="10"/>
        <v>0</v>
      </c>
      <c r="AD40" s="2024">
        <f t="shared" si="27"/>
        <v>250385.79</v>
      </c>
      <c r="AE40" s="1993">
        <f t="shared" si="23"/>
        <v>2479.07</v>
      </c>
      <c r="AF40" s="1931"/>
      <c r="AG40" s="2025" t="e">
        <f>GETPIVOTDATA("[Measures].[Average]",$AK$21,"[Summary Line Items].[Line Item Type]","[Summary Line Items].[Line Item Type].&amp;[Total Insurance]")</f>
        <v>#REF!</v>
      </c>
      <c r="AH40" s="1933"/>
      <c r="AI40" s="1934"/>
      <c r="AJ40" s="6"/>
      <c r="AK40" s="1954" t="s">
        <v>1812</v>
      </c>
      <c r="AL40" s="1968">
        <v>3.2544348854009324</v>
      </c>
      <c r="AM40" s="1968">
        <v>0</v>
      </c>
      <c r="AN40" s="1968">
        <v>34.25744501046779</v>
      </c>
      <c r="AO40" s="625"/>
      <c r="AP40" s="6"/>
      <c r="AQ40" s="6"/>
      <c r="AR40" s="6"/>
      <c r="AS40" s="6"/>
      <c r="AT40" s="6"/>
      <c r="AU40" s="6"/>
      <c r="AV40" s="6"/>
      <c r="AW40" s="6"/>
    </row>
    <row r="41" ht="15" customHeight="1">
      <c r="A41" s="895"/>
      <c r="B41" s="688"/>
      <c r="C41" s="1815" t="s">
        <v>1813</v>
      </c>
      <c r="D41" s="1815"/>
      <c r="E41" s="1922">
        <f t="shared" si="28" ref="E41:Z41">0</f>
        <v>0</v>
      </c>
      <c r="F41" s="2026">
        <f t="shared" si="10"/>
        <v>0</v>
      </c>
      <c r="G41" s="1922">
        <f t="shared" si="28"/>
        <v>0</v>
      </c>
      <c r="H41" s="1924">
        <f t="shared" si="10"/>
        <v>0</v>
      </c>
      <c r="I41" s="1925" t="str">
        <f t="shared" si="11"/>
        <v>N/A</v>
      </c>
      <c r="J41" s="1922">
        <f t="shared" si="28"/>
        <v>0</v>
      </c>
      <c r="K41" s="1924">
        <f t="shared" si="10"/>
        <v>0</v>
      </c>
      <c r="L41" s="1925" t="str">
        <f t="shared" si="12"/>
        <v>N/A</v>
      </c>
      <c r="M41" s="1926">
        <f t="shared" si="28"/>
        <v>0</v>
      </c>
      <c r="N41" s="1922">
        <f>ROUND(IF(M41&lt;&gt;0,(M41/M16)*12,0),2)</f>
        <v>0</v>
      </c>
      <c r="O41" s="1924">
        <f t="shared" si="10"/>
        <v>0</v>
      </c>
      <c r="P41" s="1927" t="str">
        <f t="shared" si="13"/>
        <v>N/A</v>
      </c>
      <c r="Q41" s="1928">
        <v>0</v>
      </c>
      <c r="R41" s="1928">
        <v>0</v>
      </c>
      <c r="S41" s="1928">
        <v>0</v>
      </c>
      <c r="T41" s="1929">
        <f t="shared" si="14"/>
        <v>0</v>
      </c>
      <c r="U41" s="2026">
        <f t="shared" si="10"/>
        <v>0</v>
      </c>
      <c r="V41" s="1922">
        <f t="shared" si="28"/>
        <v>0</v>
      </c>
      <c r="W41" s="2026">
        <f t="shared" si="10"/>
        <v>0</v>
      </c>
      <c r="X41" s="1922">
        <v>0</v>
      </c>
      <c r="Y41" s="2026">
        <f t="shared" si="10"/>
        <v>0</v>
      </c>
      <c r="Z41" s="1922">
        <f t="shared" si="28"/>
        <v>0</v>
      </c>
      <c r="AA41" s="2026">
        <f t="shared" si="10"/>
        <v>0</v>
      </c>
      <c r="AB41" s="1922">
        <v>0</v>
      </c>
      <c r="AC41" s="1930">
        <f t="shared" si="10"/>
        <v>0</v>
      </c>
      <c r="AD41" s="1922">
        <f t="shared" si="27"/>
        <v>0</v>
      </c>
      <c r="AE41" s="1930">
        <f t="shared" si="23"/>
        <v>0</v>
      </c>
      <c r="AF41" s="1931"/>
      <c r="AG41" s="1932"/>
      <c r="AH41" s="1933"/>
      <c r="AI41" s="1934"/>
      <c r="AJ41" s="6"/>
      <c r="AK41" s="1954" t="s">
        <v>1814</v>
      </c>
      <c r="AL41" s="1968">
        <v>2317.971483548957</v>
      </c>
      <c r="AM41" s="1968">
        <v>2181.79</v>
      </c>
      <c r="AN41" s="1968">
        <v>777.073918135912</v>
      </c>
      <c r="AO41" s="625"/>
      <c r="AP41" s="6"/>
      <c r="AQ41" s="6"/>
      <c r="AR41" s="6"/>
      <c r="AS41" s="6"/>
      <c r="AT41" s="6"/>
      <c r="AU41" s="6"/>
      <c r="AV41" s="6"/>
      <c r="AW41" s="6"/>
    </row>
    <row r="42" ht="15" customHeight="1">
      <c r="A42" s="895"/>
      <c r="B42" s="688"/>
      <c r="C42" s="1815" t="s">
        <v>1815</v>
      </c>
      <c r="D42" s="1815"/>
      <c r="E42" s="1922">
        <f>'Fannie Historical Ops'!D41</f>
        <v>0</v>
      </c>
      <c r="F42" s="2027">
        <f t="shared" si="10"/>
        <v>0</v>
      </c>
      <c r="G42" s="1922">
        <f>'Fannie Historical Ops'!F41</f>
        <v>0</v>
      </c>
      <c r="H42" s="1923">
        <f t="shared" si="10"/>
        <v>0</v>
      </c>
      <c r="I42" s="1925" t="str">
        <f t="shared" si="11"/>
        <v>N/A</v>
      </c>
      <c r="J42" s="1922">
        <f>'Fannie Historical Ops'!H41</f>
        <v>0</v>
      </c>
      <c r="K42" s="1923">
        <f t="shared" si="10"/>
        <v>0</v>
      </c>
      <c r="L42" s="1925" t="str">
        <f t="shared" si="12"/>
        <v>N/A</v>
      </c>
      <c r="M42" s="1926">
        <f>'Fannie Historical Ops'!V41</f>
        <v>121255</v>
      </c>
      <c r="N42" s="1922">
        <f>ROUND(IF(M16=0,0,M42*12/M16),2)</f>
        <v>121255</v>
      </c>
      <c r="O42" s="1923">
        <f t="shared" si="10"/>
        <v>1200.54</v>
      </c>
      <c r="P42" s="1927" t="str">
        <f t="shared" si="13"/>
        <v>N/A</v>
      </c>
      <c r="Q42" s="1928">
        <v>0</v>
      </c>
      <c r="R42" s="1928">
        <v>0</v>
      </c>
      <c r="S42" s="1928">
        <v>0</v>
      </c>
      <c r="T42" s="1929">
        <f t="shared" si="14"/>
        <v>0</v>
      </c>
      <c r="U42" s="2027">
        <f t="shared" si="10"/>
        <v>0</v>
      </c>
      <c r="V42" s="1922">
        <f>'Fannie Historical Ops'!Y41</f>
        <v>0</v>
      </c>
      <c r="W42" s="2027">
        <f t="shared" si="10"/>
        <v>0</v>
      </c>
      <c r="X42" s="1922">
        <v>0</v>
      </c>
      <c r="Y42" s="2027">
        <f t="shared" si="10"/>
        <v>0</v>
      </c>
      <c r="Z42" s="1922">
        <f>'Fannie Historical Ops'!AA41</f>
        <v>0</v>
      </c>
      <c r="AA42" s="2027">
        <f t="shared" si="10"/>
        <v>0</v>
      </c>
      <c r="AB42" s="1922">
        <v>0</v>
      </c>
      <c r="AC42" s="1941">
        <f t="shared" si="10"/>
        <v>0</v>
      </c>
      <c r="AD42" s="1922">
        <f t="shared" si="27"/>
        <v>124892.65000000001</v>
      </c>
      <c r="AE42" s="1941">
        <f t="shared" si="23"/>
        <v>1236.56</v>
      </c>
      <c r="AF42" s="1931"/>
      <c r="AG42" s="1942"/>
      <c r="AH42" s="1933"/>
      <c r="AI42" s="1934"/>
      <c r="AJ42" s="6"/>
      <c r="AK42" s="1954" t="s">
        <v>1816</v>
      </c>
      <c r="AL42" s="1968">
        <v>5431.789107506374</v>
      </c>
      <c r="AM42" s="1968">
        <v>5106.52</v>
      </c>
      <c r="AN42" s="1968">
        <v>1855.0912242241698</v>
      </c>
      <c r="AO42" s="625"/>
      <c r="AP42" s="6"/>
      <c r="AQ42" s="6"/>
      <c r="AR42" s="6"/>
      <c r="AS42" s="6"/>
      <c r="AT42" s="6"/>
      <c r="AU42" s="6"/>
      <c r="AV42" s="6"/>
      <c r="AW42" s="6"/>
    </row>
    <row r="43" ht="15" customHeight="1">
      <c r="A43" s="895"/>
      <c r="B43" s="688"/>
      <c r="C43" s="1815" t="s">
        <v>1817</v>
      </c>
      <c r="D43" s="1815"/>
      <c r="E43" s="1922">
        <f>'Fannie Historical Ops'!D42</f>
        <v>0</v>
      </c>
      <c r="F43" s="2027">
        <f t="shared" si="10"/>
        <v>0</v>
      </c>
      <c r="G43" s="1922">
        <f>'Fannie Historical Ops'!F42</f>
        <v>0</v>
      </c>
      <c r="H43" s="1923">
        <f t="shared" si="10"/>
        <v>0</v>
      </c>
      <c r="I43" s="1925" t="str">
        <f t="shared" si="11"/>
        <v>N/A</v>
      </c>
      <c r="J43" s="1922">
        <f>'Fannie Historical Ops'!H42</f>
        <v>0</v>
      </c>
      <c r="K43" s="1923">
        <f t="shared" si="10"/>
        <v>0</v>
      </c>
      <c r="L43" s="1925" t="str">
        <f t="shared" si="12"/>
        <v>N/A</v>
      </c>
      <c r="M43" s="1926">
        <f>'Fannie Historical Ops'!V42</f>
        <v>13876</v>
      </c>
      <c r="N43" s="1922">
        <f>ROUND(IF(M16=0,0,M43*12/M16),2)</f>
        <v>13876</v>
      </c>
      <c r="O43" s="1923">
        <f t="shared" si="10"/>
        <v>137.39</v>
      </c>
      <c r="P43" s="1927" t="str">
        <f t="shared" si="13"/>
        <v>N/A</v>
      </c>
      <c r="Q43" s="1928">
        <v>0</v>
      </c>
      <c r="R43" s="1928">
        <v>0</v>
      </c>
      <c r="S43" s="1928">
        <v>0</v>
      </c>
      <c r="T43" s="1929">
        <f t="shared" si="14"/>
        <v>0</v>
      </c>
      <c r="U43" s="2027">
        <f t="shared" si="10"/>
        <v>0</v>
      </c>
      <c r="V43" s="1922">
        <f>'Fannie Historical Ops'!Y42</f>
        <v>0</v>
      </c>
      <c r="W43" s="2027">
        <f t="shared" si="10"/>
        <v>0</v>
      </c>
      <c r="X43" s="1922">
        <v>0</v>
      </c>
      <c r="Y43" s="2027">
        <f t="shared" si="10"/>
        <v>0</v>
      </c>
      <c r="Z43" s="1922">
        <f>'Fannie Historical Ops'!AA42</f>
        <v>0</v>
      </c>
      <c r="AA43" s="2027">
        <f t="shared" si="10"/>
        <v>0</v>
      </c>
      <c r="AB43" s="1922">
        <v>0</v>
      </c>
      <c r="AC43" s="1941">
        <f t="shared" si="10"/>
        <v>0</v>
      </c>
      <c r="AD43" s="1922">
        <f t="shared" si="27"/>
        <v>14292.28</v>
      </c>
      <c r="AE43" s="1941">
        <f t="shared" si="23"/>
        <v>141.51</v>
      </c>
      <c r="AF43" s="1931"/>
      <c r="AG43" s="1942"/>
      <c r="AH43" s="1933"/>
      <c r="AI43" s="1934"/>
      <c r="AJ43" s="6"/>
      <c r="AK43" s="1954" t="s">
        <v>1425</v>
      </c>
      <c r="AL43" s="1968">
        <v>258.4609102252578</v>
      </c>
      <c r="AM43" s="1968">
        <v>250</v>
      </c>
      <c r="AN43" s="1968">
        <v>81.01839048208663</v>
      </c>
      <c r="AO43" s="625"/>
      <c r="AP43" s="6"/>
      <c r="AQ43" s="6"/>
      <c r="AR43" s="6"/>
      <c r="AS43" s="6"/>
      <c r="AT43" s="6"/>
      <c r="AU43" s="6"/>
      <c r="AV43" s="6"/>
      <c r="AW43" s="6"/>
    </row>
    <row r="44" ht="15.75" customHeight="1">
      <c r="A44" s="895"/>
      <c r="B44" s="895"/>
      <c r="C44" s="1815" t="s">
        <v>1419</v>
      </c>
      <c r="D44" s="1815"/>
      <c r="E44" s="1922">
        <f>'Fannie Historical Ops'!D43</f>
        <v>0</v>
      </c>
      <c r="F44" s="2027">
        <f t="shared" si="10"/>
        <v>0</v>
      </c>
      <c r="G44" s="1922">
        <f>'Fannie Historical Ops'!F43</f>
        <v>0</v>
      </c>
      <c r="H44" s="1923">
        <f t="shared" si="10"/>
        <v>0</v>
      </c>
      <c r="I44" s="1925" t="str">
        <f t="shared" si="11"/>
        <v>N/A</v>
      </c>
      <c r="J44" s="1922">
        <f>'Fannie Historical Ops'!H43</f>
        <v>0</v>
      </c>
      <c r="K44" s="1923">
        <f t="shared" si="10"/>
        <v>0</v>
      </c>
      <c r="L44" s="1925" t="str">
        <f t="shared" si="12"/>
        <v>N/A</v>
      </c>
      <c r="M44" s="1926">
        <f>'Fannie Historical Ops'!V43</f>
        <v>114174</v>
      </c>
      <c r="N44" s="1922">
        <f>ROUND(IF(M44&gt;0,(M44/M16)*12,0),2)</f>
        <v>114174</v>
      </c>
      <c r="O44" s="1923">
        <f t="shared" si="10"/>
        <v>1130.44</v>
      </c>
      <c r="P44" s="1927" t="str">
        <f t="shared" si="13"/>
        <v>N/A</v>
      </c>
      <c r="Q44" s="1928">
        <v>0</v>
      </c>
      <c r="R44" s="1928">
        <v>0</v>
      </c>
      <c r="S44" s="1928">
        <v>0</v>
      </c>
      <c r="T44" s="1929">
        <f t="shared" si="14"/>
        <v>0</v>
      </c>
      <c r="U44" s="2027">
        <f t="shared" si="10"/>
        <v>0</v>
      </c>
      <c r="V44" s="1922">
        <f>'Fannie Historical Ops'!Y43</f>
        <v>0</v>
      </c>
      <c r="W44" s="2027">
        <f t="shared" si="10"/>
        <v>0</v>
      </c>
      <c r="X44" s="1922">
        <v>0</v>
      </c>
      <c r="Y44" s="2027">
        <f t="shared" si="10"/>
        <v>0</v>
      </c>
      <c r="Z44" s="1922">
        <f>'Fannie Historical Ops'!AA43</f>
        <v>0</v>
      </c>
      <c r="AA44" s="2027">
        <f t="shared" si="10"/>
        <v>0</v>
      </c>
      <c r="AB44" s="1922">
        <v>0</v>
      </c>
      <c r="AC44" s="1941">
        <f t="shared" si="10"/>
        <v>0</v>
      </c>
      <c r="AD44" s="1922">
        <f t="shared" si="27"/>
        <v>117599.22</v>
      </c>
      <c r="AE44" s="1941">
        <f t="shared" si="23"/>
        <v>1164.35</v>
      </c>
      <c r="AF44" s="1931"/>
      <c r="AG44" s="1980"/>
      <c r="AH44" s="1967"/>
      <c r="AI44" s="1934"/>
      <c r="AJ44" s="6"/>
      <c r="AK44" s="1954" t="s">
        <v>1818</v>
      </c>
      <c r="AL44" s="1968">
        <v>5690.233574571453</v>
      </c>
      <c r="AM44" s="1968">
        <v>5356.52</v>
      </c>
      <c r="AN44" s="1968">
        <v>1876.648342910158</v>
      </c>
      <c r="AO44" s="625"/>
      <c r="AP44" s="6"/>
      <c r="AQ44" s="6"/>
      <c r="AR44" s="6"/>
      <c r="AS44" s="6"/>
      <c r="AT44" s="6"/>
      <c r="AU44" s="6"/>
      <c r="AV44" s="6"/>
      <c r="AW44" s="6"/>
    </row>
    <row r="45" ht="15.75" customHeight="1">
      <c r="A45" s="895"/>
      <c r="B45" s="895"/>
      <c r="C45" s="1956" t="s">
        <v>1804</v>
      </c>
      <c r="D45" s="1956"/>
      <c r="E45" s="1991">
        <f t="shared" si="29" ref="E45:AB45">IF(SUM(E41:E44)=0,0,SUM(E41:E44))</f>
        <v>0</v>
      </c>
      <c r="F45" s="2021">
        <f t="shared" si="30" ref="F45:AC84">ROUND(IF(E45=0,0,(E45)/number_units),0)</f>
        <v>0</v>
      </c>
      <c r="G45" s="1991">
        <f t="shared" si="29"/>
        <v>0</v>
      </c>
      <c r="H45" s="2028">
        <f t="shared" si="30"/>
        <v>0</v>
      </c>
      <c r="I45" s="2029" t="str">
        <f t="shared" si="11"/>
        <v>N/A</v>
      </c>
      <c r="J45" s="1991">
        <f t="shared" si="29"/>
        <v>0</v>
      </c>
      <c r="K45" s="2028">
        <f t="shared" si="30"/>
        <v>0</v>
      </c>
      <c r="L45" s="2030" t="str">
        <f>IF(H45=0,"N/A",(J45-G45)/G45)</f>
        <v>N/A</v>
      </c>
      <c r="M45" s="1989">
        <f t="shared" si="29"/>
        <v>249305</v>
      </c>
      <c r="N45" s="1991">
        <f t="shared" si="29"/>
        <v>249305</v>
      </c>
      <c r="O45" s="2022">
        <f t="shared" si="30"/>
        <v>2468</v>
      </c>
      <c r="P45" s="1990" t="str">
        <f t="shared" si="13"/>
        <v>N/A</v>
      </c>
      <c r="Q45" s="1991">
        <f t="shared" si="29"/>
        <v>0</v>
      </c>
      <c r="R45" s="1991">
        <f t="shared" si="29"/>
        <v>0</v>
      </c>
      <c r="S45" s="1991">
        <f t="shared" si="29"/>
        <v>0</v>
      </c>
      <c r="T45" s="1991">
        <f t="shared" si="29"/>
        <v>0</v>
      </c>
      <c r="U45" s="2021">
        <f t="shared" si="30"/>
        <v>0</v>
      </c>
      <c r="V45" s="1991">
        <f t="shared" si="29"/>
        <v>0</v>
      </c>
      <c r="W45" s="2021">
        <f t="shared" si="30"/>
        <v>0</v>
      </c>
      <c r="X45" s="1991">
        <f t="shared" si="29"/>
        <v>0</v>
      </c>
      <c r="Y45" s="2021">
        <f t="shared" si="30"/>
        <v>0</v>
      </c>
      <c r="Z45" s="1991">
        <f t="shared" si="29"/>
        <v>0</v>
      </c>
      <c r="AA45" s="2021">
        <f t="shared" si="30"/>
        <v>0</v>
      </c>
      <c r="AB45" s="1991">
        <f t="shared" si="29"/>
        <v>0</v>
      </c>
      <c r="AC45" s="1993">
        <f t="shared" si="30"/>
        <v>0</v>
      </c>
      <c r="AD45" s="1991">
        <f>SUM(AD41:AD44)</f>
        <v>256784.15000000002</v>
      </c>
      <c r="AE45" s="1993">
        <f t="shared" si="23"/>
        <v>2542.42</v>
      </c>
      <c r="AF45" s="1931"/>
      <c r="AG45" s="1971" t="e">
        <f>GETPIVOTDATA("[Measures].[Average]",$AK$21,"[Summary Line Items].[Line Item Type]","[Summary Line Items].[Line Item Type].&amp;[Sub-Total, Utilities/Water &amp; Sewer]")</f>
        <v>#REF!</v>
      </c>
      <c r="AH45" s="1967"/>
      <c r="AI45" s="1934"/>
      <c r="AJ45" s="6"/>
      <c r="AK45" s="1954" t="s">
        <v>1819</v>
      </c>
      <c r="AL45" s="2031">
        <v>0.44264504235896773</v>
      </c>
      <c r="AM45" s="2031">
        <v>0.43939</v>
      </c>
      <c r="AN45" s="2031">
        <v>0.12188040767395844</v>
      </c>
      <c r="AO45" s="625"/>
      <c r="AP45" s="6"/>
      <c r="AQ45" s="6"/>
      <c r="AR45" s="6"/>
      <c r="AS45" s="6"/>
      <c r="AT45" s="6"/>
      <c r="AU45" s="6"/>
      <c r="AV45" s="6"/>
      <c r="AW45" s="6"/>
    </row>
    <row r="46" ht="15.75" customHeight="1">
      <c r="A46" s="895"/>
      <c r="B46" s="688"/>
      <c r="C46" s="1969" t="s">
        <v>1806</v>
      </c>
      <c r="D46" s="1957"/>
      <c r="E46" s="2032">
        <f t="shared" si="31" ref="E46:AB46">+E39+E40+E45</f>
        <v>0</v>
      </c>
      <c r="F46" s="2033">
        <f t="shared" si="32" ref="F46:AC82">ROUND(IF(E46&gt;0,+E46/number_units,0),2)</f>
        <v>0</v>
      </c>
      <c r="G46" s="2032">
        <f t="shared" si="31"/>
        <v>0</v>
      </c>
      <c r="H46" s="2034">
        <f t="shared" si="32"/>
        <v>0</v>
      </c>
      <c r="I46" s="2035" t="str">
        <f t="shared" si="11"/>
        <v>N/A</v>
      </c>
      <c r="J46" s="2032">
        <f t="shared" si="31"/>
        <v>0</v>
      </c>
      <c r="K46" s="2034">
        <f t="shared" si="32"/>
        <v>0</v>
      </c>
      <c r="L46" s="2036" t="str">
        <f t="shared" si="12"/>
        <v>N/A</v>
      </c>
      <c r="M46" s="2037">
        <f t="shared" si="31"/>
        <v>1498595</v>
      </c>
      <c r="N46" s="2032">
        <f t="shared" si="31"/>
        <v>1498595</v>
      </c>
      <c r="O46" s="2034">
        <f t="shared" si="32"/>
        <v>14837.57</v>
      </c>
      <c r="P46" s="2035" t="str">
        <f t="shared" si="13"/>
        <v>N/A</v>
      </c>
      <c r="Q46" s="2032">
        <f t="shared" si="31"/>
        <v>0</v>
      </c>
      <c r="R46" s="2032">
        <f t="shared" si="31"/>
        <v>0</v>
      </c>
      <c r="S46" s="2032">
        <f t="shared" si="31"/>
        <v>0</v>
      </c>
      <c r="T46" s="2032">
        <f t="shared" si="31"/>
        <v>0</v>
      </c>
      <c r="U46" s="2033">
        <f t="shared" si="32"/>
        <v>0</v>
      </c>
      <c r="V46" s="2032">
        <f t="shared" si="31"/>
        <v>0</v>
      </c>
      <c r="W46" s="2033">
        <f t="shared" si="32"/>
        <v>0</v>
      </c>
      <c r="X46" s="2032">
        <f t="shared" si="31"/>
        <v>0</v>
      </c>
      <c r="Y46" s="2033">
        <f t="shared" si="32"/>
        <v>0</v>
      </c>
      <c r="Z46" s="2032">
        <f t="shared" si="31"/>
        <v>0</v>
      </c>
      <c r="AA46" s="2033">
        <f t="shared" si="32"/>
        <v>0</v>
      </c>
      <c r="AB46" s="2032">
        <f t="shared" si="31"/>
        <v>0</v>
      </c>
      <c r="AC46" s="2038">
        <f t="shared" si="32"/>
        <v>0</v>
      </c>
      <c r="AD46" s="2032">
        <f>AD39+AD40+AD45</f>
        <v>1543552.85</v>
      </c>
      <c r="AE46" s="2038">
        <f t="shared" si="23"/>
        <v>15282.7</v>
      </c>
      <c r="AF46" s="1931"/>
      <c r="AG46" s="1971" t="e">
        <f>GETPIVOTDATA("[Measures].[Average]",$AK$21,"[Summary Line Items].[Line Item Type]","[Summary Line Items].[Line Item Type].&amp;[TOTAL FIXED EXPENSES]")</f>
        <v>#REF!</v>
      </c>
      <c r="AH46" s="1933"/>
      <c r="AI46" s="1934"/>
      <c r="AJ46" s="6"/>
      <c r="AK46" s="1954" t="s">
        <v>1356</v>
      </c>
      <c r="AL46" s="1968">
        <v>8639.849150193719</v>
      </c>
      <c r="AM46" s="1968">
        <v>6889.25</v>
      </c>
      <c r="AN46" s="1968">
        <v>6345.722261446249</v>
      </c>
      <c r="AO46" s="625"/>
      <c r="AP46" s="6"/>
      <c r="AQ46" s="6"/>
      <c r="AR46" s="6"/>
      <c r="AS46" s="6"/>
      <c r="AT46" s="6"/>
      <c r="AU46" s="6"/>
      <c r="AV46" s="6"/>
      <c r="AW46" s="6"/>
    </row>
    <row r="47" ht="15.75" customHeight="1">
      <c r="A47" s="895"/>
      <c r="B47" s="895"/>
      <c r="C47" s="2004" t="s">
        <v>1820</v>
      </c>
      <c r="D47" s="1996"/>
      <c r="E47" s="2039"/>
      <c r="F47" s="2040"/>
      <c r="G47" s="2039"/>
      <c r="H47" s="2041"/>
      <c r="I47" s="2041"/>
      <c r="J47" s="2039"/>
      <c r="K47" s="2041"/>
      <c r="L47" s="2042"/>
      <c r="M47" s="2041"/>
      <c r="N47" s="2039"/>
      <c r="O47" s="2041"/>
      <c r="P47" s="2041"/>
      <c r="Q47" s="2039"/>
      <c r="R47" s="2039"/>
      <c r="S47" s="2039"/>
      <c r="T47" s="2039"/>
      <c r="U47" s="2040"/>
      <c r="V47" s="2039"/>
      <c r="W47" s="2040"/>
      <c r="X47" s="2039"/>
      <c r="Y47" s="2040"/>
      <c r="Z47" s="2039"/>
      <c r="AA47" s="2040"/>
      <c r="AB47" s="2039"/>
      <c r="AC47" s="2040"/>
      <c r="AD47" s="2039"/>
      <c r="AE47" s="2041"/>
      <c r="AF47" s="1931"/>
      <c r="AG47" s="2043"/>
      <c r="AH47" s="1933"/>
      <c r="AI47" s="1934"/>
      <c r="AJ47" s="6"/>
      <c r="AK47" s="1954" t="s">
        <v>1821</v>
      </c>
      <c r="AL47" s="2031">
        <v>0.044519171865764755</v>
      </c>
      <c r="AM47" s="2031">
        <v>0.04</v>
      </c>
      <c r="AN47" s="2031">
        <v>0.014320254543533658</v>
      </c>
      <c r="AO47" s="625"/>
      <c r="AP47" s="6"/>
      <c r="AQ47" s="6"/>
      <c r="AR47" s="6"/>
      <c r="AS47" s="6"/>
      <c r="AT47" s="6"/>
      <c r="AU47" s="6"/>
      <c r="AV47" s="6"/>
      <c r="AW47" s="6"/>
    </row>
    <row r="48" ht="15" customHeight="1">
      <c r="A48" s="895"/>
      <c r="B48" s="688"/>
      <c r="C48" s="1815" t="s">
        <v>1822</v>
      </c>
      <c r="D48" s="1815"/>
      <c r="E48" s="1938">
        <f>'Fannie Historical Ops'!D40</f>
        <v>0</v>
      </c>
      <c r="F48" s="2027">
        <f t="shared" si="10"/>
        <v>0</v>
      </c>
      <c r="G48" s="1938">
        <f>'Fannie Historical Ops'!F40</f>
        <v>0</v>
      </c>
      <c r="H48" s="1923">
        <f t="shared" si="10"/>
        <v>0</v>
      </c>
      <c r="I48" s="2044" t="str">
        <f t="shared" si="11"/>
        <v>N/A</v>
      </c>
      <c r="J48" s="1938">
        <f>'Fannie Historical Ops'!H40</f>
        <v>0</v>
      </c>
      <c r="K48" s="1923">
        <f t="shared" si="10"/>
        <v>0</v>
      </c>
      <c r="L48" s="2044" t="str">
        <f t="shared" si="12"/>
        <v>N/A</v>
      </c>
      <c r="M48" s="2045">
        <f>'Fannie Historical Ops'!V40</f>
        <v>42628</v>
      </c>
      <c r="N48" s="1938">
        <f>ROUND(IF(M48&lt;&gt;0,(M48/M16)*12,0),2)</f>
        <v>42628</v>
      </c>
      <c r="O48" s="1923">
        <f t="shared" si="10"/>
        <v>422.06</v>
      </c>
      <c r="P48" s="2044" t="str">
        <f t="shared" si="13"/>
        <v>N/A</v>
      </c>
      <c r="Q48" s="1940">
        <v>0</v>
      </c>
      <c r="R48" s="1940">
        <v>0</v>
      </c>
      <c r="S48" s="1940">
        <v>0</v>
      </c>
      <c r="T48" s="1985">
        <f t="shared" si="14"/>
        <v>0</v>
      </c>
      <c r="U48" s="2027">
        <f t="shared" si="10"/>
        <v>0</v>
      </c>
      <c r="V48" s="1938">
        <f>'Fannie Historical Ops'!Y40</f>
        <v>0</v>
      </c>
      <c r="W48" s="2027">
        <f t="shared" si="10"/>
        <v>0</v>
      </c>
      <c r="X48" s="1938">
        <v>0</v>
      </c>
      <c r="Y48" s="2027">
        <f t="shared" si="10"/>
        <v>0</v>
      </c>
      <c r="Z48" s="1938">
        <f>'Fannie Historical Ops'!AA40</f>
        <v>0</v>
      </c>
      <c r="AA48" s="2027">
        <f t="shared" si="10"/>
        <v>0</v>
      </c>
      <c r="AB48" s="1938">
        <v>0</v>
      </c>
      <c r="AC48" s="2027">
        <f t="shared" si="10"/>
        <v>0</v>
      </c>
      <c r="AD48" s="1938">
        <f t="shared" si="27"/>
        <v>43906.840000000004</v>
      </c>
      <c r="AE48" s="1941">
        <f t="shared" si="23"/>
        <v>434.72</v>
      </c>
      <c r="AF48" s="1931"/>
      <c r="AG48" s="1932"/>
      <c r="AH48" s="1933"/>
      <c r="AI48" s="1934"/>
      <c r="AJ48" s="6"/>
      <c r="AK48" s="625"/>
      <c r="AL48" s="625"/>
      <c r="AM48" s="625"/>
      <c r="AN48" s="625"/>
      <c r="AO48" s="625"/>
      <c r="AP48" s="6"/>
      <c r="AQ48" s="6"/>
      <c r="AR48" s="6"/>
      <c r="AS48" s="6"/>
      <c r="AT48" s="6"/>
      <c r="AU48" s="6"/>
      <c r="AV48" s="6"/>
      <c r="AW48" s="6"/>
    </row>
    <row r="49" ht="15" customHeight="1">
      <c r="A49" s="895"/>
      <c r="B49" s="688"/>
      <c r="C49" s="1815" t="s">
        <v>1823</v>
      </c>
      <c r="D49" s="1815"/>
      <c r="E49" s="1938">
        <f>'Fannie Historical Ops'!D44</f>
        <v>0</v>
      </c>
      <c r="F49" s="2027">
        <f t="shared" si="10"/>
        <v>0</v>
      </c>
      <c r="G49" s="1938">
        <f>'Fannie Historical Ops'!F44</f>
        <v>0</v>
      </c>
      <c r="H49" s="1923">
        <f t="shared" si="10"/>
        <v>0</v>
      </c>
      <c r="I49" s="1925" t="str">
        <f t="shared" si="11"/>
        <v>N/A</v>
      </c>
      <c r="J49" s="1938">
        <f>'Fannie Historical Ops'!H44</f>
        <v>0</v>
      </c>
      <c r="K49" s="1923">
        <f t="shared" si="10"/>
        <v>0</v>
      </c>
      <c r="L49" s="1925" t="str">
        <f t="shared" si="12"/>
        <v>N/A</v>
      </c>
      <c r="M49" s="2045">
        <f>'Fannie Historical Ops'!V44</f>
        <v>6928</v>
      </c>
      <c r="N49" s="1938">
        <f>ROUND(IF(M49&lt;&gt;0,(M49/M16)*12,0),2)</f>
        <v>6928</v>
      </c>
      <c r="O49" s="1923">
        <f t="shared" si="10"/>
        <v>68.59</v>
      </c>
      <c r="P49" s="1927" t="str">
        <f t="shared" si="13"/>
        <v>N/A</v>
      </c>
      <c r="Q49" s="1940">
        <v>0</v>
      </c>
      <c r="R49" s="1940">
        <v>0</v>
      </c>
      <c r="S49" s="1940">
        <v>0</v>
      </c>
      <c r="T49" s="1985">
        <f t="shared" si="14"/>
        <v>0</v>
      </c>
      <c r="U49" s="2027">
        <f t="shared" si="10"/>
        <v>0</v>
      </c>
      <c r="V49" s="1938">
        <f>'Fannie Historical Ops'!Y44</f>
        <v>0</v>
      </c>
      <c r="W49" s="2027">
        <f t="shared" si="10"/>
        <v>0</v>
      </c>
      <c r="X49" s="1938">
        <v>0</v>
      </c>
      <c r="Y49" s="2027">
        <f t="shared" si="10"/>
        <v>0</v>
      </c>
      <c r="Z49" s="1938">
        <f>'Fannie Historical Ops'!AA44</f>
        <v>0</v>
      </c>
      <c r="AA49" s="2027">
        <f t="shared" si="10"/>
        <v>0</v>
      </c>
      <c r="AB49" s="1938">
        <v>0</v>
      </c>
      <c r="AC49" s="2027">
        <f t="shared" si="10"/>
        <v>0</v>
      </c>
      <c r="AD49" s="1938">
        <f t="shared" si="27"/>
        <v>7135.84</v>
      </c>
      <c r="AE49" s="1941">
        <f t="shared" si="23"/>
        <v>70.65</v>
      </c>
      <c r="AF49" s="1931"/>
      <c r="AG49" s="1942"/>
      <c r="AH49" s="1933"/>
      <c r="AI49" s="1934"/>
      <c r="AJ49" s="6"/>
      <c r="AK49" s="6"/>
      <c r="AL49" s="6"/>
      <c r="AM49" s="6"/>
      <c r="AN49" s="6"/>
      <c r="AO49" s="6"/>
      <c r="AP49" s="6"/>
      <c r="AQ49" s="6"/>
      <c r="AR49" s="6"/>
      <c r="AS49" s="6"/>
      <c r="AT49" s="6"/>
      <c r="AU49" s="6"/>
      <c r="AV49" s="6"/>
      <c r="AW49" s="6"/>
    </row>
    <row r="50" ht="15" customHeight="1">
      <c r="A50" s="895"/>
      <c r="B50" s="688"/>
      <c r="C50" s="1815" t="s">
        <v>1824</v>
      </c>
      <c r="D50" s="1815"/>
      <c r="E50" s="1938">
        <f>'Fannie Historical Ops'!D45</f>
        <v>0</v>
      </c>
      <c r="F50" s="2027">
        <f t="shared" si="10"/>
        <v>0</v>
      </c>
      <c r="G50" s="1938">
        <f>'Fannie Historical Ops'!F45</f>
        <v>0</v>
      </c>
      <c r="H50" s="1923">
        <f t="shared" si="10"/>
        <v>0</v>
      </c>
      <c r="I50" s="1925" t="str">
        <f t="shared" si="11"/>
        <v>N/A</v>
      </c>
      <c r="J50" s="1938">
        <f>'Fannie Historical Ops'!H45</f>
        <v>0</v>
      </c>
      <c r="K50" s="1923">
        <f t="shared" si="10"/>
        <v>0</v>
      </c>
      <c r="L50" s="1925" t="str">
        <f t="shared" si="12"/>
        <v>N/A</v>
      </c>
      <c r="M50" s="2045">
        <f>'Fannie Historical Ops'!V45</f>
        <v>188637</v>
      </c>
      <c r="N50" s="1938">
        <f>ROUND(IF(M50&lt;&gt;0,(M50/M16)*12,0),2)</f>
        <v>188637</v>
      </c>
      <c r="O50" s="1923">
        <f t="shared" si="10"/>
        <v>1867.69</v>
      </c>
      <c r="P50" s="1927" t="str">
        <f t="shared" si="13"/>
        <v>N/A</v>
      </c>
      <c r="Q50" s="1940">
        <v>0</v>
      </c>
      <c r="R50" s="1940">
        <v>0</v>
      </c>
      <c r="S50" s="1940">
        <v>0</v>
      </c>
      <c r="T50" s="1985">
        <f t="shared" si="14"/>
        <v>0</v>
      </c>
      <c r="U50" s="2027">
        <f t="shared" si="10"/>
        <v>0</v>
      </c>
      <c r="V50" s="1938">
        <f>'Fannie Historical Ops'!Y45</f>
        <v>0</v>
      </c>
      <c r="W50" s="2027">
        <f t="shared" si="10"/>
        <v>0</v>
      </c>
      <c r="X50" s="1938">
        <v>0</v>
      </c>
      <c r="Y50" s="2027">
        <f t="shared" si="10"/>
        <v>0</v>
      </c>
      <c r="Z50" s="1938">
        <f>'Fannie Historical Ops'!AA45</f>
        <v>0</v>
      </c>
      <c r="AA50" s="2027">
        <f t="shared" si="10"/>
        <v>0</v>
      </c>
      <c r="AB50" s="1938">
        <v>0</v>
      </c>
      <c r="AC50" s="2027">
        <f t="shared" si="10"/>
        <v>0</v>
      </c>
      <c r="AD50" s="1938">
        <f t="shared" si="27"/>
        <v>194296.11000000002</v>
      </c>
      <c r="AE50" s="1941">
        <f t="shared" si="23"/>
        <v>1923.72</v>
      </c>
      <c r="AF50" s="1931"/>
      <c r="AG50" s="1942"/>
      <c r="AH50" s="1933"/>
      <c r="AI50" s="1934"/>
      <c r="AJ50" s="6"/>
      <c r="AK50" s="6"/>
      <c r="AL50" s="6"/>
      <c r="AM50" s="6"/>
      <c r="AN50" s="6"/>
      <c r="AO50" s="6"/>
      <c r="AP50" s="6"/>
      <c r="AQ50" s="6"/>
      <c r="AR50" s="6"/>
      <c r="AS50" s="6"/>
      <c r="AT50" s="6"/>
      <c r="AU50" s="6"/>
      <c r="AV50" s="6"/>
      <c r="AW50" s="6"/>
    </row>
    <row r="51" ht="15" customHeight="1">
      <c r="A51" s="895"/>
      <c r="B51" s="688"/>
      <c r="C51" s="1815" t="s">
        <v>1825</v>
      </c>
      <c r="D51" s="1815"/>
      <c r="E51" s="1938">
        <f>'Fannie Historical Ops'!D46</f>
        <v>0</v>
      </c>
      <c r="F51" s="2027">
        <f t="shared" si="10"/>
        <v>0</v>
      </c>
      <c r="G51" s="1938">
        <f>'Fannie Historical Ops'!F46</f>
        <v>0</v>
      </c>
      <c r="H51" s="1923">
        <f t="shared" si="10"/>
        <v>0</v>
      </c>
      <c r="I51" s="1925" t="str">
        <f t="shared" si="11"/>
        <v>N/A</v>
      </c>
      <c r="J51" s="1938">
        <f>'Fannie Historical Ops'!H46</f>
        <v>0</v>
      </c>
      <c r="K51" s="1923">
        <f t="shared" si="10"/>
        <v>0</v>
      </c>
      <c r="L51" s="1925" t="str">
        <f t="shared" si="12"/>
        <v>N/A</v>
      </c>
      <c r="M51" s="2045">
        <f>'Fannie Historical Ops'!V46</f>
        <v>115069</v>
      </c>
      <c r="N51" s="1938">
        <f>ROUND(IF(M51&gt;0,(M51/M16)*12,0),2)</f>
        <v>115069</v>
      </c>
      <c r="O51" s="1923">
        <f t="shared" si="10"/>
        <v>1139.3</v>
      </c>
      <c r="P51" s="1927" t="str">
        <f t="shared" si="13"/>
        <v>N/A</v>
      </c>
      <c r="Q51" s="1940">
        <v>0</v>
      </c>
      <c r="R51" s="1940">
        <v>0</v>
      </c>
      <c r="S51" s="1940">
        <v>0</v>
      </c>
      <c r="T51" s="1985">
        <f t="shared" si="14"/>
        <v>0</v>
      </c>
      <c r="U51" s="2027">
        <f t="shared" si="10"/>
        <v>0</v>
      </c>
      <c r="V51" s="1938">
        <f>'Fannie Historical Ops'!Y46</f>
        <v>0</v>
      </c>
      <c r="W51" s="2027">
        <f t="shared" si="10"/>
        <v>0</v>
      </c>
      <c r="X51" s="1938">
        <v>0</v>
      </c>
      <c r="Y51" s="2027">
        <f t="shared" si="10"/>
        <v>0</v>
      </c>
      <c r="Z51" s="1938">
        <f>'Fannie Historical Ops'!AA46</f>
        <v>0</v>
      </c>
      <c r="AA51" s="2027">
        <f t="shared" si="10"/>
        <v>0</v>
      </c>
      <c r="AB51" s="1938">
        <v>0</v>
      </c>
      <c r="AC51" s="2027">
        <f t="shared" si="10"/>
        <v>0</v>
      </c>
      <c r="AD51" s="1938">
        <f t="shared" si="27"/>
        <v>118521.07</v>
      </c>
      <c r="AE51" s="1941">
        <f t="shared" si="23"/>
        <v>1173.48</v>
      </c>
      <c r="AF51" s="1931"/>
      <c r="AG51" s="1942"/>
      <c r="AH51" s="1933"/>
      <c r="AI51" s="1934"/>
      <c r="AJ51" s="6"/>
      <c r="AK51" s="6"/>
      <c r="AL51" s="6"/>
      <c r="AM51" s="6"/>
      <c r="AN51" s="6"/>
      <c r="AO51" s="6"/>
      <c r="AP51" s="6"/>
      <c r="AQ51" s="6"/>
      <c r="AR51" s="6"/>
      <c r="AS51" s="6"/>
      <c r="AT51" s="6"/>
      <c r="AU51" s="6"/>
      <c r="AV51" s="6"/>
      <c r="AW51" s="6"/>
    </row>
    <row r="52" ht="15" customHeight="1">
      <c r="A52" s="895"/>
      <c r="B52" s="688"/>
      <c r="C52" s="1815" t="s">
        <v>1826</v>
      </c>
      <c r="D52" s="1815"/>
      <c r="E52" s="1938">
        <v>0</v>
      </c>
      <c r="F52" s="2027">
        <f t="shared" si="10"/>
        <v>0</v>
      </c>
      <c r="G52" s="1938">
        <v>0</v>
      </c>
      <c r="H52" s="1923">
        <f t="shared" si="10"/>
        <v>0</v>
      </c>
      <c r="I52" s="1925" t="str">
        <f t="shared" si="11"/>
        <v>N/A</v>
      </c>
      <c r="J52" s="1938">
        <v>0</v>
      </c>
      <c r="K52" s="1923">
        <f t="shared" si="10"/>
        <v>0</v>
      </c>
      <c r="L52" s="1925" t="str">
        <f t="shared" si="12"/>
        <v>N/A</v>
      </c>
      <c r="M52" s="2045">
        <v>0</v>
      </c>
      <c r="N52" s="1938">
        <f>ROUND(IF(M52&gt;0,(M52/M16)*12,0),2)</f>
        <v>0</v>
      </c>
      <c r="O52" s="1923">
        <f t="shared" si="10"/>
        <v>0</v>
      </c>
      <c r="P52" s="1927" t="str">
        <f t="shared" si="13"/>
        <v>N/A</v>
      </c>
      <c r="Q52" s="1940">
        <v>0</v>
      </c>
      <c r="R52" s="1940">
        <v>0</v>
      </c>
      <c r="S52" s="1940">
        <v>0</v>
      </c>
      <c r="T52" s="1985">
        <f t="shared" si="14"/>
        <v>0</v>
      </c>
      <c r="U52" s="2027">
        <f t="shared" si="10"/>
        <v>0</v>
      </c>
      <c r="V52" s="1938">
        <v>0</v>
      </c>
      <c r="W52" s="2027">
        <f t="shared" si="10"/>
        <v>0</v>
      </c>
      <c r="X52" s="1938">
        <v>0</v>
      </c>
      <c r="Y52" s="2027">
        <f t="shared" si="10"/>
        <v>0</v>
      </c>
      <c r="Z52" s="1938">
        <v>0</v>
      </c>
      <c r="AA52" s="2027">
        <f t="shared" si="10"/>
        <v>0</v>
      </c>
      <c r="AB52" s="1938">
        <v>0</v>
      </c>
      <c r="AC52" s="2027">
        <f t="shared" si="10"/>
        <v>0</v>
      </c>
      <c r="AD52" s="1938">
        <f t="shared" si="27"/>
        <v>0</v>
      </c>
      <c r="AE52" s="1941">
        <f t="shared" si="23"/>
        <v>0</v>
      </c>
      <c r="AF52" s="1931"/>
      <c r="AG52" s="1942"/>
      <c r="AH52" s="1933"/>
      <c r="AI52" s="1934"/>
      <c r="AJ52" s="6"/>
      <c r="AK52" s="6"/>
      <c r="AL52" s="6"/>
      <c r="AM52" s="6"/>
      <c r="AN52" s="6"/>
      <c r="AO52" s="6"/>
      <c r="AP52" s="6"/>
      <c r="AQ52" s="6"/>
      <c r="AR52" s="6"/>
      <c r="AS52" s="6"/>
      <c r="AT52" s="6"/>
      <c r="AU52" s="6"/>
      <c r="AV52" s="6"/>
      <c r="AW52" s="6"/>
    </row>
    <row r="53" ht="15" customHeight="1">
      <c r="A53" s="895"/>
      <c r="B53" s="688"/>
      <c r="C53" s="1815" t="s">
        <v>1827</v>
      </c>
      <c r="D53" s="1815"/>
      <c r="E53" s="1938">
        <f>'Fannie Historical Ops'!D47</f>
        <v>0</v>
      </c>
      <c r="F53" s="2027">
        <f t="shared" si="10"/>
        <v>0</v>
      </c>
      <c r="G53" s="1938">
        <f>'Fannie Historical Ops'!F47</f>
        <v>0</v>
      </c>
      <c r="H53" s="1923">
        <f t="shared" si="10"/>
        <v>0</v>
      </c>
      <c r="I53" s="1925" t="str">
        <f t="shared" si="11"/>
        <v>N/A</v>
      </c>
      <c r="J53" s="1938">
        <f>'Fannie Historical Ops'!H47</f>
        <v>0</v>
      </c>
      <c r="K53" s="1923">
        <f t="shared" si="10"/>
        <v>0</v>
      </c>
      <c r="L53" s="1925" t="str">
        <f t="shared" si="12"/>
        <v>N/A</v>
      </c>
      <c r="M53" s="2045">
        <f>'Fannie Historical Ops'!V47</f>
        <v>0</v>
      </c>
      <c r="N53" s="1938">
        <f>ROUND(IF(M53&gt;0,(M53/M16)*12,0),2)</f>
        <v>0</v>
      </c>
      <c r="O53" s="1923">
        <f t="shared" si="10"/>
        <v>0</v>
      </c>
      <c r="P53" s="1927" t="str">
        <f t="shared" si="13"/>
        <v>N/A</v>
      </c>
      <c r="Q53" s="1940">
        <v>0</v>
      </c>
      <c r="R53" s="1940">
        <v>0</v>
      </c>
      <c r="S53" s="1940">
        <v>0</v>
      </c>
      <c r="T53" s="1985">
        <f t="shared" si="14"/>
        <v>0</v>
      </c>
      <c r="U53" s="2027">
        <f t="shared" si="10"/>
        <v>0</v>
      </c>
      <c r="V53" s="1938">
        <f>'Fannie Historical Ops'!Y47</f>
        <v>0</v>
      </c>
      <c r="W53" s="2027">
        <f t="shared" si="10"/>
        <v>0</v>
      </c>
      <c r="X53" s="1938">
        <v>0</v>
      </c>
      <c r="Y53" s="2027">
        <f t="shared" si="10"/>
        <v>0</v>
      </c>
      <c r="Z53" s="1938">
        <f>'Fannie Historical Ops'!AA47</f>
        <v>0</v>
      </c>
      <c r="AA53" s="2027">
        <f t="shared" si="10"/>
        <v>0</v>
      </c>
      <c r="AB53" s="1938">
        <v>0</v>
      </c>
      <c r="AC53" s="2027">
        <f t="shared" si="10"/>
        <v>0</v>
      </c>
      <c r="AD53" s="1938">
        <f t="shared" si="27"/>
        <v>0</v>
      </c>
      <c r="AE53" s="1941">
        <f t="shared" si="23"/>
        <v>0</v>
      </c>
      <c r="AF53" s="1931"/>
      <c r="AG53" s="1942"/>
      <c r="AH53" s="1933"/>
      <c r="AI53" s="1934"/>
      <c r="AJ53" s="6"/>
      <c r="AK53" s="6"/>
      <c r="AL53" s="6"/>
      <c r="AM53" s="6"/>
      <c r="AN53" s="6"/>
      <c r="AO53" s="6"/>
      <c r="AP53" s="6"/>
      <c r="AQ53" s="6"/>
      <c r="AR53" s="6"/>
      <c r="AS53" s="6"/>
      <c r="AT53" s="6"/>
      <c r="AU53" s="6"/>
      <c r="AV53" s="6"/>
      <c r="AW53" s="6"/>
    </row>
    <row r="54" ht="15" customHeight="1">
      <c r="A54" s="895"/>
      <c r="B54" s="688"/>
      <c r="C54" s="1815" t="s">
        <v>1828</v>
      </c>
      <c r="D54" s="1815"/>
      <c r="E54" s="1938">
        <f>'Fannie Historical Ops'!D48</f>
        <v>0</v>
      </c>
      <c r="F54" s="2027">
        <f t="shared" si="10"/>
        <v>0</v>
      </c>
      <c r="G54" s="1938">
        <f>'Fannie Historical Ops'!F48</f>
        <v>0</v>
      </c>
      <c r="H54" s="1923">
        <f t="shared" si="10"/>
        <v>0</v>
      </c>
      <c r="I54" s="1925" t="str">
        <f t="shared" si="11"/>
        <v>N/A</v>
      </c>
      <c r="J54" s="1938">
        <f>'Fannie Historical Ops'!H48</f>
        <v>0</v>
      </c>
      <c r="K54" s="1923">
        <f t="shared" si="10"/>
        <v>0</v>
      </c>
      <c r="L54" s="1925" t="str">
        <f t="shared" si="12"/>
        <v>N/A</v>
      </c>
      <c r="M54" s="2045">
        <f>'Fannie Historical Ops'!V48</f>
        <v>10154</v>
      </c>
      <c r="N54" s="1938">
        <f>ROUND(IF(M54&gt;0,(M54/M16)*12,0),2)</f>
        <v>10154</v>
      </c>
      <c r="O54" s="1923">
        <f t="shared" si="10"/>
        <v>100.53</v>
      </c>
      <c r="P54" s="1927" t="str">
        <f t="shared" si="13"/>
        <v>N/A</v>
      </c>
      <c r="Q54" s="1940">
        <v>0</v>
      </c>
      <c r="R54" s="1940">
        <v>0</v>
      </c>
      <c r="S54" s="1940">
        <v>0</v>
      </c>
      <c r="T54" s="1985">
        <f t="shared" si="14"/>
        <v>0</v>
      </c>
      <c r="U54" s="2027">
        <f t="shared" si="10"/>
        <v>0</v>
      </c>
      <c r="V54" s="1938">
        <f>'Fannie Historical Ops'!Y48</f>
        <v>0</v>
      </c>
      <c r="W54" s="2027">
        <f t="shared" si="10"/>
        <v>0</v>
      </c>
      <c r="X54" s="1938">
        <v>0</v>
      </c>
      <c r="Y54" s="2027">
        <f t="shared" si="10"/>
        <v>0</v>
      </c>
      <c r="Z54" s="1938">
        <f>'Fannie Historical Ops'!AA48</f>
        <v>0</v>
      </c>
      <c r="AA54" s="2027">
        <f t="shared" si="10"/>
        <v>0</v>
      </c>
      <c r="AB54" s="1938">
        <v>0</v>
      </c>
      <c r="AC54" s="2027">
        <f t="shared" si="10"/>
        <v>0</v>
      </c>
      <c r="AD54" s="1938">
        <f t="shared" si="27"/>
        <v>10458.62</v>
      </c>
      <c r="AE54" s="1941">
        <f t="shared" si="23"/>
        <v>103.55</v>
      </c>
      <c r="AF54" s="1931"/>
      <c r="AG54" s="1942"/>
      <c r="AH54" s="1933"/>
      <c r="AI54" s="1934"/>
      <c r="AJ54" s="6"/>
      <c r="AK54" s="6"/>
      <c r="AL54" s="6"/>
      <c r="AM54" s="6"/>
      <c r="AN54" s="6"/>
      <c r="AO54" s="6"/>
      <c r="AP54" s="6"/>
      <c r="AQ54" s="6"/>
      <c r="AR54" s="6"/>
      <c r="AS54" s="6"/>
      <c r="AT54" s="6"/>
      <c r="AU54" s="6"/>
      <c r="AV54" s="6"/>
      <c r="AW54" s="6"/>
    </row>
    <row r="55" ht="15" customHeight="1">
      <c r="A55" s="895"/>
      <c r="B55" s="688"/>
      <c r="C55" s="1815" t="s">
        <v>1829</v>
      </c>
      <c r="D55" s="1815"/>
      <c r="E55" s="1938">
        <f>'Fannie Historical Ops'!D49</f>
        <v>0</v>
      </c>
      <c r="F55" s="2027">
        <f t="shared" si="10"/>
        <v>0</v>
      </c>
      <c r="G55" s="1938">
        <f>'Fannie Historical Ops'!F49</f>
        <v>0</v>
      </c>
      <c r="H55" s="1923">
        <f t="shared" si="10"/>
        <v>0</v>
      </c>
      <c r="I55" s="1925" t="str">
        <f t="shared" si="11"/>
        <v>N/A</v>
      </c>
      <c r="J55" s="1938">
        <f>'Fannie Historical Ops'!H49</f>
        <v>0</v>
      </c>
      <c r="K55" s="1923">
        <f t="shared" si="10"/>
        <v>0</v>
      </c>
      <c r="L55" s="1925" t="str">
        <f t="shared" si="12"/>
        <v>N/A</v>
      </c>
      <c r="M55" s="2045">
        <f>'Fannie Historical Ops'!V49</f>
        <v>26934</v>
      </c>
      <c r="N55" s="1938">
        <f>ROUND(IF(M55&gt;0,(M55/M16)*12,0),2)</f>
        <v>26934</v>
      </c>
      <c r="O55" s="1923">
        <f t="shared" si="10"/>
        <v>266.67</v>
      </c>
      <c r="P55" s="1927" t="str">
        <f t="shared" si="13"/>
        <v>N/A</v>
      </c>
      <c r="Q55" s="1940">
        <v>0</v>
      </c>
      <c r="R55" s="1940">
        <v>0</v>
      </c>
      <c r="S55" s="1940">
        <v>0</v>
      </c>
      <c r="T55" s="1985">
        <f t="shared" si="14"/>
        <v>0</v>
      </c>
      <c r="U55" s="2027">
        <f t="shared" si="10"/>
        <v>0</v>
      </c>
      <c r="V55" s="1938">
        <f>'Fannie Historical Ops'!Y49</f>
        <v>0</v>
      </c>
      <c r="W55" s="2027">
        <f t="shared" si="10"/>
        <v>0</v>
      </c>
      <c r="X55" s="1938">
        <v>0</v>
      </c>
      <c r="Y55" s="2027">
        <f t="shared" si="10"/>
        <v>0</v>
      </c>
      <c r="Z55" s="1938">
        <f>'Fannie Historical Ops'!AA49</f>
        <v>0</v>
      </c>
      <c r="AA55" s="2027">
        <f t="shared" si="10"/>
        <v>0</v>
      </c>
      <c r="AB55" s="1938">
        <v>0</v>
      </c>
      <c r="AC55" s="2027">
        <f t="shared" si="10"/>
        <v>0</v>
      </c>
      <c r="AD55" s="1938">
        <f t="shared" si="27"/>
        <v>27742.02</v>
      </c>
      <c r="AE55" s="1941">
        <f t="shared" si="23"/>
        <v>274.67</v>
      </c>
      <c r="AF55" s="1931"/>
      <c r="AG55" s="1942"/>
      <c r="AH55" s="1933"/>
      <c r="AI55" s="1934"/>
      <c r="AJ55" s="6"/>
      <c r="AK55" s="6"/>
      <c r="AL55" s="6"/>
      <c r="AM55" s="6"/>
      <c r="AN55" s="6"/>
      <c r="AO55" s="6"/>
      <c r="AP55" s="6"/>
      <c r="AQ55" s="6"/>
      <c r="AR55" s="6"/>
      <c r="AS55" s="6"/>
      <c r="AT55" s="6"/>
      <c r="AU55" s="6"/>
      <c r="AV55" s="6"/>
      <c r="AW55" s="6"/>
    </row>
    <row r="56" ht="15.75" customHeight="1">
      <c r="A56" s="895"/>
      <c r="B56" s="688"/>
      <c r="C56" s="1815" t="s">
        <v>1830</v>
      </c>
      <c r="D56" s="1815"/>
      <c r="E56" s="1938">
        <f>'Fannie Historical Ops'!D50</f>
        <v>0</v>
      </c>
      <c r="F56" s="2027">
        <f t="shared" si="10"/>
        <v>0</v>
      </c>
      <c r="G56" s="1938">
        <f>'Fannie Historical Ops'!F50</f>
        <v>0</v>
      </c>
      <c r="H56" s="1923">
        <f t="shared" si="10"/>
        <v>0</v>
      </c>
      <c r="I56" s="1925" t="str">
        <f t="shared" si="11"/>
        <v>N/A</v>
      </c>
      <c r="J56" s="1938">
        <f>'Fannie Historical Ops'!H50</f>
        <v>0</v>
      </c>
      <c r="K56" s="1923">
        <f t="shared" si="10"/>
        <v>0</v>
      </c>
      <c r="L56" s="1925" t="str">
        <f t="shared" si="12"/>
        <v>N/A</v>
      </c>
      <c r="M56" s="2045">
        <f>'Fannie Historical Ops'!V50</f>
        <v>36517</v>
      </c>
      <c r="N56" s="1938">
        <f>ROUND(IF(M56&gt;0,(M56/M16)*12,0),2)</f>
        <v>36517</v>
      </c>
      <c r="O56" s="1923">
        <f t="shared" si="10"/>
        <v>361.55</v>
      </c>
      <c r="P56" s="1927" t="str">
        <f t="shared" si="13"/>
        <v>N/A</v>
      </c>
      <c r="Q56" s="1940">
        <v>0</v>
      </c>
      <c r="R56" s="1940">
        <v>0</v>
      </c>
      <c r="S56" s="1940">
        <v>0</v>
      </c>
      <c r="T56" s="1985">
        <f t="shared" si="14"/>
        <v>0</v>
      </c>
      <c r="U56" s="2027">
        <f t="shared" si="10"/>
        <v>0</v>
      </c>
      <c r="V56" s="1938">
        <f>'Fannie Historical Ops'!Y50</f>
        <v>0</v>
      </c>
      <c r="W56" s="2027">
        <f t="shared" si="10"/>
        <v>0</v>
      </c>
      <c r="X56" s="1938">
        <v>0</v>
      </c>
      <c r="Y56" s="2027">
        <f t="shared" si="10"/>
        <v>0</v>
      </c>
      <c r="Z56" s="1938">
        <f>'Fannie Historical Ops'!AA50</f>
        <v>0</v>
      </c>
      <c r="AA56" s="2027">
        <f t="shared" si="10"/>
        <v>0</v>
      </c>
      <c r="AB56" s="1938">
        <v>0</v>
      </c>
      <c r="AC56" s="2027">
        <f t="shared" si="10"/>
        <v>0</v>
      </c>
      <c r="AD56" s="1938">
        <f t="shared" si="27"/>
        <v>37612.51</v>
      </c>
      <c r="AE56" s="1941">
        <f t="shared" si="23"/>
        <v>372.4</v>
      </c>
      <c r="AF56" s="1931"/>
      <c r="AG56" s="1942"/>
      <c r="AH56" s="1967"/>
      <c r="AI56" s="1934"/>
      <c r="AJ56" s="6"/>
      <c r="AK56" s="6"/>
      <c r="AL56" s="6"/>
      <c r="AM56" s="6"/>
      <c r="AN56" s="6"/>
      <c r="AO56" s="6"/>
      <c r="AP56" s="6"/>
      <c r="AQ56" s="6"/>
      <c r="AR56" s="6"/>
      <c r="AS56" s="6"/>
      <c r="AT56" s="6"/>
      <c r="AU56" s="6"/>
      <c r="AV56" s="6"/>
      <c r="AW56" s="6"/>
    </row>
    <row r="57" ht="15.75" customHeight="1">
      <c r="A57" s="895"/>
      <c r="B57" s="688"/>
      <c r="C57" s="1956" t="s">
        <v>1807</v>
      </c>
      <c r="D57" s="1957"/>
      <c r="E57" s="1991">
        <f t="shared" si="33" ref="E57:AD57">IF(SUM(E48:E56)=0,0,SUM(E48:E56))</f>
        <v>0</v>
      </c>
      <c r="F57" s="2022">
        <f t="shared" si="10"/>
        <v>0</v>
      </c>
      <c r="G57" s="1991">
        <f t="shared" si="33"/>
        <v>0</v>
      </c>
      <c r="H57" s="2022">
        <f t="shared" si="10"/>
        <v>0</v>
      </c>
      <c r="I57" s="1988" t="str">
        <f t="shared" si="11"/>
        <v>N/A</v>
      </c>
      <c r="J57" s="1991">
        <f t="shared" si="33"/>
        <v>0</v>
      </c>
      <c r="K57" s="2022">
        <f t="shared" si="10"/>
        <v>0</v>
      </c>
      <c r="L57" s="1988" t="str">
        <f t="shared" si="12"/>
        <v>N/A</v>
      </c>
      <c r="M57" s="1991">
        <f t="shared" si="33"/>
        <v>426867</v>
      </c>
      <c r="N57" s="1991">
        <f t="shared" si="33"/>
        <v>426867</v>
      </c>
      <c r="O57" s="2022">
        <f t="shared" si="10"/>
        <v>4226.41</v>
      </c>
      <c r="P57" s="1990" t="str">
        <f t="shared" si="13"/>
        <v>N/A</v>
      </c>
      <c r="Q57" s="1991">
        <f t="shared" si="33"/>
        <v>0</v>
      </c>
      <c r="R57" s="1991">
        <f t="shared" si="33"/>
        <v>0</v>
      </c>
      <c r="S57" s="1991">
        <f t="shared" si="33"/>
        <v>0</v>
      </c>
      <c r="T57" s="1991">
        <f t="shared" si="33"/>
        <v>0</v>
      </c>
      <c r="U57" s="2022">
        <f t="shared" si="10"/>
        <v>0</v>
      </c>
      <c r="V57" s="1991">
        <f t="shared" si="33"/>
        <v>0</v>
      </c>
      <c r="W57" s="2022">
        <f t="shared" si="10"/>
        <v>0</v>
      </c>
      <c r="X57" s="1991">
        <f t="shared" si="33"/>
        <v>0</v>
      </c>
      <c r="Y57" s="2022">
        <f t="shared" si="10"/>
        <v>0</v>
      </c>
      <c r="Z57" s="1991">
        <f t="shared" si="33"/>
        <v>0</v>
      </c>
      <c r="AA57" s="2022">
        <f t="shared" si="10"/>
        <v>0</v>
      </c>
      <c r="AB57" s="1991">
        <f t="shared" si="33"/>
        <v>0</v>
      </c>
      <c r="AC57" s="2022">
        <f t="shared" si="10"/>
        <v>0</v>
      </c>
      <c r="AD57" s="1991">
        <f t="shared" si="33"/>
        <v>439673.01000000007</v>
      </c>
      <c r="AE57" s="1993">
        <f t="shared" si="23"/>
        <v>4353.2</v>
      </c>
      <c r="AF57" s="1931"/>
      <c r="AG57" s="1971" t="e">
        <f>GETPIVOTDATA("[Measures].[Average]",$AK$21,"[Summary Line Items].[Line Item Type]","[Summary Line Items].[Line Item Type].&amp;[Repair and Maintenance]")</f>
        <v>#REF!</v>
      </c>
      <c r="AH57" s="1933"/>
      <c r="AI57" s="2046"/>
      <c r="AJ57" s="1408"/>
      <c r="AK57" s="6"/>
      <c r="AL57" s="6"/>
      <c r="AM57" s="6"/>
      <c r="AN57" s="6"/>
      <c r="AO57" s="6"/>
      <c r="AP57" s="6"/>
      <c r="AQ57" s="6"/>
      <c r="AR57" s="6"/>
      <c r="AS57" s="6"/>
      <c r="AT57" s="6"/>
      <c r="AU57" s="6"/>
      <c r="AV57" s="6"/>
      <c r="AW57" s="6"/>
    </row>
    <row r="58" ht="15" customHeight="1">
      <c r="A58" s="895"/>
      <c r="B58" s="688"/>
      <c r="C58" s="1956" t="s">
        <v>1808</v>
      </c>
      <c r="D58" s="1956"/>
      <c r="E58" s="2020">
        <f>'Fannie Historical Ops'!D51</f>
        <v>0</v>
      </c>
      <c r="F58" s="2047" t="e">
        <f t="shared" si="34" ref="F58:AE58">E58/E36</f>
        <v>#DIV/0!</v>
      </c>
      <c r="G58" s="2020">
        <f>'Fannie Historical Ops'!F51</f>
        <v>0</v>
      </c>
      <c r="H58" s="2048" t="e">
        <f t="shared" si="34"/>
        <v>#DIV/0!</v>
      </c>
      <c r="I58" s="1988" t="str">
        <f t="shared" si="11"/>
        <v>N/A</v>
      </c>
      <c r="J58" s="2020">
        <f>'Fannie Historical Ops'!H51</f>
        <v>0</v>
      </c>
      <c r="K58" s="2048" t="e">
        <f t="shared" si="34"/>
        <v>#DIV/0!</v>
      </c>
      <c r="L58" s="1988" t="str">
        <f t="shared" si="12"/>
        <v>N/A</v>
      </c>
      <c r="M58" s="2020">
        <f>'Fannie Historical Ops'!V51</f>
        <v>173577</v>
      </c>
      <c r="N58" s="2020">
        <f>ROUND(IF(M58&gt;0,(M58/M16)*12,0),2)</f>
        <v>173577</v>
      </c>
      <c r="O58" s="2048">
        <f t="shared" si="34"/>
        <v>0.0378074275301552</v>
      </c>
      <c r="P58" s="1990" t="str">
        <f t="shared" si="13"/>
        <v>N/A</v>
      </c>
      <c r="Q58" s="2020">
        <v>0</v>
      </c>
      <c r="R58" s="2020">
        <v>0</v>
      </c>
      <c r="S58" s="2020">
        <v>0</v>
      </c>
      <c r="T58" s="2049">
        <f t="shared" si="14"/>
        <v>0</v>
      </c>
      <c r="U58" s="2047" t="e">
        <f t="shared" si="34"/>
        <v>#DIV/0!</v>
      </c>
      <c r="V58" s="2020">
        <f>'Fannie Historical Ops'!Y51</f>
        <v>0</v>
      </c>
      <c r="W58" s="2047" t="e">
        <f t="shared" si="34"/>
        <v>#DIV/0!</v>
      </c>
      <c r="X58" s="2020">
        <v>0</v>
      </c>
      <c r="Y58" s="2047" t="e">
        <f t="shared" si="34"/>
        <v>#DIV/0!</v>
      </c>
      <c r="Z58" s="2020">
        <f>'Fannie Historical Ops'!AA51</f>
        <v>0</v>
      </c>
      <c r="AA58" s="2047" t="e">
        <f t="shared" si="34"/>
        <v>#DIV/0!</v>
      </c>
      <c r="AB58" s="2020">
        <v>0</v>
      </c>
      <c r="AC58" s="2047" t="e">
        <f t="shared" si="34"/>
        <v>#DIV/0!</v>
      </c>
      <c r="AD58" s="2020">
        <f>AD36*$AE$10</f>
        <v>36490.409999999996</v>
      </c>
      <c r="AE58" s="2050">
        <f t="shared" si="34"/>
        <v>0.029999999999999995</v>
      </c>
      <c r="AF58" s="1931"/>
      <c r="AG58" s="2025" t="e">
        <f>TEXT(GETPIVOTDATA("[Measures].[Average]",$AK$21,"[Summary Line Items].[Line Item Type]","[Summary Line Items].[Line Item Type].&amp;[Nonresident Mgt.]"),"$0")&amp;" ("&amp;TEXT(GETPIVOTDATA("[Measures].[Average]",$AK$21,"[Summary Line Items].[Line Item Type]","[Summary Line Items].[Line Item Type].&amp;[Management Fee (% of EGI)]"),"0.00%")&amp;")"</f>
        <v>#REF!</v>
      </c>
      <c r="AH58" s="1933"/>
      <c r="AI58" s="1934"/>
      <c r="AJ58" s="6"/>
      <c r="AK58" s="6"/>
      <c r="AL58" s="6"/>
      <c r="AM58" s="6"/>
      <c r="AN58" s="6"/>
      <c r="AO58" s="6"/>
      <c r="AP58" s="6"/>
      <c r="AQ58" s="6"/>
      <c r="AR58" s="6"/>
      <c r="AS58" s="6"/>
      <c r="AT58" s="6"/>
      <c r="AU58" s="6"/>
      <c r="AV58" s="6"/>
      <c r="AW58" s="6"/>
    </row>
    <row r="59" ht="15" customHeight="1">
      <c r="A59" s="895"/>
      <c r="B59" s="688"/>
      <c r="C59" s="1815" t="s">
        <v>1831</v>
      </c>
      <c r="D59" s="1815"/>
      <c r="E59" s="1938">
        <f>'Fannie Historical Ops'!D52+'Fannie Historical Ops'!D53</f>
        <v>0</v>
      </c>
      <c r="F59" s="2027">
        <f t="shared" si="10"/>
        <v>0</v>
      </c>
      <c r="G59" s="1938">
        <f>'Fannie Historical Ops'!F52+'Fannie Historical Ops'!F53</f>
        <v>0</v>
      </c>
      <c r="H59" s="1923">
        <f t="shared" si="10"/>
        <v>0</v>
      </c>
      <c r="I59" s="1925" t="str">
        <f t="shared" si="11"/>
        <v>N/A</v>
      </c>
      <c r="J59" s="1938">
        <f>'Fannie Historical Ops'!H52+'Fannie Historical Ops'!H53</f>
        <v>0</v>
      </c>
      <c r="K59" s="1923">
        <f t="shared" si="10"/>
        <v>0</v>
      </c>
      <c r="L59" s="1925" t="str">
        <f t="shared" si="12"/>
        <v>N/A</v>
      </c>
      <c r="M59" s="2045">
        <f>'Fannie Historical Ops'!V52+'Fannie Historical Ops'!V53</f>
        <v>193726</v>
      </c>
      <c r="N59" s="1938">
        <f>ROUND(IF(M59&gt;0,(M59/M16)*12,0),2)</f>
        <v>193726</v>
      </c>
      <c r="O59" s="1923">
        <f t="shared" si="10"/>
        <v>1918.08</v>
      </c>
      <c r="P59" s="1927" t="str">
        <f t="shared" si="13"/>
        <v>N/A</v>
      </c>
      <c r="Q59" s="1940">
        <v>0</v>
      </c>
      <c r="R59" s="1940">
        <v>0</v>
      </c>
      <c r="S59" s="1940">
        <v>0</v>
      </c>
      <c r="T59" s="1985">
        <f t="shared" si="14"/>
        <v>0</v>
      </c>
      <c r="U59" s="2027">
        <f t="shared" si="10"/>
        <v>0</v>
      </c>
      <c r="V59" s="1938">
        <f>'Fannie Historical Ops'!Y52+'Fannie Historical Ops'!Y53</f>
        <v>0</v>
      </c>
      <c r="W59" s="2027">
        <f t="shared" si="10"/>
        <v>0</v>
      </c>
      <c r="X59" s="1938">
        <v>0</v>
      </c>
      <c r="Y59" s="2027">
        <f t="shared" si="10"/>
        <v>0</v>
      </c>
      <c r="Z59" s="1938">
        <f>'Fannie Historical Ops'!AA52+'Fannie Historical Ops'!AA53</f>
        <v>0</v>
      </c>
      <c r="AA59" s="2027">
        <f t="shared" si="10"/>
        <v>0</v>
      </c>
      <c r="AB59" s="1938">
        <v>0</v>
      </c>
      <c r="AC59" s="2027">
        <f t="shared" si="10"/>
        <v>0</v>
      </c>
      <c r="AD59" s="1938">
        <f t="shared" si="27"/>
        <v>199537.78</v>
      </c>
      <c r="AE59" s="1941">
        <f t="shared" si="23"/>
        <v>1975.62</v>
      </c>
      <c r="AF59" s="1931"/>
      <c r="AG59" s="1942"/>
      <c r="AH59" s="1933"/>
      <c r="AI59" s="1934"/>
      <c r="AJ59" s="6"/>
      <c r="AK59" s="6"/>
      <c r="AL59" s="6"/>
      <c r="AM59" s="6"/>
      <c r="AN59" s="6"/>
      <c r="AO59" s="6"/>
      <c r="AP59" s="6"/>
      <c r="AQ59" s="6"/>
      <c r="AR59" s="6"/>
      <c r="AS59" s="6"/>
      <c r="AT59" s="6"/>
      <c r="AU59" s="6"/>
      <c r="AV59" s="6"/>
      <c r="AW59" s="6"/>
    </row>
    <row r="60" ht="15" customHeight="1">
      <c r="A60" s="895"/>
      <c r="B60" s="688"/>
      <c r="C60" s="1815" t="s">
        <v>1832</v>
      </c>
      <c r="D60" s="1815"/>
      <c r="E60" s="1938">
        <f>'Fannie Historical Ops'!D66</f>
        <v>0</v>
      </c>
      <c r="F60" s="2027">
        <f t="shared" si="10"/>
        <v>0</v>
      </c>
      <c r="G60" s="1938">
        <f>'Fannie Historical Ops'!F66</f>
        <v>0</v>
      </c>
      <c r="H60" s="1923">
        <f t="shared" si="10"/>
        <v>0</v>
      </c>
      <c r="I60" s="1925" t="str">
        <f t="shared" si="11"/>
        <v>N/A</v>
      </c>
      <c r="J60" s="1938">
        <f>'Fannie Historical Ops'!H66</f>
        <v>0</v>
      </c>
      <c r="K60" s="1923">
        <f t="shared" si="10"/>
        <v>0</v>
      </c>
      <c r="L60" s="1925" t="str">
        <f t="shared" si="12"/>
        <v>N/A</v>
      </c>
      <c r="M60" s="2045">
        <f>'Fannie Historical Ops'!V66</f>
        <v>0</v>
      </c>
      <c r="N60" s="1938">
        <f>ROUND(IF(M60&gt;0,(M60/M16)*12,0),2)</f>
        <v>0</v>
      </c>
      <c r="O60" s="1923">
        <f t="shared" si="10"/>
        <v>0</v>
      </c>
      <c r="P60" s="1927" t="str">
        <f t="shared" si="13"/>
        <v>N/A</v>
      </c>
      <c r="Q60" s="1940">
        <v>0</v>
      </c>
      <c r="R60" s="1940">
        <v>0</v>
      </c>
      <c r="S60" s="1940">
        <v>0</v>
      </c>
      <c r="T60" s="1985">
        <f t="shared" si="14"/>
        <v>0</v>
      </c>
      <c r="U60" s="2027">
        <f t="shared" si="10"/>
        <v>0</v>
      </c>
      <c r="V60" s="1938">
        <f>'Fannie Historical Ops'!Y66</f>
        <v>0</v>
      </c>
      <c r="W60" s="2027">
        <f t="shared" si="10"/>
        <v>0</v>
      </c>
      <c r="X60" s="1938">
        <v>0</v>
      </c>
      <c r="Y60" s="2027">
        <f t="shared" si="10"/>
        <v>0</v>
      </c>
      <c r="Z60" s="1938">
        <f>'Fannie Historical Ops'!AA66</f>
        <v>0</v>
      </c>
      <c r="AA60" s="2027">
        <f t="shared" si="10"/>
        <v>0</v>
      </c>
      <c r="AB60" s="1938">
        <v>0</v>
      </c>
      <c r="AC60" s="2027">
        <f t="shared" si="10"/>
        <v>0</v>
      </c>
      <c r="AD60" s="1938">
        <f t="shared" si="27"/>
        <v>0</v>
      </c>
      <c r="AE60" s="1941">
        <f t="shared" si="23"/>
        <v>0</v>
      </c>
      <c r="AF60" s="1931"/>
      <c r="AG60" s="1942"/>
      <c r="AH60" s="1933"/>
      <c r="AI60" s="1934"/>
      <c r="AJ60" s="6"/>
      <c r="AK60" s="6"/>
      <c r="AL60" s="6"/>
      <c r="AM60" s="6"/>
      <c r="AN60" s="6"/>
      <c r="AO60" s="6"/>
      <c r="AP60" s="6"/>
      <c r="AQ60" s="6"/>
      <c r="AR60" s="6"/>
      <c r="AS60" s="6"/>
      <c r="AT60" s="6"/>
      <c r="AU60" s="6"/>
      <c r="AV60" s="6"/>
      <c r="AW60" s="6"/>
    </row>
    <row r="61" ht="15" customHeight="1">
      <c r="A61" s="895"/>
      <c r="B61" s="688"/>
      <c r="C61" s="1815" t="s">
        <v>1833</v>
      </c>
      <c r="D61" s="1815"/>
      <c r="E61" s="1938">
        <f>SUM('Fannie Historical Ops'!D54:D55,'Fannie Historical Ops'!D57)</f>
        <v>0</v>
      </c>
      <c r="F61" s="2027">
        <f t="shared" si="10"/>
        <v>0</v>
      </c>
      <c r="G61" s="1938">
        <f>SUM('Fannie Historical Ops'!F54:F55,'Fannie Historical Ops'!F57)</f>
        <v>0</v>
      </c>
      <c r="H61" s="1923">
        <f t="shared" si="10"/>
        <v>0</v>
      </c>
      <c r="I61" s="1925" t="str">
        <f t="shared" si="11"/>
        <v>N/A</v>
      </c>
      <c r="J61" s="1938">
        <f>SUM('Fannie Historical Ops'!H54:H55,'Fannie Historical Ops'!H57)</f>
        <v>0</v>
      </c>
      <c r="K61" s="1923">
        <f t="shared" si="10"/>
        <v>0</v>
      </c>
      <c r="L61" s="1925" t="str">
        <f t="shared" si="12"/>
        <v>N/A</v>
      </c>
      <c r="M61" s="2045">
        <f>SUM('Fannie Historical Ops'!V54:V55,'Fannie Historical Ops'!V57)</f>
        <v>212857</v>
      </c>
      <c r="N61" s="1938">
        <f>ROUND(IF(M61&gt;0,(M61/M16)*12,0),2)</f>
        <v>212857</v>
      </c>
      <c r="O61" s="1923">
        <f t="shared" si="10"/>
        <v>2107.5</v>
      </c>
      <c r="P61" s="1927" t="str">
        <f t="shared" si="13"/>
        <v>N/A</v>
      </c>
      <c r="Q61" s="1940">
        <v>0</v>
      </c>
      <c r="R61" s="1940">
        <v>0</v>
      </c>
      <c r="S61" s="1940">
        <v>0</v>
      </c>
      <c r="T61" s="1985">
        <f t="shared" si="14"/>
        <v>0</v>
      </c>
      <c r="U61" s="2027">
        <f t="shared" si="10"/>
        <v>0</v>
      </c>
      <c r="V61" s="1938">
        <f>SUM('Fannie Historical Ops'!Y54:Y55,'Fannie Historical Ops'!Y57)</f>
        <v>0</v>
      </c>
      <c r="W61" s="2027">
        <f t="shared" si="10"/>
        <v>0</v>
      </c>
      <c r="X61" s="1938">
        <v>0</v>
      </c>
      <c r="Y61" s="2027">
        <f t="shared" si="10"/>
        <v>0</v>
      </c>
      <c r="Z61" s="1938">
        <f>SUM('Fannie Historical Ops'!AA54:AA55,'Fannie Historical Ops'!AA57)</f>
        <v>0</v>
      </c>
      <c r="AA61" s="2027">
        <f t="shared" si="10"/>
        <v>0</v>
      </c>
      <c r="AB61" s="1938">
        <v>0</v>
      </c>
      <c r="AC61" s="2027">
        <f t="shared" si="10"/>
        <v>0</v>
      </c>
      <c r="AD61" s="1938">
        <f t="shared" si="27"/>
        <v>219242.71</v>
      </c>
      <c r="AE61" s="1941">
        <f t="shared" si="23"/>
        <v>2170.72</v>
      </c>
      <c r="AF61" s="1931"/>
      <c r="AG61" s="1942"/>
      <c r="AH61" s="1933"/>
      <c r="AI61" s="1934"/>
      <c r="AJ61" s="6"/>
      <c r="AK61" s="6"/>
      <c r="AL61" s="6"/>
      <c r="AM61" s="6"/>
      <c r="AN61" s="6"/>
      <c r="AO61" s="6"/>
      <c r="AP61" s="6"/>
      <c r="AQ61" s="6"/>
      <c r="AR61" s="6"/>
      <c r="AS61" s="6"/>
      <c r="AT61" s="6"/>
      <c r="AU61" s="6"/>
      <c r="AV61" s="6"/>
      <c r="AW61" s="6"/>
    </row>
    <row r="62" ht="15" customHeight="1">
      <c r="A62" s="895"/>
      <c r="B62" s="688"/>
      <c r="C62" s="1815" t="s">
        <v>1834</v>
      </c>
      <c r="D62" s="1815"/>
      <c r="E62" s="1938">
        <f>'Fannie Historical Ops'!D58</f>
        <v>0</v>
      </c>
      <c r="F62" s="2027">
        <f t="shared" si="10"/>
        <v>0</v>
      </c>
      <c r="G62" s="1938">
        <f>'Fannie Historical Ops'!F58</f>
        <v>0</v>
      </c>
      <c r="H62" s="1923">
        <f t="shared" si="10"/>
        <v>0</v>
      </c>
      <c r="I62" s="1925" t="str">
        <f t="shared" si="11"/>
        <v>N/A</v>
      </c>
      <c r="J62" s="1938">
        <f>'Fannie Historical Ops'!H58</f>
        <v>0</v>
      </c>
      <c r="K62" s="1923">
        <f t="shared" si="10"/>
        <v>0</v>
      </c>
      <c r="L62" s="1925" t="str">
        <f t="shared" si="12"/>
        <v>N/A</v>
      </c>
      <c r="M62" s="2045">
        <f>'Fannie Historical Ops'!V58</f>
        <v>71566</v>
      </c>
      <c r="N62" s="1938">
        <f>ROUND(IF(M62&gt;0,(M62/M16)*12,0),2)</f>
        <v>71566</v>
      </c>
      <c r="O62" s="1923">
        <f t="shared" si="10"/>
        <v>708.57</v>
      </c>
      <c r="P62" s="1927" t="str">
        <f t="shared" si="13"/>
        <v>N/A</v>
      </c>
      <c r="Q62" s="1940">
        <v>0</v>
      </c>
      <c r="R62" s="1940">
        <v>0</v>
      </c>
      <c r="S62" s="1940">
        <v>0</v>
      </c>
      <c r="T62" s="1985">
        <f t="shared" si="14"/>
        <v>0</v>
      </c>
      <c r="U62" s="2027">
        <f t="shared" si="10"/>
        <v>0</v>
      </c>
      <c r="V62" s="1938">
        <f>'Fannie Historical Ops'!Y58</f>
        <v>0</v>
      </c>
      <c r="W62" s="2027">
        <f t="shared" si="10"/>
        <v>0</v>
      </c>
      <c r="X62" s="1938">
        <v>0</v>
      </c>
      <c r="Y62" s="2027">
        <f t="shared" si="10"/>
        <v>0</v>
      </c>
      <c r="Z62" s="1938">
        <f>'Fannie Historical Ops'!AA58</f>
        <v>0</v>
      </c>
      <c r="AA62" s="2027">
        <f t="shared" si="10"/>
        <v>0</v>
      </c>
      <c r="AB62" s="1938">
        <v>0</v>
      </c>
      <c r="AC62" s="2027">
        <f t="shared" si="10"/>
        <v>0</v>
      </c>
      <c r="AD62" s="1938">
        <f t="shared" si="27"/>
        <v>73712.98</v>
      </c>
      <c r="AE62" s="1941">
        <f t="shared" si="23"/>
        <v>729.83</v>
      </c>
      <c r="AF62" s="1931"/>
      <c r="AG62" s="1942"/>
      <c r="AH62" s="1933"/>
      <c r="AI62" s="1934"/>
      <c r="AJ62" s="6"/>
      <c r="AK62" s="6"/>
      <c r="AL62" s="6"/>
      <c r="AM62" s="6"/>
      <c r="AN62" s="6"/>
      <c r="AO62" s="6"/>
      <c r="AP62" s="6"/>
      <c r="AQ62" s="6"/>
      <c r="AR62" s="6"/>
      <c r="AS62" s="6"/>
      <c r="AT62" s="6"/>
      <c r="AU62" s="6"/>
      <c r="AV62" s="6"/>
      <c r="AW62" s="6"/>
    </row>
    <row r="63" ht="15.75" customHeight="1">
      <c r="A63" s="895"/>
      <c r="B63" s="688"/>
      <c r="C63" s="1815" t="s">
        <v>1835</v>
      </c>
      <c r="D63" s="1815"/>
      <c r="E63" s="1938">
        <f>'Fannie Historical Ops'!D56</f>
        <v>0</v>
      </c>
      <c r="F63" s="2027">
        <f t="shared" si="10"/>
        <v>0</v>
      </c>
      <c r="G63" s="1938">
        <f>'Fannie Historical Ops'!F56</f>
        <v>0</v>
      </c>
      <c r="H63" s="1923">
        <f t="shared" si="10"/>
        <v>0</v>
      </c>
      <c r="I63" s="1925" t="str">
        <f t="shared" si="11"/>
        <v>N/A</v>
      </c>
      <c r="J63" s="1938">
        <f>'Fannie Historical Ops'!H56</f>
        <v>0</v>
      </c>
      <c r="K63" s="1923">
        <f t="shared" si="10"/>
        <v>0</v>
      </c>
      <c r="L63" s="1925" t="str">
        <f t="shared" si="12"/>
        <v>N/A</v>
      </c>
      <c r="M63" s="2045">
        <f>'Fannie Historical Ops'!V56</f>
        <v>0</v>
      </c>
      <c r="N63" s="1938">
        <f>ROUND(IF(M63&gt;0,(M63/M16)*12,0),2)</f>
        <v>0</v>
      </c>
      <c r="O63" s="1923">
        <f t="shared" si="10"/>
        <v>0</v>
      </c>
      <c r="P63" s="1927" t="str">
        <f t="shared" si="13"/>
        <v>N/A</v>
      </c>
      <c r="Q63" s="1940">
        <v>0</v>
      </c>
      <c r="R63" s="1940">
        <v>0</v>
      </c>
      <c r="S63" s="1940">
        <v>0</v>
      </c>
      <c r="T63" s="1985">
        <f t="shared" si="14"/>
        <v>0</v>
      </c>
      <c r="U63" s="2027">
        <f t="shared" si="10"/>
        <v>0</v>
      </c>
      <c r="V63" s="1938">
        <f>'Fannie Historical Ops'!Y56</f>
        <v>0</v>
      </c>
      <c r="W63" s="2027">
        <f t="shared" si="10"/>
        <v>0</v>
      </c>
      <c r="X63" s="1938">
        <v>0</v>
      </c>
      <c r="Y63" s="2027">
        <f t="shared" si="10"/>
        <v>0</v>
      </c>
      <c r="Z63" s="1938">
        <f>'Fannie Historical Ops'!AA56</f>
        <v>0</v>
      </c>
      <c r="AA63" s="2027">
        <f t="shared" si="10"/>
        <v>0</v>
      </c>
      <c r="AB63" s="1938">
        <v>0</v>
      </c>
      <c r="AC63" s="2027">
        <f t="shared" si="10"/>
        <v>0</v>
      </c>
      <c r="AD63" s="1938">
        <f t="shared" si="27"/>
        <v>0</v>
      </c>
      <c r="AE63" s="1941">
        <f t="shared" si="23"/>
        <v>0</v>
      </c>
      <c r="AF63" s="1931"/>
      <c r="AG63" s="1942"/>
      <c r="AH63" s="1967"/>
      <c r="AI63" s="1934"/>
      <c r="AJ63" s="6"/>
      <c r="AK63" s="6"/>
      <c r="AL63" s="6"/>
      <c r="AM63" s="6"/>
      <c r="AN63" s="6"/>
      <c r="AO63" s="6"/>
      <c r="AP63" s="6"/>
      <c r="AQ63" s="6"/>
      <c r="AR63" s="6"/>
      <c r="AS63" s="6"/>
      <c r="AT63" s="6"/>
      <c r="AU63" s="6"/>
      <c r="AV63" s="6"/>
      <c r="AW63" s="6"/>
    </row>
    <row r="64" ht="15.75" customHeight="1">
      <c r="A64" s="895"/>
      <c r="B64" s="688"/>
      <c r="C64" s="1956" t="s">
        <v>1810</v>
      </c>
      <c r="D64" s="1957"/>
      <c r="E64" s="1991">
        <f t="shared" si="35" ref="E64:AB64">IF(SUM(E59:E63)=0,0,SUM(E59:E63))</f>
        <v>0</v>
      </c>
      <c r="F64" s="2022">
        <f t="shared" si="10"/>
        <v>0</v>
      </c>
      <c r="G64" s="1991">
        <f t="shared" si="35"/>
        <v>0</v>
      </c>
      <c r="H64" s="2022">
        <f t="shared" si="10"/>
        <v>0</v>
      </c>
      <c r="I64" s="1988" t="str">
        <f t="shared" si="11"/>
        <v>N/A</v>
      </c>
      <c r="J64" s="1991">
        <f t="shared" si="35"/>
        <v>0</v>
      </c>
      <c r="K64" s="2022">
        <f t="shared" si="10"/>
        <v>0</v>
      </c>
      <c r="L64" s="1988" t="str">
        <f t="shared" si="12"/>
        <v>N/A</v>
      </c>
      <c r="M64" s="1991">
        <f t="shared" si="35"/>
        <v>478149</v>
      </c>
      <c r="N64" s="1991">
        <f t="shared" si="35"/>
        <v>478149</v>
      </c>
      <c r="O64" s="2022">
        <f t="shared" si="10"/>
        <v>4734.15</v>
      </c>
      <c r="P64" s="1990" t="str">
        <f t="shared" si="13"/>
        <v>N/A</v>
      </c>
      <c r="Q64" s="1991">
        <f t="shared" si="35"/>
        <v>0</v>
      </c>
      <c r="R64" s="1991">
        <f t="shared" si="35"/>
        <v>0</v>
      </c>
      <c r="S64" s="1991">
        <f t="shared" si="35"/>
        <v>0</v>
      </c>
      <c r="T64" s="1991">
        <f t="shared" si="35"/>
        <v>0</v>
      </c>
      <c r="U64" s="2022">
        <f t="shared" si="10"/>
        <v>0</v>
      </c>
      <c r="V64" s="1991">
        <f t="shared" si="35"/>
        <v>0</v>
      </c>
      <c r="W64" s="2022">
        <f t="shared" si="10"/>
        <v>0</v>
      </c>
      <c r="X64" s="1991">
        <f t="shared" si="35"/>
        <v>0</v>
      </c>
      <c r="Y64" s="2022">
        <f t="shared" si="10"/>
        <v>0</v>
      </c>
      <c r="Z64" s="1991">
        <f t="shared" si="35"/>
        <v>0</v>
      </c>
      <c r="AA64" s="2022">
        <f t="shared" si="10"/>
        <v>0</v>
      </c>
      <c r="AB64" s="1991">
        <f t="shared" si="35"/>
        <v>0</v>
      </c>
      <c r="AC64" s="2022">
        <f t="shared" si="10"/>
        <v>0</v>
      </c>
      <c r="AD64" s="1991">
        <f>SUM(AD59:AD63)</f>
        <v>492493.47</v>
      </c>
      <c r="AE64" s="1993">
        <f t="shared" si="23"/>
        <v>4876.17</v>
      </c>
      <c r="AF64" s="1931"/>
      <c r="AG64" s="1971" t="e">
        <f>GETPIVOTDATA("[Measures].[Average]",$AK$21,"[Summary Line Items].[Line Item Type]","[Summary Line Items].[Line Item Type].&amp;[Total Payroll]")</f>
        <v>#REF!</v>
      </c>
      <c r="AH64" s="1933"/>
      <c r="AI64" s="1934"/>
      <c r="AJ64" s="6"/>
      <c r="AK64" s="6"/>
      <c r="AL64" s="6"/>
      <c r="AM64" s="6"/>
      <c r="AN64" s="6"/>
      <c r="AO64" s="6"/>
      <c r="AP64" s="6"/>
      <c r="AQ64" s="6"/>
      <c r="AR64" s="6"/>
      <c r="AS64" s="6"/>
      <c r="AT64" s="6"/>
      <c r="AU64" s="6"/>
      <c r="AV64" s="6"/>
      <c r="AW64" s="6"/>
    </row>
    <row r="65" ht="15" customHeight="1">
      <c r="A65" s="895"/>
      <c r="B65" s="688"/>
      <c r="C65" s="1815" t="s">
        <v>1836</v>
      </c>
      <c r="D65" s="1815"/>
      <c r="E65" s="1938">
        <f>'Fannie Historical Ops'!D59</f>
        <v>0</v>
      </c>
      <c r="F65" s="2027">
        <f t="shared" si="10"/>
        <v>0</v>
      </c>
      <c r="G65" s="1938">
        <f>'Fannie Historical Ops'!F59</f>
        <v>0</v>
      </c>
      <c r="H65" s="1923">
        <f t="shared" si="10"/>
        <v>0</v>
      </c>
      <c r="I65" s="1925" t="str">
        <f t="shared" si="11"/>
        <v>N/A</v>
      </c>
      <c r="J65" s="1938">
        <f>'Fannie Historical Ops'!H59</f>
        <v>0</v>
      </c>
      <c r="K65" s="1923">
        <f t="shared" si="10"/>
        <v>0</v>
      </c>
      <c r="L65" s="1925" t="str">
        <f t="shared" si="12"/>
        <v>N/A</v>
      </c>
      <c r="M65" s="2045">
        <f>'Fannie Historical Ops'!V59</f>
        <v>49624</v>
      </c>
      <c r="N65" s="1938">
        <f>ROUND(IF(M65&gt;0,(M65/M16)*12,0),2)</f>
        <v>49624</v>
      </c>
      <c r="O65" s="1923">
        <f t="shared" si="10"/>
        <v>491.33</v>
      </c>
      <c r="P65" s="1927" t="str">
        <f t="shared" si="13"/>
        <v>N/A</v>
      </c>
      <c r="Q65" s="1940">
        <v>0</v>
      </c>
      <c r="R65" s="1940">
        <v>0</v>
      </c>
      <c r="S65" s="1940">
        <v>0</v>
      </c>
      <c r="T65" s="1985">
        <f t="shared" si="14"/>
        <v>0</v>
      </c>
      <c r="U65" s="2027">
        <f t="shared" si="10"/>
        <v>0</v>
      </c>
      <c r="V65" s="1938">
        <f>'Fannie Historical Ops'!Y59</f>
        <v>0</v>
      </c>
      <c r="W65" s="2027">
        <f t="shared" si="10"/>
        <v>0</v>
      </c>
      <c r="X65" s="1938">
        <v>0</v>
      </c>
      <c r="Y65" s="2027">
        <f t="shared" si="10"/>
        <v>0</v>
      </c>
      <c r="Z65" s="1938">
        <f>'Fannie Historical Ops'!AA59</f>
        <v>0</v>
      </c>
      <c r="AA65" s="2027">
        <f t="shared" si="10"/>
        <v>0</v>
      </c>
      <c r="AB65" s="1938">
        <v>0</v>
      </c>
      <c r="AC65" s="2027">
        <f t="shared" si="10"/>
        <v>0</v>
      </c>
      <c r="AD65" s="1938">
        <f t="shared" si="27"/>
        <v>51112.72</v>
      </c>
      <c r="AE65" s="1941">
        <f t="shared" si="23"/>
        <v>506.07</v>
      </c>
      <c r="AF65" s="1931"/>
      <c r="AG65" s="1932"/>
      <c r="AH65" s="1933"/>
      <c r="AI65" s="1934"/>
      <c r="AJ65" s="6"/>
      <c r="AK65" s="6"/>
      <c r="AL65" s="6"/>
      <c r="AM65" s="6"/>
      <c r="AN65" s="6"/>
      <c r="AO65" s="6"/>
      <c r="AP65" s="6"/>
      <c r="AQ65" s="6"/>
      <c r="AR65" s="6"/>
      <c r="AS65" s="6"/>
      <c r="AT65" s="6"/>
      <c r="AU65" s="6"/>
      <c r="AV65" s="6"/>
      <c r="AW65" s="6"/>
    </row>
    <row r="66" ht="15" customHeight="1">
      <c r="A66" s="895"/>
      <c r="B66" s="688"/>
      <c r="C66" s="1815" t="s">
        <v>1837</v>
      </c>
      <c r="D66" s="1815"/>
      <c r="E66" s="1938">
        <f>'Fannie Historical Ops'!D64</f>
        <v>0</v>
      </c>
      <c r="F66" s="2027">
        <f t="shared" si="10"/>
        <v>0</v>
      </c>
      <c r="G66" s="1938">
        <f>'Fannie Historical Ops'!F64</f>
        <v>0</v>
      </c>
      <c r="H66" s="1923">
        <f t="shared" si="10"/>
        <v>0</v>
      </c>
      <c r="I66" s="1925" t="str">
        <f t="shared" si="11"/>
        <v>N/A</v>
      </c>
      <c r="J66" s="1938">
        <f>'Fannie Historical Ops'!H64</f>
        <v>0</v>
      </c>
      <c r="K66" s="1923">
        <f t="shared" si="10"/>
        <v>0</v>
      </c>
      <c r="L66" s="1925" t="str">
        <f t="shared" si="12"/>
        <v>N/A</v>
      </c>
      <c r="M66" s="2045">
        <f>'Fannie Historical Ops'!V64</f>
        <v>0</v>
      </c>
      <c r="N66" s="1938">
        <f>ROUND(IF(M66&gt;0,(M66/M16)*12,0),2)</f>
        <v>0</v>
      </c>
      <c r="O66" s="1923">
        <f t="shared" si="10"/>
        <v>0</v>
      </c>
      <c r="P66" s="1927" t="str">
        <f t="shared" si="13"/>
        <v>N/A</v>
      </c>
      <c r="Q66" s="1940">
        <v>0</v>
      </c>
      <c r="R66" s="1940">
        <v>0</v>
      </c>
      <c r="S66" s="1940">
        <v>0</v>
      </c>
      <c r="T66" s="1985">
        <f t="shared" si="14"/>
        <v>0</v>
      </c>
      <c r="U66" s="2027">
        <f t="shared" si="10"/>
        <v>0</v>
      </c>
      <c r="V66" s="1938">
        <f>'Fannie Historical Ops'!Y64</f>
        <v>0</v>
      </c>
      <c r="W66" s="2027">
        <f t="shared" si="10"/>
        <v>0</v>
      </c>
      <c r="X66" s="1938">
        <v>0</v>
      </c>
      <c r="Y66" s="2027">
        <f t="shared" si="10"/>
        <v>0</v>
      </c>
      <c r="Z66" s="1938">
        <f>'Fannie Historical Ops'!AA64</f>
        <v>0</v>
      </c>
      <c r="AA66" s="2027">
        <f t="shared" si="10"/>
        <v>0</v>
      </c>
      <c r="AB66" s="1938">
        <v>0</v>
      </c>
      <c r="AC66" s="2027">
        <f t="shared" si="10"/>
        <v>0</v>
      </c>
      <c r="AD66" s="1938">
        <f t="shared" si="27"/>
        <v>0</v>
      </c>
      <c r="AE66" s="1941">
        <f t="shared" si="23"/>
        <v>0</v>
      </c>
      <c r="AF66" s="1931"/>
      <c r="AG66" s="1942"/>
      <c r="AH66" s="1933"/>
      <c r="AI66" s="1934"/>
      <c r="AJ66" s="6"/>
      <c r="AK66" s="6"/>
      <c r="AL66" s="6"/>
      <c r="AM66" s="6"/>
      <c r="AN66" s="6"/>
      <c r="AO66" s="6"/>
      <c r="AP66" s="6"/>
      <c r="AQ66" s="6"/>
      <c r="AR66" s="6"/>
      <c r="AS66" s="6"/>
      <c r="AT66" s="6"/>
      <c r="AU66" s="6"/>
      <c r="AV66" s="6"/>
      <c r="AW66" s="6"/>
    </row>
    <row r="67" ht="15" customHeight="1">
      <c r="A67" s="895"/>
      <c r="B67" s="688"/>
      <c r="C67" s="1815" t="s">
        <v>1838</v>
      </c>
      <c r="D67" s="1815"/>
      <c r="E67" s="1938">
        <f>SUM('Fannie Historical Ops'!D61:D63,'Fannie Historical Ops'!D65,'Fannie Historical Ops'!D67:D68)</f>
        <v>0</v>
      </c>
      <c r="F67" s="2027">
        <f t="shared" si="10"/>
        <v>0</v>
      </c>
      <c r="G67" s="1938">
        <f>SUM('Fannie Historical Ops'!F61:F63,'Fannie Historical Ops'!F65,'Fannie Historical Ops'!F67:F68)</f>
        <v>0</v>
      </c>
      <c r="H67" s="1923">
        <f t="shared" si="10"/>
        <v>0</v>
      </c>
      <c r="I67" s="1925" t="str">
        <f t="shared" si="11"/>
        <v>N/A</v>
      </c>
      <c r="J67" s="1938">
        <f>SUM('Fannie Historical Ops'!H61:H63,'Fannie Historical Ops'!H65,'Fannie Historical Ops'!H67:H68)</f>
        <v>0</v>
      </c>
      <c r="K67" s="1923">
        <f t="shared" si="10"/>
        <v>0</v>
      </c>
      <c r="L67" s="1925" t="str">
        <f t="shared" si="12"/>
        <v>N/A</v>
      </c>
      <c r="M67" s="2045">
        <f>SUM('Fannie Historical Ops'!V61:V63,'Fannie Historical Ops'!V65,'Fannie Historical Ops'!V67:V68)</f>
        <v>215652</v>
      </c>
      <c r="N67" s="1938">
        <f>ROUND(IF(M67&gt;0,(M67/M16)*12,0),2)</f>
        <v>215652</v>
      </c>
      <c r="O67" s="1923">
        <f t="shared" si="10"/>
        <v>2135.17</v>
      </c>
      <c r="P67" s="1927" t="str">
        <f t="shared" si="13"/>
        <v>N/A</v>
      </c>
      <c r="Q67" s="1940">
        <v>0</v>
      </c>
      <c r="R67" s="1940">
        <v>0</v>
      </c>
      <c r="S67" s="1940">
        <v>0</v>
      </c>
      <c r="T67" s="1985">
        <f t="shared" si="14"/>
        <v>0</v>
      </c>
      <c r="U67" s="2027">
        <f t="shared" si="10"/>
        <v>0</v>
      </c>
      <c r="V67" s="1938">
        <f>SUM('Fannie Historical Ops'!Y61:Y63,'Fannie Historical Ops'!Y65,'Fannie Historical Ops'!Y67:Y68)</f>
        <v>0</v>
      </c>
      <c r="W67" s="2027">
        <f t="shared" si="10"/>
        <v>0</v>
      </c>
      <c r="X67" s="1938">
        <v>0</v>
      </c>
      <c r="Y67" s="2027">
        <f t="shared" si="10"/>
        <v>0</v>
      </c>
      <c r="Z67" s="1938">
        <f>SUM('Fannie Historical Ops'!AA61:AA63,'Fannie Historical Ops'!AA65,'Fannie Historical Ops'!AA67:AA68)</f>
        <v>0</v>
      </c>
      <c r="AA67" s="2027">
        <f t="shared" si="10"/>
        <v>0</v>
      </c>
      <c r="AB67" s="1938">
        <v>0</v>
      </c>
      <c r="AC67" s="2027">
        <f t="shared" si="10"/>
        <v>0</v>
      </c>
      <c r="AD67" s="1938">
        <f t="shared" si="27"/>
        <v>222121.56</v>
      </c>
      <c r="AE67" s="1941">
        <f t="shared" si="23"/>
        <v>2199.22</v>
      </c>
      <c r="AF67" s="1931"/>
      <c r="AG67" s="1942"/>
      <c r="AH67" s="1933"/>
      <c r="AI67" s="1934"/>
      <c r="AJ67" s="6"/>
      <c r="AK67" s="6"/>
      <c r="AL67" s="6"/>
      <c r="AM67" s="6"/>
      <c r="AN67" s="6"/>
      <c r="AO67" s="6"/>
      <c r="AP67" s="6"/>
      <c r="AQ67" s="6"/>
      <c r="AR67" s="6"/>
      <c r="AS67" s="6"/>
      <c r="AT67" s="6"/>
      <c r="AU67" s="6"/>
      <c r="AV67" s="6"/>
      <c r="AW67" s="6"/>
    </row>
    <row r="68" ht="15" customHeight="1">
      <c r="A68" s="895"/>
      <c r="B68" s="688"/>
      <c r="C68" s="1815" t="s">
        <v>1839</v>
      </c>
      <c r="D68" s="1815"/>
      <c r="E68" s="1938">
        <f>'Fannie Historical Ops'!D60</f>
        <v>0</v>
      </c>
      <c r="F68" s="2027">
        <f t="shared" si="10"/>
        <v>0</v>
      </c>
      <c r="G68" s="1938">
        <f>'Fannie Historical Ops'!F60</f>
        <v>0</v>
      </c>
      <c r="H68" s="1923">
        <f t="shared" si="10"/>
        <v>0</v>
      </c>
      <c r="I68" s="1925" t="str">
        <f t="shared" si="11"/>
        <v>N/A</v>
      </c>
      <c r="J68" s="1938">
        <f>'Fannie Historical Ops'!H60</f>
        <v>0</v>
      </c>
      <c r="K68" s="1923">
        <f t="shared" si="10"/>
        <v>0</v>
      </c>
      <c r="L68" s="1925" t="str">
        <f t="shared" si="12"/>
        <v>N/A</v>
      </c>
      <c r="M68" s="2045">
        <f>'Fannie Historical Ops'!V60</f>
        <v>18386</v>
      </c>
      <c r="N68" s="1938">
        <f>ROUND(IF(M68&gt;0,(M68/M16)*12,0),2)</f>
        <v>18386</v>
      </c>
      <c r="O68" s="1923">
        <f t="shared" si="10"/>
        <v>182.04</v>
      </c>
      <c r="P68" s="1927" t="str">
        <f t="shared" si="13"/>
        <v>N/A</v>
      </c>
      <c r="Q68" s="1940">
        <v>0</v>
      </c>
      <c r="R68" s="1940">
        <v>0</v>
      </c>
      <c r="S68" s="1940">
        <v>0</v>
      </c>
      <c r="T68" s="1985">
        <f t="shared" si="14"/>
        <v>0</v>
      </c>
      <c r="U68" s="2027">
        <f t="shared" si="10"/>
        <v>0</v>
      </c>
      <c r="V68" s="1938">
        <f>'Fannie Historical Ops'!Y60</f>
        <v>0</v>
      </c>
      <c r="W68" s="2027">
        <f t="shared" si="10"/>
        <v>0</v>
      </c>
      <c r="X68" s="1938">
        <v>0</v>
      </c>
      <c r="Y68" s="2027">
        <f t="shared" si="10"/>
        <v>0</v>
      </c>
      <c r="Z68" s="1938">
        <f>'Fannie Historical Ops'!AA60</f>
        <v>0</v>
      </c>
      <c r="AA68" s="2027">
        <f t="shared" si="10"/>
        <v>0</v>
      </c>
      <c r="AB68" s="1938">
        <v>0</v>
      </c>
      <c r="AC68" s="2027">
        <f t="shared" si="10"/>
        <v>0</v>
      </c>
      <c r="AD68" s="1938">
        <f t="shared" si="27"/>
        <v>18937.58</v>
      </c>
      <c r="AE68" s="1941">
        <f t="shared" si="23"/>
        <v>187.5</v>
      </c>
      <c r="AF68" s="1931"/>
      <c r="AG68" s="1942"/>
      <c r="AH68" s="1933"/>
      <c r="AI68" s="1934"/>
      <c r="AJ68" s="6"/>
      <c r="AK68" s="6"/>
      <c r="AL68" s="6"/>
      <c r="AM68" s="6"/>
      <c r="AN68" s="6"/>
      <c r="AO68" s="6"/>
      <c r="AP68" s="6"/>
      <c r="AQ68" s="6"/>
      <c r="AR68" s="6"/>
      <c r="AS68" s="6"/>
      <c r="AT68" s="6"/>
      <c r="AU68" s="6"/>
      <c r="AV68" s="6"/>
      <c r="AW68" s="6"/>
    </row>
    <row r="69" ht="15" customHeight="1">
      <c r="A69" s="895"/>
      <c r="B69" s="688"/>
      <c r="C69" s="1815" t="s">
        <v>1840</v>
      </c>
      <c r="D69" s="1815"/>
      <c r="E69" s="1938">
        <v>0</v>
      </c>
      <c r="F69" s="2027">
        <f t="shared" si="10"/>
        <v>0</v>
      </c>
      <c r="G69" s="1938">
        <v>0</v>
      </c>
      <c r="H69" s="1923">
        <f t="shared" si="10"/>
        <v>0</v>
      </c>
      <c r="I69" s="1925" t="str">
        <f t="shared" si="11"/>
        <v>N/A</v>
      </c>
      <c r="J69" s="1938">
        <v>0</v>
      </c>
      <c r="K69" s="1923">
        <f t="shared" si="10"/>
        <v>0</v>
      </c>
      <c r="L69" s="1925" t="str">
        <f t="shared" si="12"/>
        <v>N/A</v>
      </c>
      <c r="M69" s="2045">
        <v>0</v>
      </c>
      <c r="N69" s="1938">
        <f>ROUND(IF(M69&gt;0,(M69/M16)*12,0),2)</f>
        <v>0</v>
      </c>
      <c r="O69" s="1923">
        <f t="shared" si="10"/>
        <v>0</v>
      </c>
      <c r="P69" s="1927" t="str">
        <f t="shared" si="13"/>
        <v>N/A</v>
      </c>
      <c r="Q69" s="1940">
        <v>0</v>
      </c>
      <c r="R69" s="1940">
        <v>0</v>
      </c>
      <c r="S69" s="1940">
        <v>0</v>
      </c>
      <c r="T69" s="1985">
        <f t="shared" si="14"/>
        <v>0</v>
      </c>
      <c r="U69" s="2027">
        <f t="shared" si="10"/>
        <v>0</v>
      </c>
      <c r="V69" s="1938">
        <v>0</v>
      </c>
      <c r="W69" s="2027">
        <f t="shared" si="10"/>
        <v>0</v>
      </c>
      <c r="X69" s="1938">
        <v>0</v>
      </c>
      <c r="Y69" s="2027">
        <f t="shared" si="10"/>
        <v>0</v>
      </c>
      <c r="Z69" s="1938">
        <v>0</v>
      </c>
      <c r="AA69" s="2027">
        <f t="shared" si="10"/>
        <v>0</v>
      </c>
      <c r="AB69" s="1938">
        <v>0</v>
      </c>
      <c r="AC69" s="2027">
        <f t="shared" si="10"/>
        <v>0</v>
      </c>
      <c r="AD69" s="1938">
        <f t="shared" si="27"/>
        <v>0</v>
      </c>
      <c r="AE69" s="1941">
        <f t="shared" si="23"/>
        <v>0</v>
      </c>
      <c r="AF69" s="1931"/>
      <c r="AG69" s="1942"/>
      <c r="AH69" s="1933"/>
      <c r="AI69" s="1934"/>
      <c r="AJ69" s="6"/>
      <c r="AK69" s="6"/>
      <c r="AL69" s="6"/>
      <c r="AM69" s="6"/>
      <c r="AN69" s="6"/>
      <c r="AO69" s="6"/>
      <c r="AP69" s="6"/>
      <c r="AQ69" s="6"/>
      <c r="AR69" s="6"/>
      <c r="AS69" s="6"/>
      <c r="AT69" s="6"/>
      <c r="AU69" s="6"/>
      <c r="AV69" s="6"/>
      <c r="AW69" s="6"/>
    </row>
    <row r="70" ht="15" customHeight="1">
      <c r="A70" s="895"/>
      <c r="B70" s="688"/>
      <c r="C70" s="1815" t="s">
        <v>1841</v>
      </c>
      <c r="D70" s="1815"/>
      <c r="E70" s="1938">
        <f>'Fannie Historical Ops'!D36</f>
        <v>0</v>
      </c>
      <c r="F70" s="2027">
        <f t="shared" si="10"/>
        <v>0</v>
      </c>
      <c r="G70" s="1938">
        <f>'Fannie Historical Ops'!F36</f>
        <v>0</v>
      </c>
      <c r="H70" s="1923">
        <f t="shared" si="10"/>
        <v>0</v>
      </c>
      <c r="I70" s="1925" t="str">
        <f t="shared" si="11"/>
        <v>N/A</v>
      </c>
      <c r="J70" s="1938">
        <f>'Fannie Historical Ops'!H36</f>
        <v>0</v>
      </c>
      <c r="K70" s="1923">
        <f t="shared" si="10"/>
        <v>0</v>
      </c>
      <c r="L70" s="1925" t="str">
        <f t="shared" si="12"/>
        <v>N/A</v>
      </c>
      <c r="M70" s="2045">
        <f>'Fannie Historical Ops'!V36</f>
        <v>2723</v>
      </c>
      <c r="N70" s="1938">
        <f>ROUND(IF(M70&gt;0,(M70/M16)*12,0),2)</f>
        <v>2723</v>
      </c>
      <c r="O70" s="1923">
        <f t="shared" si="10"/>
        <v>26.96</v>
      </c>
      <c r="P70" s="1927" t="str">
        <f t="shared" si="13"/>
        <v>N/A</v>
      </c>
      <c r="Q70" s="1940">
        <v>0</v>
      </c>
      <c r="R70" s="1940">
        <v>0</v>
      </c>
      <c r="S70" s="1940">
        <v>0</v>
      </c>
      <c r="T70" s="1985">
        <f t="shared" si="14"/>
        <v>0</v>
      </c>
      <c r="U70" s="2027">
        <f t="shared" si="10"/>
        <v>0</v>
      </c>
      <c r="V70" s="1938">
        <f>'Fannie Historical Ops'!Y36</f>
        <v>0</v>
      </c>
      <c r="W70" s="2027">
        <f t="shared" si="10"/>
        <v>0</v>
      </c>
      <c r="X70" s="1938">
        <v>0</v>
      </c>
      <c r="Y70" s="2027">
        <f t="shared" si="10"/>
        <v>0</v>
      </c>
      <c r="Z70" s="1938">
        <f>'Fannie Historical Ops'!AA36</f>
        <v>0</v>
      </c>
      <c r="AA70" s="2027">
        <f t="shared" si="10"/>
        <v>0</v>
      </c>
      <c r="AB70" s="1938">
        <v>0</v>
      </c>
      <c r="AC70" s="2027">
        <f t="shared" si="10"/>
        <v>0</v>
      </c>
      <c r="AD70" s="1938">
        <f t="shared" si="27"/>
        <v>2804.69</v>
      </c>
      <c r="AE70" s="1941">
        <f t="shared" si="23"/>
        <v>27.77</v>
      </c>
      <c r="AF70" s="1931"/>
      <c r="AG70" s="1942"/>
      <c r="AH70" s="1933"/>
      <c r="AI70" s="1934"/>
      <c r="AJ70" s="6"/>
      <c r="AK70" s="6"/>
      <c r="AL70" s="6"/>
      <c r="AM70" s="6"/>
      <c r="AN70" s="6"/>
      <c r="AO70" s="6"/>
      <c r="AP70" s="6"/>
      <c r="AQ70" s="6"/>
      <c r="AR70" s="6"/>
      <c r="AS70" s="6"/>
      <c r="AT70" s="6"/>
      <c r="AU70" s="6"/>
      <c r="AV70" s="6"/>
      <c r="AW70" s="6"/>
    </row>
    <row r="71" ht="15" customHeight="1">
      <c r="A71" s="895"/>
      <c r="B71" s="688"/>
      <c r="C71" s="1815" t="s">
        <v>1842</v>
      </c>
      <c r="D71" s="1815"/>
      <c r="E71" s="1938">
        <f>'Fannie Historical Ops'!D34</f>
        <v>0</v>
      </c>
      <c r="F71" s="2027">
        <f t="shared" si="10"/>
        <v>0</v>
      </c>
      <c r="G71" s="1938">
        <f>'Fannie Historical Ops'!F34</f>
        <v>0</v>
      </c>
      <c r="H71" s="1923">
        <f t="shared" si="10"/>
        <v>0</v>
      </c>
      <c r="I71" s="1925" t="str">
        <f t="shared" si="11"/>
        <v>N/A</v>
      </c>
      <c r="J71" s="1938">
        <f>'Fannie Historical Ops'!H34</f>
        <v>0</v>
      </c>
      <c r="K71" s="1923">
        <f t="shared" si="10"/>
        <v>0</v>
      </c>
      <c r="L71" s="1925" t="str">
        <f t="shared" si="12"/>
        <v>N/A</v>
      </c>
      <c r="M71" s="2045">
        <f>'Fannie Historical Ops'!V34</f>
        <v>0</v>
      </c>
      <c r="N71" s="1938">
        <f>ROUND(IF(M71&gt;0,(M71/M16)*12,0),2)</f>
        <v>0</v>
      </c>
      <c r="O71" s="1923">
        <f t="shared" si="10"/>
        <v>0</v>
      </c>
      <c r="P71" s="1927" t="str">
        <f t="shared" si="13"/>
        <v>N/A</v>
      </c>
      <c r="Q71" s="1940">
        <v>0</v>
      </c>
      <c r="R71" s="1940">
        <v>0</v>
      </c>
      <c r="S71" s="1940">
        <v>0</v>
      </c>
      <c r="T71" s="1985">
        <f t="shared" si="14"/>
        <v>0</v>
      </c>
      <c r="U71" s="2027">
        <f t="shared" si="10"/>
        <v>0</v>
      </c>
      <c r="V71" s="1938">
        <f>'Fannie Historical Ops'!Y34</f>
        <v>0</v>
      </c>
      <c r="W71" s="2027">
        <f t="shared" si="10"/>
        <v>0</v>
      </c>
      <c r="X71" s="1938">
        <v>0</v>
      </c>
      <c r="Y71" s="2027">
        <f t="shared" si="10"/>
        <v>0</v>
      </c>
      <c r="Z71" s="1938">
        <f>'Fannie Historical Ops'!AA34</f>
        <v>0</v>
      </c>
      <c r="AA71" s="2027">
        <f t="shared" si="10"/>
        <v>0</v>
      </c>
      <c r="AB71" s="1938">
        <v>0</v>
      </c>
      <c r="AC71" s="2027">
        <f t="shared" si="10"/>
        <v>0</v>
      </c>
      <c r="AD71" s="1938">
        <f t="shared" si="27"/>
        <v>0</v>
      </c>
      <c r="AE71" s="1941">
        <f t="shared" si="23"/>
        <v>0</v>
      </c>
      <c r="AF71" s="1931"/>
      <c r="AG71" s="1942"/>
      <c r="AH71" s="1933"/>
      <c r="AI71" s="1934"/>
      <c r="AJ71" s="6"/>
      <c r="AK71" s="6"/>
      <c r="AL71" s="6"/>
      <c r="AM71" s="6"/>
      <c r="AN71" s="6"/>
      <c r="AO71" s="6"/>
      <c r="AP71" s="6"/>
      <c r="AQ71" s="6"/>
      <c r="AR71" s="6"/>
      <c r="AS71" s="6"/>
      <c r="AT71" s="6"/>
      <c r="AU71" s="6"/>
      <c r="AV71" s="6"/>
      <c r="AW71" s="6"/>
    </row>
    <row r="72" ht="15.75" customHeight="1">
      <c r="A72" s="895"/>
      <c r="B72" s="688"/>
      <c r="C72" s="1815" t="s">
        <v>1843</v>
      </c>
      <c r="D72" s="1815"/>
      <c r="E72" s="1938">
        <v>0</v>
      </c>
      <c r="F72" s="2027">
        <f t="shared" si="10"/>
        <v>0</v>
      </c>
      <c r="G72" s="1938">
        <v>0</v>
      </c>
      <c r="H72" s="1923">
        <f t="shared" si="10"/>
        <v>0</v>
      </c>
      <c r="I72" s="1925" t="str">
        <f t="shared" si="11"/>
        <v>N/A</v>
      </c>
      <c r="J72" s="1938">
        <v>0</v>
      </c>
      <c r="K72" s="1923">
        <f t="shared" si="10"/>
        <v>0</v>
      </c>
      <c r="L72" s="1925" t="str">
        <f t="shared" si="12"/>
        <v>N/A</v>
      </c>
      <c r="M72" s="2045">
        <v>0</v>
      </c>
      <c r="N72" s="1938">
        <f>ROUND(IF(M72&gt;0,(M72/M16)*12,0),2)</f>
        <v>0</v>
      </c>
      <c r="O72" s="1923">
        <f t="shared" si="10"/>
        <v>0</v>
      </c>
      <c r="P72" s="1927" t="str">
        <f t="shared" si="13"/>
        <v>N/A</v>
      </c>
      <c r="Q72" s="1940">
        <v>0</v>
      </c>
      <c r="R72" s="1940">
        <v>0</v>
      </c>
      <c r="S72" s="1940">
        <v>0</v>
      </c>
      <c r="T72" s="1985">
        <f t="shared" si="14"/>
        <v>0</v>
      </c>
      <c r="U72" s="2027">
        <f t="shared" si="10"/>
        <v>0</v>
      </c>
      <c r="V72" s="1938">
        <v>0</v>
      </c>
      <c r="W72" s="2027">
        <f t="shared" si="10"/>
        <v>0</v>
      </c>
      <c r="X72" s="1938">
        <v>0</v>
      </c>
      <c r="Y72" s="2027">
        <f t="shared" si="10"/>
        <v>0</v>
      </c>
      <c r="Z72" s="1938">
        <v>0</v>
      </c>
      <c r="AA72" s="2027">
        <f t="shared" si="10"/>
        <v>0</v>
      </c>
      <c r="AB72" s="1938">
        <v>0</v>
      </c>
      <c r="AC72" s="2027">
        <f t="shared" si="10"/>
        <v>0</v>
      </c>
      <c r="AD72" s="1938">
        <f t="shared" si="27"/>
        <v>0</v>
      </c>
      <c r="AE72" s="1941">
        <f t="shared" si="23"/>
        <v>0</v>
      </c>
      <c r="AF72" s="1931"/>
      <c r="AG72" s="1942"/>
      <c r="AH72" s="1967"/>
      <c r="AI72" s="1934"/>
      <c r="AJ72" s="6"/>
      <c r="AK72" s="6"/>
      <c r="AL72" s="6"/>
      <c r="AM72" s="6"/>
      <c r="AN72" s="6"/>
      <c r="AO72" s="6"/>
      <c r="AP72" s="6"/>
      <c r="AQ72" s="6"/>
      <c r="AR72" s="6"/>
      <c r="AS72" s="6"/>
      <c r="AT72" s="6"/>
      <c r="AU72" s="6"/>
      <c r="AV72" s="6"/>
      <c r="AW72" s="6"/>
    </row>
    <row r="73" ht="15.75" customHeight="1">
      <c r="A73" s="895"/>
      <c r="B73" s="688"/>
      <c r="C73" s="1956" t="s">
        <v>1811</v>
      </c>
      <c r="D73" s="1957"/>
      <c r="E73" s="1991">
        <f t="shared" si="36" ref="E73:AB73">IF(SUM(E65:E72)=0,0,SUM(E65:E72))</f>
        <v>0</v>
      </c>
      <c r="F73" s="2022">
        <f t="shared" si="10"/>
        <v>0</v>
      </c>
      <c r="G73" s="1991">
        <f t="shared" si="36"/>
        <v>0</v>
      </c>
      <c r="H73" s="2022">
        <f t="shared" si="10"/>
        <v>0</v>
      </c>
      <c r="I73" s="1988" t="str">
        <f t="shared" si="11"/>
        <v>N/A</v>
      </c>
      <c r="J73" s="1991">
        <f t="shared" si="36"/>
        <v>0</v>
      </c>
      <c r="K73" s="2022">
        <f t="shared" si="10"/>
        <v>0</v>
      </c>
      <c r="L73" s="1988" t="str">
        <f t="shared" si="12"/>
        <v>N/A</v>
      </c>
      <c r="M73" s="1991">
        <f t="shared" si="36"/>
        <v>286385</v>
      </c>
      <c r="N73" s="1991">
        <f t="shared" si="36"/>
        <v>286385</v>
      </c>
      <c r="O73" s="2022">
        <f t="shared" si="10"/>
        <v>2835.5</v>
      </c>
      <c r="P73" s="1990" t="str">
        <f t="shared" si="13"/>
        <v>N/A</v>
      </c>
      <c r="Q73" s="1991">
        <f t="shared" si="36"/>
        <v>0</v>
      </c>
      <c r="R73" s="1991">
        <f t="shared" si="36"/>
        <v>0</v>
      </c>
      <c r="S73" s="1991">
        <f t="shared" si="36"/>
        <v>0</v>
      </c>
      <c r="T73" s="1991">
        <f t="shared" si="36"/>
        <v>0</v>
      </c>
      <c r="U73" s="2022">
        <f t="shared" si="10"/>
        <v>0</v>
      </c>
      <c r="V73" s="1991">
        <f t="shared" si="36"/>
        <v>0</v>
      </c>
      <c r="W73" s="2022">
        <f t="shared" si="10"/>
        <v>0</v>
      </c>
      <c r="X73" s="1991">
        <f t="shared" si="36"/>
        <v>0</v>
      </c>
      <c r="Y73" s="2022">
        <f t="shared" si="10"/>
        <v>0</v>
      </c>
      <c r="Z73" s="1991">
        <f t="shared" si="36"/>
        <v>0</v>
      </c>
      <c r="AA73" s="2022">
        <f t="shared" si="10"/>
        <v>0</v>
      </c>
      <c r="AB73" s="1991">
        <f t="shared" si="36"/>
        <v>0</v>
      </c>
      <c r="AC73" s="2022">
        <f t="shared" si="10"/>
        <v>0</v>
      </c>
      <c r="AD73" s="1991">
        <f>SUM(AD65:AD72)</f>
        <v>294976.55000000005</v>
      </c>
      <c r="AE73" s="1993">
        <f t="shared" si="23"/>
        <v>2920.56</v>
      </c>
      <c r="AF73" s="1931"/>
      <c r="AG73" s="1971" t="e">
        <f>GETPIVOTDATA("[Measures].[Average]",$AK$21,"[Summary Line Items].[Line Item Type]","[Summary Line Items].[Line Item Type].&amp;[Total Gen &amp; Admin Expenses]")</f>
        <v>#REF!</v>
      </c>
      <c r="AH73" s="1933"/>
      <c r="AI73" s="1934"/>
      <c r="AJ73" s="6"/>
      <c r="AK73" s="6"/>
      <c r="AL73" s="6"/>
      <c r="AM73" s="6"/>
      <c r="AN73" s="6"/>
      <c r="AO73" s="6"/>
      <c r="AP73" s="6"/>
      <c r="AQ73" s="6"/>
      <c r="AR73" s="6"/>
      <c r="AS73" s="6"/>
      <c r="AT73" s="6"/>
      <c r="AU73" s="6"/>
      <c r="AV73" s="6"/>
      <c r="AW73" s="6"/>
    </row>
    <row r="74" ht="15" customHeight="1">
      <c r="A74" s="895"/>
      <c r="B74" s="1983"/>
      <c r="C74" s="1815" t="s">
        <v>1844</v>
      </c>
      <c r="D74" s="1815"/>
      <c r="E74" s="1938">
        <v>0</v>
      </c>
      <c r="F74" s="1923">
        <f t="shared" si="10"/>
        <v>0</v>
      </c>
      <c r="G74" s="1938">
        <v>0</v>
      </c>
      <c r="H74" s="1923">
        <f t="shared" si="10"/>
        <v>0</v>
      </c>
      <c r="I74" s="1925" t="str">
        <f t="shared" si="11"/>
        <v>N/A</v>
      </c>
      <c r="J74" s="1938">
        <v>0</v>
      </c>
      <c r="K74" s="1923">
        <f t="shared" si="10"/>
        <v>0</v>
      </c>
      <c r="L74" s="1925" t="str">
        <f t="shared" si="12"/>
        <v>N/A</v>
      </c>
      <c r="M74" s="2051">
        <v>0</v>
      </c>
      <c r="N74" s="1938">
        <f>ROUND(IF(M74&gt;0,(M74/M16)*12,0),2)</f>
        <v>0</v>
      </c>
      <c r="O74" s="1923">
        <f t="shared" si="10"/>
        <v>0</v>
      </c>
      <c r="P74" s="1927" t="str">
        <f t="shared" si="13"/>
        <v>N/A</v>
      </c>
      <c r="Q74" s="1940">
        <v>0</v>
      </c>
      <c r="R74" s="1940">
        <v>0</v>
      </c>
      <c r="S74" s="1940">
        <v>0</v>
      </c>
      <c r="T74" s="1985">
        <f t="shared" si="14"/>
        <v>0</v>
      </c>
      <c r="U74" s="1923">
        <f t="shared" si="10"/>
        <v>0</v>
      </c>
      <c r="V74" s="1938">
        <v>0</v>
      </c>
      <c r="W74" s="1923">
        <f t="shared" si="10"/>
        <v>0</v>
      </c>
      <c r="X74" s="1938">
        <v>0</v>
      </c>
      <c r="Y74" s="1923">
        <f t="shared" si="10"/>
        <v>0</v>
      </c>
      <c r="Z74" s="1938">
        <v>0</v>
      </c>
      <c r="AA74" s="1923">
        <f t="shared" si="10"/>
        <v>0</v>
      </c>
      <c r="AB74" s="1938">
        <v>0</v>
      </c>
      <c r="AC74" s="1923">
        <f t="shared" si="10"/>
        <v>0</v>
      </c>
      <c r="AD74" s="1938">
        <f t="shared" si="27"/>
        <v>0</v>
      </c>
      <c r="AE74" s="1941">
        <f t="shared" si="23"/>
        <v>0</v>
      </c>
      <c r="AF74" s="1931"/>
      <c r="AG74" s="1942"/>
      <c r="AH74" s="1933"/>
      <c r="AI74" s="1934"/>
      <c r="AJ74" s="6"/>
      <c r="AK74" s="6"/>
      <c r="AL74" s="6"/>
      <c r="AM74" s="6"/>
      <c r="AN74" s="6"/>
      <c r="AO74" s="6"/>
      <c r="AP74" s="6"/>
      <c r="AQ74" s="6"/>
      <c r="AR74" s="6"/>
      <c r="AS74" s="6"/>
      <c r="AT74" s="6"/>
      <c r="AU74" s="6"/>
      <c r="AV74" s="6"/>
      <c r="AW74" s="6"/>
    </row>
    <row r="75" ht="15.75" customHeight="1">
      <c r="A75" s="895"/>
      <c r="B75" s="688"/>
      <c r="C75" s="1956" t="s">
        <v>1812</v>
      </c>
      <c r="D75" s="1956"/>
      <c r="E75" s="2052">
        <v>0</v>
      </c>
      <c r="F75" s="2053">
        <f t="shared" si="10"/>
        <v>0</v>
      </c>
      <c r="G75" s="2052">
        <v>0</v>
      </c>
      <c r="H75" s="2054">
        <f t="shared" si="10"/>
        <v>0</v>
      </c>
      <c r="I75" s="2055" t="str">
        <f t="shared" si="11"/>
        <v>N/A</v>
      </c>
      <c r="J75" s="2052">
        <v>0</v>
      </c>
      <c r="K75" s="2054">
        <f t="shared" si="10"/>
        <v>0</v>
      </c>
      <c r="L75" s="2055" t="str">
        <f t="shared" si="12"/>
        <v>N/A</v>
      </c>
      <c r="M75" s="2052">
        <v>0</v>
      </c>
      <c r="N75" s="2052">
        <f>ROUND(IF(M75&gt;0,(M75/M16)*12,0),2)</f>
        <v>0</v>
      </c>
      <c r="O75" s="2054">
        <f t="shared" si="10"/>
        <v>0</v>
      </c>
      <c r="P75" s="2056" t="str">
        <f t="shared" si="13"/>
        <v>N/A</v>
      </c>
      <c r="Q75" s="2052">
        <v>0</v>
      </c>
      <c r="R75" s="2052">
        <v>0</v>
      </c>
      <c r="S75" s="2052">
        <v>0</v>
      </c>
      <c r="T75" s="2057">
        <f t="shared" si="14"/>
        <v>0</v>
      </c>
      <c r="U75" s="2053">
        <f t="shared" si="10"/>
        <v>0</v>
      </c>
      <c r="V75" s="2052">
        <v>0</v>
      </c>
      <c r="W75" s="2053">
        <f t="shared" si="10"/>
        <v>0</v>
      </c>
      <c r="X75" s="2052">
        <v>0</v>
      </c>
      <c r="Y75" s="2053">
        <f t="shared" si="10"/>
        <v>0</v>
      </c>
      <c r="Z75" s="2052">
        <v>0</v>
      </c>
      <c r="AA75" s="2053">
        <f t="shared" si="10"/>
        <v>0</v>
      </c>
      <c r="AB75" s="2052">
        <v>0</v>
      </c>
      <c r="AC75" s="2053">
        <f t="shared" si="10"/>
        <v>0</v>
      </c>
      <c r="AD75" s="2052">
        <f t="shared" si="27"/>
        <v>0</v>
      </c>
      <c r="AE75" s="2058">
        <f t="shared" si="23"/>
        <v>0</v>
      </c>
      <c r="AF75" s="1931"/>
      <c r="AG75" s="2025" t="e">
        <f>GETPIVOTDATA("[Measures].[Average]",$AK$21,"[Summary Line Items].[Line Item Type]","[Summary Line Items].[Line Item Type].&amp;[Miscellaneous Expenses]")</f>
        <v>#REF!</v>
      </c>
      <c r="AH75" s="1967"/>
      <c r="AI75" s="1934"/>
      <c r="AJ75" s="6"/>
      <c r="AK75" s="6"/>
      <c r="AL75" s="6"/>
      <c r="AM75" s="6"/>
      <c r="AN75" s="6"/>
      <c r="AO75" s="6"/>
      <c r="AP75" s="6"/>
      <c r="AQ75" s="6"/>
      <c r="AR75" s="6"/>
      <c r="AS75" s="6"/>
      <c r="AT75" s="6"/>
      <c r="AU75" s="6"/>
      <c r="AV75" s="6"/>
      <c r="AW75" s="6"/>
    </row>
    <row r="76" ht="15.75" customHeight="1">
      <c r="A76" s="895"/>
      <c r="B76" s="895"/>
      <c r="C76" s="2059" t="s">
        <v>1814</v>
      </c>
      <c r="D76" s="1957"/>
      <c r="E76" s="2032">
        <f t="shared" si="37" ref="E76:AB76">+E75+E73+E74+E64+E58+E57</f>
        <v>0</v>
      </c>
      <c r="F76" s="2033">
        <f t="shared" si="32"/>
        <v>0</v>
      </c>
      <c r="G76" s="2032">
        <f t="shared" si="37"/>
        <v>0</v>
      </c>
      <c r="H76" s="2034">
        <f t="shared" si="32"/>
        <v>0</v>
      </c>
      <c r="I76" s="2035" t="str">
        <f t="shared" si="11"/>
        <v>N/A</v>
      </c>
      <c r="J76" s="2032">
        <f t="shared" si="37"/>
        <v>0</v>
      </c>
      <c r="K76" s="2034">
        <f t="shared" si="32"/>
        <v>0</v>
      </c>
      <c r="L76" s="2035" t="str">
        <f t="shared" si="12"/>
        <v>N/A</v>
      </c>
      <c r="M76" s="2032">
        <f t="shared" si="37"/>
        <v>1364978</v>
      </c>
      <c r="N76" s="2032">
        <f t="shared" si="37"/>
        <v>1364978</v>
      </c>
      <c r="O76" s="2034">
        <f t="shared" si="38" ref="O76:Y84">ROUND(IF(N76&gt;0,+N76/number_units,0),0)</f>
        <v>13515</v>
      </c>
      <c r="P76" s="2035" t="str">
        <f t="shared" si="13"/>
        <v>N/A</v>
      </c>
      <c r="Q76" s="2032">
        <f t="shared" si="37"/>
        <v>0</v>
      </c>
      <c r="R76" s="2032">
        <f t="shared" si="37"/>
        <v>0</v>
      </c>
      <c r="S76" s="2032">
        <f t="shared" si="37"/>
        <v>0</v>
      </c>
      <c r="T76" s="2032">
        <f t="shared" si="37"/>
        <v>0</v>
      </c>
      <c r="U76" s="2033">
        <f t="shared" si="32"/>
        <v>0</v>
      </c>
      <c r="V76" s="2032">
        <f t="shared" si="37"/>
        <v>0</v>
      </c>
      <c r="W76" s="2033">
        <f t="shared" si="38"/>
        <v>0</v>
      </c>
      <c r="X76" s="2032">
        <f t="shared" si="37"/>
        <v>0</v>
      </c>
      <c r="Y76" s="2033">
        <f t="shared" si="38"/>
        <v>0</v>
      </c>
      <c r="Z76" s="2032">
        <f t="shared" si="37"/>
        <v>0</v>
      </c>
      <c r="AA76" s="2033">
        <f t="shared" si="32"/>
        <v>0</v>
      </c>
      <c r="AB76" s="2032">
        <f t="shared" si="37"/>
        <v>0</v>
      </c>
      <c r="AC76" s="2033">
        <f t="shared" si="32"/>
        <v>0</v>
      </c>
      <c r="AD76" s="2032">
        <f>AD75+AD73+AD74+AD64+AD58+AD57</f>
        <v>1263633.4400000002</v>
      </c>
      <c r="AE76" s="2038">
        <f t="shared" si="23"/>
        <v>12511.22</v>
      </c>
      <c r="AF76" s="1931"/>
      <c r="AG76" s="1971" t="e">
        <f>GETPIVOTDATA("[Measures].[Average]",$AK$21,"[Summary Line Items].[Line Item Type]","[Summary Line Items].[Line Item Type].&amp;[TOTAL OPERATING EXPENSES]")</f>
        <v>#REF!</v>
      </c>
      <c r="AH76" s="1933"/>
      <c r="AI76" s="1934"/>
      <c r="AJ76" s="6"/>
      <c r="AK76" s="6"/>
      <c r="AL76" s="6"/>
      <c r="AM76" s="6"/>
      <c r="AN76" s="6"/>
      <c r="AO76" s="6"/>
      <c r="AP76" s="6"/>
      <c r="AQ76" s="6"/>
      <c r="AR76" s="6"/>
      <c r="AS76" s="6"/>
      <c r="AT76" s="6"/>
      <c r="AU76" s="6"/>
      <c r="AV76" s="6"/>
      <c r="AW76" s="6"/>
    </row>
    <row r="77" ht="15.75" customHeight="1">
      <c r="A77" s="895"/>
      <c r="B77" s="895"/>
      <c r="C77" s="1996"/>
      <c r="D77" s="1996"/>
      <c r="E77" s="2041"/>
      <c r="F77" s="2041"/>
      <c r="G77" s="2041"/>
      <c r="H77" s="2041"/>
      <c r="I77" s="2000"/>
      <c r="J77" s="2041"/>
      <c r="K77" s="2041"/>
      <c r="L77" s="2060"/>
      <c r="M77" s="2041"/>
      <c r="N77" s="2041"/>
      <c r="O77" s="2041"/>
      <c r="P77" s="2041"/>
      <c r="Q77" s="2041"/>
      <c r="R77" s="2041"/>
      <c r="S77" s="2041"/>
      <c r="T77" s="2041"/>
      <c r="U77" s="2041"/>
      <c r="V77" s="2041"/>
      <c r="W77" s="2041"/>
      <c r="X77" s="2041"/>
      <c r="Y77" s="2041"/>
      <c r="Z77" s="2041"/>
      <c r="AA77" s="2041"/>
      <c r="AB77" s="2041"/>
      <c r="AC77" s="2041"/>
      <c r="AD77" s="2041"/>
      <c r="AE77" s="2041"/>
      <c r="AF77" s="1931"/>
      <c r="AG77" s="2061"/>
      <c r="AH77" s="1967"/>
      <c r="AI77" s="1934"/>
      <c r="AJ77" s="6"/>
      <c r="AK77" s="6"/>
      <c r="AL77" s="6"/>
      <c r="AM77" s="6"/>
      <c r="AN77" s="6"/>
      <c r="AO77" s="6"/>
      <c r="AP77" s="6"/>
      <c r="AQ77" s="6"/>
      <c r="AR77" s="6"/>
      <c r="AS77" s="6"/>
      <c r="AT77" s="6"/>
      <c r="AU77" s="6"/>
      <c r="AV77" s="6"/>
      <c r="AW77" s="6"/>
    </row>
    <row r="78" ht="15.75" customHeight="1">
      <c r="A78" s="895"/>
      <c r="B78" s="895"/>
      <c r="C78" s="2062" t="s">
        <v>1816</v>
      </c>
      <c r="D78" s="1957"/>
      <c r="E78" s="2032">
        <f t="shared" si="39" ref="E78:AD78">E46+E76</f>
        <v>0</v>
      </c>
      <c r="F78" s="2033">
        <f t="shared" si="32"/>
        <v>0</v>
      </c>
      <c r="G78" s="2032">
        <f t="shared" si="39"/>
        <v>0</v>
      </c>
      <c r="H78" s="2034">
        <f t="shared" si="32"/>
        <v>0</v>
      </c>
      <c r="I78" s="2035" t="str">
        <f t="shared" si="11"/>
        <v>N/A</v>
      </c>
      <c r="J78" s="2032">
        <f t="shared" si="39"/>
        <v>0</v>
      </c>
      <c r="K78" s="2034">
        <f t="shared" si="32"/>
        <v>0</v>
      </c>
      <c r="L78" s="2036" t="str">
        <f t="shared" si="12"/>
        <v>N/A</v>
      </c>
      <c r="M78" s="2063">
        <f t="shared" si="39"/>
        <v>2863573</v>
      </c>
      <c r="N78" s="2032">
        <f t="shared" si="39"/>
        <v>2863573</v>
      </c>
      <c r="O78" s="2034">
        <f t="shared" si="32"/>
        <v>28352.21</v>
      </c>
      <c r="P78" s="2035" t="str">
        <f t="shared" si="13"/>
        <v>N/A</v>
      </c>
      <c r="Q78" s="2032">
        <f t="shared" si="39"/>
        <v>0</v>
      </c>
      <c r="R78" s="2032">
        <f t="shared" si="39"/>
        <v>0</v>
      </c>
      <c r="S78" s="2032">
        <f t="shared" si="39"/>
        <v>0</v>
      </c>
      <c r="T78" s="2032">
        <f t="shared" si="39"/>
        <v>0</v>
      </c>
      <c r="U78" s="2033">
        <f t="shared" si="32"/>
        <v>0</v>
      </c>
      <c r="V78" s="2032">
        <f t="shared" si="39"/>
        <v>0</v>
      </c>
      <c r="W78" s="2033">
        <f t="shared" si="32"/>
        <v>0</v>
      </c>
      <c r="X78" s="2032">
        <f t="shared" si="39"/>
        <v>0</v>
      </c>
      <c r="Y78" s="2033">
        <f t="shared" si="32"/>
        <v>0</v>
      </c>
      <c r="Z78" s="2032">
        <f t="shared" si="39"/>
        <v>0</v>
      </c>
      <c r="AA78" s="2033">
        <f t="shared" si="32"/>
        <v>0</v>
      </c>
      <c r="AB78" s="2032">
        <f t="shared" si="39"/>
        <v>0</v>
      </c>
      <c r="AC78" s="2033">
        <f t="shared" si="32"/>
        <v>0</v>
      </c>
      <c r="AD78" s="2032">
        <f t="shared" si="39"/>
        <v>2807186.29</v>
      </c>
      <c r="AE78" s="2038">
        <f t="shared" si="23"/>
        <v>27793.92</v>
      </c>
      <c r="AF78" s="1931"/>
      <c r="AG78" s="2064" t="e">
        <f>GETPIVOTDATA("[Measures].[Average]",$AK$21,"[Summary Line Items].[Line Item Type]","[Summary Line Items].[Line Item Type].&amp;[TOTAL EXPENSES]")</f>
        <v>#REF!</v>
      </c>
      <c r="AH78" s="1933"/>
      <c r="AI78" s="1934"/>
      <c r="AJ78" s="6"/>
      <c r="AK78" s="6"/>
      <c r="AL78" s="6"/>
      <c r="AM78" s="6"/>
      <c r="AN78" s="6"/>
      <c r="AO78" s="6"/>
      <c r="AP78" s="6"/>
      <c r="AQ78" s="6"/>
      <c r="AR78" s="6"/>
      <c r="AS78" s="6"/>
      <c r="AT78" s="6"/>
      <c r="AU78" s="6"/>
      <c r="AV78" s="6"/>
      <c r="AW78" s="6"/>
    </row>
    <row r="79" ht="15" customHeight="1">
      <c r="A79" s="895"/>
      <c r="B79" s="688"/>
      <c r="C79" s="1815" t="s">
        <v>1845</v>
      </c>
      <c r="D79" s="1921"/>
      <c r="E79" s="2065">
        <f>'Fannie Historical Ops'!D37</f>
        <v>0</v>
      </c>
      <c r="F79" s="2026">
        <f t="shared" si="10"/>
        <v>0</v>
      </c>
      <c r="G79" s="2065">
        <f>'Fannie Historical Ops'!F37</f>
        <v>0</v>
      </c>
      <c r="H79" s="1930">
        <f t="shared" si="10"/>
        <v>0</v>
      </c>
      <c r="I79" s="2066" t="str">
        <f t="shared" si="11"/>
        <v>N/A</v>
      </c>
      <c r="J79" s="2065">
        <f>'Fannie Historical Ops'!H37</f>
        <v>0</v>
      </c>
      <c r="K79" s="1930">
        <f t="shared" si="10"/>
        <v>0</v>
      </c>
      <c r="L79" s="2066" t="str">
        <f t="shared" si="12"/>
        <v>N/A</v>
      </c>
      <c r="M79" s="2067">
        <f>'Fannie Historical Ops'!V37</f>
        <v>0</v>
      </c>
      <c r="N79" s="2065">
        <f>ROUND(IF(M79&lt;&gt;0,(M79/M16)*12,0),2)</f>
        <v>0</v>
      </c>
      <c r="O79" s="1923">
        <f t="shared" si="10"/>
        <v>0</v>
      </c>
      <c r="P79" s="1927" t="str">
        <f t="shared" si="13"/>
        <v>N/A</v>
      </c>
      <c r="Q79" s="2068">
        <v>0</v>
      </c>
      <c r="R79" s="2068">
        <v>0</v>
      </c>
      <c r="S79" s="2068">
        <v>0</v>
      </c>
      <c r="T79" s="2069">
        <f t="shared" si="14"/>
        <v>0</v>
      </c>
      <c r="U79" s="2026">
        <f t="shared" si="10"/>
        <v>0</v>
      </c>
      <c r="V79" s="2065">
        <f>'Fannie Historical Ops'!Y37</f>
        <v>0</v>
      </c>
      <c r="W79" s="2026">
        <f t="shared" si="10"/>
        <v>0</v>
      </c>
      <c r="X79" s="2065">
        <v>0</v>
      </c>
      <c r="Y79" s="2026">
        <f t="shared" si="10"/>
        <v>0</v>
      </c>
      <c r="Z79" s="2065">
        <f>'Fannie Historical Ops'!AA37</f>
        <v>0</v>
      </c>
      <c r="AA79" s="2026">
        <f t="shared" si="10"/>
        <v>0</v>
      </c>
      <c r="AB79" s="2065">
        <v>0</v>
      </c>
      <c r="AC79" s="2026">
        <f t="shared" si="10"/>
        <v>0</v>
      </c>
      <c r="AD79" s="2065">
        <f t="shared" si="27"/>
        <v>0</v>
      </c>
      <c r="AE79" s="2026">
        <f t="shared" si="23"/>
        <v>0</v>
      </c>
      <c r="AF79" s="1931"/>
      <c r="AG79" s="1932"/>
      <c r="AH79" s="1933"/>
      <c r="AI79" s="1934"/>
      <c r="AJ79" s="6"/>
      <c r="AK79" s="6"/>
      <c r="AL79" s="6"/>
      <c r="AM79" s="6"/>
      <c r="AN79" s="6"/>
      <c r="AO79" s="6"/>
      <c r="AP79" s="6"/>
      <c r="AQ79" s="6"/>
      <c r="AR79" s="6"/>
      <c r="AS79" s="6"/>
      <c r="AT79" s="6"/>
      <c r="AU79" s="6"/>
      <c r="AV79" s="6"/>
      <c r="AW79" s="6"/>
    </row>
    <row r="80" ht="15" customHeight="1">
      <c r="A80" s="895"/>
      <c r="B80" s="688"/>
      <c r="C80" s="1815" t="s">
        <v>1425</v>
      </c>
      <c r="D80" s="1921"/>
      <c r="E80" s="2070">
        <v>0</v>
      </c>
      <c r="F80" s="2026">
        <f t="shared" si="10"/>
        <v>0</v>
      </c>
      <c r="G80" s="2070">
        <v>0</v>
      </c>
      <c r="H80" s="1930">
        <f t="shared" si="10"/>
        <v>0</v>
      </c>
      <c r="I80" s="2066" t="str">
        <f t="shared" si="11"/>
        <v>N/A</v>
      </c>
      <c r="J80" s="2070">
        <v>0</v>
      </c>
      <c r="K80" s="1930">
        <f t="shared" si="10"/>
        <v>0</v>
      </c>
      <c r="L80" s="2066" t="str">
        <f t="shared" si="12"/>
        <v>N/A</v>
      </c>
      <c r="M80" s="2067">
        <v>0</v>
      </c>
      <c r="N80" s="2070">
        <f>ROUND(IF(M80&lt;&gt;0,(M80/M16)*12,0),2)</f>
        <v>0</v>
      </c>
      <c r="O80" s="1923">
        <f t="shared" si="10"/>
        <v>0</v>
      </c>
      <c r="P80" s="1927" t="str">
        <f t="shared" si="13"/>
        <v>N/A</v>
      </c>
      <c r="Q80" s="2068">
        <v>0</v>
      </c>
      <c r="R80" s="2068">
        <v>0</v>
      </c>
      <c r="S80" s="2068">
        <v>0</v>
      </c>
      <c r="T80" s="2069">
        <f t="shared" si="14"/>
        <v>0</v>
      </c>
      <c r="U80" s="2026">
        <f t="shared" si="10"/>
        <v>0</v>
      </c>
      <c r="V80" s="2070">
        <v>0</v>
      </c>
      <c r="W80" s="2071">
        <f t="shared" si="10"/>
        <v>0</v>
      </c>
      <c r="X80" s="2070">
        <v>0</v>
      </c>
      <c r="Y80" s="2026">
        <f t="shared" si="10"/>
        <v>0</v>
      </c>
      <c r="Z80" s="2072">
        <f t="shared" si="40" ref="Z80:AB80">ROUND(AA80*number_units,2)</f>
        <v>0</v>
      </c>
      <c r="AA80" s="2073">
        <v>0</v>
      </c>
      <c r="AB80" s="2072">
        <f t="shared" si="40"/>
        <v>0</v>
      </c>
      <c r="AC80" s="2073">
        <v>0</v>
      </c>
      <c r="AD80" s="2072">
        <f>ROUND(AE80*AE8,2)</f>
        <v>25250</v>
      </c>
      <c r="AE80" s="2074">
        <f>AE11</f>
        <v>250</v>
      </c>
      <c r="AF80" s="1931"/>
      <c r="AG80" s="1932" t="e">
        <f>GETPIVOTDATA("[Measures].[Average]",$AK$21,"[Summary Line Items].[Line Item Type]","[Summary Line Items].[Line Item Type].&amp;[Replacement Reserves]")</f>
        <v>#REF!</v>
      </c>
      <c r="AH80" s="1933"/>
      <c r="AI80" s="1934"/>
      <c r="AJ80" s="6"/>
      <c r="AK80" s="6"/>
      <c r="AL80" s="6"/>
      <c r="AM80" s="6"/>
      <c r="AN80" s="6"/>
      <c r="AO80" s="6"/>
      <c r="AP80" s="6"/>
      <c r="AQ80" s="6"/>
      <c r="AR80" s="6"/>
      <c r="AS80" s="6"/>
      <c r="AT80" s="6"/>
      <c r="AU80" s="6"/>
      <c r="AV80" s="6"/>
      <c r="AW80" s="6"/>
    </row>
    <row r="81" ht="15.75" customHeight="1">
      <c r="A81" s="895"/>
      <c r="B81" s="688"/>
      <c r="C81" s="1815" t="s">
        <v>1846</v>
      </c>
      <c r="D81" s="1921"/>
      <c r="E81" s="2075">
        <v>0</v>
      </c>
      <c r="F81" s="2026">
        <f t="shared" si="10"/>
        <v>0</v>
      </c>
      <c r="G81" s="2075">
        <v>0</v>
      </c>
      <c r="H81" s="1930">
        <f t="shared" si="10"/>
        <v>0</v>
      </c>
      <c r="I81" s="2066" t="str">
        <f t="shared" si="11"/>
        <v>N/A</v>
      </c>
      <c r="J81" s="2075">
        <v>0</v>
      </c>
      <c r="K81" s="1930">
        <f t="shared" si="10"/>
        <v>0</v>
      </c>
      <c r="L81" s="2066" t="str">
        <f t="shared" si="12"/>
        <v>N/A</v>
      </c>
      <c r="M81" s="2067">
        <v>0</v>
      </c>
      <c r="N81" s="2075">
        <f>ROUND(IF(M81&lt;&gt;0,(M81/M16)*12,0),2)</f>
        <v>0</v>
      </c>
      <c r="O81" s="1923">
        <f t="shared" si="10"/>
        <v>0</v>
      </c>
      <c r="P81" s="1927" t="str">
        <f t="shared" si="13"/>
        <v>N/A</v>
      </c>
      <c r="Q81" s="2068">
        <v>0</v>
      </c>
      <c r="R81" s="2068">
        <v>0</v>
      </c>
      <c r="S81" s="2068">
        <v>0</v>
      </c>
      <c r="T81" s="2069">
        <f t="shared" si="14"/>
        <v>0</v>
      </c>
      <c r="U81" s="2026">
        <f t="shared" si="10"/>
        <v>0</v>
      </c>
      <c r="V81" s="2075">
        <v>0</v>
      </c>
      <c r="W81" s="2076">
        <f t="shared" si="10"/>
        <v>0</v>
      </c>
      <c r="X81" s="2075">
        <v>0</v>
      </c>
      <c r="Y81" s="2026">
        <f t="shared" si="10"/>
        <v>0</v>
      </c>
      <c r="Z81" s="2065">
        <v>0</v>
      </c>
      <c r="AA81" s="2026">
        <f t="shared" si="10"/>
        <v>0</v>
      </c>
      <c r="AB81" s="2065">
        <v>0</v>
      </c>
      <c r="AC81" s="2026">
        <f t="shared" si="10"/>
        <v>0</v>
      </c>
      <c r="AD81" s="2065">
        <f t="shared" si="27"/>
        <v>0</v>
      </c>
      <c r="AE81" s="2026">
        <f t="shared" si="23"/>
        <v>0</v>
      </c>
      <c r="AF81" s="1931"/>
      <c r="AG81" s="1942"/>
      <c r="AH81" s="1967"/>
      <c r="AI81" s="1934"/>
      <c r="AJ81" s="6"/>
      <c r="AK81" s="6"/>
      <c r="AL81" s="6"/>
      <c r="AM81" s="6"/>
      <c r="AN81" s="6"/>
      <c r="AO81" s="6"/>
      <c r="AP81" s="6"/>
      <c r="AQ81" s="6"/>
      <c r="AR81" s="6"/>
      <c r="AS81" s="6"/>
      <c r="AT81" s="6"/>
      <c r="AU81" s="6"/>
      <c r="AV81" s="6"/>
      <c r="AW81" s="6"/>
    </row>
    <row r="82" ht="15.75" customHeight="1">
      <c r="A82" s="895"/>
      <c r="B82" s="895"/>
      <c r="C82" s="1956" t="s">
        <v>1818</v>
      </c>
      <c r="D82" s="1957"/>
      <c r="E82" s="2032">
        <f t="shared" si="41" ref="E82:AB82">(E78+E79+E80+E81)</f>
        <v>0</v>
      </c>
      <c r="F82" s="2033">
        <f t="shared" si="32"/>
        <v>0</v>
      </c>
      <c r="G82" s="2032">
        <f t="shared" si="41"/>
        <v>0</v>
      </c>
      <c r="H82" s="2034">
        <f t="shared" si="32"/>
        <v>0</v>
      </c>
      <c r="I82" s="2035" t="str">
        <f t="shared" si="11"/>
        <v>N/A</v>
      </c>
      <c r="J82" s="2032">
        <f t="shared" si="41"/>
        <v>0</v>
      </c>
      <c r="K82" s="2034">
        <f t="shared" si="32"/>
        <v>0</v>
      </c>
      <c r="L82" s="2035" t="str">
        <f t="shared" si="12"/>
        <v>N/A</v>
      </c>
      <c r="M82" s="2032">
        <f t="shared" si="41"/>
        <v>2863573</v>
      </c>
      <c r="N82" s="2032">
        <f t="shared" si="41"/>
        <v>2863573</v>
      </c>
      <c r="O82" s="2034">
        <f t="shared" si="32"/>
        <v>28352.21</v>
      </c>
      <c r="P82" s="2035" t="str">
        <f t="shared" si="13"/>
        <v>N/A</v>
      </c>
      <c r="Q82" s="2032">
        <f t="shared" si="41"/>
        <v>0</v>
      </c>
      <c r="R82" s="2032">
        <f t="shared" si="41"/>
        <v>0</v>
      </c>
      <c r="S82" s="2032">
        <f t="shared" si="41"/>
        <v>0</v>
      </c>
      <c r="T82" s="2032">
        <f t="shared" si="41"/>
        <v>0</v>
      </c>
      <c r="U82" s="2033">
        <f t="shared" si="32"/>
        <v>0</v>
      </c>
      <c r="V82" s="2032">
        <f t="shared" si="41"/>
        <v>0</v>
      </c>
      <c r="W82" s="2033">
        <f t="shared" si="32"/>
        <v>0</v>
      </c>
      <c r="X82" s="2032">
        <f t="shared" si="41"/>
        <v>0</v>
      </c>
      <c r="Y82" s="2033">
        <f t="shared" si="32"/>
        <v>0</v>
      </c>
      <c r="Z82" s="2032">
        <f t="shared" si="41"/>
        <v>0</v>
      </c>
      <c r="AA82" s="2033">
        <f t="shared" si="32"/>
        <v>0</v>
      </c>
      <c r="AB82" s="2032">
        <f t="shared" si="41"/>
        <v>0</v>
      </c>
      <c r="AC82" s="2033">
        <f t="shared" si="32"/>
        <v>0</v>
      </c>
      <c r="AD82" s="2032">
        <f>AD78+AD79+AD80+AD81</f>
        <v>2832436.29</v>
      </c>
      <c r="AE82" s="2033">
        <f t="shared" si="23"/>
        <v>28043.92</v>
      </c>
      <c r="AF82" s="1931"/>
      <c r="AG82" s="2064" t="e">
        <f>GETPIVOTDATA("[Measures].[Average]",$AK$21,"[Summary Line Items].[Line Item Type]","[Summary Line Items].[Line Item Type].&amp;[Total Expenses &amp; Reserves]")</f>
        <v>#REF!</v>
      </c>
      <c r="AH82" s="2077"/>
      <c r="AI82" s="1934"/>
      <c r="AJ82" s="6"/>
      <c r="AK82" s="6"/>
      <c r="AL82" s="6"/>
      <c r="AM82" s="6"/>
      <c r="AN82" s="6"/>
      <c r="AO82" s="6"/>
      <c r="AP82" s="6"/>
      <c r="AQ82" s="6"/>
      <c r="AR82" s="6"/>
      <c r="AS82" s="6"/>
      <c r="AT82" s="6"/>
      <c r="AU82" s="6"/>
      <c r="AV82" s="6"/>
      <c r="AW82" s="6"/>
    </row>
    <row r="83" ht="15.75" customHeight="1">
      <c r="A83" s="895"/>
      <c r="B83" s="895"/>
      <c r="C83" s="1996"/>
      <c r="D83" s="2078" t="s">
        <v>1847</v>
      </c>
      <c r="E83" s="1996"/>
      <c r="F83" s="2079">
        <f t="shared" si="42" ref="F83:AE83">ROUND(IF(F36&gt;0,+F82/F36,0),10)</f>
        <v>0</v>
      </c>
      <c r="G83" s="1996"/>
      <c r="H83" s="2079">
        <f t="shared" si="42"/>
        <v>0</v>
      </c>
      <c r="I83" s="1996"/>
      <c r="J83" s="1996"/>
      <c r="K83" s="2079">
        <f t="shared" si="42"/>
        <v>0</v>
      </c>
      <c r="L83" s="1996"/>
      <c r="M83" s="1996"/>
      <c r="N83" s="1996"/>
      <c r="O83" s="2079">
        <f t="shared" si="42"/>
        <v>0.6237250931</v>
      </c>
      <c r="P83" s="1996"/>
      <c r="Q83" s="1996"/>
      <c r="R83" s="1996"/>
      <c r="S83" s="1996"/>
      <c r="T83" s="1996"/>
      <c r="U83" s="2079">
        <f t="shared" si="42"/>
        <v>0</v>
      </c>
      <c r="V83" s="1996"/>
      <c r="W83" s="2079">
        <f t="shared" si="42"/>
        <v>0</v>
      </c>
      <c r="X83" s="1996"/>
      <c r="Y83" s="2079">
        <f t="shared" si="42"/>
        <v>0</v>
      </c>
      <c r="Z83" s="1996"/>
      <c r="AA83" s="2079">
        <f t="shared" si="42"/>
        <v>0</v>
      </c>
      <c r="AB83" s="1996"/>
      <c r="AC83" s="2079">
        <f t="shared" si="42"/>
        <v>0</v>
      </c>
      <c r="AD83" s="1996"/>
      <c r="AE83" s="2079">
        <f t="shared" si="42"/>
        <v>2.3286412733</v>
      </c>
      <c r="AF83" s="1931"/>
      <c r="AG83" s="2080" t="e">
        <f>GETPIVOTDATA("[Measures].[Average]",$AK$21,"[Summary Line Items].[Line Item Type]","[Summary Line Items].[Line Item Type].&amp;[Expense Ratio]")</f>
        <v>#REF!</v>
      </c>
      <c r="AH83" s="1967"/>
      <c r="AI83" s="1934"/>
      <c r="AJ83" s="6"/>
      <c r="AK83" s="6"/>
      <c r="AL83" s="6"/>
      <c r="AM83" s="6"/>
      <c r="AN83" s="6"/>
      <c r="AO83" s="6"/>
      <c r="AP83" s="6"/>
      <c r="AQ83" s="6"/>
      <c r="AR83" s="6"/>
      <c r="AS83" s="6"/>
      <c r="AT83" s="6"/>
      <c r="AU83" s="6"/>
      <c r="AV83" s="6"/>
      <c r="AW83" s="6"/>
    </row>
    <row r="84" ht="15.75" customHeight="1">
      <c r="A84" s="895"/>
      <c r="B84" s="688"/>
      <c r="C84" s="1956" t="s">
        <v>1848</v>
      </c>
      <c r="D84" s="1956"/>
      <c r="E84" s="2081">
        <f t="shared" si="43" ref="E84:AD84">E36-E82</f>
        <v>0</v>
      </c>
      <c r="F84" s="2033">
        <f t="shared" si="10"/>
        <v>0</v>
      </c>
      <c r="G84" s="2081">
        <f t="shared" si="43"/>
        <v>0</v>
      </c>
      <c r="H84" s="2038">
        <f t="shared" si="10"/>
        <v>0</v>
      </c>
      <c r="I84" s="2035" t="str">
        <f t="shared" si="11"/>
        <v>N/A</v>
      </c>
      <c r="J84" s="2081">
        <f t="shared" si="43"/>
        <v>0</v>
      </c>
      <c r="K84" s="2038">
        <f t="shared" si="10"/>
        <v>0</v>
      </c>
      <c r="L84" s="2036" t="str">
        <f t="shared" si="12"/>
        <v>N/A</v>
      </c>
      <c r="M84" s="2081">
        <f t="shared" si="43"/>
        <v>1727509</v>
      </c>
      <c r="N84" s="2081">
        <f t="shared" si="43"/>
        <v>1727509</v>
      </c>
      <c r="O84" s="2082">
        <f t="shared" si="38"/>
        <v>17104</v>
      </c>
      <c r="P84" s="2083" t="str">
        <f t="shared" si="13"/>
        <v>N/A</v>
      </c>
      <c r="Q84" s="2081">
        <f t="shared" si="43"/>
        <v>0</v>
      </c>
      <c r="R84" s="2081">
        <f t="shared" si="43"/>
        <v>0</v>
      </c>
      <c r="S84" s="2081">
        <f t="shared" si="43"/>
        <v>0</v>
      </c>
      <c r="T84" s="2081">
        <f t="shared" si="43"/>
        <v>0</v>
      </c>
      <c r="U84" s="2033">
        <f t="shared" si="30"/>
        <v>0</v>
      </c>
      <c r="V84" s="2081">
        <f t="shared" si="43"/>
        <v>0</v>
      </c>
      <c r="W84" s="2033">
        <f t="shared" si="10"/>
        <v>0</v>
      </c>
      <c r="X84" s="2081">
        <f t="shared" si="43"/>
        <v>0</v>
      </c>
      <c r="Y84" s="2033">
        <f t="shared" si="10"/>
        <v>0</v>
      </c>
      <c r="Z84" s="2081">
        <f t="shared" si="43"/>
        <v>0</v>
      </c>
      <c r="AA84" s="2033">
        <f t="shared" si="30"/>
        <v>0</v>
      </c>
      <c r="AB84" s="2081">
        <f t="shared" si="43"/>
        <v>0</v>
      </c>
      <c r="AC84" s="2033">
        <f t="shared" si="30"/>
        <v>0</v>
      </c>
      <c r="AD84" s="2081">
        <f t="shared" si="43"/>
        <v>-1616089.29</v>
      </c>
      <c r="AE84" s="2033">
        <f t="shared" si="23"/>
        <v>-16000.88</v>
      </c>
      <c r="AF84" s="1931"/>
      <c r="AG84" s="2064" t="e">
        <f>GETPIVOTDATA("[Measures].[Average]",$AK$21,"[Summary Line Items].[Line Item Type]","[Summary Line Items].[Line Item Type].&amp;[NOI]")</f>
        <v>#REF!</v>
      </c>
      <c r="AH84" s="1933"/>
      <c r="AI84" s="1934"/>
      <c r="AJ84" s="6"/>
      <c r="AK84" s="6"/>
      <c r="AL84" s="6"/>
      <c r="AM84" s="6"/>
      <c r="AN84" s="6"/>
      <c r="AO84" s="6"/>
      <c r="AP84" s="6"/>
      <c r="AQ84" s="6"/>
      <c r="AR84" s="6"/>
      <c r="AS84" s="6"/>
      <c r="AT84" s="6"/>
      <c r="AU84" s="6"/>
      <c r="AV84" s="6"/>
      <c r="AW84" s="6"/>
    </row>
    <row r="85" ht="15.75" customHeight="1">
      <c r="A85" s="895"/>
      <c r="B85" s="688"/>
      <c r="C85" s="1815" t="s">
        <v>1849</v>
      </c>
      <c r="D85" s="1921"/>
      <c r="E85" s="2084">
        <f>'Fannie Historical Ops'!D73</f>
        <v>0</v>
      </c>
      <c r="F85" s="2026">
        <f t="shared" si="10"/>
        <v>0</v>
      </c>
      <c r="G85" s="2084">
        <f>'Fannie Historical Ops'!F73</f>
        <v>0</v>
      </c>
      <c r="H85" s="1930">
        <f t="shared" si="10"/>
        <v>0</v>
      </c>
      <c r="I85" s="2066" t="str">
        <f t="shared" si="11"/>
        <v>N/A</v>
      </c>
      <c r="J85" s="2084">
        <f>'Fannie Historical Ops'!H73</f>
        <v>0</v>
      </c>
      <c r="K85" s="1930">
        <f t="shared" si="10"/>
        <v>0</v>
      </c>
      <c r="L85" s="2085" t="str">
        <f t="shared" si="12"/>
        <v>N/A</v>
      </c>
      <c r="M85" s="2086">
        <f>'Fannie Historical Ops'!V73</f>
        <v>0</v>
      </c>
      <c r="N85" s="2084">
        <f>ROUND(IF(M85&lt;&gt;0,(M85/M16)*12,0),2)</f>
        <v>0</v>
      </c>
      <c r="O85" s="2087">
        <f t="shared" si="10"/>
        <v>0</v>
      </c>
      <c r="P85" s="1948" t="str">
        <f t="shared" si="13"/>
        <v>N/A</v>
      </c>
      <c r="Q85" s="2088">
        <v>0</v>
      </c>
      <c r="R85" s="2088">
        <v>0</v>
      </c>
      <c r="S85" s="2088">
        <v>0</v>
      </c>
      <c r="T85" s="2089">
        <f t="shared" si="14"/>
        <v>0</v>
      </c>
      <c r="U85" s="2090">
        <f t="shared" si="10"/>
        <v>0</v>
      </c>
      <c r="V85" s="2084">
        <v>0</v>
      </c>
      <c r="W85" s="2090">
        <f t="shared" si="10"/>
        <v>0</v>
      </c>
      <c r="X85" s="2084">
        <v>0</v>
      </c>
      <c r="Y85" s="2090">
        <f t="shared" si="10"/>
        <v>0</v>
      </c>
      <c r="Z85" s="2091">
        <v>0</v>
      </c>
      <c r="AA85" s="2090">
        <f t="shared" si="10"/>
        <v>0</v>
      </c>
      <c r="AB85" s="2091">
        <v>0</v>
      </c>
      <c r="AC85" s="2090">
        <f t="shared" si="10"/>
        <v>0</v>
      </c>
      <c r="AD85" s="2091">
        <f t="shared" si="15"/>
        <v>0</v>
      </c>
      <c r="AE85" s="2090">
        <f t="shared" si="23"/>
        <v>0</v>
      </c>
      <c r="AF85" s="1931"/>
      <c r="AG85" s="2092"/>
      <c r="AH85" s="1967"/>
      <c r="AI85" s="1934"/>
      <c r="AJ85" s="6"/>
      <c r="AK85" s="6"/>
      <c r="AL85" s="6"/>
      <c r="AM85" s="6"/>
      <c r="AN85" s="6"/>
      <c r="AO85" s="6"/>
      <c r="AP85" s="6"/>
      <c r="AQ85" s="6"/>
      <c r="AR85" s="6"/>
      <c r="AS85" s="6"/>
      <c r="AT85" s="6"/>
      <c r="AU85" s="6"/>
      <c r="AV85" s="6"/>
      <c r="AW85" s="6"/>
    </row>
    <row r="86" ht="15.75" customHeight="1">
      <c r="A86" s="895"/>
      <c r="B86" s="895"/>
      <c r="C86" s="1956" t="s">
        <v>1850</v>
      </c>
      <c r="D86" s="1956"/>
      <c r="E86" s="2093">
        <f t="shared" si="19"/>
        <v>0</v>
      </c>
      <c r="F86" s="2094">
        <f t="shared" si="10"/>
        <v>0</v>
      </c>
      <c r="G86" s="2093">
        <f t="shared" si="19"/>
        <v>0</v>
      </c>
      <c r="H86" s="2095">
        <f t="shared" si="10"/>
        <v>0</v>
      </c>
      <c r="I86" s="2096" t="str">
        <f t="shared" si="11"/>
        <v>N/A</v>
      </c>
      <c r="J86" s="2093">
        <f t="shared" si="19"/>
        <v>0</v>
      </c>
      <c r="K86" s="2095">
        <f t="shared" si="10"/>
        <v>0</v>
      </c>
      <c r="L86" s="2097" t="str">
        <f t="shared" si="12"/>
        <v>N/A</v>
      </c>
      <c r="M86" s="2081">
        <f t="shared" si="19"/>
        <v>1727509</v>
      </c>
      <c r="N86" s="2098">
        <f t="shared" si="19"/>
        <v>1727509</v>
      </c>
      <c r="O86" s="2099">
        <f t="shared" si="10"/>
        <v>17104.05</v>
      </c>
      <c r="P86" s="2100" t="str">
        <f t="shared" si="13"/>
        <v>N/A</v>
      </c>
      <c r="Q86" s="2098">
        <f t="shared" si="19"/>
        <v>0</v>
      </c>
      <c r="R86" s="2098">
        <f t="shared" si="19"/>
        <v>0</v>
      </c>
      <c r="S86" s="2098">
        <f t="shared" si="19"/>
        <v>0</v>
      </c>
      <c r="T86" s="2098">
        <f t="shared" si="19"/>
        <v>0</v>
      </c>
      <c r="U86" s="2101">
        <f t="shared" si="10"/>
        <v>0</v>
      </c>
      <c r="V86" s="2098">
        <f t="shared" si="19"/>
        <v>0</v>
      </c>
      <c r="W86" s="2101">
        <f t="shared" si="10"/>
        <v>0</v>
      </c>
      <c r="X86" s="2098">
        <f t="shared" si="19"/>
        <v>0</v>
      </c>
      <c r="Y86" s="2101">
        <f t="shared" si="10"/>
        <v>0</v>
      </c>
      <c r="Z86" s="2098">
        <f t="shared" si="19"/>
        <v>0</v>
      </c>
      <c r="AA86" s="2101">
        <f t="shared" si="10"/>
        <v>0</v>
      </c>
      <c r="AB86" s="2098">
        <f t="shared" si="19"/>
        <v>0</v>
      </c>
      <c r="AC86" s="2101">
        <f t="shared" si="10"/>
        <v>0</v>
      </c>
      <c r="AD86" s="2098">
        <f t="shared" si="44"/>
        <v>-1616089.29</v>
      </c>
      <c r="AE86" s="2102">
        <f t="shared" si="23"/>
        <v>-16000.88</v>
      </c>
      <c r="AF86" s="1931"/>
      <c r="AG86" s="1971"/>
    </row>
    <row r="87" ht="14.25" customHeight="1">
      <c r="A87" s="631"/>
      <c r="B87" s="631"/>
      <c r="C87" s="631"/>
      <c r="D87" s="631"/>
      <c r="E87" s="631"/>
      <c r="F87" s="631"/>
      <c r="G87" s="631"/>
      <c r="H87" s="631"/>
      <c r="I87" s="631"/>
      <c r="J87" s="631"/>
      <c r="K87" s="631"/>
      <c r="L87" s="631"/>
      <c r="M87" s="631"/>
      <c r="N87" s="631"/>
      <c r="O87" s="631"/>
      <c r="P87" s="631"/>
      <c r="Q87" s="631"/>
      <c r="R87" s="631"/>
      <c r="S87" s="631"/>
      <c r="T87" s="631"/>
      <c r="U87" s="631"/>
      <c r="V87" s="631"/>
      <c r="W87" s="631"/>
      <c r="X87" s="631"/>
      <c r="Y87" s="631"/>
      <c r="Z87" s="631"/>
      <c r="AA87" s="631"/>
      <c r="AB87" s="631"/>
      <c r="AC87" s="631"/>
      <c r="AD87" s="631"/>
      <c r="AE87" s="631"/>
      <c r="AF87" s="631"/>
    </row>
  </sheetData>
  <mergeCells>
    <mergeCell ref="C7:D7"/>
    <mergeCell ref="C13:D14"/>
    <mergeCell ref="E13:F13"/>
    <mergeCell ref="G13:I13"/>
    <mergeCell ref="J13:L13"/>
    <mergeCell ref="E14:F14"/>
    <mergeCell ref="G14:I14"/>
    <mergeCell ref="J14:L14"/>
    <mergeCell ref="N14:P14"/>
    <mergeCell ref="N13:P13"/>
    <mergeCell ref="T15:U15"/>
    <mergeCell ref="V13:W14"/>
    <mergeCell ref="X13:Y14"/>
    <mergeCell ref="C15:D15"/>
    <mergeCell ref="E15:F15"/>
    <mergeCell ref="G15:I15"/>
    <mergeCell ref="J15:L15"/>
    <mergeCell ref="N15:P15"/>
    <mergeCell ref="AG13:AG14"/>
    <mergeCell ref="AD13:AE14"/>
    <mergeCell ref="AD15:AE15"/>
    <mergeCell ref="V15:W15"/>
    <mergeCell ref="X15:Y15"/>
    <mergeCell ref="Z15:AA15"/>
    <mergeCell ref="AB15:AC15"/>
    <mergeCell ref="Z13:AA14"/>
    <mergeCell ref="AB13:AC14"/>
    <mergeCell ref="AL20:AN20"/>
    <mergeCell ref="AL18:AN18"/>
    <mergeCell ref="AL19:AN19"/>
    <mergeCell ref="AK15:AN15"/>
    <mergeCell ref="AK16:AN16"/>
  </mergeCells>
  <dataValidations count="3">
    <dataValidation allowBlank="1" error="Must be valid Excel date." errorTitle="Invalid Date" showErrorMessage="1" showInputMessage="1" sqref="E15:AC15" type="date">
      <formula1>TODAY() -365*5</formula1>
      <formula2>TODAY() +365*5</formula2>
    </dataValidation>
    <dataValidation allowBlank="1" error="Must be valid Excel date." errorTitle="Invalid Date" showErrorMessage="1" showInputMessage="1" sqref="AD15:AE15" type="date">
      <formula1>TODAY() -365*4</formula1>
      <formula2>TODAY() +365*3</formula2>
    </dataValidation>
    <dataValidation allowBlank="1" showErrorMessage="1" showInputMessage="1" sqref="C35:D35 AA35 Y35 W35 U35 K35:L35 H35:I35 O35:P35 AC35 F35" type="whole">
      <formula1>-1000000000000000000</formula1>
      <formula2>1000000000000000000</formula2>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1C19C96-8BAB-86E7-528F-63F0BA1BBD67}" mc:Ignorable="x14ac xr xr2 xr3">
  <sheetPr>
    <tabColor rgb="FF00B050"/>
    <pageSetUpPr fitToPage="1"/>
  </sheetPr>
  <dimension ref="A1:AY98"/>
  <sheetViews>
    <sheetView zoomScale="80" workbookViewId="0">
      <pane xSplit="3" ySplit="4" topLeftCell="D5" activePane="bottomRight" state="frozen"/>
      <selection pane="bottomLeft" activeCell="A5" sqref="A5"/>
      <selection pane="topRight" activeCell="D1" sqref="D1"/>
      <selection pane="bottomRight" activeCell="V2" sqref="V2"/>
    </sheetView>
  </sheetViews>
  <sheetFormatPr defaultRowHeight="14.002500000000003" defaultColWidth="9.57421875" customHeight="1" outlineLevelCol="1"/>
  <cols>
    <col min="1" max="1" style="1151" width="10.00390625" customWidth="1"/>
    <col min="2" max="2" style="1151" width="37.140625" customWidth="1"/>
    <col min="3" max="3" style="1151" width="6.140625" customWidth="1"/>
    <col min="4" max="4" style="2343" width="11.8515625" customWidth="1"/>
    <col min="5" max="5" style="2343" width="8.7109375" customWidth="1"/>
    <col min="6" max="6" style="2343" width="11.8515625" customWidth="1"/>
    <col min="7" max="7" style="2343" width="8.7109375" customWidth="1"/>
    <col min="8" max="8" style="2343" width="11.8515625" customWidth="1"/>
    <col min="9" max="9" style="2343" width="8.7109375" customWidth="1"/>
    <col min="10" max="21" style="2343" width="11.8515625" hidden="1" customWidth="1" outlineLevel="1"/>
    <col min="22" max="22" style="2343" width="13.140625" collapsed="1" customWidth="1"/>
    <col min="23" max="23" style="2343" width="14.8515625" customWidth="1"/>
    <col min="24" max="24" style="2343" width="8.7109375" customWidth="1"/>
    <col min="25" max="25" style="2343" width="11.8515625" customWidth="1"/>
    <col min="26" max="26" style="2343" width="8.7109375" customWidth="1"/>
    <col min="27" max="27" style="2343" width="11.8515625" customWidth="1"/>
    <col min="28" max="28" style="2343" width="8.7109375" customWidth="1"/>
    <col min="29" max="29" style="2343" width="11.8515625" hidden="1" customWidth="1" outlineLevel="1"/>
    <col min="30" max="30" style="2343" width="8.7109375" hidden="1" customWidth="1" outlineLevel="1"/>
    <col min="31" max="31" style="2343" width="11.8515625" hidden="1" customWidth="1" outlineLevel="1"/>
    <col min="32" max="32" style="2343" width="8.7109375" hidden="1" customWidth="1" outlineLevel="1"/>
    <col min="33" max="33" style="2343" width="11.8515625" hidden="1" customWidth="1" outlineLevel="1"/>
    <col min="34" max="34" style="2343" width="8.7109375" hidden="1" customWidth="1" outlineLevel="1"/>
    <col min="35" max="35" style="2343" width="11.8515625" hidden="1" customWidth="1" outlineLevel="1"/>
    <col min="36" max="36" style="2343" width="8.7109375" hidden="1" customWidth="1" outlineLevel="1"/>
    <col min="37" max="37" style="2343" width="11.8515625" collapsed="1" customWidth="1"/>
    <col min="38" max="38" style="2343" width="8.7109375" customWidth="1"/>
    <col min="39" max="39" style="1151" width="11.8515625" customWidth="1"/>
    <col min="40" max="40" style="1151" width="8.7109375" customWidth="1"/>
    <col min="41" max="41" style="1151" width="2.7109375" customWidth="1"/>
    <col min="42" max="42" style="1151" width="8.28125" customWidth="1"/>
    <col min="43" max="43" style="1151" width="44.57421875" customWidth="1"/>
    <col min="44" max="44" style="2344" width="28.7109375" customWidth="1"/>
    <col min="45" max="45" style="1151" width="3.57421875" customWidth="1"/>
    <col min="46" max="46" style="1151" width="11.57421875" customWidth="1"/>
    <col min="47" max="47" style="1151" width="4.00390625" hidden="1" customWidth="1"/>
    <col min="48" max="48" style="2343" width="11.57421875" customWidth="1"/>
    <col min="49" max="49" style="2343" width="7.57421875" customWidth="1"/>
    <col min="50" max="50" style="2343" width="3.57421875" customWidth="1"/>
    <col min="51" max="51" style="2343" width="7.57421875" customWidth="1"/>
  </cols>
  <sheetData>
    <row r="1" ht="15" customHeight="1">
      <c r="A1" s="2103" t="str">
        <f>IF(AND(LEN(property_name)&gt;0,property_name&lt;&gt;"XXXX"),property_name,"Property: XXXX")</f>
        <v>Property: XXXX</v>
      </c>
      <c r="C1" s="2104"/>
      <c r="D1" s="2104"/>
      <c r="F1" s="2103" t="s">
        <v>1852</v>
      </c>
      <c r="G1" s="2105"/>
      <c r="I1" s="2105"/>
      <c r="J1" s="2105"/>
      <c r="K1" s="2105"/>
      <c r="L1" s="2105"/>
      <c r="M1" s="2105"/>
      <c r="N1" s="2105"/>
      <c r="O1" s="2105"/>
      <c r="P1" s="2105"/>
      <c r="Q1" s="2105"/>
      <c r="R1" s="2105"/>
      <c r="S1" s="2105"/>
      <c r="T1" s="2105"/>
      <c r="U1" s="2105"/>
      <c r="V1" s="2106">
        <f>number_units</f>
        <v>101</v>
      </c>
      <c r="W1" s="2105"/>
      <c r="X1" s="2105"/>
      <c r="Y1" s="2105"/>
      <c r="Z1" s="2105"/>
      <c r="AA1" s="2105"/>
      <c r="AB1" s="2105"/>
      <c r="AC1" s="2105"/>
      <c r="AD1" s="2105"/>
      <c r="AE1" s="2105"/>
      <c r="AF1" s="2105"/>
      <c r="AG1" s="2105"/>
      <c r="AH1" s="2105"/>
      <c r="AI1" s="2105"/>
      <c r="AJ1" s="2105"/>
      <c r="AK1" s="2107">
        <f t="shared" si="0" ref="AK1:AL1">NOW()</f>
        <v>45201.476135474535</v>
      </c>
      <c r="AL1" s="2108">
        <f t="shared" si="0"/>
        <v>45201.476135474535</v>
      </c>
      <c r="AM1" s="2109"/>
      <c r="AN1" s="2110"/>
      <c r="AO1" s="2111"/>
      <c r="AP1" s="2109"/>
      <c r="AQ1" s="2112"/>
      <c r="AR1" s="2113" t="str">
        <f t="shared" si="1" ref="AR1:AT1">A1</f>
        <v>Property: XXXX</v>
      </c>
      <c r="AS1" s="2114"/>
      <c r="AT1" s="2113">
        <f t="shared" si="1"/>
        <v>0</v>
      </c>
      <c r="AU1" s="2114"/>
      <c r="AV1" s="2109"/>
      <c r="AW1" s="2109"/>
      <c r="AX1" s="2109"/>
      <c r="AY1" s="2109"/>
    </row>
    <row r="2" ht="14.25" customHeight="1">
      <c r="A2" s="2114"/>
      <c r="B2" s="2115" t="s">
        <v>1853</v>
      </c>
      <c r="C2" s="2116"/>
      <c r="D2" s="2117" t="s">
        <v>1854</v>
      </c>
      <c r="E2" s="2118"/>
      <c r="F2" s="2117" t="s">
        <v>1854</v>
      </c>
      <c r="G2" s="2118"/>
      <c r="H2" s="2117" t="s">
        <v>1854</v>
      </c>
      <c r="I2" s="2118"/>
      <c r="J2" s="2119" t="s">
        <v>1738</v>
      </c>
      <c r="K2" s="2120" t="s">
        <v>1855</v>
      </c>
      <c r="L2" s="2120" t="s">
        <v>1856</v>
      </c>
      <c r="M2" s="2120" t="s">
        <v>1857</v>
      </c>
      <c r="N2" s="2120" t="s">
        <v>1858</v>
      </c>
      <c r="O2" s="2120" t="s">
        <v>1859</v>
      </c>
      <c r="P2" s="2120" t="s">
        <v>1737</v>
      </c>
      <c r="Q2" s="2120" t="s">
        <v>1860</v>
      </c>
      <c r="R2" s="2120" t="s">
        <v>1861</v>
      </c>
      <c r="S2" s="2120" t="s">
        <v>1736</v>
      </c>
      <c r="T2" s="2120" t="s">
        <v>1862</v>
      </c>
      <c r="U2" s="2120" t="s">
        <v>1735</v>
      </c>
      <c r="V2" s="2121" t="s">
        <v>1863</v>
      </c>
      <c r="W2" s="2122" t="str">
        <f>IF(HOps_YTD_or_TR_DropDown="YTD",HOps_YTD_or_TR_DropDown,"TR-"&amp;HOps_YTD_or_TR_Months)&amp;IF(V2="YTD"," Annualized ("&amp;TEXT('OS Analysis'!P2,"m/yyyy")&amp;")"," Statement ("&amp;TEXT('OS Analysis'!P2,"m/yyyy")&amp;")")</f>
        <v>TR-12 Statement (9/2022)</v>
      </c>
      <c r="X2" s="2119"/>
      <c r="Y2" s="2122" t="s">
        <v>1865</v>
      </c>
      <c r="Z2" s="2119"/>
      <c r="AA2" s="2122" t="s">
        <v>1866</v>
      </c>
      <c r="AB2" s="2119"/>
      <c r="AC2" s="2122" t="s">
        <v>1866</v>
      </c>
      <c r="AD2" s="2119"/>
      <c r="AE2" s="2122" t="s">
        <v>1867</v>
      </c>
      <c r="AF2" s="2119"/>
      <c r="AG2" s="2122" t="s">
        <v>1868</v>
      </c>
      <c r="AH2" s="2119"/>
      <c r="AI2" s="2122" t="s">
        <v>1869</v>
      </c>
      <c r="AJ2" s="2119"/>
      <c r="AK2" s="2122" t="s">
        <v>1870</v>
      </c>
      <c r="AL2" s="2119"/>
      <c r="AM2" s="2122" t="s">
        <v>1871</v>
      </c>
      <c r="AN2" s="2119"/>
      <c r="AO2" s="2113"/>
      <c r="AP2" s="2113"/>
      <c r="AQ2" s="2114" t="str">
        <f t="shared" si="3" ref="AQ2:AQ79">B2</f>
        <v>Data Source</v>
      </c>
      <c r="AR2" s="2123" t="s">
        <v>1872</v>
      </c>
      <c r="AS2" s="2114"/>
      <c r="AT2" s="2123" t="s">
        <v>1873</v>
      </c>
      <c r="AU2" s="2123"/>
      <c r="AV2" s="2124" t="s">
        <v>1874</v>
      </c>
      <c r="AW2" s="2125"/>
      <c r="AX2" s="2124">
        <v>2011</v>
      </c>
      <c r="AY2" s="2125"/>
    </row>
    <row r="3" ht="14.25" customHeight="1">
      <c r="A3" s="2114"/>
      <c r="B3" s="2126" t="s">
        <v>1875</v>
      </c>
      <c r="C3" s="2127"/>
      <c r="D3" s="2128"/>
      <c r="E3" s="2129"/>
      <c r="F3" s="2128"/>
      <c r="G3" s="2129"/>
      <c r="H3" s="2128"/>
      <c r="I3" s="2129"/>
      <c r="J3" s="2130" t="s">
        <v>1876</v>
      </c>
      <c r="K3" s="2131" t="s">
        <v>1876</v>
      </c>
      <c r="L3" s="2131" t="s">
        <v>1876</v>
      </c>
      <c r="M3" s="2131" t="s">
        <v>1876</v>
      </c>
      <c r="N3" s="2131" t="s">
        <v>1876</v>
      </c>
      <c r="O3" s="2131" t="s">
        <v>1876</v>
      </c>
      <c r="P3" s="2131" t="s">
        <v>1876</v>
      </c>
      <c r="Q3" s="2131" t="s">
        <v>1876</v>
      </c>
      <c r="R3" s="2131" t="s">
        <v>1876</v>
      </c>
      <c r="S3" s="2131" t="s">
        <v>1876</v>
      </c>
      <c r="T3" s="2131" t="s">
        <v>1876</v>
      </c>
      <c r="U3" s="2131" t="s">
        <v>1876</v>
      </c>
      <c r="V3" s="2132" t="s">
        <v>1877</v>
      </c>
      <c r="W3" s="2133"/>
      <c r="X3" s="2130"/>
      <c r="Y3" s="2133"/>
      <c r="Z3" s="2130"/>
      <c r="AA3" s="2133"/>
      <c r="AB3" s="2130"/>
      <c r="AC3" s="2133"/>
      <c r="AD3" s="2130"/>
      <c r="AE3" s="2133"/>
      <c r="AF3" s="2130"/>
      <c r="AG3" s="2133"/>
      <c r="AH3" s="2130"/>
      <c r="AI3" s="2133"/>
      <c r="AJ3" s="2130"/>
      <c r="AK3" s="2133"/>
      <c r="AL3" s="2130"/>
      <c r="AM3" s="2133"/>
      <c r="AN3" s="2130"/>
      <c r="AO3" s="2113"/>
      <c r="AP3" s="2113"/>
      <c r="AQ3" s="2114"/>
      <c r="AR3" s="2123"/>
      <c r="AS3" s="2114"/>
      <c r="AT3" s="2123"/>
      <c r="AU3" s="2123"/>
      <c r="AV3" s="2134"/>
      <c r="AW3" s="2135"/>
      <c r="AX3" s="2134"/>
      <c r="AY3" s="2135"/>
    </row>
    <row r="4" ht="15" customHeight="1">
      <c r="A4" s="2114"/>
      <c r="B4" s="2136" t="s">
        <v>1763</v>
      </c>
      <c r="C4" s="2136"/>
      <c r="D4" s="2137">
        <f>IF(ISBLANK(D3),HOps_CurrentYear-3,"Using TR Figures")</f>
        <v>2019</v>
      </c>
      <c r="E4" s="2137" t="s">
        <v>1878</v>
      </c>
      <c r="F4" s="2137">
        <f>IF(ISBLANK(F3),HOps_CurrentYear-2,"Using TR Figures")</f>
        <v>2020</v>
      </c>
      <c r="G4" s="2137" t="s">
        <v>1878</v>
      </c>
      <c r="H4" s="2137">
        <f>IF(ISBLANK(H3),HOps_CurrentYear-1,"Using TR Figures")</f>
        <v>2021</v>
      </c>
      <c r="I4" s="2137" t="s">
        <v>1878</v>
      </c>
      <c r="J4" s="2138"/>
      <c r="K4" s="2139"/>
      <c r="L4" s="2139"/>
      <c r="M4" s="2139"/>
      <c r="N4" s="2139"/>
      <c r="O4" s="2139"/>
      <c r="P4" s="2139"/>
      <c r="Q4" s="2139"/>
      <c r="R4" s="2139"/>
      <c r="S4" s="2139"/>
      <c r="T4" s="2139"/>
      <c r="U4" s="2139"/>
      <c r="V4" s="2140">
        <v>12</v>
      </c>
      <c r="W4" s="2140">
        <f>YEAR(OSAnalysis_MostRecentMonth)</f>
        <v>2022</v>
      </c>
      <c r="X4" s="2141" t="s">
        <v>1878</v>
      </c>
      <c r="Y4" s="2142">
        <f>W4</f>
        <v>2022</v>
      </c>
      <c r="Z4" s="2142" t="s">
        <v>1878</v>
      </c>
      <c r="AA4" s="2142" t="s">
        <v>1879</v>
      </c>
      <c r="AB4" s="2142" t="s">
        <v>1878</v>
      </c>
      <c r="AC4" s="2142" t="s">
        <v>1880</v>
      </c>
      <c r="AD4" s="2142" t="s">
        <v>1878</v>
      </c>
      <c r="AE4" s="2142" t="s">
        <v>1881</v>
      </c>
      <c r="AF4" s="2142" t="s">
        <v>1878</v>
      </c>
      <c r="AG4" s="2142" t="s">
        <v>1881</v>
      </c>
      <c r="AH4" s="2142" t="s">
        <v>1878</v>
      </c>
      <c r="AI4" s="2142" t="s">
        <v>1881</v>
      </c>
      <c r="AJ4" s="2142" t="s">
        <v>1878</v>
      </c>
      <c r="AK4" s="2142" t="s">
        <v>1879</v>
      </c>
      <c r="AL4" s="2142" t="s">
        <v>1878</v>
      </c>
      <c r="AM4" s="2142" t="s">
        <v>1879</v>
      </c>
      <c r="AN4" s="2142" t="s">
        <v>1878</v>
      </c>
      <c r="AO4" s="2143"/>
      <c r="AP4" s="2144"/>
      <c r="AQ4" s="2114"/>
      <c r="AR4" s="2145"/>
      <c r="AS4" s="2114"/>
      <c r="AT4" s="2123"/>
      <c r="AU4" s="2123"/>
      <c r="AV4" s="2146"/>
      <c r="AW4" s="2147"/>
      <c r="AX4" s="2146" t="s">
        <v>1882</v>
      </c>
      <c r="AY4" s="2147"/>
    </row>
    <row r="5" ht="14.25" customHeight="1">
      <c r="A5" s="2114"/>
      <c r="B5" s="2103" t="s">
        <v>1395</v>
      </c>
      <c r="C5" s="2114"/>
      <c r="D5" s="2148">
        <f>IF(ISBLANK(D$3),SUMIF('OS Analysis'!$BM3:$BM1002,$B5,'OS Analysis'!$CB3:$CB1002),INDEX($J5:$U5,1,MATCH(D$3,$J$4:$U$4,0)))</f>
        <v>0</v>
      </c>
      <c r="E5" s="2149">
        <f t="shared" si="2" ref="E5:AN30">_xlfn.IFERROR((D5/$V$1)/12,0)</f>
        <v>0</v>
      </c>
      <c r="F5" s="2150">
        <f>IF(ISBLANK(F$3),SUMIF('OS Analysis'!$AV3:$AV1002,$B5,'OS Analysis'!$BK3:$BK1002),INDEX($J5:$U5,1,MATCH(F$3,$J$4:$U$4,0)))</f>
        <v>0</v>
      </c>
      <c r="G5" s="2151">
        <f t="shared" si="2"/>
        <v>0</v>
      </c>
      <c r="H5" s="2148">
        <f>IF(ISBLANK(H$3),SUMIF('OS Analysis'!$AE3:$AE1002,$B5,'OS Analysis'!$AT3:$AT1002),INDEX($J5:$U5,1,MATCH(H$3,$J$4:$U$4,0)))</f>
        <v>0</v>
      </c>
      <c r="I5" s="2149">
        <f t="shared" si="2"/>
        <v>0</v>
      </c>
      <c r="J5" s="2152">
        <f>((SUMIF('OS Analysis'!$B3:$B1002,B5,'OS Analysis'!$AC3:$AC1002))/12)*12</f>
        <v>5028324</v>
      </c>
      <c r="K5" s="2153">
        <f>((SUMIF('OS Analysis'!$B3:$B1002,B5,'OS Analysis'!$AB3:$AB1002))/11)*12</f>
        <v>5023599.2727272725</v>
      </c>
      <c r="L5" s="2153">
        <f>((SUMIF('OS Analysis'!$B3:$B1002,B5,'OS Analysis'!$AA3:$AA1002))/10)*12</f>
        <v>5019590.4</v>
      </c>
      <c r="M5" s="2153">
        <f>((SUMIF('OS Analysis'!$B3:$B1002,B5,'OS Analysis'!$Z3:$Z1002))/9)*12</f>
        <v>5055228</v>
      </c>
      <c r="N5" s="2153">
        <f>((SUMIF('OS Analysis'!$B3:$B1002,B5,'OS Analysis'!$Y3:$Y1002))/8)*12</f>
        <v>5056887</v>
      </c>
      <c r="O5" s="2153">
        <f>((SUMIF('OS Analysis'!$B3:$B1002,B5,'OS Analysis'!$X3:$X1002))/7)*12</f>
        <v>5050911.428571429</v>
      </c>
      <c r="P5" s="2153">
        <f>((SUMIF('OS Analysis'!$B3:$B1002,B5,'OS Analysis'!$W3:$W1002))/6)*12</f>
        <v>5103032</v>
      </c>
      <c r="Q5" s="2153">
        <f>((SUMIF('OS Analysis'!$B3:$B1002,B5,'OS Analysis'!$V3:$V1002))/5)*12</f>
        <v>5146665.6</v>
      </c>
      <c r="R5" s="2153">
        <f>((SUMIF('OS Analysis'!$B3:$B1002,B5,'OS Analysis'!$U3:$U1002))/4)*12</f>
        <v>5161863</v>
      </c>
      <c r="S5" s="2153">
        <f>((SUMIF('OS Analysis'!$B3:$B1002,B5,'OS Analysis'!$T3:$T1002))/3)*12</f>
        <v>5135568</v>
      </c>
      <c r="T5" s="2153">
        <f>((SUMIF('OS Analysis'!$B3:$B1002,B5,'OS Analysis'!$S3:$S1002))/2)*12</f>
        <v>5157234</v>
      </c>
      <c r="U5" s="2153">
        <f>(SUMIF('OS Analysis'!$B3:$B1002,B5,'OS Analysis'!$R3:$R1002))*12</f>
        <v>5113104</v>
      </c>
      <c r="V5" s="2154">
        <f>SUMIF('OS Analysis'!$B$3:$B$1002,$B5,'OS Analysis'!$Q$3:$Q$1002)</f>
        <v>5028324</v>
      </c>
      <c r="W5" s="2155">
        <f t="shared" si="5" ref="W5:W73">(V5/$V$4)*12</f>
        <v>5028324</v>
      </c>
      <c r="X5" s="2149">
        <f t="shared" si="2"/>
        <v>4148.782178217822</v>
      </c>
      <c r="Y5" s="2156">
        <f>SUMIF('OS Analysis'!$CD3:$CD1002,$B5,'OS Analysis'!$CS3:$CS1002)</f>
        <v>0</v>
      </c>
      <c r="Z5" s="2149">
        <f t="shared" si="2"/>
        <v>0</v>
      </c>
      <c r="AA5" s="2156">
        <f>SUMIF('OS Analysis'!$CU3:$CU1002,$B5,'OS Analysis'!$CW3:$CW1002)</f>
        <v>0</v>
      </c>
      <c r="AB5" s="2149">
        <f t="shared" si="2"/>
        <v>0</v>
      </c>
      <c r="AC5" s="2156">
        <f>SUMIF('OS Analysis'!$CU3:$CU1002,$B5,'OS Analysis'!$CX3:$CX1002)</f>
        <v>0</v>
      </c>
      <c r="AD5" s="2149">
        <f t="shared" si="2"/>
        <v>0</v>
      </c>
      <c r="AE5" s="2156">
        <v>0</v>
      </c>
      <c r="AF5" s="2149">
        <f t="shared" si="2"/>
        <v>0</v>
      </c>
      <c r="AG5" s="2156">
        <v>0</v>
      </c>
      <c r="AH5" s="2149">
        <f t="shared" si="2"/>
        <v>0</v>
      </c>
      <c r="AI5" s="2156">
        <v>0</v>
      </c>
      <c r="AJ5" s="2149">
        <f t="shared" si="2"/>
        <v>0</v>
      </c>
      <c r="AK5" s="2148">
        <f>'Rent Roll'!M139</f>
        <v>1556580</v>
      </c>
      <c r="AL5" s="2149">
        <f t="shared" si="2"/>
        <v>1284.3069306930693</v>
      </c>
      <c r="AM5" s="2156">
        <v>0</v>
      </c>
      <c r="AN5" s="2149">
        <f t="shared" si="2"/>
        <v>0</v>
      </c>
      <c r="AO5" s="2157"/>
      <c r="AP5" s="2157"/>
      <c r="AQ5" s="2114" t="str">
        <f t="shared" si="3"/>
        <v>Gross Potential Rent (GPR)</v>
      </c>
      <c r="AR5" s="2158" t="str">
        <f>IF(AK5='Rent Roll'!M139,"Annualized GPR (Rent Roll)","Non-Standard Assumption - Please Clarify")</f>
        <v>Annualized GPR (Rent Roll)</v>
      </c>
      <c r="AS5" s="2114"/>
      <c r="AT5" s="2159"/>
      <c r="AU5" s="2160"/>
      <c r="AV5" s="2161">
        <f t="shared" si="6" ref="AV5:AV73">SUM(D5,F5,H5)/IF(AND(D$77&lt;&gt;0,F$77&lt;&gt;0,H$77&lt;&gt;0),3,IF(AND(F$77&lt;&gt;0,H$77&lt;&gt;0),2,IF(AND(D$77&lt;&gt;0,F$77&lt;&gt;0),2,1)))</f>
        <v>0</v>
      </c>
      <c r="AW5" s="2151">
        <f>_xlfn.IFERROR((AV5/V1)/12,0)</f>
        <v>0</v>
      </c>
      <c r="AX5" s="2162">
        <v>0</v>
      </c>
      <c r="AY5" s="2163">
        <f>_xlfn.IFERROR((AX5/V1)/12,0)</f>
        <v>0</v>
      </c>
    </row>
    <row r="6" ht="14.25" customHeight="1">
      <c r="A6" s="2114"/>
      <c r="B6" s="2103" t="s">
        <v>1884</v>
      </c>
      <c r="C6" s="2114"/>
      <c r="D6" s="2164">
        <f>IF(ISBLANK(D$3),SUMIF('OS Analysis'!$BM3:$BM1002,$B6,'OS Analysis'!$CB3:$CB1002),INDEX($J6:$U6,1,MATCH(D$3,$J$4:$U$4,0)))</f>
        <v>0</v>
      </c>
      <c r="E6" s="2165">
        <f t="shared" si="4" ref="E6:AY8">_xlfn.IFERROR(-D6/D$5,0)</f>
        <v>0</v>
      </c>
      <c r="F6" s="2164">
        <f>IF(ISBLANK(F$3),SUMIF('OS Analysis'!$AV3:$AV1002,$B6,'OS Analysis'!$BK3:$BK1002),INDEX($J6:$U6,1,MATCH(F$3,$J$4:$U$4,0)))</f>
        <v>0</v>
      </c>
      <c r="G6" s="2165">
        <f t="shared" si="4"/>
        <v>0</v>
      </c>
      <c r="H6" s="2164">
        <f>IF(ISBLANK(H$3),SUMIF('OS Analysis'!$AE3:$AE1002,$B6,'OS Analysis'!$AT3:$AT1002),INDEX($J6:$U6,1,MATCH(H$3,$J$4:$U$4,0)))</f>
        <v>0</v>
      </c>
      <c r="I6" s="2165">
        <f t="shared" si="4"/>
        <v>0</v>
      </c>
      <c r="J6" s="2152">
        <f>((SUMIF('OS Analysis'!$B3:$B1002,B6,'OS Analysis'!$AC3:$AC1002))/12)*12</f>
        <v>-174838</v>
      </c>
      <c r="K6" s="2153">
        <f>((SUMIF('OS Analysis'!$B3:$B1002,B6,'OS Analysis'!$AB3:$AB1002))/11)*12</f>
        <v>-174100.36363636365</v>
      </c>
      <c r="L6" s="2153">
        <f>((SUMIF('OS Analysis'!$B3:$B1002,B6,'OS Analysis'!$AA3:$AA1002))/10)*12</f>
        <v>-167413.2</v>
      </c>
      <c r="M6" s="2153">
        <f>((SUMIF('OS Analysis'!$B3:$B1002,B6,'OS Analysis'!$Z3:$Z1002))/9)*12</f>
        <v>-165697.33333333334</v>
      </c>
      <c r="N6" s="2153">
        <f>((SUMIF('OS Analysis'!$B3:$B1002,B6,'OS Analysis'!$Y3:$Y1002))/8)*12</f>
        <v>-151336.5</v>
      </c>
      <c r="O6" s="2153">
        <f>((SUMIF('OS Analysis'!$B3:$B1002,B6,'OS Analysis'!$X3:$X1002))/7)*12</f>
        <v>-145505.14285714284</v>
      </c>
      <c r="P6" s="2153">
        <f>((SUMIF('OS Analysis'!$B3:$B1002,B6,'OS Analysis'!$W3:$W1002))/6)*12</f>
        <v>-148634</v>
      </c>
      <c r="Q6" s="2153">
        <f>((SUMIF('OS Analysis'!$B3:$B1002,B6,'OS Analysis'!$V3:$V1002))/5)*12</f>
        <v>-165321.59999999998</v>
      </c>
      <c r="R6" s="2153">
        <f>((SUMIF('OS Analysis'!$B3:$B1002,B6,'OS Analysis'!$U3:$U1002))/4)*12</f>
        <v>-179808</v>
      </c>
      <c r="S6" s="2153">
        <f>((SUMIF('OS Analysis'!$B3:$B1002,B6,'OS Analysis'!$T3:$T1002))/3)*12</f>
        <v>-186172</v>
      </c>
      <c r="T6" s="2153">
        <f>((SUMIF('OS Analysis'!$B3:$B1002,B6,'OS Analysis'!$S3:$S1002))/2)*12</f>
        <v>-203988</v>
      </c>
      <c r="U6" s="2153">
        <f>(SUMIF('OS Analysis'!$B3:$B1002,B6,'OS Analysis'!$R3:$R1002))*12</f>
        <v>-229572</v>
      </c>
      <c r="V6" s="2166">
        <f>SUMIF('OS Analysis'!$B$3:$B$1002,$B6,'OS Analysis'!$Q$3:$Q$1002)</f>
        <v>-174838</v>
      </c>
      <c r="W6" s="2164">
        <f t="shared" si="5"/>
        <v>-174838</v>
      </c>
      <c r="X6" s="2165">
        <f t="shared" si="4"/>
        <v>0.0347706313276551</v>
      </c>
      <c r="Y6" s="2164">
        <f>SUMIF('OS Analysis'!$CD3:$CD1002,$B6,'OS Analysis'!$CS3:$CS1002)</f>
        <v>0</v>
      </c>
      <c r="Z6" s="2165">
        <f t="shared" si="4"/>
        <v>0</v>
      </c>
      <c r="AA6" s="2164">
        <f>SUMIF('OS Analysis'!$CU3:$CU1002,$B6,'OS Analysis'!$CW3:$CW1002)</f>
        <v>0</v>
      </c>
      <c r="AB6" s="2165">
        <f t="shared" si="4"/>
        <v>0</v>
      </c>
      <c r="AC6" s="2164">
        <f>SUMIF('OS Analysis'!$CU3:$CU1002,$B6,'OS Analysis'!$CX3:$CX1002)</f>
        <v>0</v>
      </c>
      <c r="AD6" s="2165">
        <f t="shared" si="4"/>
        <v>0</v>
      </c>
      <c r="AE6" s="2164">
        <v>0</v>
      </c>
      <c r="AF6" s="2165">
        <f t="shared" si="4"/>
        <v>0</v>
      </c>
      <c r="AG6" s="2164">
        <v>0</v>
      </c>
      <c r="AH6" s="2165">
        <f t="shared" si="4"/>
        <v>0</v>
      </c>
      <c r="AI6" s="2164">
        <v>0</v>
      </c>
      <c r="AJ6" s="2165">
        <f t="shared" si="4"/>
        <v>0</v>
      </c>
      <c r="AK6" s="2164">
        <f t="shared" si="7" ref="AK6:AK8">S6</f>
        <v>-186172</v>
      </c>
      <c r="AL6" s="2165">
        <f t="shared" si="4"/>
        <v>0.11960323272816045</v>
      </c>
      <c r="AM6" s="2164">
        <v>0</v>
      </c>
      <c r="AN6" s="2165">
        <f t="shared" si="4"/>
        <v>0</v>
      </c>
      <c r="AO6" s="2167"/>
      <c r="AP6" s="2168"/>
      <c r="AQ6" s="2114" t="str">
        <f t="shared" si="3"/>
        <v>Less Vacancy Loss</v>
      </c>
      <c r="AR6" s="2158" t="str">
        <f t="shared" si="8" ref="AR6:AR8">IF(AK6=0,"",IF(AK6=S6,"T-3 Annualized","Non-Standard Assumption - Please Clarify"))</f>
        <v>T-3 Annualized</v>
      </c>
      <c r="AS6" s="2114"/>
      <c r="AT6" s="2169"/>
      <c r="AU6" s="2160"/>
      <c r="AV6" s="2170">
        <f t="shared" si="6"/>
        <v>0</v>
      </c>
      <c r="AW6" s="2171">
        <f t="shared" si="4"/>
        <v>0</v>
      </c>
      <c r="AX6" s="2172">
        <v>0</v>
      </c>
      <c r="AY6" s="2173">
        <f t="shared" si="4"/>
        <v>0</v>
      </c>
    </row>
    <row r="7" ht="14.25" customHeight="1">
      <c r="A7" s="2114"/>
      <c r="B7" s="2103" t="s">
        <v>1885</v>
      </c>
      <c r="C7" s="2114"/>
      <c r="D7" s="2164">
        <f>IF(ISBLANK(D$3),SUMIF('OS Analysis'!$BM3:$BM1002,$B7,'OS Analysis'!$CB3:$CB1002),INDEX($J7:$U7,1,MATCH(D$3,$J$4:$U$4,0)))</f>
        <v>0</v>
      </c>
      <c r="E7" s="2165">
        <f t="shared" si="4"/>
        <v>0</v>
      </c>
      <c r="F7" s="2164">
        <f>IF(ISBLANK(F$3),SUMIF('OS Analysis'!$AV3:$AV1002,$B7,'OS Analysis'!$BK3:$BK1002),INDEX($J7:$U7,1,MATCH(F$3,$J$4:$U$4,0)))</f>
        <v>0</v>
      </c>
      <c r="G7" s="2165">
        <f t="shared" si="4"/>
        <v>0</v>
      </c>
      <c r="H7" s="2164">
        <f>IF(ISBLANK(H$3),SUMIF('OS Analysis'!$AE3:$AE1002,$B7,'OS Analysis'!$AT3:$AT1002),INDEX($J7:$U7,1,MATCH(H$3,$J$4:$U$4,0)))</f>
        <v>0</v>
      </c>
      <c r="I7" s="2165">
        <f t="shared" si="4"/>
        <v>0</v>
      </c>
      <c r="J7" s="2152">
        <f>((SUMIF('OS Analysis'!$B3:$B1002,B7,'OS Analysis'!$AC3:$AC1002))/12)*12</f>
        <v>-46354</v>
      </c>
      <c r="K7" s="2153">
        <f>((SUMIF('OS Analysis'!$B3:$B1002,B7,'OS Analysis'!$AB3:$AB1002))/11)*12</f>
        <v>-50590.90909090909</v>
      </c>
      <c r="L7" s="2153">
        <f>((SUMIF('OS Analysis'!$B3:$B1002,B7,'OS Analysis'!$AA3:$AA1002))/10)*12</f>
        <v>-56042.399999999994</v>
      </c>
      <c r="M7" s="2153">
        <f>((SUMIF('OS Analysis'!$B3:$B1002,B7,'OS Analysis'!$Z3:$Z1002))/9)*12</f>
        <v>-58862.66666666667</v>
      </c>
      <c r="N7" s="2153">
        <f>((SUMIF('OS Analysis'!$B3:$B1002,B7,'OS Analysis'!$Y3:$Y1002))/8)*12</f>
        <v>-56860.5</v>
      </c>
      <c r="O7" s="2153">
        <f>((SUMIF('OS Analysis'!$B3:$B1002,B7,'OS Analysis'!$X3:$X1002))/7)*12</f>
        <v>-55020</v>
      </c>
      <c r="P7" s="2153">
        <f>((SUMIF('OS Analysis'!$B3:$B1002,B7,'OS Analysis'!$W3:$W1002))/6)*12</f>
        <v>-45414</v>
      </c>
      <c r="Q7" s="2153">
        <f>((SUMIF('OS Analysis'!$B3:$B1002,B7,'OS Analysis'!$V3:$V1002))/5)*12</f>
        <v>-33984</v>
      </c>
      <c r="R7" s="2153">
        <f>((SUMIF('OS Analysis'!$B3:$B1002,B7,'OS Analysis'!$U3:$U1002))/4)*12</f>
        <v>-31167</v>
      </c>
      <c r="S7" s="2153">
        <f>((SUMIF('OS Analysis'!$B3:$B1002,B7,'OS Analysis'!$T3:$T1002))/3)*12</f>
        <v>-44520</v>
      </c>
      <c r="T7" s="2153">
        <f>((SUMIF('OS Analysis'!$B3:$B1002,B7,'OS Analysis'!$S3:$S1002))/2)*12</f>
        <v>-35256</v>
      </c>
      <c r="U7" s="2153">
        <f>(SUMIF('OS Analysis'!$B3:$B1002,B7,'OS Analysis'!$R3:$R1002))*12</f>
        <v>-60120</v>
      </c>
      <c r="V7" s="2166">
        <f>SUMIF('OS Analysis'!$B$3:$B$1002,$B7,'OS Analysis'!$Q$3:$Q$1002)</f>
        <v>-46354</v>
      </c>
      <c r="W7" s="2164">
        <f t="shared" si="5"/>
        <v>-46354</v>
      </c>
      <c r="X7" s="2165">
        <f t="shared" si="4"/>
        <v>0.009218578595969551</v>
      </c>
      <c r="Y7" s="2164">
        <f>SUMIF('OS Analysis'!$CD3:$CD1002,$B7,'OS Analysis'!$CS3:$CS1002)</f>
        <v>0</v>
      </c>
      <c r="Z7" s="2165">
        <f t="shared" si="4"/>
        <v>0</v>
      </c>
      <c r="AA7" s="2164">
        <f>SUMIF('OS Analysis'!$CU3:$CU1002,$B7,'OS Analysis'!$CW3:$CW1002)</f>
        <v>0</v>
      </c>
      <c r="AB7" s="2165">
        <f t="shared" si="4"/>
        <v>0</v>
      </c>
      <c r="AC7" s="2164">
        <f>SUMIF('OS Analysis'!$CU3:$CU1002,$B7,'OS Analysis'!$CX3:$CX1002)</f>
        <v>0</v>
      </c>
      <c r="AD7" s="2165">
        <f t="shared" si="4"/>
        <v>0</v>
      </c>
      <c r="AE7" s="2164">
        <v>0</v>
      </c>
      <c r="AF7" s="2165">
        <f t="shared" si="4"/>
        <v>0</v>
      </c>
      <c r="AG7" s="2164">
        <v>0</v>
      </c>
      <c r="AH7" s="2165">
        <f t="shared" si="4"/>
        <v>0</v>
      </c>
      <c r="AI7" s="2164">
        <v>0</v>
      </c>
      <c r="AJ7" s="2165">
        <f t="shared" si="4"/>
        <v>0</v>
      </c>
      <c r="AK7" s="2164">
        <f t="shared" si="7"/>
        <v>-44520</v>
      </c>
      <c r="AL7" s="2165">
        <f t="shared" si="4"/>
        <v>0.028601164090506108</v>
      </c>
      <c r="AM7" s="2164">
        <v>0</v>
      </c>
      <c r="AN7" s="2165">
        <f t="shared" si="4"/>
        <v>0</v>
      </c>
      <c r="AO7" s="2167"/>
      <c r="AP7" s="2168"/>
      <c r="AQ7" s="2114" t="str">
        <f t="shared" si="3"/>
        <v>Less Bad Debt</v>
      </c>
      <c r="AR7" s="2158" t="str">
        <f t="shared" si="8"/>
        <v>T-3 Annualized</v>
      </c>
      <c r="AS7" s="2114"/>
      <c r="AT7" s="2169"/>
      <c r="AU7" s="2160"/>
      <c r="AV7" s="2170">
        <f t="shared" si="6"/>
        <v>0</v>
      </c>
      <c r="AW7" s="2171">
        <f t="shared" si="4"/>
        <v>0</v>
      </c>
      <c r="AX7" s="2172">
        <v>0</v>
      </c>
      <c r="AY7" s="2173">
        <f t="shared" si="4"/>
        <v>0</v>
      </c>
    </row>
    <row r="8" ht="14.25" customHeight="1">
      <c r="A8" s="2114"/>
      <c r="B8" s="2174" t="s">
        <v>1886</v>
      </c>
      <c r="C8" s="2136"/>
      <c r="D8" s="2175">
        <f>IF(ISBLANK(D$3),SUMIF('OS Analysis'!$BM3:$BM1002,"Less Concessions (income line item)",'OS Analysis'!$CB3:$CB1002)-SUMIF('OS Analysis'!$BM3:$BM1002,"Less Concessions (expense line item)",'OS Analysis'!$CB3:$CB1002),INDEX($J8:$U8,1,MATCH(D$3,$J$4:$U$4,0)))</f>
        <v>0</v>
      </c>
      <c r="E8" s="2176">
        <f t="shared" si="4"/>
        <v>0</v>
      </c>
      <c r="F8" s="2177">
        <f>IF(ISBLANK(F$3),SUMIF('OS Analysis'!$AV3:$AV1002,"Less Concessions (income line item)",'OS Analysis'!$BK3:$BK1002)-SUMIF('OS Analysis'!$AV3:$AV1002,"Less Concessions (expense line item)",'OS Analysis'!$BK3:$BK1002),INDEX($J8:$U8,1,MATCH(F$3,$J$4:$U$4,0)))</f>
        <v>0</v>
      </c>
      <c r="G8" s="2178">
        <f t="shared" si="4"/>
        <v>0</v>
      </c>
      <c r="H8" s="2175">
        <f>IF(ISBLANK(H$3),SUMIF('OS Analysis'!$AE3:$AE1002,"Less Concessions (income line item)",'OS Analysis'!$AT3:$AT1002)-SUMIF('OS Analysis'!$AE3:$AE1002,"Less Concessions (expense line item)",'OS Analysis'!$AT3:$AT1002),INDEX($J8:$U8,1,MATCH(H$3,$J$4:$U$4,0)))</f>
        <v>0</v>
      </c>
      <c r="I8" s="2176">
        <f t="shared" si="4"/>
        <v>0</v>
      </c>
      <c r="J8" s="2179">
        <f>(((SUMIF('OS Analysis'!$B3:$B1002,"Less Concessions (income line item)",'OS Analysis'!$AC3:$AC1002))/12)*12)-(((SUMIF('OS Analysis'!$B3:$B1002,"Less Concessions (expense line item)",'OS Analysis'!$AC3:$AC1002))/12)*12)</f>
        <v>0</v>
      </c>
      <c r="K8" s="2180">
        <f>(((SUMIF('OS Analysis'!$B3:$B1002,"Less Concessions (income line item)",'OS Analysis'!$AB3:$AB1002))/11)*12)-(((SUMIF('OS Analysis'!$B3:$B1002,"Less Concessions (expense line item)",'OS Analysis'!$AB3:$AB1002))/11)*12)</f>
        <v>0</v>
      </c>
      <c r="L8" s="2180">
        <f>(((SUMIF('OS Analysis'!$B3:$B1002,"Less Concessions (income line item)",'OS Analysis'!$AA3:$AA1002))/10)*12)-(((SUMIF('OS Analysis'!$B3:$B1002,"Less Concessions (expense line item)",'OS Analysis'!$AA3:$AA1002))/10)*12)</f>
        <v>0</v>
      </c>
      <c r="M8" s="2180">
        <f>(((SUMIF('OS Analysis'!$B3:$B1002,"Less Concessions (income line item)",'OS Analysis'!$Z3:$Z1002))/9)*12)-(((SUMIF('OS Analysis'!$B3:$B1002,"Less Concessions (expense line item)",'OS Analysis'!$Z3:$Z1002))/9)*12)</f>
        <v>0</v>
      </c>
      <c r="N8" s="2180">
        <f>(((SUMIF('OS Analysis'!$B3:$B1002,"Less Concessions (income line item)",'OS Analysis'!$Y3:$Y1002))/8)*12)-(((SUMIF('OS Analysis'!$B3:$B1002,"Less Concessions (expense line item)",'OS Analysis'!$Y3:$Y1002))/8)*12)</f>
        <v>0</v>
      </c>
      <c r="O8" s="2180">
        <f>(((SUMIF('OS Analysis'!$B3:$B1002,"Less Concessions (income line item)",'OS Analysis'!$X3:$X1002))/7)*12)-(((SUMIF('OS Analysis'!$B3:$B1002,"Less Concessions (expense line item)",'OS Analysis'!$X3:$X1002))/7)*12)</f>
        <v>0</v>
      </c>
      <c r="P8" s="2180">
        <f>(((SUMIF('OS Analysis'!$B3:$B1002,"Less Concessions (income line item)",'OS Analysis'!$W3:$W1002))/6)*12)-(((SUMIF('OS Analysis'!$B3:$B1002,"Less Concessions (expense line item)",'OS Analysis'!$W3:$W1002))/6)*12)</f>
        <v>0</v>
      </c>
      <c r="Q8" s="2180">
        <f>(((SUMIF('OS Analysis'!$B3:$B1002,"Less Concessions (income line item)",'OS Analysis'!$V3:$V1002))/5)*12)-(((SUMIF('OS Analysis'!$B3:$B1002,"Less Concessions (expense line item)",'OS Analysis'!$V3:$V1002))/5)*12)</f>
        <v>0</v>
      </c>
      <c r="R8" s="2180">
        <f>(((SUMIF('OS Analysis'!$B3:$B1002,"Less Concessions (income line item)",'OS Analysis'!$U3:$U1002))/4)*12)-(((SUMIF('OS Analysis'!$B3:$B1002,"Less Concessions (expense line item)",'OS Analysis'!$U3:$U1002))/4)*12)</f>
        <v>0</v>
      </c>
      <c r="S8" s="2180">
        <f>(((SUMIF('OS Analysis'!$B3:$B1002,"Less Concessions (income line item)",'OS Analysis'!$T3:$T1002))/3)*12)-(((SUMIF('OS Analysis'!$B3:$B1002,"Less Concessions (expense line item)",'OS Analysis'!$T3:$T1002))/3)*12)</f>
        <v>0</v>
      </c>
      <c r="T8" s="2180">
        <f>(((SUMIF('OS Analysis'!$B3:$B1002,"Less Concessions (income line item)",'OS Analysis'!$S3:$S1002))/2)*12)-(((SUMIF('OS Analysis'!$B3:$B1002,"Less Concessions (expense line item)",'OS Analysis'!$S3:$S1002))/2)*12)</f>
        <v>0</v>
      </c>
      <c r="U8" s="2180">
        <f>(((SUMIF('OS Analysis'!$B3:$B1002,"Less Concessions (income line item)",'OS Analysis'!$R3:$R1002)))*12)-(((SUMIF('OS Analysis'!$B3:$B1002,"Less Concessions (expense line item)",'OS Analysis'!$R3:$R1002)))*12)</f>
        <v>0</v>
      </c>
      <c r="V8" s="2181">
        <f>SUMIF('OS Analysis'!$B$3:$B$1002,"Less Concessions (income line item)",'OS Analysis'!$Q$3:$Q$1002)-SUMIF('OS Analysis'!$B$3:$B$1002,"Less Concessions (expense line item)",'OS Analysis'!$Q$3:$Q$1002)</f>
        <v>0</v>
      </c>
      <c r="W8" s="2175">
        <f t="shared" si="5"/>
        <v>0</v>
      </c>
      <c r="X8" s="2176">
        <f t="shared" si="4"/>
        <v>0</v>
      </c>
      <c r="Y8" s="2175">
        <f>SUMIF('OS Analysis'!$CD3:$CD1002,"Less Concessions (income line item)",'OS Analysis'!$CS3:$CS1002)-SUMIF('OS Analysis'!$CD3:$CD1002,"Less Concessions (expense line item)",'OS Analysis'!$CS3:$CS1002)</f>
        <v>0</v>
      </c>
      <c r="Z8" s="2176">
        <f t="shared" si="4"/>
        <v>0</v>
      </c>
      <c r="AA8" s="2175">
        <f>SUMIF('OS Analysis'!$CU3:$CU1002,"Less Concessions (income line item)",'OS Analysis'!$CW3:$CW1002)-SUMIF('OS Analysis'!$CU3:$CU1002,"Less Concessions (expense line item)",'OS Analysis'!$CW3:$CW1002)</f>
        <v>0</v>
      </c>
      <c r="AB8" s="2176">
        <f t="shared" si="4"/>
        <v>0</v>
      </c>
      <c r="AC8" s="2175">
        <f>SUMIF('OS Analysis'!$CU3:$CU1002,"Less Concessions (income line item)",'OS Analysis'!$CX3:$CX1002)-SUMIF('OS Analysis'!$CU3:$CU1002,"Less Concessions (expense line item)",'OS Analysis'!$CX3:$CX1002)</f>
        <v>0</v>
      </c>
      <c r="AD8" s="2176">
        <f t="shared" si="4"/>
        <v>0</v>
      </c>
      <c r="AE8" s="2175">
        <v>0</v>
      </c>
      <c r="AF8" s="2176">
        <f t="shared" si="4"/>
        <v>0</v>
      </c>
      <c r="AG8" s="2175">
        <v>0</v>
      </c>
      <c r="AH8" s="2176">
        <f t="shared" si="4"/>
        <v>0</v>
      </c>
      <c r="AI8" s="2175">
        <v>0</v>
      </c>
      <c r="AJ8" s="2176">
        <f t="shared" si="4"/>
        <v>0</v>
      </c>
      <c r="AK8" s="2175">
        <f t="shared" si="7"/>
        <v>0</v>
      </c>
      <c r="AL8" s="2176">
        <f t="shared" si="4"/>
        <v>0</v>
      </c>
      <c r="AM8" s="2175">
        <v>0</v>
      </c>
      <c r="AN8" s="2176">
        <f t="shared" si="4"/>
        <v>0</v>
      </c>
      <c r="AO8" s="2167"/>
      <c r="AP8" s="2168"/>
      <c r="AQ8" s="2114" t="str">
        <f t="shared" si="3"/>
        <v>Less Concessions</v>
      </c>
      <c r="AR8" s="2158">
        <f t="shared" si="8"/>
      </c>
      <c r="AS8" s="2114"/>
      <c r="AT8" s="2169"/>
      <c r="AU8" s="2160"/>
      <c r="AV8" s="2182">
        <f t="shared" si="6"/>
        <v>0</v>
      </c>
      <c r="AW8" s="2183">
        <f t="shared" si="4"/>
        <v>0</v>
      </c>
      <c r="AX8" s="2182">
        <v>0</v>
      </c>
      <c r="AY8" s="2183">
        <f t="shared" si="4"/>
        <v>0</v>
      </c>
    </row>
    <row r="9" ht="14.25" customHeight="1">
      <c r="A9" s="2114"/>
      <c r="B9" s="2184" t="s">
        <v>1887</v>
      </c>
      <c r="C9" s="2185"/>
      <c r="D9" s="2186">
        <f t="shared" si="9" ref="D9:AX9">SUM(D5:D8)</f>
        <v>0</v>
      </c>
      <c r="E9" s="2187">
        <f t="shared" si="2"/>
        <v>0</v>
      </c>
      <c r="F9" s="2188">
        <f t="shared" si="9"/>
        <v>0</v>
      </c>
      <c r="G9" s="2189">
        <f t="shared" si="2"/>
        <v>0</v>
      </c>
      <c r="H9" s="2186">
        <f t="shared" si="9"/>
        <v>0</v>
      </c>
      <c r="I9" s="2187">
        <f t="shared" si="2"/>
        <v>0</v>
      </c>
      <c r="J9" s="2190">
        <f t="shared" si="9"/>
        <v>4807132</v>
      </c>
      <c r="K9" s="2191">
        <f t="shared" si="9"/>
        <v>4798908</v>
      </c>
      <c r="L9" s="2191">
        <f t="shared" si="9"/>
        <v>4796134.8</v>
      </c>
      <c r="M9" s="2191">
        <f t="shared" si="9"/>
        <v>4830668</v>
      </c>
      <c r="N9" s="2191">
        <f t="shared" si="9"/>
        <v>4848690</v>
      </c>
      <c r="O9" s="2191">
        <f t="shared" si="9"/>
        <v>4850386.285714286</v>
      </c>
      <c r="P9" s="2191">
        <f t="shared" si="9"/>
        <v>4908984</v>
      </c>
      <c r="Q9" s="2191">
        <f t="shared" si="9"/>
        <v>4947360</v>
      </c>
      <c r="R9" s="2191">
        <f t="shared" si="9"/>
        <v>4950888</v>
      </c>
      <c r="S9" s="2191">
        <f t="shared" si="9"/>
        <v>4904876</v>
      </c>
      <c r="T9" s="2191">
        <f t="shared" si="9"/>
        <v>4917990</v>
      </c>
      <c r="U9" s="2191">
        <f t="shared" si="9"/>
        <v>4823412</v>
      </c>
      <c r="V9" s="2192">
        <f t="shared" si="9"/>
        <v>4807132</v>
      </c>
      <c r="W9" s="2186">
        <f t="shared" si="9"/>
        <v>4807132</v>
      </c>
      <c r="X9" s="2187">
        <f t="shared" si="2"/>
        <v>3966.280528052805</v>
      </c>
      <c r="Y9" s="2186">
        <f t="shared" si="9"/>
        <v>0</v>
      </c>
      <c r="Z9" s="2187">
        <f t="shared" si="2"/>
        <v>0</v>
      </c>
      <c r="AA9" s="2186">
        <f t="shared" si="9"/>
        <v>0</v>
      </c>
      <c r="AB9" s="2187">
        <f t="shared" si="2"/>
        <v>0</v>
      </c>
      <c r="AC9" s="2186">
        <f t="shared" si="9"/>
        <v>0</v>
      </c>
      <c r="AD9" s="2187">
        <f t="shared" si="2"/>
        <v>0</v>
      </c>
      <c r="AE9" s="2186">
        <f t="shared" si="9"/>
        <v>0</v>
      </c>
      <c r="AF9" s="2187">
        <f t="shared" si="2"/>
        <v>0</v>
      </c>
      <c r="AG9" s="2186">
        <f t="shared" si="9"/>
        <v>0</v>
      </c>
      <c r="AH9" s="2187">
        <f t="shared" si="2"/>
        <v>0</v>
      </c>
      <c r="AI9" s="2186">
        <f t="shared" si="9"/>
        <v>0</v>
      </c>
      <c r="AJ9" s="2187">
        <f t="shared" si="2"/>
        <v>0</v>
      </c>
      <c r="AK9" s="2186">
        <f t="shared" si="9"/>
        <v>1325888</v>
      </c>
      <c r="AL9" s="2187">
        <f t="shared" si="2"/>
        <v>1093.96699669967</v>
      </c>
      <c r="AM9" s="2186">
        <f t="shared" si="9"/>
        <v>0</v>
      </c>
      <c r="AN9" s="2187">
        <f t="shared" si="2"/>
        <v>0</v>
      </c>
      <c r="AO9" s="2157"/>
      <c r="AP9" s="2157"/>
      <c r="AQ9" s="2114" t="str">
        <f t="shared" si="3"/>
        <v>Net Rentable Income</v>
      </c>
      <c r="AR9" s="2193"/>
      <c r="AS9" s="2114"/>
      <c r="AT9" s="2169"/>
      <c r="AU9" s="2160"/>
      <c r="AV9" s="2194">
        <f t="shared" si="9"/>
        <v>0</v>
      </c>
      <c r="AW9" s="2195">
        <f>_xlfn.IFERROR((AV9/V1)/12,0)</f>
        <v>0</v>
      </c>
      <c r="AX9" s="2196">
        <f t="shared" si="9"/>
        <v>0</v>
      </c>
      <c r="AY9" s="2197">
        <f>_xlfn.IFERROR((AX9/V1)/12,0)</f>
        <v>0</v>
      </c>
    </row>
    <row r="10" ht="14.25" customHeight="1">
      <c r="A10" s="2198"/>
      <c r="B10" s="2199" t="s">
        <v>1888</v>
      </c>
      <c r="C10" s="2200"/>
      <c r="D10" s="2201">
        <f t="shared" si="10" ref="D10:AM10">SUM(D6:D8)</f>
        <v>0</v>
      </c>
      <c r="E10" s="2202">
        <f t="shared" si="11" ref="E10:AL10">_xlfn.IFERROR(E6+E7+E8,0)</f>
        <v>0</v>
      </c>
      <c r="F10" s="2203">
        <f t="shared" si="10"/>
        <v>0</v>
      </c>
      <c r="G10" s="2204">
        <f t="shared" si="11"/>
        <v>0</v>
      </c>
      <c r="H10" s="2201">
        <f t="shared" si="10"/>
        <v>0</v>
      </c>
      <c r="I10" s="2202">
        <f t="shared" si="11"/>
        <v>0</v>
      </c>
      <c r="J10" s="2205">
        <f t="shared" si="12" ref="J10:U10">_xlfn.IFERROR(SUM(J6:J8)/J5,0)</f>
        <v>-0.04398920992362465</v>
      </c>
      <c r="K10" s="2206">
        <f t="shared" si="12"/>
        <v>-0.044727148908374134</v>
      </c>
      <c r="L10" s="2206">
        <f t="shared" si="12"/>
        <v>-0.044516700008032525</v>
      </c>
      <c r="M10" s="2206">
        <f t="shared" si="12"/>
        <v>-0.044421339650753636</v>
      </c>
      <c r="N10" s="2206">
        <f t="shared" si="12"/>
        <v>-0.041170981277612095</v>
      </c>
      <c r="O10" s="2206">
        <f t="shared" si="12"/>
        <v>-0.03970078384721512</v>
      </c>
      <c r="P10" s="2206">
        <f t="shared" si="12"/>
        <v>-0.038026020608924266</v>
      </c>
      <c r="Q10" s="2206">
        <f t="shared" si="12"/>
        <v>-0.03872518937309624</v>
      </c>
      <c r="R10" s="2206">
        <f t="shared" si="12"/>
        <v>-0.04087187126043446</v>
      </c>
      <c r="S10" s="2206">
        <f t="shared" si="12"/>
        <v>-0.044920445021855424</v>
      </c>
      <c r="T10" s="2206">
        <f t="shared" si="12"/>
        <v>-0.0463899834678822</v>
      </c>
      <c r="U10" s="2206">
        <f t="shared" si="12"/>
        <v>-0.05665677834833792</v>
      </c>
      <c r="V10" s="2207">
        <f t="shared" si="10"/>
        <v>-221192</v>
      </c>
      <c r="W10" s="2201">
        <f t="shared" si="10"/>
        <v>-221192</v>
      </c>
      <c r="X10" s="2202">
        <f t="shared" si="11"/>
        <v>0.04398920992362465</v>
      </c>
      <c r="Y10" s="2201">
        <f t="shared" si="10"/>
        <v>0</v>
      </c>
      <c r="Z10" s="2202">
        <f t="shared" si="11"/>
        <v>0</v>
      </c>
      <c r="AA10" s="2201">
        <f t="shared" si="10"/>
        <v>0</v>
      </c>
      <c r="AB10" s="2202">
        <f t="shared" si="11"/>
        <v>0</v>
      </c>
      <c r="AC10" s="2201">
        <f t="shared" si="10"/>
        <v>0</v>
      </c>
      <c r="AD10" s="2202">
        <f t="shared" si="13" ref="AD10:AN10">_xlfn.IFERROR(_xlfn.IFERROR(AD6+AD7+AD8,0),0)</f>
        <v>0</v>
      </c>
      <c r="AE10" s="2201">
        <f t="shared" si="10"/>
        <v>0</v>
      </c>
      <c r="AF10" s="2202" t="s">
        <v>1889</v>
      </c>
      <c r="AG10" s="2201">
        <f t="shared" si="10"/>
        <v>0</v>
      </c>
      <c r="AH10" s="2202" t="s">
        <v>1889</v>
      </c>
      <c r="AI10" s="2201">
        <f t="shared" si="10"/>
        <v>0</v>
      </c>
      <c r="AJ10" s="2202" t="s">
        <v>1889</v>
      </c>
      <c r="AK10" s="2201">
        <f t="shared" si="10"/>
        <v>-230692</v>
      </c>
      <c r="AL10" s="2202">
        <f t="shared" si="11"/>
        <v>0.14820439681866657</v>
      </c>
      <c r="AM10" s="2201">
        <f t="shared" si="10"/>
        <v>0</v>
      </c>
      <c r="AN10" s="2202">
        <f t="shared" si="13"/>
        <v>0</v>
      </c>
      <c r="AO10" s="2208"/>
      <c r="AP10" s="2208"/>
      <c r="AQ10" s="2209"/>
      <c r="AR10" s="2104"/>
      <c r="AS10" s="2210"/>
      <c r="AT10" s="2169"/>
      <c r="AU10" s="2160"/>
      <c r="AV10" s="2211"/>
      <c r="AW10" s="2212">
        <f t="shared" si="14" ref="AW10:AY10">_xlfn.IFERROR(-(AW6+AW7+AW8),0)</f>
        <v>0</v>
      </c>
      <c r="AX10" s="2211"/>
      <c r="AY10" s="2213">
        <f t="shared" si="14"/>
        <v>0</v>
      </c>
    </row>
    <row r="11" ht="14.25" customHeight="1">
      <c r="A11" s="2198"/>
      <c r="B11" s="2214" t="s">
        <v>1890</v>
      </c>
      <c r="C11" s="2215"/>
      <c r="D11" s="2216">
        <f t="shared" si="15" ref="D11:AM11">D9/12</f>
        <v>0</v>
      </c>
      <c r="E11" s="2217">
        <f t="shared" si="2"/>
        <v>0</v>
      </c>
      <c r="F11" s="2218">
        <f t="shared" si="15"/>
        <v>0</v>
      </c>
      <c r="G11" s="2218">
        <f t="shared" si="2"/>
        <v>0</v>
      </c>
      <c r="H11" s="2216">
        <f t="shared" si="15"/>
        <v>0</v>
      </c>
      <c r="I11" s="2217">
        <f t="shared" si="2"/>
        <v>0</v>
      </c>
      <c r="J11" s="2219">
        <f t="shared" si="15"/>
        <v>400594.3333333333</v>
      </c>
      <c r="K11" s="2220">
        <f t="shared" si="15"/>
        <v>399909</v>
      </c>
      <c r="L11" s="2220">
        <f t="shared" si="15"/>
        <v>399677.89999999997</v>
      </c>
      <c r="M11" s="2220">
        <f t="shared" si="15"/>
        <v>402555.6666666667</v>
      </c>
      <c r="N11" s="2220">
        <f t="shared" si="15"/>
        <v>404057.5</v>
      </c>
      <c r="O11" s="2220">
        <f t="shared" si="15"/>
        <v>404198.8571428572</v>
      </c>
      <c r="P11" s="2220">
        <f t="shared" si="15"/>
        <v>409082</v>
      </c>
      <c r="Q11" s="2220">
        <f t="shared" si="15"/>
        <v>412280</v>
      </c>
      <c r="R11" s="2220">
        <f t="shared" si="15"/>
        <v>412574</v>
      </c>
      <c r="S11" s="2220">
        <f t="shared" si="15"/>
        <v>408739.6666666667</v>
      </c>
      <c r="T11" s="2220">
        <f t="shared" si="15"/>
        <v>409832.5</v>
      </c>
      <c r="U11" s="2220">
        <f t="shared" si="15"/>
        <v>401951</v>
      </c>
      <c r="V11" s="2221">
        <f t="shared" si="15"/>
        <v>400594.3333333333</v>
      </c>
      <c r="W11" s="2216">
        <f t="shared" si="15"/>
        <v>400594.3333333333</v>
      </c>
      <c r="X11" s="2217">
        <f t="shared" si="2"/>
        <v>330.52337733773373</v>
      </c>
      <c r="Y11" s="2216">
        <f t="shared" si="15"/>
        <v>0</v>
      </c>
      <c r="Z11" s="2217">
        <f t="shared" si="2"/>
        <v>0</v>
      </c>
      <c r="AA11" s="2216">
        <f t="shared" si="15"/>
        <v>0</v>
      </c>
      <c r="AB11" s="2217"/>
      <c r="AC11" s="2216">
        <f t="shared" si="15"/>
        <v>0</v>
      </c>
      <c r="AD11" s="2217"/>
      <c r="AE11" s="2216"/>
      <c r="AF11" s="2217"/>
      <c r="AG11" s="2216"/>
      <c r="AH11" s="2217"/>
      <c r="AI11" s="2216"/>
      <c r="AJ11" s="2217"/>
      <c r="AK11" s="2216">
        <f t="shared" si="15"/>
        <v>110490.66666666667</v>
      </c>
      <c r="AL11" s="2217">
        <f t="shared" si="2"/>
        <v>91.16391639163918</v>
      </c>
      <c r="AM11" s="2216">
        <f t="shared" si="15"/>
        <v>0</v>
      </c>
      <c r="AN11" s="2217">
        <f t="shared" si="2"/>
        <v>0</v>
      </c>
      <c r="AO11" s="2208"/>
      <c r="AP11" s="2208"/>
      <c r="AQ11" s="2209"/>
      <c r="AR11" s="2104"/>
      <c r="AS11" s="2210"/>
      <c r="AT11" s="2169"/>
      <c r="AU11" s="2160"/>
      <c r="AV11" s="2211"/>
      <c r="AW11" s="2212"/>
      <c r="AX11" s="2211"/>
      <c r="AY11" s="2213"/>
    </row>
    <row r="12" ht="14.25" customHeight="1">
      <c r="A12" s="2114"/>
      <c r="B12" s="2103" t="s">
        <v>1891</v>
      </c>
      <c r="C12" s="2114"/>
      <c r="D12" s="2148">
        <f>IF(ISBLANK(D$3),SUMIF('OS Analysis'!$BM3:$BM1002,$B12,'OS Analysis'!$CB3:$CB1002),INDEX($J12:$U12,1,MATCH(D$3,$J$4:$U$4,0)))</f>
        <v>0</v>
      </c>
      <c r="E12" s="2149">
        <f t="shared" si="2"/>
        <v>0</v>
      </c>
      <c r="F12" s="2150">
        <f>IF(ISBLANK(F$3),SUMIF('OS Analysis'!$AV3:$AV1002,$B12,'OS Analysis'!$BK3:$BK1002),INDEX($J12:$U12,1,MATCH(F$3,$J$4:$U$4,0)))</f>
        <v>0</v>
      </c>
      <c r="G12" s="2151">
        <f t="shared" si="2"/>
        <v>0</v>
      </c>
      <c r="H12" s="2148">
        <f>IF(ISBLANK(H$3),SUMIF('OS Analysis'!$AE3:$AE1002,$B12,'OS Analysis'!$AT3:$AT1002),INDEX($J12:$U12,1,MATCH(H$3,$J$4:$U$4,0)))</f>
        <v>0</v>
      </c>
      <c r="I12" s="2149">
        <f t="shared" si="2"/>
        <v>0</v>
      </c>
      <c r="J12" s="2152">
        <f>((SUMIF('OS Analysis'!$B3:$B1002,B12,'OS Analysis'!$AC3:$AC1002))/12)*12</f>
        <v>29692</v>
      </c>
      <c r="K12" s="2153">
        <f>((SUMIF('OS Analysis'!$B3:$B1002,B12,'OS Analysis'!$AB3:$AB1002))/11)*12</f>
        <v>28677.818181818184</v>
      </c>
      <c r="L12" s="2153">
        <f>((SUMIF('OS Analysis'!$B3:$B1002,B12,'OS Analysis'!$AA3:$AA1002))/10)*12</f>
        <v>31545.600000000002</v>
      </c>
      <c r="M12" s="2153">
        <f>((SUMIF('OS Analysis'!$B3:$B1002,B12,'OS Analysis'!$Z3:$Z1002))/9)*12</f>
        <v>35050.666666666664</v>
      </c>
      <c r="N12" s="2153">
        <f>((SUMIF('OS Analysis'!$B3:$B1002,B12,'OS Analysis'!$Y3:$Y1002))/8)*12</f>
        <v>39432</v>
      </c>
      <c r="O12" s="2153">
        <f>((SUMIF('OS Analysis'!$B3:$B1002,B12,'OS Analysis'!$X3:$X1002))/7)*12</f>
        <v>41098.28571428571</v>
      </c>
      <c r="P12" s="2153">
        <f>((SUMIF('OS Analysis'!$B3:$B1002,B12,'OS Analysis'!$W3:$W1002))/6)*12</f>
        <v>32524</v>
      </c>
      <c r="Q12" s="2153">
        <f>((SUMIF('OS Analysis'!$B3:$B1002,B12,'OS Analysis'!$V3:$V1002))/5)*12</f>
        <v>28526.399999999998</v>
      </c>
      <c r="R12" s="2153">
        <f>((SUMIF('OS Analysis'!$B3:$B1002,B12,'OS Analysis'!$U3:$U1002))/4)*12</f>
        <v>28608</v>
      </c>
      <c r="S12" s="2153">
        <f>((SUMIF('OS Analysis'!$B3:$B1002,B12,'OS Analysis'!$T3:$T1002))/3)*12</f>
        <v>29100</v>
      </c>
      <c r="T12" s="2153">
        <f>((SUMIF('OS Analysis'!$B3:$B1002,B12,'OS Analysis'!$S3:$S1002))/2)*12</f>
        <v>27006</v>
      </c>
      <c r="U12" s="2153">
        <f>(SUMIF('OS Analysis'!$B3:$B1002,B12,'OS Analysis'!$R3:$R1002))*12</f>
        <v>25440</v>
      </c>
      <c r="V12" s="2154">
        <f>SUMIF('OS Analysis'!$B$3:$B$1002,$B12,'OS Analysis'!$Q$3:$Q$1002)</f>
        <v>29692</v>
      </c>
      <c r="W12" s="2148">
        <f t="shared" si="5"/>
        <v>29692</v>
      </c>
      <c r="X12" s="2149">
        <f t="shared" si="2"/>
        <v>24.4983498349835</v>
      </c>
      <c r="Y12" s="2148">
        <f>SUMIF('OS Analysis'!$CD3:$CD1002,$B12,'OS Analysis'!$CS3:$CS1002)</f>
        <v>0</v>
      </c>
      <c r="Z12" s="2149">
        <f t="shared" si="2"/>
        <v>0</v>
      </c>
      <c r="AA12" s="2148">
        <f>SUMIF('OS Analysis'!$CU3:$CU1002,$B12,'OS Analysis'!$CW3:$CW1002)</f>
        <v>0</v>
      </c>
      <c r="AB12" s="2149">
        <f t="shared" si="2"/>
        <v>0</v>
      </c>
      <c r="AC12" s="2148">
        <f>SUMIF('OS Analysis'!$CU3:$CU1002,$B12,'OS Analysis'!$CX3:$CX1002)</f>
        <v>0</v>
      </c>
      <c r="AD12" s="2149">
        <f t="shared" si="2"/>
        <v>0</v>
      </c>
      <c r="AE12" s="2148">
        <v>0</v>
      </c>
      <c r="AF12" s="2149">
        <f t="shared" si="2"/>
        <v>0</v>
      </c>
      <c r="AG12" s="2148">
        <v>0</v>
      </c>
      <c r="AH12" s="2149">
        <f t="shared" si="2"/>
        <v>0</v>
      </c>
      <c r="AI12" s="2148">
        <v>0</v>
      </c>
      <c r="AJ12" s="2149">
        <f t="shared" si="2"/>
        <v>0</v>
      </c>
      <c r="AK12" s="2148">
        <f t="shared" si="16" ref="AK12:AK27">ROUND(W12,2)</f>
        <v>29692</v>
      </c>
      <c r="AL12" s="2149">
        <f t="shared" si="2"/>
        <v>24.4983498349835</v>
      </c>
      <c r="AM12" s="2148">
        <v>0</v>
      </c>
      <c r="AN12" s="2149">
        <f t="shared" si="2"/>
        <v>0</v>
      </c>
      <c r="AO12" s="2157"/>
      <c r="AP12" s="2157"/>
      <c r="AQ12" s="2114" t="str">
        <f t="shared" si="3"/>
        <v>Laundry/Vending Income (Net)</v>
      </c>
      <c r="AR12" s="2158" t="str">
        <f t="shared" si="17" ref="AR12:AR23">IF(AK12=0,"",IF(AK12=ROUND(W12,2),"T-12","Non-Standard Assumption - Please Clarify"))</f>
        <v>T-12</v>
      </c>
      <c r="AS12" s="2114"/>
      <c r="AT12" s="2169"/>
      <c r="AU12" s="2160"/>
      <c r="AV12" s="2161">
        <f t="shared" si="6"/>
        <v>0</v>
      </c>
      <c r="AW12" s="2151">
        <f>_xlfn.IFERROR((AV12/V1)/12,0)</f>
        <v>0</v>
      </c>
      <c r="AX12" s="2162">
        <v>0</v>
      </c>
      <c r="AY12" s="2163">
        <f>_xlfn.IFERROR((AX12/V1)/12,0)</f>
        <v>0</v>
      </c>
    </row>
    <row r="13" ht="14.25" customHeight="1">
      <c r="A13" s="2114"/>
      <c r="B13" s="2103" t="s">
        <v>1892</v>
      </c>
      <c r="C13" s="2114"/>
      <c r="D13" s="2148">
        <f>IF(ISBLANK(D$3),SUMIF('OS Analysis'!$BM3:$BM1002,$B13,'OS Analysis'!$CB3:$CB1002),INDEX($J13:$U13,1,MATCH(D$3,$J$4:$U$4,0)))</f>
        <v>0</v>
      </c>
      <c r="E13" s="2149">
        <f t="shared" si="2"/>
        <v>0</v>
      </c>
      <c r="F13" s="2150">
        <f>IF(ISBLANK(F$3),SUMIF('OS Analysis'!$AV3:$AV1002,$B13,'OS Analysis'!$BK3:$BK1002),INDEX($J13:$U13,1,MATCH(F$3,$J$4:$U$4,0)))</f>
        <v>0</v>
      </c>
      <c r="G13" s="2151">
        <f t="shared" si="2"/>
        <v>0</v>
      </c>
      <c r="H13" s="2148">
        <f>IF(ISBLANK(H$3),SUMIF('OS Analysis'!$AE3:$AE1002,$B13,'OS Analysis'!$AT3:$AT1002),INDEX($J13:$U13,1,MATCH(H$3,$J$4:$U$4,0)))</f>
        <v>0</v>
      </c>
      <c r="I13" s="2149">
        <f t="shared" si="2"/>
        <v>0</v>
      </c>
      <c r="J13" s="2152">
        <f>((SUMIF('OS Analysis'!$B3:$B1002,B13,'OS Analysis'!$AC3:$AC1002))/12)*12</f>
        <v>0</v>
      </c>
      <c r="K13" s="2153">
        <f>((SUMIF('OS Analysis'!$B3:$B1002,B13,'OS Analysis'!$AB3:$AB1002))/11)*12</f>
        <v>0</v>
      </c>
      <c r="L13" s="2153">
        <f>((SUMIF('OS Analysis'!$B3:$B1002,B13,'OS Analysis'!$AA3:$AA1002))/10)*12</f>
        <v>0</v>
      </c>
      <c r="M13" s="2153">
        <f>((SUMIF('OS Analysis'!$B3:$B1002,B13,'OS Analysis'!$Z3:$Z1002))/9)*12</f>
        <v>0</v>
      </c>
      <c r="N13" s="2153">
        <f>((SUMIF('OS Analysis'!$B3:$B1002,B13,'OS Analysis'!$Y3:$Y1002))/8)*12</f>
        <v>0</v>
      </c>
      <c r="O13" s="2153">
        <f>((SUMIF('OS Analysis'!$B3:$B1002,B13,'OS Analysis'!$X3:$X1002))/7)*12</f>
        <v>0</v>
      </c>
      <c r="P13" s="2153">
        <f>((SUMIF('OS Analysis'!$B3:$B1002,B13,'OS Analysis'!$W3:$W1002))/6)*12</f>
        <v>0</v>
      </c>
      <c r="Q13" s="2153">
        <f>((SUMIF('OS Analysis'!$B3:$B1002,B13,'OS Analysis'!$V3:$V1002))/5)*12</f>
        <v>0</v>
      </c>
      <c r="R13" s="2153">
        <f>((SUMIF('OS Analysis'!$B3:$B1002,B13,'OS Analysis'!$U3:$U1002))/4)*12</f>
        <v>0</v>
      </c>
      <c r="S13" s="2153">
        <f>((SUMIF('OS Analysis'!$B3:$B1002,B13,'OS Analysis'!$T3:$T1002))/3)*12</f>
        <v>0</v>
      </c>
      <c r="T13" s="2153">
        <f>((SUMIF('OS Analysis'!$B3:$B1002,B13,'OS Analysis'!$S3:$S1002))/2)*12</f>
        <v>0</v>
      </c>
      <c r="U13" s="2153">
        <f>(SUMIF('OS Analysis'!$B3:$B1002,B13,'OS Analysis'!$R3:$R1002))*12</f>
        <v>0</v>
      </c>
      <c r="V13" s="2154">
        <f>SUMIF('OS Analysis'!$B$3:$B$1002,$B13,'OS Analysis'!$Q$3:$Q$1002)</f>
        <v>0</v>
      </c>
      <c r="W13" s="2148">
        <f t="shared" si="5"/>
        <v>0</v>
      </c>
      <c r="X13" s="2149">
        <f t="shared" si="2"/>
        <v>0</v>
      </c>
      <c r="Y13" s="2148">
        <f>SUMIF('OS Analysis'!$CD3:$CD1002,$B13,'OS Analysis'!$CS3:$CS1002)</f>
        <v>0</v>
      </c>
      <c r="Z13" s="2149">
        <f t="shared" si="2"/>
        <v>0</v>
      </c>
      <c r="AA13" s="2148">
        <f>SUMIF('OS Analysis'!$CU3:$CU1002,$B13,'OS Analysis'!$CW3:$CW1002)</f>
        <v>0</v>
      </c>
      <c r="AB13" s="2149">
        <f t="shared" si="2"/>
        <v>0</v>
      </c>
      <c r="AC13" s="2148">
        <f>SUMIF('OS Analysis'!$CU3:$CU1002,$B13,'OS Analysis'!$CX3:$CX1002)</f>
        <v>0</v>
      </c>
      <c r="AD13" s="2149">
        <f t="shared" si="2"/>
        <v>0</v>
      </c>
      <c r="AE13" s="2148">
        <v>0</v>
      </c>
      <c r="AF13" s="2149">
        <f t="shared" si="2"/>
        <v>0</v>
      </c>
      <c r="AG13" s="2148">
        <v>0</v>
      </c>
      <c r="AH13" s="2149">
        <f t="shared" si="2"/>
        <v>0</v>
      </c>
      <c r="AI13" s="2148">
        <v>0</v>
      </c>
      <c r="AJ13" s="2149">
        <f t="shared" si="2"/>
        <v>0</v>
      </c>
      <c r="AK13" s="2148">
        <f t="shared" si="16"/>
        <v>0</v>
      </c>
      <c r="AL13" s="2149">
        <f t="shared" si="2"/>
        <v>0</v>
      </c>
      <c r="AM13" s="2148">
        <v>0</v>
      </c>
      <c r="AN13" s="2149">
        <f t="shared" si="2"/>
        <v>0</v>
      </c>
      <c r="AO13" s="2157"/>
      <c r="AP13" s="2157"/>
      <c r="AQ13" s="2114" t="str">
        <f t="shared" si="3"/>
        <v>Parking Income (Net)</v>
      </c>
      <c r="AR13" s="2158">
        <f t="shared" si="17"/>
      </c>
      <c r="AS13" s="2114"/>
      <c r="AT13" s="2169"/>
      <c r="AU13" s="2160"/>
      <c r="AV13" s="2161">
        <f t="shared" si="6"/>
        <v>0</v>
      </c>
      <c r="AW13" s="2151">
        <f>_xlfn.IFERROR((AV13/V1)/12,0)</f>
        <v>0</v>
      </c>
      <c r="AX13" s="2162">
        <v>0</v>
      </c>
      <c r="AY13" s="2163">
        <f>_xlfn.IFERROR((AX13/V1)/12,0)</f>
        <v>0</v>
      </c>
    </row>
    <row r="14" ht="14.25" customHeight="1">
      <c r="A14" s="2114"/>
      <c r="B14" s="2103" t="s">
        <v>1893</v>
      </c>
      <c r="C14" s="2114"/>
      <c r="D14" s="2148">
        <f>IF(ISBLANK(D$3),SUMIF('OS Analysis'!$BM3:$BM1002,$B14,'OS Analysis'!$CB3:$CB1002),INDEX($J14:$U14,1,MATCH(D$3,$J$4:$U$4,0)))</f>
        <v>0</v>
      </c>
      <c r="E14" s="2149">
        <f t="shared" si="2"/>
        <v>0</v>
      </c>
      <c r="F14" s="2148">
        <f>IF(ISBLANK(F$3),SUMIF('OS Analysis'!$AV3:$AV1002,$B14,'OS Analysis'!$BK3:$BK1002),INDEX($J14:$U14,1,MATCH(F$3,$J$4:$U$4,0)))</f>
        <v>0</v>
      </c>
      <c r="G14" s="2149">
        <f t="shared" si="2"/>
        <v>0</v>
      </c>
      <c r="H14" s="2148">
        <f>IF(ISBLANK(H$3),SUMIF('OS Analysis'!$AE3:$AE1002,$B14,'OS Analysis'!$AT3:$AT1002),INDEX($J14:$U14,1,MATCH(H$3,$J$4:$U$4,0)))</f>
        <v>0</v>
      </c>
      <c r="I14" s="2149">
        <f t="shared" si="2"/>
        <v>0</v>
      </c>
      <c r="J14" s="2152">
        <f>((SUMIF('OS Analysis'!$B3:$B1002,B14,'OS Analysis'!$AC3:$AC1002))/12)*12</f>
        <v>0</v>
      </c>
      <c r="K14" s="2153">
        <f>((SUMIF('OS Analysis'!$B3:$B1002,B14,'OS Analysis'!$AB3:$AB1002))/11)*12</f>
        <v>0</v>
      </c>
      <c r="L14" s="2153">
        <f>((SUMIF('OS Analysis'!$B3:$B1002,B14,'OS Analysis'!$AA3:$AA1002))/10)*12</f>
        <v>0</v>
      </c>
      <c r="M14" s="2153">
        <f>((SUMIF('OS Analysis'!$B3:$B1002,B14,'OS Analysis'!$Z3:$Z1002))/9)*12</f>
        <v>0</v>
      </c>
      <c r="N14" s="2153">
        <f>((SUMIF('OS Analysis'!$B3:$B1002,B14,'OS Analysis'!$Y3:$Y1002))/8)*12</f>
        <v>0</v>
      </c>
      <c r="O14" s="2153">
        <f>((SUMIF('OS Analysis'!$B3:$B1002,B14,'OS Analysis'!$X3:$X1002))/7)*12</f>
        <v>0</v>
      </c>
      <c r="P14" s="2153">
        <f>((SUMIF('OS Analysis'!$B3:$B1002,B14,'OS Analysis'!$W3:$W1002))/6)*12</f>
        <v>0</v>
      </c>
      <c r="Q14" s="2153">
        <f>((SUMIF('OS Analysis'!$B3:$B1002,B14,'OS Analysis'!$V3:$V1002))/5)*12</f>
        <v>0</v>
      </c>
      <c r="R14" s="2153">
        <f>((SUMIF('OS Analysis'!$B3:$B1002,B14,'OS Analysis'!$U3:$U1002))/4)*12</f>
        <v>0</v>
      </c>
      <c r="S14" s="2153">
        <f>((SUMIF('OS Analysis'!$B3:$B1002,B14,'OS Analysis'!$T3:$T1002))/3)*12</f>
        <v>0</v>
      </c>
      <c r="T14" s="2153">
        <f>((SUMIF('OS Analysis'!$B3:$B1002,B14,'OS Analysis'!$S3:$S1002))/2)*12</f>
        <v>0</v>
      </c>
      <c r="U14" s="2153">
        <f>(SUMIF('OS Analysis'!$B3:$B1002,B14,'OS Analysis'!$R3:$R1002))*12</f>
        <v>0</v>
      </c>
      <c r="V14" s="2154">
        <f>SUMIF('OS Analysis'!$B$3:$B$1002,$B14,'OS Analysis'!$Q$3:$Q$1002)</f>
        <v>0</v>
      </c>
      <c r="W14" s="2148">
        <f t="shared" si="5"/>
        <v>0</v>
      </c>
      <c r="X14" s="2149">
        <f t="shared" si="2"/>
        <v>0</v>
      </c>
      <c r="Y14" s="2148">
        <f>SUMIF('OS Analysis'!$CD3:$CD1002,$B14,'OS Analysis'!$CS3:$CS1002)</f>
        <v>0</v>
      </c>
      <c r="Z14" s="2149">
        <f t="shared" si="2"/>
        <v>0</v>
      </c>
      <c r="AA14" s="2148">
        <f>SUMIF('OS Analysis'!$CU3:$CU1002,$B14,'OS Analysis'!$CW3:$CW1002)</f>
        <v>0</v>
      </c>
      <c r="AB14" s="2149">
        <f t="shared" si="2"/>
        <v>0</v>
      </c>
      <c r="AC14" s="2148">
        <f>SUMIF('OS Analysis'!$CU3:$CU1002,$B14,'OS Analysis'!$CX3:$CX1002)</f>
        <v>0</v>
      </c>
      <c r="AD14" s="2149">
        <f t="shared" si="2"/>
        <v>0</v>
      </c>
      <c r="AE14" s="2148">
        <v>0</v>
      </c>
      <c r="AF14" s="2149">
        <f t="shared" si="2"/>
        <v>0</v>
      </c>
      <c r="AG14" s="2148">
        <v>0</v>
      </c>
      <c r="AH14" s="2149">
        <f t="shared" si="2"/>
        <v>0</v>
      </c>
      <c r="AI14" s="2148">
        <v>0</v>
      </c>
      <c r="AJ14" s="2149">
        <f t="shared" si="2"/>
        <v>0</v>
      </c>
      <c r="AK14" s="2148">
        <f>ROUND(W14*0.9,2)</f>
        <v>0</v>
      </c>
      <c r="AL14" s="2149">
        <f t="shared" si="2"/>
        <v>0</v>
      </c>
      <c r="AM14" s="2148">
        <v>0</v>
      </c>
      <c r="AN14" s="2149">
        <f t="shared" si="2"/>
        <v>0</v>
      </c>
      <c r="AO14" s="2157"/>
      <c r="AP14" s="2157"/>
      <c r="AQ14" s="2114" t="str">
        <f t="shared" si="3"/>
        <v>Commercial Income (Net)</v>
      </c>
      <c r="AR14" s="2158">
        <f t="shared" si="17"/>
      </c>
      <c r="AS14" s="2114"/>
      <c r="AT14" s="2169"/>
      <c r="AU14" s="2160"/>
      <c r="AV14" s="2161">
        <f t="shared" si="6"/>
        <v>0</v>
      </c>
      <c r="AW14" s="2151">
        <f>_xlfn.IFERROR((AV14/V1)/12,0)</f>
        <v>0</v>
      </c>
      <c r="AX14" s="2162">
        <v>0</v>
      </c>
      <c r="AY14" s="2163">
        <f>_xlfn.IFERROR((AX14/V1)/12,0)</f>
        <v>0</v>
      </c>
    </row>
    <row r="15" ht="14.25" customHeight="1">
      <c r="A15" s="2114"/>
      <c r="B15" s="2103" t="s">
        <v>1894</v>
      </c>
      <c r="C15" s="2114"/>
      <c r="D15" s="2148"/>
      <c r="E15" s="2222"/>
      <c r="F15" s="2148"/>
      <c r="G15" s="2222"/>
      <c r="H15" s="2148"/>
      <c r="I15" s="2222"/>
      <c r="J15" s="2152"/>
      <c r="K15" s="2153"/>
      <c r="L15" s="2153"/>
      <c r="M15" s="2153"/>
      <c r="N15" s="2153"/>
      <c r="O15" s="2153"/>
      <c r="P15" s="2153"/>
      <c r="Q15" s="2153"/>
      <c r="R15" s="2153"/>
      <c r="S15" s="2153"/>
      <c r="T15" s="2153"/>
      <c r="U15" s="2153"/>
      <c r="V15" s="2223"/>
      <c r="W15" s="2148"/>
      <c r="X15" s="2222"/>
      <c r="Y15" s="2148"/>
      <c r="Z15" s="2222"/>
      <c r="AA15" s="2148"/>
      <c r="AB15" s="2222"/>
      <c r="AC15" s="2148"/>
      <c r="AD15" s="2222"/>
      <c r="AE15" s="2148"/>
      <c r="AF15" s="2222"/>
      <c r="AG15" s="2148"/>
      <c r="AH15" s="2222"/>
      <c r="AI15" s="2148"/>
      <c r="AJ15" s="2222"/>
      <c r="AK15" s="2148"/>
      <c r="AL15" s="2222"/>
      <c r="AM15" s="2148"/>
      <c r="AN15" s="2222"/>
      <c r="AO15" s="2157"/>
      <c r="AP15" s="2157"/>
      <c r="AQ15" s="2114" t="str">
        <f t="shared" si="3"/>
        <v>Other (describe)</v>
      </c>
      <c r="AR15" s="2104"/>
      <c r="AS15" s="2114"/>
      <c r="AT15" s="2169"/>
      <c r="AU15" s="2160"/>
      <c r="AV15" s="2224"/>
      <c r="AW15" s="2225"/>
      <c r="AX15" s="2224"/>
      <c r="AY15" s="2226"/>
    </row>
    <row r="16" ht="14.25" customHeight="1">
      <c r="A16" s="2114">
        <v>1</v>
      </c>
      <c r="B16" s="2227" t="s">
        <v>1895</v>
      </c>
      <c r="D16" s="2148">
        <f>IF(ISBLANK(D$3),SUMIF('OS Analysis'!$BM3:$BM1002,"RUBS (income line item)",'OS Analysis'!$CB3:$CB1002)-SUMIF('OS Analysis'!$BM3:$BM1002,"RUBS (expense line item)",'OS Analysis'!$CB3:$CB1002),INDEX($J16:$U16,1,MATCH(D$3,$J$4:$U$4,0)))</f>
        <v>0</v>
      </c>
      <c r="E16" s="2149">
        <f t="shared" si="2"/>
        <v>0</v>
      </c>
      <c r="F16" s="2148">
        <f>IF(ISBLANK(F$3),SUMIF('OS Analysis'!$AV3:$AV1002,"RUBS (income line item)",'OS Analysis'!$BK3:$BK1002)-SUMIF('OS Analysis'!$AV3:$AV1002,"RUBS (expense line item)",'OS Analysis'!$BK3:$BK1002),INDEX($J16:$U16,1,MATCH(F$3,$J$4:$U$4,0)))</f>
        <v>0</v>
      </c>
      <c r="G16" s="2149">
        <f t="shared" si="2"/>
        <v>0</v>
      </c>
      <c r="H16" s="2148">
        <f>IF(ISBLANK(H$3),SUMIF('OS Analysis'!$AE3:$AE1002,"RUBS (income line item)",'OS Analysis'!$AT3:$AT1002)-SUMIF('OS Analysis'!$AE3:$AE1002,"RUBS (expense line item)",'OS Analysis'!$AT3:$AT1002),INDEX($J16:$U16,1,MATCH(H$3,$J$4:$U$4,0)))</f>
        <v>0</v>
      </c>
      <c r="I16" s="2149">
        <f t="shared" si="2"/>
        <v>0</v>
      </c>
      <c r="J16" s="2152">
        <f>(((SUMIF('OS Analysis'!$B3:$B1002,"RUBS (income line item)",'OS Analysis'!$AC3:$AC1002))/12)*12)-(((SUMIF('OS Analysis'!$B3:$B1002,"RUBS (expense line item)",'OS Analysis'!$AC3:$AC1002))/12)*12)</f>
        <v>-254702</v>
      </c>
      <c r="K16" s="2153">
        <f>(((SUMIF('OS Analysis'!$B3:$B1002,"RUBS (income line item)",'OS Analysis'!$AB3:$AB1002))/11)*12)-(((SUMIF('OS Analysis'!$B3:$B1002,"RUBS (expense line item)",'OS Analysis'!$AB3:$AB1002))/11)*12)</f>
        <v>-260844</v>
      </c>
      <c r="L16" s="2153">
        <f>(((SUMIF('OS Analysis'!$B3:$B1002,"RUBS (income line item)",'OS Analysis'!$AA3:$AA1002))/10)*12)-(((SUMIF('OS Analysis'!$B3:$B1002,"RUBS (expense line item)",'OS Analysis'!$AA3:$AA1002))/10)*12)</f>
        <v>-264781.19999999995</v>
      </c>
      <c r="M16" s="2153">
        <f>(((SUMIF('OS Analysis'!$B3:$B1002,"RUBS (income line item)",'OS Analysis'!$Z3:$Z1002))/9)*12)-(((SUMIF('OS Analysis'!$B3:$B1002,"RUBS (expense line item)",'OS Analysis'!$Z3:$Z1002))/9)*12)</f>
        <v>-272358.6666666666</v>
      </c>
      <c r="N16" s="2153">
        <f>(((SUMIF('OS Analysis'!$B3:$B1002,"RUBS (income line item)",'OS Analysis'!$Y3:$Y1002))/8)*12)-(((SUMIF('OS Analysis'!$B3:$B1002,"RUBS (expense line item)",'OS Analysis'!$Y3:$Y1002))/8)*12)</f>
        <v>-277212</v>
      </c>
      <c r="O16" s="2153">
        <f>(((SUMIF('OS Analysis'!$B3:$B1002,"RUBS (income line item)",'OS Analysis'!$X3:$X1002))/7)*12)-(((SUMIF('OS Analysis'!$B3:$B1002,"RUBS (expense line item)",'OS Analysis'!$X3:$X1002))/7)*12)</f>
        <v>-278000.5714285714</v>
      </c>
      <c r="P16" s="2153">
        <f>(((SUMIF('OS Analysis'!$B3:$B1002,"RUBS (income line item)",'OS Analysis'!$W3:$W1002))/6)*12)-(((SUMIF('OS Analysis'!$B3:$B1002,"RUBS (expense line item)",'OS Analysis'!$W3:$W1002))/6)*12)</f>
        <v>-272086</v>
      </c>
      <c r="Q16" s="2153">
        <f>(((SUMIF('OS Analysis'!$B3:$B1002,"RUBS (income line item)",'OS Analysis'!$V3:$V1002))/5)*12)-(((SUMIF('OS Analysis'!$B3:$B1002,"RUBS (expense line item)",'OS Analysis'!$V3:$V1002))/5)*12)</f>
        <v>-258559.19999999998</v>
      </c>
      <c r="R16" s="2153">
        <f>(((SUMIF('OS Analysis'!$B3:$B1002,"RUBS (income line item)",'OS Analysis'!$U3:$U1002))/4)*12)-(((SUMIF('OS Analysis'!$B3:$B1002,"RUBS (expense line item)",'OS Analysis'!$U3:$U1002))/4)*12)</f>
        <v>-255909</v>
      </c>
      <c r="S16" s="2153">
        <f>(((SUMIF('OS Analysis'!$B3:$B1002,"RUBS (income line item)",'OS Analysis'!$T3:$T1002))/3)*12)-(((SUMIF('OS Analysis'!$B3:$B1002,"RUBS (expense line item)",'OS Analysis'!$T3:$T1002))/3)*12)</f>
        <v>-250196</v>
      </c>
      <c r="T16" s="2153">
        <f>(((SUMIF('OS Analysis'!$B3:$B1002,"RUBS (income line item)",'OS Analysis'!$S3:$S1002))/2)*12)-(((SUMIF('OS Analysis'!$B3:$B1002,"RUBS (expense line item)",'OS Analysis'!$S3:$S1002))/2)*12)</f>
        <v>-248412</v>
      </c>
      <c r="U16" s="2153">
        <f>((SUMIF('OS Analysis'!$B3:$B1002,"RUBS (income line item)",'OS Analysis'!$R3:$R1002))*12)-((SUMIF('OS Analysis'!$B3:$B1002,"RUBS (expense line item)",'OS Analysis'!$R3:$R1002))*12)</f>
        <v>-264336</v>
      </c>
      <c r="V16" s="2154">
        <f>SUMIF('OS Analysis'!$B$3:$B$1002,"RUBS (income line item)",'OS Analysis'!$Q$3:$Q$1002)-SUMIF('OS Analysis'!$B$3:$B$1002,"RUBS (expense line item)",'OS Analysis'!$Q$3:$Q$1002)</f>
        <v>-254702</v>
      </c>
      <c r="W16" s="2148">
        <f t="shared" si="5"/>
        <v>-254702</v>
      </c>
      <c r="X16" s="2149">
        <f t="shared" si="2"/>
        <v>-210.15016501650166</v>
      </c>
      <c r="Y16" s="2148">
        <f>SUMIF('OS Analysis'!$CD3:$CD1002,"RUBS (income line item)",'OS Analysis'!$CS3:$CS1002)-SUMIF('OS Analysis'!$CD3:$CD1002,"RUBS (expense line item)",'OS Analysis'!$CS3:$CS1002)</f>
        <v>0</v>
      </c>
      <c r="Z16" s="2149">
        <f t="shared" si="2"/>
        <v>0</v>
      </c>
      <c r="AA16" s="2148">
        <f>SUMIF('OS Analysis'!$CU3:$CU1002,"RUBS (income line item)",'OS Analysis'!$CW3:$CW1002)-SUMIF('OS Analysis'!$CU3:$CU1002,"RUBS (expense line item)",'OS Analysis'!$CW3:$CW1002)</f>
        <v>0</v>
      </c>
      <c r="AB16" s="2149">
        <f t="shared" si="2"/>
        <v>0</v>
      </c>
      <c r="AC16" s="2148">
        <f>SUMIF('OS Analysis'!$CU3:$CU1002,"RUBS (income line item)",'OS Analysis'!$CX3:$CX1002)-SUMIF('OS Analysis'!$CU3:$CU1002,"RUBS (expense line item)",'OS Analysis'!$CX3:$CX1002)</f>
        <v>0</v>
      </c>
      <c r="AD16" s="2149">
        <f t="shared" si="2"/>
        <v>0</v>
      </c>
      <c r="AE16" s="2148">
        <v>0</v>
      </c>
      <c r="AF16" s="2149">
        <f t="shared" si="2"/>
        <v>0</v>
      </c>
      <c r="AG16" s="2148">
        <v>0</v>
      </c>
      <c r="AH16" s="2149">
        <f t="shared" si="2"/>
        <v>0</v>
      </c>
      <c r="AI16" s="2148">
        <v>0</v>
      </c>
      <c r="AJ16" s="2149">
        <f t="shared" si="2"/>
        <v>0</v>
      </c>
      <c r="AK16" s="2148">
        <f t="shared" si="16"/>
        <v>-254702</v>
      </c>
      <c r="AL16" s="2149">
        <f t="shared" si="2"/>
        <v>-210.15016501650166</v>
      </c>
      <c r="AM16" s="2148">
        <v>0</v>
      </c>
      <c r="AN16" s="2149">
        <f t="shared" si="2"/>
        <v>0</v>
      </c>
      <c r="AO16" s="2157"/>
      <c r="AP16" s="2157"/>
      <c r="AQ16" s="2114" t="str">
        <f t="shared" si="3"/>
        <v>RUBS</v>
      </c>
      <c r="AR16" s="2158" t="str">
        <f t="shared" si="17"/>
        <v>T-12</v>
      </c>
      <c r="AS16" s="2114"/>
      <c r="AT16" s="2169"/>
      <c r="AU16" s="2160"/>
      <c r="AV16" s="2161">
        <f t="shared" si="6"/>
        <v>0</v>
      </c>
      <c r="AW16" s="2151">
        <f>_xlfn.IFERROR((AV16/V1)/12,0)</f>
        <v>0</v>
      </c>
      <c r="AX16" s="2162">
        <v>0</v>
      </c>
      <c r="AY16" s="2163">
        <f>_xlfn.IFERROR((AX16/V1)/12,0)</f>
        <v>0</v>
      </c>
    </row>
    <row r="17" ht="14.25" customHeight="1">
      <c r="A17" s="2114">
        <f t="shared" si="18" ref="A17:A68">A16+1</f>
        <v>2</v>
      </c>
      <c r="B17" s="2227" t="s">
        <v>1896</v>
      </c>
      <c r="C17" s="866"/>
      <c r="D17" s="2148">
        <f>IF(ISBLANK(D$3),SUMIF('OS Analysis'!$BM3:$BM1002,$B17,'OS Analysis'!$CB3:$CB1002),INDEX($J17:$U17,1,MATCH(D$3,$J$4:$U$4,0)))</f>
        <v>0</v>
      </c>
      <c r="E17" s="2149">
        <f t="shared" si="2"/>
        <v>0</v>
      </c>
      <c r="F17" s="2148">
        <f>IF(ISBLANK(F$3),SUMIF('OS Analysis'!$AV3:$AV1002,$B17,'OS Analysis'!$BK3:$BK1002),INDEX($J17:$U17,1,MATCH(F$3,$J$4:$U$4,0)))</f>
        <v>0</v>
      </c>
      <c r="G17" s="2149">
        <f t="shared" si="2"/>
        <v>0</v>
      </c>
      <c r="H17" s="2148">
        <f>IF(ISBLANK(H$3),SUMIF('OS Analysis'!$AE3:$AE1002,$B17,'OS Analysis'!$AT3:$AT1002),INDEX($J17:$U17,1,MATCH(H$3,$J$4:$U$4,0)))</f>
        <v>0</v>
      </c>
      <c r="I17" s="2149">
        <f t="shared" si="2"/>
        <v>0</v>
      </c>
      <c r="J17" s="2152">
        <f>((SUMIF('OS Analysis'!$B3:$B1002,B17,'OS Analysis'!$AC3:$AC1002))/12)*12</f>
        <v>8960</v>
      </c>
      <c r="K17" s="2153">
        <f>((SUMIF('OS Analysis'!$B3:$B1002,B17,'OS Analysis'!$AB3:$AB1002))/11)*12</f>
        <v>12835.636363636364</v>
      </c>
      <c r="L17" s="2153">
        <f>((SUMIF('OS Analysis'!$B3:$B1002,B17,'OS Analysis'!$AA3:$AA1002))/10)*12</f>
        <v>15646.800000000001</v>
      </c>
      <c r="M17" s="2153">
        <f>((SUMIF('OS Analysis'!$B3:$B1002,B17,'OS Analysis'!$Z3:$Z1002))/9)*12</f>
        <v>16176</v>
      </c>
      <c r="N17" s="2153">
        <f>((SUMIF('OS Analysis'!$B3:$B1002,B17,'OS Analysis'!$Y3:$Y1002))/8)*12</f>
        <v>17434.5</v>
      </c>
      <c r="O17" s="2153">
        <f>((SUMIF('OS Analysis'!$B3:$B1002,B17,'OS Analysis'!$X3:$X1002))/7)*12</f>
        <v>19138.285714285714</v>
      </c>
      <c r="P17" s="2153">
        <f>((SUMIF('OS Analysis'!$B3:$B1002,B17,'OS Analysis'!$W3:$W1002))/6)*12</f>
        <v>17116</v>
      </c>
      <c r="Q17" s="2153">
        <f>((SUMIF('OS Analysis'!$B3:$B1002,B17,'OS Analysis'!$V3:$V1002))/5)*12</f>
        <v>18139.199999999997</v>
      </c>
      <c r="R17" s="2153">
        <f>((SUMIF('OS Analysis'!$B3:$B1002,B17,'OS Analysis'!$U3:$U1002))/4)*12</f>
        <v>17010</v>
      </c>
      <c r="S17" s="2153">
        <f>((SUMIF('OS Analysis'!$B3:$B1002,B17,'OS Analysis'!$T3:$T1002))/3)*12</f>
        <v>16164</v>
      </c>
      <c r="T17" s="2153">
        <f>((SUMIF('OS Analysis'!$B3:$B1002,B17,'OS Analysis'!$S3:$S1002))/2)*12</f>
        <v>17424</v>
      </c>
      <c r="U17" s="2153">
        <f>(SUMIF('OS Analysis'!$B3:$B1002,B17,'OS Analysis'!$R3:$R1002))*12</f>
        <v>22536</v>
      </c>
      <c r="V17" s="2154">
        <f>SUMIF('OS Analysis'!$B$3:$B$1002,$B17,'OS Analysis'!$Q$3:$Q$1002)</f>
        <v>8960</v>
      </c>
      <c r="W17" s="2148">
        <f t="shared" si="5"/>
        <v>8960</v>
      </c>
      <c r="X17" s="2149">
        <f t="shared" si="2"/>
        <v>7.3927392739273925</v>
      </c>
      <c r="Y17" s="2148">
        <f>SUMIF('OS Analysis'!$CD3:$CD1002,$B17,'OS Analysis'!$CS3:$CS1002)</f>
        <v>0</v>
      </c>
      <c r="Z17" s="2149">
        <f t="shared" si="2"/>
        <v>0</v>
      </c>
      <c r="AA17" s="2148">
        <f>SUMIF('OS Analysis'!$CU3:$CU1002,$B17,'OS Analysis'!$CW3:$CW1002)</f>
        <v>0</v>
      </c>
      <c r="AB17" s="2149">
        <f t="shared" si="2"/>
        <v>0</v>
      </c>
      <c r="AC17" s="2148">
        <f>SUMIF('OS Analysis'!$CU3:$CU1002,$B17,'OS Analysis'!$CX3:$CX1002)</f>
        <v>0</v>
      </c>
      <c r="AD17" s="2149">
        <f t="shared" si="2"/>
        <v>0</v>
      </c>
      <c r="AE17" s="2148">
        <v>0</v>
      </c>
      <c r="AF17" s="2149">
        <f t="shared" si="2"/>
        <v>0</v>
      </c>
      <c r="AG17" s="2148">
        <v>0</v>
      </c>
      <c r="AH17" s="2149">
        <f t="shared" si="2"/>
        <v>0</v>
      </c>
      <c r="AI17" s="2148">
        <v>0</v>
      </c>
      <c r="AJ17" s="2149">
        <f t="shared" si="2"/>
        <v>0</v>
      </c>
      <c r="AK17" s="2148">
        <f t="shared" si="16"/>
        <v>8960</v>
      </c>
      <c r="AL17" s="2149">
        <f t="shared" si="2"/>
        <v>7.3927392739273925</v>
      </c>
      <c r="AM17" s="2148">
        <v>0</v>
      </c>
      <c r="AN17" s="2149">
        <f t="shared" si="2"/>
        <v>0</v>
      </c>
      <c r="AO17" s="2157"/>
      <c r="AP17" s="2157"/>
      <c r="AQ17" s="2114" t="str">
        <f t="shared" si="3"/>
        <v>Other Income (Allowable)</v>
      </c>
      <c r="AR17" s="2158" t="str">
        <f t="shared" si="17"/>
        <v>T-12</v>
      </c>
      <c r="AS17" s="2114"/>
      <c r="AT17" s="2169"/>
      <c r="AU17" s="2160"/>
      <c r="AV17" s="2161">
        <f t="shared" si="6"/>
        <v>0</v>
      </c>
      <c r="AW17" s="2151">
        <f>_xlfn.IFERROR((AV17/V1)/12,0)</f>
        <v>0</v>
      </c>
      <c r="AX17" s="2162">
        <v>0</v>
      </c>
      <c r="AY17" s="2163">
        <f>_xlfn.IFERROR((AX17/V1)/12,0)</f>
        <v>0</v>
      </c>
    </row>
    <row r="18" ht="14.25" customHeight="1">
      <c r="A18" s="2114">
        <f t="shared" si="18"/>
        <v>3</v>
      </c>
      <c r="B18" s="2228" t="s">
        <v>1897</v>
      </c>
      <c r="C18" s="866"/>
      <c r="D18" s="2148">
        <f>IF(ISBLANK(D$3),SUMIF('OS Analysis'!$BM3:$BM1002,$B18,'OS Analysis'!$CB3:$CB1002),INDEX($J18:$U18,1,MATCH(D$3,$J$4:$U$4,0)))</f>
        <v>0</v>
      </c>
      <c r="E18" s="2149">
        <f t="shared" si="2"/>
        <v>0</v>
      </c>
      <c r="F18" s="2148">
        <f>IF(ISBLANK(F$3),SUMIF('OS Analysis'!$AV3:$AV1002,$B18,'OS Analysis'!$BK3:$BK1002),INDEX($J18:$U18,1,MATCH(F$3,$J$4:$U$4,0)))</f>
        <v>0</v>
      </c>
      <c r="G18" s="2149">
        <f t="shared" si="2"/>
        <v>0</v>
      </c>
      <c r="H18" s="2148">
        <f>IF(ISBLANK(H$3),SUMIF('OS Analysis'!$AE3:$AE1002,$B18,'OS Analysis'!$AT3:$AT1002),INDEX($J18:$U18,1,MATCH(H$3,$J$4:$U$4,0)))</f>
        <v>0</v>
      </c>
      <c r="I18" s="2149">
        <f t="shared" si="2"/>
        <v>0</v>
      </c>
      <c r="J18" s="2152">
        <f>((SUMIF('OS Analysis'!$B3:$B1002,B18,'OS Analysis'!$AC3:$AC1002))/12)*12</f>
        <v>0</v>
      </c>
      <c r="K18" s="2153">
        <f>((SUMIF('OS Analysis'!$B3:$B1002,B18,'OS Analysis'!$AB3:$AB1002))/11)*12</f>
        <v>0</v>
      </c>
      <c r="L18" s="2153">
        <f>((SUMIF('OS Analysis'!$B3:$B1002,B18,'OS Analysis'!$AA3:$AA1002))/10)*12</f>
        <v>0</v>
      </c>
      <c r="M18" s="2153">
        <f>((SUMIF('OS Analysis'!$B3:$B1002,B18,'OS Analysis'!$Z3:$Z1002))/9)*12</f>
        <v>0</v>
      </c>
      <c r="N18" s="2153">
        <f>((SUMIF('OS Analysis'!$B3:$B1002,B18,'OS Analysis'!$Y3:$Y1002))/8)*12</f>
        <v>0</v>
      </c>
      <c r="O18" s="2153">
        <f>((SUMIF('OS Analysis'!$B3:$B1002,B18,'OS Analysis'!$X3:$X1002))/7)*12</f>
        <v>0</v>
      </c>
      <c r="P18" s="2153">
        <f>((SUMIF('OS Analysis'!$B3:$B1002,B18,'OS Analysis'!$W3:$W1002))/6)*12</f>
        <v>0</v>
      </c>
      <c r="Q18" s="2153">
        <f>((SUMIF('OS Analysis'!$B3:$B1002,B18,'OS Analysis'!$V3:$V1002))/5)*12</f>
        <v>0</v>
      </c>
      <c r="R18" s="2153">
        <f>((SUMIF('OS Analysis'!$B3:$B1002,B18,'OS Analysis'!$U3:$U1002))/4)*12</f>
        <v>0</v>
      </c>
      <c r="S18" s="2153">
        <f>((SUMIF('OS Analysis'!$B3:$B1002,B18,'OS Analysis'!$T3:$T1002))/3)*12</f>
        <v>0</v>
      </c>
      <c r="T18" s="2153">
        <f>((SUMIF('OS Analysis'!$B3:$B1002,B18,'OS Analysis'!$S3:$S1002))/2)*12</f>
        <v>0</v>
      </c>
      <c r="U18" s="2153">
        <f>(SUMIF('OS Analysis'!$B3:$B1002,B18,'OS Analysis'!$R3:$R1002))*12</f>
        <v>0</v>
      </c>
      <c r="V18" s="2154">
        <f>SUMIF('OS Analysis'!$B$3:$B$1002,$B18,'OS Analysis'!$Q$3:$Q$1002)</f>
        <v>0</v>
      </c>
      <c r="W18" s="2148">
        <f t="shared" si="5"/>
        <v>0</v>
      </c>
      <c r="X18" s="2149">
        <f t="shared" si="2"/>
        <v>0</v>
      </c>
      <c r="Y18" s="2148">
        <f>SUMIF('OS Analysis'!$CD3:$CD1002,$B18,'OS Analysis'!$CS3:$CS1002)</f>
        <v>0</v>
      </c>
      <c r="Z18" s="2149">
        <f t="shared" si="2"/>
        <v>0</v>
      </c>
      <c r="AA18" s="2148">
        <f>SUMIF('OS Analysis'!$CU3:$CU1002,$B18,'OS Analysis'!$CW3:$CW1002)</f>
        <v>0</v>
      </c>
      <c r="AB18" s="2149">
        <f t="shared" si="2"/>
        <v>0</v>
      </c>
      <c r="AC18" s="2148">
        <f>SUMIF('OS Analysis'!$CU3:$CU1002,$B18,'OS Analysis'!$CX3:$CX1002)</f>
        <v>0</v>
      </c>
      <c r="AD18" s="2149">
        <f t="shared" si="2"/>
        <v>0</v>
      </c>
      <c r="AE18" s="2148">
        <v>0</v>
      </c>
      <c r="AF18" s="2149">
        <f t="shared" si="2"/>
        <v>0</v>
      </c>
      <c r="AG18" s="2148">
        <v>0</v>
      </c>
      <c r="AH18" s="2149">
        <f t="shared" si="2"/>
        <v>0</v>
      </c>
      <c r="AI18" s="2148">
        <v>0</v>
      </c>
      <c r="AJ18" s="2149">
        <f t="shared" si="2"/>
        <v>0</v>
      </c>
      <c r="AK18" s="2148">
        <f t="shared" si="16"/>
        <v>0</v>
      </c>
      <c r="AL18" s="2149">
        <f t="shared" si="2"/>
        <v>0</v>
      </c>
      <c r="AM18" s="2148">
        <v>0</v>
      </c>
      <c r="AN18" s="2149">
        <f t="shared" si="2"/>
        <v>0</v>
      </c>
      <c r="AO18" s="2157"/>
      <c r="AP18" s="2157"/>
      <c r="AQ18" s="2114" t="str">
        <f t="shared" si="3"/>
        <v>App Fee</v>
      </c>
      <c r="AR18" s="2158">
        <f t="shared" si="17"/>
      </c>
      <c r="AS18" s="2114"/>
      <c r="AT18" s="2169"/>
      <c r="AU18" s="2160"/>
      <c r="AV18" s="2161">
        <f t="shared" si="6"/>
        <v>0</v>
      </c>
      <c r="AW18" s="2151">
        <f>_xlfn.IFERROR((AV18/V1)/12,0)</f>
        <v>0</v>
      </c>
      <c r="AX18" s="2162">
        <v>0</v>
      </c>
      <c r="AY18" s="2163">
        <f>_xlfn.IFERROR((AX18/V1)/12,0)</f>
        <v>0</v>
      </c>
    </row>
    <row r="19" ht="14.25" customHeight="1">
      <c r="A19" s="2114">
        <f t="shared" si="18"/>
        <v>4</v>
      </c>
      <c r="B19" s="2228" t="s">
        <v>1898</v>
      </c>
      <c r="C19" s="866"/>
      <c r="D19" s="2148">
        <f>IF(ISBLANK(D$3),SUMIF('OS Analysis'!$BM3:$BM1002,$B19,'OS Analysis'!$CB3:$CB1002),INDEX($J19:$U19,1,MATCH(D$3,$J$4:$U$4,0)))</f>
        <v>0</v>
      </c>
      <c r="E19" s="2149">
        <f t="shared" si="2"/>
        <v>0</v>
      </c>
      <c r="F19" s="2148">
        <f>IF(ISBLANK(F$3),SUMIF('OS Analysis'!$AV3:$AV1002,$B19,'OS Analysis'!$BK3:$BK1002),INDEX($J19:$U19,1,MATCH(F$3,$J$4:$U$4,0)))</f>
        <v>0</v>
      </c>
      <c r="G19" s="2149">
        <f t="shared" si="2"/>
        <v>0</v>
      </c>
      <c r="H19" s="2148">
        <f>IF(ISBLANK(H$3),SUMIF('OS Analysis'!$AE3:$AE1002,$B19,'OS Analysis'!$AT3:$AT1002),INDEX($J19:$U19,1,MATCH(H$3,$J$4:$U$4,0)))</f>
        <v>0</v>
      </c>
      <c r="I19" s="2149">
        <f t="shared" si="2"/>
        <v>0</v>
      </c>
      <c r="J19" s="2152">
        <f>((SUMIF('OS Analysis'!$B3:$B1002,B19,'OS Analysis'!$AC3:$AC1002))/12)*12</f>
        <v>0</v>
      </c>
      <c r="K19" s="2153">
        <f>((SUMIF('OS Analysis'!$B3:$B1002,B19,'OS Analysis'!$AB3:$AB1002))/11)*12</f>
        <v>0</v>
      </c>
      <c r="L19" s="2153">
        <f>((SUMIF('OS Analysis'!$B3:$B1002,B19,'OS Analysis'!$AA3:$AA1002))/10)*12</f>
        <v>0</v>
      </c>
      <c r="M19" s="2153">
        <f>((SUMIF('OS Analysis'!$B3:$B1002,B19,'OS Analysis'!$Z3:$Z1002))/9)*12</f>
        <v>0</v>
      </c>
      <c r="N19" s="2153">
        <f>((SUMIF('OS Analysis'!$B3:$B1002,B19,'OS Analysis'!$Y3:$Y1002))/8)*12</f>
        <v>0</v>
      </c>
      <c r="O19" s="2153">
        <f>((SUMIF('OS Analysis'!$B3:$B1002,B19,'OS Analysis'!$X3:$X1002))/7)*12</f>
        <v>0</v>
      </c>
      <c r="P19" s="2153">
        <f>((SUMIF('OS Analysis'!$B3:$B1002,B19,'OS Analysis'!$W3:$W1002))/6)*12</f>
        <v>0</v>
      </c>
      <c r="Q19" s="2153">
        <f>((SUMIF('OS Analysis'!$B3:$B1002,B19,'OS Analysis'!$V3:$V1002))/5)*12</f>
        <v>0</v>
      </c>
      <c r="R19" s="2153">
        <f>((SUMIF('OS Analysis'!$B3:$B1002,B19,'OS Analysis'!$U3:$U1002))/4)*12</f>
        <v>0</v>
      </c>
      <c r="S19" s="2153">
        <f>((SUMIF('OS Analysis'!$B3:$B1002,B19,'OS Analysis'!$T3:$T1002))/3)*12</f>
        <v>0</v>
      </c>
      <c r="T19" s="2153">
        <f>((SUMIF('OS Analysis'!$B3:$B1002,B19,'OS Analysis'!$S3:$S1002))/2)*12</f>
        <v>0</v>
      </c>
      <c r="U19" s="2153">
        <f>(SUMIF('OS Analysis'!$B3:$B1002,B19,'OS Analysis'!$R3:$R1002))*12</f>
        <v>0</v>
      </c>
      <c r="V19" s="2154">
        <f>SUMIF('OS Analysis'!$B$3:$B$1002,$B19,'OS Analysis'!$Q$3:$Q$1002)</f>
        <v>0</v>
      </c>
      <c r="W19" s="2148">
        <f t="shared" si="5"/>
        <v>0</v>
      </c>
      <c r="X19" s="2149">
        <f t="shared" si="2"/>
        <v>0</v>
      </c>
      <c r="Y19" s="2148">
        <f>SUMIF('OS Analysis'!$CD3:$CD1002,$B19,'OS Analysis'!$CS3:$CS1002)</f>
        <v>0</v>
      </c>
      <c r="Z19" s="2149">
        <f t="shared" si="2"/>
        <v>0</v>
      </c>
      <c r="AA19" s="2148">
        <f>SUMIF('OS Analysis'!$CU3:$CU1002,$B19,'OS Analysis'!$CW3:$CW1002)</f>
        <v>0</v>
      </c>
      <c r="AB19" s="2149">
        <f t="shared" si="2"/>
        <v>0</v>
      </c>
      <c r="AC19" s="2148">
        <f>SUMIF('OS Analysis'!$CU3:$CU1002,$B19,'OS Analysis'!$CX3:$CX1002)</f>
        <v>0</v>
      </c>
      <c r="AD19" s="2149">
        <f t="shared" si="2"/>
        <v>0</v>
      </c>
      <c r="AE19" s="2148">
        <v>0</v>
      </c>
      <c r="AF19" s="2149">
        <f t="shared" si="2"/>
        <v>0</v>
      </c>
      <c r="AG19" s="2148">
        <v>0</v>
      </c>
      <c r="AH19" s="2149">
        <f t="shared" si="2"/>
        <v>0</v>
      </c>
      <c r="AI19" s="2148">
        <v>0</v>
      </c>
      <c r="AJ19" s="2149">
        <f t="shared" si="2"/>
        <v>0</v>
      </c>
      <c r="AK19" s="2148">
        <f t="shared" si="16"/>
        <v>0</v>
      </c>
      <c r="AL19" s="2149">
        <f t="shared" si="2"/>
        <v>0</v>
      </c>
      <c r="AM19" s="2148">
        <v>0</v>
      </c>
      <c r="AN19" s="2149">
        <f t="shared" si="2"/>
        <v>0</v>
      </c>
      <c r="AO19" s="2157"/>
      <c r="AP19" s="2157"/>
      <c r="AQ19" s="2114" t="str">
        <f t="shared" si="3"/>
        <v>Forfeit Deposits</v>
      </c>
      <c r="AR19" s="2158">
        <f t="shared" si="17"/>
      </c>
      <c r="AS19" s="2114"/>
      <c r="AT19" s="2169"/>
      <c r="AU19" s="2160"/>
      <c r="AV19" s="2161">
        <f t="shared" si="6"/>
        <v>0</v>
      </c>
      <c r="AW19" s="2151">
        <f t="shared" si="19" ref="AW19:AW21">_xlfn.IFERROR((AV19/C2)/12,0)</f>
        <v>0</v>
      </c>
      <c r="AX19" s="2162">
        <v>0</v>
      </c>
      <c r="AY19" s="2163">
        <f t="shared" si="20" ref="AY19:AY21">_xlfn.IFERROR((AX19/C2)/12,0)</f>
        <v>0</v>
      </c>
    </row>
    <row r="20" ht="14.25" customHeight="1">
      <c r="A20" s="2114">
        <f t="shared" si="18"/>
        <v>5</v>
      </c>
      <c r="B20" s="2228" t="s">
        <v>1899</v>
      </c>
      <c r="C20" s="866"/>
      <c r="D20" s="2148">
        <f>IF(ISBLANK(D$3),SUMIF('OS Analysis'!$BM3:$BM1002,$B20,'OS Analysis'!$CB3:$CB1002),INDEX($J20:$U20,1,MATCH(D$3,$J$4:$U$4,0)))</f>
        <v>0</v>
      </c>
      <c r="E20" s="2149">
        <f t="shared" si="2"/>
        <v>0</v>
      </c>
      <c r="F20" s="2148">
        <f>IF(ISBLANK(F$3),SUMIF('OS Analysis'!$AV3:$AV1002,$B20,'OS Analysis'!$BK3:$BK1002),INDEX($J20:$U20,1,MATCH(F$3,$J$4:$U$4,0)))</f>
        <v>0</v>
      </c>
      <c r="G20" s="2149">
        <f t="shared" si="2"/>
        <v>0</v>
      </c>
      <c r="H20" s="2148">
        <f>IF(ISBLANK(H$3),SUMIF('OS Analysis'!$AE3:$AE1002,$B20,'OS Analysis'!$AT3:$AT1002),INDEX($J20:$U20,1,MATCH(H$3,$J$4:$U$4,0)))</f>
        <v>0</v>
      </c>
      <c r="I20" s="2149">
        <f t="shared" si="2"/>
        <v>0</v>
      </c>
      <c r="J20" s="2152">
        <f>((SUMIF('OS Analysis'!$B3:$B1002,B20,'OS Analysis'!$AC3:$AC1002))/12)*12</f>
        <v>0</v>
      </c>
      <c r="K20" s="2153">
        <f>((SUMIF('OS Analysis'!$B3:$B1002,B20,'OS Analysis'!$AB3:$AB1002))/11)*12</f>
        <v>0</v>
      </c>
      <c r="L20" s="2153">
        <f>((SUMIF('OS Analysis'!$B3:$B1002,B20,'OS Analysis'!$AA3:$AA1002))/10)*12</f>
        <v>0</v>
      </c>
      <c r="M20" s="2153">
        <f>((SUMIF('OS Analysis'!$B3:$B1002,B20,'OS Analysis'!$Z3:$Z1002))/9)*12</f>
        <v>0</v>
      </c>
      <c r="N20" s="2153">
        <f>((SUMIF('OS Analysis'!$B3:$B1002,B20,'OS Analysis'!$Y3:$Y1002))/8)*12</f>
        <v>0</v>
      </c>
      <c r="O20" s="2153">
        <f>((SUMIF('OS Analysis'!$B3:$B1002,B20,'OS Analysis'!$X3:$X1002))/7)*12</f>
        <v>0</v>
      </c>
      <c r="P20" s="2153">
        <f>((SUMIF('OS Analysis'!$B3:$B1002,B20,'OS Analysis'!$W3:$W1002))/6)*12</f>
        <v>0</v>
      </c>
      <c r="Q20" s="2153">
        <f>((SUMIF('OS Analysis'!$B3:$B1002,B20,'OS Analysis'!$V3:$V1002))/5)*12</f>
        <v>0</v>
      </c>
      <c r="R20" s="2153">
        <f>((SUMIF('OS Analysis'!$B3:$B1002,B20,'OS Analysis'!$U3:$U1002))/4)*12</f>
        <v>0</v>
      </c>
      <c r="S20" s="2153">
        <f>((SUMIF('OS Analysis'!$B3:$B1002,B20,'OS Analysis'!$T3:$T1002))/3)*12</f>
        <v>0</v>
      </c>
      <c r="T20" s="2153">
        <f>((SUMIF('OS Analysis'!$B3:$B1002,B20,'OS Analysis'!$S3:$S1002))/2)*12</f>
        <v>0</v>
      </c>
      <c r="U20" s="2153">
        <f>(SUMIF('OS Analysis'!$B3:$B1002,B20,'OS Analysis'!$R3:$R1002))*12</f>
        <v>0</v>
      </c>
      <c r="V20" s="2154">
        <f>SUMIF('OS Analysis'!$B$3:$B$1002,$B20,'OS Analysis'!$Q$3:$Q$1002)</f>
        <v>0</v>
      </c>
      <c r="W20" s="2148">
        <f t="shared" si="5"/>
        <v>0</v>
      </c>
      <c r="X20" s="2149">
        <f t="shared" si="2"/>
        <v>0</v>
      </c>
      <c r="Y20" s="2148">
        <f>SUMIF('OS Analysis'!$CD3:$CD1002,$B20,'OS Analysis'!$CS3:$CS1002)</f>
        <v>0</v>
      </c>
      <c r="Z20" s="2149">
        <f t="shared" si="2"/>
        <v>0</v>
      </c>
      <c r="AA20" s="2148">
        <f>SUMIF('OS Analysis'!$CU3:$CU1002,$B20,'OS Analysis'!$CW3:$CW1002)</f>
        <v>0</v>
      </c>
      <c r="AB20" s="2149">
        <f t="shared" si="2"/>
        <v>0</v>
      </c>
      <c r="AC20" s="2148">
        <f>SUMIF('OS Analysis'!$CU3:$CU1002,$B20,'OS Analysis'!$CX3:$CX1002)</f>
        <v>0</v>
      </c>
      <c r="AD20" s="2149">
        <f t="shared" si="2"/>
        <v>0</v>
      </c>
      <c r="AE20" s="2148">
        <v>0</v>
      </c>
      <c r="AF20" s="2149">
        <f t="shared" si="2"/>
        <v>0</v>
      </c>
      <c r="AG20" s="2148">
        <v>0</v>
      </c>
      <c r="AH20" s="2149">
        <f t="shared" si="2"/>
        <v>0</v>
      </c>
      <c r="AI20" s="2148">
        <v>0</v>
      </c>
      <c r="AJ20" s="2149">
        <f t="shared" si="2"/>
        <v>0</v>
      </c>
      <c r="AK20" s="2148">
        <f t="shared" si="16"/>
        <v>0</v>
      </c>
      <c r="AL20" s="2149">
        <f t="shared" si="2"/>
        <v>0</v>
      </c>
      <c r="AM20" s="2148">
        <v>0</v>
      </c>
      <c r="AN20" s="2149">
        <f t="shared" si="2"/>
        <v>0</v>
      </c>
      <c r="AO20" s="2157"/>
      <c r="AP20" s="2157"/>
      <c r="AQ20" s="2114" t="str">
        <f t="shared" si="3"/>
        <v>Late/Early Term Fees</v>
      </c>
      <c r="AR20" s="2158">
        <f t="shared" si="17"/>
      </c>
      <c r="AS20" s="2114"/>
      <c r="AT20" s="2169"/>
      <c r="AU20" s="2160"/>
      <c r="AV20" s="2161">
        <f t="shared" si="6"/>
        <v>0</v>
      </c>
      <c r="AW20" s="2151">
        <f>_xlfn.IFERROR((AV20/#REF!)/12,0)</f>
        <v>0</v>
      </c>
      <c r="AX20" s="2162">
        <v>0</v>
      </c>
      <c r="AY20" s="2163">
        <f>_xlfn.IFERROR((AX20/#REF!)/12,0)</f>
        <v>0</v>
      </c>
    </row>
    <row r="21" ht="14.25" customHeight="1">
      <c r="A21" s="2114">
        <f t="shared" si="18"/>
        <v>6</v>
      </c>
      <c r="B21" s="2228" t="s">
        <v>1900</v>
      </c>
      <c r="C21" s="866"/>
      <c r="D21" s="2148">
        <f>IF(ISBLANK(D$3),SUMIF('OS Analysis'!$BM3:$BM1002,$B21,'OS Analysis'!$CB3:$CB1002),INDEX($J21:$U21,1,MATCH(D$3,$J$4:$U$4,0)))</f>
        <v>0</v>
      </c>
      <c r="E21" s="2149">
        <f t="shared" si="2"/>
        <v>0</v>
      </c>
      <c r="F21" s="2148">
        <f>IF(ISBLANK(F$3),SUMIF('OS Analysis'!$AV3:$AV1002,$B21,'OS Analysis'!$BK3:$BK1002),INDEX($J21:$U21,1,MATCH(F$3,$J$4:$U$4,0)))</f>
        <v>0</v>
      </c>
      <c r="G21" s="2149">
        <f t="shared" si="2"/>
        <v>0</v>
      </c>
      <c r="H21" s="2148">
        <f>IF(ISBLANK(H$3),SUMIF('OS Analysis'!$AE3:$AE1002,$B21,'OS Analysis'!$AT3:$AT1002),INDEX($J21:$U21,1,MATCH(H$3,$J$4:$U$4,0)))</f>
        <v>0</v>
      </c>
      <c r="I21" s="2149">
        <f t="shared" si="2"/>
        <v>0</v>
      </c>
      <c r="J21" s="2152">
        <f>((SUMIF('OS Analysis'!$B3:$B1002,B21,'OS Analysis'!$AC3:$AC1002))/12)*12</f>
        <v>0</v>
      </c>
      <c r="K21" s="2153">
        <f>((SUMIF('OS Analysis'!$B3:$B1002,B21,'OS Analysis'!$AB3:$AB1002))/11)*12</f>
        <v>0</v>
      </c>
      <c r="L21" s="2153">
        <f>((SUMIF('OS Analysis'!$B3:$B1002,B21,'OS Analysis'!$AA3:$AA1002))/10)*12</f>
        <v>0</v>
      </c>
      <c r="M21" s="2153">
        <f>((SUMIF('OS Analysis'!$B3:$B1002,B21,'OS Analysis'!$Z3:$Z1002))/9)*12</f>
        <v>0</v>
      </c>
      <c r="N21" s="2153">
        <f>((SUMIF('OS Analysis'!$B3:$B1002,B21,'OS Analysis'!$Y3:$Y1002))/8)*12</f>
        <v>0</v>
      </c>
      <c r="O21" s="2153">
        <f>((SUMIF('OS Analysis'!$B3:$B1002,B21,'OS Analysis'!$X3:$X1002))/7)*12</f>
        <v>0</v>
      </c>
      <c r="P21" s="2153">
        <f>((SUMIF('OS Analysis'!$B3:$B1002,B21,'OS Analysis'!$W3:$W1002))/6)*12</f>
        <v>0</v>
      </c>
      <c r="Q21" s="2153">
        <f>((SUMIF('OS Analysis'!$B3:$B1002,B21,'OS Analysis'!$V3:$V1002))/5)*12</f>
        <v>0</v>
      </c>
      <c r="R21" s="2153">
        <f>((SUMIF('OS Analysis'!$B3:$B1002,B21,'OS Analysis'!$U3:$U1002))/4)*12</f>
        <v>0</v>
      </c>
      <c r="S21" s="2153">
        <f>((SUMIF('OS Analysis'!$B3:$B1002,B21,'OS Analysis'!$T3:$T1002))/3)*12</f>
        <v>0</v>
      </c>
      <c r="T21" s="2153">
        <f>((SUMIF('OS Analysis'!$B3:$B1002,B21,'OS Analysis'!$S3:$S1002))/2)*12</f>
        <v>0</v>
      </c>
      <c r="U21" s="2153">
        <f>(SUMIF('OS Analysis'!$B3:$B1002,B21,'OS Analysis'!$R3:$R1002))*12</f>
        <v>0</v>
      </c>
      <c r="V21" s="2154">
        <f>SUMIF('OS Analysis'!$B$3:$B$1002,$B21,'OS Analysis'!$Q$3:$Q$1002)</f>
        <v>0</v>
      </c>
      <c r="W21" s="2148">
        <f t="shared" si="5"/>
        <v>0</v>
      </c>
      <c r="X21" s="2149">
        <f t="shared" si="2"/>
        <v>0</v>
      </c>
      <c r="Y21" s="2148">
        <f>SUMIF('OS Analysis'!$CD3:$CD1002,$B21,'OS Analysis'!$CS3:$CS1002)</f>
        <v>0</v>
      </c>
      <c r="Z21" s="2149">
        <f t="shared" si="2"/>
        <v>0</v>
      </c>
      <c r="AA21" s="2148">
        <f>SUMIF('OS Analysis'!$CU3:$CU1002,$B21,'OS Analysis'!$CW3:$CW1002)</f>
        <v>0</v>
      </c>
      <c r="AB21" s="2149">
        <f t="shared" si="2"/>
        <v>0</v>
      </c>
      <c r="AC21" s="2148">
        <f>SUMIF('OS Analysis'!$CU3:$CU1002,$B21,'OS Analysis'!$CX3:$CX1002)</f>
        <v>0</v>
      </c>
      <c r="AD21" s="2149">
        <f t="shared" si="2"/>
        <v>0</v>
      </c>
      <c r="AE21" s="2148">
        <v>0</v>
      </c>
      <c r="AF21" s="2149">
        <f t="shared" si="2"/>
        <v>0</v>
      </c>
      <c r="AG21" s="2148">
        <v>0</v>
      </c>
      <c r="AH21" s="2149">
        <f t="shared" si="2"/>
        <v>0</v>
      </c>
      <c r="AI21" s="2148">
        <v>0</v>
      </c>
      <c r="AJ21" s="2149">
        <f t="shared" si="2"/>
        <v>0</v>
      </c>
      <c r="AK21" s="2148">
        <f t="shared" si="16"/>
        <v>0</v>
      </c>
      <c r="AL21" s="2149">
        <f t="shared" si="2"/>
        <v>0</v>
      </c>
      <c r="AM21" s="2148">
        <v>0</v>
      </c>
      <c r="AN21" s="2149">
        <f t="shared" si="2"/>
        <v>0</v>
      </c>
      <c r="AO21" s="2157"/>
      <c r="AP21" s="2157"/>
      <c r="AQ21" s="2114" t="str">
        <f t="shared" si="3"/>
        <v>Pet Deposits</v>
      </c>
      <c r="AR21" s="2158">
        <f t="shared" si="17"/>
      </c>
      <c r="AS21" s="2114"/>
      <c r="AT21" s="2169"/>
      <c r="AU21" s="2160"/>
      <c r="AV21" s="2161">
        <f t="shared" si="6"/>
        <v>0</v>
      </c>
      <c r="AW21" s="2151">
        <f t="shared" si="19"/>
        <v>0</v>
      </c>
      <c r="AX21" s="2162">
        <v>0</v>
      </c>
      <c r="AY21" s="2163">
        <f t="shared" si="20"/>
        <v>0</v>
      </c>
    </row>
    <row r="22" ht="14.25" customHeight="1">
      <c r="A22" s="2114">
        <f t="shared" si="18"/>
        <v>7</v>
      </c>
      <c r="B22" s="2227" t="s">
        <v>1901</v>
      </c>
      <c r="C22" s="866"/>
      <c r="D22" s="2148">
        <f>IF(ISBLANK(D$3),SUMIF('OS Analysis'!$BM3:$BM1002,$B22,'OS Analysis'!$CB3:$CB1002),INDEX($J22:$U22,1,MATCH(D$3,$J$4:$U$4,0)))</f>
        <v>0</v>
      </c>
      <c r="E22" s="2149">
        <f t="shared" si="2"/>
        <v>0</v>
      </c>
      <c r="F22" s="2148">
        <f>IF(ISBLANK(F$3),SUMIF('OS Analysis'!$AV3:$AV1002,$B22,'OS Analysis'!$BK3:$BK1002),INDEX($J22:$U22,1,MATCH(F$3,$J$4:$U$4,0)))</f>
        <v>0</v>
      </c>
      <c r="G22" s="2149">
        <f t="shared" si="2"/>
        <v>0</v>
      </c>
      <c r="H22" s="2148">
        <f>IF(ISBLANK(H$3),SUMIF('OS Analysis'!$AE3:$AE1002,$B22,'OS Analysis'!$AT3:$AT1002),INDEX($J22:$U22,1,MATCH(H$3,$J$4:$U$4,0)))</f>
        <v>0</v>
      </c>
      <c r="I22" s="2149">
        <f t="shared" si="2"/>
        <v>0</v>
      </c>
      <c r="J22" s="2152">
        <f>((SUMIF('OS Analysis'!$B3:$B1002,B22,'OS Analysis'!$AC3:$AC1002))/12)*12</f>
        <v>0</v>
      </c>
      <c r="K22" s="2153">
        <f>((SUMIF('OS Analysis'!$B3:$B1002,B22,'OS Analysis'!$AB3:$AB1002))/11)*12</f>
        <v>0</v>
      </c>
      <c r="L22" s="2153">
        <f>((SUMIF('OS Analysis'!$B3:$B1002,B22,'OS Analysis'!$AA3:$AA1002))/10)*12</f>
        <v>0</v>
      </c>
      <c r="M22" s="2153">
        <f>((SUMIF('OS Analysis'!$B3:$B1002,B22,'OS Analysis'!$Z3:$Z1002))/9)*12</f>
        <v>0</v>
      </c>
      <c r="N22" s="2153">
        <f>((SUMIF('OS Analysis'!$B3:$B1002,B22,'OS Analysis'!$Y3:$Y1002))/8)*12</f>
        <v>0</v>
      </c>
      <c r="O22" s="2153">
        <f>((SUMIF('OS Analysis'!$B3:$B1002,B22,'OS Analysis'!$X3:$X1002))/7)*12</f>
        <v>0</v>
      </c>
      <c r="P22" s="2153">
        <f>((SUMIF('OS Analysis'!$B3:$B1002,B22,'OS Analysis'!$W3:$W1002))/6)*12</f>
        <v>0</v>
      </c>
      <c r="Q22" s="2153">
        <f>((SUMIF('OS Analysis'!$B3:$B1002,B22,'OS Analysis'!$V3:$V1002))/5)*12</f>
        <v>0</v>
      </c>
      <c r="R22" s="2153">
        <f>((SUMIF('OS Analysis'!$B3:$B1002,B22,'OS Analysis'!$U3:$U1002))/4)*12</f>
        <v>0</v>
      </c>
      <c r="S22" s="2153">
        <f>((SUMIF('OS Analysis'!$B3:$B1002,B22,'OS Analysis'!$T3:$T1002))/3)*12</f>
        <v>0</v>
      </c>
      <c r="T22" s="2153">
        <f>((SUMIF('OS Analysis'!$B3:$B1002,B22,'OS Analysis'!$S3:$S1002))/2)*12</f>
        <v>0</v>
      </c>
      <c r="U22" s="2153">
        <f>(SUMIF('OS Analysis'!$B3:$B1002,B22,'OS Analysis'!$R3:$R1002))*12</f>
        <v>0</v>
      </c>
      <c r="V22" s="2154">
        <f>SUMIF('OS Analysis'!$B$3:$B$1002,$B22,'OS Analysis'!$Q$3:$Q$1002)</f>
        <v>0</v>
      </c>
      <c r="W22" s="2148">
        <f t="shared" si="5"/>
        <v>0</v>
      </c>
      <c r="X22" s="2149">
        <f t="shared" si="2"/>
        <v>0</v>
      </c>
      <c r="Y22" s="2148">
        <f>SUMIF('OS Analysis'!$CD3:$CD1002,$B22,'OS Analysis'!$CS3:$CS1002)</f>
        <v>0</v>
      </c>
      <c r="Z22" s="2149">
        <f t="shared" si="2"/>
        <v>0</v>
      </c>
      <c r="AA22" s="2148">
        <f>SUMIF('OS Analysis'!$CU3:$CU1002,$B22,'OS Analysis'!$CW3:$CW1002)</f>
        <v>0</v>
      </c>
      <c r="AB22" s="2149">
        <f t="shared" si="2"/>
        <v>0</v>
      </c>
      <c r="AC22" s="2148">
        <f>SUMIF('OS Analysis'!$CU3:$CU1002,$B22,'OS Analysis'!$CX3:$CX1002)</f>
        <v>0</v>
      </c>
      <c r="AD22" s="2149">
        <f t="shared" si="2"/>
        <v>0</v>
      </c>
      <c r="AE22" s="2148">
        <v>0</v>
      </c>
      <c r="AF22" s="2149">
        <f t="shared" si="2"/>
        <v>0</v>
      </c>
      <c r="AG22" s="2148">
        <v>0</v>
      </c>
      <c r="AH22" s="2149">
        <f t="shared" si="2"/>
        <v>0</v>
      </c>
      <c r="AI22" s="2148">
        <v>0</v>
      </c>
      <c r="AJ22" s="2149">
        <f t="shared" si="2"/>
        <v>0</v>
      </c>
      <c r="AK22" s="2148">
        <f t="shared" si="16"/>
        <v>0</v>
      </c>
      <c r="AL22" s="2149">
        <f t="shared" si="2"/>
        <v>0</v>
      </c>
      <c r="AM22" s="2148">
        <v>0</v>
      </c>
      <c r="AN22" s="2149">
        <f t="shared" si="2"/>
        <v>0</v>
      </c>
      <c r="AO22" s="2157"/>
      <c r="AP22" s="2157"/>
      <c r="AQ22" s="2114" t="str">
        <f t="shared" si="3"/>
        <v>Premiums</v>
      </c>
      <c r="AR22" s="2158">
        <f t="shared" si="17"/>
      </c>
      <c r="AS22" s="2114"/>
      <c r="AT22" s="2169"/>
      <c r="AU22" s="2160"/>
      <c r="AV22" s="2161">
        <f t="shared" si="6"/>
        <v>0</v>
      </c>
      <c r="AW22" s="2151">
        <f>_xlfn.IFERROR((AV22/B3)/12,0)</f>
        <v>0</v>
      </c>
      <c r="AX22" s="2162">
        <v>0</v>
      </c>
      <c r="AY22" s="2163">
        <f>_xlfn.IFERROR((AX22/B3)/12,0)</f>
        <v>0</v>
      </c>
    </row>
    <row r="23" ht="14.25" customHeight="1">
      <c r="A23" s="2114">
        <f t="shared" si="18"/>
        <v>8</v>
      </c>
      <c r="B23" s="2227" t="s">
        <v>1902</v>
      </c>
      <c r="C23" s="866"/>
      <c r="D23" s="2148">
        <f>IF(ISBLANK(D$3),SUMIF('OS Analysis'!$BM3:$BM1002,$B23,'OS Analysis'!$CB3:$CB1002),INDEX($J23:$U23,1,MATCH(D$3,$J$4:$U$4,0)))</f>
        <v>0</v>
      </c>
      <c r="E23" s="2149">
        <f t="shared" si="2"/>
        <v>0</v>
      </c>
      <c r="F23" s="2148">
        <f>IF(ISBLANK(F$3),SUMIF('OS Analysis'!$AV3:$AV1002,$B23,'OS Analysis'!$BK3:$BK1002),INDEX($J23:$U23,1,MATCH(F$3,$J$4:$U$4,0)))</f>
        <v>0</v>
      </c>
      <c r="G23" s="2149">
        <f t="shared" si="2"/>
        <v>0</v>
      </c>
      <c r="H23" s="2148">
        <f>IF(ISBLANK(H$3),SUMIF('OS Analysis'!$AE3:$AE1002,$B23,'OS Analysis'!$AT3:$AT1002),INDEX($J23:$U23,1,MATCH(H$3,$J$4:$U$4,0)))</f>
        <v>0</v>
      </c>
      <c r="I23" s="2149">
        <f t="shared" si="2"/>
        <v>0</v>
      </c>
      <c r="J23" s="2152">
        <f>((SUMIF('OS Analysis'!$B3:$B1002,B23,'OS Analysis'!$AC3:$AC1002))/12)*12</f>
        <v>0</v>
      </c>
      <c r="K23" s="2153">
        <f>((SUMIF('OS Analysis'!$B3:$B1002,B23,'OS Analysis'!$AB3:$AB1002))/11)*12</f>
        <v>0</v>
      </c>
      <c r="L23" s="2153">
        <f>((SUMIF('OS Analysis'!$B3:$B1002,B23,'OS Analysis'!$AA3:$AA1002))/10)*12</f>
        <v>0</v>
      </c>
      <c r="M23" s="2153">
        <f>((SUMIF('OS Analysis'!$B3:$B1002,B23,'OS Analysis'!$Z3:$Z1002))/9)*12</f>
        <v>0</v>
      </c>
      <c r="N23" s="2153">
        <f>((SUMIF('OS Analysis'!$B3:$B1002,B23,'OS Analysis'!$Y3:$Y1002))/8)*12</f>
        <v>0</v>
      </c>
      <c r="O23" s="2153">
        <f>((SUMIF('OS Analysis'!$B3:$B1002,B23,'OS Analysis'!$X3:$X1002))/7)*12</f>
        <v>0</v>
      </c>
      <c r="P23" s="2153">
        <f>((SUMIF('OS Analysis'!$B3:$B1002,B23,'OS Analysis'!$W3:$W1002))/6)*12</f>
        <v>0</v>
      </c>
      <c r="Q23" s="2153">
        <f>((SUMIF('OS Analysis'!$B3:$B1002,B23,'OS Analysis'!$V3:$V1002))/5)*12</f>
        <v>0</v>
      </c>
      <c r="R23" s="2153">
        <f>((SUMIF('OS Analysis'!$B3:$B1002,B23,'OS Analysis'!$U3:$U1002))/4)*12</f>
        <v>0</v>
      </c>
      <c r="S23" s="2153">
        <f>((SUMIF('OS Analysis'!$B3:$B1002,B23,'OS Analysis'!$T3:$T1002))/3)*12</f>
        <v>0</v>
      </c>
      <c r="T23" s="2153">
        <f>((SUMIF('OS Analysis'!$B3:$B1002,B23,'OS Analysis'!$S3:$S1002))/2)*12</f>
        <v>0</v>
      </c>
      <c r="U23" s="2153">
        <f>(SUMIF('OS Analysis'!$B3:$B1002,B23,'OS Analysis'!$R3:$R1002))*12</f>
        <v>0</v>
      </c>
      <c r="V23" s="2154">
        <f>SUMIF('OS Analysis'!$B$3:$B$1002,$B23,'OS Analysis'!$Q$3:$Q$1002)</f>
        <v>0</v>
      </c>
      <c r="W23" s="2148">
        <f t="shared" si="5"/>
        <v>0</v>
      </c>
      <c r="X23" s="2149">
        <f t="shared" si="2"/>
        <v>0</v>
      </c>
      <c r="Y23" s="2148">
        <f>SUMIF('OS Analysis'!$CD3:$CD1002,$B23,'OS Analysis'!$CS3:$CS1002)</f>
        <v>0</v>
      </c>
      <c r="Z23" s="2149">
        <f t="shared" si="2"/>
        <v>0</v>
      </c>
      <c r="AA23" s="2148">
        <f>SUMIF('OS Analysis'!$CU3:$CU1002,$B23,'OS Analysis'!$CW3:$CW1002)</f>
        <v>0</v>
      </c>
      <c r="AB23" s="2149">
        <f t="shared" si="2"/>
        <v>0</v>
      </c>
      <c r="AC23" s="2148">
        <f>SUMIF('OS Analysis'!$CU3:$CU1002,$B23,'OS Analysis'!$CX3:$CX1002)</f>
        <v>0</v>
      </c>
      <c r="AD23" s="2149">
        <f t="shared" si="2"/>
        <v>0</v>
      </c>
      <c r="AE23" s="2148">
        <v>0</v>
      </c>
      <c r="AF23" s="2149">
        <f t="shared" si="2"/>
        <v>0</v>
      </c>
      <c r="AG23" s="2148">
        <v>0</v>
      </c>
      <c r="AH23" s="2149">
        <f t="shared" si="2"/>
        <v>0</v>
      </c>
      <c r="AI23" s="2148">
        <v>0</v>
      </c>
      <c r="AJ23" s="2149">
        <f t="shared" si="2"/>
        <v>0</v>
      </c>
      <c r="AK23" s="2148">
        <f t="shared" si="16"/>
        <v>0</v>
      </c>
      <c r="AL23" s="2149">
        <f t="shared" si="2"/>
        <v>0</v>
      </c>
      <c r="AM23" s="2148">
        <v>0</v>
      </c>
      <c r="AN23" s="2149">
        <f t="shared" si="2"/>
        <v>0</v>
      </c>
      <c r="AO23" s="2157"/>
      <c r="AP23" s="2157"/>
      <c r="AQ23" s="2114" t="str">
        <f t="shared" si="3"/>
        <v>Corporate Prem.</v>
      </c>
      <c r="AR23" s="2158">
        <f t="shared" si="17"/>
      </c>
      <c r="AS23" s="2114"/>
      <c r="AT23" s="2169"/>
      <c r="AU23" s="2160"/>
      <c r="AV23" s="2161">
        <f t="shared" si="6"/>
        <v>0</v>
      </c>
      <c r="AW23" s="2151">
        <f>_xlfn.IFERROR((AV23/#REF!)/12,0)</f>
        <v>0</v>
      </c>
      <c r="AX23" s="2162">
        <v>0</v>
      </c>
      <c r="AY23" s="2163">
        <f>_xlfn.IFERROR((AX23/#REF!)/12,0)</f>
        <v>0</v>
      </c>
    </row>
    <row r="24" ht="12.75" customHeight="1">
      <c r="A24" s="2114">
        <f>IF('SBL Quotes'!$AN$32="Seniors",A23+1,A23)</f>
        <v>8</v>
      </c>
      <c r="B24" s="2228" t="s">
        <v>1903</v>
      </c>
      <c r="C24" s="866"/>
      <c r="D24" s="2148">
        <f>IF(ISBLANK(D$3),SUMIF('OS Analysis'!$BM3:$BM1002,$B24,'OS Analysis'!$CB3:$CB1002),INDEX($J24:$U24,1,MATCH(D$3,$J$4:$U$4,0)))</f>
        <v>0</v>
      </c>
      <c r="E24" s="2149">
        <f t="shared" si="2"/>
        <v>0</v>
      </c>
      <c r="F24" s="2148">
        <f>IF(ISBLANK(F$3),SUMIF('OS Analysis'!$AV3:$AV1002,$B24,'OS Analysis'!$BK3:$BK1002),INDEX($J24:$U24,1,MATCH(F$3,$J$4:$U$4,0)))</f>
        <v>0</v>
      </c>
      <c r="G24" s="2149">
        <f t="shared" si="2"/>
        <v>0</v>
      </c>
      <c r="H24" s="2148">
        <f>IF(ISBLANK(H$3),SUMIF('OS Analysis'!$AE3:$AE1002,$B24,'OS Analysis'!$AT3:$AT1002),INDEX($J24:$U24,1,MATCH(H$3,$J$4:$U$4,0)))</f>
        <v>0</v>
      </c>
      <c r="I24" s="2149">
        <f t="shared" si="2"/>
        <v>0</v>
      </c>
      <c r="J24" s="2152">
        <f>((SUMIF('OS Analysis'!$B3:$B1002,B24,'OS Analysis'!$AC3:$AC1002))/12)*12</f>
        <v>0</v>
      </c>
      <c r="K24" s="2153">
        <f>((SUMIF('OS Analysis'!$B3:$B1002,B24,'OS Analysis'!$AB3:$AB1002))/11)*12</f>
        <v>0</v>
      </c>
      <c r="L24" s="2153">
        <f>((SUMIF('OS Analysis'!$B3:$B1002,B24,'OS Analysis'!$AA3:$AA1002))/10)*12</f>
        <v>0</v>
      </c>
      <c r="M24" s="2153">
        <f>((SUMIF('OS Analysis'!$B3:$B1002,B24,'OS Analysis'!$Z3:$Z1002))/9)*12</f>
        <v>0</v>
      </c>
      <c r="N24" s="2153">
        <f>((SUMIF('OS Analysis'!$B3:$B1002,B24,'OS Analysis'!$Y3:$Y1002))/8)*12</f>
        <v>0</v>
      </c>
      <c r="O24" s="2153">
        <f>((SUMIF('OS Analysis'!$B3:$B1002,B24,'OS Analysis'!$X3:$X1002))/7)*12</f>
        <v>0</v>
      </c>
      <c r="P24" s="2153">
        <f>((SUMIF('OS Analysis'!$B3:$B1002,B24,'OS Analysis'!$W3:$W1002))/6)*12</f>
        <v>0</v>
      </c>
      <c r="Q24" s="2153">
        <f>((SUMIF('OS Analysis'!$B3:$B1002,B24,'OS Analysis'!$V3:$V1002))/5)*12</f>
        <v>0</v>
      </c>
      <c r="R24" s="2153">
        <f>((SUMIF('OS Analysis'!$B3:$B1002,B24,'OS Analysis'!$U3:$U1002))/4)*12</f>
        <v>0</v>
      </c>
      <c r="S24" s="2153">
        <f>((SUMIF('OS Analysis'!$B3:$B1002,B24,'OS Analysis'!$T3:$T1002))/3)*12</f>
        <v>0</v>
      </c>
      <c r="T24" s="2153">
        <f>((SUMIF('OS Analysis'!$B3:$B1002,B24,'OS Analysis'!$S3:$S1002))/2)*12</f>
        <v>0</v>
      </c>
      <c r="U24" s="2153">
        <f>(SUMIF('OS Analysis'!$B3:$B1002,B24,'OS Analysis'!$R3:$R1002))*12</f>
        <v>0</v>
      </c>
      <c r="V24" s="2154">
        <f>SUMIF('OS Analysis'!$B$3:$B$1002,$B24,'OS Analysis'!$Q$3:$Q$1002)</f>
        <v>0</v>
      </c>
      <c r="W24" s="2148">
        <f t="shared" si="5"/>
        <v>0</v>
      </c>
      <c r="X24" s="2149">
        <f t="shared" si="2"/>
        <v>0</v>
      </c>
      <c r="Y24" s="2148">
        <f>SUMIF('OS Analysis'!$CD3:$CD1002,$B24,'OS Analysis'!$CS3:$CS1002)</f>
        <v>0</v>
      </c>
      <c r="Z24" s="2149">
        <f t="shared" si="2"/>
        <v>0</v>
      </c>
      <c r="AA24" s="2148">
        <f>SUMIF('OS Analysis'!$CU3:$CU1002,$B24,'OS Analysis'!$CW3:$CW1002)</f>
        <v>0</v>
      </c>
      <c r="AB24" s="2149">
        <f t="shared" si="2"/>
        <v>0</v>
      </c>
      <c r="AC24" s="2148">
        <f>SUMIF('OS Analysis'!$CU3:$CU1002,$B24,'OS Analysis'!$CX3:$CX1002)</f>
        <v>0</v>
      </c>
      <c r="AD24" s="2149">
        <f t="shared" si="2"/>
        <v>0</v>
      </c>
      <c r="AE24" s="2148">
        <v>0</v>
      </c>
      <c r="AF24" s="2149">
        <f t="shared" si="2"/>
        <v>0</v>
      </c>
      <c r="AG24" s="2148">
        <v>0</v>
      </c>
      <c r="AH24" s="2149">
        <f t="shared" si="2"/>
        <v>0</v>
      </c>
      <c r="AI24" s="2148">
        <v>0</v>
      </c>
      <c r="AJ24" s="2149">
        <f t="shared" si="2"/>
        <v>0</v>
      </c>
      <c r="AK24" s="2148">
        <f t="shared" si="16"/>
        <v>0</v>
      </c>
      <c r="AL24" s="2149">
        <f t="shared" si="2"/>
        <v>0</v>
      </c>
      <c r="AM24" s="2148">
        <v>0</v>
      </c>
      <c r="AN24" s="2149">
        <f t="shared" si="2"/>
        <v>0</v>
      </c>
      <c r="AO24" s="2157"/>
      <c r="AP24" s="2157"/>
      <c r="AQ24" s="2114" t="str">
        <f t="shared" si="3"/>
        <v>Community Fee</v>
      </c>
      <c r="AR24" s="2158" t="s">
        <v>1738</v>
      </c>
      <c r="AS24" s="2114"/>
      <c r="AT24" s="2169"/>
      <c r="AU24" s="2160"/>
      <c r="AV24" s="2161">
        <f t="shared" si="6"/>
        <v>0</v>
      </c>
      <c r="AW24" s="2151">
        <f t="shared" si="21" ref="AW24:AW27">_xlfn.IFERROR((AV24/C5)/12,0)</f>
        <v>0</v>
      </c>
      <c r="AX24" s="2162">
        <v>0</v>
      </c>
      <c r="AY24" s="2163">
        <f t="shared" si="22" ref="AY24:AY27">_xlfn.IFERROR((AX24/C5)/12,0)</f>
        <v>0</v>
      </c>
    </row>
    <row r="25" ht="12.75" customHeight="1">
      <c r="A25" s="2114">
        <f>IF('SBL Quotes'!$AN$32="Seniors",A24+1,A24)</f>
        <v>8</v>
      </c>
      <c r="B25" s="2228" t="s">
        <v>1904</v>
      </c>
      <c r="C25" s="866"/>
      <c r="D25" s="2148">
        <f>IF(ISBLANK(D$3),SUMIF('OS Analysis'!$BM3:$BM1002,$B25,'OS Analysis'!$CB3:$CB1002),INDEX($J25:$U25,1,MATCH(D$3,$J$4:$U$4,0)))</f>
        <v>0</v>
      </c>
      <c r="E25" s="2149">
        <f t="shared" si="2"/>
        <v>0</v>
      </c>
      <c r="F25" s="2148">
        <f>IF(ISBLANK(F$3),SUMIF('OS Analysis'!$AV3:$AV1002,$B25,'OS Analysis'!$BK3:$BK1002),INDEX($J25:$U25,1,MATCH(F$3,$J$4:$U$4,0)))</f>
        <v>0</v>
      </c>
      <c r="G25" s="2149">
        <f t="shared" si="2"/>
        <v>0</v>
      </c>
      <c r="H25" s="2148">
        <f>IF(ISBLANK(H$3),SUMIF('OS Analysis'!$AE3:$AE1002,$B25,'OS Analysis'!$AT3:$AT1002),INDEX($J25:$U25,1,MATCH(H$3,$J$4:$U$4,0)))</f>
        <v>0</v>
      </c>
      <c r="I25" s="2149">
        <f t="shared" si="2"/>
        <v>0</v>
      </c>
      <c r="J25" s="2152">
        <f>((SUMIF('OS Analysis'!$B3:$B1002,B25,'OS Analysis'!$AC3:$AC1002))/12)*12</f>
        <v>0</v>
      </c>
      <c r="K25" s="2153">
        <f>((SUMIF('OS Analysis'!$B3:$B1002,B25,'OS Analysis'!$AB3:$AB1002))/11)*12</f>
        <v>0</v>
      </c>
      <c r="L25" s="2153">
        <f>((SUMIF('OS Analysis'!$B3:$B1002,B25,'OS Analysis'!$AA3:$AA1002))/10)*12</f>
        <v>0</v>
      </c>
      <c r="M25" s="2153">
        <f>((SUMIF('OS Analysis'!$B3:$B1002,B25,'OS Analysis'!$Z3:$Z1002))/9)*12</f>
        <v>0</v>
      </c>
      <c r="N25" s="2153">
        <f>((SUMIF('OS Analysis'!$B3:$B1002,B25,'OS Analysis'!$Y3:$Y1002))/8)*12</f>
        <v>0</v>
      </c>
      <c r="O25" s="2153">
        <f>((SUMIF('OS Analysis'!$B3:$B1002,B25,'OS Analysis'!$X3:$X1002))/7)*12</f>
        <v>0</v>
      </c>
      <c r="P25" s="2153">
        <f>((SUMIF('OS Analysis'!$B3:$B1002,B25,'OS Analysis'!$W3:$W1002))/6)*12</f>
        <v>0</v>
      </c>
      <c r="Q25" s="2153">
        <f>((SUMIF('OS Analysis'!$B3:$B1002,B25,'OS Analysis'!$V3:$V1002))/5)*12</f>
        <v>0</v>
      </c>
      <c r="R25" s="2153">
        <f>((SUMIF('OS Analysis'!$B3:$B1002,B25,'OS Analysis'!$U3:$U1002))/4)*12</f>
        <v>0</v>
      </c>
      <c r="S25" s="2153">
        <f>((SUMIF('OS Analysis'!$B3:$B1002,B25,'OS Analysis'!$T3:$T1002))/3)*12</f>
        <v>0</v>
      </c>
      <c r="T25" s="2153">
        <f>((SUMIF('OS Analysis'!$B3:$B1002,B25,'OS Analysis'!$S3:$S1002))/2)*12</f>
        <v>0</v>
      </c>
      <c r="U25" s="2153">
        <f>(SUMIF('OS Analysis'!$B3:$B1002,B25,'OS Analysis'!$R3:$R1002))*12</f>
        <v>0</v>
      </c>
      <c r="V25" s="2154">
        <f>SUMIF('OS Analysis'!$B$3:$B$1002,$B25,'OS Analysis'!$Q$3:$Q$1002)</f>
        <v>0</v>
      </c>
      <c r="W25" s="2148">
        <f t="shared" si="5"/>
        <v>0</v>
      </c>
      <c r="X25" s="2149">
        <f t="shared" si="2"/>
        <v>0</v>
      </c>
      <c r="Y25" s="2148">
        <f>SUMIF('OS Analysis'!$CD3:$CD1002,$B25,'OS Analysis'!$CS3:$CS1002)</f>
        <v>0</v>
      </c>
      <c r="Z25" s="2149">
        <f t="shared" si="2"/>
        <v>0</v>
      </c>
      <c r="AA25" s="2148">
        <f>SUMIF('OS Analysis'!$CU3:$CU1002,$B25,'OS Analysis'!$CW3:$CW1002)</f>
        <v>0</v>
      </c>
      <c r="AB25" s="2149">
        <f t="shared" si="2"/>
        <v>0</v>
      </c>
      <c r="AC25" s="2148">
        <f>SUMIF('OS Analysis'!$CU3:$CU1002,$B25,'OS Analysis'!$CX3:$CX1002)</f>
        <v>0</v>
      </c>
      <c r="AD25" s="2149">
        <f t="shared" si="2"/>
        <v>0</v>
      </c>
      <c r="AE25" s="2148">
        <v>0</v>
      </c>
      <c r="AF25" s="2149">
        <f t="shared" si="2"/>
        <v>0</v>
      </c>
      <c r="AG25" s="2148">
        <v>0</v>
      </c>
      <c r="AH25" s="2149">
        <f t="shared" si="2"/>
        <v>0</v>
      </c>
      <c r="AI25" s="2148">
        <v>0</v>
      </c>
      <c r="AJ25" s="2149">
        <f t="shared" si="2"/>
        <v>0</v>
      </c>
      <c r="AK25" s="2148">
        <f t="shared" si="16"/>
        <v>0</v>
      </c>
      <c r="AL25" s="2149">
        <f t="shared" si="2"/>
        <v>0</v>
      </c>
      <c r="AM25" s="2148">
        <v>0</v>
      </c>
      <c r="AN25" s="2149">
        <f t="shared" si="2"/>
        <v>0</v>
      </c>
      <c r="AO25" s="2157"/>
      <c r="AP25" s="2157"/>
      <c r="AQ25" s="2114" t="str">
        <f t="shared" si="3"/>
        <v>Second Occupant</v>
      </c>
      <c r="AR25" s="2158" t="s">
        <v>1738</v>
      </c>
      <c r="AS25" s="2114"/>
      <c r="AT25" s="2169"/>
      <c r="AU25" s="2160"/>
      <c r="AV25" s="2161">
        <f t="shared" si="6"/>
        <v>0</v>
      </c>
      <c r="AW25" s="2151">
        <f t="shared" si="21"/>
        <v>0</v>
      </c>
      <c r="AX25" s="2162">
        <v>0</v>
      </c>
      <c r="AY25" s="2163">
        <f t="shared" si="22"/>
        <v>0</v>
      </c>
    </row>
    <row r="26" ht="12.75" customHeight="1">
      <c r="A26" s="2114">
        <f>IF('SBL Quotes'!$AN$32="Seniors",A25+1,A25)</f>
        <v>8</v>
      </c>
      <c r="B26" s="2228" t="s">
        <v>1905</v>
      </c>
      <c r="C26" s="866"/>
      <c r="D26" s="2148">
        <f>IF(ISBLANK(D$3),SUMIF('OS Analysis'!$BM3:$BM1002,$B26,'OS Analysis'!$CB3:$CB1002),INDEX($J26:$U26,1,MATCH(D$3,$J$4:$U$4,0)))</f>
        <v>0</v>
      </c>
      <c r="E26" s="2149">
        <f t="shared" si="2"/>
        <v>0</v>
      </c>
      <c r="F26" s="2148">
        <f>IF(ISBLANK(F$3),SUMIF('OS Analysis'!$AV3:$AV1002,$B26,'OS Analysis'!$BK3:$BK1002),INDEX($J26:$U26,1,MATCH(F$3,$J$4:$U$4,0)))</f>
        <v>0</v>
      </c>
      <c r="G26" s="2149">
        <f t="shared" si="2"/>
        <v>0</v>
      </c>
      <c r="H26" s="2148">
        <f>IF(ISBLANK(H$3),SUMIF('OS Analysis'!$AE3:$AE1002,$B26,'OS Analysis'!$AT3:$AT1002),INDEX($J26:$U26,1,MATCH(H$3,$J$4:$U$4,0)))</f>
        <v>0</v>
      </c>
      <c r="I26" s="2149">
        <f t="shared" si="2"/>
        <v>0</v>
      </c>
      <c r="J26" s="2152">
        <f>((SUMIF('OS Analysis'!$B3:$B1002,B26,'OS Analysis'!$AC3:$AC1002))/12)*12</f>
        <v>0</v>
      </c>
      <c r="K26" s="2153">
        <f>((SUMIF('OS Analysis'!$B3:$B1002,B26,'OS Analysis'!$AB3:$AB1002))/11)*12</f>
        <v>0</v>
      </c>
      <c r="L26" s="2153">
        <f>((SUMIF('OS Analysis'!$B3:$B1002,B26,'OS Analysis'!$AA3:$AA1002))/10)*12</f>
        <v>0</v>
      </c>
      <c r="M26" s="2153">
        <f>((SUMIF('OS Analysis'!$B3:$B1002,B26,'OS Analysis'!$Z3:$Z1002))/9)*12</f>
        <v>0</v>
      </c>
      <c r="N26" s="2153">
        <f>((SUMIF('OS Analysis'!$B3:$B1002,B26,'OS Analysis'!$Y3:$Y1002))/8)*12</f>
        <v>0</v>
      </c>
      <c r="O26" s="2153">
        <f>((SUMIF('OS Analysis'!$B3:$B1002,B26,'OS Analysis'!$X3:$X1002))/7)*12</f>
        <v>0</v>
      </c>
      <c r="P26" s="2153">
        <f>((SUMIF('OS Analysis'!$B3:$B1002,B26,'OS Analysis'!$W3:$W1002))/6)*12</f>
        <v>0</v>
      </c>
      <c r="Q26" s="2153">
        <f>((SUMIF('OS Analysis'!$B3:$B1002,B26,'OS Analysis'!$V3:$V1002))/5)*12</f>
        <v>0</v>
      </c>
      <c r="R26" s="2153">
        <f>((SUMIF('OS Analysis'!$B3:$B1002,B26,'OS Analysis'!$U3:$U1002))/4)*12</f>
        <v>0</v>
      </c>
      <c r="S26" s="2153">
        <f>((SUMIF('OS Analysis'!$B3:$B1002,B26,'OS Analysis'!$T3:$T1002))/3)*12</f>
        <v>0</v>
      </c>
      <c r="T26" s="2153">
        <f>((SUMIF('OS Analysis'!$B3:$B1002,B26,'OS Analysis'!$S3:$S1002))/2)*12</f>
        <v>0</v>
      </c>
      <c r="U26" s="2153">
        <f>(SUMIF('OS Analysis'!$B3:$B1002,B26,'OS Analysis'!$R3:$R1002))*12</f>
        <v>0</v>
      </c>
      <c r="V26" s="2154">
        <f>SUMIF('OS Analysis'!$B$3:$B$1002,$B26,'OS Analysis'!$Q$3:$Q$1002)</f>
        <v>0</v>
      </c>
      <c r="W26" s="2148">
        <f t="shared" si="5"/>
        <v>0</v>
      </c>
      <c r="X26" s="2149">
        <f t="shared" si="2"/>
        <v>0</v>
      </c>
      <c r="Y26" s="2148">
        <f>SUMIF('OS Analysis'!$CD3:$CD1002,$B26,'OS Analysis'!$CS3:$CS1002)</f>
        <v>0</v>
      </c>
      <c r="Z26" s="2149">
        <f t="shared" si="2"/>
        <v>0</v>
      </c>
      <c r="AA26" s="2148">
        <f>SUMIF('OS Analysis'!$CU3:$CU1002,$B26,'OS Analysis'!$CW3:$CW1002)</f>
        <v>0</v>
      </c>
      <c r="AB26" s="2149">
        <f t="shared" si="2"/>
        <v>0</v>
      </c>
      <c r="AC26" s="2148">
        <f>SUMIF('OS Analysis'!$CU3:$CU1002,$B26,'OS Analysis'!$CX3:$CX1002)</f>
        <v>0</v>
      </c>
      <c r="AD26" s="2149">
        <f t="shared" si="2"/>
        <v>0</v>
      </c>
      <c r="AE26" s="2148">
        <v>0</v>
      </c>
      <c r="AF26" s="2149">
        <f t="shared" si="2"/>
        <v>0</v>
      </c>
      <c r="AG26" s="2148">
        <v>0</v>
      </c>
      <c r="AH26" s="2149">
        <f t="shared" si="2"/>
        <v>0</v>
      </c>
      <c r="AI26" s="2148">
        <v>0</v>
      </c>
      <c r="AJ26" s="2149">
        <f t="shared" si="2"/>
        <v>0</v>
      </c>
      <c r="AK26" s="2148">
        <f t="shared" si="16"/>
        <v>0</v>
      </c>
      <c r="AL26" s="2149">
        <f t="shared" si="2"/>
        <v>0</v>
      </c>
      <c r="AM26" s="2148">
        <v>0</v>
      </c>
      <c r="AN26" s="2149">
        <f t="shared" si="2"/>
        <v>0</v>
      </c>
      <c r="AO26" s="2157"/>
      <c r="AP26" s="2157"/>
      <c r="AQ26" s="2114" t="str">
        <f t="shared" si="3"/>
        <v>Respite Care</v>
      </c>
      <c r="AR26" s="2158" t="s">
        <v>1738</v>
      </c>
      <c r="AS26" s="2114"/>
      <c r="AT26" s="2169"/>
      <c r="AU26" s="2160"/>
      <c r="AV26" s="2161">
        <f t="shared" si="6"/>
        <v>0</v>
      </c>
      <c r="AW26" s="2151">
        <f t="shared" si="21"/>
        <v>0</v>
      </c>
      <c r="AX26" s="2162">
        <v>0</v>
      </c>
      <c r="AY26" s="2163">
        <f t="shared" si="22"/>
        <v>0</v>
      </c>
    </row>
    <row r="27" ht="12.75" customHeight="1">
      <c r="A27" s="2114">
        <f>IF('SBL Quotes'!$AN$32="Seniors",A26+1,A26)</f>
        <v>8</v>
      </c>
      <c r="B27" s="2228" t="s">
        <v>1906</v>
      </c>
      <c r="C27" s="866"/>
      <c r="D27" s="2148">
        <f>IF(ISBLANK(D$3),SUMIF('OS Analysis'!$BM3:$BM1002,$B27,'OS Analysis'!$CB3:$CB1002),INDEX($J27:$U27,1,MATCH(D$3,$J$4:$U$4,0)))</f>
        <v>0</v>
      </c>
      <c r="E27" s="2149">
        <f t="shared" si="2"/>
        <v>0</v>
      </c>
      <c r="F27" s="2148">
        <f>IF(ISBLANK(F$3),SUMIF('OS Analysis'!$AV3:$AV1002,$B27,'OS Analysis'!$BK3:$BK1002),INDEX($J27:$U27,1,MATCH(F$3,$J$4:$U$4,0)))</f>
        <v>0</v>
      </c>
      <c r="G27" s="2149">
        <f t="shared" si="2"/>
        <v>0</v>
      </c>
      <c r="H27" s="2148">
        <f>IF(ISBLANK(H$3),SUMIF('OS Analysis'!$AE3:$AE1002,$B27,'OS Analysis'!$AT3:$AT1002),INDEX($J27:$U27,1,MATCH(H$3,$J$4:$U$4,0)))</f>
        <v>0</v>
      </c>
      <c r="I27" s="2149">
        <f t="shared" si="2"/>
        <v>0</v>
      </c>
      <c r="J27" s="2152">
        <f>((SUMIF('OS Analysis'!$B3:$B1002,B27,'OS Analysis'!$AC3:$AC1002))/12)*12</f>
        <v>0</v>
      </c>
      <c r="K27" s="2153">
        <f>((SUMIF('OS Analysis'!$B3:$B1002,B27,'OS Analysis'!$AB3:$AB1002))/11)*12</f>
        <v>0</v>
      </c>
      <c r="L27" s="2153">
        <f>((SUMIF('OS Analysis'!$B3:$B1002,B27,'OS Analysis'!$AA3:$AA1002))/10)*12</f>
        <v>0</v>
      </c>
      <c r="M27" s="2153">
        <f>((SUMIF('OS Analysis'!$B3:$B1002,B27,'OS Analysis'!$Z3:$Z1002))/9)*12</f>
        <v>0</v>
      </c>
      <c r="N27" s="2153">
        <f>((SUMIF('OS Analysis'!$B3:$B1002,B27,'OS Analysis'!$Y3:$Y1002))/8)*12</f>
        <v>0</v>
      </c>
      <c r="O27" s="2153">
        <f>((SUMIF('OS Analysis'!$B3:$B1002,B27,'OS Analysis'!$X3:$X1002))/7)*12</f>
        <v>0</v>
      </c>
      <c r="P27" s="2153">
        <f>((SUMIF('OS Analysis'!$B3:$B1002,B27,'OS Analysis'!$W3:$W1002))/6)*12</f>
        <v>0</v>
      </c>
      <c r="Q27" s="2153">
        <f>((SUMIF('OS Analysis'!$B3:$B1002,B27,'OS Analysis'!$V3:$V1002))/5)*12</f>
        <v>0</v>
      </c>
      <c r="R27" s="2153">
        <f>((SUMIF('OS Analysis'!$B3:$B1002,B27,'OS Analysis'!$U3:$U1002))/4)*12</f>
        <v>0</v>
      </c>
      <c r="S27" s="2153">
        <f>((SUMIF('OS Analysis'!$B3:$B1002,B27,'OS Analysis'!$T3:$T1002))/3)*12</f>
        <v>0</v>
      </c>
      <c r="T27" s="2153">
        <f>((SUMIF('OS Analysis'!$B3:$B1002,B27,'OS Analysis'!$S3:$S1002))/2)*12</f>
        <v>0</v>
      </c>
      <c r="U27" s="2153">
        <f>(SUMIF('OS Analysis'!$B3:$B1002,B27,'OS Analysis'!$R3:$R1002))*12</f>
        <v>0</v>
      </c>
      <c r="V27" s="2154">
        <f>SUMIF('OS Analysis'!$B$3:$B$1002,$B27,'OS Analysis'!$Q$3:$Q$1002)</f>
        <v>0</v>
      </c>
      <c r="W27" s="2148">
        <f t="shared" si="5"/>
        <v>0</v>
      </c>
      <c r="X27" s="2149">
        <f t="shared" si="2"/>
        <v>0</v>
      </c>
      <c r="Y27" s="2148">
        <f>SUMIF('OS Analysis'!$CD3:$CD1002,$B27,'OS Analysis'!$CS3:$CS1002)</f>
        <v>0</v>
      </c>
      <c r="Z27" s="2149">
        <f t="shared" si="2"/>
        <v>0</v>
      </c>
      <c r="AA27" s="2148">
        <f>SUMIF('OS Analysis'!$CU3:$CU1002,$B27,'OS Analysis'!$CW3:$CW1002)</f>
        <v>0</v>
      </c>
      <c r="AB27" s="2149">
        <f t="shared" si="2"/>
        <v>0</v>
      </c>
      <c r="AC27" s="2148">
        <f>SUMIF('OS Analysis'!$CU3:$CU1002,$B27,'OS Analysis'!$CX3:$CX1002)</f>
        <v>0</v>
      </c>
      <c r="AD27" s="2149">
        <f t="shared" si="2"/>
        <v>0</v>
      </c>
      <c r="AE27" s="2148">
        <v>0</v>
      </c>
      <c r="AF27" s="2149">
        <f t="shared" si="2"/>
        <v>0</v>
      </c>
      <c r="AG27" s="2148">
        <v>0</v>
      </c>
      <c r="AH27" s="2149">
        <f t="shared" si="2"/>
        <v>0</v>
      </c>
      <c r="AI27" s="2148">
        <v>0</v>
      </c>
      <c r="AJ27" s="2149">
        <f t="shared" si="2"/>
        <v>0</v>
      </c>
      <c r="AK27" s="2148">
        <f t="shared" si="16"/>
        <v>0</v>
      </c>
      <c r="AL27" s="2149">
        <f t="shared" si="2"/>
        <v>0</v>
      </c>
      <c r="AM27" s="2148">
        <v>0</v>
      </c>
      <c r="AN27" s="2149">
        <f t="shared" si="2"/>
        <v>0</v>
      </c>
      <c r="AO27" s="2157"/>
      <c r="AP27" s="2157"/>
      <c r="AQ27" s="2114" t="str">
        <f t="shared" si="3"/>
        <v>Support Plans (AL/ALZ)</v>
      </c>
      <c r="AR27" s="2158" t="s">
        <v>1738</v>
      </c>
      <c r="AS27" s="2114"/>
      <c r="AT27" s="2169"/>
      <c r="AU27" s="2160"/>
      <c r="AV27" s="2161">
        <f t="shared" si="6"/>
        <v>0</v>
      </c>
      <c r="AW27" s="2151">
        <f t="shared" si="21"/>
        <v>0</v>
      </c>
      <c r="AX27" s="2162">
        <v>0</v>
      </c>
      <c r="AY27" s="2163">
        <f t="shared" si="22"/>
        <v>0</v>
      </c>
    </row>
    <row r="28" ht="14.25" customHeight="1">
      <c r="A28" s="2114">
        <f t="shared" si="18"/>
        <v>9</v>
      </c>
      <c r="B28" s="2229" t="s">
        <v>1907</v>
      </c>
      <c r="C28" s="866"/>
      <c r="D28" s="2148">
        <f>IF(ISBLANK(D$3),SUMIF('OS Analysis'!$BM3:$BM1002,$B28,'OS Analysis'!$CB3:$CB1002),INDEX($J28:$U28,1,MATCH(D$3,$J$4:$U$4,0)))</f>
        <v>0</v>
      </c>
      <c r="E28" s="2149">
        <f t="shared" si="2"/>
        <v>0</v>
      </c>
      <c r="F28" s="2148">
        <f>IF(ISBLANK(F$3),SUMIF('OS Analysis'!$AV3:$AV1002,$B28,'OS Analysis'!$BK3:$BK1002),INDEX($J28:$U28,1,MATCH(F$3,$J$4:$U$4,0)))</f>
        <v>0</v>
      </c>
      <c r="G28" s="2149">
        <f t="shared" si="2"/>
        <v>0</v>
      </c>
      <c r="H28" s="2148">
        <f>IF(ISBLANK(H$3),SUMIF('OS Analysis'!$AE3:$AE1002,$B28,'OS Analysis'!$AT3:$AT1002),INDEX($J28:$U28,1,MATCH(H$3,$J$4:$U$4,0)))</f>
        <v>0</v>
      </c>
      <c r="I28" s="2149">
        <f t="shared" si="2"/>
        <v>0</v>
      </c>
      <c r="J28" s="2152">
        <f>((SUMIF('OS Analysis'!$B3:$B1002,B28,'OS Analysis'!$AC3:$AC1002))/12)*12</f>
        <v>0</v>
      </c>
      <c r="K28" s="2153">
        <f>((SUMIF('OS Analysis'!$B3:$B1002,B28,'OS Analysis'!$AB3:$AB1002))/11)*12</f>
        <v>0</v>
      </c>
      <c r="L28" s="2153">
        <f>((SUMIF('OS Analysis'!$B3:$B1002,B28,'OS Analysis'!$AA3:$AA1002))/10)*12</f>
        <v>0</v>
      </c>
      <c r="M28" s="2153">
        <f>((SUMIF('OS Analysis'!$B3:$B1002,B28,'OS Analysis'!$Z3:$Z1002))/9)*12</f>
        <v>0</v>
      </c>
      <c r="N28" s="2153">
        <f>((SUMIF('OS Analysis'!$B3:$B1002,B28,'OS Analysis'!$Y3:$Y1002))/8)*12</f>
        <v>0</v>
      </c>
      <c r="O28" s="2153">
        <f>((SUMIF('OS Analysis'!$B3:$B1002,B28,'OS Analysis'!$X3:$X1002))/7)*12</f>
        <v>0</v>
      </c>
      <c r="P28" s="2153">
        <f>((SUMIF('OS Analysis'!$B3:$B1002,B28,'OS Analysis'!$W3:$W1002))/6)*12</f>
        <v>0</v>
      </c>
      <c r="Q28" s="2153">
        <f>((SUMIF('OS Analysis'!$B3:$B1002,B28,'OS Analysis'!$V3:$V1002))/5)*12</f>
        <v>0</v>
      </c>
      <c r="R28" s="2153">
        <f>((SUMIF('OS Analysis'!$B3:$B1002,B28,'OS Analysis'!$U3:$U1002))/4)*12</f>
        <v>0</v>
      </c>
      <c r="S28" s="2153">
        <f>((SUMIF('OS Analysis'!$B3:$B1002,B28,'OS Analysis'!$T3:$T1002))/3)*12</f>
        <v>0</v>
      </c>
      <c r="T28" s="2153">
        <f>((SUMIF('OS Analysis'!$B3:$B1002,B28,'OS Analysis'!$S3:$S1002))/2)*12</f>
        <v>0</v>
      </c>
      <c r="U28" s="2153">
        <f>(SUMIF('OS Analysis'!$B3:$B1002,B28,'OS Analysis'!$R3:$R1002))*12</f>
        <v>0</v>
      </c>
      <c r="V28" s="2154">
        <f>SUMIF('OS Analysis'!$B$3:$B$1002,$B28,'OS Analysis'!$Q$3:$Q$1002)</f>
        <v>0</v>
      </c>
      <c r="W28" s="2148">
        <f t="shared" si="5"/>
        <v>0</v>
      </c>
      <c r="X28" s="2149">
        <f t="shared" si="2"/>
        <v>0</v>
      </c>
      <c r="Y28" s="2148">
        <f>SUMIF('OS Analysis'!$CD3:$CD1002,$B28,'OS Analysis'!$CS3:$CS1002)</f>
        <v>0</v>
      </c>
      <c r="Z28" s="2149">
        <f t="shared" si="2"/>
        <v>0</v>
      </c>
      <c r="AA28" s="2148">
        <f>SUMIF('OS Analysis'!$CU3:$CU1002,$B28,'OS Analysis'!$CW3:$CW1002)</f>
        <v>0</v>
      </c>
      <c r="AB28" s="2149">
        <f t="shared" si="2"/>
        <v>0</v>
      </c>
      <c r="AC28" s="2148">
        <f>SUMIF('OS Analysis'!$CU3:$CU1002,$B28,'OS Analysis'!$CX3:$CX1002)</f>
        <v>0</v>
      </c>
      <c r="AD28" s="2149">
        <f t="shared" si="2"/>
        <v>0</v>
      </c>
      <c r="AE28" s="2148">
        <v>0</v>
      </c>
      <c r="AF28" s="2149">
        <f t="shared" si="2"/>
        <v>0</v>
      </c>
      <c r="AG28" s="2148">
        <v>0</v>
      </c>
      <c r="AH28" s="2149">
        <f t="shared" si="2"/>
        <v>0</v>
      </c>
      <c r="AI28" s="2148">
        <v>0</v>
      </c>
      <c r="AJ28" s="2149">
        <f t="shared" si="2"/>
        <v>0</v>
      </c>
      <c r="AK28" s="2148">
        <v>0</v>
      </c>
      <c r="AL28" s="2149">
        <f t="shared" si="2"/>
        <v>0</v>
      </c>
      <c r="AM28" s="2148">
        <v>0</v>
      </c>
      <c r="AN28" s="2149">
        <f t="shared" si="2"/>
        <v>0</v>
      </c>
      <c r="AO28" s="2157"/>
      <c r="AP28" s="2157"/>
      <c r="AQ28" s="2114" t="str">
        <f t="shared" si="3"/>
        <v>Unallowable</v>
      </c>
      <c r="AR28" s="2158" t="s">
        <v>1908</v>
      </c>
      <c r="AS28" s="2114"/>
      <c r="AT28" s="2169"/>
      <c r="AU28" s="2160"/>
      <c r="AV28" s="2161">
        <f t="shared" si="6"/>
        <v>0</v>
      </c>
      <c r="AW28" s="2151">
        <f>_xlfn.IFERROR((AV28/V1)/12,0)</f>
        <v>0</v>
      </c>
      <c r="AX28" s="2162">
        <v>0</v>
      </c>
      <c r="AY28" s="2163">
        <f>_xlfn.IFERROR((AX28/V1)/12,0)</f>
        <v>0</v>
      </c>
    </row>
    <row r="29" ht="15" customHeight="1">
      <c r="A29" s="2114"/>
      <c r="B29" s="2229"/>
      <c r="C29" s="866"/>
      <c r="D29" s="2148"/>
      <c r="E29" s="2149"/>
      <c r="F29" s="2148"/>
      <c r="G29" s="2149"/>
      <c r="H29" s="2148"/>
      <c r="I29" s="2149"/>
      <c r="J29" s="2152"/>
      <c r="K29" s="2153"/>
      <c r="L29" s="2153"/>
      <c r="M29" s="2153"/>
      <c r="N29" s="2153"/>
      <c r="O29" s="2153"/>
      <c r="P29" s="2153"/>
      <c r="Q29" s="2153"/>
      <c r="R29" s="2153"/>
      <c r="S29" s="2153"/>
      <c r="T29" s="2153"/>
      <c r="U29" s="2153"/>
      <c r="V29" s="2154"/>
      <c r="W29" s="2148"/>
      <c r="X29" s="2149"/>
      <c r="Y29" s="2148"/>
      <c r="Z29" s="2149"/>
      <c r="AA29" s="2148"/>
      <c r="AB29" s="2149"/>
      <c r="AC29" s="2148"/>
      <c r="AD29" s="2149"/>
      <c r="AE29" s="2148"/>
      <c r="AF29" s="2149"/>
      <c r="AG29" s="2148"/>
      <c r="AH29" s="2149"/>
      <c r="AI29" s="2148"/>
      <c r="AJ29" s="2149"/>
      <c r="AK29" s="2148"/>
      <c r="AL29" s="2149"/>
      <c r="AM29" s="2148"/>
      <c r="AN29" s="2149"/>
      <c r="AO29" s="2157"/>
      <c r="AP29" s="2157"/>
      <c r="AQ29" s="2114"/>
      <c r="AR29" s="2158"/>
      <c r="AS29" s="2114"/>
      <c r="AT29" s="2169"/>
      <c r="AU29" s="2160"/>
      <c r="AV29" s="2162"/>
      <c r="AW29" s="2151"/>
      <c r="AX29" s="2162"/>
      <c r="AY29" s="2163"/>
    </row>
    <row r="30" ht="15" customHeight="1">
      <c r="A30" s="2114"/>
      <c r="B30" s="2230" t="s">
        <v>1409</v>
      </c>
      <c r="C30" s="2185"/>
      <c r="D30" s="2186">
        <v>0</v>
      </c>
      <c r="E30" s="2187">
        <f t="shared" si="2"/>
        <v>0</v>
      </c>
      <c r="F30" s="2186">
        <f t="shared" si="23" ref="F30:AM30">F9+SUM(F12:F27)</f>
        <v>0</v>
      </c>
      <c r="G30" s="2187">
        <f t="shared" si="2"/>
        <v>0</v>
      </c>
      <c r="H30" s="2186">
        <f t="shared" si="23"/>
        <v>0</v>
      </c>
      <c r="I30" s="2187">
        <f t="shared" si="2"/>
        <v>0</v>
      </c>
      <c r="J30" s="2189">
        <f t="shared" si="23"/>
        <v>4591082</v>
      </c>
      <c r="K30" s="2192">
        <f t="shared" si="23"/>
        <v>4579577.454545454</v>
      </c>
      <c r="L30" s="2192">
        <f t="shared" si="23"/>
        <v>4578546</v>
      </c>
      <c r="M30" s="2192">
        <f t="shared" si="23"/>
        <v>4609536</v>
      </c>
      <c r="N30" s="2192">
        <f t="shared" si="23"/>
        <v>4628344.5</v>
      </c>
      <c r="O30" s="2192">
        <f t="shared" si="23"/>
        <v>4632622.285714286</v>
      </c>
      <c r="P30" s="2192">
        <f t="shared" si="23"/>
        <v>4686538</v>
      </c>
      <c r="Q30" s="2192">
        <f t="shared" si="23"/>
        <v>4735466.4</v>
      </c>
      <c r="R30" s="2192">
        <f t="shared" si="23"/>
        <v>4740597</v>
      </c>
      <c r="S30" s="2192">
        <f t="shared" si="23"/>
        <v>4699944</v>
      </c>
      <c r="T30" s="2192">
        <f t="shared" si="23"/>
        <v>4714008</v>
      </c>
      <c r="U30" s="2192">
        <f t="shared" si="23"/>
        <v>4607052</v>
      </c>
      <c r="V30" s="2192">
        <f t="shared" si="23"/>
        <v>4591082</v>
      </c>
      <c r="W30" s="2186">
        <f t="shared" si="23"/>
        <v>4591082</v>
      </c>
      <c r="X30" s="2187">
        <f t="shared" si="2"/>
        <v>3788.0214521452144</v>
      </c>
      <c r="Y30" s="2186">
        <f t="shared" si="23"/>
        <v>0</v>
      </c>
      <c r="Z30" s="2187">
        <f t="shared" si="2"/>
        <v>0</v>
      </c>
      <c r="AA30" s="2186">
        <f t="shared" si="23"/>
        <v>0</v>
      </c>
      <c r="AB30" s="2187">
        <f t="shared" si="2"/>
        <v>0</v>
      </c>
      <c r="AC30" s="2186">
        <f t="shared" si="23"/>
        <v>0</v>
      </c>
      <c r="AD30" s="2187">
        <f t="shared" si="2"/>
        <v>0</v>
      </c>
      <c r="AE30" s="2186">
        <f t="shared" si="23"/>
        <v>0</v>
      </c>
      <c r="AF30" s="2187">
        <f t="shared" si="2"/>
        <v>0</v>
      </c>
      <c r="AG30" s="2186">
        <f t="shared" si="23"/>
        <v>0</v>
      </c>
      <c r="AH30" s="2187">
        <f t="shared" si="2"/>
        <v>0</v>
      </c>
      <c r="AI30" s="2186">
        <f t="shared" si="23"/>
        <v>0</v>
      </c>
      <c r="AJ30" s="2187">
        <f t="shared" si="2"/>
        <v>0</v>
      </c>
      <c r="AK30" s="2186">
        <f t="shared" si="23"/>
        <v>1109838</v>
      </c>
      <c r="AL30" s="2187">
        <f t="shared" si="2"/>
        <v>915.7079207920792</v>
      </c>
      <c r="AM30" s="2186">
        <f t="shared" si="23"/>
        <v>0</v>
      </c>
      <c r="AN30" s="2187">
        <f t="shared" si="2"/>
        <v>0</v>
      </c>
      <c r="AO30" s="2157"/>
      <c r="AP30" s="2157"/>
      <c r="AQ30" s="2114" t="str">
        <f t="shared" si="3"/>
        <v>EGI</v>
      </c>
      <c r="AR30" s="2193"/>
      <c r="AS30" s="2114"/>
      <c r="AT30" s="2169"/>
      <c r="AU30" s="2160"/>
      <c r="AV30" s="2231">
        <f t="shared" si="24" ref="AV30:AX30">SUM(AV9:AV27)</f>
        <v>0</v>
      </c>
      <c r="AW30" s="2232">
        <f>_xlfn.IFERROR((AV30/V1)/12,0)</f>
        <v>0</v>
      </c>
      <c r="AX30" s="2231">
        <f t="shared" si="24"/>
        <v>0</v>
      </c>
      <c r="AY30" s="2233">
        <f>_xlfn.IFERROR((AX30/V1)/12,0)</f>
        <v>0</v>
      </c>
    </row>
    <row r="31" ht="15" customHeight="1">
      <c r="A31" s="2114"/>
      <c r="B31" s="2114"/>
      <c r="C31" s="2114"/>
      <c r="D31" s="2109"/>
      <c r="E31" s="2109"/>
      <c r="F31" s="2109"/>
      <c r="G31" s="2109"/>
      <c r="H31" s="2109"/>
      <c r="I31" s="2109"/>
      <c r="J31" s="2234"/>
      <c r="K31" s="2234"/>
      <c r="L31" s="2234"/>
      <c r="M31" s="2234"/>
      <c r="N31" s="2234"/>
      <c r="O31" s="2234"/>
      <c r="P31" s="2234"/>
      <c r="Q31" s="2234"/>
      <c r="R31" s="2234"/>
      <c r="S31" s="2234"/>
      <c r="T31" s="2234"/>
      <c r="U31" s="2234"/>
      <c r="V31" s="2109"/>
      <c r="W31" s="2109"/>
      <c r="X31" s="2109"/>
      <c r="Y31" s="2109"/>
      <c r="Z31" s="2109"/>
      <c r="AA31" s="2109"/>
      <c r="AB31" s="2109"/>
      <c r="AC31" s="2109"/>
      <c r="AD31" s="2109"/>
      <c r="AE31" s="2151"/>
      <c r="AF31" s="2109"/>
      <c r="AG31" s="2151"/>
      <c r="AH31" s="2109"/>
      <c r="AI31" s="2151"/>
      <c r="AJ31" s="2109"/>
      <c r="AK31" s="2109"/>
      <c r="AL31" s="2109"/>
      <c r="AM31" s="2114"/>
      <c r="AN31" s="2114"/>
      <c r="AO31" s="2114"/>
      <c r="AP31" s="2114"/>
      <c r="AQ31" s="2114"/>
      <c r="AR31" s="2235"/>
      <c r="AS31" s="2114"/>
      <c r="AT31" s="2169"/>
      <c r="AU31" s="2160"/>
      <c r="AV31" s="2236"/>
      <c r="AW31" s="2237"/>
      <c r="AX31" s="2236"/>
      <c r="AY31" s="2237"/>
    </row>
    <row r="32" ht="15" customHeight="1">
      <c r="A32" s="2114"/>
      <c r="B32" s="2238" t="s">
        <v>1809</v>
      </c>
      <c r="C32" s="2239"/>
      <c r="D32" s="2240"/>
      <c r="E32" s="2241" t="s">
        <v>1774</v>
      </c>
      <c r="F32" s="2240"/>
      <c r="G32" s="2241" t="s">
        <v>1774</v>
      </c>
      <c r="H32" s="2240"/>
      <c r="I32" s="2241" t="s">
        <v>1774</v>
      </c>
      <c r="J32" s="2242"/>
      <c r="K32" s="2243"/>
      <c r="L32" s="2243"/>
      <c r="M32" s="2243"/>
      <c r="N32" s="2243"/>
      <c r="O32" s="2243"/>
      <c r="P32" s="2243"/>
      <c r="Q32" s="2243"/>
      <c r="R32" s="2243"/>
      <c r="S32" s="2243"/>
      <c r="T32" s="2243"/>
      <c r="U32" s="2243"/>
      <c r="V32" s="2244"/>
      <c r="W32" s="2240"/>
      <c r="X32" s="2241" t="s">
        <v>1774</v>
      </c>
      <c r="Y32" s="2240"/>
      <c r="Z32" s="2241" t="s">
        <v>1774</v>
      </c>
      <c r="AA32" s="2240"/>
      <c r="AB32" s="2241" t="s">
        <v>1774</v>
      </c>
      <c r="AC32" s="2240"/>
      <c r="AD32" s="2241" t="s">
        <v>1774</v>
      </c>
      <c r="AE32" s="2240"/>
      <c r="AF32" s="2241" t="s">
        <v>1774</v>
      </c>
      <c r="AG32" s="2240"/>
      <c r="AH32" s="2241" t="s">
        <v>1774</v>
      </c>
      <c r="AI32" s="2240"/>
      <c r="AJ32" s="2241" t="s">
        <v>1774</v>
      </c>
      <c r="AK32" s="2245">
        <v>1.03</v>
      </c>
      <c r="AL32" s="2241" t="s">
        <v>1774</v>
      </c>
      <c r="AM32" s="2240"/>
      <c r="AN32" s="2241" t="s">
        <v>1774</v>
      </c>
      <c r="AO32" s="2113"/>
      <c r="AP32" s="2113"/>
      <c r="AQ32" s="2114" t="str">
        <f t="shared" si="3"/>
        <v>FIXED EXPENSES</v>
      </c>
      <c r="AR32" s="2246"/>
      <c r="AS32" s="2114"/>
      <c r="AT32" s="2169"/>
      <c r="AU32" s="2160"/>
      <c r="AV32" s="2247"/>
      <c r="AW32" s="2248" t="s">
        <v>1774</v>
      </c>
      <c r="AX32" s="2247"/>
      <c r="AY32" s="2248" t="s">
        <v>1774</v>
      </c>
    </row>
    <row r="33" ht="14.25" customHeight="1">
      <c r="A33" s="2114">
        <v>1</v>
      </c>
      <c r="B33" s="2114" t="s">
        <v>1800</v>
      </c>
      <c r="C33" s="2114"/>
      <c r="D33" s="2148">
        <f>IF(ISBLANK(D$3),SUMIF('OS Analysis'!$BM3:$BM1002,$B33,'OS Analysis'!$CB3:$CB1002),INDEX($J33:$U33,1,MATCH(D$3,$J$4:$U$4,0)))</f>
        <v>0</v>
      </c>
      <c r="E33" s="2149">
        <f t="shared" si="25" ref="E33:AN79">ROUND(IF(D33=0,0,(D33)/$V$1),0)</f>
        <v>0</v>
      </c>
      <c r="F33" s="2148">
        <f>IF(ISBLANK(F$3),SUMIF('OS Analysis'!$AV3:$AV1002,$B33,'OS Analysis'!$BK3:$BK1002),INDEX($J33:$U33,1,MATCH(F$3,$J$4:$U$4,0)))</f>
        <v>0</v>
      </c>
      <c r="G33" s="2149">
        <f t="shared" si="25"/>
        <v>0</v>
      </c>
      <c r="H33" s="2148">
        <f>IF(ISBLANK(H$3),SUMIF('OS Analysis'!$AE3:$AE1002,$B33,'OS Analysis'!$AT3:$AT1002),INDEX($J33:$U33,1,MATCH(H$3,$J$4:$U$4,0)))</f>
        <v>0</v>
      </c>
      <c r="I33" s="2149">
        <f t="shared" si="25"/>
        <v>0</v>
      </c>
      <c r="J33" s="2153">
        <f>((SUMIF('OS Analysis'!$B3:$B1002,B33,'OS Analysis'!$AC3:$AC1002))/12)*12</f>
        <v>1006197</v>
      </c>
      <c r="K33" s="2249">
        <f>((SUMIF('OS Analysis'!$B3:$B1002,B33,'OS Analysis'!$AB3:$AB1002))/11)*12</f>
        <v>1003195.6363636365</v>
      </c>
      <c r="L33" s="2249">
        <f>((SUMIF('OS Analysis'!$B3:$B1002,B33,'OS Analysis'!$AA3:$AA1002))/10)*12</f>
        <v>999962.3999999999</v>
      </c>
      <c r="M33" s="2249">
        <f>((SUMIF('OS Analysis'!$B3:$B1002,B33,'OS Analysis'!$Z3:$Z1002))/9)*12</f>
        <v>994116</v>
      </c>
      <c r="N33" s="2249">
        <f>((SUMIF('OS Analysis'!$B3:$B1002,B33,'OS Analysis'!$Y3:$Y1002))/8)*12</f>
        <v>991563</v>
      </c>
      <c r="O33" s="2249">
        <f>((SUMIF('OS Analysis'!$B3:$B1002,B33,'OS Analysis'!$X3:$X1002))/7)*12</f>
        <v>981183.4285714285</v>
      </c>
      <c r="P33" s="2249">
        <f>((SUMIF('OS Analysis'!$B3:$B1002,B33,'OS Analysis'!$W3:$W1002))/6)*12</f>
        <v>981090</v>
      </c>
      <c r="Q33" s="2249">
        <f>((SUMIF('OS Analysis'!$B3:$B1002,B33,'OS Analysis'!$V3:$V1002))/5)*12</f>
        <v>971757.6000000001</v>
      </c>
      <c r="R33" s="2249">
        <f>((SUMIF('OS Analysis'!$B3:$B1002,B33,'OS Analysis'!$U3:$U1002))/4)*12</f>
        <v>1061562</v>
      </c>
      <c r="S33" s="2249">
        <f>((SUMIF('OS Analysis'!$B3:$B1002,B33,'OS Analysis'!$T3:$T1002))/3)*12</f>
        <v>1060564</v>
      </c>
      <c r="T33" s="2249">
        <f>((SUMIF('OS Analysis'!$B3:$B1002,B33,'OS Analysis'!$S3:$S1002))/2)*12</f>
        <v>1078668</v>
      </c>
      <c r="U33" s="2249">
        <f>(SUMIF('OS Analysis'!$B3:$B1002,B33,'OS Analysis'!$R3:$R1002))*12</f>
        <v>1079340</v>
      </c>
      <c r="V33" s="2150">
        <f>SUMIF('OS Analysis'!$B$3:$B$1002,$B33,'OS Analysis'!$Q$3:$Q$1002)</f>
        <v>1006197</v>
      </c>
      <c r="W33" s="2148">
        <f t="shared" si="5"/>
        <v>1006197</v>
      </c>
      <c r="X33" s="2149">
        <f t="shared" si="25"/>
        <v>9962</v>
      </c>
      <c r="Y33" s="2148">
        <f>SUMIF('OS Analysis'!$CD3:$CD1002,$B33,'OS Analysis'!$CS3:$CS1002)</f>
        <v>0</v>
      </c>
      <c r="Z33" s="2149">
        <f t="shared" si="25"/>
        <v>0</v>
      </c>
      <c r="AA33" s="2148">
        <f>SUMIF('OS Analysis'!$CU3:$CU1002,$B33,'OS Analysis'!$CW3:$CW1002)</f>
        <v>0</v>
      </c>
      <c r="AB33" s="2149">
        <f t="shared" si="25"/>
        <v>0</v>
      </c>
      <c r="AC33" s="2148">
        <f>SUMIF('OS Analysis'!$CU3:$CU1002,$B33,'OS Analysis'!$CX3:$CX1002)</f>
        <v>0</v>
      </c>
      <c r="AD33" s="2149">
        <f t="shared" si="25"/>
        <v>0</v>
      </c>
      <c r="AE33" s="2148">
        <v>0</v>
      </c>
      <c r="AF33" s="2149">
        <f t="shared" si="25"/>
        <v>0</v>
      </c>
      <c r="AG33" s="2148">
        <v>0</v>
      </c>
      <c r="AH33" s="2149">
        <f t="shared" si="25"/>
        <v>0</v>
      </c>
      <c r="AI33" s="2148">
        <v>0</v>
      </c>
      <c r="AJ33" s="2149">
        <f t="shared" si="25"/>
        <v>0</v>
      </c>
      <c r="AK33" s="2148">
        <f t="shared" si="26" ref="AK33:AK68">ROUND(HOps_ExpenseGrowthRate*W33,2)</f>
        <v>1036382.91</v>
      </c>
      <c r="AL33" s="2149">
        <f t="shared" si="25"/>
        <v>10261</v>
      </c>
      <c r="AM33" s="2148">
        <v>0</v>
      </c>
      <c r="AN33" s="2149">
        <f t="shared" si="25"/>
        <v>0</v>
      </c>
      <c r="AO33" s="2250"/>
      <c r="AP33" s="2250"/>
      <c r="AQ33" s="2114" t="str">
        <f t="shared" si="3"/>
        <v>Real Estate Taxes</v>
      </c>
      <c r="AR33" s="2158" t="str">
        <f t="shared" si="27" ref="AR33:AR68">IF(AK33=0,"",IF(AK33=ROUND(1.03*W33,2),"T-12 + 3%","Non-Standard Assumption - Please Clarify"))</f>
        <v>T-12 + 3%</v>
      </c>
      <c r="AS33" s="2114"/>
      <c r="AT33" s="2169"/>
      <c r="AU33" s="2160"/>
      <c r="AV33" s="2251">
        <f t="shared" si="6"/>
        <v>0</v>
      </c>
      <c r="AW33" s="2252">
        <f>ROUND(IF(AV33=0,0,(AV33)/V1),0)</f>
        <v>0</v>
      </c>
      <c r="AX33" s="2251">
        <v>0</v>
      </c>
      <c r="AY33" s="2252">
        <f>ROUND(IF(AX33=0,0,(AX33)/V1),0)</f>
        <v>0</v>
      </c>
    </row>
    <row r="34" ht="14.25" customHeight="1">
      <c r="A34" s="2114">
        <v>2</v>
      </c>
      <c r="B34" s="2114" t="s">
        <v>1910</v>
      </c>
      <c r="C34" s="2114"/>
      <c r="D34" s="2148">
        <f>IF(ISBLANK(D$3),SUMIF('OS Analysis'!$BM3:$BM1002,$B34,'OS Analysis'!$CB3:$CB1002),INDEX($J34:$U34,1,MATCH(D$3,$J$4:$U$4,0)))</f>
        <v>0</v>
      </c>
      <c r="E34" s="2149">
        <f t="shared" si="25"/>
        <v>0</v>
      </c>
      <c r="F34" s="2148">
        <f>IF(ISBLANK(F$3),SUMIF('OS Analysis'!$AV3:$AV1002,$B34,'OS Analysis'!$BK3:$BK1002),INDEX($J34:$U34,1,MATCH(F$3,$J$4:$U$4,0)))</f>
        <v>0</v>
      </c>
      <c r="G34" s="2149">
        <f t="shared" si="25"/>
        <v>0</v>
      </c>
      <c r="H34" s="2148">
        <f>IF(ISBLANK(H$3),SUMIF('OS Analysis'!$AE3:$AE1002,$B34,'OS Analysis'!$AT3:$AT1002),INDEX($J34:$U34,1,MATCH(H$3,$J$4:$U$4,0)))</f>
        <v>0</v>
      </c>
      <c r="I34" s="2149">
        <f t="shared" si="25"/>
        <v>0</v>
      </c>
      <c r="J34" s="2153">
        <f>((SUMIF('OS Analysis'!$B3:$B1002,B34,'OS Analysis'!$AC3:$AC1002))/12)*12</f>
        <v>0</v>
      </c>
      <c r="K34" s="2249">
        <f>((SUMIF('OS Analysis'!$B3:$B1002,B34,'OS Analysis'!$AB3:$AB1002))/11)*12</f>
        <v>0</v>
      </c>
      <c r="L34" s="2249">
        <f>((SUMIF('OS Analysis'!$B3:$B1002,B34,'OS Analysis'!$AA3:$AA1002))/10)*12</f>
        <v>0</v>
      </c>
      <c r="M34" s="2249">
        <f>((SUMIF('OS Analysis'!$B3:$B1002,B34,'OS Analysis'!$Z3:$Z1002))/9)*12</f>
        <v>0</v>
      </c>
      <c r="N34" s="2249">
        <f>((SUMIF('OS Analysis'!$B3:$B1002,B34,'OS Analysis'!$Y3:$Y1002))/8)*12</f>
        <v>0</v>
      </c>
      <c r="O34" s="2249">
        <f>((SUMIF('OS Analysis'!$B3:$B1002,B34,'OS Analysis'!$X3:$X1002))/7)*12</f>
        <v>0</v>
      </c>
      <c r="P34" s="2249">
        <f>((SUMIF('OS Analysis'!$B3:$B1002,B34,'OS Analysis'!$W3:$W1002))/6)*12</f>
        <v>0</v>
      </c>
      <c r="Q34" s="2249">
        <f>((SUMIF('OS Analysis'!$B3:$B1002,B34,'OS Analysis'!$V3:$V1002))/5)*12</f>
        <v>0</v>
      </c>
      <c r="R34" s="2249">
        <f>((SUMIF('OS Analysis'!$B3:$B1002,B34,'OS Analysis'!$U3:$U1002))/4)*12</f>
        <v>0</v>
      </c>
      <c r="S34" s="2249">
        <f>((SUMIF('OS Analysis'!$B3:$B1002,B34,'OS Analysis'!$T3:$T1002))/3)*12</f>
        <v>0</v>
      </c>
      <c r="T34" s="2249">
        <f>((SUMIF('OS Analysis'!$B3:$B1002,B34,'OS Analysis'!$S3:$S1002))/2)*12</f>
        <v>0</v>
      </c>
      <c r="U34" s="2249">
        <f>(SUMIF('OS Analysis'!$B3:$B1002,B34,'OS Analysis'!$R3:$R1002))*12</f>
        <v>0</v>
      </c>
      <c r="V34" s="2150">
        <f>SUMIF('OS Analysis'!$B$3:$B$1002,$B34,'OS Analysis'!$Q$3:$Q$1002)</f>
        <v>0</v>
      </c>
      <c r="W34" s="2148">
        <f t="shared" si="5"/>
        <v>0</v>
      </c>
      <c r="X34" s="2149">
        <f t="shared" si="25"/>
        <v>0</v>
      </c>
      <c r="Y34" s="2148">
        <f>SUMIF('OS Analysis'!$CD3:$CD1002,$B34,'OS Analysis'!$CS3:$CS1002)</f>
        <v>0</v>
      </c>
      <c r="Z34" s="2149">
        <f t="shared" si="25"/>
        <v>0</v>
      </c>
      <c r="AA34" s="2148">
        <f>SUMIF('OS Analysis'!$CU3:$CU1002,$B34,'OS Analysis'!$CW3:$CW1002)</f>
        <v>0</v>
      </c>
      <c r="AB34" s="2149">
        <f t="shared" si="25"/>
        <v>0</v>
      </c>
      <c r="AC34" s="2148">
        <f>SUMIF('OS Analysis'!$CU3:$CU1002,$B34,'OS Analysis'!$CX3:$CX1002)</f>
        <v>0</v>
      </c>
      <c r="AD34" s="2149">
        <f t="shared" si="25"/>
        <v>0</v>
      </c>
      <c r="AE34" s="2148">
        <v>0</v>
      </c>
      <c r="AF34" s="2149">
        <f t="shared" si="25"/>
        <v>0</v>
      </c>
      <c r="AG34" s="2148">
        <v>0</v>
      </c>
      <c r="AH34" s="2149">
        <f t="shared" si="25"/>
        <v>0</v>
      </c>
      <c r="AI34" s="2148">
        <v>0</v>
      </c>
      <c r="AJ34" s="2149">
        <f t="shared" si="25"/>
        <v>0</v>
      </c>
      <c r="AK34" s="2148">
        <f t="shared" si="26"/>
        <v>0</v>
      </c>
      <c r="AL34" s="2149">
        <f t="shared" si="25"/>
        <v>0</v>
      </c>
      <c r="AM34" s="2148">
        <v>0</v>
      </c>
      <c r="AN34" s="2149">
        <f t="shared" si="25"/>
        <v>0</v>
      </c>
      <c r="AO34" s="2250"/>
      <c r="AP34" s="2250"/>
      <c r="AQ34" s="2114" t="str">
        <f t="shared" si="3"/>
        <v>Other Taxes or Assessments</v>
      </c>
      <c r="AR34" s="2158">
        <f t="shared" si="27"/>
      </c>
      <c r="AS34" s="2114"/>
      <c r="AT34" s="2169"/>
      <c r="AU34" s="2160"/>
      <c r="AV34" s="2253">
        <f t="shared" si="6"/>
        <v>0</v>
      </c>
      <c r="AW34" s="2254">
        <f>ROUND(IF(AV34=0,0,(AV34)/V1),0)</f>
        <v>0</v>
      </c>
      <c r="AX34" s="2253">
        <v>0</v>
      </c>
      <c r="AY34" s="2254">
        <f>ROUND(IF(AX34=0,0,(AX34)/V1),0)</f>
        <v>0</v>
      </c>
    </row>
    <row r="35" ht="14.25" customHeight="1">
      <c r="A35" s="2114">
        <v>3</v>
      </c>
      <c r="B35" s="2114" t="s">
        <v>1492</v>
      </c>
      <c r="C35" s="2114"/>
      <c r="D35" s="2148">
        <f>IF(ISBLANK(D$3),SUMIF('OS Analysis'!$BM3:$BM1002,$B35,'OS Analysis'!$CB3:$CB1002),INDEX($J35:$U35,1,MATCH(D$3,$J$4:$U$4,0)))</f>
        <v>0</v>
      </c>
      <c r="E35" s="2149">
        <f t="shared" si="25"/>
        <v>0</v>
      </c>
      <c r="F35" s="2148">
        <f>IF(ISBLANK(F$3),SUMIF('OS Analysis'!$AV3:$AV1002,$B35,'OS Analysis'!$BK3:$BK1002),INDEX($J35:$U35,1,MATCH(F$3,$J$4:$U$4,0)))</f>
        <v>0</v>
      </c>
      <c r="G35" s="2149">
        <f t="shared" si="25"/>
        <v>0</v>
      </c>
      <c r="H35" s="2148">
        <f>IF(ISBLANK(H$3),SUMIF('OS Analysis'!$AE3:$AE1002,$B35,'OS Analysis'!$AT3:$AT1002),INDEX($J35:$U35,1,MATCH(H$3,$J$4:$U$4,0)))</f>
        <v>0</v>
      </c>
      <c r="I35" s="2149">
        <f t="shared" si="25"/>
        <v>0</v>
      </c>
      <c r="J35" s="2153">
        <f>((SUMIF('OS Analysis'!$B3:$B1002,B35,'OS Analysis'!$AC3:$AC1002))/12)*12</f>
        <v>243093</v>
      </c>
      <c r="K35" s="2249">
        <f>((SUMIF('OS Analysis'!$B3:$B1002,B35,'OS Analysis'!$AB3:$AB1002))/11)*12</f>
        <v>243326.18181818182</v>
      </c>
      <c r="L35" s="2249">
        <f>((SUMIF('OS Analysis'!$B3:$B1002,B35,'OS Analysis'!$AA3:$AA1002))/10)*12</f>
        <v>244185.59999999998</v>
      </c>
      <c r="M35" s="2249">
        <f>((SUMIF('OS Analysis'!$B3:$B1002,B35,'OS Analysis'!$Z3:$Z1002))/9)*12</f>
        <v>245037.3333333333</v>
      </c>
      <c r="N35" s="2249">
        <f>((SUMIF('OS Analysis'!$B3:$B1002,B35,'OS Analysis'!$Y3:$Y1002))/8)*12</f>
        <v>243865.5</v>
      </c>
      <c r="O35" s="2249">
        <f>((SUMIF('OS Analysis'!$B3:$B1002,B35,'OS Analysis'!$X3:$X1002))/7)*12</f>
        <v>245295.42857142858</v>
      </c>
      <c r="P35" s="2249">
        <f>((SUMIF('OS Analysis'!$B3:$B1002,B35,'OS Analysis'!$W3:$W1002))/6)*12</f>
        <v>247212</v>
      </c>
      <c r="Q35" s="2249">
        <f>((SUMIF('OS Analysis'!$B3:$B1002,B35,'OS Analysis'!$V3:$V1002))/5)*12</f>
        <v>247120.80000000002</v>
      </c>
      <c r="R35" s="2249">
        <f>((SUMIF('OS Analysis'!$B3:$B1002,B35,'OS Analysis'!$U3:$U1002))/4)*12</f>
        <v>246114</v>
      </c>
      <c r="S35" s="2249">
        <f>((SUMIF('OS Analysis'!$B3:$B1002,B35,'OS Analysis'!$T3:$T1002))/3)*12</f>
        <v>244320</v>
      </c>
      <c r="T35" s="2249">
        <f>((SUMIF('OS Analysis'!$B3:$B1002,B35,'OS Analysis'!$S3:$S1002))/2)*12</f>
        <v>247350</v>
      </c>
      <c r="U35" s="2249">
        <f>(SUMIF('OS Analysis'!$B3:$B1002,B35,'OS Analysis'!$R3:$R1002))*12</f>
        <v>238164</v>
      </c>
      <c r="V35" s="2150">
        <f>SUMIF('OS Analysis'!$B$3:$B$1002,$B35,'OS Analysis'!$Q$3:$Q$1002)</f>
        <v>243093</v>
      </c>
      <c r="W35" s="2148">
        <f t="shared" si="5"/>
        <v>243093</v>
      </c>
      <c r="X35" s="2149">
        <f t="shared" si="25"/>
        <v>2407</v>
      </c>
      <c r="Y35" s="2148">
        <f>SUMIF('OS Analysis'!$CD3:$CD1002,$B35,'OS Analysis'!$CS3:$CS1002)</f>
        <v>0</v>
      </c>
      <c r="Z35" s="2149">
        <f t="shared" si="25"/>
        <v>0</v>
      </c>
      <c r="AA35" s="2148">
        <f>SUMIF('OS Analysis'!$CU3:$CU1002,$B35,'OS Analysis'!$CW3:$CW1002)</f>
        <v>0</v>
      </c>
      <c r="AB35" s="2149">
        <f t="shared" si="25"/>
        <v>0</v>
      </c>
      <c r="AC35" s="2148">
        <f>SUMIF('OS Analysis'!$CU3:$CU1002,$B35,'OS Analysis'!$CX3:$CX1002)</f>
        <v>0</v>
      </c>
      <c r="AD35" s="2149">
        <f t="shared" si="25"/>
        <v>0</v>
      </c>
      <c r="AE35" s="2148">
        <v>0</v>
      </c>
      <c r="AF35" s="2149">
        <f t="shared" si="25"/>
        <v>0</v>
      </c>
      <c r="AG35" s="2148">
        <v>0</v>
      </c>
      <c r="AH35" s="2149">
        <f t="shared" si="25"/>
        <v>0</v>
      </c>
      <c r="AI35" s="2148">
        <v>0</v>
      </c>
      <c r="AJ35" s="2149">
        <f t="shared" si="25"/>
        <v>0</v>
      </c>
      <c r="AK35" s="2148">
        <f t="shared" si="26"/>
        <v>250385.79</v>
      </c>
      <c r="AL35" s="2149">
        <f t="shared" si="25"/>
        <v>2479</v>
      </c>
      <c r="AM35" s="2148">
        <v>0</v>
      </c>
      <c r="AN35" s="2149">
        <f t="shared" si="25"/>
        <v>0</v>
      </c>
      <c r="AO35" s="2250"/>
      <c r="AP35" s="2250"/>
      <c r="AQ35" s="2114" t="str">
        <f t="shared" si="3"/>
        <v>Property Insurance</v>
      </c>
      <c r="AR35" s="2158" t="str">
        <f t="shared" si="27"/>
        <v>T-12 + 3%</v>
      </c>
      <c r="AS35" s="2114"/>
      <c r="AT35" s="2169"/>
      <c r="AU35" s="2160"/>
      <c r="AV35" s="2253">
        <f t="shared" si="6"/>
        <v>0</v>
      </c>
      <c r="AW35" s="2254">
        <f>ROUND(IF(AV35=0,0,(AV35)/V1),0)</f>
        <v>0</v>
      </c>
      <c r="AX35" s="2253">
        <v>0</v>
      </c>
      <c r="AY35" s="2254">
        <f>ROUND(IF(AX35=0,0,(AX35)/V1),0)</f>
        <v>0</v>
      </c>
    </row>
    <row r="36" ht="14.25" customHeight="1">
      <c r="A36" s="2114">
        <v>4</v>
      </c>
      <c r="B36" s="2114" t="s">
        <v>1911</v>
      </c>
      <c r="C36" s="2114"/>
      <c r="D36" s="2148">
        <f>IF(ISBLANK(D$3),SUMIF('OS Analysis'!$BM3:$BM1002,$B36,'OS Analysis'!$CB3:$CB1002),INDEX($J36:$U36,1,MATCH(D$3,$J$4:$U$4,0)))</f>
        <v>0</v>
      </c>
      <c r="E36" s="2149">
        <f t="shared" si="25"/>
        <v>0</v>
      </c>
      <c r="F36" s="2148">
        <f>IF(ISBLANK(F$3),SUMIF('OS Analysis'!$AV3:$AV1002,$B36,'OS Analysis'!$BK3:$BK1002),INDEX($J36:$U36,1,MATCH(F$3,$J$4:$U$4,0)))</f>
        <v>0</v>
      </c>
      <c r="G36" s="2149">
        <f t="shared" si="25"/>
        <v>0</v>
      </c>
      <c r="H36" s="2148">
        <f>IF(ISBLANK(H$3),SUMIF('OS Analysis'!$AE3:$AE1002,$B36,'OS Analysis'!$AT3:$AT1002),INDEX($J36:$U36,1,MATCH(H$3,$J$4:$U$4,0)))</f>
        <v>0</v>
      </c>
      <c r="I36" s="2149">
        <f t="shared" si="25"/>
        <v>0</v>
      </c>
      <c r="J36" s="2153">
        <f>((SUMIF('OS Analysis'!$B3:$B1002,B36,'OS Analysis'!$AC3:$AC1002))/12)*12</f>
        <v>2723</v>
      </c>
      <c r="K36" s="2249">
        <f>((SUMIF('OS Analysis'!$B3:$B1002,B36,'OS Analysis'!$AB3:$AB1002))/11)*12</f>
        <v>2970.5454545454545</v>
      </c>
      <c r="L36" s="2249">
        <f>((SUMIF('OS Analysis'!$B3:$B1002,B36,'OS Analysis'!$AA3:$AA1002))/10)*12</f>
        <v>3267.6000000000004</v>
      </c>
      <c r="M36" s="2249">
        <f>((SUMIF('OS Analysis'!$B3:$B1002,B36,'OS Analysis'!$Z3:$Z1002))/9)*12</f>
        <v>3496</v>
      </c>
      <c r="N36" s="2249">
        <f>((SUMIF('OS Analysis'!$B3:$B1002,B36,'OS Analysis'!$Y3:$Y1002))/8)*12</f>
        <v>3933</v>
      </c>
      <c r="O36" s="2249">
        <f>((SUMIF('OS Analysis'!$B3:$B1002,B36,'OS Analysis'!$X3:$X1002))/7)*12</f>
        <v>4494.857142857143</v>
      </c>
      <c r="P36" s="2249">
        <f>((SUMIF('OS Analysis'!$B3:$B1002,B36,'OS Analysis'!$W3:$W1002))/6)*12</f>
        <v>4430</v>
      </c>
      <c r="Q36" s="2249">
        <f>((SUMIF('OS Analysis'!$B3:$B1002,B36,'OS Analysis'!$V3:$V1002))/5)*12</f>
        <v>3261.6000000000004</v>
      </c>
      <c r="R36" s="2249">
        <f>((SUMIF('OS Analysis'!$B3:$B1002,B36,'OS Analysis'!$U3:$U1002))/4)*12</f>
        <v>3171</v>
      </c>
      <c r="S36" s="2249">
        <f>((SUMIF('OS Analysis'!$B3:$B1002,B36,'OS Analysis'!$T3:$T1002))/3)*12</f>
        <v>4228</v>
      </c>
      <c r="T36" s="2249">
        <f>((SUMIF('OS Analysis'!$B3:$B1002,B36,'OS Analysis'!$S3:$S1002))/2)*12</f>
        <v>918</v>
      </c>
      <c r="U36" s="2249">
        <f>(SUMIF('OS Analysis'!$B3:$B1002,B36,'OS Analysis'!$R3:$R1002))*12</f>
        <v>1836</v>
      </c>
      <c r="V36" s="2150">
        <f>SUMIF('OS Analysis'!$B$3:$B$1002,$B36,'OS Analysis'!$Q$3:$Q$1002)</f>
        <v>2723</v>
      </c>
      <c r="W36" s="2148">
        <f t="shared" si="5"/>
        <v>2723</v>
      </c>
      <c r="X36" s="2149">
        <f t="shared" si="25"/>
        <v>27</v>
      </c>
      <c r="Y36" s="2148">
        <f>SUMIF('OS Analysis'!$CD3:$CD1002,$B36,'OS Analysis'!$CS3:$CS1002)</f>
        <v>0</v>
      </c>
      <c r="Z36" s="2149">
        <f t="shared" si="25"/>
        <v>0</v>
      </c>
      <c r="AA36" s="2148">
        <f>SUMIF('OS Analysis'!$CU3:$CU1002,$B36,'OS Analysis'!$CW3:$CW1002)</f>
        <v>0</v>
      </c>
      <c r="AB36" s="2149">
        <f t="shared" si="25"/>
        <v>0</v>
      </c>
      <c r="AC36" s="2148">
        <f>SUMIF('OS Analysis'!$CU3:$CU1002,$B36,'OS Analysis'!$CX3:$CX1002)</f>
        <v>0</v>
      </c>
      <c r="AD36" s="2149">
        <f t="shared" si="25"/>
        <v>0</v>
      </c>
      <c r="AE36" s="2148">
        <v>0</v>
      </c>
      <c r="AF36" s="2149">
        <f t="shared" si="25"/>
        <v>0</v>
      </c>
      <c r="AG36" s="2148">
        <v>0</v>
      </c>
      <c r="AH36" s="2149">
        <f t="shared" si="25"/>
        <v>0</v>
      </c>
      <c r="AI36" s="2148">
        <v>0</v>
      </c>
      <c r="AJ36" s="2149">
        <f t="shared" si="25"/>
        <v>0</v>
      </c>
      <c r="AK36" s="2148">
        <f t="shared" si="26"/>
        <v>2804.69</v>
      </c>
      <c r="AL36" s="2149">
        <f t="shared" si="25"/>
        <v>28</v>
      </c>
      <c r="AM36" s="2148">
        <v>0</v>
      </c>
      <c r="AN36" s="2149">
        <f t="shared" si="25"/>
        <v>0</v>
      </c>
      <c r="AO36" s="2250"/>
      <c r="AP36" s="2250"/>
      <c r="AQ36" s="2114" t="str">
        <f t="shared" si="3"/>
        <v>Licenses</v>
      </c>
      <c r="AR36" s="2158" t="str">
        <f t="shared" si="27"/>
        <v>T-12 + 3%</v>
      </c>
      <c r="AS36" s="2114"/>
      <c r="AT36" s="2169"/>
      <c r="AU36" s="2160"/>
      <c r="AV36" s="2253">
        <f t="shared" si="6"/>
        <v>0</v>
      </c>
      <c r="AW36" s="2254">
        <f>ROUND(IF(AV36=0,0,(AV36)/V1),0)</f>
        <v>0</v>
      </c>
      <c r="AX36" s="2253">
        <v>0</v>
      </c>
      <c r="AY36" s="2254">
        <f>ROUND(IF(AX36=0,0,(AX36)/V1),0)</f>
        <v>0</v>
      </c>
    </row>
    <row r="37" ht="15" customHeight="1">
      <c r="A37" s="2114">
        <v>5</v>
      </c>
      <c r="B37" s="2136" t="s">
        <v>1912</v>
      </c>
      <c r="C37" s="2136"/>
      <c r="D37" s="2255">
        <f>IF(ISBLANK(D$3),SUMIF('OS Analysis'!$BM3:$BM1002,$B37,'OS Analysis'!$CB3:$CB1002),INDEX($J37:$U37,1,MATCH(D$3,$J$4:$U$4,0)))</f>
        <v>0</v>
      </c>
      <c r="E37" s="2256">
        <f t="shared" si="25"/>
        <v>0</v>
      </c>
      <c r="F37" s="2255">
        <f>IF(ISBLANK(F$3),SUMIF('OS Analysis'!$AV3:$AV1002,$B37,'OS Analysis'!$BK3:$BK1002),INDEX($J37:$U37,1,MATCH(F$3,$J$4:$U$4,0)))</f>
        <v>0</v>
      </c>
      <c r="G37" s="2256">
        <f t="shared" si="25"/>
        <v>0</v>
      </c>
      <c r="H37" s="2255">
        <f>IF(ISBLANK(H$3),SUMIF('OS Analysis'!$AE3:$AE1002,$B37,'OS Analysis'!$AT3:$AT1002),INDEX($J37:$U37,1,MATCH(H$3,$J$4:$U$4,0)))</f>
        <v>0</v>
      </c>
      <c r="I37" s="2256">
        <f t="shared" si="25"/>
        <v>0</v>
      </c>
      <c r="J37" s="2180">
        <f>((SUMIF('OS Analysis'!$B3:$B1002,B37,'OS Analysis'!$AC3:$AC1002))/12)*12</f>
        <v>0</v>
      </c>
      <c r="K37" s="2257">
        <f>((SUMIF('OS Analysis'!$B3:$B1002,B37,'OS Analysis'!$AB3:$AB1002))/11)*12</f>
        <v>0</v>
      </c>
      <c r="L37" s="2257">
        <f>((SUMIF('OS Analysis'!$B3:$B1002,B37,'OS Analysis'!$AA3:$AA1002))/10)*12</f>
        <v>0</v>
      </c>
      <c r="M37" s="2257">
        <f>((SUMIF('OS Analysis'!$B3:$B1002,B37,'OS Analysis'!$Z3:$Z1002))/9)*12</f>
        <v>0</v>
      </c>
      <c r="N37" s="2257">
        <f>((SUMIF('OS Analysis'!$B3:$B1002,B37,'OS Analysis'!$Y3:$Y1002))/8)*12</f>
        <v>0</v>
      </c>
      <c r="O37" s="2257">
        <f>((SUMIF('OS Analysis'!$B3:$B1002,B37,'OS Analysis'!$X3:$X1002))/7)*12</f>
        <v>0</v>
      </c>
      <c r="P37" s="2257">
        <f>((SUMIF('OS Analysis'!$B3:$B1002,B37,'OS Analysis'!$W3:$W1002))/6)*12</f>
        <v>0</v>
      </c>
      <c r="Q37" s="2257">
        <f>((SUMIF('OS Analysis'!$B3:$B1002,B37,'OS Analysis'!$V3:$V1002))/5)*12</f>
        <v>0</v>
      </c>
      <c r="R37" s="2257">
        <f>((SUMIF('OS Analysis'!$B3:$B1002,B37,'OS Analysis'!$U3:$U1002))/4)*12</f>
        <v>0</v>
      </c>
      <c r="S37" s="2257">
        <f>((SUMIF('OS Analysis'!$B3:$B1002,B37,'OS Analysis'!$T3:$T1002))/3)*12</f>
        <v>0</v>
      </c>
      <c r="T37" s="2257">
        <f>((SUMIF('OS Analysis'!$B3:$B1002,B37,'OS Analysis'!$S3:$S1002))/2)*12</f>
        <v>0</v>
      </c>
      <c r="U37" s="2257">
        <f>(SUMIF('OS Analysis'!$B3:$B1002,B37,'OS Analysis'!$R3:$R1002))*12</f>
        <v>0</v>
      </c>
      <c r="V37" s="2258">
        <f>SUMIF('OS Analysis'!$B$3:$B$1002,$B37,'OS Analysis'!$Q$3:$Q$1002)</f>
        <v>0</v>
      </c>
      <c r="W37" s="2255">
        <f t="shared" si="5"/>
        <v>0</v>
      </c>
      <c r="X37" s="2256">
        <f t="shared" si="25"/>
        <v>0</v>
      </c>
      <c r="Y37" s="2255">
        <f>SUMIF('OS Analysis'!$CD3:$CD1002,$B37,'OS Analysis'!$CS3:$CS1002)</f>
        <v>0</v>
      </c>
      <c r="Z37" s="2256">
        <f t="shared" si="25"/>
        <v>0</v>
      </c>
      <c r="AA37" s="2255">
        <f>SUMIF('OS Analysis'!$CU3:$CU1002,$B37,'OS Analysis'!$CW3:$CW1002)</f>
        <v>0</v>
      </c>
      <c r="AB37" s="2256">
        <f t="shared" si="25"/>
        <v>0</v>
      </c>
      <c r="AC37" s="2255">
        <f>SUMIF('OS Analysis'!$CU3:$CU1002,$B37,'OS Analysis'!$CX3:$CX1002)</f>
        <v>0</v>
      </c>
      <c r="AD37" s="2256">
        <f t="shared" si="25"/>
        <v>0</v>
      </c>
      <c r="AE37" s="2255">
        <v>0</v>
      </c>
      <c r="AF37" s="2256">
        <f t="shared" si="25"/>
        <v>0</v>
      </c>
      <c r="AG37" s="2255">
        <v>0</v>
      </c>
      <c r="AH37" s="2256">
        <f t="shared" si="25"/>
        <v>0</v>
      </c>
      <c r="AI37" s="2255">
        <v>0</v>
      </c>
      <c r="AJ37" s="2256">
        <f t="shared" si="25"/>
        <v>0</v>
      </c>
      <c r="AK37" s="2255">
        <f t="shared" si="26"/>
        <v>0</v>
      </c>
      <c r="AL37" s="2256">
        <f t="shared" si="25"/>
        <v>0</v>
      </c>
      <c r="AM37" s="2255">
        <v>0</v>
      </c>
      <c r="AN37" s="2256">
        <f t="shared" si="25"/>
        <v>0</v>
      </c>
      <c r="AO37" s="2250"/>
      <c r="AP37" s="2250"/>
      <c r="AQ37" s="2114" t="str">
        <f t="shared" si="3"/>
        <v>Ground Rent</v>
      </c>
      <c r="AR37" s="2158">
        <f t="shared" si="27"/>
      </c>
      <c r="AS37" s="2114"/>
      <c r="AT37" s="2169"/>
      <c r="AU37" s="2160"/>
      <c r="AV37" s="2259">
        <f t="shared" si="6"/>
        <v>0</v>
      </c>
      <c r="AW37" s="2260">
        <f>ROUND(IF(AV37=0,0,(AV37)/V1),0)</f>
        <v>0</v>
      </c>
      <c r="AX37" s="2259">
        <v>0</v>
      </c>
      <c r="AY37" s="2260">
        <f>ROUND(IF(AX37=0,0,(AX37)/V1),0)</f>
        <v>0</v>
      </c>
    </row>
    <row r="38" ht="15" customHeight="1">
      <c r="A38" s="2114"/>
      <c r="B38" s="2103" t="s">
        <v>1913</v>
      </c>
      <c r="C38" s="2103"/>
      <c r="D38" s="2261">
        <f t="shared" si="28" ref="D38:AX38">SUM(D33:D37)</f>
        <v>0</v>
      </c>
      <c r="E38" s="2149">
        <f t="shared" si="25"/>
        <v>0</v>
      </c>
      <c r="F38" s="2261">
        <f t="shared" si="28"/>
        <v>0</v>
      </c>
      <c r="G38" s="2149">
        <f t="shared" si="25"/>
        <v>0</v>
      </c>
      <c r="H38" s="2261">
        <f t="shared" si="28"/>
        <v>0</v>
      </c>
      <c r="I38" s="2149">
        <f t="shared" si="25"/>
        <v>0</v>
      </c>
      <c r="J38" s="2262">
        <f t="shared" si="28"/>
        <v>1252013</v>
      </c>
      <c r="K38" s="2149">
        <f t="shared" si="28"/>
        <v>1249492.3636363638</v>
      </c>
      <c r="L38" s="2149">
        <f t="shared" si="28"/>
        <v>1247415.6</v>
      </c>
      <c r="M38" s="2149">
        <f t="shared" si="28"/>
        <v>1242649.3333333333</v>
      </c>
      <c r="N38" s="2149">
        <f t="shared" si="28"/>
        <v>1239361.5</v>
      </c>
      <c r="O38" s="2149">
        <f t="shared" si="28"/>
        <v>1230973.714285714</v>
      </c>
      <c r="P38" s="2149">
        <f t="shared" si="28"/>
        <v>1232732</v>
      </c>
      <c r="Q38" s="2149">
        <f t="shared" si="28"/>
        <v>1222140.0000000002</v>
      </c>
      <c r="R38" s="2149">
        <f t="shared" si="28"/>
        <v>1310847</v>
      </c>
      <c r="S38" s="2149">
        <f t="shared" si="28"/>
        <v>1309112</v>
      </c>
      <c r="T38" s="2149">
        <f t="shared" si="28"/>
        <v>1326936</v>
      </c>
      <c r="U38" s="2149">
        <f t="shared" si="28"/>
        <v>1319340</v>
      </c>
      <c r="V38" s="2151">
        <f t="shared" si="28"/>
        <v>1252013</v>
      </c>
      <c r="W38" s="2261">
        <f t="shared" si="28"/>
        <v>1252013</v>
      </c>
      <c r="X38" s="2149">
        <f t="shared" si="25"/>
        <v>12396</v>
      </c>
      <c r="Y38" s="2261">
        <f t="shared" si="28"/>
        <v>0</v>
      </c>
      <c r="Z38" s="2149">
        <f t="shared" si="25"/>
        <v>0</v>
      </c>
      <c r="AA38" s="2261">
        <f t="shared" si="28"/>
        <v>0</v>
      </c>
      <c r="AB38" s="2149">
        <f t="shared" si="25"/>
        <v>0</v>
      </c>
      <c r="AC38" s="2261">
        <f t="shared" si="28"/>
        <v>0</v>
      </c>
      <c r="AD38" s="2149">
        <f t="shared" si="25"/>
        <v>0</v>
      </c>
      <c r="AE38" s="2261">
        <f t="shared" si="28"/>
        <v>0</v>
      </c>
      <c r="AF38" s="2149">
        <f t="shared" si="25"/>
        <v>0</v>
      </c>
      <c r="AG38" s="2261">
        <f t="shared" si="28"/>
        <v>0</v>
      </c>
      <c r="AH38" s="2149">
        <f t="shared" si="25"/>
        <v>0</v>
      </c>
      <c r="AI38" s="2261">
        <f t="shared" si="28"/>
        <v>0</v>
      </c>
      <c r="AJ38" s="2149">
        <f t="shared" si="25"/>
        <v>0</v>
      </c>
      <c r="AK38" s="2261">
        <f t="shared" si="28"/>
        <v>1289573.39</v>
      </c>
      <c r="AL38" s="2149">
        <f t="shared" si="25"/>
        <v>12768</v>
      </c>
      <c r="AM38" s="2261">
        <f t="shared" si="28"/>
        <v>0</v>
      </c>
      <c r="AN38" s="2149">
        <f t="shared" si="25"/>
        <v>0</v>
      </c>
      <c r="AO38" s="2250"/>
      <c r="AP38" s="2250"/>
      <c r="AQ38" s="2114" t="str">
        <f t="shared" si="3"/>
        <v>Total Fixed</v>
      </c>
      <c r="AR38" s="2158" t="str">
        <f t="shared" si="27"/>
        <v>T-12 + 3%</v>
      </c>
      <c r="AS38" s="2114"/>
      <c r="AT38" s="2169"/>
      <c r="AU38" s="2160"/>
      <c r="AV38" s="2231">
        <f t="shared" si="28"/>
        <v>0</v>
      </c>
      <c r="AW38" s="2263">
        <f>ROUND(IF(AV38=0,0,(AV38)/V1),0)</f>
        <v>0</v>
      </c>
      <c r="AX38" s="2231">
        <f t="shared" si="28"/>
        <v>0</v>
      </c>
      <c r="AY38" s="2263">
        <f>ROUND(IF(AX38=0,0,(AX38)/V1),0)</f>
        <v>0</v>
      </c>
    </row>
    <row r="39" ht="15" customHeight="1">
      <c r="A39" s="2114"/>
      <c r="B39" s="2238" t="s">
        <v>1820</v>
      </c>
      <c r="C39" s="2238"/>
      <c r="D39" s="2264"/>
      <c r="E39" s="2265"/>
      <c r="F39" s="2264"/>
      <c r="G39" s="2265"/>
      <c r="H39" s="2264"/>
      <c r="I39" s="2265"/>
      <c r="J39" s="2266"/>
      <c r="K39" s="2267"/>
      <c r="L39" s="2267"/>
      <c r="M39" s="2267"/>
      <c r="N39" s="2267"/>
      <c r="O39" s="2267"/>
      <c r="P39" s="2267"/>
      <c r="Q39" s="2267"/>
      <c r="R39" s="2267"/>
      <c r="S39" s="2267"/>
      <c r="T39" s="2267"/>
      <c r="U39" s="2267"/>
      <c r="V39" s="2268"/>
      <c r="W39" s="2264"/>
      <c r="X39" s="2265"/>
      <c r="Y39" s="2264"/>
      <c r="Z39" s="2265"/>
      <c r="AA39" s="2264"/>
      <c r="AB39" s="2265"/>
      <c r="AC39" s="2264"/>
      <c r="AD39" s="2265"/>
      <c r="AE39" s="2264"/>
      <c r="AF39" s="2265"/>
      <c r="AG39" s="2264"/>
      <c r="AH39" s="2265"/>
      <c r="AI39" s="2264"/>
      <c r="AJ39" s="2265"/>
      <c r="AK39" s="2264"/>
      <c r="AL39" s="2265"/>
      <c r="AM39" s="2264"/>
      <c r="AN39" s="2265"/>
      <c r="AO39" s="2250"/>
      <c r="AP39" s="2250"/>
      <c r="AQ39" s="2114" t="str">
        <f t="shared" si="3"/>
        <v>OPERATING EXPENSES</v>
      </c>
      <c r="AR39" s="2235"/>
      <c r="AS39" s="2114"/>
      <c r="AT39" s="2169"/>
      <c r="AU39" s="2160"/>
      <c r="AV39" s="2269"/>
      <c r="AW39" s="2270"/>
      <c r="AX39" s="2270"/>
      <c r="AY39" s="2271"/>
    </row>
    <row r="40" ht="14.25" customHeight="1">
      <c r="A40" s="2114">
        <f>A37+1</f>
        <v>6</v>
      </c>
      <c r="B40" s="2272" t="s">
        <v>1914</v>
      </c>
      <c r="C40" s="2114"/>
      <c r="D40" s="2148">
        <f>IF(ISBLANK(D$3),SUMIF('OS Analysis'!$BM3:$BM1002,$B40,'OS Analysis'!$CB3:$CB1002),INDEX($J40:$U40,1,MATCH(D$3,$J$4:$U$4,0)))</f>
        <v>0</v>
      </c>
      <c r="E40" s="2149">
        <f t="shared" si="25"/>
        <v>0</v>
      </c>
      <c r="F40" s="2148">
        <f>IF(ISBLANK(F$3),SUMIF('OS Analysis'!$AV3:$AV1002,$B40,'OS Analysis'!$BK3:$BK1002),INDEX($J40:$U40,1,MATCH(F$3,$J$4:$U$4,0)))</f>
        <v>0</v>
      </c>
      <c r="G40" s="2149">
        <f t="shared" si="25"/>
        <v>0</v>
      </c>
      <c r="H40" s="2148">
        <f>IF(ISBLANK(H$3),SUMIF('OS Analysis'!$AE3:$AE1002,$B40,'OS Analysis'!$AT3:$AT1002),INDEX($J40:$U40,1,MATCH(H$3,$J$4:$U$4,0)))</f>
        <v>0</v>
      </c>
      <c r="I40" s="2149">
        <f t="shared" si="25"/>
        <v>0</v>
      </c>
      <c r="J40" s="2153">
        <f>((SUMIF('OS Analysis'!$B3:$B1002,B40,'OS Analysis'!$AC3:$AC1002))/12)*12</f>
        <v>42628</v>
      </c>
      <c r="K40" s="2249">
        <f>((SUMIF('OS Analysis'!$B3:$B1002,B40,'OS Analysis'!$AB3:$AB1002))/11)*12</f>
        <v>46447.63636363636</v>
      </c>
      <c r="L40" s="2249">
        <f>((SUMIF('OS Analysis'!$B3:$B1002,B40,'OS Analysis'!$AA3:$AA1002))/10)*12</f>
        <v>46989.600000000006</v>
      </c>
      <c r="M40" s="2249">
        <f>((SUMIF('OS Analysis'!$B3:$B1002,B40,'OS Analysis'!$Z3:$Z1002))/9)*12</f>
        <v>43246.666666666664</v>
      </c>
      <c r="N40" s="2249">
        <f>((SUMIF('OS Analysis'!$B3:$B1002,B40,'OS Analysis'!$Y3:$Y1002))/8)*12</f>
        <v>43450.5</v>
      </c>
      <c r="O40" s="2249">
        <f>((SUMIF('OS Analysis'!$B3:$B1002,B40,'OS Analysis'!$X3:$X1002))/7)*12</f>
        <v>43539.42857142857</v>
      </c>
      <c r="P40" s="2249">
        <f>((SUMIF('OS Analysis'!$B3:$B1002,B40,'OS Analysis'!$W3:$W1002))/6)*12</f>
        <v>43932</v>
      </c>
      <c r="Q40" s="2249">
        <f>((SUMIF('OS Analysis'!$B3:$B1002,B40,'OS Analysis'!$V3:$V1002))/5)*12</f>
        <v>44301.600000000006</v>
      </c>
      <c r="R40" s="2249">
        <f>((SUMIF('OS Analysis'!$B3:$B1002,B40,'OS Analysis'!$U3:$U1002))/4)*12</f>
        <v>55230</v>
      </c>
      <c r="S40" s="2249">
        <f>((SUMIF('OS Analysis'!$B3:$B1002,B40,'OS Analysis'!$T3:$T1002))/3)*12</f>
        <v>44112</v>
      </c>
      <c r="T40" s="2249">
        <f>((SUMIF('OS Analysis'!$B3:$B1002,B40,'OS Analysis'!$S3:$S1002))/2)*12</f>
        <v>40074</v>
      </c>
      <c r="U40" s="2249">
        <f>(SUMIF('OS Analysis'!$B3:$B1002,B40,'OS Analysis'!$R3:$R1002))*12</f>
        <v>43284</v>
      </c>
      <c r="V40" s="2150">
        <f>SUMIF('OS Analysis'!$B$3:$B$1002,$B40,'OS Analysis'!$Q$3:$Q$1002)</f>
        <v>42628</v>
      </c>
      <c r="W40" s="2148">
        <f t="shared" si="5"/>
        <v>42628</v>
      </c>
      <c r="X40" s="2149">
        <f t="shared" si="25"/>
        <v>422</v>
      </c>
      <c r="Y40" s="2148">
        <f>SUMIF('OS Analysis'!$CD3:$CD1002,$B40,'OS Analysis'!$CS3:$CS1002)</f>
        <v>0</v>
      </c>
      <c r="Z40" s="2149">
        <f t="shared" si="25"/>
        <v>0</v>
      </c>
      <c r="AA40" s="2148">
        <f>SUMIF('OS Analysis'!$CU3:$CU1002,$B40,'OS Analysis'!$CW3:$CW1002)</f>
        <v>0</v>
      </c>
      <c r="AB40" s="2149">
        <f t="shared" si="25"/>
        <v>0</v>
      </c>
      <c r="AC40" s="2148">
        <f>SUMIF('OS Analysis'!$CU3:$CU1002,$B40,'OS Analysis'!$CX3:$CX1002)</f>
        <v>0</v>
      </c>
      <c r="AD40" s="2149">
        <f t="shared" si="25"/>
        <v>0</v>
      </c>
      <c r="AE40" s="2148">
        <v>0</v>
      </c>
      <c r="AF40" s="2149">
        <f t="shared" si="25"/>
        <v>0</v>
      </c>
      <c r="AG40" s="2148">
        <v>0</v>
      </c>
      <c r="AH40" s="2149">
        <f t="shared" si="25"/>
        <v>0</v>
      </c>
      <c r="AI40" s="2148">
        <v>0</v>
      </c>
      <c r="AJ40" s="2149">
        <f t="shared" si="25"/>
        <v>0</v>
      </c>
      <c r="AK40" s="2148">
        <f t="shared" si="26"/>
        <v>43906.84</v>
      </c>
      <c r="AL40" s="2149">
        <f t="shared" si="25"/>
        <v>435</v>
      </c>
      <c r="AM40" s="2148">
        <v>0</v>
      </c>
      <c r="AN40" s="2149">
        <f t="shared" si="25"/>
        <v>0</v>
      </c>
      <c r="AO40" s="2250"/>
      <c r="AP40" s="2250"/>
      <c r="AQ40" s="2114" t="str">
        <f t="shared" si="3"/>
        <v>Trash Removal (including contract)</v>
      </c>
      <c r="AR40" s="2273" t="str">
        <f t="shared" si="27"/>
        <v>T-12 + 3%</v>
      </c>
      <c r="AS40" s="2114"/>
      <c r="AT40" s="2169"/>
      <c r="AU40" s="2160"/>
      <c r="AV40" s="2251">
        <f t="shared" si="6"/>
        <v>0</v>
      </c>
      <c r="AW40" s="2252">
        <f>ROUND(IF(AV40=0,0,(AV40)/V1),0)</f>
        <v>0</v>
      </c>
      <c r="AX40" s="2274">
        <v>0</v>
      </c>
      <c r="AY40" s="2252">
        <f>ROUND(IF(AX40=0,0,(AX40)/V1),0)</f>
        <v>0</v>
      </c>
    </row>
    <row r="41" ht="14.25" customHeight="1">
      <c r="A41" s="2114">
        <f t="shared" si="18"/>
        <v>7</v>
      </c>
      <c r="B41" s="2272" t="s">
        <v>1915</v>
      </c>
      <c r="C41" s="2114"/>
      <c r="D41" s="2148">
        <f>IF(ISBLANK(D$3),SUMIF('OS Analysis'!$BM3:$BM1002,$B41,'OS Analysis'!$CB3:$CB1002),INDEX($J41:$U41,1,MATCH(D$3,$J$4:$U$4,0)))</f>
        <v>0</v>
      </c>
      <c r="E41" s="2149">
        <f t="shared" si="25"/>
        <v>0</v>
      </c>
      <c r="F41" s="2148">
        <f>IF(ISBLANK(F$3),SUMIF('OS Analysis'!$AV3:$AV1002,$B41,'OS Analysis'!$BK3:$BK1002),INDEX($J41:$U41,1,MATCH(F$3,$J$4:$U$4,0)))</f>
        <v>0</v>
      </c>
      <c r="G41" s="2149">
        <f t="shared" si="25"/>
        <v>0</v>
      </c>
      <c r="H41" s="2148">
        <f>IF(ISBLANK(H$3),SUMIF('OS Analysis'!$AE3:$AE1002,$B41,'OS Analysis'!$AT3:$AT1002),INDEX($J41:$U41,1,MATCH(H$3,$J$4:$U$4,0)))</f>
        <v>0</v>
      </c>
      <c r="I41" s="2149">
        <f t="shared" si="25"/>
        <v>0</v>
      </c>
      <c r="J41" s="2153">
        <f>((SUMIF('OS Analysis'!$B3:$B1002,B41,'OS Analysis'!$AC3:$AC1002))/12)*12</f>
        <v>121255</v>
      </c>
      <c r="K41" s="2249">
        <f>((SUMIF('OS Analysis'!$B3:$B1002,B41,'OS Analysis'!$AB3:$AB1002))/11)*12</f>
        <v>127443.27272727274</v>
      </c>
      <c r="L41" s="2249">
        <f>((SUMIF('OS Analysis'!$B3:$B1002,B41,'OS Analysis'!$AA3:$AA1002))/10)*12</f>
        <v>131290.8</v>
      </c>
      <c r="M41" s="2249">
        <f>((SUMIF('OS Analysis'!$B3:$B1002,B41,'OS Analysis'!$Z3:$Z1002))/9)*12</f>
        <v>129437.33333333334</v>
      </c>
      <c r="N41" s="2249">
        <f>((SUMIF('OS Analysis'!$B3:$B1002,B41,'OS Analysis'!$Y3:$Y1002))/8)*12</f>
        <v>121282.5</v>
      </c>
      <c r="O41" s="2249">
        <f>((SUMIF('OS Analysis'!$B3:$B1002,B41,'OS Analysis'!$X3:$X1002))/7)*12</f>
        <v>110211.42857142857</v>
      </c>
      <c r="P41" s="2249">
        <f>((SUMIF('OS Analysis'!$B3:$B1002,B41,'OS Analysis'!$W3:$W1002))/6)*12</f>
        <v>100636</v>
      </c>
      <c r="Q41" s="2249">
        <f>((SUMIF('OS Analysis'!$B3:$B1002,B41,'OS Analysis'!$V3:$V1002))/5)*12</f>
        <v>94101.6</v>
      </c>
      <c r="R41" s="2249">
        <f>((SUMIF('OS Analysis'!$B3:$B1002,B41,'OS Analysis'!$U3:$U1002))/4)*12</f>
        <v>117627</v>
      </c>
      <c r="S41" s="2249">
        <f>((SUMIF('OS Analysis'!$B3:$B1002,B41,'OS Analysis'!$T3:$T1002))/3)*12</f>
        <v>88088</v>
      </c>
      <c r="T41" s="2249">
        <f>((SUMIF('OS Analysis'!$B3:$B1002,B41,'OS Analysis'!$S3:$S1002))/2)*12</f>
        <v>86040</v>
      </c>
      <c r="U41" s="2249">
        <f>(SUMIF('OS Analysis'!$B3:$B1002,B41,'OS Analysis'!$R3:$R1002))*12</f>
        <v>168432</v>
      </c>
      <c r="V41" s="2150">
        <f>SUMIF('OS Analysis'!$B$3:$B$1002,$B41,'OS Analysis'!$Q$3:$Q$1002)</f>
        <v>121255</v>
      </c>
      <c r="W41" s="2148">
        <f t="shared" si="5"/>
        <v>121255</v>
      </c>
      <c r="X41" s="2149">
        <f t="shared" si="25"/>
        <v>1201</v>
      </c>
      <c r="Y41" s="2148">
        <f>SUMIF('OS Analysis'!$CD3:$CD1002,$B41,'OS Analysis'!$CS3:$CS1002)</f>
        <v>0</v>
      </c>
      <c r="Z41" s="2149">
        <f t="shared" si="25"/>
        <v>0</v>
      </c>
      <c r="AA41" s="2148">
        <f>SUMIF('OS Analysis'!$CU3:$CU1002,$B41,'OS Analysis'!$CW3:$CW1002)</f>
        <v>0</v>
      </c>
      <c r="AB41" s="2149">
        <f t="shared" si="25"/>
        <v>0</v>
      </c>
      <c r="AC41" s="2148">
        <f>SUMIF('OS Analysis'!$CU3:$CU1002,$B41,'OS Analysis'!$CX3:$CX1002)</f>
        <v>0</v>
      </c>
      <c r="AD41" s="2149">
        <f t="shared" si="25"/>
        <v>0</v>
      </c>
      <c r="AE41" s="2148">
        <v>0</v>
      </c>
      <c r="AF41" s="2149">
        <f t="shared" si="25"/>
        <v>0</v>
      </c>
      <c r="AG41" s="2148">
        <v>0</v>
      </c>
      <c r="AH41" s="2149">
        <f t="shared" si="25"/>
        <v>0</v>
      </c>
      <c r="AI41" s="2148">
        <v>0</v>
      </c>
      <c r="AJ41" s="2149">
        <f t="shared" si="25"/>
        <v>0</v>
      </c>
      <c r="AK41" s="2148">
        <f t="shared" si="26"/>
        <v>124892.65</v>
      </c>
      <c r="AL41" s="2149">
        <f t="shared" si="25"/>
        <v>1237</v>
      </c>
      <c r="AM41" s="2148">
        <v>0</v>
      </c>
      <c r="AN41" s="2149">
        <f t="shared" si="25"/>
        <v>0</v>
      </c>
      <c r="AO41" s="2250"/>
      <c r="AP41" s="2250"/>
      <c r="AQ41" s="2114" t="str">
        <f t="shared" si="3"/>
        <v>Gas / Fuel / Other</v>
      </c>
      <c r="AR41" s="2275" t="str">
        <f t="shared" si="27"/>
        <v>T-12 + 3%</v>
      </c>
      <c r="AS41" s="2114"/>
      <c r="AT41" s="2169"/>
      <c r="AU41" s="2160"/>
      <c r="AV41" s="2253">
        <f t="shared" si="6"/>
        <v>0</v>
      </c>
      <c r="AW41" s="2254">
        <f>ROUND(IF(AV41=0,0,(AV41)/C1),0)</f>
        <v>0</v>
      </c>
      <c r="AX41" s="2276">
        <v>0</v>
      </c>
      <c r="AY41" s="2254">
        <f>ROUND(IF(AX41=0,0,(AX41)/C1),0)</f>
        <v>0</v>
      </c>
    </row>
    <row r="42" ht="15" customHeight="1">
      <c r="A42" s="2114">
        <f t="shared" si="18"/>
        <v>8</v>
      </c>
      <c r="B42" s="2277" t="s">
        <v>1817</v>
      </c>
      <c r="C42" s="2136"/>
      <c r="D42" s="2255">
        <f>IF(ISBLANK(D$3),SUMIF('OS Analysis'!$BM3:$BM1002,$B42,'OS Analysis'!$CB3:$CB1002),INDEX($J42:$U42,1,MATCH(D$3,$J$4:$U$4,0)))</f>
        <v>0</v>
      </c>
      <c r="E42" s="2256">
        <f t="shared" si="25"/>
        <v>0</v>
      </c>
      <c r="F42" s="2255">
        <f>IF(ISBLANK(F$3),SUMIF('OS Analysis'!$AV3:$AV1002,$B42,'OS Analysis'!$BK3:$BK1002),INDEX($J42:$U42,1,MATCH(F$3,$J$4:$U$4,0)))</f>
        <v>0</v>
      </c>
      <c r="G42" s="2256">
        <f t="shared" si="25"/>
        <v>0</v>
      </c>
      <c r="H42" s="2255">
        <f>IF(ISBLANK(H$3),SUMIF('OS Analysis'!$AE3:$AE1002,$B42,'OS Analysis'!$AT3:$AT1002),INDEX($J42:$U42,1,MATCH(H$3,$J$4:$U$4,0)))</f>
        <v>0</v>
      </c>
      <c r="I42" s="2256">
        <f t="shared" si="25"/>
        <v>0</v>
      </c>
      <c r="J42" s="2180">
        <f>((SUMIF('OS Analysis'!$B3:$B1002,B42,'OS Analysis'!$AC3:$AC1002))/12)*12</f>
        <v>13876</v>
      </c>
      <c r="K42" s="2257">
        <f>((SUMIF('OS Analysis'!$B3:$B1002,B42,'OS Analysis'!$AB3:$AB1002))/11)*12</f>
        <v>14102.18181818182</v>
      </c>
      <c r="L42" s="2257">
        <f>((SUMIF('OS Analysis'!$B3:$B1002,B42,'OS Analysis'!$AA3:$AA1002))/10)*12</f>
        <v>14254.800000000001</v>
      </c>
      <c r="M42" s="2257">
        <f>((SUMIF('OS Analysis'!$B3:$B1002,B42,'OS Analysis'!$Z3:$Z1002))/9)*12</f>
        <v>14604</v>
      </c>
      <c r="N42" s="2257">
        <f>((SUMIF('OS Analysis'!$B3:$B1002,B42,'OS Analysis'!$Y3:$Y1002))/8)*12</f>
        <v>15001.5</v>
      </c>
      <c r="O42" s="2257">
        <f>((SUMIF('OS Analysis'!$B3:$B1002,B42,'OS Analysis'!$X3:$X1002))/7)*12</f>
        <v>16503.428571428572</v>
      </c>
      <c r="P42" s="2257">
        <f>((SUMIF('OS Analysis'!$B3:$B1002,B42,'OS Analysis'!$W3:$W1002))/6)*12</f>
        <v>14678</v>
      </c>
      <c r="Q42" s="2257">
        <f>((SUMIF('OS Analysis'!$B3:$B1002,B42,'OS Analysis'!$V3:$V1002))/5)*12</f>
        <v>14805.599999999999</v>
      </c>
      <c r="R42" s="2257">
        <f>((SUMIF('OS Analysis'!$B3:$B1002,B42,'OS Analysis'!$U3:$U1002))/4)*12</f>
        <v>14913</v>
      </c>
      <c r="S42" s="2257">
        <f>((SUMIF('OS Analysis'!$B3:$B1002,B42,'OS Analysis'!$T3:$T1002))/3)*12</f>
        <v>15684</v>
      </c>
      <c r="T42" s="2257">
        <f>((SUMIF('OS Analysis'!$B3:$B1002,B42,'OS Analysis'!$S3:$S1002))/2)*12</f>
        <v>17412</v>
      </c>
      <c r="U42" s="2257">
        <f>(SUMIF('OS Analysis'!$B3:$B1002,B42,'OS Analysis'!$R3:$R1002))*12</f>
        <v>31596</v>
      </c>
      <c r="V42" s="2258">
        <f>SUMIF('OS Analysis'!$B$3:$B$1002,$B42,'OS Analysis'!$Q$3:$Q$1002)</f>
        <v>13876</v>
      </c>
      <c r="W42" s="2255">
        <f t="shared" si="5"/>
        <v>13876</v>
      </c>
      <c r="X42" s="2256">
        <f t="shared" si="25"/>
        <v>137</v>
      </c>
      <c r="Y42" s="2255">
        <f>SUMIF('OS Analysis'!$CD3:$CD1002,$B42,'OS Analysis'!$CS3:$CS1002)</f>
        <v>0</v>
      </c>
      <c r="Z42" s="2256">
        <f t="shared" si="25"/>
        <v>0</v>
      </c>
      <c r="AA42" s="2255">
        <f>SUMIF('OS Analysis'!$CU3:$CU1002,$B42,'OS Analysis'!$CW3:$CW1002)</f>
        <v>0</v>
      </c>
      <c r="AB42" s="2256">
        <f t="shared" si="25"/>
        <v>0</v>
      </c>
      <c r="AC42" s="2255">
        <f>SUMIF('OS Analysis'!$CU3:$CU1002,$B42,'OS Analysis'!$CX3:$CX1002)</f>
        <v>0</v>
      </c>
      <c r="AD42" s="2256">
        <f t="shared" si="25"/>
        <v>0</v>
      </c>
      <c r="AE42" s="2255">
        <v>0</v>
      </c>
      <c r="AF42" s="2256">
        <f t="shared" si="25"/>
        <v>0</v>
      </c>
      <c r="AG42" s="2255">
        <v>0</v>
      </c>
      <c r="AH42" s="2256">
        <f t="shared" si="25"/>
        <v>0</v>
      </c>
      <c r="AI42" s="2255">
        <v>0</v>
      </c>
      <c r="AJ42" s="2256">
        <f t="shared" si="25"/>
        <v>0</v>
      </c>
      <c r="AK42" s="2255">
        <f t="shared" si="26"/>
        <v>14292.28</v>
      </c>
      <c r="AL42" s="2256">
        <f t="shared" si="25"/>
        <v>142</v>
      </c>
      <c r="AM42" s="2255">
        <v>0</v>
      </c>
      <c r="AN42" s="2256">
        <f t="shared" si="25"/>
        <v>0</v>
      </c>
      <c r="AO42" s="2250"/>
      <c r="AP42" s="2250"/>
      <c r="AQ42" s="2114" t="str">
        <f t="shared" si="3"/>
        <v>Electricity</v>
      </c>
      <c r="AR42" s="2278" t="str">
        <f t="shared" si="27"/>
        <v>T-12 + 3%</v>
      </c>
      <c r="AS42" s="2114"/>
      <c r="AT42" s="2169"/>
      <c r="AU42" s="2160"/>
      <c r="AV42" s="2253">
        <f t="shared" si="6"/>
        <v>0</v>
      </c>
      <c r="AW42" s="2254">
        <f>ROUND(IF(AV42=0,0,(AV42)/V1),0)</f>
        <v>0</v>
      </c>
      <c r="AX42" s="2276">
        <v>0</v>
      </c>
      <c r="AY42" s="2254">
        <f>ROUND(IF(AX42=0,0,(AX42)/V1),0)</f>
        <v>0</v>
      </c>
    </row>
    <row r="43" ht="15" customHeight="1">
      <c r="A43" s="2272">
        <f t="shared" si="18"/>
        <v>9</v>
      </c>
      <c r="B43" s="2279" t="s">
        <v>1419</v>
      </c>
      <c r="C43" s="2185"/>
      <c r="D43" s="2280">
        <f>IF(ISBLANK(D$3),SUMIF('OS Analysis'!$BM3:$BM1002,$B43,'OS Analysis'!$CB3:$CB1002),INDEX($J43:$U43,1,MATCH(D$3,$J$4:$U$4,0)))</f>
        <v>0</v>
      </c>
      <c r="E43" s="2187">
        <f t="shared" si="25"/>
        <v>0</v>
      </c>
      <c r="F43" s="2280">
        <f>IF(ISBLANK(F$3),SUMIF('OS Analysis'!$AV3:$AV1002,$B43,'OS Analysis'!$BK3:$BK1002),INDEX($J43:$U43,1,MATCH(F$3,$J$4:$U$4,0)))</f>
        <v>0</v>
      </c>
      <c r="G43" s="2187">
        <f t="shared" si="25"/>
        <v>0</v>
      </c>
      <c r="H43" s="2280">
        <f>IF(ISBLANK(H$3),SUMIF('OS Analysis'!$AE3:$AE1002,$B43,'OS Analysis'!$AT3:$AT1002),INDEX($J43:$U43,1,MATCH(H$3,$J$4:$U$4,0)))</f>
        <v>0</v>
      </c>
      <c r="I43" s="2187">
        <f t="shared" si="25"/>
        <v>0</v>
      </c>
      <c r="J43" s="2281">
        <f>((SUMIF('OS Analysis'!$B3:$B1002,B43,'OS Analysis'!$AC3:$AC1002))/12)*12</f>
        <v>114174</v>
      </c>
      <c r="K43" s="2282">
        <f>((SUMIF('OS Analysis'!$B3:$B1002,B43,'OS Analysis'!$AB3:$AB1002))/11)*12</f>
        <v>114571.63636363637</v>
      </c>
      <c r="L43" s="2282">
        <f>((SUMIF('OS Analysis'!$B3:$B1002,B43,'OS Analysis'!$AA3:$AA1002))/10)*12</f>
        <v>115201.20000000001</v>
      </c>
      <c r="M43" s="2282">
        <f>((SUMIF('OS Analysis'!$B3:$B1002,B43,'OS Analysis'!$Z3:$Z1002))/9)*12</f>
        <v>104226.66666666666</v>
      </c>
      <c r="N43" s="2282">
        <f>((SUMIF('OS Analysis'!$B3:$B1002,B43,'OS Analysis'!$Y3:$Y1002))/8)*12</f>
        <v>116680.5</v>
      </c>
      <c r="O43" s="2282">
        <f>((SUMIF('OS Analysis'!$B3:$B1002,B43,'OS Analysis'!$X3:$X1002))/7)*12</f>
        <v>113477.14285714284</v>
      </c>
      <c r="P43" s="2282">
        <f>((SUMIF('OS Analysis'!$B3:$B1002,B43,'OS Analysis'!$W3:$W1002))/6)*12</f>
        <v>106140</v>
      </c>
      <c r="Q43" s="2282">
        <f>((SUMIF('OS Analysis'!$B3:$B1002,B43,'OS Analysis'!$V3:$V1002))/5)*12</f>
        <v>120554.40000000001</v>
      </c>
      <c r="R43" s="2282">
        <f>((SUMIF('OS Analysis'!$B3:$B1002,B43,'OS Analysis'!$U3:$U1002))/4)*12</f>
        <v>124221</v>
      </c>
      <c r="S43" s="2282">
        <f>((SUMIF('OS Analysis'!$B3:$B1002,B43,'OS Analysis'!$T3:$T1002))/3)*12</f>
        <v>132396</v>
      </c>
      <c r="T43" s="2282">
        <f>((SUMIF('OS Analysis'!$B3:$B1002,B43,'OS Analysis'!$S3:$S1002))/2)*12</f>
        <v>131922</v>
      </c>
      <c r="U43" s="2282">
        <f>(SUMIF('OS Analysis'!$B3:$B1002,B43,'OS Analysis'!$R3:$R1002))*12</f>
        <v>113544</v>
      </c>
      <c r="V43" s="2283">
        <f>SUMIF('OS Analysis'!$B$3:$B$1002,$B43,'OS Analysis'!$Q$3:$Q$1002)</f>
        <v>114174</v>
      </c>
      <c r="W43" s="2280">
        <f t="shared" si="5"/>
        <v>114174</v>
      </c>
      <c r="X43" s="2187">
        <f t="shared" si="25"/>
        <v>1130</v>
      </c>
      <c r="Y43" s="2280">
        <f>SUMIF('OS Analysis'!$CD3:$CD1002,$B43,'OS Analysis'!$CS3:$CS1002)</f>
        <v>0</v>
      </c>
      <c r="Z43" s="2187">
        <f t="shared" si="25"/>
        <v>0</v>
      </c>
      <c r="AA43" s="2280">
        <f>SUMIF('OS Analysis'!$CU3:$CU1002,$B43,'OS Analysis'!$CW3:$CW1002)</f>
        <v>0</v>
      </c>
      <c r="AB43" s="2187">
        <f t="shared" si="25"/>
        <v>0</v>
      </c>
      <c r="AC43" s="2280">
        <f>SUMIF('OS Analysis'!$CU3:$CU1002,$B43,'OS Analysis'!$CX3:$CX1002)</f>
        <v>0</v>
      </c>
      <c r="AD43" s="2187">
        <f t="shared" si="25"/>
        <v>0</v>
      </c>
      <c r="AE43" s="2280">
        <v>0</v>
      </c>
      <c r="AF43" s="2187">
        <f t="shared" si="25"/>
        <v>0</v>
      </c>
      <c r="AG43" s="2280">
        <v>0</v>
      </c>
      <c r="AH43" s="2187">
        <f t="shared" si="25"/>
        <v>0</v>
      </c>
      <c r="AI43" s="2280">
        <v>0</v>
      </c>
      <c r="AJ43" s="2187">
        <f t="shared" si="25"/>
        <v>0</v>
      </c>
      <c r="AK43" s="2280">
        <f t="shared" si="26"/>
        <v>117599.22</v>
      </c>
      <c r="AL43" s="2187">
        <f t="shared" si="25"/>
        <v>1164</v>
      </c>
      <c r="AM43" s="2280">
        <v>0</v>
      </c>
      <c r="AN43" s="2187">
        <f t="shared" si="25"/>
        <v>0</v>
      </c>
      <c r="AO43" s="2250"/>
      <c r="AP43" s="2250"/>
      <c r="AQ43" s="2114" t="str">
        <f t="shared" si="3"/>
        <v>Water &amp; Sewer</v>
      </c>
      <c r="AR43" s="2284" t="str">
        <f t="shared" si="27"/>
        <v>T-12 + 3%</v>
      </c>
      <c r="AS43" s="2114"/>
      <c r="AT43" s="2169"/>
      <c r="AU43" s="2160"/>
      <c r="AV43" s="2253">
        <f t="shared" si="6"/>
        <v>0</v>
      </c>
      <c r="AW43" s="2254">
        <f>ROUND(IF(AV43=0,0,(AV43)/V1),0)</f>
        <v>0</v>
      </c>
      <c r="AX43" s="2276">
        <v>0</v>
      </c>
      <c r="AY43" s="2254">
        <f>ROUND(IF(AX43=0,0,(AX43)/V1),0)</f>
        <v>0</v>
      </c>
    </row>
    <row r="44" ht="14.25" customHeight="1">
      <c r="A44" s="2114">
        <f t="shared" si="18"/>
        <v>10</v>
      </c>
      <c r="B44" s="2272" t="s">
        <v>1823</v>
      </c>
      <c r="C44" s="2114"/>
      <c r="D44" s="2148">
        <f>IF(ISBLANK(D$3),SUMIF('OS Analysis'!$BM3:$BM1002,$B44,'OS Analysis'!$CB3:$CB1002),INDEX($J44:$U44,1,MATCH(D$3,$J$4:$U$4,0)))</f>
        <v>0</v>
      </c>
      <c r="E44" s="2149">
        <f t="shared" si="25"/>
        <v>0</v>
      </c>
      <c r="F44" s="2148">
        <f>IF(ISBLANK(F$3),SUMIF('OS Analysis'!$AV3:$AV1002,$B44,'OS Analysis'!$BK3:$BK1002),INDEX($J44:$U44,1,MATCH(F$3,$J$4:$U$4,0)))</f>
        <v>0</v>
      </c>
      <c r="G44" s="2149">
        <f t="shared" si="25"/>
        <v>0</v>
      </c>
      <c r="H44" s="2148">
        <f>IF(ISBLANK(H$3),SUMIF('OS Analysis'!$AE3:$AE1002,$B44,'OS Analysis'!$AT3:$AT1002),INDEX($J44:$U44,1,MATCH(H$3,$J$4:$U$4,0)))</f>
        <v>0</v>
      </c>
      <c r="I44" s="2149">
        <f t="shared" si="25"/>
        <v>0</v>
      </c>
      <c r="J44" s="2153">
        <f>((SUMIF('OS Analysis'!$B3:$B1002,B44,'OS Analysis'!$AC3:$AC1002))/12)*12</f>
        <v>6928</v>
      </c>
      <c r="K44" s="2249">
        <f>((SUMIF('OS Analysis'!$B3:$B1002,B44,'OS Analysis'!$AB3:$AB1002))/11)*12</f>
        <v>7192.363636363636</v>
      </c>
      <c r="L44" s="2249">
        <f>((SUMIF('OS Analysis'!$B3:$B1002,B44,'OS Analysis'!$AA3:$AA1002))/10)*12</f>
        <v>7484.400000000001</v>
      </c>
      <c r="M44" s="2249">
        <f>((SUMIF('OS Analysis'!$B3:$B1002,B44,'OS Analysis'!$Z3:$Z1002))/9)*12</f>
        <v>7669.333333333333</v>
      </c>
      <c r="N44" s="2249">
        <f>((SUMIF('OS Analysis'!$B3:$B1002,B44,'OS Analysis'!$Y3:$Y1002))/8)*12</f>
        <v>8628</v>
      </c>
      <c r="O44" s="2249">
        <f>((SUMIF('OS Analysis'!$B3:$B1002,B44,'OS Analysis'!$X3:$X1002))/7)*12</f>
        <v>9248.571428571428</v>
      </c>
      <c r="P44" s="2249">
        <f>((SUMIF('OS Analysis'!$B3:$B1002,B44,'OS Analysis'!$W3:$W1002))/6)*12</f>
        <v>7816</v>
      </c>
      <c r="Q44" s="2249">
        <f>((SUMIF('OS Analysis'!$B3:$B1002,B44,'OS Analysis'!$V3:$V1002))/5)*12</f>
        <v>8865.599999999999</v>
      </c>
      <c r="R44" s="2249">
        <f>((SUMIF('OS Analysis'!$B3:$B1002,B44,'OS Analysis'!$U3:$U1002))/4)*12</f>
        <v>10014</v>
      </c>
      <c r="S44" s="2249">
        <f>((SUMIF('OS Analysis'!$B3:$B1002,B44,'OS Analysis'!$T3:$T1002))/3)*12</f>
        <v>11944</v>
      </c>
      <c r="T44" s="2249">
        <f>((SUMIF('OS Analysis'!$B3:$B1002,B44,'OS Analysis'!$S3:$S1002))/2)*12</f>
        <v>16830</v>
      </c>
      <c r="U44" s="2249">
        <f>(SUMIF('OS Analysis'!$B3:$B1002,B44,'OS Analysis'!$R3:$R1002))*12</f>
        <v>28680</v>
      </c>
      <c r="V44" s="2150">
        <f>SUMIF('OS Analysis'!$B$3:$B$1002,$B44,'OS Analysis'!$Q$3:$Q$1002)</f>
        <v>6928</v>
      </c>
      <c r="W44" s="2148">
        <f t="shared" si="5"/>
        <v>6928</v>
      </c>
      <c r="X44" s="2149">
        <f t="shared" si="25"/>
        <v>69</v>
      </c>
      <c r="Y44" s="2148">
        <f>SUMIF('OS Analysis'!$CD3:$CD1002,$B44,'OS Analysis'!$CS3:$CS1002)</f>
        <v>0</v>
      </c>
      <c r="Z44" s="2149">
        <f t="shared" si="25"/>
        <v>0</v>
      </c>
      <c r="AA44" s="2148">
        <f>SUMIF('OS Analysis'!$CU3:$CU1002,$B44,'OS Analysis'!$CW3:$CW1002)</f>
        <v>0</v>
      </c>
      <c r="AB44" s="2149">
        <f t="shared" si="25"/>
        <v>0</v>
      </c>
      <c r="AC44" s="2148">
        <f>SUMIF('OS Analysis'!$CU3:$CU1002,$B44,'OS Analysis'!$CX3:$CX1002)</f>
        <v>0</v>
      </c>
      <c r="AD44" s="2149">
        <f t="shared" si="25"/>
        <v>0</v>
      </c>
      <c r="AE44" s="2148">
        <v>0</v>
      </c>
      <c r="AF44" s="2149">
        <f t="shared" si="25"/>
        <v>0</v>
      </c>
      <c r="AG44" s="2148">
        <v>0</v>
      </c>
      <c r="AH44" s="2149">
        <f t="shared" si="25"/>
        <v>0</v>
      </c>
      <c r="AI44" s="2148">
        <v>0</v>
      </c>
      <c r="AJ44" s="2149">
        <f t="shared" si="25"/>
        <v>0</v>
      </c>
      <c r="AK44" s="2148">
        <f t="shared" si="26"/>
        <v>7135.84</v>
      </c>
      <c r="AL44" s="2149">
        <f t="shared" si="25"/>
        <v>71</v>
      </c>
      <c r="AM44" s="2148">
        <v>0</v>
      </c>
      <c r="AN44" s="2149">
        <f t="shared" si="25"/>
        <v>0</v>
      </c>
      <c r="AO44" s="2250"/>
      <c r="AP44" s="2250"/>
      <c r="AQ44" s="2114" t="str">
        <f t="shared" si="3"/>
        <v>Pest Control</v>
      </c>
      <c r="AR44" s="2273" t="str">
        <f t="shared" si="27"/>
        <v>T-12 + 3%</v>
      </c>
      <c r="AS44" s="2114"/>
      <c r="AT44" s="2169"/>
      <c r="AU44" s="2160"/>
      <c r="AV44" s="2253">
        <f t="shared" si="6"/>
        <v>0</v>
      </c>
      <c r="AW44" s="2254">
        <f>ROUND(IF(AV44=0,0,(AV44)/V1),0)</f>
        <v>0</v>
      </c>
      <c r="AX44" s="2276">
        <v>0</v>
      </c>
      <c r="AY44" s="2254">
        <f>ROUND(IF(AX44=0,0,(AX44)/V1),0)</f>
        <v>0</v>
      </c>
    </row>
    <row r="45" ht="14.25" customHeight="1">
      <c r="A45" s="2114">
        <f t="shared" si="18"/>
        <v>11</v>
      </c>
      <c r="B45" s="2272" t="s">
        <v>1824</v>
      </c>
      <c r="C45" s="2114"/>
      <c r="D45" s="2148">
        <f>IF(ISBLANK(D$3),SUMIF('OS Analysis'!$BM3:$BM1002,$B45,'OS Analysis'!$CB3:$CB1002),INDEX($J45:$U45,1,MATCH(D$3,$J$4:$U$4,0)))</f>
        <v>0</v>
      </c>
      <c r="E45" s="2149">
        <f t="shared" si="25"/>
        <v>0</v>
      </c>
      <c r="F45" s="2148">
        <f>IF(ISBLANK(F$3),SUMIF('OS Analysis'!$AV3:$AV1002,$B45,'OS Analysis'!$BK3:$BK1002),INDEX($J45:$U45,1,MATCH(F$3,$J$4:$U$4,0)))</f>
        <v>0</v>
      </c>
      <c r="G45" s="2149">
        <f t="shared" si="25"/>
        <v>0</v>
      </c>
      <c r="H45" s="2148">
        <f>IF(ISBLANK(H$3),SUMIF('OS Analysis'!$AE3:$AE1002,$B45,'OS Analysis'!$AT3:$AT1002),INDEX($J45:$U45,1,MATCH(H$3,$J$4:$U$4,0)))</f>
        <v>0</v>
      </c>
      <c r="I45" s="2149">
        <f t="shared" si="25"/>
        <v>0</v>
      </c>
      <c r="J45" s="2153">
        <f>((SUMIF('OS Analysis'!$B3:$B1002,B45,'OS Analysis'!$AC3:$AC1002))/12)*12</f>
        <v>188637</v>
      </c>
      <c r="K45" s="2249">
        <f>((SUMIF('OS Analysis'!$B3:$B1002,B45,'OS Analysis'!$AB3:$AB1002))/11)*12</f>
        <v>191190.54545454544</v>
      </c>
      <c r="L45" s="2249">
        <f>((SUMIF('OS Analysis'!$B3:$B1002,B45,'OS Analysis'!$AA3:$AA1002))/10)*12</f>
        <v>186744</v>
      </c>
      <c r="M45" s="2249">
        <f>((SUMIF('OS Analysis'!$B3:$B1002,B45,'OS Analysis'!$Z3:$Z1002))/9)*12</f>
        <v>172269.3333333333</v>
      </c>
      <c r="N45" s="2249">
        <f>((SUMIF('OS Analysis'!$B3:$B1002,B45,'OS Analysis'!$Y3:$Y1002))/8)*12</f>
        <v>184059</v>
      </c>
      <c r="O45" s="2249">
        <f>((SUMIF('OS Analysis'!$B3:$B1002,B45,'OS Analysis'!$X3:$X1002))/7)*12</f>
        <v>182132.57142857142</v>
      </c>
      <c r="P45" s="2249">
        <f>((SUMIF('OS Analysis'!$B3:$B1002,B45,'OS Analysis'!$W3:$W1002))/6)*12</f>
        <v>173038</v>
      </c>
      <c r="Q45" s="2249">
        <f>((SUMIF('OS Analysis'!$B3:$B1002,B45,'OS Analysis'!$V3:$V1002))/5)*12</f>
        <v>197203.19999999998</v>
      </c>
      <c r="R45" s="2249">
        <f>((SUMIF('OS Analysis'!$B3:$B1002,B45,'OS Analysis'!$U3:$U1002))/4)*12</f>
        <v>214167</v>
      </c>
      <c r="S45" s="2249">
        <f>((SUMIF('OS Analysis'!$B3:$B1002,B45,'OS Analysis'!$T3:$T1002))/3)*12</f>
        <v>212052</v>
      </c>
      <c r="T45" s="2249">
        <f>((SUMIF('OS Analysis'!$B3:$B1002,B45,'OS Analysis'!$S3:$S1002))/2)*12</f>
        <v>225750</v>
      </c>
      <c r="U45" s="2249">
        <f>(SUMIF('OS Analysis'!$B3:$B1002,B45,'OS Analysis'!$R3:$R1002))*12</f>
        <v>239088</v>
      </c>
      <c r="V45" s="2150">
        <f>SUMIF('OS Analysis'!$B$3:$B$1002,$B45,'OS Analysis'!$Q$3:$Q$1002)</f>
        <v>188637</v>
      </c>
      <c r="W45" s="2148">
        <f t="shared" si="5"/>
        <v>188637</v>
      </c>
      <c r="X45" s="2149">
        <f t="shared" si="25"/>
        <v>1868</v>
      </c>
      <c r="Y45" s="2148">
        <f>SUMIF('OS Analysis'!$CD3:$CD1002,$B45,'OS Analysis'!$CS3:$CS1002)</f>
        <v>0</v>
      </c>
      <c r="Z45" s="2149">
        <f t="shared" si="25"/>
        <v>0</v>
      </c>
      <c r="AA45" s="2148">
        <f>SUMIF('OS Analysis'!$CU3:$CU1002,$B45,'OS Analysis'!$CW3:$CW1002)</f>
        <v>0</v>
      </c>
      <c r="AB45" s="2149">
        <f t="shared" si="25"/>
        <v>0</v>
      </c>
      <c r="AC45" s="2148">
        <f>SUMIF('OS Analysis'!$CU3:$CU1002,$B45,'OS Analysis'!$CX3:$CX1002)</f>
        <v>0</v>
      </c>
      <c r="AD45" s="2149">
        <f t="shared" si="25"/>
        <v>0</v>
      </c>
      <c r="AE45" s="2148">
        <v>0</v>
      </c>
      <c r="AF45" s="2149">
        <f t="shared" si="25"/>
        <v>0</v>
      </c>
      <c r="AG45" s="2148">
        <v>0</v>
      </c>
      <c r="AH45" s="2149">
        <f t="shared" si="25"/>
        <v>0</v>
      </c>
      <c r="AI45" s="2148">
        <v>0</v>
      </c>
      <c r="AJ45" s="2149">
        <f t="shared" si="25"/>
        <v>0</v>
      </c>
      <c r="AK45" s="2148">
        <f t="shared" si="26"/>
        <v>194296.11</v>
      </c>
      <c r="AL45" s="2149">
        <f t="shared" si="25"/>
        <v>1924</v>
      </c>
      <c r="AM45" s="2148">
        <v>0</v>
      </c>
      <c r="AN45" s="2149">
        <f t="shared" si="25"/>
        <v>0</v>
      </c>
      <c r="AO45" s="2250"/>
      <c r="AP45" s="2250"/>
      <c r="AQ45" s="2114" t="str">
        <f t="shared" si="3"/>
        <v>Bldg. Maint. &amp; Repair</v>
      </c>
      <c r="AR45" s="2285" t="str">
        <f t="shared" si="27"/>
        <v>T-12 + 3%</v>
      </c>
      <c r="AS45" s="2114"/>
      <c r="AT45" s="2169"/>
      <c r="AU45" s="2160"/>
      <c r="AV45" s="2253">
        <f t="shared" si="6"/>
        <v>0</v>
      </c>
      <c r="AW45" s="2254">
        <f>ROUND(IF(AV45=0,0,(AV45)/V1),0)</f>
        <v>0</v>
      </c>
      <c r="AX45" s="2276">
        <v>0</v>
      </c>
      <c r="AY45" s="2254">
        <f>ROUND(IF(AX45=0,0,(AX45)/V1),0)</f>
        <v>0</v>
      </c>
    </row>
    <row r="46" ht="14.25" customHeight="1">
      <c r="A46" s="2114">
        <f t="shared" si="18"/>
        <v>12</v>
      </c>
      <c r="B46" s="2272" t="s">
        <v>1916</v>
      </c>
      <c r="C46" s="2114"/>
      <c r="D46" s="2148">
        <f>IF(ISBLANK(D$3),SUMIF('OS Analysis'!$BM3:$BM1002,$B46,'OS Analysis'!$CB3:$CB1002),INDEX($J46:$U46,1,MATCH(D$3,$J$4:$U$4,0)))</f>
        <v>0</v>
      </c>
      <c r="E46" s="2149">
        <f t="shared" si="25"/>
        <v>0</v>
      </c>
      <c r="F46" s="2148">
        <f>IF(ISBLANK(F$3),SUMIF('OS Analysis'!$AV3:$AV1002,$B46,'OS Analysis'!$BK3:$BK1002),INDEX($J46:$U46,1,MATCH(F$3,$J$4:$U$4,0)))</f>
        <v>0</v>
      </c>
      <c r="G46" s="2149">
        <f t="shared" si="25"/>
        <v>0</v>
      </c>
      <c r="H46" s="2148">
        <f>IF(ISBLANK(H$3),SUMIF('OS Analysis'!$AE3:$AE1002,$B46,'OS Analysis'!$AT3:$AT1002),INDEX($J46:$U46,1,MATCH(H$3,$J$4:$U$4,0)))</f>
        <v>0</v>
      </c>
      <c r="I46" s="2149">
        <f t="shared" si="25"/>
        <v>0</v>
      </c>
      <c r="J46" s="2153">
        <f>((SUMIF('OS Analysis'!$B3:$B1002,B46,'OS Analysis'!$AC3:$AC1002))/12)*12</f>
        <v>115069</v>
      </c>
      <c r="K46" s="2249">
        <f>((SUMIF('OS Analysis'!$B3:$B1002,B46,'OS Analysis'!$AB3:$AB1002))/11)*12</f>
        <v>119580</v>
      </c>
      <c r="L46" s="2249">
        <f>((SUMIF('OS Analysis'!$B3:$B1002,B46,'OS Analysis'!$AA3:$AA1002))/10)*12</f>
        <v>115909.20000000001</v>
      </c>
      <c r="M46" s="2249">
        <f>((SUMIF('OS Analysis'!$B3:$B1002,B46,'OS Analysis'!$Z3:$Z1002))/9)*12</f>
        <v>110972</v>
      </c>
      <c r="N46" s="2249">
        <f>((SUMIF('OS Analysis'!$B3:$B1002,B46,'OS Analysis'!$Y3:$Y1002))/8)*12</f>
        <v>113685</v>
      </c>
      <c r="O46" s="2249">
        <f>((SUMIF('OS Analysis'!$B3:$B1002,B46,'OS Analysis'!$X3:$X1002))/7)*12</f>
        <v>107557.71428571429</v>
      </c>
      <c r="P46" s="2249">
        <f>((SUMIF('OS Analysis'!$B3:$B1002,B46,'OS Analysis'!$W3:$W1002))/6)*12</f>
        <v>120618</v>
      </c>
      <c r="Q46" s="2249">
        <f>((SUMIF('OS Analysis'!$B3:$B1002,B46,'OS Analysis'!$V3:$V1002))/5)*12</f>
        <v>120722.40000000001</v>
      </c>
      <c r="R46" s="2249">
        <f>((SUMIF('OS Analysis'!$B3:$B1002,B46,'OS Analysis'!$U3:$U1002))/4)*12</f>
        <v>136506</v>
      </c>
      <c r="S46" s="2249">
        <f>((SUMIF('OS Analysis'!$B3:$B1002,B46,'OS Analysis'!$T3:$T1002))/3)*12</f>
        <v>130696</v>
      </c>
      <c r="T46" s="2249">
        <f>((SUMIF('OS Analysis'!$B3:$B1002,B46,'OS Analysis'!$S3:$S1002))/2)*12</f>
        <v>130956</v>
      </c>
      <c r="U46" s="2249">
        <f>(SUMIF('OS Analysis'!$B3:$B1002,B46,'OS Analysis'!$R3:$R1002))*12</f>
        <v>153708</v>
      </c>
      <c r="V46" s="2150">
        <f>SUMIF('OS Analysis'!$B$3:$B$1002,$B46,'OS Analysis'!$Q$3:$Q$1002)</f>
        <v>115069</v>
      </c>
      <c r="W46" s="2148">
        <f t="shared" si="5"/>
        <v>115069</v>
      </c>
      <c r="X46" s="2149">
        <f t="shared" si="25"/>
        <v>1139</v>
      </c>
      <c r="Y46" s="2148">
        <f>SUMIF('OS Analysis'!$CD3:$CD1002,$B46,'OS Analysis'!$CS3:$CS1002)</f>
        <v>0</v>
      </c>
      <c r="Z46" s="2149">
        <f t="shared" si="25"/>
        <v>0</v>
      </c>
      <c r="AA46" s="2148">
        <f>SUMIF('OS Analysis'!$CU3:$CU1002,$B46,'OS Analysis'!$CW3:$CW1002)</f>
        <v>0</v>
      </c>
      <c r="AB46" s="2149">
        <f t="shared" si="25"/>
        <v>0</v>
      </c>
      <c r="AC46" s="2148">
        <f>SUMIF('OS Analysis'!$CU3:$CU1002,$B46,'OS Analysis'!$CX3:$CX1002)</f>
        <v>0</v>
      </c>
      <c r="AD46" s="2149">
        <f t="shared" si="25"/>
        <v>0</v>
      </c>
      <c r="AE46" s="2148">
        <v>0</v>
      </c>
      <c r="AF46" s="2149">
        <f t="shared" si="25"/>
        <v>0</v>
      </c>
      <c r="AG46" s="2148">
        <v>0</v>
      </c>
      <c r="AH46" s="2149">
        <f t="shared" si="25"/>
        <v>0</v>
      </c>
      <c r="AI46" s="2148">
        <v>0</v>
      </c>
      <c r="AJ46" s="2149">
        <f t="shared" si="25"/>
        <v>0</v>
      </c>
      <c r="AK46" s="2148">
        <f t="shared" si="26"/>
        <v>118521.07</v>
      </c>
      <c r="AL46" s="2149">
        <f t="shared" si="25"/>
        <v>1173</v>
      </c>
      <c r="AM46" s="2148">
        <v>0</v>
      </c>
      <c r="AN46" s="2149">
        <f t="shared" si="25"/>
        <v>0</v>
      </c>
      <c r="AO46" s="2250"/>
      <c r="AP46" s="2250"/>
      <c r="AQ46" s="2114" t="str">
        <f t="shared" si="3"/>
        <v>Paint/Decorating/Turnover</v>
      </c>
      <c r="AR46" s="2285" t="str">
        <f t="shared" si="27"/>
        <v>T-12 + 3%</v>
      </c>
      <c r="AS46" s="2114"/>
      <c r="AT46" s="2169"/>
      <c r="AU46" s="2160"/>
      <c r="AV46" s="2253">
        <f t="shared" si="6"/>
        <v>0</v>
      </c>
      <c r="AW46" s="2254">
        <f>ROUND(IF(AV46=0,0,(AV46)/V1),0)</f>
        <v>0</v>
      </c>
      <c r="AX46" s="2276">
        <v>0</v>
      </c>
      <c r="AY46" s="2254">
        <f>ROUND(IF(AX46=0,0,(AX46)/V1),0)</f>
        <v>0</v>
      </c>
    </row>
    <row r="47" ht="14.25" customHeight="1">
      <c r="A47" s="2114">
        <f t="shared" si="18"/>
        <v>13</v>
      </c>
      <c r="B47" s="2272" t="s">
        <v>1827</v>
      </c>
      <c r="C47" s="2114"/>
      <c r="D47" s="2148">
        <f>IF(ISBLANK(D$3),SUMIF('OS Analysis'!$BM3:$BM1002,$B47,'OS Analysis'!$CB3:$CB1002),INDEX($J47:$U47,1,MATCH(D$3,$J$4:$U$4,0)))</f>
        <v>0</v>
      </c>
      <c r="E47" s="2149">
        <f t="shared" si="25"/>
        <v>0</v>
      </c>
      <c r="F47" s="2148">
        <f>IF(ISBLANK(F$3),SUMIF('OS Analysis'!$AV3:$AV1002,$B47,'OS Analysis'!$BK3:$BK1002),INDEX($J47:$U47,1,MATCH(F$3,$J$4:$U$4,0)))</f>
        <v>0</v>
      </c>
      <c r="G47" s="2149">
        <f t="shared" si="25"/>
        <v>0</v>
      </c>
      <c r="H47" s="2148">
        <f>IF(ISBLANK(H$3),SUMIF('OS Analysis'!$AE3:$AE1002,$B47,'OS Analysis'!$AT3:$AT1002),INDEX($J47:$U47,1,MATCH(H$3,$J$4:$U$4,0)))</f>
        <v>0</v>
      </c>
      <c r="I47" s="2149">
        <f t="shared" si="25"/>
        <v>0</v>
      </c>
      <c r="J47" s="2153">
        <f>((SUMIF('OS Analysis'!$B3:$B1002,B47,'OS Analysis'!$AC3:$AC1002))/12)*12</f>
        <v>0</v>
      </c>
      <c r="K47" s="2249">
        <f>((SUMIF('OS Analysis'!$B3:$B1002,B47,'OS Analysis'!$AB3:$AB1002))/11)*12</f>
        <v>0</v>
      </c>
      <c r="L47" s="2249">
        <f>((SUMIF('OS Analysis'!$B3:$B1002,B47,'OS Analysis'!$AA3:$AA1002))/10)*12</f>
        <v>0</v>
      </c>
      <c r="M47" s="2249">
        <f>((SUMIF('OS Analysis'!$B3:$B1002,B47,'OS Analysis'!$Z3:$Z1002))/9)*12</f>
        <v>0</v>
      </c>
      <c r="N47" s="2249">
        <f>((SUMIF('OS Analysis'!$B3:$B1002,B47,'OS Analysis'!$Y3:$Y1002))/8)*12</f>
        <v>0</v>
      </c>
      <c r="O47" s="2249">
        <f>((SUMIF('OS Analysis'!$B3:$B1002,B47,'OS Analysis'!$X3:$X1002))/7)*12</f>
        <v>0</v>
      </c>
      <c r="P47" s="2249">
        <f>((SUMIF('OS Analysis'!$B3:$B1002,B47,'OS Analysis'!$W3:$W1002))/6)*12</f>
        <v>0</v>
      </c>
      <c r="Q47" s="2249">
        <f>((SUMIF('OS Analysis'!$B3:$B1002,B47,'OS Analysis'!$V3:$V1002))/5)*12</f>
        <v>0</v>
      </c>
      <c r="R47" s="2249">
        <f>((SUMIF('OS Analysis'!$B3:$B1002,B47,'OS Analysis'!$U3:$U1002))/4)*12</f>
        <v>0</v>
      </c>
      <c r="S47" s="2249">
        <f>((SUMIF('OS Analysis'!$B3:$B1002,B47,'OS Analysis'!$T3:$T1002))/3)*12</f>
        <v>0</v>
      </c>
      <c r="T47" s="2249">
        <f>((SUMIF('OS Analysis'!$B3:$B1002,B47,'OS Analysis'!$S3:$S1002))/2)*12</f>
        <v>0</v>
      </c>
      <c r="U47" s="2249">
        <f>(SUMIF('OS Analysis'!$B3:$B1002,B47,'OS Analysis'!$R3:$R1002))*12</f>
        <v>0</v>
      </c>
      <c r="V47" s="2150">
        <f>SUMIF('OS Analysis'!$B$3:$B$1002,$B47,'OS Analysis'!$Q$3:$Q$1002)</f>
        <v>0</v>
      </c>
      <c r="W47" s="2148">
        <f t="shared" si="5"/>
        <v>0</v>
      </c>
      <c r="X47" s="2149">
        <f t="shared" si="25"/>
        <v>0</v>
      </c>
      <c r="Y47" s="2148">
        <f>SUMIF('OS Analysis'!$CD3:$CD1002,$B47,'OS Analysis'!$CS3:$CS1002)</f>
        <v>0</v>
      </c>
      <c r="Z47" s="2149">
        <f t="shared" si="25"/>
        <v>0</v>
      </c>
      <c r="AA47" s="2148">
        <f>SUMIF('OS Analysis'!$CU3:$CU1002,$B47,'OS Analysis'!$CW3:$CW1002)</f>
        <v>0</v>
      </c>
      <c r="AB47" s="2149">
        <f t="shared" si="25"/>
        <v>0</v>
      </c>
      <c r="AC47" s="2148">
        <f>SUMIF('OS Analysis'!$CU3:$CU1002,$B47,'OS Analysis'!$CX3:$CX1002)</f>
        <v>0</v>
      </c>
      <c r="AD47" s="2149">
        <f t="shared" si="25"/>
        <v>0</v>
      </c>
      <c r="AE47" s="2148">
        <v>0</v>
      </c>
      <c r="AF47" s="2149">
        <f t="shared" si="25"/>
        <v>0</v>
      </c>
      <c r="AG47" s="2148">
        <v>0</v>
      </c>
      <c r="AH47" s="2149">
        <f t="shared" si="25"/>
        <v>0</v>
      </c>
      <c r="AI47" s="2148">
        <v>0</v>
      </c>
      <c r="AJ47" s="2149">
        <f t="shared" si="25"/>
        <v>0</v>
      </c>
      <c r="AK47" s="2148">
        <f t="shared" si="26"/>
        <v>0</v>
      </c>
      <c r="AL47" s="2149">
        <f t="shared" si="25"/>
        <v>0</v>
      </c>
      <c r="AM47" s="2148">
        <v>0</v>
      </c>
      <c r="AN47" s="2149">
        <f t="shared" si="25"/>
        <v>0</v>
      </c>
      <c r="AO47" s="2250"/>
      <c r="AP47" s="2250"/>
      <c r="AQ47" s="2114" t="str">
        <f t="shared" si="3"/>
        <v>Elevator Maintenance</v>
      </c>
      <c r="AR47" s="2285">
        <f t="shared" si="27"/>
      </c>
      <c r="AS47" s="2114"/>
      <c r="AT47" s="2169"/>
      <c r="AU47" s="2160"/>
      <c r="AV47" s="2253">
        <f t="shared" si="6"/>
        <v>0</v>
      </c>
      <c r="AW47" s="2254">
        <f>ROUND(IF(AV47=0,0,(AV47)/V1),0)</f>
        <v>0</v>
      </c>
      <c r="AX47" s="2276">
        <v>0</v>
      </c>
      <c r="AY47" s="2254">
        <f>ROUND(IF(AX47=0,0,(AX47)/V1),0)</f>
        <v>0</v>
      </c>
    </row>
    <row r="48" ht="14.25" customHeight="1">
      <c r="A48" s="2114">
        <f t="shared" si="18"/>
        <v>14</v>
      </c>
      <c r="B48" s="2272" t="s">
        <v>1917</v>
      </c>
      <c r="C48" s="2114"/>
      <c r="D48" s="2148">
        <f>IF(ISBLANK(D$3),SUMIF('OS Analysis'!$BM3:$BM1002,$B48,'OS Analysis'!$CB3:$CB1002),INDEX($J48:$U48,1,MATCH(D$3,$J$4:$U$4,0)))</f>
        <v>0</v>
      </c>
      <c r="E48" s="2149">
        <f t="shared" si="25"/>
        <v>0</v>
      </c>
      <c r="F48" s="2148">
        <f>IF(ISBLANK(F$3),SUMIF('OS Analysis'!$AV3:$AV1002,$B48,'OS Analysis'!$BK3:$BK1002),INDEX($J48:$U48,1,MATCH(F$3,$J$4:$U$4,0)))</f>
        <v>0</v>
      </c>
      <c r="G48" s="2149">
        <f t="shared" si="25"/>
        <v>0</v>
      </c>
      <c r="H48" s="2148">
        <f>IF(ISBLANK(H$3),SUMIF('OS Analysis'!$AE3:$AE1002,$B48,'OS Analysis'!$AT3:$AT1002),INDEX($J48:$U48,1,MATCH(H$3,$J$4:$U$4,0)))</f>
        <v>0</v>
      </c>
      <c r="I48" s="2149">
        <f t="shared" si="25"/>
        <v>0</v>
      </c>
      <c r="J48" s="2153">
        <f>((SUMIF('OS Analysis'!$B3:$B1002,B48,'OS Analysis'!$AC3:$AC1002))/12)*12</f>
        <v>10154</v>
      </c>
      <c r="K48" s="2249">
        <f>((SUMIF('OS Analysis'!$B3:$B1002,B48,'OS Analysis'!$AB3:$AB1002))/11)*12</f>
        <v>10885.09090909091</v>
      </c>
      <c r="L48" s="2249">
        <f>((SUMIF('OS Analysis'!$B3:$B1002,B48,'OS Analysis'!$AA3:$AA1002))/10)*12</f>
        <v>11973.599999999999</v>
      </c>
      <c r="M48" s="2249">
        <f>((SUMIF('OS Analysis'!$B3:$B1002,B48,'OS Analysis'!$Z3:$Z1002))/9)*12</f>
        <v>13304</v>
      </c>
      <c r="N48" s="2249">
        <f>((SUMIF('OS Analysis'!$B3:$B1002,B48,'OS Analysis'!$Y3:$Y1002))/8)*12</f>
        <v>14967</v>
      </c>
      <c r="O48" s="2249">
        <f>((SUMIF('OS Analysis'!$B3:$B1002,B48,'OS Analysis'!$X3:$X1002))/7)*12</f>
        <v>17105.142857142855</v>
      </c>
      <c r="P48" s="2249">
        <f>((SUMIF('OS Analysis'!$B3:$B1002,B48,'OS Analysis'!$W3:$W1002))/6)*12</f>
        <v>12944</v>
      </c>
      <c r="Q48" s="2249">
        <f>((SUMIF('OS Analysis'!$B3:$B1002,B48,'OS Analysis'!$V3:$V1002))/5)*12</f>
        <v>10819.2</v>
      </c>
      <c r="R48" s="2249">
        <f>((SUMIF('OS Analysis'!$B3:$B1002,B48,'OS Analysis'!$U3:$U1002))/4)*12</f>
        <v>4662</v>
      </c>
      <c r="S48" s="2249">
        <f>((SUMIF('OS Analysis'!$B3:$B1002,B48,'OS Analysis'!$T3:$T1002))/3)*12</f>
        <v>4808</v>
      </c>
      <c r="T48" s="2249">
        <f>((SUMIF('OS Analysis'!$B3:$B1002,B48,'OS Analysis'!$S3:$S1002))/2)*12</f>
        <v>6354</v>
      </c>
      <c r="U48" s="2249">
        <f>(SUMIF('OS Analysis'!$B3:$B1002,B48,'OS Analysis'!$R3:$R1002))*12</f>
        <v>12360</v>
      </c>
      <c r="V48" s="2150">
        <f>SUMIF('OS Analysis'!$B$3:$B$1002,$B48,'OS Analysis'!$Q$3:$Q$1002)</f>
        <v>10154</v>
      </c>
      <c r="W48" s="2148">
        <f t="shared" si="5"/>
        <v>10154</v>
      </c>
      <c r="X48" s="2149">
        <f t="shared" si="25"/>
        <v>101</v>
      </c>
      <c r="Y48" s="2148">
        <f>SUMIF('OS Analysis'!$CD3:$CD1002,$B48,'OS Analysis'!$CS3:$CS1002)</f>
        <v>0</v>
      </c>
      <c r="Z48" s="2149">
        <f t="shared" si="25"/>
        <v>0</v>
      </c>
      <c r="AA48" s="2148">
        <f>SUMIF('OS Analysis'!$CU3:$CU1002,$B48,'OS Analysis'!$CW3:$CW1002)</f>
        <v>0</v>
      </c>
      <c r="AB48" s="2149">
        <f t="shared" si="25"/>
        <v>0</v>
      </c>
      <c r="AC48" s="2148">
        <f>SUMIF('OS Analysis'!$CU3:$CU1002,$B48,'OS Analysis'!$CX3:$CX1002)</f>
        <v>0</v>
      </c>
      <c r="AD48" s="2149">
        <f t="shared" si="25"/>
        <v>0</v>
      </c>
      <c r="AE48" s="2148">
        <v>0</v>
      </c>
      <c r="AF48" s="2149">
        <f t="shared" si="25"/>
        <v>0</v>
      </c>
      <c r="AG48" s="2148">
        <v>0</v>
      </c>
      <c r="AH48" s="2149">
        <f t="shared" si="25"/>
        <v>0</v>
      </c>
      <c r="AI48" s="2148">
        <v>0</v>
      </c>
      <c r="AJ48" s="2149">
        <f t="shared" si="25"/>
        <v>0</v>
      </c>
      <c r="AK48" s="2148">
        <f t="shared" si="26"/>
        <v>10458.62</v>
      </c>
      <c r="AL48" s="2149">
        <f t="shared" si="25"/>
        <v>104</v>
      </c>
      <c r="AM48" s="2148">
        <v>0</v>
      </c>
      <c r="AN48" s="2149">
        <f t="shared" si="25"/>
        <v>0</v>
      </c>
      <c r="AO48" s="2250"/>
      <c r="AP48" s="2250"/>
      <c r="AQ48" s="2114" t="str">
        <f t="shared" si="3"/>
        <v>Pool Maintenance</v>
      </c>
      <c r="AR48" s="2285" t="str">
        <f t="shared" si="27"/>
        <v>T-12 + 3%</v>
      </c>
      <c r="AS48" s="2114"/>
      <c r="AT48" s="2169"/>
      <c r="AU48" s="2160"/>
      <c r="AV48" s="2253">
        <f t="shared" si="6"/>
        <v>0</v>
      </c>
      <c r="AW48" s="2254">
        <f>ROUND(IF(AV48=0,0,(AV48)/V1),0)</f>
        <v>0</v>
      </c>
      <c r="AX48" s="2276">
        <v>0</v>
      </c>
      <c r="AY48" s="2254">
        <f>ROUND(IF(AX48=0,0,(AX48)/V1),0)</f>
        <v>0</v>
      </c>
    </row>
    <row r="49" ht="14.25" customHeight="1">
      <c r="A49" s="2114">
        <f t="shared" si="18"/>
        <v>15</v>
      </c>
      <c r="B49" s="2272" t="s">
        <v>1918</v>
      </c>
      <c r="C49" s="2114"/>
      <c r="D49" s="2148">
        <f>IF(ISBLANK(D$3),SUMIF('OS Analysis'!$BM3:$BM1002,$B49,'OS Analysis'!$CB3:$CB1002),INDEX($J49:$U49,1,MATCH(D$3,$J$4:$U$4,0)))</f>
        <v>0</v>
      </c>
      <c r="E49" s="2149">
        <f t="shared" si="25"/>
        <v>0</v>
      </c>
      <c r="F49" s="2148">
        <f>IF(ISBLANK(F$3),SUMIF('OS Analysis'!$AV3:$AV1002,$B49,'OS Analysis'!$BK3:$BK1002),INDEX($J49:$U49,1,MATCH(F$3,$J$4:$U$4,0)))</f>
        <v>0</v>
      </c>
      <c r="G49" s="2149">
        <f t="shared" si="25"/>
        <v>0</v>
      </c>
      <c r="H49" s="2148">
        <f>IF(ISBLANK(H$3),SUMIF('OS Analysis'!$AE3:$AE1002,$B49,'OS Analysis'!$AT3:$AT1002),INDEX($J49:$U49,1,MATCH(H$3,$J$4:$U$4,0)))</f>
        <v>0</v>
      </c>
      <c r="I49" s="2149">
        <f t="shared" si="25"/>
        <v>0</v>
      </c>
      <c r="J49" s="2153">
        <f>((SUMIF('OS Analysis'!$B3:$B1002,B49,'OS Analysis'!$AC3:$AC1002))/12)*12</f>
        <v>26934</v>
      </c>
      <c r="K49" s="2249">
        <f>((SUMIF('OS Analysis'!$B3:$B1002,B49,'OS Analysis'!$AB3:$AB1002))/11)*12</f>
        <v>28174.909090909092</v>
      </c>
      <c r="L49" s="2249">
        <f>((SUMIF('OS Analysis'!$B3:$B1002,B49,'OS Analysis'!$AA3:$AA1002))/10)*12</f>
        <v>29397.600000000002</v>
      </c>
      <c r="M49" s="2249">
        <f>((SUMIF('OS Analysis'!$B3:$B1002,B49,'OS Analysis'!$Z3:$Z1002))/9)*12</f>
        <v>32480</v>
      </c>
      <c r="N49" s="2249">
        <f>((SUMIF('OS Analysis'!$B3:$B1002,B49,'OS Analysis'!$Y3:$Y1002))/8)*12</f>
        <v>27471</v>
      </c>
      <c r="O49" s="2249">
        <f>((SUMIF('OS Analysis'!$B3:$B1002,B49,'OS Analysis'!$X3:$X1002))/7)*12</f>
        <v>28172.571428571428</v>
      </c>
      <c r="P49" s="2249">
        <f>((SUMIF('OS Analysis'!$B3:$B1002,B49,'OS Analysis'!$W3:$W1002))/6)*12</f>
        <v>0</v>
      </c>
      <c r="Q49" s="2249">
        <f>((SUMIF('OS Analysis'!$B3:$B1002,B49,'OS Analysis'!$V3:$V1002))/5)*12</f>
        <v>0</v>
      </c>
      <c r="R49" s="2249">
        <f>((SUMIF('OS Analysis'!$B3:$B1002,B49,'OS Analysis'!$U3:$U1002))/4)*12</f>
        <v>0</v>
      </c>
      <c r="S49" s="2249">
        <f>((SUMIF('OS Analysis'!$B3:$B1002,B49,'OS Analysis'!$T3:$T1002))/3)*12</f>
        <v>0</v>
      </c>
      <c r="T49" s="2249">
        <f>((SUMIF('OS Analysis'!$B3:$B1002,B49,'OS Analysis'!$S3:$S1002))/2)*12</f>
        <v>0</v>
      </c>
      <c r="U49" s="2249">
        <f>(SUMIF('OS Analysis'!$B3:$B1002,B49,'OS Analysis'!$R3:$R1002))*12</f>
        <v>0</v>
      </c>
      <c r="V49" s="2150">
        <f>SUMIF('OS Analysis'!$B$3:$B$1002,$B49,'OS Analysis'!$Q$3:$Q$1002)</f>
        <v>26934</v>
      </c>
      <c r="W49" s="2148">
        <f t="shared" si="5"/>
        <v>26934</v>
      </c>
      <c r="X49" s="2149">
        <f t="shared" si="25"/>
        <v>267</v>
      </c>
      <c r="Y49" s="2148">
        <f>SUMIF('OS Analysis'!$CD3:$CD1002,$B49,'OS Analysis'!$CS3:$CS1002)</f>
        <v>0</v>
      </c>
      <c r="Z49" s="2149">
        <f t="shared" si="25"/>
        <v>0</v>
      </c>
      <c r="AA49" s="2148">
        <f>SUMIF('OS Analysis'!$CU3:$CU1002,$B49,'OS Analysis'!$CW3:$CW1002)</f>
        <v>0</v>
      </c>
      <c r="AB49" s="2149">
        <f t="shared" si="25"/>
        <v>0</v>
      </c>
      <c r="AC49" s="2148">
        <f>SUMIF('OS Analysis'!$CU3:$CU1002,$B49,'OS Analysis'!$CX3:$CX1002)</f>
        <v>0</v>
      </c>
      <c r="AD49" s="2149">
        <f t="shared" si="25"/>
        <v>0</v>
      </c>
      <c r="AE49" s="2148">
        <v>0</v>
      </c>
      <c r="AF49" s="2149">
        <f t="shared" si="25"/>
        <v>0</v>
      </c>
      <c r="AG49" s="2148">
        <v>0</v>
      </c>
      <c r="AH49" s="2149">
        <f t="shared" si="25"/>
        <v>0</v>
      </c>
      <c r="AI49" s="2148">
        <v>0</v>
      </c>
      <c r="AJ49" s="2149">
        <f t="shared" si="25"/>
        <v>0</v>
      </c>
      <c r="AK49" s="2148">
        <f t="shared" si="26"/>
        <v>27742.02</v>
      </c>
      <c r="AL49" s="2149">
        <f t="shared" si="25"/>
        <v>275</v>
      </c>
      <c r="AM49" s="2148">
        <v>0</v>
      </c>
      <c r="AN49" s="2149">
        <f t="shared" si="25"/>
        <v>0</v>
      </c>
      <c r="AO49" s="2250"/>
      <c r="AP49" s="2250"/>
      <c r="AQ49" s="2114" t="str">
        <f t="shared" si="3"/>
        <v>Park'g Maint/Snow/Other</v>
      </c>
      <c r="AR49" s="2285" t="str">
        <f t="shared" si="27"/>
        <v>T-12 + 3%</v>
      </c>
      <c r="AS49" s="2114"/>
      <c r="AT49" s="2169"/>
      <c r="AU49" s="2160"/>
      <c r="AV49" s="2253">
        <f t="shared" si="6"/>
        <v>0</v>
      </c>
      <c r="AW49" s="2254">
        <f>ROUND(IF(AV49=0,0,(AV49)/V1),0)</f>
        <v>0</v>
      </c>
      <c r="AX49" s="2276">
        <v>0</v>
      </c>
      <c r="AY49" s="2254">
        <f>ROUND(IF(AX49=0,0,(AX49)/V1),0)</f>
        <v>0</v>
      </c>
    </row>
    <row r="50" ht="15" customHeight="1">
      <c r="A50" s="2114">
        <f t="shared" si="18"/>
        <v>16</v>
      </c>
      <c r="B50" s="2277" t="s">
        <v>1919</v>
      </c>
      <c r="C50" s="2136"/>
      <c r="D50" s="2255">
        <f>IF(ISBLANK(D$3),SUMIF('OS Analysis'!$BM3:$BM1002,$B50,'OS Analysis'!$CB3:$CB1002),INDEX($J50:$U50,1,MATCH(D$3,$J$4:$U$4,0)))</f>
        <v>0</v>
      </c>
      <c r="E50" s="2256">
        <f t="shared" si="25"/>
        <v>0</v>
      </c>
      <c r="F50" s="2255">
        <f>IF(ISBLANK(F$3),SUMIF('OS Analysis'!$AV3:$AV1002,$B50,'OS Analysis'!$BK3:$BK1002),INDEX($J50:$U50,1,MATCH(F$3,$J$4:$U$4,0)))</f>
        <v>0</v>
      </c>
      <c r="G50" s="2256">
        <f t="shared" si="25"/>
        <v>0</v>
      </c>
      <c r="H50" s="2255">
        <f>IF(ISBLANK(H$3),SUMIF('OS Analysis'!$AE3:$AE1002,$B50,'OS Analysis'!$AT3:$AT1002),INDEX($J50:$U50,1,MATCH(H$3,$J$4:$U$4,0)))</f>
        <v>0</v>
      </c>
      <c r="I50" s="2256">
        <f t="shared" si="25"/>
        <v>0</v>
      </c>
      <c r="J50" s="2180">
        <f>((SUMIF('OS Analysis'!$B3:$B1002,B50,'OS Analysis'!$AC3:$AC1002))/12)*12</f>
        <v>36517</v>
      </c>
      <c r="K50" s="2257">
        <f>((SUMIF('OS Analysis'!$B3:$B1002,B50,'OS Analysis'!$AB3:$AB1002))/11)*12</f>
        <v>36504</v>
      </c>
      <c r="L50" s="2257">
        <f>((SUMIF('OS Analysis'!$B3:$B1002,B50,'OS Analysis'!$AA3:$AA1002))/10)*12</f>
        <v>36866.399999999994</v>
      </c>
      <c r="M50" s="2257">
        <f>((SUMIF('OS Analysis'!$B3:$B1002,B50,'OS Analysis'!$Z3:$Z1002))/9)*12</f>
        <v>40105.333333333336</v>
      </c>
      <c r="N50" s="2257">
        <f>((SUMIF('OS Analysis'!$B3:$B1002,B50,'OS Analysis'!$Y3:$Y1002))/8)*12</f>
        <v>45118.5</v>
      </c>
      <c r="O50" s="2257">
        <f>((SUMIF('OS Analysis'!$B3:$B1002,B50,'OS Analysis'!$X3:$X1002))/7)*12</f>
        <v>51279.42857142858</v>
      </c>
      <c r="P50" s="2257">
        <f>((SUMIF('OS Analysis'!$B3:$B1002,B50,'OS Analysis'!$W3:$W1002))/6)*12</f>
        <v>59488</v>
      </c>
      <c r="Q50" s="2257">
        <f>((SUMIF('OS Analysis'!$B3:$B1002,B50,'OS Analysis'!$V3:$V1002))/5)*12</f>
        <v>64344</v>
      </c>
      <c r="R50" s="2257">
        <f>((SUMIF('OS Analysis'!$B3:$B1002,B50,'OS Analysis'!$U3:$U1002))/4)*12</f>
        <v>37482</v>
      </c>
      <c r="S50" s="2257">
        <f>((SUMIF('OS Analysis'!$B3:$B1002,B50,'OS Analysis'!$T3:$T1002))/3)*12</f>
        <v>49080</v>
      </c>
      <c r="T50" s="2257">
        <f>((SUMIF('OS Analysis'!$B3:$B1002,B50,'OS Analysis'!$S3:$S1002))/2)*12</f>
        <v>44514</v>
      </c>
      <c r="U50" s="2257">
        <f>(SUMIF('OS Analysis'!$B3:$B1002,B50,'OS Analysis'!$R3:$R1002))*12</f>
        <v>52296</v>
      </c>
      <c r="V50" s="2258">
        <f>SUMIF('OS Analysis'!$B$3:$B$1002,$B50,'OS Analysis'!$Q$3:$Q$1002)</f>
        <v>36517</v>
      </c>
      <c r="W50" s="2255">
        <f t="shared" si="5"/>
        <v>36517</v>
      </c>
      <c r="X50" s="2256">
        <f t="shared" si="25"/>
        <v>362</v>
      </c>
      <c r="Y50" s="2255">
        <f>SUMIF('OS Analysis'!$CD3:$CD1002,$B50,'OS Analysis'!$CS3:$CS1002)</f>
        <v>0</v>
      </c>
      <c r="Z50" s="2256">
        <f t="shared" si="25"/>
        <v>0</v>
      </c>
      <c r="AA50" s="2255">
        <f>SUMIF('OS Analysis'!$CU3:$CU1002,$B50,'OS Analysis'!$CW3:$CW1002)</f>
        <v>0</v>
      </c>
      <c r="AB50" s="2256">
        <f t="shared" si="25"/>
        <v>0</v>
      </c>
      <c r="AC50" s="2255">
        <f>SUMIF('OS Analysis'!$CU3:$CU1002,$B50,'OS Analysis'!$CX3:$CX1002)</f>
        <v>0</v>
      </c>
      <c r="AD50" s="2256">
        <f t="shared" si="25"/>
        <v>0</v>
      </c>
      <c r="AE50" s="2255">
        <v>0</v>
      </c>
      <c r="AF50" s="2256">
        <f t="shared" si="25"/>
        <v>0</v>
      </c>
      <c r="AG50" s="2255">
        <v>0</v>
      </c>
      <c r="AH50" s="2256">
        <f t="shared" si="25"/>
        <v>0</v>
      </c>
      <c r="AI50" s="2255">
        <v>0</v>
      </c>
      <c r="AJ50" s="2256">
        <f t="shared" si="25"/>
        <v>0</v>
      </c>
      <c r="AK50" s="2255">
        <f t="shared" si="26"/>
        <v>37612.51</v>
      </c>
      <c r="AL50" s="2256">
        <f t="shared" si="25"/>
        <v>372</v>
      </c>
      <c r="AM50" s="2255">
        <v>0</v>
      </c>
      <c r="AN50" s="2256">
        <f t="shared" si="25"/>
        <v>0</v>
      </c>
      <c r="AO50" s="2250"/>
      <c r="AP50" s="2250"/>
      <c r="AQ50" s="2114" t="str">
        <f t="shared" si="3"/>
        <v>Gardening/Landscape</v>
      </c>
      <c r="AR50" s="2278" t="str">
        <f t="shared" si="27"/>
        <v>T-12 + 3%</v>
      </c>
      <c r="AS50" s="2114"/>
      <c r="AT50" s="2169"/>
      <c r="AU50" s="2160"/>
      <c r="AV50" s="2253">
        <f t="shared" si="6"/>
        <v>0</v>
      </c>
      <c r="AW50" s="2254">
        <f>ROUND(IF(AV50=0,0,(AV50)/V1),0)</f>
        <v>0</v>
      </c>
      <c r="AX50" s="2276">
        <v>0</v>
      </c>
      <c r="AY50" s="2254">
        <f>ROUND(IF(AX50=0,0,(AX50)/V1),0)</f>
        <v>0</v>
      </c>
    </row>
    <row r="51" ht="15" customHeight="1">
      <c r="A51" s="2114">
        <f t="shared" si="18"/>
        <v>17</v>
      </c>
      <c r="B51" s="2279" t="s">
        <v>1920</v>
      </c>
      <c r="C51" s="2185"/>
      <c r="D51" s="2280">
        <f>IF(ISBLANK(D$3),SUMIF('OS Analysis'!$BM3:$BM1002,$B51,'OS Analysis'!$CB3:$CB1002),INDEX($J51:$U51,1,MATCH(D$3,$J$4:$U$4,0)))</f>
        <v>0</v>
      </c>
      <c r="E51" s="2187">
        <f t="shared" si="25"/>
        <v>0</v>
      </c>
      <c r="F51" s="2280">
        <f>IF(ISBLANK(F$3),SUMIF('OS Analysis'!$AV3:$AV1002,$B51,'OS Analysis'!$BK3:$BK1002),INDEX($J51:$U51,1,MATCH(F$3,$J$4:$U$4,0)))</f>
        <v>0</v>
      </c>
      <c r="G51" s="2187">
        <f t="shared" si="25"/>
        <v>0</v>
      </c>
      <c r="H51" s="2280">
        <f>IF(ISBLANK(H$3),SUMIF('OS Analysis'!$AE3:$AE1002,$B51,'OS Analysis'!$AT3:$AT1002),INDEX($J51:$U51,1,MATCH(H$3,$J$4:$U$4,0)))</f>
        <v>0</v>
      </c>
      <c r="I51" s="2187">
        <f t="shared" si="25"/>
        <v>0</v>
      </c>
      <c r="J51" s="2281">
        <f>((SUMIF('OS Analysis'!$B3:$B1002,B51,'OS Analysis'!$AC3:$AC1002))/12)*12</f>
        <v>173577</v>
      </c>
      <c r="K51" s="2282">
        <f>((SUMIF('OS Analysis'!$B3:$B1002,B51,'OS Analysis'!$AB3:$AB1002))/11)*12</f>
        <v>174280.36363636365</v>
      </c>
      <c r="L51" s="2282">
        <f>((SUMIF('OS Analysis'!$B3:$B1002,B51,'OS Analysis'!$AA3:$AA1002))/10)*12</f>
        <v>175737.59999999998</v>
      </c>
      <c r="M51" s="2282">
        <f>((SUMIF('OS Analysis'!$B3:$B1002,B51,'OS Analysis'!$Z3:$Z1002))/9)*12</f>
        <v>168997.33333333334</v>
      </c>
      <c r="N51" s="2282">
        <f>((SUMIF('OS Analysis'!$B3:$B1002,B51,'OS Analysis'!$Y3:$Y1002))/8)*12</f>
        <v>168841.5</v>
      </c>
      <c r="O51" s="2282">
        <f>((SUMIF('OS Analysis'!$B3:$B1002,B51,'OS Analysis'!$X3:$X1002))/7)*12</f>
        <v>168778.2857142857</v>
      </c>
      <c r="P51" s="2282">
        <f>((SUMIF('OS Analysis'!$B3:$B1002,B51,'OS Analysis'!$W3:$W1002))/6)*12</f>
        <v>168824</v>
      </c>
      <c r="Q51" s="2282">
        <f>((SUMIF('OS Analysis'!$B3:$B1002,B51,'OS Analysis'!$V3:$V1002))/5)*12</f>
        <v>168780</v>
      </c>
      <c r="R51" s="2282">
        <f>((SUMIF('OS Analysis'!$B3:$B1002,B51,'OS Analysis'!$U3:$U1002))/4)*12</f>
        <v>167427</v>
      </c>
      <c r="S51" s="2282">
        <f>((SUMIF('OS Analysis'!$B3:$B1002,B51,'OS Analysis'!$T3:$T1002))/3)*12</f>
        <v>168604</v>
      </c>
      <c r="T51" s="2282">
        <f>((SUMIF('OS Analysis'!$B3:$B1002,B51,'OS Analysis'!$S3:$S1002))/2)*12</f>
        <v>171720</v>
      </c>
      <c r="U51" s="2282">
        <f>(SUMIF('OS Analysis'!$B3:$B1002,B51,'OS Analysis'!$R3:$R1002))*12</f>
        <v>166656</v>
      </c>
      <c r="V51" s="2283">
        <f>SUMIF('OS Analysis'!$B$3:$B$1002,$B51,'OS Analysis'!$Q$3:$Q$1002)</f>
        <v>173577</v>
      </c>
      <c r="W51" s="2280">
        <f t="shared" si="5"/>
        <v>173577</v>
      </c>
      <c r="X51" s="2187">
        <f t="shared" si="25"/>
        <v>1719</v>
      </c>
      <c r="Y51" s="2280">
        <f>SUMIF('OS Analysis'!$CD3:$CD1002,$B51,'OS Analysis'!$CS3:$CS1002)</f>
        <v>0</v>
      </c>
      <c r="Z51" s="2187">
        <f t="shared" si="25"/>
        <v>0</v>
      </c>
      <c r="AA51" s="2280">
        <f>SUMIF('OS Analysis'!$CU3:$CU1002,$B51,'OS Analysis'!$CW3:$CW1002)</f>
        <v>0</v>
      </c>
      <c r="AB51" s="2187">
        <f t="shared" si="25"/>
        <v>0</v>
      </c>
      <c r="AC51" s="2280">
        <f>SUMIF('OS Analysis'!$CU3:$CU1002,$B51,'OS Analysis'!$CX3:$CX1002)</f>
        <v>0</v>
      </c>
      <c r="AD51" s="2187">
        <f t="shared" si="25"/>
        <v>0</v>
      </c>
      <c r="AE51" s="2280">
        <v>0</v>
      </c>
      <c r="AF51" s="2187">
        <f t="shared" si="25"/>
        <v>0</v>
      </c>
      <c r="AG51" s="2280">
        <v>0</v>
      </c>
      <c r="AH51" s="2187">
        <f t="shared" si="25"/>
        <v>0</v>
      </c>
      <c r="AI51" s="2280">
        <v>0</v>
      </c>
      <c r="AJ51" s="2187">
        <f t="shared" si="25"/>
        <v>0</v>
      </c>
      <c r="AK51" s="2280">
        <f>ROUND(AK30*AL51,2)</f>
        <v>38844.33</v>
      </c>
      <c r="AL51" s="2286">
        <v>0.035</v>
      </c>
      <c r="AM51" s="2280">
        <v>0</v>
      </c>
      <c r="AN51" s="2187">
        <f t="shared" si="25"/>
        <v>0</v>
      </c>
      <c r="AO51" s="2250"/>
      <c r="AP51" s="2250"/>
      <c r="AQ51" s="2114" t="str">
        <f t="shared" si="3"/>
        <v>Management Fees</v>
      </c>
      <c r="AR51" s="2284" t="str">
        <f>IF(AK51=0,"",IF(HOps_ManagementFee=3.5%,"3.5% of EGI","Non-Standard Assumption - Please Clarify"))</f>
        <v>3.5% of EGI</v>
      </c>
      <c r="AS51" s="2114"/>
      <c r="AT51" s="2169"/>
      <c r="AU51" s="2160"/>
      <c r="AV51" s="2253">
        <f t="shared" si="6"/>
        <v>0</v>
      </c>
      <c r="AW51" s="2254">
        <f>ROUND(IF(AV51=0,0,(AV51)/V1),0)</f>
        <v>0</v>
      </c>
      <c r="AX51" s="2276">
        <v>0</v>
      </c>
      <c r="AY51" s="2254">
        <f>ROUND(IF(AX51=0,0,(AX51)/V1),0)</f>
        <v>0</v>
      </c>
    </row>
    <row r="52" ht="14.25" customHeight="1">
      <c r="A52" s="2114">
        <f t="shared" si="18"/>
        <v>18</v>
      </c>
      <c r="B52" s="2272" t="s">
        <v>1922</v>
      </c>
      <c r="C52" s="2114"/>
      <c r="D52" s="2148">
        <f>IF(ISBLANK(D$3),SUMIF('OS Analysis'!$BM3:$BM1002,$B52,'OS Analysis'!$CB3:$CB1002),INDEX($J52:$U52,1,MATCH(D$3,$J$4:$U$4,0)))</f>
        <v>0</v>
      </c>
      <c r="E52" s="2149">
        <f t="shared" si="25"/>
        <v>0</v>
      </c>
      <c r="F52" s="2148">
        <f>IF(ISBLANK(F$3),SUMIF('OS Analysis'!$AV3:$AV1002,$B52,'OS Analysis'!$BK3:$BK1002),INDEX($J52:$U52,1,MATCH(F$3,$J$4:$U$4,0)))</f>
        <v>0</v>
      </c>
      <c r="G52" s="2149">
        <f t="shared" si="25"/>
        <v>0</v>
      </c>
      <c r="H52" s="2148">
        <f>IF(ISBLANK(H$3),SUMIF('OS Analysis'!$AE3:$AE1002,$B52,'OS Analysis'!$AT3:$AT1002),INDEX($J52:$U52,1,MATCH(H$3,$J$4:$U$4,0)))</f>
        <v>0</v>
      </c>
      <c r="I52" s="2149">
        <f t="shared" si="25"/>
        <v>0</v>
      </c>
      <c r="J52" s="2153">
        <f>((SUMIF('OS Analysis'!$B3:$B1002,B52,'OS Analysis'!$AC3:$AC1002))/12)*12</f>
        <v>79215</v>
      </c>
      <c r="K52" s="2249">
        <f>((SUMIF('OS Analysis'!$B3:$B1002,B52,'OS Analysis'!$AB3:$AB1002))/11)*12</f>
        <v>80654.18181818182</v>
      </c>
      <c r="L52" s="2249">
        <f>((SUMIF('OS Analysis'!$B3:$B1002,B52,'OS Analysis'!$AA3:$AA1002))/10)*12</f>
        <v>80389.20000000001</v>
      </c>
      <c r="M52" s="2249">
        <f>((SUMIF('OS Analysis'!$B3:$B1002,B52,'OS Analysis'!$Z3:$Z1002))/9)*12</f>
        <v>79010.66666666667</v>
      </c>
      <c r="N52" s="2249">
        <f>((SUMIF('OS Analysis'!$B3:$B1002,B52,'OS Analysis'!$Y3:$Y1002))/8)*12</f>
        <v>80410.5</v>
      </c>
      <c r="O52" s="2249">
        <f>((SUMIF('OS Analysis'!$B3:$B1002,B52,'OS Analysis'!$X3:$X1002))/7)*12</f>
        <v>79074.85714285714</v>
      </c>
      <c r="P52" s="2249">
        <f>((SUMIF('OS Analysis'!$B3:$B1002,B52,'OS Analysis'!$W3:$W1002))/6)*12</f>
        <v>80774</v>
      </c>
      <c r="Q52" s="2249">
        <f>((SUMIF('OS Analysis'!$B3:$B1002,B52,'OS Analysis'!$V3:$V1002))/5)*12</f>
        <v>83080.79999999999</v>
      </c>
      <c r="R52" s="2249">
        <f>((SUMIF('OS Analysis'!$B3:$B1002,B52,'OS Analysis'!$U3:$U1002))/4)*12</f>
        <v>82506</v>
      </c>
      <c r="S52" s="2249">
        <f>((SUMIF('OS Analysis'!$B3:$B1002,B52,'OS Analysis'!$T3:$T1002))/3)*12</f>
        <v>86852</v>
      </c>
      <c r="T52" s="2249">
        <f>((SUMIF('OS Analysis'!$B3:$B1002,B52,'OS Analysis'!$S3:$S1002))/2)*12</f>
        <v>79278</v>
      </c>
      <c r="U52" s="2249">
        <f>(SUMIF('OS Analysis'!$B3:$B1002,B52,'OS Analysis'!$R3:$R1002))*12</f>
        <v>69396</v>
      </c>
      <c r="V52" s="2150">
        <f>SUMIF('OS Analysis'!$B$3:$B$1002,$B52,'OS Analysis'!$Q$3:$Q$1002)</f>
        <v>79215</v>
      </c>
      <c r="W52" s="2148">
        <f t="shared" si="5"/>
        <v>79215</v>
      </c>
      <c r="X52" s="2149">
        <f t="shared" si="25"/>
        <v>784</v>
      </c>
      <c r="Y52" s="2148">
        <f>SUMIF('OS Analysis'!$CD3:$CD1002,$B52,'OS Analysis'!$CS3:$CS1002)</f>
        <v>0</v>
      </c>
      <c r="Z52" s="2149">
        <f t="shared" si="25"/>
        <v>0</v>
      </c>
      <c r="AA52" s="2148">
        <f>SUMIF('OS Analysis'!$CU3:$CU1002,$B52,'OS Analysis'!$CW3:$CW1002)</f>
        <v>0</v>
      </c>
      <c r="AB52" s="2149">
        <f t="shared" si="25"/>
        <v>0</v>
      </c>
      <c r="AC52" s="2148">
        <f>SUMIF('OS Analysis'!$CU3:$CU1002,$B52,'OS Analysis'!$CX3:$CX1002)</f>
        <v>0</v>
      </c>
      <c r="AD52" s="2149">
        <f t="shared" si="25"/>
        <v>0</v>
      </c>
      <c r="AE52" s="2148">
        <v>0</v>
      </c>
      <c r="AF52" s="2149">
        <f t="shared" si="25"/>
        <v>0</v>
      </c>
      <c r="AG52" s="2148">
        <v>0</v>
      </c>
      <c r="AH52" s="2149">
        <f t="shared" si="25"/>
        <v>0</v>
      </c>
      <c r="AI52" s="2148">
        <v>0</v>
      </c>
      <c r="AJ52" s="2149">
        <f t="shared" si="25"/>
        <v>0</v>
      </c>
      <c r="AK52" s="2148">
        <f t="shared" si="26"/>
        <v>81591.45</v>
      </c>
      <c r="AL52" s="2149">
        <f t="shared" si="25"/>
        <v>808</v>
      </c>
      <c r="AM52" s="2148">
        <v>0</v>
      </c>
      <c r="AN52" s="2149">
        <f t="shared" si="25"/>
        <v>0</v>
      </c>
      <c r="AO52" s="2250"/>
      <c r="AP52" s="2250"/>
      <c r="AQ52" s="2114" t="str">
        <f t="shared" si="3"/>
        <v>Manager Salary</v>
      </c>
      <c r="AR52" s="2273" t="str">
        <f t="shared" si="27"/>
        <v>T-12 + 3%</v>
      </c>
      <c r="AS52" s="2114"/>
      <c r="AT52" s="2169"/>
      <c r="AU52" s="2160"/>
      <c r="AV52" s="2253">
        <f t="shared" si="6"/>
        <v>0</v>
      </c>
      <c r="AW52" s="2254">
        <f>ROUND(IF(AV52=0,0,(AV52)/V1),0)</f>
        <v>0</v>
      </c>
      <c r="AX52" s="2276">
        <v>0</v>
      </c>
      <c r="AY52" s="2254">
        <f>ROUND(IF(AX52=0,0,(AX52)/V1),0)</f>
        <v>0</v>
      </c>
    </row>
    <row r="53" ht="14.25" customHeight="1">
      <c r="A53" s="2114">
        <f t="shared" si="18"/>
        <v>19</v>
      </c>
      <c r="B53" s="2272" t="s">
        <v>1923</v>
      </c>
      <c r="C53" s="2114"/>
      <c r="D53" s="2148">
        <f>IF(ISBLANK(D$3),SUMIF('OS Analysis'!$BM3:$BM1002,$B53,'OS Analysis'!$CB3:$CB1002),INDEX($J53:$U53,1,MATCH(D$3,$J$4:$U$4,0)))</f>
        <v>0</v>
      </c>
      <c r="E53" s="2149">
        <f t="shared" si="25"/>
        <v>0</v>
      </c>
      <c r="F53" s="2148">
        <f>IF(ISBLANK(F$3),SUMIF('OS Analysis'!$AV3:$AV1002,$B53,'OS Analysis'!$BK3:$BK1002),INDEX($J53:$U53,1,MATCH(F$3,$J$4:$U$4,0)))</f>
        <v>0</v>
      </c>
      <c r="G53" s="2149">
        <f t="shared" si="25"/>
        <v>0</v>
      </c>
      <c r="H53" s="2148">
        <f>IF(ISBLANK(H$3),SUMIF('OS Analysis'!$AE3:$AE1002,$B53,'OS Analysis'!$AT3:$AT1002),INDEX($J53:$U53,1,MATCH(H$3,$J$4:$U$4,0)))</f>
        <v>0</v>
      </c>
      <c r="I53" s="2149">
        <f t="shared" si="25"/>
        <v>0</v>
      </c>
      <c r="J53" s="2153">
        <f>((SUMIF('OS Analysis'!$B3:$B1002,B53,'OS Analysis'!$AC3:$AC1002))/12)*12</f>
        <v>114511</v>
      </c>
      <c r="K53" s="2249">
        <f>((SUMIF('OS Analysis'!$B3:$B1002,B53,'OS Analysis'!$AB3:$AB1002))/11)*12</f>
        <v>116166.54545454544</v>
      </c>
      <c r="L53" s="2249">
        <f>((SUMIF('OS Analysis'!$B3:$B1002,B53,'OS Analysis'!$AA3:$AA1002))/10)*12</f>
        <v>117246</v>
      </c>
      <c r="M53" s="2249">
        <f>((SUMIF('OS Analysis'!$B3:$B1002,B53,'OS Analysis'!$Z3:$Z1002))/9)*12</f>
        <v>113297.33333333334</v>
      </c>
      <c r="N53" s="2249">
        <f>((SUMIF('OS Analysis'!$B3:$B1002,B53,'OS Analysis'!$Y3:$Y1002))/8)*12</f>
        <v>113221.5</v>
      </c>
      <c r="O53" s="2249">
        <f>((SUMIF('OS Analysis'!$B3:$B1002,B53,'OS Analysis'!$X3:$X1002))/7)*12</f>
        <v>114720</v>
      </c>
      <c r="P53" s="2249">
        <f>((SUMIF('OS Analysis'!$B3:$B1002,B53,'OS Analysis'!$W3:$W1002))/6)*12</f>
        <v>114420</v>
      </c>
      <c r="Q53" s="2249">
        <f>((SUMIF('OS Analysis'!$B3:$B1002,B53,'OS Analysis'!$V3:$V1002))/5)*12</f>
        <v>115893.59999999999</v>
      </c>
      <c r="R53" s="2249">
        <f>((SUMIF('OS Analysis'!$B3:$B1002,B53,'OS Analysis'!$U3:$U1002))/4)*12</f>
        <v>118869</v>
      </c>
      <c r="S53" s="2249">
        <f>((SUMIF('OS Analysis'!$B3:$B1002,B53,'OS Analysis'!$T3:$T1002))/3)*12</f>
        <v>124116</v>
      </c>
      <c r="T53" s="2249">
        <f>((SUMIF('OS Analysis'!$B3:$B1002,B53,'OS Analysis'!$S3:$S1002))/2)*12</f>
        <v>107760</v>
      </c>
      <c r="U53" s="2249">
        <f>(SUMIF('OS Analysis'!$B3:$B1002,B53,'OS Analysis'!$R3:$R1002))*12</f>
        <v>104904</v>
      </c>
      <c r="V53" s="2150">
        <f>SUMIF('OS Analysis'!$B$3:$B$1002,$B53,'OS Analysis'!$Q$3:$Q$1002)</f>
        <v>114511</v>
      </c>
      <c r="W53" s="2148">
        <f t="shared" si="5"/>
        <v>114511</v>
      </c>
      <c r="X53" s="2149">
        <f t="shared" si="25"/>
        <v>1134</v>
      </c>
      <c r="Y53" s="2148">
        <f>SUMIF('OS Analysis'!$CD3:$CD1002,$B53,'OS Analysis'!$CS3:$CS1002)</f>
        <v>0</v>
      </c>
      <c r="Z53" s="2149">
        <f t="shared" si="25"/>
        <v>0</v>
      </c>
      <c r="AA53" s="2148">
        <f>SUMIF('OS Analysis'!$CU3:$CU1002,$B53,'OS Analysis'!$CW3:$CW1002)</f>
        <v>0</v>
      </c>
      <c r="AB53" s="2149">
        <f t="shared" si="25"/>
        <v>0</v>
      </c>
      <c r="AC53" s="2148">
        <f>SUMIF('OS Analysis'!$CU3:$CU1002,$B53,'OS Analysis'!$CX3:$CX1002)</f>
        <v>0</v>
      </c>
      <c r="AD53" s="2149">
        <f t="shared" si="25"/>
        <v>0</v>
      </c>
      <c r="AE53" s="2148">
        <v>0</v>
      </c>
      <c r="AF53" s="2149">
        <f t="shared" si="25"/>
        <v>0</v>
      </c>
      <c r="AG53" s="2148">
        <v>0</v>
      </c>
      <c r="AH53" s="2149">
        <f t="shared" si="25"/>
        <v>0</v>
      </c>
      <c r="AI53" s="2148">
        <v>0</v>
      </c>
      <c r="AJ53" s="2149">
        <f t="shared" si="25"/>
        <v>0</v>
      </c>
      <c r="AK53" s="2148">
        <f t="shared" si="26"/>
        <v>117946.33</v>
      </c>
      <c r="AL53" s="2149">
        <f t="shared" si="25"/>
        <v>1168</v>
      </c>
      <c r="AM53" s="2148">
        <v>0</v>
      </c>
      <c r="AN53" s="2149">
        <f t="shared" si="25"/>
        <v>0</v>
      </c>
      <c r="AO53" s="2250"/>
      <c r="AP53" s="2250"/>
      <c r="AQ53" s="2114" t="str">
        <f t="shared" si="3"/>
        <v>Other Leasing Salaries</v>
      </c>
      <c r="AR53" s="2285" t="str">
        <f t="shared" si="27"/>
        <v>T-12 + 3%</v>
      </c>
      <c r="AS53" s="2114"/>
      <c r="AT53" s="2169"/>
      <c r="AU53" s="2160"/>
      <c r="AV53" s="2253">
        <f t="shared" si="6"/>
        <v>0</v>
      </c>
      <c r="AW53" s="2254">
        <f>ROUND(IF(AV53=0,0,(AV53)/V1),0)</f>
        <v>0</v>
      </c>
      <c r="AX53" s="2276">
        <v>0</v>
      </c>
      <c r="AY53" s="2254">
        <f>ROUND(IF(AX53=0,0,(AX53)/V1),0)</f>
        <v>0</v>
      </c>
    </row>
    <row r="54" ht="14.25" customHeight="1">
      <c r="A54" s="2114">
        <f t="shared" si="18"/>
        <v>20</v>
      </c>
      <c r="B54" s="2272" t="s">
        <v>1924</v>
      </c>
      <c r="C54" s="2114"/>
      <c r="D54" s="2148">
        <f>IF(ISBLANK(D$3),SUMIF('OS Analysis'!$BM3:$BM1002,$B54,'OS Analysis'!$CB3:$CB1002),INDEX($J54:$U54,1,MATCH(D$3,$J$4:$U$4,0)))</f>
        <v>0</v>
      </c>
      <c r="E54" s="2149">
        <f t="shared" si="25"/>
        <v>0</v>
      </c>
      <c r="F54" s="2148">
        <f>IF(ISBLANK(F$3),SUMIF('OS Analysis'!$AV3:$AV1002,$B54,'OS Analysis'!$BK3:$BK1002),INDEX($J54:$U54,1,MATCH(F$3,$J$4:$U$4,0)))</f>
        <v>0</v>
      </c>
      <c r="G54" s="2149">
        <f t="shared" si="25"/>
        <v>0</v>
      </c>
      <c r="H54" s="2148">
        <f>IF(ISBLANK(H$3),SUMIF('OS Analysis'!$AE3:$AE1002,$B54,'OS Analysis'!$AT3:$AT1002),INDEX($J54:$U54,1,MATCH(H$3,$J$4:$U$4,0)))</f>
        <v>0</v>
      </c>
      <c r="I54" s="2149">
        <f t="shared" si="25"/>
        <v>0</v>
      </c>
      <c r="J54" s="2153">
        <f>((SUMIF('OS Analysis'!$B3:$B1002,B54,'OS Analysis'!$AC3:$AC1002))/12)*12</f>
        <v>0</v>
      </c>
      <c r="K54" s="2249">
        <f>((SUMIF('OS Analysis'!$B3:$B1002,B54,'OS Analysis'!$AB3:$AB1002))/11)*12</f>
        <v>0</v>
      </c>
      <c r="L54" s="2249">
        <f>((SUMIF('OS Analysis'!$B3:$B1002,B54,'OS Analysis'!$AA3:$AA1002))/10)*12</f>
        <v>0</v>
      </c>
      <c r="M54" s="2249">
        <f>((SUMIF('OS Analysis'!$B3:$B1002,B54,'OS Analysis'!$Z3:$Z1002))/9)*12</f>
        <v>0</v>
      </c>
      <c r="N54" s="2249">
        <f>((SUMIF('OS Analysis'!$B3:$B1002,B54,'OS Analysis'!$Y3:$Y1002))/8)*12</f>
        <v>0</v>
      </c>
      <c r="O54" s="2249">
        <f>((SUMIF('OS Analysis'!$B3:$B1002,B54,'OS Analysis'!$X3:$X1002))/7)*12</f>
        <v>0</v>
      </c>
      <c r="P54" s="2249">
        <f>((SUMIF('OS Analysis'!$B3:$B1002,B54,'OS Analysis'!$W3:$W1002))/6)*12</f>
        <v>0</v>
      </c>
      <c r="Q54" s="2249">
        <f>((SUMIF('OS Analysis'!$B3:$B1002,B54,'OS Analysis'!$V3:$V1002))/5)*12</f>
        <v>0</v>
      </c>
      <c r="R54" s="2249">
        <f>((SUMIF('OS Analysis'!$B3:$B1002,B54,'OS Analysis'!$U3:$U1002))/4)*12</f>
        <v>0</v>
      </c>
      <c r="S54" s="2249">
        <f>((SUMIF('OS Analysis'!$B3:$B1002,B54,'OS Analysis'!$T3:$T1002))/3)*12</f>
        <v>0</v>
      </c>
      <c r="T54" s="2249">
        <f>((SUMIF('OS Analysis'!$B3:$B1002,B54,'OS Analysis'!$S3:$S1002))/2)*12</f>
        <v>0</v>
      </c>
      <c r="U54" s="2249">
        <f>(SUMIF('OS Analysis'!$B3:$B1002,B54,'OS Analysis'!$R3:$R1002))*12</f>
        <v>0</v>
      </c>
      <c r="V54" s="2150">
        <f>SUMIF('OS Analysis'!$B$3:$B$1002,$B54,'OS Analysis'!$Q$3:$Q$1002)</f>
        <v>0</v>
      </c>
      <c r="W54" s="2148">
        <f t="shared" si="5"/>
        <v>0</v>
      </c>
      <c r="X54" s="2149">
        <f t="shared" si="25"/>
        <v>0</v>
      </c>
      <c r="Y54" s="2148">
        <f>SUMIF('OS Analysis'!$CD3:$CD1002,$B54,'OS Analysis'!$CS3:$CS1002)</f>
        <v>0</v>
      </c>
      <c r="Z54" s="2149">
        <f t="shared" si="25"/>
        <v>0</v>
      </c>
      <c r="AA54" s="2148">
        <f>SUMIF('OS Analysis'!$CU3:$CU1002,$B54,'OS Analysis'!$CW3:$CW1002)</f>
        <v>0</v>
      </c>
      <c r="AB54" s="2149">
        <f t="shared" si="25"/>
        <v>0</v>
      </c>
      <c r="AC54" s="2148">
        <f>SUMIF('OS Analysis'!$CU3:$CU1002,$B54,'OS Analysis'!$CX3:$CX1002)</f>
        <v>0</v>
      </c>
      <c r="AD54" s="2149">
        <f t="shared" si="25"/>
        <v>0</v>
      </c>
      <c r="AE54" s="2148">
        <v>0</v>
      </c>
      <c r="AF54" s="2149">
        <f t="shared" si="25"/>
        <v>0</v>
      </c>
      <c r="AG54" s="2148">
        <v>0</v>
      </c>
      <c r="AH54" s="2149">
        <f t="shared" si="25"/>
        <v>0</v>
      </c>
      <c r="AI54" s="2148">
        <v>0</v>
      </c>
      <c r="AJ54" s="2149">
        <f t="shared" si="25"/>
        <v>0</v>
      </c>
      <c r="AK54" s="2148">
        <f t="shared" si="26"/>
        <v>0</v>
      </c>
      <c r="AL54" s="2149">
        <f t="shared" si="25"/>
        <v>0</v>
      </c>
      <c r="AM54" s="2148">
        <v>0</v>
      </c>
      <c r="AN54" s="2149">
        <f t="shared" si="25"/>
        <v>0</v>
      </c>
      <c r="AO54" s="2250"/>
      <c r="AP54" s="2250"/>
      <c r="AQ54" s="2114" t="str">
        <f t="shared" si="3"/>
        <v>Maintenance Super Salary</v>
      </c>
      <c r="AR54" s="2285">
        <f t="shared" si="27"/>
      </c>
      <c r="AS54" s="2114"/>
      <c r="AT54" s="2169"/>
      <c r="AU54" s="2160"/>
      <c r="AV54" s="2253">
        <f t="shared" si="6"/>
        <v>0</v>
      </c>
      <c r="AW54" s="2254">
        <f>ROUND(IF(AV54=0,0,(AV54)/V1),0)</f>
        <v>0</v>
      </c>
      <c r="AX54" s="2276">
        <v>0</v>
      </c>
      <c r="AY54" s="2254">
        <f>ROUND(IF(AX54=0,0,(AX54)/V1),0)</f>
        <v>0</v>
      </c>
    </row>
    <row r="55" ht="14.25" customHeight="1">
      <c r="A55" s="2114">
        <f t="shared" si="18"/>
        <v>21</v>
      </c>
      <c r="B55" s="2272" t="s">
        <v>1925</v>
      </c>
      <c r="C55" s="2114"/>
      <c r="D55" s="2148">
        <f>IF(ISBLANK(D$3),SUMIF('OS Analysis'!$BM3:$BM1002,$B55,'OS Analysis'!$CB3:$CB1002),INDEX($J55:$U55,1,MATCH(D$3,$J$4:$U$4,0)))</f>
        <v>0</v>
      </c>
      <c r="E55" s="2149">
        <f t="shared" si="25"/>
        <v>0</v>
      </c>
      <c r="F55" s="2148">
        <f>IF(ISBLANK(F$3),SUMIF('OS Analysis'!$AV3:$AV1002,$B55,'OS Analysis'!$BK3:$BK1002),INDEX($J55:$U55,1,MATCH(F$3,$J$4:$U$4,0)))</f>
        <v>0</v>
      </c>
      <c r="G55" s="2149">
        <f t="shared" si="25"/>
        <v>0</v>
      </c>
      <c r="H55" s="2148">
        <f>IF(ISBLANK(H$3),SUMIF('OS Analysis'!$AE3:$AE1002,$B55,'OS Analysis'!$AT3:$AT1002),INDEX($J55:$U55,1,MATCH(H$3,$J$4:$U$4,0)))</f>
        <v>0</v>
      </c>
      <c r="I55" s="2149">
        <f t="shared" si="25"/>
        <v>0</v>
      </c>
      <c r="J55" s="2153">
        <f>((SUMIF('OS Analysis'!$B3:$B1002,B55,'OS Analysis'!$AC3:$AC1002))/12)*12</f>
        <v>212857</v>
      </c>
      <c r="K55" s="2249">
        <f>((SUMIF('OS Analysis'!$B3:$B1002,B55,'OS Analysis'!$AB3:$AB1002))/11)*12</f>
        <v>218762.18181818182</v>
      </c>
      <c r="L55" s="2249">
        <f>((SUMIF('OS Analysis'!$B3:$B1002,B55,'OS Analysis'!$AA3:$AA1002))/10)*12</f>
        <v>220662</v>
      </c>
      <c r="M55" s="2249">
        <f>((SUMIF('OS Analysis'!$B3:$B1002,B55,'OS Analysis'!$Z3:$Z1002))/9)*12</f>
        <v>208349.33333333334</v>
      </c>
      <c r="N55" s="2249">
        <f>((SUMIF('OS Analysis'!$B3:$B1002,B55,'OS Analysis'!$Y3:$Y1002))/8)*12</f>
        <v>211411.5</v>
      </c>
      <c r="O55" s="2249">
        <f>((SUMIF('OS Analysis'!$B3:$B1002,B55,'OS Analysis'!$X3:$X1002))/7)*12</f>
        <v>210726.85714285713</v>
      </c>
      <c r="P55" s="2249">
        <f>((SUMIF('OS Analysis'!$B3:$B1002,B55,'OS Analysis'!$W3:$W1002))/6)*12</f>
        <v>217804</v>
      </c>
      <c r="Q55" s="2249">
        <f>((SUMIF('OS Analysis'!$B3:$B1002,B55,'OS Analysis'!$V3:$V1002))/5)*12</f>
        <v>228600</v>
      </c>
      <c r="R55" s="2249">
        <f>((SUMIF('OS Analysis'!$B3:$B1002,B55,'OS Analysis'!$U3:$U1002))/4)*12</f>
        <v>232470</v>
      </c>
      <c r="S55" s="2249">
        <f>((SUMIF('OS Analysis'!$B3:$B1002,B55,'OS Analysis'!$T3:$T1002))/3)*12</f>
        <v>246600</v>
      </c>
      <c r="T55" s="2249">
        <f>((SUMIF('OS Analysis'!$B3:$B1002,B55,'OS Analysis'!$S3:$S1002))/2)*12</f>
        <v>212832</v>
      </c>
      <c r="U55" s="2249">
        <f>(SUMIF('OS Analysis'!$B3:$B1002,B55,'OS Analysis'!$R3:$R1002))*12</f>
        <v>182952</v>
      </c>
      <c r="V55" s="2150">
        <f>SUMIF('OS Analysis'!$B$3:$B$1002,$B55,'OS Analysis'!$Q$3:$Q$1002)</f>
        <v>212857</v>
      </c>
      <c r="W55" s="2148">
        <f t="shared" si="5"/>
        <v>212857</v>
      </c>
      <c r="X55" s="2149">
        <f t="shared" si="25"/>
        <v>2107</v>
      </c>
      <c r="Y55" s="2148">
        <f>SUMIF('OS Analysis'!$CD3:$CD1002,$B55,'OS Analysis'!$CS3:$CS1002)</f>
        <v>0</v>
      </c>
      <c r="Z55" s="2149">
        <f t="shared" si="25"/>
        <v>0</v>
      </c>
      <c r="AA55" s="2148">
        <f>SUMIF('OS Analysis'!$CU3:$CU1002,$B55,'OS Analysis'!$CW3:$CW1002)</f>
        <v>0</v>
      </c>
      <c r="AB55" s="2149">
        <f t="shared" si="25"/>
        <v>0</v>
      </c>
      <c r="AC55" s="2148">
        <f>SUMIF('OS Analysis'!$CU3:$CU1002,$B55,'OS Analysis'!$CX3:$CX1002)</f>
        <v>0</v>
      </c>
      <c r="AD55" s="2149">
        <f t="shared" si="25"/>
        <v>0</v>
      </c>
      <c r="AE55" s="2148">
        <v>0</v>
      </c>
      <c r="AF55" s="2149">
        <f t="shared" si="25"/>
        <v>0</v>
      </c>
      <c r="AG55" s="2148">
        <v>0</v>
      </c>
      <c r="AH55" s="2149">
        <f t="shared" si="25"/>
        <v>0</v>
      </c>
      <c r="AI55" s="2148">
        <v>0</v>
      </c>
      <c r="AJ55" s="2149">
        <f t="shared" si="25"/>
        <v>0</v>
      </c>
      <c r="AK55" s="2148">
        <f t="shared" si="26"/>
        <v>219242.71</v>
      </c>
      <c r="AL55" s="2149">
        <f t="shared" si="25"/>
        <v>2171</v>
      </c>
      <c r="AM55" s="2148">
        <v>0</v>
      </c>
      <c r="AN55" s="2149">
        <f t="shared" si="25"/>
        <v>0</v>
      </c>
      <c r="AO55" s="2250"/>
      <c r="AP55" s="2250"/>
      <c r="AQ55" s="2114" t="str">
        <f t="shared" si="3"/>
        <v>Other Maintenance Salaries</v>
      </c>
      <c r="AR55" s="2285" t="str">
        <f t="shared" si="27"/>
        <v>T-12 + 3%</v>
      </c>
      <c r="AS55" s="2114"/>
      <c r="AT55" s="2169"/>
      <c r="AU55" s="2160"/>
      <c r="AV55" s="2253">
        <f t="shared" si="6"/>
        <v>0</v>
      </c>
      <c r="AW55" s="2254">
        <f>ROUND(IF(AV55=0,0,(AV55)/V1),0)</f>
        <v>0</v>
      </c>
      <c r="AX55" s="2276">
        <v>0</v>
      </c>
      <c r="AY55" s="2254">
        <f>ROUND(IF(AX55=0,0,(AX55)/V1),0)</f>
        <v>0</v>
      </c>
    </row>
    <row r="56" ht="14.25" customHeight="1">
      <c r="A56" s="2114">
        <f t="shared" si="18"/>
        <v>22</v>
      </c>
      <c r="B56" s="2272" t="s">
        <v>1926</v>
      </c>
      <c r="C56" s="2114"/>
      <c r="D56" s="2148">
        <f>IF(ISBLANK(D$3),IF(B56="Apartment Allowances",-SUMIF('OS Analysis'!$BM3:$BM1002,"Apartment Allowances (income line item)",'OS Analysis'!$CB3:$CB1002)+SUMIF('OS Analysis'!$BM3:$BM1002,"Apartment Allowances (expense line item)",'OS Analysis'!$CB3:$CB1002),SUMIF('OS Analysis'!$BM3:$BM1002,$B56,'OS Analysis'!$CB3:$CB1002)),INDEX($J56:$U56,1,MATCH(D$3,$J$4:$U$4,0)))</f>
        <v>0</v>
      </c>
      <c r="E56" s="2149">
        <f t="shared" si="25"/>
        <v>0</v>
      </c>
      <c r="F56" s="2148">
        <f>IF(ISBLANK(F$3),IF(B56="Apartment Allowances",-SUMIF('OS Analysis'!$AV3:$AV1002,"Apartment Allowances (income line item)",'OS Analysis'!$BK3:$BK1002)+SUMIF('OS Analysis'!$AV3:$AV1002,"Apartment Allowances (expense line item)",'OS Analysis'!$BK3:$BK1002),SUMIF('OS Analysis'!$AV3:$AV1002,$B56,'OS Analysis'!$BK3:$BK1002)),INDEX($J56:$U56,1,MATCH(F$3,$J$4:$U$4,0)))</f>
        <v>0</v>
      </c>
      <c r="G56" s="2149">
        <f t="shared" si="25"/>
        <v>0</v>
      </c>
      <c r="H56" s="2148">
        <f>IF(ISBLANK(H$3),IF(B56="Apartment Allowances",-SUMIF('OS Analysis'!$AE3:$AE1002,"Apartment Allowances (income line item)",'OS Analysis'!$AT3:$AT1002)+SUMIF('OS Analysis'!$AE3:$AE1002,"Apartment Allowances (expense line item)",'OS Analysis'!$AT3:$AT1002),SUMIF('OS Analysis'!$AE3:$AE1002,$B56,'OS Analysis'!$AT3:$AT1002)),INDEX($J56:$U56,1,MATCH(H$3,$J$4:$U$4,0)))</f>
        <v>0</v>
      </c>
      <c r="I56" s="2149">
        <f t="shared" si="25"/>
        <v>0</v>
      </c>
      <c r="J56" s="2153">
        <f>-(((SUMIF('OS Analysis'!$B3:$B1002,"Apartment Allowances (income line item)",'OS Analysis'!$AC3:$AC1002))/12)*12)+(((SUMIF('OS Analysis'!$B3:$B1002,"Apartment Allowances (expense line item)",'OS Analysis'!$AC3:$AC1002))/12)*12)</f>
        <v>0</v>
      </c>
      <c r="K56" s="2249">
        <f>-(((SUMIF('OS Analysis'!$B3:$B1002,"Apartment Allowances (income line item)",'OS Analysis'!$AB3:$AB1002))/11)*12)+(((SUMIF('OS Analysis'!$B3:$B1002,"Apartment Allowances (expense line item)",'OS Analysis'!$AB3:$AB1002))/11)*12)</f>
        <v>0</v>
      </c>
      <c r="L56" s="2249">
        <f>-(((SUMIF('OS Analysis'!$B3:$B1002,"Apartment Allowances (income line item)",'OS Analysis'!$AA3:$AA1002))/10)*12)+(((SUMIF('OS Analysis'!$B3:$B1002,"Apartment Allowances (expense line item)",'OS Analysis'!$AA3:$AA1002))/10)*12)</f>
        <v>0</v>
      </c>
      <c r="M56" s="2249">
        <f>-(((SUMIF('OS Analysis'!$B3:$B1002,"Apartment Allowances (income line item)",'OS Analysis'!$Z3:$Z1002))/9)*12)+(((SUMIF('OS Analysis'!$B3:$B1002,"Apartment Allowances (expense line item)",'OS Analysis'!$Z3:$Z1002))/9)*12)</f>
        <v>0</v>
      </c>
      <c r="N56" s="2249">
        <f>-(((SUMIF('OS Analysis'!$B3:$B1002,"Apartment Allowances (income line item)",'OS Analysis'!$Y3:$Y1002))/8)*12)+(((SUMIF('OS Analysis'!$B3:$B1002,"Apartment Allowances (expense line item)",'OS Analysis'!$Y3:$Y1002))/8)*12)</f>
        <v>0</v>
      </c>
      <c r="O56" s="2249">
        <f>-(((SUMIF('OS Analysis'!$B3:$B1002,"Apartment Allowances (income line item)",'OS Analysis'!$X3:$X1002))/7)*12)+(((SUMIF('OS Analysis'!$B3:$B1002,"Apartment Allowances (expense line item)",'OS Analysis'!$X3:$X1002))/7)*12)</f>
        <v>0</v>
      </c>
      <c r="P56" s="2249">
        <f>-(((SUMIF('OS Analysis'!$B3:$B1002,"Apartment Allowances (income line item)",'OS Analysis'!$W3:$W1002))/6)*12)+(((SUMIF('OS Analysis'!$B3:$B1002,"Apartment Allowances (expense line item)",'OS Analysis'!$W3:$W1002))/6)*12)</f>
        <v>0</v>
      </c>
      <c r="Q56" s="2249">
        <f>-(((SUMIF('OS Analysis'!$B3:$B1002,"Apartment Allowances (income line item)",'OS Analysis'!$V3:$V1002))/5)*12)+(((SUMIF('OS Analysis'!$B3:$B1002,"Apartment Allowances (expense line item)",'OS Analysis'!$V3:$V1002))/5)*12)</f>
        <v>0</v>
      </c>
      <c r="R56" s="2249">
        <f>-(((SUMIF('OS Analysis'!$B3:$B1002,"Apartment Allowances (income line item)",'OS Analysis'!$U3:$U1002))/4)*12)+(((SUMIF('OS Analysis'!$B3:$B1002,"Apartment Allowances (expense line item)",'OS Analysis'!$U3:$U1002))/4)*12)</f>
        <v>0</v>
      </c>
      <c r="S56" s="2249">
        <f>-(((SUMIF('OS Analysis'!$B3:$B1002,"Apartment Allowances (income line item)",'OS Analysis'!$T3:$T1002))/3)*12)+(((SUMIF('OS Analysis'!$B3:$B1002,"Apartment Allowances (expense line item)",'OS Analysis'!$T3:$T1002))/3)*12)</f>
        <v>0</v>
      </c>
      <c r="T56" s="2249">
        <f>-(((SUMIF('OS Analysis'!$B3:$B1002,"Apartment Allowances (income line item)",'OS Analysis'!$S3:$S1002))/2)*12)+(((SUMIF('OS Analysis'!$B3:$B1002,"Apartment Allowances (expense line item)",'OS Analysis'!$S3:$S1002))/2)*12)</f>
        <v>0</v>
      </c>
      <c r="U56" s="2249">
        <f>-(((SUMIF('OS Analysis'!$B3:$B1002,"Apartment Allowances (income line item)",'OS Analysis'!$R3:$R1002)))*12)+(((SUMIF('OS Analysis'!$B3:$B1002,"Apartment Allowances (expense line item)",'OS Analysis'!$R3:$R1002)))*12)</f>
        <v>0</v>
      </c>
      <c r="V56" s="2150">
        <f>IF(B56="Apartment Allowances",-SUMIF('OS Analysis'!$B$3:$B$1002,"Apartment Allowances (income line item)",'OS Analysis'!$Q$3:$Q$1002)+SUMIF('OS Analysis'!$B$3:$B$1002,"Apartment Allowances (expense line item)",'OS Analysis'!$Q$3:$Q$1002),SUMIF('OS Analysis'!$B$3:$B$1002,$B56,'OS Analysis'!$Q$3:$Q$1002))</f>
        <v>0</v>
      </c>
      <c r="W56" s="2148">
        <f t="shared" si="5"/>
        <v>0</v>
      </c>
      <c r="X56" s="2149">
        <f t="shared" si="25"/>
        <v>0</v>
      </c>
      <c r="Y56" s="2148">
        <f>-SUMIF('OS Analysis'!$CD3:$CD1002,"Apartment Allowances (income line item)",'OS Analysis'!$CS3:$CS1002)+SUMIF('OS Analysis'!$CD3:$CD1002,"Apartment Allowances (expense line item)",'OS Analysis'!$CS3:$CS1002)</f>
        <v>0</v>
      </c>
      <c r="Z56" s="2149">
        <f t="shared" si="25"/>
        <v>0</v>
      </c>
      <c r="AA56" s="2148">
        <f>-SUMIF('OS Analysis'!$CU3:$CU1002,"Apartment Allowances (income line item)",'OS Analysis'!$CW3:$CW1002)+SUMIF('OS Analysis'!$CU3:$CU1002,"Apartment Allowances (expense line item)",'OS Analysis'!$CW3:$CW1002)</f>
        <v>0</v>
      </c>
      <c r="AB56" s="2149">
        <f t="shared" si="25"/>
        <v>0</v>
      </c>
      <c r="AC56" s="2148">
        <f>-SUMIF('OS Analysis'!$CU3:$CU1002,"Apartment Allowances (income line item)",'OS Analysis'!$CX3:$CX1002)+SUMIF('OS Analysis'!$CU3:$CU1002,"Apartment Allowances (expense line item)",'OS Analysis'!$CX3:$CX1002)</f>
        <v>0</v>
      </c>
      <c r="AD56" s="2149">
        <f t="shared" si="25"/>
        <v>0</v>
      </c>
      <c r="AE56" s="2148">
        <v>0</v>
      </c>
      <c r="AF56" s="2149">
        <f t="shared" si="25"/>
        <v>0</v>
      </c>
      <c r="AG56" s="2148">
        <v>0</v>
      </c>
      <c r="AH56" s="2149">
        <f t="shared" si="25"/>
        <v>0</v>
      </c>
      <c r="AI56" s="2148">
        <v>0</v>
      </c>
      <c r="AJ56" s="2149">
        <f t="shared" si="25"/>
        <v>0</v>
      </c>
      <c r="AK56" s="2148">
        <f t="shared" si="26"/>
        <v>0</v>
      </c>
      <c r="AL56" s="2149">
        <f t="shared" si="25"/>
        <v>0</v>
      </c>
      <c r="AM56" s="2148">
        <v>0</v>
      </c>
      <c r="AN56" s="2149">
        <f t="shared" si="25"/>
        <v>0</v>
      </c>
      <c r="AO56" s="2250"/>
      <c r="AP56" s="2250"/>
      <c r="AQ56" s="2114" t="str">
        <f t="shared" si="3"/>
        <v>Apartment Allowances</v>
      </c>
      <c r="AR56" s="2285">
        <f t="shared" si="27"/>
      </c>
      <c r="AS56" s="2114"/>
      <c r="AT56" s="2169"/>
      <c r="AU56" s="2160"/>
      <c r="AV56" s="2253">
        <f t="shared" si="6"/>
        <v>0</v>
      </c>
      <c r="AW56" s="2254">
        <f>ROUND(IF(AV56=0,0,(AV56)/V1),0)</f>
        <v>0</v>
      </c>
      <c r="AX56" s="2276">
        <v>0</v>
      </c>
      <c r="AY56" s="2254">
        <f>ROUND(IF(AX56=0,0,(AX56)/V1),0)</f>
        <v>0</v>
      </c>
    </row>
    <row r="57" ht="14.25" customHeight="1">
      <c r="A57" s="2114">
        <f t="shared" si="18"/>
        <v>23</v>
      </c>
      <c r="B57" s="2272" t="s">
        <v>1927</v>
      </c>
      <c r="C57" s="2114"/>
      <c r="D57" s="2148">
        <f>IF(ISBLANK(D$3),SUMIF('OS Analysis'!$BM3:$BM1002,$B57,'OS Analysis'!$CB3:$CB1002),INDEX($J57:$U57,1,MATCH(D$3,$J$4:$U$4,0)))</f>
        <v>0</v>
      </c>
      <c r="E57" s="2149">
        <f t="shared" si="25"/>
        <v>0</v>
      </c>
      <c r="F57" s="2148">
        <f>IF(ISBLANK(F$3),SUMIF('OS Analysis'!$AV3:$AV1002,$B57,'OS Analysis'!$BK3:$BK1002),INDEX($J57:$U57,1,MATCH(F$3,$J$4:$U$4,0)))</f>
        <v>0</v>
      </c>
      <c r="G57" s="2149">
        <f t="shared" si="25"/>
        <v>0</v>
      </c>
      <c r="H57" s="2148">
        <f>IF(ISBLANK(H$3),SUMIF('OS Analysis'!$AE3:$AE1002,$B57,'OS Analysis'!$AT3:$AT1002),INDEX($J57:$U57,1,MATCH(H$3,$J$4:$U$4,0)))</f>
        <v>0</v>
      </c>
      <c r="I57" s="2149">
        <f t="shared" si="25"/>
        <v>0</v>
      </c>
      <c r="J57" s="2153">
        <f>((SUMIF('OS Analysis'!$B3:$B1002,B57,'OS Analysis'!$AC3:$AC1002))/12)*12</f>
        <v>0</v>
      </c>
      <c r="K57" s="2249">
        <f>((SUMIF('OS Analysis'!$B3:$B1002,B57,'OS Analysis'!$AB3:$AB1002))/11)*12</f>
        <v>0</v>
      </c>
      <c r="L57" s="2249">
        <f>((SUMIF('OS Analysis'!$B3:$B1002,B57,'OS Analysis'!$AA3:$AA1002))/10)*12</f>
        <v>0</v>
      </c>
      <c r="M57" s="2249">
        <f>((SUMIF('OS Analysis'!$B3:$B1002,B57,'OS Analysis'!$Z3:$Z1002))/9)*12</f>
        <v>0</v>
      </c>
      <c r="N57" s="2249">
        <f>((SUMIF('OS Analysis'!$B3:$B1002,B57,'OS Analysis'!$Y3:$Y1002))/8)*12</f>
        <v>0</v>
      </c>
      <c r="O57" s="2249">
        <f>((SUMIF('OS Analysis'!$B3:$B1002,B57,'OS Analysis'!$X3:$X1002))/7)*12</f>
        <v>0</v>
      </c>
      <c r="P57" s="2249">
        <f>((SUMIF('OS Analysis'!$B3:$B1002,B57,'OS Analysis'!$W3:$W1002))/6)*12</f>
        <v>0</v>
      </c>
      <c r="Q57" s="2249">
        <f>((SUMIF('OS Analysis'!$B3:$B1002,B57,'OS Analysis'!$V3:$V1002))/5)*12</f>
        <v>0</v>
      </c>
      <c r="R57" s="2249">
        <f>((SUMIF('OS Analysis'!$B3:$B1002,B57,'OS Analysis'!$U3:$U1002))/4)*12</f>
        <v>0</v>
      </c>
      <c r="S57" s="2249">
        <f>((SUMIF('OS Analysis'!$B3:$B1002,B57,'OS Analysis'!$T3:$T1002))/3)*12</f>
        <v>0</v>
      </c>
      <c r="T57" s="2249">
        <f>((SUMIF('OS Analysis'!$B3:$B1002,B57,'OS Analysis'!$S3:$S1002))/2)*12</f>
        <v>0</v>
      </c>
      <c r="U57" s="2249">
        <f>(SUMIF('OS Analysis'!$B3:$B1002,B57,'OS Analysis'!$R3:$R1002))*12</f>
        <v>0</v>
      </c>
      <c r="V57" s="2150">
        <f>SUMIF('OS Analysis'!$B$3:$B$1002,$B57,'OS Analysis'!$Q$3:$Q$1002)</f>
        <v>0</v>
      </c>
      <c r="W57" s="2148">
        <f t="shared" si="5"/>
        <v>0</v>
      </c>
      <c r="X57" s="2149">
        <f t="shared" si="25"/>
        <v>0</v>
      </c>
      <c r="Y57" s="2148">
        <f>SUMIF('OS Analysis'!$CD3:$CD1002,$B57,'OS Analysis'!$CS3:$CS1002)</f>
        <v>0</v>
      </c>
      <c r="Z57" s="2149">
        <f t="shared" si="25"/>
        <v>0</v>
      </c>
      <c r="AA57" s="2148">
        <f>SUMIF('OS Analysis'!$CU3:$CU1002,$B57,'OS Analysis'!$CW3:$CW1002)</f>
        <v>0</v>
      </c>
      <c r="AB57" s="2149">
        <f t="shared" si="25"/>
        <v>0</v>
      </c>
      <c r="AC57" s="2148">
        <f>SUMIF('OS Analysis'!$CU3:$CU1002,$B57,'OS Analysis'!$CX3:$CX1002)</f>
        <v>0</v>
      </c>
      <c r="AD57" s="2149">
        <f t="shared" si="25"/>
        <v>0</v>
      </c>
      <c r="AE57" s="2148">
        <v>0</v>
      </c>
      <c r="AF57" s="2149">
        <f t="shared" si="25"/>
        <v>0</v>
      </c>
      <c r="AG57" s="2148">
        <v>0</v>
      </c>
      <c r="AH57" s="2149">
        <f t="shared" si="25"/>
        <v>0</v>
      </c>
      <c r="AI57" s="2148">
        <v>0</v>
      </c>
      <c r="AJ57" s="2149">
        <f t="shared" si="25"/>
        <v>0</v>
      </c>
      <c r="AK57" s="2148">
        <f t="shared" si="26"/>
        <v>0</v>
      </c>
      <c r="AL57" s="2149">
        <f t="shared" si="25"/>
        <v>0</v>
      </c>
      <c r="AM57" s="2148">
        <v>0</v>
      </c>
      <c r="AN57" s="2149">
        <f t="shared" si="25"/>
        <v>0</v>
      </c>
      <c r="AO57" s="2250"/>
      <c r="AP57" s="2250"/>
      <c r="AQ57" s="2114" t="str">
        <f t="shared" si="3"/>
        <v>Bonuses/Commissions/Other</v>
      </c>
      <c r="AR57" s="2285">
        <f t="shared" si="27"/>
      </c>
      <c r="AS57" s="2114"/>
      <c r="AT57" s="2169"/>
      <c r="AU57" s="2160"/>
      <c r="AV57" s="2253">
        <f t="shared" si="6"/>
        <v>0</v>
      </c>
      <c r="AW57" s="2254">
        <f>ROUND(IF(AV57=0,0,(AV57)/V1),0)</f>
        <v>0</v>
      </c>
      <c r="AX57" s="2276">
        <v>0</v>
      </c>
      <c r="AY57" s="2254">
        <f>ROUND(IF(AX57=0,0,(AX57)/V1),0)</f>
        <v>0</v>
      </c>
    </row>
    <row r="58" ht="15" customHeight="1">
      <c r="A58" s="2114">
        <f t="shared" si="18"/>
        <v>24</v>
      </c>
      <c r="B58" s="2277" t="s">
        <v>1928</v>
      </c>
      <c r="C58" s="2136"/>
      <c r="D58" s="2255">
        <f>IF(ISBLANK(D$3),SUMIF('OS Analysis'!$BM3:$BM1002,$B58,'OS Analysis'!$CB3:$CB1002),INDEX($J58:$U58,1,MATCH(D$3,$J$4:$U$4,0)))</f>
        <v>0</v>
      </c>
      <c r="E58" s="2256">
        <f t="shared" si="25"/>
        <v>0</v>
      </c>
      <c r="F58" s="2255">
        <f>IF(ISBLANK(F$3),SUMIF('OS Analysis'!$AV3:$AV1002,$B58,'OS Analysis'!$BK3:$BK1002),INDEX($J58:$U58,1,MATCH(F$3,$J$4:$U$4,0)))</f>
        <v>0</v>
      </c>
      <c r="G58" s="2256">
        <f t="shared" si="25"/>
        <v>0</v>
      </c>
      <c r="H58" s="2255">
        <f>IF(ISBLANK(H$3),SUMIF('OS Analysis'!$AE3:$AE1002,$B58,'OS Analysis'!$AT3:$AT1002),INDEX($J58:$U58,1,MATCH(H$3,$J$4:$U$4,0)))</f>
        <v>0</v>
      </c>
      <c r="I58" s="2256">
        <f t="shared" si="25"/>
        <v>0</v>
      </c>
      <c r="J58" s="2180">
        <f>((SUMIF('OS Analysis'!$B3:$B1002,B58,'OS Analysis'!$AC3:$AC1002))/12)*12</f>
        <v>71566</v>
      </c>
      <c r="K58" s="2257">
        <f>((SUMIF('OS Analysis'!$B3:$B1002,B58,'OS Analysis'!$AB3:$AB1002))/11)*12</f>
        <v>73512</v>
      </c>
      <c r="L58" s="2257">
        <f>((SUMIF('OS Analysis'!$B3:$B1002,B58,'OS Analysis'!$AA3:$AA1002))/10)*12</f>
        <v>74509.20000000001</v>
      </c>
      <c r="M58" s="2257">
        <f>((SUMIF('OS Analysis'!$B3:$B1002,B58,'OS Analysis'!$Z3:$Z1002))/9)*12</f>
        <v>75657.33333333333</v>
      </c>
      <c r="N58" s="2257">
        <f>((SUMIF('OS Analysis'!$B3:$B1002,B58,'OS Analysis'!$Y3:$Y1002))/8)*12</f>
        <v>75891</v>
      </c>
      <c r="O58" s="2257">
        <f>((SUMIF('OS Analysis'!$B3:$B1002,B58,'OS Analysis'!$X3:$X1002))/7)*12</f>
        <v>71525.14285714286</v>
      </c>
      <c r="P58" s="2257">
        <f>((SUMIF('OS Analysis'!$B3:$B1002,B58,'OS Analysis'!$W3:$W1002))/6)*12</f>
        <v>69332</v>
      </c>
      <c r="Q58" s="2257">
        <f>((SUMIF('OS Analysis'!$B3:$B1002,B58,'OS Analysis'!$V3:$V1002))/5)*12</f>
        <v>68913.6</v>
      </c>
      <c r="R58" s="2257">
        <f>((SUMIF('OS Analysis'!$B3:$B1002,B58,'OS Analysis'!$U3:$U1002))/4)*12</f>
        <v>65628</v>
      </c>
      <c r="S58" s="2257">
        <f>((SUMIF('OS Analysis'!$B3:$B1002,B58,'OS Analysis'!$T3:$T1002))/3)*12</f>
        <v>65708</v>
      </c>
      <c r="T58" s="2257">
        <f>((SUMIF('OS Analysis'!$B3:$B1002,B58,'OS Analysis'!$S3:$S1002))/2)*12</f>
        <v>68640</v>
      </c>
      <c r="U58" s="2257">
        <f>(SUMIF('OS Analysis'!$B3:$B1002,B58,'OS Analysis'!$R3:$R1002))*12</f>
        <v>64176</v>
      </c>
      <c r="V58" s="2258">
        <f>SUMIF('OS Analysis'!$B$3:$B$1002,$B58,'OS Analysis'!$Q$3:$Q$1002)</f>
        <v>71566</v>
      </c>
      <c r="W58" s="2255">
        <f t="shared" si="5"/>
        <v>71566</v>
      </c>
      <c r="X58" s="2256">
        <f t="shared" si="25"/>
        <v>709</v>
      </c>
      <c r="Y58" s="2255">
        <f>SUMIF('OS Analysis'!$CD3:$CD1002,$B58,'OS Analysis'!$CS3:$CS1002)</f>
        <v>0</v>
      </c>
      <c r="Z58" s="2256">
        <f t="shared" si="25"/>
        <v>0</v>
      </c>
      <c r="AA58" s="2255">
        <f>SUMIF('OS Analysis'!$CU3:$CU1002,$B58,'OS Analysis'!$CW3:$CW1002)</f>
        <v>0</v>
      </c>
      <c r="AB58" s="2256">
        <f t="shared" si="25"/>
        <v>0</v>
      </c>
      <c r="AC58" s="2255">
        <f>SUMIF('OS Analysis'!$CU3:$CU1002,$B58,'OS Analysis'!$CX3:$CX1002)</f>
        <v>0</v>
      </c>
      <c r="AD58" s="2256">
        <f t="shared" si="25"/>
        <v>0</v>
      </c>
      <c r="AE58" s="2255">
        <v>0</v>
      </c>
      <c r="AF58" s="2256">
        <f t="shared" si="25"/>
        <v>0</v>
      </c>
      <c r="AG58" s="2255">
        <v>0</v>
      </c>
      <c r="AH58" s="2256">
        <f t="shared" si="25"/>
        <v>0</v>
      </c>
      <c r="AI58" s="2255">
        <v>0</v>
      </c>
      <c r="AJ58" s="2256">
        <f t="shared" si="25"/>
        <v>0</v>
      </c>
      <c r="AK58" s="2255">
        <f t="shared" si="26"/>
        <v>73712.98</v>
      </c>
      <c r="AL58" s="2256">
        <f t="shared" si="25"/>
        <v>730</v>
      </c>
      <c r="AM58" s="2255">
        <v>0</v>
      </c>
      <c r="AN58" s="2256">
        <f t="shared" si="25"/>
        <v>0</v>
      </c>
      <c r="AO58" s="2250"/>
      <c r="AP58" s="2250"/>
      <c r="AQ58" s="2114" t="str">
        <f t="shared" si="3"/>
        <v>Benefits &amp; Payroll Taxes</v>
      </c>
      <c r="AR58" s="2278" t="str">
        <f t="shared" si="27"/>
        <v>T-12 + 3%</v>
      </c>
      <c r="AS58" s="2114"/>
      <c r="AT58" s="2169"/>
      <c r="AU58" s="2160"/>
      <c r="AV58" s="2253">
        <f t="shared" si="6"/>
        <v>0</v>
      </c>
      <c r="AW58" s="2254">
        <f>ROUND(IF(AV58=0,0,(AV58)/V1),0)</f>
        <v>0</v>
      </c>
      <c r="AX58" s="2276">
        <v>0</v>
      </c>
      <c r="AY58" s="2254">
        <f>ROUND(IF(AX58=0,0,(AX58)/V1),0)</f>
        <v>0</v>
      </c>
    </row>
    <row r="59" ht="15" customHeight="1">
      <c r="A59" s="2114">
        <f t="shared" si="18"/>
        <v>25</v>
      </c>
      <c r="B59" s="2272" t="s">
        <v>1929</v>
      </c>
      <c r="C59" s="2114"/>
      <c r="D59" s="2148">
        <f>IF(ISBLANK(D$3),SUMIF('OS Analysis'!$BM3:$BM1002,$B59,'OS Analysis'!$CB3:$CB1002),INDEX($J59:$U59,1,MATCH(D$3,$J$4:$U$4,0)))</f>
        <v>0</v>
      </c>
      <c r="E59" s="2149">
        <f t="shared" si="25"/>
        <v>0</v>
      </c>
      <c r="F59" s="2148">
        <f>IF(ISBLANK(F$3),SUMIF('OS Analysis'!$AV3:$AV1002,$B59,'OS Analysis'!$BK3:$BK1002),INDEX($J59:$U59,1,MATCH(F$3,$J$4:$U$4,0)))</f>
        <v>0</v>
      </c>
      <c r="G59" s="2149">
        <f t="shared" si="25"/>
        <v>0</v>
      </c>
      <c r="H59" s="2148">
        <f>IF(ISBLANK(H$3),SUMIF('OS Analysis'!$AE3:$AE1002,$B59,'OS Analysis'!$AT3:$AT1002),INDEX($J59:$U59,1,MATCH(H$3,$J$4:$U$4,0)))</f>
        <v>0</v>
      </c>
      <c r="I59" s="2149">
        <f t="shared" si="25"/>
        <v>0</v>
      </c>
      <c r="J59" s="2153">
        <f>((SUMIF('OS Analysis'!$B3:$B1002,B59,'OS Analysis'!$AC3:$AC1002))/12)*12</f>
        <v>49624</v>
      </c>
      <c r="K59" s="2249">
        <f>((SUMIF('OS Analysis'!$B3:$B1002,B59,'OS Analysis'!$AB3:$AB1002))/11)*12</f>
        <v>49602.545454545456</v>
      </c>
      <c r="L59" s="2249">
        <f>((SUMIF('OS Analysis'!$B3:$B1002,B59,'OS Analysis'!$AA3:$AA1002))/10)*12</f>
        <v>49792.799999999996</v>
      </c>
      <c r="M59" s="2249">
        <f>((SUMIF('OS Analysis'!$B3:$B1002,B59,'OS Analysis'!$Z3:$Z1002))/9)*12</f>
        <v>47836</v>
      </c>
      <c r="N59" s="2249">
        <f>((SUMIF('OS Analysis'!$B3:$B1002,B59,'OS Analysis'!$Y3:$Y1002))/8)*12</f>
        <v>47443.5</v>
      </c>
      <c r="O59" s="2249">
        <f>((SUMIF('OS Analysis'!$B3:$B1002,B59,'OS Analysis'!$X3:$X1002))/7)*12</f>
        <v>48224.57142857143</v>
      </c>
      <c r="P59" s="2249">
        <f>((SUMIF('OS Analysis'!$B3:$B1002,B59,'OS Analysis'!$W3:$W1002))/6)*12</f>
        <v>45686</v>
      </c>
      <c r="Q59" s="2249">
        <f>((SUMIF('OS Analysis'!$B3:$B1002,B59,'OS Analysis'!$V3:$V1002))/5)*12</f>
        <v>46980</v>
      </c>
      <c r="R59" s="2249">
        <f>((SUMIF('OS Analysis'!$B3:$B1002,B59,'OS Analysis'!$U3:$U1002))/4)*12</f>
        <v>46341</v>
      </c>
      <c r="S59" s="2249">
        <f>((SUMIF('OS Analysis'!$B3:$B1002,B59,'OS Analysis'!$T3:$T1002))/3)*12</f>
        <v>47200</v>
      </c>
      <c r="T59" s="2249">
        <f>((SUMIF('OS Analysis'!$B3:$B1002,B59,'OS Analysis'!$S3:$S1002))/2)*12</f>
        <v>49560</v>
      </c>
      <c r="U59" s="2249">
        <f>(SUMIF('OS Analysis'!$B3:$B1002,B59,'OS Analysis'!$R3:$R1002))*12</f>
        <v>22656</v>
      </c>
      <c r="V59" s="2150">
        <f>SUMIF('OS Analysis'!$B$3:$B$1002,$B59,'OS Analysis'!$Q$3:$Q$1002)</f>
        <v>49624</v>
      </c>
      <c r="W59" s="2148">
        <f t="shared" si="5"/>
        <v>49624</v>
      </c>
      <c r="X59" s="2149">
        <f t="shared" si="25"/>
        <v>491</v>
      </c>
      <c r="Y59" s="2148">
        <f>SUMIF('OS Analysis'!$CD3:$CD1002,$B59,'OS Analysis'!$CS3:$CS1002)</f>
        <v>0</v>
      </c>
      <c r="Z59" s="2149">
        <f t="shared" si="25"/>
        <v>0</v>
      </c>
      <c r="AA59" s="2148">
        <f>SUMIF('OS Analysis'!$CU3:$CU1002,$B59,'OS Analysis'!$CW3:$CW1002)</f>
        <v>0</v>
      </c>
      <c r="AB59" s="2149">
        <f t="shared" si="25"/>
        <v>0</v>
      </c>
      <c r="AC59" s="2148">
        <f>SUMIF('OS Analysis'!$CU3:$CU1002,$B59,'OS Analysis'!$CX3:$CX1002)</f>
        <v>0</v>
      </c>
      <c r="AD59" s="2149">
        <f t="shared" si="25"/>
        <v>0</v>
      </c>
      <c r="AE59" s="2148">
        <v>0</v>
      </c>
      <c r="AF59" s="2149">
        <f t="shared" si="25"/>
        <v>0</v>
      </c>
      <c r="AG59" s="2148">
        <v>0</v>
      </c>
      <c r="AH59" s="2149">
        <f t="shared" si="25"/>
        <v>0</v>
      </c>
      <c r="AI59" s="2148">
        <v>0</v>
      </c>
      <c r="AJ59" s="2149">
        <f t="shared" si="25"/>
        <v>0</v>
      </c>
      <c r="AK59" s="2148">
        <f t="shared" si="26"/>
        <v>51112.72</v>
      </c>
      <c r="AL59" s="2149">
        <f t="shared" si="25"/>
        <v>506</v>
      </c>
      <c r="AM59" s="2148">
        <v>0</v>
      </c>
      <c r="AN59" s="2149">
        <f t="shared" si="25"/>
        <v>0</v>
      </c>
      <c r="AO59" s="2250"/>
      <c r="AP59" s="2250"/>
      <c r="AQ59" s="2114" t="str">
        <f t="shared" si="3"/>
        <v>Advertising &amp; Marketing</v>
      </c>
      <c r="AR59" s="2284" t="str">
        <f t="shared" si="27"/>
        <v>T-12 + 3%</v>
      </c>
      <c r="AS59" s="2114"/>
      <c r="AT59" s="2169"/>
      <c r="AU59" s="2160"/>
      <c r="AV59" s="2253">
        <f t="shared" si="6"/>
        <v>0</v>
      </c>
      <c r="AW59" s="2254">
        <f>ROUND(IF(AV59=0,0,(AV59)/V1),0)</f>
        <v>0</v>
      </c>
      <c r="AX59" s="2276">
        <v>0</v>
      </c>
      <c r="AY59" s="2254">
        <f>ROUND(IF(AX59=0,0,(AX59)/V1),0)</f>
        <v>0</v>
      </c>
    </row>
    <row r="60" ht="15" customHeight="1">
      <c r="A60" s="2114">
        <f t="shared" si="18"/>
        <v>26</v>
      </c>
      <c r="B60" s="2277" t="s">
        <v>1930</v>
      </c>
      <c r="C60" s="2136"/>
      <c r="D60" s="2255">
        <f>IF(ISBLANK(D$3),SUMIF('OS Analysis'!$BM3:$BM1002,$B60,'OS Analysis'!$CB3:$CB1002),INDEX($J60:$U60,1,MATCH(D$3,$J$4:$U$4,0)))</f>
        <v>0</v>
      </c>
      <c r="E60" s="2256">
        <f t="shared" si="25"/>
        <v>0</v>
      </c>
      <c r="F60" s="2255">
        <f>IF(ISBLANK(F$3),SUMIF('OS Analysis'!$AV3:$AV1002,$B60,'OS Analysis'!$BK3:$BK1002),INDEX($J60:$U60,1,MATCH(F$3,$J$4:$U$4,0)))</f>
        <v>0</v>
      </c>
      <c r="G60" s="2256">
        <f t="shared" si="25"/>
        <v>0</v>
      </c>
      <c r="H60" s="2255">
        <f>IF(ISBLANK(H$3),SUMIF('OS Analysis'!$AE3:$AE1002,$B60,'OS Analysis'!$AT3:$AT1002),INDEX($J60:$U60,1,MATCH(H$3,$J$4:$U$4,0)))</f>
        <v>0</v>
      </c>
      <c r="I60" s="2256">
        <f t="shared" si="25"/>
        <v>0</v>
      </c>
      <c r="J60" s="2180">
        <f>((SUMIF('OS Analysis'!$B3:$B1002,B60,'OS Analysis'!$AC3:$AC1002))/12)*12</f>
        <v>18386</v>
      </c>
      <c r="K60" s="2257">
        <f>((SUMIF('OS Analysis'!$B3:$B1002,B60,'OS Analysis'!$AB3:$AB1002))/11)*12</f>
        <v>17412</v>
      </c>
      <c r="L60" s="2257">
        <f>((SUMIF('OS Analysis'!$B3:$B1002,B60,'OS Analysis'!$AA3:$AA1002))/10)*12</f>
        <v>20241.6</v>
      </c>
      <c r="M60" s="2257">
        <f>((SUMIF('OS Analysis'!$B3:$B1002,B60,'OS Analysis'!$Z3:$Z1002))/9)*12</f>
        <v>21221.333333333332</v>
      </c>
      <c r="N60" s="2257">
        <f>((SUMIF('OS Analysis'!$B3:$B1002,B60,'OS Analysis'!$Y3:$Y1002))/8)*12</f>
        <v>19116</v>
      </c>
      <c r="O60" s="2257">
        <f>((SUMIF('OS Analysis'!$B3:$B1002,B60,'OS Analysis'!$X3:$X1002))/7)*12</f>
        <v>17972.571428571428</v>
      </c>
      <c r="P60" s="2257">
        <f>((SUMIF('OS Analysis'!$B3:$B1002,B60,'OS Analysis'!$W3:$W1002))/6)*12</f>
        <v>21448</v>
      </c>
      <c r="Q60" s="2257">
        <f>((SUMIF('OS Analysis'!$B3:$B1002,B60,'OS Analysis'!$V3:$V1002))/5)*12</f>
        <v>8515.2</v>
      </c>
      <c r="R60" s="2257">
        <f>((SUMIF('OS Analysis'!$B3:$B1002,B60,'OS Analysis'!$U3:$U1002))/4)*12</f>
        <v>2919</v>
      </c>
      <c r="S60" s="2257">
        <f>((SUMIF('OS Analysis'!$B3:$B1002,B60,'OS Analysis'!$T3:$T1002))/3)*12</f>
        <v>3892</v>
      </c>
      <c r="T60" s="2257">
        <f>((SUMIF('OS Analysis'!$B3:$B1002,B60,'OS Analysis'!$S3:$S1002))/2)*12</f>
        <v>8322</v>
      </c>
      <c r="U60" s="2257">
        <f>(SUMIF('OS Analysis'!$B3:$B1002,B60,'OS Analysis'!$R3:$R1002))*12</f>
        <v>0</v>
      </c>
      <c r="V60" s="2258">
        <f>SUMIF('OS Analysis'!$B$3:$B$1002,$B60,'OS Analysis'!$Q$3:$Q$1002)</f>
        <v>18386</v>
      </c>
      <c r="W60" s="2255">
        <f t="shared" si="5"/>
        <v>18386</v>
      </c>
      <c r="X60" s="2256">
        <f t="shared" si="25"/>
        <v>182</v>
      </c>
      <c r="Y60" s="2255">
        <f>SUMIF('OS Analysis'!$CD3:$CD1002,$B60,'OS Analysis'!$CS3:$CS1002)</f>
        <v>0</v>
      </c>
      <c r="Z60" s="2256">
        <f t="shared" si="25"/>
        <v>0</v>
      </c>
      <c r="AA60" s="2255">
        <f>SUMIF('OS Analysis'!$CU3:$CU1002,$B60,'OS Analysis'!$CW3:$CW1002)</f>
        <v>0</v>
      </c>
      <c r="AB60" s="2256">
        <f t="shared" si="25"/>
        <v>0</v>
      </c>
      <c r="AC60" s="2255">
        <f>SUMIF('OS Analysis'!$CU3:$CU1002,$B60,'OS Analysis'!$CX3:$CX1002)</f>
        <v>0</v>
      </c>
      <c r="AD60" s="2256">
        <f t="shared" si="25"/>
        <v>0</v>
      </c>
      <c r="AE60" s="2255">
        <v>0</v>
      </c>
      <c r="AF60" s="2256">
        <f t="shared" si="25"/>
        <v>0</v>
      </c>
      <c r="AG60" s="2255">
        <v>0</v>
      </c>
      <c r="AH60" s="2256">
        <f t="shared" si="25"/>
        <v>0</v>
      </c>
      <c r="AI60" s="2255">
        <v>0</v>
      </c>
      <c r="AJ60" s="2256">
        <f t="shared" si="25"/>
        <v>0</v>
      </c>
      <c r="AK60" s="2255">
        <f t="shared" si="26"/>
        <v>18937.58</v>
      </c>
      <c r="AL60" s="2256">
        <f t="shared" si="25"/>
        <v>188</v>
      </c>
      <c r="AM60" s="2255">
        <v>0</v>
      </c>
      <c r="AN60" s="2256">
        <f t="shared" si="25"/>
        <v>0</v>
      </c>
      <c r="AO60" s="2250"/>
      <c r="AP60" s="2250"/>
      <c r="AQ60" s="2114" t="str">
        <f t="shared" si="3"/>
        <v>Professional Fees</v>
      </c>
      <c r="AR60" s="2284" t="str">
        <f t="shared" si="27"/>
        <v>T-12 + 3%</v>
      </c>
      <c r="AS60" s="2114"/>
      <c r="AT60" s="2169"/>
      <c r="AU60" s="2160"/>
      <c r="AV60" s="2253">
        <f t="shared" si="6"/>
        <v>0</v>
      </c>
      <c r="AW60" s="2254">
        <f>ROUND(IF(AV60=0,0,(AV60)/V1),0)</f>
        <v>0</v>
      </c>
      <c r="AX60" s="2276">
        <v>0</v>
      </c>
      <c r="AY60" s="2254">
        <f>ROUND(IF(AX60=0,0,(AX60)/V1),0)</f>
        <v>0</v>
      </c>
    </row>
    <row r="61" ht="13.5" customHeight="1" hidden="1">
      <c r="A61" s="2114">
        <f>IF('SBL Quotes'!$AN$32="Seniors",A60+1,A60)</f>
        <v>26</v>
      </c>
      <c r="B61" s="2272" t="s">
        <v>1931</v>
      </c>
      <c r="C61" s="2114"/>
      <c r="D61" s="2148">
        <f>IF(ISBLANK(D$3),SUMIF('OS Analysis'!$BM3:$BM1002,$B61,'OS Analysis'!$CB3:$CB1002),INDEX($J61:$U61,1,MATCH(D$3,$J$4:$U$4,0)))</f>
        <v>0</v>
      </c>
      <c r="E61" s="2149">
        <f t="shared" si="25"/>
        <v>0</v>
      </c>
      <c r="F61" s="2148">
        <f>IF(ISBLANK(F$3),SUMIF('OS Analysis'!$AV3:$AV1002,$B61,'OS Analysis'!$BK3:$BK1002),INDEX($J61:$U61,1,MATCH(F$3,$J$4:$U$4,0)))</f>
        <v>0</v>
      </c>
      <c r="G61" s="2149">
        <f t="shared" si="25"/>
        <v>0</v>
      </c>
      <c r="H61" s="2148">
        <f>IF(ISBLANK(H$3),SUMIF('OS Analysis'!$AE3:$AE1002,$B61,'OS Analysis'!$AT3:$AT1002),INDEX($J61:$U61,1,MATCH(H$3,$J$4:$U$4,0)))</f>
        <v>0</v>
      </c>
      <c r="I61" s="2149">
        <f t="shared" si="25"/>
        <v>0</v>
      </c>
      <c r="J61" s="2153">
        <f>((SUMIF('OS Analysis'!$B3:$B1002,B61,'OS Analysis'!$AC3:$AC1002))/12)*12</f>
        <v>0</v>
      </c>
      <c r="K61" s="2249">
        <f>((SUMIF('OS Analysis'!$B3:$B1002,B61,'OS Analysis'!$AB3:$AB1002))/11)*12</f>
        <v>0</v>
      </c>
      <c r="L61" s="2249">
        <f>((SUMIF('OS Analysis'!$B3:$B1002,B61,'OS Analysis'!$AA3:$AA1002))/10)*12</f>
        <v>0</v>
      </c>
      <c r="M61" s="2249">
        <f>((SUMIF('OS Analysis'!$B3:$B1002,B61,'OS Analysis'!$Z3:$Z1002))/9)*12</f>
        <v>0</v>
      </c>
      <c r="N61" s="2249">
        <f>((SUMIF('OS Analysis'!$B3:$B1002,B61,'OS Analysis'!$Y3:$Y1002))/8)*12</f>
        <v>0</v>
      </c>
      <c r="O61" s="2249">
        <f>((SUMIF('OS Analysis'!$B3:$B1002,B61,'OS Analysis'!$X3:$X1002))/7)*12</f>
        <v>0</v>
      </c>
      <c r="P61" s="2249">
        <f>((SUMIF('OS Analysis'!$B3:$B1002,B61,'OS Analysis'!$W3:$W1002))/6)*12</f>
        <v>0</v>
      </c>
      <c r="Q61" s="2249">
        <f>((SUMIF('OS Analysis'!$B3:$B1002,B61,'OS Analysis'!$V3:$V1002))/5)*12</f>
        <v>0</v>
      </c>
      <c r="R61" s="2249">
        <f>((SUMIF('OS Analysis'!$B3:$B1002,B61,'OS Analysis'!$U3:$U1002))/4)*12</f>
        <v>0</v>
      </c>
      <c r="S61" s="2249">
        <f>((SUMIF('OS Analysis'!$B3:$B1002,B61,'OS Analysis'!$T3:$T1002))/3)*12</f>
        <v>0</v>
      </c>
      <c r="T61" s="2249">
        <f>((SUMIF('OS Analysis'!$B3:$B1002,B61,'OS Analysis'!$S3:$S1002))/2)*12</f>
        <v>0</v>
      </c>
      <c r="U61" s="2249">
        <f>(SUMIF('OS Analysis'!$B3:$B1002,B61,'OS Analysis'!$R3:$R1002))*12</f>
        <v>0</v>
      </c>
      <c r="V61" s="2150">
        <f>SUMIF('OS Analysis'!$B$3:$B$1002,$B61,'OS Analysis'!$Q$3:$Q$1002)</f>
        <v>0</v>
      </c>
      <c r="W61" s="2148">
        <f t="shared" si="5"/>
        <v>0</v>
      </c>
      <c r="X61" s="2149">
        <f t="shared" si="25"/>
        <v>0</v>
      </c>
      <c r="Y61" s="2148">
        <f>SUMIF('OS Analysis'!$CD3:$CD1002,$B61,'OS Analysis'!$CS3:$CS1002)</f>
        <v>0</v>
      </c>
      <c r="Z61" s="2149">
        <f t="shared" si="25"/>
        <v>0</v>
      </c>
      <c r="AA61" s="2148">
        <f>SUMIF('OS Analysis'!$CU3:$CU1002,$B61,'OS Analysis'!$CW3:$CW1002)</f>
        <v>0</v>
      </c>
      <c r="AB61" s="2149">
        <f t="shared" si="25"/>
        <v>0</v>
      </c>
      <c r="AC61" s="2148">
        <f>SUMIF('OS Analysis'!$CU3:$CU1002,$B61,'OS Analysis'!$CX3:$CX1002)</f>
        <v>0</v>
      </c>
      <c r="AD61" s="2149">
        <f t="shared" si="25"/>
        <v>0</v>
      </c>
      <c r="AE61" s="2148">
        <v>0</v>
      </c>
      <c r="AF61" s="2149">
        <f t="shared" si="25"/>
        <v>0</v>
      </c>
      <c r="AG61" s="2148">
        <v>0</v>
      </c>
      <c r="AH61" s="2149">
        <f t="shared" si="25"/>
        <v>0</v>
      </c>
      <c r="AI61" s="2148">
        <v>0</v>
      </c>
      <c r="AJ61" s="2149">
        <f t="shared" si="25"/>
        <v>0</v>
      </c>
      <c r="AK61" s="2148">
        <f t="shared" si="26"/>
        <v>0</v>
      </c>
      <c r="AL61" s="2149">
        <f t="shared" si="25"/>
        <v>0</v>
      </c>
      <c r="AM61" s="2148">
        <v>0</v>
      </c>
      <c r="AN61" s="2149">
        <f t="shared" si="25"/>
        <v>0</v>
      </c>
      <c r="AO61" s="2250"/>
      <c r="AP61" s="2250"/>
      <c r="AQ61" s="2114" t="str">
        <f t="shared" si="3"/>
        <v>Meals Expense (Seniors Only)</v>
      </c>
      <c r="AR61" s="2284">
        <f t="shared" si="27"/>
      </c>
      <c r="AS61" s="2114"/>
      <c r="AT61" s="2169"/>
      <c r="AU61" s="2160"/>
      <c r="AV61" s="2253">
        <f t="shared" si="6"/>
        <v>0</v>
      </c>
      <c r="AW61" s="2254">
        <f>ROUND(IF(AV61=0,0,(AV61)/C2),0)</f>
        <v>0</v>
      </c>
      <c r="AX61" s="2276">
        <v>0</v>
      </c>
      <c r="AY61" s="2254">
        <f>ROUND(IF(AX61=0,0,(AX61)/C2),0)</f>
        <v>0</v>
      </c>
    </row>
    <row r="62" ht="13.5" customHeight="1" hidden="1">
      <c r="A62" s="2114">
        <f>IF('SBL Quotes'!$AN$32="Seniors",A61+1,A61)</f>
        <v>26</v>
      </c>
      <c r="B62" s="2272" t="s">
        <v>1932</v>
      </c>
      <c r="C62" s="2114"/>
      <c r="D62" s="2148">
        <f>IF(ISBLANK(D$3),SUMIF('OS Analysis'!$BM3:$BM1002,$B62,'OS Analysis'!$CB3:$CB1002),INDEX($J62:$U62,1,MATCH(D$3,$J$4:$U$4,0)))</f>
        <v>0</v>
      </c>
      <c r="E62" s="2149">
        <f t="shared" si="25"/>
        <v>0</v>
      </c>
      <c r="F62" s="2148">
        <f>IF(ISBLANK(F$3),SUMIF('OS Analysis'!$AV3:$AV1002,$B62,'OS Analysis'!$BK3:$BK1002),INDEX($J62:$U62,1,MATCH(F$3,$J$4:$U$4,0)))</f>
        <v>0</v>
      </c>
      <c r="G62" s="2149">
        <f t="shared" si="25"/>
        <v>0</v>
      </c>
      <c r="H62" s="2148">
        <f>IF(ISBLANK(H$3),SUMIF('OS Analysis'!$AE3:$AE1002,$B62,'OS Analysis'!$AT3:$AT1002),INDEX($J62:$U62,1,MATCH(H$3,$J$4:$U$4,0)))</f>
        <v>0</v>
      </c>
      <c r="I62" s="2149">
        <f t="shared" si="25"/>
        <v>0</v>
      </c>
      <c r="J62" s="2153">
        <f>((SUMIF('OS Analysis'!$B3:$B1002,B62,'OS Analysis'!$AC3:$AC1002))/12)*12</f>
        <v>0</v>
      </c>
      <c r="K62" s="2249">
        <f>((SUMIF('OS Analysis'!$B3:$B1002,B62,'OS Analysis'!$AB3:$AB1002))/11)*12</f>
        <v>0</v>
      </c>
      <c r="L62" s="2249">
        <f>((SUMIF('OS Analysis'!$B3:$B1002,B62,'OS Analysis'!$AA3:$AA1002))/10)*12</f>
        <v>0</v>
      </c>
      <c r="M62" s="2249">
        <f>((SUMIF('OS Analysis'!$B3:$B1002,B62,'OS Analysis'!$Z3:$Z1002))/9)*12</f>
        <v>0</v>
      </c>
      <c r="N62" s="2249">
        <f>((SUMIF('OS Analysis'!$B3:$B1002,B62,'OS Analysis'!$Y3:$Y1002))/8)*12</f>
        <v>0</v>
      </c>
      <c r="O62" s="2249">
        <f>((SUMIF('OS Analysis'!$B3:$B1002,B62,'OS Analysis'!$X3:$X1002))/7)*12</f>
        <v>0</v>
      </c>
      <c r="P62" s="2249">
        <f>((SUMIF('OS Analysis'!$B3:$B1002,B62,'OS Analysis'!$W3:$W1002))/6)*12</f>
        <v>0</v>
      </c>
      <c r="Q62" s="2249">
        <f>((SUMIF('OS Analysis'!$B3:$B1002,B62,'OS Analysis'!$V3:$V1002))/5)*12</f>
        <v>0</v>
      </c>
      <c r="R62" s="2249">
        <f>((SUMIF('OS Analysis'!$B3:$B1002,B62,'OS Analysis'!$U3:$U1002))/4)*12</f>
        <v>0</v>
      </c>
      <c r="S62" s="2249">
        <f>((SUMIF('OS Analysis'!$B3:$B1002,B62,'OS Analysis'!$T3:$T1002))/3)*12</f>
        <v>0</v>
      </c>
      <c r="T62" s="2249">
        <f>((SUMIF('OS Analysis'!$B3:$B1002,B62,'OS Analysis'!$S3:$S1002))/2)*12</f>
        <v>0</v>
      </c>
      <c r="U62" s="2249">
        <f>(SUMIF('OS Analysis'!$B3:$B1002,B62,'OS Analysis'!$R3:$R1002))*12</f>
        <v>0</v>
      </c>
      <c r="V62" s="2150">
        <f>SUMIF('OS Analysis'!$B$3:$B$1002,$B62,'OS Analysis'!$Q$3:$Q$1002)</f>
        <v>0</v>
      </c>
      <c r="W62" s="2148">
        <f t="shared" si="5"/>
        <v>0</v>
      </c>
      <c r="X62" s="2149">
        <f t="shared" si="25"/>
        <v>0</v>
      </c>
      <c r="Y62" s="2148">
        <f>SUMIF('OS Analysis'!$CD3:$CD1002,$B62,'OS Analysis'!$CS3:$CS1002)</f>
        <v>0</v>
      </c>
      <c r="Z62" s="2149">
        <f t="shared" si="25"/>
        <v>0</v>
      </c>
      <c r="AA62" s="2148">
        <f>SUMIF('OS Analysis'!$CU3:$CU1002,$B62,'OS Analysis'!$CW3:$CW1002)</f>
        <v>0</v>
      </c>
      <c r="AB62" s="2149">
        <f t="shared" si="25"/>
        <v>0</v>
      </c>
      <c r="AC62" s="2148">
        <f>SUMIF('OS Analysis'!$CU3:$CU1002,$B62,'OS Analysis'!$CX3:$CX1002)</f>
        <v>0</v>
      </c>
      <c r="AD62" s="2149">
        <f t="shared" si="25"/>
        <v>0</v>
      </c>
      <c r="AE62" s="2148">
        <v>0</v>
      </c>
      <c r="AF62" s="2149">
        <f t="shared" si="25"/>
        <v>0</v>
      </c>
      <c r="AG62" s="2148">
        <v>0</v>
      </c>
      <c r="AH62" s="2149">
        <f t="shared" si="25"/>
        <v>0</v>
      </c>
      <c r="AI62" s="2148">
        <v>0</v>
      </c>
      <c r="AJ62" s="2149">
        <f t="shared" si="25"/>
        <v>0</v>
      </c>
      <c r="AK62" s="2148">
        <f t="shared" si="26"/>
        <v>0</v>
      </c>
      <c r="AL62" s="2149">
        <f t="shared" si="25"/>
        <v>0</v>
      </c>
      <c r="AM62" s="2148">
        <v>0</v>
      </c>
      <c r="AN62" s="2149">
        <f t="shared" si="25"/>
        <v>0</v>
      </c>
      <c r="AO62" s="2250"/>
      <c r="AP62" s="2250"/>
      <c r="AQ62" s="2114" t="str">
        <f t="shared" si="3"/>
        <v>Room Expense - House Keeping (Seniors Only)</v>
      </c>
      <c r="AR62" s="2284">
        <f t="shared" si="27"/>
      </c>
      <c r="AS62" s="2114"/>
      <c r="AT62" s="2169"/>
      <c r="AU62" s="2160"/>
      <c r="AV62" s="2253">
        <f t="shared" si="6"/>
        <v>0</v>
      </c>
      <c r="AW62" s="2254">
        <f>ROUND(IF(AV62=0,0,(AV62)/#REF!),0)</f>
        <v>0</v>
      </c>
      <c r="AX62" s="2276">
        <v>0</v>
      </c>
      <c r="AY62" s="2254">
        <f>ROUND(IF(AX62=0,0,(AX62)/#REF!),0)</f>
        <v>0</v>
      </c>
    </row>
    <row r="63" ht="14.25" customHeight="1">
      <c r="A63" s="2114">
        <f t="shared" si="18"/>
        <v>27</v>
      </c>
      <c r="B63" s="2272" t="s">
        <v>1933</v>
      </c>
      <c r="C63" s="2114"/>
      <c r="D63" s="2148">
        <f>IF(ISBLANK(D$3),SUMIF('OS Analysis'!$BM3:$BM1002,$B63,'OS Analysis'!$CB3:$CB1002),INDEX($J63:$U63,1,MATCH(D$3,$J$4:$U$4,0)))</f>
        <v>0</v>
      </c>
      <c r="E63" s="2149">
        <f t="shared" si="25"/>
        <v>0</v>
      </c>
      <c r="F63" s="2148">
        <f>IF(ISBLANK(F$3),SUMIF('OS Analysis'!$AV3:$AV1002,$B63,'OS Analysis'!$BK3:$BK1002),INDEX($J63:$U63,1,MATCH(F$3,$J$4:$U$4,0)))</f>
        <v>0</v>
      </c>
      <c r="G63" s="2149">
        <f t="shared" si="25"/>
        <v>0</v>
      </c>
      <c r="H63" s="2148">
        <f>IF(ISBLANK(H$3),SUMIF('OS Analysis'!$AE3:$AE1002,$B63,'OS Analysis'!$AT3:$AT1002),INDEX($J63:$U63,1,MATCH(H$3,$J$4:$U$4,0)))</f>
        <v>0</v>
      </c>
      <c r="I63" s="2149">
        <f t="shared" si="25"/>
        <v>0</v>
      </c>
      <c r="J63" s="2153">
        <f>((SUMIF('OS Analysis'!$B3:$B1002,B63,'OS Analysis'!$AC3:$AC1002))/12)*12</f>
        <v>204085</v>
      </c>
      <c r="K63" s="2249">
        <f>((SUMIF('OS Analysis'!$B3:$B1002,B63,'OS Analysis'!$AB3:$AB1002))/11)*12</f>
        <v>192807.27272727274</v>
      </c>
      <c r="L63" s="2249">
        <f>((SUMIF('OS Analysis'!$B3:$B1002,B63,'OS Analysis'!$AA3:$AA1002))/10)*12</f>
        <v>188283.59999999998</v>
      </c>
      <c r="M63" s="2249">
        <f>((SUMIF('OS Analysis'!$B3:$B1002,B63,'OS Analysis'!$Z3:$Z1002))/9)*12</f>
        <v>187734.66666666666</v>
      </c>
      <c r="N63" s="2249">
        <f>((SUMIF('OS Analysis'!$B3:$B1002,B63,'OS Analysis'!$Y3:$Y1002))/8)*12</f>
        <v>177015</v>
      </c>
      <c r="O63" s="2249">
        <f>((SUMIF('OS Analysis'!$B3:$B1002,B63,'OS Analysis'!$X3:$X1002))/7)*12</f>
        <v>175253.14285714284</v>
      </c>
      <c r="P63" s="2249">
        <f>((SUMIF('OS Analysis'!$B3:$B1002,B63,'OS Analysis'!$W3:$W1002))/6)*12</f>
        <v>178708</v>
      </c>
      <c r="Q63" s="2249">
        <f>((SUMIF('OS Analysis'!$B3:$B1002,B63,'OS Analysis'!$V3:$V1002))/5)*12</f>
        <v>163255.2</v>
      </c>
      <c r="R63" s="2249">
        <f>((SUMIF('OS Analysis'!$B3:$B1002,B63,'OS Analysis'!$U3:$U1002))/4)*12</f>
        <v>188778</v>
      </c>
      <c r="S63" s="2249">
        <f>((SUMIF('OS Analysis'!$B3:$B1002,B63,'OS Analysis'!$T3:$T1002))/3)*12</f>
        <v>200908</v>
      </c>
      <c r="T63" s="2249">
        <f>((SUMIF('OS Analysis'!$B3:$B1002,B63,'OS Analysis'!$S3:$S1002))/2)*12</f>
        <v>215946</v>
      </c>
      <c r="U63" s="2249">
        <f>(SUMIF('OS Analysis'!$B3:$B1002,B63,'OS Analysis'!$R3:$R1002))*12</f>
        <v>193488</v>
      </c>
      <c r="V63" s="2150">
        <f>SUMIF('OS Analysis'!$B$3:$B$1002,$B63,'OS Analysis'!$Q$3:$Q$1002)</f>
        <v>204085</v>
      </c>
      <c r="W63" s="2148">
        <f t="shared" si="5"/>
        <v>204085</v>
      </c>
      <c r="X63" s="2149">
        <f t="shared" si="25"/>
        <v>2021</v>
      </c>
      <c r="Y63" s="2148">
        <f>SUMIF('OS Analysis'!$CD3:$CD1002,$B63,'OS Analysis'!$CS3:$CS1002)</f>
        <v>0</v>
      </c>
      <c r="Z63" s="2149">
        <f t="shared" si="25"/>
        <v>0</v>
      </c>
      <c r="AA63" s="2148">
        <f>SUMIF('OS Analysis'!$CU3:$CU1002,$B63,'OS Analysis'!$CW3:$CW1002)</f>
        <v>0</v>
      </c>
      <c r="AB63" s="2149">
        <f t="shared" si="25"/>
        <v>0</v>
      </c>
      <c r="AC63" s="2148">
        <f>SUMIF('OS Analysis'!$CU3:$CU1002,$B63,'OS Analysis'!$CX3:$CX1002)</f>
        <v>0</v>
      </c>
      <c r="AD63" s="2149">
        <f t="shared" si="25"/>
        <v>0</v>
      </c>
      <c r="AE63" s="2148">
        <v>0</v>
      </c>
      <c r="AF63" s="2149">
        <f t="shared" si="25"/>
        <v>0</v>
      </c>
      <c r="AG63" s="2148">
        <v>0</v>
      </c>
      <c r="AH63" s="2149">
        <f t="shared" si="25"/>
        <v>0</v>
      </c>
      <c r="AI63" s="2148">
        <v>0</v>
      </c>
      <c r="AJ63" s="2149">
        <f t="shared" si="25"/>
        <v>0</v>
      </c>
      <c r="AK63" s="2148">
        <f t="shared" si="26"/>
        <v>210207.55</v>
      </c>
      <c r="AL63" s="2149">
        <f t="shared" si="25"/>
        <v>2081</v>
      </c>
      <c r="AM63" s="2148">
        <v>0</v>
      </c>
      <c r="AN63" s="2149">
        <f t="shared" si="25"/>
        <v>0</v>
      </c>
      <c r="AO63" s="2250"/>
      <c r="AP63" s="2250"/>
      <c r="AQ63" s="2114" t="str">
        <f t="shared" si="3"/>
        <v>General Administrative</v>
      </c>
      <c r="AR63" s="2287" t="str">
        <f t="shared" si="27"/>
        <v>T-12 + 3%</v>
      </c>
      <c r="AS63" s="2114"/>
      <c r="AT63" s="2169"/>
      <c r="AU63" s="2160"/>
      <c r="AV63" s="2253">
        <f t="shared" si="6"/>
        <v>0</v>
      </c>
      <c r="AW63" s="2254">
        <f>ROUND(IF(AV63=0,0,(AV63)/V1),0)</f>
        <v>0</v>
      </c>
      <c r="AX63" s="2276">
        <v>0</v>
      </c>
      <c r="AY63" s="2254">
        <f>ROUND(IF(AX63=0,0,(AX63)/V1),0)</f>
        <v>0</v>
      </c>
    </row>
    <row r="64" ht="14.25" customHeight="1">
      <c r="A64" s="2114">
        <f t="shared" si="18"/>
        <v>28</v>
      </c>
      <c r="B64" s="2272" t="s">
        <v>1934</v>
      </c>
      <c r="C64" s="2114"/>
      <c r="D64" s="2148">
        <f>IF(ISBLANK(D$3),-SUMIF('OS Analysis'!$BM3:$BM1002,"Office / Model Apts. (income line item)",'OS Analysis'!$CB3:$CB1002)+SUMIF('OS Analysis'!$BM3:$BM1002,"Office / Model Apts. (expense line item)",'OS Analysis'!$CB3:$CB1002),INDEX($J64:$U64,1,MATCH(D$3,$J$4:$U$4,0)))</f>
        <v>0</v>
      </c>
      <c r="E64" s="2149">
        <f t="shared" si="25"/>
        <v>0</v>
      </c>
      <c r="F64" s="2148">
        <f>IF(ISBLANK(F$3),-SUMIF('OS Analysis'!$AV3:$AV1002,"Office / Model Apts. (income line item)",'OS Analysis'!$BK3:$BK1002)+SUMIF('OS Analysis'!$AV3:$AV1002,"Office / Model Apts. (expense line item)",'OS Analysis'!$BK3:$BK1002),INDEX($J64:$U64,1,MATCH(F$3,$J$4:$U$4,0)))</f>
        <v>0</v>
      </c>
      <c r="G64" s="2149">
        <f t="shared" si="25"/>
        <v>0</v>
      </c>
      <c r="H64" s="2148">
        <f>IF(ISBLANK(H$3),-SUMIF('OS Analysis'!$AE3:$AE1002,"Office / Model Apts. (income line item)",'OS Analysis'!$AT3:$AT1002)+SUMIF('OS Analysis'!$AE3:$AE1002,"Office / Model Apts. (expense line item)",'OS Analysis'!$AT3:$AT1002),INDEX($J64:$U64,1,MATCH(H$3,$J$4:$U$4,0)))</f>
        <v>0</v>
      </c>
      <c r="I64" s="2149">
        <f t="shared" si="25"/>
        <v>0</v>
      </c>
      <c r="J64" s="2153">
        <f>-(((SUMIF('OS Analysis'!$B3:$B1002,"Office / Model Apts. (income line item)",'OS Analysis'!$AC3:$AC1002))/12)*12)+(((SUMIF('OS Analysis'!$B3:$B1002,"Office / Model Apts. (expense line item)",'OS Analysis'!$AC3:$AC1002))/12)*12)</f>
        <v>0</v>
      </c>
      <c r="K64" s="2249">
        <f>-(((SUMIF('OS Analysis'!$B3:$B1002,"Office / Model Apts. (income line item)",'OS Analysis'!$AB3:$AB1002))/11)*12)+(((SUMIF('OS Analysis'!$B3:$B1002,"Office / Model Apts. (expense line item)",'OS Analysis'!$AB3:$AB1002))/11)*12)</f>
        <v>0</v>
      </c>
      <c r="L64" s="2249">
        <f>-(((SUMIF('OS Analysis'!$B3:$B1002,"Office / Model Apts. (income line item)",'OS Analysis'!$AA3:$AA1002))/10)*12)+(((SUMIF('OS Analysis'!$B3:$B1002,"Office / Model Apts. (expense line item)",'OS Analysis'!$AA3:$AA1002))/10)*12)</f>
        <v>0</v>
      </c>
      <c r="M64" s="2249">
        <f>-(((SUMIF('OS Analysis'!$B3:$B1002,"Office / Model Apts. (income line item)",'OS Analysis'!$Z3:$Z1002))/9)*12)+(((SUMIF('OS Analysis'!$B3:$B1002,"Office / Model Apts. (expense line item)",'OS Analysis'!$Z3:$Z1002))/9)*12)</f>
        <v>0</v>
      </c>
      <c r="N64" s="2249">
        <f>-(((SUMIF('OS Analysis'!$B3:$B1002,"Office / Model Apts. (income line item)",'OS Analysis'!$Y3:$Y1002))/8)*12)+(((SUMIF('OS Analysis'!$B3:$B1002,"Office / Model Apts. (expense line item)",'OS Analysis'!$Y3:$Y1002))/8)*12)</f>
        <v>0</v>
      </c>
      <c r="O64" s="2249">
        <f>-(((SUMIF('OS Analysis'!$B3:$B1002,"Office / Model Apts. (income line item)",'OS Analysis'!$X3:$X1002))/7)*12)+(((SUMIF('OS Analysis'!$B3:$B1002,"Office / Model Apts. (expense line item)",'OS Analysis'!$X3:$X1002))/7)*12)</f>
        <v>0</v>
      </c>
      <c r="P64" s="2249">
        <f>-(((SUMIF('OS Analysis'!$B3:$B1002,"Office / Model Apts. (income line item)",'OS Analysis'!$W3:$W1002))/6)*12)+(((SUMIF('OS Analysis'!$B3:$B1002,"Office / Model Apts. (expense line item)",'OS Analysis'!$W3:$W1002))/6)*12)</f>
        <v>0</v>
      </c>
      <c r="Q64" s="2249">
        <f>-(((SUMIF('OS Analysis'!$B3:$B1002,"Office / Model Apts. (income line item)",'OS Analysis'!$V3:$V1002))/5)*12)+(((SUMIF('OS Analysis'!$B3:$B1002,"Office / Model Apts. (expense line item)",'OS Analysis'!$V3:$V1002))/5)*12)</f>
        <v>0</v>
      </c>
      <c r="R64" s="2249">
        <f>-(((SUMIF('OS Analysis'!$B3:$B1002,"Office / Model Apts. (income line item)",'OS Analysis'!$U3:$U1002))/4)*12)+(((SUMIF('OS Analysis'!$B3:$B1002,"Office / Model Apts. (expense line item)",'OS Analysis'!$U3:$U1002))/4)*12)</f>
        <v>0</v>
      </c>
      <c r="S64" s="2249">
        <f>-(((SUMIF('OS Analysis'!$B3:$B1002,"Office / Model Apts. (income line item)",'OS Analysis'!$T3:$T1002))/3)*12)+(((SUMIF('OS Analysis'!$B3:$B1002,"Office / Model Apts. (expense line item)",'OS Analysis'!$T3:$T1002))/3)*12)</f>
        <v>0</v>
      </c>
      <c r="T64" s="2249">
        <f>-(((SUMIF('OS Analysis'!$B3:$B1002,"Office / Model Apts. (income line item)",'OS Analysis'!$S3:$S1002))/2)*12)+(((SUMIF('OS Analysis'!$B3:$B1002,"Office / Model Apts. (expense line item)",'OS Analysis'!$S3:$S1002))/2)*12)</f>
        <v>0</v>
      </c>
      <c r="U64" s="2249">
        <f>-(((SUMIF('OS Analysis'!$B3:$B1002,"Office / Model Apts. (income line item)",'OS Analysis'!$R3:$R1002)))*12)+(((SUMIF('OS Analysis'!$B3:$B1002,"Office / Model Apts. (expense line item)",'OS Analysis'!$R3:$R1002)))*12)</f>
        <v>0</v>
      </c>
      <c r="V64" s="2150">
        <f>-SUMIF('OS Analysis'!$B$3:$B$1002,"Office / Model Apts. (income line item)",'OS Analysis'!$Q$3:$Q$1002)+SUMIF('OS Analysis'!$B$3:$B$1002,"Office / Model Apts. (expense line item)",'OS Analysis'!$Q$3:$Q$1002)</f>
        <v>0</v>
      </c>
      <c r="W64" s="2148">
        <f t="shared" si="5"/>
        <v>0</v>
      </c>
      <c r="X64" s="2149">
        <f t="shared" si="25"/>
        <v>0</v>
      </c>
      <c r="Y64" s="2148">
        <f>-SUMIF('OS Analysis'!$CD3:$CD1002,"Office / Model Apts. (income line item)",'OS Analysis'!$CS3:$CS1002)+SUMIF('OS Analysis'!$CD3:$CD1002,"Office / Model Apts. (expense line item)",'OS Analysis'!$CS3:$CS1002)</f>
        <v>0</v>
      </c>
      <c r="Z64" s="2149">
        <f t="shared" si="25"/>
        <v>0</v>
      </c>
      <c r="AA64" s="2148">
        <f>-SUMIF('OS Analysis'!$CU3:$CU1002,"Office / Model Apts. (income line item)",'OS Analysis'!$CW3:$CW1002)+SUMIF('OS Analysis'!$CU3:$CU1002,"Office / Model Apts. (expense line item)",'OS Analysis'!$CW3:$CW1002)</f>
        <v>0</v>
      </c>
      <c r="AB64" s="2149">
        <f t="shared" si="25"/>
        <v>0</v>
      </c>
      <c r="AC64" s="2148">
        <f>-SUMIF('OS Analysis'!$CU3:$CU1002,"Office / Model Apts. (income line item)",'OS Analysis'!$CX3:$CX1002)+SUMIF('OS Analysis'!$CU3:$CU1002,"Office / Model Apts. (expense line item)",'OS Analysis'!$CX3:$CX1002)</f>
        <v>0</v>
      </c>
      <c r="AD64" s="2149">
        <f t="shared" si="25"/>
        <v>0</v>
      </c>
      <c r="AE64" s="2148">
        <v>0</v>
      </c>
      <c r="AF64" s="2149">
        <f t="shared" si="25"/>
        <v>0</v>
      </c>
      <c r="AG64" s="2148">
        <v>0</v>
      </c>
      <c r="AH64" s="2149">
        <f t="shared" si="25"/>
        <v>0</v>
      </c>
      <c r="AI64" s="2148">
        <v>0</v>
      </c>
      <c r="AJ64" s="2149">
        <f t="shared" si="25"/>
        <v>0</v>
      </c>
      <c r="AK64" s="2148">
        <f t="shared" si="26"/>
        <v>0</v>
      </c>
      <c r="AL64" s="2149">
        <f t="shared" si="25"/>
        <v>0</v>
      </c>
      <c r="AM64" s="2148">
        <v>0</v>
      </c>
      <c r="AN64" s="2149">
        <f t="shared" si="25"/>
        <v>0</v>
      </c>
      <c r="AO64" s="2250"/>
      <c r="AP64" s="2250"/>
      <c r="AQ64" s="2114" t="str">
        <f t="shared" si="3"/>
        <v>Office / Model Apts.</v>
      </c>
      <c r="AR64" s="2285">
        <f t="shared" si="27"/>
      </c>
      <c r="AS64" s="2114"/>
      <c r="AT64" s="2169"/>
      <c r="AU64" s="2160"/>
      <c r="AV64" s="2253">
        <f t="shared" si="6"/>
        <v>0</v>
      </c>
      <c r="AW64" s="2254">
        <f>ROUND(IF(AV64=0,0,(AV64)/V1),0)</f>
        <v>0</v>
      </c>
      <c r="AX64" s="2276">
        <v>0</v>
      </c>
      <c r="AY64" s="2254">
        <f>ROUND(IF(AX64=0,0,(AX64)/V1),0)</f>
        <v>0</v>
      </c>
    </row>
    <row r="65" ht="14.25" customHeight="1">
      <c r="A65" s="2114">
        <f t="shared" si="18"/>
        <v>29</v>
      </c>
      <c r="B65" s="2272" t="s">
        <v>1935</v>
      </c>
      <c r="C65" s="2114"/>
      <c r="D65" s="2148">
        <f>IF(ISBLANK(D$3),SUMIF('OS Analysis'!$BM3:$BM1002,$B65,'OS Analysis'!$CB3:$CB1002),INDEX($J65:$U65,1,MATCH(D$3,$J$4:$U$4,0)))</f>
        <v>0</v>
      </c>
      <c r="E65" s="2149">
        <f t="shared" si="25"/>
        <v>0</v>
      </c>
      <c r="F65" s="2148">
        <f>IF(ISBLANK(F$3),SUMIF('OS Analysis'!$AV3:$AV1002,$B65,'OS Analysis'!$BK3:$BK1002),INDEX($J65:$U65,1,MATCH(F$3,$J$4:$U$4,0)))</f>
        <v>0</v>
      </c>
      <c r="G65" s="2149">
        <f t="shared" si="25"/>
        <v>0</v>
      </c>
      <c r="H65" s="2148">
        <f>IF(ISBLANK(H$3),SUMIF('OS Analysis'!$AE3:$AE1002,$B65,'OS Analysis'!$AT3:$AT1002),INDEX($J65:$U65,1,MATCH(H$3,$J$4:$U$4,0)))</f>
        <v>0</v>
      </c>
      <c r="I65" s="2149">
        <f t="shared" si="25"/>
        <v>0</v>
      </c>
      <c r="J65" s="2153">
        <f>((SUMIF('OS Analysis'!$B3:$B1002,B65,'OS Analysis'!$AC3:$AC1002))/12)*12</f>
        <v>11567</v>
      </c>
      <c r="K65" s="2249">
        <f>((SUMIF('OS Analysis'!$B3:$B1002,B65,'OS Analysis'!$AB3:$AB1002))/11)*12</f>
        <v>11842.90909090909</v>
      </c>
      <c r="L65" s="2249">
        <f>((SUMIF('OS Analysis'!$B3:$B1002,B65,'OS Analysis'!$AA3:$AA1002))/10)*12</f>
        <v>12118.8</v>
      </c>
      <c r="M65" s="2249">
        <f>((SUMIF('OS Analysis'!$B3:$B1002,B65,'OS Analysis'!$Z3:$Z1002))/9)*12</f>
        <v>11872</v>
      </c>
      <c r="N65" s="2249">
        <f>((SUMIF('OS Analysis'!$B3:$B1002,B65,'OS Analysis'!$Y3:$Y1002))/8)*12</f>
        <v>12801</v>
      </c>
      <c r="O65" s="2249">
        <f>((SUMIF('OS Analysis'!$B3:$B1002,B65,'OS Analysis'!$X3:$X1002))/7)*12</f>
        <v>12605.142857142855</v>
      </c>
      <c r="P65" s="2249">
        <f>((SUMIF('OS Analysis'!$B3:$B1002,B65,'OS Analysis'!$W3:$W1002))/6)*12</f>
        <v>13148</v>
      </c>
      <c r="Q65" s="2249">
        <f>((SUMIF('OS Analysis'!$B3:$B1002,B65,'OS Analysis'!$V3:$V1002))/5)*12</f>
        <v>12969.599999999999</v>
      </c>
      <c r="R65" s="2249">
        <f>((SUMIF('OS Analysis'!$B3:$B1002,B65,'OS Analysis'!$U3:$U1002))/4)*12</f>
        <v>12714</v>
      </c>
      <c r="S65" s="2249">
        <f>((SUMIF('OS Analysis'!$B3:$B1002,B65,'OS Analysis'!$T3:$T1002))/3)*12</f>
        <v>12744</v>
      </c>
      <c r="T65" s="2249">
        <f>((SUMIF('OS Analysis'!$B3:$B1002,B65,'OS Analysis'!$S3:$S1002))/2)*12</f>
        <v>12018</v>
      </c>
      <c r="U65" s="2249">
        <f>(SUMIF('OS Analysis'!$B3:$B1002,B65,'OS Analysis'!$R3:$R1002))*12</f>
        <v>11568</v>
      </c>
      <c r="V65" s="2150">
        <f>SUMIF('OS Analysis'!$B$3:$B$1002,$B65,'OS Analysis'!$Q$3:$Q$1002)</f>
        <v>11567</v>
      </c>
      <c r="W65" s="2148">
        <f t="shared" si="5"/>
        <v>11567</v>
      </c>
      <c r="X65" s="2149">
        <f t="shared" si="25"/>
        <v>115</v>
      </c>
      <c r="Y65" s="2148">
        <f>SUMIF('OS Analysis'!$CD3:$CD1002,$B65,'OS Analysis'!$CS3:$CS1002)</f>
        <v>0</v>
      </c>
      <c r="Z65" s="2149">
        <f t="shared" si="25"/>
        <v>0</v>
      </c>
      <c r="AA65" s="2148">
        <f>SUMIF('OS Analysis'!$CU3:$CU1002,$B65,'OS Analysis'!$CW3:$CW1002)</f>
        <v>0</v>
      </c>
      <c r="AB65" s="2149">
        <f t="shared" si="25"/>
        <v>0</v>
      </c>
      <c r="AC65" s="2148">
        <f>SUMIF('OS Analysis'!$CU3:$CU1002,$B65,'OS Analysis'!$CX3:$CX1002)</f>
        <v>0</v>
      </c>
      <c r="AD65" s="2149">
        <f t="shared" si="25"/>
        <v>0</v>
      </c>
      <c r="AE65" s="2148">
        <v>0</v>
      </c>
      <c r="AF65" s="2149">
        <f t="shared" si="25"/>
        <v>0</v>
      </c>
      <c r="AG65" s="2148">
        <v>0</v>
      </c>
      <c r="AH65" s="2149">
        <f t="shared" si="25"/>
        <v>0</v>
      </c>
      <c r="AI65" s="2148">
        <v>0</v>
      </c>
      <c r="AJ65" s="2149">
        <f t="shared" si="25"/>
        <v>0</v>
      </c>
      <c r="AK65" s="2148">
        <f t="shared" si="26"/>
        <v>11914.01</v>
      </c>
      <c r="AL65" s="2149">
        <f t="shared" si="25"/>
        <v>118</v>
      </c>
      <c r="AM65" s="2148">
        <v>0</v>
      </c>
      <c r="AN65" s="2149">
        <f t="shared" si="25"/>
        <v>0</v>
      </c>
      <c r="AO65" s="2250"/>
      <c r="AP65" s="2250"/>
      <c r="AQ65" s="2114" t="str">
        <f t="shared" si="3"/>
        <v>Telephone / Cable</v>
      </c>
      <c r="AR65" s="2285" t="str">
        <f t="shared" si="27"/>
        <v>T-12 + 3%</v>
      </c>
      <c r="AS65" s="2114"/>
      <c r="AT65" s="2169"/>
      <c r="AU65" s="2160"/>
      <c r="AV65" s="2253">
        <f t="shared" si="6"/>
        <v>0</v>
      </c>
      <c r="AW65" s="2254">
        <f>ROUND(IF(AV65=0,0,(AV65)/V1),0)</f>
        <v>0</v>
      </c>
      <c r="AX65" s="2276">
        <v>0</v>
      </c>
      <c r="AY65" s="2254">
        <f>ROUND(IF(AX65=0,0,(AX65)/V1),0)</f>
        <v>0</v>
      </c>
    </row>
    <row r="66" ht="14.25" customHeight="1">
      <c r="A66" s="2114">
        <f t="shared" si="18"/>
        <v>30</v>
      </c>
      <c r="B66" s="2272" t="s">
        <v>1936</v>
      </c>
      <c r="C66" s="2114"/>
      <c r="D66" s="2148">
        <f>IF(ISBLANK(D$3),SUMIF('OS Analysis'!$BM3:$BM1002,$B66,'OS Analysis'!$CB3:$CB1002),INDEX($J66:$U66,1,MATCH(D$3,$J$4:$U$4,0)))</f>
        <v>0</v>
      </c>
      <c r="E66" s="2149">
        <f t="shared" si="25"/>
        <v>0</v>
      </c>
      <c r="F66" s="2148">
        <f>IF(ISBLANK(F$3),SUMIF('OS Analysis'!$AV3:$AV1002,$B66,'OS Analysis'!$BK3:$BK1002),INDEX($J66:$U66,1,MATCH(F$3,$J$4:$U$4,0)))</f>
        <v>0</v>
      </c>
      <c r="G66" s="2149">
        <f t="shared" si="25"/>
        <v>0</v>
      </c>
      <c r="H66" s="2148">
        <f>IF(ISBLANK(H$3),SUMIF('OS Analysis'!$AE3:$AE1002,$B66,'OS Analysis'!$AT3:$AT1002),INDEX($J66:$U66,1,MATCH(H$3,$J$4:$U$4,0)))</f>
        <v>0</v>
      </c>
      <c r="I66" s="2149">
        <f t="shared" si="25"/>
        <v>0</v>
      </c>
      <c r="J66" s="2153">
        <f>((SUMIF('OS Analysis'!$B3:$B1002,B66,'OS Analysis'!$AC3:$AC1002))/12)*12</f>
        <v>0</v>
      </c>
      <c r="K66" s="2249">
        <f>((SUMIF('OS Analysis'!$B3:$B1002,B66,'OS Analysis'!$AB3:$AB1002))/11)*12</f>
        <v>0</v>
      </c>
      <c r="L66" s="2249">
        <f>((SUMIF('OS Analysis'!$B3:$B1002,B66,'OS Analysis'!$AA3:$AA1002))/10)*12</f>
        <v>0</v>
      </c>
      <c r="M66" s="2249">
        <f>((SUMIF('OS Analysis'!$B3:$B1002,B66,'OS Analysis'!$Z3:$Z1002))/9)*12</f>
        <v>0</v>
      </c>
      <c r="N66" s="2249">
        <f>((SUMIF('OS Analysis'!$B3:$B1002,B66,'OS Analysis'!$Y3:$Y1002))/8)*12</f>
        <v>0</v>
      </c>
      <c r="O66" s="2249">
        <f>((SUMIF('OS Analysis'!$B3:$B1002,B66,'OS Analysis'!$X3:$X1002))/7)*12</f>
        <v>0</v>
      </c>
      <c r="P66" s="2249">
        <f>((SUMIF('OS Analysis'!$B3:$B1002,B66,'OS Analysis'!$W3:$W1002))/6)*12</f>
        <v>0</v>
      </c>
      <c r="Q66" s="2249">
        <f>((SUMIF('OS Analysis'!$B3:$B1002,B66,'OS Analysis'!$V3:$V1002))/5)*12</f>
        <v>0</v>
      </c>
      <c r="R66" s="2249">
        <f>((SUMIF('OS Analysis'!$B3:$B1002,B66,'OS Analysis'!$U3:$U1002))/4)*12</f>
        <v>0</v>
      </c>
      <c r="S66" s="2249">
        <f>((SUMIF('OS Analysis'!$B3:$B1002,B66,'OS Analysis'!$T3:$T1002))/3)*12</f>
        <v>0</v>
      </c>
      <c r="T66" s="2249">
        <f>((SUMIF('OS Analysis'!$B3:$B1002,B66,'OS Analysis'!$S3:$S1002))/2)*12</f>
        <v>0</v>
      </c>
      <c r="U66" s="2249">
        <f>(SUMIF('OS Analysis'!$B3:$B1002,B66,'OS Analysis'!$R3:$R1002))*12</f>
        <v>0</v>
      </c>
      <c r="V66" s="2150">
        <f>SUMIF('OS Analysis'!$B$3:$B$1002,$B66,'OS Analysis'!$Q$3:$Q$1002)</f>
        <v>0</v>
      </c>
      <c r="W66" s="2148">
        <f t="shared" si="5"/>
        <v>0</v>
      </c>
      <c r="X66" s="2149">
        <f t="shared" si="25"/>
        <v>0</v>
      </c>
      <c r="Y66" s="2148">
        <f>SUMIF('OS Analysis'!$CD3:$CD1002,$B66,'OS Analysis'!$CS3:$CS1002)</f>
        <v>0</v>
      </c>
      <c r="Z66" s="2149">
        <f t="shared" si="25"/>
        <v>0</v>
      </c>
      <c r="AA66" s="2148">
        <f>SUMIF('OS Analysis'!$CU3:$CU1002,$B66,'OS Analysis'!$CW3:$CW1002)</f>
        <v>0</v>
      </c>
      <c r="AB66" s="2149">
        <f t="shared" si="25"/>
        <v>0</v>
      </c>
      <c r="AC66" s="2148">
        <f>SUMIF('OS Analysis'!$CU3:$CU1002,$B66,'OS Analysis'!$CX3:$CX1002)</f>
        <v>0</v>
      </c>
      <c r="AD66" s="2149">
        <f t="shared" si="25"/>
        <v>0</v>
      </c>
      <c r="AE66" s="2148">
        <v>0</v>
      </c>
      <c r="AF66" s="2149">
        <f t="shared" si="25"/>
        <v>0</v>
      </c>
      <c r="AG66" s="2148">
        <v>0</v>
      </c>
      <c r="AH66" s="2149">
        <f t="shared" si="25"/>
        <v>0</v>
      </c>
      <c r="AI66" s="2148">
        <v>0</v>
      </c>
      <c r="AJ66" s="2149">
        <f t="shared" si="25"/>
        <v>0</v>
      </c>
      <c r="AK66" s="2148">
        <f t="shared" si="26"/>
        <v>0</v>
      </c>
      <c r="AL66" s="2149">
        <f t="shared" si="25"/>
        <v>0</v>
      </c>
      <c r="AM66" s="2148">
        <v>0</v>
      </c>
      <c r="AN66" s="2149">
        <f t="shared" si="25"/>
        <v>0</v>
      </c>
      <c r="AO66" s="2250"/>
      <c r="AP66" s="2250"/>
      <c r="AQ66" s="2114" t="str">
        <f t="shared" si="3"/>
        <v>Security Contract</v>
      </c>
      <c r="AR66" s="2285">
        <f t="shared" si="27"/>
      </c>
      <c r="AS66" s="2114"/>
      <c r="AT66" s="2169"/>
      <c r="AU66" s="2160"/>
      <c r="AV66" s="2253">
        <f t="shared" si="6"/>
        <v>0</v>
      </c>
      <c r="AW66" s="2254">
        <f>ROUND(IF(AV66=0,0,(AV66)/V1),0)</f>
        <v>0</v>
      </c>
      <c r="AX66" s="2276">
        <v>0</v>
      </c>
      <c r="AY66" s="2254">
        <f>ROUND(IF(AX66=0,0,(AX66)/V1),0)</f>
        <v>0</v>
      </c>
    </row>
    <row r="67" ht="15" customHeight="1">
      <c r="A67" s="2114">
        <f t="shared" si="18"/>
        <v>31</v>
      </c>
      <c r="B67" s="2288" t="s">
        <v>1937</v>
      </c>
      <c r="C67" s="2136"/>
      <c r="D67" s="2255">
        <f>IF(ISBLANK(D$3),SUMIF('OS Analysis'!$BM3:$BM1002,$B67,'OS Analysis'!$CB3:$CB1002),INDEX($J67:$U67,1,MATCH(D$3,$J$4:$U$4,0)))</f>
        <v>0</v>
      </c>
      <c r="E67" s="2256">
        <f t="shared" si="25"/>
        <v>0</v>
      </c>
      <c r="F67" s="2255">
        <f>IF(ISBLANK(F$3),SUMIF('OS Analysis'!$AV3:$AV1002,$B67,'OS Analysis'!$BK3:$BK1002),INDEX($J67:$U67,1,MATCH(F$3,$J$4:$U$4,0)))</f>
        <v>0</v>
      </c>
      <c r="G67" s="2256">
        <f t="shared" si="25"/>
        <v>0</v>
      </c>
      <c r="H67" s="2255">
        <f>IF(ISBLANK(H$3),SUMIF('OS Analysis'!$AE3:$AE1002,$B67,'OS Analysis'!$AT3:$AT1002),INDEX($J67:$U67,1,MATCH(H$3,$J$4:$U$4,0)))</f>
        <v>0</v>
      </c>
      <c r="I67" s="2256">
        <f t="shared" si="25"/>
        <v>0</v>
      </c>
      <c r="J67" s="2180">
        <f>((SUMIF('OS Analysis'!$B3:$B1002,B67,'OS Analysis'!$AC3:$AC1002))/12)*12</f>
        <v>0</v>
      </c>
      <c r="K67" s="2257">
        <f>((SUMIF('OS Analysis'!$B3:$B1002,B67,'OS Analysis'!$AB3:$AB1002))/11)*12</f>
        <v>0</v>
      </c>
      <c r="L67" s="2257">
        <f>((SUMIF('OS Analysis'!$B3:$B1002,B67,'OS Analysis'!$AA3:$AA1002))/10)*12</f>
        <v>0</v>
      </c>
      <c r="M67" s="2257">
        <f>((SUMIF('OS Analysis'!$B3:$B1002,B67,'OS Analysis'!$Z3:$Z1002))/9)*12</f>
        <v>0</v>
      </c>
      <c r="N67" s="2257">
        <f>((SUMIF('OS Analysis'!$B3:$B1002,B67,'OS Analysis'!$Y3:$Y1002))/8)*12</f>
        <v>0</v>
      </c>
      <c r="O67" s="2257">
        <f>((SUMIF('OS Analysis'!$B3:$B1002,B67,'OS Analysis'!$X3:$X1002))/7)*12</f>
        <v>0</v>
      </c>
      <c r="P67" s="2257">
        <f>((SUMIF('OS Analysis'!$B3:$B1002,B67,'OS Analysis'!$W3:$W1002))/6)*12</f>
        <v>0</v>
      </c>
      <c r="Q67" s="2257">
        <f>((SUMIF('OS Analysis'!$B3:$B1002,B67,'OS Analysis'!$V3:$V1002))/5)*12</f>
        <v>0</v>
      </c>
      <c r="R67" s="2257">
        <f>((SUMIF('OS Analysis'!$B3:$B1002,B67,'OS Analysis'!$U3:$U1002))/4)*12</f>
        <v>0</v>
      </c>
      <c r="S67" s="2257">
        <f>((SUMIF('OS Analysis'!$B3:$B1002,B67,'OS Analysis'!$T3:$T1002))/3)*12</f>
        <v>0</v>
      </c>
      <c r="T67" s="2257">
        <f>((SUMIF('OS Analysis'!$B3:$B1002,B67,'OS Analysis'!$S3:$S1002))/2)*12</f>
        <v>0</v>
      </c>
      <c r="U67" s="2257">
        <f>(SUMIF('OS Analysis'!$B3:$B1002,B67,'OS Analysis'!$R3:$R1002))*12</f>
        <v>0</v>
      </c>
      <c r="V67" s="2258">
        <f>SUMIF('OS Analysis'!$B$3:$B$1002,$B67,'OS Analysis'!$Q$3:$Q$1002)</f>
        <v>0</v>
      </c>
      <c r="W67" s="2255">
        <f t="shared" si="5"/>
        <v>0</v>
      </c>
      <c r="X67" s="2256">
        <f t="shared" si="25"/>
        <v>0</v>
      </c>
      <c r="Y67" s="2255">
        <f>SUMIF('OS Analysis'!$CD3:$CD1002,$B67,'OS Analysis'!$CS3:$CS1002)</f>
        <v>0</v>
      </c>
      <c r="Z67" s="2256">
        <f t="shared" si="25"/>
        <v>0</v>
      </c>
      <c r="AA67" s="2255">
        <f>SUMIF('OS Analysis'!$CU3:$CU1002,$B67,'OS Analysis'!$CW3:$CW1002)</f>
        <v>0</v>
      </c>
      <c r="AB67" s="2256">
        <f t="shared" si="25"/>
        <v>0</v>
      </c>
      <c r="AC67" s="2255">
        <f>SUMIF('OS Analysis'!$CU3:$CU1002,$B67,'OS Analysis'!$CX3:$CX1002)</f>
        <v>0</v>
      </c>
      <c r="AD67" s="2256">
        <f t="shared" si="25"/>
        <v>0</v>
      </c>
      <c r="AE67" s="2255">
        <v>0</v>
      </c>
      <c r="AF67" s="2256">
        <f t="shared" si="25"/>
        <v>0</v>
      </c>
      <c r="AG67" s="2255">
        <v>0</v>
      </c>
      <c r="AH67" s="2256">
        <f t="shared" si="25"/>
        <v>0</v>
      </c>
      <c r="AI67" s="2255">
        <v>0</v>
      </c>
      <c r="AJ67" s="2256">
        <f t="shared" si="25"/>
        <v>0</v>
      </c>
      <c r="AK67" s="2255">
        <f t="shared" si="26"/>
        <v>0</v>
      </c>
      <c r="AL67" s="2256">
        <f t="shared" si="25"/>
        <v>0</v>
      </c>
      <c r="AM67" s="2255">
        <v>0</v>
      </c>
      <c r="AN67" s="2256">
        <f t="shared" si="25"/>
        <v>0</v>
      </c>
      <c r="AO67" s="2250"/>
      <c r="AP67" s="2250"/>
      <c r="AQ67" s="2114" t="str">
        <f t="shared" si="3"/>
        <v>Other Administrative</v>
      </c>
      <c r="AR67" s="2278">
        <f t="shared" si="27"/>
      </c>
      <c r="AS67" s="2114"/>
      <c r="AT67" s="2169"/>
      <c r="AU67" s="2160"/>
      <c r="AV67" s="2289">
        <f t="shared" si="6"/>
        <v>0</v>
      </c>
      <c r="AW67" s="2254">
        <f>ROUND(IF(AV67=0,0,(AV67)/V1),0)</f>
        <v>0</v>
      </c>
      <c r="AX67" s="2290">
        <v>0</v>
      </c>
      <c r="AY67" s="2254">
        <f>ROUND(IF(AX67=0,0,(AX67)/V1),0)</f>
        <v>0</v>
      </c>
    </row>
    <row r="68" ht="15" customHeight="1">
      <c r="A68" s="2114">
        <f t="shared" si="18"/>
        <v>32</v>
      </c>
      <c r="B68" s="2279" t="s">
        <v>1938</v>
      </c>
      <c r="C68" s="2185"/>
      <c r="D68" s="2280">
        <f>IF(ISBLANK(D$3),SUMIF('OS Analysis'!$BM3:$BM1002,$B68,'OS Analysis'!$CB3:$CB1002),INDEX($J68:$U68,1,MATCH(D$3,$J$4:$U$4,0)))</f>
        <v>0</v>
      </c>
      <c r="E68" s="2187">
        <f t="shared" si="25"/>
        <v>0</v>
      </c>
      <c r="F68" s="2280">
        <f>IF(ISBLANK(F$3),SUMIF('OS Analysis'!$AV3:$AV1002,$B68,'OS Analysis'!$BK3:$BK1002),INDEX($J68:$U68,1,MATCH(F$3,$J$4:$U$4,0)))</f>
        <v>0</v>
      </c>
      <c r="G68" s="2187">
        <f t="shared" si="25"/>
        <v>0</v>
      </c>
      <c r="H68" s="2280">
        <f>IF(ISBLANK(H$3),SUMIF('OS Analysis'!$AE3:$AE1002,$B68,'OS Analysis'!$AT3:$AT1002),INDEX($J68:$U68,1,MATCH(H$3,$J$4:$U$4,0)))</f>
        <v>0</v>
      </c>
      <c r="I68" s="2187">
        <f t="shared" si="25"/>
        <v>0</v>
      </c>
      <c r="J68" s="2281">
        <f>((SUMIF('OS Analysis'!$B3:$B1002,B68,'OS Analysis'!$AC3:$AC1002))/12)*12</f>
        <v>0</v>
      </c>
      <c r="K68" s="2282">
        <f>((SUMIF('OS Analysis'!$B3:$B1002,B68,'OS Analysis'!$AB3:$AB1002))/11)*12</f>
        <v>0</v>
      </c>
      <c r="L68" s="2282">
        <f>((SUMIF('OS Analysis'!$B3:$B1002,B68,'OS Analysis'!$AA3:$AA1002))/10)*12</f>
        <v>0</v>
      </c>
      <c r="M68" s="2282">
        <f>((SUMIF('OS Analysis'!$B3:$B1002,B68,'OS Analysis'!$Z3:$Z1002))/9)*12</f>
        <v>0</v>
      </c>
      <c r="N68" s="2282">
        <f>((SUMIF('OS Analysis'!$B3:$B1002,B68,'OS Analysis'!$Y3:$Y1002))/8)*12</f>
        <v>0</v>
      </c>
      <c r="O68" s="2282">
        <f>((SUMIF('OS Analysis'!$B3:$B1002,B68,'OS Analysis'!$X3:$X1002))/7)*12</f>
        <v>0</v>
      </c>
      <c r="P68" s="2282">
        <f>((SUMIF('OS Analysis'!$B3:$B1002,B68,'OS Analysis'!$W3:$W1002))/6)*12</f>
        <v>0</v>
      </c>
      <c r="Q68" s="2282">
        <f>((SUMIF('OS Analysis'!$B3:$B1002,B68,'OS Analysis'!$V3:$V1002))/5)*12</f>
        <v>0</v>
      </c>
      <c r="R68" s="2282">
        <f>((SUMIF('OS Analysis'!$B3:$B1002,B68,'OS Analysis'!$U3:$U1002))/4)*12</f>
        <v>0</v>
      </c>
      <c r="S68" s="2282">
        <f>((SUMIF('OS Analysis'!$B3:$B1002,B68,'OS Analysis'!$T3:$T1002))/3)*12</f>
        <v>0</v>
      </c>
      <c r="T68" s="2282">
        <f>((SUMIF('OS Analysis'!$B3:$B1002,B68,'OS Analysis'!$S3:$S1002))/2)*12</f>
        <v>0</v>
      </c>
      <c r="U68" s="2282">
        <f>(SUMIF('OS Analysis'!$B3:$B1002,B68,'OS Analysis'!$R3:$R1002))*12</f>
        <v>0</v>
      </c>
      <c r="V68" s="2283">
        <f>SUMIF('OS Analysis'!$B$3:$B$1002,$B68,'OS Analysis'!$Q$3:$Q$1002)</f>
        <v>0</v>
      </c>
      <c r="W68" s="2280">
        <f t="shared" si="5"/>
        <v>0</v>
      </c>
      <c r="X68" s="2187">
        <f t="shared" si="25"/>
        <v>0</v>
      </c>
      <c r="Y68" s="2280">
        <f>SUMIF('OS Analysis'!$CD3:$CD1002,$B68,'OS Analysis'!$CS3:$CS1002)</f>
        <v>0</v>
      </c>
      <c r="Z68" s="2187">
        <f t="shared" si="25"/>
        <v>0</v>
      </c>
      <c r="AA68" s="2280">
        <f>SUMIF('OS Analysis'!$CU3:$CU1002,$B68,'OS Analysis'!$CW3:$CW1002)</f>
        <v>0</v>
      </c>
      <c r="AB68" s="2187">
        <f t="shared" si="25"/>
        <v>0</v>
      </c>
      <c r="AC68" s="2280">
        <f>SUMIF('OS Analysis'!$CU3:$CU1002,$B68,'OS Analysis'!$CX3:$CX1002)</f>
        <v>0</v>
      </c>
      <c r="AD68" s="2187">
        <f t="shared" si="25"/>
        <v>0</v>
      </c>
      <c r="AE68" s="2280">
        <v>0</v>
      </c>
      <c r="AF68" s="2187">
        <f t="shared" si="25"/>
        <v>0</v>
      </c>
      <c r="AG68" s="2280">
        <v>0</v>
      </c>
      <c r="AH68" s="2187">
        <f t="shared" si="25"/>
        <v>0</v>
      </c>
      <c r="AI68" s="2280">
        <v>0</v>
      </c>
      <c r="AJ68" s="2187">
        <f t="shared" si="25"/>
        <v>0</v>
      </c>
      <c r="AK68" s="2280">
        <f t="shared" si="26"/>
        <v>0</v>
      </c>
      <c r="AL68" s="2187">
        <f t="shared" si="25"/>
        <v>0</v>
      </c>
      <c r="AM68" s="2280">
        <v>0</v>
      </c>
      <c r="AN68" s="2187">
        <f t="shared" si="25"/>
        <v>0</v>
      </c>
      <c r="AO68" s="2250"/>
      <c r="AP68" s="2250"/>
      <c r="AQ68" s="2114" t="str">
        <f t="shared" si="3"/>
        <v>Other Expense</v>
      </c>
      <c r="AR68" s="2284">
        <f t="shared" si="27"/>
      </c>
      <c r="AS68" s="2114"/>
      <c r="AT68" s="2169"/>
      <c r="AU68" s="2160"/>
      <c r="AV68" s="2289">
        <f t="shared" si="6"/>
        <v>0</v>
      </c>
      <c r="AW68" s="2291">
        <f>ROUND(IF(AV68=0,0,(AV68)/B28),0)</f>
        <v>0</v>
      </c>
      <c r="AX68" s="2290">
        <v>0</v>
      </c>
      <c r="AY68" s="2291">
        <f>ROUND(IF(AX68=0,0,(AX68)/B28),0)</f>
        <v>0</v>
      </c>
    </row>
    <row r="69" ht="15" customHeight="1">
      <c r="A69" s="2114"/>
      <c r="B69" s="2184" t="s">
        <v>1814</v>
      </c>
      <c r="C69" s="2185"/>
      <c r="D69" s="2186">
        <f t="shared" si="29" ref="D69:AX69">SUM(D40:D68)</f>
        <v>0</v>
      </c>
      <c r="E69" s="2187">
        <f t="shared" si="25"/>
        <v>0</v>
      </c>
      <c r="F69" s="2186">
        <f t="shared" si="29"/>
        <v>0</v>
      </c>
      <c r="G69" s="2187">
        <f t="shared" si="25"/>
        <v>0</v>
      </c>
      <c r="H69" s="2186">
        <f t="shared" si="29"/>
        <v>0</v>
      </c>
      <c r="I69" s="2187">
        <f t="shared" si="25"/>
        <v>0</v>
      </c>
      <c r="J69" s="2191">
        <f t="shared" si="29"/>
        <v>1611560</v>
      </c>
      <c r="K69" s="2292">
        <f t="shared" si="29"/>
        <v>1631131.6363636365</v>
      </c>
      <c r="L69" s="2292">
        <f t="shared" si="29"/>
        <v>1635092.4000000001</v>
      </c>
      <c r="M69" s="2292">
        <f t="shared" si="29"/>
        <v>1582290.6666666665</v>
      </c>
      <c r="N69" s="2292">
        <f t="shared" si="29"/>
        <v>1596495</v>
      </c>
      <c r="O69" s="2292">
        <f t="shared" si="29"/>
        <v>1578108.0000000002</v>
      </c>
      <c r="P69" s="2292">
        <f t="shared" si="29"/>
        <v>1549434</v>
      </c>
      <c r="Q69" s="2292">
        <f t="shared" si="29"/>
        <v>1572705.6</v>
      </c>
      <c r="R69" s="2292">
        <f t="shared" si="29"/>
        <v>1632474</v>
      </c>
      <c r="S69" s="2292">
        <f t="shared" si="29"/>
        <v>1645484</v>
      </c>
      <c r="T69" s="2292">
        <f t="shared" si="29"/>
        <v>1625928</v>
      </c>
      <c r="U69" s="2292">
        <f t="shared" si="29"/>
        <v>1658784</v>
      </c>
      <c r="V69" s="2189">
        <f t="shared" si="29"/>
        <v>1611560</v>
      </c>
      <c r="W69" s="2186">
        <f t="shared" si="29"/>
        <v>1611560</v>
      </c>
      <c r="X69" s="2187">
        <f t="shared" si="25"/>
        <v>15956</v>
      </c>
      <c r="Y69" s="2186">
        <f t="shared" si="29"/>
        <v>0</v>
      </c>
      <c r="Z69" s="2187">
        <f t="shared" si="25"/>
        <v>0</v>
      </c>
      <c r="AA69" s="2186">
        <f t="shared" si="29"/>
        <v>0</v>
      </c>
      <c r="AB69" s="2187">
        <f t="shared" si="25"/>
        <v>0</v>
      </c>
      <c r="AC69" s="2186">
        <f t="shared" si="29"/>
        <v>0</v>
      </c>
      <c r="AD69" s="2187">
        <f t="shared" si="25"/>
        <v>0</v>
      </c>
      <c r="AE69" s="2186">
        <f t="shared" si="29"/>
        <v>0</v>
      </c>
      <c r="AF69" s="2187">
        <f t="shared" si="25"/>
        <v>0</v>
      </c>
      <c r="AG69" s="2186">
        <f t="shared" si="29"/>
        <v>0</v>
      </c>
      <c r="AH69" s="2187">
        <f t="shared" si="25"/>
        <v>0</v>
      </c>
      <c r="AI69" s="2186">
        <f t="shared" si="29"/>
        <v>0</v>
      </c>
      <c r="AJ69" s="2187">
        <f t="shared" si="25"/>
        <v>0</v>
      </c>
      <c r="AK69" s="2186">
        <f t="shared" si="29"/>
        <v>1519966.82</v>
      </c>
      <c r="AL69" s="2187">
        <f t="shared" si="25"/>
        <v>15049</v>
      </c>
      <c r="AM69" s="2186">
        <f t="shared" si="29"/>
        <v>0</v>
      </c>
      <c r="AN69" s="2187">
        <f t="shared" si="25"/>
        <v>0</v>
      </c>
      <c r="AO69" s="2250"/>
      <c r="AP69" s="2250"/>
      <c r="AQ69" s="2114" t="str">
        <f t="shared" si="3"/>
        <v>TOTAL OPERATING EXPENSES</v>
      </c>
      <c r="AR69" s="2193"/>
      <c r="AS69" s="2114"/>
      <c r="AT69" s="2169"/>
      <c r="AU69" s="2160"/>
      <c r="AV69" s="2293">
        <f t="shared" si="29"/>
        <v>0</v>
      </c>
      <c r="AW69" s="2294">
        <f>ROUND(IF(AV69=0,0,(AV69)/V1),0)</f>
        <v>0</v>
      </c>
      <c r="AX69" s="2295">
        <f t="shared" si="29"/>
        <v>0</v>
      </c>
      <c r="AY69" s="2294">
        <f>ROUND(IF(AX69=0,0,(AX69)/V1),0)</f>
        <v>0</v>
      </c>
    </row>
    <row r="70" ht="15" customHeight="1">
      <c r="A70" s="2114"/>
      <c r="B70" s="2114"/>
      <c r="C70" s="2114"/>
      <c r="D70" s="2151"/>
      <c r="E70" s="2151"/>
      <c r="F70" s="2151"/>
      <c r="G70" s="2151"/>
      <c r="H70" s="2151"/>
      <c r="I70" s="2151"/>
      <c r="J70" s="2296"/>
      <c r="K70" s="2296"/>
      <c r="L70" s="2296"/>
      <c r="M70" s="2296"/>
      <c r="N70" s="2296"/>
      <c r="O70" s="2296"/>
      <c r="P70" s="2296"/>
      <c r="Q70" s="2296"/>
      <c r="R70" s="2296"/>
      <c r="S70" s="2296"/>
      <c r="T70" s="2296"/>
      <c r="U70" s="2296"/>
      <c r="V70" s="2151"/>
      <c r="W70" s="2151"/>
      <c r="X70" s="2151"/>
      <c r="Y70" s="2151"/>
      <c r="Z70" s="2151"/>
      <c r="AA70" s="2151"/>
      <c r="AB70" s="2151"/>
      <c r="AC70" s="2151"/>
      <c r="AD70" s="2151"/>
      <c r="AE70" s="2151"/>
      <c r="AF70" s="2151"/>
      <c r="AG70" s="2151"/>
      <c r="AH70" s="2151"/>
      <c r="AI70" s="2151"/>
      <c r="AJ70" s="2151"/>
      <c r="AK70" s="2151"/>
      <c r="AL70" s="2297"/>
      <c r="AM70" s="2250"/>
      <c r="AN70" s="2250"/>
      <c r="AO70" s="2250"/>
      <c r="AP70" s="2250"/>
      <c r="AQ70" s="2114"/>
      <c r="AR70" s="2104"/>
      <c r="AS70" s="2114"/>
      <c r="AT70" s="2169"/>
      <c r="AU70" s="2160"/>
      <c r="AV70" s="2151"/>
      <c r="AW70" s="2151"/>
      <c r="AX70" s="2151"/>
      <c r="AY70" s="2151"/>
    </row>
    <row r="71" ht="15" customHeight="1">
      <c r="A71" s="2114"/>
      <c r="B71" s="2184" t="s">
        <v>1816</v>
      </c>
      <c r="C71" s="2185"/>
      <c r="D71" s="2186">
        <f t="shared" si="30" ref="D71:AX71">D38+D69</f>
        <v>0</v>
      </c>
      <c r="E71" s="2187">
        <f t="shared" si="25"/>
        <v>0</v>
      </c>
      <c r="F71" s="2186">
        <f t="shared" si="30"/>
        <v>0</v>
      </c>
      <c r="G71" s="2187">
        <f t="shared" si="25"/>
        <v>0</v>
      </c>
      <c r="H71" s="2186">
        <f t="shared" si="30"/>
        <v>0</v>
      </c>
      <c r="I71" s="2187">
        <f t="shared" si="25"/>
        <v>0</v>
      </c>
      <c r="J71" s="2191">
        <f t="shared" si="30"/>
        <v>2863573</v>
      </c>
      <c r="K71" s="2292">
        <f t="shared" si="30"/>
        <v>2880624</v>
      </c>
      <c r="L71" s="2292">
        <f t="shared" si="30"/>
        <v>2882508</v>
      </c>
      <c r="M71" s="2292">
        <f t="shared" si="30"/>
        <v>2824940</v>
      </c>
      <c r="N71" s="2292">
        <f t="shared" si="30"/>
        <v>2835856.5</v>
      </c>
      <c r="O71" s="2292">
        <f t="shared" si="30"/>
        <v>2809081.7142857146</v>
      </c>
      <c r="P71" s="2292">
        <f t="shared" si="30"/>
        <v>2782166</v>
      </c>
      <c r="Q71" s="2292">
        <f t="shared" si="30"/>
        <v>2794845.6000000006</v>
      </c>
      <c r="R71" s="2292">
        <f t="shared" si="30"/>
        <v>2943321</v>
      </c>
      <c r="S71" s="2292">
        <f t="shared" si="30"/>
        <v>2954596</v>
      </c>
      <c r="T71" s="2292">
        <f t="shared" si="30"/>
        <v>2952864</v>
      </c>
      <c r="U71" s="2292">
        <f t="shared" si="30"/>
        <v>2978124</v>
      </c>
      <c r="V71" s="2189">
        <f t="shared" si="30"/>
        <v>2863573</v>
      </c>
      <c r="W71" s="2186">
        <f t="shared" si="30"/>
        <v>2863573</v>
      </c>
      <c r="X71" s="2187">
        <f t="shared" si="25"/>
        <v>28352</v>
      </c>
      <c r="Y71" s="2186">
        <f t="shared" si="30"/>
        <v>0</v>
      </c>
      <c r="Z71" s="2187">
        <f t="shared" si="25"/>
        <v>0</v>
      </c>
      <c r="AA71" s="2186">
        <f t="shared" si="30"/>
        <v>0</v>
      </c>
      <c r="AB71" s="2187">
        <f t="shared" si="25"/>
        <v>0</v>
      </c>
      <c r="AC71" s="2186">
        <f t="shared" si="30"/>
        <v>0</v>
      </c>
      <c r="AD71" s="2187">
        <f t="shared" si="25"/>
        <v>0</v>
      </c>
      <c r="AE71" s="2186">
        <f t="shared" si="30"/>
        <v>0</v>
      </c>
      <c r="AF71" s="2187">
        <f t="shared" si="25"/>
        <v>0</v>
      </c>
      <c r="AG71" s="2186">
        <f t="shared" si="30"/>
        <v>0</v>
      </c>
      <c r="AH71" s="2187">
        <f t="shared" si="25"/>
        <v>0</v>
      </c>
      <c r="AI71" s="2186">
        <f t="shared" si="30"/>
        <v>0</v>
      </c>
      <c r="AJ71" s="2187">
        <f t="shared" si="25"/>
        <v>0</v>
      </c>
      <c r="AK71" s="2186">
        <f t="shared" si="30"/>
        <v>2809540.21</v>
      </c>
      <c r="AL71" s="2187">
        <f t="shared" si="25"/>
        <v>27817</v>
      </c>
      <c r="AM71" s="2186">
        <f t="shared" si="30"/>
        <v>0</v>
      </c>
      <c r="AN71" s="2187">
        <f t="shared" si="25"/>
        <v>0</v>
      </c>
      <c r="AO71" s="2250"/>
      <c r="AP71" s="2250"/>
      <c r="AQ71" s="2114" t="str">
        <f t="shared" si="3"/>
        <v>TOTAL EXPENSES</v>
      </c>
      <c r="AR71" s="2193"/>
      <c r="AS71" s="2114"/>
      <c r="AT71" s="2169"/>
      <c r="AU71" s="2160"/>
      <c r="AV71" s="2231">
        <f t="shared" si="30"/>
        <v>0</v>
      </c>
      <c r="AW71" s="2231">
        <f>ROUND(IF(AV71=0,0,(AV71)/V1),0)</f>
        <v>0</v>
      </c>
      <c r="AX71" s="2231">
        <f t="shared" si="30"/>
        <v>0</v>
      </c>
      <c r="AY71" s="2231">
        <f>ROUND(IF(AX71=0,0,(AX71)/V1),0)</f>
        <v>0</v>
      </c>
    </row>
    <row r="72" ht="14.25" customHeight="1">
      <c r="A72" s="2114"/>
      <c r="B72" s="2114"/>
      <c r="C72" s="2114"/>
      <c r="D72" s="2151"/>
      <c r="E72" s="2151"/>
      <c r="F72" s="2151"/>
      <c r="G72" s="2151"/>
      <c r="H72" s="2151"/>
      <c r="I72" s="2151"/>
      <c r="J72" s="2296"/>
      <c r="K72" s="2296"/>
      <c r="L72" s="2296"/>
      <c r="M72" s="2296"/>
      <c r="N72" s="2296"/>
      <c r="O72" s="2296"/>
      <c r="P72" s="2296"/>
      <c r="Q72" s="2296"/>
      <c r="R72" s="2296"/>
      <c r="S72" s="2296"/>
      <c r="T72" s="2296"/>
      <c r="U72" s="2296"/>
      <c r="V72" s="2151"/>
      <c r="W72" s="2151"/>
      <c r="X72" s="2151"/>
      <c r="Y72" s="2151"/>
      <c r="Z72" s="2151"/>
      <c r="AA72" s="2151"/>
      <c r="AB72" s="2151"/>
      <c r="AC72" s="2151"/>
      <c r="AD72" s="2151"/>
      <c r="AE72" s="2151"/>
      <c r="AF72" s="2151"/>
      <c r="AG72" s="2151"/>
      <c r="AH72" s="2151"/>
      <c r="AI72" s="2151"/>
      <c r="AJ72" s="2151"/>
      <c r="AK72" s="2298">
        <f t="shared" si="31" ref="AK72:AK73">TotalUnits*250</f>
        <v>21250</v>
      </c>
      <c r="AL72" s="2297"/>
      <c r="AM72" s="2250"/>
      <c r="AN72" s="2250"/>
      <c r="AO72" s="2250"/>
      <c r="AP72" s="2250"/>
      <c r="AQ72" s="2114"/>
      <c r="AR72" s="2104"/>
      <c r="AS72" s="2114"/>
      <c r="AT72" s="2169"/>
      <c r="AU72" s="2160"/>
      <c r="AV72" s="2151"/>
      <c r="AW72" s="2151"/>
      <c r="AX72" s="2151"/>
      <c r="AY72" s="2151"/>
    </row>
    <row r="73" ht="14.25" customHeight="1">
      <c r="A73" s="2114"/>
      <c r="B73" s="2184" t="s">
        <v>1939</v>
      </c>
      <c r="C73" s="2185"/>
      <c r="D73" s="2186">
        <f>IF(ISBLANK(D$3),SUMIF('OS Analysis'!$BM3:$BM1002,$B73,'OS Analysis'!$CB3:$CB1002),INDEX($J73:$U73,1,MATCH(D$3,$J$4:$U$4,0)))</f>
        <v>0</v>
      </c>
      <c r="E73" s="2187">
        <f t="shared" si="25"/>
        <v>0</v>
      </c>
      <c r="F73" s="2186">
        <f>IF(ISBLANK(F$3),SUMIF('OS Analysis'!$AV3:$AV1002,$B73,'OS Analysis'!$BK3:$BK1002),INDEX($J73:$U73,1,MATCH(F$3,$J$4:$U$4,0)))</f>
        <v>0</v>
      </c>
      <c r="G73" s="2187">
        <f t="shared" si="25"/>
        <v>0</v>
      </c>
      <c r="H73" s="2186">
        <f>IF(ISBLANK(H$3),SUMIF('OS Analysis'!$AE3:$AE1002,$B73,'OS Analysis'!$AT3:$AT1002),INDEX($J73:$U73,1,MATCH(H$3,$J$4:$U$4,0)))</f>
        <v>0</v>
      </c>
      <c r="I73" s="2187">
        <f t="shared" si="25"/>
        <v>0</v>
      </c>
      <c r="J73" s="2191">
        <f>((SUMIF('OS Analysis'!$B3:$B1002,B73,'OS Analysis'!$AC3:$AC1002))/12)*12</f>
        <v>0</v>
      </c>
      <c r="K73" s="2292">
        <f>((SUMIF('OS Analysis'!$B3:$B1002,B73,'OS Analysis'!$AB3:$AB1002))/11)*12</f>
        <v>0</v>
      </c>
      <c r="L73" s="2292">
        <f>((SUMIF('OS Analysis'!$B3:$B1002,B73,'OS Analysis'!$AA3:$AA1002))/10)*12</f>
        <v>0</v>
      </c>
      <c r="M73" s="2292">
        <f>((SUMIF('OS Analysis'!$B3:$B1002,B73,'OS Analysis'!$Z3:$Z1002))/9)*12</f>
        <v>0</v>
      </c>
      <c r="N73" s="2292">
        <f>((SUMIF('OS Analysis'!$B3:$B1002,B73,'OS Analysis'!$Y3:$Y1002))/8)*12</f>
        <v>0</v>
      </c>
      <c r="O73" s="2292">
        <f>((SUMIF('OS Analysis'!$B3:$B1002,B73,'OS Analysis'!$X3:$X1002))/7)*12</f>
        <v>0</v>
      </c>
      <c r="P73" s="2292">
        <f>((SUMIF('OS Analysis'!$B3:$B1002,B73,'OS Analysis'!$W3:$W1002))/6)*12</f>
        <v>0</v>
      </c>
      <c r="Q73" s="2292">
        <f>((SUMIF('OS Analysis'!$B3:$B1002,B73,'OS Analysis'!$V3:$V1002))/5)*12</f>
        <v>0</v>
      </c>
      <c r="R73" s="2292">
        <f>((SUMIF('OS Analysis'!$B3:$B1002,B73,'OS Analysis'!$U3:$U1002))/4)*12</f>
        <v>0</v>
      </c>
      <c r="S73" s="2292">
        <f>((SUMIF('OS Analysis'!$B3:$B1002,B73,'OS Analysis'!$T3:$T1002))/3)*12</f>
        <v>0</v>
      </c>
      <c r="T73" s="2292">
        <f>((SUMIF('OS Analysis'!$B3:$B1002,B73,'OS Analysis'!$S3:$S1002))/2)*12</f>
        <v>0</v>
      </c>
      <c r="U73" s="2292">
        <f>(SUMIF('OS Analysis'!$B3:$B1002,B73,'OS Analysis'!$R3:$R1002))*12</f>
        <v>0</v>
      </c>
      <c r="V73" s="2189">
        <f>SUMIF('OS Analysis'!$B$3:$B$1002,$B73,'OS Analysis'!$Q$3:$Q$1002)</f>
        <v>0</v>
      </c>
      <c r="W73" s="2186">
        <f t="shared" si="5"/>
        <v>0</v>
      </c>
      <c r="X73" s="2187">
        <f t="shared" si="25"/>
        <v>0</v>
      </c>
      <c r="Y73" s="2186">
        <f>SUMIF('OS Analysis'!$CD3:$CD1002,$B73,'OS Analysis'!$CS3:$CS1002)</f>
        <v>0</v>
      </c>
      <c r="Z73" s="2187">
        <f t="shared" si="25"/>
        <v>0</v>
      </c>
      <c r="AA73" s="2186">
        <f>SUMIF('OS Analysis'!$CU3:$CU1002,$B73,'OS Analysis'!$CW3:$CW1002)</f>
        <v>0</v>
      </c>
      <c r="AB73" s="2187">
        <f t="shared" si="25"/>
        <v>0</v>
      </c>
      <c r="AC73" s="2186">
        <f>SUMIF('OS Analysis'!$CU3:$CU1002,$B73,'OS Analysis'!$CX3:$CX1002)</f>
        <v>0</v>
      </c>
      <c r="AD73" s="2187">
        <f t="shared" si="25"/>
        <v>0</v>
      </c>
      <c r="AE73" s="2186">
        <v>0</v>
      </c>
      <c r="AF73" s="2187">
        <f t="shared" si="25"/>
        <v>0</v>
      </c>
      <c r="AG73" s="2186">
        <v>0</v>
      </c>
      <c r="AH73" s="2187">
        <f t="shared" si="25"/>
        <v>0</v>
      </c>
      <c r="AI73" s="2186">
        <v>0</v>
      </c>
      <c r="AJ73" s="2187">
        <f t="shared" si="25"/>
        <v>0</v>
      </c>
      <c r="AK73" s="2186">
        <f t="shared" si="31"/>
        <v>21250</v>
      </c>
      <c r="AL73" s="2187">
        <f t="shared" si="25"/>
        <v>210</v>
      </c>
      <c r="AM73" s="2186">
        <v>0</v>
      </c>
      <c r="AN73" s="2187">
        <f t="shared" si="25"/>
        <v>0</v>
      </c>
      <c r="AO73" s="2250"/>
      <c r="AP73" s="2250"/>
      <c r="AQ73" s="2114" t="str">
        <f t="shared" si="3"/>
        <v>Capital Expenditures (Replacement Reserves)</v>
      </c>
      <c r="AR73" s="2158" t="str">
        <f>IF(AK73=TotalUnits*250,"#Units * 250","Non-Standard Assumption - Please Clarify")</f>
        <v>#Units * 250</v>
      </c>
      <c r="AS73" s="2114"/>
      <c r="AT73" s="2169"/>
      <c r="AU73" s="2160"/>
      <c r="AV73" s="2299">
        <f t="shared" si="6"/>
        <v>0</v>
      </c>
      <c r="AW73" s="2192">
        <f>ROUND(IF(AV73=0,0,(AV73)/V1),0)</f>
        <v>0</v>
      </c>
      <c r="AX73" s="2299">
        <v>0</v>
      </c>
      <c r="AY73" s="2192">
        <f>ROUND(IF(AX73=0,0,(AX73)/V1),0)</f>
        <v>0</v>
      </c>
    </row>
    <row r="74" ht="15" customHeight="1">
      <c r="A74" s="2114"/>
      <c r="B74" s="2114"/>
      <c r="C74" s="2114"/>
      <c r="D74" s="2151"/>
      <c r="E74" s="2151"/>
      <c r="F74" s="2151"/>
      <c r="G74" s="2151"/>
      <c r="H74" s="2151"/>
      <c r="I74" s="2151"/>
      <c r="J74" s="2300"/>
      <c r="K74" s="2300"/>
      <c r="L74" s="2300"/>
      <c r="M74" s="2300"/>
      <c r="N74" s="2301"/>
      <c r="O74" s="2301"/>
      <c r="P74" s="2301"/>
      <c r="Q74" s="2301"/>
      <c r="R74" s="2301"/>
      <c r="S74" s="2301"/>
      <c r="T74" s="2301"/>
      <c r="U74" s="2301"/>
      <c r="V74" s="2151"/>
      <c r="W74" s="2151"/>
      <c r="X74" s="2151"/>
      <c r="Y74" s="2151"/>
      <c r="Z74" s="2151"/>
      <c r="AA74" s="2151"/>
      <c r="AB74" s="2151"/>
      <c r="AC74" s="2151"/>
      <c r="AD74" s="2151"/>
      <c r="AE74" s="2151"/>
      <c r="AF74" s="2151"/>
      <c r="AG74" s="2151"/>
      <c r="AH74" s="2151"/>
      <c r="AI74" s="2151"/>
      <c r="AJ74" s="2151"/>
      <c r="AK74" s="2151"/>
      <c r="AL74" s="2297"/>
      <c r="AM74" s="2250"/>
      <c r="AN74" s="2250"/>
      <c r="AO74" s="2250"/>
      <c r="AP74" s="2250"/>
      <c r="AQ74" s="2114"/>
      <c r="AR74" s="2104"/>
      <c r="AS74" s="2114"/>
      <c r="AT74" s="2169"/>
      <c r="AU74" s="2160"/>
      <c r="AV74" s="2151"/>
      <c r="AW74" s="2151"/>
      <c r="AX74" s="2151"/>
      <c r="AY74" s="2151"/>
    </row>
    <row r="75" ht="15" customHeight="1">
      <c r="A75" s="866"/>
      <c r="B75" s="2184" t="s">
        <v>1818</v>
      </c>
      <c r="C75" s="2185"/>
      <c r="D75" s="2186">
        <f t="shared" si="32" ref="D75:AX75">D71+D73</f>
        <v>0</v>
      </c>
      <c r="E75" s="2187">
        <f t="shared" si="25"/>
        <v>0</v>
      </c>
      <c r="F75" s="2186">
        <f t="shared" si="32"/>
        <v>0</v>
      </c>
      <c r="G75" s="2187">
        <f t="shared" si="25"/>
        <v>0</v>
      </c>
      <c r="H75" s="2186">
        <f t="shared" si="32"/>
        <v>0</v>
      </c>
      <c r="I75" s="2187">
        <f t="shared" si="25"/>
        <v>0</v>
      </c>
      <c r="J75" s="2191">
        <f t="shared" si="32"/>
        <v>2863573</v>
      </c>
      <c r="K75" s="2292">
        <f t="shared" si="32"/>
        <v>2880624</v>
      </c>
      <c r="L75" s="2292">
        <f t="shared" si="32"/>
        <v>2882508</v>
      </c>
      <c r="M75" s="2292">
        <f t="shared" si="32"/>
        <v>2824940</v>
      </c>
      <c r="N75" s="2292">
        <f t="shared" si="32"/>
        <v>2835856.5</v>
      </c>
      <c r="O75" s="2292">
        <f t="shared" si="32"/>
        <v>2809081.7142857146</v>
      </c>
      <c r="P75" s="2292">
        <f t="shared" si="32"/>
        <v>2782166</v>
      </c>
      <c r="Q75" s="2292">
        <f t="shared" si="32"/>
        <v>2794845.6000000006</v>
      </c>
      <c r="R75" s="2292">
        <f t="shared" si="32"/>
        <v>2943321</v>
      </c>
      <c r="S75" s="2292">
        <f t="shared" si="32"/>
        <v>2954596</v>
      </c>
      <c r="T75" s="2292">
        <f t="shared" si="32"/>
        <v>2952864</v>
      </c>
      <c r="U75" s="2292">
        <f t="shared" si="32"/>
        <v>2978124</v>
      </c>
      <c r="V75" s="2189">
        <f t="shared" si="32"/>
        <v>2863573</v>
      </c>
      <c r="W75" s="2186">
        <f t="shared" si="32"/>
        <v>2863573</v>
      </c>
      <c r="X75" s="2187">
        <f t="shared" si="25"/>
        <v>28352</v>
      </c>
      <c r="Y75" s="2186">
        <f t="shared" si="32"/>
        <v>0</v>
      </c>
      <c r="Z75" s="2187">
        <f t="shared" si="25"/>
        <v>0</v>
      </c>
      <c r="AA75" s="2186">
        <f t="shared" si="32"/>
        <v>0</v>
      </c>
      <c r="AB75" s="2187">
        <f t="shared" si="25"/>
        <v>0</v>
      </c>
      <c r="AC75" s="2186">
        <f t="shared" si="32"/>
        <v>0</v>
      </c>
      <c r="AD75" s="2187">
        <f t="shared" si="25"/>
        <v>0</v>
      </c>
      <c r="AE75" s="2186">
        <f t="shared" si="32"/>
        <v>0</v>
      </c>
      <c r="AF75" s="2187">
        <f t="shared" si="25"/>
        <v>0</v>
      </c>
      <c r="AG75" s="2186">
        <f t="shared" si="32"/>
        <v>0</v>
      </c>
      <c r="AH75" s="2187">
        <f t="shared" si="25"/>
        <v>0</v>
      </c>
      <c r="AI75" s="2186">
        <f t="shared" si="32"/>
        <v>0</v>
      </c>
      <c r="AJ75" s="2187">
        <f t="shared" si="25"/>
        <v>0</v>
      </c>
      <c r="AK75" s="2186">
        <f t="shared" si="32"/>
        <v>2830790.21</v>
      </c>
      <c r="AL75" s="2187">
        <f t="shared" si="25"/>
        <v>28028</v>
      </c>
      <c r="AM75" s="2186">
        <f t="shared" si="32"/>
        <v>0</v>
      </c>
      <c r="AN75" s="2187">
        <f t="shared" si="25"/>
        <v>0</v>
      </c>
      <c r="AO75" s="2250"/>
      <c r="AP75" s="2250"/>
      <c r="AQ75" s="2114" t="str">
        <f t="shared" si="3"/>
        <v>Total Expenses &amp; Reserves</v>
      </c>
      <c r="AR75" s="2193"/>
      <c r="AS75" s="2114"/>
      <c r="AT75" s="2169"/>
      <c r="AU75" s="2160"/>
      <c r="AV75" s="2231">
        <f t="shared" si="32"/>
        <v>0</v>
      </c>
      <c r="AW75" s="2231">
        <f>ROUND(IF(AV75=0,0,(AV75)/V1),0)</f>
        <v>0</v>
      </c>
      <c r="AX75" s="2231">
        <f t="shared" si="32"/>
        <v>0</v>
      </c>
      <c r="AY75" s="2231">
        <f>ROUND(IF(AX75=0,0,(AX75)/V1),0)</f>
        <v>0</v>
      </c>
    </row>
    <row r="76" ht="14.25" customHeight="1">
      <c r="A76" s="2114"/>
      <c r="B76" s="2114"/>
      <c r="C76" s="2114"/>
      <c r="D76" s="2151"/>
      <c r="E76" s="2151"/>
      <c r="F76" s="2151"/>
      <c r="G76" s="2151"/>
      <c r="H76" s="2151"/>
      <c r="I76" s="2151"/>
      <c r="J76" s="2301"/>
      <c r="K76" s="2301"/>
      <c r="L76" s="2301"/>
      <c r="M76" s="2301"/>
      <c r="N76" s="2301"/>
      <c r="O76" s="2301"/>
      <c r="P76" s="2301"/>
      <c r="Q76" s="2301"/>
      <c r="R76" s="2301"/>
      <c r="S76" s="2301"/>
      <c r="T76" s="2301"/>
      <c r="U76" s="2301"/>
      <c r="V76" s="2151"/>
      <c r="W76" s="2151"/>
      <c r="X76" s="2151"/>
      <c r="Y76" s="2151"/>
      <c r="Z76" s="2151"/>
      <c r="AA76" s="2151"/>
      <c r="AB76" s="2151"/>
      <c r="AC76" s="2151"/>
      <c r="AD76" s="2151"/>
      <c r="AE76" s="2151"/>
      <c r="AF76" s="2151"/>
      <c r="AG76" s="2151"/>
      <c r="AH76" s="2151"/>
      <c r="AI76" s="2151"/>
      <c r="AJ76" s="2151"/>
      <c r="AK76" s="2151"/>
      <c r="AL76" s="2297"/>
      <c r="AM76" s="2250"/>
      <c r="AN76" s="2250"/>
      <c r="AO76" s="2250"/>
      <c r="AP76" s="2250"/>
      <c r="AQ76" s="2114"/>
      <c r="AR76" s="2104"/>
      <c r="AS76" s="2114"/>
      <c r="AT76" s="2169"/>
      <c r="AU76" s="2160"/>
      <c r="AV76" s="2109"/>
      <c r="AW76" s="2109"/>
      <c r="AX76" s="2109"/>
      <c r="AY76" s="2109"/>
    </row>
    <row r="77" ht="14.25" customHeight="1">
      <c r="A77" s="866"/>
      <c r="B77" s="2184" t="s">
        <v>1941</v>
      </c>
      <c r="C77" s="2185"/>
      <c r="D77" s="2186">
        <f t="shared" si="33" ref="D77:AM77">D30-D75</f>
        <v>0</v>
      </c>
      <c r="E77" s="2187">
        <f t="shared" si="25"/>
        <v>0</v>
      </c>
      <c r="F77" s="2186">
        <f t="shared" si="33"/>
        <v>0</v>
      </c>
      <c r="G77" s="2187">
        <f t="shared" si="25"/>
        <v>0</v>
      </c>
      <c r="H77" s="2186">
        <f t="shared" si="33"/>
        <v>0</v>
      </c>
      <c r="I77" s="2187">
        <f t="shared" si="25"/>
        <v>0</v>
      </c>
      <c r="J77" s="2191">
        <f t="shared" si="33"/>
        <v>1727509</v>
      </c>
      <c r="K77" s="2292">
        <f t="shared" si="33"/>
        <v>1698953.4545454541</v>
      </c>
      <c r="L77" s="2292">
        <f t="shared" si="33"/>
        <v>1696038</v>
      </c>
      <c r="M77" s="2292">
        <f t="shared" si="33"/>
        <v>1784596</v>
      </c>
      <c r="N77" s="2292">
        <f t="shared" si="33"/>
        <v>1792488</v>
      </c>
      <c r="O77" s="2292">
        <f t="shared" si="33"/>
        <v>1823540.5714285718</v>
      </c>
      <c r="P77" s="2292">
        <f t="shared" si="33"/>
        <v>1904372</v>
      </c>
      <c r="Q77" s="2292">
        <f t="shared" si="33"/>
        <v>1940620.7999999998</v>
      </c>
      <c r="R77" s="2292">
        <f t="shared" si="33"/>
        <v>1797276</v>
      </c>
      <c r="S77" s="2292">
        <f t="shared" si="33"/>
        <v>1745348</v>
      </c>
      <c r="T77" s="2292">
        <f t="shared" si="33"/>
        <v>1761144</v>
      </c>
      <c r="U77" s="2292">
        <f t="shared" si="33"/>
        <v>1628928</v>
      </c>
      <c r="V77" s="2189">
        <f t="shared" si="33"/>
        <v>1727509</v>
      </c>
      <c r="W77" s="2186">
        <f t="shared" si="33"/>
        <v>1727509</v>
      </c>
      <c r="X77" s="2187">
        <f t="shared" si="25"/>
        <v>17104</v>
      </c>
      <c r="Y77" s="2186">
        <f t="shared" si="33"/>
        <v>0</v>
      </c>
      <c r="Z77" s="2187">
        <f t="shared" si="25"/>
        <v>0</v>
      </c>
      <c r="AA77" s="2186">
        <f t="shared" si="33"/>
        <v>0</v>
      </c>
      <c r="AB77" s="2187">
        <f t="shared" si="25"/>
        <v>0</v>
      </c>
      <c r="AC77" s="2186">
        <f t="shared" si="33"/>
        <v>0</v>
      </c>
      <c r="AD77" s="2187">
        <f t="shared" si="25"/>
        <v>0</v>
      </c>
      <c r="AE77" s="2186">
        <f t="shared" si="33"/>
        <v>0</v>
      </c>
      <c r="AF77" s="2187">
        <f t="shared" si="25"/>
        <v>0</v>
      </c>
      <c r="AG77" s="2186">
        <f t="shared" si="33"/>
        <v>0</v>
      </c>
      <c r="AH77" s="2187">
        <f t="shared" si="25"/>
        <v>0</v>
      </c>
      <c r="AI77" s="2186">
        <f t="shared" si="33"/>
        <v>0</v>
      </c>
      <c r="AJ77" s="2187">
        <f t="shared" si="25"/>
        <v>0</v>
      </c>
      <c r="AK77" s="2186">
        <f t="shared" si="33"/>
        <v>-1720952.21</v>
      </c>
      <c r="AL77" s="2187">
        <f t="shared" si="25"/>
        <v>-17039</v>
      </c>
      <c r="AM77" s="2186">
        <f t="shared" si="33"/>
        <v>0</v>
      </c>
      <c r="AN77" s="2187">
        <f t="shared" si="25"/>
        <v>0</v>
      </c>
      <c r="AO77" s="2250"/>
      <c r="AP77" s="2250"/>
      <c r="AQ77" s="2114" t="str">
        <f t="shared" si="3"/>
        <v>Net Cash Flow</v>
      </c>
      <c r="AR77" s="2193"/>
      <c r="AS77" s="2114"/>
      <c r="AT77" s="2169"/>
      <c r="AU77" s="2160"/>
      <c r="AV77" s="2109"/>
      <c r="AW77" s="2109"/>
      <c r="AX77" s="2109"/>
      <c r="AY77" s="2109"/>
    </row>
    <row r="78" ht="14.25" customHeight="1">
      <c r="A78" s="866"/>
      <c r="B78" s="2114"/>
      <c r="C78" s="2114"/>
      <c r="D78" s="2151"/>
      <c r="E78" s="2151"/>
      <c r="F78" s="2151"/>
      <c r="G78" s="2151"/>
      <c r="H78" s="2151"/>
      <c r="I78" s="2151"/>
      <c r="J78" s="2296"/>
      <c r="K78" s="2296"/>
      <c r="L78" s="2296"/>
      <c r="M78" s="2296"/>
      <c r="N78" s="2296"/>
      <c r="O78" s="2296"/>
      <c r="P78" s="2296"/>
      <c r="Q78" s="2296"/>
      <c r="R78" s="2296"/>
      <c r="S78" s="2296"/>
      <c r="T78" s="2296"/>
      <c r="U78" s="2296"/>
      <c r="V78" s="2151"/>
      <c r="W78" s="2151"/>
      <c r="X78" s="2151"/>
      <c r="Y78" s="2151"/>
      <c r="Z78" s="2151"/>
      <c r="AA78" s="2151"/>
      <c r="AB78" s="2151"/>
      <c r="AC78" s="2151"/>
      <c r="AD78" s="2151"/>
      <c r="AE78" s="2151"/>
      <c r="AF78" s="2151"/>
      <c r="AG78" s="2151"/>
      <c r="AH78" s="2151"/>
      <c r="AI78" s="2151"/>
      <c r="AJ78" s="2151"/>
      <c r="AK78" s="2151"/>
      <c r="AL78" s="2297"/>
      <c r="AM78" s="2250"/>
      <c r="AN78" s="2250"/>
      <c r="AO78" s="2250"/>
      <c r="AP78" s="2250"/>
      <c r="AQ78" s="2114"/>
      <c r="AR78" s="2104"/>
      <c r="AS78" s="2114"/>
      <c r="AT78" s="2169"/>
      <c r="AU78" s="2160"/>
      <c r="AV78" s="2109"/>
      <c r="AW78" s="2109"/>
      <c r="AX78" s="2109"/>
      <c r="AY78" s="2109"/>
    </row>
    <row r="79" ht="14.25" customHeight="1">
      <c r="A79" s="866"/>
      <c r="B79" s="2184" t="s">
        <v>1942</v>
      </c>
      <c r="C79" s="2185"/>
      <c r="D79" s="2186">
        <f t="shared" si="34" ref="D79:AM79">D75-D73-D33</f>
        <v>0</v>
      </c>
      <c r="E79" s="2187">
        <f t="shared" si="25"/>
        <v>0</v>
      </c>
      <c r="F79" s="2186">
        <f t="shared" si="34"/>
        <v>0</v>
      </c>
      <c r="G79" s="2187">
        <f t="shared" si="25"/>
        <v>0</v>
      </c>
      <c r="H79" s="2186">
        <f t="shared" si="34"/>
        <v>0</v>
      </c>
      <c r="I79" s="2187">
        <f t="shared" si="25"/>
        <v>0</v>
      </c>
      <c r="J79" s="2191">
        <f t="shared" si="34"/>
        <v>1857376</v>
      </c>
      <c r="K79" s="2292">
        <f t="shared" si="34"/>
        <v>1877428.3636363635</v>
      </c>
      <c r="L79" s="2292">
        <f t="shared" si="34"/>
        <v>1882545.6</v>
      </c>
      <c r="M79" s="2292">
        <f t="shared" si="34"/>
        <v>1830824</v>
      </c>
      <c r="N79" s="2292">
        <f t="shared" si="34"/>
        <v>1844293.5</v>
      </c>
      <c r="O79" s="2292">
        <f t="shared" si="34"/>
        <v>1827898.285714286</v>
      </c>
      <c r="P79" s="2292">
        <f t="shared" si="34"/>
        <v>1801076</v>
      </c>
      <c r="Q79" s="2292">
        <f t="shared" si="34"/>
        <v>1823088.0000000005</v>
      </c>
      <c r="R79" s="2292">
        <f t="shared" si="34"/>
        <v>1881759</v>
      </c>
      <c r="S79" s="2292">
        <f t="shared" si="34"/>
        <v>1894032</v>
      </c>
      <c r="T79" s="2292">
        <f t="shared" si="34"/>
        <v>1874196</v>
      </c>
      <c r="U79" s="2292">
        <f t="shared" si="34"/>
        <v>1898784</v>
      </c>
      <c r="V79" s="2189">
        <f t="shared" si="34"/>
        <v>1857376</v>
      </c>
      <c r="W79" s="2186">
        <f t="shared" si="34"/>
        <v>1857376</v>
      </c>
      <c r="X79" s="2187">
        <f t="shared" si="25"/>
        <v>18390</v>
      </c>
      <c r="Y79" s="2186">
        <f t="shared" si="34"/>
        <v>0</v>
      </c>
      <c r="Z79" s="2187">
        <f t="shared" si="25"/>
        <v>0</v>
      </c>
      <c r="AA79" s="2186">
        <f t="shared" si="34"/>
        <v>0</v>
      </c>
      <c r="AB79" s="2187">
        <f t="shared" si="25"/>
        <v>0</v>
      </c>
      <c r="AC79" s="2186">
        <f t="shared" si="34"/>
        <v>0</v>
      </c>
      <c r="AD79" s="2187">
        <f t="shared" si="25"/>
        <v>0</v>
      </c>
      <c r="AE79" s="2186">
        <f t="shared" si="34"/>
        <v>0</v>
      </c>
      <c r="AF79" s="2187">
        <f t="shared" si="25"/>
        <v>0</v>
      </c>
      <c r="AG79" s="2186">
        <f t="shared" si="34"/>
        <v>0</v>
      </c>
      <c r="AH79" s="2187">
        <f t="shared" si="25"/>
        <v>0</v>
      </c>
      <c r="AI79" s="2186">
        <f t="shared" si="34"/>
        <v>0</v>
      </c>
      <c r="AJ79" s="2187">
        <f t="shared" si="25"/>
        <v>0</v>
      </c>
      <c r="AK79" s="2186">
        <f t="shared" si="34"/>
        <v>1773157.2999999998</v>
      </c>
      <c r="AL79" s="2187">
        <f t="shared" si="25"/>
        <v>17556</v>
      </c>
      <c r="AM79" s="2186">
        <f t="shared" si="34"/>
        <v>0</v>
      </c>
      <c r="AN79" s="2187">
        <f t="shared" si="25"/>
        <v>0</v>
      </c>
      <c r="AO79" s="2250"/>
      <c r="AP79" s="2250"/>
      <c r="AQ79" s="2114" t="str">
        <f t="shared" si="3"/>
        <v>Total Expenses Less RET &amp; RR</v>
      </c>
      <c r="AR79" s="2193"/>
      <c r="AS79" s="2114"/>
      <c r="AT79" s="2302"/>
      <c r="AU79" s="2160"/>
      <c r="AV79" s="2109"/>
      <c r="AW79" s="2109"/>
      <c r="AX79" s="2109"/>
      <c r="AY79" s="2109"/>
    </row>
    <row r="80" ht="14.25" customHeight="1">
      <c r="A80" s="866"/>
      <c r="B80" s="2184"/>
      <c r="C80" s="2185"/>
      <c r="D80" s="2151"/>
      <c r="E80" s="2151"/>
      <c r="F80" s="2151"/>
      <c r="G80" s="2151"/>
      <c r="H80" s="2151"/>
      <c r="I80" s="2151"/>
      <c r="J80" s="2303"/>
      <c r="K80" s="2303"/>
      <c r="L80" s="2303"/>
      <c r="M80" s="2303"/>
      <c r="N80" s="2303"/>
      <c r="O80" s="2303"/>
      <c r="P80" s="2303"/>
      <c r="Q80" s="2303"/>
      <c r="R80" s="2303"/>
      <c r="S80" s="2303"/>
      <c r="T80" s="2303"/>
      <c r="U80" s="2303"/>
      <c r="V80" s="2151"/>
      <c r="W80" s="2151"/>
      <c r="X80" s="2151"/>
      <c r="Y80" s="2151"/>
      <c r="Z80" s="2151"/>
      <c r="AA80" s="2151"/>
      <c r="AB80" s="2151"/>
      <c r="AC80" s="2151"/>
      <c r="AD80" s="2151"/>
      <c r="AE80" s="2151"/>
      <c r="AF80" s="2151"/>
      <c r="AG80" s="2151"/>
      <c r="AH80" s="2151"/>
      <c r="AI80" s="2151"/>
      <c r="AJ80" s="2151"/>
      <c r="AK80" s="2151"/>
      <c r="AL80" s="2151"/>
      <c r="AM80" s="2151"/>
      <c r="AN80" s="2151"/>
      <c r="AO80" s="2250"/>
      <c r="AP80" s="2250"/>
      <c r="AQ80" s="2114"/>
      <c r="AR80" s="2113"/>
      <c r="AS80" s="2114"/>
      <c r="AT80" s="2304"/>
      <c r="AU80" s="2160"/>
      <c r="AV80" s="2109"/>
      <c r="AW80" s="2109"/>
      <c r="AX80" s="2109"/>
      <c r="AY80" s="2109"/>
    </row>
    <row r="81" ht="14.25" customHeight="1">
      <c r="A81" s="866"/>
      <c r="B81" s="2305" t="s">
        <v>1943</v>
      </c>
      <c r="C81" s="2305"/>
      <c r="D81" s="2268"/>
      <c r="E81" s="2268"/>
      <c r="F81" s="2268"/>
      <c r="G81" s="2268"/>
      <c r="H81" s="2268"/>
      <c r="I81" s="2268"/>
      <c r="J81" s="2306"/>
      <c r="K81" s="2306"/>
      <c r="L81" s="2306"/>
      <c r="M81" s="2306"/>
      <c r="N81" s="2306"/>
      <c r="O81" s="2306"/>
      <c r="P81" s="2306"/>
      <c r="Q81" s="2306"/>
      <c r="R81" s="2306"/>
      <c r="S81" s="2306"/>
      <c r="T81" s="2306"/>
      <c r="U81" s="2306"/>
      <c r="V81" s="2268"/>
      <c r="W81" s="2268"/>
      <c r="X81" s="2268"/>
      <c r="Y81" s="2268"/>
      <c r="Z81" s="2268"/>
      <c r="AA81" s="2268"/>
      <c r="AB81" s="2268"/>
      <c r="AC81" s="2268"/>
      <c r="AD81" s="2268"/>
      <c r="AE81" s="2151"/>
      <c r="AF81" s="2151"/>
      <c r="AG81" s="2151"/>
      <c r="AH81" s="2151"/>
      <c r="AI81" s="2151"/>
      <c r="AJ81" s="2151"/>
      <c r="AK81" s="2151"/>
      <c r="AL81" s="2297"/>
      <c r="AM81" s="2114"/>
      <c r="AN81" s="2250"/>
      <c r="AO81" s="2250"/>
      <c r="AP81" s="2250"/>
      <c r="AQ81" s="2114"/>
      <c r="AR81" s="2113"/>
      <c r="AS81" s="2114"/>
      <c r="AT81" s="2114"/>
      <c r="AU81" s="2114"/>
      <c r="AV81" s="2109"/>
      <c r="AW81" s="2109"/>
      <c r="AX81" s="2109"/>
      <c r="AY81" s="2109"/>
    </row>
    <row r="82" ht="14.25" customHeight="1">
      <c r="A82" s="2114"/>
      <c r="B82" s="2114" t="s">
        <v>1944</v>
      </c>
      <c r="C82" s="2114"/>
      <c r="D82" s="2307">
        <f>IF(ISBLANK(D$3),SUMIF('OS Analysis'!$BM3:$BM1002,$B82,'OS Analysis'!$CB3:$CB1002),INDEX($J82:$U82,1,MATCH(D$3,$J$4:$U$4,0)))</f>
        <v>0</v>
      </c>
      <c r="E82" s="2308"/>
      <c r="F82" s="2307">
        <f>IF(ISBLANK(F$3),SUMIF('OS Analysis'!$AV3:$AV1002,$B82,'OS Analysis'!$BK3:$BK1002),INDEX($J82:$U82,1,MATCH(F$3,$J$4:$U$4,0)))</f>
        <v>0</v>
      </c>
      <c r="G82" s="2308"/>
      <c r="H82" s="2307">
        <f>IF(ISBLANK(H$3),SUMIF('OS Analysis'!$AE3:$AE1002,$B82,'OS Analysis'!$AT3:$AT1002),INDEX($J82:$U82,1,MATCH(H$3,$J$4:$U$4,0)))</f>
        <v>0</v>
      </c>
      <c r="I82" s="2308"/>
      <c r="J82" s="2309">
        <f>((SUMIF('OS Analysis'!$B3:$B1002,B82,'OS Analysis'!$AC3:$AC1002))/12)*12</f>
        <v>0</v>
      </c>
      <c r="K82" s="2309">
        <f>((SUMIF('OS Analysis'!$B3:$B1002,B82,'OS Analysis'!$AB3:$AB1002))/11)*12</f>
        <v>0</v>
      </c>
      <c r="L82" s="2309">
        <f>((SUMIF('OS Analysis'!$B3:$B1002,B82,'OS Analysis'!$AA3:$AA1002))/10)*12</f>
        <v>0</v>
      </c>
      <c r="M82" s="2309">
        <f>((SUMIF('OS Analysis'!$B3:$B1002,B82,'OS Analysis'!$Z3:$Z1002))/9)*12</f>
        <v>0</v>
      </c>
      <c r="N82" s="2309">
        <f>((SUMIF('OS Analysis'!$B3:$B1002,B82,'OS Analysis'!$Y3:$Y1002))/8)*12</f>
        <v>0</v>
      </c>
      <c r="O82" s="2309">
        <f>((SUMIF('OS Analysis'!$B3:$B1002,B82,'OS Analysis'!$X3:$X1002))/7)*12</f>
        <v>0</v>
      </c>
      <c r="P82" s="2309">
        <f>((SUMIF('OS Analysis'!$B3:$B1002,B82,'OS Analysis'!$W3:$W1002))/6)*12</f>
        <v>0</v>
      </c>
      <c r="Q82" s="2309">
        <f>((SUMIF('OS Analysis'!$B3:$B1002,B82,'OS Analysis'!$V3:$V1002))/5)*12</f>
        <v>0</v>
      </c>
      <c r="R82" s="2309">
        <f>((SUMIF('OS Analysis'!$B3:$B1002,B82,'OS Analysis'!$U3:$U1002))/4)*12</f>
        <v>0</v>
      </c>
      <c r="S82" s="2309">
        <f>((SUMIF('OS Analysis'!$B3:$B1002,B82,'OS Analysis'!$T3:$T1002))/3)*12</f>
        <v>0</v>
      </c>
      <c r="T82" s="2309">
        <f>((SUMIF('OS Analysis'!$B3:$B1002,B82,'OS Analysis'!$S3:$S1002))/2)*12</f>
        <v>0</v>
      </c>
      <c r="U82" s="2309">
        <f>(SUMIF('OS Analysis'!$B3:$B1002,B82,'OS Analysis'!$R3:$R1002))*12</f>
        <v>0</v>
      </c>
      <c r="V82" s="2310">
        <f>SUMIF('OS Analysis'!$B$3:$B$1002,$B82,'OS Analysis'!$Q$3:$Q$1002)</f>
        <v>0</v>
      </c>
      <c r="W82" s="2307"/>
      <c r="X82" s="2308"/>
      <c r="Y82" s="2307">
        <f>SUMIF('OS Analysis'!$CD3:$CD1002,$B82,'OS Analysis'!$CS3:$CS1002)</f>
        <v>0</v>
      </c>
      <c r="Z82" s="2308"/>
      <c r="AA82" s="2307">
        <f>SUMIF('OS Analysis'!$CU3:$CU1002,$B82,'OS Analysis'!$CW3:$CW1002)</f>
        <v>0</v>
      </c>
      <c r="AB82" s="2308"/>
      <c r="AC82" s="2307">
        <f>SUMIF('OS Analysis'!$CU3:$CU1002,$B82,'OS Analysis'!$CX3:$CX1002)</f>
        <v>0</v>
      </c>
      <c r="AD82" s="2151"/>
      <c r="AE82" s="2151"/>
      <c r="AF82" s="2151"/>
      <c r="AG82" s="2151"/>
      <c r="AH82" s="2151"/>
      <c r="AI82" s="2151"/>
      <c r="AJ82" s="2151"/>
      <c r="AK82" s="2151"/>
      <c r="AL82" s="2297"/>
      <c r="AM82" s="2114"/>
      <c r="AN82" s="2250"/>
      <c r="AO82" s="2250"/>
      <c r="AP82" s="2250"/>
      <c r="AQ82" s="2114"/>
      <c r="AR82" s="2113"/>
      <c r="AS82" s="2114"/>
      <c r="AT82" s="2114"/>
      <c r="AU82" s="2114"/>
      <c r="AV82" s="2109"/>
      <c r="AW82" s="2109"/>
      <c r="AX82" s="2109"/>
      <c r="AY82" s="2109"/>
    </row>
    <row r="83" ht="14.25" customHeight="1">
      <c r="A83" s="2114"/>
      <c r="B83" s="2114" t="s">
        <v>1945</v>
      </c>
      <c r="C83" s="2114"/>
      <c r="D83" s="2148">
        <f>IF(ISBLANK(D$3),SUMIF('OS Analysis'!$BM3:$BM1002,$B83,'OS Analysis'!$CB3:$CB1002),INDEX($J83:$U83,1,MATCH(D$3,$J$4:$U$4,0)))</f>
        <v>0</v>
      </c>
      <c r="E83" s="2149"/>
      <c r="F83" s="2148">
        <f>IF(ISBLANK(F$3),SUMIF('OS Analysis'!$AV3:$AV1002,$B83,'OS Analysis'!$BK3:$BK1002),INDEX($J83:$U83,1,MATCH(F$3,$J$4:$U$4,0)))</f>
        <v>0</v>
      </c>
      <c r="G83" s="2149"/>
      <c r="H83" s="2148">
        <f>IF(ISBLANK(H$3),SUMIF('OS Analysis'!$AE3:$AE1002,$B83,'OS Analysis'!$AT3:$AT1002),INDEX($J83:$U83,1,MATCH(H$3,$J$4:$U$4,0)))</f>
        <v>0</v>
      </c>
      <c r="I83" s="2149"/>
      <c r="J83" s="2153">
        <f>((SUMIF('OS Analysis'!$B3:$B1002,B83,'OS Analysis'!$AC3:$AC1002))/12)*12</f>
        <v>0</v>
      </c>
      <c r="K83" s="2153">
        <f>((SUMIF('OS Analysis'!$B3:$B1002,B83,'OS Analysis'!$AB3:$AB1002))/11)*12</f>
        <v>0</v>
      </c>
      <c r="L83" s="2153">
        <f>((SUMIF('OS Analysis'!$B3:$B1002,B83,'OS Analysis'!$AA3:$AA1002))/10)*12</f>
        <v>0</v>
      </c>
      <c r="M83" s="2153">
        <f>((SUMIF('OS Analysis'!$B3:$B1002,B83,'OS Analysis'!$Z3:$Z1002))/9)*12</f>
        <v>0</v>
      </c>
      <c r="N83" s="2153">
        <f>((SUMIF('OS Analysis'!$B3:$B1002,B83,'OS Analysis'!$Y3:$Y1002))/8)*12</f>
        <v>0</v>
      </c>
      <c r="O83" s="2153">
        <f>((SUMIF('OS Analysis'!$B3:$B1002,B83,'OS Analysis'!$X3:$X1002))/7)*12</f>
        <v>0</v>
      </c>
      <c r="P83" s="2153">
        <f>((SUMIF('OS Analysis'!$B3:$B1002,B83,'OS Analysis'!$W3:$W1002))/6)*12</f>
        <v>0</v>
      </c>
      <c r="Q83" s="2153">
        <f>((SUMIF('OS Analysis'!$B3:$B1002,B83,'OS Analysis'!$V3:$V1002))/5)*12</f>
        <v>0</v>
      </c>
      <c r="R83" s="2153">
        <f>((SUMIF('OS Analysis'!$B3:$B1002,B83,'OS Analysis'!$U3:$U1002))/4)*12</f>
        <v>0</v>
      </c>
      <c r="S83" s="2153">
        <f>((SUMIF('OS Analysis'!$B3:$B1002,B83,'OS Analysis'!$T3:$T1002))/3)*12</f>
        <v>0</v>
      </c>
      <c r="T83" s="2153">
        <f>((SUMIF('OS Analysis'!$B3:$B1002,B83,'OS Analysis'!$S3:$S1002))/2)*12</f>
        <v>0</v>
      </c>
      <c r="U83" s="2153">
        <f>(SUMIF('OS Analysis'!$B3:$B1002,B83,'OS Analysis'!$R3:$R1002))*12</f>
        <v>0</v>
      </c>
      <c r="V83" s="2223">
        <f>SUMIF('OS Analysis'!$B$3:$B$1002,$B83,'OS Analysis'!$Q$3:$Q$1002)</f>
        <v>0</v>
      </c>
      <c r="W83" s="2148"/>
      <c r="X83" s="2149"/>
      <c r="Y83" s="2148">
        <f>SUMIF('OS Analysis'!$CD3:$CD1002,$B83,'OS Analysis'!$CS3:$CS1002)</f>
        <v>0</v>
      </c>
      <c r="Z83" s="2149"/>
      <c r="AA83" s="2148">
        <f>SUMIF('OS Analysis'!$CU3:$CU1002,$B83,'OS Analysis'!$CW3:$CW1002)</f>
        <v>0</v>
      </c>
      <c r="AB83" s="2149"/>
      <c r="AC83" s="2148">
        <f>SUMIF('OS Analysis'!$CU3:$CU1002,$B83,'OS Analysis'!$CX3:$CX1002)</f>
        <v>0</v>
      </c>
      <c r="AD83" s="2151"/>
      <c r="AE83" s="2151"/>
      <c r="AF83" s="2151"/>
      <c r="AG83" s="2151"/>
      <c r="AH83" s="2151"/>
      <c r="AI83" s="2151"/>
      <c r="AJ83" s="2151"/>
      <c r="AK83" s="2151"/>
      <c r="AL83" s="2297"/>
      <c r="AM83" s="2114"/>
      <c r="AN83" s="2250"/>
      <c r="AO83" s="2250"/>
      <c r="AP83" s="2250"/>
      <c r="AQ83" s="2114"/>
      <c r="AR83" s="2113"/>
      <c r="AS83" s="2114"/>
      <c r="AT83" s="2114"/>
      <c r="AU83" s="2114"/>
      <c r="AV83" s="2109"/>
      <c r="AW83" s="2109"/>
      <c r="AX83" s="2109"/>
      <c r="AY83" s="2109"/>
    </row>
    <row r="84" ht="14.25" customHeight="1">
      <c r="A84" s="2114"/>
      <c r="B84" s="2114" t="s">
        <v>1946</v>
      </c>
      <c r="C84" s="2114"/>
      <c r="D84" s="2148">
        <f>IF(ISBLANK(D$3),SUMIF('OS Analysis'!$BM3:$BM1002,$B84,'OS Analysis'!$CB3:$CB1002),INDEX($J84:$U84,1,MATCH(D$3,$J$4:$U$4,0)))</f>
        <v>0</v>
      </c>
      <c r="E84" s="2149"/>
      <c r="F84" s="2148">
        <f>IF(ISBLANK(F$3),SUMIF('OS Analysis'!$AV3:$AV1002,$B84,'OS Analysis'!$BK3:$BK1002),INDEX($J84:$U84,1,MATCH(F$3,$J$4:$U$4,0)))</f>
        <v>0</v>
      </c>
      <c r="G84" s="2149"/>
      <c r="H84" s="2148">
        <f>IF(ISBLANK(H$3),SUMIF('OS Analysis'!$AE3:$AE1002,$B84,'OS Analysis'!$AT3:$AT1002),INDEX($J84:$U84,1,MATCH(H$3,$J$4:$U$4,0)))</f>
        <v>0</v>
      </c>
      <c r="I84" s="2149"/>
      <c r="J84" s="2153">
        <f>((SUMIF('OS Analysis'!$B3:$B1002,B84,'OS Analysis'!$AC3:$AC1002))/12)*12</f>
        <v>0</v>
      </c>
      <c r="K84" s="2153">
        <f>((SUMIF('OS Analysis'!$B3:$B1002,B84,'OS Analysis'!$AB3:$AB1002))/11)*12</f>
        <v>0</v>
      </c>
      <c r="L84" s="2153">
        <f>((SUMIF('OS Analysis'!$B3:$B1002,B84,'OS Analysis'!$AA3:$AA1002))/10)*12</f>
        <v>0</v>
      </c>
      <c r="M84" s="2153">
        <f>((SUMIF('OS Analysis'!$B3:$B1002,B84,'OS Analysis'!$Z3:$Z1002))/9)*12</f>
        <v>0</v>
      </c>
      <c r="N84" s="2153">
        <f>((SUMIF('OS Analysis'!$B3:$B1002,B84,'OS Analysis'!$Y3:$Y1002))/8)*12</f>
        <v>0</v>
      </c>
      <c r="O84" s="2153">
        <f>((SUMIF('OS Analysis'!$B3:$B1002,B84,'OS Analysis'!$X3:$X1002))/7)*12</f>
        <v>0</v>
      </c>
      <c r="P84" s="2153">
        <f>((SUMIF('OS Analysis'!$B3:$B1002,B84,'OS Analysis'!$W3:$W1002))/6)*12</f>
        <v>0</v>
      </c>
      <c r="Q84" s="2153">
        <f>((SUMIF('OS Analysis'!$B3:$B1002,B84,'OS Analysis'!$V3:$V1002))/5)*12</f>
        <v>0</v>
      </c>
      <c r="R84" s="2153">
        <f>((SUMIF('OS Analysis'!$B3:$B1002,B84,'OS Analysis'!$U3:$U1002))/4)*12</f>
        <v>0</v>
      </c>
      <c r="S84" s="2153">
        <f>((SUMIF('OS Analysis'!$B3:$B1002,B84,'OS Analysis'!$T3:$T1002))/3)*12</f>
        <v>0</v>
      </c>
      <c r="T84" s="2153">
        <f>((SUMIF('OS Analysis'!$B3:$B1002,B84,'OS Analysis'!$S3:$S1002))/2)*12</f>
        <v>0</v>
      </c>
      <c r="U84" s="2153">
        <f>(SUMIF('OS Analysis'!$B3:$B1002,B84,'OS Analysis'!$R3:$R1002))*12</f>
        <v>0</v>
      </c>
      <c r="V84" s="2223">
        <f>SUMIF('OS Analysis'!$B$3:$B$1002,$B84,'OS Analysis'!$Q$3:$Q$1002)</f>
        <v>0</v>
      </c>
      <c r="W84" s="2148"/>
      <c r="X84" s="2149"/>
      <c r="Y84" s="2148">
        <f>SUMIF('OS Analysis'!$CD3:$CD1002,$B84,'OS Analysis'!$CS3:$CS1002)</f>
        <v>0</v>
      </c>
      <c r="Z84" s="2149"/>
      <c r="AA84" s="2148">
        <f>SUMIF('OS Analysis'!$CU3:$CU1002,$B84,'OS Analysis'!$CW3:$CW1002)</f>
        <v>0</v>
      </c>
      <c r="AB84" s="2149"/>
      <c r="AC84" s="2148">
        <f>SUMIF('OS Analysis'!$CU3:$CU1002,$B84,'OS Analysis'!$CX3:$CX1002)</f>
        <v>0</v>
      </c>
      <c r="AD84" s="2151"/>
      <c r="AE84" s="2151"/>
      <c r="AF84" s="2151"/>
      <c r="AG84" s="2151"/>
      <c r="AH84" s="2151"/>
      <c r="AI84" s="2151"/>
      <c r="AJ84" s="2151"/>
      <c r="AK84" s="2151"/>
      <c r="AL84" s="2297"/>
      <c r="AM84" s="2114"/>
      <c r="AN84" s="2250"/>
      <c r="AO84" s="2250"/>
      <c r="AP84" s="2250"/>
      <c r="AQ84" s="2114"/>
      <c r="AR84" s="2113"/>
      <c r="AS84" s="2114"/>
      <c r="AT84" s="2114"/>
      <c r="AU84" s="2114"/>
      <c r="AV84" s="2109"/>
      <c r="AW84" s="2109"/>
      <c r="AX84" s="2109"/>
      <c r="AY84" s="2109"/>
    </row>
    <row r="85" ht="14.25" customHeight="1">
      <c r="A85" s="2114"/>
      <c r="B85" s="2114" t="s">
        <v>1947</v>
      </c>
      <c r="C85" s="2114"/>
      <c r="D85" s="2148">
        <f>IF(ISBLANK(D$3),SUMIF('OS Analysis'!$BM3:$BM1002,$B85,'OS Analysis'!$CB3:$CB1002),INDEX($J85:$U85,1,MATCH(D$3,$J$4:$U$4,0)))</f>
        <v>0</v>
      </c>
      <c r="E85" s="2149"/>
      <c r="F85" s="2148">
        <f>IF(ISBLANK(F$3),SUMIF('OS Analysis'!$AV3:$AV1002,$B85,'OS Analysis'!$BK3:$BK1002),INDEX($J85:$U85,1,MATCH(F$3,$J$4:$U$4,0)))</f>
        <v>0</v>
      </c>
      <c r="G85" s="2149"/>
      <c r="H85" s="2148">
        <f>IF(ISBLANK(H$3),SUMIF('OS Analysis'!$AE3:$AE1002,$B85,'OS Analysis'!$AT3:$AT1002),INDEX($J85:$U85,1,MATCH(H$3,$J$4:$U$4,0)))</f>
        <v>0</v>
      </c>
      <c r="I85" s="2149"/>
      <c r="J85" s="2153">
        <f>((SUMIF('OS Analysis'!$B3:$B1002,B85,'OS Analysis'!$AC3:$AC1002))/12)*12</f>
        <v>0</v>
      </c>
      <c r="K85" s="2153">
        <f>((SUMIF('OS Analysis'!$B3:$B1002,B85,'OS Analysis'!$AB3:$AB1002))/11)*12</f>
        <v>0</v>
      </c>
      <c r="L85" s="2153">
        <f>((SUMIF('OS Analysis'!$B3:$B1002,B85,'OS Analysis'!$AA3:$AA1002))/10)*12</f>
        <v>0</v>
      </c>
      <c r="M85" s="2153">
        <f>((SUMIF('OS Analysis'!$B3:$B1002,B85,'OS Analysis'!$Z3:$Z1002))/9)*12</f>
        <v>0</v>
      </c>
      <c r="N85" s="2153">
        <f>((SUMIF('OS Analysis'!$B3:$B1002,B85,'OS Analysis'!$Y3:$Y1002))/8)*12</f>
        <v>0</v>
      </c>
      <c r="O85" s="2153">
        <f>((SUMIF('OS Analysis'!$B3:$B1002,B85,'OS Analysis'!$X3:$X1002))/7)*12</f>
        <v>0</v>
      </c>
      <c r="P85" s="2153">
        <f>((SUMIF('OS Analysis'!$B3:$B1002,B85,'OS Analysis'!$W3:$W1002))/6)*12</f>
        <v>0</v>
      </c>
      <c r="Q85" s="2153">
        <f>((SUMIF('OS Analysis'!$B3:$B1002,B85,'OS Analysis'!$V3:$V1002))/5)*12</f>
        <v>0</v>
      </c>
      <c r="R85" s="2153">
        <f>((SUMIF('OS Analysis'!$B3:$B1002,B85,'OS Analysis'!$U3:$U1002))/4)*12</f>
        <v>0</v>
      </c>
      <c r="S85" s="2153">
        <f>((SUMIF('OS Analysis'!$B3:$B1002,B85,'OS Analysis'!$T3:$T1002))/3)*12</f>
        <v>0</v>
      </c>
      <c r="T85" s="2153">
        <f>((SUMIF('OS Analysis'!$B3:$B1002,B85,'OS Analysis'!$S3:$S1002))/2)*12</f>
        <v>0</v>
      </c>
      <c r="U85" s="2153">
        <f>(SUMIF('OS Analysis'!$B3:$B1002,B85,'OS Analysis'!$R3:$R1002))*12</f>
        <v>0</v>
      </c>
      <c r="V85" s="2223">
        <f>SUMIF('OS Analysis'!$B$3:$B$1002,$B85,'OS Analysis'!$Q$3:$Q$1002)</f>
        <v>0</v>
      </c>
      <c r="W85" s="2148"/>
      <c r="X85" s="2149"/>
      <c r="Y85" s="2148">
        <f>SUMIF('OS Analysis'!$CD3:$CD1002,$B85,'OS Analysis'!$CS3:$CS1002)</f>
        <v>0</v>
      </c>
      <c r="Z85" s="2149"/>
      <c r="AA85" s="2148">
        <f>SUMIF('OS Analysis'!$CU3:$CU1002,$B85,'OS Analysis'!$CW3:$CW1002)</f>
        <v>0</v>
      </c>
      <c r="AB85" s="2149"/>
      <c r="AC85" s="2148">
        <f>SUMIF('OS Analysis'!$CU3:$CU1002,$B85,'OS Analysis'!$CX3:$CX1002)</f>
        <v>0</v>
      </c>
      <c r="AD85" s="2151"/>
      <c r="AE85" s="2151"/>
      <c r="AF85" s="2151"/>
      <c r="AG85" s="2151"/>
      <c r="AH85" s="2151"/>
      <c r="AI85" s="2151"/>
      <c r="AJ85" s="2151"/>
      <c r="AK85" s="2151"/>
      <c r="AL85" s="2297"/>
      <c r="AM85" s="2114"/>
      <c r="AN85" s="2250"/>
      <c r="AO85" s="2250"/>
      <c r="AP85" s="2250"/>
      <c r="AQ85" s="2114"/>
      <c r="AR85" s="2113"/>
      <c r="AS85" s="2114"/>
      <c r="AT85" s="2114"/>
      <c r="AU85" s="2114"/>
      <c r="AV85" s="2109"/>
      <c r="AW85" s="2109"/>
      <c r="AX85" s="2109"/>
      <c r="AY85" s="2109"/>
    </row>
    <row r="86" ht="14.25" customHeight="1">
      <c r="A86" s="2114"/>
      <c r="B86" s="2114" t="s">
        <v>1948</v>
      </c>
      <c r="C86" s="2114"/>
      <c r="D86" s="2148">
        <f>IF(ISBLANK(D$3),SUMIF('OS Analysis'!$BM3:$BM1002,$B86,'OS Analysis'!$CB3:$CB1002),INDEX($J86:$U86,1,MATCH(D$3,$J$4:$U$4,0)))</f>
        <v>0</v>
      </c>
      <c r="E86" s="2149"/>
      <c r="F86" s="2148">
        <f>IF(ISBLANK(F$3),SUMIF('OS Analysis'!$AV3:$AV1002,$B86,'OS Analysis'!$BK3:$BK1002),INDEX($J86:$U86,1,MATCH(F$3,$J$4:$U$4,0)))</f>
        <v>0</v>
      </c>
      <c r="G86" s="2149"/>
      <c r="H86" s="2148">
        <f>IF(ISBLANK(H$3),SUMIF('OS Analysis'!$AE3:$AE1002,$B86,'OS Analysis'!$AT3:$AT1002),INDEX($J86:$U86,1,MATCH(H$3,$J$4:$U$4,0)))</f>
        <v>0</v>
      </c>
      <c r="I86" s="2149"/>
      <c r="J86" s="2153">
        <f>((SUMIF('OS Analysis'!$B3:$B1002,B86,'OS Analysis'!$AC3:$AC1002))/12)*12</f>
        <v>0</v>
      </c>
      <c r="K86" s="2153">
        <f>((SUMIF('OS Analysis'!$B3:$B1002,B86,'OS Analysis'!$AB3:$AB1002))/11)*12</f>
        <v>0</v>
      </c>
      <c r="L86" s="2153">
        <f>((SUMIF('OS Analysis'!$B3:$B1002,B86,'OS Analysis'!$AA3:$AA1002))/10)*12</f>
        <v>0</v>
      </c>
      <c r="M86" s="2153">
        <f>((SUMIF('OS Analysis'!$B3:$B1002,B86,'OS Analysis'!$Z3:$Z1002))/9)*12</f>
        <v>0</v>
      </c>
      <c r="N86" s="2153">
        <f>((SUMIF('OS Analysis'!$B3:$B1002,B86,'OS Analysis'!$Y3:$Y1002))/8)*12</f>
        <v>0</v>
      </c>
      <c r="O86" s="2153">
        <f>((SUMIF('OS Analysis'!$B3:$B1002,B86,'OS Analysis'!$X3:$X1002))/7)*12</f>
        <v>0</v>
      </c>
      <c r="P86" s="2153">
        <f>((SUMIF('OS Analysis'!$B3:$B1002,B86,'OS Analysis'!$W3:$W1002))/6)*12</f>
        <v>0</v>
      </c>
      <c r="Q86" s="2153">
        <f>((SUMIF('OS Analysis'!$B3:$B1002,B86,'OS Analysis'!$V3:$V1002))/5)*12</f>
        <v>0</v>
      </c>
      <c r="R86" s="2153">
        <f>((SUMIF('OS Analysis'!$B3:$B1002,B86,'OS Analysis'!$U3:$U1002))/4)*12</f>
        <v>0</v>
      </c>
      <c r="S86" s="2153">
        <f>((SUMIF('OS Analysis'!$B3:$B1002,B86,'OS Analysis'!$T3:$T1002))/3)*12</f>
        <v>0</v>
      </c>
      <c r="T86" s="2153">
        <f>((SUMIF('OS Analysis'!$B3:$B1002,B86,'OS Analysis'!$S3:$S1002))/2)*12</f>
        <v>0</v>
      </c>
      <c r="U86" s="2153">
        <f>(SUMIF('OS Analysis'!$B3:$B1002,B86,'OS Analysis'!$R3:$R1002))*12</f>
        <v>0</v>
      </c>
      <c r="V86" s="2223">
        <f>SUMIF('OS Analysis'!$B$3:$B$1002,$B86,'OS Analysis'!$Q$3:$Q$1002)</f>
        <v>0</v>
      </c>
      <c r="W86" s="2148"/>
      <c r="X86" s="2149"/>
      <c r="Y86" s="2148">
        <f>SUMIF('OS Analysis'!$CD3:$CD1002,$B86,'OS Analysis'!$CS3:$CS1002)</f>
        <v>0</v>
      </c>
      <c r="Z86" s="2149"/>
      <c r="AA86" s="2148">
        <f>SUMIF('OS Analysis'!$CU3:$CU1002,$B86,'OS Analysis'!$CW3:$CW1002)</f>
        <v>0</v>
      </c>
      <c r="AB86" s="2149"/>
      <c r="AC86" s="2148">
        <f>SUMIF('OS Analysis'!$CU3:$CU1002,$B86,'OS Analysis'!$CX3:$CX1002)</f>
        <v>0</v>
      </c>
      <c r="AD86" s="2151"/>
      <c r="AE86" s="2151"/>
      <c r="AF86" s="2151"/>
      <c r="AG86" s="2151"/>
      <c r="AH86" s="2151"/>
      <c r="AI86" s="2151"/>
      <c r="AJ86" s="2151"/>
      <c r="AK86" s="2151"/>
      <c r="AL86" s="2297"/>
      <c r="AM86" s="2114"/>
      <c r="AN86" s="2250"/>
      <c r="AO86" s="2250"/>
      <c r="AP86" s="2250"/>
      <c r="AQ86" s="2114"/>
      <c r="AR86" s="2113"/>
      <c r="AS86" s="2114"/>
      <c r="AT86" s="2114"/>
      <c r="AU86" s="2114"/>
      <c r="AV86" s="2109"/>
      <c r="AW86" s="2109"/>
      <c r="AX86" s="2109"/>
      <c r="AY86" s="2109"/>
    </row>
    <row r="87" ht="14.25" customHeight="1">
      <c r="A87" s="2114"/>
      <c r="B87" s="2114" t="s">
        <v>1949</v>
      </c>
      <c r="C87" s="2114"/>
      <c r="D87" s="2148">
        <f>IF(ISBLANK(D$3),SUMIF('OS Analysis'!$BM3:$BM1002,$B87,'OS Analysis'!$CB3:$CB1002),INDEX($J87:$U87,1,MATCH(D$3,$J$4:$U$4,0)))</f>
        <v>0</v>
      </c>
      <c r="E87" s="2149"/>
      <c r="F87" s="2148">
        <f>IF(ISBLANK(F$3),SUMIF('OS Analysis'!$AV3:$AV1002,$B87,'OS Analysis'!$BK3:$BK1002),INDEX($J87:$U87,1,MATCH(F$3,$J$4:$U$4,0)))</f>
        <v>0</v>
      </c>
      <c r="G87" s="2149"/>
      <c r="H87" s="2148">
        <f>IF(ISBLANK(H$3),SUMIF('OS Analysis'!$AE3:$AE1002,$B87,'OS Analysis'!$AT3:$AT1002),INDEX($J87:$U87,1,MATCH(H$3,$J$4:$U$4,0)))</f>
        <v>0</v>
      </c>
      <c r="I87" s="2149"/>
      <c r="J87" s="2153">
        <f>((SUMIF('OS Analysis'!$B3:$B1002,B87,'OS Analysis'!$AC3:$AC1002))/12)*12</f>
        <v>0</v>
      </c>
      <c r="K87" s="2153">
        <f>((SUMIF('OS Analysis'!$B3:$B1002,B87,'OS Analysis'!$AB3:$AB1002))/11)*12</f>
        <v>0</v>
      </c>
      <c r="L87" s="2153">
        <f>((SUMIF('OS Analysis'!$B3:$B1002,B87,'OS Analysis'!$AA3:$AA1002))/10)*12</f>
        <v>0</v>
      </c>
      <c r="M87" s="2153">
        <f>((SUMIF('OS Analysis'!$B3:$B1002,B87,'OS Analysis'!$Z3:$Z1002))/9)*12</f>
        <v>0</v>
      </c>
      <c r="N87" s="2153">
        <f>((SUMIF('OS Analysis'!$B3:$B1002,B87,'OS Analysis'!$Y3:$Y1002))/8)*12</f>
        <v>0</v>
      </c>
      <c r="O87" s="2153">
        <f>((SUMIF('OS Analysis'!$B3:$B1002,B87,'OS Analysis'!$X3:$X1002))/7)*12</f>
        <v>0</v>
      </c>
      <c r="P87" s="2153">
        <f>((SUMIF('OS Analysis'!$B3:$B1002,B87,'OS Analysis'!$W3:$W1002))/6)*12</f>
        <v>0</v>
      </c>
      <c r="Q87" s="2153">
        <f>((SUMIF('OS Analysis'!$B3:$B1002,B87,'OS Analysis'!$V3:$V1002))/5)*12</f>
        <v>0</v>
      </c>
      <c r="R87" s="2153">
        <f>((SUMIF('OS Analysis'!$B3:$B1002,B87,'OS Analysis'!$U3:$U1002))/4)*12</f>
        <v>0</v>
      </c>
      <c r="S87" s="2153">
        <f>((SUMIF('OS Analysis'!$B3:$B1002,B87,'OS Analysis'!$T3:$T1002))/3)*12</f>
        <v>0</v>
      </c>
      <c r="T87" s="2153">
        <f>((SUMIF('OS Analysis'!$B3:$B1002,B87,'OS Analysis'!$S3:$S1002))/2)*12</f>
        <v>0</v>
      </c>
      <c r="U87" s="2153">
        <f>(SUMIF('OS Analysis'!$B3:$B1002,B87,'OS Analysis'!$R3:$R1002))*12</f>
        <v>0</v>
      </c>
      <c r="V87" s="2223">
        <f>SUMIF('OS Analysis'!$B$3:$B$1002,$B87,'OS Analysis'!$Q$3:$Q$1002)</f>
        <v>0</v>
      </c>
      <c r="W87" s="2148"/>
      <c r="X87" s="2149"/>
      <c r="Y87" s="2148">
        <f>SUMIF('OS Analysis'!$CD3:$CD1002,$B87,'OS Analysis'!$CS3:$CS1002)</f>
        <v>0</v>
      </c>
      <c r="Z87" s="2149"/>
      <c r="AA87" s="2148">
        <f>SUMIF('OS Analysis'!$CU3:$CU1002,$B87,'OS Analysis'!$CW3:$CW1002)</f>
        <v>0</v>
      </c>
      <c r="AB87" s="2149"/>
      <c r="AC87" s="2148">
        <f>SUMIF('OS Analysis'!$CU3:$CU1002,$B87,'OS Analysis'!$CX3:$CX1002)</f>
        <v>0</v>
      </c>
      <c r="AD87" s="2151"/>
      <c r="AE87" s="2151"/>
      <c r="AF87" s="2151"/>
      <c r="AG87" s="2151"/>
      <c r="AH87" s="2151"/>
      <c r="AI87" s="2151"/>
      <c r="AJ87" s="2151"/>
      <c r="AK87" s="2151"/>
      <c r="AL87" s="2297"/>
      <c r="AM87" s="2114"/>
      <c r="AN87" s="2250"/>
      <c r="AO87" s="2250"/>
      <c r="AP87" s="2250"/>
      <c r="AQ87" s="2114"/>
      <c r="AR87" s="2113"/>
      <c r="AS87" s="2114"/>
      <c r="AT87" s="2114"/>
      <c r="AU87" s="2114"/>
      <c r="AV87" s="2109"/>
      <c r="AW87" s="2109"/>
      <c r="AX87" s="2109"/>
      <c r="AY87" s="2109"/>
    </row>
    <row r="88" ht="14.25" customHeight="1">
      <c r="A88" s="2114"/>
      <c r="B88" s="2136" t="s">
        <v>1950</v>
      </c>
      <c r="C88" s="2136"/>
      <c r="D88" s="2255">
        <f>IF(ISBLANK(D$3),SUMIF('OS Analysis'!$BM3:$BM1002,$B88,'OS Analysis'!$CB3:$CB1002),INDEX($J88:$U88,1,MATCH(D$3,$J$4:$U$4,0)))</f>
        <v>0</v>
      </c>
      <c r="E88" s="2256"/>
      <c r="F88" s="2255">
        <f>IF(ISBLANK(F$3),SUMIF('OS Analysis'!$AV3:$AV1002,$B88,'OS Analysis'!$BK3:$BK1002),INDEX($J88:$U88,1,MATCH(F$3,$J$4:$U$4,0)))</f>
        <v>0</v>
      </c>
      <c r="G88" s="2256"/>
      <c r="H88" s="2255">
        <f>IF(ISBLANK(H$3),SUMIF('OS Analysis'!$AE3:$AE1002,$B88,'OS Analysis'!$AT3:$AT1002),INDEX($J88:$U88,1,MATCH(H$3,$J$4:$U$4,0)))</f>
        <v>0</v>
      </c>
      <c r="I88" s="2256"/>
      <c r="J88" s="2180">
        <f>((SUMIF('OS Analysis'!$B3:$B1002,B88,'OS Analysis'!$AC3:$AC1002))/12)*12</f>
        <v>0</v>
      </c>
      <c r="K88" s="2180">
        <f>((SUMIF('OS Analysis'!$B3:$B1002,B88,'OS Analysis'!$AB3:$AB1002))/11)*12</f>
        <v>0</v>
      </c>
      <c r="L88" s="2180">
        <f>((SUMIF('OS Analysis'!$B3:$B1002,B88,'OS Analysis'!$AA3:$AA1002))/10)*12</f>
        <v>0</v>
      </c>
      <c r="M88" s="2180">
        <f>((SUMIF('OS Analysis'!$B3:$B1002,B88,'OS Analysis'!$Z3:$Z1002))/9)*12</f>
        <v>0</v>
      </c>
      <c r="N88" s="2180">
        <f>((SUMIF('OS Analysis'!$B3:$B1002,B88,'OS Analysis'!$Y3:$Y1002))/8)*12</f>
        <v>0</v>
      </c>
      <c r="O88" s="2180">
        <f>((SUMIF('OS Analysis'!$B3:$B1002,B88,'OS Analysis'!$X3:$X1002))/7)*12</f>
        <v>0</v>
      </c>
      <c r="P88" s="2180">
        <f>((SUMIF('OS Analysis'!$B3:$B1002,B88,'OS Analysis'!$W3:$W1002))/6)*12</f>
        <v>0</v>
      </c>
      <c r="Q88" s="2180">
        <f>((SUMIF('OS Analysis'!$B3:$B1002,B88,'OS Analysis'!$V3:$V1002))/5)*12</f>
        <v>0</v>
      </c>
      <c r="R88" s="2180">
        <f>((SUMIF('OS Analysis'!$B3:$B1002,B88,'OS Analysis'!$U3:$U1002))/4)*12</f>
        <v>0</v>
      </c>
      <c r="S88" s="2180">
        <f>((SUMIF('OS Analysis'!$B3:$B1002,B88,'OS Analysis'!$T3:$T1002))/3)*12</f>
        <v>0</v>
      </c>
      <c r="T88" s="2180">
        <f>((SUMIF('OS Analysis'!$B3:$B1002,B88,'OS Analysis'!$S3:$S1002))/2)*12</f>
        <v>0</v>
      </c>
      <c r="U88" s="2180">
        <f>(SUMIF('OS Analysis'!$B3:$B1002,B88,'OS Analysis'!$R3:$R1002))*12</f>
        <v>0</v>
      </c>
      <c r="V88" s="2311">
        <f>SUMIF('OS Analysis'!$B$3:$B$1002,$B88,'OS Analysis'!$Q$3:$Q$1002)</f>
        <v>0</v>
      </c>
      <c r="W88" s="2255"/>
      <c r="X88" s="2256"/>
      <c r="Y88" s="2255">
        <f>SUMIF('OS Analysis'!$CD3:$CD1002,$B88,'OS Analysis'!$CS3:$CS1002)</f>
        <v>0</v>
      </c>
      <c r="Z88" s="2256"/>
      <c r="AA88" s="2255">
        <f>SUMIF('OS Analysis'!$CU3:$CU1002,$B88,'OS Analysis'!$CW3:$CW1002)</f>
        <v>0</v>
      </c>
      <c r="AB88" s="2256"/>
      <c r="AC88" s="2255">
        <f>SUMIF('OS Analysis'!$CU3:$CU1002,$B88,'OS Analysis'!$CX3:$CX1002)</f>
        <v>0</v>
      </c>
      <c r="AD88" s="2195"/>
      <c r="AE88" s="2151"/>
      <c r="AF88" s="2151"/>
      <c r="AG88" s="2151"/>
      <c r="AH88" s="2151"/>
      <c r="AI88" s="2151"/>
      <c r="AJ88" s="2151"/>
      <c r="AL88" s="2297"/>
      <c r="AM88" s="2114"/>
      <c r="AN88" s="2250"/>
      <c r="AO88" s="2250"/>
      <c r="AP88" s="2250"/>
      <c r="AQ88" s="2114"/>
      <c r="AR88" s="2113"/>
      <c r="AS88" s="2114"/>
      <c r="AT88" s="2114"/>
      <c r="AU88" s="2114"/>
      <c r="AV88" s="2109"/>
      <c r="AW88" s="2109"/>
      <c r="AX88" s="2109"/>
      <c r="AY88" s="2109"/>
    </row>
    <row r="89" ht="14.25" customHeight="1">
      <c r="A89" s="2114"/>
      <c r="B89" s="2185"/>
      <c r="C89" s="2185"/>
      <c r="D89" s="2151"/>
      <c r="E89" s="2151"/>
      <c r="F89" s="2151"/>
      <c r="G89" s="2151"/>
      <c r="H89" s="2151"/>
      <c r="I89" s="2151"/>
      <c r="J89" s="2300"/>
      <c r="K89" s="2300"/>
      <c r="L89" s="2300"/>
      <c r="M89" s="2300"/>
      <c r="N89" s="2300"/>
      <c r="O89" s="2300"/>
      <c r="P89" s="2300"/>
      <c r="Q89" s="2300"/>
      <c r="R89" s="2300"/>
      <c r="S89" s="2300"/>
      <c r="T89" s="2300"/>
      <c r="U89" s="2300"/>
      <c r="V89" s="2189"/>
      <c r="W89" s="2189"/>
      <c r="X89" s="2189"/>
      <c r="Y89" s="2189"/>
      <c r="Z89" s="2189"/>
      <c r="AA89" s="2189"/>
      <c r="AB89" s="2189"/>
      <c r="AC89" s="2189"/>
      <c r="AD89" s="2189"/>
      <c r="AE89" s="2151"/>
      <c r="AF89" s="2151"/>
      <c r="AG89" s="2151"/>
      <c r="AH89" s="2151"/>
      <c r="AI89" s="2151"/>
      <c r="AJ89" s="2151"/>
      <c r="AK89" s="2151"/>
      <c r="AL89" s="2297"/>
      <c r="AM89" s="2114"/>
      <c r="AN89" s="2250"/>
      <c r="AO89" s="2250"/>
      <c r="AP89" s="2250"/>
      <c r="AQ89" s="2114"/>
      <c r="AR89" s="2113"/>
      <c r="AS89" s="2114"/>
      <c r="AT89" s="2114"/>
      <c r="AU89" s="2114"/>
      <c r="AV89" s="2109"/>
      <c r="AW89" s="2109"/>
      <c r="AX89" s="2109"/>
      <c r="AY89" s="2109"/>
    </row>
    <row r="90" ht="14.25" customHeight="1">
      <c r="A90" s="866"/>
      <c r="B90" s="2136" t="s">
        <v>1951</v>
      </c>
      <c r="C90" s="2136"/>
      <c r="D90" s="2186">
        <f t="shared" si="35" ref="D90:AC90">D77</f>
        <v>0</v>
      </c>
      <c r="E90" s="2187"/>
      <c r="F90" s="2186">
        <f t="shared" si="35"/>
        <v>0</v>
      </c>
      <c r="G90" s="2187"/>
      <c r="H90" s="2186">
        <f t="shared" si="35"/>
        <v>0</v>
      </c>
      <c r="I90" s="2187"/>
      <c r="J90" s="2312">
        <f t="shared" si="35"/>
        <v>1727509</v>
      </c>
      <c r="K90" s="2312">
        <f t="shared" si="35"/>
        <v>1698953.4545454541</v>
      </c>
      <c r="L90" s="2312">
        <f t="shared" si="35"/>
        <v>1696038</v>
      </c>
      <c r="M90" s="2312">
        <f t="shared" si="35"/>
        <v>1784596</v>
      </c>
      <c r="N90" s="2312">
        <f t="shared" si="35"/>
        <v>1792488</v>
      </c>
      <c r="O90" s="2312">
        <f t="shared" si="35"/>
        <v>1823540.5714285718</v>
      </c>
      <c r="P90" s="2312">
        <f t="shared" si="35"/>
        <v>1904372</v>
      </c>
      <c r="Q90" s="2312">
        <f t="shared" si="35"/>
        <v>1940620.7999999998</v>
      </c>
      <c r="R90" s="2312">
        <f t="shared" si="35"/>
        <v>1797276</v>
      </c>
      <c r="S90" s="2312">
        <f t="shared" si="35"/>
        <v>1745348</v>
      </c>
      <c r="T90" s="2312">
        <f t="shared" si="35"/>
        <v>1761144</v>
      </c>
      <c r="U90" s="2312">
        <f t="shared" si="35"/>
        <v>1628928</v>
      </c>
      <c r="V90" s="2195">
        <f t="shared" si="35"/>
        <v>1727509</v>
      </c>
      <c r="W90" s="2195"/>
      <c r="X90" s="2195"/>
      <c r="Y90" s="2186">
        <f t="shared" si="35"/>
        <v>0</v>
      </c>
      <c r="Z90" s="2187"/>
      <c r="AA90" s="2189">
        <f t="shared" si="35"/>
        <v>0</v>
      </c>
      <c r="AB90" s="2187"/>
      <c r="AC90" s="2189">
        <f t="shared" si="35"/>
        <v>0</v>
      </c>
      <c r="AD90" s="2195"/>
      <c r="AE90" s="2151"/>
      <c r="AF90" s="2151"/>
      <c r="AG90" s="2151"/>
      <c r="AH90" s="2151"/>
      <c r="AI90" s="2151"/>
      <c r="AJ90" s="2151"/>
      <c r="AK90" s="2151"/>
      <c r="AL90" s="2297"/>
      <c r="AM90" s="2114"/>
      <c r="AN90" s="2250"/>
      <c r="AO90" s="2250"/>
      <c r="AP90" s="2250"/>
      <c r="AQ90" s="2114"/>
      <c r="AR90" s="2113"/>
      <c r="AS90" s="2114"/>
      <c r="AT90" s="2114"/>
      <c r="AU90" s="2114"/>
      <c r="AV90" s="2109"/>
      <c r="AW90" s="2109"/>
      <c r="AX90" s="2109"/>
      <c r="AY90" s="2109"/>
    </row>
    <row r="91" ht="14.25" customHeight="1">
      <c r="A91" s="866"/>
      <c r="B91" s="2313" t="s">
        <v>1952</v>
      </c>
      <c r="C91" s="2114"/>
      <c r="D91" s="2314">
        <f t="shared" si="36" ref="D91:AC91">D28</f>
        <v>0</v>
      </c>
      <c r="E91" s="2308"/>
      <c r="F91" s="2314">
        <f t="shared" si="36"/>
        <v>0</v>
      </c>
      <c r="G91" s="2308"/>
      <c r="H91" s="2314">
        <f t="shared" si="36"/>
        <v>0</v>
      </c>
      <c r="I91" s="2308"/>
      <c r="J91" s="2315">
        <f t="shared" si="36"/>
        <v>0</v>
      </c>
      <c r="K91" s="2315">
        <f t="shared" si="36"/>
        <v>0</v>
      </c>
      <c r="L91" s="2315">
        <f t="shared" si="36"/>
        <v>0</v>
      </c>
      <c r="M91" s="2315">
        <f t="shared" si="36"/>
        <v>0</v>
      </c>
      <c r="N91" s="2315">
        <f t="shared" si="36"/>
        <v>0</v>
      </c>
      <c r="O91" s="2315">
        <f t="shared" si="36"/>
        <v>0</v>
      </c>
      <c r="P91" s="2315">
        <f t="shared" si="36"/>
        <v>0</v>
      </c>
      <c r="Q91" s="2315">
        <f t="shared" si="36"/>
        <v>0</v>
      </c>
      <c r="R91" s="2315">
        <f t="shared" si="36"/>
        <v>0</v>
      </c>
      <c r="S91" s="2315">
        <f t="shared" si="36"/>
        <v>0</v>
      </c>
      <c r="T91" s="2315">
        <f t="shared" si="36"/>
        <v>0</v>
      </c>
      <c r="U91" s="2315">
        <f t="shared" si="36"/>
        <v>0</v>
      </c>
      <c r="V91" s="2316">
        <f t="shared" si="36"/>
        <v>0</v>
      </c>
      <c r="W91" s="2151"/>
      <c r="X91" s="2151"/>
      <c r="Y91" s="2317">
        <f t="shared" si="36"/>
        <v>0</v>
      </c>
      <c r="Z91" s="2149"/>
      <c r="AA91" s="2316">
        <f t="shared" si="36"/>
        <v>0</v>
      </c>
      <c r="AB91" s="2149"/>
      <c r="AC91" s="2316">
        <f t="shared" si="36"/>
        <v>0</v>
      </c>
      <c r="AD91" s="2151"/>
      <c r="AE91" s="2151"/>
      <c r="AF91" s="2151"/>
      <c r="AG91" s="2151"/>
      <c r="AH91" s="2151"/>
      <c r="AI91" s="2151"/>
      <c r="AJ91" s="2151"/>
      <c r="AK91" s="2151"/>
      <c r="AL91" s="2297"/>
      <c r="AM91" s="2114"/>
      <c r="AN91" s="2250"/>
      <c r="AO91" s="2250"/>
      <c r="AP91" s="2250"/>
      <c r="AQ91" s="2114"/>
      <c r="AR91" s="2113"/>
      <c r="AS91" s="2114"/>
      <c r="AT91" s="2114"/>
      <c r="AU91" s="2114"/>
      <c r="AV91" s="2109"/>
      <c r="AW91" s="2109"/>
      <c r="AX91" s="2109"/>
      <c r="AY91" s="2109"/>
    </row>
    <row r="92" ht="14.25" customHeight="1">
      <c r="A92" s="866"/>
      <c r="B92" s="2318" t="s">
        <v>1953</v>
      </c>
      <c r="C92" s="2136"/>
      <c r="D92" s="2319">
        <f t="shared" si="37" ref="D92:AC92">SUM(D82:D88)</f>
        <v>0</v>
      </c>
      <c r="E92" s="2256"/>
      <c r="F92" s="2319">
        <f t="shared" si="37"/>
        <v>0</v>
      </c>
      <c r="G92" s="2256"/>
      <c r="H92" s="2319">
        <f t="shared" si="37"/>
        <v>0</v>
      </c>
      <c r="I92" s="2256"/>
      <c r="J92" s="2320">
        <f t="shared" si="37"/>
        <v>0</v>
      </c>
      <c r="K92" s="2320">
        <f t="shared" si="37"/>
        <v>0</v>
      </c>
      <c r="L92" s="2320">
        <f t="shared" si="37"/>
        <v>0</v>
      </c>
      <c r="M92" s="2320">
        <f t="shared" si="37"/>
        <v>0</v>
      </c>
      <c r="N92" s="2320">
        <f t="shared" si="37"/>
        <v>0</v>
      </c>
      <c r="O92" s="2320">
        <f t="shared" si="37"/>
        <v>0</v>
      </c>
      <c r="P92" s="2320">
        <f t="shared" si="37"/>
        <v>0</v>
      </c>
      <c r="Q92" s="2320">
        <f t="shared" si="37"/>
        <v>0</v>
      </c>
      <c r="R92" s="2320">
        <f t="shared" si="37"/>
        <v>0</v>
      </c>
      <c r="S92" s="2320">
        <f t="shared" si="37"/>
        <v>0</v>
      </c>
      <c r="T92" s="2320">
        <f t="shared" si="37"/>
        <v>0</v>
      </c>
      <c r="U92" s="2320">
        <f t="shared" si="37"/>
        <v>0</v>
      </c>
      <c r="V92" s="2321">
        <f t="shared" si="37"/>
        <v>0</v>
      </c>
      <c r="W92" s="2195"/>
      <c r="X92" s="2195"/>
      <c r="Y92" s="2319">
        <f t="shared" si="37"/>
        <v>0</v>
      </c>
      <c r="Z92" s="2256"/>
      <c r="AA92" s="2321">
        <f t="shared" si="37"/>
        <v>0</v>
      </c>
      <c r="AB92" s="2256"/>
      <c r="AC92" s="2321">
        <f t="shared" si="37"/>
        <v>0</v>
      </c>
      <c r="AD92" s="2195"/>
      <c r="AE92" s="2151"/>
      <c r="AF92" s="2151"/>
      <c r="AG92" s="2151"/>
      <c r="AH92" s="2151"/>
      <c r="AI92" s="2151"/>
      <c r="AJ92" s="2151"/>
      <c r="AK92" s="2151"/>
      <c r="AL92" s="2151"/>
      <c r="AM92" s="2114"/>
      <c r="AN92" s="2322"/>
      <c r="AO92" s="2322"/>
      <c r="AP92" s="2322"/>
      <c r="AQ92" s="2114"/>
      <c r="AR92" s="2113"/>
      <c r="AS92" s="2114"/>
      <c r="AT92" s="2114"/>
      <c r="AU92" s="2114"/>
      <c r="AV92" s="2109"/>
      <c r="AW92" s="2109"/>
      <c r="AX92" s="2109"/>
      <c r="AY92" s="2109"/>
    </row>
    <row r="93" ht="14.25" customHeight="1">
      <c r="A93" s="866"/>
      <c r="B93" s="2185" t="s">
        <v>1954</v>
      </c>
      <c r="C93" s="2323"/>
      <c r="D93" s="2255">
        <f>IF(ISBLANK(D$3),SUMIF('OS Analysis'!$BM3:$BM1002,"Operating Statement NOI",'OS Analysis'!$CB3:$CB1002),INDEX($J93:$U93,1,MATCH(D$3,$J$4:$U$4,0)))</f>
        <v>0</v>
      </c>
      <c r="E93" s="2256"/>
      <c r="F93" s="2255">
        <f>IF(ISBLANK(F$3),SUMIF('OS Analysis'!$AV3:$AV1002,"Operating Statement NOI",'OS Analysis'!$BK3:$BK1002),INDEX($J93:$U93,1,MATCH(F$3,$J$4:$U$4,0)))</f>
        <v>0</v>
      </c>
      <c r="G93" s="2256"/>
      <c r="H93" s="2255">
        <f>IF(ISBLANK(H$3),SUMIF('OS Analysis'!$AE3:$AE1002,"Operating Statement NOI",'OS Analysis'!$AT3:$AT1002),INDEX($J93:$U93,1,MATCH(H$3,$J$4:$U$4,0)))</f>
        <v>0</v>
      </c>
      <c r="I93" s="2256"/>
      <c r="J93" s="2312">
        <f>((SUMIF('OS Analysis'!$B3:$B1002,"Operating Statement NOI",'OS Analysis'!$AC3:$AC1002))/12)*12</f>
        <v>0</v>
      </c>
      <c r="K93" s="2312">
        <f>((SUMIF('OS Analysis'!$B3:$B1002,"Operating Statement NOI",'OS Analysis'!$AB3:$AB1002))/11)*12</f>
        <v>0</v>
      </c>
      <c r="L93" s="2312">
        <f>((SUMIF('OS Analysis'!$B3:$B1002,"Operating Statement NOI",'OS Analysis'!$AA3:$AA1002))/10)*12</f>
        <v>0</v>
      </c>
      <c r="M93" s="2312">
        <f>((SUMIF('OS Analysis'!$B3:$B1002,"Operating Statement NOI",'OS Analysis'!$Z3:$Z1002))/9)*12</f>
        <v>0</v>
      </c>
      <c r="N93" s="2312">
        <f>((SUMIF('OS Analysis'!$B3:$B1002,"Operating Statement NOI",'OS Analysis'!$Y3:$Y1002))/8)*12</f>
        <v>0</v>
      </c>
      <c r="O93" s="2312">
        <f>((SUMIF('OS Analysis'!$B3:$B1002,"Operating Statement NOI",'OS Analysis'!$X3:$X1002))/7)*12</f>
        <v>0</v>
      </c>
      <c r="P93" s="2312">
        <f>((SUMIF('OS Analysis'!$B3:$B1002,"Operating Statement NOI",'OS Analysis'!$W3:$W1002))/6)*12</f>
        <v>0</v>
      </c>
      <c r="Q93" s="2312">
        <f>((SUMIF('OS Analysis'!$B3:$B1002,"Operating Statement NOI",'OS Analysis'!$V3:$V1002))/5)*12</f>
        <v>0</v>
      </c>
      <c r="R93" s="2312">
        <f>((SUMIF('OS Analysis'!$B3:$B1002,"Operating Statement NOI",'OS Analysis'!$U3:$U1002))/4)*12</f>
        <v>0</v>
      </c>
      <c r="S93" s="2312">
        <f>((SUMIF('OS Analysis'!$B3:$B1002,"Operating Statement NOI",'OS Analysis'!$T3:$T1002))/3)*12</f>
        <v>0</v>
      </c>
      <c r="T93" s="2312">
        <f>((SUMIF('OS Analysis'!$B3:$B1002,"Operating Statement NOI",'OS Analysis'!$S3:$S1002))/2)*12</f>
        <v>0</v>
      </c>
      <c r="U93" s="2312">
        <f>((SUMIF('OS Analysis'!$B3:$B1002,"Operating Statement NOI",'OS Analysis'!$R3:$R1002)))*12</f>
        <v>0</v>
      </c>
      <c r="V93" s="2324">
        <f>SUMIF('OS Analysis'!$B$3:$B$1002,"Operating Statement NOI",'OS Analysis'!$Q$3:$Q$1002)</f>
        <v>0</v>
      </c>
      <c r="W93" s="2189"/>
      <c r="X93" s="2189"/>
      <c r="Y93" s="2324">
        <f>SUMIF('OS Analysis'!$CD3:$CD1002,"Operating Statement NOI",'OS Analysis'!$CS3:$CS1002)</f>
        <v>0</v>
      </c>
      <c r="Z93" s="2187"/>
      <c r="AA93" s="2325">
        <f>SUMIF('OS Analysis'!$CU3:$CU1002,"Operating Statement NOI",'OS Analysis'!$CW3:$CW1002)</f>
        <v>0</v>
      </c>
      <c r="AB93" s="2187"/>
      <c r="AC93" s="2325">
        <f>SUMIF('OS Analysis'!$CU3:$CU1002,"Operating Statement NOI",'OS Analysis'!$CX3:$CX1002)</f>
        <v>0</v>
      </c>
      <c r="AD93" s="2189"/>
      <c r="AE93" s="2151"/>
      <c r="AF93" s="2151"/>
      <c r="AG93" s="2151"/>
      <c r="AH93" s="2151"/>
      <c r="AI93" s="2151"/>
      <c r="AJ93" s="2151"/>
      <c r="AK93" s="2151"/>
      <c r="AL93" s="2109"/>
      <c r="AM93" s="2114"/>
      <c r="AN93" s="2114"/>
      <c r="AO93" s="2114"/>
      <c r="AP93" s="2114"/>
      <c r="AQ93" s="2114"/>
      <c r="AR93" s="2113"/>
      <c r="AS93" s="2114"/>
      <c r="AT93" s="2114"/>
      <c r="AU93" s="2114"/>
      <c r="AV93" s="2109"/>
      <c r="AW93" s="2109"/>
      <c r="AX93" s="2109"/>
      <c r="AY93" s="2109"/>
    </row>
    <row r="94" ht="14.25" customHeight="1">
      <c r="A94" s="866"/>
      <c r="B94" s="2136"/>
      <c r="C94" s="2136"/>
      <c r="D94" s="2195"/>
      <c r="E94" s="2195"/>
      <c r="F94" s="2195"/>
      <c r="G94" s="2195"/>
      <c r="H94" s="2195"/>
      <c r="I94" s="2195"/>
      <c r="J94" s="2326"/>
      <c r="K94" s="2326"/>
      <c r="L94" s="2326"/>
      <c r="M94" s="2326"/>
      <c r="N94" s="2326"/>
      <c r="O94" s="2326"/>
      <c r="P94" s="2326"/>
      <c r="Q94" s="2326"/>
      <c r="R94" s="2326"/>
      <c r="S94" s="2326"/>
      <c r="T94" s="2326"/>
      <c r="U94" s="2326"/>
      <c r="V94" s="2195"/>
      <c r="W94" s="2195"/>
      <c r="X94" s="2195"/>
      <c r="Y94" s="2195"/>
      <c r="Z94" s="2195"/>
      <c r="AA94" s="2195"/>
      <c r="AB94" s="2195"/>
      <c r="AC94" s="2195"/>
      <c r="AD94" s="2189"/>
      <c r="AE94" s="2151"/>
      <c r="AF94" s="2151"/>
      <c r="AG94" s="2151"/>
      <c r="AH94" s="2151"/>
      <c r="AI94" s="2151"/>
      <c r="AJ94" s="2151"/>
      <c r="AK94" s="2151"/>
      <c r="AL94" s="2109"/>
      <c r="AM94" s="2114"/>
      <c r="AN94" s="2114"/>
      <c r="AO94" s="2114"/>
      <c r="AP94" s="2114"/>
      <c r="AQ94" s="2114"/>
      <c r="AR94" s="2113"/>
      <c r="AS94" s="2114"/>
      <c r="AT94" s="2114"/>
      <c r="AU94" s="2114"/>
      <c r="AV94" s="2109"/>
      <c r="AW94" s="2109"/>
      <c r="AX94" s="2109"/>
      <c r="AY94" s="2109"/>
    </row>
    <row r="95" ht="14.25" customHeight="1">
      <c r="A95" s="866"/>
      <c r="B95" s="2136" t="s">
        <v>1955</v>
      </c>
      <c r="C95" s="2136"/>
      <c r="D95" s="2186">
        <f t="shared" si="38" ref="D95:AC95">(D90+D91+D73-D92)-D93</f>
        <v>0</v>
      </c>
      <c r="E95" s="2187"/>
      <c r="F95" s="2186">
        <f t="shared" si="38"/>
        <v>0</v>
      </c>
      <c r="G95" s="2187"/>
      <c r="H95" s="2186">
        <f t="shared" si="38"/>
        <v>0</v>
      </c>
      <c r="I95" s="2187"/>
      <c r="J95" s="2312">
        <f t="shared" si="38"/>
        <v>1727509</v>
      </c>
      <c r="K95" s="2312">
        <f t="shared" si="38"/>
        <v>1698953.4545454541</v>
      </c>
      <c r="L95" s="2312">
        <f t="shared" si="38"/>
        <v>1696038</v>
      </c>
      <c r="M95" s="2312">
        <f t="shared" si="38"/>
        <v>1784596</v>
      </c>
      <c r="N95" s="2312">
        <f t="shared" si="38"/>
        <v>1792488</v>
      </c>
      <c r="O95" s="2312">
        <f t="shared" si="38"/>
        <v>1823540.5714285718</v>
      </c>
      <c r="P95" s="2312">
        <f t="shared" si="38"/>
        <v>1904372</v>
      </c>
      <c r="Q95" s="2312">
        <f t="shared" si="38"/>
        <v>1940620.7999999998</v>
      </c>
      <c r="R95" s="2312">
        <f t="shared" si="38"/>
        <v>1797276</v>
      </c>
      <c r="S95" s="2312">
        <f t="shared" si="38"/>
        <v>1745348</v>
      </c>
      <c r="T95" s="2312">
        <f t="shared" si="38"/>
        <v>1761144</v>
      </c>
      <c r="U95" s="2312">
        <f t="shared" si="38"/>
        <v>1628928</v>
      </c>
      <c r="V95" s="2195">
        <f t="shared" si="38"/>
        <v>1727509</v>
      </c>
      <c r="W95" s="2195"/>
      <c r="X95" s="2195"/>
      <c r="Y95" s="2186">
        <f t="shared" si="38"/>
        <v>0</v>
      </c>
      <c r="Z95" s="2187"/>
      <c r="AA95" s="2189">
        <f t="shared" si="38"/>
        <v>0</v>
      </c>
      <c r="AB95" s="2187"/>
      <c r="AC95" s="2327">
        <f t="shared" si="38"/>
        <v>0</v>
      </c>
      <c r="AD95" s="2109"/>
      <c r="AE95" s="2109"/>
      <c r="AF95" s="2109"/>
      <c r="AG95" s="2109"/>
      <c r="AH95" s="2109"/>
      <c r="AI95" s="2109"/>
      <c r="AJ95" s="2109"/>
      <c r="AK95" s="2109"/>
      <c r="AL95" s="2109"/>
      <c r="AM95" s="2114"/>
      <c r="AN95" s="2114"/>
      <c r="AO95" s="2114"/>
      <c r="AP95" s="2114"/>
      <c r="AQ95" s="2114"/>
      <c r="AR95" s="2113"/>
      <c r="AS95" s="2114"/>
      <c r="AT95" s="2114"/>
      <c r="AU95" s="2328"/>
      <c r="AV95" s="2329"/>
      <c r="AW95" s="2329"/>
      <c r="AX95" s="2329"/>
      <c r="AY95" s="2329"/>
    </row>
    <row r="96" ht="14.25" customHeight="1">
      <c r="A96" s="866"/>
      <c r="B96" s="2185"/>
      <c r="C96" s="2185"/>
      <c r="D96" s="2330"/>
      <c r="E96" s="2330"/>
      <c r="F96" s="2330"/>
      <c r="G96" s="2330"/>
      <c r="H96" s="2330"/>
      <c r="I96" s="2330"/>
      <c r="J96" s="2331"/>
      <c r="K96" s="2331"/>
      <c r="L96" s="2331"/>
      <c r="M96" s="2331"/>
      <c r="N96" s="2331"/>
      <c r="O96" s="2331"/>
      <c r="P96" s="2331"/>
      <c r="Q96" s="2331"/>
      <c r="R96" s="2331"/>
      <c r="S96" s="2331"/>
      <c r="T96" s="2331"/>
      <c r="U96" s="2331"/>
      <c r="V96" s="2330"/>
      <c r="W96" s="2330"/>
      <c r="X96" s="2330"/>
      <c r="Y96" s="2330"/>
      <c r="Z96" s="2330"/>
      <c r="AA96" s="2330"/>
      <c r="AB96" s="2330"/>
      <c r="AC96" s="2330"/>
      <c r="AD96" s="2330"/>
      <c r="AE96" s="2109"/>
      <c r="AF96" s="2109"/>
      <c r="AG96" s="2109"/>
      <c r="AH96" s="2109"/>
      <c r="AI96" s="2109"/>
      <c r="AJ96" s="2109"/>
      <c r="AK96" s="2109"/>
      <c r="AL96" s="2109"/>
      <c r="AM96" s="2114"/>
      <c r="AN96" s="2114"/>
      <c r="AO96" s="2114"/>
      <c r="AP96" s="2114"/>
      <c r="AQ96" s="2114"/>
      <c r="AR96" s="2113"/>
      <c r="AS96" s="2114"/>
      <c r="AT96" s="2114"/>
      <c r="AU96" s="2114"/>
      <c r="AV96" s="2109"/>
      <c r="AW96" s="2109"/>
      <c r="AX96" s="2109"/>
      <c r="AY96" s="2109"/>
    </row>
    <row r="97" ht="14.25" customHeight="1">
      <c r="A97" s="866"/>
      <c r="B97" s="2332" t="s">
        <v>1956</v>
      </c>
      <c r="C97" s="2332"/>
      <c r="D97" s="2333">
        <f>IF(ISBLANK(D$3),SUMIF('OS Analysis'!$BM3:$BM1002,$B97,'OS Analysis'!$CB3:$CB1002),INDEX($J97:$U97,1,MATCH(D$3,$J$4:$U$4,0)))</f>
        <v>0</v>
      </c>
      <c r="E97" s="2334"/>
      <c r="F97" s="2333">
        <f>IF(ISBLANK(F$3),SUMIF('OS Analysis'!$AV3:$AV1002,$B97,'OS Analysis'!$BK3:$BK1002),INDEX($J97:$U97,1,MATCH(F$3,$J$4:$U$4,0)))</f>
        <v>0</v>
      </c>
      <c r="G97" s="2334"/>
      <c r="H97" s="2333">
        <f>IF(ISBLANK(H$3),SUMIF('OS Analysis'!$AE3:$AE1002,$B97,'OS Analysis'!$AT3:$AT1002),INDEX($J97:$U97,1,MATCH(H$3,$J$4:$U$4,0)))</f>
        <v>0</v>
      </c>
      <c r="I97" s="2334"/>
      <c r="J97" s="2335">
        <f>((SUMIF('OS Analysis'!$B3:$B1002,$B97,'OS Analysis'!$AC3:$AC1002))/12)*12</f>
        <v>0</v>
      </c>
      <c r="K97" s="2335">
        <f>((SUMIF('OS Analysis'!$B3:$B1002,$B97,'OS Analysis'!$AB3:$AB1002))/11)*12</f>
        <v>0</v>
      </c>
      <c r="L97" s="2335">
        <f>((SUMIF('OS Analysis'!$B3:$B1002,$B97,'OS Analysis'!$AA3:$AA1002))/10)*12</f>
        <v>0</v>
      </c>
      <c r="M97" s="2335">
        <f>((SUMIF('OS Analysis'!$B3:$B1002,$B97,'OS Analysis'!$Z3:$Z1002))/9)*12</f>
        <v>0</v>
      </c>
      <c r="N97" s="2336">
        <f>((SUMIF('OS Analysis'!$B3:$B1002,$B97,'OS Analysis'!$Y3:$Y1002))/8)*12</f>
        <v>0</v>
      </c>
      <c r="O97" s="2336">
        <f>((SUMIF('OS Analysis'!$B3:$B1002,$B97,'OS Analysis'!$X3:$X1002))/7)*12</f>
        <v>0</v>
      </c>
      <c r="P97" s="2336">
        <f>((SUMIF('OS Analysis'!$B3:$B1002,$B97,'OS Analysis'!$W3:$W1002))/6)*12</f>
        <v>0</v>
      </c>
      <c r="Q97" s="2336">
        <f>((SUMIF('OS Analysis'!$B3:$B1002,$B97,'OS Analysis'!$V3:$V1002))/5)*12</f>
        <v>0</v>
      </c>
      <c r="R97" s="2336">
        <f>((SUMIF('OS Analysis'!$B3:$B1002,$B97,'OS Analysis'!$U3:$U1002))/4)*12</f>
        <v>0</v>
      </c>
      <c r="S97" s="2336">
        <f>((SUMIF('OS Analysis'!$B3:$B1002,$B97,'OS Analysis'!$T3:$T1002))/3)*12</f>
        <v>0</v>
      </c>
      <c r="T97" s="2336">
        <f>((SUMIF('OS Analysis'!$B3:$B1002,$B97,'OS Analysis'!$S3:$S1002))/2)*12</f>
        <v>0</v>
      </c>
      <c r="U97" s="2336">
        <f>(SUMIF('OS Analysis'!$B3:$B1002,$B97,'OS Analysis'!$R3:$R1002))*12</f>
        <v>0</v>
      </c>
      <c r="V97" s="2337">
        <f>SUMIF('OS Analysis'!$B$3:$B$1002,$B97,'OS Analysis'!$Q$3:$Q$1002)</f>
        <v>0</v>
      </c>
      <c r="W97" s="2338"/>
      <c r="X97" s="2338"/>
      <c r="Y97" s="2333">
        <f>SUMIF('OS Analysis'!$CD3:$CD1002,$B97,'OS Analysis'!$CS3:$CS1002)</f>
        <v>0</v>
      </c>
      <c r="Z97" s="2334"/>
      <c r="AA97" s="2333">
        <f>SUMIF('OS Analysis'!$CU3:$CU1002,$B97,'OS Analysis'!$CW3:$CW1002)</f>
        <v>0</v>
      </c>
      <c r="AB97" s="2334"/>
      <c r="AC97" s="2337">
        <f>SUMIF('OS Analysis'!$CU3:$CU1002,$B97,'OS Analysis'!$CX3:$CX1002)</f>
        <v>0</v>
      </c>
      <c r="AD97" s="2338"/>
      <c r="AE97" s="2339"/>
      <c r="AF97" s="2339"/>
      <c r="AG97" s="2339"/>
      <c r="AH97" s="2339"/>
      <c r="AI97" s="2339"/>
      <c r="AJ97" s="2339"/>
      <c r="AK97" s="2339"/>
      <c r="AL97" s="2339"/>
      <c r="AM97" s="2313"/>
      <c r="AN97" s="2313"/>
      <c r="AO97" s="2313"/>
      <c r="AP97" s="2313"/>
      <c r="AQ97" s="2313"/>
      <c r="AR97" s="2340"/>
      <c r="AS97" s="2313"/>
      <c r="AT97" s="2313"/>
      <c r="AU97" s="2313"/>
      <c r="AV97" s="2339"/>
      <c r="AW97" s="2339"/>
      <c r="AX97" s="2339"/>
      <c r="AY97" s="2339"/>
    </row>
    <row r="98" ht="14.25" customHeight="1">
      <c r="A98" s="866"/>
      <c r="B98" s="866"/>
      <c r="C98" s="866"/>
      <c r="D98" s="2341"/>
      <c r="E98" s="2341"/>
      <c r="F98" s="2341"/>
      <c r="G98" s="2341"/>
      <c r="H98" s="2341"/>
      <c r="I98" s="2341"/>
      <c r="J98" s="2151"/>
      <c r="K98" s="2151"/>
      <c r="L98" s="2151"/>
      <c r="M98" s="2151"/>
      <c r="N98" s="2151"/>
      <c r="O98" s="2151"/>
      <c r="P98" s="2151"/>
      <c r="Q98" s="2151"/>
      <c r="R98" s="2151"/>
      <c r="S98" s="2151"/>
      <c r="T98" s="2151"/>
      <c r="U98" s="2151"/>
      <c r="V98" s="2341"/>
      <c r="W98" s="2341"/>
      <c r="X98" s="2341"/>
      <c r="Y98" s="2341"/>
      <c r="Z98" s="2341"/>
      <c r="AA98" s="2341"/>
      <c r="AB98" s="2341"/>
      <c r="AC98" s="2341"/>
      <c r="AD98" s="2341"/>
      <c r="AE98" s="2341"/>
      <c r="AF98" s="2341"/>
      <c r="AG98" s="2341"/>
      <c r="AH98" s="2341"/>
      <c r="AI98" s="2341"/>
      <c r="AJ98" s="2341"/>
      <c r="AK98" s="2341"/>
      <c r="AL98" s="2341"/>
      <c r="AM98" s="866"/>
      <c r="AN98" s="866"/>
      <c r="AO98" s="866"/>
      <c r="AP98" s="866"/>
      <c r="AQ98" s="866"/>
      <c r="AR98" s="2342"/>
      <c r="AS98" s="866"/>
    </row>
  </sheetData>
  <sheetProtection formatCells="0" formatColumns="0" formatRows="0" insertColumns="0" insertRows="0" insertHyperlinks="0" sort="0" autoFilter="0" pivotTables="0"/>
  <mergeCells>
    <mergeCell ref="AM2:AN2"/>
    <mergeCell ref="W2:X2"/>
    <mergeCell ref="W3:X3"/>
    <mergeCell ref="Y2:Z2"/>
    <mergeCell ref="AK2:AL2"/>
    <mergeCell ref="AC2:AD2"/>
    <mergeCell ref="AI2:AJ2"/>
    <mergeCell ref="AA2:AB2"/>
    <mergeCell ref="AG2:AH2"/>
    <mergeCell ref="AT5:AT79"/>
    <mergeCell ref="AV2:AW2"/>
    <mergeCell ref="AX2:AY2"/>
    <mergeCell ref="AV3:AW3"/>
    <mergeCell ref="AX3:AY3"/>
    <mergeCell ref="AV4:AW4"/>
    <mergeCell ref="AX4:AY4"/>
    <mergeCell ref="B2:C2"/>
    <mergeCell ref="H2:I2"/>
    <mergeCell ref="AE2:AF2"/>
    <mergeCell ref="D3:E3"/>
    <mergeCell ref="B39:C39"/>
    <mergeCell ref="F3:G3"/>
    <mergeCell ref="H3:I3"/>
    <mergeCell ref="D2:E2"/>
    <mergeCell ref="F2:G2"/>
  </mergeCells>
  <conditionalFormatting sqref="AR5:AR73">
    <cfRule type="cellIs" dxfId="35" priority="3" operator="equal" text="null">
      <formula>"Non-Standard Assumption - Please Clarify"</formula>
    </cfRule>
  </conditionalFormatting>
  <conditionalFormatting sqref="AK9">
    <cfRule type="expression" dxfId="35" priority="2" text="null">
      <formula>$AK$9&gt;0.95*$AK$5</formula>
    </cfRule>
  </conditionalFormatting>
  <conditionalFormatting sqref="AL10:AL11">
    <cfRule type="cellIs" dxfId="35" priority="1" operator="lessThan" text="null">
      <formula>0.05</formula>
    </cfRule>
  </conditionalFormatting>
  <dataValidations count="3">
    <dataValidation allowBlank="1" error="Must be &quot;TR&quot; or &quot;YTD&quot;" errorTitle="Invalid Scope" showErrorMessage="1" showInputMessage="1" sqref="V2" type="list">
      <formula1>"TR,YTD"</formula1>
    </dataValidation>
    <dataValidation allowBlank="1" error="Must a be whole number_x005F_x005F_x000A_between 1 and 12." errorTitle="Invalid #of Months" showErrorMessage="1" showInputMessage="1" sqref="V4" type="whole">
      <formula1>1</formula1>
      <formula2>12</formula2>
    </dataValidation>
    <dataValidation allowBlank="1" showErrorMessage="1" showInputMessage="1" sqref="D3:I3" type="list">
      <formula1>$J$2:$U$2</formula1>
    </dataValidation>
  </dataValidations>
  <printOptions horizontalCentered="1"/>
  <pageMargins left="0.25" right="0.25" top="0.25" bottom="0.25" header="0.25" footer="0.25"/>
  <pageSetup useFirstPageNumber="1" fitToHeight="1" fitToWidth="1" paperSize="5" firstPageNumber="1" scale="51" pageOrder="overThenDown" orientation="landscape"/>
  <headerFooter>
    <oddHeader>&amp;L&amp;C&amp;R</oddHeader>
    <oddFooter>&amp;L&amp;C&amp;R</oddFooter>
  </headerFooter>
  <rowBreaks count="1" manualBreakCount="1">
    <brk id="80" man="1" max="1048576"/>
  </rowBreaks>
  <drawing r:id="rId1"/>
  <extLst/>
</worksheet>
</file>

<file path=xl/worksheets/sheet12.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2BA539BE-FAB6-B835-7115-C0F7A06EB212}" mc:Ignorable="x14ac xr xr2 xr3">
  <sheetPr>
    <tabColor rgb="FF00B050"/>
    <pageSetUpPr fitToPage="1"/>
  </sheetPr>
  <dimension ref="A1:H56"/>
  <sheetViews>
    <sheetView topLeftCell="A1" workbookViewId="0">
      <selection activeCell="A1" sqref="A1"/>
    </sheetView>
  </sheetViews>
  <sheetFormatPr defaultRowHeight="15" defaultColWidth="0" customHeight="1" outlineLevelRow="1"/>
  <cols>
    <col min="1" max="1" style="2375" width="9.140625" customWidth="1"/>
    <col min="2" max="2" style="2375" width="31.8515625" customWidth="1"/>
    <col min="3" max="3" style="2375" width="87.7109375" customWidth="1"/>
    <col min="4" max="7" style="2375" width="9.140625" customWidth="1"/>
    <col min="8" max="8" style="2375" width="10.57421875" hidden="1" customWidth="1"/>
  </cols>
  <sheetData>
    <row r="1" ht="40.5" customHeight="1">
      <c r="A1" s="2345"/>
      <c r="B1" s="2346" t="str">
        <f>"W&amp;D Kick-Off Memo - "&amp;property_name&amp;", "&amp;SblQuotes_CityState</f>
        <v>W&amp;D Kick-Off Memo - XXXX, City, XX</v>
      </c>
      <c r="C1" s="2347"/>
      <c r="D1" s="2345"/>
      <c r="E1" s="2345"/>
      <c r="F1" s="2345"/>
      <c r="G1" s="2345"/>
    </row>
    <row r="2" ht="14.25" customHeight="1">
      <c r="A2" s="2345"/>
      <c r="B2" s="2348"/>
      <c r="C2" s="2349"/>
      <c r="D2" s="2345"/>
      <c r="E2" s="2345"/>
      <c r="F2" s="2345"/>
      <c r="G2" s="2345"/>
    </row>
    <row r="3" ht="24" customHeight="1">
      <c r="A3" s="2345"/>
      <c r="B3" s="2350"/>
      <c r="C3" s="2351"/>
      <c r="D3" s="2345"/>
      <c r="E3" s="2345"/>
      <c r="F3" s="2345"/>
      <c r="G3" s="2345"/>
    </row>
    <row r="4" ht="15.75" customHeight="1">
      <c r="A4" s="2345"/>
      <c r="B4" s="2352" t="s">
        <v>1958</v>
      </c>
      <c r="C4" s="2353"/>
      <c r="D4" s="2345"/>
      <c r="E4" s="2345"/>
      <c r="F4" s="2345"/>
      <c r="G4" s="2345"/>
    </row>
    <row r="5" ht="15.75" customHeight="1">
      <c r="A5" s="2345"/>
      <c r="B5" s="2354" t="s">
        <v>1959</v>
      </c>
      <c r="C5" s="2355" t="str">
        <f>'SBL Quotes'!$B$58</f>
        <v>Select</v>
      </c>
      <c r="D5" s="2345"/>
      <c r="E5" s="2345"/>
      <c r="F5" s="2345"/>
      <c r="G5" s="2345"/>
    </row>
    <row r="6" ht="15.75" customHeight="1">
      <c r="A6" s="2345"/>
      <c r="B6" s="2354" t="s">
        <v>1960</v>
      </c>
      <c r="C6" s="2356" t="s">
        <v>1961</v>
      </c>
      <c r="D6" s="2345"/>
      <c r="E6" s="2345"/>
      <c r="F6" s="2345"/>
      <c r="G6" s="2345"/>
    </row>
    <row r="7" ht="15.75" customHeight="1">
      <c r="A7" s="2345"/>
      <c r="B7" s="2354" t="s">
        <v>1962</v>
      </c>
      <c r="C7" s="2357" t="str">
        <f>address&amp;", "&amp;SblQuotes_CityState&amp;" "&amp;SBL_ZipCode</f>
        <v>, City, XX XXXXX</v>
      </c>
      <c r="D7" s="2345"/>
      <c r="E7" s="2345"/>
      <c r="F7" s="2345"/>
      <c r="G7" s="2345"/>
    </row>
    <row r="8" ht="15.75" customHeight="1">
      <c r="A8" s="2345"/>
      <c r="B8" s="2354" t="s">
        <v>239</v>
      </c>
      <c r="C8" s="2357" t="str">
        <f>'SBL Quotes'!$B$64</f>
        <v>XXXX</v>
      </c>
      <c r="D8" s="2345"/>
      <c r="E8" s="2345"/>
      <c r="F8" s="2345"/>
      <c r="G8" s="2345"/>
    </row>
    <row r="9" ht="15.75" customHeight="1">
      <c r="A9" s="2345"/>
      <c r="B9" s="2354" t="s">
        <v>1964</v>
      </c>
      <c r="C9" s="2357" t="s">
        <v>451</v>
      </c>
      <c r="D9" s="2345"/>
      <c r="E9" s="2345"/>
      <c r="F9" s="2345"/>
      <c r="G9" s="2345"/>
    </row>
    <row r="10" ht="15.75" customHeight="1">
      <c r="A10" s="2345"/>
      <c r="B10" s="2354" t="s">
        <v>1965</v>
      </c>
      <c r="C10" s="2357" t="s">
        <v>1966</v>
      </c>
      <c r="D10" s="2345"/>
      <c r="E10" s="2345"/>
      <c r="F10" s="2345"/>
      <c r="G10" s="2345"/>
    </row>
    <row r="11" ht="15.75" customHeight="1">
      <c r="A11" s="2345"/>
      <c r="B11" s="2352" t="s">
        <v>1967</v>
      </c>
      <c r="C11" s="2353"/>
      <c r="D11" s="2345"/>
      <c r="E11" s="2345"/>
      <c r="F11" s="2345"/>
      <c r="G11" s="2345"/>
    </row>
    <row r="12" ht="15.75" customHeight="1">
      <c r="A12" s="2345"/>
      <c r="B12" s="2358" t="s">
        <v>1968</v>
      </c>
      <c r="C12" s="2359" t="s">
        <v>1969</v>
      </c>
      <c r="D12" s="2345"/>
      <c r="E12" s="2345"/>
      <c r="F12" s="2345"/>
      <c r="G12" s="2345"/>
    </row>
    <row r="13" ht="15.75" customHeight="1">
      <c r="A13" s="2345"/>
      <c r="B13" s="2360"/>
      <c r="C13" s="2361" t="s">
        <v>1970</v>
      </c>
      <c r="D13" s="2345"/>
      <c r="E13" s="2345"/>
      <c r="F13" s="2345"/>
      <c r="G13" s="2345"/>
    </row>
    <row r="14" ht="15.75" customHeight="1">
      <c r="A14" s="2345"/>
      <c r="B14" s="2362"/>
      <c r="C14" s="2363" t="s">
        <v>1971</v>
      </c>
      <c r="D14" s="2345"/>
      <c r="E14" s="2345"/>
      <c r="F14" s="2345"/>
      <c r="G14" s="2345"/>
    </row>
    <row r="15" ht="15.75" customHeight="1">
      <c r="A15" s="2345"/>
      <c r="B15" s="2358" t="s">
        <v>1972</v>
      </c>
      <c r="C15" s="2359" t="s">
        <v>1973</v>
      </c>
      <c r="D15" s="2345"/>
      <c r="E15" s="2345"/>
      <c r="F15" s="2345"/>
      <c r="G15" s="2345"/>
    </row>
    <row r="16" ht="15.75" customHeight="1">
      <c r="A16" s="2345"/>
      <c r="B16" s="2360"/>
      <c r="C16" s="2364" t="s">
        <v>1974</v>
      </c>
      <c r="D16" s="2345"/>
      <c r="E16" s="2345"/>
      <c r="F16" s="2345"/>
      <c r="G16" s="2345"/>
    </row>
    <row r="17" ht="15.75" customHeight="1">
      <c r="A17" s="2345"/>
      <c r="B17" s="2360"/>
      <c r="C17" s="2361" t="s">
        <v>1975</v>
      </c>
      <c r="D17" s="2345"/>
      <c r="E17" s="2345"/>
      <c r="F17" s="2345"/>
      <c r="G17" s="2345"/>
    </row>
    <row r="18" ht="15.75" customHeight="1">
      <c r="A18" s="2345"/>
      <c r="B18" s="2362"/>
      <c r="C18" s="2363" t="s">
        <v>1976</v>
      </c>
      <c r="D18" s="2345"/>
      <c r="E18" s="2345"/>
      <c r="F18" s="2345"/>
      <c r="G18" s="2345"/>
    </row>
    <row r="19" ht="15.75" customHeight="1">
      <c r="A19" s="2345"/>
      <c r="B19" s="2358" t="s">
        <v>1977</v>
      </c>
      <c r="C19" s="2359" t="s">
        <v>1978</v>
      </c>
      <c r="D19" s="2345"/>
      <c r="E19" s="2345"/>
      <c r="F19" s="2345"/>
      <c r="G19" s="2345"/>
    </row>
    <row r="20" ht="15.75" customHeight="1">
      <c r="A20" s="2345"/>
      <c r="B20" s="2360"/>
      <c r="C20" s="2364" t="s">
        <v>1979</v>
      </c>
      <c r="D20" s="2345"/>
      <c r="E20" s="2345"/>
      <c r="F20" s="2345"/>
      <c r="G20" s="2345"/>
    </row>
    <row r="21" ht="15.75" customHeight="1">
      <c r="A21" s="2345"/>
      <c r="B21" s="2360"/>
      <c r="C21" s="2361" t="s">
        <v>1980</v>
      </c>
      <c r="D21" s="2345"/>
      <c r="E21" s="2345"/>
      <c r="F21" s="2345"/>
      <c r="G21" s="2345"/>
    </row>
    <row r="22" ht="15.75" customHeight="1">
      <c r="A22" s="2345"/>
      <c r="B22" s="2362"/>
      <c r="C22" s="2363" t="s">
        <v>1981</v>
      </c>
      <c r="D22" s="2345"/>
      <c r="E22" s="2345"/>
      <c r="F22" s="2345"/>
      <c r="G22" s="2345"/>
    </row>
    <row r="23" ht="15.75" customHeight="1">
      <c r="A23" s="2345"/>
      <c r="B23" s="2352" t="s">
        <v>1982</v>
      </c>
      <c r="C23" s="2353"/>
      <c r="D23" s="2345"/>
      <c r="E23" s="2345"/>
      <c r="F23" s="2345"/>
      <c r="G23" s="2345"/>
    </row>
    <row r="24" ht="15.75" customHeight="1">
      <c r="A24" s="2345"/>
      <c r="B24" s="2354" t="s">
        <v>1983</v>
      </c>
      <c r="C24" s="2365">
        <v>1</v>
      </c>
      <c r="D24" s="2345"/>
      <c r="E24" s="2345"/>
      <c r="F24" s="2345"/>
      <c r="G24" s="2345"/>
    </row>
    <row r="25" ht="15.75" customHeight="1">
      <c r="A25" s="2345"/>
      <c r="B25" s="2354" t="s">
        <v>1984</v>
      </c>
      <c r="C25" s="2365">
        <v>1</v>
      </c>
      <c r="D25" s="2345"/>
      <c r="E25" s="2345"/>
      <c r="F25" s="2345"/>
      <c r="G25" s="2345"/>
    </row>
    <row r="26" ht="15.75" customHeight="1">
      <c r="A26" s="2345"/>
      <c r="B26" s="2354" t="s">
        <v>1985</v>
      </c>
      <c r="C26" s="2365">
        <v>1</v>
      </c>
      <c r="D26" s="2345"/>
      <c r="E26" s="2345"/>
      <c r="F26" s="2345"/>
      <c r="G26" s="2345"/>
    </row>
    <row r="27" ht="15.75" customHeight="1">
      <c r="A27" s="2345"/>
      <c r="B27" s="2354" t="s">
        <v>1986</v>
      </c>
      <c r="C27" s="2365">
        <v>1</v>
      </c>
      <c r="D27" s="2345"/>
      <c r="E27" s="2345"/>
      <c r="F27" s="2345"/>
      <c r="G27" s="2345"/>
    </row>
    <row r="28" ht="15.75" customHeight="1">
      <c r="A28" s="2345"/>
      <c r="B28" s="2354" t="s">
        <v>1987</v>
      </c>
      <c r="C28" s="2365">
        <v>1</v>
      </c>
      <c r="D28" s="2345"/>
      <c r="E28" s="2345"/>
      <c r="F28" s="2345"/>
      <c r="G28" s="2345"/>
    </row>
    <row r="29" ht="15.75" customHeight="1">
      <c r="A29" s="2345"/>
      <c r="B29" s="2352" t="s">
        <v>1988</v>
      </c>
      <c r="C29" s="2353"/>
      <c r="D29" s="2345"/>
      <c r="E29" s="2345"/>
      <c r="F29" s="2345"/>
      <c r="G29" s="2345"/>
    </row>
    <row r="30" ht="15.75" customHeight="1">
      <c r="A30" s="2345"/>
      <c r="B30" s="2354" t="s">
        <v>1989</v>
      </c>
      <c r="C30" s="2357" t="s">
        <v>269</v>
      </c>
      <c r="D30" s="2345"/>
      <c r="E30" s="2345"/>
      <c r="F30" s="2345"/>
      <c r="G30" s="2345"/>
    </row>
    <row r="31" ht="15.75" customHeight="1" hidden="0" collapsed="0" outlineLevel="1">
      <c r="A31" s="2345"/>
      <c r="B31" s="2354" t="s">
        <v>1990</v>
      </c>
      <c r="C31" s="2357" t="s">
        <v>451</v>
      </c>
      <c r="D31" s="2345"/>
      <c r="E31" s="2345"/>
      <c r="F31" s="2345"/>
      <c r="G31" s="2345"/>
    </row>
    <row r="32" ht="15.75" customHeight="1" hidden="0" collapsed="0" outlineLevel="1">
      <c r="A32" s="2345"/>
      <c r="B32" s="2358" t="s">
        <v>1991</v>
      </c>
      <c r="C32" s="2359" t="s">
        <v>1992</v>
      </c>
      <c r="D32" s="2345"/>
      <c r="E32" s="2345"/>
      <c r="F32" s="2345"/>
      <c r="G32" s="2345"/>
    </row>
    <row r="33" ht="15.75" customHeight="1" hidden="0" collapsed="0" outlineLevel="1">
      <c r="A33" s="2345"/>
      <c r="B33" s="2360"/>
      <c r="C33" s="2364" t="s">
        <v>1993</v>
      </c>
      <c r="D33" s="2345"/>
      <c r="E33" s="2345"/>
      <c r="F33" s="2345"/>
      <c r="G33" s="2345"/>
    </row>
    <row r="34" ht="15.75" customHeight="1" hidden="0" collapsed="0" outlineLevel="1">
      <c r="A34" s="2345"/>
      <c r="B34" s="2360"/>
      <c r="C34" s="2361" t="s">
        <v>1994</v>
      </c>
      <c r="D34" s="2345"/>
      <c r="E34" s="2345"/>
      <c r="F34" s="2345"/>
      <c r="G34" s="2345"/>
    </row>
    <row r="35" ht="15.75" customHeight="1" hidden="0" collapsed="0" outlineLevel="1">
      <c r="A35" s="2345"/>
      <c r="B35" s="2362"/>
      <c r="C35" s="2363" t="s">
        <v>1995</v>
      </c>
      <c r="D35" s="2345"/>
      <c r="E35" s="2345"/>
      <c r="F35" s="2345"/>
      <c r="G35" s="2345"/>
    </row>
    <row r="36" ht="56.25" customHeight="1" hidden="0" collapsed="0" outlineLevel="1">
      <c r="A36" s="2345"/>
      <c r="B36" s="2366" t="s">
        <v>1996</v>
      </c>
      <c r="C36" s="2367" t="s">
        <v>1997</v>
      </c>
      <c r="D36" s="2345"/>
      <c r="E36" s="2345"/>
      <c r="F36" s="2345"/>
      <c r="G36" s="2345"/>
    </row>
    <row r="37" ht="15.75" customHeight="1">
      <c r="A37" s="2345"/>
      <c r="B37" s="2352" t="s">
        <v>1998</v>
      </c>
      <c r="C37" s="2353"/>
      <c r="D37" s="2345"/>
      <c r="E37" s="2345"/>
      <c r="F37" s="2345"/>
      <c r="G37" s="2345"/>
    </row>
    <row r="38" ht="80.25" customHeight="1" hidden="0" collapsed="0" outlineLevel="1">
      <c r="A38" s="2345"/>
      <c r="B38" s="2366" t="s">
        <v>1999</v>
      </c>
      <c r="C38" s="2368" t="s">
        <v>2000</v>
      </c>
      <c r="D38" s="2345"/>
      <c r="E38" s="2345"/>
      <c r="F38" s="2345"/>
      <c r="G38" s="2345"/>
    </row>
    <row r="39" ht="15.75" customHeight="1">
      <c r="A39" s="2345"/>
      <c r="B39" s="2352" t="s">
        <v>2001</v>
      </c>
      <c r="C39" s="2353"/>
      <c r="D39" s="2345"/>
      <c r="E39" s="2345"/>
      <c r="F39" s="2345"/>
      <c r="G39" s="2345"/>
    </row>
    <row r="40" ht="80.25" customHeight="1" hidden="0" collapsed="0" outlineLevel="1">
      <c r="A40" s="2345"/>
      <c r="B40" s="2366" t="s">
        <v>239</v>
      </c>
      <c r="C40" s="2368" t="s">
        <v>2002</v>
      </c>
      <c r="D40" s="2345"/>
      <c r="E40" s="2345"/>
      <c r="F40" s="2345"/>
      <c r="G40" s="2345"/>
    </row>
    <row r="41" ht="80.25" customHeight="1" hidden="0" collapsed="0" outlineLevel="1">
      <c r="A41" s="2345"/>
      <c r="B41" s="2366" t="s">
        <v>2003</v>
      </c>
      <c r="C41" s="2368" t="s">
        <v>2004</v>
      </c>
      <c r="D41" s="2345"/>
      <c r="E41" s="2345"/>
      <c r="F41" s="2345"/>
      <c r="G41" s="2345"/>
    </row>
    <row r="42" ht="80.25" customHeight="1" hidden="0" collapsed="0" outlineLevel="1">
      <c r="A42" s="2345"/>
      <c r="B42" s="2366" t="s">
        <v>1059</v>
      </c>
      <c r="C42" s="2368" t="s">
        <v>2005</v>
      </c>
      <c r="D42" s="2345"/>
      <c r="E42" s="2345"/>
      <c r="F42" s="2345"/>
      <c r="G42" s="2345"/>
    </row>
    <row r="43" ht="80.25" customHeight="1" hidden="0" collapsed="0" outlineLevel="1">
      <c r="A43" s="2345"/>
      <c r="B43" s="2366" t="s">
        <v>1132</v>
      </c>
      <c r="C43" s="2368" t="s">
        <v>2006</v>
      </c>
      <c r="D43" s="2345"/>
      <c r="E43" s="2345"/>
      <c r="F43" s="2345"/>
      <c r="G43" s="2345"/>
    </row>
    <row r="44" ht="80.25" customHeight="1" hidden="0" collapsed="0" outlineLevel="1">
      <c r="A44" s="2345"/>
      <c r="B44" s="2366" t="s">
        <v>236</v>
      </c>
      <c r="C44" s="2368" t="s">
        <v>2007</v>
      </c>
      <c r="D44" s="2345"/>
      <c r="E44" s="2345"/>
      <c r="F44" s="2345"/>
      <c r="G44" s="2345"/>
    </row>
    <row r="45" ht="15" customHeight="1">
      <c r="A45" s="2345"/>
      <c r="B45" s="2369"/>
      <c r="C45" s="2345"/>
      <c r="D45" s="2345"/>
      <c r="E45" s="2345"/>
      <c r="F45" s="2345"/>
      <c r="G45" s="2345"/>
    </row>
    <row r="46" ht="15" customHeight="1" hidden="1">
      <c r="B46" s="2370"/>
    </row>
    <row r="47" ht="15" customHeight="1" hidden="1">
      <c r="B47" s="2370"/>
    </row>
    <row r="48" ht="15" customHeight="1" hidden="1">
      <c r="B48" s="2370"/>
    </row>
    <row r="49" ht="15" customHeight="1" hidden="1">
      <c r="B49" s="2370"/>
    </row>
    <row r="50" ht="15" customHeight="1" hidden="1">
      <c r="B50" s="2371"/>
    </row>
    <row r="51" ht="15" customHeight="1" hidden="1">
      <c r="B51" s="2370"/>
    </row>
    <row r="52" ht="15" customHeight="1" hidden="1">
      <c r="B52" s="2370"/>
    </row>
    <row r="53" ht="15" customHeight="1" hidden="1">
      <c r="B53" s="2370"/>
    </row>
    <row r="54" ht="15" customHeight="1" hidden="1">
      <c r="B54" s="2370"/>
    </row>
    <row r="55" ht="15" customHeight="1" hidden="1">
      <c r="B55" s="2372"/>
    </row>
    <row r="56" ht="15" customHeight="1" hidden="1">
      <c r="B56" s="2373"/>
      <c r="H56" s="2374"/>
    </row>
  </sheetData>
  <mergeCells>
    <mergeCell ref="B23:C23"/>
    <mergeCell ref="B29:C29"/>
    <mergeCell ref="B32:B35"/>
    <mergeCell ref="B37:C37"/>
    <mergeCell ref="B39:C39"/>
    <mergeCell ref="B19:B22"/>
    <mergeCell ref="B1:C2"/>
    <mergeCell ref="B4:C4"/>
    <mergeCell ref="B11:C11"/>
    <mergeCell ref="B12:B14"/>
    <mergeCell ref="B15:B18"/>
  </mergeCells>
  <conditionalFormatting sqref="C7">
    <cfRule type="expression" dxfId="36" priority="60" text="null">
      <formula>OR(ISERROR($B7),IFERROR(FIND("Select Loan Option",$B7),FALSE))</formula>
    </cfRule>
  </conditionalFormatting>
  <conditionalFormatting sqref="C7">
    <cfRule type="expression" dxfId="37" priority="61" text="null">
      <formula>NOT(ISFORMULA(C7))</formula>
    </cfRule>
  </conditionalFormatting>
  <conditionalFormatting sqref="C8">
    <cfRule type="expression" dxfId="36" priority="58" text="null">
      <formula>OR(ISERROR($B8),IFERROR(FIND("Select Loan Option",$B8),FALSE))</formula>
    </cfRule>
  </conditionalFormatting>
  <conditionalFormatting sqref="C8">
    <cfRule type="expression" dxfId="37" priority="59" text="null">
      <formula>NOT(ISFORMULA(C8))</formula>
    </cfRule>
  </conditionalFormatting>
  <conditionalFormatting sqref="C12">
    <cfRule type="expression" dxfId="36" priority="53" text="null">
      <formula>OR(ISERROR($B12),IFERROR(FIND("Select Loan Option",$B12),FALSE))</formula>
    </cfRule>
  </conditionalFormatting>
  <conditionalFormatting sqref="C12">
    <cfRule type="expression" dxfId="37" priority="54" text="null">
      <formula>NOT(ISFORMULA(C12))</formula>
    </cfRule>
  </conditionalFormatting>
  <conditionalFormatting sqref="C9:C10 C14">
    <cfRule type="expression" dxfId="36" priority="56" text="null">
      <formula>OR(ISERROR($B9),IFERROR(FIND("Select Loan Option",$B9),FALSE))</formula>
    </cfRule>
  </conditionalFormatting>
  <conditionalFormatting sqref="C9:C10 C14">
    <cfRule type="expression" dxfId="37" priority="57" text="null">
      <formula>NOT(ISFORMULA(C9))</formula>
    </cfRule>
  </conditionalFormatting>
  <conditionalFormatting sqref="C10">
    <cfRule type="expression" dxfId="38" priority="55" text="null">
      <formula>OFFSET($C$10,-1,0)="No"</formula>
    </cfRule>
  </conditionalFormatting>
  <conditionalFormatting sqref="C13">
    <cfRule type="expression" dxfId="36" priority="51" text="null">
      <formula>OR(ISERROR($B13),IFERROR(FIND("Select Loan Option",$B13),FALSE))</formula>
    </cfRule>
  </conditionalFormatting>
  <conditionalFormatting sqref="C13">
    <cfRule type="expression" dxfId="37" priority="52" text="null">
      <formula>NOT(ISFORMULA(C13))</formula>
    </cfRule>
  </conditionalFormatting>
  <conditionalFormatting sqref="C17">
    <cfRule type="expression" dxfId="36" priority="45" text="null">
      <formula>OR(ISERROR($B17),IFERROR(FIND("Select Loan Option",$B17),FALSE))</formula>
    </cfRule>
  </conditionalFormatting>
  <conditionalFormatting sqref="C17">
    <cfRule type="expression" dxfId="37" priority="46" text="null">
      <formula>NOT(ISFORMULA(C17))</formula>
    </cfRule>
  </conditionalFormatting>
  <conditionalFormatting sqref="C15">
    <cfRule type="expression" dxfId="36" priority="47" text="null">
      <formula>OR(ISERROR($B15),IFERROR(FIND("Select Loan Option",$B15),FALSE))</formula>
    </cfRule>
  </conditionalFormatting>
  <conditionalFormatting sqref="C15">
    <cfRule type="expression" dxfId="37" priority="48" text="null">
      <formula>NOT(ISFORMULA(C15))</formula>
    </cfRule>
  </conditionalFormatting>
  <conditionalFormatting sqref="C18">
    <cfRule type="expression" dxfId="36" priority="49" text="null">
      <formula>OR(ISERROR($B18),IFERROR(FIND("Select Loan Option",$B18),FALSE))</formula>
    </cfRule>
  </conditionalFormatting>
  <conditionalFormatting sqref="C18">
    <cfRule type="expression" dxfId="37" priority="50" text="null">
      <formula>NOT(ISFORMULA(C18))</formula>
    </cfRule>
  </conditionalFormatting>
  <conditionalFormatting sqref="C20">
    <cfRule type="expression" dxfId="36" priority="37" text="null">
      <formula>OR(ISERROR($B20),IFERROR(FIND("Select Loan Option",$B20),FALSE))</formula>
    </cfRule>
  </conditionalFormatting>
  <conditionalFormatting sqref="C20">
    <cfRule type="expression" dxfId="37" priority="38" text="null">
      <formula>NOT(ISFORMULA(C20))</formula>
    </cfRule>
  </conditionalFormatting>
  <conditionalFormatting sqref="C16">
    <cfRule type="expression" dxfId="36" priority="43" text="null">
      <formula>OR(ISERROR($B16),IFERROR(FIND("Select Loan Option",$B16),FALSE))</formula>
    </cfRule>
  </conditionalFormatting>
  <conditionalFormatting sqref="C16">
    <cfRule type="expression" dxfId="37" priority="44" text="null">
      <formula>NOT(ISFORMULA(C16))</formula>
    </cfRule>
  </conditionalFormatting>
  <conditionalFormatting sqref="C19">
    <cfRule type="expression" dxfId="36" priority="39" text="null">
      <formula>OR(ISERROR($B19),IFERROR(FIND("Select Loan Option",$B19),FALSE))</formula>
    </cfRule>
  </conditionalFormatting>
  <conditionalFormatting sqref="C19">
    <cfRule type="expression" dxfId="37" priority="40" text="null">
      <formula>NOT(ISFORMULA(C19))</formula>
    </cfRule>
  </conditionalFormatting>
  <conditionalFormatting sqref="C22">
    <cfRule type="expression" dxfId="36" priority="41" text="null">
      <formula>OR(ISERROR($B22),IFERROR(FIND("Select Loan Option",$B22),FALSE))</formula>
    </cfRule>
  </conditionalFormatting>
  <conditionalFormatting sqref="C22">
    <cfRule type="expression" dxfId="37" priority="42" text="null">
      <formula>NOT(ISFORMULA(C22))</formula>
    </cfRule>
  </conditionalFormatting>
  <conditionalFormatting sqref="C40">
    <cfRule type="expression" dxfId="36" priority="35" text="null">
      <formula>OR(ISERROR($B40),IFERROR(FIND("Select Loan Option",$B40),FALSE))</formula>
    </cfRule>
  </conditionalFormatting>
  <conditionalFormatting sqref="C40">
    <cfRule type="expression" dxfId="37" priority="36" text="null">
      <formula>NOT(ISFORMULA(C40))</formula>
    </cfRule>
  </conditionalFormatting>
  <conditionalFormatting sqref="C5:C6">
    <cfRule type="expression" dxfId="36" priority="33" text="null">
      <formula>OR(ISERROR($B5),IFERROR(FIND("Select Loan Option",$B5),FALSE))</formula>
    </cfRule>
  </conditionalFormatting>
  <conditionalFormatting sqref="C5:C6">
    <cfRule type="expression" dxfId="37" priority="34" text="null">
      <formula>NOT(ISFORMULA(C5))</formula>
    </cfRule>
  </conditionalFormatting>
  <conditionalFormatting sqref="C30">
    <cfRule type="expression" dxfId="36" priority="31" text="null">
      <formula>OR(ISERROR($B30),IFERROR(FIND("Select Loan Option",$B30),FALSE))</formula>
    </cfRule>
  </conditionalFormatting>
  <conditionalFormatting sqref="C30">
    <cfRule type="expression" dxfId="37" priority="32" text="null">
      <formula>NOT(ISFORMULA(C30))</formula>
    </cfRule>
  </conditionalFormatting>
  <conditionalFormatting sqref="C24:C28">
    <cfRule type="expression" dxfId="36" priority="29" text="null">
      <formula>OR(ISERROR($B24),IFERROR(FIND("Select Loan Option",$B24),FALSE))</formula>
    </cfRule>
  </conditionalFormatting>
  <conditionalFormatting sqref="C24:C28">
    <cfRule type="expression" dxfId="37" priority="30" text="null">
      <formula>NOT(ISFORMULA(C24))</formula>
    </cfRule>
  </conditionalFormatting>
  <conditionalFormatting sqref="C32">
    <cfRule type="expression" dxfId="36" priority="25" text="null">
      <formula>OR(ISERROR($B32),IFERROR(FIND("Select Loan Option",$B32),FALSE))</formula>
    </cfRule>
  </conditionalFormatting>
  <conditionalFormatting sqref="C32">
    <cfRule type="expression" dxfId="37" priority="26" text="null">
      <formula>NOT(ISFORMULA(C32))</formula>
    </cfRule>
  </conditionalFormatting>
  <conditionalFormatting sqref="C35">
    <cfRule type="expression" dxfId="36" priority="27" text="null">
      <formula>OR(ISERROR($B35),IFERROR(FIND("Select Loan Option",$B35),FALSE))</formula>
    </cfRule>
  </conditionalFormatting>
  <conditionalFormatting sqref="C35">
    <cfRule type="expression" dxfId="37" priority="28" text="null">
      <formula>NOT(ISFORMULA(C35))</formula>
    </cfRule>
  </conditionalFormatting>
  <conditionalFormatting sqref="C34">
    <cfRule type="expression" dxfId="36" priority="23" text="null">
      <formula>OR(ISERROR($B34),IFERROR(FIND("Select Loan Option",$B34),FALSE))</formula>
    </cfRule>
  </conditionalFormatting>
  <conditionalFormatting sqref="C34">
    <cfRule type="expression" dxfId="37" priority="24" text="null">
      <formula>NOT(ISFORMULA(C34))</formula>
    </cfRule>
  </conditionalFormatting>
  <conditionalFormatting sqref="C31">
    <cfRule type="expression" dxfId="36" priority="21" text="null">
      <formula>OR(ISERROR($B31),IFERROR(FIND("Select Loan Option",$B31),FALSE))</formula>
    </cfRule>
  </conditionalFormatting>
  <conditionalFormatting sqref="C31">
    <cfRule type="expression" dxfId="37" priority="22" text="null">
      <formula>NOT(ISFORMULA(C31))</formula>
    </cfRule>
  </conditionalFormatting>
  <conditionalFormatting sqref="C36">
    <cfRule type="expression" dxfId="36" priority="19" text="null">
      <formula>OR(ISERROR($B36),IFERROR(FIND("Select Loan Option",$B36),FALSE))</formula>
    </cfRule>
  </conditionalFormatting>
  <conditionalFormatting sqref="C36">
    <cfRule type="expression" dxfId="37" priority="20" text="null">
      <formula>NOT(ISFORMULA(C36))</formula>
    </cfRule>
  </conditionalFormatting>
  <conditionalFormatting sqref="C31:C32 C34:C36">
    <cfRule type="expression" dxfId="38" priority="17" text="null">
      <formula>OFFSET($C$31,-1,0)="No"</formula>
    </cfRule>
  </conditionalFormatting>
  <conditionalFormatting sqref="C32 C34:C35">
    <cfRule type="expression" dxfId="38" priority="18" text="null">
      <formula>OFFSET($C$32,-1,0)="No"</formula>
    </cfRule>
  </conditionalFormatting>
  <conditionalFormatting sqref="C33">
    <cfRule type="expression" dxfId="36" priority="15" text="null">
      <formula>OR(ISERROR($B33),IFERROR(FIND("Select Loan Option",$B33),FALSE))</formula>
    </cfRule>
  </conditionalFormatting>
  <conditionalFormatting sqref="C33">
    <cfRule type="expression" dxfId="37" priority="16" text="null">
      <formula>NOT(ISFORMULA(C33))</formula>
    </cfRule>
  </conditionalFormatting>
  <conditionalFormatting sqref="C33">
    <cfRule type="expression" dxfId="38" priority="13" text="null">
      <formula>OFFSET($C$31,-1,0)="No"</formula>
    </cfRule>
  </conditionalFormatting>
  <conditionalFormatting sqref="C33">
    <cfRule type="expression" dxfId="38" priority="14" text="null">
      <formula>OFFSET($C$32,-1,0)="No"</formula>
    </cfRule>
  </conditionalFormatting>
  <conditionalFormatting sqref="C42">
    <cfRule type="expression" dxfId="36" priority="7" text="null">
      <formula>OR(ISERROR($B42),IFERROR(FIND("Select Loan Option",$B42),FALSE))</formula>
    </cfRule>
  </conditionalFormatting>
  <conditionalFormatting sqref="C42">
    <cfRule type="expression" dxfId="37" priority="8" text="null">
      <formula>NOT(ISFORMULA(C42))</formula>
    </cfRule>
  </conditionalFormatting>
  <conditionalFormatting sqref="C43">
    <cfRule type="expression" dxfId="36" priority="9" text="null">
      <formula>OR(ISERROR($B43),IFERROR(FIND("Select Loan Option",$B43),FALSE))</formula>
    </cfRule>
  </conditionalFormatting>
  <conditionalFormatting sqref="C43">
    <cfRule type="expression" dxfId="37" priority="10" text="null">
      <formula>NOT(ISFORMULA(C43))</formula>
    </cfRule>
  </conditionalFormatting>
  <conditionalFormatting sqref="C41">
    <cfRule type="expression" dxfId="36" priority="11" text="null">
      <formula>OR(ISERROR($B41),IFERROR(FIND("Select Loan Option",$B41),FALSE))</formula>
    </cfRule>
  </conditionalFormatting>
  <conditionalFormatting sqref="C41">
    <cfRule type="expression" dxfId="37" priority="12" text="null">
      <formula>NOT(ISFORMULA(C41))</formula>
    </cfRule>
  </conditionalFormatting>
  <conditionalFormatting sqref="C44">
    <cfRule type="expression" dxfId="36" priority="5" text="null">
      <formula>OR(ISERROR($B44),IFERROR(FIND("Select Loan Option",$B44),FALSE))</formula>
    </cfRule>
  </conditionalFormatting>
  <conditionalFormatting sqref="C44">
    <cfRule type="expression" dxfId="37" priority="6" text="null">
      <formula>NOT(ISFORMULA(C44))</formula>
    </cfRule>
  </conditionalFormatting>
  <conditionalFormatting sqref="C21">
    <cfRule type="expression" dxfId="36" priority="3" text="null">
      <formula>OR(ISERROR($B21),IFERROR(FIND("Select Loan Option",$B21),FALSE))</formula>
    </cfRule>
  </conditionalFormatting>
  <conditionalFormatting sqref="C21">
    <cfRule type="expression" dxfId="37" priority="4" text="null">
      <formula>NOT(ISFORMULA(C21))</formula>
    </cfRule>
  </conditionalFormatting>
  <conditionalFormatting sqref="C38">
    <cfRule type="expression" dxfId="36" priority="1" text="null">
      <formula>OR(ISERROR($B38),IFERROR(FIND("Select Loan Option",$B38),FALSE))</formula>
    </cfRule>
  </conditionalFormatting>
  <conditionalFormatting sqref="C38">
    <cfRule type="expression" dxfId="37" priority="2" text="null">
      <formula>NOT(ISFORMULA(C38))</formula>
    </cfRule>
  </conditionalFormatting>
  <dataValidations count="1">
    <dataValidation allowBlank="1" showErrorMessage="1" showInputMessage="1" sqref="C9 C30:C31" type="list">
      <formula1>"Yes,No"</formula1>
    </dataValidation>
  </dataValidations>
  <printOptions/>
  <pageMargins left="0.7" right="0.7" top="0.75" bottom="0.75" header="0.3" footer="0.3"/>
  <pageSetup useFirstPageNumber="1" fitToHeight="-1" fitToWidth="1" paperSize="1" firstPageNumber="1" scale="75" pageOrder="downThenOver" orientation="portrait"/>
  <headerFooter>
    <oddHeader>&amp;L&amp;C&amp;R</oddHeader>
    <oddFooter>&amp;L&amp;C&amp;R</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1443843" name="Button 3" r:id="rId3">
              <controlPr defaultSize="0" autoPict="0" print="0">
                <anchor moveWithCells="1" sizeWithCells="1">
                  <from>
                    <xdr:col>3</xdr:col>
                    <xdr:colOff>101632</xdr:colOff>
                    <xdr:row>0</xdr:row>
                    <xdr:rowOff>101632</xdr:rowOff>
                  </from>
                  <to>
                    <xdr:col>5</xdr:col>
                    <xdr:colOff>406432</xdr:colOff>
                    <xdr:row>2</xdr:row>
                    <xdr:rowOff>88868</xdr:rowOff>
                  </to>
                </anchor>
              </controlPr>
            </control>
          </mc:Choice>
        </mc:AlternateContent>
      </controls>
    </mc:Choice>
  </mc:AlternateConten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3466166A-E12B-84F4-F1AD-045DC4784D15}" mc:Ignorable="x14ac xr xr2 xr3">
  <dimension ref="A1:Q96"/>
  <sheetViews>
    <sheetView showGridLines="0" topLeftCell="A4" workbookViewId="0">
      <selection activeCell="F11" sqref="F11"/>
    </sheetView>
  </sheetViews>
  <sheetFormatPr defaultRowHeight="14.002500000000003" defaultColWidth="9.140625" customHeight="1" outlineLevelRow="2"/>
  <cols>
    <col min="1" max="1" style="2376" width="11.8515625" customWidth="1"/>
    <col min="2" max="2" style="2380" width="9.57421875" customWidth="1"/>
    <col min="3" max="3" style="2380" width="3.140625" customWidth="1"/>
    <col min="4" max="4" style="2448" width="23.140625" customWidth="1"/>
    <col min="5" max="8" style="2448" width="20.00390625" customWidth="1"/>
    <col min="9" max="16" style="2448" width="20.00390625" hidden="1" customWidth="1"/>
    <col min="17" max="17" style="2448" width="3.00390625" customWidth="1"/>
  </cols>
  <sheetData>
    <row r="1" ht="14.25" customHeight="1" s="2376" customFormat="1" hidden="1">
      <c r="B1" s="2377" t="s">
        <v>2008</v>
      </c>
      <c r="C1" s="2377"/>
      <c r="D1" s="2378"/>
    </row>
    <row r="2" ht="14.25" customHeight="1" s="2376" customFormat="1" hidden="1">
      <c r="B2" s="2379">
        <f>MAX(1,B10,B39,B71)</f>
        <v>3</v>
      </c>
      <c r="C2" s="2380"/>
    </row>
    <row r="3" ht="14.25" customHeight="1" s="2376" customFormat="1" hidden="1">
      <c r="B3" s="2380"/>
      <c r="C3" s="2380"/>
    </row>
    <row r="4" ht="7.5" customHeight="1">
      <c r="D4" s="2381"/>
      <c r="E4" s="2381"/>
    </row>
    <row r="5" ht="11.25" customHeight="1">
      <c r="D5" s="2382"/>
      <c r="E5" s="2383" t="str">
        <f t="shared" si="3" ref="E5:E66">IF(ProducerName="Select","Producer's Name",ProducerName)</f>
        <v>Producer's Name</v>
      </c>
      <c r="F5" s="2383"/>
      <c r="G5" s="2383"/>
      <c r="H5" s="2383"/>
      <c r="I5" s="2383"/>
      <c r="J5" s="2383"/>
      <c r="K5" s="2383"/>
      <c r="L5" s="2383"/>
      <c r="M5" s="2383"/>
      <c r="N5" s="2383"/>
      <c r="O5" s="2383"/>
      <c r="P5" s="2383"/>
    </row>
    <row r="6" ht="11.25" customHeight="1">
      <c r="D6" s="2382"/>
      <c r="E6" s="2384" t="str">
        <f>_xlfn.XLOOKUP('SBL Quotes'!B58,DropDowns_ProducerNames,'Dropdowns (DNP)'!$GR$2:$GR$14,"Producer's Email")</f>
        <v>Producer's Email</v>
      </c>
      <c r="F6" s="2384"/>
      <c r="G6" s="2384"/>
      <c r="H6" s="2384"/>
      <c r="I6" s="2384"/>
      <c r="J6" s="2384"/>
      <c r="K6" s="2384"/>
      <c r="L6" s="2384"/>
      <c r="M6" s="2384"/>
      <c r="N6" s="2384"/>
      <c r="O6" s="2384"/>
      <c r="P6" s="2384"/>
    </row>
    <row r="7" ht="11.25" customHeight="1">
      <c r="C7" s="2385"/>
      <c r="D7" s="2382"/>
      <c r="E7" s="2384" t="str">
        <f>_xlfn.XLOOKUP('SBL Quotes'!B58,DropDowns_ProducerNames,'Dropdowns (DNP)'!$GS$2:$GS$14,"Producer's Phone#(s)")</f>
        <v>Producer's Phone#(s)</v>
      </c>
      <c r="F7" s="2384"/>
      <c r="G7" s="2384"/>
      <c r="H7" s="2384"/>
      <c r="I7" s="2384"/>
      <c r="J7" s="2384"/>
      <c r="K7" s="2384"/>
      <c r="L7" s="2384"/>
      <c r="M7" s="2384"/>
      <c r="N7" s="2384"/>
      <c r="O7" s="2384"/>
      <c r="P7" s="2384"/>
    </row>
    <row r="8" ht="20.25" customHeight="1">
      <c r="B8" s="2386" t="s">
        <v>2012</v>
      </c>
      <c r="D8" s="2387" t="str">
        <f>'SBL Quotes'!$E$2</f>
        <v> | City, XX</v>
      </c>
      <c r="E8" s="2387"/>
      <c r="F8" s="2387"/>
      <c r="G8" s="2387"/>
      <c r="H8" s="2387"/>
      <c r="I8" s="2387"/>
      <c r="J8" s="2387"/>
      <c r="K8" s="2387"/>
      <c r="L8" s="2387"/>
      <c r="M8" s="2387"/>
      <c r="N8" s="2387"/>
      <c r="O8" s="2387"/>
      <c r="P8" s="2387"/>
    </row>
    <row r="9" ht="18" customHeight="1">
      <c r="B9" s="2386"/>
      <c r="C9" s="2388"/>
      <c r="D9" s="2389" t="s">
        <v>2013</v>
      </c>
      <c r="E9" s="2389"/>
      <c r="F9" s="2389"/>
      <c r="G9" s="2389"/>
      <c r="H9" s="2389"/>
      <c r="I9" s="2389"/>
      <c r="J9" s="2389"/>
      <c r="K9" s="2389"/>
      <c r="L9" s="2389"/>
      <c r="M9" s="2389"/>
      <c r="N9" s="2389"/>
      <c r="O9" s="2389"/>
      <c r="P9" s="2389"/>
    </row>
    <row r="10" ht="15" customHeight="1">
      <c r="B10" s="2390">
        <f>SBL_FreddieOptionsToView</f>
        <v>3</v>
      </c>
      <c r="C10" s="2391"/>
      <c r="D10" s="2392" t="s">
        <v>2014</v>
      </c>
      <c r="E10" s="2393"/>
      <c r="F10" s="2393"/>
      <c r="G10" s="2393"/>
      <c r="H10" s="2393"/>
      <c r="I10" s="2393"/>
      <c r="J10" s="2393"/>
      <c r="K10" s="2393"/>
      <c r="L10" s="2393"/>
      <c r="M10" s="2393"/>
      <c r="N10" s="2393"/>
      <c r="O10" s="2393"/>
      <c r="P10" s="2393"/>
    </row>
    <row r="11" ht="9.75" customHeight="1" s="2394" customFormat="1">
      <c r="A11" s="2395"/>
      <c r="B11" s="2396"/>
      <c r="C11" s="2396"/>
      <c r="D11" s="2397"/>
      <c r="E11" s="2398" t="str">
        <f>'SBL Quotes'!E6</f>
        <v>5 YR Fixed</v>
      </c>
      <c r="F11" s="2398" t="str">
        <f>'SBL Quotes'!F6</f>
        <v>7 YR Fixed</v>
      </c>
      <c r="G11" s="2398" t="str">
        <f>'SBL Quotes'!G6</f>
        <v>10 YR Fixed</v>
      </c>
      <c r="H11" s="2398" t="str">
        <f>'SBL Quotes'!H6</f>
        <v>5 YR Fixed</v>
      </c>
      <c r="I11" s="2398" t="str">
        <f>'SBL Quotes'!I6</f>
        <v>7 YR Fixed</v>
      </c>
      <c r="J11" s="2398" t="str">
        <f>'SBL Quotes'!J6</f>
        <v>10 YR Fixed</v>
      </c>
      <c r="K11" s="2398" t="str">
        <f>'SBL Quotes'!K6</f>
        <v>5 YR Hybrid</v>
      </c>
      <c r="L11" s="2398" t="str">
        <f>'SBL Quotes'!L6</f>
        <v>7 YR Hybrid</v>
      </c>
      <c r="M11" s="2398" t="str">
        <f>'SBL Quotes'!M6</f>
        <v>10 YR Fixed</v>
      </c>
      <c r="N11" s="2398" t="str">
        <f>'SBL Quotes'!N6</f>
        <v>5 YR Hybrid</v>
      </c>
      <c r="O11" s="2398" t="str">
        <f>'SBL Quotes'!O6</f>
        <v>7 YR Hybrid</v>
      </c>
      <c r="P11" s="2398" t="str">
        <f>'SBL Quotes'!P6</f>
        <v>10 YR Fixed</v>
      </c>
    </row>
    <row r="12" ht="9.75" customHeight="1" s="2394" customFormat="1">
      <c r="A12" s="2395"/>
      <c r="B12" s="2396"/>
      <c r="C12" s="2396"/>
      <c r="D12" s="2397" t="s">
        <v>2015</v>
      </c>
      <c r="E12" s="2398">
        <f>'SBL Quotes'!E7</f>
        <v>0</v>
      </c>
      <c r="F12" s="2398">
        <f>'SBL Quotes'!F7</f>
        <v>0</v>
      </c>
      <c r="G12" s="2398">
        <f>'SBL Quotes'!G7</f>
        <v>0</v>
      </c>
      <c r="H12" s="2398">
        <f>'SBL Quotes'!H7</f>
        <v>0</v>
      </c>
      <c r="I12" s="2398">
        <f>'SBL Quotes'!I7</f>
        <v>0</v>
      </c>
      <c r="J12" s="2398">
        <f>'SBL Quotes'!J7</f>
        <v>0</v>
      </c>
      <c r="K12" s="2398">
        <f>'SBL Quotes'!K7</f>
        <v>0</v>
      </c>
      <c r="L12" s="2398">
        <f>'SBL Quotes'!L7</f>
        <v>0</v>
      </c>
      <c r="M12" s="2398">
        <f>'SBL Quotes'!M7</f>
        <v>0</v>
      </c>
      <c r="N12" s="2398">
        <f>'SBL Quotes'!N7</f>
        <v>0</v>
      </c>
      <c r="O12" s="2398">
        <f>'SBL Quotes'!O7</f>
        <v>0</v>
      </c>
      <c r="P12" s="2398">
        <f>'SBL Quotes'!P7</f>
        <v>0</v>
      </c>
    </row>
    <row r="13" ht="9" customHeight="1" s="2394" customFormat="1">
      <c r="A13" s="2395"/>
      <c r="B13" s="2396"/>
      <c r="C13" s="2396"/>
      <c r="D13" s="2399" t="s">
        <v>2016</v>
      </c>
      <c r="E13" s="2400" t="e">
        <f>'SBL Quotes'!E68</f>
        <v>#N/A</v>
      </c>
      <c r="F13" s="2400" t="e">
        <f>'SBL Quotes'!F68</f>
        <v>#N/A</v>
      </c>
      <c r="G13" s="2400" t="e">
        <f>'SBL Quotes'!G68</f>
        <v>#N/A</v>
      </c>
      <c r="H13" s="2400" t="e">
        <f>'SBL Quotes'!H68</f>
        <v>#N/A</v>
      </c>
      <c r="I13" s="2400" t="e">
        <f>'SBL Quotes'!I68</f>
        <v>#N/A</v>
      </c>
      <c r="J13" s="2400" t="e">
        <f>'SBL Quotes'!J68</f>
        <v>#N/A</v>
      </c>
      <c r="K13" s="2400" t="e">
        <f>'SBL Quotes'!K68</f>
        <v>#N/A</v>
      </c>
      <c r="L13" s="2400" t="e">
        <f>'SBL Quotes'!L68</f>
        <v>#N/A</v>
      </c>
      <c r="M13" s="2400" t="e">
        <f>'SBL Quotes'!M68</f>
        <v>#N/A</v>
      </c>
      <c r="N13" s="2400" t="e">
        <f>'SBL Quotes'!N68</f>
        <v>#N/A</v>
      </c>
      <c r="O13" s="2400" t="e">
        <f>'SBL Quotes'!O68</f>
        <v>#N/A</v>
      </c>
      <c r="P13" s="2400" t="e">
        <f>'SBL Quotes'!P68</f>
        <v>#N/A</v>
      </c>
    </row>
    <row r="14" ht="9.75" customHeight="1" s="2394" customFormat="1">
      <c r="A14" s="2395"/>
      <c r="B14" s="2396"/>
      <c r="C14" s="2396"/>
      <c r="D14" s="2401" t="s">
        <v>1370</v>
      </c>
      <c r="E14" s="2402">
        <f>'SBL Quotes'!E41</f>
        <v>0</v>
      </c>
      <c r="F14" s="2402">
        <f>'SBL Quotes'!F41</f>
        <v>0</v>
      </c>
      <c r="G14" s="2402">
        <f>'SBL Quotes'!G41</f>
        <v>0</v>
      </c>
      <c r="H14" s="2402">
        <f>'SBL Quotes'!H41</f>
        <v>0</v>
      </c>
      <c r="I14" s="2402">
        <f>'SBL Quotes'!I41</f>
        <v>0</v>
      </c>
      <c r="J14" s="2402">
        <f>'SBL Quotes'!J41</f>
        <v>0</v>
      </c>
      <c r="K14" s="2402">
        <f>'SBL Quotes'!K41</f>
        <v>0</v>
      </c>
      <c r="L14" s="2402">
        <f>'SBL Quotes'!L41</f>
        <v>0</v>
      </c>
      <c r="M14" s="2402">
        <f>'SBL Quotes'!M41</f>
        <v>0</v>
      </c>
      <c r="N14" s="2402">
        <f>'SBL Quotes'!N41</f>
        <v>0</v>
      </c>
      <c r="O14" s="2402">
        <f>'SBL Quotes'!O41</f>
        <v>0</v>
      </c>
      <c r="P14" s="2402">
        <f>'SBL Quotes'!P41</f>
        <v>0</v>
      </c>
      <c r="Q14" s="2403"/>
    </row>
    <row r="15" ht="9.75" customHeight="1" s="2394" customFormat="1">
      <c r="A15" s="2395"/>
      <c r="B15" s="2396"/>
      <c r="C15" s="2396"/>
      <c r="D15" s="2404" t="s">
        <v>2017</v>
      </c>
      <c r="E15" s="2405">
        <f>'SBL Quotes'!E74</f>
        <v>0.7</v>
      </c>
      <c r="F15" s="2405">
        <f>'SBL Quotes'!F74</f>
        <v>0.7</v>
      </c>
      <c r="G15" s="2405">
        <f>'SBL Quotes'!G74</f>
        <v>0.7</v>
      </c>
      <c r="H15" s="2405">
        <f>'SBL Quotes'!H74</f>
        <v>0.7</v>
      </c>
      <c r="I15" s="2405">
        <f>'SBL Quotes'!I74</f>
        <v>0.7</v>
      </c>
      <c r="J15" s="2405">
        <f>'SBL Quotes'!J74</f>
        <v>0.7</v>
      </c>
      <c r="K15" s="2405">
        <f>'SBL Quotes'!K74</f>
        <v>0.7</v>
      </c>
      <c r="L15" s="2405">
        <f>'SBL Quotes'!L74</f>
        <v>0.7</v>
      </c>
      <c r="M15" s="2405">
        <f>'SBL Quotes'!M74</f>
        <v>0.7</v>
      </c>
      <c r="N15" s="2405">
        <f>'SBL Quotes'!N74</f>
        <v>0.7</v>
      </c>
      <c r="O15" s="2405">
        <f>'SBL Quotes'!O74</f>
        <v>0.7</v>
      </c>
      <c r="P15" s="2405">
        <f>'SBL Quotes'!P74</f>
        <v>0.7</v>
      </c>
    </row>
    <row r="16" ht="9" customHeight="1" s="2394" customFormat="1">
      <c r="A16" s="2395"/>
      <c r="B16" s="2396"/>
      <c r="C16" s="2396"/>
      <c r="D16" s="2401" t="s">
        <v>1373</v>
      </c>
      <c r="E16" s="2406" t="str">
        <f>'SBL Quotes'!E40</f>
        <v>--</v>
      </c>
      <c r="F16" s="2406" t="str">
        <f>'SBL Quotes'!F40</f>
        <v>--</v>
      </c>
      <c r="G16" s="2406" t="str">
        <f>'SBL Quotes'!G40</f>
        <v>--</v>
      </c>
      <c r="H16" s="2406" t="str">
        <f>'SBL Quotes'!H40</f>
        <v>--</v>
      </c>
      <c r="I16" s="2406" t="str">
        <f>'SBL Quotes'!I40</f>
        <v>--</v>
      </c>
      <c r="J16" s="2406" t="str">
        <f>'SBL Quotes'!J40</f>
        <v>--</v>
      </c>
      <c r="K16" s="2406" t="str">
        <f>'SBL Quotes'!K40</f>
        <v>--</v>
      </c>
      <c r="L16" s="2406" t="str">
        <f>'SBL Quotes'!L40</f>
        <v>--</v>
      </c>
      <c r="M16" s="2406" t="str">
        <f>'SBL Quotes'!M40</f>
        <v>--</v>
      </c>
      <c r="N16" s="2406" t="str">
        <f>'SBL Quotes'!N40</f>
        <v>--</v>
      </c>
      <c r="O16" s="2406" t="str">
        <f>'SBL Quotes'!O40</f>
        <v>--</v>
      </c>
      <c r="P16" s="2406" t="str">
        <f>'SBL Quotes'!P40</f>
        <v>--</v>
      </c>
    </row>
    <row r="17" ht="9.75" customHeight="1" s="2394" customFormat="1">
      <c r="A17" s="2395"/>
      <c r="B17" s="2396"/>
      <c r="C17" s="2396"/>
      <c r="D17" s="2404" t="s">
        <v>2018</v>
      </c>
      <c r="E17" s="2407">
        <f>'SBL Quotes'!E72</f>
        <v>1.4</v>
      </c>
      <c r="F17" s="2407">
        <f>'SBL Quotes'!F72</f>
        <v>1.4</v>
      </c>
      <c r="G17" s="2407">
        <f>'SBL Quotes'!G72</f>
        <v>1.4</v>
      </c>
      <c r="H17" s="2407">
        <f>'SBL Quotes'!H72</f>
        <v>1.4</v>
      </c>
      <c r="I17" s="2407">
        <f>'SBL Quotes'!I72</f>
        <v>1.4</v>
      </c>
      <c r="J17" s="2407">
        <f>'SBL Quotes'!J72</f>
        <v>1.4</v>
      </c>
      <c r="K17" s="2407">
        <f>'SBL Quotes'!K72</f>
        <v>1.4</v>
      </c>
      <c r="L17" s="2407">
        <f>'SBL Quotes'!L72</f>
        <v>1.4</v>
      </c>
      <c r="M17" s="2407">
        <f>'SBL Quotes'!M72</f>
        <v>1.4</v>
      </c>
      <c r="N17" s="2407">
        <f>'SBL Quotes'!N72</f>
        <v>1.4</v>
      </c>
      <c r="O17" s="2407">
        <f>'SBL Quotes'!O72</f>
        <v>1.4</v>
      </c>
      <c r="P17" s="2407">
        <f>'SBL Quotes'!P72</f>
        <v>1.4</v>
      </c>
    </row>
    <row r="18" ht="9" customHeight="1" s="2394" customFormat="1">
      <c r="A18" s="2395"/>
      <c r="B18" s="2396"/>
      <c r="C18" s="2396"/>
      <c r="D18" s="2401" t="s">
        <v>1351</v>
      </c>
      <c r="E18" s="2408">
        <f>'SBL Quotes'!E98</f>
        <v>5</v>
      </c>
      <c r="F18" s="2408">
        <f>'SBL Quotes'!F98</f>
        <v>7</v>
      </c>
      <c r="G18" s="2408">
        <f>'SBL Quotes'!G98</f>
        <v>10</v>
      </c>
      <c r="H18" s="2408">
        <f>'SBL Quotes'!H98</f>
        <v>5</v>
      </c>
      <c r="I18" s="2408">
        <f>'SBL Quotes'!I98</f>
        <v>7</v>
      </c>
      <c r="J18" s="2408">
        <f>'SBL Quotes'!J98</f>
        <v>10</v>
      </c>
      <c r="K18" s="2408">
        <f>'SBL Quotes'!K98</f>
        <v>5</v>
      </c>
      <c r="L18" s="2408">
        <f>'SBL Quotes'!L98</f>
        <v>7</v>
      </c>
      <c r="M18" s="2408">
        <f>'SBL Quotes'!M98</f>
        <v>10</v>
      </c>
      <c r="N18" s="2408">
        <f>'SBL Quotes'!N98</f>
        <v>5</v>
      </c>
      <c r="O18" s="2408">
        <f>'SBL Quotes'!O98</f>
        <v>7</v>
      </c>
      <c r="P18" s="2408">
        <f>'SBL Quotes'!P98</f>
        <v>10</v>
      </c>
    </row>
    <row r="19" ht="9.75" customHeight="1" s="2394" customFormat="1">
      <c r="A19" s="2395"/>
      <c r="B19" s="2396"/>
      <c r="C19" s="2396"/>
      <c r="D19" s="2404" t="s">
        <v>604</v>
      </c>
      <c r="E19" s="2409">
        <f>'SBL Quotes'!E46</f>
        <v>30</v>
      </c>
      <c r="F19" s="2409">
        <f>'SBL Quotes'!F46</f>
        <v>30</v>
      </c>
      <c r="G19" s="2409">
        <f>'SBL Quotes'!G46</f>
        <v>30</v>
      </c>
      <c r="H19" s="2409">
        <f>'SBL Quotes'!H46</f>
        <v>30</v>
      </c>
      <c r="I19" s="2409">
        <f>'SBL Quotes'!I46</f>
        <v>30</v>
      </c>
      <c r="J19" s="2409">
        <f>'SBL Quotes'!J46</f>
        <v>30</v>
      </c>
      <c r="K19" s="2409">
        <f>'SBL Quotes'!K46</f>
        <v>30</v>
      </c>
      <c r="L19" s="2409">
        <f>'SBL Quotes'!L46</f>
        <v>30</v>
      </c>
      <c r="M19" s="2409">
        <f>'SBL Quotes'!M46</f>
        <v>30</v>
      </c>
      <c r="N19" s="2409">
        <f>'SBL Quotes'!N46</f>
        <v>30</v>
      </c>
      <c r="O19" s="2409">
        <f>'SBL Quotes'!O46</f>
        <v>30</v>
      </c>
      <c r="P19" s="2409">
        <f>'SBL Quotes'!P46</f>
        <v>30</v>
      </c>
    </row>
    <row r="20" ht="9.75" customHeight="1" s="2394" customFormat="1">
      <c r="A20" s="2395"/>
      <c r="B20" s="2396"/>
      <c r="C20" s="2396"/>
      <c r="D20" s="2401" t="s">
        <v>1362</v>
      </c>
      <c r="E20" s="2408">
        <f>'SBL Quotes'!E43</f>
        <v>0</v>
      </c>
      <c r="F20" s="2408">
        <f>'SBL Quotes'!F43</f>
        <v>1</v>
      </c>
      <c r="G20" s="2408">
        <f>'SBL Quotes'!G43</f>
        <v>2</v>
      </c>
      <c r="H20" s="2408">
        <f>'SBL Quotes'!H43</f>
        <v>0</v>
      </c>
      <c r="I20" s="2408">
        <f>'SBL Quotes'!I43</f>
        <v>1</v>
      </c>
      <c r="J20" s="2408">
        <f>'SBL Quotes'!J43</f>
        <v>2</v>
      </c>
      <c r="K20" s="2408">
        <f>'SBL Quotes'!K43</f>
        <v>0</v>
      </c>
      <c r="L20" s="2408">
        <f>'SBL Quotes'!L43</f>
        <v>1</v>
      </c>
      <c r="M20" s="2408">
        <f>'SBL Quotes'!M43</f>
        <v>2</v>
      </c>
      <c r="N20" s="2408">
        <f>'SBL Quotes'!N43</f>
        <v>0</v>
      </c>
      <c r="O20" s="2408">
        <f>'SBL Quotes'!O43</f>
        <v>1</v>
      </c>
      <c r="P20" s="2408">
        <f>'SBL Quotes'!P43</f>
        <v>2</v>
      </c>
    </row>
    <row r="21" ht="9" customHeight="1" s="2394" customFormat="1">
      <c r="A21" s="2395"/>
      <c r="B21" s="2396"/>
      <c r="C21" s="2396"/>
      <c r="D21" s="2410" t="s">
        <v>2019</v>
      </c>
      <c r="E21" s="2407" t="str">
        <f>SUBSTITUTE('SBL Quotes'!E11,"YM","Yield Maintenance")</f>
        <v>Yield Maintenance</v>
      </c>
      <c r="F21" s="2407" t="str">
        <f>SUBSTITUTE('SBL Quotes'!F11,"YM","Yield Maintenance")</f>
        <v>Yield Maintenance</v>
      </c>
      <c r="G21" s="2407" t="str">
        <f>SUBSTITUTE('SBL Quotes'!G11,"YM","Yield Maintenance")</f>
        <v>Yield Maintenance</v>
      </c>
      <c r="H21" s="2407" t="str">
        <f>SUBSTITUTE('SBL Quotes'!H11,"YM","Yield Maintenance")</f>
        <v>Yield Maintenance</v>
      </c>
      <c r="I21" s="2407" t="str">
        <f>SUBSTITUTE('SBL Quotes'!I11,"YM","Yield Maintenance")</f>
        <v>Yield Maintenance</v>
      </c>
      <c r="J21" s="2407" t="str">
        <f>SUBSTITUTE('SBL Quotes'!J11,"YM","Yield Maintenance")</f>
        <v>Yield Maintenance</v>
      </c>
      <c r="K21" s="2407" t="str">
        <f>SUBSTITUTE('SBL Quotes'!K11,"YM","Yield Maintenance")</f>
        <v>Yield Maintenance,1%</v>
      </c>
      <c r="L21" s="2407" t="str">
        <f>SUBSTITUTE('SBL Quotes'!L11,"YM","Yield Maintenance")</f>
        <v>Yield Maintenance,1%</v>
      </c>
      <c r="M21" s="2407" t="str">
        <f>SUBSTITUTE('SBL Quotes'!M11,"YM","Yield Maintenance")</f>
        <v>Yield Maintenance</v>
      </c>
      <c r="N21" s="2407" t="str">
        <f>SUBSTITUTE('SBL Quotes'!N11,"YM","Yield Maintenance")</f>
        <v>Yield Maintenance,1%</v>
      </c>
      <c r="O21" s="2407" t="str">
        <f>SUBSTITUTE('SBL Quotes'!O11,"YM","Yield Maintenance")</f>
        <v>Yield Maintenance,1%</v>
      </c>
      <c r="P21" s="2407" t="str">
        <f>SUBSTITUTE('SBL Quotes'!P11,"YM","Yield Maintenance")</f>
        <v>Yield Maintenance</v>
      </c>
    </row>
    <row r="22" ht="9.75" customHeight="1" s="2394" customFormat="1">
      <c r="A22" s="2395"/>
      <c r="B22" s="2396"/>
      <c r="C22" s="2396"/>
      <c r="D22" s="2411" t="s">
        <v>2021</v>
      </c>
      <c r="E22" s="2412" t="s">
        <v>2022</v>
      </c>
      <c r="F22" s="2412" t="s">
        <v>2022</v>
      </c>
      <c r="G22" s="2412" t="s">
        <v>2022</v>
      </c>
      <c r="H22" s="2412" t="s">
        <v>2022</v>
      </c>
      <c r="I22" s="2412" t="s">
        <v>2022</v>
      </c>
      <c r="J22" s="2412" t="s">
        <v>2022</v>
      </c>
      <c r="K22" s="2412" t="s">
        <v>2022</v>
      </c>
      <c r="L22" s="2412" t="s">
        <v>2022</v>
      </c>
      <c r="M22" s="2412" t="s">
        <v>2022</v>
      </c>
      <c r="N22" s="2412" t="s">
        <v>2022</v>
      </c>
      <c r="O22" s="2412" t="s">
        <v>2022</v>
      </c>
      <c r="P22" s="2412" t="s">
        <v>2022</v>
      </c>
    </row>
    <row r="23" ht="9" customHeight="1" s="2394" customFormat="1">
      <c r="A23" s="2395"/>
      <c r="B23" s="2396"/>
      <c r="C23" s="2396"/>
      <c r="D23" s="2410" t="s">
        <v>2023</v>
      </c>
      <c r="E23" s="2413" t="str">
        <f t="shared" si="0" ref="E23:P23">IF(E14&gt;65%,"Taxes","Deferred")</f>
        <v>Deferred</v>
      </c>
      <c r="F23" s="2413" t="str">
        <f t="shared" si="0"/>
        <v>Deferred</v>
      </c>
      <c r="G23" s="2413" t="str">
        <f t="shared" si="0"/>
        <v>Deferred</v>
      </c>
      <c r="H23" s="2413" t="str">
        <f t="shared" si="0"/>
        <v>Deferred</v>
      </c>
      <c r="I23" s="2413" t="str">
        <f t="shared" si="0"/>
        <v>Deferred</v>
      </c>
      <c r="J23" s="2413" t="str">
        <f t="shared" si="0"/>
        <v>Deferred</v>
      </c>
      <c r="K23" s="2413" t="str">
        <f t="shared" si="0"/>
        <v>Deferred</v>
      </c>
      <c r="L23" s="2413" t="str">
        <f t="shared" si="0"/>
        <v>Deferred</v>
      </c>
      <c r="M23" s="2413" t="str">
        <f t="shared" si="0"/>
        <v>Deferred</v>
      </c>
      <c r="N23" s="2413" t="str">
        <f t="shared" si="0"/>
        <v>Deferred</v>
      </c>
      <c r="O23" s="2413" t="str">
        <f t="shared" si="0"/>
        <v>Deferred</v>
      </c>
      <c r="P23" s="2413" t="str">
        <f t="shared" si="0"/>
        <v>Deferred</v>
      </c>
    </row>
    <row r="24" ht="9.75" customHeight="1" s="2394" customFormat="1">
      <c r="A24" s="2395"/>
      <c r="B24" s="2396"/>
      <c r="C24" s="2396"/>
      <c r="D24" s="2411" t="s">
        <v>2025</v>
      </c>
      <c r="E24" s="2414">
        <f>'SBL Quotes'!E31</f>
        <v>0.01</v>
      </c>
      <c r="F24" s="2414">
        <f>'SBL Quotes'!F31</f>
        <v>0.01</v>
      </c>
      <c r="G24" s="2414">
        <f>'SBL Quotes'!G31</f>
        <v>0.01</v>
      </c>
      <c r="H24" s="2414">
        <f>'SBL Quotes'!H31</f>
        <v>0.01</v>
      </c>
      <c r="I24" s="2414">
        <f>'SBL Quotes'!I31</f>
        <v>0.01</v>
      </c>
      <c r="J24" s="2414">
        <f>'SBL Quotes'!J31</f>
        <v>0.01</v>
      </c>
      <c r="K24" s="2414">
        <f>'SBL Quotes'!K31</f>
        <v>0.01</v>
      </c>
      <c r="L24" s="2414">
        <f>'SBL Quotes'!L31</f>
        <v>0.01</v>
      </c>
      <c r="M24" s="2414">
        <f>'SBL Quotes'!M31</f>
        <v>0.01</v>
      </c>
      <c r="N24" s="2414">
        <f>'SBL Quotes'!N31</f>
        <v>0.01</v>
      </c>
      <c r="O24" s="2414">
        <f>'SBL Quotes'!O31</f>
        <v>0.01</v>
      </c>
      <c r="P24" s="2414">
        <f>'SBL Quotes'!P31</f>
        <v>0.01</v>
      </c>
    </row>
    <row r="25" ht="9" customHeight="1" s="2394" customFormat="1" hidden="0" collapsed="0" outlineLevel="1">
      <c r="A25" s="2395"/>
      <c r="B25" s="2396"/>
      <c r="C25" s="2396"/>
      <c r="D25" s="2410" t="s">
        <v>2026</v>
      </c>
      <c r="E25" s="2415">
        <f t="shared" si="1" ref="E25:P25">IF(SblQuotes_FreddieMktTier="Top","NA",0.1%)</f>
        <v>0.001</v>
      </c>
      <c r="F25" s="2415">
        <f t="shared" si="1"/>
        <v>0.001</v>
      </c>
      <c r="G25" s="2415">
        <f t="shared" si="1"/>
        <v>0.001</v>
      </c>
      <c r="H25" s="2415">
        <f t="shared" si="1"/>
        <v>0.001</v>
      </c>
      <c r="I25" s="2415">
        <f t="shared" si="1"/>
        <v>0.001</v>
      </c>
      <c r="J25" s="2415">
        <f t="shared" si="1"/>
        <v>0.001</v>
      </c>
      <c r="K25" s="2415">
        <f t="shared" si="1"/>
        <v>0.001</v>
      </c>
      <c r="L25" s="2415">
        <f t="shared" si="1"/>
        <v>0.001</v>
      </c>
      <c r="M25" s="2415">
        <f t="shared" si="1"/>
        <v>0.001</v>
      </c>
      <c r="N25" s="2415">
        <f t="shared" si="1"/>
        <v>0.001</v>
      </c>
      <c r="O25" s="2415">
        <f t="shared" si="1"/>
        <v>0.001</v>
      </c>
      <c r="P25" s="2415">
        <f t="shared" si="1"/>
        <v>0.001</v>
      </c>
      <c r="Q25" s="2403"/>
    </row>
    <row r="26" ht="9" customHeight="1" s="2394" customFormat="1" hidden="0" collapsed="0" outlineLevel="1">
      <c r="A26" s="2395"/>
      <c r="B26" s="2396"/>
      <c r="C26" s="2396"/>
      <c r="D26" s="2411" t="s">
        <v>2027</v>
      </c>
      <c r="E26" s="2416">
        <v>7500</v>
      </c>
      <c r="F26" s="2416">
        <v>7500</v>
      </c>
      <c r="G26" s="2416">
        <v>7500</v>
      </c>
      <c r="H26" s="2416">
        <v>7500</v>
      </c>
      <c r="I26" s="2416">
        <v>7500</v>
      </c>
      <c r="J26" s="2416">
        <v>7500</v>
      </c>
      <c r="K26" s="2416">
        <v>7500</v>
      </c>
      <c r="L26" s="2416">
        <v>7500</v>
      </c>
      <c r="M26" s="2416">
        <v>7500</v>
      </c>
      <c r="N26" s="2416">
        <v>7500</v>
      </c>
      <c r="O26" s="2416">
        <v>7500</v>
      </c>
      <c r="P26" s="2416">
        <v>7500</v>
      </c>
    </row>
    <row r="27" ht="9.75" customHeight="1" s="2394" customFormat="1" hidden="0" collapsed="0" outlineLevel="1">
      <c r="A27" s="2395"/>
      <c r="B27" s="2396"/>
      <c r="C27" s="2396"/>
      <c r="D27" s="2410" t="s">
        <v>2028</v>
      </c>
      <c r="E27" s="2417">
        <v>0.01</v>
      </c>
      <c r="F27" s="2417">
        <v>0.02</v>
      </c>
      <c r="G27" s="2417">
        <v>0.02</v>
      </c>
      <c r="H27" s="2417">
        <v>0.02</v>
      </c>
      <c r="I27" s="2417">
        <v>0.02</v>
      </c>
      <c r="J27" s="2417">
        <v>0.02</v>
      </c>
      <c r="K27" s="2417">
        <v>0.02</v>
      </c>
      <c r="L27" s="2417">
        <v>0.02</v>
      </c>
      <c r="M27" s="2417">
        <v>0.02</v>
      </c>
      <c r="N27" s="2417">
        <v>0.02</v>
      </c>
      <c r="O27" s="2417">
        <v>0.02</v>
      </c>
      <c r="P27" s="2417">
        <v>0.02</v>
      </c>
    </row>
    <row r="28" ht="9" customHeight="1" s="2394" customFormat="1" hidden="0" collapsed="0" outlineLevel="1">
      <c r="A28" s="2395"/>
      <c r="B28" s="2396"/>
      <c r="C28" s="2396"/>
      <c r="D28" s="2411" t="s">
        <v>2029</v>
      </c>
      <c r="E28" s="2416">
        <v>15000</v>
      </c>
      <c r="F28" s="2416">
        <v>15000</v>
      </c>
      <c r="G28" s="2416">
        <v>15000</v>
      </c>
      <c r="H28" s="2416">
        <v>15000</v>
      </c>
      <c r="I28" s="2416">
        <v>15000</v>
      </c>
      <c r="J28" s="2416">
        <v>15000</v>
      </c>
      <c r="K28" s="2416">
        <v>15000</v>
      </c>
      <c r="L28" s="2416">
        <v>15000</v>
      </c>
      <c r="M28" s="2416">
        <v>15000</v>
      </c>
      <c r="N28" s="2416">
        <v>15000</v>
      </c>
      <c r="O28" s="2416">
        <v>15000</v>
      </c>
      <c r="P28" s="2416">
        <v>15000</v>
      </c>
    </row>
    <row r="29" ht="9.75" customHeight="1" s="2394" customFormat="1" hidden="0" collapsed="0" outlineLevel="2">
      <c r="A29" s="2395"/>
      <c r="B29" s="2396"/>
      <c r="C29" s="2396"/>
      <c r="D29" s="2410" t="s">
        <v>2030</v>
      </c>
      <c r="E29" s="2418" t="s">
        <v>257</v>
      </c>
      <c r="F29" s="2418" t="s">
        <v>257</v>
      </c>
      <c r="G29" s="2418" t="s">
        <v>257</v>
      </c>
      <c r="H29" s="2418" t="s">
        <v>257</v>
      </c>
      <c r="I29" s="2418" t="s">
        <v>257</v>
      </c>
      <c r="J29" s="2418" t="s">
        <v>257</v>
      </c>
      <c r="K29" s="2418" t="s">
        <v>257</v>
      </c>
      <c r="L29" s="2418" t="s">
        <v>257</v>
      </c>
      <c r="M29" s="2418" t="s">
        <v>257</v>
      </c>
      <c r="N29" s="2418" t="s">
        <v>257</v>
      </c>
      <c r="O29" s="2418" t="s">
        <v>257</v>
      </c>
      <c r="P29" s="2418" t="s">
        <v>257</v>
      </c>
    </row>
    <row r="30" ht="14.25" customHeight="1">
      <c r="D30" s="2419"/>
      <c r="E30" s="2419"/>
      <c r="F30" s="2419"/>
      <c r="G30" s="2419"/>
      <c r="H30" s="2419"/>
      <c r="I30" s="2419"/>
      <c r="J30" s="2419"/>
      <c r="K30" s="2419"/>
      <c r="L30" s="2419"/>
    </row>
    <row r="31" ht="12.75" customHeight="1" hidden="1">
      <c r="D31" s="2420" t="str">
        <f t="shared" si="2" ref="D31:D32">D95</f>
        <v>Additional Quote Stipulations</v>
      </c>
      <c r="E31" s="2421"/>
      <c r="F31" s="2421"/>
      <c r="G31" s="2421"/>
      <c r="H31" s="2421"/>
    </row>
    <row r="32" ht="84.75" customHeight="1" hidden="1">
      <c r="D32" s="2422" t="str">
        <f t="shared" si="2"/>
        <v>Proposed loan terms are based on an estimated underwritten NOI of $-1,616,089 and are subject to Lender approval and appraisal support. Terms assume borrower meets minimum requirements including, but not limited to: (1) minimum net worth greater than or equal to the loan amount; (2) combined liquidity greater than or equal to 9 months' debt service; (3) acceptable credit history; and (4) acceptable experience owning/operating multifamily. Terms also assume the property is stabilized at an average occupancy of no less than 90% for the trailing three months and collections over the trailing three-month period are steady or improving. Quote dated xx/xx/xxxx.</v>
      </c>
      <c r="E32" s="2423"/>
      <c r="F32" s="2423"/>
      <c r="G32" s="2423"/>
      <c r="H32" s="2424"/>
    </row>
    <row r="33" ht="7.5" customHeight="1">
      <c r="D33" s="2381"/>
      <c r="E33" s="2381"/>
    </row>
    <row r="34" ht="11.25" customHeight="1" hidden="1">
      <c r="D34" s="2382"/>
      <c r="E34" s="2383" t="str">
        <f t="shared" si="3"/>
        <v>Producer's Name</v>
      </c>
      <c r="F34" s="2383"/>
      <c r="G34" s="2383"/>
      <c r="H34" s="2383"/>
      <c r="I34" s="2383"/>
      <c r="J34" s="2383"/>
      <c r="K34" s="2383"/>
      <c r="L34" s="2383"/>
      <c r="M34" s="2383"/>
      <c r="N34" s="2383"/>
      <c r="O34" s="2383"/>
      <c r="P34" s="2383"/>
    </row>
    <row r="35" ht="10.5" customHeight="1" hidden="1">
      <c r="D35" s="2382"/>
      <c r="E35" s="2384" t="str">
        <f>_xlfn.XLOOKUP('SBL Quotes'!B85,DropDowns_ProducerNames,'Dropdowns (DNP)'!$GR$2:$GR$14,"Producer's Email")</f>
        <v>Producer's Email</v>
      </c>
      <c r="F35" s="2384"/>
      <c r="G35" s="2384"/>
      <c r="H35" s="2384"/>
      <c r="I35" s="2384"/>
      <c r="J35" s="2384"/>
      <c r="K35" s="2384"/>
      <c r="L35" s="2384"/>
      <c r="M35" s="2384"/>
      <c r="N35" s="2384"/>
      <c r="O35" s="2384"/>
      <c r="P35" s="2384"/>
    </row>
    <row r="36" ht="14.25" customHeight="1" hidden="1">
      <c r="D36" s="2382"/>
      <c r="E36" s="2384" t="str">
        <f>_xlfn.XLOOKUP('SBL Quotes'!B85,DropDowns_ProducerNames,'Dropdowns (DNP)'!$GS$2:$GS$14,"Producer's Phone#(s)")</f>
        <v>Producer's Phone#(s)</v>
      </c>
      <c r="F36" s="2384"/>
      <c r="G36" s="2384"/>
      <c r="H36" s="2384"/>
      <c r="I36" s="2384"/>
      <c r="J36" s="2384"/>
      <c r="K36" s="2384"/>
      <c r="L36" s="2384"/>
      <c r="M36" s="2384"/>
      <c r="N36" s="2384"/>
      <c r="O36" s="2384"/>
      <c r="P36" s="2384"/>
    </row>
    <row r="37" ht="19.5" customHeight="1" hidden="1">
      <c r="D37" s="2387" t="str">
        <f>'SBL Quotes'!$E$2</f>
        <v> | City, XX</v>
      </c>
      <c r="E37" s="2387"/>
      <c r="F37" s="2387"/>
      <c r="G37" s="2387"/>
      <c r="H37" s="2387"/>
      <c r="I37" s="2387"/>
      <c r="J37" s="2387"/>
      <c r="K37" s="2387"/>
      <c r="L37" s="2387"/>
      <c r="M37" s="2387"/>
      <c r="N37" s="2387"/>
      <c r="O37" s="2387"/>
      <c r="P37" s="2387"/>
    </row>
    <row r="38" ht="18" customHeight="1" hidden="1">
      <c r="D38" s="2389" t="str">
        <f>D9</f>
        <v>We have reviewed the information on the above referenced property and are pleased to offer the following loan proposal:</v>
      </c>
      <c r="E38" s="2389"/>
      <c r="F38" s="2389"/>
      <c r="G38" s="2389"/>
      <c r="H38" s="2389"/>
      <c r="I38" s="2389"/>
      <c r="J38" s="2389"/>
      <c r="K38" s="2389"/>
      <c r="L38" s="2389"/>
      <c r="M38" s="2389"/>
      <c r="N38" s="2389"/>
      <c r="O38" s="2389"/>
      <c r="P38" s="2389"/>
    </row>
    <row r="39" ht="15" customHeight="1">
      <c r="B39" s="2390">
        <f>SBL_FannieOptionsToView</f>
        <v>3</v>
      </c>
      <c r="C39" s="2391"/>
      <c r="D39" s="2425" t="s">
        <v>2033</v>
      </c>
      <c r="E39" s="2426"/>
      <c r="F39" s="2426"/>
      <c r="G39" s="2426"/>
      <c r="H39" s="2426"/>
      <c r="I39" s="2426"/>
      <c r="J39" s="2426"/>
      <c r="K39" s="2426"/>
      <c r="L39" s="2426"/>
    </row>
    <row r="40" ht="9" customHeight="1" s="2394" customFormat="1">
      <c r="A40" s="2395"/>
      <c r="B40" s="2396"/>
      <c r="C40" s="2396"/>
      <c r="D40" s="2427"/>
      <c r="E40" s="2428" t="str">
        <f>'SBL Quotes'!R6</f>
        <v>10 YR Fixed</v>
      </c>
      <c r="F40" s="2428" t="str">
        <f>'SBL Quotes'!S6</f>
        <v>12 YR Fixed</v>
      </c>
      <c r="G40" s="2428" t="str">
        <f>'SBL Quotes'!T6</f>
        <v>15 YR Fixed</v>
      </c>
      <c r="H40" s="2428" t="str">
        <f>'SBL Quotes'!U6</f>
        <v>10 YR Fixed</v>
      </c>
      <c r="I40" s="2428" t="str">
        <f>'SBL Quotes'!V6</f>
        <v>10 YR Fixed</v>
      </c>
      <c r="J40" s="2428" t="str">
        <f>'SBL Quotes'!W6</f>
        <v>5 YR Fixed</v>
      </c>
      <c r="K40" s="2428" t="str">
        <f>'SBL Quotes'!X6</f>
        <v>5 YR Fixed</v>
      </c>
      <c r="L40" s="2428" t="str">
        <f>'SBL Quotes'!Y6</f>
        <v>10 YR Variable</v>
      </c>
    </row>
    <row r="41" ht="9" customHeight="1" s="2394" customFormat="1">
      <c r="A41" s="2395"/>
      <c r="B41" s="2396"/>
      <c r="C41" s="2396"/>
      <c r="D41" s="2397" t="s">
        <v>2015</v>
      </c>
      <c r="E41" s="2398">
        <f>'SBL Quotes'!R7</f>
        <v>0</v>
      </c>
      <c r="F41" s="2398">
        <f>'SBL Quotes'!S7</f>
        <v>0</v>
      </c>
      <c r="G41" s="2398">
        <f>'SBL Quotes'!T7</f>
        <v>0</v>
      </c>
      <c r="H41" s="2398">
        <f>'SBL Quotes'!U7</f>
        <v>0</v>
      </c>
      <c r="I41" s="2398">
        <f>'SBL Quotes'!V7</f>
        <v>0</v>
      </c>
      <c r="J41" s="2398">
        <f>'SBL Quotes'!W7</f>
        <v>0</v>
      </c>
      <c r="K41" s="2398">
        <f>'SBL Quotes'!X7</f>
        <v>0</v>
      </c>
      <c r="L41" s="2398">
        <f>'SBL Quotes'!Y7</f>
        <v>0</v>
      </c>
    </row>
    <row r="42" ht="9" customHeight="1" s="2394" customFormat="1">
      <c r="A42" s="2395"/>
      <c r="B42" s="2396"/>
      <c r="C42" s="2396"/>
      <c r="D42" s="2429" t="s">
        <v>2016</v>
      </c>
      <c r="E42" s="2400">
        <f>'SBL Quotes'!R68</f>
        <v>0.070944</v>
      </c>
      <c r="F42" s="2400">
        <f>'SBL Quotes'!S68</f>
        <v>0.072144</v>
      </c>
      <c r="G42" s="2400">
        <f>'SBL Quotes'!T68</f>
        <v>0.07394400000000001</v>
      </c>
      <c r="H42" s="2400">
        <f>'SBL Quotes'!U68</f>
        <v>0.06896658000000001</v>
      </c>
      <c r="I42" s="2400">
        <f>'SBL Quotes'!V68</f>
        <v>0.06694135000000001</v>
      </c>
      <c r="J42" s="2400">
        <f>'SBL Quotes'!W68</f>
        <v>0.07172228</v>
      </c>
      <c r="K42" s="2400">
        <f>'SBL Quotes'!X68</f>
        <v>0.06967273</v>
      </c>
      <c r="L42" s="2400">
        <f>'SBL Quotes'!Y68</f>
        <v>0.070944</v>
      </c>
    </row>
    <row r="43" ht="9" customHeight="1" s="2430" customFormat="1">
      <c r="A43" s="2431"/>
      <c r="B43" s="2432"/>
      <c r="C43" s="2432"/>
      <c r="D43" s="2433" t="s">
        <v>2034</v>
      </c>
      <c r="E43" s="2402">
        <f>'SBL Quotes'!R51+'SBL Quotes'!R52+'SBL Quotes'!R67</f>
        <v>0.0278</v>
      </c>
      <c r="F43" s="2402">
        <f>'SBL Quotes'!S51+'SBL Quotes'!S52+'SBL Quotes'!S67</f>
        <v>0.028999999999999998</v>
      </c>
      <c r="G43" s="2402">
        <f>'SBL Quotes'!T51+'SBL Quotes'!T52+'SBL Quotes'!T67</f>
        <v>0.030799999999999998</v>
      </c>
      <c r="H43" s="2402">
        <f>'SBL Quotes'!U51+'SBL Quotes'!U52+'SBL Quotes'!U67</f>
        <v>0.02582258</v>
      </c>
      <c r="I43" s="2402">
        <f>'SBL Quotes'!V51+'SBL Quotes'!V52+'SBL Quotes'!V67</f>
        <v>0.02379735</v>
      </c>
      <c r="J43" s="2402">
        <f>'SBL Quotes'!W51+'SBL Quotes'!W52+'SBL Quotes'!W67</f>
        <v>0.02721328</v>
      </c>
      <c r="K43" s="2402">
        <f>'SBL Quotes'!X51+'SBL Quotes'!X52+'SBL Quotes'!X67</f>
        <v>0.02516373</v>
      </c>
      <c r="L43" s="2402">
        <f>'SBL Quotes'!Y51+'SBL Quotes'!Y52+'SBL Quotes'!Y67</f>
        <v>0.0278</v>
      </c>
    </row>
    <row r="44" ht="9" customHeight="1" s="2394" customFormat="1">
      <c r="A44" s="2395"/>
      <c r="B44" s="2396"/>
      <c r="C44" s="2396"/>
      <c r="D44" s="2410" t="s">
        <v>2035</v>
      </c>
      <c r="E44" s="2434" t="str">
        <f>_xlfn.LET(_xlpm.term_yrs,'SBL Quotes'!R98,_xlpm.is_variable_rate,_xlfn.IFERROR(SEARCH("Variable",'SBL Quotes'!R$26)&gt;0,FALSE),_xlpm.treasury_index,IF(_xlpm.is_variable_rate,"30-Day Average SOFR",IF(_xlpm.term_yrs&lt;7,5,IF(_xlpm.term_yrs&lt;10,7,IF(_xlpm.term_yrs&lt;30,10,30)))),_xlpm.treasury_index&amp;IF(_xlpm.is_variable_rate,"","-year UST"))</f>
        <v>10-year UST</v>
      </c>
      <c r="F44" s="2434" t="str">
        <f>_xlfn.LET(_xlpm.term_yrs,'SBL Quotes'!S98,_xlpm.is_variable_rate,_xlfn.IFERROR(SEARCH("Variable",'SBL Quotes'!S$26)&gt;0,FALSE),_xlpm.treasury_index,IF(_xlpm.is_variable_rate,"30-Day Average SOFR",IF(_xlpm.term_yrs&lt;7,5,IF(_xlpm.term_yrs&lt;10,7,IF(_xlpm.term_yrs&lt;30,10,30)))),_xlpm.treasury_index&amp;IF(_xlpm.is_variable_rate,"","-year UST"))</f>
        <v>10-year UST</v>
      </c>
      <c r="G44" s="2434" t="str">
        <f>_xlfn.LET(_xlpm.term_yrs,'SBL Quotes'!T98,_xlpm.is_variable_rate,_xlfn.IFERROR(SEARCH("Variable",'SBL Quotes'!T$26)&gt;0,FALSE),_xlpm.treasury_index,IF(_xlpm.is_variable_rate,"30-Day Average SOFR",IF(_xlpm.term_yrs&lt;7,5,IF(_xlpm.term_yrs&lt;10,7,IF(_xlpm.term_yrs&lt;30,10,30)))),_xlpm.treasury_index&amp;IF(_xlpm.is_variable_rate,"","-year UST"))</f>
        <v>10-year UST</v>
      </c>
      <c r="H44" s="2434" t="str">
        <f>_xlfn.LET(_xlpm.term_yrs,'SBL Quotes'!U98,_xlpm.is_variable_rate,_xlfn.IFERROR(SEARCH("Variable",'SBL Quotes'!U$26)&gt;0,FALSE),_xlpm.treasury_index,IF(_xlpm.is_variable_rate,"30-Day Average SOFR",IF(_xlpm.term_yrs&lt;7,5,IF(_xlpm.term_yrs&lt;10,7,IF(_xlpm.term_yrs&lt;30,10,30)))),_xlpm.treasury_index&amp;IF(_xlpm.is_variable_rate,"","-year UST"))</f>
        <v>10-year UST</v>
      </c>
      <c r="I44" s="2434" t="str">
        <f>_xlfn.LET(_xlpm.term_yrs,'SBL Quotes'!V98,_xlpm.is_variable_rate,_xlfn.IFERROR(SEARCH("Variable",'SBL Quotes'!V$26)&gt;0,FALSE),_xlpm.treasury_index,IF(_xlpm.is_variable_rate,"30-Day Average SOFR",IF(_xlpm.term_yrs&lt;7,5,IF(_xlpm.term_yrs&lt;10,7,IF(_xlpm.term_yrs&lt;30,10,30)))),_xlpm.treasury_index&amp;IF(_xlpm.is_variable_rate,"","-year UST"))</f>
        <v>10-year UST</v>
      </c>
      <c r="J44" s="2434" t="str">
        <f>_xlfn.LET(_xlpm.term_yrs,'SBL Quotes'!W98,_xlpm.is_variable_rate,_xlfn.IFERROR(SEARCH("Variable",'SBL Quotes'!W$26)&gt;0,FALSE),_xlpm.treasury_index,IF(_xlpm.is_variable_rate,"30-Day Average SOFR",IF(_xlpm.term_yrs&lt;7,5,IF(_xlpm.term_yrs&lt;10,7,IF(_xlpm.term_yrs&lt;30,10,30)))),_xlpm.treasury_index&amp;IF(_xlpm.is_variable_rate,"","-year UST"))</f>
        <v>5-year UST</v>
      </c>
      <c r="K44" s="2434" t="str">
        <f>_xlfn.LET(_xlpm.term_yrs,'SBL Quotes'!X98,_xlpm.is_variable_rate,_xlfn.IFERROR(SEARCH("Variable",'SBL Quotes'!X$26)&gt;0,FALSE),_xlpm.treasury_index,IF(_xlpm.is_variable_rate,"30-Day Average SOFR",IF(_xlpm.term_yrs&lt;7,5,IF(_xlpm.term_yrs&lt;10,7,IF(_xlpm.term_yrs&lt;30,10,30)))),_xlpm.treasury_index&amp;IF(_xlpm.is_variable_rate,"","-year UST"))</f>
        <v>5-year UST</v>
      </c>
      <c r="L44" s="2434" t="str">
        <f>_xlfn.LET(_xlpm.term_yrs,'SBL Quotes'!Y98,_xlpm.is_variable_rate,_xlfn.IFERROR(SEARCH("Variable",'SBL Quotes'!Y$26)&gt;0,FALSE),_xlpm.treasury_index,IF(_xlpm.is_variable_rate,"30-Day Average SOFR",IF(_xlpm.term_yrs&lt;7,5,IF(_xlpm.term_yrs&lt;10,7,IF(_xlpm.term_yrs&lt;30,10,30)))),_xlpm.treasury_index&amp;IF(_xlpm.is_variable_rate,"","-year UST"))</f>
        <v>30-Day Average SOFR</v>
      </c>
    </row>
    <row r="45" ht="9" customHeight="1" s="2394" customFormat="1">
      <c r="A45" s="2395"/>
      <c r="B45" s="2396"/>
      <c r="C45" s="2396"/>
      <c r="D45" s="2433" t="s">
        <v>1612</v>
      </c>
      <c r="E45" s="2435">
        <f>'SBL Quotes'!R50</f>
        <v>0.043144</v>
      </c>
      <c r="F45" s="2435">
        <f>'SBL Quotes'!S50</f>
        <v>0.043144</v>
      </c>
      <c r="G45" s="2435">
        <f>'SBL Quotes'!T50</f>
        <v>0.043144</v>
      </c>
      <c r="H45" s="2435">
        <f>'SBL Quotes'!U50</f>
        <v>0.043144</v>
      </c>
      <c r="I45" s="2435">
        <f>'SBL Quotes'!V50</f>
        <v>0.043144</v>
      </c>
      <c r="J45" s="2435">
        <f>'SBL Quotes'!W50</f>
        <v>0.044509</v>
      </c>
      <c r="K45" s="2435">
        <f>'SBL Quotes'!X50</f>
        <v>0.044509</v>
      </c>
      <c r="L45" s="2435">
        <f>'SBL Quotes'!Y50</f>
        <v>0.043144</v>
      </c>
    </row>
    <row r="46" ht="9" customHeight="1" s="2394" customFormat="1">
      <c r="A46" s="2395"/>
      <c r="B46" s="2396"/>
      <c r="C46" s="2396"/>
      <c r="D46" s="2436" t="s">
        <v>1370</v>
      </c>
      <c r="E46" s="2405">
        <f>'SBL Quotes'!R41</f>
        <v>0</v>
      </c>
      <c r="F46" s="2405">
        <f>'SBL Quotes'!S41</f>
        <v>0</v>
      </c>
      <c r="G46" s="2405">
        <f>'SBL Quotes'!T41</f>
        <v>0</v>
      </c>
      <c r="H46" s="2405">
        <f>'SBL Quotes'!U41</f>
        <v>0</v>
      </c>
      <c r="I46" s="2405">
        <f>'SBL Quotes'!V41</f>
        <v>0</v>
      </c>
      <c r="J46" s="2405">
        <f>'SBL Quotes'!W41</f>
        <v>0</v>
      </c>
      <c r="K46" s="2405">
        <f>'SBL Quotes'!X41</f>
        <v>0</v>
      </c>
      <c r="L46" s="2405">
        <f>'SBL Quotes'!Y41</f>
        <v>0</v>
      </c>
    </row>
    <row r="47" ht="9" customHeight="1" s="2394" customFormat="1">
      <c r="A47" s="2395"/>
      <c r="B47" s="2396"/>
      <c r="C47" s="2396"/>
      <c r="D47" s="2437" t="s">
        <v>2017</v>
      </c>
      <c r="E47" s="2435">
        <f>'SBL Quotes'!R74</f>
        <v>0.8</v>
      </c>
      <c r="F47" s="2435">
        <f>'SBL Quotes'!S74</f>
        <v>0.8</v>
      </c>
      <c r="G47" s="2435">
        <f>'SBL Quotes'!T74</f>
        <v>0.8</v>
      </c>
      <c r="H47" s="2435">
        <f>'SBL Quotes'!U74</f>
        <v>0.65</v>
      </c>
      <c r="I47" s="2435">
        <f>'SBL Quotes'!V74</f>
        <v>0.55</v>
      </c>
      <c r="J47" s="2435">
        <f>'SBL Quotes'!W74</f>
        <v>0.65</v>
      </c>
      <c r="K47" s="2435">
        <f>'SBL Quotes'!X74</f>
        <v>0.55</v>
      </c>
      <c r="L47" s="2435">
        <f>'SBL Quotes'!Y74</f>
        <v>0.8</v>
      </c>
    </row>
    <row r="48" ht="9" customHeight="1" s="2394" customFormat="1">
      <c r="A48" s="2395"/>
      <c r="B48" s="2396"/>
      <c r="C48" s="2396"/>
      <c r="D48" s="2438" t="s">
        <v>1373</v>
      </c>
      <c r="E48" s="2407" t="str">
        <f>'SBL Quotes'!R40</f>
        <v>--</v>
      </c>
      <c r="F48" s="2407" t="str">
        <f>'SBL Quotes'!S40</f>
        <v>--</v>
      </c>
      <c r="G48" s="2407" t="str">
        <f>'SBL Quotes'!T40</f>
        <v>--</v>
      </c>
      <c r="H48" s="2407" t="str">
        <f>'SBL Quotes'!U40</f>
        <v>--</v>
      </c>
      <c r="I48" s="2407" t="str">
        <f>'SBL Quotes'!V40</f>
        <v>--</v>
      </c>
      <c r="J48" s="2407" t="str">
        <f>'SBL Quotes'!W40</f>
        <v>--</v>
      </c>
      <c r="K48" s="2407" t="str">
        <f>'SBL Quotes'!X40</f>
        <v>--</v>
      </c>
      <c r="L48" s="2407" t="str">
        <f>'SBL Quotes'!Y40</f>
        <v>--</v>
      </c>
    </row>
    <row r="49" ht="9" customHeight="1" s="2394" customFormat="1">
      <c r="A49" s="2395"/>
      <c r="B49" s="2396"/>
      <c r="C49" s="2396"/>
      <c r="D49" s="2439" t="s">
        <v>2018</v>
      </c>
      <c r="E49" s="2440">
        <f>'SBL Quotes'!R72</f>
        <v>1.25</v>
      </c>
      <c r="F49" s="2440">
        <f>'SBL Quotes'!S72</f>
        <v>1.25</v>
      </c>
      <c r="G49" s="2440">
        <f>'SBL Quotes'!T72</f>
        <v>1.25</v>
      </c>
      <c r="H49" s="2440">
        <f>'SBL Quotes'!U72</f>
        <v>1.35</v>
      </c>
      <c r="I49" s="2440">
        <f>'SBL Quotes'!V72</f>
        <v>1.55</v>
      </c>
      <c r="J49" s="2440">
        <f>'SBL Quotes'!W72</f>
        <v>1.35</v>
      </c>
      <c r="K49" s="2440">
        <f>'SBL Quotes'!X72</f>
        <v>1.55</v>
      </c>
      <c r="L49" s="2440">
        <f>'SBL Quotes'!Y72</f>
        <v>1.25</v>
      </c>
    </row>
    <row r="50" ht="9" customHeight="1" s="2394" customFormat="1">
      <c r="A50" s="2395"/>
      <c r="B50" s="2396"/>
      <c r="C50" s="2396"/>
      <c r="D50" s="2404" t="s">
        <v>1351</v>
      </c>
      <c r="E50" s="2409">
        <f>'SBL Quotes'!R98</f>
        <v>10</v>
      </c>
      <c r="F50" s="2409">
        <f>'SBL Quotes'!S98</f>
        <v>12</v>
      </c>
      <c r="G50" s="2409">
        <f>'SBL Quotes'!T98</f>
        <v>15</v>
      </c>
      <c r="H50" s="2409">
        <f>'SBL Quotes'!U98</f>
        <v>10</v>
      </c>
      <c r="I50" s="2409">
        <f>'SBL Quotes'!V98</f>
        <v>10</v>
      </c>
      <c r="J50" s="2409">
        <f>'SBL Quotes'!W98</f>
        <v>5</v>
      </c>
      <c r="K50" s="2409">
        <f>'SBL Quotes'!X98</f>
        <v>5</v>
      </c>
      <c r="L50" s="2409">
        <f>'SBL Quotes'!Y98</f>
        <v>10</v>
      </c>
    </row>
    <row r="51" ht="9" customHeight="1" s="2394" customFormat="1">
      <c r="A51" s="2395"/>
      <c r="B51" s="2396"/>
      <c r="C51" s="2396"/>
      <c r="D51" s="2401" t="s">
        <v>604</v>
      </c>
      <c r="E51" s="2408">
        <f>'SBL Quotes'!R46</f>
        <v>30</v>
      </c>
      <c r="F51" s="2408">
        <f>'SBL Quotes'!S46</f>
        <v>30</v>
      </c>
      <c r="G51" s="2408">
        <f>'SBL Quotes'!T46</f>
        <v>30</v>
      </c>
      <c r="H51" s="2408">
        <f>'SBL Quotes'!U46</f>
        <v>30</v>
      </c>
      <c r="I51" s="2408">
        <f>'SBL Quotes'!V46</f>
        <v>30</v>
      </c>
      <c r="J51" s="2408">
        <f>'SBL Quotes'!W46</f>
        <v>30</v>
      </c>
      <c r="K51" s="2408">
        <f>'SBL Quotes'!X46</f>
        <v>30</v>
      </c>
      <c r="L51" s="2408">
        <f>'SBL Quotes'!Y46</f>
        <v>30</v>
      </c>
    </row>
    <row r="52" ht="9" customHeight="1" s="2394" customFormat="1">
      <c r="A52" s="2395"/>
      <c r="B52" s="2396"/>
      <c r="C52" s="2396"/>
      <c r="D52" s="2404" t="s">
        <v>1362</v>
      </c>
      <c r="E52" s="2409">
        <f>'SBL Quotes'!R43</f>
        <v>0</v>
      </c>
      <c r="F52" s="2409">
        <f>'SBL Quotes'!S43</f>
        <v>0</v>
      </c>
      <c r="G52" s="2409">
        <f>'SBL Quotes'!T43</f>
        <v>0</v>
      </c>
      <c r="H52" s="2409">
        <f>'SBL Quotes'!U43</f>
        <v>5</v>
      </c>
      <c r="I52" s="2409">
        <f>'SBL Quotes'!V43</f>
        <v>10</v>
      </c>
      <c r="J52" s="2409">
        <f>'SBL Quotes'!W43</f>
        <v>2</v>
      </c>
      <c r="K52" s="2409">
        <f>'SBL Quotes'!X43</f>
        <v>5</v>
      </c>
      <c r="L52" s="2409">
        <f>'SBL Quotes'!Y43</f>
        <v>0</v>
      </c>
    </row>
    <row r="53" ht="9" customHeight="1" s="2394" customFormat="1">
      <c r="A53" s="2395"/>
      <c r="B53" s="2396"/>
      <c r="C53" s="2396"/>
      <c r="D53" s="2411" t="s">
        <v>2019</v>
      </c>
      <c r="E53" s="2440" t="str">
        <f>SUBSTITUTE('SBL Quotes'!R11,"YM","Yield Maintenance")</f>
        <v>Yield Maintenance,1%</v>
      </c>
      <c r="F53" s="2440" t="str">
        <f>SUBSTITUTE('SBL Quotes'!S11,"YM","Yield Maintenance")</f>
        <v>Yield Maintenance,1%</v>
      </c>
      <c r="G53" s="2440" t="str">
        <f>SUBSTITUTE('SBL Quotes'!T11,"YM","Yield Maintenance")</f>
        <v>Yield Maintenance,1%</v>
      </c>
      <c r="H53" s="2440" t="str">
        <f>SUBSTITUTE('SBL Quotes'!U11,"YM","Yield Maintenance")</f>
        <v>Yield Maintenance,1%</v>
      </c>
      <c r="I53" s="2440" t="str">
        <f>SUBSTITUTE('SBL Quotes'!V11,"YM","Yield Maintenance")</f>
        <v>Yield Maintenance,1%</v>
      </c>
      <c r="J53" s="2440" t="str">
        <f>SUBSTITUTE('SBL Quotes'!W11,"YM","Yield Maintenance")</f>
        <v>Yield Maintenance,1%</v>
      </c>
      <c r="K53" s="2440" t="str">
        <f>SUBSTITUTE('SBL Quotes'!X11,"YM","Yield Maintenance")</f>
        <v>Yield Maintenance,1%</v>
      </c>
      <c r="L53" s="2440" t="str">
        <f>SUBSTITUTE('SBL Quotes'!Y11,"YM","Yield Maintenance")</f>
        <v>Yield Maintenance,1%</v>
      </c>
    </row>
    <row r="54" ht="9" customHeight="1" s="2394" customFormat="1">
      <c r="A54" s="2395"/>
      <c r="B54" s="2396"/>
      <c r="C54" s="2396"/>
      <c r="D54" s="2410" t="s">
        <v>2021</v>
      </c>
      <c r="E54" s="2413" t="s">
        <v>2022</v>
      </c>
      <c r="F54" s="2413" t="s">
        <v>2022</v>
      </c>
      <c r="G54" s="2413" t="s">
        <v>2022</v>
      </c>
      <c r="H54" s="2413" t="s">
        <v>2022</v>
      </c>
      <c r="I54" s="2413" t="s">
        <v>2022</v>
      </c>
      <c r="J54" s="2413" t="s">
        <v>2022</v>
      </c>
      <c r="K54" s="2413" t="s">
        <v>2022</v>
      </c>
      <c r="L54" s="2413" t="s">
        <v>2022</v>
      </c>
    </row>
    <row r="55" ht="9" customHeight="1" s="2394" customFormat="1">
      <c r="A55" s="2395"/>
      <c r="B55" s="2396"/>
      <c r="C55" s="2396"/>
      <c r="D55" s="2411" t="s">
        <v>2023</v>
      </c>
      <c r="E55" s="2441" t="s">
        <v>2039</v>
      </c>
      <c r="F55" s="2441" t="s">
        <v>2039</v>
      </c>
      <c r="G55" s="2441" t="s">
        <v>2039</v>
      </c>
      <c r="H55" s="2441" t="s">
        <v>2039</v>
      </c>
      <c r="I55" s="2441" t="s">
        <v>2039</v>
      </c>
      <c r="J55" s="2441" t="s">
        <v>2039</v>
      </c>
      <c r="K55" s="2441" t="s">
        <v>2039</v>
      </c>
      <c r="L55" s="2441" t="s">
        <v>2039</v>
      </c>
    </row>
    <row r="56" ht="9" customHeight="1" s="2394" customFormat="1">
      <c r="A56" s="2395"/>
      <c r="B56" s="2396"/>
      <c r="C56" s="2396"/>
      <c r="D56" s="2410" t="s">
        <v>2025</v>
      </c>
      <c r="E56" s="2442">
        <f>'SBL Quotes'!R31</f>
        <v>0.01</v>
      </c>
      <c r="F56" s="2442">
        <f>'SBL Quotes'!S31</f>
        <v>0.01</v>
      </c>
      <c r="G56" s="2442">
        <f>'SBL Quotes'!T31</f>
        <v>0.01</v>
      </c>
      <c r="H56" s="2442">
        <f>'SBL Quotes'!U31</f>
        <v>0.005</v>
      </c>
      <c r="I56" s="2442">
        <f>'SBL Quotes'!V31</f>
        <v>0.005</v>
      </c>
      <c r="J56" s="2442">
        <f>'SBL Quotes'!W31</f>
        <v>0.005</v>
      </c>
      <c r="K56" s="2442">
        <f>'SBL Quotes'!X31</f>
        <v>0.005</v>
      </c>
      <c r="L56" s="2442">
        <f>'SBL Quotes'!Y31</f>
        <v>0.01</v>
      </c>
    </row>
    <row r="57" ht="9" customHeight="1" s="2394" customFormat="1" hidden="0" collapsed="0" outlineLevel="1">
      <c r="A57" s="2395"/>
      <c r="B57" s="2396"/>
      <c r="C57" s="2396"/>
      <c r="D57" s="2411" t="s">
        <v>2040</v>
      </c>
      <c r="E57" s="2443">
        <v>0.001</v>
      </c>
      <c r="F57" s="2443">
        <v>0.001</v>
      </c>
      <c r="G57" s="2443">
        <v>0.001</v>
      </c>
      <c r="H57" s="2443">
        <v>0.001</v>
      </c>
      <c r="I57" s="2443">
        <v>0.001</v>
      </c>
      <c r="J57" s="2443">
        <v>0.001</v>
      </c>
      <c r="K57" s="2443">
        <v>0.001</v>
      </c>
      <c r="L57" s="2443">
        <v>0.001</v>
      </c>
    </row>
    <row r="58" ht="9" customHeight="1" s="2394" customFormat="1" hidden="0" collapsed="0" outlineLevel="1">
      <c r="A58" s="2395"/>
      <c r="B58" s="2396"/>
      <c r="C58" s="2396"/>
      <c r="D58" s="2410" t="s">
        <v>2027</v>
      </c>
      <c r="E58" s="2444">
        <v>7500</v>
      </c>
      <c r="F58" s="2444">
        <v>7500</v>
      </c>
      <c r="G58" s="2444">
        <v>7500</v>
      </c>
      <c r="H58" s="2444">
        <v>7500</v>
      </c>
      <c r="I58" s="2444">
        <v>7500</v>
      </c>
      <c r="J58" s="2444">
        <v>7500</v>
      </c>
      <c r="K58" s="2444">
        <v>7500</v>
      </c>
      <c r="L58" s="2444">
        <v>7500</v>
      </c>
    </row>
    <row r="59" ht="9" customHeight="1" s="2394" customFormat="1" hidden="0" collapsed="0" outlineLevel="1">
      <c r="A59" s="2395"/>
      <c r="B59" s="2396"/>
      <c r="C59" s="2396"/>
      <c r="D59" s="2411" t="s">
        <v>2028</v>
      </c>
      <c r="E59" s="2445" t="s">
        <v>2041</v>
      </c>
      <c r="F59" s="2445" t="s">
        <v>2041</v>
      </c>
      <c r="G59" s="2445" t="s">
        <v>2041</v>
      </c>
      <c r="H59" s="2445" t="s">
        <v>2041</v>
      </c>
      <c r="I59" s="2445" t="s">
        <v>2041</v>
      </c>
      <c r="J59" s="2445" t="s">
        <v>2041</v>
      </c>
      <c r="K59" s="2445" t="s">
        <v>2041</v>
      </c>
      <c r="L59" s="2445" t="s">
        <v>2041</v>
      </c>
    </row>
    <row r="60" ht="9" customHeight="1" s="2394" customFormat="1" hidden="0" collapsed="0" outlineLevel="1">
      <c r="A60" s="2395"/>
      <c r="B60" s="2396"/>
      <c r="C60" s="2396"/>
      <c r="D60" s="2410" t="s">
        <v>2029</v>
      </c>
      <c r="E60" s="2444">
        <v>15000</v>
      </c>
      <c r="F60" s="2444">
        <v>15000</v>
      </c>
      <c r="G60" s="2444">
        <v>15000</v>
      </c>
      <c r="H60" s="2444">
        <v>15000</v>
      </c>
      <c r="I60" s="2444">
        <v>15000</v>
      </c>
      <c r="J60" s="2444">
        <v>15000</v>
      </c>
      <c r="K60" s="2444">
        <v>15000</v>
      </c>
      <c r="L60" s="2444">
        <v>15000</v>
      </c>
    </row>
    <row r="61" ht="9" customHeight="1" s="2394" customFormat="1" hidden="0" collapsed="0" outlineLevel="2">
      <c r="A61" s="2395"/>
      <c r="B61" s="2396"/>
      <c r="C61" s="2396"/>
      <c r="D61" s="2411" t="s">
        <v>2030</v>
      </c>
      <c r="E61" s="2446" t="s">
        <v>2042</v>
      </c>
      <c r="F61" s="2446" t="s">
        <v>2042</v>
      </c>
      <c r="G61" s="2446" t="s">
        <v>2042</v>
      </c>
      <c r="H61" s="2446" t="s">
        <v>2042</v>
      </c>
      <c r="I61" s="2446" t="s">
        <v>2042</v>
      </c>
      <c r="J61" s="2446" t="s">
        <v>2042</v>
      </c>
      <c r="K61" s="2446" t="s">
        <v>2042</v>
      </c>
      <c r="L61" s="2446" t="s">
        <v>2042</v>
      </c>
    </row>
    <row r="62" ht="14.25" customHeight="1">
      <c r="D62" s="2447"/>
      <c r="E62" s="2447"/>
      <c r="F62" s="2447"/>
      <c r="G62" s="2447"/>
      <c r="H62" s="2447"/>
    </row>
    <row r="63" ht="12.75" customHeight="1" s="2394" customFormat="1" hidden="1">
      <c r="A63" s="2376"/>
      <c r="B63" s="2380"/>
      <c r="C63" s="2380"/>
      <c r="D63" s="2420" t="str">
        <f t="shared" si="4" ref="D63:D64">D95</f>
        <v>Additional Quote Stipulations</v>
      </c>
      <c r="E63" s="2421"/>
      <c r="F63" s="2421"/>
      <c r="G63" s="2421"/>
      <c r="H63" s="2421"/>
      <c r="I63" s="2448"/>
      <c r="J63" s="2448"/>
      <c r="K63" s="2448"/>
      <c r="L63" s="2448"/>
      <c r="M63" s="2448"/>
      <c r="N63" s="2448"/>
      <c r="O63" s="2448"/>
      <c r="P63" s="2448"/>
      <c r="Q63" s="2448"/>
    </row>
    <row r="64" ht="84.75" customHeight="1" s="2394" customFormat="1" hidden="1">
      <c r="A64" s="2376"/>
      <c r="B64" s="2380"/>
      <c r="C64" s="2380"/>
      <c r="D64" s="2422" t="str">
        <f t="shared" si="4"/>
        <v>Proposed loan terms are based on an estimated underwritten NOI of $-1,616,089 and are subject to Lender approval and appraisal support. Terms assume borrower meets minimum requirements including, but not limited to: (1) minimum net worth greater than or equal to the loan amount; (2) combined liquidity greater than or equal to 9 months' debt service; (3) acceptable credit history; and (4) acceptable experience owning/operating multifamily. Terms also assume the property is stabilized at an average occupancy of no less than 90% for the trailing three months and collections over the trailing three-month period are steady or improving. Quote dated xx/xx/xxxx.</v>
      </c>
      <c r="E64" s="2423"/>
      <c r="F64" s="2423"/>
      <c r="G64" s="2423"/>
      <c r="H64" s="2424"/>
      <c r="I64" s="2448"/>
      <c r="J64" s="2448"/>
      <c r="K64" s="2448"/>
      <c r="L64" s="2448"/>
      <c r="M64" s="2448"/>
      <c r="N64" s="2448"/>
      <c r="O64" s="2448"/>
      <c r="P64" s="2448"/>
      <c r="Q64" s="2448"/>
    </row>
    <row r="65" ht="7.5" customHeight="1">
      <c r="D65" s="2381"/>
      <c r="E65" s="2381"/>
    </row>
    <row r="66" ht="12" customHeight="1" hidden="1">
      <c r="D66" s="2382"/>
      <c r="E66" s="2383" t="str">
        <f t="shared" si="3"/>
        <v>Producer's Name</v>
      </c>
      <c r="F66" s="2383"/>
      <c r="G66" s="2383"/>
      <c r="H66" s="2383"/>
      <c r="I66" s="2383"/>
      <c r="J66" s="2383"/>
      <c r="K66" s="2383"/>
      <c r="L66" s="2383"/>
      <c r="M66" s="2383"/>
      <c r="N66" s="2383"/>
      <c r="O66" s="2383"/>
      <c r="P66" s="2383"/>
    </row>
    <row r="67" ht="10.5" customHeight="1" hidden="1">
      <c r="D67" s="2382"/>
      <c r="E67" s="2384" t="str">
        <f>_xlfn.XLOOKUP('SBL Quotes'!B117,DropDowns_ProducerNames,'Dropdowns (DNP)'!$GR$2:$GR$14,"Producer's Email")</f>
        <v>Producer's Email</v>
      </c>
      <c r="F67" s="2384"/>
      <c r="G67" s="2384"/>
      <c r="H67" s="2384"/>
      <c r="I67" s="2384"/>
      <c r="J67" s="2384"/>
      <c r="K67" s="2384"/>
      <c r="L67" s="2384"/>
      <c r="M67" s="2384"/>
      <c r="N67" s="2384"/>
      <c r="O67" s="2384"/>
      <c r="P67" s="2384"/>
    </row>
    <row r="68" ht="9" customHeight="1" hidden="1">
      <c r="D68" s="2382"/>
      <c r="E68" s="2384" t="str">
        <f>_xlfn.XLOOKUP('SBL Quotes'!B117,DropDowns_ProducerNames,'Dropdowns (DNP)'!$GS$2:$GS$14,"Producer's Phone#(s)")</f>
        <v>Producer's Phone#(s)</v>
      </c>
      <c r="F68" s="2384"/>
      <c r="G68" s="2384"/>
      <c r="H68" s="2384"/>
      <c r="I68" s="2384"/>
      <c r="J68" s="2384"/>
      <c r="K68" s="2384"/>
      <c r="L68" s="2384"/>
      <c r="M68" s="2384"/>
      <c r="N68" s="2384"/>
      <c r="O68" s="2384"/>
      <c r="P68" s="2384"/>
    </row>
    <row r="69" ht="20.25" customHeight="1" s="2394" customFormat="1" hidden="1">
      <c r="A69" s="2376"/>
      <c r="B69" s="2380"/>
      <c r="C69" s="2380"/>
      <c r="D69" s="2387" t="str">
        <f>'SBL Quotes'!$E$2</f>
        <v> | City, XX</v>
      </c>
      <c r="E69" s="2387"/>
      <c r="F69" s="2387"/>
      <c r="G69" s="2387"/>
      <c r="H69" s="2387"/>
      <c r="I69" s="2387"/>
      <c r="J69" s="2387"/>
      <c r="K69" s="2387"/>
      <c r="L69" s="2387"/>
      <c r="M69" s="2387"/>
      <c r="N69" s="2387"/>
      <c r="O69" s="2387"/>
      <c r="P69" s="2387"/>
      <c r="Q69" s="2448"/>
    </row>
    <row r="70" ht="18" customHeight="1" s="2394" customFormat="1" hidden="1">
      <c r="A70" s="2376"/>
      <c r="B70" s="2380"/>
      <c r="C70" s="2380"/>
      <c r="D70" s="2389" t="str">
        <f>D9</f>
        <v>We have reviewed the information on the above referenced property and are pleased to offer the following loan proposal:</v>
      </c>
      <c r="E70" s="2389"/>
      <c r="F70" s="2389"/>
      <c r="G70" s="2389"/>
      <c r="H70" s="2389"/>
      <c r="I70" s="2389"/>
      <c r="J70" s="2389"/>
      <c r="K70" s="2389"/>
      <c r="L70" s="2389"/>
      <c r="M70" s="2389"/>
      <c r="N70" s="2389"/>
      <c r="O70" s="2389"/>
      <c r="P70" s="2389"/>
      <c r="Q70" s="2448"/>
    </row>
    <row r="71" ht="15" customHeight="1" s="2394" customFormat="1">
      <c r="A71" s="2376"/>
      <c r="B71" s="2390">
        <f>SBL_ProprietaryCapitalOptionsToView</f>
        <v>2</v>
      </c>
      <c r="C71" s="2391"/>
      <c r="D71" s="2449" t="s">
        <v>2043</v>
      </c>
      <c r="E71" s="2426"/>
      <c r="F71" s="2426"/>
      <c r="G71" s="2426"/>
      <c r="H71" s="2426"/>
      <c r="I71" s="2426"/>
      <c r="J71" s="2426"/>
      <c r="K71" s="2426"/>
      <c r="L71" s="2426"/>
      <c r="M71" s="2448"/>
      <c r="N71" s="2448"/>
      <c r="O71" s="2448"/>
      <c r="P71" s="2448"/>
      <c r="Q71" s="2448"/>
    </row>
    <row r="72" ht="9" customHeight="1" s="2394" customFormat="1">
      <c r="A72" s="2376"/>
      <c r="B72" s="2380"/>
      <c r="C72" s="2380"/>
      <c r="D72" s="2450"/>
      <c r="E72" s="2428" t="str">
        <f>'SBL Quotes'!AA6</f>
        <v>3 YR Floating</v>
      </c>
      <c r="F72" s="2428" t="str">
        <f>'SBL Quotes'!AB6</f>
        <v>5 YR Floating</v>
      </c>
      <c r="G72" s="2428" t="str">
        <f>'SBL Quotes'!AC6</f>
        <v>7 YR Floating</v>
      </c>
      <c r="H72" s="2428" t="str">
        <f>'SBL Quotes'!AD6</f>
        <v>3 YR Floating</v>
      </c>
      <c r="I72" s="2451" t="str">
        <f>'SBL Quotes'!AE6</f>
        <v>5 YR Floating</v>
      </c>
      <c r="J72" s="2451" t="str">
        <f>'SBL Quotes'!AF6</f>
        <v>7 YR Floating</v>
      </c>
      <c r="K72" s="2451" t="str">
        <f>'SBL Quotes'!AG6</f>
        <v>3 YR Floating</v>
      </c>
      <c r="L72" s="2451" t="str">
        <f>'SBL Quotes'!AH6</f>
        <v>5 YR Floating</v>
      </c>
      <c r="M72" s="2448"/>
      <c r="N72" s="2448"/>
      <c r="O72" s="2448"/>
      <c r="P72" s="2448"/>
      <c r="Q72" s="2448"/>
    </row>
    <row r="73" ht="9" customHeight="1" s="2394" customFormat="1">
      <c r="A73" s="2395"/>
      <c r="B73" s="2396"/>
      <c r="C73" s="2396"/>
      <c r="D73" s="2397" t="s">
        <v>2015</v>
      </c>
      <c r="E73" s="2398">
        <f>'SBL Quotes'!AA7</f>
        <v>0</v>
      </c>
      <c r="F73" s="2398">
        <f>'SBL Quotes'!AB7</f>
        <v>0</v>
      </c>
      <c r="G73" s="2398">
        <f>'SBL Quotes'!AC7</f>
        <v>0</v>
      </c>
      <c r="H73" s="2398">
        <f>'SBL Quotes'!AD7</f>
        <v>0</v>
      </c>
      <c r="I73" s="2398">
        <f>'SBL Quotes'!AE7</f>
        <v>0</v>
      </c>
      <c r="J73" s="2398">
        <f>'SBL Quotes'!AF7</f>
        <v>0</v>
      </c>
      <c r="K73" s="2398">
        <f>'SBL Quotes'!AG7</f>
        <v>0</v>
      </c>
      <c r="L73" s="2398">
        <f>'SBL Quotes'!AH7</f>
        <v>0</v>
      </c>
    </row>
    <row r="74" ht="9" customHeight="1" s="2394" customFormat="1">
      <c r="A74" s="2395"/>
      <c r="B74" s="2396"/>
      <c r="C74" s="2396"/>
      <c r="D74" s="2429" t="s">
        <v>2016</v>
      </c>
      <c r="E74" s="2400">
        <f>'SBL Quotes'!AA68</f>
        <v>0.053704</v>
      </c>
      <c r="F74" s="2400">
        <f>'SBL Quotes'!AB68</f>
        <v>0.053704</v>
      </c>
      <c r="G74" s="2400">
        <f>'SBL Quotes'!AC68</f>
        <v>0.053704</v>
      </c>
      <c r="H74" s="2400">
        <f>'SBL Quotes'!AD68</f>
        <v>0.053704</v>
      </c>
      <c r="I74" s="2400">
        <f>'SBL Quotes'!AE68</f>
        <v>0.053704</v>
      </c>
      <c r="J74" s="2400">
        <f>'SBL Quotes'!AF68</f>
        <v>0.053704</v>
      </c>
      <c r="K74" s="2400">
        <f>'SBL Quotes'!AG68</f>
        <v>0.053704</v>
      </c>
      <c r="L74" s="2400">
        <f>'SBL Quotes'!AH68</f>
        <v>0.053704</v>
      </c>
    </row>
    <row r="75" ht="9" customHeight="1" s="2394" customFormat="1">
      <c r="A75" s="2395"/>
      <c r="B75" s="2396"/>
      <c r="C75" s="2396"/>
      <c r="D75" s="2433" t="s">
        <v>2034</v>
      </c>
      <c r="E75" s="2402">
        <f>'SBL Quotes'!AA67</f>
        <v>0</v>
      </c>
      <c r="F75" s="2402">
        <f>'SBL Quotes'!AB67</f>
        <v>0</v>
      </c>
      <c r="G75" s="2402">
        <f>'SBL Quotes'!AC67</f>
        <v>0</v>
      </c>
      <c r="H75" s="2402">
        <f>'SBL Quotes'!AD67</f>
        <v>0</v>
      </c>
      <c r="I75" s="2402">
        <f>'SBL Quotes'!AE67</f>
        <v>0</v>
      </c>
      <c r="J75" s="2402">
        <f>'SBL Quotes'!AF67</f>
        <v>0</v>
      </c>
      <c r="K75" s="2402">
        <f>'SBL Quotes'!AG67</f>
        <v>0</v>
      </c>
      <c r="L75" s="2402">
        <f>'SBL Quotes'!AH67</f>
        <v>0</v>
      </c>
      <c r="M75" s="2430"/>
    </row>
    <row r="76" ht="9" customHeight="1" s="2394" customFormat="1">
      <c r="A76" s="2395"/>
      <c r="B76" s="2396"/>
      <c r="C76" s="2396"/>
      <c r="D76" s="2410" t="s">
        <v>2035</v>
      </c>
      <c r="E76" s="2452" t="s">
        <v>2044</v>
      </c>
      <c r="F76" s="2452" t="s">
        <v>2044</v>
      </c>
      <c r="G76" s="2452" t="s">
        <v>2044</v>
      </c>
      <c r="H76" s="2452" t="s">
        <v>2044</v>
      </c>
      <c r="I76" s="2452" t="s">
        <v>2044</v>
      </c>
      <c r="J76" s="2452" t="s">
        <v>2044</v>
      </c>
      <c r="K76" s="2452" t="s">
        <v>2044</v>
      </c>
      <c r="L76" s="2452" t="s">
        <v>2044</v>
      </c>
    </row>
    <row r="77" ht="9" customHeight="1" s="2394" customFormat="1">
      <c r="A77" s="2395"/>
      <c r="B77" s="2396"/>
      <c r="C77" s="2396"/>
      <c r="D77" s="2433" t="s">
        <v>1612</v>
      </c>
      <c r="E77" s="2435">
        <f>'SBL Quotes'!AA50</f>
        <v>0.053704</v>
      </c>
      <c r="F77" s="2435">
        <f>'SBL Quotes'!AB50</f>
        <v>0.053704</v>
      </c>
      <c r="G77" s="2435">
        <f>'SBL Quotes'!AC50</f>
        <v>0.053704</v>
      </c>
      <c r="H77" s="2435">
        <f>'SBL Quotes'!AD50</f>
        <v>0.053704</v>
      </c>
      <c r="I77" s="2435">
        <f>'SBL Quotes'!AE50</f>
        <v>0.053704</v>
      </c>
      <c r="J77" s="2435">
        <f>'SBL Quotes'!AF50</f>
        <v>0.053704</v>
      </c>
      <c r="K77" s="2435">
        <f>'SBL Quotes'!AG50</f>
        <v>0.053704</v>
      </c>
      <c r="L77" s="2435">
        <f>'SBL Quotes'!AH50</f>
        <v>0.053704</v>
      </c>
    </row>
    <row r="78" ht="9" customHeight="1" s="2394" customFormat="1">
      <c r="A78" s="2395"/>
      <c r="B78" s="2396"/>
      <c r="C78" s="2396"/>
      <c r="D78" s="2436" t="s">
        <v>1370</v>
      </c>
      <c r="E78" s="2405">
        <f>'SBL Quotes'!AA41</f>
        <v>0</v>
      </c>
      <c r="F78" s="2405">
        <f>'SBL Quotes'!AB41</f>
        <v>0</v>
      </c>
      <c r="G78" s="2405">
        <f>'SBL Quotes'!AC41</f>
        <v>0</v>
      </c>
      <c r="H78" s="2405">
        <f>'SBL Quotes'!AD41</f>
        <v>0</v>
      </c>
      <c r="I78" s="2405">
        <f>'SBL Quotes'!AE41</f>
        <v>0</v>
      </c>
      <c r="J78" s="2405">
        <f>'SBL Quotes'!AF41</f>
        <v>0</v>
      </c>
      <c r="K78" s="2405">
        <f>'SBL Quotes'!AG41</f>
        <v>0</v>
      </c>
      <c r="L78" s="2405">
        <f>'SBL Quotes'!AH41</f>
        <v>0</v>
      </c>
    </row>
    <row r="79" ht="9" customHeight="1" s="2394" customFormat="1">
      <c r="A79" s="2395"/>
      <c r="B79" s="2396"/>
      <c r="C79" s="2396"/>
      <c r="D79" s="2437" t="s">
        <v>2017</v>
      </c>
      <c r="E79" s="2435">
        <f>'SBL Quotes'!AA74</f>
        <v>0.7</v>
      </c>
      <c r="F79" s="2435">
        <f>'SBL Quotes'!AB74</f>
        <v>0.7</v>
      </c>
      <c r="G79" s="2435">
        <f>'SBL Quotes'!AC74</f>
        <v>0.7</v>
      </c>
      <c r="H79" s="2435">
        <f>'SBL Quotes'!AD74</f>
        <v>0.7</v>
      </c>
      <c r="I79" s="2435">
        <f>'SBL Quotes'!AE74</f>
        <v>0.7</v>
      </c>
      <c r="J79" s="2435">
        <f>'SBL Quotes'!AF74</f>
        <v>0.7</v>
      </c>
      <c r="K79" s="2435">
        <f>'SBL Quotes'!AG74</f>
        <v>0.7</v>
      </c>
      <c r="L79" s="2435">
        <f>'SBL Quotes'!AH74</f>
        <v>0.7</v>
      </c>
    </row>
    <row r="80" ht="9" customHeight="1" s="2394" customFormat="1">
      <c r="A80" s="2395"/>
      <c r="B80" s="2396"/>
      <c r="C80" s="2396"/>
      <c r="D80" s="2438" t="s">
        <v>1373</v>
      </c>
      <c r="E80" s="2407" t="str">
        <f>'SBL Quotes'!AA40</f>
        <v>--</v>
      </c>
      <c r="F80" s="2407" t="str">
        <f>'SBL Quotes'!AB40</f>
        <v>--</v>
      </c>
      <c r="G80" s="2407" t="str">
        <f>'SBL Quotes'!AC40</f>
        <v>--</v>
      </c>
      <c r="H80" s="2407" t="str">
        <f>'SBL Quotes'!AD40</f>
        <v>--</v>
      </c>
      <c r="I80" s="2407" t="str">
        <f>'SBL Quotes'!AE40</f>
        <v>--</v>
      </c>
      <c r="J80" s="2407" t="str">
        <f>'SBL Quotes'!AF40</f>
        <v>--</v>
      </c>
      <c r="K80" s="2407" t="str">
        <f>'SBL Quotes'!AG40</f>
        <v>--</v>
      </c>
      <c r="L80" s="2407" t="str">
        <f>'SBL Quotes'!AH40</f>
        <v>--</v>
      </c>
    </row>
    <row r="81" ht="9" customHeight="1" s="2394" customFormat="1">
      <c r="A81" s="2395"/>
      <c r="B81" s="2396"/>
      <c r="C81" s="2396"/>
      <c r="D81" s="2439" t="s">
        <v>2018</v>
      </c>
      <c r="E81" s="2440">
        <f>'SBL Quotes'!AA72</f>
        <v>1.35</v>
      </c>
      <c r="F81" s="2440">
        <f>'SBL Quotes'!AB72</f>
        <v>1.35</v>
      </c>
      <c r="G81" s="2440">
        <f>'SBL Quotes'!AC72</f>
        <v>1.35</v>
      </c>
      <c r="H81" s="2440">
        <f>'SBL Quotes'!AD72</f>
        <v>1.35</v>
      </c>
      <c r="I81" s="2440">
        <f>'SBL Quotes'!AE72</f>
        <v>1.35</v>
      </c>
      <c r="J81" s="2440">
        <f>'SBL Quotes'!AF72</f>
        <v>1.35</v>
      </c>
      <c r="K81" s="2440">
        <f>'SBL Quotes'!AG72</f>
        <v>1.35</v>
      </c>
      <c r="L81" s="2440">
        <f>'SBL Quotes'!AH72</f>
        <v>1.35</v>
      </c>
    </row>
    <row r="82" ht="9" customHeight="1" s="2394" customFormat="1">
      <c r="A82" s="2395"/>
      <c r="B82" s="2396"/>
      <c r="C82" s="2396"/>
      <c r="D82" s="2404" t="s">
        <v>1351</v>
      </c>
      <c r="E82" s="2409">
        <f>'SBL Quotes'!AA98</f>
        <v>3</v>
      </c>
      <c r="F82" s="2409">
        <f>'SBL Quotes'!AB98</f>
        <v>5</v>
      </c>
      <c r="G82" s="2409">
        <f>'SBL Quotes'!AC98</f>
        <v>7</v>
      </c>
      <c r="H82" s="2409">
        <f>'SBL Quotes'!AD98</f>
        <v>3</v>
      </c>
      <c r="I82" s="2409">
        <f>'SBL Quotes'!AE98</f>
        <v>5</v>
      </c>
      <c r="J82" s="2409">
        <f>'SBL Quotes'!AF98</f>
        <v>7</v>
      </c>
      <c r="K82" s="2409">
        <f>'SBL Quotes'!AG98</f>
        <v>3</v>
      </c>
      <c r="L82" s="2409">
        <f>'SBL Quotes'!AH98</f>
        <v>5</v>
      </c>
    </row>
    <row r="83" ht="9" customHeight="1" s="2394" customFormat="1">
      <c r="A83" s="2395"/>
      <c r="B83" s="2396"/>
      <c r="C83" s="2396"/>
      <c r="D83" s="2401" t="s">
        <v>604</v>
      </c>
      <c r="E83" s="2408">
        <f>'SBL Quotes'!AA46</f>
        <v>30</v>
      </c>
      <c r="F83" s="2408">
        <f>'SBL Quotes'!AB46</f>
        <v>30</v>
      </c>
      <c r="G83" s="2408">
        <f>'SBL Quotes'!AC46</f>
        <v>30</v>
      </c>
      <c r="H83" s="2408">
        <f>'SBL Quotes'!AD46</f>
        <v>30</v>
      </c>
      <c r="I83" s="2408">
        <f>'SBL Quotes'!AE46</f>
        <v>30</v>
      </c>
      <c r="J83" s="2408">
        <f>'SBL Quotes'!AF46</f>
        <v>30</v>
      </c>
      <c r="K83" s="2408">
        <f>'SBL Quotes'!AG46</f>
        <v>30</v>
      </c>
      <c r="L83" s="2408">
        <f>'SBL Quotes'!AH46</f>
        <v>30</v>
      </c>
    </row>
    <row r="84" ht="9" customHeight="1" s="2394" customFormat="1">
      <c r="A84" s="2395"/>
      <c r="B84" s="2396"/>
      <c r="C84" s="2396"/>
      <c r="D84" s="2404" t="s">
        <v>1362</v>
      </c>
      <c r="E84" s="2409">
        <f>'SBL Quotes'!AA43</f>
        <v>3</v>
      </c>
      <c r="F84" s="2409">
        <f>'SBL Quotes'!AB43</f>
        <v>5</v>
      </c>
      <c r="G84" s="2409">
        <f>'SBL Quotes'!AC43</f>
        <v>7</v>
      </c>
      <c r="H84" s="2409">
        <f>'SBL Quotes'!AD43</f>
        <v>3</v>
      </c>
      <c r="I84" s="2409">
        <f>'SBL Quotes'!AE43</f>
        <v>5</v>
      </c>
      <c r="J84" s="2409">
        <f>'SBL Quotes'!AF43</f>
        <v>7</v>
      </c>
      <c r="K84" s="2409">
        <f>'SBL Quotes'!AG43</f>
        <v>3</v>
      </c>
      <c r="L84" s="2409">
        <f>'SBL Quotes'!AH43</f>
        <v>5</v>
      </c>
    </row>
    <row r="85" ht="9" customHeight="1" s="2394" customFormat="1">
      <c r="A85" s="2395"/>
      <c r="B85" s="2396"/>
      <c r="C85" s="2396"/>
      <c r="D85" s="2411" t="s">
        <v>2019</v>
      </c>
      <c r="E85" s="2440" t="str">
        <f>SUBSTITUTE('SBL Quotes'!AA11,"YM","Yield Maintenance")</f>
        <v>1% Prepayment</v>
      </c>
      <c r="F85" s="2440" t="str">
        <f>SUBSTITUTE('SBL Quotes'!AB11,"YM","Yield Maintenance")</f>
        <v>1% Prepayment</v>
      </c>
      <c r="G85" s="2440" t="str">
        <f>SUBSTITUTE('SBL Quotes'!AC11,"YM","Yield Maintenance")</f>
        <v>1% Prepayment</v>
      </c>
      <c r="H85" s="2440" t="str">
        <f>SUBSTITUTE('SBL Quotes'!AD11,"YM","Yield Maintenance")</f>
        <v>1% Prepayment</v>
      </c>
      <c r="I85" s="2440" t="str">
        <f>SUBSTITUTE('SBL Quotes'!AE11,"YM","Yield Maintenance")</f>
        <v>1% Prepayment</v>
      </c>
      <c r="J85" s="2440" t="str">
        <f>SUBSTITUTE('SBL Quotes'!AF11,"YM","Yield Maintenance")</f>
        <v>1% Prepayment</v>
      </c>
      <c r="K85" s="2440" t="str">
        <f>SUBSTITUTE('SBL Quotes'!AG11,"YM","Yield Maintenance")</f>
        <v>1% Prepayment</v>
      </c>
      <c r="L85" s="2440" t="str">
        <f>SUBSTITUTE('SBL Quotes'!AH11,"YM","Yield Maintenance")</f>
        <v>1% Prepayment</v>
      </c>
    </row>
    <row r="86" ht="9" customHeight="1" s="2394" customFormat="1">
      <c r="A86" s="2395"/>
      <c r="B86" s="2396"/>
      <c r="C86" s="2396"/>
      <c r="D86" s="2410" t="s">
        <v>2021</v>
      </c>
      <c r="E86" s="2413" t="s">
        <v>2022</v>
      </c>
      <c r="F86" s="2413" t="s">
        <v>2022</v>
      </c>
      <c r="G86" s="2413" t="s">
        <v>2022</v>
      </c>
      <c r="H86" s="2413" t="s">
        <v>2022</v>
      </c>
      <c r="I86" s="2413" t="s">
        <v>2022</v>
      </c>
      <c r="J86" s="2413" t="s">
        <v>2022</v>
      </c>
      <c r="K86" s="2413" t="s">
        <v>2022</v>
      </c>
      <c r="L86" s="2413" t="s">
        <v>2022</v>
      </c>
    </row>
    <row r="87" ht="9" customHeight="1" s="2394" customFormat="1">
      <c r="A87" s="2395"/>
      <c r="B87" s="2396"/>
      <c r="C87" s="2396"/>
      <c r="D87" s="2411" t="s">
        <v>2023</v>
      </c>
      <c r="E87" s="2441" t="s">
        <v>2039</v>
      </c>
      <c r="F87" s="2441" t="s">
        <v>2039</v>
      </c>
      <c r="G87" s="2441" t="s">
        <v>2039</v>
      </c>
      <c r="H87" s="2441" t="s">
        <v>2039</v>
      </c>
      <c r="I87" s="2441" t="s">
        <v>2039</v>
      </c>
      <c r="J87" s="2441" t="s">
        <v>2039</v>
      </c>
      <c r="K87" s="2441" t="s">
        <v>2039</v>
      </c>
      <c r="L87" s="2441" t="s">
        <v>2039</v>
      </c>
    </row>
    <row r="88" ht="9" customHeight="1">
      <c r="A88" s="2395"/>
      <c r="B88" s="2396"/>
      <c r="C88" s="2396"/>
      <c r="D88" s="2410" t="s">
        <v>2025</v>
      </c>
      <c r="E88" s="2442">
        <f>'SBL Quotes'!AA31</f>
        <v>0.01</v>
      </c>
      <c r="F88" s="2442">
        <f>'SBL Quotes'!AB31</f>
        <v>0.01</v>
      </c>
      <c r="G88" s="2442">
        <f>'SBL Quotes'!AC31</f>
        <v>0.01</v>
      </c>
      <c r="H88" s="2442">
        <f>'SBL Quotes'!AD31</f>
        <v>0.01</v>
      </c>
      <c r="I88" s="2442">
        <f>'SBL Quotes'!AE31</f>
        <v>0.01</v>
      </c>
      <c r="J88" s="2442">
        <f>'SBL Quotes'!AF31</f>
        <v>0.01</v>
      </c>
      <c r="K88" s="2442">
        <f>'SBL Quotes'!AG31</f>
        <v>0.01</v>
      </c>
      <c r="L88" s="2442">
        <f>'SBL Quotes'!AH31</f>
        <v>0.01</v>
      </c>
      <c r="M88" s="2394"/>
      <c r="N88" s="2394"/>
      <c r="O88" s="2394"/>
      <c r="P88" s="2394"/>
      <c r="Q88" s="2394"/>
    </row>
    <row r="89" ht="9" customHeight="1" hidden="0" collapsed="0" outlineLevel="1">
      <c r="A89" s="2395"/>
      <c r="B89" s="2396"/>
      <c r="C89" s="2396"/>
      <c r="D89" s="2411" t="s">
        <v>2045</v>
      </c>
      <c r="E89" s="2453" t="s">
        <v>257</v>
      </c>
      <c r="F89" s="2453" t="s">
        <v>257</v>
      </c>
      <c r="G89" s="2453" t="s">
        <v>257</v>
      </c>
      <c r="H89" s="2453" t="s">
        <v>257</v>
      </c>
      <c r="I89" s="2453" t="s">
        <v>257</v>
      </c>
      <c r="J89" s="2453" t="s">
        <v>257</v>
      </c>
      <c r="K89" s="2453" t="s">
        <v>257</v>
      </c>
      <c r="L89" s="2453" t="s">
        <v>257</v>
      </c>
      <c r="M89" s="2394"/>
      <c r="N89" s="2394"/>
      <c r="O89" s="2394"/>
      <c r="P89" s="2394"/>
      <c r="Q89" s="2394"/>
    </row>
    <row r="90" ht="9" customHeight="1" hidden="0" collapsed="0" outlineLevel="1">
      <c r="A90" s="2395"/>
      <c r="B90" s="2396"/>
      <c r="C90" s="2396"/>
      <c r="D90" s="2410" t="s">
        <v>2027</v>
      </c>
      <c r="E90" s="2444">
        <f>IF('SBL Quotes'!AA$7&lt;10000000,12500,IF('SBL Quotes'!AA$7&gt;=20000000,30000,20000))</f>
        <v>12500</v>
      </c>
      <c r="F90" s="2444">
        <f>IF('SBL Quotes'!AB$7&lt;10000000,12500,IF('SBL Quotes'!AB$7&gt;=20000000,30000,20000))</f>
        <v>12500</v>
      </c>
      <c r="G90" s="2444">
        <f>IF('SBL Quotes'!AC$7&lt;10000000,12500,IF('SBL Quotes'!AC$7&gt;=20000000,30000,20000))</f>
        <v>12500</v>
      </c>
      <c r="H90" s="2444">
        <f>IF('SBL Quotes'!AD$7&lt;10000000,12500,IF('SBL Quotes'!AD$7&gt;=20000000,30000,20000))</f>
        <v>12500</v>
      </c>
      <c r="I90" s="2444">
        <f>IF('SBL Quotes'!AE$7&lt;10000000,12500,IF('SBL Quotes'!AE$7&gt;=20000000,30000,20000))</f>
        <v>12500</v>
      </c>
      <c r="J90" s="2444">
        <f>IF('SBL Quotes'!AF$7&lt;10000000,12500,IF('SBL Quotes'!AF$7&gt;=20000000,30000,20000))</f>
        <v>12500</v>
      </c>
      <c r="K90" s="2444">
        <f>IF('SBL Quotes'!AG$7&lt;10000000,12500,IF('SBL Quotes'!AG$7&gt;=20000000,30000,20000))</f>
        <v>12500</v>
      </c>
      <c r="L90" s="2444">
        <f>IF('SBL Quotes'!AH$7&lt;10000000,12500,IF('SBL Quotes'!AH$7&gt;=20000000,30000,20000))</f>
        <v>12500</v>
      </c>
      <c r="M90" s="2394"/>
      <c r="N90" s="2394"/>
      <c r="O90" s="2394"/>
      <c r="P90" s="2394"/>
      <c r="Q90" s="2394"/>
    </row>
    <row r="91" ht="9" customHeight="1" hidden="0" collapsed="0" outlineLevel="1">
      <c r="A91" s="2395"/>
      <c r="B91" s="2396"/>
      <c r="C91" s="2396"/>
      <c r="D91" s="2411" t="s">
        <v>2028</v>
      </c>
      <c r="E91" s="2445">
        <v>0.01</v>
      </c>
      <c r="F91" s="2445">
        <v>0.01</v>
      </c>
      <c r="G91" s="2445">
        <v>0.01</v>
      </c>
      <c r="H91" s="2445">
        <v>0.01</v>
      </c>
      <c r="I91" s="2445">
        <v>0.01</v>
      </c>
      <c r="J91" s="2445">
        <v>0.01</v>
      </c>
      <c r="K91" s="2445">
        <v>0.01</v>
      </c>
      <c r="L91" s="2445">
        <v>0.01</v>
      </c>
      <c r="M91" s="2394"/>
      <c r="N91" s="2394"/>
      <c r="O91" s="2394"/>
      <c r="P91" s="2394"/>
      <c r="Q91" s="2394"/>
    </row>
    <row r="92" ht="9" customHeight="1" hidden="0" collapsed="0" outlineLevel="1">
      <c r="A92" s="2395"/>
      <c r="B92" s="2396"/>
      <c r="C92" s="2396"/>
      <c r="D92" s="2410" t="s">
        <v>2029</v>
      </c>
      <c r="E92" s="2444">
        <v>15000</v>
      </c>
      <c r="F92" s="2444">
        <v>15000</v>
      </c>
      <c r="G92" s="2444">
        <v>15000</v>
      </c>
      <c r="H92" s="2444">
        <v>15000</v>
      </c>
      <c r="I92" s="2444">
        <v>15000</v>
      </c>
      <c r="J92" s="2444">
        <v>15000</v>
      </c>
      <c r="K92" s="2444">
        <v>15000</v>
      </c>
      <c r="L92" s="2444">
        <v>15000</v>
      </c>
      <c r="M92" s="2394"/>
      <c r="N92" s="2394"/>
      <c r="O92" s="2394"/>
      <c r="P92" s="2394"/>
      <c r="Q92" s="2394"/>
    </row>
    <row r="93" ht="9" customHeight="1" hidden="0" collapsed="0" outlineLevel="1">
      <c r="A93" s="2395"/>
      <c r="B93" s="2396"/>
      <c r="C93" s="2396"/>
      <c r="D93" s="2411" t="s">
        <v>2030</v>
      </c>
      <c r="E93" s="2446" t="s">
        <v>257</v>
      </c>
      <c r="F93" s="2446" t="s">
        <v>257</v>
      </c>
      <c r="G93" s="2446" t="s">
        <v>257</v>
      </c>
      <c r="H93" s="2446" t="s">
        <v>257</v>
      </c>
      <c r="I93" s="2446" t="s">
        <v>257</v>
      </c>
      <c r="J93" s="2446" t="s">
        <v>257</v>
      </c>
      <c r="K93" s="2446" t="s">
        <v>257</v>
      </c>
      <c r="L93" s="2446" t="s">
        <v>257</v>
      </c>
      <c r="M93" s="2394"/>
      <c r="N93" s="2394"/>
      <c r="O93" s="2394"/>
      <c r="P93" s="2394"/>
      <c r="Q93" s="2394"/>
    </row>
    <row r="94" ht="14.25" customHeight="1">
      <c r="A94" s="2454" t="s">
        <v>2046</v>
      </c>
      <c r="B94" s="2455">
        <f>_xlfn.LET(_xlpm.no_freddie_options,QLtr_NmbrOfColumnsToShow_FRE=0,_xlpm.only_freddie_options,QLtr_NmbrOfColumnsToShow_FNM+QLtr_NmbrOfColumnsToShow_WPL=0,_xlpm.is_blank_sizer,SBL_FreddieNOI+SBL_FannieNOI=0,_xlpm.noi_to_display,MAX(SBL_FreddieNOI,SBL_FannieNOI),IF(_xlpm.is_blank_sizer,"xxx,xxx",IF(_xlpm.only_freddie_options,SBL_FreddieNOI,IF(_xlpm.no_freddie_options,SBL_FannieNOI,_xlpm.noi_to_display))))</f>
        <v>-1616089.29</v>
      </c>
      <c r="D94" s="2456"/>
      <c r="E94" s="2456"/>
      <c r="F94" s="2456"/>
      <c r="G94" s="2456"/>
      <c r="H94" s="2456"/>
      <c r="I94" s="2457"/>
      <c r="J94" s="2457"/>
      <c r="K94" s="2457"/>
      <c r="L94" s="2457"/>
    </row>
    <row r="95" ht="14.25" customHeight="1">
      <c r="A95" s="2454" t="s">
        <v>2047</v>
      </c>
      <c r="B95" s="2458" t="s">
        <v>2048</v>
      </c>
      <c r="D95" s="2459" t="s">
        <v>2031</v>
      </c>
      <c r="E95" s="2460"/>
      <c r="F95" s="2460"/>
      <c r="G95" s="2460"/>
      <c r="H95" s="2461"/>
      <c r="I95" s="2457"/>
      <c r="J95" s="2457"/>
      <c r="K95" s="2457"/>
      <c r="L95" s="2457"/>
    </row>
    <row r="96" ht="84.75" customHeight="1">
      <c r="B96" s="2376"/>
      <c r="D96" s="2422" t="str">
        <f>_xlfn.CONCAT("Proposed loan terms are based on an estimated underwritten NOI of $",TEXT(B94,"#,##0")," and are subject to Lender approval and appraisal support. Terms assume borrower meets minimum requirements including, but not limited to: ","(1) minimum net worth greater than or equal to the loan amount; ","(2) combined liquidity greater than or equal to 9 months' debt service; ","(3) acceptable credit history; and ","(4) acceptable experience owning/operating multifamily. ","Terms also assume the property is stabilized at an average occupancy of no less than 90% for the trailing three months and collections over the trailing three-month period are steady or improving. ","Quote dated ",TEXT(B95,"mm/dd/yyyy"),".")</f>
        <v>Proposed loan terms are based on an estimated underwritten NOI of $-1,616,089 and are subject to Lender approval and appraisal support. Terms assume borrower meets minimum requirements including, but not limited to: (1) minimum net worth greater than or equal to the loan amount; (2) combined liquidity greater than or equal to 9 months' debt service; (3) acceptable credit history; and (4) acceptable experience owning/operating multifamily. Terms also assume the property is stabilized at an average occupancy of no less than 90% for the trailing three months and collections over the trailing three-month period are steady or improving. Quote dated xx/xx/xxxx.</v>
      </c>
      <c r="E96" s="2423"/>
      <c r="F96" s="2423"/>
      <c r="G96" s="2423"/>
      <c r="H96" s="2424"/>
    </row>
  </sheetData>
  <mergeCells>
    <mergeCell ref="B8:B9"/>
    <mergeCell ref="D96:H96"/>
    <mergeCell ref="D8:P8"/>
    <mergeCell ref="D9:P9"/>
    <mergeCell ref="D64:H64"/>
    <mergeCell ref="D32:H32"/>
    <mergeCell ref="E34:P34"/>
    <mergeCell ref="E35:P35"/>
    <mergeCell ref="E36:P36"/>
    <mergeCell ref="D37:P37"/>
    <mergeCell ref="D38:P38"/>
    <mergeCell ref="E66:P66"/>
    <mergeCell ref="E67:P67"/>
    <mergeCell ref="E68:P68"/>
    <mergeCell ref="D69:P69"/>
    <mergeCell ref="D70:P70"/>
    <mergeCell ref="E5:P5"/>
    <mergeCell ref="E6:P6"/>
    <mergeCell ref="E7:P7"/>
  </mergeCells>
  <conditionalFormatting sqref="Q96">
    <cfRule type="expression" dxfId="39" priority="15" text="null">
      <formula>$B$2&lt;4</formula>
    </cfRule>
  </conditionalFormatting>
  <conditionalFormatting sqref="D94:L94">
    <cfRule type="expression" dxfId="40" priority="14" text="null">
      <formula>$B$71=0</formula>
    </cfRule>
  </conditionalFormatting>
  <conditionalFormatting sqref="D30:P30">
    <cfRule type="expression" dxfId="40" priority="1" text="null">
      <formula>$B$10=0</formula>
    </cfRule>
  </conditionalFormatting>
  <conditionalFormatting sqref="Q64:Q70">
    <cfRule type="expression" dxfId="39" priority="4" text="null">
      <formula>$B$2&lt;4</formula>
    </cfRule>
  </conditionalFormatting>
  <conditionalFormatting sqref="Q32:Q38">
    <cfRule type="expression" dxfId="39" priority="3" text="null">
      <formula>$B$2&lt;4</formula>
    </cfRule>
  </conditionalFormatting>
  <conditionalFormatting sqref="E11:P29">
    <cfRule type="expression" dxfId="41" priority="2" text="null">
      <formula>(COLUMN(E:E)-COLUMN($E:$E)+1)&gt;$B$10</formula>
    </cfRule>
  </conditionalFormatting>
  <conditionalFormatting sqref="E11:P29">
    <cfRule type="expression" dxfId="42" priority="13" text="null">
      <formula>(COLUMN(E:E)-COLUMN($E:$E)+1)=$B$10</formula>
    </cfRule>
  </conditionalFormatting>
  <conditionalFormatting sqref="E40:L61">
    <cfRule type="expression" dxfId="41" priority="1082" text="null">
      <formula>(COLUMN(E:E)-COLUMN($E:$E)+1)&gt;$B$39</formula>
    </cfRule>
  </conditionalFormatting>
  <conditionalFormatting sqref="E40:L61">
    <cfRule type="expression" dxfId="42" priority="1083" text="null">
      <formula>(COLUMN(E:E)-COLUMN($E:$E)+1)=$B$39</formula>
    </cfRule>
  </conditionalFormatting>
  <conditionalFormatting sqref="E72:L93">
    <cfRule type="expression" dxfId="41" priority="1084" text="null">
      <formula>(COLUMN(E:E)-COLUMN($E:$E)+1)&gt;$B$71</formula>
    </cfRule>
  </conditionalFormatting>
  <conditionalFormatting sqref="E72:L93">
    <cfRule type="expression" dxfId="42" priority="1085" text="null">
      <formula>(COLUMN(E:E)-COLUMN($E:$E)+1)=$B$71</formula>
    </cfRule>
  </conditionalFormatting>
  <dataValidations count="4">
    <dataValidation allowBlank="1" error="Must be a valid whole number,_x005F_x005F_x000A_between 0 and 12 for Freddie,_x005F_x005F_x000A_between 0 and 8 for Fannie or WPL." errorTitle="Invalid Options" showErrorMessage="1" showInputMessage="1" sqref="B39 B71" type="whole">
      <formula1>0</formula1>
      <formula2>8</formula2>
    </dataValidation>
    <dataValidation allowBlank="1" error="Must be a valid whole number,_x005F_x005F_x000A_between 0 and 12 for Freddie,_x005F_x005F_x000A_between 0 and 8 for Fannie or WPL." errorTitle="Invalid Options" showErrorMessage="1" showInputMessage="1" sqref="B10" type="whole">
      <formula1>0</formula1>
      <formula2>12</formula2>
    </dataValidation>
    <dataValidation allowBlank="1" showErrorMessage="1" showInputMessage="1" sqref="C10" type="whole">
      <formula1>0</formula1>
      <formula2>12</formula2>
    </dataValidation>
    <dataValidation allowBlank="1" showErrorMessage="1" showInputMessage="1" sqref="C39 C71" type="whole">
      <formula1>0</formula1>
      <formula2>8</formula2>
    </dataValidation>
  </dataValidations>
  <printOptions/>
  <pageMargins left="0.7" right="0.7" top="0.75" bottom="0.75" header="0.3" footer="0.3"/>
  <pageSetup paperSize="1" useFirstPageNumber="1" firstPageNumber="1" scale="88" pageOrder="downThenOver" orientation="landscape"/>
  <headerFooter>
    <oddFooter>&amp;L&amp;D &amp;B&amp;I, &amp;I&amp;B&amp;T&amp;CPage &amp;P of &amp;N&amp;R</oddFooter>
  </headerFooter>
  <rowBreaks count="2" manualBreakCount="2">
    <brk id="33" man="1" max="1048576"/>
    <brk id="65" man="1" max="1048576"/>
  </rowBreaks>
  <drawing r:id="rId1"/>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37FB3DD7-E341-C3A8-4762-538B0FF0FE6C}" mc:Ignorable="x14ac xr xr2 xr3">
  <sheetPr>
    <tabColor rgb="FF00B050"/>
    <pageSetUpPr fitToPage="1"/>
  </sheetPr>
  <dimension ref="A1:AE46"/>
  <sheetViews>
    <sheetView topLeftCell="A8" workbookViewId="0">
      <selection activeCell="B35" sqref="B35"/>
    </sheetView>
  </sheetViews>
  <sheetFormatPr defaultRowHeight="15" defaultColWidth="0" customHeight="1" outlineLevelRow="1"/>
  <cols>
    <col min="1" max="1" style="625" width="34.28125" customWidth="1"/>
    <col min="2" max="4" style="625" width="15.7109375" customWidth="1"/>
    <col min="5" max="13" style="625" width="19.7109375" hidden="1" customWidth="1"/>
    <col min="14" max="16" style="625" width="15.7109375" customWidth="1"/>
    <col min="17" max="21" style="625" width="19.7109375" hidden="1" customWidth="1"/>
    <col min="22" max="23" style="625" width="15.7109375" customWidth="1"/>
    <col min="24" max="29" style="625" width="19.7109375" hidden="1" customWidth="1"/>
    <col min="30" max="30" style="625" width="3.57421875" customWidth="1"/>
    <col min="31" max="31" style="625" width="24.7109375" hidden="1" customWidth="1"/>
  </cols>
  <sheetData>
    <row r="1" ht="15" customHeight="1" hidden="1">
      <c r="A1" s="625" t="s">
        <v>2049</v>
      </c>
      <c r="B1" s="625" cm="1">
        <f t="array" ref="B1">IF(INDEX(CELL("width",B1),1)=0,0,1)</f>
        <v>1</v>
      </c>
      <c r="C1" s="625" cm="1">
        <f t="array" ref="C1">IF(INDEX(CELL("width",C1),1)=0,0,MAX($B1:B1)+1)</f>
        <v>2</v>
      </c>
      <c r="D1" s="625" cm="1">
        <f t="array" ref="D1">IF(INDEX(CELL("width",D1),1)=0,0,MAX($B1:C1)+1)</f>
        <v>3</v>
      </c>
      <c r="E1" s="625" cm="1">
        <f t="array" ref="E1">IF(INDEX(CELL("width",E1),1)=0,0,MAX($B1:D1)+1)</f>
        <v>0</v>
      </c>
      <c r="F1" s="625" cm="1">
        <f t="array" ref="F1">IF(INDEX(CELL("width",F1),1)=0,0,MAX($B1:E1)+1)</f>
        <v>0</v>
      </c>
      <c r="G1" s="625" cm="1">
        <f t="array" ref="G1">IF(INDEX(CELL("width",G1),1)=0,0,MAX($B1:F1)+1)</f>
        <v>0</v>
      </c>
      <c r="H1" s="625" cm="1">
        <f t="array" ref="H1">IF(INDEX(CELL("width",H1),1)=0,0,MAX($B1:G1)+1)</f>
        <v>0</v>
      </c>
      <c r="I1" s="625" cm="1">
        <f t="array" ref="I1">IF(INDEX(CELL("width",I1),1)=0,0,MAX($B1:H1)+1)</f>
        <v>0</v>
      </c>
      <c r="J1" s="625" cm="1">
        <f t="array" ref="J1">IF(INDEX(CELL("width",J1),1)=0,0,MAX($B1:I1)+1)</f>
        <v>0</v>
      </c>
      <c r="K1" s="625" cm="1">
        <f t="array" ref="K1">IF(INDEX(CELL("width",K1),1)=0,0,MAX($B1:J1)+1)</f>
        <v>0</v>
      </c>
      <c r="L1" s="625" cm="1">
        <f t="array" ref="L1">IF(INDEX(CELL("width",L1),1)=0,0,MAX($B1:K1)+1)</f>
        <v>0</v>
      </c>
      <c r="M1" s="625" cm="1">
        <f t="array" ref="M1">IF(INDEX(CELL("width",M1),1)=0,0,MAX($B1:L1)+1)</f>
        <v>0</v>
      </c>
      <c r="N1" s="625" cm="1">
        <f t="array" ref="N1">IF(INDEX(CELL("width",N1),1)=0,0,MAX($B1:M1)+1)</f>
        <v>4</v>
      </c>
      <c r="O1" s="625" cm="1">
        <f t="array" ref="O1">IF(INDEX(CELL("width",O1),1)=0,0,MAX($B1:N1)+1)</f>
        <v>5</v>
      </c>
      <c r="P1" s="625" cm="1">
        <f t="array" ref="P1">IF(INDEX(CELL("width",P1),1)=0,0,MAX($B1:O1)+1)</f>
        <v>6</v>
      </c>
      <c r="Q1" s="625" cm="1">
        <f t="array" ref="Q1">IF(INDEX(CELL("width",Q1),1)=0,0,MAX($B1:P1)+1)</f>
        <v>0</v>
      </c>
      <c r="R1" s="625" cm="1">
        <f t="array" ref="R1">IF(INDEX(CELL("width",R1),1)=0,0,MAX($B1:Q1)+1)</f>
        <v>0</v>
      </c>
      <c r="S1" s="625" cm="1">
        <f t="array" ref="S1">IF(INDEX(CELL("width",S1),1)=0,0,MAX($B1:R1)+1)</f>
        <v>0</v>
      </c>
      <c r="T1" s="625" cm="1">
        <f t="array" ref="T1">IF(INDEX(CELL("width",T1),1)=0,0,MAX($B1:S1)+1)</f>
        <v>0</v>
      </c>
      <c r="U1" s="625" cm="1">
        <f t="array" ref="U1">IF(INDEX(CELL("width",U1),1)=0,0,MAX($B1:T1)+1)</f>
        <v>0</v>
      </c>
      <c r="V1" s="625" cm="1">
        <f t="array" ref="V1">IF(INDEX(CELL("width",V1),1)=0,0,MAX($B1:U1)+1)</f>
        <v>7</v>
      </c>
      <c r="W1" s="625" cm="1">
        <f t="array" ref="W1">IF(INDEX(CELL("width",W1),1)=0,0,MAX($B1:V1)+1)</f>
        <v>8</v>
      </c>
      <c r="X1" s="625" cm="1">
        <f t="array" ref="X1">IF(INDEX(CELL("width",X1),1)=0,0,MAX($B1:W1)+1)</f>
        <v>0</v>
      </c>
      <c r="Y1" s="625" cm="1">
        <f t="array" ref="Y1">IF(INDEX(CELL("width",Y1),1)=0,0,MAX($B1:X1)+1)</f>
        <v>0</v>
      </c>
      <c r="Z1" s="625" cm="1">
        <f t="array" ref="Z1">IF(INDEX(CELL("width",Z1),1)=0,0,MAX($B1:Y1)+1)</f>
        <v>0</v>
      </c>
      <c r="AA1" s="625" cm="1">
        <f t="array" ref="AA1">IF(INDEX(CELL("width",AA1),1)=0,0,MAX($B1:Z1)+1)</f>
        <v>0</v>
      </c>
      <c r="AB1" s="625" cm="1">
        <f t="array" ref="AB1">IF(INDEX(CELL("width",AB1),1)=0,0,MAX($B1:AA1)+1)</f>
        <v>0</v>
      </c>
      <c r="AC1" s="625" cm="1">
        <f t="array" ref="AC1">IF(INDEX(CELL("width",AC1),1)=0,0,MAX($B1:AB1)+1)</f>
        <v>0</v>
      </c>
    </row>
    <row r="2" ht="30" customHeight="1" hidden="1">
      <c r="A2" s="2462" t="str">
        <f>"QUOTE SHEET"&amp;IF(LEN(A7)&gt;0,""," (Effective "&amp;TEXT(IF(LEN(SBL_DatePriced)&gt;0,SBL_DatePriced,DailyPricing!E6),"ddd m/d/yy")&amp;")")</f>
        <v>QUOTE SHEET</v>
      </c>
      <c r="B2" s="2462"/>
      <c r="C2" s="2462"/>
      <c r="D2" s="2462"/>
      <c r="E2" s="2462"/>
      <c r="F2" s="2462"/>
      <c r="G2" s="2462"/>
      <c r="H2" s="2462"/>
      <c r="I2" s="2462"/>
      <c r="J2" s="2462"/>
      <c r="K2" s="2462"/>
      <c r="L2" s="2462"/>
      <c r="M2" s="2462"/>
      <c r="N2" s="2462"/>
      <c r="O2" s="2462"/>
      <c r="P2" s="2462"/>
      <c r="Q2" s="2462"/>
      <c r="R2" s="2462"/>
      <c r="S2" s="2462"/>
      <c r="T2" s="2462"/>
      <c r="U2" s="2462"/>
      <c r="V2" s="2462"/>
      <c r="W2" s="2462"/>
      <c r="X2" s="2462"/>
      <c r="Y2" s="2462"/>
      <c r="Z2" s="2462"/>
      <c r="AA2" s="2462"/>
      <c r="AB2" s="2462"/>
      <c r="AC2" s="2462"/>
      <c r="AD2" s="2463"/>
    </row>
    <row r="3" ht="9" customHeight="1">
      <c r="A3" s="2464"/>
      <c r="B3" s="2464"/>
      <c r="C3" s="2464"/>
      <c r="D3" s="2464"/>
      <c r="E3" s="2464"/>
      <c r="F3" s="2464"/>
      <c r="G3" s="2464"/>
      <c r="H3" s="2464"/>
      <c r="I3" s="2464"/>
      <c r="J3" s="2464"/>
      <c r="K3" s="2464"/>
      <c r="L3" s="2464"/>
      <c r="M3" s="2464"/>
      <c r="N3" s="2464"/>
      <c r="O3" s="2464"/>
      <c r="P3" s="2464"/>
      <c r="Q3" s="2464"/>
      <c r="R3" s="2464"/>
      <c r="S3" s="2464"/>
      <c r="T3" s="2464"/>
      <c r="U3" s="2464"/>
      <c r="V3" s="2464"/>
      <c r="W3" s="2464"/>
      <c r="X3" s="2464"/>
      <c r="Y3" s="2464"/>
      <c r="Z3" s="2464"/>
      <c r="AA3" s="2464"/>
      <c r="AB3" s="2464"/>
      <c r="AC3" s="2464"/>
      <c r="AD3" s="2463"/>
    </row>
    <row r="4" ht="23.25" customHeight="1">
      <c r="A4" s="2465" t="str">
        <f>IF('SBL Quotes'!$B$6=0,"Property Name",'SBL Quotes'!$B$6)</f>
        <v>XXXX</v>
      </c>
      <c r="B4" s="2465"/>
      <c r="C4" s="2465"/>
      <c r="D4" s="2465"/>
      <c r="E4" s="2465"/>
      <c r="F4" s="2465"/>
      <c r="G4" s="2465"/>
      <c r="H4" s="2465"/>
      <c r="I4" s="2465"/>
      <c r="J4" s="2465"/>
      <c r="K4" s="2465"/>
      <c r="L4" s="2465"/>
      <c r="M4" s="2465"/>
      <c r="N4" s="2465"/>
      <c r="O4" s="2465"/>
      <c r="P4" s="2465"/>
      <c r="Q4" s="2465"/>
      <c r="R4" s="2465"/>
      <c r="S4" s="2465"/>
      <c r="T4" s="2465"/>
      <c r="U4" s="2465"/>
      <c r="V4" s="2465"/>
      <c r="W4" s="2465"/>
      <c r="X4" s="2465"/>
      <c r="Y4" s="2465"/>
      <c r="Z4" s="2465"/>
      <c r="AA4" s="2465"/>
      <c r="AB4" s="2465"/>
      <c r="AC4" s="2465"/>
      <c r="AD4" s="2463"/>
    </row>
    <row r="5" ht="6" customHeight="1">
      <c r="A5" s="2464"/>
      <c r="B5" s="2466"/>
      <c r="C5" s="2466"/>
      <c r="D5" s="2466"/>
      <c r="E5" s="2466"/>
      <c r="F5" s="2466"/>
      <c r="G5" s="2466"/>
      <c r="H5" s="2466"/>
      <c r="I5" s="2466"/>
      <c r="J5" s="2466"/>
      <c r="K5" s="2466"/>
      <c r="L5" s="2466"/>
      <c r="M5" s="2466"/>
      <c r="N5" s="2466"/>
      <c r="O5" s="2466"/>
      <c r="P5" s="2466"/>
      <c r="Q5" s="2466"/>
      <c r="R5" s="2466"/>
      <c r="S5" s="2466"/>
      <c r="T5" s="2466"/>
      <c r="U5" s="2466"/>
      <c r="V5" s="2466"/>
      <c r="W5" s="2466"/>
      <c r="X5" s="2466"/>
      <c r="Y5" s="2466"/>
      <c r="Z5" s="2466"/>
      <c r="AA5" s="2466"/>
      <c r="AB5" s="2466"/>
      <c r="AC5" s="2466"/>
      <c r="AD5" s="2463"/>
    </row>
    <row r="6" ht="25.5" customHeight="1">
      <c r="A6" s="2466" t="str">
        <f>'SBL Quotes'!E2</f>
        <v> | City, XX</v>
      </c>
      <c r="B6" s="2466"/>
      <c r="C6" s="2466"/>
      <c r="D6" s="2466"/>
      <c r="E6" s="2466"/>
      <c r="F6" s="2466"/>
      <c r="G6" s="2466"/>
      <c r="H6" s="2466"/>
      <c r="I6" s="2466"/>
      <c r="J6" s="2466"/>
      <c r="K6" s="2466"/>
      <c r="L6" s="2466"/>
      <c r="M6" s="2466"/>
      <c r="N6" s="2466"/>
      <c r="O6" s="2466"/>
      <c r="P6" s="2466"/>
      <c r="Q6" s="2466"/>
      <c r="R6" s="2466"/>
      <c r="S6" s="2466"/>
      <c r="T6" s="2466"/>
      <c r="U6" s="2466"/>
      <c r="V6" s="2466"/>
      <c r="W6" s="2466"/>
      <c r="X6" s="2466"/>
      <c r="Y6" s="2466"/>
      <c r="Z6" s="2466"/>
      <c r="AA6" s="2466"/>
      <c r="AB6" s="2466"/>
      <c r="AC6" s="2466"/>
      <c r="AD6" s="2463"/>
    </row>
    <row r="7" ht="15.75" customHeight="1">
      <c r="A7" s="2467" t="str">
        <f>IF(SBL_FreddieOptionsToView+SBL_FannieOptionsToView&lt;5,"Pricing Effective "&amp;TEXT(IF(LEN(SBL_DatePriced)&gt;0,SBL_DatePriced,DailyPricing!E6),"ddd m/d/yy"),IF(A4="XXXX","-",""))</f>
        <v>-</v>
      </c>
      <c r="B7" s="2468">
        <v>1</v>
      </c>
      <c r="C7" s="2469">
        <v>2</v>
      </c>
      <c r="D7" s="2468">
        <v>3</v>
      </c>
      <c r="E7" s="2469">
        <v>4</v>
      </c>
      <c r="F7" s="2468">
        <v>5</v>
      </c>
      <c r="G7" s="2469">
        <v>6</v>
      </c>
      <c r="H7" s="2468">
        <v>7</v>
      </c>
      <c r="I7" s="2469">
        <v>8</v>
      </c>
      <c r="J7" s="2468">
        <v>9</v>
      </c>
      <c r="K7" s="2469">
        <v>10</v>
      </c>
      <c r="L7" s="2468">
        <v>11</v>
      </c>
      <c r="M7" s="2469">
        <v>12</v>
      </c>
      <c r="N7" s="2468">
        <v>1</v>
      </c>
      <c r="O7" s="2469">
        <v>2</v>
      </c>
      <c r="P7" s="2468">
        <v>3</v>
      </c>
      <c r="Q7" s="2469">
        <v>4</v>
      </c>
      <c r="R7" s="2468">
        <v>5</v>
      </c>
      <c r="S7" s="2469">
        <v>6</v>
      </c>
      <c r="T7" s="2468">
        <v>7</v>
      </c>
      <c r="U7" s="2469">
        <v>8</v>
      </c>
      <c r="V7" s="2468">
        <v>1</v>
      </c>
      <c r="W7" s="2469">
        <v>2</v>
      </c>
      <c r="X7" s="2468">
        <v>3</v>
      </c>
      <c r="Y7" s="2469">
        <v>4</v>
      </c>
      <c r="Z7" s="2468">
        <v>5</v>
      </c>
      <c r="AA7" s="2469">
        <v>6</v>
      </c>
      <c r="AB7" s="2468">
        <v>7</v>
      </c>
      <c r="AC7" s="2469">
        <v>8</v>
      </c>
      <c r="AD7" s="2463"/>
    </row>
    <row r="8" ht="15.75" customHeight="1">
      <c r="A8" s="2470"/>
      <c r="B8" s="2471" t="s">
        <v>2051</v>
      </c>
      <c r="C8" s="2472" t="s">
        <v>2051</v>
      </c>
      <c r="D8" s="2471" t="s">
        <v>2051</v>
      </c>
      <c r="E8" s="2472" t="s">
        <v>2051</v>
      </c>
      <c r="F8" s="2471" t="s">
        <v>2051</v>
      </c>
      <c r="G8" s="2472" t="s">
        <v>2051</v>
      </c>
      <c r="H8" s="2471" t="s">
        <v>2051</v>
      </c>
      <c r="I8" s="2472" t="s">
        <v>2051</v>
      </c>
      <c r="J8" s="2471" t="s">
        <v>2051</v>
      </c>
      <c r="K8" s="2472" t="s">
        <v>2051</v>
      </c>
      <c r="L8" s="2471" t="s">
        <v>2051</v>
      </c>
      <c r="M8" s="2472" t="s">
        <v>2051</v>
      </c>
      <c r="N8" s="2471" t="s">
        <v>2052</v>
      </c>
      <c r="O8" s="2472" t="s">
        <v>2052</v>
      </c>
      <c r="P8" s="2471" t="s">
        <v>2052</v>
      </c>
      <c r="Q8" s="2472" t="s">
        <v>2052</v>
      </c>
      <c r="R8" s="2471" t="s">
        <v>2052</v>
      </c>
      <c r="S8" s="2472" t="s">
        <v>2052</v>
      </c>
      <c r="T8" s="2471" t="s">
        <v>2052</v>
      </c>
      <c r="U8" s="2472" t="s">
        <v>2052</v>
      </c>
      <c r="V8" s="2471" t="s">
        <v>525</v>
      </c>
      <c r="W8" s="2472" t="s">
        <v>525</v>
      </c>
      <c r="X8" s="2471" t="s">
        <v>525</v>
      </c>
      <c r="Y8" s="2472" t="s">
        <v>525</v>
      </c>
      <c r="Z8" s="2471" t="s">
        <v>525</v>
      </c>
      <c r="AA8" s="2472" t="s">
        <v>525</v>
      </c>
      <c r="AB8" s="2471" t="s">
        <v>525</v>
      </c>
      <c r="AC8" s="2472" t="s">
        <v>525</v>
      </c>
      <c r="AD8" s="2463"/>
    </row>
    <row r="9" ht="21.75" customHeight="1">
      <c r="A9" s="2473" t="s">
        <v>742</v>
      </c>
      <c r="B9" s="2474" t="str">
        <f>'SBL Quotes'!E6</f>
        <v>5 YR Fixed</v>
      </c>
      <c r="C9" s="2475" t="str">
        <f>'SBL Quotes'!F6</f>
        <v>7 YR Fixed</v>
      </c>
      <c r="D9" s="2474" t="str">
        <f>'SBL Quotes'!G6</f>
        <v>10 YR Fixed</v>
      </c>
      <c r="E9" s="2475" t="str">
        <f>'SBL Quotes'!H6</f>
        <v>5 YR Fixed</v>
      </c>
      <c r="F9" s="2474" t="str">
        <f>'SBL Quotes'!I6</f>
        <v>7 YR Fixed</v>
      </c>
      <c r="G9" s="2475" t="str">
        <f>'SBL Quotes'!J6</f>
        <v>10 YR Fixed</v>
      </c>
      <c r="H9" s="2474" t="str">
        <f>'SBL Quotes'!K6</f>
        <v>5 YR Hybrid</v>
      </c>
      <c r="I9" s="2475" t="str">
        <f>'SBL Quotes'!L6</f>
        <v>7 YR Hybrid</v>
      </c>
      <c r="J9" s="2474" t="str">
        <f>'SBL Quotes'!M6</f>
        <v>10 YR Fixed</v>
      </c>
      <c r="K9" s="2475" t="str">
        <f>'SBL Quotes'!N6</f>
        <v>5 YR Hybrid</v>
      </c>
      <c r="L9" s="2474" t="str">
        <f>'SBL Quotes'!O6</f>
        <v>7 YR Hybrid</v>
      </c>
      <c r="M9" s="2475" t="str">
        <f>'SBL Quotes'!P6</f>
        <v>10 YR Fixed</v>
      </c>
      <c r="N9" s="2474" t="str">
        <f>'SBL Quotes'!R6</f>
        <v>10 YR Fixed</v>
      </c>
      <c r="O9" s="2475" t="str">
        <f>'SBL Quotes'!S6</f>
        <v>12 YR Fixed</v>
      </c>
      <c r="P9" s="2474" t="str">
        <f>'SBL Quotes'!T6</f>
        <v>15 YR Fixed</v>
      </c>
      <c r="Q9" s="2475" t="str">
        <f>'SBL Quotes'!U6</f>
        <v>10 YR Fixed</v>
      </c>
      <c r="R9" s="2474" t="str">
        <f>'SBL Quotes'!V6</f>
        <v>10 YR Fixed</v>
      </c>
      <c r="S9" s="2475" t="str">
        <f>'SBL Quotes'!W6</f>
        <v>5 YR Fixed</v>
      </c>
      <c r="T9" s="2474" t="str">
        <f>'SBL Quotes'!X6</f>
        <v>5 YR Fixed</v>
      </c>
      <c r="U9" s="2475" t="str">
        <f>'SBL Quotes'!Y6</f>
        <v>10 YR Variable</v>
      </c>
      <c r="V9" s="2474" t="str">
        <f>'SBL Quotes'!AA6</f>
        <v>3 YR Floating</v>
      </c>
      <c r="W9" s="2475" t="str">
        <f>'SBL Quotes'!AB6</f>
        <v>5 YR Floating</v>
      </c>
      <c r="X9" s="2474" t="str">
        <f>'SBL Quotes'!AC6</f>
        <v>7 YR Floating</v>
      </c>
      <c r="Y9" s="2475" t="str">
        <f>'SBL Quotes'!AD6</f>
        <v>3 YR Floating</v>
      </c>
      <c r="Z9" s="2474" t="str">
        <f>'SBL Quotes'!AE6</f>
        <v>5 YR Floating</v>
      </c>
      <c r="AA9" s="2475" t="str">
        <f>'SBL Quotes'!AF6</f>
        <v>7 YR Floating</v>
      </c>
      <c r="AB9" s="2474" t="str">
        <f>'SBL Quotes'!AG6</f>
        <v>3 YR Floating</v>
      </c>
      <c r="AC9" s="2475" t="str">
        <f>'SBL Quotes'!AH6</f>
        <v>5 YR Floating</v>
      </c>
      <c r="AD9" s="2463"/>
    </row>
    <row r="10" ht="21" customHeight="1">
      <c r="A10" s="2473" t="s">
        <v>572</v>
      </c>
      <c r="B10" s="2476">
        <f>'SBL Quotes'!E7</f>
        <v>0</v>
      </c>
      <c r="C10" s="2477">
        <f>'SBL Quotes'!F7</f>
        <v>0</v>
      </c>
      <c r="D10" s="2476">
        <f>'SBL Quotes'!G7</f>
        <v>0</v>
      </c>
      <c r="E10" s="2477">
        <f>'SBL Quotes'!H7</f>
        <v>0</v>
      </c>
      <c r="F10" s="2476">
        <f>'SBL Quotes'!I7</f>
        <v>0</v>
      </c>
      <c r="G10" s="2477">
        <f>'SBL Quotes'!J7</f>
        <v>0</v>
      </c>
      <c r="H10" s="2476">
        <f>'SBL Quotes'!K7</f>
        <v>0</v>
      </c>
      <c r="I10" s="2477">
        <f>'SBL Quotes'!L7</f>
        <v>0</v>
      </c>
      <c r="J10" s="2476">
        <f>'SBL Quotes'!M7</f>
        <v>0</v>
      </c>
      <c r="K10" s="2477">
        <f>'SBL Quotes'!N7</f>
        <v>0</v>
      </c>
      <c r="L10" s="2476">
        <f>'SBL Quotes'!O7</f>
        <v>0</v>
      </c>
      <c r="M10" s="2477">
        <f>'SBL Quotes'!P7</f>
        <v>0</v>
      </c>
      <c r="N10" s="2476">
        <f>'SBL Quotes'!R7</f>
        <v>0</v>
      </c>
      <c r="O10" s="2477">
        <f>'SBL Quotes'!S7</f>
        <v>0</v>
      </c>
      <c r="P10" s="2476">
        <f>'SBL Quotes'!T7</f>
        <v>0</v>
      </c>
      <c r="Q10" s="2477">
        <f>'SBL Quotes'!U7</f>
        <v>0</v>
      </c>
      <c r="R10" s="2476">
        <f>'SBL Quotes'!V7</f>
        <v>0</v>
      </c>
      <c r="S10" s="2477">
        <f>'SBL Quotes'!W7</f>
        <v>0</v>
      </c>
      <c r="T10" s="2476">
        <f>'SBL Quotes'!X7</f>
        <v>0</v>
      </c>
      <c r="U10" s="2477">
        <f>'SBL Quotes'!Y7</f>
        <v>0</v>
      </c>
      <c r="V10" s="2476">
        <f>'SBL Quotes'!AA7</f>
        <v>0</v>
      </c>
      <c r="W10" s="2477">
        <f>'SBL Quotes'!AB7</f>
        <v>0</v>
      </c>
      <c r="X10" s="2476">
        <f>'SBL Quotes'!AC7</f>
        <v>0</v>
      </c>
      <c r="Y10" s="2477">
        <f>'SBL Quotes'!AD7</f>
        <v>0</v>
      </c>
      <c r="Z10" s="2476">
        <f>'SBL Quotes'!AE7</f>
        <v>0</v>
      </c>
      <c r="AA10" s="2477">
        <f>'SBL Quotes'!AF7</f>
        <v>0</v>
      </c>
      <c r="AB10" s="2476">
        <f>'SBL Quotes'!AG7</f>
        <v>0</v>
      </c>
      <c r="AC10" s="2477">
        <f>'SBL Quotes'!AH7</f>
        <v>0</v>
      </c>
      <c r="AD10" s="2463"/>
    </row>
    <row r="11" ht="21" customHeight="1">
      <c r="A11" s="2473" t="s">
        <v>211</v>
      </c>
      <c r="B11" s="2474" t="str">
        <f>'SBL Quotes'!E8</f>
        <v>5 YR</v>
      </c>
      <c r="C11" s="2475" t="str">
        <f>'SBL Quotes'!F8</f>
        <v>7 YR</v>
      </c>
      <c r="D11" s="2474" t="str">
        <f>'SBL Quotes'!G8</f>
        <v>10 YR</v>
      </c>
      <c r="E11" s="2475" t="str">
        <f>'SBL Quotes'!H8</f>
        <v>5 YR</v>
      </c>
      <c r="F11" s="2474" t="str">
        <f>'SBL Quotes'!I8</f>
        <v>7 YR</v>
      </c>
      <c r="G11" s="2475" t="str">
        <f>'SBL Quotes'!J8</f>
        <v>10 YR</v>
      </c>
      <c r="H11" s="2474" t="str">
        <f>'SBL Quotes'!K8</f>
        <v>5 YR | 15 YR</v>
      </c>
      <c r="I11" s="2475" t="str">
        <f>'SBL Quotes'!L8</f>
        <v>7 YR | 13 YR</v>
      </c>
      <c r="J11" s="2474" t="str">
        <f>'SBL Quotes'!M8</f>
        <v>10 YR</v>
      </c>
      <c r="K11" s="2475" t="str">
        <f>'SBL Quotes'!N8</f>
        <v>5 YR | 15 YR</v>
      </c>
      <c r="L11" s="2474" t="str">
        <f>'SBL Quotes'!O8</f>
        <v>7 YR | 13 YR</v>
      </c>
      <c r="M11" s="2475" t="str">
        <f>'SBL Quotes'!P8</f>
        <v>10 YR</v>
      </c>
      <c r="N11" s="2474" t="str">
        <f>'SBL Quotes'!R8</f>
        <v>10 YR</v>
      </c>
      <c r="O11" s="2475" t="str">
        <f>'SBL Quotes'!S8</f>
        <v>12 YR</v>
      </c>
      <c r="P11" s="2474" t="str">
        <f>'SBL Quotes'!T8</f>
        <v>15 YR</v>
      </c>
      <c r="Q11" s="2475" t="str">
        <f>'SBL Quotes'!U8</f>
        <v>10 YR</v>
      </c>
      <c r="R11" s="2474" t="str">
        <f>'SBL Quotes'!V8</f>
        <v>10 YR</v>
      </c>
      <c r="S11" s="2475" t="str">
        <f>'SBL Quotes'!W8</f>
        <v>5 YR</v>
      </c>
      <c r="T11" s="2474" t="str">
        <f>'SBL Quotes'!X8</f>
        <v>5 YR</v>
      </c>
      <c r="U11" s="2475" t="str">
        <f>'SBL Quotes'!Y8</f>
        <v>10 YR | 10 YR</v>
      </c>
      <c r="V11" s="2474" t="str">
        <f>'SBL Quotes'!AA8</f>
        <v>3 YR</v>
      </c>
      <c r="W11" s="2475" t="str">
        <f>'SBL Quotes'!AB8</f>
        <v>5 YR</v>
      </c>
      <c r="X11" s="2474" t="str">
        <f>'SBL Quotes'!AC8</f>
        <v>7 YR</v>
      </c>
      <c r="Y11" s="2475" t="str">
        <f>'SBL Quotes'!AD8</f>
        <v>3 YR</v>
      </c>
      <c r="Z11" s="2474" t="str">
        <f>'SBL Quotes'!AE8</f>
        <v>5 YR</v>
      </c>
      <c r="AA11" s="2475" t="str">
        <f>'SBL Quotes'!AF8</f>
        <v>7 YR</v>
      </c>
      <c r="AB11" s="2474" t="str">
        <f>'SBL Quotes'!AG8</f>
        <v>3 YR</v>
      </c>
      <c r="AC11" s="2475" t="str">
        <f>'SBL Quotes'!AH8</f>
        <v>5 YR</v>
      </c>
      <c r="AD11" s="2463"/>
    </row>
    <row r="12" ht="21" customHeight="1">
      <c r="A12" s="2473" t="s">
        <v>220</v>
      </c>
      <c r="B12" s="2474">
        <f>'SBL Quotes'!E9</f>
        <v>30</v>
      </c>
      <c r="C12" s="2475">
        <f>'SBL Quotes'!F9</f>
        <v>30</v>
      </c>
      <c r="D12" s="2474">
        <f>'SBL Quotes'!G9</f>
        <v>30</v>
      </c>
      <c r="E12" s="2475">
        <f>'SBL Quotes'!H9</f>
        <v>30</v>
      </c>
      <c r="F12" s="2474">
        <f>'SBL Quotes'!I9</f>
        <v>30</v>
      </c>
      <c r="G12" s="2475">
        <f>'SBL Quotes'!J9</f>
        <v>30</v>
      </c>
      <c r="H12" s="2474">
        <f>'SBL Quotes'!K9</f>
        <v>30</v>
      </c>
      <c r="I12" s="2475">
        <f>'SBL Quotes'!L9</f>
        <v>30</v>
      </c>
      <c r="J12" s="2474">
        <f>'SBL Quotes'!M9</f>
        <v>30</v>
      </c>
      <c r="K12" s="2475">
        <f>'SBL Quotes'!N9</f>
        <v>30</v>
      </c>
      <c r="L12" s="2474">
        <f>'SBL Quotes'!O9</f>
        <v>30</v>
      </c>
      <c r="M12" s="2475">
        <f>'SBL Quotes'!P9</f>
        <v>30</v>
      </c>
      <c r="N12" s="2474">
        <f>'SBL Quotes'!R9</f>
        <v>30</v>
      </c>
      <c r="O12" s="2475">
        <f>'SBL Quotes'!S9</f>
        <v>30</v>
      </c>
      <c r="P12" s="2474">
        <f>'SBL Quotes'!T9</f>
        <v>30</v>
      </c>
      <c r="Q12" s="2475">
        <f>'SBL Quotes'!U9</f>
        <v>30</v>
      </c>
      <c r="R12" s="2474" t="str">
        <f>'SBL Quotes'!V9</f>
        <v>Full Term IO</v>
      </c>
      <c r="S12" s="2475">
        <f>'SBL Quotes'!W9</f>
        <v>30</v>
      </c>
      <c r="T12" s="2474" t="str">
        <f>'SBL Quotes'!X9</f>
        <v>Full Term IO</v>
      </c>
      <c r="U12" s="2475">
        <f>'SBL Quotes'!Y9</f>
        <v>30</v>
      </c>
      <c r="V12" s="2474" t="str">
        <f>'SBL Quotes'!AA9</f>
        <v>Full Term IO</v>
      </c>
      <c r="W12" s="2475" t="str">
        <f>'SBL Quotes'!AB9</f>
        <v>Full Term IO</v>
      </c>
      <c r="X12" s="2474" t="str">
        <f>'SBL Quotes'!AC9</f>
        <v>Full Term IO</v>
      </c>
      <c r="Y12" s="2475" t="str">
        <f>'SBL Quotes'!AD9</f>
        <v>Full Term IO</v>
      </c>
      <c r="Z12" s="2474" t="str">
        <f>'SBL Quotes'!AE9</f>
        <v>Full Term IO</v>
      </c>
      <c r="AA12" s="2475" t="str">
        <f>'SBL Quotes'!AF9</f>
        <v>Full Term IO</v>
      </c>
      <c r="AB12" s="2474" t="str">
        <f>'SBL Quotes'!AG9</f>
        <v>Full Term IO</v>
      </c>
      <c r="AC12" s="2475" t="str">
        <f>'SBL Quotes'!AH9</f>
        <v>Full Term IO</v>
      </c>
      <c r="AD12" s="2463"/>
    </row>
    <row r="13" ht="21" customHeight="1">
      <c r="A13" s="2473" t="s">
        <v>612</v>
      </c>
      <c r="B13" s="2478">
        <f>'SBL Quotes'!E10</f>
        <v>0</v>
      </c>
      <c r="C13" s="2479">
        <f>'SBL Quotes'!F10</f>
        <v>1</v>
      </c>
      <c r="D13" s="2478">
        <f>'SBL Quotes'!G10</f>
        <v>2</v>
      </c>
      <c r="E13" s="2479">
        <f>'SBL Quotes'!H10</f>
        <v>0</v>
      </c>
      <c r="F13" s="2478">
        <f>'SBL Quotes'!I10</f>
        <v>1</v>
      </c>
      <c r="G13" s="2479">
        <f>'SBL Quotes'!J10</f>
        <v>2</v>
      </c>
      <c r="H13" s="2478">
        <f>'SBL Quotes'!K10</f>
        <v>0</v>
      </c>
      <c r="I13" s="2479">
        <f>'SBL Quotes'!L10</f>
        <v>1</v>
      </c>
      <c r="J13" s="2478">
        <f>'SBL Quotes'!M10</f>
        <v>2</v>
      </c>
      <c r="K13" s="2479">
        <f>'SBL Quotes'!N10</f>
        <v>0</v>
      </c>
      <c r="L13" s="2478">
        <f>'SBL Quotes'!O10</f>
        <v>1</v>
      </c>
      <c r="M13" s="2479">
        <f>'SBL Quotes'!P10</f>
        <v>2</v>
      </c>
      <c r="N13" s="2478">
        <f>'SBL Quotes'!R10</f>
        <v>0</v>
      </c>
      <c r="O13" s="2479">
        <f>'SBL Quotes'!S10</f>
        <v>0</v>
      </c>
      <c r="P13" s="2478">
        <f>'SBL Quotes'!T10</f>
        <v>0</v>
      </c>
      <c r="Q13" s="2479">
        <f>'SBL Quotes'!U10</f>
        <v>5</v>
      </c>
      <c r="R13" s="2478">
        <f>'SBL Quotes'!V10</f>
        <v>10</v>
      </c>
      <c r="S13" s="2479">
        <f>'SBL Quotes'!W10</f>
        <v>2</v>
      </c>
      <c r="T13" s="2478">
        <f>'SBL Quotes'!X10</f>
        <v>5</v>
      </c>
      <c r="U13" s="2479">
        <f>'SBL Quotes'!Y10</f>
        <v>0</v>
      </c>
      <c r="V13" s="2478">
        <f>'SBL Quotes'!AA10</f>
        <v>3</v>
      </c>
      <c r="W13" s="2479">
        <f>'SBL Quotes'!AB10</f>
        <v>5</v>
      </c>
      <c r="X13" s="2478">
        <f>'SBL Quotes'!AC10</f>
        <v>7</v>
      </c>
      <c r="Y13" s="2479">
        <f>'SBL Quotes'!AD10</f>
        <v>3</v>
      </c>
      <c r="Z13" s="2478">
        <f>'SBL Quotes'!AE10</f>
        <v>5</v>
      </c>
      <c r="AA13" s="2479">
        <f>'SBL Quotes'!AF10</f>
        <v>7</v>
      </c>
      <c r="AB13" s="2478">
        <f>'SBL Quotes'!AG10</f>
        <v>3</v>
      </c>
      <c r="AC13" s="2479">
        <f>'SBL Quotes'!AH10</f>
        <v>5</v>
      </c>
      <c r="AD13" s="2463"/>
    </row>
    <row r="14" ht="21" customHeight="1">
      <c r="A14" s="2473" t="s">
        <v>2053</v>
      </c>
      <c r="B14" s="2474" t="str">
        <f>'SBL Quotes'!E11</f>
        <v>YM</v>
      </c>
      <c r="C14" s="2475" t="str">
        <f>'SBL Quotes'!F11</f>
        <v>YM</v>
      </c>
      <c r="D14" s="2474" t="str">
        <f>'SBL Quotes'!G11</f>
        <v>YM</v>
      </c>
      <c r="E14" s="2475" t="str">
        <f>'SBL Quotes'!H11</f>
        <v>YM</v>
      </c>
      <c r="F14" s="2474" t="str">
        <f>'SBL Quotes'!I11</f>
        <v>YM</v>
      </c>
      <c r="G14" s="2475" t="str">
        <f>'SBL Quotes'!J11</f>
        <v>YM</v>
      </c>
      <c r="H14" s="2474" t="str">
        <f>'SBL Quotes'!K11</f>
        <v>YM,1%</v>
      </c>
      <c r="I14" s="2475" t="str">
        <f>'SBL Quotes'!L11</f>
        <v>YM,1%</v>
      </c>
      <c r="J14" s="2474" t="str">
        <f>'SBL Quotes'!M11</f>
        <v>YM</v>
      </c>
      <c r="K14" s="2475" t="str">
        <f>'SBL Quotes'!N11</f>
        <v>YM,1%</v>
      </c>
      <c r="L14" s="2474" t="str">
        <f>'SBL Quotes'!O11</f>
        <v>YM,1%</v>
      </c>
      <c r="M14" s="2475" t="str">
        <f>'SBL Quotes'!P11</f>
        <v>YM</v>
      </c>
      <c r="N14" s="2474" t="str">
        <f>'SBL Quotes'!R11</f>
        <v>YM,1%</v>
      </c>
      <c r="O14" s="2475" t="str">
        <f>'SBL Quotes'!S11</f>
        <v>YM,1%</v>
      </c>
      <c r="P14" s="2474" t="str">
        <f>'SBL Quotes'!T11</f>
        <v>YM,1%</v>
      </c>
      <c r="Q14" s="2475" t="str">
        <f>'SBL Quotes'!U11</f>
        <v>YM,1%</v>
      </c>
      <c r="R14" s="2474" t="str">
        <f>'SBL Quotes'!V11</f>
        <v>YM,1%</v>
      </c>
      <c r="S14" s="2475" t="str">
        <f>'SBL Quotes'!W11</f>
        <v>YM,1%</v>
      </c>
      <c r="T14" s="2474" t="str">
        <f>'SBL Quotes'!X11</f>
        <v>YM,1%</v>
      </c>
      <c r="U14" s="2475" t="str">
        <f>'SBL Quotes'!Y11</f>
        <v>YM,1%</v>
      </c>
      <c r="V14" s="2474" t="str">
        <f>'SBL Quotes'!AA11</f>
        <v>1% Prepayment</v>
      </c>
      <c r="W14" s="2475" t="str">
        <f>'SBL Quotes'!AB11</f>
        <v>1% Prepayment</v>
      </c>
      <c r="X14" s="2474" t="str">
        <f>'SBL Quotes'!AC11</f>
        <v>1% Prepayment</v>
      </c>
      <c r="Y14" s="2475" t="str">
        <f>'SBL Quotes'!AD11</f>
        <v>1% Prepayment</v>
      </c>
      <c r="Z14" s="2474" t="str">
        <f>'SBL Quotes'!AE11</f>
        <v>1% Prepayment</v>
      </c>
      <c r="AA14" s="2475" t="str">
        <f>'SBL Quotes'!AF11</f>
        <v>1% Prepayment</v>
      </c>
      <c r="AB14" s="2474" t="str">
        <f>'SBL Quotes'!AG11</f>
        <v>1% Prepayment</v>
      </c>
      <c r="AC14" s="2475" t="str">
        <f>'SBL Quotes'!AH11</f>
        <v>1% Prepayment</v>
      </c>
      <c r="AD14" s="2463"/>
    </row>
    <row r="15" ht="21" customHeight="1" hidden="0" collapsed="0" outlineLevel="1">
      <c r="A15" s="2473" t="s">
        <v>648</v>
      </c>
      <c r="B15" s="2480" t="str">
        <f>'SBL Quotes'!E12</f>
        <v>Standard</v>
      </c>
      <c r="C15" s="2475" t="str">
        <f>'SBL Quotes'!F12</f>
        <v>Standard</v>
      </c>
      <c r="D15" s="2480" t="str">
        <f>'SBL Quotes'!G12</f>
        <v>Standard</v>
      </c>
      <c r="E15" s="2475" t="str">
        <f>'SBL Quotes'!H12</f>
        <v>Standard</v>
      </c>
      <c r="F15" s="2480" t="str">
        <f>'SBL Quotes'!I12</f>
        <v>Standard</v>
      </c>
      <c r="G15" s="2475" t="str">
        <f>'SBL Quotes'!J12</f>
        <v>Standard</v>
      </c>
      <c r="H15" s="2480" t="str">
        <f>'SBL Quotes'!K12</f>
        <v>Standard</v>
      </c>
      <c r="I15" s="2475" t="str">
        <f>'SBL Quotes'!L12</f>
        <v>Standard</v>
      </c>
      <c r="J15" s="2480" t="str">
        <f>'SBL Quotes'!M12</f>
        <v>Standard</v>
      </c>
      <c r="K15" s="2475" t="str">
        <f>'SBL Quotes'!N12</f>
        <v>Standard</v>
      </c>
      <c r="L15" s="2480" t="str">
        <f>'SBL Quotes'!O12</f>
        <v>Standard</v>
      </c>
      <c r="M15" s="2475" t="str">
        <f>'SBL Quotes'!P12</f>
        <v>Standard</v>
      </c>
      <c r="N15" s="2480" t="str">
        <f>'SBL Quotes'!R12</f>
        <v>Standard</v>
      </c>
      <c r="O15" s="2475" t="str">
        <f>'SBL Quotes'!S12</f>
        <v>Standard</v>
      </c>
      <c r="P15" s="2480" t="str">
        <f>'SBL Quotes'!T12</f>
        <v>Standard</v>
      </c>
      <c r="Q15" s="2475" t="str">
        <f>'SBL Quotes'!U12</f>
        <v>Standard</v>
      </c>
      <c r="R15" s="2480" t="str">
        <f>'SBL Quotes'!V12</f>
        <v>Standard</v>
      </c>
      <c r="S15" s="2475" t="str">
        <f>'SBL Quotes'!W12</f>
        <v>Standard</v>
      </c>
      <c r="T15" s="2480" t="str">
        <f>'SBL Quotes'!X12</f>
        <v>Standard</v>
      </c>
      <c r="U15" s="2475" t="str">
        <f>'SBL Quotes'!Y12</f>
        <v>Standard</v>
      </c>
      <c r="V15" s="2480" t="str">
        <f>'SBL Quotes'!AA12</f>
        <v>Standard</v>
      </c>
      <c r="W15" s="2475" t="str">
        <f>'SBL Quotes'!AB12</f>
        <v>Standard</v>
      </c>
      <c r="X15" s="2480" t="str">
        <f>'SBL Quotes'!AC12</f>
        <v>Standard</v>
      </c>
      <c r="Y15" s="2475" t="str">
        <f>'SBL Quotes'!AD12</f>
        <v>Standard</v>
      </c>
      <c r="Z15" s="2480" t="str">
        <f>'SBL Quotes'!AE12</f>
        <v>Standard</v>
      </c>
      <c r="AA15" s="2475" t="str">
        <f>'SBL Quotes'!AF12</f>
        <v>Standard</v>
      </c>
      <c r="AB15" s="2480" t="str">
        <f>'SBL Quotes'!AG12</f>
        <v>Standard</v>
      </c>
      <c r="AC15" s="2475" t="str">
        <f>'SBL Quotes'!AH12</f>
        <v>Standard</v>
      </c>
      <c r="AD15" s="2463"/>
    </row>
    <row r="16" ht="21" customHeight="1">
      <c r="A16" s="2473" t="s">
        <v>2021</v>
      </c>
      <c r="B16" s="2481" t="s">
        <v>2054</v>
      </c>
      <c r="C16" s="2482" t="s">
        <v>2054</v>
      </c>
      <c r="D16" s="2481" t="s">
        <v>2054</v>
      </c>
      <c r="E16" s="2482" t="s">
        <v>2054</v>
      </c>
      <c r="F16" s="2481" t="s">
        <v>2054</v>
      </c>
      <c r="G16" s="2482" t="s">
        <v>2054</v>
      </c>
      <c r="H16" s="2481" t="s">
        <v>2054</v>
      </c>
      <c r="I16" s="2482" t="s">
        <v>2054</v>
      </c>
      <c r="J16" s="2481" t="s">
        <v>2054</v>
      </c>
      <c r="K16" s="2482" t="s">
        <v>2054</v>
      </c>
      <c r="L16" s="2481" t="s">
        <v>2054</v>
      </c>
      <c r="M16" s="2482" t="s">
        <v>2054</v>
      </c>
      <c r="N16" s="2481" t="s">
        <v>2054</v>
      </c>
      <c r="O16" s="2482" t="s">
        <v>2054</v>
      </c>
      <c r="P16" s="2481" t="s">
        <v>2054</v>
      </c>
      <c r="Q16" s="2482" t="s">
        <v>2054</v>
      </c>
      <c r="R16" s="2481" t="s">
        <v>2054</v>
      </c>
      <c r="S16" s="2482" t="s">
        <v>2054</v>
      </c>
      <c r="T16" s="2481" t="s">
        <v>2054</v>
      </c>
      <c r="U16" s="2482" t="s">
        <v>2054</v>
      </c>
      <c r="V16" s="2483" t="s">
        <v>2055</v>
      </c>
      <c r="W16" s="2484" t="str">
        <f t="shared" si="0" ref="W16:AC16">V16</f>
        <v>Standard Carveouts</v>
      </c>
      <c r="X16" s="2483" t="str">
        <f t="shared" si="0"/>
        <v>Standard Carveouts</v>
      </c>
      <c r="Y16" s="2484" t="str">
        <f t="shared" si="0"/>
        <v>Standard Carveouts</v>
      </c>
      <c r="Z16" s="2483" t="str">
        <f t="shared" si="0"/>
        <v>Standard Carveouts</v>
      </c>
      <c r="AA16" s="2484" t="str">
        <f t="shared" si="0"/>
        <v>Standard Carveouts</v>
      </c>
      <c r="AB16" s="2483" t="str">
        <f t="shared" si="0"/>
        <v>Standard Carveouts</v>
      </c>
      <c r="AC16" s="2484" t="str">
        <f t="shared" si="0"/>
        <v>Standard Carveouts</v>
      </c>
      <c r="AD16" s="2485"/>
    </row>
    <row r="17" ht="21" customHeight="1" hidden="0" collapsed="0" outlineLevel="1">
      <c r="A17" s="2473" t="s">
        <v>1317</v>
      </c>
      <c r="B17" s="2486" t="str">
        <f>TEXT('SBL Quotes'!E14,"0%")</f>
        <v>70%</v>
      </c>
      <c r="C17" s="2487" t="str">
        <f>TEXT('SBL Quotes'!F14,"0%")</f>
        <v>70%</v>
      </c>
      <c r="D17" s="2486" t="str">
        <f>TEXT('SBL Quotes'!G14,"0%")</f>
        <v>70%</v>
      </c>
      <c r="E17" s="2487" t="str">
        <f>TEXT('SBL Quotes'!H14,"0%")</f>
        <v>70%</v>
      </c>
      <c r="F17" s="2486" t="str">
        <f>TEXT('SBL Quotes'!I14,"0%")</f>
        <v>70%</v>
      </c>
      <c r="G17" s="2487" t="str">
        <f>TEXT('SBL Quotes'!J14,"0%")</f>
        <v>70%</v>
      </c>
      <c r="H17" s="2486" t="str">
        <f>TEXT('SBL Quotes'!K14,"0%")</f>
        <v>70%</v>
      </c>
      <c r="I17" s="2487" t="str">
        <f>TEXT('SBL Quotes'!L14,"0%")</f>
        <v>70%</v>
      </c>
      <c r="J17" s="2486" t="str">
        <f>TEXT('SBL Quotes'!M14,"0%")</f>
        <v>70%</v>
      </c>
      <c r="K17" s="2487" t="str">
        <f>TEXT('SBL Quotes'!N14,"0%")</f>
        <v>70%</v>
      </c>
      <c r="L17" s="2486" t="str">
        <f>TEXT('SBL Quotes'!O14,"0%")</f>
        <v>70%</v>
      </c>
      <c r="M17" s="2487" t="str">
        <f>TEXT('SBL Quotes'!P14,"0%")</f>
        <v>70%</v>
      </c>
      <c r="N17" s="2486" t="str">
        <f>TEXT('SBL Quotes'!R14,"0%")</f>
        <v>80%</v>
      </c>
      <c r="O17" s="2487" t="str">
        <f>TEXT('SBL Quotes'!S14,"0%")</f>
        <v>80%</v>
      </c>
      <c r="P17" s="2486" t="str">
        <f>TEXT('SBL Quotes'!T14,"0%")</f>
        <v>80%</v>
      </c>
      <c r="Q17" s="2487" t="str">
        <f>TEXT('SBL Quotes'!U14,"0%")</f>
        <v>65%</v>
      </c>
      <c r="R17" s="2486" t="str">
        <f>TEXT('SBL Quotes'!V14,"0%")</f>
        <v>55%</v>
      </c>
      <c r="S17" s="2487" t="str">
        <f>TEXT('SBL Quotes'!W14,"0%")</f>
        <v>65%</v>
      </c>
      <c r="T17" s="2486" t="str">
        <f>TEXT('SBL Quotes'!X14,"0%")</f>
        <v>55%</v>
      </c>
      <c r="U17" s="2487" t="str">
        <f>TEXT('SBL Quotes'!Y14,"0%")</f>
        <v>80%</v>
      </c>
      <c r="V17" s="2486" t="str">
        <f>TEXT('SBL Quotes'!AA14,"0%")</f>
        <v>70%</v>
      </c>
      <c r="W17" s="2487" t="str">
        <f>TEXT('SBL Quotes'!AB14,"0%")</f>
        <v>70%</v>
      </c>
      <c r="X17" s="2486" t="str">
        <f>TEXT('SBL Quotes'!AC14,"0%")</f>
        <v>70%</v>
      </c>
      <c r="Y17" s="2487" t="str">
        <f>TEXT('SBL Quotes'!AD14,"0%")</f>
        <v>70%</v>
      </c>
      <c r="Z17" s="2486" t="str">
        <f>TEXT('SBL Quotes'!AE14,"0%")</f>
        <v>70%</v>
      </c>
      <c r="AA17" s="2487" t="str">
        <f>TEXT('SBL Quotes'!AF14,"0%")</f>
        <v>70%</v>
      </c>
      <c r="AB17" s="2486" t="str">
        <f>TEXT('SBL Quotes'!AG14,"0%")</f>
        <v>70%</v>
      </c>
      <c r="AC17" s="2487" t="str">
        <f>TEXT('SBL Quotes'!AH14,"0%")</f>
        <v>70%</v>
      </c>
      <c r="AD17" s="2463"/>
    </row>
    <row r="18" ht="21" customHeight="1" hidden="0" collapsed="0" outlineLevel="1">
      <c r="A18" s="2473" t="s">
        <v>2060</v>
      </c>
      <c r="B18" s="2474" t="str">
        <f>TEXT('SBL Quotes'!E13,"0.00")&amp;"x"</f>
        <v>1.40x</v>
      </c>
      <c r="C18" s="2475" t="str">
        <f>TEXT('SBL Quotes'!F13,"0.00")&amp;"x"</f>
        <v>1.40x</v>
      </c>
      <c r="D18" s="2474" t="str">
        <f>TEXT('SBL Quotes'!G13,"0.00")&amp;"x"</f>
        <v>1.40x</v>
      </c>
      <c r="E18" s="2475" t="str">
        <f>TEXT('SBL Quotes'!H13,"0.00")&amp;"x"</f>
        <v>1.40x</v>
      </c>
      <c r="F18" s="2474" t="str">
        <f>TEXT('SBL Quotes'!I13,"0.00")&amp;"x"</f>
        <v>1.40x</v>
      </c>
      <c r="G18" s="2475" t="str">
        <f>TEXT('SBL Quotes'!J13,"0.00")&amp;"x"</f>
        <v>1.40x</v>
      </c>
      <c r="H18" s="2474" t="str">
        <f>TEXT('SBL Quotes'!K13,"0.00")&amp;"x"</f>
        <v>1.40x</v>
      </c>
      <c r="I18" s="2475" t="str">
        <f>TEXT('SBL Quotes'!L13,"0.00")&amp;"x"</f>
        <v>1.40x</v>
      </c>
      <c r="J18" s="2474" t="str">
        <f>TEXT('SBL Quotes'!M13,"0.00")&amp;"x"</f>
        <v>1.40x</v>
      </c>
      <c r="K18" s="2475" t="str">
        <f>TEXT('SBL Quotes'!N13,"0.00")&amp;"x"</f>
        <v>1.40x</v>
      </c>
      <c r="L18" s="2474" t="str">
        <f>TEXT('SBL Quotes'!O13,"0.00")&amp;"x"</f>
        <v>1.40x</v>
      </c>
      <c r="M18" s="2475" t="str">
        <f>TEXT('SBL Quotes'!P13,"0.00")&amp;"x"</f>
        <v>1.40x</v>
      </c>
      <c r="N18" s="2474" t="str">
        <f>TEXT('SBL Quotes'!R13,"0.00")&amp;"x"</f>
        <v>1.25x</v>
      </c>
      <c r="O18" s="2475" t="str">
        <f>TEXT('SBL Quotes'!S13,"0.00")&amp;"x"</f>
        <v>1.25x</v>
      </c>
      <c r="P18" s="2474" t="str">
        <f>TEXT('SBL Quotes'!T13,"0.00")&amp;"x"</f>
        <v>1.25x</v>
      </c>
      <c r="Q18" s="2475" t="str">
        <f>TEXT('SBL Quotes'!U13,"0.00")&amp;"x"</f>
        <v>1.35x</v>
      </c>
      <c r="R18" s="2474" t="str">
        <f>TEXT('SBL Quotes'!V13,"0.00")&amp;"x"</f>
        <v>1.55x</v>
      </c>
      <c r="S18" s="2475" t="str">
        <f>TEXT('SBL Quotes'!W13,"0.00")&amp;"x"</f>
        <v>1.35x</v>
      </c>
      <c r="T18" s="2474" t="str">
        <f>TEXT('SBL Quotes'!X13,"0.00")&amp;"x"</f>
        <v>1.55x</v>
      </c>
      <c r="U18" s="2475" t="str">
        <f>TEXT('SBL Quotes'!Y13,"0.00")&amp;"x"</f>
        <v>1.25x</v>
      </c>
      <c r="V18" s="2474" t="str">
        <f>TEXT('SBL Quotes'!AA13,"0.00")&amp;"x"</f>
        <v>1.35x</v>
      </c>
      <c r="W18" s="2475" t="str">
        <f>TEXT('SBL Quotes'!AB13,"0.00")&amp;"x"</f>
        <v>1.35x</v>
      </c>
      <c r="X18" s="2474" t="str">
        <f>TEXT('SBL Quotes'!AC13,"0.00")&amp;"x"</f>
        <v>1.35x</v>
      </c>
      <c r="Y18" s="2475" t="str">
        <f>TEXT('SBL Quotes'!AD13,"0.00")&amp;"x"</f>
        <v>1.35x</v>
      </c>
      <c r="Z18" s="2474" t="str">
        <f>TEXT('SBL Quotes'!AE13,"0.00")&amp;"x"</f>
        <v>1.35x</v>
      </c>
      <c r="AA18" s="2475" t="str">
        <f>TEXT('SBL Quotes'!AF13,"0.00")&amp;"x"</f>
        <v>1.35x</v>
      </c>
      <c r="AB18" s="2474" t="str">
        <f>TEXT('SBL Quotes'!AG13,"0.00")&amp;"x"</f>
        <v>1.35x</v>
      </c>
      <c r="AC18" s="2475" t="str">
        <f>TEXT('SBL Quotes'!AH13,"0.00")&amp;"x"</f>
        <v>1.35x</v>
      </c>
      <c r="AD18" s="2463"/>
    </row>
    <row r="19" ht="21" customHeight="1">
      <c r="A19" s="2473" t="s">
        <v>2065</v>
      </c>
      <c r="B19" s="2488" t="str">
        <f>IF(TEXT('SBL Quotes'!E16,"0%")="",0,TEXT('SBL Quotes'!E16,"0%"))</f>
        <v>0%</v>
      </c>
      <c r="C19" s="2489" t="str">
        <f>IF(TEXT('SBL Quotes'!F16,"0%")="",0,TEXT('SBL Quotes'!F16,"0%"))</f>
        <v>0%</v>
      </c>
      <c r="D19" s="2488" t="str">
        <f>IF(TEXT('SBL Quotes'!G16,"0%")="",0,TEXT('SBL Quotes'!G16,"0%"))</f>
        <v>0%</v>
      </c>
      <c r="E19" s="2489" t="str">
        <f>IF(TEXT('SBL Quotes'!H16,"0%")="",0,TEXT('SBL Quotes'!H16,"0%"))</f>
        <v>0%</v>
      </c>
      <c r="F19" s="2488" t="str">
        <f>IF(TEXT('SBL Quotes'!I16,"0%")="",0,TEXT('SBL Quotes'!I16,"0%"))</f>
        <v>0%</v>
      </c>
      <c r="G19" s="2489" t="str">
        <f>IF(TEXT('SBL Quotes'!J16,"0%")="",0,TEXT('SBL Quotes'!J16,"0%"))</f>
        <v>0%</v>
      </c>
      <c r="H19" s="2488" t="str">
        <f>IF(TEXT('SBL Quotes'!K16,"0%")="",0,TEXT('SBL Quotes'!K16,"0%"))</f>
        <v>0%</v>
      </c>
      <c r="I19" s="2489" t="str">
        <f>IF(TEXT('SBL Quotes'!L16,"0%")="",0,TEXT('SBL Quotes'!L16,"0%"))</f>
        <v>0%</v>
      </c>
      <c r="J19" s="2488" t="str">
        <f>IF(TEXT('SBL Quotes'!M16,"0%")="",0,TEXT('SBL Quotes'!M16,"0%"))</f>
        <v>0%</v>
      </c>
      <c r="K19" s="2489" t="str">
        <f>IF(TEXT('SBL Quotes'!N16,"0%")="",0,TEXT('SBL Quotes'!N16,"0%"))</f>
        <v>0%</v>
      </c>
      <c r="L19" s="2488" t="str">
        <f>IF(TEXT('SBL Quotes'!O16,"0%")="",0,TEXT('SBL Quotes'!O16,"0%"))</f>
        <v>0%</v>
      </c>
      <c r="M19" s="2489" t="str">
        <f>IF(TEXT('SBL Quotes'!P16,"0%")="",0,TEXT('SBL Quotes'!P16,"0%"))</f>
        <v>0%</v>
      </c>
      <c r="N19" s="2488" t="str">
        <f>IF(TEXT('SBL Quotes'!R16,"0%")="",0,TEXT('SBL Quotes'!R16,"0%"))</f>
        <v>0%</v>
      </c>
      <c r="O19" s="2489" t="str">
        <f>IF(TEXT('SBL Quotes'!S16,"0%")="",0,TEXT('SBL Quotes'!S16,"0%"))</f>
        <v>0%</v>
      </c>
      <c r="P19" s="2488" t="str">
        <f>IF(TEXT('SBL Quotes'!T16,"0%")="",0,TEXT('SBL Quotes'!T16,"0%"))</f>
        <v>0%</v>
      </c>
      <c r="Q19" s="2489" t="str">
        <f>IF(TEXT('SBL Quotes'!U16,"0%")="",0,TEXT('SBL Quotes'!U16,"0%"))</f>
        <v>0%</v>
      </c>
      <c r="R19" s="2488" t="str">
        <f>IF(TEXT('SBL Quotes'!V16,"0%")="",0,TEXT('SBL Quotes'!V16,"0%"))</f>
        <v>0%</v>
      </c>
      <c r="S19" s="2489" t="str">
        <f>IF(TEXT('SBL Quotes'!W16,"0%")="",0,TEXT('SBL Quotes'!W16,"0%"))</f>
        <v>0%</v>
      </c>
      <c r="T19" s="2488" t="str">
        <f>IF(TEXT('SBL Quotes'!X16,"0%")="",0,TEXT('SBL Quotes'!X16,"0%"))</f>
        <v>0%</v>
      </c>
      <c r="U19" s="2489" t="str">
        <f>IF(TEXT('SBL Quotes'!Y16,"0%")="",0,TEXT('SBL Quotes'!Y16,"0%"))</f>
        <v>0%</v>
      </c>
      <c r="V19" s="2488" t="str">
        <f>IF(TEXT('SBL Quotes'!AA16,"0%")="",0,TEXT('SBL Quotes'!AA16,"0%"))</f>
        <v>0%</v>
      </c>
      <c r="W19" s="2489" t="str">
        <f>IF(TEXT('SBL Quotes'!AB16,"0%")="",0,TEXT('SBL Quotes'!AB16,"0%"))</f>
        <v>0%</v>
      </c>
      <c r="X19" s="2488" t="str">
        <f>IF(TEXT('SBL Quotes'!AC16,"0%")="",0,TEXT('SBL Quotes'!AC16,"0%"))</f>
        <v>0%</v>
      </c>
      <c r="Y19" s="2489" t="str">
        <f>IF(TEXT('SBL Quotes'!AD16,"0%")="",0,TEXT('SBL Quotes'!AD16,"0%"))</f>
        <v>0%</v>
      </c>
      <c r="Z19" s="2488" t="str">
        <f>IF(TEXT('SBL Quotes'!AE16,"0%")="",0,TEXT('SBL Quotes'!AE16,"0%"))</f>
        <v>0%</v>
      </c>
      <c r="AA19" s="2489" t="str">
        <f>IF(TEXT('SBL Quotes'!AF16,"0%")="",0,TEXT('SBL Quotes'!AF16,"0%"))</f>
        <v>0%</v>
      </c>
      <c r="AB19" s="2488" t="str">
        <f>IF(TEXT('SBL Quotes'!AG16,"0%")="",0,TEXT('SBL Quotes'!AG16,"0%"))</f>
        <v>0%</v>
      </c>
      <c r="AC19" s="2489" t="str">
        <f>IF(TEXT('SBL Quotes'!AH16,"0%")="",0,TEXT('SBL Quotes'!AH16,"0%"))</f>
        <v>0%</v>
      </c>
      <c r="AD19" s="2463"/>
    </row>
    <row r="20" ht="21" customHeight="1">
      <c r="A20" s="2473" t="s">
        <v>1268</v>
      </c>
      <c r="B20" s="2474" t="str">
        <f>TEXT('SBL Quotes'!E15,"0.00")&amp;"x"</f>
        <v>0.00x</v>
      </c>
      <c r="C20" s="2475" t="str">
        <f>TEXT('SBL Quotes'!F15,"0.00")&amp;"x"</f>
        <v>0.00x</v>
      </c>
      <c r="D20" s="2474" t="str">
        <f>TEXT('SBL Quotes'!G15,"0.00")&amp;"x"</f>
        <v>0.00x</v>
      </c>
      <c r="E20" s="2475" t="str">
        <f>TEXT('SBL Quotes'!H15,"0.00")&amp;"x"</f>
        <v>0.00x</v>
      </c>
      <c r="F20" s="2474" t="str">
        <f>TEXT('SBL Quotes'!I15,"0.00")&amp;"x"</f>
        <v>0.00x</v>
      </c>
      <c r="G20" s="2475" t="str">
        <f>TEXT('SBL Quotes'!J15,"0.00")&amp;"x"</f>
        <v>0.00x</v>
      </c>
      <c r="H20" s="2474" t="str">
        <f>TEXT('SBL Quotes'!K15,"0.00")&amp;"x"</f>
        <v>0.00x</v>
      </c>
      <c r="I20" s="2475" t="str">
        <f>TEXT('SBL Quotes'!L15,"0.00")&amp;"x"</f>
        <v>0.00x</v>
      </c>
      <c r="J20" s="2474" t="str">
        <f>TEXT('SBL Quotes'!M15,"0.00")&amp;"x"</f>
        <v>0.00x</v>
      </c>
      <c r="K20" s="2475" t="str">
        <f>TEXT('SBL Quotes'!N15,"0.00")&amp;"x"</f>
        <v>0.00x</v>
      </c>
      <c r="L20" s="2474" t="str">
        <f>TEXT('SBL Quotes'!O15,"0.00")&amp;"x"</f>
        <v>0.00x</v>
      </c>
      <c r="M20" s="2475" t="str">
        <f>TEXT('SBL Quotes'!P15,"0.00")&amp;"x"</f>
        <v>0.00x</v>
      </c>
      <c r="N20" s="2474" t="str">
        <f>TEXT('SBL Quotes'!R15,"0.00")&amp;"x"</f>
        <v>0.00x</v>
      </c>
      <c r="O20" s="2475" t="str">
        <f>TEXT('SBL Quotes'!S15,"0.00")&amp;"x"</f>
        <v>0.00x</v>
      </c>
      <c r="P20" s="2474" t="str">
        <f>TEXT('SBL Quotes'!T15,"0.00")&amp;"x"</f>
        <v>0.00x</v>
      </c>
      <c r="Q20" s="2475" t="str">
        <f>TEXT('SBL Quotes'!U15,"0.00")&amp;"x"</f>
        <v>0.00x</v>
      </c>
      <c r="R20" s="2474" t="str">
        <f>TEXT('SBL Quotes'!V15,"0.00")&amp;"x"</f>
        <v>0.00x</v>
      </c>
      <c r="S20" s="2475" t="str">
        <f>TEXT('SBL Quotes'!W15,"0.00")&amp;"x"</f>
        <v>0.00x</v>
      </c>
      <c r="T20" s="2474" t="str">
        <f>TEXT('SBL Quotes'!X15,"0.00")&amp;"x"</f>
        <v>0.00x</v>
      </c>
      <c r="U20" s="2475" t="str">
        <f>TEXT('SBL Quotes'!Y15,"0.00")&amp;"x"</f>
        <v>0.00x</v>
      </c>
      <c r="V20" s="2474" t="str">
        <f>TEXT('SBL Quotes'!AA15,"0.00")&amp;"x"</f>
        <v>0.00x</v>
      </c>
      <c r="W20" s="2475" t="str">
        <f>TEXT('SBL Quotes'!AB15,"0.00")&amp;"x"</f>
        <v>0.00x</v>
      </c>
      <c r="X20" s="2474" t="str">
        <f>TEXT('SBL Quotes'!AC15,"0.00")&amp;"x"</f>
        <v>0.00x</v>
      </c>
      <c r="Y20" s="2475" t="str">
        <f>TEXT('SBL Quotes'!AD15,"0.00")&amp;"x"</f>
        <v>0.00x</v>
      </c>
      <c r="Z20" s="2474" t="str">
        <f>TEXT('SBL Quotes'!AE15,"0.00")&amp;"x"</f>
        <v>0.00x</v>
      </c>
      <c r="AA20" s="2475" t="str">
        <f>TEXT('SBL Quotes'!AF15,"0.00")&amp;"x"</f>
        <v>0.00x</v>
      </c>
      <c r="AB20" s="2474" t="str">
        <f>TEXT('SBL Quotes'!AG15,"0.00")&amp;"x"</f>
        <v>0.00x</v>
      </c>
      <c r="AC20" s="2475" t="str">
        <f>TEXT('SBL Quotes'!AH15,"0.00")&amp;"x"</f>
        <v>0.00x</v>
      </c>
      <c r="AD20" s="2463"/>
    </row>
    <row r="21" ht="21" customHeight="1">
      <c r="A21" s="2473" t="s">
        <v>417</v>
      </c>
      <c r="B21" s="2490"/>
      <c r="C21" s="2491"/>
      <c r="D21" s="2490"/>
      <c r="E21" s="2491"/>
      <c r="F21" s="2490"/>
      <c r="G21" s="2491"/>
      <c r="H21" s="2490"/>
      <c r="I21" s="2491"/>
      <c r="J21" s="2490"/>
      <c r="K21" s="2491"/>
      <c r="L21" s="2490"/>
      <c r="M21" s="2491"/>
      <c r="N21" s="2490"/>
      <c r="O21" s="2491"/>
      <c r="P21" s="2490"/>
      <c r="Q21" s="2491"/>
      <c r="R21" s="2490"/>
      <c r="S21" s="2491"/>
      <c r="T21" s="2490"/>
      <c r="U21" s="2491"/>
      <c r="V21" s="2490">
        <f>'SBL Quotes'!AA80</f>
        <v>0.0725</v>
      </c>
      <c r="W21" s="2491">
        <f>'SBL Quotes'!AB80</f>
        <v>0.0725</v>
      </c>
      <c r="X21" s="2490">
        <f>'SBL Quotes'!AC80</f>
        <v>0.0725</v>
      </c>
      <c r="Y21" s="2491">
        <f>'SBL Quotes'!AD80</f>
        <v>0.0725</v>
      </c>
      <c r="Z21" s="2490">
        <f>'SBL Quotes'!AE80</f>
        <v>0.0725</v>
      </c>
      <c r="AA21" s="2491">
        <f>'SBL Quotes'!AF80</f>
        <v>0.0725</v>
      </c>
      <c r="AB21" s="2490">
        <f>'SBL Quotes'!AG80</f>
        <v>0.0725</v>
      </c>
      <c r="AC21" s="2491">
        <f>'SBL Quotes'!AH80</f>
        <v>0.0725</v>
      </c>
      <c r="AD21" s="2463"/>
    </row>
    <row r="22" ht="21" customHeight="1" hidden="1" collapsed="0" outlineLevel="1">
      <c r="A22" s="2492" t="s">
        <v>2068</v>
      </c>
      <c r="B22" s="2474" t="s">
        <v>2069</v>
      </c>
      <c r="C22" s="2475" t="s">
        <v>2070</v>
      </c>
      <c r="D22" s="2474" t="s">
        <v>2071</v>
      </c>
      <c r="E22" s="2475" t="s">
        <v>2069</v>
      </c>
      <c r="F22" s="2474" t="s">
        <v>2070</v>
      </c>
      <c r="G22" s="2475" t="s">
        <v>2071</v>
      </c>
      <c r="H22" s="2474" t="s">
        <v>2069</v>
      </c>
      <c r="I22" s="2475" t="s">
        <v>2070</v>
      </c>
      <c r="J22" s="2474" t="s">
        <v>2071</v>
      </c>
      <c r="K22" s="2475" t="s">
        <v>2069</v>
      </c>
      <c r="L22" s="2474" t="s">
        <v>2070</v>
      </c>
      <c r="M22" s="2475" t="s">
        <v>2071</v>
      </c>
      <c r="N22" s="2474" t="s">
        <v>2072</v>
      </c>
      <c r="O22" s="2475" t="s">
        <v>2070</v>
      </c>
      <c r="P22" s="2474" t="s">
        <v>2071</v>
      </c>
      <c r="Q22" s="2475" t="s">
        <v>2072</v>
      </c>
      <c r="R22" s="2474" t="s">
        <v>2070</v>
      </c>
      <c r="S22" s="2475" t="s">
        <v>2071</v>
      </c>
      <c r="T22" s="2474" t="s">
        <v>2072</v>
      </c>
      <c r="U22" s="2475" t="s">
        <v>2070</v>
      </c>
      <c r="V22" s="2474" t="s">
        <v>2072</v>
      </c>
      <c r="W22" s="2475" t="s">
        <v>2070</v>
      </c>
      <c r="X22" s="2474" t="s">
        <v>2071</v>
      </c>
      <c r="Y22" s="2475" t="s">
        <v>2072</v>
      </c>
      <c r="Z22" s="2474" t="s">
        <v>2070</v>
      </c>
      <c r="AA22" s="2475" t="s">
        <v>2071</v>
      </c>
      <c r="AB22" s="2474" t="s">
        <v>2072</v>
      </c>
      <c r="AC22" s="2475" t="s">
        <v>2070</v>
      </c>
      <c r="AD22" s="2463"/>
    </row>
    <row r="23" ht="21" customHeight="1" hidden="1" collapsed="0" outlineLevel="1">
      <c r="A23" s="2492" t="s">
        <v>2073</v>
      </c>
      <c r="B23" s="2493">
        <v>0</v>
      </c>
      <c r="C23" s="2494">
        <f t="shared" si="1" ref="C23:AC23">$B$23</f>
        <v>0</v>
      </c>
      <c r="D23" s="2493">
        <f t="shared" si="1"/>
        <v>0</v>
      </c>
      <c r="E23" s="2494">
        <v>0</v>
      </c>
      <c r="F23" s="2493">
        <f t="shared" si="1"/>
        <v>0</v>
      </c>
      <c r="G23" s="2494">
        <f t="shared" si="1"/>
        <v>0</v>
      </c>
      <c r="H23" s="2493">
        <v>0</v>
      </c>
      <c r="I23" s="2494">
        <f t="shared" si="1"/>
        <v>0</v>
      </c>
      <c r="J23" s="2493">
        <f t="shared" si="1"/>
        <v>0</v>
      </c>
      <c r="K23" s="2494">
        <v>0</v>
      </c>
      <c r="L23" s="2493">
        <f t="shared" si="1"/>
        <v>0</v>
      </c>
      <c r="M23" s="2494">
        <f t="shared" si="1"/>
        <v>0</v>
      </c>
      <c r="N23" s="2493">
        <f t="shared" si="1"/>
        <v>0</v>
      </c>
      <c r="O23" s="2494">
        <f t="shared" si="1"/>
        <v>0</v>
      </c>
      <c r="P23" s="2493">
        <f t="shared" si="1"/>
        <v>0</v>
      </c>
      <c r="Q23" s="2494">
        <f t="shared" si="1"/>
        <v>0</v>
      </c>
      <c r="R23" s="2493">
        <f t="shared" si="1"/>
        <v>0</v>
      </c>
      <c r="S23" s="2494">
        <f t="shared" si="1"/>
        <v>0</v>
      </c>
      <c r="T23" s="2493">
        <f t="shared" si="1"/>
        <v>0</v>
      </c>
      <c r="U23" s="2494">
        <f t="shared" si="1"/>
        <v>0</v>
      </c>
      <c r="V23" s="2493">
        <f t="shared" si="1"/>
        <v>0</v>
      </c>
      <c r="W23" s="2494">
        <f t="shared" si="1"/>
        <v>0</v>
      </c>
      <c r="X23" s="2493">
        <f t="shared" si="1"/>
        <v>0</v>
      </c>
      <c r="Y23" s="2494">
        <f t="shared" si="1"/>
        <v>0</v>
      </c>
      <c r="Z23" s="2493">
        <f t="shared" si="1"/>
        <v>0</v>
      </c>
      <c r="AA23" s="2494">
        <f t="shared" si="1"/>
        <v>0</v>
      </c>
      <c r="AB23" s="2493">
        <f t="shared" si="1"/>
        <v>0</v>
      </c>
      <c r="AC23" s="2494">
        <f t="shared" si="1"/>
        <v>0</v>
      </c>
      <c r="AD23" s="2463"/>
    </row>
    <row r="24" ht="21" customHeight="1" collapsed="1" outlineLevel="0">
      <c r="A24" s="2473" t="str">
        <f>IF('SBL Quotes'!$B$38="Acquisition","Rate","New Interest Rate")</f>
        <v>New Interest Rate</v>
      </c>
      <c r="B24" s="2493" t="e">
        <f>'SBL Quotes'!E17</f>
        <v>#N/A</v>
      </c>
      <c r="C24" s="2494" t="e">
        <f>'SBL Quotes'!F17</f>
        <v>#N/A</v>
      </c>
      <c r="D24" s="2493" t="e">
        <f>'SBL Quotes'!G17</f>
        <v>#N/A</v>
      </c>
      <c r="E24" s="2494" t="e">
        <f>'SBL Quotes'!H17</f>
        <v>#N/A</v>
      </c>
      <c r="F24" s="2493" t="e">
        <f>'SBL Quotes'!I17</f>
        <v>#N/A</v>
      </c>
      <c r="G24" s="2494" t="e">
        <f>'SBL Quotes'!J17</f>
        <v>#N/A</v>
      </c>
      <c r="H24" s="2493" t="e">
        <f>'SBL Quotes'!K17</f>
        <v>#N/A</v>
      </c>
      <c r="I24" s="2494" t="e">
        <f>'SBL Quotes'!L17</f>
        <v>#N/A</v>
      </c>
      <c r="J24" s="2493" t="e">
        <f>'SBL Quotes'!M17</f>
        <v>#N/A</v>
      </c>
      <c r="K24" s="2494" t="e">
        <f>'SBL Quotes'!N17</f>
        <v>#N/A</v>
      </c>
      <c r="L24" s="2493" t="e">
        <f>'SBL Quotes'!O17</f>
        <v>#N/A</v>
      </c>
      <c r="M24" s="2494" t="e">
        <f>'SBL Quotes'!P17</f>
        <v>#N/A</v>
      </c>
      <c r="N24" s="2493">
        <f>'SBL Quotes'!R17</f>
        <v>0.070944</v>
      </c>
      <c r="O24" s="2494">
        <f>'SBL Quotes'!S17</f>
        <v>0.072144</v>
      </c>
      <c r="P24" s="2493">
        <f>'SBL Quotes'!T17</f>
        <v>0.07394400000000001</v>
      </c>
      <c r="Q24" s="2494">
        <f>'SBL Quotes'!U17</f>
        <v>0.06896658000000001</v>
      </c>
      <c r="R24" s="2493">
        <f>'SBL Quotes'!V17</f>
        <v>0.06694135000000001</v>
      </c>
      <c r="S24" s="2494">
        <f>'SBL Quotes'!W17</f>
        <v>0.07172228</v>
      </c>
      <c r="T24" s="2493">
        <f>'SBL Quotes'!X17</f>
        <v>0.06967273</v>
      </c>
      <c r="U24" s="2494">
        <f>'SBL Quotes'!Y17</f>
        <v>0.070944</v>
      </c>
      <c r="V24" s="2493">
        <f>'SBL Quotes'!AA17</f>
        <v>0.053704</v>
      </c>
      <c r="W24" s="2494">
        <f>'SBL Quotes'!AB17</f>
        <v>0.053704</v>
      </c>
      <c r="X24" s="2493">
        <f>'SBL Quotes'!AC17</f>
        <v>0.053704</v>
      </c>
      <c r="Y24" s="2494">
        <f>'SBL Quotes'!AD17</f>
        <v>0.053704</v>
      </c>
      <c r="Z24" s="2493">
        <f>'SBL Quotes'!AE17</f>
        <v>0.053704</v>
      </c>
      <c r="AA24" s="2494">
        <f>'SBL Quotes'!AF17</f>
        <v>0.053704</v>
      </c>
      <c r="AB24" s="2493">
        <f>'SBL Quotes'!AG17</f>
        <v>0.053704</v>
      </c>
      <c r="AC24" s="2494">
        <f>'SBL Quotes'!AH17</f>
        <v>0.053704</v>
      </c>
      <c r="AD24" s="2463"/>
    </row>
    <row r="25" ht="21" customHeight="1" hidden="1" collapsed="0" outlineLevel="1">
      <c r="A25" s="2473" t="str">
        <f>IF('SBL Quotes'!$B$38="Acquisition","Rate Index (Floating)","New Rate Index (Floating)")</f>
        <v>New Rate Index (Floating)</v>
      </c>
      <c r="B25" s="2493" t="s">
        <v>2076</v>
      </c>
      <c r="C25" s="2494" t="str">
        <f t="shared" si="2" ref="C25:M25">$B$25</f>
        <v>30-Day Avg SOFR</v>
      </c>
      <c r="D25" s="2493" t="str">
        <f t="shared" si="2"/>
        <v>30-Day Avg SOFR</v>
      </c>
      <c r="E25" s="2494" t="s">
        <v>2076</v>
      </c>
      <c r="F25" s="2493" t="str">
        <f t="shared" si="2"/>
        <v>30-Day Avg SOFR</v>
      </c>
      <c r="G25" s="2494" t="str">
        <f t="shared" si="2"/>
        <v>30-Day Avg SOFR</v>
      </c>
      <c r="H25" s="2493" t="s">
        <v>2076</v>
      </c>
      <c r="I25" s="2494" t="str">
        <f t="shared" si="2"/>
        <v>30-Day Avg SOFR</v>
      </c>
      <c r="J25" s="2493" t="str">
        <f t="shared" si="2"/>
        <v>30-Day Avg SOFR</v>
      </c>
      <c r="K25" s="2494" t="s">
        <v>2076</v>
      </c>
      <c r="L25" s="2493" t="str">
        <f t="shared" si="2"/>
        <v>30-Day Avg SOFR</v>
      </c>
      <c r="M25" s="2494" t="str">
        <f t="shared" si="2"/>
        <v>30-Day Avg SOFR</v>
      </c>
      <c r="N25" s="2493" t="s">
        <v>174</v>
      </c>
      <c r="O25" s="2494" t="str">
        <f t="shared" si="3" ref="O25:U25">$N$25</f>
        <v>N/A</v>
      </c>
      <c r="P25" s="2493" t="str">
        <f t="shared" si="3"/>
        <v>N/A</v>
      </c>
      <c r="Q25" s="2494" t="str">
        <f t="shared" si="3"/>
        <v>N/A</v>
      </c>
      <c r="R25" s="2493" t="str">
        <f t="shared" si="3"/>
        <v>N/A</v>
      </c>
      <c r="S25" s="2494" t="str">
        <f t="shared" si="3"/>
        <v>N/A</v>
      </c>
      <c r="T25" s="2493" t="str">
        <f t="shared" si="3"/>
        <v>N/A</v>
      </c>
      <c r="U25" s="2494" t="str">
        <f t="shared" si="3"/>
        <v>N/A</v>
      </c>
      <c r="V25" s="2493" t="s">
        <v>174</v>
      </c>
      <c r="W25" s="2494" t="str">
        <f t="shared" si="4" ref="W25:AC25">$V$25</f>
        <v>N/A</v>
      </c>
      <c r="X25" s="2493" t="str">
        <f t="shared" si="4"/>
        <v>N/A</v>
      </c>
      <c r="Y25" s="2494" t="str">
        <f t="shared" si="4"/>
        <v>N/A</v>
      </c>
      <c r="Z25" s="2493" t="str">
        <f t="shared" si="4"/>
        <v>N/A</v>
      </c>
      <c r="AA25" s="2494" t="str">
        <f t="shared" si="4"/>
        <v>N/A</v>
      </c>
      <c r="AB25" s="2493" t="str">
        <f t="shared" si="4"/>
        <v>N/A</v>
      </c>
      <c r="AC25" s="2494" t="str">
        <f t="shared" si="4"/>
        <v>N/A</v>
      </c>
      <c r="AD25" s="2463"/>
    </row>
    <row r="26" ht="21" customHeight="1" hidden="1" collapsed="0" outlineLevel="1">
      <c r="A26" s="2473" t="str">
        <f>IF('SBL Quotes'!$B$38="Acquisition","Rate Spread (Floating)","New Rate Spread (Floating)")</f>
        <v>New Rate Spread (Floating)</v>
      </c>
      <c r="B26" s="2493" t="e">
        <f>'SBL Quotes'!E17</f>
        <v>#N/A</v>
      </c>
      <c r="C26" s="2494" t="e">
        <f t="shared" si="5" ref="C26:M26">$B$26</f>
        <v>#N/A</v>
      </c>
      <c r="D26" s="2493" t="e">
        <f t="shared" si="5"/>
        <v>#N/A</v>
      </c>
      <c r="E26" s="2494" t="e">
        <f>'SBL Quotes'!H17</f>
        <v>#N/A</v>
      </c>
      <c r="F26" s="2493" t="e">
        <f t="shared" si="5"/>
        <v>#N/A</v>
      </c>
      <c r="G26" s="2494" t="e">
        <f t="shared" si="5"/>
        <v>#N/A</v>
      </c>
      <c r="H26" s="2493" t="e">
        <f>'SBL Quotes'!K17</f>
        <v>#N/A</v>
      </c>
      <c r="I26" s="2494" t="e">
        <f t="shared" si="5"/>
        <v>#N/A</v>
      </c>
      <c r="J26" s="2493" t="e">
        <f t="shared" si="5"/>
        <v>#N/A</v>
      </c>
      <c r="K26" s="2494" t="e">
        <f>'SBL Quotes'!N17</f>
        <v>#N/A</v>
      </c>
      <c r="L26" s="2493" t="e">
        <f t="shared" si="5"/>
        <v>#N/A</v>
      </c>
      <c r="M26" s="2494" t="e">
        <f t="shared" si="5"/>
        <v>#N/A</v>
      </c>
      <c r="N26" s="2493">
        <f>'SBL Quotes'!R19</f>
        <v>0</v>
      </c>
      <c r="O26" s="2494">
        <f>'SBL Quotes'!S19</f>
        <v>0</v>
      </c>
      <c r="P26" s="2493">
        <f>'SBL Quotes'!T19</f>
        <v>0</v>
      </c>
      <c r="Q26" s="2494">
        <f>'SBL Quotes'!U19</f>
        <v>0</v>
      </c>
      <c r="R26" s="2493">
        <f>'SBL Quotes'!V19</f>
        <v>0</v>
      </c>
      <c r="S26" s="2494">
        <f>'SBL Quotes'!W19</f>
        <v>0</v>
      </c>
      <c r="T26" s="2493">
        <f>'SBL Quotes'!X19</f>
        <v>0</v>
      </c>
      <c r="U26" s="2494">
        <f>'SBL Quotes'!Y19</f>
        <v>0</v>
      </c>
      <c r="V26" s="2493">
        <f>'SBL Quotes'!AA19</f>
        <v>0</v>
      </c>
      <c r="W26" s="2494">
        <f>'SBL Quotes'!AB19</f>
        <v>0</v>
      </c>
      <c r="X26" s="2493">
        <f>'SBL Quotes'!AC19</f>
        <v>0</v>
      </c>
      <c r="Y26" s="2494">
        <f>'SBL Quotes'!AD19</f>
        <v>0</v>
      </c>
      <c r="Z26" s="2493">
        <f>'SBL Quotes'!AE19</f>
        <v>0</v>
      </c>
      <c r="AA26" s="2494">
        <f>'SBL Quotes'!AF19</f>
        <v>0</v>
      </c>
      <c r="AB26" s="2493">
        <f>'SBL Quotes'!AG19</f>
        <v>0</v>
      </c>
      <c r="AC26" s="2494">
        <f>'SBL Quotes'!AH19</f>
        <v>0</v>
      </c>
      <c r="AD26" s="2463"/>
    </row>
    <row r="27" ht="21" customHeight="1" hidden="1" collapsed="0" outlineLevel="1">
      <c r="A27" s="2473" t="s">
        <v>2078</v>
      </c>
      <c r="B27" s="2495">
        <v>15</v>
      </c>
      <c r="C27" s="2496">
        <f t="shared" si="6" ref="C27:M27">$B$27</f>
        <v>15</v>
      </c>
      <c r="D27" s="2495">
        <f t="shared" si="6"/>
        <v>15</v>
      </c>
      <c r="E27" s="2496">
        <v>15</v>
      </c>
      <c r="F27" s="2495">
        <f t="shared" si="6"/>
        <v>15</v>
      </c>
      <c r="G27" s="2496">
        <f t="shared" si="6"/>
        <v>15</v>
      </c>
      <c r="H27" s="2495">
        <v>15</v>
      </c>
      <c r="I27" s="2496">
        <f t="shared" si="6"/>
        <v>15</v>
      </c>
      <c r="J27" s="2495">
        <f t="shared" si="6"/>
        <v>15</v>
      </c>
      <c r="K27" s="2496">
        <v>15</v>
      </c>
      <c r="L27" s="2495">
        <f t="shared" si="6"/>
        <v>15</v>
      </c>
      <c r="M27" s="2496">
        <f t="shared" si="6"/>
        <v>15</v>
      </c>
      <c r="N27" s="2495" t="s">
        <v>174</v>
      </c>
      <c r="O27" s="2496" t="str">
        <f t="shared" si="7" ref="O27:U27">$N$27</f>
        <v>N/A</v>
      </c>
      <c r="P27" s="2495" t="str">
        <f t="shared" si="7"/>
        <v>N/A</v>
      </c>
      <c r="Q27" s="2496" t="s">
        <v>174</v>
      </c>
      <c r="R27" s="2495" t="str">
        <f t="shared" si="7"/>
        <v>N/A</v>
      </c>
      <c r="S27" s="2496" t="str">
        <f t="shared" si="7"/>
        <v>N/A</v>
      </c>
      <c r="T27" s="2495" t="s">
        <v>174</v>
      </c>
      <c r="U27" s="2496" t="str">
        <f t="shared" si="7"/>
        <v>N/A</v>
      </c>
      <c r="V27" s="2495" t="s">
        <v>174</v>
      </c>
      <c r="W27" s="2496" t="str">
        <f t="shared" si="8" ref="W27:AC38">$V27</f>
        <v>N/A</v>
      </c>
      <c r="X27" s="2495" t="str">
        <f t="shared" si="8"/>
        <v>N/A</v>
      </c>
      <c r="Y27" s="2496" t="str">
        <f t="shared" si="8"/>
        <v>N/A</v>
      </c>
      <c r="Z27" s="2495" t="str">
        <f t="shared" si="8"/>
        <v>N/A</v>
      </c>
      <c r="AA27" s="2496" t="str">
        <f t="shared" si="8"/>
        <v>N/A</v>
      </c>
      <c r="AB27" s="2495" t="str">
        <f t="shared" si="8"/>
        <v>N/A</v>
      </c>
      <c r="AC27" s="2496" t="str">
        <f t="shared" si="8"/>
        <v>N/A</v>
      </c>
      <c r="AD27" s="2463"/>
    </row>
    <row r="28" ht="21" customHeight="1" hidden="1" collapsed="0" outlineLevel="1">
      <c r="A28" s="2473" t="s">
        <v>2079</v>
      </c>
      <c r="B28" s="2497">
        <v>0.01</v>
      </c>
      <c r="C28" s="2498">
        <f t="shared" si="9" ref="C28:M28">$B$28</f>
        <v>0.01</v>
      </c>
      <c r="D28" s="2497">
        <f t="shared" si="9"/>
        <v>0.01</v>
      </c>
      <c r="E28" s="2498">
        <v>0.01</v>
      </c>
      <c r="F28" s="2497">
        <f t="shared" si="9"/>
        <v>0.01</v>
      </c>
      <c r="G28" s="2498">
        <f t="shared" si="9"/>
        <v>0.01</v>
      </c>
      <c r="H28" s="2497">
        <v>0.01</v>
      </c>
      <c r="I28" s="2498">
        <f t="shared" si="9"/>
        <v>0.01</v>
      </c>
      <c r="J28" s="2497">
        <f t="shared" si="9"/>
        <v>0.01</v>
      </c>
      <c r="K28" s="2498">
        <v>0.01</v>
      </c>
      <c r="L28" s="2497">
        <f t="shared" si="9"/>
        <v>0.01</v>
      </c>
      <c r="M28" s="2498">
        <f t="shared" si="9"/>
        <v>0.01</v>
      </c>
      <c r="N28" s="2497" t="s">
        <v>174</v>
      </c>
      <c r="O28" s="2498" t="str">
        <f t="shared" si="10" ref="O28:AC28">$N$28</f>
        <v>N/A</v>
      </c>
      <c r="P28" s="2497" t="str">
        <f t="shared" si="10"/>
        <v>N/A</v>
      </c>
      <c r="Q28" s="2498" t="str">
        <f t="shared" si="11" ref="Q28:T28">$N28</f>
        <v>N/A</v>
      </c>
      <c r="R28" s="2497" t="str">
        <f t="shared" si="10"/>
        <v>N/A</v>
      </c>
      <c r="S28" s="2498" t="str">
        <f t="shared" si="10"/>
        <v>N/A</v>
      </c>
      <c r="T28" s="2497" t="str">
        <f t="shared" si="11"/>
        <v>N/A</v>
      </c>
      <c r="U28" s="2498" t="str">
        <f t="shared" si="10"/>
        <v>N/A</v>
      </c>
      <c r="V28" s="2497" t="s">
        <v>174</v>
      </c>
      <c r="W28" s="2498" t="str">
        <f t="shared" si="10"/>
        <v>N/A</v>
      </c>
      <c r="X28" s="2497" t="str">
        <f t="shared" si="10"/>
        <v>N/A</v>
      </c>
      <c r="Y28" s="2498" t="s">
        <v>174</v>
      </c>
      <c r="Z28" s="2497" t="str">
        <f t="shared" si="10"/>
        <v>N/A</v>
      </c>
      <c r="AA28" s="2498" t="str">
        <f t="shared" si="10"/>
        <v>N/A</v>
      </c>
      <c r="AB28" s="2497" t="s">
        <v>174</v>
      </c>
      <c r="AC28" s="2498" t="str">
        <f t="shared" si="10"/>
        <v>N/A</v>
      </c>
      <c r="AD28" s="2463"/>
    </row>
    <row r="29" ht="21" customHeight="1" hidden="1" collapsed="0" outlineLevel="1">
      <c r="A29" s="2473" t="s">
        <v>2080</v>
      </c>
      <c r="B29" s="2476">
        <v>0</v>
      </c>
      <c r="C29" s="2477">
        <f t="shared" si="12" ref="C29:AC29">$B$29</f>
        <v>0</v>
      </c>
      <c r="D29" s="2476">
        <f t="shared" si="12"/>
        <v>0</v>
      </c>
      <c r="E29" s="2477">
        <v>0</v>
      </c>
      <c r="F29" s="2476">
        <f t="shared" si="12"/>
        <v>0</v>
      </c>
      <c r="G29" s="2477">
        <f t="shared" si="12"/>
        <v>0</v>
      </c>
      <c r="H29" s="2476">
        <v>0</v>
      </c>
      <c r="I29" s="2477">
        <f t="shared" si="12"/>
        <v>0</v>
      </c>
      <c r="J29" s="2476">
        <f t="shared" si="12"/>
        <v>0</v>
      </c>
      <c r="K29" s="2477">
        <v>0</v>
      </c>
      <c r="L29" s="2476">
        <f t="shared" si="12"/>
        <v>0</v>
      </c>
      <c r="M29" s="2477">
        <f t="shared" si="12"/>
        <v>0</v>
      </c>
      <c r="N29" s="2476">
        <f t="shared" si="12"/>
        <v>0</v>
      </c>
      <c r="O29" s="2477">
        <f t="shared" si="12"/>
        <v>0</v>
      </c>
      <c r="P29" s="2476">
        <f t="shared" si="12"/>
        <v>0</v>
      </c>
      <c r="Q29" s="2477">
        <f t="shared" si="12"/>
        <v>0</v>
      </c>
      <c r="R29" s="2476">
        <f t="shared" si="12"/>
        <v>0</v>
      </c>
      <c r="S29" s="2477">
        <f t="shared" si="12"/>
        <v>0</v>
      </c>
      <c r="T29" s="2476">
        <f t="shared" si="12"/>
        <v>0</v>
      </c>
      <c r="U29" s="2477">
        <f t="shared" si="12"/>
        <v>0</v>
      </c>
      <c r="V29" s="2476">
        <f t="shared" si="12"/>
        <v>0</v>
      </c>
      <c r="W29" s="2477">
        <f t="shared" si="12"/>
        <v>0</v>
      </c>
      <c r="X29" s="2476">
        <f t="shared" si="12"/>
        <v>0</v>
      </c>
      <c r="Y29" s="2477">
        <f t="shared" si="12"/>
        <v>0</v>
      </c>
      <c r="Z29" s="2476">
        <f t="shared" si="12"/>
        <v>0</v>
      </c>
      <c r="AA29" s="2477">
        <f t="shared" si="12"/>
        <v>0</v>
      </c>
      <c r="AB29" s="2476">
        <f t="shared" si="12"/>
        <v>0</v>
      </c>
      <c r="AC29" s="2477">
        <f t="shared" si="12"/>
        <v>0</v>
      </c>
      <c r="AD29" s="2463"/>
    </row>
    <row r="30" ht="21" customHeight="1" collapsed="1" outlineLevel="0">
      <c r="A30" s="2473" t="str">
        <f>IF('SBL Quotes'!$B$38="Acquisition","Annual Debt Service","New Annual Debt Service")</f>
        <v>New Annual Debt Service</v>
      </c>
      <c r="B30" s="2499" t="e">
        <f>'SBL Quotes'!E18</f>
        <v>#N/A</v>
      </c>
      <c r="C30" s="2500" t="e">
        <f>'SBL Quotes'!F18</f>
        <v>#N/A</v>
      </c>
      <c r="D30" s="2499" t="e">
        <f>'SBL Quotes'!G18</f>
        <v>#N/A</v>
      </c>
      <c r="E30" s="2500" t="e">
        <f>'SBL Quotes'!H18</f>
        <v>#N/A</v>
      </c>
      <c r="F30" s="2499" t="e">
        <f>'SBL Quotes'!I18</f>
        <v>#N/A</v>
      </c>
      <c r="G30" s="2500" t="e">
        <f>'SBL Quotes'!J18</f>
        <v>#N/A</v>
      </c>
      <c r="H30" s="2499" t="e">
        <f>'SBL Quotes'!K18</f>
        <v>#N/A</v>
      </c>
      <c r="I30" s="2500" t="e">
        <f>'SBL Quotes'!L18</f>
        <v>#N/A</v>
      </c>
      <c r="J30" s="2499" t="e">
        <f>'SBL Quotes'!M18</f>
        <v>#N/A</v>
      </c>
      <c r="K30" s="2500" t="e">
        <f>'SBL Quotes'!N18</f>
        <v>#N/A</v>
      </c>
      <c r="L30" s="2499" t="e">
        <f>'SBL Quotes'!O18</f>
        <v>#N/A</v>
      </c>
      <c r="M30" s="2500" t="e">
        <f>'SBL Quotes'!P18</f>
        <v>#N/A</v>
      </c>
      <c r="N30" s="2499">
        <f>'SBL Quotes'!R18</f>
        <v>0</v>
      </c>
      <c r="O30" s="2500">
        <f>'SBL Quotes'!S18</f>
        <v>0</v>
      </c>
      <c r="P30" s="2499">
        <f>'SBL Quotes'!T18</f>
        <v>0</v>
      </c>
      <c r="Q30" s="2500">
        <f>'SBL Quotes'!U18</f>
        <v>0</v>
      </c>
      <c r="R30" s="2499" t="str">
        <f>'SBL Quotes'!V18</f>
        <v>NA</v>
      </c>
      <c r="S30" s="2500">
        <f>'SBL Quotes'!W18</f>
        <v>0</v>
      </c>
      <c r="T30" s="2499" t="str">
        <f>'SBL Quotes'!X18</f>
        <v>NA</v>
      </c>
      <c r="U30" s="2500">
        <f>'SBL Quotes'!Y18</f>
        <v>0</v>
      </c>
      <c r="V30" s="2499" t="str">
        <f>'SBL Quotes'!AA18</f>
        <v>NA</v>
      </c>
      <c r="W30" s="2500" t="str">
        <f>'SBL Quotes'!AB18</f>
        <v>NA</v>
      </c>
      <c r="X30" s="2499" t="str">
        <f>'SBL Quotes'!AC18</f>
        <v>NA</v>
      </c>
      <c r="Y30" s="2500" t="str">
        <f>'SBL Quotes'!AD18</f>
        <v>NA</v>
      </c>
      <c r="Z30" s="2499" t="str">
        <f>'SBL Quotes'!AE18</f>
        <v>NA</v>
      </c>
      <c r="AA30" s="2500" t="str">
        <f>'SBL Quotes'!AF18</f>
        <v>NA</v>
      </c>
      <c r="AB30" s="2499" t="str">
        <f>'SBL Quotes'!AG18</f>
        <v>NA</v>
      </c>
      <c r="AC30" s="2500" t="str">
        <f>'SBL Quotes'!AH18</f>
        <v>NA</v>
      </c>
      <c r="AD30" s="2463"/>
    </row>
    <row r="31" ht="21" customHeight="1">
      <c r="A31" s="2473" t="str">
        <f>IF('SBL Quotes'!$B$38="Acquisition","Annual Debt Service (IO)","New Annual Debt Service (IO)")</f>
        <v>New Annual Debt Service (IO)</v>
      </c>
      <c r="B31" s="2476" t="e">
        <f>'SBL Quotes'!E19</f>
        <v>#N/A</v>
      </c>
      <c r="C31" s="2477" t="e">
        <f>'SBL Quotes'!F19</f>
        <v>#N/A</v>
      </c>
      <c r="D31" s="2476" t="e">
        <f>'SBL Quotes'!G19</f>
        <v>#N/A</v>
      </c>
      <c r="E31" s="2477" t="e">
        <f>'SBL Quotes'!H19</f>
        <v>#N/A</v>
      </c>
      <c r="F31" s="2476" t="e">
        <f>'SBL Quotes'!I19</f>
        <v>#N/A</v>
      </c>
      <c r="G31" s="2477" t="e">
        <f>'SBL Quotes'!J19</f>
        <v>#N/A</v>
      </c>
      <c r="H31" s="2476" t="e">
        <f>'SBL Quotes'!K19</f>
        <v>#N/A</v>
      </c>
      <c r="I31" s="2477" t="e">
        <f>'SBL Quotes'!L19</f>
        <v>#N/A</v>
      </c>
      <c r="J31" s="2476" t="e">
        <f>'SBL Quotes'!M19</f>
        <v>#N/A</v>
      </c>
      <c r="K31" s="2477" t="e">
        <f>'SBL Quotes'!N19</f>
        <v>#N/A</v>
      </c>
      <c r="L31" s="2476" t="e">
        <f>'SBL Quotes'!O19</f>
        <v>#N/A</v>
      </c>
      <c r="M31" s="2477" t="e">
        <f>'SBL Quotes'!P19</f>
        <v>#N/A</v>
      </c>
      <c r="N31" s="2476">
        <f>'SBL Quotes'!R19</f>
        <v>0</v>
      </c>
      <c r="O31" s="2477">
        <f>'SBL Quotes'!S19</f>
        <v>0</v>
      </c>
      <c r="P31" s="2476">
        <f>'SBL Quotes'!T19</f>
        <v>0</v>
      </c>
      <c r="Q31" s="2477">
        <f>'SBL Quotes'!U19</f>
        <v>0</v>
      </c>
      <c r="R31" s="2476">
        <f>'SBL Quotes'!V19</f>
        <v>0</v>
      </c>
      <c r="S31" s="2477">
        <f>'SBL Quotes'!W19</f>
        <v>0</v>
      </c>
      <c r="T31" s="2476">
        <f>'SBL Quotes'!X19</f>
        <v>0</v>
      </c>
      <c r="U31" s="2477">
        <f>'SBL Quotes'!Y19</f>
        <v>0</v>
      </c>
      <c r="V31" s="2476">
        <f>'SBL Quotes'!AA19</f>
        <v>0</v>
      </c>
      <c r="W31" s="2477">
        <f>'SBL Quotes'!AB19</f>
        <v>0</v>
      </c>
      <c r="X31" s="2476">
        <f>'SBL Quotes'!AC19</f>
        <v>0</v>
      </c>
      <c r="Y31" s="2477">
        <f>'SBL Quotes'!AD19</f>
        <v>0</v>
      </c>
      <c r="Z31" s="2476">
        <f>'SBL Quotes'!AE19</f>
        <v>0</v>
      </c>
      <c r="AA31" s="2477">
        <f>'SBL Quotes'!AF19</f>
        <v>0</v>
      </c>
      <c r="AB31" s="2476">
        <f>'SBL Quotes'!AG19</f>
        <v>0</v>
      </c>
      <c r="AC31" s="2477">
        <f>'SBL Quotes'!AH19</f>
        <v>0</v>
      </c>
      <c r="AD31" s="2463"/>
    </row>
    <row r="32" ht="21" customHeight="1" hidden="1" collapsed="0" outlineLevel="1">
      <c r="A32" s="2473" t="s">
        <v>2083</v>
      </c>
      <c r="B32" s="2499">
        <f t="shared" si="13" ref="B32:AC32">IF(B$29=0,0,B$29-B$30)</f>
        <v>0</v>
      </c>
      <c r="C32" s="2500">
        <f t="shared" si="13"/>
        <v>0</v>
      </c>
      <c r="D32" s="2499">
        <f t="shared" si="13"/>
        <v>0</v>
      </c>
      <c r="E32" s="2500">
        <f t="shared" si="13"/>
        <v>0</v>
      </c>
      <c r="F32" s="2499">
        <f t="shared" si="13"/>
        <v>0</v>
      </c>
      <c r="G32" s="2500">
        <f t="shared" si="13"/>
        <v>0</v>
      </c>
      <c r="H32" s="2499">
        <f t="shared" si="13"/>
        <v>0</v>
      </c>
      <c r="I32" s="2500">
        <f t="shared" si="13"/>
        <v>0</v>
      </c>
      <c r="J32" s="2499">
        <f t="shared" si="13"/>
        <v>0</v>
      </c>
      <c r="K32" s="2500">
        <f t="shared" si="13"/>
        <v>0</v>
      </c>
      <c r="L32" s="2499">
        <f t="shared" si="13"/>
        <v>0</v>
      </c>
      <c r="M32" s="2500">
        <f t="shared" si="13"/>
        <v>0</v>
      </c>
      <c r="N32" s="2499">
        <f t="shared" si="13"/>
        <v>0</v>
      </c>
      <c r="O32" s="2500">
        <f t="shared" si="13"/>
        <v>0</v>
      </c>
      <c r="P32" s="2499">
        <f t="shared" si="13"/>
        <v>0</v>
      </c>
      <c r="Q32" s="2500">
        <f t="shared" si="13"/>
        <v>0</v>
      </c>
      <c r="R32" s="2499">
        <f t="shared" si="13"/>
        <v>0</v>
      </c>
      <c r="S32" s="2500">
        <f t="shared" si="13"/>
        <v>0</v>
      </c>
      <c r="T32" s="2499">
        <f t="shared" si="13"/>
        <v>0</v>
      </c>
      <c r="U32" s="2500">
        <f t="shared" si="13"/>
        <v>0</v>
      </c>
      <c r="V32" s="2499">
        <f t="shared" si="13"/>
        <v>0</v>
      </c>
      <c r="W32" s="2500">
        <f t="shared" si="13"/>
        <v>0</v>
      </c>
      <c r="X32" s="2499">
        <f t="shared" si="13"/>
        <v>0</v>
      </c>
      <c r="Y32" s="2500">
        <f t="shared" si="13"/>
        <v>0</v>
      </c>
      <c r="Z32" s="2499">
        <f t="shared" si="13"/>
        <v>0</v>
      </c>
      <c r="AA32" s="2500">
        <f t="shared" si="13"/>
        <v>0</v>
      </c>
      <c r="AB32" s="2499">
        <f t="shared" si="13"/>
        <v>0</v>
      </c>
      <c r="AC32" s="2500">
        <f t="shared" si="13"/>
        <v>0</v>
      </c>
      <c r="AD32" s="2463"/>
    </row>
    <row r="33" ht="19.5" customHeight="1" hidden="1" collapsed="0" outlineLevel="1">
      <c r="A33" s="2473" t="s">
        <v>2084</v>
      </c>
      <c r="B33" s="2476">
        <f t="shared" si="14" ref="B33:AC33">IF(B$29=0,0,B$29-B$31)</f>
        <v>0</v>
      </c>
      <c r="C33" s="2477">
        <f t="shared" si="14"/>
        <v>0</v>
      </c>
      <c r="D33" s="2476">
        <f t="shared" si="14"/>
        <v>0</v>
      </c>
      <c r="E33" s="2477">
        <f t="shared" si="14"/>
        <v>0</v>
      </c>
      <c r="F33" s="2476">
        <f t="shared" si="14"/>
        <v>0</v>
      </c>
      <c r="G33" s="2477">
        <f t="shared" si="14"/>
        <v>0</v>
      </c>
      <c r="H33" s="2476">
        <f t="shared" si="14"/>
        <v>0</v>
      </c>
      <c r="I33" s="2477">
        <f t="shared" si="14"/>
        <v>0</v>
      </c>
      <c r="J33" s="2476">
        <f t="shared" si="14"/>
        <v>0</v>
      </c>
      <c r="K33" s="2477">
        <f t="shared" si="14"/>
        <v>0</v>
      </c>
      <c r="L33" s="2476">
        <f t="shared" si="14"/>
        <v>0</v>
      </c>
      <c r="M33" s="2477">
        <f t="shared" si="14"/>
        <v>0</v>
      </c>
      <c r="N33" s="2476">
        <f t="shared" si="14"/>
        <v>0</v>
      </c>
      <c r="O33" s="2477">
        <f t="shared" si="14"/>
        <v>0</v>
      </c>
      <c r="P33" s="2476">
        <f t="shared" si="14"/>
        <v>0</v>
      </c>
      <c r="Q33" s="2477">
        <f t="shared" si="14"/>
        <v>0</v>
      </c>
      <c r="R33" s="2476">
        <f t="shared" si="14"/>
        <v>0</v>
      </c>
      <c r="S33" s="2477">
        <f t="shared" si="14"/>
        <v>0</v>
      </c>
      <c r="T33" s="2476">
        <f t="shared" si="14"/>
        <v>0</v>
      </c>
      <c r="U33" s="2477">
        <f t="shared" si="14"/>
        <v>0</v>
      </c>
      <c r="V33" s="2476">
        <f t="shared" si="14"/>
        <v>0</v>
      </c>
      <c r="W33" s="2477">
        <f t="shared" si="14"/>
        <v>0</v>
      </c>
      <c r="X33" s="2476">
        <f t="shared" si="14"/>
        <v>0</v>
      </c>
      <c r="Y33" s="2477">
        <f t="shared" si="14"/>
        <v>0</v>
      </c>
      <c r="Z33" s="2476">
        <f t="shared" si="14"/>
        <v>0</v>
      </c>
      <c r="AA33" s="2477">
        <f t="shared" si="14"/>
        <v>0</v>
      </c>
      <c r="AB33" s="2476">
        <f t="shared" si="14"/>
        <v>0</v>
      </c>
      <c r="AC33" s="2477">
        <f t="shared" si="14"/>
        <v>0</v>
      </c>
      <c r="AD33" s="2463"/>
    </row>
    <row r="34" ht="19.5" customHeight="1" collapsed="1" outlineLevel="0">
      <c r="A34" s="2473" t="s">
        <v>2025</v>
      </c>
      <c r="B34" s="2493">
        <f>'SBL Quotes'!E$31</f>
        <v>0.01</v>
      </c>
      <c r="C34" s="2494">
        <f>'SBL Quotes'!F$31</f>
        <v>0.01</v>
      </c>
      <c r="D34" s="2493">
        <f>'SBL Quotes'!G$31</f>
        <v>0.01</v>
      </c>
      <c r="E34" s="2494">
        <f>'SBL Quotes'!H$31</f>
        <v>0.01</v>
      </c>
      <c r="F34" s="2493">
        <f>'SBL Quotes'!I$31</f>
        <v>0.01</v>
      </c>
      <c r="G34" s="2494">
        <f>'SBL Quotes'!J$31</f>
        <v>0.01</v>
      </c>
      <c r="H34" s="2493">
        <f>'SBL Quotes'!K$31</f>
        <v>0.01</v>
      </c>
      <c r="I34" s="2494">
        <f>'SBL Quotes'!L$31</f>
        <v>0.01</v>
      </c>
      <c r="J34" s="2493">
        <f>'SBL Quotes'!M$31</f>
        <v>0.01</v>
      </c>
      <c r="K34" s="2494">
        <f>'SBL Quotes'!N$31</f>
        <v>0.01</v>
      </c>
      <c r="L34" s="2493">
        <f>'SBL Quotes'!O$31</f>
        <v>0.01</v>
      </c>
      <c r="M34" s="2494">
        <f>'SBL Quotes'!P$31</f>
        <v>0.01</v>
      </c>
      <c r="N34" s="2493">
        <f>'SBL Quotes'!R$31</f>
        <v>0.01</v>
      </c>
      <c r="O34" s="2494">
        <f>'SBL Quotes'!S$31</f>
        <v>0.01</v>
      </c>
      <c r="P34" s="2493">
        <f>'SBL Quotes'!T$31</f>
        <v>0.01</v>
      </c>
      <c r="Q34" s="2494">
        <f>'SBL Quotes'!U$31</f>
        <v>0.005</v>
      </c>
      <c r="R34" s="2493">
        <f>'SBL Quotes'!V$31</f>
        <v>0.005</v>
      </c>
      <c r="S34" s="2494">
        <f>'SBL Quotes'!W$31</f>
        <v>0.005</v>
      </c>
      <c r="T34" s="2493">
        <f>'SBL Quotes'!X$31</f>
        <v>0.005</v>
      </c>
      <c r="U34" s="2494">
        <f>'SBL Quotes'!Y$31</f>
        <v>0.01</v>
      </c>
      <c r="V34" s="2493">
        <f>'SBL Quotes'!AA$31</f>
        <v>0.01</v>
      </c>
      <c r="W34" s="2494">
        <f>'SBL Quotes'!AB$31</f>
        <v>0.01</v>
      </c>
      <c r="X34" s="2493">
        <f>'SBL Quotes'!AC$31</f>
        <v>0.01</v>
      </c>
      <c r="Y34" s="2494">
        <f>'SBL Quotes'!AD$31</f>
        <v>0.01</v>
      </c>
      <c r="Z34" s="2493">
        <f>'SBL Quotes'!AE$31</f>
        <v>0.01</v>
      </c>
      <c r="AA34" s="2494">
        <f>'SBL Quotes'!AF$31</f>
        <v>0.01</v>
      </c>
      <c r="AB34" s="2493">
        <f>'SBL Quotes'!AG$31</f>
        <v>0.01</v>
      </c>
      <c r="AC34" s="2494">
        <f>'SBL Quotes'!AH$31</f>
        <v>0.01</v>
      </c>
      <c r="AD34" s="2463"/>
    </row>
    <row r="35" ht="21" customHeight="1">
      <c r="A35" s="2473" t="s">
        <v>877</v>
      </c>
      <c r="B35" s="2501">
        <v>7500</v>
      </c>
      <c r="C35" s="2501">
        <f t="shared" si="15" ref="C35:U35">B35</f>
        <v>7500</v>
      </c>
      <c r="D35" s="2501">
        <f t="shared" si="15"/>
        <v>7500</v>
      </c>
      <c r="E35" s="2501">
        <f t="shared" si="15"/>
        <v>7500</v>
      </c>
      <c r="F35" s="2501">
        <f t="shared" si="15"/>
        <v>7500</v>
      </c>
      <c r="G35" s="2501">
        <f t="shared" si="15"/>
        <v>7500</v>
      </c>
      <c r="H35" s="2501">
        <f t="shared" si="15"/>
        <v>7500</v>
      </c>
      <c r="I35" s="2501">
        <f t="shared" si="15"/>
        <v>7500</v>
      </c>
      <c r="J35" s="2501">
        <f t="shared" si="15"/>
        <v>7500</v>
      </c>
      <c r="K35" s="2501">
        <f t="shared" si="15"/>
        <v>7500</v>
      </c>
      <c r="L35" s="2501">
        <f t="shared" si="15"/>
        <v>7500</v>
      </c>
      <c r="M35" s="2501">
        <f t="shared" si="15"/>
        <v>7500</v>
      </c>
      <c r="N35" s="2501">
        <v>7500</v>
      </c>
      <c r="O35" s="2501">
        <f t="shared" si="15"/>
        <v>7500</v>
      </c>
      <c r="P35" s="2501">
        <f t="shared" si="15"/>
        <v>7500</v>
      </c>
      <c r="Q35" s="2501">
        <f t="shared" si="15"/>
        <v>7500</v>
      </c>
      <c r="R35" s="2501">
        <f t="shared" si="15"/>
        <v>7500</v>
      </c>
      <c r="S35" s="2501">
        <f t="shared" si="15"/>
        <v>7500</v>
      </c>
      <c r="T35" s="2501">
        <f t="shared" si="15"/>
        <v>7500</v>
      </c>
      <c r="U35" s="2501">
        <f t="shared" si="15"/>
        <v>7500</v>
      </c>
      <c r="V35" s="2501">
        <v>12500</v>
      </c>
      <c r="W35" s="2501">
        <f t="shared" si="8"/>
        <v>12500</v>
      </c>
      <c r="X35" s="2501">
        <f t="shared" si="8"/>
        <v>12500</v>
      </c>
      <c r="Y35" s="2501">
        <f t="shared" si="8"/>
        <v>12500</v>
      </c>
      <c r="Z35" s="2501">
        <f t="shared" si="8"/>
        <v>12500</v>
      </c>
      <c r="AA35" s="2501">
        <f t="shared" si="8"/>
        <v>12500</v>
      </c>
      <c r="AB35" s="2501">
        <f t="shared" si="8"/>
        <v>12500</v>
      </c>
      <c r="AC35" s="2501">
        <f t="shared" si="8"/>
        <v>12500</v>
      </c>
      <c r="AD35" s="2463"/>
    </row>
    <row r="36" ht="21" customHeight="1" hidden="1" collapsed="0" outlineLevel="1">
      <c r="A36" s="2473" t="s">
        <v>2085</v>
      </c>
      <c r="B36" s="2501">
        <v>0</v>
      </c>
      <c r="C36" s="2502">
        <f t="shared" si="16" ref="C36:M36">$B$36</f>
        <v>0</v>
      </c>
      <c r="D36" s="2501">
        <f t="shared" si="16"/>
        <v>0</v>
      </c>
      <c r="E36" s="2502">
        <v>0</v>
      </c>
      <c r="F36" s="2501">
        <f t="shared" si="16"/>
        <v>0</v>
      </c>
      <c r="G36" s="2502">
        <f t="shared" si="16"/>
        <v>0</v>
      </c>
      <c r="H36" s="2501">
        <v>0</v>
      </c>
      <c r="I36" s="2502">
        <f t="shared" si="16"/>
        <v>0</v>
      </c>
      <c r="J36" s="2501">
        <f t="shared" si="16"/>
        <v>0</v>
      </c>
      <c r="K36" s="2502">
        <v>0</v>
      </c>
      <c r="L36" s="2501">
        <f t="shared" si="16"/>
        <v>0</v>
      </c>
      <c r="M36" s="2502">
        <f t="shared" si="16"/>
        <v>0</v>
      </c>
      <c r="N36" s="2501">
        <v>0</v>
      </c>
      <c r="O36" s="2502">
        <f t="shared" si="17" ref="O36:U36">$N$36</f>
        <v>0</v>
      </c>
      <c r="P36" s="2501">
        <f t="shared" si="17"/>
        <v>0</v>
      </c>
      <c r="Q36" s="2502">
        <v>0</v>
      </c>
      <c r="R36" s="2501">
        <f t="shared" si="17"/>
        <v>0</v>
      </c>
      <c r="S36" s="2502">
        <f t="shared" si="17"/>
        <v>0</v>
      </c>
      <c r="T36" s="2501">
        <v>0</v>
      </c>
      <c r="U36" s="2502">
        <f t="shared" si="17"/>
        <v>0</v>
      </c>
      <c r="V36" s="2501">
        <v>0</v>
      </c>
      <c r="W36" s="2502">
        <f t="shared" si="8"/>
        <v>0</v>
      </c>
      <c r="X36" s="2501">
        <f t="shared" si="8"/>
        <v>0</v>
      </c>
      <c r="Y36" s="2502">
        <f t="shared" si="8"/>
        <v>0</v>
      </c>
      <c r="Z36" s="2501">
        <f t="shared" si="8"/>
        <v>0</v>
      </c>
      <c r="AA36" s="2502">
        <f t="shared" si="8"/>
        <v>0</v>
      </c>
      <c r="AB36" s="2501">
        <f t="shared" si="8"/>
        <v>0</v>
      </c>
      <c r="AC36" s="2502">
        <f t="shared" si="8"/>
        <v>0</v>
      </c>
      <c r="AD36" s="2463"/>
    </row>
    <row r="37" ht="21" customHeight="1" collapsed="1" outlineLevel="0">
      <c r="A37" s="2473" t="s">
        <v>2086</v>
      </c>
      <c r="B37" s="2490">
        <f>IF(AND(SblQuotes_FreddieMktTier="Top",'SBL Quotes'!$B$28="No"),"N/A",0.1%)</f>
        <v>0.001</v>
      </c>
      <c r="C37" s="2490">
        <f>IF(AND(SblQuotes_FreddieMktTier="Top",'SBL Quotes'!$B$28="No"),"N/A",0.1%)</f>
        <v>0.001</v>
      </c>
      <c r="D37" s="2490">
        <f>IF(AND(SblQuotes_FreddieMktTier="Top",'SBL Quotes'!$B$28="No"),"N/A",0.1%)</f>
        <v>0.001</v>
      </c>
      <c r="E37" s="2490">
        <f>IF(AND(SblQuotes_FreddieMktTier="Top",'SBL Quotes'!$B$28="No"),"N/A",0.1%)</f>
        <v>0.001</v>
      </c>
      <c r="F37" s="2490">
        <f>IF(AND(SblQuotes_FreddieMktTier="Top",'SBL Quotes'!$B$28="No"),"N/A",0.1%)</f>
        <v>0.001</v>
      </c>
      <c r="G37" s="2490">
        <f>IF(AND(SblQuotes_FreddieMktTier="Top",'SBL Quotes'!$B$28="No"),"N/A",0.1%)</f>
        <v>0.001</v>
      </c>
      <c r="H37" s="2490">
        <f>IF(AND(SblQuotes_FreddieMktTier="Top",'SBL Quotes'!$B$28="No"),"N/A",0.1%)</f>
        <v>0.001</v>
      </c>
      <c r="I37" s="2490">
        <f>IF(AND(SblQuotes_FreddieMktTier="Top",'SBL Quotes'!$B$28="No"),"N/A",0.1%)</f>
        <v>0.001</v>
      </c>
      <c r="J37" s="2490">
        <f>IF(AND(SblQuotes_FreddieMktTier="Top",'SBL Quotes'!$B$28="No"),"N/A",0.1%)</f>
        <v>0.001</v>
      </c>
      <c r="K37" s="2490">
        <f>IF(AND(SblQuotes_FreddieMktTier="Top",'SBL Quotes'!$B$28="No"),"N/A",0.1%)</f>
        <v>0.001</v>
      </c>
      <c r="L37" s="2490">
        <f>IF(AND(SblQuotes_FreddieMktTier="Top",'SBL Quotes'!$B$28="No"),"N/A",0.1%)</f>
        <v>0.001</v>
      </c>
      <c r="M37" s="2490">
        <f>IF(AND(SblQuotes_FreddieMktTier="Top",'SBL Quotes'!$B$28="No"),"N/A",0.1%)</f>
        <v>0.001</v>
      </c>
      <c r="N37" s="2490">
        <v>0.001</v>
      </c>
      <c r="O37" s="2490">
        <v>0.001</v>
      </c>
      <c r="P37" s="2490">
        <v>0.001</v>
      </c>
      <c r="Q37" s="2490">
        <v>0.001</v>
      </c>
      <c r="R37" s="2490">
        <v>0.001</v>
      </c>
      <c r="S37" s="2490">
        <v>0.001</v>
      </c>
      <c r="T37" s="2490">
        <v>0.001</v>
      </c>
      <c r="U37" s="2490">
        <v>0.001</v>
      </c>
      <c r="V37" s="2490" t="s">
        <v>174</v>
      </c>
      <c r="W37" s="2502" t="str">
        <f t="shared" si="8"/>
        <v>N/A</v>
      </c>
      <c r="X37" s="2501" t="str">
        <f t="shared" si="8"/>
        <v>N/A</v>
      </c>
      <c r="Y37" s="2502" t="str">
        <f t="shared" si="8"/>
        <v>N/A</v>
      </c>
      <c r="Z37" s="2501" t="str">
        <f t="shared" si="8"/>
        <v>N/A</v>
      </c>
      <c r="AA37" s="2502" t="str">
        <f t="shared" si="8"/>
        <v>N/A</v>
      </c>
      <c r="AB37" s="2501" t="str">
        <f t="shared" si="8"/>
        <v>N/A</v>
      </c>
      <c r="AC37" s="2502" t="str">
        <f t="shared" si="8"/>
        <v>N/A</v>
      </c>
      <c r="AD37" s="2463"/>
    </row>
    <row r="38" ht="24" customHeight="1">
      <c r="A38" s="2503" t="s">
        <v>2087</v>
      </c>
      <c r="B38" s="2504" t="str">
        <f t="shared" si="18" ref="B38:U38">_xlfn.LET(_xlpm.IsFannie,LEFT(B8,6)="Fannie",_xlpm.LTV_Above65,B19&gt;65%,_xlpm.MoreThan50Units,number_units&gt;50,IF(_xlpm.IsFannie,"RE Tax, Insurance, Replacement Reserves",IF(_xlpm.LTV_Above65,"RE Tax","")&amp;IF(AND(_xlpm.LTV_Above65,_xlpm.MoreThan50Units),", ","")&amp;IF(_xlpm.MoreThan50Units,"Replacement Reserves",""&amp;IF(NOT(OR(_xlpm.LTV_Above65,_xlpm.MoreThan50Units)),"Waived",""))))</f>
        <v>RE Tax, Replacement Reserves</v>
      </c>
      <c r="C38" s="2504" t="str">
        <f t="shared" si="18"/>
        <v>RE Tax, Replacement Reserves</v>
      </c>
      <c r="D38" s="2504" t="str">
        <f t="shared" si="18"/>
        <v>RE Tax, Replacement Reserves</v>
      </c>
      <c r="E38" s="2504" t="str">
        <f t="shared" si="18"/>
        <v>RE Tax, Replacement Reserves</v>
      </c>
      <c r="F38" s="2504" t="str">
        <f t="shared" si="18"/>
        <v>RE Tax, Replacement Reserves</v>
      </c>
      <c r="G38" s="2504" t="str">
        <f t="shared" si="18"/>
        <v>RE Tax, Replacement Reserves</v>
      </c>
      <c r="H38" s="2504" t="str">
        <f t="shared" si="18"/>
        <v>RE Tax, Replacement Reserves</v>
      </c>
      <c r="I38" s="2504" t="str">
        <f t="shared" si="18"/>
        <v>RE Tax, Replacement Reserves</v>
      </c>
      <c r="J38" s="2504" t="str">
        <f t="shared" si="18"/>
        <v>RE Tax, Replacement Reserves</v>
      </c>
      <c r="K38" s="2504" t="str">
        <f t="shared" si="18"/>
        <v>RE Tax, Replacement Reserves</v>
      </c>
      <c r="L38" s="2504" t="str">
        <f t="shared" si="18"/>
        <v>RE Tax, Replacement Reserves</v>
      </c>
      <c r="M38" s="2504" t="str">
        <f t="shared" si="18"/>
        <v>RE Tax, Replacement Reserves</v>
      </c>
      <c r="N38" s="2504" t="str">
        <f t="shared" si="18"/>
        <v>RE Tax, Insurance, Replacement Reserves</v>
      </c>
      <c r="O38" s="2504" t="str">
        <f t="shared" si="18"/>
        <v>RE Tax, Insurance, Replacement Reserves</v>
      </c>
      <c r="P38" s="2504" t="str">
        <f t="shared" si="18"/>
        <v>RE Tax, Insurance, Replacement Reserves</v>
      </c>
      <c r="Q38" s="2504" t="str">
        <f t="shared" si="18"/>
        <v>RE Tax, Insurance, Replacement Reserves</v>
      </c>
      <c r="R38" s="2504" t="str">
        <f t="shared" si="18"/>
        <v>RE Tax, Insurance, Replacement Reserves</v>
      </c>
      <c r="S38" s="2504" t="str">
        <f t="shared" si="18"/>
        <v>RE Tax, Insurance, Replacement Reserves</v>
      </c>
      <c r="T38" s="2504" t="str">
        <f t="shared" si="18"/>
        <v>RE Tax, Insurance, Replacement Reserves</v>
      </c>
      <c r="U38" s="2504" t="str">
        <f t="shared" si="18"/>
        <v>RE Tax, Insurance, Replacement Reserves</v>
      </c>
      <c r="V38" s="2504" t="s">
        <v>2089</v>
      </c>
      <c r="W38" s="2504" t="str">
        <f t="shared" si="8"/>
        <v>RE Tax, Insurance, Replacement Reserves</v>
      </c>
      <c r="X38" s="2504" t="str">
        <f t="shared" si="8"/>
        <v>RE Tax, Insurance, Replacement Reserves</v>
      </c>
      <c r="Y38" s="2504" t="str">
        <f t="shared" si="8"/>
        <v>RE Tax, Insurance, Replacement Reserves</v>
      </c>
      <c r="Z38" s="2504" t="str">
        <f t="shared" si="8"/>
        <v>RE Tax, Insurance, Replacement Reserves</v>
      </c>
      <c r="AA38" s="2504" t="str">
        <f t="shared" si="8"/>
        <v>RE Tax, Insurance, Replacement Reserves</v>
      </c>
      <c r="AB38" s="2504" t="str">
        <f t="shared" si="8"/>
        <v>RE Tax, Insurance, Replacement Reserves</v>
      </c>
      <c r="AC38" s="2504" t="str">
        <f t="shared" si="8"/>
        <v>RE Tax, Insurance, Replacement Reserves</v>
      </c>
      <c r="AD38" s="2463"/>
    </row>
    <row r="39" ht="17.25" customHeight="1">
      <c r="A39" s="2463"/>
      <c r="B39" s="2505"/>
      <c r="C39" s="2463"/>
      <c r="D39" s="2463"/>
      <c r="E39" s="2463"/>
      <c r="F39" s="2463"/>
      <c r="G39" s="2463"/>
      <c r="H39" s="2463"/>
      <c r="I39" s="2463"/>
      <c r="J39" s="2463"/>
      <c r="K39" s="2463"/>
      <c r="L39" s="2463"/>
      <c r="M39" s="2463"/>
      <c r="N39" s="2506"/>
      <c r="O39" s="2463"/>
      <c r="P39" s="2463"/>
      <c r="Q39" s="2463"/>
      <c r="R39" s="2463"/>
      <c r="S39" s="2463"/>
      <c r="T39" s="2463"/>
      <c r="U39" s="2463"/>
      <c r="V39" s="2506"/>
      <c r="W39" s="2463"/>
      <c r="X39" s="2463"/>
      <c r="Y39" s="2463"/>
      <c r="Z39" s="2463"/>
      <c r="AA39" s="2463"/>
      <c r="AB39" s="2463"/>
      <c r="AC39" s="2463"/>
      <c r="AD39" s="2463"/>
    </row>
    <row r="40" ht="36.75" customHeight="1">
      <c r="A40" s="2507" t="s">
        <v>2090</v>
      </c>
      <c r="B40" s="2507"/>
      <c r="C40" s="2507"/>
      <c r="D40" s="2507"/>
      <c r="E40" s="2507"/>
      <c r="F40" s="2507"/>
      <c r="G40" s="2507"/>
      <c r="H40" s="2507"/>
      <c r="I40" s="2507"/>
      <c r="J40" s="2507"/>
      <c r="K40" s="2507"/>
      <c r="L40" s="2507"/>
      <c r="M40" s="2507"/>
      <c r="N40" s="2507"/>
      <c r="O40" s="2507"/>
      <c r="P40" s="2507"/>
      <c r="Q40" s="2507"/>
      <c r="R40" s="2463"/>
      <c r="S40" s="2463"/>
      <c r="T40" s="2463"/>
      <c r="U40" s="2463"/>
      <c r="V40" s="2463"/>
      <c r="W40" s="2463"/>
      <c r="X40" s="2463"/>
      <c r="Y40" s="2463"/>
      <c r="Z40" s="2463"/>
      <c r="AA40" s="2463"/>
      <c r="AB40" s="2463"/>
      <c r="AC40" s="2463"/>
      <c r="AD40" s="2463"/>
    </row>
    <row r="41" ht="56.25" customHeight="1">
      <c r="A41" s="2507"/>
      <c r="B41" s="2507"/>
      <c r="C41" s="2507"/>
      <c r="D41" s="2507"/>
      <c r="E41" s="2507"/>
      <c r="F41" s="2507"/>
      <c r="G41" s="2507"/>
      <c r="H41" s="2507"/>
      <c r="I41" s="2507"/>
      <c r="J41" s="2507"/>
      <c r="K41" s="2507"/>
      <c r="L41" s="2507"/>
      <c r="M41" s="2507"/>
      <c r="N41" s="2507"/>
      <c r="O41" s="2507"/>
      <c r="P41" s="2507"/>
      <c r="Q41" s="2507"/>
      <c r="R41" s="2463"/>
      <c r="S41" s="2463"/>
      <c r="T41" s="2463"/>
      <c r="U41" s="2463"/>
      <c r="V41" s="2463"/>
      <c r="W41" s="2463"/>
      <c r="X41" s="2463"/>
      <c r="Y41" s="2463"/>
      <c r="Z41" s="2463"/>
      <c r="AA41" s="2463"/>
      <c r="AB41" s="2463"/>
      <c r="AC41" s="2463"/>
      <c r="AD41" s="2463"/>
    </row>
    <row r="42" ht="8.25" customHeight="1">
      <c r="A42" s="2463"/>
      <c r="B42" s="2463"/>
      <c r="C42" s="2463"/>
      <c r="D42" s="2463"/>
      <c r="E42" s="2463"/>
      <c r="F42" s="2463"/>
      <c r="G42" s="2463"/>
      <c r="H42" s="2463"/>
      <c r="I42" s="2463"/>
      <c r="J42" s="2463"/>
      <c r="K42" s="2463"/>
      <c r="L42" s="2463"/>
      <c r="M42" s="2463"/>
      <c r="N42" s="2463"/>
      <c r="O42" s="2463"/>
      <c r="P42" s="2463"/>
      <c r="Q42" s="2463"/>
      <c r="R42" s="2463"/>
      <c r="S42" s="2463"/>
      <c r="T42" s="2463"/>
      <c r="U42" s="2463"/>
      <c r="V42" s="2463"/>
      <c r="W42" s="2463"/>
      <c r="X42" s="2463"/>
      <c r="Y42" s="2463"/>
      <c r="Z42" s="2463"/>
      <c r="AA42" s="2463"/>
      <c r="AB42" s="2463"/>
      <c r="AC42" s="2463"/>
      <c r="AD42" s="2463"/>
    </row>
    <row r="43" ht="82.5" customHeight="1">
      <c r="A43" s="2508" t="str">
        <f>IF('SBL Quotes'!B59="Select Producer Above",IF(A4="XXXX","-",""),'SBL Quotes'!B59)</f>
        <v>-</v>
      </c>
      <c r="B43" s="2509"/>
      <c r="C43" s="2509"/>
      <c r="D43" s="2509"/>
      <c r="E43" s="2509"/>
      <c r="F43" s="2509"/>
      <c r="G43" s="2509"/>
      <c r="H43" s="2509"/>
      <c r="I43" s="2509"/>
      <c r="J43" s="2509"/>
      <c r="K43" s="2509"/>
      <c r="L43" s="2509"/>
      <c r="M43" s="2509"/>
      <c r="N43" s="2509"/>
      <c r="O43" s="2509"/>
      <c r="P43" s="2509"/>
      <c r="Q43" s="2509"/>
      <c r="R43" s="2509"/>
      <c r="S43" s="2509"/>
      <c r="T43" s="2509"/>
      <c r="U43" s="2509"/>
      <c r="V43" s="2509"/>
      <c r="W43" s="2509"/>
      <c r="X43" s="2509"/>
      <c r="Y43" s="2509"/>
      <c r="Z43" s="2509"/>
      <c r="AA43" s="2509"/>
      <c r="AB43" s="2509"/>
      <c r="AC43" s="2509"/>
      <c r="AD43" s="2463"/>
    </row>
    <row r="44" ht="6.75" customHeight="1">
      <c r="A44" s="2463"/>
      <c r="B44" s="2463"/>
      <c r="C44" s="2463"/>
      <c r="D44" s="2463"/>
      <c r="E44" s="2463"/>
      <c r="F44" s="2463"/>
      <c r="G44" s="2463"/>
      <c r="H44" s="2463"/>
      <c r="I44" s="2463"/>
      <c r="J44" s="2463"/>
      <c r="K44" s="2463"/>
      <c r="L44" s="2463"/>
      <c r="M44" s="2463"/>
      <c r="N44" s="2463"/>
      <c r="O44" s="2463"/>
      <c r="P44" s="2463"/>
      <c r="Q44" s="2463"/>
      <c r="R44" s="2463"/>
      <c r="S44" s="2463"/>
      <c r="T44" s="2463"/>
      <c r="U44" s="2463"/>
      <c r="V44" s="2463"/>
      <c r="W44" s="2463"/>
      <c r="X44" s="2463"/>
      <c r="Y44" s="2463"/>
      <c r="Z44" s="2463"/>
      <c r="AA44" s="2463"/>
      <c r="AB44" s="2463"/>
      <c r="AC44" s="2463"/>
      <c r="AD44" s="2463"/>
    </row>
    <row r="45" ht="15" customHeight="1" hidden="1">
      <c r="A45" s="2463"/>
      <c r="B45" s="2463"/>
      <c r="C45" s="2463"/>
      <c r="D45" s="2463"/>
      <c r="E45" s="2463"/>
      <c r="F45" s="2463"/>
      <c r="G45" s="2463"/>
      <c r="H45" s="2463"/>
      <c r="I45" s="2463"/>
      <c r="J45" s="2463"/>
      <c r="K45" s="2463"/>
      <c r="L45" s="2463"/>
      <c r="M45" s="2463"/>
      <c r="N45" s="2463"/>
      <c r="O45" s="2463"/>
      <c r="P45" s="2463"/>
      <c r="Q45" s="2463"/>
      <c r="R45" s="2463"/>
      <c r="S45" s="2463"/>
      <c r="T45" s="2463"/>
      <c r="U45" s="2463"/>
      <c r="V45" s="2463"/>
      <c r="W45" s="2463"/>
      <c r="X45" s="2463"/>
      <c r="Y45" s="2463"/>
      <c r="Z45" s="2463"/>
      <c r="AA45" s="2463"/>
      <c r="AB45" s="2463"/>
      <c r="AC45" s="2463"/>
      <c r="AD45" s="2463"/>
    </row>
    <row r="46" ht="15" customHeight="1" hidden="1">
      <c r="A46" s="2463"/>
      <c r="B46" s="2463"/>
      <c r="C46" s="2463"/>
      <c r="D46" s="2463"/>
      <c r="E46" s="2463"/>
      <c r="F46" s="2463"/>
      <c r="G46" s="2463"/>
      <c r="H46" s="2463"/>
      <c r="I46" s="2463"/>
      <c r="J46" s="2463"/>
      <c r="K46" s="2463"/>
      <c r="L46" s="2463"/>
      <c r="M46" s="2463"/>
      <c r="N46" s="2463"/>
      <c r="O46" s="2463"/>
      <c r="P46" s="2463"/>
      <c r="Q46" s="2463"/>
      <c r="R46" s="2463"/>
      <c r="S46" s="2463"/>
      <c r="T46" s="2463"/>
      <c r="U46" s="2463"/>
      <c r="V46" s="2463"/>
      <c r="W46" s="2463"/>
      <c r="X46" s="2463"/>
      <c r="Y46" s="2463"/>
      <c r="Z46" s="2463"/>
      <c r="AA46" s="2463"/>
      <c r="AB46" s="2463"/>
      <c r="AC46" s="2463"/>
      <c r="AD46" s="2463"/>
    </row>
  </sheetData>
  <mergeCells>
    <mergeCell ref="B43:U43"/>
    <mergeCell ref="A40:Q41"/>
    <mergeCell ref="A2:AC2"/>
    <mergeCell ref="A4:AC4"/>
    <mergeCell ref="A6:AC6"/>
  </mergeCells>
  <conditionalFormatting sqref="B38:U38">
    <cfRule type="expression" dxfId="43" priority="6" stopIfTrue="1" text="null">
      <formula>B$38="&lt;Update or Clear&gt;"</formula>
    </cfRule>
  </conditionalFormatting>
  <conditionalFormatting sqref="B7:U8">
    <cfRule type="expression" dxfId="44" priority="8" text="null">
      <formula>MOD(B$1,2)=1</formula>
    </cfRule>
  </conditionalFormatting>
  <conditionalFormatting sqref="B7:U8">
    <cfRule type="expression" dxfId="45" priority="9" text="null">
      <formula>MOD(B$1,2)=0</formula>
    </cfRule>
  </conditionalFormatting>
  <conditionalFormatting sqref="B9:AC38">
    <cfRule type="expression" dxfId="46" priority="7" text="null">
      <formula>MOD(B$1,2)=1</formula>
    </cfRule>
  </conditionalFormatting>
  <conditionalFormatting sqref="B9:AC38">
    <cfRule type="expression" dxfId="47" priority="10" text="null">
      <formula>MOD(B$1,2)=0</formula>
    </cfRule>
  </conditionalFormatting>
  <conditionalFormatting sqref="V38:AC38">
    <cfRule type="expression" dxfId="43" priority="1" stopIfTrue="1" text="null">
      <formula>V$38="&lt;Update or Clear&gt;"</formula>
    </cfRule>
  </conditionalFormatting>
  <conditionalFormatting sqref="V7:AC8">
    <cfRule type="expression" dxfId="44" priority="3" text="null">
      <formula>MOD(V$1,2)=1</formula>
    </cfRule>
  </conditionalFormatting>
  <conditionalFormatting sqref="V7:AC8">
    <cfRule type="expression" dxfId="45" priority="4" text="null">
      <formula>MOD(V$1,2)=0</formula>
    </cfRule>
  </conditionalFormatting>
  <printOptions horizontalCentered="1"/>
  <pageMargins left="0.7" right="0.7" top="0.75" bottom="0.75" header="0.3" footer="0.3"/>
  <pageSetup useFirstPageNumber="1" fitToHeight="1" fitToWidth="1" paperSize="1" firstPageNumber="1" scale="71" pageOrder="downThenOver" orientation="landscape"/>
  <headerFooter>
    <oddHeader>&amp;L&amp;C&amp;R</oddHeader>
    <oddFooter>&amp;L&amp;C&amp;R</oddFooter>
  </headerFooter>
  <drawing r:id="rId1"/>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F01F7E95-746D-1B12-AD4D-318F918ACB03}" mc:Ignorable="x14ac xr xr2 xr3">
  <dimension ref="A1:AS37"/>
  <sheetViews>
    <sheetView topLeftCell="A1" workbookViewId="0">
      <selection activeCell="A1" sqref="A1"/>
    </sheetView>
  </sheetViews>
  <sheetFormatPr defaultRowHeight="15" defaultColWidth="9.140625" customHeight="1"/>
  <cols>
    <col min="1" max="1" style="21" width="3.7109375" customWidth="1"/>
    <col min="2" max="2" style="21" width="24.57421875" customWidth="1"/>
    <col min="3" max="5" style="21" width="14.57421875" customWidth="1"/>
    <col min="6" max="6" style="21" width="15.57421875" customWidth="1"/>
    <col min="7" max="8" style="21" width="13.57421875" customWidth="1"/>
    <col min="9" max="9" style="21" width="14.57421875" customWidth="1"/>
    <col min="10" max="10" style="21" width="5.28125" customWidth="1"/>
    <col min="11" max="11" style="21" width="16.8515625" customWidth="1"/>
    <col min="12" max="12" style="21" width="16.57421875" customWidth="1"/>
    <col min="13" max="13" style="21" width="17.8515625" customWidth="1"/>
    <col min="14" max="19" style="21" width="13.7109375" customWidth="1"/>
    <col min="20" max="20" style="21" width="4.28125" customWidth="1"/>
    <col min="21" max="22" style="21" width="15.57421875" customWidth="1"/>
    <col min="23" max="24" style="21" width="13.57421875" customWidth="1"/>
    <col min="25" max="25" style="21" width="14.57421875" customWidth="1"/>
    <col min="26" max="45" style="21" width="9.140625" customWidth="1"/>
  </cols>
  <sheetData>
    <row r="2" ht="15" customHeight="1">
      <c r="B2" s="2510" t="s">
        <v>2091</v>
      </c>
      <c r="C2" s="2510"/>
      <c r="D2" s="2510"/>
      <c r="E2" s="2510"/>
      <c r="F2" s="2510"/>
      <c r="G2" s="2510"/>
      <c r="H2" s="2510"/>
      <c r="I2" s="2510"/>
      <c r="K2" s="2510" t="s">
        <v>2092</v>
      </c>
      <c r="L2" s="2510"/>
      <c r="M2" s="2510"/>
      <c r="N2" s="2510"/>
      <c r="O2" s="2510"/>
      <c r="P2" s="2510"/>
      <c r="Q2" s="2510"/>
      <c r="R2" s="2510"/>
      <c r="S2" s="2510"/>
      <c r="U2" s="2510" t="s">
        <v>2093</v>
      </c>
      <c r="V2" s="2510"/>
      <c r="W2" s="2510"/>
      <c r="X2" s="2510"/>
      <c r="Y2" s="2510"/>
    </row>
    <row r="3" ht="15" customHeight="1">
      <c r="B3" s="716" t="s">
        <v>2094</v>
      </c>
      <c r="C3" s="2511" t="s">
        <v>2095</v>
      </c>
      <c r="D3" s="740" t="s">
        <v>530</v>
      </c>
      <c r="E3" s="740" t="s">
        <v>531</v>
      </c>
      <c r="F3" s="740" t="s">
        <v>532</v>
      </c>
      <c r="G3" s="740" t="s">
        <v>533</v>
      </c>
      <c r="H3" s="740" t="s">
        <v>534</v>
      </c>
      <c r="I3" s="740" t="s">
        <v>535</v>
      </c>
      <c r="K3" s="740" t="s">
        <v>2096</v>
      </c>
      <c r="L3" s="740" t="s">
        <v>2097</v>
      </c>
      <c r="M3" s="740" t="s">
        <v>2098</v>
      </c>
      <c r="N3" s="740" t="s">
        <v>530</v>
      </c>
      <c r="O3" s="740" t="s">
        <v>531</v>
      </c>
      <c r="P3" s="740" t="s">
        <v>532</v>
      </c>
      <c r="Q3" s="740" t="s">
        <v>533</v>
      </c>
      <c r="R3" s="740" t="s">
        <v>534</v>
      </c>
      <c r="S3" s="740" t="s">
        <v>535</v>
      </c>
      <c r="U3" s="2511" t="s">
        <v>2095</v>
      </c>
      <c r="V3" s="2512" t="s">
        <v>561</v>
      </c>
      <c r="W3" s="2512" t="s">
        <v>533</v>
      </c>
      <c r="X3" s="2512" t="s">
        <v>534</v>
      </c>
      <c r="Y3" s="2512" t="s">
        <v>535</v>
      </c>
      <c r="AA3" s="1166"/>
      <c r="AB3" s="1166"/>
      <c r="AC3" s="1166"/>
      <c r="AD3" s="1166"/>
      <c r="AE3" s="1166"/>
      <c r="AF3" s="1166"/>
      <c r="AG3" s="1166"/>
      <c r="AH3" s="1166"/>
      <c r="AI3" s="1166"/>
      <c r="AJ3" s="1166"/>
      <c r="AK3" s="1166"/>
      <c r="AL3" s="1166"/>
      <c r="AM3" s="1166"/>
      <c r="AN3" s="1166"/>
      <c r="AO3" s="1166"/>
      <c r="AP3" s="1166"/>
      <c r="AQ3" s="1166"/>
      <c r="AR3" s="1166"/>
      <c r="AS3" s="1166"/>
    </row>
    <row r="4" ht="15" customHeight="1">
      <c r="B4" s="716" t="s">
        <v>393</v>
      </c>
      <c r="C4" s="2512" t="s">
        <v>2099</v>
      </c>
      <c r="D4" s="2516"/>
      <c r="E4" s="2516"/>
      <c r="F4" s="2516"/>
      <c r="G4" s="2516"/>
      <c r="H4" s="2516"/>
      <c r="I4" s="2516"/>
      <c r="K4" s="2516">
        <v>0</v>
      </c>
      <c r="L4" s="2516">
        <v>0</v>
      </c>
      <c r="M4" s="2516">
        <v>0</v>
      </c>
      <c r="N4" s="2516">
        <v>0</v>
      </c>
      <c r="O4" s="2516">
        <v>0</v>
      </c>
      <c r="P4" s="2516">
        <v>0</v>
      </c>
      <c r="Q4" s="2516">
        <v>0</v>
      </c>
      <c r="R4" s="2516">
        <v>0</v>
      </c>
      <c r="S4" s="2516">
        <v>0</v>
      </c>
      <c r="U4" s="2511" t="s">
        <v>393</v>
      </c>
      <c r="V4" s="2517" t="s">
        <v>631</v>
      </c>
      <c r="W4" s="2517" t="s">
        <v>2099</v>
      </c>
      <c r="X4" s="2517" t="s">
        <v>2100</v>
      </c>
      <c r="Y4" s="2517" t="s">
        <v>2101</v>
      </c>
    </row>
    <row r="5" ht="15" customHeight="1">
      <c r="B5" s="716" t="s">
        <v>393</v>
      </c>
      <c r="C5" s="2512" t="s">
        <v>2100</v>
      </c>
      <c r="D5" s="2516"/>
      <c r="E5" s="2516"/>
      <c r="F5" s="2516"/>
      <c r="G5" s="2516"/>
      <c r="H5" s="2516"/>
      <c r="I5" s="2516"/>
      <c r="K5" s="2516">
        <v>0.00125</v>
      </c>
      <c r="L5" s="2516">
        <v>0.00125</v>
      </c>
      <c r="M5" s="2516">
        <v>0</v>
      </c>
      <c r="N5" s="2516">
        <v>0.00039999999999999996</v>
      </c>
      <c r="O5" s="2516">
        <v>0.00030000000000000003</v>
      </c>
      <c r="P5" s="2516">
        <v>0.0002</v>
      </c>
      <c r="Q5" s="2516">
        <v>0.00039999999999999996</v>
      </c>
      <c r="R5" s="2516">
        <v>0.00030000000000000003</v>
      </c>
      <c r="S5" s="2516">
        <v>0.0002</v>
      </c>
      <c r="U5" s="2511" t="s">
        <v>2102</v>
      </c>
      <c r="V5" s="2512"/>
      <c r="W5" s="2517" t="s">
        <v>629</v>
      </c>
      <c r="X5" s="2517" t="s">
        <v>629</v>
      </c>
      <c r="Y5" s="2517" t="s">
        <v>629</v>
      </c>
    </row>
    <row r="6" ht="15" customHeight="1">
      <c r="B6" s="716" t="s">
        <v>393</v>
      </c>
      <c r="C6" s="2512" t="s">
        <v>2101</v>
      </c>
      <c r="D6" s="2516"/>
      <c r="E6" s="2516"/>
      <c r="F6" s="2516"/>
      <c r="G6" s="2516"/>
      <c r="H6" s="2516"/>
      <c r="I6" s="2516"/>
      <c r="K6" s="2516">
        <v>0.0025</v>
      </c>
      <c r="L6" s="2516">
        <v>0.0025</v>
      </c>
      <c r="M6" s="2516">
        <v>0</v>
      </c>
      <c r="N6" s="2516">
        <v>0.0007</v>
      </c>
      <c r="O6" s="2516">
        <v>0.0005</v>
      </c>
      <c r="P6" s="2516">
        <v>0.00039999999999999996</v>
      </c>
      <c r="Q6" s="2516">
        <v>0.0007</v>
      </c>
      <c r="R6" s="2516">
        <v>0.0005</v>
      </c>
      <c r="S6" s="2516">
        <v>0.00039999999999999996</v>
      </c>
      <c r="U6" s="2511" t="s">
        <v>2103</v>
      </c>
      <c r="V6" s="2512"/>
      <c r="W6" s="2517" t="s">
        <v>767</v>
      </c>
      <c r="X6" s="2517" t="s">
        <v>768</v>
      </c>
      <c r="Y6" s="2517" t="s">
        <v>769</v>
      </c>
    </row>
    <row r="7" ht="15" customHeight="1">
      <c r="B7" s="716" t="s">
        <v>393</v>
      </c>
      <c r="C7" s="2512" t="s">
        <v>2104</v>
      </c>
      <c r="D7" s="2516"/>
      <c r="E7" s="2516"/>
      <c r="F7" s="2516"/>
      <c r="G7" s="2516"/>
      <c r="H7" s="2516"/>
      <c r="I7" s="2516"/>
      <c r="K7" s="2516">
        <v>0.00375</v>
      </c>
      <c r="L7" s="2516">
        <v>0.00375</v>
      </c>
      <c r="M7" s="2516">
        <v>0</v>
      </c>
      <c r="N7" s="2516">
        <v>0.001</v>
      </c>
      <c r="O7" s="2516">
        <v>0.0008</v>
      </c>
      <c r="P7" s="2516">
        <v>0.0006000000000000001</v>
      </c>
      <c r="Q7" s="2516">
        <v>0.001</v>
      </c>
      <c r="R7" s="2516">
        <v>0.0008</v>
      </c>
      <c r="S7" s="2516">
        <v>0.0006000000000000001</v>
      </c>
      <c r="U7" s="2511" t="s">
        <v>2105</v>
      </c>
      <c r="V7" s="2512"/>
      <c r="W7" s="2512" t="s">
        <v>786</v>
      </c>
      <c r="X7" s="2512"/>
      <c r="Y7" s="2512"/>
    </row>
    <row r="8" ht="15" customHeight="1">
      <c r="B8" s="716" t="s">
        <v>393</v>
      </c>
      <c r="C8" s="2512" t="s">
        <v>2106</v>
      </c>
      <c r="D8" s="2516"/>
      <c r="E8" s="2516"/>
      <c r="F8" s="2516"/>
      <c r="G8" s="2516"/>
      <c r="H8" s="2516"/>
      <c r="I8" s="2516"/>
      <c r="K8" s="2516">
        <v>0.005</v>
      </c>
      <c r="L8" s="2516">
        <v>0.005</v>
      </c>
      <c r="M8" s="2516">
        <v>0</v>
      </c>
      <c r="N8" s="2516">
        <v>0.0013</v>
      </c>
      <c r="O8" s="2516">
        <v>0.001</v>
      </c>
      <c r="P8" s="2516">
        <v>0.0008</v>
      </c>
      <c r="Q8" s="2516">
        <v>0.0013</v>
      </c>
      <c r="R8" s="2516">
        <v>0.001</v>
      </c>
      <c r="S8" s="2516">
        <v>0.0008</v>
      </c>
      <c r="U8" s="2518"/>
      <c r="V8" s="2518"/>
      <c r="W8" s="2518"/>
      <c r="X8" s="2518"/>
      <c r="Y8" s="2518"/>
    </row>
    <row r="9" ht="15" customHeight="1">
      <c r="B9" s="716" t="s">
        <v>393</v>
      </c>
      <c r="C9" s="2512" t="s">
        <v>2107</v>
      </c>
      <c r="D9" s="2516"/>
      <c r="E9" s="2516"/>
      <c r="F9" s="2516"/>
      <c r="G9" s="2516"/>
      <c r="H9" s="2516"/>
      <c r="I9" s="2516"/>
      <c r="K9" s="2516">
        <v>0.00625</v>
      </c>
      <c r="L9" s="2516">
        <v>0.00625</v>
      </c>
      <c r="M9" s="2516">
        <v>0</v>
      </c>
      <c r="N9" s="2516">
        <v>0.0016</v>
      </c>
      <c r="O9" s="2516">
        <v>0.0013</v>
      </c>
      <c r="P9" s="2516">
        <v>0.001</v>
      </c>
      <c r="Q9" s="2516">
        <v>0.0016</v>
      </c>
      <c r="R9" s="2516">
        <v>0.0013</v>
      </c>
      <c r="S9" s="2516">
        <v>0.001</v>
      </c>
      <c r="V9" s="2519" t="s">
        <v>2108</v>
      </c>
    </row>
    <row r="10" ht="15" customHeight="1">
      <c r="B10" s="716" t="s">
        <v>2102</v>
      </c>
      <c r="C10" s="2512" t="s">
        <v>630</v>
      </c>
      <c r="D10" s="2516">
        <f>'SBL Quotes'!BK28/10000</f>
        <v>-0.0005</v>
      </c>
      <c r="E10" s="2516">
        <f>'SBL Quotes'!BL28/10000</f>
        <v>-0.001</v>
      </c>
      <c r="F10" s="2516">
        <f>'SBL Quotes'!BM28/10000</f>
        <v>-0.001</v>
      </c>
      <c r="G10" s="2516"/>
      <c r="H10" s="2516"/>
      <c r="I10" s="2516"/>
      <c r="K10" s="2516">
        <v>0.0075</v>
      </c>
      <c r="L10" s="2516">
        <v>0.007500000000000001</v>
      </c>
      <c r="M10" s="2516">
        <v>0</v>
      </c>
      <c r="N10" s="2516">
        <v>0.0019</v>
      </c>
      <c r="O10" s="2516">
        <v>0.0015</v>
      </c>
      <c r="P10" s="2516">
        <v>0.0012000000000000001</v>
      </c>
      <c r="Q10" s="2516">
        <v>0.0019</v>
      </c>
      <c r="R10" s="2516">
        <v>0.0015</v>
      </c>
      <c r="S10" s="2516">
        <v>0.0012000000000000001</v>
      </c>
      <c r="V10" s="2519" t="s">
        <v>2109</v>
      </c>
    </row>
    <row r="11" ht="15" customHeight="1">
      <c r="B11" s="716" t="s">
        <v>2102</v>
      </c>
      <c r="C11" s="2512" t="s">
        <v>629</v>
      </c>
      <c r="D11" s="2516"/>
      <c r="E11" s="2516"/>
      <c r="F11" s="2516"/>
      <c r="G11" s="2516">
        <f>'SBL Quotes'!BN28/10000</f>
        <v>-0.0005</v>
      </c>
      <c r="H11" s="2516">
        <f>'SBL Quotes'!BO28/10000</f>
        <v>-0.001</v>
      </c>
      <c r="I11" s="2516">
        <f>'SBL Quotes'!BP28/10000</f>
        <v>-0.001</v>
      </c>
      <c r="K11" s="2516">
        <v>0.00875</v>
      </c>
      <c r="L11" s="2516">
        <v>0.00875</v>
      </c>
      <c r="M11" s="2516">
        <v>0</v>
      </c>
      <c r="N11" s="2516">
        <v>0.0021999999999999997</v>
      </c>
      <c r="O11" s="2516">
        <v>0.0018</v>
      </c>
      <c r="P11" s="2516">
        <v>0.0014</v>
      </c>
      <c r="Q11" s="2516">
        <v>0.0021999999999999997</v>
      </c>
      <c r="R11" s="2516">
        <v>0.0018</v>
      </c>
      <c r="S11" s="2516">
        <v>0.0014</v>
      </c>
    </row>
    <row r="12" ht="15" customHeight="1">
      <c r="B12" s="716" t="s">
        <v>2103</v>
      </c>
      <c r="C12" s="2512" t="s">
        <v>764</v>
      </c>
      <c r="D12" s="2516">
        <f>'SBL Quotes'!BK31/10000</f>
        <v>0.0005</v>
      </c>
      <c r="E12" s="2516"/>
      <c r="F12" s="2516"/>
      <c r="G12" s="2516"/>
      <c r="H12" s="2516"/>
      <c r="I12" s="2516"/>
      <c r="K12" s="2516">
        <v>0.01</v>
      </c>
      <c r="L12" s="2516">
        <v>0.01</v>
      </c>
      <c r="M12" s="2516">
        <v>0</v>
      </c>
      <c r="N12" s="2516">
        <v>0.0025</v>
      </c>
      <c r="O12" s="2516">
        <v>0.002</v>
      </c>
      <c r="P12" s="2516">
        <v>0.0015</v>
      </c>
      <c r="Q12" s="2516">
        <v>0.0025</v>
      </c>
      <c r="R12" s="2516">
        <v>0.002</v>
      </c>
      <c r="S12" s="2516">
        <v>0.0015</v>
      </c>
    </row>
    <row r="13" ht="15" customHeight="1">
      <c r="B13" s="716" t="s">
        <v>2103</v>
      </c>
      <c r="C13" s="2512" t="s">
        <v>767</v>
      </c>
      <c r="D13" s="2516"/>
      <c r="E13" s="2516"/>
      <c r="F13" s="2516"/>
      <c r="G13" s="2516">
        <f>'SBL Quotes'!BN31/10000</f>
        <v>0.0005</v>
      </c>
      <c r="H13" s="2516"/>
      <c r="I13" s="2516"/>
      <c r="K13" s="2516">
        <v>0.01125</v>
      </c>
      <c r="L13" s="2516">
        <v>0.01125</v>
      </c>
      <c r="M13" s="2516">
        <v>0</v>
      </c>
      <c r="N13" s="2516">
        <v>0.0029</v>
      </c>
      <c r="O13" s="2516">
        <v>0.0023</v>
      </c>
      <c r="P13" s="2516">
        <v>0.0017000000000000001</v>
      </c>
      <c r="Q13" s="2516">
        <v>0.0029</v>
      </c>
      <c r="R13" s="2516">
        <v>0.0023</v>
      </c>
      <c r="S13" s="2516">
        <v>0.0017000000000000001</v>
      </c>
    </row>
    <row r="14" ht="15" customHeight="1">
      <c r="B14" s="716" t="s">
        <v>2103</v>
      </c>
      <c r="C14" s="2512" t="s">
        <v>765</v>
      </c>
      <c r="D14" s="2516"/>
      <c r="E14" s="2516">
        <f>'SBL Quotes'!BL31/10000</f>
        <v>0.001</v>
      </c>
      <c r="F14" s="2516"/>
      <c r="G14" s="2516"/>
      <c r="H14" s="2516"/>
      <c r="I14" s="2516"/>
      <c r="K14" s="2516">
        <v>0.0125</v>
      </c>
      <c r="L14" s="2516">
        <v>0.012499999999999999</v>
      </c>
      <c r="M14" s="2516">
        <v>0</v>
      </c>
      <c r="N14" s="2516">
        <v>0.0031999999999999997</v>
      </c>
      <c r="O14" s="2516">
        <v>0.0025</v>
      </c>
      <c r="P14" s="2516">
        <v>0.0019</v>
      </c>
      <c r="Q14" s="2516">
        <v>0.0031999999999999997</v>
      </c>
      <c r="R14" s="2516">
        <v>0.0025</v>
      </c>
      <c r="S14" s="2516">
        <v>0.0019</v>
      </c>
    </row>
    <row r="15" ht="15" customHeight="1">
      <c r="B15" s="716" t="s">
        <v>2103</v>
      </c>
      <c r="C15" s="2512" t="s">
        <v>768</v>
      </c>
      <c r="D15" s="2516"/>
      <c r="E15" s="2516"/>
      <c r="F15" s="2516"/>
      <c r="G15" s="2516"/>
      <c r="H15" s="2516">
        <f>'SBL Quotes'!BO31/10000</f>
        <v>0.001</v>
      </c>
      <c r="I15" s="2516"/>
      <c r="K15" s="2516">
        <v>0.01375</v>
      </c>
      <c r="L15" s="2516">
        <v>0.013749999999999998</v>
      </c>
      <c r="M15" s="2516">
        <v>0</v>
      </c>
      <c r="N15" s="2516">
        <v>0.0034999999999999996</v>
      </c>
      <c r="O15" s="2516">
        <v>0.0028</v>
      </c>
      <c r="P15" s="2516">
        <v>0.0021</v>
      </c>
      <c r="Q15" s="2516">
        <v>0.0034999999999999996</v>
      </c>
      <c r="R15" s="2516">
        <v>0.0028</v>
      </c>
      <c r="S15" s="2516">
        <v>0.0021</v>
      </c>
    </row>
    <row r="16" ht="15" customHeight="1">
      <c r="B16" s="716" t="s">
        <v>2103</v>
      </c>
      <c r="C16" s="2512" t="s">
        <v>766</v>
      </c>
      <c r="D16" s="2516"/>
      <c r="E16" s="2516"/>
      <c r="F16" s="2516">
        <f>'SBL Quotes'!BM31/10000</f>
        <v>0.001</v>
      </c>
      <c r="G16" s="2516"/>
      <c r="H16" s="2516"/>
      <c r="I16" s="2516"/>
      <c r="K16" s="2516">
        <v>0.015</v>
      </c>
      <c r="L16" s="2516">
        <v>0.015</v>
      </c>
      <c r="M16" s="2516">
        <v>0</v>
      </c>
      <c r="N16" s="2516">
        <v>0.0038</v>
      </c>
      <c r="O16" s="2516">
        <v>0.003</v>
      </c>
      <c r="P16" s="2516">
        <v>0.0023</v>
      </c>
      <c r="Q16" s="2516">
        <v>0.0038</v>
      </c>
      <c r="R16" s="2516">
        <v>0.003</v>
      </c>
      <c r="S16" s="2516">
        <v>0.0023</v>
      </c>
    </row>
    <row r="17" ht="15" customHeight="1">
      <c r="B17" s="716" t="s">
        <v>2103</v>
      </c>
      <c r="C17" s="2512" t="s">
        <v>769</v>
      </c>
      <c r="D17" s="2516"/>
      <c r="E17" s="2516"/>
      <c r="F17" s="2516"/>
      <c r="G17" s="2516"/>
      <c r="H17" s="2516"/>
      <c r="I17" s="2516">
        <f>'SBL Quotes'!BP31/10000</f>
        <v>0.001</v>
      </c>
      <c r="K17" s="2516">
        <v>0.01625</v>
      </c>
      <c r="L17" s="2516">
        <v>0.01625</v>
      </c>
      <c r="M17" s="2516">
        <v>0</v>
      </c>
      <c r="N17" s="2516">
        <v>0.0041</v>
      </c>
      <c r="O17" s="2516">
        <v>0.0033</v>
      </c>
      <c r="P17" s="2516">
        <v>0.0024999999999999996</v>
      </c>
      <c r="Q17" s="2516">
        <v>0.0041</v>
      </c>
      <c r="R17" s="2516">
        <v>0.0033</v>
      </c>
      <c r="S17" s="2516">
        <v>0.0024999999999999996</v>
      </c>
    </row>
    <row r="18" ht="15" customHeight="1">
      <c r="B18" s="716" t="s">
        <v>2105</v>
      </c>
      <c r="C18" s="2512" t="s">
        <v>785</v>
      </c>
      <c r="D18" s="2516">
        <f>'SBL Quotes'!BK34/10000</f>
        <v>0.003</v>
      </c>
      <c r="E18" s="2516"/>
      <c r="F18" s="2516"/>
      <c r="G18" s="2516"/>
      <c r="H18" s="2516"/>
      <c r="I18" s="2516"/>
      <c r="K18" s="2516">
        <v>0.0175</v>
      </c>
      <c r="L18" s="2516">
        <v>0.0175</v>
      </c>
      <c r="M18" s="2516">
        <v>0</v>
      </c>
      <c r="N18" s="2516">
        <v>0.0044</v>
      </c>
      <c r="O18" s="2516">
        <v>0.0035</v>
      </c>
      <c r="P18" s="2516">
        <v>0.0026999999999999997</v>
      </c>
      <c r="Q18" s="2516">
        <v>0.0044</v>
      </c>
      <c r="R18" s="2516">
        <v>0.0035</v>
      </c>
      <c r="S18" s="2516">
        <v>0.0026999999999999997</v>
      </c>
    </row>
    <row r="19" ht="15" customHeight="1">
      <c r="B19" s="716" t="s">
        <v>2105</v>
      </c>
      <c r="C19" s="2512" t="s">
        <v>786</v>
      </c>
      <c r="D19" s="2516"/>
      <c r="E19" s="2516"/>
      <c r="F19" s="2516"/>
      <c r="G19" s="2516">
        <f>'SBL Quotes'!BN34/10000</f>
        <v>0.003</v>
      </c>
      <c r="H19" s="2516"/>
      <c r="I19" s="2516"/>
      <c r="K19" s="2516">
        <v>0.01875</v>
      </c>
      <c r="L19" s="2516">
        <v>0.01875</v>
      </c>
      <c r="M19" s="2516">
        <v>0</v>
      </c>
      <c r="N19" s="2516">
        <v>0.0047</v>
      </c>
      <c r="O19" s="2516">
        <v>0.0038</v>
      </c>
      <c r="P19" s="2516">
        <v>0.0029</v>
      </c>
      <c r="Q19" s="2516">
        <v>0.0047</v>
      </c>
      <c r="R19" s="2516">
        <v>0.0038</v>
      </c>
      <c r="S19" s="2516">
        <v>0.0029</v>
      </c>
    </row>
    <row r="20" ht="15" customHeight="1">
      <c r="C20" s="2518"/>
      <c r="K20" s="2516">
        <v>0.02</v>
      </c>
      <c r="L20" s="2516">
        <v>0.02</v>
      </c>
      <c r="M20" s="2516">
        <v>0</v>
      </c>
      <c r="N20" s="2516">
        <v>0.005</v>
      </c>
      <c r="O20" s="2516">
        <v>0.004</v>
      </c>
      <c r="P20" s="2516">
        <v>0.003</v>
      </c>
      <c r="Q20" s="2516">
        <v>0.005</v>
      </c>
      <c r="R20" s="2516">
        <v>0.004</v>
      </c>
      <c r="S20" s="2516">
        <v>0.003</v>
      </c>
    </row>
    <row r="21" ht="15" customHeight="1">
      <c r="K21" s="2516">
        <v>0.02125</v>
      </c>
      <c r="L21" s="2516">
        <v>0.020625</v>
      </c>
      <c r="M21" s="2516">
        <v>0.0006250000000000006</v>
      </c>
      <c r="N21" s="2516">
        <v>0.0054</v>
      </c>
      <c r="O21" s="2516">
        <v>0.0043</v>
      </c>
      <c r="P21" s="2516">
        <v>0.0031999999999999997</v>
      </c>
      <c r="Q21" s="2516">
        <v>0.0054</v>
      </c>
      <c r="R21" s="2516">
        <v>0.0043</v>
      </c>
      <c r="S21" s="2516">
        <v>0.0031999999999999997</v>
      </c>
    </row>
    <row r="22" ht="15" customHeight="1">
      <c r="K22" s="2516">
        <v>0.0225</v>
      </c>
      <c r="L22" s="2516">
        <v>0.021249999999999998</v>
      </c>
      <c r="M22" s="2516">
        <v>0.0012500000000000011</v>
      </c>
      <c r="N22" s="2516">
        <v>0.0057</v>
      </c>
      <c r="O22" s="2516">
        <v>0.0045</v>
      </c>
      <c r="P22" s="2516">
        <v>0.0034</v>
      </c>
      <c r="Q22" s="2516">
        <v>0.0057</v>
      </c>
      <c r="R22" s="2516">
        <v>0.0045</v>
      </c>
      <c r="S22" s="2516">
        <v>0.0034</v>
      </c>
    </row>
    <row r="23" ht="15" customHeight="1">
      <c r="K23" s="2516">
        <v>0.02375</v>
      </c>
      <c r="L23" s="2516">
        <v>0.021875</v>
      </c>
      <c r="M23" s="2516">
        <v>0.0018750000000000017</v>
      </c>
      <c r="N23" s="2516">
        <v>0.006</v>
      </c>
      <c r="O23" s="2516">
        <v>0.0048000000000000004</v>
      </c>
      <c r="P23" s="2516">
        <v>0.0036</v>
      </c>
      <c r="Q23" s="2516">
        <v>0.006</v>
      </c>
      <c r="R23" s="2516">
        <v>0.0048000000000000004</v>
      </c>
      <c r="S23" s="2516">
        <v>0.0036</v>
      </c>
    </row>
    <row r="24" ht="15" customHeight="1">
      <c r="K24" s="2516">
        <v>0.025</v>
      </c>
      <c r="L24" s="2516">
        <v>0.0225</v>
      </c>
      <c r="M24" s="2516">
        <v>0.0025000000000000022</v>
      </c>
      <c r="N24" s="2516">
        <v>0.0063</v>
      </c>
      <c r="O24" s="2516">
        <v>0.005</v>
      </c>
      <c r="P24" s="2516">
        <v>0.0038</v>
      </c>
      <c r="Q24" s="2516">
        <v>0.0063</v>
      </c>
      <c r="R24" s="2516">
        <v>0.005</v>
      </c>
      <c r="S24" s="2516">
        <v>0.0038</v>
      </c>
    </row>
    <row r="25" ht="15" customHeight="1">
      <c r="K25" s="2516">
        <v>0.02625</v>
      </c>
      <c r="L25" s="2516">
        <v>0.023125</v>
      </c>
      <c r="M25" s="2516">
        <v>0.0031249999999999993</v>
      </c>
      <c r="N25" s="2516">
        <v>0.0066</v>
      </c>
      <c r="O25" s="2516">
        <v>0.0053</v>
      </c>
      <c r="P25" s="2516">
        <v>0.004</v>
      </c>
      <c r="Q25" s="2516">
        <v>0.0066</v>
      </c>
      <c r="R25" s="2516">
        <v>0.0053</v>
      </c>
      <c r="S25" s="2516">
        <v>0.004</v>
      </c>
    </row>
    <row r="26" ht="15" customHeight="1">
      <c r="K26" s="2516">
        <v>0.0275</v>
      </c>
      <c r="L26" s="2516">
        <v>0.02375</v>
      </c>
      <c r="M26" s="2516">
        <v>0.00375</v>
      </c>
      <c r="N26" s="2516">
        <v>0.0069</v>
      </c>
      <c r="O26" s="2516">
        <v>0.0055</v>
      </c>
      <c r="P26" s="2516">
        <v>0.004200000000000001</v>
      </c>
      <c r="Q26" s="2516">
        <v>0.0069</v>
      </c>
      <c r="R26" s="2516">
        <v>0.0055</v>
      </c>
      <c r="S26" s="2516">
        <v>0.004200000000000001</v>
      </c>
    </row>
    <row r="27" ht="15" customHeight="1">
      <c r="K27" s="2516">
        <v>0.02875</v>
      </c>
      <c r="L27" s="2516">
        <v>0.024375</v>
      </c>
      <c r="M27" s="2516">
        <v>0.004375</v>
      </c>
      <c r="N27" s="2516">
        <v>0.007200000000000001</v>
      </c>
      <c r="O27" s="2516">
        <v>0.0058000000000000005</v>
      </c>
      <c r="P27" s="2516">
        <v>0.0044</v>
      </c>
      <c r="Q27" s="2516">
        <v>0.007200000000000001</v>
      </c>
      <c r="R27" s="2516">
        <v>0.0058000000000000005</v>
      </c>
      <c r="S27" s="2516">
        <v>0.0044</v>
      </c>
    </row>
    <row r="28" ht="15" customHeight="1">
      <c r="K28" s="2516">
        <v>0.03</v>
      </c>
      <c r="L28" s="2516">
        <v>0.025</v>
      </c>
      <c r="M28" s="2516">
        <v>0.0049999999999999975</v>
      </c>
      <c r="N28" s="2516">
        <v>0.0075</v>
      </c>
      <c r="O28" s="2516">
        <v>0.006</v>
      </c>
      <c r="P28" s="2516">
        <v>0.0045</v>
      </c>
      <c r="Q28" s="2516">
        <v>0.0075</v>
      </c>
      <c r="R28" s="2516">
        <v>0.006</v>
      </c>
      <c r="S28" s="2516">
        <v>0.0045</v>
      </c>
    </row>
    <row r="29" ht="15" customHeight="1">
      <c r="K29" s="2516">
        <v>0.03125</v>
      </c>
      <c r="L29" s="2516">
        <v>0.025625000000000002</v>
      </c>
      <c r="M29" s="2516">
        <v>0.005624999999999998</v>
      </c>
      <c r="N29" s="2516">
        <v>0.007899999999999999</v>
      </c>
      <c r="O29" s="2516">
        <v>0.0063</v>
      </c>
      <c r="P29" s="2516">
        <v>0.0047</v>
      </c>
      <c r="Q29" s="2516">
        <v>0.007899999999999999</v>
      </c>
      <c r="R29" s="2516">
        <v>0.0063</v>
      </c>
      <c r="S29" s="2516">
        <v>0.0047</v>
      </c>
    </row>
    <row r="30" ht="15" customHeight="1">
      <c r="K30" s="2516">
        <v>0.0325</v>
      </c>
      <c r="L30" s="2516">
        <v>0.026250000000000002</v>
      </c>
      <c r="M30" s="2516">
        <v>0.006249999999999999</v>
      </c>
      <c r="N30" s="2516">
        <v>0.008199999999999999</v>
      </c>
      <c r="O30" s="2516">
        <v>0.0065</v>
      </c>
      <c r="P30" s="2516">
        <v>0.0049</v>
      </c>
      <c r="Q30" s="2516">
        <v>0.008199999999999999</v>
      </c>
      <c r="R30" s="2516">
        <v>0.0065</v>
      </c>
      <c r="S30" s="2516">
        <v>0.0049</v>
      </c>
    </row>
    <row r="31" ht="15" customHeight="1">
      <c r="K31" s="2516">
        <v>0.03375</v>
      </c>
      <c r="L31" s="2516">
        <v>0.026875000000000003</v>
      </c>
      <c r="M31" s="2516">
        <v>0.006874999999999999</v>
      </c>
      <c r="N31" s="2516">
        <v>0.008499999999999999</v>
      </c>
      <c r="O31" s="2516">
        <v>0.0068000000000000005</v>
      </c>
      <c r="P31" s="2516">
        <v>0.0051</v>
      </c>
      <c r="Q31" s="2516">
        <v>0.008499999999999999</v>
      </c>
      <c r="R31" s="2516">
        <v>0.0068000000000000005</v>
      </c>
      <c r="S31" s="2516">
        <v>0.0051</v>
      </c>
    </row>
    <row r="32" ht="15" customHeight="1">
      <c r="K32" s="2516">
        <v>0.035</v>
      </c>
      <c r="L32" s="2516">
        <v>0.027500000000000004</v>
      </c>
      <c r="M32" s="2516">
        <v>0.0075</v>
      </c>
      <c r="N32" s="2516">
        <v>0.008799999999999999</v>
      </c>
      <c r="O32" s="2516">
        <v>0.007</v>
      </c>
      <c r="P32" s="2516">
        <v>0.0053</v>
      </c>
      <c r="Q32" s="2516">
        <v>0.008799999999999999</v>
      </c>
      <c r="R32" s="2516">
        <v>0.007</v>
      </c>
      <c r="S32" s="2516">
        <v>0.0053</v>
      </c>
    </row>
    <row r="33" ht="15" customHeight="1">
      <c r="K33" s="2516">
        <v>0.03625</v>
      </c>
      <c r="L33" s="2516">
        <v>0.028124999999999997</v>
      </c>
      <c r="M33" s="2516">
        <v>0.008125</v>
      </c>
      <c r="N33" s="2516">
        <v>0.009099999999999999</v>
      </c>
      <c r="O33" s="2516">
        <v>0.0073</v>
      </c>
      <c r="P33" s="2516">
        <v>0.0055000000000000005</v>
      </c>
      <c r="Q33" s="2516">
        <v>0.009099999999999999</v>
      </c>
      <c r="R33" s="2516">
        <v>0.0073</v>
      </c>
      <c r="S33" s="2516">
        <v>0.0055000000000000005</v>
      </c>
    </row>
    <row r="34" ht="15" customHeight="1">
      <c r="K34" s="2516">
        <v>0.0375</v>
      </c>
      <c r="L34" s="2516">
        <v>0.028749999999999998</v>
      </c>
      <c r="M34" s="2516">
        <v>0.00875</v>
      </c>
      <c r="N34" s="2516">
        <v>0.009399999999999999</v>
      </c>
      <c r="O34" s="2516">
        <v>0.0075</v>
      </c>
      <c r="P34" s="2516">
        <v>0.0057</v>
      </c>
      <c r="Q34" s="2516">
        <v>0.009399999999999999</v>
      </c>
      <c r="R34" s="2516">
        <v>0.0075</v>
      </c>
      <c r="S34" s="2516">
        <v>0.0057</v>
      </c>
    </row>
    <row r="35" ht="15" customHeight="1">
      <c r="K35" s="2516">
        <v>0.03875</v>
      </c>
      <c r="L35" s="2516">
        <v>0.029375</v>
      </c>
      <c r="M35" s="2516">
        <v>0.009375000000000001</v>
      </c>
      <c r="N35" s="2516">
        <v>0.009699999999999999</v>
      </c>
      <c r="O35" s="2516">
        <v>0.0078000000000000005</v>
      </c>
      <c r="P35" s="2516">
        <v>0.0059</v>
      </c>
      <c r="Q35" s="2516">
        <v>0.009699999999999999</v>
      </c>
      <c r="R35" s="2516">
        <v>0.0078000000000000005</v>
      </c>
      <c r="S35" s="2516">
        <v>0.0059</v>
      </c>
    </row>
    <row r="36" ht="15" customHeight="1">
      <c r="K36" s="2516">
        <v>0.04</v>
      </c>
      <c r="L36" s="2516">
        <v>0.03</v>
      </c>
      <c r="M36" s="2516">
        <v>0.010000000000000002</v>
      </c>
      <c r="N36" s="2516">
        <v>0.01</v>
      </c>
      <c r="O36" s="2516">
        <v>0.008</v>
      </c>
      <c r="P36" s="2516">
        <v>0.006</v>
      </c>
      <c r="Q36" s="2516">
        <v>0.01</v>
      </c>
      <c r="R36" s="2516">
        <v>0.008</v>
      </c>
      <c r="S36" s="2516">
        <v>0.006</v>
      </c>
    </row>
  </sheetData>
  <printOptions/>
  <pageMargins left="0.7" right="0.7" top="0.75" bottom="0.75" header="0.3" footer="0.3"/>
  <pageSetup paperSize="1" useFirstPageNumber="1" firstPageNumber="1" pageOrder="downThenOver" orientation="portrait"/>
  <headerFooter>
    <oddHeader>&amp;L&amp;C&amp;R</oddHeader>
    <oddFooter>&amp;L&amp;C&amp;R</oddFooter>
  </headerFooter>
  <tableParts count="3">
    <tablePart r:id="rId1"/>
    <tablePart r:id="rId2"/>
    <tablePart r:id="rId3"/>
  </tableParts>
  <extLst/>
</worksheet>
</file>

<file path=xl/worksheets/sheet16.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CC927F33-48C3-9047-91A3-5E9B43BF3D31}" mc:Ignorable="x14ac xr xr2 xr3">
  <sheetPr>
    <tabColor theme="5" tint="0.4"/>
  </sheetPr>
  <dimension ref="A1:Q412"/>
  <sheetViews>
    <sheetView topLeftCell="A1" workbookViewId="0">
      <selection activeCell="A1" sqref="A1"/>
    </sheetView>
  </sheetViews>
  <sheetFormatPr defaultRowHeight="14.002500000000003" defaultColWidth="8.8515625" customHeight="1"/>
  <cols>
    <col min="1" max="1" style="2568" width="1.7109375" customWidth="1"/>
    <col min="2" max="2" style="2569" width="37.00390625" customWidth="1"/>
    <col min="3" max="3" style="2569" width="61.57421875" customWidth="1"/>
    <col min="4" max="5" style="2568" width="8.8515625" customWidth="1"/>
    <col min="6" max="6" style="2568" width="31.8515625" customWidth="1"/>
    <col min="7" max="16" style="2568" width="8.8515625" customWidth="1"/>
    <col min="17" max="17" style="2568" width="62.7109375" customWidth="1"/>
  </cols>
  <sheetData>
    <row r="1" ht="14.25" customHeight="1">
      <c r="A1" s="2520"/>
      <c r="B1" s="2521" t="s">
        <v>2110</v>
      </c>
      <c r="C1" s="2522">
        <f>TODAY()</f>
        <v>45201</v>
      </c>
      <c r="F1" s="2523"/>
    </row>
    <row r="2" ht="14.25" customHeight="1">
      <c r="A2" s="2520"/>
      <c r="B2" s="2521" t="s">
        <v>2111</v>
      </c>
      <c r="C2" s="2522">
        <f>C1+(7-WEEKDAY(C1,2)+1)</f>
        <v>45208</v>
      </c>
    </row>
    <row r="3" ht="9.75" customHeight="1">
      <c r="A3" s="2520"/>
      <c r="B3" s="2524"/>
      <c r="C3" s="2524"/>
    </row>
    <row r="4" ht="45" customHeight="1">
      <c r="A4" s="2520"/>
      <c r="B4" s="2525" t="s">
        <v>2112</v>
      </c>
      <c r="C4" s="2525"/>
    </row>
    <row r="5" ht="9.75" customHeight="1">
      <c r="A5" s="2520"/>
      <c r="B5" s="2524"/>
      <c r="C5" s="2524"/>
    </row>
    <row r="6" ht="14.25" customHeight="1">
      <c r="A6" s="2520"/>
      <c r="B6" s="2521" t="s">
        <v>2113</v>
      </c>
      <c r="C6" s="2526" t="str">
        <f t="shared" si="0" ref="C6:C208">property_name</f>
        <v>XXXX</v>
      </c>
    </row>
    <row r="7" ht="14.25" customHeight="1">
      <c r="A7" s="2520"/>
      <c r="B7" s="2521" t="s">
        <v>2114</v>
      </c>
      <c r="C7" s="2524" t="str">
        <f>number_units&amp;" Units"</f>
        <v>101 Units</v>
      </c>
    </row>
    <row r="8" ht="15" customHeight="1">
      <c r="A8" s="2520"/>
      <c r="B8" s="2521" t="s">
        <v>2116</v>
      </c>
      <c r="C8" s="2525" t="str">
        <f>address&amp;", "&amp;'SBL Quotes'!B8&amp;" "&amp;SBL_ZipCode</f>
        <v>, City, XX XXXXX</v>
      </c>
    </row>
    <row r="9" ht="14.25" customHeight="1">
      <c r="A9" s="2520"/>
      <c r="B9" s="2521" t="s">
        <v>2117</v>
      </c>
      <c r="C9" s="2524" t="s">
        <v>367</v>
      </c>
    </row>
    <row r="10" ht="14.25" customHeight="1">
      <c r="A10" s="2520"/>
      <c r="B10" s="2521" t="s">
        <v>2118</v>
      </c>
      <c r="C10" s="2527" t="str">
        <f>'SBL Quotes'!B38</f>
        <v>Refinance</v>
      </c>
    </row>
    <row r="11" ht="15" customHeight="1">
      <c r="A11" s="2520"/>
      <c r="B11" s="2521" t="s">
        <v>2119</v>
      </c>
      <c r="C11" s="2528" t="s">
        <v>2120</v>
      </c>
    </row>
    <row r="12" ht="9.75" customHeight="1">
      <c r="A12" s="2520"/>
      <c r="B12" s="2521"/>
      <c r="C12" s="2524"/>
    </row>
    <row r="13" ht="74.25" customHeight="1">
      <c r="A13" s="2520"/>
      <c r="B13" s="2525" t="s">
        <v>2121</v>
      </c>
      <c r="C13" s="2525"/>
    </row>
    <row r="14" ht="9.75" customHeight="1">
      <c r="A14" s="2520"/>
      <c r="B14" s="2529"/>
      <c r="C14" s="2529"/>
    </row>
    <row r="15" ht="155.25" customHeight="1">
      <c r="A15" s="2520"/>
      <c r="B15" s="2530" t="s">
        <v>2122</v>
      </c>
      <c r="C15" s="2530"/>
    </row>
    <row r="16" ht="9.75" customHeight="1">
      <c r="A16" s="2520"/>
      <c r="B16" s="2524"/>
      <c r="C16" s="2524"/>
    </row>
    <row r="17" ht="15" customHeight="1">
      <c r="A17" s="2520"/>
      <c r="B17" s="2521" t="s">
        <v>2123</v>
      </c>
      <c r="C17" s="2531" cm="1" t="str">
        <f t="array" ref="C17">_xlfn.IFERROR(INDEX('SBL Quotes'!$E$7:$G$7,1,'SBL Quotes'!$B$54),"Please Select Loan Option on SBL Quotes Tab (Cell B42)")</f>
        <v>Please Select Loan Option on SBL Quotes Tab (Cell B42)</v>
      </c>
    </row>
    <row r="18" ht="9.75" customHeight="1">
      <c r="A18" s="2532"/>
      <c r="B18" s="2524"/>
      <c r="C18" s="2524"/>
    </row>
    <row r="19" ht="15" customHeight="1">
      <c r="A19" s="2532"/>
      <c r="B19" s="2521" t="s">
        <v>2125</v>
      </c>
      <c r="C19" s="2524" cm="1" t="str">
        <f t="array" ref="C19">TEXT(_xlfn.IFERROR(INDEX('SBL Quotes'!$E$68:$G$68,1,'SBL Quotes'!$B$54),0),"0.00%")&amp;" as of the Date of Issuance."</f>
        <v>0.00% as of the Date of Issuance.</v>
      </c>
    </row>
    <row r="20" ht="9.75" customHeight="1">
      <c r="A20" s="2532"/>
      <c r="B20" s="2524"/>
      <c r="C20" s="2524"/>
    </row>
    <row r="21" ht="120.75" customHeight="1">
      <c r="A21" s="2532"/>
      <c r="B21" s="2524"/>
      <c r="C21" s="2525" t="s">
        <v>2127</v>
      </c>
    </row>
    <row r="22" ht="9.75" customHeight="1">
      <c r="A22" s="2532"/>
      <c r="B22" s="2524"/>
      <c r="C22" s="2524"/>
    </row>
    <row r="23" ht="15" customHeight="1">
      <c r="A23" s="2532"/>
      <c r="B23" s="2521" t="s">
        <v>2128</v>
      </c>
      <c r="C23" s="2524" t="s">
        <v>2129</v>
      </c>
    </row>
    <row r="24" ht="9.75" customHeight="1">
      <c r="A24" s="2532"/>
      <c r="B24" s="2521"/>
      <c r="C24" s="2524"/>
    </row>
    <row r="25" ht="15" customHeight="1">
      <c r="A25" s="2532"/>
      <c r="B25" s="2521" t="s">
        <v>2130</v>
      </c>
      <c r="C25" s="2524" cm="1" t="str">
        <f t="array" ref="C25">_xlfn.IFERROR(INDEX('SBL Quotes'!$E$6:$G$6,1,'SBL Quotes'!$B$54),"Please Select Loan Option on SBL Quotes Tab (Cell B42)")</f>
        <v>Please Select Loan Option on SBL Quotes Tab (Cell B42)</v>
      </c>
    </row>
    <row r="26" ht="9.75" customHeight="1">
      <c r="A26" s="2532"/>
      <c r="B26" s="2521"/>
      <c r="C26" s="2524"/>
    </row>
    <row r="27" ht="15" customHeight="1">
      <c r="A27" s="2532"/>
      <c r="B27" s="2521" t="s">
        <v>2131</v>
      </c>
      <c r="C27" s="2524" cm="1" t="str">
        <f t="array" ref="C27">_xlfn.NUMBERVALUE(TRIM(LEFT(_xlfn.IFERROR(INDEX('SBL Quotes'!$E$6:$G$6,1,'SBL Quotes'!$B$54),0),2)))*12&amp;" months"</f>
        <v>0 months</v>
      </c>
    </row>
    <row r="28" ht="9.75" customHeight="1">
      <c r="A28" s="2532"/>
      <c r="B28" s="2524"/>
      <c r="C28" s="2524"/>
    </row>
    <row r="29" ht="15" customHeight="1">
      <c r="A29" s="2532"/>
      <c r="B29" s="2521" t="s">
        <v>2133</v>
      </c>
      <c r="C29" s="2524" cm="1" t="str">
        <f t="array" ref="C29">_xlfn.NUMBERVALUE(TRIM(LEFT(_xlfn.IFERROR(INDEX('SBL Quotes'!$E$43:$G$43,1,'SBL Quotes'!$B$54),0),2)))*12&amp;" months"</f>
        <v>0 months</v>
      </c>
    </row>
    <row r="30" ht="9.75" customHeight="1">
      <c r="A30" s="2532"/>
      <c r="B30" s="2521"/>
      <c r="C30" s="2524"/>
    </row>
    <row r="31" ht="15" customHeight="1">
      <c r="A31" s="2532"/>
      <c r="B31" s="2521" t="s">
        <v>2134</v>
      </c>
      <c r="C31" s="2524" cm="1" t="str">
        <f t="array" ref="C31">_xlfn.NUMBERVALUE(TRIM(LEFT(_xlfn.IFERROR(INDEX('SBL Quotes'!$E$46:$G$46,1,'SBL Quotes'!$B$54),0),2)))*12&amp;" months; balance due at loan maturity."</f>
        <v>0 months; balance due at loan maturity.</v>
      </c>
    </row>
    <row r="32" ht="9.75" customHeight="1">
      <c r="A32" s="2532"/>
      <c r="B32" s="2524"/>
      <c r="C32" s="2524"/>
    </row>
    <row r="33" ht="14.25" customHeight="1">
      <c r="A33" s="2532"/>
      <c r="B33" s="2521" t="s">
        <v>2136</v>
      </c>
      <c r="C33" s="2524" cm="1" t="str">
        <f t="array" ref="C33">_xlfn.NUMBERVALUE(TRIM(LEFT(_xlfn.IFERROR(INDEX('SBL Quotes'!$E$6:$G$6,1,'SBL Quotes'!$B$54),0),2)))*12&amp;" months, loan will convert to floating rate after fixed rate period ends."</f>
        <v>0 months, loan will convert to floating rate after fixed rate period ends.</v>
      </c>
    </row>
    <row r="34" ht="9.75" customHeight="1">
      <c r="A34" s="2532"/>
      <c r="B34" s="2521"/>
      <c r="C34" s="2524"/>
    </row>
    <row r="35" ht="15" customHeight="1">
      <c r="A35" s="2532"/>
      <c r="B35" s="2521" t="s">
        <v>2138</v>
      </c>
      <c r="C35" s="2524" cm="1" t="str">
        <f t="array" ref="C35">_xlfn.IFERROR(IF(TRIM(RIGHT(INDEX('SBL Quotes'!$E$6:$G$6,1,'SBL Quotes'!$B$54),6))="Fixed","N/A",Boilerplate!$C$4),"Please Select Loan Option on SBL Quotes Tab (Cell B42)")</f>
        <v>Please Select Loan Option on SBL Quotes Tab (Cell B42)</v>
      </c>
    </row>
    <row r="36" ht="9.75" customHeight="1">
      <c r="A36" s="2532"/>
      <c r="B36" s="2521"/>
      <c r="C36" s="2524"/>
    </row>
    <row r="37" ht="15" customHeight="1">
      <c r="A37" s="2532"/>
      <c r="B37" s="2521" t="s">
        <v>2139</v>
      </c>
      <c r="C37" s="2533" t="str">
        <f>_xlfn.IFERROR(INDEX(Boilerplate!$C$7:$V$7,1,MATCH('SBL Quotes'!B55,Boilerplate!$C$6:$V$6,0)),"Please choose a prepayment schedule in cell B54 on the SBL Quotes tab.")</f>
        <v>Please choose a prepayment schedule in cell B54 on the SBL Quotes tab.</v>
      </c>
      <c r="Q37" s="2534"/>
    </row>
    <row r="38" ht="9.75" customHeight="1">
      <c r="A38" s="2520"/>
      <c r="B38" s="2524"/>
      <c r="C38" s="2535"/>
    </row>
    <row r="39" ht="15" customHeight="1">
      <c r="A39" s="2520"/>
      <c r="B39" s="2521" t="s">
        <v>2141</v>
      </c>
      <c r="C39" s="2524" cm="1" t="str">
        <f t="array" ref="C39">_xlfn.IFERROR(TEXT(INDEX('SBL Quotes'!$E$14:$G$14,1,'SBL Quotes'!$B$54),"0.0%")&amp;Boilerplate!C9,"Please Select Loan Option on SBL Quotes Tab (Cell B42)")</f>
        <v>Please Select Loan Option on SBL Quotes Tab (Cell B42)</v>
      </c>
    </row>
    <row r="40" ht="9.75" customHeight="1">
      <c r="A40" s="2520"/>
      <c r="B40" s="2521"/>
      <c r="C40" s="2524"/>
    </row>
    <row r="41" ht="14.25" customHeight="1">
      <c r="A41" s="2520"/>
      <c r="B41" s="2521" t="s">
        <v>2142</v>
      </c>
      <c r="C41" s="2528" cm="1" t="str">
        <f t="array" ref="C41">_xlfn.IFERROR(TEXT(INDEX('SBL Quotes'!$E$13:$G$13,1,'SBL Quotes'!$B$54),"0.00")&amp;"x based on "&amp;INDEX('SBL Quotes'!$E$9:$G$9,1,'SBL Quotes'!$B$54)&amp;"-year amortization.","Please Select Loan Option on SBL Quotes Tab (Cell B42)")</f>
        <v>Please Select Loan Option on SBL Quotes Tab (Cell B42)</v>
      </c>
    </row>
    <row r="42" ht="9.75" customHeight="1">
      <c r="A42" s="2520"/>
      <c r="B42" s="2521"/>
      <c r="C42" s="2524"/>
    </row>
    <row r="43" ht="45" customHeight="1">
      <c r="A43" s="2520"/>
      <c r="B43" s="2521" t="s">
        <v>2143</v>
      </c>
      <c r="C43" s="2524" t="s">
        <v>2144</v>
      </c>
    </row>
    <row r="44" ht="9.75" customHeight="1">
      <c r="A44" s="2520"/>
      <c r="B44" s="2521"/>
      <c r="C44" s="2524"/>
    </row>
    <row r="45" ht="15" customHeight="1">
      <c r="A45" s="2520"/>
      <c r="B45" s="2521" t="s">
        <v>2145</v>
      </c>
      <c r="C45" s="2524" t="s">
        <v>2146</v>
      </c>
    </row>
    <row r="46" ht="9.75" customHeight="1">
      <c r="A46" s="2520"/>
      <c r="B46" s="2521"/>
      <c r="C46" s="2524"/>
    </row>
    <row r="47" ht="29.25" customHeight="1">
      <c r="A47" s="2520"/>
      <c r="B47" s="2521" t="s">
        <v>2147</v>
      </c>
      <c r="C47" s="2524" t="s">
        <v>2148</v>
      </c>
    </row>
    <row r="48" ht="9.75" customHeight="1">
      <c r="A48" s="2520"/>
      <c r="B48" s="2521"/>
      <c r="C48" s="2524"/>
    </row>
    <row r="49" ht="90" customHeight="1">
      <c r="A49" s="2520"/>
      <c r="B49" s="2521" t="s">
        <v>2149</v>
      </c>
      <c r="C49" s="2524" t="s">
        <v>2150</v>
      </c>
    </row>
    <row r="50" ht="9.75" customHeight="1">
      <c r="A50" s="2520"/>
      <c r="B50" s="2524"/>
      <c r="C50" s="2524"/>
    </row>
    <row r="51" ht="60" customHeight="1">
      <c r="A51" s="2520"/>
      <c r="B51" s="2521" t="s">
        <v>2151</v>
      </c>
      <c r="C51" s="2524" t="s">
        <v>2152</v>
      </c>
    </row>
    <row r="52" ht="9.75" customHeight="1">
      <c r="A52" s="2520"/>
      <c r="B52" s="2524"/>
      <c r="C52" s="2524"/>
    </row>
    <row r="53" ht="30.75" customHeight="1">
      <c r="A53" s="2520"/>
      <c r="B53" s="2524"/>
      <c r="C53" s="2524" t="s">
        <v>2153</v>
      </c>
    </row>
    <row r="54" ht="9.75" customHeight="1">
      <c r="A54" s="2520"/>
      <c r="B54" s="2524"/>
      <c r="C54" s="2524"/>
    </row>
    <row r="55" ht="15" customHeight="1">
      <c r="A55" s="2520"/>
      <c r="B55" s="2520"/>
      <c r="C55" s="2536" t="s">
        <v>2154</v>
      </c>
    </row>
    <row r="56" ht="9.75" customHeight="1">
      <c r="A56" s="2520"/>
      <c r="B56" s="2520"/>
      <c r="C56" s="2537"/>
    </row>
    <row r="57" ht="45" customHeight="1">
      <c r="A57" s="2520"/>
      <c r="B57" s="2520"/>
      <c r="C57" s="2536" t="s">
        <v>2155</v>
      </c>
    </row>
    <row r="58" ht="9.75" customHeight="1">
      <c r="A58" s="2520"/>
      <c r="B58" s="2520"/>
      <c r="C58" s="2537"/>
    </row>
    <row r="59" ht="43.5" customHeight="1">
      <c r="A59" s="2520"/>
      <c r="B59" s="2520"/>
      <c r="C59" s="2536" t="s">
        <v>2156</v>
      </c>
    </row>
    <row r="60" ht="9.75" customHeight="1">
      <c r="A60" s="2520"/>
      <c r="B60" s="2520"/>
      <c r="C60" s="2537"/>
    </row>
    <row r="61" ht="28.5" customHeight="1">
      <c r="A61" s="2520"/>
      <c r="B61" s="2520"/>
      <c r="C61" s="2536" t="s">
        <v>2157</v>
      </c>
    </row>
    <row r="62" ht="9.75" customHeight="1">
      <c r="A62" s="2520"/>
      <c r="B62" s="2520"/>
      <c r="C62" s="2537"/>
    </row>
    <row r="63" ht="90" customHeight="1">
      <c r="A63" s="2520"/>
      <c r="B63" s="2520"/>
      <c r="C63" s="2536" t="s">
        <v>2158</v>
      </c>
    </row>
    <row r="64" ht="9.75" customHeight="1">
      <c r="A64" s="2520"/>
      <c r="B64" s="2520"/>
      <c r="C64" s="2524"/>
    </row>
    <row r="65" ht="89.25" customHeight="1">
      <c r="A65" s="2520"/>
      <c r="B65" s="2520"/>
      <c r="C65" s="2524" t="s">
        <v>2159</v>
      </c>
    </row>
    <row r="66" ht="9.75" customHeight="1">
      <c r="A66" s="2520"/>
      <c r="B66" s="2520"/>
      <c r="C66" s="2524"/>
    </row>
    <row r="67" ht="105" customHeight="1">
      <c r="A67" s="2520"/>
      <c r="B67" s="2520"/>
      <c r="C67" s="2524" t="s">
        <v>2160</v>
      </c>
    </row>
    <row r="68" ht="9.75" customHeight="1">
      <c r="A68" s="2520"/>
      <c r="B68" s="2520"/>
      <c r="C68" s="2524"/>
    </row>
    <row r="69" ht="45" customHeight="1">
      <c r="A69" s="2520"/>
      <c r="B69" s="2520"/>
      <c r="C69" s="2524" t="s">
        <v>2161</v>
      </c>
    </row>
    <row r="70" ht="9.75" customHeight="1">
      <c r="A70" s="2520"/>
      <c r="B70" s="2520"/>
      <c r="C70" s="2524"/>
    </row>
    <row r="71" ht="76.5" customHeight="1">
      <c r="A71" s="2520"/>
      <c r="B71" s="2520"/>
      <c r="C71" s="2524" t="s">
        <v>2162</v>
      </c>
    </row>
    <row r="72" ht="9.75" customHeight="1">
      <c r="A72" s="2520"/>
      <c r="B72" s="2520"/>
      <c r="C72" s="2524"/>
    </row>
    <row r="73" ht="15" customHeight="1">
      <c r="A73" s="2520"/>
      <c r="B73" s="2521" t="s">
        <v>2163</v>
      </c>
      <c r="C73" s="2538" t="s">
        <v>2164</v>
      </c>
    </row>
    <row r="74" ht="14.25" customHeight="1">
      <c r="A74" s="2520"/>
      <c r="B74" s="2539"/>
      <c r="C74" s="2538" t="s">
        <v>2165</v>
      </c>
    </row>
    <row r="75" ht="14.25" customHeight="1">
      <c r="A75" s="2520"/>
      <c r="B75" s="2539"/>
      <c r="C75" s="2538" t="str">
        <f>IF(number_units&gt;=50,"Replacement Reserves: Required","Replacement Reserves: N/A")</f>
        <v>Replacement Reserves: Required</v>
      </c>
    </row>
    <row r="76" ht="14.25" customHeight="1">
      <c r="A76" s="2520"/>
      <c r="B76" s="2539"/>
      <c r="C76" s="2538" t="s">
        <v>2167</v>
      </c>
    </row>
    <row r="77" ht="9.75" customHeight="1">
      <c r="A77" s="2520"/>
      <c r="B77" s="2521"/>
      <c r="C77" s="2524"/>
    </row>
    <row r="78" ht="90" customHeight="1">
      <c r="A78" s="2520"/>
      <c r="B78" s="2521" t="s">
        <v>2168</v>
      </c>
      <c r="C78" s="2524" t="s">
        <v>2169</v>
      </c>
    </row>
    <row r="79" ht="9.75" customHeight="1">
      <c r="A79" s="2520"/>
      <c r="B79" s="2521"/>
      <c r="C79" s="2524"/>
    </row>
    <row r="80" ht="90" customHeight="1">
      <c r="A80" s="2520"/>
      <c r="B80" s="2521" t="s">
        <v>2170</v>
      </c>
      <c r="C80" s="2524" t="s">
        <v>2171</v>
      </c>
    </row>
    <row r="81" ht="9.75" customHeight="1">
      <c r="A81" s="2520"/>
      <c r="B81" s="2524"/>
      <c r="C81" s="2524"/>
    </row>
    <row r="82" ht="15" customHeight="1">
      <c r="A82" s="2520"/>
      <c r="B82" s="2521" t="s">
        <v>2172</v>
      </c>
      <c r="C82" s="2528" t="s">
        <v>2173</v>
      </c>
    </row>
    <row r="83" ht="9.75" customHeight="1">
      <c r="A83" s="2520"/>
      <c r="B83" s="2524"/>
      <c r="C83" s="2524"/>
    </row>
    <row r="84" ht="60" customHeight="1">
      <c r="A84" s="2520"/>
      <c r="B84" s="2521" t="s">
        <v>2174</v>
      </c>
      <c r="C84" s="2524" t="s">
        <v>2175</v>
      </c>
    </row>
    <row r="85" ht="9.75" customHeight="1">
      <c r="A85" s="2520"/>
      <c r="B85" s="2521"/>
      <c r="C85" s="2524"/>
    </row>
    <row r="86" ht="13.5" customHeight="1">
      <c r="A86" s="2520"/>
      <c r="B86" s="2521" t="s">
        <v>2176</v>
      </c>
      <c r="C86" s="2540">
        <f>'SBL Quotes'!B56</f>
        <v>7500</v>
      </c>
    </row>
    <row r="87" ht="9.75" customHeight="1">
      <c r="A87" s="2520"/>
      <c r="B87" s="2521"/>
      <c r="C87" s="2540"/>
    </row>
    <row r="88" ht="195.75" customHeight="1">
      <c r="A88" s="2520"/>
      <c r="B88" s="2520"/>
      <c r="C88" s="2524" t="str">
        <f>"Upon execution of this Application, Borrower will deposit with Lender the sum of "&amp;DOLLAR(C86,0)&amp;Boilerplate!C30</f>
        <v>Upon execution of this Application, Borrower will deposit with Lender the sum of $7,500 as a refundable Application Deposit, which will reimburse Lender for the cost of certain analysis and third party reports including, but not limited to, the Appraisal Report, Property Condition Report, Environmental Database Report (Phase I/II, if applicable), Zoning Report, Operations and Maintenance Programs, Credit Reports, Background Searches, Insurance Review, and Site Inspection Fees. Total Lender diligence costs have an estimated range of $15,000 to $17,500. Any due diligence costs incurred for the transaction above and beyond the initial application deposit will be paid by the borrower at closing. Conversely, should total due diligence costs come in lower than the Application deposit, the remainder shall be refundable to the Borrower.</v>
      </c>
    </row>
    <row r="89" ht="9.75" customHeight="1">
      <c r="A89" s="2520"/>
      <c r="B89" s="2520"/>
      <c r="C89" s="2524"/>
    </row>
    <row r="90" ht="15" customHeight="1">
      <c r="A90" s="2520"/>
      <c r="B90" s="2521" t="s">
        <v>2178</v>
      </c>
      <c r="C90" s="2524" cm="1" t="str">
        <f t="array" ref="C90">IF(AND('SBL Quotes'!$B$22="Top",'SBL Quotes'!$B$28="No"),"N/A",IF(AND('SBL Quotes'!$B$22&lt;&gt;"Top",'SBL Quotes'!$B$28="Yes"),_xlfn.IFERROR("0.20% of the Final Loan Amount ("&amp;DOLLAR(INDEX('SBL Quotes'!$E$7:$G$7,1,'SBL Quotes'!$B$54)*0.2%,0)&amp;Boilerplate!C12,"Please Select Loan Option on SBL Quotes Tab (Cell B42)"),_xlfn.IFERROR("0.10% of the Final Loan Amount ("&amp;DOLLAR(INDEX('SBL Quotes'!$E$7:$G$7,1,'SBL Quotes'!$B$54)*0.1%,0)&amp;Boilerplate!C12,"Please Select Loan Option on SBL Quotes Tab (Cell B42)")))</f>
        <v>Please Select Loan Option on SBL Quotes Tab (Cell B42)</v>
      </c>
    </row>
    <row r="91" ht="9.75" customHeight="1">
      <c r="A91" s="2520"/>
      <c r="B91" s="2521"/>
      <c r="C91" s="2524"/>
    </row>
    <row r="92" ht="17.25" customHeight="1">
      <c r="A92" s="2520"/>
      <c r="B92" s="2521" t="s">
        <v>2179</v>
      </c>
      <c r="C92" s="2541" t="str">
        <f>_xlfn.IFERROR(DOLLAR(C86+IF(ISNUMBER(C90),C90,0)),"Please Select Loan Option on SBL Quotes Tab (Cell B42)")</f>
        <v>$7,500.00</v>
      </c>
    </row>
    <row r="93" ht="9.75" customHeight="1">
      <c r="A93" s="2520"/>
      <c r="B93" s="2520"/>
      <c r="C93" s="2524"/>
    </row>
    <row r="94" ht="105" customHeight="1">
      <c r="A94" s="2520"/>
      <c r="B94" s="2521" t="s">
        <v>2181</v>
      </c>
      <c r="C94" s="2524" t="s">
        <v>2182</v>
      </c>
    </row>
    <row r="95" ht="9.75" customHeight="1">
      <c r="A95" s="2520"/>
      <c r="B95" s="2524"/>
      <c r="C95" s="2524"/>
    </row>
    <row r="96" ht="15" customHeight="1">
      <c r="A96" s="2520"/>
      <c r="B96" s="2521" t="s">
        <v>2183</v>
      </c>
      <c r="C96" s="2542" cm="1" t="str">
        <f t="array" ref="C96">_xlfn.IFERROR(INDEX('SBL Quotes'!$E$31:$G$31,1,'SBL Quotes'!$B$54),"Please Select Loan Option on SBL Quotes Tab (Cell B42)")</f>
        <v>Please Select Loan Option on SBL Quotes Tab (Cell B42)</v>
      </c>
    </row>
    <row r="97" ht="9.75" customHeight="1">
      <c r="A97" s="2520"/>
      <c r="B97" s="2521"/>
      <c r="C97" s="2524"/>
    </row>
    <row r="98" ht="149.25" customHeight="1">
      <c r="A98" s="2520"/>
      <c r="B98" s="2543" t="s">
        <v>2184</v>
      </c>
      <c r="C98" s="2526" t="s">
        <v>2185</v>
      </c>
    </row>
    <row r="99" ht="9.75" customHeight="1">
      <c r="A99" s="2520"/>
      <c r="B99" s="2529" t="s">
        <v>2186</v>
      </c>
      <c r="C99" s="2524"/>
    </row>
    <row r="100" ht="105" customHeight="1">
      <c r="A100" s="2520"/>
      <c r="B100" s="2521" t="s">
        <v>2187</v>
      </c>
      <c r="C100" s="2524" t="s">
        <v>2188</v>
      </c>
    </row>
    <row r="101" ht="9.75" customHeight="1">
      <c r="A101" s="2520"/>
      <c r="B101" s="2521"/>
      <c r="C101" s="2524"/>
    </row>
    <row r="102" ht="45" customHeight="1">
      <c r="A102" s="2520"/>
      <c r="B102" s="2521" t="s">
        <v>2189</v>
      </c>
      <c r="C102" s="2524" t="s">
        <v>2190</v>
      </c>
    </row>
    <row r="103" ht="9.75" customHeight="1">
      <c r="A103" s="2520"/>
      <c r="B103" s="2520"/>
      <c r="C103" s="2520"/>
    </row>
    <row r="104" ht="15" customHeight="1">
      <c r="A104" s="2520"/>
      <c r="B104" s="2524"/>
      <c r="C104" s="2537" cm="1" t="str">
        <f t="array" ref="C104">_xlfn.IFERROR("• Rate is subject to a(n) "&amp;TEXT(INDEX('SBL Quotes'!$E$16:$G$16,1,'SBL Quotes'!$B$54),"0.0%")&amp;" LTV and "&amp;TEXT(INDEX('SBL Quotes'!$E$15:$G$15,1,'SBL Quotes'!$B$54),"0.00")&amp;"x DSR at the time of rate lock and close.","Please Select Loan Option on SBL Quotes Tab (Cell B42)")</f>
        <v>Please Select Loan Option on SBL Quotes Tab (Cell B42)</v>
      </c>
    </row>
    <row r="105" ht="9.75" customHeight="1">
      <c r="A105" s="2520"/>
      <c r="B105" s="2524"/>
      <c r="C105" s="2544"/>
    </row>
    <row r="106" ht="45" customHeight="1">
      <c r="A106" s="2520"/>
      <c r="B106" s="2524"/>
      <c r="C106" s="2537" t="s">
        <v>2191</v>
      </c>
    </row>
    <row r="107" ht="9.75" customHeight="1">
      <c r="A107" s="2520"/>
      <c r="B107" s="2524"/>
      <c r="C107" s="2544"/>
    </row>
    <row r="108" ht="30" customHeight="1">
      <c r="A108" s="2520"/>
      <c r="B108" s="2524"/>
      <c r="C108" s="2537" t="s">
        <v>2192</v>
      </c>
    </row>
    <row r="109" ht="9.75" customHeight="1">
      <c r="A109" s="2520"/>
      <c r="B109" s="2524"/>
      <c r="C109" s="2545"/>
    </row>
    <row r="110" ht="30" customHeight="1">
      <c r="A110" s="2520"/>
      <c r="B110" s="2520"/>
      <c r="C110" s="2537" t="s">
        <v>2193</v>
      </c>
    </row>
    <row r="111" ht="9.75" customHeight="1">
      <c r="A111" s="2520"/>
      <c r="B111" s="2520"/>
      <c r="C111" s="2524"/>
    </row>
    <row r="112" ht="29.25" customHeight="1">
      <c r="A112" s="2520"/>
      <c r="B112" s="2520"/>
      <c r="C112" s="2524" t="s">
        <v>2194</v>
      </c>
    </row>
    <row r="113" ht="9.75" customHeight="1">
      <c r="A113" s="2520"/>
      <c r="B113" s="2524"/>
      <c r="C113" s="2524"/>
    </row>
    <row r="114" ht="15" customHeight="1">
      <c r="A114" s="2520"/>
      <c r="B114" s="2520"/>
      <c r="C114" s="2537" cm="1" t="str">
        <f t="array" ref="C114">_xlfn.IFERROR("• Key Principal/Guarantor(s) to provide personal financial statement and corresponding Real Estate Owned Schedule evidencing minimum net worth of approximately "&amp;DOLLAR(INDEX('SBL Quotes'!$E$7:$G$7,1,'SBL Quotes'!$B$54),0)&amp;".","Please Select Loan Option on SBL Quotes Tab (Cell B42)")</f>
        <v>Please Select Loan Option on SBL Quotes Tab (Cell B42)</v>
      </c>
    </row>
    <row r="115" ht="9.75" customHeight="1">
      <c r="A115" s="2520"/>
      <c r="B115" s="2520"/>
      <c r="C115" s="2545"/>
    </row>
    <row r="116" ht="15" customHeight="1">
      <c r="A116" s="2520"/>
      <c r="B116" s="2520"/>
      <c r="C116" s="2537" cm="1" t="str">
        <f t="array" ref="C116">_xlfn.IFERROR("• Key Principal/Guarantor(s) to provide 2 months’ most recent bank statements (all pages) evidencing minimum liquidity of approximately "&amp;DOLLAR(INDEX('SBL Quotes'!$E$18:$G$18,1,'SBL Quotes'!$B$54)/12*9,0)&amp;".","Please Select Loan Option on SBL Quotes Tab (Cell B42)")</f>
        <v>Please Select Loan Option on SBL Quotes Tab (Cell B42)</v>
      </c>
    </row>
    <row r="117" ht="9.75" customHeight="1">
      <c r="A117" s="2520"/>
      <c r="B117" s="2520"/>
      <c r="C117" s="2545"/>
    </row>
    <row r="118" ht="15" customHeight="1">
      <c r="A118" s="2520"/>
      <c r="B118" s="2520"/>
      <c r="C118" s="2524" t="str">
        <f>"Property to meet minimum NRI of "&amp;DOLLAR(ROUND('Freddie I&amp;E'!AD23/12,2),0)&amp;"/monthly and "&amp;DOLLAR(ROUND('Freddie I&amp;E'!AD23,2),0)&amp;"/annually."</f>
        <v>Property to meet minimum NRI of $119,366/monthly and $1,432,397/annually.</v>
      </c>
    </row>
    <row r="119" ht="9.75" customHeight="1">
      <c r="A119" s="2520"/>
      <c r="B119" s="2520"/>
      <c r="C119" s="2524"/>
    </row>
    <row r="120" ht="15" customHeight="1">
      <c r="A120" s="2520"/>
      <c r="B120" s="2520"/>
      <c r="C120" s="2524" t="str">
        <f>"Property valuation to meet or exceed "&amp;DOLLAR('SBL Quotes'!$B$42,0)</f>
        <v>Property valuation to meet or exceed ($32,321,786)</v>
      </c>
    </row>
    <row r="121" ht="9.75" customHeight="1">
      <c r="A121" s="2520"/>
      <c r="B121" s="2520"/>
      <c r="C121" s="2524"/>
    </row>
    <row r="122" ht="30" customHeight="1">
      <c r="A122" s="2520"/>
      <c r="B122" s="2520"/>
      <c r="C122" s="2524" t="str">
        <f>"UW NCF to meet or exceed "&amp;DOLLAR(HOps_NetCashFlow-HOps_CapExps,0)&amp;" subject to appraisal, engineering and market support."</f>
        <v>UW NCF to meet or exceed ($1,742,202) subject to appraisal, engineering and market support.</v>
      </c>
    </row>
    <row r="123" ht="9.75" customHeight="1">
      <c r="A123" s="2520"/>
      <c r="B123" s="2520"/>
      <c r="C123" s="2524"/>
    </row>
    <row r="124" ht="30" customHeight="1">
      <c r="A124" s="2520"/>
      <c r="B124" s="2520"/>
      <c r="C124" s="2524" t="s">
        <v>2198</v>
      </c>
    </row>
    <row r="125" ht="9.75" customHeight="1">
      <c r="A125" s="2520"/>
      <c r="B125" s="2520"/>
      <c r="C125" s="2524"/>
    </row>
    <row r="126" ht="30" customHeight="1">
      <c r="A126" s="2520"/>
      <c r="B126" s="2520"/>
      <c r="C126" s="2524" t="s">
        <v>2199</v>
      </c>
    </row>
    <row r="127" ht="9.75" customHeight="1">
      <c r="A127" s="2520"/>
      <c r="B127" s="2520"/>
      <c r="C127" s="2524"/>
    </row>
    <row r="128" ht="63.75" customHeight="1">
      <c r="A128" s="2520"/>
      <c r="B128" s="2520"/>
      <c r="C128" s="2524" t="s">
        <v>2200</v>
      </c>
    </row>
    <row r="129" ht="9.75" customHeight="1">
      <c r="A129" s="2520"/>
      <c r="B129" s="2520"/>
      <c r="C129" s="2524"/>
    </row>
    <row r="130" ht="45" customHeight="1">
      <c r="A130" s="2520"/>
      <c r="B130" s="2520"/>
      <c r="C130" s="2524" t="s">
        <v>2201</v>
      </c>
    </row>
    <row r="131" ht="9.75" customHeight="1">
      <c r="A131" s="2520"/>
      <c r="B131" s="2546"/>
      <c r="C131" s="2524"/>
    </row>
    <row r="132" ht="45" customHeight="1">
      <c r="A132" s="2520"/>
      <c r="B132" s="2521" t="s">
        <v>2202</v>
      </c>
      <c r="C132" s="2524" t="s">
        <v>2203</v>
      </c>
    </row>
    <row r="133" ht="9.75" customHeight="1">
      <c r="A133" s="2520"/>
      <c r="B133" s="2521"/>
      <c r="C133" s="2524"/>
    </row>
    <row r="134" ht="60" customHeight="1">
      <c r="A134" s="2520"/>
      <c r="B134" s="2521" t="s">
        <v>2204</v>
      </c>
      <c r="C134" s="2524" t="s">
        <v>2205</v>
      </c>
    </row>
    <row r="135" ht="9.75" customHeight="1">
      <c r="A135" s="2520"/>
      <c r="B135" s="2547"/>
      <c r="C135" s="2524"/>
    </row>
    <row r="136" ht="75" customHeight="1">
      <c r="A136" s="2520"/>
      <c r="B136" s="2521" t="s">
        <v>2206</v>
      </c>
      <c r="C136" s="2524" t="s">
        <v>2207</v>
      </c>
    </row>
    <row r="137" ht="9.75" customHeight="1">
      <c r="A137" s="2520"/>
      <c r="B137" s="2524"/>
      <c r="C137" s="2524"/>
    </row>
    <row r="138" ht="15" customHeight="1">
      <c r="A138" s="2520"/>
      <c r="B138" s="2521" t="s">
        <v>2208</v>
      </c>
      <c r="C138" s="2524" t="s">
        <v>2209</v>
      </c>
    </row>
    <row r="139" ht="15" customHeight="1">
      <c r="A139" s="2520"/>
      <c r="B139" s="2521" t="s">
        <v>2186</v>
      </c>
      <c r="C139" s="2524"/>
    </row>
    <row r="140" ht="15" customHeight="1">
      <c r="A140" s="2520"/>
      <c r="B140" s="2548" t="s">
        <v>2210</v>
      </c>
      <c r="C140" s="2520"/>
    </row>
    <row r="141" ht="89.25" customHeight="1">
      <c r="A141" s="2520"/>
      <c r="B141" s="2525" t="s">
        <v>2211</v>
      </c>
      <c r="C141" s="2525"/>
    </row>
    <row r="142" ht="9.75" customHeight="1">
      <c r="A142" s="2520"/>
      <c r="B142" s="2524"/>
      <c r="C142" s="2524"/>
    </row>
    <row r="143" ht="9.75" customHeight="1">
      <c r="A143" s="2520"/>
      <c r="B143" s="2520"/>
      <c r="C143" s="2520"/>
    </row>
    <row r="144" ht="15.75" customHeight="1">
      <c r="A144" s="2520"/>
      <c r="B144" s="2549" t="s">
        <v>2212</v>
      </c>
      <c r="C144" s="2549"/>
    </row>
    <row r="145" ht="9.75" customHeight="1">
      <c r="A145" s="2520"/>
      <c r="B145" s="2524"/>
      <c r="C145" s="2524"/>
    </row>
    <row r="146" ht="9.75" customHeight="1">
      <c r="A146" s="2520"/>
      <c r="B146" s="2524"/>
      <c r="C146" s="2524"/>
    </row>
    <row r="147" ht="9.75" customHeight="1">
      <c r="A147" s="2520"/>
      <c r="B147" s="2524"/>
      <c r="C147" s="2524"/>
    </row>
    <row r="148" ht="9.75" customHeight="1">
      <c r="A148" s="2520"/>
      <c r="B148" s="2524"/>
      <c r="C148" s="2524"/>
    </row>
    <row r="149" ht="9.75" customHeight="1">
      <c r="A149" s="2520"/>
      <c r="B149" s="2524"/>
      <c r="C149" s="2524"/>
    </row>
    <row r="150" ht="9.75" customHeight="1">
      <c r="A150" s="2520"/>
      <c r="B150" s="2524"/>
      <c r="C150" s="2524"/>
    </row>
    <row r="151" ht="9.75" customHeight="1">
      <c r="A151" s="2520"/>
      <c r="B151" s="2524"/>
      <c r="C151" s="2524"/>
    </row>
    <row r="152" ht="9.75" customHeight="1">
      <c r="A152" s="2520"/>
      <c r="B152" s="2524"/>
      <c r="C152" s="2524"/>
    </row>
    <row r="153" ht="9.75" customHeight="1">
      <c r="A153" s="2520"/>
      <c r="B153" s="2524"/>
      <c r="C153" s="2524"/>
    </row>
    <row r="154" ht="9.75" customHeight="1">
      <c r="A154" s="2520"/>
      <c r="B154" s="2524"/>
      <c r="C154" s="2524"/>
    </row>
    <row r="155" ht="9.75" customHeight="1">
      <c r="A155" s="2520"/>
      <c r="B155" s="2524"/>
      <c r="C155" s="2524"/>
    </row>
    <row r="156" ht="9.75" customHeight="1">
      <c r="A156" s="2520"/>
      <c r="B156" s="2524"/>
      <c r="C156" s="2524"/>
    </row>
    <row r="157" ht="9.75" customHeight="1">
      <c r="A157" s="2520"/>
      <c r="B157" s="2524"/>
      <c r="C157" s="2524"/>
    </row>
    <row r="158" ht="9.75" customHeight="1">
      <c r="A158" s="2520"/>
      <c r="B158" s="2524"/>
      <c r="C158" s="2524"/>
    </row>
    <row r="159" ht="9.75" customHeight="1">
      <c r="A159" s="2520"/>
      <c r="B159" s="2524"/>
      <c r="C159" s="2524"/>
    </row>
    <row r="160" ht="9.75" customHeight="1">
      <c r="A160" s="2520"/>
      <c r="B160" s="2524"/>
      <c r="C160" s="2524"/>
    </row>
    <row r="161" ht="9.75" customHeight="1">
      <c r="A161" s="2520"/>
      <c r="B161" s="2524"/>
      <c r="C161" s="2524"/>
    </row>
    <row r="162" ht="9.75" customHeight="1">
      <c r="A162" s="2520"/>
      <c r="B162" s="2524"/>
      <c r="C162" s="2524"/>
    </row>
    <row r="163" ht="9.75" customHeight="1">
      <c r="A163" s="2520"/>
      <c r="B163" s="2524"/>
      <c r="C163" s="2524"/>
    </row>
    <row r="164" ht="9.75" customHeight="1">
      <c r="A164" s="2520"/>
      <c r="B164" s="2524"/>
      <c r="C164" s="2524"/>
    </row>
    <row r="165" ht="9.75" customHeight="1">
      <c r="A165" s="2520"/>
      <c r="B165" s="2524"/>
      <c r="C165" s="2524"/>
    </row>
    <row r="166" ht="9.75" customHeight="1">
      <c r="A166" s="2520"/>
      <c r="B166" s="2524"/>
      <c r="C166" s="2524"/>
    </row>
    <row r="167" ht="9.75" customHeight="1">
      <c r="A167" s="2520"/>
      <c r="B167" s="2524"/>
      <c r="C167" s="2524"/>
    </row>
    <row r="168" ht="9.75" customHeight="1">
      <c r="A168" s="2520"/>
      <c r="B168" s="2524"/>
      <c r="C168" s="2524"/>
    </row>
    <row r="169" ht="9.75" customHeight="1">
      <c r="A169" s="2520"/>
      <c r="B169" s="2524"/>
      <c r="C169" s="2524"/>
    </row>
    <row r="170" ht="9.75" customHeight="1">
      <c r="A170" s="2520"/>
      <c r="B170" s="2524"/>
      <c r="C170" s="2524"/>
    </row>
    <row r="171" ht="9.75" customHeight="1">
      <c r="A171" s="2520"/>
      <c r="B171" s="2524"/>
      <c r="C171" s="2524"/>
    </row>
    <row r="172" ht="9.75" customHeight="1">
      <c r="A172" s="2520"/>
      <c r="B172" s="2524"/>
      <c r="C172" s="2524"/>
    </row>
    <row r="173" ht="9.75" customHeight="1">
      <c r="A173" s="2520"/>
      <c r="B173" s="2524"/>
      <c r="C173" s="2524"/>
    </row>
    <row r="174" ht="9.75" customHeight="1">
      <c r="A174" s="2520"/>
      <c r="B174" s="2524"/>
      <c r="C174" s="2524"/>
    </row>
    <row r="175" ht="9.75" customHeight="1">
      <c r="A175" s="2520"/>
      <c r="B175" s="2524"/>
      <c r="C175" s="2524"/>
    </row>
    <row r="176" ht="9.75" customHeight="1">
      <c r="A176" s="2520"/>
      <c r="B176" s="2524"/>
      <c r="C176" s="2524"/>
    </row>
    <row r="177" ht="9.75" customHeight="1">
      <c r="A177" s="2520"/>
      <c r="B177" s="2524"/>
      <c r="C177" s="2524"/>
    </row>
    <row r="178" ht="9.75" customHeight="1">
      <c r="A178" s="2520"/>
      <c r="B178" s="2524"/>
      <c r="C178" s="2524"/>
    </row>
    <row r="179" ht="9.75" customHeight="1">
      <c r="A179" s="2520"/>
      <c r="B179" s="2524"/>
      <c r="C179" s="2524"/>
    </row>
    <row r="180" ht="9.75" customHeight="1">
      <c r="A180" s="2520"/>
      <c r="B180" s="2524"/>
      <c r="C180" s="2524"/>
    </row>
    <row r="181" ht="9.75" customHeight="1">
      <c r="A181" s="2520"/>
      <c r="B181" s="2524"/>
      <c r="C181" s="2524"/>
    </row>
    <row r="182" ht="9.75" customHeight="1">
      <c r="A182" s="2520"/>
      <c r="B182" s="2524"/>
      <c r="C182" s="2524"/>
    </row>
    <row r="183" ht="9.75" customHeight="1">
      <c r="A183" s="2520"/>
      <c r="B183" s="2524"/>
      <c r="C183" s="2524"/>
    </row>
    <row r="184" ht="18" customHeight="1">
      <c r="A184" s="2520"/>
      <c r="B184" s="2550" t="s">
        <v>2213</v>
      </c>
      <c r="C184" s="2550"/>
    </row>
    <row r="185" ht="9.75" customHeight="1">
      <c r="A185" s="2520"/>
      <c r="B185" s="2551"/>
      <c r="C185" s="2524"/>
    </row>
    <row r="186" ht="90.75" customHeight="1">
      <c r="A186" s="2520"/>
      <c r="B186" s="2552" t="s">
        <v>2214</v>
      </c>
      <c r="C186" s="2552"/>
    </row>
    <row r="187" ht="9.75" customHeight="1">
      <c r="A187" s="2520"/>
      <c r="B187" s="2524"/>
      <c r="C187" s="2524"/>
    </row>
    <row r="188" ht="25.5" customHeight="1">
      <c r="A188" s="2520"/>
      <c r="B188" s="2552" t="s">
        <v>2215</v>
      </c>
      <c r="C188" s="2552"/>
    </row>
    <row r="189" ht="9.75" customHeight="1">
      <c r="A189" s="2520"/>
      <c r="B189" s="2524"/>
      <c r="C189" s="2524"/>
    </row>
    <row r="190" ht="41.25" customHeight="1">
      <c r="A190" s="2520"/>
      <c r="B190" s="2552" t="s">
        <v>2216</v>
      </c>
      <c r="C190" s="2552"/>
    </row>
    <row r="191" ht="9.75" customHeight="1">
      <c r="A191" s="2520"/>
      <c r="B191" s="2524"/>
      <c r="C191" s="2524"/>
    </row>
    <row r="192" ht="14.25" customHeight="1">
      <c r="A192" s="2520"/>
      <c r="B192" s="2552" t="s">
        <v>2217</v>
      </c>
      <c r="C192" s="2552"/>
    </row>
    <row r="193" ht="9.75" customHeight="1">
      <c r="A193" s="2520"/>
      <c r="B193" s="2524"/>
      <c r="C193" s="2524"/>
    </row>
    <row r="194" ht="12.75" customHeight="1" s="2553" customFormat="1">
      <c r="A194" s="2554"/>
      <c r="B194" s="2555" t="s">
        <v>2218</v>
      </c>
      <c r="C194" s="2555"/>
    </row>
    <row r="195" ht="12.75" customHeight="1" s="2553" customFormat="1">
      <c r="A195" s="2554"/>
      <c r="B195" s="2556" t="s">
        <v>2219</v>
      </c>
      <c r="C195" s="2556"/>
    </row>
    <row r="196" ht="12.75" customHeight="1" s="2553" customFormat="1">
      <c r="A196" s="2554"/>
      <c r="B196" s="2556" t="s">
        <v>2220</v>
      </c>
      <c r="C196" s="2556"/>
    </row>
    <row r="197" ht="12.75" customHeight="1" s="2553" customFormat="1">
      <c r="A197" s="2554"/>
      <c r="B197" s="2556" t="s">
        <v>2221</v>
      </c>
      <c r="C197" s="2556"/>
    </row>
    <row r="198" ht="9.75" customHeight="1">
      <c r="A198" s="2520"/>
      <c r="B198" s="2524"/>
      <c r="C198" s="2524"/>
    </row>
    <row r="199" ht="14.25" customHeight="1">
      <c r="A199" s="2520"/>
      <c r="B199" s="2551" t="s">
        <v>2222</v>
      </c>
      <c r="C199" s="2551"/>
    </row>
    <row r="200" ht="9.75" customHeight="1">
      <c r="A200" s="2520"/>
      <c r="B200" s="2521"/>
      <c r="C200" s="2524"/>
    </row>
    <row r="201" ht="14.25" customHeight="1">
      <c r="A201" s="2520"/>
      <c r="B201" s="2521" t="s">
        <v>2223</v>
      </c>
      <c r="C201" s="2521" t="s">
        <v>2224</v>
      </c>
    </row>
    <row r="202" ht="15" customHeight="1">
      <c r="A202" s="2520"/>
      <c r="B202" s="2521" t="s">
        <v>2225</v>
      </c>
      <c r="C202" s="2521" t="s">
        <v>2226</v>
      </c>
    </row>
    <row r="203" ht="14.25" customHeight="1">
      <c r="A203" s="2520"/>
      <c r="B203" s="2521" t="s">
        <v>2225</v>
      </c>
      <c r="C203" s="2521" t="s">
        <v>2227</v>
      </c>
    </row>
    <row r="204" ht="9.75" customHeight="1">
      <c r="A204" s="2520"/>
      <c r="B204" s="2521" t="s">
        <v>2228</v>
      </c>
      <c r="C204" s="2524"/>
    </row>
    <row r="205" ht="14.25" customHeight="1">
      <c r="A205" s="2520"/>
      <c r="B205" s="2521" t="s">
        <v>2229</v>
      </c>
      <c r="C205" s="2557" t="s">
        <v>2230</v>
      </c>
    </row>
    <row r="206" ht="14.25" customHeight="1">
      <c r="A206" s="2520"/>
      <c r="B206" s="2521" t="s">
        <v>2231</v>
      </c>
      <c r="C206" s="2521" t="s">
        <v>186</v>
      </c>
    </row>
    <row r="207" ht="14.25" customHeight="1">
      <c r="A207" s="2520"/>
      <c r="B207" s="2521" t="s">
        <v>2232</v>
      </c>
      <c r="C207" s="2558">
        <v>4212867739</v>
      </c>
    </row>
    <row r="208" ht="14.25" customHeight="1">
      <c r="A208" s="2520"/>
      <c r="B208" s="2521" t="s">
        <v>2233</v>
      </c>
      <c r="C208" s="2543" t="str">
        <f t="shared" si="0"/>
        <v>XXXX</v>
      </c>
    </row>
    <row r="209" ht="9.75" customHeight="1">
      <c r="A209" s="2520"/>
      <c r="B209" s="2524"/>
      <c r="C209" s="2524"/>
    </row>
    <row r="210" ht="14.25" customHeight="1">
      <c r="A210" s="2520"/>
      <c r="B210" s="2529" t="s">
        <v>2234</v>
      </c>
      <c r="C210" s="2524"/>
    </row>
    <row r="211" ht="9.75" customHeight="1">
      <c r="A211" s="2520"/>
      <c r="B211" s="2524"/>
      <c r="C211" s="2524"/>
    </row>
    <row r="212" ht="15" customHeight="1">
      <c r="A212" s="2520"/>
      <c r="B212" s="2524" t="s">
        <v>2235</v>
      </c>
      <c r="C212" s="2524"/>
    </row>
    <row r="213" ht="35.25" customHeight="1">
      <c r="A213" s="2520"/>
      <c r="B213" s="2559" t="str">
        <f>'SBL Quotes'!B58</f>
        <v>Select</v>
      </c>
      <c r="C213" s="2524"/>
    </row>
    <row r="214" ht="14.25" customHeight="1">
      <c r="A214" s="2520"/>
      <c r="B214" s="2526" t="str">
        <f>'SBL Quotes'!B59</f>
        <v>Select Producer Above</v>
      </c>
      <c r="C214" s="2524"/>
    </row>
    <row r="215" ht="9.75" customHeight="1">
      <c r="A215" s="2520"/>
      <c r="B215" s="2526"/>
      <c r="C215" s="2524"/>
    </row>
    <row r="216" ht="9.75" customHeight="1">
      <c r="A216" s="2520"/>
      <c r="B216" s="2526"/>
      <c r="C216" s="2524"/>
    </row>
    <row r="217" ht="9.75" customHeight="1">
      <c r="A217" s="2520"/>
      <c r="B217" s="2526"/>
      <c r="C217" s="2524"/>
    </row>
    <row r="218" ht="9.75" customHeight="1">
      <c r="A218" s="2520"/>
      <c r="B218" s="2521"/>
      <c r="C218" s="2524"/>
    </row>
    <row r="219" ht="14.25" customHeight="1">
      <c r="A219" s="2520"/>
      <c r="B219" s="2529" t="s">
        <v>2236</v>
      </c>
      <c r="C219" s="2524"/>
    </row>
    <row r="220" ht="9.75" customHeight="1">
      <c r="A220" s="2520"/>
      <c r="B220" s="2524"/>
      <c r="C220" s="2524"/>
    </row>
    <row r="221" ht="30" customHeight="1">
      <c r="A221" s="2520"/>
      <c r="B221" s="2560" t="s">
        <v>2237</v>
      </c>
      <c r="C221" s="2560"/>
    </row>
    <row r="222" ht="30" customHeight="1">
      <c r="A222" s="2520"/>
      <c r="B222" s="2560" t="s">
        <v>2238</v>
      </c>
      <c r="C222" s="2560"/>
    </row>
    <row r="223" ht="9.75" customHeight="1">
      <c r="A223" s="2520"/>
      <c r="B223" s="2560"/>
      <c r="C223" s="2560"/>
    </row>
    <row r="224" ht="9.75" customHeight="1">
      <c r="A224" s="2520"/>
      <c r="B224" s="2560"/>
      <c r="C224" s="2560"/>
    </row>
    <row r="225" ht="9.75" customHeight="1">
      <c r="A225" s="2520"/>
      <c r="B225" s="2561"/>
      <c r="C225" s="2561"/>
    </row>
    <row r="226" ht="9.75" customHeight="1">
      <c r="A226" s="2520"/>
      <c r="B226" s="2561"/>
      <c r="C226" s="2561"/>
    </row>
    <row r="227" ht="9.75" customHeight="1">
      <c r="A227" s="2520"/>
      <c r="B227" s="2561"/>
      <c r="C227" s="2561"/>
    </row>
    <row r="228" ht="9.75" customHeight="1">
      <c r="A228" s="2520"/>
      <c r="B228" s="2561"/>
      <c r="C228" s="2561"/>
    </row>
    <row r="229" ht="9.75" customHeight="1">
      <c r="A229" s="2520"/>
      <c r="B229" s="2561"/>
      <c r="C229" s="2561"/>
    </row>
    <row r="230" ht="9.75" customHeight="1">
      <c r="A230" s="2520"/>
      <c r="B230" s="2521"/>
      <c r="C230" s="2524"/>
    </row>
    <row r="231" ht="14.25" customHeight="1">
      <c r="A231" s="2520"/>
      <c r="B231" s="2548" t="s">
        <v>2239</v>
      </c>
      <c r="C231" s="2524"/>
    </row>
    <row r="232" ht="14.25" customHeight="1">
      <c r="A232" s="2520"/>
      <c r="B232" s="2521"/>
      <c r="C232" s="2524"/>
    </row>
    <row r="233" ht="14.25" customHeight="1">
      <c r="A233" s="2520"/>
      <c r="B233" s="2521" t="s">
        <v>2240</v>
      </c>
      <c r="C233" s="2562" t="s">
        <v>2241</v>
      </c>
    </row>
    <row r="234" ht="14.25" customHeight="1">
      <c r="A234" s="2520"/>
      <c r="B234" s="2521" t="s">
        <v>2242</v>
      </c>
      <c r="C234" s="2562" t="s">
        <v>2243</v>
      </c>
    </row>
    <row r="235" ht="14.25" customHeight="1">
      <c r="A235" s="2520"/>
      <c r="B235" s="2521" t="s">
        <v>2244</v>
      </c>
      <c r="C235" s="2562" t="s">
        <v>2245</v>
      </c>
    </row>
    <row r="236" ht="14.25" customHeight="1">
      <c r="A236" s="2520"/>
      <c r="B236" s="2524"/>
      <c r="C236" s="2524"/>
    </row>
    <row r="237" ht="14.25" customHeight="1">
      <c r="A237" s="2520"/>
      <c r="B237" s="2524"/>
      <c r="C237" s="2524"/>
    </row>
    <row r="238" ht="14.25" customHeight="1">
      <c r="A238" s="2520"/>
      <c r="B238" s="2524"/>
      <c r="C238" s="2524"/>
    </row>
    <row r="239" ht="14.25" customHeight="1">
      <c r="A239" s="2520"/>
      <c r="B239" s="2524"/>
      <c r="C239" s="2524"/>
    </row>
    <row r="240" ht="14.25" customHeight="1">
      <c r="A240" s="2520"/>
      <c r="B240" s="2524"/>
      <c r="C240" s="2524"/>
    </row>
    <row r="241" ht="14.25" customHeight="1">
      <c r="A241" s="2520"/>
      <c r="B241" s="2524"/>
      <c r="C241" s="2524"/>
    </row>
    <row r="242" ht="14.25" customHeight="1">
      <c r="A242" s="2520"/>
      <c r="B242" s="2524"/>
      <c r="C242" s="2524"/>
    </row>
    <row r="243" ht="14.25" customHeight="1">
      <c r="A243" s="2520"/>
      <c r="B243" s="2524"/>
      <c r="C243" s="2524"/>
    </row>
    <row r="244" ht="14.25" customHeight="1">
      <c r="A244" s="2520"/>
      <c r="B244" s="2524"/>
      <c r="C244" s="2524"/>
    </row>
    <row r="245" ht="14.25" customHeight="1">
      <c r="A245" s="2520"/>
      <c r="B245" s="2524"/>
      <c r="C245" s="2524"/>
    </row>
    <row r="246" ht="14.25" customHeight="1">
      <c r="A246" s="2520"/>
      <c r="B246" s="2524"/>
      <c r="C246" s="2524"/>
    </row>
    <row r="247" ht="14.25" customHeight="1">
      <c r="A247" s="2520"/>
      <c r="B247" s="2524"/>
      <c r="C247" s="2524"/>
    </row>
    <row r="248" ht="14.25" customHeight="1">
      <c r="A248" s="2520"/>
      <c r="B248" s="2524"/>
      <c r="C248" s="2524"/>
    </row>
    <row r="249" ht="14.25" customHeight="1">
      <c r="A249" s="2520"/>
      <c r="B249" s="2524"/>
      <c r="C249" s="2524"/>
    </row>
    <row r="250" ht="14.25" customHeight="1">
      <c r="A250" s="2520"/>
      <c r="B250" s="2524"/>
      <c r="C250" s="2524"/>
    </row>
    <row r="251" ht="14.25" customHeight="1">
      <c r="A251" s="2520"/>
      <c r="B251" s="2524"/>
      <c r="C251" s="2524"/>
    </row>
    <row r="252" ht="14.25" customHeight="1">
      <c r="A252" s="2520"/>
      <c r="B252" s="2524"/>
      <c r="C252" s="2524"/>
    </row>
    <row r="253" ht="14.25" customHeight="1">
      <c r="A253" s="2520"/>
      <c r="B253" s="2524"/>
      <c r="C253" s="2524"/>
    </row>
    <row r="254" ht="14.25" customHeight="1">
      <c r="A254" s="2520"/>
      <c r="B254" s="2524"/>
      <c r="C254" s="2524"/>
    </row>
    <row r="255" ht="14.25" customHeight="1">
      <c r="A255" s="2520"/>
      <c r="B255" s="2524"/>
      <c r="C255" s="2524"/>
    </row>
    <row r="256" ht="14.25" customHeight="1">
      <c r="A256" s="2520"/>
      <c r="B256" s="2524"/>
      <c r="C256" s="2524"/>
    </row>
    <row r="257" ht="14.25" customHeight="1">
      <c r="A257" s="2520"/>
      <c r="B257" s="2524"/>
      <c r="C257" s="2524"/>
    </row>
    <row r="258" ht="14.25" customHeight="1">
      <c r="A258" s="2520"/>
      <c r="B258" s="2524"/>
      <c r="C258" s="2524"/>
    </row>
    <row r="259" ht="14.25" customHeight="1">
      <c r="A259" s="2520"/>
      <c r="B259" s="2524"/>
      <c r="C259" s="2524"/>
    </row>
    <row r="260" ht="14.25" customHeight="1">
      <c r="A260" s="2520"/>
      <c r="B260" s="2524"/>
      <c r="C260" s="2524"/>
    </row>
    <row r="261" ht="14.25" customHeight="1">
      <c r="A261" s="2520"/>
      <c r="B261" s="2524"/>
      <c r="C261" s="2524"/>
    </row>
    <row r="262" ht="14.25" customHeight="1">
      <c r="A262" s="2520"/>
      <c r="B262" s="2524"/>
      <c r="C262" s="2524"/>
    </row>
    <row r="263" ht="14.25" customHeight="1">
      <c r="A263" s="2520"/>
      <c r="B263" s="2524"/>
      <c r="C263" s="2524"/>
    </row>
    <row r="264" ht="14.25" customHeight="1">
      <c r="A264" s="2520"/>
      <c r="B264" s="2524"/>
      <c r="C264" s="2524"/>
    </row>
    <row r="265" ht="14.25" customHeight="1">
      <c r="A265" s="2520"/>
      <c r="B265" s="2524"/>
      <c r="C265" s="2524"/>
    </row>
    <row r="266" ht="14.25" customHeight="1">
      <c r="A266" s="2520"/>
      <c r="B266" s="2524"/>
      <c r="C266" s="2524"/>
    </row>
    <row r="267" ht="14.25" customHeight="1">
      <c r="A267" s="2520"/>
      <c r="B267" s="2524"/>
      <c r="C267" s="2524"/>
    </row>
    <row r="268" ht="14.25" customHeight="1">
      <c r="A268" s="2520"/>
      <c r="B268" s="2524"/>
      <c r="C268" s="2524"/>
    </row>
    <row r="269" ht="14.25" customHeight="1">
      <c r="A269" s="2520"/>
      <c r="B269" s="2524"/>
      <c r="C269" s="2524"/>
    </row>
    <row r="270" ht="14.25" customHeight="1">
      <c r="A270" s="2520"/>
      <c r="B270" s="2551"/>
      <c r="C270" s="2524"/>
    </row>
    <row r="271" ht="14.25" customHeight="1">
      <c r="A271" s="2520"/>
      <c r="B271" s="2524"/>
      <c r="C271" s="2524"/>
    </row>
    <row r="272" ht="14.25" customHeight="1">
      <c r="A272" s="2520"/>
      <c r="B272" s="2551"/>
      <c r="C272" s="2524"/>
    </row>
    <row r="273" ht="14.25" customHeight="1">
      <c r="A273" s="2520"/>
      <c r="B273" s="2563" t="s">
        <v>2246</v>
      </c>
      <c r="C273" s="2563"/>
    </row>
    <row r="274" ht="14.25" customHeight="1">
      <c r="A274" s="2520"/>
      <c r="B274" s="2551"/>
      <c r="C274" s="2524"/>
    </row>
    <row r="275" ht="14.25" customHeight="1">
      <c r="A275" s="2520"/>
      <c r="B275" s="2551"/>
      <c r="C275" s="2524"/>
    </row>
    <row r="276" ht="14.25" customHeight="1">
      <c r="A276" s="2520"/>
      <c r="B276" s="2551"/>
      <c r="C276" s="2524"/>
    </row>
    <row r="277" ht="14.25" customHeight="1">
      <c r="A277" s="2520"/>
      <c r="B277" s="2551"/>
      <c r="C277" s="2524"/>
    </row>
    <row r="278" ht="14.25" customHeight="1">
      <c r="A278" s="2520"/>
      <c r="B278" s="2520"/>
      <c r="C278" s="2520"/>
    </row>
    <row r="279" ht="14.25" customHeight="1">
      <c r="A279" s="2520"/>
      <c r="B279" s="2520"/>
      <c r="C279" s="2520"/>
    </row>
    <row r="280" ht="14.25" customHeight="1">
      <c r="A280" s="2520"/>
      <c r="B280" s="2520"/>
      <c r="C280" s="2520"/>
    </row>
    <row r="281" ht="14.25" customHeight="1">
      <c r="A281" s="2520"/>
      <c r="B281" s="2520"/>
      <c r="C281" s="2520"/>
    </row>
    <row r="282" ht="14.25" customHeight="1">
      <c r="A282" s="2520"/>
      <c r="B282" s="2520"/>
      <c r="C282" s="2520"/>
    </row>
    <row r="283" ht="14.25" customHeight="1">
      <c r="A283" s="2520"/>
      <c r="B283" s="2520"/>
      <c r="C283" s="2520"/>
    </row>
    <row r="284" ht="14.25" customHeight="1">
      <c r="A284" s="2520"/>
      <c r="B284" s="2520"/>
      <c r="C284" s="2520"/>
    </row>
    <row r="285" ht="14.25" customHeight="1">
      <c r="A285" s="2520"/>
      <c r="B285" s="2520"/>
      <c r="C285" s="2520"/>
    </row>
    <row r="286" ht="14.25" customHeight="1">
      <c r="A286" s="2520"/>
      <c r="B286" s="2520"/>
      <c r="C286" s="2520"/>
    </row>
    <row r="287" ht="14.25" customHeight="1">
      <c r="A287" s="2520"/>
      <c r="B287" s="2520"/>
      <c r="C287" s="2520"/>
    </row>
    <row r="288" ht="14.25" customHeight="1">
      <c r="A288" s="2520"/>
      <c r="B288" s="2520"/>
      <c r="C288" s="2520"/>
    </row>
    <row r="289" ht="14.25" customHeight="1">
      <c r="A289" s="2520"/>
      <c r="B289" s="2520"/>
      <c r="C289" s="2520"/>
    </row>
    <row r="290" ht="14.25" customHeight="1">
      <c r="A290" s="2520"/>
      <c r="B290" s="2520"/>
      <c r="C290" s="2520"/>
    </row>
    <row r="291" ht="14.25" customHeight="1">
      <c r="A291" s="2520"/>
      <c r="B291" s="2520"/>
      <c r="C291" s="2520"/>
    </row>
    <row r="292" ht="14.25" customHeight="1">
      <c r="A292" s="2520"/>
      <c r="B292" s="2520"/>
      <c r="C292" s="2520"/>
    </row>
    <row r="293" ht="14.25" customHeight="1">
      <c r="A293" s="2520"/>
      <c r="B293" s="2520"/>
      <c r="C293" s="2520"/>
    </row>
    <row r="294" ht="14.25" customHeight="1">
      <c r="A294" s="2520"/>
      <c r="B294" s="2520"/>
      <c r="C294" s="2520"/>
    </row>
    <row r="295" ht="14.25" customHeight="1">
      <c r="A295" s="2520"/>
      <c r="B295" s="2520"/>
      <c r="C295" s="2520"/>
    </row>
    <row r="296" ht="14.25" customHeight="1">
      <c r="A296" s="2520"/>
      <c r="B296" s="2520"/>
      <c r="C296" s="2520"/>
    </row>
    <row r="297" ht="14.25" customHeight="1">
      <c r="A297" s="2520"/>
      <c r="B297" s="2520"/>
      <c r="C297" s="2520"/>
    </row>
    <row r="298" ht="14.25" customHeight="1">
      <c r="A298" s="2520"/>
      <c r="B298" s="2520"/>
      <c r="C298" s="2520"/>
    </row>
    <row r="299" ht="14.25" customHeight="1">
      <c r="A299" s="2520"/>
      <c r="B299" s="2520"/>
      <c r="C299" s="2520"/>
    </row>
    <row r="300" ht="14.25" customHeight="1">
      <c r="A300" s="2520"/>
      <c r="B300" s="2520"/>
      <c r="C300" s="2520"/>
    </row>
    <row r="301" ht="14.25" customHeight="1">
      <c r="A301" s="2520"/>
      <c r="B301" s="2520"/>
      <c r="C301" s="2520"/>
    </row>
    <row r="302" ht="14.25" customHeight="1">
      <c r="A302" s="2520"/>
      <c r="B302" s="2520"/>
      <c r="C302" s="2520"/>
    </row>
    <row r="303" ht="14.25" customHeight="1">
      <c r="A303" s="2520"/>
      <c r="B303" s="2520"/>
      <c r="C303" s="2520"/>
    </row>
    <row r="304" ht="14.25" customHeight="1">
      <c r="A304" s="2520"/>
      <c r="B304" s="2520"/>
      <c r="C304" s="2520"/>
    </row>
    <row r="305" ht="14.25" customHeight="1">
      <c r="A305" s="2520"/>
      <c r="B305" s="2520"/>
      <c r="C305" s="2520"/>
    </row>
    <row r="306" ht="14.25" customHeight="1">
      <c r="A306" s="2520"/>
      <c r="B306" s="2520"/>
      <c r="C306" s="2520"/>
    </row>
    <row r="307" ht="14.25" customHeight="1">
      <c r="A307" s="2520"/>
      <c r="B307" s="2520"/>
      <c r="C307" s="2520"/>
    </row>
    <row r="308" ht="14.25" customHeight="1">
      <c r="A308" s="2520"/>
      <c r="B308" s="2520"/>
      <c r="C308" s="2520"/>
    </row>
    <row r="309" ht="14.25" customHeight="1">
      <c r="A309" s="2520"/>
      <c r="B309" s="2520"/>
      <c r="C309" s="2520"/>
    </row>
    <row r="310" ht="14.25" customHeight="1">
      <c r="A310" s="2520"/>
      <c r="B310" s="2520"/>
      <c r="C310" s="2520"/>
    </row>
    <row r="311" ht="14.25" customHeight="1">
      <c r="A311" s="2520"/>
      <c r="B311" s="2520"/>
      <c r="C311" s="2520"/>
    </row>
    <row r="312" ht="14.25" customHeight="1">
      <c r="A312" s="2520"/>
      <c r="B312" s="2520"/>
      <c r="C312" s="2520"/>
    </row>
    <row r="313" ht="14.25" customHeight="1">
      <c r="A313" s="2520"/>
      <c r="B313" s="2520"/>
      <c r="C313" s="2520"/>
    </row>
    <row r="314" ht="14.25" customHeight="1">
      <c r="A314" s="2520"/>
      <c r="B314" s="2520"/>
      <c r="C314" s="2520"/>
    </row>
    <row r="315" ht="14.25" customHeight="1">
      <c r="A315" s="2520"/>
      <c r="B315" s="2520"/>
      <c r="C315" s="2520"/>
    </row>
    <row r="316" ht="14.25" customHeight="1">
      <c r="A316" s="2520"/>
      <c r="B316" s="2520"/>
      <c r="C316" s="2520"/>
    </row>
    <row r="317" ht="14.25" customHeight="1">
      <c r="A317" s="2520"/>
      <c r="B317" s="2520"/>
      <c r="C317" s="2520"/>
    </row>
    <row r="318" ht="14.25" customHeight="1">
      <c r="A318" s="2520"/>
      <c r="B318" s="2520"/>
      <c r="C318" s="2520"/>
    </row>
    <row r="319" ht="14.25" customHeight="1">
      <c r="A319" s="2520"/>
      <c r="B319" s="2520"/>
      <c r="C319" s="2520"/>
    </row>
    <row r="320" ht="14.25" customHeight="1">
      <c r="A320" s="2520"/>
      <c r="B320" s="2520"/>
      <c r="C320" s="2520"/>
    </row>
    <row r="321" ht="14.25" customHeight="1">
      <c r="A321" s="2520"/>
      <c r="B321" s="2520"/>
      <c r="C321" s="2520"/>
    </row>
    <row r="322" ht="14.25" customHeight="1">
      <c r="A322" s="2520"/>
      <c r="B322" s="2563" t="s">
        <v>2247</v>
      </c>
      <c r="C322" s="2563"/>
    </row>
    <row r="323" ht="14.25" customHeight="1">
      <c r="A323" s="2520"/>
      <c r="B323" s="2543"/>
      <c r="C323" s="2524"/>
    </row>
    <row r="324" ht="14.25" customHeight="1">
      <c r="A324" s="2520"/>
      <c r="B324" s="2526" t="s">
        <v>2248</v>
      </c>
      <c r="C324" s="2526"/>
    </row>
    <row r="325" ht="14.25" customHeight="1">
      <c r="A325" s="2520"/>
      <c r="B325" s="2529"/>
      <c r="C325" s="2524"/>
    </row>
    <row r="326" ht="14.25" customHeight="1">
      <c r="A326" s="2520"/>
      <c r="B326" s="2548" t="s">
        <v>2249</v>
      </c>
      <c r="C326" s="2548"/>
    </row>
    <row r="327" ht="18" customHeight="1">
      <c r="A327" s="2520"/>
      <c r="B327" s="2564" t="s">
        <v>2250</v>
      </c>
      <c r="C327" s="2520"/>
    </row>
    <row r="328" ht="18" customHeight="1">
      <c r="A328" s="2520"/>
      <c r="B328" s="2564" t="s">
        <v>2251</v>
      </c>
      <c r="C328" s="2529"/>
    </row>
    <row r="329" ht="18" customHeight="1">
      <c r="A329" s="2520"/>
      <c r="B329" s="2564" t="s">
        <v>2252</v>
      </c>
      <c r="C329" s="2524"/>
    </row>
    <row r="330" ht="18" customHeight="1">
      <c r="A330" s="2520"/>
      <c r="B330" s="2564" t="s">
        <v>2253</v>
      </c>
      <c r="C330" s="2565"/>
    </row>
    <row r="331" ht="18" customHeight="1">
      <c r="A331" s="2520"/>
      <c r="B331" s="2564" t="s">
        <v>2254</v>
      </c>
      <c r="C331" s="2524"/>
    </row>
    <row r="332" ht="18" customHeight="1">
      <c r="A332" s="2520"/>
      <c r="B332" s="2564" t="s">
        <v>2255</v>
      </c>
      <c r="C332" s="2524"/>
    </row>
    <row r="333" ht="18" customHeight="1">
      <c r="A333" s="2520"/>
      <c r="B333" s="2564" t="s">
        <v>2256</v>
      </c>
      <c r="C333" s="2524"/>
    </row>
    <row r="334" ht="14.25" customHeight="1">
      <c r="A334" s="2520"/>
      <c r="B334" s="2529"/>
      <c r="C334" s="2524"/>
    </row>
    <row r="335" ht="14.25" customHeight="1">
      <c r="A335" s="2520"/>
      <c r="B335" s="2566" t="s">
        <v>2257</v>
      </c>
      <c r="C335" s="2524"/>
    </row>
    <row r="336" ht="18" customHeight="1">
      <c r="A336" s="2520"/>
      <c r="B336" s="2564" t="s">
        <v>2250</v>
      </c>
      <c r="C336" s="2524"/>
    </row>
    <row r="337" ht="18" customHeight="1">
      <c r="A337" s="2520"/>
      <c r="B337" s="2564" t="s">
        <v>2251</v>
      </c>
      <c r="C337" s="2524"/>
    </row>
    <row r="338" ht="18" customHeight="1">
      <c r="A338" s="2520"/>
      <c r="B338" s="2564" t="s">
        <v>2252</v>
      </c>
      <c r="C338" s="2524"/>
    </row>
    <row r="339" ht="18" customHeight="1">
      <c r="A339" s="2520"/>
      <c r="B339" s="2564" t="s">
        <v>2253</v>
      </c>
      <c r="C339" s="2524"/>
    </row>
    <row r="340" ht="18" customHeight="1">
      <c r="A340" s="2520"/>
      <c r="B340" s="2564" t="s">
        <v>2258</v>
      </c>
      <c r="C340" s="2524"/>
    </row>
    <row r="341" ht="18" customHeight="1">
      <c r="A341" s="2520"/>
      <c r="B341" s="2564" t="s">
        <v>2255</v>
      </c>
      <c r="C341" s="2524"/>
    </row>
    <row r="342" ht="18" customHeight="1">
      <c r="A342" s="2520"/>
      <c r="B342" s="2564" t="s">
        <v>2256</v>
      </c>
      <c r="C342" s="2524"/>
    </row>
    <row r="343" ht="14.25" customHeight="1">
      <c r="A343" s="2520"/>
      <c r="B343" s="2529"/>
      <c r="C343" s="2524"/>
    </row>
    <row r="344" ht="14.25" customHeight="1">
      <c r="A344" s="2520"/>
      <c r="B344" s="2566" t="s">
        <v>2145</v>
      </c>
      <c r="C344" s="2524"/>
    </row>
    <row r="345" ht="18" customHeight="1">
      <c r="A345" s="2520"/>
      <c r="B345" s="2564" t="s">
        <v>2259</v>
      </c>
      <c r="C345" s="2524"/>
    </row>
    <row r="346" ht="18" customHeight="1">
      <c r="A346" s="2520"/>
      <c r="B346" s="2564" t="s">
        <v>2260</v>
      </c>
      <c r="C346" s="2524"/>
    </row>
    <row r="347" ht="18" customHeight="1">
      <c r="A347" s="2520"/>
      <c r="B347" s="2564" t="s">
        <v>2261</v>
      </c>
      <c r="C347" s="2524"/>
    </row>
    <row r="348" ht="18" customHeight="1">
      <c r="A348" s="2520"/>
      <c r="B348" s="2564" t="s">
        <v>2252</v>
      </c>
      <c r="C348" s="2524"/>
    </row>
    <row r="349" ht="18" customHeight="1">
      <c r="A349" s="2520"/>
      <c r="B349" s="2564" t="s">
        <v>2262</v>
      </c>
      <c r="C349" s="2524"/>
    </row>
    <row r="350" ht="18" customHeight="1">
      <c r="A350" s="2520"/>
      <c r="B350" s="2564" t="s">
        <v>2255</v>
      </c>
      <c r="C350" s="2524"/>
    </row>
    <row r="351" ht="18" customHeight="1">
      <c r="A351" s="2520"/>
      <c r="B351" s="2564" t="s">
        <v>2256</v>
      </c>
      <c r="C351" s="2524"/>
    </row>
    <row r="352" ht="14.25" customHeight="1">
      <c r="A352" s="2520"/>
      <c r="B352" s="2529"/>
      <c r="C352" s="2561"/>
    </row>
    <row r="353" ht="18" customHeight="1">
      <c r="A353" s="2520"/>
      <c r="B353" s="2566" t="s">
        <v>2263</v>
      </c>
      <c r="C353" s="2524"/>
    </row>
    <row r="354" ht="18" customHeight="1">
      <c r="A354" s="2520"/>
      <c r="B354" s="2564" t="s">
        <v>2250</v>
      </c>
      <c r="C354" s="2524"/>
    </row>
    <row r="355" ht="18" customHeight="1">
      <c r="A355" s="2520"/>
      <c r="B355" s="2564" t="s">
        <v>2251</v>
      </c>
      <c r="C355" s="2524"/>
    </row>
    <row r="356" ht="18" customHeight="1">
      <c r="A356" s="2520"/>
      <c r="B356" s="2564" t="s">
        <v>2252</v>
      </c>
      <c r="C356" s="2524"/>
    </row>
    <row r="357" ht="18" customHeight="1">
      <c r="A357" s="2520"/>
      <c r="B357" s="2564" t="s">
        <v>2253</v>
      </c>
      <c r="C357" s="2524"/>
    </row>
    <row r="358" ht="18" customHeight="1">
      <c r="A358" s="2520"/>
      <c r="B358" s="2564" t="s">
        <v>2258</v>
      </c>
      <c r="C358" s="2524"/>
    </row>
    <row r="359" ht="18" customHeight="1">
      <c r="A359" s="2520"/>
      <c r="B359" s="2564" t="s">
        <v>2255</v>
      </c>
      <c r="C359" s="2524"/>
    </row>
    <row r="360" ht="18" customHeight="1">
      <c r="A360" s="2520"/>
      <c r="B360" s="2564" t="s">
        <v>2256</v>
      </c>
      <c r="C360" s="2524"/>
    </row>
    <row r="361" ht="14.25" customHeight="1">
      <c r="A361" s="2520"/>
      <c r="B361" s="2529"/>
      <c r="C361" s="2524"/>
    </row>
    <row r="362" ht="14.25" customHeight="1">
      <c r="A362" s="2520"/>
      <c r="B362" s="2529"/>
      <c r="C362" s="2524"/>
    </row>
    <row r="363" ht="14.25" customHeight="1">
      <c r="A363" s="2520"/>
      <c r="B363" s="2529"/>
      <c r="C363" s="2524"/>
    </row>
    <row r="364" ht="14.25" customHeight="1">
      <c r="A364" s="2520"/>
      <c r="B364" s="2524"/>
      <c r="C364" s="2524"/>
    </row>
    <row r="365" ht="14.25" customHeight="1">
      <c r="A365" s="2520"/>
      <c r="B365" s="2563" t="s">
        <v>2264</v>
      </c>
      <c r="C365" s="2563"/>
    </row>
    <row r="366" ht="14.25" customHeight="1">
      <c r="A366" s="2520"/>
      <c r="B366" s="2551"/>
      <c r="C366" s="2524"/>
    </row>
    <row r="367" ht="14.25" customHeight="1">
      <c r="A367" s="2520"/>
      <c r="B367" s="2567" t="s">
        <v>2265</v>
      </c>
      <c r="C367" s="2567"/>
    </row>
    <row r="368" ht="14.25" customHeight="1">
      <c r="A368" s="2520"/>
      <c r="B368" s="2561"/>
      <c r="C368" s="2561"/>
    </row>
    <row r="369" ht="14.25" customHeight="1">
      <c r="A369" s="2520"/>
      <c r="B369" s="2561"/>
      <c r="C369" s="2561"/>
    </row>
    <row r="370" ht="14.25" customHeight="1">
      <c r="A370" s="2520"/>
      <c r="B370" s="2561"/>
      <c r="C370" s="2561"/>
    </row>
    <row r="371" ht="14.25" customHeight="1">
      <c r="A371" s="2520"/>
      <c r="B371" s="2561"/>
      <c r="C371" s="2561"/>
    </row>
    <row r="372" ht="14.25" customHeight="1">
      <c r="A372" s="2520"/>
      <c r="B372" s="2561"/>
      <c r="C372" s="2561"/>
    </row>
    <row r="373" ht="14.25" customHeight="1">
      <c r="A373" s="2520"/>
      <c r="B373" s="2561"/>
      <c r="C373" s="2561"/>
    </row>
    <row r="374" ht="14.25" customHeight="1">
      <c r="A374" s="2520"/>
      <c r="B374" s="2561"/>
      <c r="C374" s="2561"/>
    </row>
    <row r="375" ht="14.25" customHeight="1">
      <c r="A375" s="2520"/>
      <c r="B375" s="2561"/>
      <c r="C375" s="2561"/>
    </row>
    <row r="376" ht="14.25" customHeight="1">
      <c r="A376" s="2520"/>
      <c r="B376" s="2561"/>
      <c r="C376" s="2561"/>
    </row>
    <row r="377" ht="14.25" customHeight="1">
      <c r="A377" s="2520"/>
      <c r="B377" s="2561"/>
      <c r="C377" s="2561"/>
    </row>
    <row r="378" ht="14.25" customHeight="1">
      <c r="A378" s="2520"/>
      <c r="B378" s="2561"/>
      <c r="C378" s="2561"/>
    </row>
    <row r="379" ht="14.25" customHeight="1">
      <c r="A379" s="2520"/>
      <c r="B379" s="2561"/>
      <c r="C379" s="2561"/>
    </row>
    <row r="380" ht="14.25" customHeight="1">
      <c r="A380" s="2520"/>
      <c r="B380" s="2561"/>
      <c r="C380" s="2561"/>
    </row>
    <row r="381" ht="14.25" customHeight="1">
      <c r="A381" s="2520"/>
      <c r="B381" s="2561"/>
      <c r="C381" s="2561"/>
    </row>
    <row r="382" ht="14.25" customHeight="1">
      <c r="A382" s="2520"/>
      <c r="B382" s="2561"/>
      <c r="C382" s="2561"/>
    </row>
    <row r="383" ht="14.25" customHeight="1">
      <c r="A383" s="2520"/>
      <c r="B383" s="2561"/>
      <c r="C383" s="2561"/>
    </row>
    <row r="384" ht="14.25" customHeight="1">
      <c r="A384" s="2520"/>
      <c r="B384" s="2561"/>
      <c r="C384" s="2561"/>
    </row>
    <row r="385" ht="14.25" customHeight="1">
      <c r="A385" s="2520"/>
      <c r="B385" s="2561"/>
      <c r="C385" s="2561"/>
    </row>
    <row r="386" ht="14.25" customHeight="1">
      <c r="A386" s="2520"/>
      <c r="B386" s="2561"/>
      <c r="C386" s="2561"/>
    </row>
    <row r="387" ht="14.25" customHeight="1">
      <c r="A387" s="2520"/>
      <c r="B387" s="2561"/>
      <c r="C387" s="2561"/>
    </row>
    <row r="388" ht="14.25" customHeight="1">
      <c r="A388" s="2520"/>
      <c r="B388" s="2561"/>
      <c r="C388" s="2561"/>
    </row>
    <row r="389" ht="14.25" customHeight="1">
      <c r="A389" s="2520"/>
      <c r="B389" s="2561"/>
      <c r="C389" s="2561"/>
    </row>
    <row r="390" ht="14.25" customHeight="1">
      <c r="A390" s="2520"/>
      <c r="B390" s="2561"/>
      <c r="C390" s="2561"/>
    </row>
    <row r="391" ht="14.25" customHeight="1">
      <c r="A391" s="2520"/>
      <c r="B391" s="2561"/>
      <c r="C391" s="2561"/>
    </row>
    <row r="392" ht="14.25" customHeight="1">
      <c r="A392" s="2520"/>
      <c r="B392" s="2561"/>
      <c r="C392" s="2561"/>
    </row>
    <row r="393" ht="14.25" customHeight="1">
      <c r="A393" s="2520"/>
      <c r="B393" s="2561"/>
      <c r="C393" s="2561"/>
    </row>
    <row r="394" ht="14.25" customHeight="1">
      <c r="A394" s="2520"/>
      <c r="B394" s="2561"/>
      <c r="C394" s="2561"/>
    </row>
    <row r="395" ht="14.25" customHeight="1">
      <c r="A395" s="2520"/>
      <c r="B395" s="2561"/>
      <c r="C395" s="2561"/>
    </row>
    <row r="396" ht="14.25" customHeight="1">
      <c r="A396" s="2520"/>
      <c r="B396" s="2561"/>
      <c r="C396" s="2561"/>
    </row>
    <row r="397" ht="14.25" customHeight="1">
      <c r="A397" s="2520"/>
      <c r="B397" s="2561"/>
      <c r="C397" s="2561"/>
    </row>
    <row r="398" ht="14.25" customHeight="1">
      <c r="A398" s="2520"/>
      <c r="B398" s="2561"/>
      <c r="C398" s="2561"/>
    </row>
    <row r="399" ht="14.25" customHeight="1">
      <c r="A399" s="2520"/>
      <c r="B399" s="2561"/>
      <c r="C399" s="2561"/>
    </row>
    <row r="400" ht="14.25" customHeight="1">
      <c r="A400" s="2520"/>
      <c r="B400" s="2561"/>
      <c r="C400" s="2561"/>
    </row>
    <row r="401" ht="14.25" customHeight="1">
      <c r="A401" s="2520"/>
      <c r="B401" s="2561"/>
      <c r="C401" s="2561"/>
    </row>
    <row r="402" ht="14.25" customHeight="1">
      <c r="A402" s="2520"/>
      <c r="B402" s="2561"/>
      <c r="C402" s="2561"/>
    </row>
    <row r="403" ht="14.25" customHeight="1">
      <c r="A403" s="2520"/>
      <c r="B403" s="2561"/>
      <c r="C403" s="2561"/>
    </row>
    <row r="404" ht="14.25" customHeight="1">
      <c r="A404" s="2520"/>
      <c r="B404" s="2561"/>
      <c r="C404" s="2561"/>
    </row>
    <row r="405" ht="14.25" customHeight="1">
      <c r="A405" s="2520"/>
      <c r="B405" s="2561"/>
      <c r="C405" s="2561"/>
    </row>
    <row r="406" ht="14.25" customHeight="1">
      <c r="A406" s="2520"/>
      <c r="B406" s="2561"/>
      <c r="C406" s="2561"/>
    </row>
    <row r="407" ht="14.25" customHeight="1">
      <c r="A407" s="2520"/>
      <c r="B407" s="2561"/>
      <c r="C407" s="2561"/>
    </row>
    <row r="408" ht="14.25" customHeight="1">
      <c r="A408" s="2520"/>
      <c r="B408" s="2561"/>
      <c r="C408" s="2561"/>
    </row>
    <row r="409" ht="14.25" customHeight="1">
      <c r="A409" s="2520"/>
      <c r="B409" s="2561"/>
      <c r="C409" s="2561"/>
    </row>
    <row r="410" ht="14.25" customHeight="1">
      <c r="A410" s="2520"/>
      <c r="B410" s="2561"/>
      <c r="C410" s="2561"/>
    </row>
    <row r="411" ht="14.25" customHeight="1">
      <c r="A411" s="2520"/>
      <c r="B411" s="2561"/>
      <c r="C411" s="2561"/>
    </row>
    <row r="412" ht="14.25" customHeight="1">
      <c r="A412" s="2520"/>
      <c r="B412" s="2561"/>
      <c r="C412" s="2561"/>
    </row>
  </sheetData>
  <sheetProtection formatCells="0" formatColumns="0" formatRows="0" insertColumns="0" insertRows="0" insertHyperlinks="0" deleteColumns="0" deleteRows="0" sort="0" autoFilter="0" pivotTables="0"/>
  <mergeCells>
    <mergeCell ref="B195:C195"/>
    <mergeCell ref="B4:C4"/>
    <mergeCell ref="B13:C13"/>
    <mergeCell ref="B15:C15"/>
    <mergeCell ref="B141:C141"/>
    <mergeCell ref="B144:C144"/>
    <mergeCell ref="B184:C184"/>
    <mergeCell ref="B186:C186"/>
    <mergeCell ref="B188:C188"/>
    <mergeCell ref="B190:C190"/>
    <mergeCell ref="B192:C192"/>
    <mergeCell ref="B194:C194"/>
    <mergeCell ref="B322:C322"/>
    <mergeCell ref="B324:C324"/>
    <mergeCell ref="B365:C365"/>
    <mergeCell ref="B367:C367"/>
    <mergeCell ref="B196:C196"/>
    <mergeCell ref="B197:C197"/>
    <mergeCell ref="B199:C199"/>
    <mergeCell ref="B221:C221"/>
    <mergeCell ref="B222:C222"/>
    <mergeCell ref="B273:C273"/>
    <mergeCell ref="B214:B217"/>
  </mergeCells>
  <conditionalFormatting sqref="C90:C92 B1:C89 B93:C138">
    <cfRule type="cellIs" dxfId="13" priority="3" operator="equal" text="null">
      <formula>"Please Select Loan Option on SBL Quotes Tab (Cell B42)"</formula>
    </cfRule>
  </conditionalFormatting>
  <conditionalFormatting sqref="Q37">
    <cfRule type="cellIs" dxfId="13" priority="2" operator="equal" text="null">
      <formula>"Please Select Loan Option on SBL Quotes Tab (Cell B42)"</formula>
    </cfRule>
  </conditionalFormatting>
  <conditionalFormatting sqref="C37">
    <cfRule type="cellIs" dxfId="48" priority="1" operator="equal" text="null">
      <formula>"Please choose a prepayment schedule in cell B56 on the SBL Quotes tab."</formula>
    </cfRule>
  </conditionalFormatting>
  <printOptions/>
  <pageMargins left="0.25" right="0.25" top="0.65" bottom="0.4" header="0.3" footer="0.3"/>
  <pageSetup paperSize="1" useFirstPageNumber="1" firstPageNumber="1" pageOrder="downThenOver" orientation="portrait"/>
  <headerFooter>
    <oddHeader>&amp;L&amp;C&amp;G&amp;R</oddHeader>
    <oddFooter>&amp;L&amp;8Issued On: &amp;D at &amp;T&amp;C&amp;R&amp;8&amp;P</oddFooter>
  </headerFooter>
  <rowBreaks count="5" manualBreakCount="5">
    <brk id="139" man="1" max="1048576"/>
    <brk id="183" man="1" max="1048576"/>
    <brk id="272" man="1" max="1048576"/>
    <brk id="321" man="1" max="1048576"/>
    <brk id="364" man="1" max="1048576"/>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1416193" name="button_PrintToPDF" r:id="rId4">
              <controlPr defaultSize="0" autoPict="0" print="0">
                <anchor moveWithCells="1" sizeWithCells="1">
                  <from>
                    <xdr:col>3</xdr:col>
                    <xdr:colOff>177832</xdr:colOff>
                    <xdr:row>0</xdr:row>
                    <xdr:rowOff>25432</xdr:rowOff>
                  </from>
                  <to>
                    <xdr:col>5</xdr:col>
                    <xdr:colOff>749332</xdr:colOff>
                    <xdr:row>3</xdr:row>
                    <xdr:rowOff>25432</xdr:rowOff>
                  </to>
                </anchor>
              </controlPr>
            </control>
          </mc:Choice>
        </mc:AlternateContent>
      </controls>
    </mc:Choice>
  </mc:AlternateConten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F85C4D6C-B813-E94A-1B66-A6E5532FBBA9}" mc:Ignorable="x14ac xr xr2 xr3">
  <dimension ref="A1:K8"/>
  <sheetViews>
    <sheetView topLeftCell="A1" workbookViewId="0">
      <selection activeCell="A1" sqref="A1"/>
    </sheetView>
  </sheetViews>
  <sheetFormatPr defaultRowHeight="15" defaultColWidth="0" customHeight="1"/>
  <cols>
    <col min="1" max="1" style="6" width="4.28125" customWidth="1"/>
    <col min="2" max="2" style="1" width="7.00390625" customWidth="1"/>
    <col min="3" max="3" style="2576" width="24.57421875" customWidth="1"/>
    <col min="4" max="4" style="2581" width="13.7109375" customWidth="1"/>
    <col min="5" max="5" style="2578" width="9.140625" customWidth="1"/>
    <col min="6" max="6" style="1620" width="9.140625" customWidth="1"/>
    <col min="7" max="7" style="1620" width="10.28125" customWidth="1"/>
    <col min="8" max="10" style="2582" width="13.7109375" customWidth="1"/>
    <col min="11" max="11" style="6" width="4.8515625" customWidth="1"/>
  </cols>
  <sheetData>
    <row r="2" ht="45" customHeight="1" s="2570" customFormat="1">
      <c r="B2" s="2571" t="s">
        <v>2266</v>
      </c>
      <c r="C2" s="2572" t="s">
        <v>2267</v>
      </c>
      <c r="D2" s="2573" t="s">
        <v>572</v>
      </c>
      <c r="E2" s="2574" t="s">
        <v>760</v>
      </c>
      <c r="F2" s="2571" t="s">
        <v>1225</v>
      </c>
      <c r="G2" s="2571" t="s">
        <v>2268</v>
      </c>
      <c r="H2" s="2575" t="s">
        <v>2269</v>
      </c>
      <c r="I2" s="2575" t="s">
        <v>883</v>
      </c>
      <c r="J2" s="2575" t="s">
        <v>2270</v>
      </c>
    </row>
    <row r="3" ht="15" customHeight="1" s="2570" customFormat="1">
      <c r="B3" s="1"/>
      <c r="C3" s="2576"/>
      <c r="D3" s="2577"/>
      <c r="E3" s="2578"/>
      <c r="F3" s="1620"/>
      <c r="G3" s="2579"/>
      <c r="H3" s="2580"/>
      <c r="I3" s="2580"/>
      <c r="J3" s="2580"/>
    </row>
    <row r="4" ht="15" customHeight="1" s="2570" customFormat="1">
      <c r="B4" s="1"/>
      <c r="C4" s="2576"/>
      <c r="D4" s="2577"/>
      <c r="E4" s="2578"/>
      <c r="F4" s="1620"/>
      <c r="G4" s="2579"/>
      <c r="H4" s="2580"/>
      <c r="I4" s="2580"/>
      <c r="J4" s="2580"/>
    </row>
    <row r="5" ht="15" customHeight="1" s="2570" customFormat="1">
      <c r="B5" s="1"/>
      <c r="C5" s="2576"/>
      <c r="D5" s="2577"/>
      <c r="E5" s="2578"/>
      <c r="F5" s="1620"/>
      <c r="G5" s="2579"/>
      <c r="H5" s="2580"/>
      <c r="I5" s="2580"/>
      <c r="J5" s="2580"/>
    </row>
    <row r="6" ht="15" customHeight="1" s="2570" customFormat="1">
      <c r="B6" s="1"/>
      <c r="C6" s="2576"/>
      <c r="D6" s="2577"/>
      <c r="E6" s="2578"/>
      <c r="F6" s="1620"/>
      <c r="G6" s="2579"/>
      <c r="H6" s="2580"/>
      <c r="I6" s="2580"/>
      <c r="J6" s="2580"/>
    </row>
    <row r="7" ht="15" customHeight="1" s="2570" customFormat="1">
      <c r="B7" s="1"/>
      <c r="C7" s="2576"/>
      <c r="D7" s="2577"/>
      <c r="E7" s="2578"/>
      <c r="F7" s="1620"/>
      <c r="G7" s="2579"/>
      <c r="H7" s="2580"/>
      <c r="I7" s="2580"/>
      <c r="J7" s="2580"/>
    </row>
    <row r="8" ht="15" customHeight="1">
      <c r="D8" s="2577"/>
      <c r="G8" s="2579"/>
      <c r="H8" s="2580"/>
      <c r="I8" s="2580"/>
      <c r="J8" s="2580"/>
    </row>
  </sheetData>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50E8B2-E941-6EDD-CFE5-E042BF0C529B}" mc:Ignorable="x14ac xr xr2 xr3">
  <sheetPr>
    <tabColor theme="5" tint="0.4"/>
  </sheetPr>
  <dimension ref="A1:C197"/>
  <sheetViews>
    <sheetView topLeftCell="A1" workbookViewId="0">
      <selection activeCell="A1" sqref="A1"/>
    </sheetView>
  </sheetViews>
  <sheetFormatPr defaultRowHeight="14.002500000000003" defaultColWidth="0" customHeight="1"/>
  <cols>
    <col min="1" max="1" style="2568" width="1.7109375" customWidth="1"/>
    <col min="2" max="2" style="2569" width="37.00390625" customWidth="1"/>
    <col min="3" max="3" style="2569" width="61.57421875" customWidth="1"/>
  </cols>
  <sheetData>
    <row r="1" ht="14.25" customHeight="1">
      <c r="A1" s="2520"/>
      <c r="B1" s="2521" t="s">
        <v>2271</v>
      </c>
      <c r="C1" s="2583">
        <f>TODAY()</f>
        <v>45201</v>
      </c>
    </row>
    <row r="2" ht="14.25" customHeight="1">
      <c r="A2" s="2520"/>
      <c r="B2" s="2521" t="s">
        <v>2272</v>
      </c>
      <c r="C2" s="2522"/>
    </row>
    <row r="3" ht="14.25" customHeight="1">
      <c r="A3" s="2520"/>
      <c r="B3" s="2524" t="s">
        <v>2273</v>
      </c>
      <c r="C3" s="2524"/>
    </row>
    <row r="4" ht="15" customHeight="1">
      <c r="A4" s="2520"/>
      <c r="B4" s="2525" t="s">
        <v>2274</v>
      </c>
      <c r="C4" s="2525"/>
    </row>
    <row r="5" ht="14.25" customHeight="1">
      <c r="A5" s="2520"/>
      <c r="B5" s="2525"/>
      <c r="C5" s="2525"/>
    </row>
    <row r="6" ht="14.25" customHeight="1">
      <c r="A6" s="2520"/>
      <c r="B6" s="2524" t="str">
        <f>"Dear "&amp;'SBL Quotes'!B64&amp;":"</f>
        <v>Dear XXXX:</v>
      </c>
      <c r="C6" s="2529"/>
    </row>
    <row r="7" ht="14.25" customHeight="1">
      <c r="A7" s="2520"/>
      <c r="B7" s="2521"/>
      <c r="C7" s="2524"/>
    </row>
    <row r="8" ht="64.5" customHeight="1">
      <c r="A8" s="2520"/>
      <c r="B8" s="2524" t="s">
        <v>2276</v>
      </c>
      <c r="C8" s="2524"/>
    </row>
    <row r="9" ht="14.25" customHeight="1">
      <c r="A9" s="2520"/>
      <c r="B9" s="2530"/>
      <c r="C9" s="2530"/>
    </row>
    <row r="10" ht="14.25" customHeight="1">
      <c r="A10" s="2520"/>
      <c r="B10" s="2521" t="s">
        <v>2277</v>
      </c>
      <c r="C10" s="2529" t="str">
        <f t="shared" si="0" ref="C10:C163">property_name</f>
        <v>XXXX</v>
      </c>
    </row>
    <row r="11" ht="14.25" customHeight="1">
      <c r="A11" s="2520"/>
      <c r="B11" s="2521" t="s">
        <v>2114</v>
      </c>
      <c r="C11" s="2524" t="str">
        <f>number_units&amp;" Units"</f>
        <v>101 Units</v>
      </c>
    </row>
    <row r="12" ht="14.25" customHeight="1">
      <c r="A12" s="2520"/>
      <c r="B12" s="2521" t="s">
        <v>2278</v>
      </c>
      <c r="C12" s="2524" t="str">
        <f>address&amp;", "&amp;'SBL Quotes'!B8&amp;" "&amp;SBL_ZipCode</f>
        <v>, City, XX XXXXX</v>
      </c>
    </row>
    <row r="13" ht="15" customHeight="1">
      <c r="A13" s="2520"/>
      <c r="B13" s="2530" t="s">
        <v>2118</v>
      </c>
      <c r="C13" s="2527" t="str">
        <f>'SBL Quotes'!B38</f>
        <v>Refinance</v>
      </c>
    </row>
    <row r="14" ht="14.25" customHeight="1">
      <c r="A14" s="2520"/>
      <c r="B14" s="2561"/>
      <c r="C14" s="2561"/>
    </row>
    <row r="15" ht="45" customHeight="1">
      <c r="A15" s="2520"/>
      <c r="B15" s="2524" t="s">
        <v>2279</v>
      </c>
      <c r="C15" s="2524"/>
    </row>
    <row r="16" ht="15" customHeight="1">
      <c r="A16" s="2520"/>
      <c r="B16" s="2526"/>
      <c r="C16" s="2526"/>
    </row>
    <row r="17" ht="15" customHeight="1">
      <c r="A17" s="2520"/>
      <c r="B17" s="2521" t="s">
        <v>2123</v>
      </c>
      <c r="C17" s="2584" cm="1" t="str">
        <f t="array" ref="C17">_xlfn.IFERROR(INDEX('SBL Quotes'!$R$7:$T$7,1,'SBL Quotes'!$B$54),"Please Select Loan Option on SBL Quotes Tab (Cell B42)")</f>
        <v>Please Select Loan Option on SBL Quotes Tab (Cell B42)</v>
      </c>
    </row>
    <row r="18" ht="14.25" customHeight="1">
      <c r="A18" s="2520"/>
      <c r="B18" s="2521"/>
      <c r="C18" s="2531"/>
    </row>
    <row r="19" ht="108" customHeight="1">
      <c r="A19" s="2532"/>
      <c r="B19" s="2521" t="s">
        <v>2280</v>
      </c>
      <c r="C19" s="2524" t="s">
        <v>2281</v>
      </c>
    </row>
    <row r="20" ht="14.25" customHeight="1">
      <c r="A20" s="2532"/>
      <c r="B20" s="2521"/>
      <c r="C20" s="2524"/>
    </row>
    <row r="21" ht="15" customHeight="1">
      <c r="A21" s="2532"/>
      <c r="B21" s="2521" t="s">
        <v>2128</v>
      </c>
      <c r="C21" s="2524" t="s">
        <v>293</v>
      </c>
    </row>
    <row r="22" ht="14.25" customHeight="1">
      <c r="A22" s="2532"/>
      <c r="B22" s="2524"/>
      <c r="C22" s="2525"/>
    </row>
    <row r="23" ht="15" customHeight="1">
      <c r="A23" s="2532"/>
      <c r="B23" s="2521" t="s">
        <v>2130</v>
      </c>
      <c r="C23" s="2524" cm="1" t="str">
        <f t="array" ref="C23">_xlfn.IFERROR(INDEX('SBL Quotes'!$R$6:$T$6,1,'SBL Quotes'!$B$54),"Please Select Loan Option on SBL Quotes Tab (Cell B42)")</f>
        <v>Please Select Loan Option on SBL Quotes Tab (Cell B42)</v>
      </c>
    </row>
    <row r="24" ht="14.25" customHeight="1">
      <c r="A24" s="2532"/>
      <c r="B24" s="2521"/>
      <c r="C24" s="2524"/>
    </row>
    <row r="25" ht="15" customHeight="1">
      <c r="A25" s="2532"/>
      <c r="B25" s="2521" t="s">
        <v>2131</v>
      </c>
      <c r="C25" s="2524" cm="1" t="str">
        <f t="array" ref="C25">_xlfn.NUMBERVALUE(TRIM(LEFT(_xlfn.IFERROR(INDEX('SBL Quotes'!$R$6:$T$6,1,'SBL Quotes'!$B$54),0),2)))*12&amp;" months"</f>
        <v>0 months</v>
      </c>
    </row>
    <row r="26" ht="14.25" customHeight="1">
      <c r="A26" s="2532"/>
      <c r="B26" s="2521"/>
      <c r="C26" s="2524"/>
    </row>
    <row r="27" ht="15" customHeight="1">
      <c r="A27" s="2532"/>
      <c r="B27" s="2521" t="s">
        <v>2133</v>
      </c>
      <c r="C27" s="2524" cm="1" t="str">
        <f t="array" ref="C27">_xlfn.NUMBERVALUE(TRIM(LEFT(_xlfn.IFERROR(INDEX('SBL Quotes'!$R$43:$T$43,1,'SBL Quotes'!$B$54),0),2)))*12&amp;" months; 360 months amortization thereafter"</f>
        <v>0 months; 360 months amortization thereafter</v>
      </c>
    </row>
    <row r="28" ht="14.25" customHeight="1">
      <c r="A28" s="2532"/>
      <c r="B28" s="2521"/>
      <c r="C28" s="2524"/>
    </row>
    <row r="29" ht="15" customHeight="1">
      <c r="A29" s="2532"/>
      <c r="B29" s="2521" t="s">
        <v>2134</v>
      </c>
      <c r="C29" s="2524" cm="1" t="str">
        <f t="array" ref="C29">_xlfn.NUMBERVALUE(TRIM(LEFT(_xlfn.IFERROR(INDEX('SBL Quotes'!$R$46:$T$46,1,'SBL Quotes'!$B$54),0),2)))*12&amp;" months; balance due at loan maturity."</f>
        <v>0 months; balance due at loan maturity.</v>
      </c>
    </row>
    <row r="30" ht="14.25" customHeight="1">
      <c r="A30" s="2532"/>
      <c r="B30" s="2521"/>
      <c r="C30" s="2524"/>
    </row>
    <row r="31" ht="15" customHeight="1">
      <c r="A31" s="2532"/>
      <c r="B31" s="2521" t="s">
        <v>2283</v>
      </c>
      <c r="C31" s="2524" cm="1" t="str">
        <f t="array" ref="C31">_xlfn.NUMBERVALUE(TRIM(LEFT(_xlfn.IFERROR(INDEX('SBL Quotes'!$R$6:$T$6,1,'SBL Quotes'!$B$54),0),2)))*12&amp;" months"</f>
        <v>0 months</v>
      </c>
    </row>
    <row r="32" ht="14.25" customHeight="1">
      <c r="A32" s="2532"/>
      <c r="B32" s="2521"/>
      <c r="C32" s="2524"/>
    </row>
    <row r="33" ht="135" customHeight="1">
      <c r="A33" s="2532"/>
      <c r="B33" s="2521" t="s">
        <v>2139</v>
      </c>
      <c r="C33" s="2524" t="s">
        <v>2284</v>
      </c>
    </row>
    <row r="34" ht="17.25" customHeight="1">
      <c r="A34" s="2532"/>
      <c r="B34" s="2521"/>
      <c r="C34" s="2525"/>
    </row>
    <row r="35" ht="14.25" customHeight="1">
      <c r="A35" s="2532"/>
      <c r="B35" s="2521"/>
      <c r="C35" s="2524"/>
    </row>
    <row r="36" ht="15" customHeight="1">
      <c r="A36" s="2532"/>
      <c r="B36" s="2521" t="s">
        <v>2141</v>
      </c>
      <c r="C36" s="2525" cm="1" t="str">
        <f t="array" ref="C36">_xlfn.IFERROR(TEXT(INDEX('SBL Quotes'!$R$14:$T$14,1,'SBL Quotes'!$B$54),"0.0%")&amp;Boilerplate!$D$9,"Please Select Loan Option on SBL Quotes Tab (Cell B42)")</f>
        <v>Please Select Loan Option on SBL Quotes Tab (Cell B42)</v>
      </c>
    </row>
    <row r="37" ht="14.25" customHeight="1">
      <c r="A37" s="2532"/>
      <c r="B37" s="2521"/>
      <c r="C37" s="2524"/>
    </row>
    <row r="38" ht="15" customHeight="1">
      <c r="A38" s="2532"/>
      <c r="B38" s="2521" t="s">
        <v>2142</v>
      </c>
      <c r="C38" s="2533" cm="1" t="str">
        <f t="array" ref="C38">_xlfn.IFERROR(TEXT(INDEX('SBL Quotes'!$R$13:$T$13,1,'SBL Quotes'!$B$54),"0.00")&amp;"x based on "&amp;INDEX('SBL Quotes'!$R$9:$T$9,1,'SBL Quotes'!$B$54)&amp;"-year amortization.","Please Select Loan Option on SBL Quotes Tab (Cell B42)")</f>
        <v>Please Select Loan Option on SBL Quotes Tab (Cell B42)</v>
      </c>
    </row>
    <row r="39" ht="14.25" customHeight="1">
      <c r="A39" s="2532"/>
      <c r="B39" s="2524"/>
      <c r="C39" s="2561"/>
    </row>
    <row r="40" ht="15" customHeight="1">
      <c r="A40" s="2520"/>
      <c r="B40" s="2585" t="s">
        <v>2285</v>
      </c>
      <c r="C40" s="2586" t="s">
        <v>2286</v>
      </c>
    </row>
    <row r="41" ht="90" customHeight="1">
      <c r="A41" s="2520"/>
      <c r="B41" s="2561"/>
      <c r="C41" s="2587" t="s">
        <v>2287</v>
      </c>
    </row>
    <row r="42" ht="14.25" customHeight="1">
      <c r="A42" s="2520"/>
      <c r="B42" s="2561"/>
      <c r="C42" s="2561"/>
    </row>
    <row r="43" ht="15" customHeight="1">
      <c r="A43" s="2520"/>
      <c r="B43" s="2585" t="s">
        <v>2145</v>
      </c>
      <c r="C43" s="2585" t="s">
        <v>2288</v>
      </c>
    </row>
    <row r="44" ht="45" customHeight="1">
      <c r="A44" s="2520"/>
      <c r="B44" s="2561"/>
      <c r="C44" s="2533" t="s">
        <v>2289</v>
      </c>
    </row>
    <row r="45" ht="14.25" customHeight="1">
      <c r="A45" s="2520"/>
      <c r="B45" s="2561"/>
      <c r="C45" s="2561"/>
    </row>
    <row r="46" ht="30" customHeight="1">
      <c r="A46" s="2520"/>
      <c r="B46" s="2585" t="s">
        <v>2147</v>
      </c>
      <c r="C46" s="2533" t="s">
        <v>2290</v>
      </c>
    </row>
    <row r="47" ht="14.25" customHeight="1">
      <c r="A47" s="2520"/>
      <c r="B47" s="2561"/>
      <c r="C47" s="2561"/>
    </row>
    <row r="48" ht="90" customHeight="1">
      <c r="A48" s="2520"/>
      <c r="B48" s="2585" t="s">
        <v>2149</v>
      </c>
      <c r="C48" s="2533" t="s">
        <v>2150</v>
      </c>
    </row>
    <row r="49" ht="14.25" customHeight="1">
      <c r="A49" s="2520"/>
      <c r="B49" s="2561"/>
      <c r="C49" s="2533"/>
    </row>
    <row r="50" ht="14.25" customHeight="1">
      <c r="A50" s="2520"/>
      <c r="B50" s="2585" t="s">
        <v>2163</v>
      </c>
      <c r="C50" s="2561"/>
    </row>
    <row r="51" ht="14.25" customHeight="1">
      <c r="A51" s="2520"/>
      <c r="B51" s="2588" t="s">
        <v>2291</v>
      </c>
      <c r="C51" s="2561" t="s">
        <v>2292</v>
      </c>
    </row>
    <row r="52" ht="15" customHeight="1">
      <c r="A52" s="2520"/>
      <c r="B52" s="2589" t="s">
        <v>2293</v>
      </c>
      <c r="C52" s="2561" t="s">
        <v>2292</v>
      </c>
    </row>
    <row r="53" ht="14.25" customHeight="1">
      <c r="A53" s="2520"/>
      <c r="B53" s="2588" t="s">
        <v>2294</v>
      </c>
      <c r="C53" s="2561" t="s">
        <v>2292</v>
      </c>
    </row>
    <row r="54" ht="14.25" customHeight="1">
      <c r="A54" s="2520"/>
      <c r="B54" s="2539" t="s">
        <v>2295</v>
      </c>
      <c r="C54" s="2561" t="s">
        <v>367</v>
      </c>
    </row>
    <row r="55" ht="15" customHeight="1">
      <c r="A55" s="2520"/>
      <c r="B55" s="2539" t="s">
        <v>2296</v>
      </c>
      <c r="C55" s="2524" t="s">
        <v>174</v>
      </c>
    </row>
    <row r="56" ht="14.25" customHeight="1">
      <c r="A56" s="2520"/>
      <c r="B56" s="2524"/>
      <c r="C56" s="2524"/>
    </row>
    <row r="57" ht="120" customHeight="1">
      <c r="A57" s="2520"/>
      <c r="B57" s="2521" t="s">
        <v>2297</v>
      </c>
      <c r="C57" s="2533" t="s">
        <v>2298</v>
      </c>
    </row>
    <row r="58" ht="14.25" customHeight="1">
      <c r="A58" s="2520"/>
      <c r="B58" s="2521"/>
      <c r="C58" s="2524"/>
    </row>
    <row r="59" ht="90" customHeight="1">
      <c r="A59" s="2520"/>
      <c r="B59" s="2521" t="s">
        <v>2168</v>
      </c>
      <c r="C59" s="2524" t="s">
        <v>2299</v>
      </c>
    </row>
    <row r="60" ht="14.25" customHeight="1">
      <c r="A60" s="2520"/>
      <c r="B60" s="2521"/>
      <c r="C60" s="2524"/>
    </row>
    <row r="61" ht="45" customHeight="1">
      <c r="A61" s="2520"/>
      <c r="B61" s="2521" t="s">
        <v>2170</v>
      </c>
      <c r="C61" s="2525" t="s">
        <v>2300</v>
      </c>
    </row>
    <row r="62" ht="14.25" customHeight="1">
      <c r="A62" s="2520"/>
      <c r="B62" s="2521"/>
      <c r="C62" s="2524"/>
    </row>
    <row r="63" ht="30" customHeight="1">
      <c r="A63" s="2520"/>
      <c r="B63" s="2521" t="s">
        <v>2172</v>
      </c>
      <c r="C63" s="2524" t="s">
        <v>2301</v>
      </c>
    </row>
    <row r="64" ht="14.25" customHeight="1">
      <c r="A64" s="2520"/>
      <c r="B64" s="2524"/>
      <c r="C64" s="2524"/>
    </row>
    <row r="65" ht="75" customHeight="1">
      <c r="A65" s="2520"/>
      <c r="B65" s="2521" t="s">
        <v>2174</v>
      </c>
      <c r="C65" s="2524" t="s">
        <v>2302</v>
      </c>
    </row>
    <row r="66" ht="14.25" customHeight="1">
      <c r="A66" s="2520"/>
      <c r="B66" s="2524"/>
      <c r="C66" s="2524"/>
    </row>
    <row r="67" ht="14.25" customHeight="1">
      <c r="A67" s="2520"/>
      <c r="B67" s="2521" t="s">
        <v>2303</v>
      </c>
      <c r="C67" s="2540">
        <v>15000</v>
      </c>
    </row>
    <row r="68" ht="199.5" customHeight="1">
      <c r="A68" s="2520"/>
      <c r="B68" s="2520"/>
      <c r="C68" s="2524" t="s">
        <v>2304</v>
      </c>
    </row>
    <row r="69" ht="14.25" customHeight="1">
      <c r="A69" s="2520"/>
      <c r="B69" s="2561"/>
      <c r="C69" s="2526"/>
    </row>
    <row r="70" ht="105" customHeight="1">
      <c r="A70" s="2520"/>
      <c r="B70" s="2585" t="s">
        <v>2305</v>
      </c>
      <c r="C70" s="2524" t="s">
        <v>2182</v>
      </c>
    </row>
    <row r="71" ht="14.25" customHeight="1">
      <c r="A71" s="2520"/>
      <c r="B71" s="2561"/>
      <c r="C71" s="2526"/>
    </row>
    <row r="72" ht="15" customHeight="1">
      <c r="A72" s="2520"/>
      <c r="B72" s="2585" t="s">
        <v>2183</v>
      </c>
      <c r="C72" s="2524" t="s">
        <v>2306</v>
      </c>
    </row>
    <row r="73" ht="14.25" customHeight="1">
      <c r="A73" s="2520"/>
      <c r="B73" s="2561"/>
      <c r="C73" s="2526"/>
    </row>
    <row r="74" ht="33" customHeight="1">
      <c r="A74" s="2520"/>
      <c r="B74" s="2585" t="s">
        <v>2307</v>
      </c>
      <c r="C74" s="2524" t="s">
        <v>2308</v>
      </c>
    </row>
    <row r="75" ht="14.25" customHeight="1">
      <c r="A75" s="2520"/>
      <c r="B75" s="2561"/>
      <c r="C75" s="2526"/>
    </row>
    <row r="76" ht="30" customHeight="1">
      <c r="A76" s="2520"/>
      <c r="B76" s="2585" t="s">
        <v>2309</v>
      </c>
      <c r="C76" s="2524" t="s">
        <v>2310</v>
      </c>
    </row>
    <row r="77" ht="14.25" customHeight="1">
      <c r="A77" s="2520"/>
      <c r="B77" s="2561"/>
      <c r="C77" s="2524"/>
    </row>
    <row r="78" ht="48" customHeight="1">
      <c r="A78" s="2520"/>
      <c r="B78" s="2585" t="s">
        <v>2189</v>
      </c>
      <c r="C78" s="2524" t="s">
        <v>2311</v>
      </c>
    </row>
    <row r="79" ht="14.25" customHeight="1">
      <c r="A79" s="2520"/>
      <c r="B79" s="2585"/>
      <c r="C79" s="2533"/>
    </row>
    <row r="80" ht="30" customHeight="1">
      <c r="A80" s="2520"/>
      <c r="B80" s="2520"/>
      <c r="C80" s="2524" t="s">
        <v>2312</v>
      </c>
    </row>
    <row r="81" ht="14.25" customHeight="1">
      <c r="A81" s="2520"/>
      <c r="B81" s="2520"/>
      <c r="C81" s="2520"/>
    </row>
    <row r="82" ht="15" customHeight="1">
      <c r="A82" s="2520"/>
      <c r="B82" s="2520"/>
      <c r="C82" s="2544" cm="1" t="str">
        <f t="array" ref="C82">_xlfn.IFERROR("o   Key Principal/Guarantor(s) to provide personal financial statement and corresponding Real Estate Owned Schedule evidencing minimum net worth of approximately "&amp;DOLLAR(INDEX('SBL Quotes'!$R$7:$T$7,1,'SBL Quotes'!$B$54),0),"Please Select Loan Option on SBL Quotes Tab (Cell B42)")</f>
        <v>Please Select Loan Option on SBL Quotes Tab (Cell B42)</v>
      </c>
    </row>
    <row r="83" ht="14.25" customHeight="1">
      <c r="A83" s="2520"/>
      <c r="B83" s="2520"/>
      <c r="C83" s="2590"/>
    </row>
    <row r="84" ht="45" customHeight="1">
      <c r="A84" s="2520"/>
      <c r="B84" s="2520"/>
      <c r="C84" s="2544" t="s">
        <v>2313</v>
      </c>
    </row>
    <row r="85" ht="14.25" customHeight="1">
      <c r="A85" s="2520"/>
      <c r="B85" s="2520"/>
      <c r="C85" s="2520"/>
    </row>
    <row r="86" ht="45" customHeight="1">
      <c r="A86" s="2520"/>
      <c r="B86" s="2520"/>
      <c r="C86" s="2524" t="str">
        <f>"Current sizing is based on a minimum net rental income (NRI) of "&amp;DOLLAR(_xlfn.SINGLE(NRI)/12,0)&amp;"/month or "&amp;DOLLAR(_xlfn.SINGLE(NRI),0)&amp;"/annualized prior to rate lock. NRI must exclude rent premiums attributed to park owned homes, if applicable."</f>
        <v>Current sizing is based on a minimum net rental income (NRI) of $119,366/month or $1,432,397/annualized prior to rate lock. NRI must exclude rent premiums attributed to park owned homes, if applicable.</v>
      </c>
    </row>
    <row r="87" ht="14.25" customHeight="1">
      <c r="A87" s="2520"/>
      <c r="B87" s="2520"/>
      <c r="C87" s="2533"/>
    </row>
    <row r="88" ht="45" customHeight="1">
      <c r="A88" s="2520"/>
      <c r="B88" s="2520"/>
      <c r="C88" s="2524" t="s">
        <v>2315</v>
      </c>
    </row>
    <row r="89" ht="14.25" customHeight="1">
      <c r="A89" s="2520"/>
      <c r="B89" s="2520"/>
      <c r="C89" s="2533"/>
    </row>
    <row r="90" ht="30" customHeight="1">
      <c r="A90" s="2520"/>
      <c r="B90" s="2520"/>
      <c r="C90" s="2524" t="str">
        <f>"Current sizing based on UW NCF "&amp;DOLLAR(HOps_NetCashFlow-HOps_CapExps,0)&amp;"/annually subject to appraisal, engineering and market support."</f>
        <v>Current sizing based on UW NCF ($1,742,202)/annually subject to appraisal, engineering and market support.</v>
      </c>
    </row>
    <row r="91" ht="14.25" customHeight="1">
      <c r="A91" s="2520"/>
      <c r="B91" s="2520"/>
      <c r="C91" s="2533"/>
    </row>
    <row r="92" ht="15" customHeight="1">
      <c r="A92" s="2520"/>
      <c r="B92" s="2520"/>
      <c r="C92" s="2524" t="s">
        <v>2317</v>
      </c>
    </row>
    <row r="93" ht="14.25" customHeight="1">
      <c r="A93" s="2520"/>
      <c r="B93" s="2520"/>
      <c r="C93" s="2520"/>
    </row>
    <row r="94" ht="15" customHeight="1">
      <c r="A94" s="2520"/>
      <c r="B94" s="2520"/>
      <c r="C94" s="2524" t="s">
        <v>2318</v>
      </c>
    </row>
    <row r="95" ht="14.25" customHeight="1">
      <c r="A95" s="2520"/>
      <c r="B95" s="2520"/>
      <c r="C95" s="2521"/>
    </row>
    <row r="96" ht="15" customHeight="1">
      <c r="A96" s="2520"/>
      <c r="B96" s="2520"/>
      <c r="C96" s="2524" t="s">
        <v>2319</v>
      </c>
    </row>
    <row r="97" ht="14.25" customHeight="1">
      <c r="A97" s="2520"/>
      <c r="B97" s="2520"/>
      <c r="C97" s="2529"/>
    </row>
    <row r="98" ht="15" customHeight="1">
      <c r="A98" s="2520"/>
      <c r="B98" s="2520"/>
      <c r="C98" s="2524" t="s">
        <v>2320</v>
      </c>
    </row>
    <row r="99" ht="14.25" customHeight="1">
      <c r="A99" s="2520"/>
      <c r="B99" s="2520"/>
      <c r="C99" s="2529"/>
    </row>
    <row r="100" ht="30" customHeight="1">
      <c r="A100" s="2520"/>
      <c r="B100" s="2520"/>
      <c r="C100" s="2524" t="s">
        <v>2321</v>
      </c>
    </row>
    <row r="101" ht="14.25" customHeight="1">
      <c r="A101" s="2520"/>
      <c r="B101" s="2520"/>
      <c r="C101" s="2529"/>
    </row>
    <row r="102" ht="30" customHeight="1">
      <c r="A102" s="2520"/>
      <c r="B102" s="2520"/>
      <c r="C102" s="2524" t="s">
        <v>2322</v>
      </c>
    </row>
    <row r="103" ht="14.25" customHeight="1">
      <c r="A103" s="2520"/>
      <c r="B103" s="2520"/>
      <c r="C103" s="2529"/>
    </row>
    <row r="104" ht="30" customHeight="1">
      <c r="A104" s="2520"/>
      <c r="B104" s="2520"/>
      <c r="C104" s="2524" t="s">
        <v>2323</v>
      </c>
    </row>
    <row r="105" ht="14.25" customHeight="1">
      <c r="A105" s="2520"/>
      <c r="B105" s="2520"/>
      <c r="C105" s="2524"/>
    </row>
    <row r="106" ht="30" customHeight="1">
      <c r="A106" s="2520"/>
      <c r="B106" s="2520"/>
      <c r="C106" s="2524" t="s">
        <v>2324</v>
      </c>
    </row>
    <row r="107" ht="14.25" customHeight="1">
      <c r="A107" s="2520"/>
      <c r="B107" s="2520"/>
      <c r="C107" s="2524"/>
    </row>
    <row r="108" ht="15" customHeight="1">
      <c r="A108" s="2520"/>
      <c r="B108" s="2548" t="s">
        <v>2210</v>
      </c>
      <c r="C108" s="2540"/>
    </row>
    <row r="109" ht="89.25" customHeight="1">
      <c r="A109" s="2520"/>
      <c r="B109" s="2525" t="s">
        <v>2325</v>
      </c>
      <c r="C109" s="2525"/>
    </row>
    <row r="110" ht="14.25" customHeight="1">
      <c r="A110" s="2520"/>
      <c r="B110" s="2561"/>
      <c r="C110" s="2524"/>
    </row>
    <row r="111" ht="30" customHeight="1">
      <c r="A111" s="2520"/>
      <c r="B111" s="2585" t="s">
        <v>2202</v>
      </c>
      <c r="C111" s="2524" t="s">
        <v>2326</v>
      </c>
    </row>
    <row r="112" ht="14.25" customHeight="1">
      <c r="A112" s="2520"/>
      <c r="B112" s="2524"/>
      <c r="C112" s="2524"/>
    </row>
    <row r="113" ht="15" customHeight="1">
      <c r="A113" s="2520"/>
      <c r="B113" s="2520"/>
      <c r="C113" s="2524" t="s">
        <v>2327</v>
      </c>
    </row>
    <row r="114" ht="14.25" customHeight="1">
      <c r="A114" s="2520"/>
      <c r="B114" s="2524"/>
      <c r="C114" s="2524"/>
    </row>
    <row r="115" ht="30" customHeight="1">
      <c r="A115" s="2520"/>
      <c r="B115" s="2521"/>
      <c r="C115" s="2524" t="s">
        <v>2328</v>
      </c>
    </row>
    <row r="116" ht="14.25" customHeight="1">
      <c r="A116" s="2520"/>
      <c r="B116" s="2521"/>
      <c r="C116" s="2524"/>
    </row>
    <row r="117" ht="30" customHeight="1">
      <c r="A117" s="2520"/>
      <c r="B117" s="2543"/>
      <c r="C117" s="2524" t="s">
        <v>2329</v>
      </c>
    </row>
    <row r="118" ht="14.25" customHeight="1">
      <c r="A118" s="2520"/>
      <c r="B118" s="2529"/>
      <c r="C118" s="2524"/>
    </row>
    <row r="119" ht="14.25" customHeight="1">
      <c r="A119" s="2520"/>
      <c r="B119" s="2521"/>
      <c r="C119" s="2520" t="s">
        <v>2330</v>
      </c>
    </row>
    <row r="120" ht="14.25" customHeight="1">
      <c r="A120" s="2520"/>
      <c r="B120" s="2521"/>
      <c r="C120" s="2520" t="s">
        <v>2331</v>
      </c>
    </row>
    <row r="121" ht="14.25" customHeight="1">
      <c r="A121" s="2520"/>
      <c r="B121" s="2524"/>
      <c r="C121" s="2520" t="s">
        <v>2332</v>
      </c>
    </row>
    <row r="122" ht="15" customHeight="1">
      <c r="A122" s="2520"/>
      <c r="B122" s="2524" t="s">
        <v>2333</v>
      </c>
      <c r="C122" s="2520" t="s">
        <v>2334</v>
      </c>
    </row>
    <row r="123" ht="14.25" customHeight="1">
      <c r="A123" s="2520"/>
      <c r="B123" s="2524"/>
      <c r="C123" s="2526"/>
    </row>
    <row r="124" ht="60" customHeight="1">
      <c r="A124" s="2520"/>
      <c r="B124" s="2524"/>
      <c r="C124" s="2524" t="s">
        <v>2335</v>
      </c>
    </row>
    <row r="125" ht="14.25" customHeight="1">
      <c r="A125" s="2520"/>
      <c r="B125" s="2524"/>
      <c r="C125" s="2526"/>
    </row>
    <row r="126" ht="30" customHeight="1">
      <c r="A126" s="2520"/>
      <c r="B126" s="2524"/>
      <c r="C126" s="2524" t="s">
        <v>2336</v>
      </c>
    </row>
    <row r="127" ht="14.25" customHeight="1">
      <c r="A127" s="2520"/>
      <c r="B127" s="2524"/>
      <c r="C127" s="2524"/>
    </row>
    <row r="128" ht="14.25" customHeight="1">
      <c r="A128" s="2520"/>
      <c r="B128" s="2561"/>
      <c r="C128" s="2591" t="s">
        <v>2337</v>
      </c>
    </row>
    <row r="129" ht="14.25" customHeight="1">
      <c r="A129" s="2520"/>
      <c r="B129" s="2561"/>
      <c r="C129" s="2591"/>
    </row>
    <row r="130" ht="60" customHeight="1">
      <c r="A130" s="2520"/>
      <c r="B130" s="2561"/>
      <c r="C130" s="2524" t="s">
        <v>2205</v>
      </c>
    </row>
    <row r="131" ht="14.25" customHeight="1">
      <c r="A131" s="2520"/>
      <c r="B131" s="2561"/>
      <c r="C131" s="2524"/>
    </row>
    <row r="132" ht="14.25" customHeight="1">
      <c r="A132" s="2520"/>
      <c r="B132" s="2524"/>
      <c r="C132" s="2591" t="s">
        <v>2337</v>
      </c>
    </row>
    <row r="133" ht="14.25" customHeight="1">
      <c r="A133" s="2520"/>
      <c r="B133" s="2561"/>
      <c r="C133" s="2526"/>
    </row>
    <row r="134" ht="75" customHeight="1">
      <c r="A134" s="2520"/>
      <c r="B134" s="2561"/>
      <c r="C134" s="2524" t="s">
        <v>2338</v>
      </c>
    </row>
    <row r="135" ht="14.25" customHeight="1">
      <c r="A135" s="2520"/>
      <c r="B135" s="2561"/>
      <c r="C135" s="2591" t="s">
        <v>2337</v>
      </c>
    </row>
    <row r="136" ht="30" customHeight="1">
      <c r="A136" s="2520"/>
      <c r="B136" s="2561"/>
      <c r="C136" s="2524"/>
    </row>
    <row r="137" ht="14.25" customHeight="1">
      <c r="A137" s="2520"/>
      <c r="B137" s="2592" t="s">
        <v>2213</v>
      </c>
      <c r="C137" s="2592"/>
    </row>
    <row r="138" ht="14.25" customHeight="1">
      <c r="A138" s="2520"/>
      <c r="B138" s="2561"/>
      <c r="C138" s="2524"/>
    </row>
    <row r="139" ht="124.5" customHeight="1">
      <c r="A139" s="2520"/>
      <c r="B139" s="2525" t="s">
        <v>2339</v>
      </c>
      <c r="C139" s="2525"/>
    </row>
    <row r="140" ht="14.25" customHeight="1">
      <c r="A140" s="2520"/>
      <c r="B140" s="2561"/>
      <c r="C140" s="2524"/>
    </row>
    <row r="141" ht="29.25" customHeight="1">
      <c r="A141" s="2520"/>
      <c r="B141" s="2525" t="s">
        <v>2215</v>
      </c>
      <c r="C141" s="2525"/>
    </row>
    <row r="142" ht="14.25" customHeight="1">
      <c r="A142" s="2520"/>
      <c r="B142" s="2561"/>
      <c r="C142" s="2524"/>
    </row>
    <row r="143" ht="63.75" customHeight="1">
      <c r="A143" s="2520"/>
      <c r="B143" s="2525" t="s">
        <v>2216</v>
      </c>
      <c r="C143" s="2525"/>
    </row>
    <row r="144" ht="14.25" customHeight="1">
      <c r="A144" s="2520"/>
      <c r="B144" s="2561"/>
      <c r="C144" s="2524"/>
    </row>
    <row r="145" ht="31.5" customHeight="1">
      <c r="A145" s="2520"/>
      <c r="B145" s="2525" t="s">
        <v>2217</v>
      </c>
      <c r="C145" s="2525"/>
    </row>
    <row r="146" ht="14.25" customHeight="1">
      <c r="A146" s="2520"/>
      <c r="B146" s="2561"/>
      <c r="C146" s="2524"/>
    </row>
    <row r="147" ht="14.25" customHeight="1">
      <c r="A147" s="2520"/>
      <c r="B147" s="2593" t="s">
        <v>2340</v>
      </c>
      <c r="C147" s="2593"/>
    </row>
    <row r="148" ht="14.25" customHeight="1">
      <c r="A148" s="2520"/>
      <c r="B148" s="2593"/>
      <c r="C148" s="2593"/>
    </row>
    <row r="149" ht="14.25" customHeight="1">
      <c r="A149" s="2520"/>
      <c r="B149" s="2588" t="s">
        <v>2341</v>
      </c>
      <c r="C149" s="2588"/>
    </row>
    <row r="150" ht="14.25" customHeight="1">
      <c r="A150" s="2520"/>
      <c r="B150" s="2539" t="s">
        <v>2220</v>
      </c>
      <c r="C150" s="2539"/>
    </row>
    <row r="151" ht="14.25" customHeight="1">
      <c r="A151" s="2520"/>
      <c r="B151" s="2539" t="str">
        <f>"3. Signed credit authorizations for each Key Principal/Guarantor by "&amp;TEXT(WORKDAY(C1,3),"MM/DD/YYYY")&amp;" to the below account:"</f>
        <v>3. Signed credit authorizations for each Key Principal/Guarantor by 10/05/2023 to the below account:</v>
      </c>
      <c r="C151" s="2539"/>
    </row>
    <row r="152" ht="14.25" customHeight="1">
      <c r="A152" s="2520"/>
      <c r="B152" s="2521"/>
      <c r="C152" s="2524"/>
    </row>
    <row r="153" ht="14.25" customHeight="1">
      <c r="A153" s="2520"/>
      <c r="B153" s="2551" t="s">
        <v>2222</v>
      </c>
      <c r="C153" s="2551"/>
    </row>
    <row r="154" ht="14.25" customHeight="1">
      <c r="A154" s="2520"/>
      <c r="B154" s="2547"/>
      <c r="C154" s="2524"/>
    </row>
    <row r="155" ht="15" customHeight="1">
      <c r="A155" s="2520"/>
      <c r="B155" s="2521" t="s">
        <v>2223</v>
      </c>
      <c r="C155" s="2521" t="s">
        <v>2224</v>
      </c>
    </row>
    <row r="156" ht="15" customHeight="1">
      <c r="A156" s="2520"/>
      <c r="B156" s="2521" t="s">
        <v>2225</v>
      </c>
      <c r="C156" s="2521" t="s">
        <v>2343</v>
      </c>
    </row>
    <row r="157" ht="15" customHeight="1">
      <c r="A157" s="2520"/>
      <c r="B157" s="2521" t="s">
        <v>2225</v>
      </c>
      <c r="C157" s="2521" t="s">
        <v>2227</v>
      </c>
    </row>
    <row r="158" ht="15" customHeight="1">
      <c r="A158" s="2520"/>
      <c r="B158" s="2521" t="s">
        <v>2228</v>
      </c>
      <c r="C158" s="2521"/>
    </row>
    <row r="159" ht="14.25" customHeight="1">
      <c r="A159" s="2520"/>
      <c r="B159" s="2548"/>
      <c r="C159" s="2585"/>
    </row>
    <row r="160" ht="15" customHeight="1">
      <c r="A160" s="2520"/>
      <c r="B160" s="2530" t="s">
        <v>2344</v>
      </c>
      <c r="C160" s="2530" t="s">
        <v>2230</v>
      </c>
    </row>
    <row r="161" ht="15" customHeight="1">
      <c r="A161" s="2520"/>
      <c r="B161" s="2521" t="s">
        <v>2345</v>
      </c>
      <c r="C161" s="2521" t="s">
        <v>186</v>
      </c>
    </row>
    <row r="162" ht="14.25" customHeight="1">
      <c r="A162" s="2520"/>
      <c r="B162" s="2543" t="s">
        <v>2346</v>
      </c>
      <c r="C162" s="2543"/>
    </row>
    <row r="163" ht="14.25" customHeight="1">
      <c r="A163" s="2520"/>
      <c r="B163" s="2543" t="s">
        <v>2347</v>
      </c>
      <c r="C163" s="2543" t="str">
        <f t="shared" si="0"/>
        <v>XXXX</v>
      </c>
    </row>
    <row r="164" ht="14.25" customHeight="1">
      <c r="A164" s="2520"/>
      <c r="B164" s="2525"/>
      <c r="C164" s="2525"/>
    </row>
    <row r="165" ht="36.75" customHeight="1">
      <c r="A165" s="2520"/>
      <c r="B165" s="2529" t="s">
        <v>2234</v>
      </c>
      <c r="C165" s="2529"/>
    </row>
    <row r="166" ht="15" customHeight="1">
      <c r="A166" s="2520"/>
      <c r="B166" s="2525" t="s">
        <v>2235</v>
      </c>
      <c r="C166" s="2525"/>
    </row>
    <row r="167" ht="35.25" customHeight="1">
      <c r="A167" s="2520"/>
      <c r="B167" s="2559" t="str">
        <f>'SBL Quotes'!B58</f>
        <v>Select</v>
      </c>
      <c r="C167" s="2524"/>
    </row>
    <row r="168" ht="14.25" customHeight="1">
      <c r="A168" s="2520"/>
      <c r="B168" s="2529" t="str">
        <f>'SBL Quotes'!B59</f>
        <v>Select Producer Above</v>
      </c>
      <c r="C168" s="2525"/>
    </row>
    <row r="169" ht="14.25" customHeight="1">
      <c r="A169" s="2520"/>
      <c r="B169" s="2529"/>
      <c r="C169" s="2524"/>
    </row>
    <row r="170" ht="14.25" customHeight="1">
      <c r="A170" s="2520"/>
      <c r="B170" s="2529"/>
      <c r="C170" s="2529"/>
    </row>
    <row r="171" ht="14.25" customHeight="1">
      <c r="A171" s="2520"/>
      <c r="B171" s="2529"/>
      <c r="C171" s="2529"/>
    </row>
    <row r="172" ht="14.25" customHeight="1">
      <c r="A172" s="2520"/>
      <c r="B172" s="2529"/>
      <c r="C172" s="2529"/>
    </row>
    <row r="173" ht="14.25" customHeight="1">
      <c r="A173" s="2520"/>
      <c r="B173" s="2529" t="s">
        <v>2348</v>
      </c>
      <c r="C173" s="2529"/>
    </row>
    <row r="174" ht="14.25" customHeight="1">
      <c r="A174" s="2520"/>
      <c r="B174" s="2524"/>
      <c r="C174" s="2524"/>
    </row>
    <row r="175" ht="14.25" customHeight="1">
      <c r="A175" s="2520"/>
      <c r="B175" s="2543" t="s">
        <v>2349</v>
      </c>
      <c r="C175" s="2524"/>
    </row>
    <row r="176" ht="14.25" customHeight="1">
      <c r="A176" s="2520"/>
      <c r="B176" s="2524"/>
      <c r="C176" s="2524"/>
    </row>
    <row r="177" ht="14.25" customHeight="1">
      <c r="A177" s="2520"/>
      <c r="B177" s="2543" t="s">
        <v>2350</v>
      </c>
      <c r="C177" s="2524"/>
    </row>
    <row r="178" ht="14.25" customHeight="1">
      <c r="A178" s="2520"/>
      <c r="B178" s="2524"/>
      <c r="C178" s="2524"/>
    </row>
    <row r="179" ht="14.25" customHeight="1">
      <c r="A179" s="2520"/>
      <c r="B179" s="2521" t="s">
        <v>2351</v>
      </c>
      <c r="C179" s="2521"/>
    </row>
    <row r="180" ht="14.25" customHeight="1">
      <c r="A180" s="2520"/>
      <c r="B180" s="2521" t="s">
        <v>2352</v>
      </c>
      <c r="C180" s="2521"/>
    </row>
    <row r="181" ht="14.25" customHeight="1">
      <c r="A181" s="2520"/>
      <c r="B181" s="2529" t="s">
        <v>2353</v>
      </c>
      <c r="C181" s="2529"/>
    </row>
    <row r="182" ht="14.25" customHeight="1">
      <c r="A182" s="2520"/>
      <c r="B182" s="2529" t="s">
        <v>2354</v>
      </c>
      <c r="C182" s="2529"/>
    </row>
    <row r="183" ht="14.25" customHeight="1">
      <c r="A183" s="2520"/>
      <c r="B183" s="2529" t="s">
        <v>2355</v>
      </c>
      <c r="C183" s="2529"/>
    </row>
    <row r="184" ht="14.25" customHeight="1">
      <c r="A184" s="2520"/>
      <c r="B184" s="2529" t="s">
        <v>2356</v>
      </c>
      <c r="C184" s="2529"/>
    </row>
    <row r="185" ht="14.25" customHeight="1">
      <c r="A185" s="2520"/>
      <c r="B185" s="2521"/>
      <c r="C185" s="2543"/>
    </row>
    <row r="186" ht="15" customHeight="1">
      <c r="A186" s="2520"/>
      <c r="B186" s="2521" t="s">
        <v>2357</v>
      </c>
      <c r="C186" s="2524"/>
    </row>
    <row r="187" ht="14.25" customHeight="1">
      <c r="A187" s="2520"/>
      <c r="B187" s="2529" t="s">
        <v>2353</v>
      </c>
      <c r="C187" s="2529"/>
    </row>
    <row r="188" ht="14.25" customHeight="1">
      <c r="A188" s="2520"/>
      <c r="B188" s="2529" t="s">
        <v>2354</v>
      </c>
      <c r="C188" s="2529"/>
    </row>
    <row r="189" ht="14.25" customHeight="1">
      <c r="A189" s="2520"/>
      <c r="B189" s="2529" t="s">
        <v>2355</v>
      </c>
      <c r="C189" s="2529"/>
    </row>
    <row r="190" ht="14.25" customHeight="1">
      <c r="A190" s="2520"/>
      <c r="B190" s="2529" t="s">
        <v>2356</v>
      </c>
      <c r="C190" s="2529"/>
    </row>
    <row r="191" ht="14.25" customHeight="1">
      <c r="A191" s="2520"/>
      <c r="B191" s="2524"/>
      <c r="C191" s="2524"/>
    </row>
    <row r="192" ht="15" customHeight="1">
      <c r="A192" s="2520"/>
      <c r="B192" s="2521" t="s">
        <v>2358</v>
      </c>
      <c r="C192" s="2524"/>
    </row>
    <row r="193" ht="14.25" customHeight="1">
      <c r="A193" s="2520"/>
      <c r="B193" s="2529" t="s">
        <v>2353</v>
      </c>
      <c r="C193" s="2529"/>
    </row>
    <row r="194" ht="14.25" customHeight="1">
      <c r="A194" s="2520"/>
      <c r="B194" s="2529" t="s">
        <v>2354</v>
      </c>
      <c r="C194" s="2529"/>
    </row>
    <row r="195" ht="14.25" customHeight="1">
      <c r="A195" s="2520"/>
      <c r="B195" s="2529" t="s">
        <v>2355</v>
      </c>
      <c r="C195" s="2529"/>
    </row>
    <row r="196" ht="14.25" customHeight="1">
      <c r="A196" s="2520"/>
      <c r="B196" s="2529" t="s">
        <v>2356</v>
      </c>
      <c r="C196" s="2529"/>
    </row>
    <row r="197" ht="14.25" customHeight="1">
      <c r="A197" s="2520"/>
      <c r="B197" s="2529"/>
      <c r="C197" s="2529"/>
    </row>
  </sheetData>
  <sheetProtection formatCells="0" formatColumns="0" formatRows="0" insertColumns="0" insertRows="0" insertHyperlinks="0" deleteColumns="0" deleteRows="0" sort="0" autoFilter="0" pivotTables="0"/>
  <mergeCells>
    <mergeCell ref="B141:C141"/>
    <mergeCell ref="B8:C8"/>
    <mergeCell ref="B15:C15"/>
    <mergeCell ref="B109:C109"/>
    <mergeCell ref="B137:C137"/>
    <mergeCell ref="B139:C139"/>
    <mergeCell ref="B184:C184"/>
    <mergeCell ref="B143:C143"/>
    <mergeCell ref="B145:C145"/>
    <mergeCell ref="B147:C147"/>
    <mergeCell ref="B149:C149"/>
    <mergeCell ref="B150:C150"/>
    <mergeCell ref="B151:C151"/>
    <mergeCell ref="B153:C153"/>
    <mergeCell ref="B165:C165"/>
    <mergeCell ref="B181:C181"/>
    <mergeCell ref="B182:C182"/>
    <mergeCell ref="B183:C183"/>
    <mergeCell ref="B168:B171"/>
    <mergeCell ref="B195:C195"/>
    <mergeCell ref="B196:C196"/>
    <mergeCell ref="B187:C187"/>
    <mergeCell ref="B188:C188"/>
    <mergeCell ref="B189:C189"/>
    <mergeCell ref="B190:C190"/>
    <mergeCell ref="B193:C193"/>
    <mergeCell ref="B194:C194"/>
  </mergeCells>
  <conditionalFormatting sqref="B13 B10:C12 B34:C49 B50:B54 B55:C67 C68 B69:C79 C80 C82 C84 C94:C107 B109 B108:C108 B124 B140:C140 B138:C138 B137 B142:C142 B144:C144 B146:C146 B152:C152 B147:B151 B154:C157 B153 C86:C92 B110:C112 C113 B114:C123 B1:C7 B125:C136">
    <cfRule type="cellIs" dxfId="13" priority="17" operator="equal" text="null">
      <formula>"Please Select Loan Option on SBL Quotes Tab (Cell B42)"</formula>
    </cfRule>
  </conditionalFormatting>
  <conditionalFormatting sqref="B17:C18 B20:C20 B19 B30:C32 B29 B28:C28 B27 B26:C26 B25 B24:C24 B23 B22:C22 B21 B33">
    <cfRule type="cellIs" dxfId="13" priority="16" operator="equal" text="null">
      <formula>"Please Select Loan Option on SBL Quotes Tab (Cell B42)"</formula>
    </cfRule>
  </conditionalFormatting>
  <conditionalFormatting sqref="C13">
    <cfRule type="cellIs" dxfId="13" priority="15" operator="equal" text="null">
      <formula>"Please Select Loan Option on SBL Quotes Tab (Cell B42)"</formula>
    </cfRule>
  </conditionalFormatting>
  <conditionalFormatting sqref="B15:C15">
    <cfRule type="cellIs" dxfId="13" priority="13" operator="equal" text="null">
      <formula>"Please Select Loan Option on SBL Quotes Tab (Cell B42)"</formula>
    </cfRule>
  </conditionalFormatting>
  <conditionalFormatting sqref="C19">
    <cfRule type="cellIs" dxfId="13" priority="14" operator="equal" text="null">
      <formula>"Please Select Loan Option on SBL Quotes Tab (Cell B42)"</formula>
    </cfRule>
  </conditionalFormatting>
  <conditionalFormatting sqref="B8:C8">
    <cfRule type="cellIs" dxfId="13" priority="12" operator="equal" text="null">
      <formula>"Please Select Loan Option on SBL Quotes Tab (Cell B42)"</formula>
    </cfRule>
  </conditionalFormatting>
  <conditionalFormatting sqref="C29">
    <cfRule type="cellIs" dxfId="13" priority="11" operator="equal" text="null">
      <formula>"Please Select Loan Option on SBL Quotes Tab (Cell B42)"</formula>
    </cfRule>
  </conditionalFormatting>
  <conditionalFormatting sqref="C27">
    <cfRule type="cellIs" dxfId="13" priority="10" operator="equal" text="null">
      <formula>"Please Select Loan Option on SBL Quotes Tab (Cell B42)"</formula>
    </cfRule>
  </conditionalFormatting>
  <conditionalFormatting sqref="C25">
    <cfRule type="cellIs" dxfId="13" priority="9" operator="equal" text="null">
      <formula>"Please Select Loan Option on SBL Quotes Tab (Cell B42)"</formula>
    </cfRule>
  </conditionalFormatting>
  <conditionalFormatting sqref="C23">
    <cfRule type="cellIs" dxfId="13" priority="8" operator="equal" text="null">
      <formula>"Please Select Loan Option on SBL Quotes Tab (Cell B42)"</formula>
    </cfRule>
  </conditionalFormatting>
  <conditionalFormatting sqref="C21">
    <cfRule type="cellIs" dxfId="13" priority="7" operator="equal" text="null">
      <formula>"Please Select Loan Option on SBL Quotes Tab (Cell B42)"</formula>
    </cfRule>
  </conditionalFormatting>
  <conditionalFormatting sqref="C33">
    <cfRule type="cellIs" dxfId="13" priority="6" operator="equal" text="null">
      <formula>"Please Select Loan Option on SBL Quotes Tab (Cell B42)"</formula>
    </cfRule>
  </conditionalFormatting>
  <conditionalFormatting sqref="C124">
    <cfRule type="cellIs" dxfId="13" priority="5" operator="equal" text="null">
      <formula>"Please Select Loan Option on SBL Quotes Tab (Cell B42)"</formula>
    </cfRule>
  </conditionalFormatting>
  <conditionalFormatting sqref="B139">
    <cfRule type="cellIs" dxfId="13" priority="4" operator="equal" text="null">
      <formula>"Please Select Loan Option on SBL Quotes Tab (Cell B42)"</formula>
    </cfRule>
  </conditionalFormatting>
  <conditionalFormatting sqref="B141">
    <cfRule type="cellIs" dxfId="13" priority="3" operator="equal" text="null">
      <formula>"Please Select Loan Option on SBL Quotes Tab (Cell B42)"</formula>
    </cfRule>
  </conditionalFormatting>
  <conditionalFormatting sqref="B143">
    <cfRule type="cellIs" dxfId="13" priority="2" operator="equal" text="null">
      <formula>"Please Select Loan Option on SBL Quotes Tab (Cell B42)"</formula>
    </cfRule>
  </conditionalFormatting>
  <conditionalFormatting sqref="B145">
    <cfRule type="cellIs" dxfId="13" priority="1" operator="equal" text="null">
      <formula>"Please Select Loan Option on SBL Quotes Tab (Cell B42)"</formula>
    </cfRule>
  </conditionalFormatting>
  <printOptions/>
  <pageMargins left="0.25" right="0.25" top="0.75" bottom="0.75" header="0.3" footer="0.3"/>
  <pageSetup paperSize="1" useFirstPageNumber="1" firstPageNumber="1" pageOrder="downThenOver" orientation="portrait"/>
  <headerFooter>
    <oddHeader>&amp;L&amp;C&amp;G&amp;R</oddHeader>
    <oddFooter>&amp;L&amp;8Issued On: &amp;D at &amp;T&amp;C&amp;R&amp;8&amp;P</oddFooter>
  </headerFooter>
  <rowBreaks count="2" manualBreakCount="2">
    <brk id="107" man="1" max="1048576"/>
    <brk id="136" man="1" max="1048576"/>
  </rowBreaks>
  <legacyDrawingHF r:id="rId1"/>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F716A211-71A1-5F5F-9971-B607CBDADBF9}" mc:Ignorable="x14ac xr xr2 xr3">
  <sheetPr>
    <tabColor theme="8" tint="0"/>
  </sheetPr>
  <dimension ref="A1:O90"/>
  <sheetViews>
    <sheetView topLeftCell="I1" workbookViewId="0">
      <selection activeCell="I1" sqref="I1"/>
    </sheetView>
  </sheetViews>
  <sheetFormatPr defaultRowHeight="15" defaultColWidth="8.8515625" customHeight="1" outlineLevelCol="1"/>
  <cols>
    <col min="1" max="1" style="2605" width="10.57421875" hidden="1" customWidth="1" outlineLevel="1"/>
    <col min="2" max="2" style="2605" width="12.57421875" hidden="1" customWidth="1" outlineLevel="1"/>
    <col min="3" max="3" style="2605" width="13.57421875" hidden="1" customWidth="1" outlineLevel="1"/>
    <col min="4" max="4" style="21" width="11.8515625" hidden="1" customWidth="1" outlineLevel="1"/>
    <col min="5" max="5" style="2605" width="20.57421875" hidden="1" customWidth="1" outlineLevel="1"/>
    <col min="6" max="6" style="2605" width="6.00390625" hidden="1" customWidth="1" outlineLevel="1"/>
    <col min="7" max="7" style="2605" width="10.28125" hidden="1" customWidth="1" outlineLevel="1"/>
    <col min="8" max="8" style="2605" width="10.57421875" hidden="1" customWidth="1" outlineLevel="1"/>
    <col min="9" max="9" style="2605" width="5.28125" collapsed="1" customWidth="1"/>
    <col min="10" max="10" style="21" width="41.7109375" customWidth="1"/>
    <col min="11" max="11" style="2598" width="46.57421875" customWidth="1"/>
    <col min="12" max="12" style="2626" width="10.28125" customWidth="1"/>
    <col min="13" max="13" style="2605" width="32.00390625" customWidth="1"/>
    <col min="14" max="14" style="2605" width="8.8515625" customWidth="1"/>
    <col min="15" max="15" style="2605" width="11.140625" customWidth="1"/>
  </cols>
  <sheetData>
    <row r="1" ht="15" customHeight="1">
      <c r="A1" s="2594" t="s">
        <v>2359</v>
      </c>
      <c r="B1" s="2594"/>
      <c r="C1" s="2594"/>
      <c r="D1" s="1156">
        <f>_xlfn.IFERROR(COUNTA(D3:D67)*(1-AVERAGEA(D3:D67)),1)</f>
        <v>1</v>
      </c>
      <c r="E1" s="2595" t="s">
        <v>2360</v>
      </c>
      <c r="G1" s="2596" t="s">
        <v>2361</v>
      </c>
      <c r="H1" s="2596"/>
      <c r="I1" s="2597"/>
      <c r="J1" s="1438" t="s">
        <v>2362</v>
      </c>
      <c r="K1" s="2598" t="str">
        <f>_xlfn.IFERROR(MATCH("Selected",'SBL Quotes'!$E$23:$P$23,0),"&lt;No FRE Option Selected&gt;")</f>
        <v>&lt;No FRE Option Selected&gt;</v>
      </c>
    </row>
    <row r="2" ht="15" customHeight="1">
      <c r="A2" s="2599" t="s">
        <v>2364</v>
      </c>
      <c r="B2" s="2599" t="s">
        <v>2365</v>
      </c>
      <c r="C2" s="2599" t="s">
        <v>2366</v>
      </c>
      <c r="D2" s="2600" t="s">
        <v>2367</v>
      </c>
      <c r="E2" s="2601"/>
      <c r="G2" s="2596" t="s">
        <v>2368</v>
      </c>
      <c r="H2" s="2596" t="s">
        <v>2369</v>
      </c>
      <c r="J2" s="2602" t="s">
        <v>2370</v>
      </c>
      <c r="K2" s="2603" t="s">
        <v>2371</v>
      </c>
      <c r="L2" s="2604"/>
    </row>
    <row r="3" ht="15" customHeight="1">
      <c r="C3" s="2605" t="b">
        <v>1</v>
      </c>
      <c r="D3" s="21" t="b">
        <f>AND(LEN(B2BLink_ZipCode=5),B2BLink_ZipCode&lt;&gt;"XXXXX",ISNUMBER(VALUE(B2BLink_ZipCode)))</f>
        <v>0</v>
      </c>
      <c r="J3" s="1934" t="s">
        <v>298</v>
      </c>
      <c r="K3" s="2606" t="str">
        <f>SBL_ZipCode</f>
        <v>XXXXX</v>
      </c>
      <c r="L3" s="2607"/>
    </row>
    <row r="4" ht="15" customHeight="1">
      <c r="C4" s="2605" t="b">
        <v>1</v>
      </c>
      <c r="D4" s="21" t="b">
        <f>AND(LEN(B2BLink_PropertyName)&gt;=3,B2BLink_PropertyName&lt;&gt;"XXXX",B2BLink_PropertyName&lt;&gt;"TBD")</f>
        <v>0</v>
      </c>
      <c r="J4" s="1934" t="s">
        <v>265</v>
      </c>
      <c r="K4" s="2606" t="str">
        <f>property_name</f>
        <v>XXXX</v>
      </c>
      <c r="L4" s="2607"/>
    </row>
    <row r="5" ht="15" customHeight="1">
      <c r="C5" s="2605" t="b">
        <v>1</v>
      </c>
      <c r="D5" s="21" t="b">
        <f>AND(LEN(K5)&gt;=3,K5&lt;&gt;"XXXX")</f>
        <v>0</v>
      </c>
      <c r="J5" s="1934" t="s">
        <v>273</v>
      </c>
      <c r="K5" s="2606">
        <f>address</f>
      </c>
    </row>
    <row r="6" ht="15" customHeight="1">
      <c r="B6" s="2605">
        <v>5</v>
      </c>
      <c r="C6" s="2605" t="b">
        <v>1</v>
      </c>
      <c r="D6" s="21" t="b">
        <f>B2BLink_NumberOfUnits&gt;=B6</f>
        <v>1</v>
      </c>
      <c r="J6" s="1934" t="s">
        <v>2372</v>
      </c>
      <c r="K6" s="2606">
        <f>number_units</f>
        <v>101</v>
      </c>
    </row>
    <row r="7" ht="15" customHeight="1">
      <c r="A7" s="2605">
        <v>1900</v>
      </c>
      <c r="B7" s="2605" cm="1">
        <f t="array" ref="B7">ThisYear</f>
        <v>2023</v>
      </c>
      <c r="C7" s="2605" t="b">
        <v>1</v>
      </c>
      <c r="D7" s="21" cm="1" t="b">
        <f t="array" ref="D7">IF(C7,_xlfn.LET(_xlpm.InputYear,K7,_xlpm.OldestYear,A7,AND(_xlpm.InputYear&lt;&gt;"XXXX",_xlpm.InputYear&gt;=_xlpm.OldestYear,_xlpm.InputYear&lt;=ThisYear)),"")</f>
        <v>0</v>
      </c>
      <c r="J7" s="1934" t="s">
        <v>660</v>
      </c>
      <c r="K7" s="2606" t="str">
        <f>SBL_YearBuilt</f>
        <v>XXXX</v>
      </c>
      <c r="M7" s="2608" t="s">
        <v>2373</v>
      </c>
    </row>
    <row r="8" ht="15" customHeight="1">
      <c r="A8" s="2609">
        <f t="shared" si="1" ref="A8:A58">B8-365</f>
        <v>44837</v>
      </c>
      <c r="B8" s="2609">
        <f t="shared" si="2" ref="B8:B58">TODAY()+1</f>
        <v>45202</v>
      </c>
      <c r="C8" s="2605" t="b">
        <v>1</v>
      </c>
      <c r="D8" s="2610" t="b">
        <f t="shared" si="3" ref="D8:D58">IF(ISNUMBER(K8),AND(K8&gt;=A8,K8&lt;=B8),FALSE)</f>
        <v>0</v>
      </c>
      <c r="J8" s="1934" t="s">
        <v>666</v>
      </c>
      <c r="K8" s="2611">
        <f>SBL_DatePriced</f>
        <v>0</v>
      </c>
      <c r="L8" s="2612"/>
      <c r="M8" s="2613" t="s">
        <v>2374</v>
      </c>
    </row>
    <row r="9" ht="15" customHeight="1">
      <c r="C9" s="2605" t="b">
        <v>1</v>
      </c>
      <c r="D9" s="21" t="b">
        <f>AND(LEN(K9)&gt;0,RIGHT(K9,9)&lt;&gt;"Not Found")</f>
        <v>0</v>
      </c>
      <c r="J9" s="1934" t="s">
        <v>283</v>
      </c>
      <c r="K9" s="2606" t="str">
        <f>IF(OR(LEN(SblQuotes_County)=0,SblQuotes_County="XXXX"),"",SblQuotes_County)</f>
        <v>County not found</v>
      </c>
      <c r="M9" s="2614" cm="1" t="str">
        <f t="array" ref="M9">IF(LEN(EnodoConfig_FreddieMacLoanId)&gt;0,"FRE Loan Id# "&amp;EnodoConfig_FreddieMacLoanId,"New Loan")</f>
        <v>New Loan</v>
      </c>
    </row>
    <row r="10" ht="15" customHeight="1">
      <c r="C10" s="2605" t="b">
        <v>1</v>
      </c>
      <c r="D10" s="21" t="b">
        <f>AND(LEN(K10)&gt;=3,RIGHT(K10,9)&lt;&gt;"Not Found",K10&lt;&gt;"City")</f>
        <v>0</v>
      </c>
      <c r="J10" s="1934" t="s">
        <v>279</v>
      </c>
      <c r="K10" s="2606" t="str">
        <f>LEFT(SblQuotes_CityState,FIND(",",SblQuotes_CityState)-1)</f>
        <v>City</v>
      </c>
      <c r="L10" s="2607"/>
    </row>
    <row r="11" ht="15.75" customHeight="1">
      <c r="C11" s="2605" t="b">
        <v>1</v>
      </c>
      <c r="D11" s="21" t="b">
        <f>AND(LEN(K11)=2,K11&lt;&gt;"XX")</f>
        <v>0</v>
      </c>
      <c r="J11" s="2615" t="s">
        <v>289</v>
      </c>
      <c r="K11" s="2616" t="str">
        <f>RIGHT(SblQuotes_CityState,2)</f>
        <v>XX</v>
      </c>
      <c r="L11" s="2607"/>
    </row>
    <row r="12" ht="15" customHeight="1">
      <c r="C12" s="2605" t="b">
        <v>1</v>
      </c>
      <c r="J12" s="702" t="s">
        <v>2376</v>
      </c>
      <c r="K12" s="2617" t="s">
        <v>2377</v>
      </c>
      <c r="L12" s="2607"/>
    </row>
    <row r="13" ht="15" customHeight="1">
      <c r="C13" s="2605" t="b">
        <v>1</v>
      </c>
      <c r="G13" s="2618"/>
      <c r="J13" s="702" t="s">
        <v>2378</v>
      </c>
      <c r="K13" s="2619">
        <v>0</v>
      </c>
    </row>
    <row r="14" ht="15" customHeight="1">
      <c r="C14" s="2605" t="b">
        <v>1</v>
      </c>
      <c r="J14" s="702" t="s">
        <v>2379</v>
      </c>
      <c r="K14" s="2620" t="s">
        <v>840</v>
      </c>
      <c r="M14" s="2621" t="s">
        <v>2380</v>
      </c>
    </row>
    <row r="15" ht="15" customHeight="1">
      <c r="C15" s="2605" t="b">
        <v>1</v>
      </c>
      <c r="J15" s="702" t="s">
        <v>2381</v>
      </c>
      <c r="K15" s="2620" t="s">
        <v>174</v>
      </c>
      <c r="L15" s="2607"/>
    </row>
    <row r="16" ht="15" customHeight="1">
      <c r="C16" s="2605" t="b">
        <v>1</v>
      </c>
      <c r="J16" s="702" t="s">
        <v>2382</v>
      </c>
      <c r="K16" s="2606" t="s">
        <v>174</v>
      </c>
      <c r="L16" s="2607"/>
      <c r="M16" s="2622" t="s">
        <v>2383</v>
      </c>
    </row>
    <row r="17" ht="15" customHeight="1">
      <c r="C17" s="2605" t="b">
        <v>1</v>
      </c>
      <c r="J17" s="702" t="s">
        <v>390</v>
      </c>
      <c r="K17" s="2620" t="s">
        <v>293</v>
      </c>
      <c r="L17" s="2607"/>
    </row>
    <row r="18" ht="15" customHeight="1">
      <c r="C18" s="2605" t="b">
        <v>1</v>
      </c>
      <c r="J18" s="702" t="s">
        <v>1453</v>
      </c>
      <c r="K18" s="2620" t="s">
        <v>384</v>
      </c>
      <c r="M18" s="2608"/>
    </row>
    <row r="19" ht="15" customHeight="1">
      <c r="C19" s="2605" t="b">
        <v>1</v>
      </c>
      <c r="J19" s="702" t="s">
        <v>2384</v>
      </c>
      <c r="K19" s="2620">
        <v>1</v>
      </c>
    </row>
    <row r="20" ht="15" customHeight="1">
      <c r="C20" s="2605" t="b">
        <v>1</v>
      </c>
      <c r="J20" s="702" t="s">
        <v>2385</v>
      </c>
      <c r="K20" s="2623">
        <v>0.0025</v>
      </c>
    </row>
    <row r="21" ht="15" customHeight="1">
      <c r="C21" s="2605" t="b">
        <v>1</v>
      </c>
      <c r="J21" s="702" t="s">
        <v>2386</v>
      </c>
      <c r="K21" s="2623">
        <v>0.02</v>
      </c>
    </row>
    <row r="22" ht="15" customHeight="1">
      <c r="C22" s="2605" t="b">
        <v>1</v>
      </c>
      <c r="J22" s="702" t="s">
        <v>2387</v>
      </c>
      <c r="K22" s="2624" t="s">
        <v>2388</v>
      </c>
    </row>
    <row r="23" ht="15" customHeight="1">
      <c r="C23" s="2605" t="b">
        <v>1</v>
      </c>
      <c r="J23" s="702" t="s">
        <v>2389</v>
      </c>
      <c r="K23" s="2606" t="s">
        <v>2390</v>
      </c>
      <c r="L23" s="2618" t="s">
        <v>2391</v>
      </c>
    </row>
    <row r="24" ht="15" customHeight="1">
      <c r="C24" s="2605" t="b">
        <v>1</v>
      </c>
      <c r="J24" s="702" t="s">
        <v>201</v>
      </c>
      <c r="K24" s="2606" t="s">
        <v>202</v>
      </c>
      <c r="L24" s="2618"/>
    </row>
    <row r="25" ht="15" customHeight="1">
      <c r="C25" s="2605" t="b">
        <v>1</v>
      </c>
      <c r="J25" s="702" t="s">
        <v>2392</v>
      </c>
      <c r="K25" s="2620" t="s">
        <v>174</v>
      </c>
      <c r="L25" s="2618" t="s">
        <v>2391</v>
      </c>
    </row>
    <row r="26" ht="15" customHeight="1">
      <c r="C26" s="2605" t="b">
        <v>1</v>
      </c>
      <c r="J26" s="1934" t="s">
        <v>2393</v>
      </c>
      <c r="K26" s="2606" t="s">
        <v>174</v>
      </c>
      <c r="L26" s="2618" t="s">
        <v>2391</v>
      </c>
    </row>
    <row r="27" ht="15" customHeight="1">
      <c r="C27" s="2605" t="b">
        <v>1</v>
      </c>
      <c r="J27" s="702" t="s">
        <v>2394</v>
      </c>
      <c r="K27" s="2620" t="s">
        <v>174</v>
      </c>
      <c r="L27" s="2618"/>
    </row>
    <row r="28" ht="15" customHeight="1">
      <c r="C28" s="2605" t="b">
        <v>1</v>
      </c>
      <c r="J28" s="702" t="s">
        <v>2395</v>
      </c>
      <c r="K28" s="2606" t="s">
        <v>174</v>
      </c>
      <c r="L28" s="2618" t="s">
        <v>2391</v>
      </c>
    </row>
    <row r="29" ht="15" customHeight="1">
      <c r="C29" s="2605" t="b">
        <v>1</v>
      </c>
      <c r="D29" s="21" cm="1" t="e">
        <f t="array" ref="D29">ISVALIDEMAILADDRESS(K29)</f>
        <v>#NAME?</v>
      </c>
      <c r="J29" s="1934" t="s">
        <v>2396</v>
      </c>
      <c r="K29" s="2625" t="s">
        <v>2397</v>
      </c>
      <c r="L29" s="2618"/>
    </row>
    <row r="30" ht="15" customHeight="1">
      <c r="C30" s="2605" t="b">
        <v>1</v>
      </c>
      <c r="D30" s="21" cm="1" t="e">
        <f t="array" ref="D30">ISVALIDEMAILADDRESS(K30)</f>
        <v>#NAME?</v>
      </c>
      <c r="J30" s="1934" t="s">
        <v>2398</v>
      </c>
      <c r="K30" s="2606" t="str">
        <f>_xlfn.LET(_xlpm.firstNameInitial,LOWER(LEFT(ProducerName,1)),_xlpm.lastName,LOWER(RIGHT(ProducerName,LEN(ProducerName)-SEARCH(" ",ProducerName,1))),_xlfn.IFERROR(_xlpm.firstNameInitial&amp;_xlpm.lastName,"")&amp;"@walkerdunlop.com")</f>
        <v>@walkerdunlop.com</v>
      </c>
      <c r="L30" s="2618"/>
      <c r="O30" s="2626"/>
    </row>
    <row r="31" ht="15" customHeight="1">
      <c r="C31" s="2605" t="b">
        <v>1</v>
      </c>
      <c r="D31" s="21" t="b">
        <f>D40</f>
        <v>0</v>
      </c>
      <c r="J31" s="1934" t="s">
        <v>2399</v>
      </c>
      <c r="K31" s="2627" t="str">
        <f>SBL_DealPurpose</f>
        <v>Refinance</v>
      </c>
      <c r="L31" s="2618"/>
    </row>
    <row r="32" ht="15" customHeight="1">
      <c r="C32" s="2605" t="b">
        <v>1</v>
      </c>
      <c r="G32" s="2628"/>
      <c r="J32" s="702" t="s">
        <v>2400</v>
      </c>
      <c r="K32" s="2629" t="e">
        <f>K34-K48</f>
        <v>#NAME?</v>
      </c>
      <c r="L32" s="2618"/>
      <c r="N32" s="2630"/>
    </row>
    <row r="33" ht="15" customHeight="1">
      <c r="C33" s="2605" t="b">
        <v>1</v>
      </c>
      <c r="G33" s="2631"/>
      <c r="J33" s="1934" t="s">
        <v>220</v>
      </c>
      <c r="K33" s="2632" cm="1" t="e">
        <f t="array" ref="K33">GETSELECTEDFREDDIEQUOTEVALUE('SBL Quotes'!$D46)</f>
        <v>#NAME?</v>
      </c>
      <c r="L33" s="2618"/>
    </row>
    <row r="34" ht="15" customHeight="1">
      <c r="A34" s="2605">
        <v>1</v>
      </c>
      <c r="B34" s="2605">
        <v>360</v>
      </c>
      <c r="C34" s="2605" t="b">
        <v>1</v>
      </c>
      <c r="D34" s="21" t="e">
        <f t="shared" si="0" ref="D34:D64">IF(C34,LEFT(K34,6)&lt;&gt;"Select","")</f>
        <v>#NAME?</v>
      </c>
      <c r="G34" s="2631"/>
      <c r="J34" s="702" t="s">
        <v>2401</v>
      </c>
      <c r="K34" s="2629" t="e">
        <f>K33*12</f>
        <v>#NAME?</v>
      </c>
      <c r="L34" s="2618"/>
    </row>
    <row r="35" ht="15" customHeight="1">
      <c r="C35" s="2605" t="b">
        <v>1</v>
      </c>
      <c r="G35" s="2628"/>
      <c r="J35" s="1934" t="s">
        <v>633</v>
      </c>
      <c r="K35" s="2633" cm="1" t="e">
        <f t="array" ref="K35">ROUND(GETSELECTEDFREDDIEQUOTEVALUE('SBL Quotes'!$D69),0)</f>
        <v>#NAME?</v>
      </c>
      <c r="L35" s="2618"/>
    </row>
    <row r="36" ht="15" customHeight="1">
      <c r="C36" s="2605" t="b">
        <v>1</v>
      </c>
      <c r="G36" s="2631"/>
      <c r="J36" s="1934" t="s">
        <v>650</v>
      </c>
      <c r="K36" s="2633" cm="1" t="e">
        <f t="array" ref="K36">ROUND(GETSELECTEDFREDDIEQUOTEVALUE('SBL Quotes'!$D70),0)</f>
        <v>#NAME?</v>
      </c>
      <c r="L36" s="2618"/>
    </row>
    <row r="37" ht="15" customHeight="1">
      <c r="C37" s="2605" t="b">
        <v>1</v>
      </c>
      <c r="G37" s="2618"/>
      <c r="J37" s="702" t="s">
        <v>2402</v>
      </c>
      <c r="K37" s="2624" t="e">
        <f>_xlfn.LET(_xlpm.loanProduct,K55,_xlpm.loanTerm,TRIM(LEFT(_xlpm.loanProduct,2)),IF(_xlpm.loanTerm="5","5-yr UST",IF(_xlpm.loanTerm="7","7-yr Interp. UST","10-yr UST")))</f>
        <v>#NAME?</v>
      </c>
    </row>
    <row r="38" ht="15" customHeight="1">
      <c r="C38" s="2605" t="b">
        <v>1</v>
      </c>
      <c r="G38" s="2626"/>
      <c r="J38" s="1934" t="s">
        <v>2403</v>
      </c>
      <c r="K38" s="2634" t="str">
        <f>'SBL Quotes'!B31</f>
        <v>No</v>
      </c>
      <c r="L38" s="2618"/>
    </row>
    <row r="39" ht="15" customHeight="1">
      <c r="C39" s="2605" t="b">
        <v>1</v>
      </c>
      <c r="G39" s="2626"/>
      <c r="J39" s="1934" t="s">
        <v>807</v>
      </c>
      <c r="K39" s="2634">
        <f>'SBL Quotes'!B40</f>
        <v>0.05</v>
      </c>
      <c r="L39" s="2618"/>
    </row>
    <row r="40" ht="15" customHeight="1">
      <c r="A40" s="2605">
        <v>0</v>
      </c>
      <c r="C40" s="2605" t="b">
        <v>1</v>
      </c>
      <c r="D40" s="21" t="b">
        <f>IF(K31="Acquisition",K40=0,K40&gt;0)</f>
        <v>0</v>
      </c>
      <c r="G40" s="2626"/>
      <c r="J40" s="1934" t="s">
        <v>2404</v>
      </c>
      <c r="K40" s="2633">
        <f>'SBL Quotes'!AK32</f>
        <v>0</v>
      </c>
      <c r="L40" s="2618"/>
    </row>
    <row r="41" ht="15" customHeight="1">
      <c r="C41" s="2605" t="b">
        <v>1</v>
      </c>
      <c r="J41" s="1934" t="s">
        <v>681</v>
      </c>
      <c r="K41" s="2635" cm="1" t="e">
        <f t="array" ref="K41">GETSELECTEDFREDDIEQUOTEVALUE('SBL Quotes'!$D68)</f>
        <v>#NAME?</v>
      </c>
      <c r="L41" s="2618"/>
    </row>
    <row r="42" ht="15" customHeight="1">
      <c r="C42" s="2605" t="b">
        <v>1</v>
      </c>
      <c r="G42" s="2626"/>
      <c r="J42" s="1934" t="s">
        <v>2405</v>
      </c>
      <c r="K42" s="2606" cm="1" t="e">
        <f t="array" ref="K42">GETSELECTEDFREDDIEQUOTEVALUE('SBL Quotes'!$D47)</f>
        <v>#NAME?</v>
      </c>
      <c r="L42" s="2618"/>
    </row>
    <row r="43" ht="15" customHeight="1">
      <c r="C43" s="2605" t="b">
        <v>1</v>
      </c>
      <c r="G43" s="2618"/>
      <c r="J43" s="702" t="s">
        <v>2406</v>
      </c>
      <c r="K43" s="2620" t="e">
        <f>_xlfn.LET(_xlpm.loanProduct,TRIM(K55),IF(RIGHT(_xlpm.loanProduct,6)="Hybrid","Fixed-to-Float","N/A"))</f>
        <v>#NAME?</v>
      </c>
      <c r="L43" s="2618"/>
    </row>
    <row r="44" ht="15" customHeight="1">
      <c r="C44" s="2605" t="b">
        <v>1</v>
      </c>
      <c r="G44" s="2636"/>
      <c r="J44" s="702" t="s">
        <v>2407</v>
      </c>
      <c r="K44" s="2637" cm="1" t="e">
        <f t="array" ref="K44">IF(K43&lt;&gt;"Fixed-to-Float",0,20-GETSELECTEDFREDDIEQUOTEVALUE('SBL Quotes'!$D98))</f>
        <v>#NAME?</v>
      </c>
    </row>
    <row r="45" ht="15" customHeight="1">
      <c r="C45" s="2605" t="b">
        <v>1</v>
      </c>
      <c r="G45" s="2626"/>
      <c r="J45" s="1934" t="s">
        <v>788</v>
      </c>
      <c r="K45" s="2638" cm="1" t="e">
        <f t="array" ref="K45">GETSELECTEDFREDDIEQUOTEVALUE('SBL Quotes'!$D34)</f>
        <v>#NAME?</v>
      </c>
    </row>
    <row r="46" ht="15" customHeight="1">
      <c r="C46" s="2605" t="b">
        <v>1</v>
      </c>
      <c r="D46" s="21" t="e">
        <f t="shared" si="0"/>
        <v>#NAME?</v>
      </c>
      <c r="G46" s="2639"/>
      <c r="J46" s="702" t="s">
        <v>2408</v>
      </c>
      <c r="K46" s="2623" t="e">
        <f>K62</f>
        <v>#NAME?</v>
      </c>
      <c r="L46" s="2618"/>
    </row>
    <row r="47" ht="15" customHeight="1">
      <c r="C47" s="2605" t="b">
        <v>1</v>
      </c>
      <c r="G47" s="2639"/>
      <c r="J47" s="702" t="s">
        <v>1612</v>
      </c>
      <c r="K47" s="2640" t="e">
        <f>IF(K37="5-yr UST",'SBL Quotes'!$BA$5,IF(K37="10-yr UST",'SBL Quotes'!$BC$5,'SBL Quotes'!$BB$5))</f>
        <v>#NAME?</v>
      </c>
      <c r="L47" s="2618"/>
    </row>
    <row r="48" ht="15" customHeight="1">
      <c r="C48" s="2605" t="b">
        <v>1</v>
      </c>
      <c r="G48" s="2626"/>
      <c r="J48" s="702" t="s">
        <v>2409</v>
      </c>
      <c r="K48" s="2629" t="e">
        <f>K49*12</f>
        <v>#NAME?</v>
      </c>
      <c r="L48" s="2618"/>
    </row>
    <row r="49" ht="15" customHeight="1">
      <c r="C49" s="2605" t="b">
        <v>1</v>
      </c>
      <c r="G49" s="2626"/>
      <c r="J49" s="1934" t="s">
        <v>824</v>
      </c>
      <c r="K49" s="2632" cm="1" t="e">
        <f t="array" ref="K49">GETSELECTEDFREDDIEQUOTEVALUE('SBL Quotes'!$D43)</f>
        <v>#NAME?</v>
      </c>
      <c r="L49" s="2618"/>
    </row>
    <row r="50" ht="15" customHeight="1">
      <c r="A50" s="2605">
        <v>1000</v>
      </c>
      <c r="C50" s="2605" t="b">
        <v>1</v>
      </c>
      <c r="D50" s="21" t="e">
        <f>IF(C50,AND(IF(LEN(K50)=0,TRUE,K50&gt;=A50),IF(LEN(B50)=0,TRUE,K50&lt;=B50)),"")</f>
        <v>#NAME?</v>
      </c>
      <c r="G50" s="2626"/>
      <c r="J50" s="1934" t="s">
        <v>572</v>
      </c>
      <c r="K50" s="2633" cm="1" t="e">
        <f t="array" ref="K50">GETSELECTEDFREDDIEQUOTEVALUE('SBL Quotes'!$D30)</f>
        <v>#NAME?</v>
      </c>
      <c r="L50" s="2618"/>
    </row>
    <row r="51" ht="15" customHeight="1">
      <c r="C51" s="2605" t="b">
        <v>1</v>
      </c>
      <c r="G51" s="2626"/>
      <c r="J51" s="1934" t="s">
        <v>2025</v>
      </c>
      <c r="K51" s="2640" cm="1" t="e">
        <f t="array" ref="K51">GETSELECTEDFREDDIEQUOTEVALUE('SBL Quotes'!$D31)</f>
        <v>#NAME?</v>
      </c>
    </row>
    <row r="52" ht="15" customHeight="1">
      <c r="C52" s="2605" t="b">
        <v>1</v>
      </c>
      <c r="G52" s="2626"/>
      <c r="J52" s="1934" t="s">
        <v>2410</v>
      </c>
      <c r="K52" s="2640" cm="1" t="e">
        <f t="array" ref="K52">GETSELECTEDFREDDIEQUOTEVALUE('SBL Quotes'!$D32)</f>
        <v>#NAME?</v>
      </c>
      <c r="L52" s="2618"/>
    </row>
    <row r="53" ht="15" customHeight="1">
      <c r="C53" s="2605" t="b">
        <v>1</v>
      </c>
      <c r="G53" s="2639"/>
      <c r="J53" s="702" t="s">
        <v>2411</v>
      </c>
      <c r="K53" s="2629" cm="1" t="e">
        <f t="array" ref="K53">_xlfn.LET(_xlpm.termAsMonths,GETSELECTEDFREDDIEQUOTEVALUE('SBL Quotes'!$D98)*12,_xlpm.prepaymentOption,K54,IF(_xlpm.prepaymentOption="310(3)",24,_xlpm.termAsMonths-3))</f>
        <v>#NAME?</v>
      </c>
      <c r="L53" s="2618"/>
    </row>
    <row r="54" ht="15" customHeight="1">
      <c r="C54" s="2605" t="b">
        <v>1</v>
      </c>
      <c r="G54" s="2626"/>
      <c r="J54" s="1934" t="s">
        <v>800</v>
      </c>
      <c r="K54" s="2641" cm="1" t="e">
        <f t="array" ref="K54">GETSELECTEDFREDDIEQUOTEVALUE('SBL Quotes'!$D38)</f>
        <v>#NAME?</v>
      </c>
      <c r="L54" s="2618"/>
    </row>
    <row r="55" ht="15" customHeight="1">
      <c r="C55" s="2605" t="b">
        <v>1</v>
      </c>
      <c r="G55" s="2642"/>
      <c r="J55" s="1934" t="s">
        <v>742</v>
      </c>
      <c r="K55" s="2606" cm="1" t="e">
        <f t="array" ref="K55">GETSELECTEDFREDDIEQUOTEVALUE('SBL Quotes'!$D26)</f>
        <v>#NAME?</v>
      </c>
      <c r="L55" s="2618"/>
    </row>
    <row r="56" ht="15" customHeight="1">
      <c r="C56" s="2605" t="b">
        <v>1</v>
      </c>
      <c r="G56" s="2642"/>
      <c r="J56" s="1934" t="s">
        <v>804</v>
      </c>
      <c r="K56" s="2633">
        <f>IF(ISNUMBER('SBL Quotes'!B39),'SBL Quotes'!B39,0)</f>
        <v>0</v>
      </c>
      <c r="L56" s="2618"/>
      <c r="N56" s="2626"/>
      <c r="O56" s="2626"/>
    </row>
    <row r="57" ht="15" customHeight="1">
      <c r="C57" s="2605" t="b">
        <v>1</v>
      </c>
      <c r="G57" s="2642"/>
      <c r="J57" s="1934" t="s">
        <v>736</v>
      </c>
      <c r="K57" s="2633" cm="1" t="e">
        <f t="array" ref="K57">ROUND(GETSELECTEDFREDDIEQUOTEVALUE('SBL Quotes'!$D25),0)</f>
        <v>#NAME?</v>
      </c>
      <c r="L57" s="2618"/>
      <c r="N57" s="2626"/>
      <c r="O57" s="2626"/>
    </row>
    <row r="58" ht="15" customHeight="1">
      <c r="A58" s="2609">
        <f t="shared" si="1"/>
        <v>44837</v>
      </c>
      <c r="B58" s="2609">
        <f t="shared" si="2"/>
        <v>45202</v>
      </c>
      <c r="C58" s="2605" t="b">
        <v>1</v>
      </c>
      <c r="D58" s="2610" t="b">
        <f t="shared" si="3"/>
        <v>0</v>
      </c>
      <c r="G58" s="2642"/>
      <c r="J58" s="1934" t="s">
        <v>2412</v>
      </c>
      <c r="K58" s="2611">
        <f>RentRollDate</f>
        <v>0</v>
      </c>
      <c r="M58" s="2636"/>
      <c r="N58" s="2626"/>
      <c r="O58" s="2626"/>
    </row>
    <row r="59" ht="15" customHeight="1">
      <c r="C59" s="2605" t="b">
        <v>1</v>
      </c>
      <c r="D59" s="2610"/>
      <c r="G59" s="2626"/>
      <c r="J59" s="1934" t="s">
        <v>2413</v>
      </c>
      <c r="K59" s="2634" t="str">
        <f>'SBL Quotes'!B28</f>
        <v>No</v>
      </c>
      <c r="L59" s="2618"/>
      <c r="N59" s="2626"/>
      <c r="O59" s="2626"/>
    </row>
    <row r="60" ht="15" customHeight="1">
      <c r="C60" s="2605" t="b">
        <v>1</v>
      </c>
      <c r="G60" s="2642"/>
      <c r="J60" s="1934" t="s">
        <v>461</v>
      </c>
      <c r="K60" s="2623" cm="1" t="e">
        <f t="array" ref="K60">GETSELECTEDFREDDIEQUOTEVALUE('SBL Quotes'!$D104)</f>
        <v>#NAME?</v>
      </c>
      <c r="L60" s="2618"/>
      <c r="N60" s="2626"/>
      <c r="O60" s="2626"/>
    </row>
    <row r="61" ht="15" customHeight="1">
      <c r="C61" s="2605" t="b">
        <v>1</v>
      </c>
      <c r="G61" s="2642"/>
      <c r="J61" s="1934" t="s">
        <v>794</v>
      </c>
      <c r="K61" s="2633" cm="1" t="e">
        <f t="array" ref="K61">GETSELECTEDFREDDIEQUOTEVALUE('SBL Quotes'!$D36)</f>
        <v>#NAME?</v>
      </c>
      <c r="L61" s="2618"/>
      <c r="N61" s="2626"/>
      <c r="O61" s="2626"/>
    </row>
    <row r="62" ht="15" customHeight="1">
      <c r="C62" s="2605" t="b">
        <v>1</v>
      </c>
      <c r="G62" s="2642"/>
      <c r="J62" s="1934" t="s">
        <v>468</v>
      </c>
      <c r="K62" s="2623" cm="1" t="e">
        <f t="array" ref="K62">GETSELECTEDFREDDIEQUOTEVALUE('SBL Quotes'!$D67)</f>
        <v>#NAME?</v>
      </c>
      <c r="L62" s="2618"/>
      <c r="N62" s="2626"/>
      <c r="O62" s="2626"/>
    </row>
    <row r="63" ht="15" customHeight="1">
      <c r="C63" s="2605" t="b">
        <v>1</v>
      </c>
      <c r="G63" s="2642"/>
      <c r="J63" s="702" t="s">
        <v>2414</v>
      </c>
      <c r="K63" s="2629" cm="1" t="e">
        <f t="array" ref="K63">_xlfn.LET(_xlpm.loanProduct,TRIM(GETSELECTEDFREDDIEQUOTEVALUE('SBL Quotes'!$D6)),_xlpm.isHybrid,RIGHT(_xlpm.loanProduct,6)="Hybrid",_xlpm.loanTermInYrs,LEFT(_xlpm.loanProduct,2),IF(_xlpm.isHybrid,20,_xlpm.loanTermInYrs)*12)</f>
        <v>#NAME?</v>
      </c>
      <c r="L63" s="2618"/>
      <c r="N63" s="2626"/>
      <c r="O63" s="2626"/>
    </row>
    <row r="64" ht="15" customHeight="1">
      <c r="C64" s="2605" t="b">
        <v>1</v>
      </c>
      <c r="D64" s="21" t="e">
        <f t="shared" si="0"/>
        <v>#NAME?</v>
      </c>
      <c r="G64" s="2642"/>
      <c r="J64" s="702" t="s">
        <v>2415</v>
      </c>
      <c r="K64" s="2623" cm="1" t="e">
        <f t="array" ref="K64">GETSELECTEDFREDDIEQUOTEVALUE('SBL Quotes'!$D68)</f>
        <v>#NAME?</v>
      </c>
      <c r="L64" s="2618"/>
      <c r="N64" s="2626"/>
      <c r="O64" s="2626"/>
    </row>
    <row r="65" ht="15" customHeight="1">
      <c r="C65" s="2605" t="b">
        <v>1</v>
      </c>
      <c r="G65" s="2643"/>
      <c r="J65" s="1934" t="s">
        <v>2416</v>
      </c>
      <c r="K65" s="2633">
        <f>ROUND('SBL Quotes'!B41,0)</f>
        <v>-1616089</v>
      </c>
      <c r="L65" s="2618"/>
      <c r="N65" s="2626"/>
      <c r="O65" s="2626"/>
    </row>
    <row r="66" ht="15" customHeight="1">
      <c r="C66" s="2605" t="b">
        <v>1</v>
      </c>
      <c r="G66" s="2642"/>
      <c r="J66" s="1934" t="s">
        <v>2417</v>
      </c>
      <c r="K66" s="2633">
        <f>ROUND('SBL Quotes'!B42,0)</f>
        <v>-32321786</v>
      </c>
      <c r="L66" s="2642"/>
      <c r="N66" s="2626"/>
      <c r="O66" s="2626"/>
    </row>
    <row r="67" ht="15" customHeight="1">
      <c r="C67" s="2605" t="b">
        <v>1</v>
      </c>
      <c r="G67" s="2643"/>
      <c r="J67" s="1934" t="s">
        <v>2418</v>
      </c>
      <c r="K67" s="2633">
        <f>ROUND('SBL Quotes'!B43,0)</f>
        <v>-320018</v>
      </c>
      <c r="L67" s="2642"/>
      <c r="N67" s="2626"/>
      <c r="O67" s="2626"/>
    </row>
    <row r="68" ht="15" customHeight="1">
      <c r="N68" s="2626"/>
      <c r="O68" s="2626"/>
    </row>
    <row r="69" ht="15" customHeight="1">
      <c r="L69" s="2642"/>
      <c r="N69" s="2626"/>
      <c r="O69" s="2626"/>
    </row>
    <row r="70" ht="15" customHeight="1">
      <c r="N70" s="2626"/>
      <c r="O70" s="2626"/>
    </row>
    <row r="71" ht="15" customHeight="1">
      <c r="L71" s="2642"/>
      <c r="N71" s="2626"/>
      <c r="O71" s="2626"/>
    </row>
    <row r="72" ht="15" customHeight="1">
      <c r="L72" s="2642"/>
      <c r="N72" s="2626"/>
      <c r="O72" s="2626"/>
    </row>
    <row r="73" ht="15" customHeight="1">
      <c r="L73" s="2642"/>
      <c r="N73" s="2626"/>
      <c r="O73" s="2626"/>
    </row>
    <row r="74" ht="15" customHeight="1">
      <c r="L74" s="2642"/>
      <c r="N74" s="2626"/>
      <c r="O74" s="2626"/>
    </row>
    <row r="75" ht="15" customHeight="1">
      <c r="L75" s="2642"/>
      <c r="N75" s="2626"/>
      <c r="O75" s="2626"/>
    </row>
    <row r="76" ht="15" customHeight="1">
      <c r="N76" s="2626"/>
      <c r="O76" s="2626"/>
    </row>
    <row r="77" ht="15" customHeight="1">
      <c r="N77" s="2626"/>
      <c r="O77" s="2626"/>
    </row>
    <row r="78" ht="15" customHeight="1">
      <c r="N78" s="2626"/>
      <c r="O78" s="2626"/>
    </row>
    <row r="79" ht="15" customHeight="1">
      <c r="N79" s="2626"/>
      <c r="O79" s="2626"/>
    </row>
    <row r="80" ht="15" customHeight="1">
      <c r="N80" s="2626"/>
      <c r="O80" s="2626"/>
    </row>
    <row r="81" ht="15" customHeight="1">
      <c r="N81" s="2626"/>
      <c r="O81" s="2626"/>
    </row>
    <row r="82" ht="15" customHeight="1">
      <c r="N82" s="2626"/>
      <c r="O82" s="2626"/>
    </row>
    <row r="83" ht="15" customHeight="1">
      <c r="N83" s="2626"/>
      <c r="O83" s="2626"/>
    </row>
    <row r="84" ht="15" customHeight="1">
      <c r="N84" s="2626"/>
      <c r="O84" s="2626"/>
    </row>
    <row r="85" ht="15" customHeight="1">
      <c r="N85" s="2626"/>
      <c r="O85" s="2626"/>
    </row>
    <row r="86" ht="15" customHeight="1">
      <c r="N86" s="2626"/>
      <c r="O86" s="2626"/>
    </row>
    <row r="87" ht="15" customHeight="1">
      <c r="N87" s="2626"/>
      <c r="O87" s="2626"/>
    </row>
    <row r="88" ht="15" customHeight="1">
      <c r="N88" s="2626"/>
      <c r="O88" s="2626"/>
    </row>
    <row r="89" ht="15" customHeight="1">
      <c r="N89" s="2626"/>
      <c r="O89" s="2626"/>
    </row>
    <row r="90" ht="15" customHeight="1">
      <c r="N90" s="2626"/>
      <c r="O90" s="2626"/>
    </row>
  </sheetData>
  <conditionalFormatting sqref="M8">
    <cfRule type="expression" dxfId="49" priority="15" text="null">
      <formula>IFERROR(FIND(LOWER("wait"),LOWER(ResponseStatus)),0)&gt;0</formula>
    </cfRule>
  </conditionalFormatting>
  <conditionalFormatting sqref="M8">
    <cfRule type="expression" dxfId="50" priority="16" text="null">
      <formula>ResponseStatus="Response Received - Accepted"</formula>
    </cfRule>
  </conditionalFormatting>
  <conditionalFormatting sqref="M8">
    <cfRule type="expression" dxfId="32" priority="17" text="null">
      <formula>ResponseStatus="Response Received - Rejected"</formula>
    </cfRule>
  </conditionalFormatting>
  <conditionalFormatting sqref="M8">
    <cfRule type="expression" dxfId="51" priority="18" text="null">
      <formula>ResponseStatus="Send Failed"</formula>
    </cfRule>
  </conditionalFormatting>
  <conditionalFormatting sqref="D3:D40 D42:D67">
    <cfRule type="expression" dxfId="15" priority="582" text="null">
      <formula>AND($C3,NOT($D3),LEN($D3)&gt;0)</formula>
    </cfRule>
  </conditionalFormatting>
  <conditionalFormatting sqref="C3:D40 C42:D67">
    <cfRule type="expression" dxfId="27" priority="583" stopIfTrue="1" text="null">
      <formula>NOT($C3)</formula>
    </cfRule>
  </conditionalFormatting>
  <conditionalFormatting sqref="K1">
    <cfRule type="expression" dxfId="52" priority="2" text="null">
      <formula>NOT(ISNUMBER(B2B_SelectedOptionNumber))</formula>
    </cfRule>
  </conditionalFormatting>
  <conditionalFormatting sqref="C41">
    <cfRule type="expression" dxfId="27" priority="1" stopIfTrue="1" text="null">
      <formula>NOT($C41)</formula>
    </cfRule>
  </conditionalFormatting>
  <conditionalFormatting sqref="K3:K67">
    <cfRule type="expression" dxfId="53" priority="10" text="null">
      <formula>OR(ISERROR($K3),IFERROR(FIND("Select Loan Option",$K3),FALSE))</formula>
    </cfRule>
  </conditionalFormatting>
  <conditionalFormatting sqref="K3:K67">
    <cfRule type="expression" dxfId="54" priority="11" text="null">
      <formula>AND(NOT($D3),LEN($D3)&gt;0)</formula>
    </cfRule>
  </conditionalFormatting>
  <conditionalFormatting sqref="K3:K67">
    <cfRule type="expression" dxfId="37" priority="584" text="null">
      <formula>NOT(ISFORMULA(K3))</formula>
    </cfRule>
  </conditionalFormatting>
  <dataValidations count="18">
    <dataValidation error="Must be FALSE or TRUE" errorTitle="Required?" showErrorMessage="1" showInputMessage="1" sqref="C3:C67" type="list">
      <formula1>"FALSE,TRUE"</formula1>
    </dataValidation>
    <dataValidation allowBlank="1" showErrorMessage="1" showInputMessage="1" sqref="K7" type="whole">
      <formula1>1800</formula1>
      <formula2>YEAR(TODAY())</formula2>
    </dataValidation>
    <dataValidation allowBlank="1" showErrorMessage="1" showInputMessage="1" sqref="K60" type="list">
      <formula1>"0.25%, 0.47%"</formula1>
    </dataValidation>
    <dataValidation showErrorMessage="1" showInputMessage="1" sqref="K27" type="list">
      <formula1>B2B_YieldMaintenanceTreasuriesPlus_List</formula1>
    </dataValidation>
    <dataValidation allowBlank="1" showErrorMessage="1" showInputMessage="1" sqref="K37" type="list">
      <formula1>B2B_ApplicableIndexType_List</formula1>
    </dataValidation>
    <dataValidation allowBlank="1" showErrorMessage="1" showInputMessage="1" sqref="K24" type="list">
      <formula1>B2B_PropertyType_List</formula1>
    </dataValidation>
    <dataValidation allowBlank="1" error="Must be a whole number,_x005F_x005F_x000A_between 1 and 10." errorTitle="Invalid Lien Position" showErrorMessage="1" showInputMessage="1" sqref="K19" type="whole">
      <formula1>1</formula1>
      <formula2>10</formula2>
    </dataValidation>
    <dataValidation allowBlank="1" showErrorMessage="1" showInputMessage="1" sqref="K18" type="list">
      <formula1>B2B_InterestType_List</formula1>
    </dataValidation>
    <dataValidation allowBlank="1" showErrorMessage="1" showInputMessage="1" sqref="K14" type="list">
      <formula1>B2B_DeliveryType_List</formula1>
    </dataValidation>
    <dataValidation allowBlank="1" showErrorMessage="1" showInputMessage="1" sqref="K16" type="list">
      <formula1>B2B_HedgeProtection_List</formula1>
    </dataValidation>
    <dataValidation allowBlank="1" showErrorMessage="1" showInputMessage="1" sqref="K15" type="list">
      <formula1>B2B_ERL_FundingTiming_List</formula1>
    </dataValidation>
    <dataValidation allowBlank="1" showErrorMessage="1" showInputMessage="1" sqref="K17" type="list">
      <formula1>B2B_InterestCalc_List</formula1>
    </dataValidation>
    <dataValidation allowBlank="1" showErrorMessage="1" showInputMessage="1" sqref="K22" type="list">
      <formula1>BSB_PrepayType_List</formula1>
    </dataValidation>
    <dataValidation allowBlank="1" showErrorMessage="1" showInputMessage="1" sqref="K12" type="list">
      <formula1>B2B_BuyUpPercentages_List</formula1>
    </dataValidation>
    <dataValidation allowBlank="1" showErrorMessage="1" showInputMessage="1" sqref="L65 G67" type="list">
      <formula1>"2-yr UST,3-yr UST,4-yr Interp. UST,5-yr UST,6-yr Interp. UST,7-yr Interp. UST,8-yr Interp, UST,9-yr Interp. UST,10-yr UST,30-day FHLMC Ref Bill,90-day FHLMC Ref Bill,30-day Avg SOFR,30-day LIBOR,90-day LIBOR,180-day LIBOR,52 week SIFMA"</formula1>
    </dataValidation>
    <dataValidation allowBlank="1" showErrorMessage="1" showInputMessage="1" sqref="L72" type="list">
      <formula1>"Standard Delivery,ERL Delivery"</formula1>
    </dataValidation>
    <dataValidation allowBlank="1" showErrorMessage="1" showInputMessage="1" sqref="L71" type="list">
      <formula1>"Actual/360,30/360"</formula1>
    </dataValidation>
    <dataValidation allowBlank="1" showErrorMessage="1" showInputMessage="1" sqref="M8" type="list">
      <formula1>"Not Sent, Awaiting Response, Response Received - Accepted, Response Received - Rejected, Send Failed"</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6B35E18-7BB9-66B1-B5B9-4FFB1DA31222}" mc:Ignorable="x14ac xr xr2 xr3">
  <sheetPr>
    <tabColor theme="8" tint="0"/>
    <pageSetUpPr fitToPage="1"/>
  </sheetPr>
  <dimension ref="A1:BL99"/>
  <sheetViews>
    <sheetView topLeftCell="A1" zoomScale="80" workbookViewId="0">
      <selection activeCell="AV10" sqref="AV10"/>
    </sheetView>
  </sheetViews>
  <sheetFormatPr defaultRowHeight="14.497499999999997" defaultColWidth="9.57421875" customHeight="1" outlineLevelCol="1"/>
  <cols>
    <col min="1" max="1" style="625" width="2.57421875" customWidth="1"/>
    <col min="2" max="2" style="615" width="30.57421875" customWidth="1"/>
    <col min="3" max="3" style="625" width="18.57421875" customWidth="1"/>
    <col min="4" max="4" style="625" width="13.57421875" customWidth="1"/>
    <col min="5" max="5" style="2824" width="9.57421875" customWidth="1"/>
    <col min="6" max="6" style="2824" width="7.8515625" hidden="1" customWidth="1"/>
    <col min="7" max="7" style="625" width="13.57421875" customWidth="1"/>
    <col min="8" max="8" style="2824" width="9.57421875" customWidth="1"/>
    <col min="9" max="9" style="625" width="7.8515625" hidden="1" customWidth="1"/>
    <col min="10" max="10" style="625" width="13.57421875" customWidth="1"/>
    <col min="11" max="11" style="2824" width="9.57421875" customWidth="1"/>
    <col min="12" max="12" style="625" width="8.28125" hidden="1" customWidth="1"/>
    <col min="13" max="23" style="625" width="14.57421875" hidden="1" customWidth="1" outlineLevel="1"/>
    <col min="24" max="24" style="625" width="13.57421875" hidden="1" customWidth="1" outlineLevel="1"/>
    <col min="25" max="25" style="625" width="13.57421875" collapsed="1" customWidth="1"/>
    <col min="26" max="26" style="2824" width="9.57421875" customWidth="1"/>
    <col min="27" max="27" style="2824" width="7.8515625" hidden="1" customWidth="1"/>
    <col min="28" max="28" style="625" width="13.57421875" customWidth="1"/>
    <col min="29" max="29" style="2824" width="9.57421875" customWidth="1"/>
    <col min="30" max="30" style="625" width="7.8515625" hidden="1" customWidth="1"/>
    <col min="31" max="31" style="625" width="13.57421875" customWidth="1"/>
    <col min="32" max="32" style="2824" width="9.57421875" customWidth="1"/>
    <col min="33" max="33" style="625" width="9.57421875" hidden="1" customWidth="1"/>
    <col min="34" max="34" style="625" width="13.57421875" hidden="1" customWidth="1" outlineLevel="1"/>
    <col min="35" max="35" style="2824" width="9.57421875" hidden="1" customWidth="1" outlineLevel="1"/>
    <col min="36" max="36" style="625" width="9.57421875" hidden="1" customWidth="1" outlineLevel="1"/>
    <col min="37" max="38" style="625" width="13.57421875" hidden="1" customWidth="1" outlineLevel="1"/>
    <col min="39" max="39" style="625" width="9.57421875" hidden="1" customWidth="1" outlineLevel="1"/>
    <col min="40" max="41" style="625" width="13.57421875" hidden="1" customWidth="1" outlineLevel="1"/>
    <col min="42" max="42" style="625" width="9.57421875" hidden="1" customWidth="1" outlineLevel="1"/>
    <col min="43" max="43" style="625" width="13.57421875" hidden="1" customWidth="1" outlineLevel="1"/>
    <col min="44" max="44" style="2824" width="13.57421875" hidden="1" customWidth="1" outlineLevel="1"/>
    <col min="45" max="45" style="2824" width="7.8515625" hidden="1" customWidth="1" outlineLevel="1"/>
    <col min="46" max="46" style="625" width="2.57421875" collapsed="1" customWidth="1"/>
    <col min="47" max="47" style="625" width="13.57421875" customWidth="1"/>
    <col min="48" max="48" style="625" width="9.57421875" customWidth="1"/>
    <col min="49" max="49" style="625" width="8.28125" hidden="1" customWidth="1"/>
    <col min="50" max="50" style="625" width="2.57421875" customWidth="1"/>
    <col min="51" max="51" style="625" width="13.57421875" customWidth="1"/>
    <col min="52" max="52" style="625" width="9.57421875" customWidth="1"/>
    <col min="53" max="53" style="625" width="8.28125" hidden="1" customWidth="1"/>
    <col min="54" max="54" style="625" width="2.57421875" customWidth="1"/>
    <col min="55" max="55" style="625" width="13.57421875" customWidth="1"/>
    <col min="56" max="56" style="625" width="8.28125" customWidth="1"/>
    <col min="57" max="57" style="625" width="8.28125" hidden="1" customWidth="1"/>
    <col min="58" max="58" style="625" width="13.57421875" customWidth="1"/>
    <col min="59" max="59" style="625" width="9.57421875" customWidth="1"/>
    <col min="60" max="60" style="625" width="8.28125" hidden="1" customWidth="1"/>
    <col min="61" max="61" style="625" width="13.57421875" customWidth="1"/>
    <col min="62" max="62" style="625" width="9.57421875" customWidth="1"/>
    <col min="63" max="63" style="625" width="8.28125" hidden="1" customWidth="1"/>
    <col min="64" max="64" style="625" width="6.8515625" customWidth="1"/>
  </cols>
  <sheetData>
    <row r="1" ht="15" customHeight="1">
      <c r="A1" s="2644"/>
      <c r="B1" s="2645"/>
      <c r="C1" s="2644"/>
      <c r="D1" s="2644"/>
      <c r="E1" s="2646"/>
      <c r="F1" s="2646"/>
      <c r="G1" s="2647" t="s">
        <v>2419</v>
      </c>
      <c r="H1" s="2647"/>
      <c r="I1" s="2647"/>
      <c r="J1" s="2647"/>
      <c r="K1" s="2647"/>
      <c r="L1" s="2647"/>
      <c r="M1" s="2647"/>
      <c r="N1" s="2647"/>
      <c r="O1" s="2647"/>
      <c r="P1" s="2647"/>
      <c r="Q1" s="2647"/>
      <c r="R1" s="2647"/>
      <c r="S1" s="2647"/>
      <c r="T1" s="2647"/>
      <c r="U1" s="2647"/>
      <c r="V1" s="2647"/>
      <c r="W1" s="2647"/>
      <c r="X1" s="2647"/>
      <c r="Y1" s="2647"/>
      <c r="Z1" s="2647"/>
      <c r="AA1" s="2647"/>
      <c r="AB1" s="2647"/>
      <c r="AC1" s="2647"/>
      <c r="AD1" s="2647"/>
      <c r="AE1" s="2647"/>
      <c r="AF1" s="2647"/>
      <c r="AG1" s="2647"/>
      <c r="AH1" s="2647"/>
      <c r="AI1" s="2647"/>
      <c r="AJ1" s="2647"/>
      <c r="AK1" s="2647"/>
      <c r="AL1" s="2647"/>
      <c r="AM1" s="2647"/>
      <c r="AN1" s="2647"/>
      <c r="AO1" s="2647"/>
      <c r="AP1" s="2647"/>
      <c r="AQ1" s="2647"/>
      <c r="AR1" s="2646"/>
      <c r="AS1" s="2646"/>
      <c r="AT1" s="2644"/>
      <c r="AU1" s="2648">
        <f t="shared" si="0" ref="AU1:AU2">NOW()</f>
        <v>45201.476135509256</v>
      </c>
      <c r="AV1" s="2644"/>
      <c r="AW1" s="2644"/>
      <c r="AX1" s="2644"/>
      <c r="AY1" s="2649"/>
      <c r="AZ1" s="2649"/>
      <c r="BA1" s="2649"/>
      <c r="BB1" s="2649"/>
      <c r="BC1" s="2649"/>
      <c r="BD1" s="2649"/>
      <c r="BE1" s="2649"/>
      <c r="BF1" s="2649"/>
      <c r="BG1" s="2649"/>
      <c r="BH1" s="2649"/>
      <c r="BI1" s="2649"/>
      <c r="BJ1" s="2649"/>
      <c r="BK1" s="2649"/>
      <c r="BL1" s="2649"/>
    </row>
    <row r="2" ht="15" customHeight="1">
      <c r="A2" s="2649"/>
      <c r="B2" s="2650" t="s">
        <v>2420</v>
      </c>
      <c r="C2" s="2649" t="str">
        <f>PropertyName_DataPageTab</f>
        <v>XXXX</v>
      </c>
      <c r="D2" s="2649"/>
      <c r="E2" s="2651"/>
      <c r="F2" s="2651"/>
      <c r="G2" s="2649"/>
      <c r="H2" s="2651"/>
      <c r="I2" s="2649"/>
      <c r="J2" s="2649"/>
      <c r="K2" s="2651"/>
      <c r="L2" s="2649"/>
      <c r="M2" s="2649"/>
      <c r="N2" s="2649"/>
      <c r="O2" s="2649"/>
      <c r="P2" s="2649"/>
      <c r="Q2" s="2649"/>
      <c r="R2" s="2649"/>
      <c r="S2" s="2649"/>
      <c r="T2" s="2649"/>
      <c r="U2" s="2649"/>
      <c r="V2" s="2649"/>
      <c r="W2" s="2649"/>
      <c r="X2" s="2649"/>
      <c r="Y2" s="2649"/>
      <c r="Z2" s="2651"/>
      <c r="AA2" s="2651"/>
      <c r="AB2" s="2649"/>
      <c r="AC2" s="2651"/>
      <c r="AD2" s="2649"/>
      <c r="AE2" s="2649"/>
      <c r="AF2" s="2651"/>
      <c r="AG2" s="2649"/>
      <c r="AH2" s="2649"/>
      <c r="AI2" s="2651"/>
      <c r="AJ2" s="2649"/>
      <c r="AK2" s="2649"/>
      <c r="AL2" s="2649"/>
      <c r="AM2" s="2649"/>
      <c r="AN2" s="2649"/>
      <c r="AO2" s="2649"/>
      <c r="AP2" s="2649"/>
      <c r="AQ2" s="2649"/>
      <c r="AR2" s="2651"/>
      <c r="AS2" s="2651"/>
      <c r="AT2" s="2649"/>
      <c r="AU2" s="2652">
        <f t="shared" si="0"/>
        <v>45201.47613552083</v>
      </c>
      <c r="AV2" s="2649"/>
      <c r="AW2" s="2649"/>
      <c r="AX2" s="2649"/>
      <c r="AY2" s="2649"/>
      <c r="AZ2" s="2649"/>
      <c r="BA2" s="2649"/>
      <c r="BB2" s="2649"/>
      <c r="BC2" s="2649"/>
      <c r="BD2" s="2649"/>
      <c r="BE2" s="2649"/>
      <c r="BF2" s="2649"/>
      <c r="BG2" s="2649"/>
      <c r="BH2" s="2649"/>
      <c r="BI2" s="2649"/>
      <c r="BJ2" s="2649"/>
      <c r="BK2" s="2649"/>
      <c r="BL2" s="2649"/>
    </row>
    <row r="3" ht="15.75" customHeight="1">
      <c r="A3" s="2649"/>
      <c r="B3" s="2650" t="s">
        <v>2114</v>
      </c>
      <c r="C3" s="2650">
        <f>TotalUnits</f>
        <v>85</v>
      </c>
      <c r="D3" s="2649"/>
      <c r="E3" s="2651"/>
      <c r="F3" s="2651"/>
      <c r="G3" s="2649"/>
      <c r="H3" s="2651"/>
      <c r="I3" s="2649"/>
      <c r="J3" s="2649"/>
      <c r="K3" s="2651"/>
      <c r="L3" s="2649"/>
      <c r="M3" s="2649"/>
      <c r="N3" s="2649"/>
      <c r="O3" s="2649"/>
      <c r="P3" s="2649"/>
      <c r="Q3" s="2649"/>
      <c r="R3" s="2649"/>
      <c r="S3" s="2649"/>
      <c r="T3" s="2649"/>
      <c r="U3" s="2649"/>
      <c r="V3" s="2649"/>
      <c r="W3" s="2649"/>
      <c r="X3" s="2649"/>
      <c r="Y3" s="2649"/>
      <c r="Z3" s="2651"/>
      <c r="AA3" s="2651"/>
      <c r="AB3" s="2649"/>
      <c r="AC3" s="2651"/>
      <c r="AD3" s="2649"/>
      <c r="AE3" s="2649"/>
      <c r="AF3" s="2651"/>
      <c r="AG3" s="2649"/>
      <c r="AH3" s="2649"/>
      <c r="AI3" s="2651"/>
      <c r="AJ3" s="2649"/>
      <c r="AK3" s="2649"/>
      <c r="AL3" s="2649"/>
      <c r="AM3" s="2649"/>
      <c r="AN3" s="2649"/>
      <c r="AO3" s="2649"/>
      <c r="AP3" s="2649"/>
      <c r="AQ3" s="2649"/>
      <c r="AR3" s="2651"/>
      <c r="AS3" s="2651"/>
      <c r="AT3" s="2649"/>
      <c r="AU3" s="2649"/>
      <c r="AV3" s="2649"/>
      <c r="AW3" s="2649"/>
      <c r="AX3" s="2649"/>
      <c r="AY3" s="2649"/>
      <c r="AZ3" s="2649"/>
      <c r="BA3" s="2649"/>
      <c r="BB3" s="2649"/>
      <c r="BC3" s="2649"/>
      <c r="BD3" s="2649"/>
      <c r="BE3" s="2649"/>
      <c r="BF3" s="2649"/>
      <c r="BG3" s="2649"/>
      <c r="BH3" s="2649"/>
      <c r="BI3" s="2649"/>
      <c r="BJ3" s="2649"/>
      <c r="BK3" s="2649"/>
      <c r="BL3" s="2649"/>
    </row>
    <row r="4" ht="15" customHeight="1">
      <c r="A4" s="2649"/>
      <c r="B4" s="2653" t="s">
        <v>2421</v>
      </c>
      <c r="C4" s="2653">
        <f>TotalBeds</f>
        <v>0</v>
      </c>
      <c r="D4" s="2654" t="s">
        <v>2422</v>
      </c>
      <c r="E4" s="2655"/>
      <c r="F4" s="2656"/>
      <c r="G4" s="2654" t="s">
        <v>2422</v>
      </c>
      <c r="H4" s="2655"/>
      <c r="I4" s="2656"/>
      <c r="J4" s="2654" t="s">
        <v>2422</v>
      </c>
      <c r="K4" s="2656"/>
      <c r="L4" s="2657"/>
      <c r="M4" s="2658" t="s">
        <v>2423</v>
      </c>
      <c r="N4" s="2658" t="s">
        <v>2424</v>
      </c>
      <c r="O4" s="2658" t="s">
        <v>2425</v>
      </c>
      <c r="P4" s="2658" t="s">
        <v>2426</v>
      </c>
      <c r="Q4" s="2658" t="s">
        <v>2427</v>
      </c>
      <c r="R4" s="2658" t="s">
        <v>2428</v>
      </c>
      <c r="S4" s="2658" t="s">
        <v>2429</v>
      </c>
      <c r="T4" s="2658" t="s">
        <v>2430</v>
      </c>
      <c r="U4" s="2658" t="s">
        <v>2431</v>
      </c>
      <c r="V4" s="2658" t="s">
        <v>1752</v>
      </c>
      <c r="W4" s="2658" t="s">
        <v>2432</v>
      </c>
      <c r="X4" s="2658" t="s">
        <v>2433</v>
      </c>
      <c r="Y4" s="2654" t="str">
        <f>'Fannie Historical Ops'!W2</f>
        <v>TR-12 Statement (9/2022)</v>
      </c>
      <c r="Z4" s="2655"/>
      <c r="AA4" s="2656"/>
      <c r="AB4" s="2654" t="str">
        <f>'Fannie Historical Ops'!Y2</f>
        <v>Budget</v>
      </c>
      <c r="AC4" s="2655"/>
      <c r="AD4" s="2656"/>
      <c r="AE4" s="2654" t="str">
        <f>'Fannie Historical Ops'!AA2</f>
        <v>Appraisal</v>
      </c>
      <c r="AF4" s="2655"/>
      <c r="AG4" s="2656"/>
      <c r="AH4" s="2654" t="str">
        <f>'Fannie Historical Ops'!AC2</f>
        <v>Appraisal</v>
      </c>
      <c r="AI4" s="2655"/>
      <c r="AJ4" s="2656"/>
      <c r="AK4" s="2654" t="str">
        <f>'Fannie Historical Ops'!AE2</f>
        <v>1st Lien Underwriting</v>
      </c>
      <c r="AL4" s="2655"/>
      <c r="AM4" s="2656"/>
      <c r="AN4" s="2654" t="str">
        <f>'Fannie Historical Ops'!AG2</f>
        <v>2nd Lien Underwriting</v>
      </c>
      <c r="AO4" s="2655"/>
      <c r="AP4" s="2656"/>
      <c r="AQ4" s="2654" t="str">
        <f>'Fannie Historical Ops'!AI2</f>
        <v>3rd Lien Underwriting</v>
      </c>
      <c r="AR4" s="2655"/>
      <c r="AS4" s="2656"/>
      <c r="AT4" s="2659"/>
      <c r="AU4" s="2654" t="s">
        <v>2434</v>
      </c>
      <c r="AV4" s="2655"/>
      <c r="AW4" s="2656"/>
      <c r="AX4" s="2660"/>
      <c r="AY4" s="2654" t="s">
        <v>1871</v>
      </c>
      <c r="AZ4" s="2655"/>
      <c r="BA4" s="2656"/>
      <c r="BB4" s="2661"/>
      <c r="BC4" s="2654" t="s">
        <v>2435</v>
      </c>
      <c r="BD4" s="2655"/>
      <c r="BE4" s="2656"/>
      <c r="BF4" s="2654">
        <f>'Fannie Historical Ops'!W4</f>
        <v>2022</v>
      </c>
      <c r="BG4" s="2655"/>
      <c r="BH4" s="2656"/>
      <c r="BI4" s="2654" t="s">
        <v>2436</v>
      </c>
      <c r="BJ4" s="2655"/>
      <c r="BK4" s="2656"/>
      <c r="BL4" s="2661"/>
    </row>
    <row r="5" ht="15" customHeight="1">
      <c r="A5" s="2649"/>
      <c r="B5" s="2650"/>
      <c r="C5" s="2649"/>
      <c r="D5" s="2662" t="s">
        <v>1762</v>
      </c>
      <c r="E5" s="2663"/>
      <c r="F5" s="2664"/>
      <c r="G5" s="2662" t="s">
        <v>1762</v>
      </c>
      <c r="H5" s="2663"/>
      <c r="I5" s="2664"/>
      <c r="J5" s="2662" t="s">
        <v>1762</v>
      </c>
      <c r="K5" s="2664"/>
      <c r="L5" s="2665"/>
      <c r="M5" s="2666"/>
      <c r="N5" s="2666"/>
      <c r="O5" s="2666"/>
      <c r="P5" s="2666"/>
      <c r="Q5" s="2666"/>
      <c r="R5" s="2666"/>
      <c r="S5" s="2666"/>
      <c r="T5" s="2666"/>
      <c r="U5" s="2666"/>
      <c r="V5" s="2666"/>
      <c r="W5" s="2666"/>
      <c r="X5" s="2666"/>
      <c r="Y5" s="2662" t="s">
        <v>1762</v>
      </c>
      <c r="Z5" s="2663"/>
      <c r="AA5" s="2664"/>
      <c r="AB5" s="2662"/>
      <c r="AC5" s="2663"/>
      <c r="AD5" s="2664"/>
      <c r="AE5" s="2662"/>
      <c r="AF5" s="2663"/>
      <c r="AG5" s="2664"/>
      <c r="AH5" s="2662"/>
      <c r="AI5" s="2663"/>
      <c r="AJ5" s="2664"/>
      <c r="AK5" s="2662"/>
      <c r="AL5" s="2663"/>
      <c r="AM5" s="2664"/>
      <c r="AN5" s="2662"/>
      <c r="AO5" s="2663"/>
      <c r="AP5" s="2664"/>
      <c r="AQ5" s="2662"/>
      <c r="AR5" s="2663"/>
      <c r="AS5" s="2664"/>
      <c r="AT5" s="2659"/>
      <c r="AU5" s="2661"/>
      <c r="AV5" s="2649"/>
      <c r="AW5" s="2665"/>
      <c r="AX5" s="2660"/>
      <c r="AY5" s="2662"/>
      <c r="AZ5" s="2663"/>
      <c r="BA5" s="2664"/>
      <c r="BB5" s="2661"/>
      <c r="BC5" s="2662"/>
      <c r="BD5" s="2663"/>
      <c r="BE5" s="2664"/>
      <c r="BF5" s="2662"/>
      <c r="BG5" s="2663"/>
      <c r="BH5" s="2664"/>
      <c r="BI5" s="2662"/>
      <c r="BJ5" s="2663"/>
      <c r="BK5" s="2664"/>
      <c r="BL5" s="2661"/>
    </row>
    <row r="6" ht="15.75" customHeight="1">
      <c r="A6" s="2649"/>
      <c r="B6" s="2650"/>
      <c r="C6" s="2649"/>
      <c r="D6" s="2667">
        <f>'Fannie Historical Ops'!D4</f>
        <v>2019</v>
      </c>
      <c r="E6" s="2668"/>
      <c r="F6" s="2669"/>
      <c r="G6" s="2667">
        <f>'Fannie Historical Ops'!F4</f>
        <v>2020</v>
      </c>
      <c r="H6" s="2668"/>
      <c r="I6" s="2669"/>
      <c r="J6" s="2670">
        <f>'Fannie Historical Ops'!H4</f>
        <v>2021</v>
      </c>
      <c r="K6" s="2671"/>
      <c r="L6" s="2671"/>
      <c r="M6" s="2672"/>
      <c r="N6" s="2672"/>
      <c r="O6" s="2672"/>
      <c r="P6" s="2672"/>
      <c r="Q6" s="2672"/>
      <c r="R6" s="2672"/>
      <c r="S6" s="2672"/>
      <c r="T6" s="2672"/>
      <c r="U6" s="2672"/>
      <c r="V6" s="2672"/>
      <c r="W6" s="2672"/>
      <c r="X6" s="2672"/>
      <c r="Y6" s="2667">
        <f>'Fannie Historical Ops'!W4</f>
        <v>2022</v>
      </c>
      <c r="Z6" s="2668"/>
      <c r="AA6" s="2669"/>
      <c r="AB6" s="2667">
        <f>'Fannie Historical Ops'!Y4</f>
        <v>2022</v>
      </c>
      <c r="AC6" s="2668"/>
      <c r="AD6" s="2669"/>
      <c r="AE6" s="2667" t="str">
        <f>'Fannie Historical Ops'!AA4</f>
        <v>Year 1</v>
      </c>
      <c r="AF6" s="2668"/>
      <c r="AG6" s="2669"/>
      <c r="AH6" s="2667" t="str">
        <f>'Fannie Historical Ops'!AC4</f>
        <v>Adjusted</v>
      </c>
      <c r="AI6" s="2668"/>
      <c r="AJ6" s="2669"/>
      <c r="AK6" s="2667" t="str">
        <f>'Fannie Historical Ops'!AE4</f>
        <v>Year</v>
      </c>
      <c r="AL6" s="2668"/>
      <c r="AM6" s="2669"/>
      <c r="AN6" s="2667" t="str">
        <f>'Fannie Historical Ops'!AG4</f>
        <v>Year</v>
      </c>
      <c r="AO6" s="2668"/>
      <c r="AP6" s="2669"/>
      <c r="AQ6" s="2667" t="str">
        <f>'Fannie Historical Ops'!AI4</f>
        <v>Year</v>
      </c>
      <c r="AR6" s="2668"/>
      <c r="AS6" s="2669"/>
      <c r="AT6" s="2659"/>
      <c r="AU6" s="2667" t="str">
        <f>'Fannie Historical Ops'!AK4</f>
        <v>Year 1</v>
      </c>
      <c r="AV6" s="2668"/>
      <c r="AW6" s="2669"/>
      <c r="AX6" s="2660"/>
      <c r="AY6" s="2667" t="str">
        <f>AU6</f>
        <v>Year 1</v>
      </c>
      <c r="AZ6" s="2668"/>
      <c r="BA6" s="2669"/>
      <c r="BB6" s="2661"/>
      <c r="BC6" s="2667"/>
      <c r="BD6" s="2668"/>
      <c r="BE6" s="2669"/>
      <c r="BF6" s="2667" t="s">
        <v>1882</v>
      </c>
      <c r="BG6" s="2668"/>
      <c r="BH6" s="2669"/>
      <c r="BI6" s="2667"/>
      <c r="BJ6" s="2668"/>
      <c r="BK6" s="2669"/>
      <c r="BL6" s="2661"/>
    </row>
    <row r="7" ht="15" customHeight="1">
      <c r="A7" s="2649"/>
      <c r="B7" s="2650" t="s">
        <v>2437</v>
      </c>
      <c r="C7" s="2649"/>
      <c r="D7" s="2673"/>
      <c r="E7" s="2674"/>
      <c r="F7" s="2675"/>
      <c r="G7" s="2673"/>
      <c r="H7" s="2674"/>
      <c r="I7" s="2657"/>
      <c r="J7" s="2673"/>
      <c r="K7" s="2674"/>
      <c r="L7" s="2676"/>
      <c r="M7" s="2676"/>
      <c r="N7" s="2657"/>
      <c r="O7" s="2657"/>
      <c r="P7" s="2657"/>
      <c r="Q7" s="2657"/>
      <c r="R7" s="2657"/>
      <c r="S7" s="2657"/>
      <c r="T7" s="2657"/>
      <c r="U7" s="2657"/>
      <c r="V7" s="2657"/>
      <c r="W7" s="2657"/>
      <c r="X7" s="2657"/>
      <c r="Y7" s="2673"/>
      <c r="Z7" s="2674"/>
      <c r="AA7" s="2675"/>
      <c r="AB7" s="2673"/>
      <c r="AC7" s="2674"/>
      <c r="AD7" s="2657"/>
      <c r="AE7" s="2673"/>
      <c r="AF7" s="2674"/>
      <c r="AG7" s="2657"/>
      <c r="AH7" s="2673"/>
      <c r="AI7" s="2674"/>
      <c r="AJ7" s="2657"/>
      <c r="AK7" s="2673"/>
      <c r="AL7" s="2677"/>
      <c r="AM7" s="2657"/>
      <c r="AN7" s="2673"/>
      <c r="AO7" s="2677"/>
      <c r="AP7" s="2657"/>
      <c r="AQ7" s="2673"/>
      <c r="AR7" s="2674"/>
      <c r="AS7" s="2675"/>
      <c r="AT7" s="2659"/>
      <c r="AU7" s="2673"/>
      <c r="AV7" s="2677"/>
      <c r="AW7" s="2657"/>
      <c r="AX7" s="2659"/>
      <c r="AY7" s="2673"/>
      <c r="AZ7" s="2677"/>
      <c r="BA7" s="2657"/>
      <c r="BB7" s="2661"/>
      <c r="BC7" s="2673"/>
      <c r="BD7" s="2677"/>
      <c r="BE7" s="2657"/>
      <c r="BF7" s="2673"/>
      <c r="BG7" s="2677"/>
      <c r="BH7" s="2657"/>
      <c r="BI7" s="2673"/>
      <c r="BJ7" s="2677"/>
      <c r="BK7" s="2657"/>
      <c r="BL7" s="2661"/>
    </row>
    <row r="8" ht="15" customHeight="1">
      <c r="A8" s="2649"/>
      <c r="B8" s="2650"/>
      <c r="C8" s="2649"/>
      <c r="D8" s="2661"/>
      <c r="E8" s="2651" t="s">
        <v>1878</v>
      </c>
      <c r="F8" s="2678" t="s">
        <v>2438</v>
      </c>
      <c r="G8" s="2661"/>
      <c r="H8" s="2651" t="s">
        <v>1878</v>
      </c>
      <c r="I8" s="2665" t="s">
        <v>2438</v>
      </c>
      <c r="J8" s="2661"/>
      <c r="K8" s="2651" t="s">
        <v>1878</v>
      </c>
      <c r="L8" s="2659" t="s">
        <v>2438</v>
      </c>
      <c r="M8" s="2659"/>
      <c r="N8" s="2665"/>
      <c r="O8" s="2665"/>
      <c r="P8" s="2665"/>
      <c r="Q8" s="2665"/>
      <c r="R8" s="2665"/>
      <c r="S8" s="2665"/>
      <c r="T8" s="2665"/>
      <c r="U8" s="2665"/>
      <c r="V8" s="2665"/>
      <c r="W8" s="2665"/>
      <c r="X8" s="2665"/>
      <c r="Y8" s="2661"/>
      <c r="Z8" s="2651" t="s">
        <v>1878</v>
      </c>
      <c r="AA8" s="2678" t="s">
        <v>2438</v>
      </c>
      <c r="AB8" s="2661"/>
      <c r="AC8" s="2651" t="s">
        <v>1878</v>
      </c>
      <c r="AD8" s="2665" t="s">
        <v>2438</v>
      </c>
      <c r="AE8" s="2661"/>
      <c r="AF8" s="2651" t="s">
        <v>1878</v>
      </c>
      <c r="AG8" s="2665" t="s">
        <v>2438</v>
      </c>
      <c r="AH8" s="2661"/>
      <c r="AI8" s="2651" t="s">
        <v>1878</v>
      </c>
      <c r="AJ8" s="2678" t="s">
        <v>2438</v>
      </c>
      <c r="AK8" s="2679"/>
      <c r="AL8" s="2651" t="s">
        <v>1878</v>
      </c>
      <c r="AM8" s="2678" t="s">
        <v>2438</v>
      </c>
      <c r="AN8" s="2679"/>
      <c r="AO8" s="2651" t="s">
        <v>1878</v>
      </c>
      <c r="AP8" s="2678" t="s">
        <v>2438</v>
      </c>
      <c r="AQ8" s="2679"/>
      <c r="AR8" s="2651" t="s">
        <v>1878</v>
      </c>
      <c r="AS8" s="2678" t="s">
        <v>2438</v>
      </c>
      <c r="AT8" s="2659"/>
      <c r="AU8" s="2661"/>
      <c r="AV8" s="2651" t="s">
        <v>1878</v>
      </c>
      <c r="AW8" s="2665" t="s">
        <v>2438</v>
      </c>
      <c r="AX8" s="2680"/>
      <c r="AY8" s="2661"/>
      <c r="AZ8" s="2651" t="s">
        <v>1878</v>
      </c>
      <c r="BA8" s="2665" t="s">
        <v>2438</v>
      </c>
      <c r="BB8" s="2661"/>
      <c r="BC8" s="2661"/>
      <c r="BD8" s="2651" t="s">
        <v>1878</v>
      </c>
      <c r="BE8" s="2665" t="s">
        <v>2438</v>
      </c>
      <c r="BF8" s="2661"/>
      <c r="BG8" s="2651" t="s">
        <v>1878</v>
      </c>
      <c r="BH8" s="2665" t="s">
        <v>2438</v>
      </c>
      <c r="BI8" s="2661"/>
      <c r="BJ8" s="2651"/>
      <c r="BK8" s="2665" t="s">
        <v>2438</v>
      </c>
      <c r="BL8" s="2661"/>
    </row>
    <row r="9" ht="15" customHeight="1">
      <c r="A9" s="2649"/>
      <c r="B9" s="2650" t="str">
        <f>'Fannie Historical Ops'!B5</f>
        <v>Gross Potential Rent (GPR)</v>
      </c>
      <c r="C9" s="2649"/>
      <c r="D9" s="2681">
        <f>'Fannie Historical Ops'!D5</f>
        <v>0</v>
      </c>
      <c r="E9" s="2682">
        <f t="shared" si="1" ref="E9:BG9">IF(D9=0,0,D9/$C$3/12)</f>
        <v>0</v>
      </c>
      <c r="F9" s="2683">
        <f t="shared" si="2" ref="F9:BK9">IF(D9=0,0,D9/TotalBeds/12)</f>
        <v>0</v>
      </c>
      <c r="G9" s="2681">
        <f>'Fannie Historical Ops'!F5</f>
        <v>0</v>
      </c>
      <c r="H9" s="2682">
        <f t="shared" si="1"/>
        <v>0</v>
      </c>
      <c r="I9" s="2684">
        <f t="shared" si="2"/>
        <v>0</v>
      </c>
      <c r="J9" s="2681">
        <f>'Fannie Historical Ops'!H5</f>
        <v>0</v>
      </c>
      <c r="K9" s="2682">
        <f t="shared" si="1"/>
        <v>0</v>
      </c>
      <c r="L9" s="2685">
        <f t="shared" si="2"/>
        <v>0</v>
      </c>
      <c r="M9" s="2685">
        <f>'Fannie Historical Ops'!J5</f>
        <v>5028324</v>
      </c>
      <c r="N9" s="2684">
        <f>'Fannie Historical Ops'!K5</f>
        <v>5023599.2727272725</v>
      </c>
      <c r="O9" s="2684">
        <f>'Fannie Historical Ops'!L5</f>
        <v>5019590.4</v>
      </c>
      <c r="P9" s="2684">
        <f>'Fannie Historical Ops'!M5</f>
        <v>5055228</v>
      </c>
      <c r="Q9" s="2684">
        <f>'Fannie Historical Ops'!N5</f>
        <v>5056887</v>
      </c>
      <c r="R9" s="2684">
        <f>'Fannie Historical Ops'!O5</f>
        <v>5050911.428571429</v>
      </c>
      <c r="S9" s="2684">
        <f>'Fannie Historical Ops'!P5</f>
        <v>5103032</v>
      </c>
      <c r="T9" s="2684">
        <f>'Fannie Historical Ops'!Q5</f>
        <v>5146665.6</v>
      </c>
      <c r="U9" s="2684">
        <f>'Fannie Historical Ops'!R5</f>
        <v>5161863</v>
      </c>
      <c r="V9" s="2684">
        <f>'Fannie Historical Ops'!S5</f>
        <v>5135568</v>
      </c>
      <c r="W9" s="2684">
        <f>'Fannie Historical Ops'!T5</f>
        <v>5157234</v>
      </c>
      <c r="X9" s="2684">
        <f>'Fannie Historical Ops'!U5</f>
        <v>5113104</v>
      </c>
      <c r="Y9" s="2681">
        <f>'Fannie Historical Ops'!W5</f>
        <v>5028324</v>
      </c>
      <c r="Z9" s="2682">
        <f t="shared" si="1"/>
        <v>4929.729411764706</v>
      </c>
      <c r="AA9" s="2683" t="e">
        <f t="shared" si="2"/>
        <v>#DIV/0!</v>
      </c>
      <c r="AB9" s="2681">
        <f>'Fannie Historical Ops'!Y5</f>
        <v>0</v>
      </c>
      <c r="AC9" s="2682">
        <f t="shared" si="1"/>
        <v>0</v>
      </c>
      <c r="AD9" s="2684">
        <f t="shared" si="2"/>
        <v>0</v>
      </c>
      <c r="AE9" s="2681">
        <f>'Fannie Historical Ops'!AA5</f>
        <v>0</v>
      </c>
      <c r="AF9" s="2682">
        <f t="shared" si="1"/>
        <v>0</v>
      </c>
      <c r="AG9" s="2684">
        <f t="shared" si="2"/>
        <v>0</v>
      </c>
      <c r="AH9" s="2681">
        <f>'Fannie Historical Ops'!AC5</f>
        <v>0</v>
      </c>
      <c r="AI9" s="2682">
        <f t="shared" si="1"/>
        <v>0</v>
      </c>
      <c r="AJ9" s="2684">
        <f t="shared" si="2"/>
        <v>0</v>
      </c>
      <c r="AK9" s="2681">
        <f>'Fannie Historical Ops'!AE5</f>
        <v>0</v>
      </c>
      <c r="AL9" s="2686">
        <f t="shared" si="1"/>
        <v>0</v>
      </c>
      <c r="AM9" s="2684">
        <f t="shared" si="2"/>
        <v>0</v>
      </c>
      <c r="AN9" s="2681">
        <f>'Fannie Historical Ops'!AG5</f>
        <v>0</v>
      </c>
      <c r="AO9" s="2686">
        <f t="shared" si="1"/>
        <v>0</v>
      </c>
      <c r="AP9" s="2684">
        <f t="shared" si="2"/>
        <v>0</v>
      </c>
      <c r="AQ9" s="2681">
        <f>'Fannie Historical Ops'!AI5</f>
        <v>0</v>
      </c>
      <c r="AR9" s="2682">
        <f t="shared" si="1"/>
        <v>0</v>
      </c>
      <c r="AS9" s="2683">
        <f t="shared" si="2"/>
        <v>0</v>
      </c>
      <c r="AT9" s="2659"/>
      <c r="AU9" s="2681">
        <f>ROUND('Fannie Historical Ops'!AK5,2)</f>
        <v>1556580</v>
      </c>
      <c r="AV9" s="2686">
        <f t="shared" si="1"/>
        <v>1526.0588235294117</v>
      </c>
      <c r="AW9" s="2684" t="e">
        <f t="shared" si="2"/>
        <v>#DIV/0!</v>
      </c>
      <c r="AX9" s="2687"/>
      <c r="AY9" s="2681">
        <f>'Fannie Historical Ops'!AM5</f>
        <v>0</v>
      </c>
      <c r="AZ9" s="2686">
        <f t="shared" si="1"/>
        <v>0</v>
      </c>
      <c r="BA9" s="2684">
        <f t="shared" si="2"/>
        <v>0</v>
      </c>
      <c r="BB9" s="2661"/>
      <c r="BC9" s="2681">
        <f t="shared" si="5" ref="BC9:BC82">AVERAGE(D9,G9,J9)</f>
        <v>0</v>
      </c>
      <c r="BD9" s="2686">
        <f t="shared" si="1"/>
        <v>0</v>
      </c>
      <c r="BE9" s="2684">
        <f t="shared" si="2"/>
        <v>0</v>
      </c>
      <c r="BF9" s="2681">
        <f t="shared" si="6" ref="BF9:BF82">Y9*1.03</f>
        <v>5179173.72</v>
      </c>
      <c r="BG9" s="2686">
        <f t="shared" si="1"/>
        <v>5077.621294117646</v>
      </c>
      <c r="BH9" s="2684" t="e">
        <f t="shared" si="2"/>
        <v>#DIV/0!</v>
      </c>
      <c r="BI9" s="2681"/>
      <c r="BJ9" s="2686"/>
      <c r="BK9" s="2684">
        <f t="shared" si="2"/>
        <v>0</v>
      </c>
      <c r="BL9" s="2661"/>
    </row>
    <row r="10" ht="15" customHeight="1">
      <c r="A10" s="2649"/>
      <c r="B10" s="2650" t="str">
        <f>'Fannie Historical Ops'!B6</f>
        <v>Less Vacancy Loss</v>
      </c>
      <c r="C10" s="2649"/>
      <c r="D10" s="2688">
        <f>'Fannie Historical Ops'!D6</f>
        <v>0</v>
      </c>
      <c r="E10" s="2689">
        <f t="shared" si="3" ref="E10:AZ12">IF(D10=0,0,D10/D$9)*-1</f>
        <v>0</v>
      </c>
      <c r="F10" s="2690">
        <f t="shared" si="4" ref="F10:BK12">IF(D10=0,0,D10/D$9)*-1</f>
        <v>0</v>
      </c>
      <c r="G10" s="2688">
        <f>'Fannie Historical Ops'!F6</f>
        <v>0</v>
      </c>
      <c r="H10" s="2689">
        <f t="shared" si="3"/>
        <v>0</v>
      </c>
      <c r="I10" s="2691">
        <f t="shared" si="4"/>
        <v>0</v>
      </c>
      <c r="J10" s="2688">
        <f>'Fannie Historical Ops'!H6</f>
        <v>0</v>
      </c>
      <c r="K10" s="2692">
        <f t="shared" si="3"/>
        <v>0</v>
      </c>
      <c r="L10" s="2693">
        <f t="shared" si="4"/>
        <v>0</v>
      </c>
      <c r="M10" s="2685">
        <f>'Fannie Historical Ops'!J6</f>
        <v>-174838</v>
      </c>
      <c r="N10" s="2684">
        <f>'Fannie Historical Ops'!K6</f>
        <v>-174100.36363636365</v>
      </c>
      <c r="O10" s="2684">
        <f>'Fannie Historical Ops'!L6</f>
        <v>-167413.2</v>
      </c>
      <c r="P10" s="2684">
        <f>'Fannie Historical Ops'!M6</f>
        <v>-165697.33333333334</v>
      </c>
      <c r="Q10" s="2684">
        <f>'Fannie Historical Ops'!N6</f>
        <v>-151336.5</v>
      </c>
      <c r="R10" s="2684">
        <f>'Fannie Historical Ops'!O6</f>
        <v>-145505.14285714284</v>
      </c>
      <c r="S10" s="2684">
        <f>'Fannie Historical Ops'!P6</f>
        <v>-148634</v>
      </c>
      <c r="T10" s="2684">
        <f>'Fannie Historical Ops'!Q6</f>
        <v>-165321.59999999998</v>
      </c>
      <c r="U10" s="2684">
        <f>'Fannie Historical Ops'!R6</f>
        <v>-179808</v>
      </c>
      <c r="V10" s="2684">
        <f>'Fannie Historical Ops'!S6</f>
        <v>-186172</v>
      </c>
      <c r="W10" s="2684">
        <f>'Fannie Historical Ops'!T6</f>
        <v>-203988</v>
      </c>
      <c r="X10" s="2684">
        <f>'Fannie Historical Ops'!U6</f>
        <v>-229572</v>
      </c>
      <c r="Y10" s="2688">
        <f>'Fannie Historical Ops'!W6</f>
        <v>-174838</v>
      </c>
      <c r="Z10" s="2689">
        <f t="shared" si="3"/>
        <v>0.0347706313276551</v>
      </c>
      <c r="AA10" s="2690">
        <f t="shared" si="4"/>
        <v>0.0347706313276551</v>
      </c>
      <c r="AB10" s="2688">
        <f>'Fannie Historical Ops'!Y6</f>
        <v>0</v>
      </c>
      <c r="AC10" s="2689">
        <f t="shared" si="3"/>
        <v>0</v>
      </c>
      <c r="AD10" s="2691">
        <f t="shared" si="4"/>
        <v>0</v>
      </c>
      <c r="AE10" s="2688">
        <f>'Fannie Historical Ops'!AA6</f>
        <v>0</v>
      </c>
      <c r="AF10" s="2689">
        <f t="shared" si="3"/>
        <v>0</v>
      </c>
      <c r="AG10" s="2691">
        <f t="shared" si="4"/>
        <v>0</v>
      </c>
      <c r="AH10" s="2688">
        <f>'Fannie Historical Ops'!AC6</f>
        <v>0</v>
      </c>
      <c r="AI10" s="2689">
        <f t="shared" si="3"/>
        <v>0</v>
      </c>
      <c r="AJ10" s="2691">
        <f t="shared" si="4"/>
        <v>0</v>
      </c>
      <c r="AK10" s="2688">
        <f>'Fannie Historical Ops'!AE6</f>
        <v>0</v>
      </c>
      <c r="AL10" s="2694">
        <f t="shared" si="3"/>
        <v>0</v>
      </c>
      <c r="AM10" s="2691">
        <f t="shared" si="4"/>
        <v>0</v>
      </c>
      <c r="AN10" s="2688">
        <f>'Fannie Historical Ops'!AG6</f>
        <v>0</v>
      </c>
      <c r="AO10" s="2694">
        <f t="shared" si="3"/>
        <v>0</v>
      </c>
      <c r="AP10" s="2691">
        <f t="shared" si="4"/>
        <v>0</v>
      </c>
      <c r="AQ10" s="2688">
        <f>'Fannie Historical Ops'!AI6</f>
        <v>0</v>
      </c>
      <c r="AR10" s="2689">
        <f t="shared" si="3"/>
        <v>0</v>
      </c>
      <c r="AS10" s="2690">
        <f t="shared" si="4"/>
        <v>0</v>
      </c>
      <c r="AT10" s="2659"/>
      <c r="AU10" s="2688">
        <f>ROUND('Fannie Historical Ops'!AK6,2)</f>
        <v>-186172</v>
      </c>
      <c r="AV10" s="2694">
        <f t="shared" si="3"/>
        <v>0.11960323272816045</v>
      </c>
      <c r="AW10" s="2695">
        <f t="shared" si="4"/>
        <v>0.11960323272816045</v>
      </c>
      <c r="AX10" s="2687"/>
      <c r="AY10" s="2688">
        <f>'Fannie Historical Ops'!AM6</f>
        <v>0</v>
      </c>
      <c r="AZ10" s="2694">
        <f t="shared" si="3"/>
        <v>0</v>
      </c>
      <c r="BA10" s="2695">
        <f t="shared" si="4"/>
        <v>0</v>
      </c>
      <c r="BB10" s="2661"/>
      <c r="BC10" s="2688">
        <f t="shared" si="5"/>
        <v>0</v>
      </c>
      <c r="BD10" s="2694">
        <f t="shared" si="7" ref="BD10:BG12">IF(BC10=0,0,BC10/BC$9)</f>
        <v>0</v>
      </c>
      <c r="BE10" s="2695">
        <f t="shared" si="4"/>
        <v>0</v>
      </c>
      <c r="BF10" s="2688">
        <f t="shared" si="6"/>
        <v>-180083.14</v>
      </c>
      <c r="BG10" s="2694">
        <f t="shared" si="7"/>
        <v>-0.0347706313276551</v>
      </c>
      <c r="BH10" s="2695">
        <f t="shared" si="4"/>
        <v>0.0347706313276551</v>
      </c>
      <c r="BI10" s="2688"/>
      <c r="BJ10" s="2694"/>
      <c r="BK10" s="2695">
        <f t="shared" si="4"/>
        <v>0</v>
      </c>
      <c r="BL10" s="2661"/>
    </row>
    <row r="11" ht="15" customHeight="1">
      <c r="A11" s="2649"/>
      <c r="B11" s="2650" t="str">
        <f>'Fannie Historical Ops'!B7</f>
        <v>Less Bad Debt</v>
      </c>
      <c r="C11" s="2649"/>
      <c r="D11" s="2688">
        <f>'Fannie Historical Ops'!D7</f>
        <v>0</v>
      </c>
      <c r="E11" s="2689">
        <f t="shared" si="3"/>
        <v>0</v>
      </c>
      <c r="F11" s="2690">
        <f t="shared" si="4"/>
        <v>0</v>
      </c>
      <c r="G11" s="2688">
        <f>'Fannie Historical Ops'!F7</f>
        <v>0</v>
      </c>
      <c r="H11" s="2689">
        <f t="shared" si="3"/>
        <v>0</v>
      </c>
      <c r="I11" s="2691">
        <f t="shared" si="4"/>
        <v>0</v>
      </c>
      <c r="J11" s="2688">
        <f>'Fannie Historical Ops'!H7</f>
        <v>0</v>
      </c>
      <c r="K11" s="2692">
        <f t="shared" si="3"/>
        <v>0</v>
      </c>
      <c r="L11" s="2693">
        <f t="shared" si="4"/>
        <v>0</v>
      </c>
      <c r="M11" s="2685">
        <f>'Fannie Historical Ops'!J7</f>
        <v>-46354</v>
      </c>
      <c r="N11" s="2684">
        <f>'Fannie Historical Ops'!K7</f>
        <v>-50590.90909090909</v>
      </c>
      <c r="O11" s="2684">
        <f>'Fannie Historical Ops'!L7</f>
        <v>-56042.399999999994</v>
      </c>
      <c r="P11" s="2684">
        <f>'Fannie Historical Ops'!M7</f>
        <v>-58862.66666666667</v>
      </c>
      <c r="Q11" s="2684">
        <f>'Fannie Historical Ops'!N7</f>
        <v>-56860.5</v>
      </c>
      <c r="R11" s="2684">
        <f>'Fannie Historical Ops'!O7</f>
        <v>-55020</v>
      </c>
      <c r="S11" s="2684">
        <f>'Fannie Historical Ops'!P7</f>
        <v>-45414</v>
      </c>
      <c r="T11" s="2684">
        <f>'Fannie Historical Ops'!Q7</f>
        <v>-33984</v>
      </c>
      <c r="U11" s="2684">
        <f>'Fannie Historical Ops'!R7</f>
        <v>-31167</v>
      </c>
      <c r="V11" s="2684">
        <f>'Fannie Historical Ops'!S7</f>
        <v>-44520</v>
      </c>
      <c r="W11" s="2684">
        <f>'Fannie Historical Ops'!T7</f>
        <v>-35256</v>
      </c>
      <c r="X11" s="2684">
        <f>'Fannie Historical Ops'!U7</f>
        <v>-60120</v>
      </c>
      <c r="Y11" s="2688">
        <f>'Fannie Historical Ops'!W7</f>
        <v>-46354</v>
      </c>
      <c r="Z11" s="2689">
        <f t="shared" si="3"/>
        <v>0.009218578595969551</v>
      </c>
      <c r="AA11" s="2690">
        <f t="shared" si="4"/>
        <v>0.009218578595969551</v>
      </c>
      <c r="AB11" s="2688">
        <f>'Fannie Historical Ops'!Y7</f>
        <v>0</v>
      </c>
      <c r="AC11" s="2689">
        <f t="shared" si="3"/>
        <v>0</v>
      </c>
      <c r="AD11" s="2691">
        <f t="shared" si="4"/>
        <v>0</v>
      </c>
      <c r="AE11" s="2688">
        <f>'Fannie Historical Ops'!AA7</f>
        <v>0</v>
      </c>
      <c r="AF11" s="2689">
        <f t="shared" si="3"/>
        <v>0</v>
      </c>
      <c r="AG11" s="2691">
        <f t="shared" si="4"/>
        <v>0</v>
      </c>
      <c r="AH11" s="2688">
        <f>'Fannie Historical Ops'!AC7</f>
        <v>0</v>
      </c>
      <c r="AI11" s="2689">
        <f t="shared" si="3"/>
        <v>0</v>
      </c>
      <c r="AJ11" s="2691">
        <f t="shared" si="4"/>
        <v>0</v>
      </c>
      <c r="AK11" s="2688">
        <f>'Fannie Historical Ops'!AE7</f>
        <v>0</v>
      </c>
      <c r="AL11" s="2694">
        <f t="shared" si="3"/>
        <v>0</v>
      </c>
      <c r="AM11" s="2691">
        <f t="shared" si="4"/>
        <v>0</v>
      </c>
      <c r="AN11" s="2688">
        <f>'Fannie Historical Ops'!AG7</f>
        <v>0</v>
      </c>
      <c r="AO11" s="2694">
        <f t="shared" si="3"/>
        <v>0</v>
      </c>
      <c r="AP11" s="2691">
        <f t="shared" si="4"/>
        <v>0</v>
      </c>
      <c r="AQ11" s="2688">
        <f>'Fannie Historical Ops'!AI7</f>
        <v>0</v>
      </c>
      <c r="AR11" s="2689">
        <f t="shared" si="3"/>
        <v>0</v>
      </c>
      <c r="AS11" s="2690">
        <f t="shared" si="4"/>
        <v>0</v>
      </c>
      <c r="AT11" s="2659"/>
      <c r="AU11" s="2688">
        <f>ROUND('Fannie Historical Ops'!AK7,2)</f>
        <v>-44520</v>
      </c>
      <c r="AV11" s="2694">
        <f t="shared" si="3"/>
        <v>0.028601164090506108</v>
      </c>
      <c r="AW11" s="2695">
        <f t="shared" si="4"/>
        <v>0.028601164090506108</v>
      </c>
      <c r="AX11" s="2687"/>
      <c r="AY11" s="2688">
        <f>'Fannie Historical Ops'!AM7</f>
        <v>0</v>
      </c>
      <c r="AZ11" s="2694">
        <f t="shared" si="3"/>
        <v>0</v>
      </c>
      <c r="BA11" s="2695">
        <f t="shared" si="4"/>
        <v>0</v>
      </c>
      <c r="BB11" s="2661"/>
      <c r="BC11" s="2688">
        <f t="shared" si="5"/>
        <v>0</v>
      </c>
      <c r="BD11" s="2694">
        <f t="shared" si="7"/>
        <v>0</v>
      </c>
      <c r="BE11" s="2695">
        <f t="shared" si="4"/>
        <v>0</v>
      </c>
      <c r="BF11" s="2688">
        <f t="shared" si="6"/>
        <v>-47744.62</v>
      </c>
      <c r="BG11" s="2694">
        <f t="shared" si="7"/>
        <v>-0.009218578595969553</v>
      </c>
      <c r="BH11" s="2695">
        <f t="shared" si="4"/>
        <v>0.009218578595969553</v>
      </c>
      <c r="BI11" s="2688"/>
      <c r="BJ11" s="2694"/>
      <c r="BK11" s="2695">
        <f t="shared" si="4"/>
        <v>0</v>
      </c>
      <c r="BL11" s="2661"/>
    </row>
    <row r="12" ht="15.75" customHeight="1">
      <c r="A12" s="2649"/>
      <c r="B12" s="2650" t="str">
        <f>'Fannie Historical Ops'!B8</f>
        <v>Less Concessions</v>
      </c>
      <c r="C12" s="2649"/>
      <c r="D12" s="2688">
        <f>'Fannie Historical Ops'!D8</f>
        <v>0</v>
      </c>
      <c r="E12" s="2689">
        <f t="shared" si="3"/>
        <v>0</v>
      </c>
      <c r="F12" s="2690">
        <f t="shared" si="4"/>
        <v>0</v>
      </c>
      <c r="G12" s="2688">
        <f>'Fannie Historical Ops'!F8</f>
        <v>0</v>
      </c>
      <c r="H12" s="2689">
        <f t="shared" si="3"/>
        <v>0</v>
      </c>
      <c r="I12" s="2691">
        <f t="shared" si="4"/>
        <v>0</v>
      </c>
      <c r="J12" s="2688">
        <f>'Fannie Historical Ops'!H8</f>
        <v>0</v>
      </c>
      <c r="K12" s="2692">
        <f t="shared" si="3"/>
        <v>0</v>
      </c>
      <c r="L12" s="2693">
        <f t="shared" si="4"/>
        <v>0</v>
      </c>
      <c r="M12" s="2685">
        <f>'Fannie Historical Ops'!J8</f>
        <v>0</v>
      </c>
      <c r="N12" s="2684">
        <f>'Fannie Historical Ops'!K8</f>
        <v>0</v>
      </c>
      <c r="O12" s="2684">
        <f>'Fannie Historical Ops'!L8</f>
        <v>0</v>
      </c>
      <c r="P12" s="2684">
        <f>'Fannie Historical Ops'!M8</f>
        <v>0</v>
      </c>
      <c r="Q12" s="2684">
        <f>'Fannie Historical Ops'!N8</f>
        <v>0</v>
      </c>
      <c r="R12" s="2684">
        <f>'Fannie Historical Ops'!O8</f>
        <v>0</v>
      </c>
      <c r="S12" s="2684">
        <f>'Fannie Historical Ops'!P8</f>
        <v>0</v>
      </c>
      <c r="T12" s="2684">
        <f>'Fannie Historical Ops'!Q8</f>
        <v>0</v>
      </c>
      <c r="U12" s="2684">
        <f>'Fannie Historical Ops'!R8</f>
        <v>0</v>
      </c>
      <c r="V12" s="2684">
        <f>'Fannie Historical Ops'!S8</f>
        <v>0</v>
      </c>
      <c r="W12" s="2684">
        <f>'Fannie Historical Ops'!T8</f>
        <v>0</v>
      </c>
      <c r="X12" s="2684">
        <f>'Fannie Historical Ops'!U8</f>
        <v>0</v>
      </c>
      <c r="Y12" s="2688">
        <f>'Fannie Historical Ops'!W8</f>
        <v>0</v>
      </c>
      <c r="Z12" s="2689">
        <f t="shared" si="3"/>
        <v>0</v>
      </c>
      <c r="AA12" s="2690">
        <f t="shared" si="4"/>
        <v>0</v>
      </c>
      <c r="AB12" s="2688">
        <f>'Fannie Historical Ops'!Y8</f>
        <v>0</v>
      </c>
      <c r="AC12" s="2689">
        <f t="shared" si="3"/>
        <v>0</v>
      </c>
      <c r="AD12" s="2691">
        <f t="shared" si="4"/>
        <v>0</v>
      </c>
      <c r="AE12" s="2688">
        <f>'Fannie Historical Ops'!AA8</f>
        <v>0</v>
      </c>
      <c r="AF12" s="2689">
        <f t="shared" si="3"/>
        <v>0</v>
      </c>
      <c r="AG12" s="2691">
        <f t="shared" si="4"/>
        <v>0</v>
      </c>
      <c r="AH12" s="2688">
        <f>'Fannie Historical Ops'!AC8</f>
        <v>0</v>
      </c>
      <c r="AI12" s="2689">
        <f t="shared" si="3"/>
        <v>0</v>
      </c>
      <c r="AJ12" s="2691">
        <f t="shared" si="4"/>
        <v>0</v>
      </c>
      <c r="AK12" s="2688">
        <f>'Fannie Historical Ops'!AE8</f>
        <v>0</v>
      </c>
      <c r="AL12" s="2694">
        <f t="shared" si="3"/>
        <v>0</v>
      </c>
      <c r="AM12" s="2691">
        <f t="shared" si="4"/>
        <v>0</v>
      </c>
      <c r="AN12" s="2688">
        <f>'Fannie Historical Ops'!AG8</f>
        <v>0</v>
      </c>
      <c r="AO12" s="2694">
        <f t="shared" si="3"/>
        <v>0</v>
      </c>
      <c r="AP12" s="2691">
        <f t="shared" si="4"/>
        <v>0</v>
      </c>
      <c r="AQ12" s="2688">
        <f>'Fannie Historical Ops'!AI8</f>
        <v>0</v>
      </c>
      <c r="AR12" s="2689">
        <f t="shared" si="3"/>
        <v>0</v>
      </c>
      <c r="AS12" s="2690">
        <f t="shared" si="4"/>
        <v>0</v>
      </c>
      <c r="AT12" s="2659"/>
      <c r="AU12" s="2688">
        <f>ROUND('Fannie Historical Ops'!AK8,2)</f>
        <v>0</v>
      </c>
      <c r="AV12" s="2694">
        <f t="shared" si="3"/>
        <v>0</v>
      </c>
      <c r="AW12" s="2695">
        <f t="shared" si="4"/>
        <v>0</v>
      </c>
      <c r="AX12" s="2687"/>
      <c r="AY12" s="2688">
        <f>'Fannie Historical Ops'!AM8</f>
        <v>0</v>
      </c>
      <c r="AZ12" s="2694">
        <f t="shared" si="3"/>
        <v>0</v>
      </c>
      <c r="BA12" s="2695">
        <f t="shared" si="4"/>
        <v>0</v>
      </c>
      <c r="BB12" s="2661"/>
      <c r="BC12" s="2688">
        <f t="shared" si="5"/>
        <v>0</v>
      </c>
      <c r="BD12" s="2694">
        <f t="shared" si="7"/>
        <v>0</v>
      </c>
      <c r="BE12" s="2695">
        <f t="shared" si="4"/>
        <v>0</v>
      </c>
      <c r="BF12" s="2688">
        <f t="shared" si="6"/>
        <v>0</v>
      </c>
      <c r="BG12" s="2694">
        <f t="shared" si="7"/>
        <v>0</v>
      </c>
      <c r="BH12" s="2695">
        <f t="shared" si="4"/>
        <v>0</v>
      </c>
      <c r="BI12" s="2688"/>
      <c r="BJ12" s="2694"/>
      <c r="BK12" s="2695">
        <f t="shared" si="4"/>
        <v>0</v>
      </c>
      <c r="BL12" s="2661"/>
    </row>
    <row r="13" ht="15.75" customHeight="1">
      <c r="A13" s="2649"/>
      <c r="B13" s="2696" t="str">
        <f>'Fannie Historical Ops'!B9</f>
        <v>Net Rentable Income</v>
      </c>
      <c r="C13" s="2697"/>
      <c r="D13" s="2698">
        <f>'Fannie Historical Ops'!D9</f>
        <v>0</v>
      </c>
      <c r="E13" s="2699">
        <f t="shared" si="8" ref="E13:BG31">ROUND(IF(D13=0,0,D13/$C$3/12),0)</f>
        <v>0</v>
      </c>
      <c r="F13" s="2700">
        <f t="shared" si="9" ref="F13:BK31">ROUND(IF(D13=0,0,D13/TotalBeds/12),0)</f>
        <v>0</v>
      </c>
      <c r="G13" s="2698">
        <f>'Fannie Historical Ops'!F9</f>
        <v>0</v>
      </c>
      <c r="H13" s="2699">
        <f t="shared" si="8"/>
        <v>0</v>
      </c>
      <c r="I13" s="2701">
        <f t="shared" si="9"/>
        <v>0</v>
      </c>
      <c r="J13" s="2698">
        <f>'Fannie Historical Ops'!H9</f>
        <v>0</v>
      </c>
      <c r="K13" s="2699">
        <f t="shared" si="8"/>
        <v>0</v>
      </c>
      <c r="L13" s="2702">
        <f t="shared" si="9"/>
        <v>0</v>
      </c>
      <c r="M13" s="2702">
        <f>'Fannie Historical Ops'!J9</f>
        <v>4807132</v>
      </c>
      <c r="N13" s="2701">
        <f>'Fannie Historical Ops'!K9</f>
        <v>4798908</v>
      </c>
      <c r="O13" s="2701">
        <f>'Fannie Historical Ops'!L9</f>
        <v>4796134.8</v>
      </c>
      <c r="P13" s="2701">
        <f>'Fannie Historical Ops'!M9</f>
        <v>4830668</v>
      </c>
      <c r="Q13" s="2701">
        <f>'Fannie Historical Ops'!N9</f>
        <v>4848690</v>
      </c>
      <c r="R13" s="2701">
        <f>'Fannie Historical Ops'!O9</f>
        <v>4850386.285714286</v>
      </c>
      <c r="S13" s="2701">
        <f>'Fannie Historical Ops'!P9</f>
        <v>4908984</v>
      </c>
      <c r="T13" s="2701">
        <f>'Fannie Historical Ops'!Q9</f>
        <v>4947360</v>
      </c>
      <c r="U13" s="2701">
        <f>'Fannie Historical Ops'!R9</f>
        <v>4950888</v>
      </c>
      <c r="V13" s="2701">
        <f>'Fannie Historical Ops'!S9</f>
        <v>4904876</v>
      </c>
      <c r="W13" s="2701">
        <f>'Fannie Historical Ops'!T9</f>
        <v>4917990</v>
      </c>
      <c r="X13" s="2701">
        <f>'Fannie Historical Ops'!U9</f>
        <v>4823412</v>
      </c>
      <c r="Y13" s="2698">
        <f>'Fannie Historical Ops'!W9</f>
        <v>4807132</v>
      </c>
      <c r="Z13" s="2699">
        <f t="shared" si="8"/>
        <v>4713</v>
      </c>
      <c r="AA13" s="2700" t="e">
        <f t="shared" si="9"/>
        <v>#DIV/0!</v>
      </c>
      <c r="AB13" s="2698">
        <f>'Fannie Historical Ops'!Y9</f>
        <v>0</v>
      </c>
      <c r="AC13" s="2700">
        <f t="shared" si="8"/>
        <v>0</v>
      </c>
      <c r="AD13" s="2684">
        <f t="shared" si="9"/>
        <v>0</v>
      </c>
      <c r="AE13" s="2698">
        <f>'Fannie Historical Ops'!AA9</f>
        <v>0</v>
      </c>
      <c r="AF13" s="2700">
        <f t="shared" si="8"/>
        <v>0</v>
      </c>
      <c r="AG13" s="2684">
        <f t="shared" si="9"/>
        <v>0</v>
      </c>
      <c r="AH13" s="2698">
        <f>'Fannie Historical Ops'!AC9</f>
        <v>0</v>
      </c>
      <c r="AI13" s="2699">
        <f t="shared" si="8"/>
        <v>0</v>
      </c>
      <c r="AJ13" s="2701">
        <f t="shared" si="9"/>
        <v>0</v>
      </c>
      <c r="AK13" s="2698">
        <f>'Fannie Historical Ops'!AE9</f>
        <v>0</v>
      </c>
      <c r="AL13" s="2703">
        <f t="shared" si="8"/>
        <v>0</v>
      </c>
      <c r="AM13" s="2701">
        <f t="shared" si="9"/>
        <v>0</v>
      </c>
      <c r="AN13" s="2698">
        <f>'Fannie Historical Ops'!AG9</f>
        <v>0</v>
      </c>
      <c r="AO13" s="2703">
        <f t="shared" si="8"/>
        <v>0</v>
      </c>
      <c r="AP13" s="2701">
        <f t="shared" si="9"/>
        <v>0</v>
      </c>
      <c r="AQ13" s="2698">
        <f>'Fannie Historical Ops'!AI9</f>
        <v>0</v>
      </c>
      <c r="AR13" s="2699">
        <f t="shared" si="8"/>
        <v>0</v>
      </c>
      <c r="AS13" s="2700">
        <f t="shared" si="9"/>
        <v>0</v>
      </c>
      <c r="AT13" s="2659"/>
      <c r="AU13" s="2698">
        <f>ROUND('Fannie Historical Ops'!AK9,2)</f>
        <v>1325888</v>
      </c>
      <c r="AV13" s="2703">
        <f t="shared" si="8"/>
        <v>1300</v>
      </c>
      <c r="AW13" s="2701" t="e">
        <f t="shared" si="9"/>
        <v>#DIV/0!</v>
      </c>
      <c r="AX13" s="2687"/>
      <c r="AY13" s="2698">
        <f>'Fannie Historical Ops'!AM9</f>
        <v>0</v>
      </c>
      <c r="AZ13" s="2703">
        <f t="shared" si="8"/>
        <v>0</v>
      </c>
      <c r="BA13" s="2701">
        <f t="shared" si="9"/>
        <v>0</v>
      </c>
      <c r="BB13" s="2661"/>
      <c r="BC13" s="2698">
        <f>SUM(BC9:BC12)</f>
        <v>0</v>
      </c>
      <c r="BD13" s="2703">
        <f t="shared" si="8"/>
        <v>0</v>
      </c>
      <c r="BE13" s="2701">
        <f t="shared" si="9"/>
        <v>0</v>
      </c>
      <c r="BF13" s="2698">
        <f t="shared" si="6"/>
        <v>4951345.96</v>
      </c>
      <c r="BG13" s="2703">
        <f t="shared" si="8"/>
        <v>4854</v>
      </c>
      <c r="BH13" s="2701" t="e">
        <f t="shared" si="9"/>
        <v>#DIV/0!</v>
      </c>
      <c r="BI13" s="2698"/>
      <c r="BJ13" s="2703"/>
      <c r="BK13" s="2701">
        <f t="shared" si="9"/>
        <v>0</v>
      </c>
      <c r="BL13" s="2661"/>
    </row>
    <row r="14" ht="15" customHeight="1">
      <c r="A14" s="2704"/>
      <c r="B14" s="2705" t="s">
        <v>1888</v>
      </c>
      <c r="D14" s="2706"/>
      <c r="E14" s="2707">
        <f t="shared" si="10" ref="E14:BG14">SUM(E10:E12)</f>
        <v>0</v>
      </c>
      <c r="F14" s="2707">
        <f t="shared" si="10"/>
        <v>0</v>
      </c>
      <c r="G14" s="2706"/>
      <c r="H14" s="2707">
        <f t="shared" si="10"/>
        <v>0</v>
      </c>
      <c r="I14" s="2707">
        <f t="shared" si="10"/>
        <v>0</v>
      </c>
      <c r="J14" s="2708"/>
      <c r="K14" s="2707">
        <f t="shared" si="10"/>
        <v>0</v>
      </c>
      <c r="L14" s="2709">
        <f t="shared" si="11" ref="L14:BK14">L10+L11+L12</f>
        <v>0</v>
      </c>
      <c r="M14" s="2710"/>
      <c r="N14" s="2711"/>
      <c r="O14" s="2711"/>
      <c r="P14" s="2711"/>
      <c r="Q14" s="2711"/>
      <c r="R14" s="2711"/>
      <c r="S14" s="2711"/>
      <c r="T14" s="2711"/>
      <c r="U14" s="2711"/>
      <c r="V14" s="2711"/>
      <c r="W14" s="2711"/>
      <c r="X14" s="2711"/>
      <c r="Y14" s="2706"/>
      <c r="Z14" s="2707">
        <f t="shared" si="10"/>
        <v>0.04398920992362465</v>
      </c>
      <c r="AA14" s="2707">
        <f t="shared" si="10"/>
        <v>0.04398920992362465</v>
      </c>
      <c r="AB14" s="2706"/>
      <c r="AC14" s="2707">
        <f t="shared" si="10"/>
        <v>0</v>
      </c>
      <c r="AD14" s="2707">
        <f t="shared" si="10"/>
        <v>0</v>
      </c>
      <c r="AE14" s="2706"/>
      <c r="AF14" s="2707">
        <f t="shared" si="10"/>
        <v>0</v>
      </c>
      <c r="AG14" s="2712">
        <f t="shared" si="11"/>
        <v>0</v>
      </c>
      <c r="AH14" s="2706"/>
      <c r="AI14" s="2707">
        <f t="shared" si="10"/>
        <v>0</v>
      </c>
      <c r="AJ14" s="2707">
        <f t="shared" si="10"/>
        <v>0</v>
      </c>
      <c r="AK14" s="2713"/>
      <c r="AL14" s="2707">
        <f t="shared" si="10"/>
        <v>0</v>
      </c>
      <c r="AM14" s="2707">
        <f t="shared" si="10"/>
        <v>0</v>
      </c>
      <c r="AN14" s="2713"/>
      <c r="AO14" s="2707">
        <f t="shared" si="10"/>
        <v>0</v>
      </c>
      <c r="AP14" s="2707">
        <f t="shared" si="10"/>
        <v>0</v>
      </c>
      <c r="AQ14" s="2713"/>
      <c r="AR14" s="2707">
        <f t="shared" si="10"/>
        <v>0</v>
      </c>
      <c r="AS14" s="2707">
        <f t="shared" si="10"/>
        <v>0</v>
      </c>
      <c r="AT14" s="2714"/>
      <c r="AU14" s="2715"/>
      <c r="AV14" s="2707">
        <f t="shared" si="10"/>
        <v>0.14820439681866657</v>
      </c>
      <c r="AW14" s="2711">
        <f t="shared" si="10"/>
        <v>0.14820439681866657</v>
      </c>
      <c r="AX14" s="2716"/>
      <c r="AY14" s="2715"/>
      <c r="AZ14" s="2707">
        <f t="shared" si="10"/>
        <v>0</v>
      </c>
      <c r="BA14" s="2711">
        <f t="shared" si="11"/>
        <v>0</v>
      </c>
      <c r="BB14" s="2713"/>
      <c r="BC14" s="2715"/>
      <c r="BD14" s="2707">
        <f t="shared" si="10"/>
        <v>0</v>
      </c>
      <c r="BE14" s="2711">
        <f t="shared" si="11"/>
        <v>0</v>
      </c>
      <c r="BF14" s="2715"/>
      <c r="BG14" s="2707">
        <f t="shared" si="10"/>
        <v>-0.04398920992362465</v>
      </c>
      <c r="BH14" s="2711">
        <f t="shared" si="11"/>
        <v>0.04398920992362465</v>
      </c>
      <c r="BI14" s="2715"/>
      <c r="BJ14" s="2707">
        <f>'Expense Comps.'!K215</f>
        <v>0</v>
      </c>
      <c r="BK14" s="2711">
        <f t="shared" si="11"/>
        <v>0</v>
      </c>
      <c r="BL14" s="2717"/>
    </row>
    <row r="15" ht="15" customHeight="1">
      <c r="A15" s="2649"/>
      <c r="B15" s="2650" t="str">
        <f>'Fannie Historical Ops'!B12</f>
        <v>Laundry/Vending Income (Net)</v>
      </c>
      <c r="C15" s="2649"/>
      <c r="D15" s="2681">
        <f>'Fannie Historical Ops'!D12</f>
        <v>0</v>
      </c>
      <c r="E15" s="2682">
        <f t="shared" si="8"/>
        <v>0</v>
      </c>
      <c r="F15" s="2683">
        <f t="shared" si="9"/>
        <v>0</v>
      </c>
      <c r="G15" s="2681">
        <f>'Fannie Historical Ops'!F12</f>
        <v>0</v>
      </c>
      <c r="H15" s="2682">
        <f t="shared" si="8"/>
        <v>0</v>
      </c>
      <c r="I15" s="2684">
        <f t="shared" si="9"/>
        <v>0</v>
      </c>
      <c r="J15" s="2681">
        <f>'Fannie Historical Ops'!H12</f>
        <v>0</v>
      </c>
      <c r="K15" s="2682">
        <f t="shared" si="8"/>
        <v>0</v>
      </c>
      <c r="L15" s="2685">
        <f t="shared" si="9"/>
        <v>0</v>
      </c>
      <c r="M15" s="2685">
        <f>'Fannie Historical Ops'!J12</f>
        <v>29692</v>
      </c>
      <c r="N15" s="2684">
        <f>'Fannie Historical Ops'!K12</f>
        <v>28677.818181818184</v>
      </c>
      <c r="O15" s="2684">
        <f>'Fannie Historical Ops'!L12</f>
        <v>31545.600000000002</v>
      </c>
      <c r="P15" s="2684">
        <f>'Fannie Historical Ops'!M12</f>
        <v>35050.666666666664</v>
      </c>
      <c r="Q15" s="2684">
        <f>'Fannie Historical Ops'!N12</f>
        <v>39432</v>
      </c>
      <c r="R15" s="2684">
        <f>'Fannie Historical Ops'!O12</f>
        <v>41098.28571428571</v>
      </c>
      <c r="S15" s="2684">
        <f>'Fannie Historical Ops'!P12</f>
        <v>32524</v>
      </c>
      <c r="T15" s="2684">
        <f>'Fannie Historical Ops'!Q12</f>
        <v>28526.399999999998</v>
      </c>
      <c r="U15" s="2684">
        <f>'Fannie Historical Ops'!R12</f>
        <v>28608</v>
      </c>
      <c r="V15" s="2684">
        <f>'Fannie Historical Ops'!S12</f>
        <v>29100</v>
      </c>
      <c r="W15" s="2684">
        <f>'Fannie Historical Ops'!T12</f>
        <v>27006</v>
      </c>
      <c r="X15" s="2684">
        <f>'Fannie Historical Ops'!U12</f>
        <v>25440</v>
      </c>
      <c r="Y15" s="2681">
        <f>'Fannie Historical Ops'!W12</f>
        <v>29692</v>
      </c>
      <c r="Z15" s="2682">
        <f t="shared" si="8"/>
        <v>29</v>
      </c>
      <c r="AA15" s="2683" t="e">
        <f t="shared" si="9"/>
        <v>#DIV/0!</v>
      </c>
      <c r="AB15" s="2681">
        <f>'Fannie Historical Ops'!Y12</f>
        <v>0</v>
      </c>
      <c r="AC15" s="2682">
        <f t="shared" si="8"/>
        <v>0</v>
      </c>
      <c r="AD15" s="2684">
        <f t="shared" si="9"/>
        <v>0</v>
      </c>
      <c r="AE15" s="2681">
        <f>'Fannie Historical Ops'!AA12</f>
        <v>0</v>
      </c>
      <c r="AF15" s="2682">
        <f t="shared" si="8"/>
        <v>0</v>
      </c>
      <c r="AG15" s="2684">
        <f t="shared" si="9"/>
        <v>0</v>
      </c>
      <c r="AH15" s="2681">
        <f>'Fannie Historical Ops'!AC12</f>
        <v>0</v>
      </c>
      <c r="AI15" s="2682">
        <f t="shared" si="8"/>
        <v>0</v>
      </c>
      <c r="AJ15" s="2684">
        <f t="shared" si="9"/>
        <v>0</v>
      </c>
      <c r="AK15" s="2681">
        <f>'Fannie Historical Ops'!AE12</f>
        <v>0</v>
      </c>
      <c r="AL15" s="2686">
        <f t="shared" si="8"/>
        <v>0</v>
      </c>
      <c r="AM15" s="2684">
        <f t="shared" si="9"/>
        <v>0</v>
      </c>
      <c r="AN15" s="2681">
        <f>'Fannie Historical Ops'!AG12</f>
        <v>0</v>
      </c>
      <c r="AO15" s="2686">
        <f t="shared" si="8"/>
        <v>0</v>
      </c>
      <c r="AP15" s="2684">
        <f t="shared" si="9"/>
        <v>0</v>
      </c>
      <c r="AQ15" s="2681">
        <f>'Fannie Historical Ops'!AI12</f>
        <v>0</v>
      </c>
      <c r="AR15" s="2682">
        <f t="shared" si="8"/>
        <v>0</v>
      </c>
      <c r="AS15" s="2683">
        <f t="shared" si="9"/>
        <v>0</v>
      </c>
      <c r="AT15" s="2659"/>
      <c r="AU15" s="2681">
        <f>ROUND('Fannie Historical Ops'!AK12,2)</f>
        <v>29692</v>
      </c>
      <c r="AV15" s="2686">
        <f t="shared" si="8"/>
        <v>29</v>
      </c>
      <c r="AW15" s="2684" t="e">
        <f t="shared" si="9"/>
        <v>#DIV/0!</v>
      </c>
      <c r="AX15" s="2687"/>
      <c r="AY15" s="2681">
        <f>'Fannie Historical Ops'!AM12</f>
        <v>0</v>
      </c>
      <c r="AZ15" s="2686">
        <f t="shared" si="8"/>
        <v>0</v>
      </c>
      <c r="BA15" s="2684">
        <f t="shared" si="9"/>
        <v>0</v>
      </c>
      <c r="BB15" s="2661"/>
      <c r="BC15" s="2681">
        <f t="shared" si="5"/>
        <v>0</v>
      </c>
      <c r="BD15" s="2686">
        <f t="shared" si="8"/>
        <v>0</v>
      </c>
      <c r="BE15" s="2684">
        <f t="shared" si="9"/>
        <v>0</v>
      </c>
      <c r="BF15" s="2681">
        <f t="shared" si="6"/>
        <v>30582.760000000002</v>
      </c>
      <c r="BG15" s="2686">
        <f t="shared" si="8"/>
        <v>30</v>
      </c>
      <c r="BH15" s="2684" t="e">
        <f t="shared" si="9"/>
        <v>#DIV/0!</v>
      </c>
      <c r="BI15" s="2681"/>
      <c r="BJ15" s="2686"/>
      <c r="BK15" s="2684">
        <f t="shared" si="9"/>
        <v>0</v>
      </c>
      <c r="BL15" s="2661"/>
    </row>
    <row r="16" ht="15" customHeight="1">
      <c r="A16" s="2649"/>
      <c r="B16" s="2650" t="str">
        <f>'Fannie Historical Ops'!B13</f>
        <v>Parking Income (Net)</v>
      </c>
      <c r="C16" s="2649"/>
      <c r="D16" s="2681">
        <f>'Fannie Historical Ops'!D13</f>
        <v>0</v>
      </c>
      <c r="E16" s="2682">
        <f t="shared" si="8"/>
        <v>0</v>
      </c>
      <c r="F16" s="2683">
        <f t="shared" si="9"/>
        <v>0</v>
      </c>
      <c r="G16" s="2681">
        <f>'Fannie Historical Ops'!F13</f>
        <v>0</v>
      </c>
      <c r="H16" s="2682">
        <f t="shared" si="8"/>
        <v>0</v>
      </c>
      <c r="I16" s="2684">
        <f t="shared" si="9"/>
        <v>0</v>
      </c>
      <c r="J16" s="2681">
        <f>'Fannie Historical Ops'!H13</f>
        <v>0</v>
      </c>
      <c r="K16" s="2682">
        <f t="shared" si="8"/>
        <v>0</v>
      </c>
      <c r="L16" s="2685">
        <f t="shared" si="9"/>
        <v>0</v>
      </c>
      <c r="M16" s="2685">
        <f>'Fannie Historical Ops'!J13</f>
        <v>0</v>
      </c>
      <c r="N16" s="2684">
        <f>'Fannie Historical Ops'!K13</f>
        <v>0</v>
      </c>
      <c r="O16" s="2684">
        <f>'Fannie Historical Ops'!L13</f>
        <v>0</v>
      </c>
      <c r="P16" s="2684">
        <f>'Fannie Historical Ops'!M13</f>
        <v>0</v>
      </c>
      <c r="Q16" s="2684">
        <f>'Fannie Historical Ops'!N13</f>
        <v>0</v>
      </c>
      <c r="R16" s="2684">
        <f>'Fannie Historical Ops'!O13</f>
        <v>0</v>
      </c>
      <c r="S16" s="2684">
        <f>'Fannie Historical Ops'!P13</f>
        <v>0</v>
      </c>
      <c r="T16" s="2684">
        <f>'Fannie Historical Ops'!Q13</f>
        <v>0</v>
      </c>
      <c r="U16" s="2684">
        <f>'Fannie Historical Ops'!R13</f>
        <v>0</v>
      </c>
      <c r="V16" s="2684">
        <f>'Fannie Historical Ops'!S13</f>
        <v>0</v>
      </c>
      <c r="W16" s="2684">
        <f>'Fannie Historical Ops'!T13</f>
        <v>0</v>
      </c>
      <c r="X16" s="2684">
        <f>'Fannie Historical Ops'!U13</f>
        <v>0</v>
      </c>
      <c r="Y16" s="2681">
        <f>'Fannie Historical Ops'!W13</f>
        <v>0</v>
      </c>
      <c r="Z16" s="2682">
        <f t="shared" si="8"/>
        <v>0</v>
      </c>
      <c r="AA16" s="2683">
        <f t="shared" si="9"/>
        <v>0</v>
      </c>
      <c r="AB16" s="2681">
        <f>'Fannie Historical Ops'!Y13</f>
        <v>0</v>
      </c>
      <c r="AC16" s="2682">
        <f t="shared" si="8"/>
        <v>0</v>
      </c>
      <c r="AD16" s="2684">
        <f t="shared" si="9"/>
        <v>0</v>
      </c>
      <c r="AE16" s="2681">
        <f>'Fannie Historical Ops'!AA13</f>
        <v>0</v>
      </c>
      <c r="AF16" s="2682">
        <f t="shared" si="8"/>
        <v>0</v>
      </c>
      <c r="AG16" s="2684">
        <f t="shared" si="9"/>
        <v>0</v>
      </c>
      <c r="AH16" s="2681">
        <f>'Fannie Historical Ops'!AC13</f>
        <v>0</v>
      </c>
      <c r="AI16" s="2682">
        <f t="shared" si="8"/>
        <v>0</v>
      </c>
      <c r="AJ16" s="2684">
        <f t="shared" si="9"/>
        <v>0</v>
      </c>
      <c r="AK16" s="2681">
        <f>'Fannie Historical Ops'!AE13</f>
        <v>0</v>
      </c>
      <c r="AL16" s="2686">
        <f t="shared" si="8"/>
        <v>0</v>
      </c>
      <c r="AM16" s="2684">
        <f t="shared" si="9"/>
        <v>0</v>
      </c>
      <c r="AN16" s="2681">
        <f>'Fannie Historical Ops'!AG13</f>
        <v>0</v>
      </c>
      <c r="AO16" s="2686">
        <f t="shared" si="8"/>
        <v>0</v>
      </c>
      <c r="AP16" s="2684">
        <f t="shared" si="9"/>
        <v>0</v>
      </c>
      <c r="AQ16" s="2681">
        <f>'Fannie Historical Ops'!AI13</f>
        <v>0</v>
      </c>
      <c r="AR16" s="2682">
        <f t="shared" si="8"/>
        <v>0</v>
      </c>
      <c r="AS16" s="2683">
        <f t="shared" si="9"/>
        <v>0</v>
      </c>
      <c r="AT16" s="2659"/>
      <c r="AU16" s="2681">
        <f>ROUND('Fannie Historical Ops'!AK13,2)</f>
        <v>0</v>
      </c>
      <c r="AV16" s="2686">
        <f t="shared" si="8"/>
        <v>0</v>
      </c>
      <c r="AW16" s="2684">
        <f t="shared" si="9"/>
        <v>0</v>
      </c>
      <c r="AX16" s="2687"/>
      <c r="AY16" s="2681">
        <f>'Fannie Historical Ops'!AM13</f>
        <v>0</v>
      </c>
      <c r="AZ16" s="2686">
        <f t="shared" si="8"/>
        <v>0</v>
      </c>
      <c r="BA16" s="2684">
        <f t="shared" si="9"/>
        <v>0</v>
      </c>
      <c r="BB16" s="2661"/>
      <c r="BC16" s="2681">
        <f t="shared" si="5"/>
        <v>0</v>
      </c>
      <c r="BD16" s="2686">
        <f t="shared" si="8"/>
        <v>0</v>
      </c>
      <c r="BE16" s="2684">
        <f t="shared" si="9"/>
        <v>0</v>
      </c>
      <c r="BF16" s="2681">
        <f t="shared" si="6"/>
        <v>0</v>
      </c>
      <c r="BG16" s="2686">
        <f t="shared" si="8"/>
        <v>0</v>
      </c>
      <c r="BH16" s="2684">
        <f t="shared" si="9"/>
        <v>0</v>
      </c>
      <c r="BI16" s="2681"/>
      <c r="BJ16" s="2686"/>
      <c r="BK16" s="2684">
        <f t="shared" si="9"/>
        <v>0</v>
      </c>
      <c r="BL16" s="2661"/>
    </row>
    <row r="17" ht="15" customHeight="1">
      <c r="A17" s="2649"/>
      <c r="B17" s="2650" t="str">
        <f>'Fannie Historical Ops'!B14</f>
        <v>Commercial Income (Net)</v>
      </c>
      <c r="C17" s="2649"/>
      <c r="D17" s="2681">
        <f>'Fannie Historical Ops'!D14</f>
        <v>0</v>
      </c>
      <c r="E17" s="2682">
        <f t="shared" si="8"/>
        <v>0</v>
      </c>
      <c r="F17" s="2683">
        <f t="shared" si="9"/>
        <v>0</v>
      </c>
      <c r="G17" s="2681">
        <f>'Fannie Historical Ops'!F14</f>
        <v>0</v>
      </c>
      <c r="H17" s="2682">
        <f t="shared" si="8"/>
        <v>0</v>
      </c>
      <c r="I17" s="2684">
        <f t="shared" si="9"/>
        <v>0</v>
      </c>
      <c r="J17" s="2681">
        <f>'Fannie Historical Ops'!H14</f>
        <v>0</v>
      </c>
      <c r="K17" s="2682">
        <f t="shared" si="8"/>
        <v>0</v>
      </c>
      <c r="L17" s="2685">
        <f t="shared" si="9"/>
        <v>0</v>
      </c>
      <c r="M17" s="2685">
        <f>'Fannie Historical Ops'!J14</f>
        <v>0</v>
      </c>
      <c r="N17" s="2684">
        <f>'Fannie Historical Ops'!K14</f>
        <v>0</v>
      </c>
      <c r="O17" s="2684">
        <f>'Fannie Historical Ops'!L14</f>
        <v>0</v>
      </c>
      <c r="P17" s="2684">
        <f>'Fannie Historical Ops'!M14</f>
        <v>0</v>
      </c>
      <c r="Q17" s="2684">
        <f>'Fannie Historical Ops'!N14</f>
        <v>0</v>
      </c>
      <c r="R17" s="2684">
        <f>'Fannie Historical Ops'!O14</f>
        <v>0</v>
      </c>
      <c r="S17" s="2684">
        <f>'Fannie Historical Ops'!P14</f>
        <v>0</v>
      </c>
      <c r="T17" s="2684">
        <f>'Fannie Historical Ops'!Q14</f>
        <v>0</v>
      </c>
      <c r="U17" s="2684">
        <f>'Fannie Historical Ops'!R14</f>
        <v>0</v>
      </c>
      <c r="V17" s="2684">
        <f>'Fannie Historical Ops'!S14</f>
        <v>0</v>
      </c>
      <c r="W17" s="2684">
        <f>'Fannie Historical Ops'!T14</f>
        <v>0</v>
      </c>
      <c r="X17" s="2684">
        <f>'Fannie Historical Ops'!U14</f>
        <v>0</v>
      </c>
      <c r="Y17" s="2681">
        <f>'Fannie Historical Ops'!W14</f>
        <v>0</v>
      </c>
      <c r="Z17" s="2682">
        <f t="shared" si="8"/>
        <v>0</v>
      </c>
      <c r="AA17" s="2683">
        <f t="shared" si="9"/>
        <v>0</v>
      </c>
      <c r="AB17" s="2681">
        <f>'Fannie Historical Ops'!Y14</f>
        <v>0</v>
      </c>
      <c r="AC17" s="2682">
        <f t="shared" si="8"/>
        <v>0</v>
      </c>
      <c r="AD17" s="2684">
        <f t="shared" si="9"/>
        <v>0</v>
      </c>
      <c r="AE17" s="2681">
        <f>'Fannie Historical Ops'!AA14</f>
        <v>0</v>
      </c>
      <c r="AF17" s="2682">
        <f t="shared" si="8"/>
        <v>0</v>
      </c>
      <c r="AG17" s="2684">
        <f t="shared" si="9"/>
        <v>0</v>
      </c>
      <c r="AH17" s="2681">
        <f>'Fannie Historical Ops'!AC14</f>
        <v>0</v>
      </c>
      <c r="AI17" s="2682">
        <f t="shared" si="8"/>
        <v>0</v>
      </c>
      <c r="AJ17" s="2684">
        <f t="shared" si="9"/>
        <v>0</v>
      </c>
      <c r="AK17" s="2681">
        <f>'Fannie Historical Ops'!AE14</f>
        <v>0</v>
      </c>
      <c r="AL17" s="2686">
        <f t="shared" si="8"/>
        <v>0</v>
      </c>
      <c r="AM17" s="2684">
        <f t="shared" si="9"/>
        <v>0</v>
      </c>
      <c r="AN17" s="2681">
        <f>'Fannie Historical Ops'!AG14</f>
        <v>0</v>
      </c>
      <c r="AO17" s="2686">
        <f t="shared" si="8"/>
        <v>0</v>
      </c>
      <c r="AP17" s="2684">
        <f t="shared" si="9"/>
        <v>0</v>
      </c>
      <c r="AQ17" s="2681">
        <f>'Fannie Historical Ops'!AI14</f>
        <v>0</v>
      </c>
      <c r="AR17" s="2682">
        <f t="shared" si="8"/>
        <v>0</v>
      </c>
      <c r="AS17" s="2683">
        <f t="shared" si="9"/>
        <v>0</v>
      </c>
      <c r="AT17" s="2659"/>
      <c r="AU17" s="2681">
        <f>ROUND('Fannie Historical Ops'!AK14,2)</f>
        <v>0</v>
      </c>
      <c r="AV17" s="2686">
        <f t="shared" si="8"/>
        <v>0</v>
      </c>
      <c r="AW17" s="2684">
        <f t="shared" si="9"/>
        <v>0</v>
      </c>
      <c r="AX17" s="2687"/>
      <c r="AY17" s="2681">
        <f>'Fannie Historical Ops'!AM14</f>
        <v>0</v>
      </c>
      <c r="AZ17" s="2686">
        <f t="shared" si="8"/>
        <v>0</v>
      </c>
      <c r="BA17" s="2684">
        <f t="shared" si="9"/>
        <v>0</v>
      </c>
      <c r="BB17" s="2661"/>
      <c r="BC17" s="2681">
        <f t="shared" si="5"/>
        <v>0</v>
      </c>
      <c r="BD17" s="2686">
        <f t="shared" si="8"/>
        <v>0</v>
      </c>
      <c r="BE17" s="2684">
        <f t="shared" si="9"/>
        <v>0</v>
      </c>
      <c r="BF17" s="2681">
        <f t="shared" si="6"/>
        <v>0</v>
      </c>
      <c r="BG17" s="2686">
        <f t="shared" si="8"/>
        <v>0</v>
      </c>
      <c r="BH17" s="2684">
        <f t="shared" si="9"/>
        <v>0</v>
      </c>
      <c r="BI17" s="2681"/>
      <c r="BJ17" s="2686"/>
      <c r="BK17" s="2684">
        <f t="shared" si="9"/>
        <v>0</v>
      </c>
      <c r="BL17" s="2661"/>
    </row>
    <row r="18" ht="15" customHeight="1">
      <c r="A18" s="2649"/>
      <c r="B18" s="2650" t="str">
        <f>'Fannie Historical Ops'!B15</f>
        <v>Other (describe)</v>
      </c>
      <c r="C18" s="2663"/>
      <c r="D18" s="2681"/>
      <c r="E18" s="2682"/>
      <c r="F18" s="2683"/>
      <c r="G18" s="2681"/>
      <c r="H18" s="2682"/>
      <c r="I18" s="2684"/>
      <c r="J18" s="2681"/>
      <c r="K18" s="2682"/>
      <c r="L18" s="2685"/>
      <c r="M18" s="2685"/>
      <c r="N18" s="2684"/>
      <c r="O18" s="2684"/>
      <c r="P18" s="2684"/>
      <c r="Q18" s="2684"/>
      <c r="R18" s="2684"/>
      <c r="S18" s="2684"/>
      <c r="T18" s="2684"/>
      <c r="U18" s="2684"/>
      <c r="V18" s="2684"/>
      <c r="W18" s="2684"/>
      <c r="X18" s="2684"/>
      <c r="Y18" s="2681"/>
      <c r="Z18" s="2682"/>
      <c r="AA18" s="2683"/>
      <c r="AB18" s="2681"/>
      <c r="AC18" s="2682"/>
      <c r="AD18" s="2684"/>
      <c r="AE18" s="2681"/>
      <c r="AF18" s="2682"/>
      <c r="AG18" s="2684"/>
      <c r="AH18" s="2681"/>
      <c r="AI18" s="2682"/>
      <c r="AJ18" s="2684"/>
      <c r="AK18" s="2681"/>
      <c r="AL18" s="2686"/>
      <c r="AM18" s="2684"/>
      <c r="AN18" s="2681"/>
      <c r="AO18" s="2686"/>
      <c r="AP18" s="2684"/>
      <c r="AQ18" s="2681"/>
      <c r="AR18" s="2682"/>
      <c r="AS18" s="2683"/>
      <c r="AT18" s="2659"/>
      <c r="AU18" s="2681"/>
      <c r="AV18" s="2686"/>
      <c r="AW18" s="2684"/>
      <c r="AX18" s="2687"/>
      <c r="AY18" s="2681"/>
      <c r="AZ18" s="2686"/>
      <c r="BA18" s="2684"/>
      <c r="BB18" s="2661"/>
      <c r="BC18" s="2681"/>
      <c r="BD18" s="2686"/>
      <c r="BE18" s="2684"/>
      <c r="BF18" s="2681"/>
      <c r="BG18" s="2686"/>
      <c r="BH18" s="2684"/>
      <c r="BI18" s="2681"/>
      <c r="BJ18" s="2686"/>
      <c r="BK18" s="2684"/>
      <c r="BL18" s="2661"/>
    </row>
    <row r="19" ht="15" customHeight="1">
      <c r="A19" s="2649"/>
      <c r="B19" s="2650" t="s">
        <v>1896</v>
      </c>
      <c r="C19" s="2663" t="s">
        <v>2439</v>
      </c>
      <c r="D19" s="2681">
        <f>SUM('Fannie Historical Ops'!D16:D21)</f>
        <v>0</v>
      </c>
      <c r="E19" s="2682">
        <f t="shared" si="8"/>
        <v>0</v>
      </c>
      <c r="F19" s="2683">
        <f t="shared" si="9"/>
        <v>0</v>
      </c>
      <c r="G19" s="2681">
        <f>SUM('Fannie Historical Ops'!F16:F21)</f>
        <v>0</v>
      </c>
      <c r="H19" s="2682">
        <f t="shared" si="8"/>
        <v>0</v>
      </c>
      <c r="I19" s="2684">
        <f t="shared" si="9"/>
        <v>0</v>
      </c>
      <c r="J19" s="2681">
        <f>SUM('Fannie Historical Ops'!H16:H21)</f>
        <v>0</v>
      </c>
      <c r="K19" s="2682">
        <f t="shared" si="8"/>
        <v>0</v>
      </c>
      <c r="L19" s="2685">
        <f t="shared" si="9"/>
        <v>0</v>
      </c>
      <c r="M19" s="2685">
        <f>SUM('Fannie Historical Ops'!J16:J21)</f>
        <v>-245742</v>
      </c>
      <c r="N19" s="2684">
        <f>SUM('Fannie Historical Ops'!K16:K21)</f>
        <v>-248008.36363636365</v>
      </c>
      <c r="O19" s="2684">
        <f>SUM('Fannie Historical Ops'!L16:L21)</f>
        <v>-249134.39999999997</v>
      </c>
      <c r="P19" s="2684">
        <f>SUM('Fannie Historical Ops'!M16:M21)</f>
        <v>-256182.66666666663</v>
      </c>
      <c r="Q19" s="2684">
        <f>SUM('Fannie Historical Ops'!N16:N21)</f>
        <v>-259777.5</v>
      </c>
      <c r="R19" s="2684">
        <f>SUM('Fannie Historical Ops'!O16:O21)</f>
        <v>-258862.2857142857</v>
      </c>
      <c r="S19" s="2684">
        <f>SUM('Fannie Historical Ops'!P16:P21)</f>
        <v>-254970</v>
      </c>
      <c r="T19" s="2684">
        <f>SUM('Fannie Historical Ops'!Q16:Q21)</f>
        <v>-240420</v>
      </c>
      <c r="U19" s="2684">
        <f>SUM('Fannie Historical Ops'!R16:R21)</f>
        <v>-238899</v>
      </c>
      <c r="V19" s="2684">
        <f>SUM('Fannie Historical Ops'!S16:S21)</f>
        <v>-234032</v>
      </c>
      <c r="W19" s="2684">
        <f>SUM('Fannie Historical Ops'!T16:T21)</f>
        <v>-230988</v>
      </c>
      <c r="X19" s="2684">
        <f>SUM('Fannie Historical Ops'!U16:U21)</f>
        <v>-241800</v>
      </c>
      <c r="Y19" s="2681">
        <f>SUM('Fannie Historical Ops'!W16:W21)</f>
        <v>-245742</v>
      </c>
      <c r="Z19" s="2682">
        <f t="shared" si="8"/>
        <v>-241</v>
      </c>
      <c r="AA19" s="2683" t="e">
        <f t="shared" si="9"/>
        <v>#DIV/0!</v>
      </c>
      <c r="AB19" s="2681">
        <f>SUM('Fannie Historical Ops'!Y16:Y21)</f>
        <v>0</v>
      </c>
      <c r="AC19" s="2682">
        <f t="shared" si="8"/>
        <v>0</v>
      </c>
      <c r="AD19" s="2684">
        <f t="shared" si="9"/>
        <v>0</v>
      </c>
      <c r="AE19" s="2681">
        <f>SUM('Fannie Historical Ops'!AA16:AA21)</f>
        <v>0</v>
      </c>
      <c r="AF19" s="2682">
        <f t="shared" si="8"/>
        <v>0</v>
      </c>
      <c r="AG19" s="2684">
        <f t="shared" si="9"/>
        <v>0</v>
      </c>
      <c r="AH19" s="2681">
        <f>SUM('Fannie Historical Ops'!AC16:AC21)</f>
        <v>0</v>
      </c>
      <c r="AI19" s="2682">
        <f t="shared" si="8"/>
        <v>0</v>
      </c>
      <c r="AJ19" s="2684">
        <f t="shared" si="9"/>
        <v>0</v>
      </c>
      <c r="AK19" s="2681">
        <f>SUM('Fannie Historical Ops'!AE16:AE21)</f>
        <v>0</v>
      </c>
      <c r="AL19" s="2686">
        <f t="shared" si="8"/>
        <v>0</v>
      </c>
      <c r="AM19" s="2684">
        <f t="shared" si="9"/>
        <v>0</v>
      </c>
      <c r="AN19" s="2681">
        <f>SUM('Fannie Historical Ops'!AG16:AG21)</f>
        <v>0</v>
      </c>
      <c r="AO19" s="2686">
        <f t="shared" si="8"/>
        <v>0</v>
      </c>
      <c r="AP19" s="2684">
        <f t="shared" si="9"/>
        <v>0</v>
      </c>
      <c r="AQ19" s="2681">
        <f>SUM('Fannie Historical Ops'!AI16:AI21)</f>
        <v>0</v>
      </c>
      <c r="AR19" s="2682">
        <f t="shared" si="8"/>
        <v>0</v>
      </c>
      <c r="AS19" s="2683">
        <f t="shared" si="9"/>
        <v>0</v>
      </c>
      <c r="AT19" s="2659"/>
      <c r="AU19" s="2681">
        <f>ROUND(SUM('Fannie Historical Ops'!AK16:AK21),2)</f>
        <v>-245742</v>
      </c>
      <c r="AV19" s="2686">
        <f t="shared" si="8"/>
        <v>-241</v>
      </c>
      <c r="AW19" s="2684" t="e">
        <f t="shared" si="9"/>
        <v>#DIV/0!</v>
      </c>
      <c r="AX19" s="2687"/>
      <c r="AY19" s="2681">
        <f>SUM('Fannie Historical Ops'!AM16:AM21)</f>
        <v>0</v>
      </c>
      <c r="AZ19" s="2686">
        <f t="shared" si="8"/>
        <v>0</v>
      </c>
      <c r="BA19" s="2684">
        <f t="shared" si="9"/>
        <v>0</v>
      </c>
      <c r="BB19" s="2661"/>
      <c r="BC19" s="2681">
        <f t="shared" si="5"/>
        <v>0</v>
      </c>
      <c r="BD19" s="2686">
        <f t="shared" si="8"/>
        <v>0</v>
      </c>
      <c r="BE19" s="2684">
        <f t="shared" si="9"/>
        <v>0</v>
      </c>
      <c r="BF19" s="2681">
        <f t="shared" si="6"/>
        <v>-253114.26</v>
      </c>
      <c r="BG19" s="2686">
        <f t="shared" si="8"/>
        <v>-248</v>
      </c>
      <c r="BH19" s="2684" t="e">
        <f t="shared" si="9"/>
        <v>#DIV/0!</v>
      </c>
      <c r="BI19" s="2681"/>
      <c r="BJ19" s="2686"/>
      <c r="BK19" s="2684">
        <f t="shared" si="9"/>
        <v>0</v>
      </c>
      <c r="BL19" s="2661"/>
    </row>
    <row r="20" ht="15" customHeight="1">
      <c r="A20" s="2649"/>
      <c r="B20" s="2650" t="str">
        <f>'Fannie Historical Ops'!B22</f>
        <v>Premiums</v>
      </c>
      <c r="C20" s="2718" t="s">
        <v>2440</v>
      </c>
      <c r="D20" s="2681">
        <f>'Fannie Historical Ops'!D22</f>
        <v>0</v>
      </c>
      <c r="E20" s="2682">
        <f t="shared" si="8"/>
        <v>0</v>
      </c>
      <c r="F20" s="2683">
        <f t="shared" si="9"/>
        <v>0</v>
      </c>
      <c r="G20" s="2681">
        <f>'Fannie Historical Ops'!F22</f>
        <v>0</v>
      </c>
      <c r="H20" s="2682">
        <f t="shared" si="8"/>
        <v>0</v>
      </c>
      <c r="I20" s="2684">
        <f t="shared" si="9"/>
        <v>0</v>
      </c>
      <c r="J20" s="2681">
        <f>'Fannie Historical Ops'!H22</f>
        <v>0</v>
      </c>
      <c r="K20" s="2682">
        <f t="shared" si="8"/>
        <v>0</v>
      </c>
      <c r="L20" s="2685">
        <f t="shared" si="9"/>
        <v>0</v>
      </c>
      <c r="M20" s="2685">
        <f>'Fannie Historical Ops'!J22</f>
        <v>0</v>
      </c>
      <c r="N20" s="2684">
        <f>'Fannie Historical Ops'!K22</f>
        <v>0</v>
      </c>
      <c r="O20" s="2684">
        <f>'Fannie Historical Ops'!L22</f>
        <v>0</v>
      </c>
      <c r="P20" s="2684">
        <f>'Fannie Historical Ops'!M22</f>
        <v>0</v>
      </c>
      <c r="Q20" s="2684">
        <f>'Fannie Historical Ops'!N22</f>
        <v>0</v>
      </c>
      <c r="R20" s="2684">
        <f>'Fannie Historical Ops'!O22</f>
        <v>0</v>
      </c>
      <c r="S20" s="2684">
        <f>'Fannie Historical Ops'!P22</f>
        <v>0</v>
      </c>
      <c r="T20" s="2684">
        <f>'Fannie Historical Ops'!Q22</f>
        <v>0</v>
      </c>
      <c r="U20" s="2684">
        <f>'Fannie Historical Ops'!R22</f>
        <v>0</v>
      </c>
      <c r="V20" s="2684">
        <f>'Fannie Historical Ops'!S22</f>
        <v>0</v>
      </c>
      <c r="W20" s="2684">
        <f>'Fannie Historical Ops'!T22</f>
        <v>0</v>
      </c>
      <c r="X20" s="2684">
        <f>'Fannie Historical Ops'!U22</f>
        <v>0</v>
      </c>
      <c r="Y20" s="2681">
        <f>'Fannie Historical Ops'!W22</f>
        <v>0</v>
      </c>
      <c r="Z20" s="2682">
        <f t="shared" si="8"/>
        <v>0</v>
      </c>
      <c r="AA20" s="2683">
        <f t="shared" si="9"/>
        <v>0</v>
      </c>
      <c r="AB20" s="2681">
        <f>'Fannie Historical Ops'!Y22</f>
        <v>0</v>
      </c>
      <c r="AC20" s="2682">
        <f t="shared" si="8"/>
        <v>0</v>
      </c>
      <c r="AD20" s="2684">
        <f t="shared" si="9"/>
        <v>0</v>
      </c>
      <c r="AE20" s="2681">
        <f>'Fannie Historical Ops'!AA22</f>
        <v>0</v>
      </c>
      <c r="AF20" s="2682">
        <f t="shared" si="8"/>
        <v>0</v>
      </c>
      <c r="AG20" s="2684">
        <f t="shared" si="9"/>
        <v>0</v>
      </c>
      <c r="AH20" s="2681">
        <f>'Fannie Historical Ops'!AC22</f>
        <v>0</v>
      </c>
      <c r="AI20" s="2682">
        <f t="shared" si="8"/>
        <v>0</v>
      </c>
      <c r="AJ20" s="2684">
        <f t="shared" si="9"/>
        <v>0</v>
      </c>
      <c r="AK20" s="2681">
        <f>'Fannie Historical Ops'!AE22</f>
        <v>0</v>
      </c>
      <c r="AL20" s="2686">
        <f t="shared" si="8"/>
        <v>0</v>
      </c>
      <c r="AM20" s="2684">
        <f t="shared" si="9"/>
        <v>0</v>
      </c>
      <c r="AN20" s="2681">
        <f>'Fannie Historical Ops'!AG22</f>
        <v>0</v>
      </c>
      <c r="AO20" s="2686">
        <f t="shared" si="8"/>
        <v>0</v>
      </c>
      <c r="AP20" s="2684">
        <f t="shared" si="9"/>
        <v>0</v>
      </c>
      <c r="AQ20" s="2681">
        <f>'Fannie Historical Ops'!AI22</f>
        <v>0</v>
      </c>
      <c r="AR20" s="2682">
        <f t="shared" si="8"/>
        <v>0</v>
      </c>
      <c r="AS20" s="2683">
        <f t="shared" si="9"/>
        <v>0</v>
      </c>
      <c r="AT20" s="2659"/>
      <c r="AU20" s="2681">
        <f>ROUND('Fannie Historical Ops'!AK22,2)</f>
        <v>0</v>
      </c>
      <c r="AV20" s="2686">
        <f t="shared" si="8"/>
        <v>0</v>
      </c>
      <c r="AW20" s="2684">
        <f t="shared" si="9"/>
        <v>0</v>
      </c>
      <c r="AX20" s="2687"/>
      <c r="AY20" s="2681">
        <f>'Fannie Historical Ops'!AM22</f>
        <v>0</v>
      </c>
      <c r="AZ20" s="2686">
        <f t="shared" si="8"/>
        <v>0</v>
      </c>
      <c r="BA20" s="2684">
        <f t="shared" si="9"/>
        <v>0</v>
      </c>
      <c r="BB20" s="2661"/>
      <c r="BC20" s="2681">
        <f t="shared" si="5"/>
        <v>0</v>
      </c>
      <c r="BD20" s="2686">
        <f t="shared" si="8"/>
        <v>0</v>
      </c>
      <c r="BE20" s="2684">
        <f t="shared" si="9"/>
        <v>0</v>
      </c>
      <c r="BF20" s="2681">
        <f t="shared" si="6"/>
        <v>0</v>
      </c>
      <c r="BG20" s="2686">
        <f t="shared" si="8"/>
        <v>0</v>
      </c>
      <c r="BH20" s="2684">
        <f t="shared" si="9"/>
        <v>0</v>
      </c>
      <c r="BI20" s="2681"/>
      <c r="BJ20" s="2686"/>
      <c r="BK20" s="2684">
        <f t="shared" si="9"/>
        <v>0</v>
      </c>
      <c r="BL20" s="2661"/>
    </row>
    <row r="21" ht="15" customHeight="1">
      <c r="A21" s="2649"/>
      <c r="B21" s="2650" t="str">
        <f>'Fannie Historical Ops'!B23</f>
        <v>Corporate Prem.</v>
      </c>
      <c r="C21" s="2718" t="s">
        <v>2441</v>
      </c>
      <c r="D21" s="2681">
        <f>'Fannie Historical Ops'!D23</f>
        <v>0</v>
      </c>
      <c r="E21" s="2682">
        <f t="shared" si="8"/>
        <v>0</v>
      </c>
      <c r="F21" s="2683">
        <f t="shared" si="9"/>
        <v>0</v>
      </c>
      <c r="G21" s="2681">
        <f>'Fannie Historical Ops'!F23</f>
        <v>0</v>
      </c>
      <c r="H21" s="2682">
        <f t="shared" si="8"/>
        <v>0</v>
      </c>
      <c r="I21" s="2684">
        <f t="shared" si="9"/>
        <v>0</v>
      </c>
      <c r="J21" s="2681">
        <f>'Fannie Historical Ops'!H23</f>
        <v>0</v>
      </c>
      <c r="K21" s="2682">
        <f t="shared" si="8"/>
        <v>0</v>
      </c>
      <c r="L21" s="2685">
        <f t="shared" si="9"/>
        <v>0</v>
      </c>
      <c r="M21" s="2685">
        <f>'Fannie Historical Ops'!J23</f>
        <v>0</v>
      </c>
      <c r="N21" s="2684">
        <f>'Fannie Historical Ops'!K23</f>
        <v>0</v>
      </c>
      <c r="O21" s="2684">
        <f>'Fannie Historical Ops'!L23</f>
        <v>0</v>
      </c>
      <c r="P21" s="2684">
        <f>'Fannie Historical Ops'!M23</f>
        <v>0</v>
      </c>
      <c r="Q21" s="2684">
        <f>'Fannie Historical Ops'!N23</f>
        <v>0</v>
      </c>
      <c r="R21" s="2684">
        <f>'Fannie Historical Ops'!O23</f>
        <v>0</v>
      </c>
      <c r="S21" s="2684">
        <f>'Fannie Historical Ops'!P23</f>
        <v>0</v>
      </c>
      <c r="T21" s="2684">
        <f>'Fannie Historical Ops'!Q23</f>
        <v>0</v>
      </c>
      <c r="U21" s="2684">
        <f>'Fannie Historical Ops'!R23</f>
        <v>0</v>
      </c>
      <c r="V21" s="2684">
        <f>'Fannie Historical Ops'!S23</f>
        <v>0</v>
      </c>
      <c r="W21" s="2684">
        <f>'Fannie Historical Ops'!T23</f>
        <v>0</v>
      </c>
      <c r="X21" s="2684">
        <f>'Fannie Historical Ops'!U23</f>
        <v>0</v>
      </c>
      <c r="Y21" s="2681">
        <f>'Fannie Historical Ops'!W23</f>
        <v>0</v>
      </c>
      <c r="Z21" s="2682">
        <f t="shared" si="8"/>
        <v>0</v>
      </c>
      <c r="AA21" s="2683">
        <f t="shared" si="9"/>
        <v>0</v>
      </c>
      <c r="AB21" s="2681">
        <f>'Fannie Historical Ops'!Y23</f>
        <v>0</v>
      </c>
      <c r="AC21" s="2682">
        <f t="shared" si="8"/>
        <v>0</v>
      </c>
      <c r="AD21" s="2684">
        <f t="shared" si="9"/>
        <v>0</v>
      </c>
      <c r="AE21" s="2681">
        <f>'Fannie Historical Ops'!AA23</f>
        <v>0</v>
      </c>
      <c r="AF21" s="2682">
        <f t="shared" si="8"/>
        <v>0</v>
      </c>
      <c r="AG21" s="2684">
        <f t="shared" si="9"/>
        <v>0</v>
      </c>
      <c r="AH21" s="2681">
        <f>'Fannie Historical Ops'!AC23</f>
        <v>0</v>
      </c>
      <c r="AI21" s="2682">
        <f t="shared" si="8"/>
        <v>0</v>
      </c>
      <c r="AJ21" s="2684">
        <f t="shared" si="9"/>
        <v>0</v>
      </c>
      <c r="AK21" s="2681">
        <f>'Fannie Historical Ops'!AE23</f>
        <v>0</v>
      </c>
      <c r="AL21" s="2686">
        <f t="shared" si="8"/>
        <v>0</v>
      </c>
      <c r="AM21" s="2684">
        <f t="shared" si="9"/>
        <v>0</v>
      </c>
      <c r="AN21" s="2681">
        <f>'Fannie Historical Ops'!AG23</f>
        <v>0</v>
      </c>
      <c r="AO21" s="2686">
        <f t="shared" si="8"/>
        <v>0</v>
      </c>
      <c r="AP21" s="2684">
        <f t="shared" si="9"/>
        <v>0</v>
      </c>
      <c r="AQ21" s="2681">
        <f>'Fannie Historical Ops'!AI23</f>
        <v>0</v>
      </c>
      <c r="AR21" s="2682">
        <f t="shared" si="8"/>
        <v>0</v>
      </c>
      <c r="AS21" s="2683">
        <f t="shared" si="9"/>
        <v>0</v>
      </c>
      <c r="AT21" s="2659"/>
      <c r="AU21" s="2681">
        <f>ROUND('Fannie Historical Ops'!AK23,2)</f>
        <v>0</v>
      </c>
      <c r="AV21" s="2686">
        <f t="shared" si="8"/>
        <v>0</v>
      </c>
      <c r="AW21" s="2684">
        <f t="shared" si="9"/>
        <v>0</v>
      </c>
      <c r="AX21" s="2687"/>
      <c r="AY21" s="2681">
        <f>'Fannie Historical Ops'!AM23</f>
        <v>0</v>
      </c>
      <c r="AZ21" s="2686">
        <f t="shared" si="8"/>
        <v>0</v>
      </c>
      <c r="BA21" s="2684">
        <f t="shared" si="9"/>
        <v>0</v>
      </c>
      <c r="BB21" s="2661"/>
      <c r="BC21" s="2681">
        <f t="shared" si="5"/>
        <v>0</v>
      </c>
      <c r="BD21" s="2686">
        <f t="shared" si="8"/>
        <v>0</v>
      </c>
      <c r="BE21" s="2684">
        <f t="shared" si="9"/>
        <v>0</v>
      </c>
      <c r="BF21" s="2681">
        <f t="shared" si="6"/>
        <v>0</v>
      </c>
      <c r="BG21" s="2686">
        <f t="shared" si="8"/>
        <v>0</v>
      </c>
      <c r="BH21" s="2684">
        <f t="shared" si="9"/>
        <v>0</v>
      </c>
      <c r="BI21" s="2681"/>
      <c r="BJ21" s="2686"/>
      <c r="BK21" s="2684">
        <f t="shared" si="9"/>
        <v>0</v>
      </c>
      <c r="BL21" s="2661"/>
    </row>
    <row r="22" ht="15" customHeight="1" hidden="1">
      <c r="A22" s="2649"/>
      <c r="B22" s="2650" t="str">
        <f>'Fannie Historical Ops'!B24</f>
        <v>Community Fee</v>
      </c>
      <c r="C22" s="2718" t="str">
        <f>IF('SBL Quotes'!$AN$32="Seniors","(9)","(8)")</f>
        <v>(8)</v>
      </c>
      <c r="D22" s="2681">
        <f>'Fannie Historical Ops'!D24</f>
        <v>0</v>
      </c>
      <c r="E22" s="2682">
        <f t="shared" si="8"/>
        <v>0</v>
      </c>
      <c r="F22" s="2683">
        <f t="shared" si="9"/>
        <v>0</v>
      </c>
      <c r="G22" s="2681">
        <f>'Fannie Historical Ops'!F24</f>
        <v>0</v>
      </c>
      <c r="H22" s="2682">
        <f t="shared" si="8"/>
        <v>0</v>
      </c>
      <c r="I22" s="2684">
        <f t="shared" si="9"/>
        <v>0</v>
      </c>
      <c r="J22" s="2681">
        <f>'Fannie Historical Ops'!H24</f>
        <v>0</v>
      </c>
      <c r="K22" s="2682">
        <f t="shared" si="8"/>
        <v>0</v>
      </c>
      <c r="L22" s="2685">
        <f t="shared" si="9"/>
        <v>0</v>
      </c>
      <c r="M22" s="2685">
        <f>'Fannie Historical Ops'!J24</f>
        <v>0</v>
      </c>
      <c r="N22" s="2684">
        <f>'Fannie Historical Ops'!K24</f>
        <v>0</v>
      </c>
      <c r="O22" s="2684">
        <f>'Fannie Historical Ops'!L24</f>
        <v>0</v>
      </c>
      <c r="P22" s="2684">
        <f>'Fannie Historical Ops'!M24</f>
        <v>0</v>
      </c>
      <c r="Q22" s="2684">
        <f>'Fannie Historical Ops'!N24</f>
        <v>0</v>
      </c>
      <c r="R22" s="2684">
        <f>'Fannie Historical Ops'!O24</f>
        <v>0</v>
      </c>
      <c r="S22" s="2684">
        <f>'Fannie Historical Ops'!P24</f>
        <v>0</v>
      </c>
      <c r="T22" s="2684">
        <f>'Fannie Historical Ops'!Q24</f>
        <v>0</v>
      </c>
      <c r="U22" s="2684">
        <f>'Fannie Historical Ops'!R24</f>
        <v>0</v>
      </c>
      <c r="V22" s="2684">
        <f>'Fannie Historical Ops'!S24</f>
        <v>0</v>
      </c>
      <c r="W22" s="2684">
        <f>'Fannie Historical Ops'!T24</f>
        <v>0</v>
      </c>
      <c r="X22" s="2684">
        <f>'Fannie Historical Ops'!U24</f>
        <v>0</v>
      </c>
      <c r="Y22" s="2681">
        <f>'Fannie Historical Ops'!W24</f>
        <v>0</v>
      </c>
      <c r="Z22" s="2682">
        <f t="shared" si="8"/>
        <v>0</v>
      </c>
      <c r="AA22" s="2683">
        <f t="shared" si="9"/>
        <v>0</v>
      </c>
      <c r="AB22" s="2681">
        <f>'Fannie Historical Ops'!Y24</f>
        <v>0</v>
      </c>
      <c r="AC22" s="2682">
        <f t="shared" si="8"/>
        <v>0</v>
      </c>
      <c r="AD22" s="2684">
        <f t="shared" si="9"/>
        <v>0</v>
      </c>
      <c r="AE22" s="2681">
        <f>'Fannie Historical Ops'!AA24</f>
        <v>0</v>
      </c>
      <c r="AF22" s="2682">
        <f t="shared" si="8"/>
        <v>0</v>
      </c>
      <c r="AG22" s="2684">
        <f t="shared" si="9"/>
        <v>0</v>
      </c>
      <c r="AH22" s="2681">
        <f>'Fannie Historical Ops'!AC24</f>
        <v>0</v>
      </c>
      <c r="AI22" s="2682">
        <f t="shared" si="8"/>
        <v>0</v>
      </c>
      <c r="AJ22" s="2684">
        <f t="shared" si="9"/>
        <v>0</v>
      </c>
      <c r="AK22" s="2681">
        <f>'Fannie Historical Ops'!AE24</f>
        <v>0</v>
      </c>
      <c r="AL22" s="2686">
        <f t="shared" si="8"/>
        <v>0</v>
      </c>
      <c r="AM22" s="2684">
        <f t="shared" si="9"/>
        <v>0</v>
      </c>
      <c r="AN22" s="2681">
        <f>'Fannie Historical Ops'!AG24</f>
        <v>0</v>
      </c>
      <c r="AO22" s="2686">
        <f t="shared" si="8"/>
        <v>0</v>
      </c>
      <c r="AP22" s="2684">
        <f t="shared" si="9"/>
        <v>0</v>
      </c>
      <c r="AQ22" s="2681">
        <f>'Fannie Historical Ops'!AI24</f>
        <v>0</v>
      </c>
      <c r="AR22" s="2682">
        <f t="shared" si="8"/>
        <v>0</v>
      </c>
      <c r="AS22" s="2683">
        <f t="shared" si="9"/>
        <v>0</v>
      </c>
      <c r="AT22" s="2659"/>
      <c r="AU22" s="2681">
        <f>'Fannie Historical Ops'!AK24</f>
        <v>0</v>
      </c>
      <c r="AV22" s="2686">
        <f t="shared" si="8"/>
        <v>0</v>
      </c>
      <c r="AW22" s="2684">
        <f t="shared" si="9"/>
        <v>0</v>
      </c>
      <c r="AX22" s="2687"/>
      <c r="AY22" s="2681">
        <f>'Fannie Historical Ops'!AM24</f>
        <v>0</v>
      </c>
      <c r="AZ22" s="2686">
        <f t="shared" si="8"/>
        <v>0</v>
      </c>
      <c r="BA22" s="2684">
        <f t="shared" si="9"/>
        <v>0</v>
      </c>
      <c r="BB22" s="2661"/>
      <c r="BC22" s="2681">
        <f t="shared" si="5"/>
        <v>0</v>
      </c>
      <c r="BD22" s="2686">
        <f t="shared" si="8"/>
        <v>0</v>
      </c>
      <c r="BE22" s="2684">
        <f t="shared" si="9"/>
        <v>0</v>
      </c>
      <c r="BF22" s="2681">
        <f t="shared" si="6"/>
        <v>0</v>
      </c>
      <c r="BG22" s="2686">
        <f t="shared" si="8"/>
        <v>0</v>
      </c>
      <c r="BH22" s="2684">
        <f t="shared" si="9"/>
        <v>0</v>
      </c>
      <c r="BI22" s="2681"/>
      <c r="BJ22" s="2686"/>
      <c r="BK22" s="2684">
        <f t="shared" si="9"/>
        <v>0</v>
      </c>
      <c r="BL22" s="2661"/>
    </row>
    <row r="23" ht="15" customHeight="1" hidden="1">
      <c r="A23" s="2649"/>
      <c r="B23" s="2650" t="str">
        <f>'Fannie Historical Ops'!B25</f>
        <v>Second Occupant</v>
      </c>
      <c r="C23" s="2718" t="str">
        <f>IF('SBL Quotes'!$AN$32="Seniors","(10)","(8)")</f>
        <v>(8)</v>
      </c>
      <c r="D23" s="2681">
        <f>'Fannie Historical Ops'!D25</f>
        <v>0</v>
      </c>
      <c r="E23" s="2682">
        <f t="shared" si="8"/>
        <v>0</v>
      </c>
      <c r="F23" s="2683">
        <f t="shared" si="9"/>
        <v>0</v>
      </c>
      <c r="G23" s="2681">
        <f>'Fannie Historical Ops'!F25</f>
        <v>0</v>
      </c>
      <c r="H23" s="2682">
        <f t="shared" si="8"/>
        <v>0</v>
      </c>
      <c r="I23" s="2684">
        <f t="shared" si="9"/>
        <v>0</v>
      </c>
      <c r="J23" s="2681">
        <f>'Fannie Historical Ops'!H25</f>
        <v>0</v>
      </c>
      <c r="K23" s="2682">
        <f t="shared" si="8"/>
        <v>0</v>
      </c>
      <c r="L23" s="2685">
        <f t="shared" si="9"/>
        <v>0</v>
      </c>
      <c r="M23" s="2685">
        <f>'Fannie Historical Ops'!J25</f>
        <v>0</v>
      </c>
      <c r="N23" s="2684">
        <f>'Fannie Historical Ops'!K25</f>
        <v>0</v>
      </c>
      <c r="O23" s="2684">
        <f>'Fannie Historical Ops'!L25</f>
        <v>0</v>
      </c>
      <c r="P23" s="2684">
        <f>'Fannie Historical Ops'!M25</f>
        <v>0</v>
      </c>
      <c r="Q23" s="2684">
        <f>'Fannie Historical Ops'!N25</f>
        <v>0</v>
      </c>
      <c r="R23" s="2684">
        <f>'Fannie Historical Ops'!O25</f>
        <v>0</v>
      </c>
      <c r="S23" s="2684">
        <f>'Fannie Historical Ops'!P25</f>
        <v>0</v>
      </c>
      <c r="T23" s="2684">
        <f>'Fannie Historical Ops'!Q25</f>
        <v>0</v>
      </c>
      <c r="U23" s="2684">
        <f>'Fannie Historical Ops'!R25</f>
        <v>0</v>
      </c>
      <c r="V23" s="2684">
        <f>'Fannie Historical Ops'!S25</f>
        <v>0</v>
      </c>
      <c r="W23" s="2684">
        <f>'Fannie Historical Ops'!T25</f>
        <v>0</v>
      </c>
      <c r="X23" s="2684">
        <f>'Fannie Historical Ops'!U25</f>
        <v>0</v>
      </c>
      <c r="Y23" s="2681">
        <f>'Fannie Historical Ops'!W25</f>
        <v>0</v>
      </c>
      <c r="Z23" s="2682">
        <f t="shared" si="8"/>
        <v>0</v>
      </c>
      <c r="AA23" s="2683">
        <f t="shared" si="9"/>
        <v>0</v>
      </c>
      <c r="AB23" s="2681">
        <f>'Fannie Historical Ops'!Y25</f>
        <v>0</v>
      </c>
      <c r="AC23" s="2682">
        <f t="shared" si="8"/>
        <v>0</v>
      </c>
      <c r="AD23" s="2684">
        <f t="shared" si="9"/>
        <v>0</v>
      </c>
      <c r="AE23" s="2681">
        <f>'Fannie Historical Ops'!AA25</f>
        <v>0</v>
      </c>
      <c r="AF23" s="2682">
        <f t="shared" si="8"/>
        <v>0</v>
      </c>
      <c r="AG23" s="2684">
        <f t="shared" si="9"/>
        <v>0</v>
      </c>
      <c r="AH23" s="2681">
        <f>'Fannie Historical Ops'!AC25</f>
        <v>0</v>
      </c>
      <c r="AI23" s="2682">
        <f t="shared" si="8"/>
        <v>0</v>
      </c>
      <c r="AJ23" s="2684">
        <f t="shared" si="9"/>
        <v>0</v>
      </c>
      <c r="AK23" s="2681">
        <f>'Fannie Historical Ops'!AE25</f>
        <v>0</v>
      </c>
      <c r="AL23" s="2686">
        <f t="shared" si="8"/>
        <v>0</v>
      </c>
      <c r="AM23" s="2684">
        <f t="shared" si="9"/>
        <v>0</v>
      </c>
      <c r="AN23" s="2681">
        <f>'Fannie Historical Ops'!AG25</f>
        <v>0</v>
      </c>
      <c r="AO23" s="2686">
        <f t="shared" si="8"/>
        <v>0</v>
      </c>
      <c r="AP23" s="2684">
        <f t="shared" si="9"/>
        <v>0</v>
      </c>
      <c r="AQ23" s="2681">
        <f>'Fannie Historical Ops'!AI25</f>
        <v>0</v>
      </c>
      <c r="AR23" s="2682">
        <f t="shared" si="8"/>
        <v>0</v>
      </c>
      <c r="AS23" s="2683">
        <f t="shared" si="9"/>
        <v>0</v>
      </c>
      <c r="AT23" s="2659"/>
      <c r="AU23" s="2681">
        <f>'Fannie Historical Ops'!AK25</f>
        <v>0</v>
      </c>
      <c r="AV23" s="2686">
        <f t="shared" si="8"/>
        <v>0</v>
      </c>
      <c r="AW23" s="2684">
        <f t="shared" si="9"/>
        <v>0</v>
      </c>
      <c r="AX23" s="2687"/>
      <c r="AY23" s="2681">
        <f>'Fannie Historical Ops'!AM25</f>
        <v>0</v>
      </c>
      <c r="AZ23" s="2686">
        <f t="shared" si="8"/>
        <v>0</v>
      </c>
      <c r="BA23" s="2684">
        <f t="shared" si="9"/>
        <v>0</v>
      </c>
      <c r="BB23" s="2661"/>
      <c r="BC23" s="2681">
        <f t="shared" si="5"/>
        <v>0</v>
      </c>
      <c r="BD23" s="2686">
        <f t="shared" si="8"/>
        <v>0</v>
      </c>
      <c r="BE23" s="2684">
        <f t="shared" si="9"/>
        <v>0</v>
      </c>
      <c r="BF23" s="2681">
        <f t="shared" si="6"/>
        <v>0</v>
      </c>
      <c r="BG23" s="2686">
        <f t="shared" si="8"/>
        <v>0</v>
      </c>
      <c r="BH23" s="2684">
        <f t="shared" si="9"/>
        <v>0</v>
      </c>
      <c r="BI23" s="2681"/>
      <c r="BJ23" s="2686"/>
      <c r="BK23" s="2684">
        <f t="shared" si="9"/>
        <v>0</v>
      </c>
      <c r="BL23" s="2661"/>
    </row>
    <row r="24" ht="15" customHeight="1" hidden="1">
      <c r="A24" s="2649"/>
      <c r="B24" s="2650" t="str">
        <f>'Fannie Historical Ops'!B26</f>
        <v>Respite Care</v>
      </c>
      <c r="C24" s="2718" t="str">
        <f>IF('SBL Quotes'!$AN$32="Seniors","(11)","(8)")</f>
        <v>(8)</v>
      </c>
      <c r="D24" s="2681">
        <f>'Fannie Historical Ops'!D26</f>
        <v>0</v>
      </c>
      <c r="E24" s="2682">
        <f t="shared" si="8"/>
        <v>0</v>
      </c>
      <c r="F24" s="2683">
        <f t="shared" si="9"/>
        <v>0</v>
      </c>
      <c r="G24" s="2681">
        <f>'Fannie Historical Ops'!F26</f>
        <v>0</v>
      </c>
      <c r="H24" s="2682">
        <f t="shared" si="8"/>
        <v>0</v>
      </c>
      <c r="I24" s="2684">
        <f t="shared" si="9"/>
        <v>0</v>
      </c>
      <c r="J24" s="2681">
        <f>'Fannie Historical Ops'!H26</f>
        <v>0</v>
      </c>
      <c r="K24" s="2682">
        <f t="shared" si="8"/>
        <v>0</v>
      </c>
      <c r="L24" s="2685">
        <f t="shared" si="9"/>
        <v>0</v>
      </c>
      <c r="M24" s="2685">
        <f>'Fannie Historical Ops'!J26</f>
        <v>0</v>
      </c>
      <c r="N24" s="2684">
        <f>'Fannie Historical Ops'!K26</f>
        <v>0</v>
      </c>
      <c r="O24" s="2684">
        <f>'Fannie Historical Ops'!L26</f>
        <v>0</v>
      </c>
      <c r="P24" s="2684">
        <f>'Fannie Historical Ops'!M26</f>
        <v>0</v>
      </c>
      <c r="Q24" s="2684">
        <f>'Fannie Historical Ops'!N26</f>
        <v>0</v>
      </c>
      <c r="R24" s="2684">
        <f>'Fannie Historical Ops'!O26</f>
        <v>0</v>
      </c>
      <c r="S24" s="2684">
        <f>'Fannie Historical Ops'!P26</f>
        <v>0</v>
      </c>
      <c r="T24" s="2684">
        <f>'Fannie Historical Ops'!Q26</f>
        <v>0</v>
      </c>
      <c r="U24" s="2684">
        <f>'Fannie Historical Ops'!R26</f>
        <v>0</v>
      </c>
      <c r="V24" s="2684">
        <f>'Fannie Historical Ops'!S26</f>
        <v>0</v>
      </c>
      <c r="W24" s="2684">
        <f>'Fannie Historical Ops'!T26</f>
        <v>0</v>
      </c>
      <c r="X24" s="2684">
        <f>'Fannie Historical Ops'!U26</f>
        <v>0</v>
      </c>
      <c r="Y24" s="2681">
        <f>'Fannie Historical Ops'!W26</f>
        <v>0</v>
      </c>
      <c r="Z24" s="2682">
        <f t="shared" si="8"/>
        <v>0</v>
      </c>
      <c r="AA24" s="2683">
        <f t="shared" si="9"/>
        <v>0</v>
      </c>
      <c r="AB24" s="2681">
        <f>'Fannie Historical Ops'!Y26</f>
        <v>0</v>
      </c>
      <c r="AC24" s="2682">
        <f t="shared" si="8"/>
        <v>0</v>
      </c>
      <c r="AD24" s="2684">
        <f t="shared" si="9"/>
        <v>0</v>
      </c>
      <c r="AE24" s="2681">
        <f>'Fannie Historical Ops'!AA26</f>
        <v>0</v>
      </c>
      <c r="AF24" s="2682">
        <f t="shared" si="8"/>
        <v>0</v>
      </c>
      <c r="AG24" s="2684">
        <f t="shared" si="9"/>
        <v>0</v>
      </c>
      <c r="AH24" s="2681">
        <f>'Fannie Historical Ops'!AC26</f>
        <v>0</v>
      </c>
      <c r="AI24" s="2682">
        <f t="shared" si="8"/>
        <v>0</v>
      </c>
      <c r="AJ24" s="2684">
        <f t="shared" si="9"/>
        <v>0</v>
      </c>
      <c r="AK24" s="2681">
        <f>'Fannie Historical Ops'!AE26</f>
        <v>0</v>
      </c>
      <c r="AL24" s="2686">
        <f t="shared" si="8"/>
        <v>0</v>
      </c>
      <c r="AM24" s="2684">
        <f t="shared" si="9"/>
        <v>0</v>
      </c>
      <c r="AN24" s="2681">
        <f>'Fannie Historical Ops'!AG26</f>
        <v>0</v>
      </c>
      <c r="AO24" s="2686">
        <f t="shared" si="8"/>
        <v>0</v>
      </c>
      <c r="AP24" s="2684">
        <f t="shared" si="9"/>
        <v>0</v>
      </c>
      <c r="AQ24" s="2681">
        <f>'Fannie Historical Ops'!AI26</f>
        <v>0</v>
      </c>
      <c r="AR24" s="2682">
        <f t="shared" si="8"/>
        <v>0</v>
      </c>
      <c r="AS24" s="2683">
        <f t="shared" si="9"/>
        <v>0</v>
      </c>
      <c r="AT24" s="2659"/>
      <c r="AU24" s="2681">
        <f>'Fannie Historical Ops'!AK26</f>
        <v>0</v>
      </c>
      <c r="AV24" s="2686">
        <f t="shared" si="8"/>
        <v>0</v>
      </c>
      <c r="AW24" s="2684">
        <f t="shared" si="9"/>
        <v>0</v>
      </c>
      <c r="AX24" s="2687"/>
      <c r="AY24" s="2681">
        <f>'Fannie Historical Ops'!AM26</f>
        <v>0</v>
      </c>
      <c r="AZ24" s="2686">
        <f t="shared" si="8"/>
        <v>0</v>
      </c>
      <c r="BA24" s="2684">
        <f t="shared" si="9"/>
        <v>0</v>
      </c>
      <c r="BB24" s="2661"/>
      <c r="BC24" s="2681">
        <f t="shared" si="5"/>
        <v>0</v>
      </c>
      <c r="BD24" s="2686">
        <f t="shared" si="8"/>
        <v>0</v>
      </c>
      <c r="BE24" s="2684">
        <f t="shared" si="9"/>
        <v>0</v>
      </c>
      <c r="BF24" s="2681">
        <f t="shared" si="6"/>
        <v>0</v>
      </c>
      <c r="BG24" s="2686">
        <f t="shared" si="8"/>
        <v>0</v>
      </c>
      <c r="BH24" s="2684">
        <f t="shared" si="9"/>
        <v>0</v>
      </c>
      <c r="BI24" s="2681"/>
      <c r="BJ24" s="2686"/>
      <c r="BK24" s="2684">
        <f t="shared" si="9"/>
        <v>0</v>
      </c>
      <c r="BL24" s="2661"/>
    </row>
    <row r="25" ht="15" customHeight="1" hidden="1">
      <c r="A25" s="2649"/>
      <c r="B25" s="2650" t="str">
        <f>'Fannie Historical Ops'!B27</f>
        <v>Support Plans (AL/ALZ)</v>
      </c>
      <c r="C25" s="2718" t="str">
        <f>IF('SBL Quotes'!$AN$32="Seniors","(12)","(8)")</f>
        <v>(8)</v>
      </c>
      <c r="D25" s="2681">
        <f>'Fannie Historical Ops'!D27</f>
        <v>0</v>
      </c>
      <c r="E25" s="2682">
        <f t="shared" si="8"/>
        <v>0</v>
      </c>
      <c r="F25" s="2683">
        <f t="shared" si="9"/>
        <v>0</v>
      </c>
      <c r="G25" s="2681">
        <f>'Fannie Historical Ops'!F27</f>
        <v>0</v>
      </c>
      <c r="H25" s="2682">
        <f t="shared" si="8"/>
        <v>0</v>
      </c>
      <c r="I25" s="2684">
        <f t="shared" si="9"/>
        <v>0</v>
      </c>
      <c r="J25" s="2681">
        <f>'Fannie Historical Ops'!H27</f>
        <v>0</v>
      </c>
      <c r="K25" s="2682">
        <f t="shared" si="8"/>
        <v>0</v>
      </c>
      <c r="L25" s="2685">
        <f t="shared" si="9"/>
        <v>0</v>
      </c>
      <c r="M25" s="2685">
        <f>'Fannie Historical Ops'!J27</f>
        <v>0</v>
      </c>
      <c r="N25" s="2684">
        <f>'Fannie Historical Ops'!K27</f>
        <v>0</v>
      </c>
      <c r="O25" s="2684">
        <f>'Fannie Historical Ops'!L27</f>
        <v>0</v>
      </c>
      <c r="P25" s="2684">
        <f>'Fannie Historical Ops'!M27</f>
        <v>0</v>
      </c>
      <c r="Q25" s="2684">
        <f>'Fannie Historical Ops'!N27</f>
        <v>0</v>
      </c>
      <c r="R25" s="2684">
        <f>'Fannie Historical Ops'!O27</f>
        <v>0</v>
      </c>
      <c r="S25" s="2684">
        <f>'Fannie Historical Ops'!P27</f>
        <v>0</v>
      </c>
      <c r="T25" s="2684">
        <f>'Fannie Historical Ops'!Q27</f>
        <v>0</v>
      </c>
      <c r="U25" s="2684">
        <f>'Fannie Historical Ops'!R27</f>
        <v>0</v>
      </c>
      <c r="V25" s="2684">
        <f>'Fannie Historical Ops'!S27</f>
        <v>0</v>
      </c>
      <c r="W25" s="2684">
        <f>'Fannie Historical Ops'!T27</f>
        <v>0</v>
      </c>
      <c r="X25" s="2684">
        <f>'Fannie Historical Ops'!U27</f>
        <v>0</v>
      </c>
      <c r="Y25" s="2681">
        <f>'Fannie Historical Ops'!W27</f>
        <v>0</v>
      </c>
      <c r="Z25" s="2682">
        <f t="shared" si="8"/>
        <v>0</v>
      </c>
      <c r="AA25" s="2683">
        <f t="shared" si="9"/>
        <v>0</v>
      </c>
      <c r="AB25" s="2681">
        <f>'Fannie Historical Ops'!Y27</f>
        <v>0</v>
      </c>
      <c r="AC25" s="2682">
        <f t="shared" si="8"/>
        <v>0</v>
      </c>
      <c r="AD25" s="2684">
        <f t="shared" si="9"/>
        <v>0</v>
      </c>
      <c r="AE25" s="2681">
        <f>'Fannie Historical Ops'!AA27</f>
        <v>0</v>
      </c>
      <c r="AF25" s="2682">
        <f t="shared" si="8"/>
        <v>0</v>
      </c>
      <c r="AG25" s="2684">
        <f t="shared" si="9"/>
        <v>0</v>
      </c>
      <c r="AH25" s="2681">
        <f>'Fannie Historical Ops'!AC27</f>
        <v>0</v>
      </c>
      <c r="AI25" s="2682">
        <f t="shared" si="8"/>
        <v>0</v>
      </c>
      <c r="AJ25" s="2684">
        <f t="shared" si="9"/>
        <v>0</v>
      </c>
      <c r="AK25" s="2681">
        <f>'Fannie Historical Ops'!AE27</f>
        <v>0</v>
      </c>
      <c r="AL25" s="2686">
        <f t="shared" si="8"/>
        <v>0</v>
      </c>
      <c r="AM25" s="2684">
        <f t="shared" si="9"/>
        <v>0</v>
      </c>
      <c r="AN25" s="2681">
        <f>'Fannie Historical Ops'!AG27</f>
        <v>0</v>
      </c>
      <c r="AO25" s="2686">
        <f t="shared" si="8"/>
        <v>0</v>
      </c>
      <c r="AP25" s="2684">
        <f t="shared" si="9"/>
        <v>0</v>
      </c>
      <c r="AQ25" s="2681">
        <f>'Fannie Historical Ops'!AI27</f>
        <v>0</v>
      </c>
      <c r="AR25" s="2682">
        <f t="shared" si="8"/>
        <v>0</v>
      </c>
      <c r="AS25" s="2683">
        <f t="shared" si="9"/>
        <v>0</v>
      </c>
      <c r="AT25" s="2659"/>
      <c r="AU25" s="2681">
        <f>'Fannie Historical Ops'!AK27</f>
        <v>0</v>
      </c>
      <c r="AV25" s="2686">
        <f t="shared" si="8"/>
        <v>0</v>
      </c>
      <c r="AW25" s="2684">
        <f t="shared" si="9"/>
        <v>0</v>
      </c>
      <c r="AX25" s="2687"/>
      <c r="AY25" s="2681">
        <f>'Fannie Historical Ops'!AM27</f>
        <v>0</v>
      </c>
      <c r="AZ25" s="2686">
        <f t="shared" si="8"/>
        <v>0</v>
      </c>
      <c r="BA25" s="2684">
        <f t="shared" si="9"/>
        <v>0</v>
      </c>
      <c r="BB25" s="2661"/>
      <c r="BC25" s="2681">
        <f t="shared" si="5"/>
        <v>0</v>
      </c>
      <c r="BD25" s="2686">
        <f t="shared" si="8"/>
        <v>0</v>
      </c>
      <c r="BE25" s="2684">
        <f t="shared" si="9"/>
        <v>0</v>
      </c>
      <c r="BF25" s="2681">
        <f t="shared" si="6"/>
        <v>0</v>
      </c>
      <c r="BG25" s="2686">
        <f t="shared" si="8"/>
        <v>0</v>
      </c>
      <c r="BH25" s="2684">
        <f t="shared" si="9"/>
        <v>0</v>
      </c>
      <c r="BI25" s="2681"/>
      <c r="BJ25" s="2686"/>
      <c r="BK25" s="2684">
        <f t="shared" si="9"/>
        <v>0</v>
      </c>
      <c r="BL25" s="2661"/>
    </row>
    <row r="26" ht="15.75" customHeight="1">
      <c r="A26" s="2649"/>
      <c r="B26" s="2650" t="str">
        <f>'Fannie Historical Ops'!B28</f>
        <v>Unallowable</v>
      </c>
      <c r="C26" s="2718" t="str">
        <f>IF('SBL Quotes'!$AN$32="Seniors","(13)","(9)")</f>
        <v>(9)</v>
      </c>
      <c r="D26" s="2681">
        <f>'Fannie Historical Ops'!D28</f>
        <v>0</v>
      </c>
      <c r="E26" s="2682">
        <f t="shared" si="8"/>
        <v>0</v>
      </c>
      <c r="F26" s="2683">
        <f t="shared" si="9"/>
        <v>0</v>
      </c>
      <c r="G26" s="2681">
        <f>'Fannie Historical Ops'!F28</f>
        <v>0</v>
      </c>
      <c r="H26" s="2682">
        <f t="shared" si="8"/>
        <v>0</v>
      </c>
      <c r="I26" s="2684">
        <f t="shared" si="9"/>
        <v>0</v>
      </c>
      <c r="J26" s="2681">
        <f>'Fannie Historical Ops'!H28</f>
        <v>0</v>
      </c>
      <c r="K26" s="2682">
        <f t="shared" si="8"/>
        <v>0</v>
      </c>
      <c r="L26" s="2685">
        <f t="shared" si="9"/>
        <v>0</v>
      </c>
      <c r="M26" s="2685">
        <f>'Fannie Historical Ops'!J28</f>
        <v>0</v>
      </c>
      <c r="N26" s="2684">
        <f>'Fannie Historical Ops'!K28</f>
        <v>0</v>
      </c>
      <c r="O26" s="2684">
        <f>'Fannie Historical Ops'!L28</f>
        <v>0</v>
      </c>
      <c r="P26" s="2684">
        <f>'Fannie Historical Ops'!M28</f>
        <v>0</v>
      </c>
      <c r="Q26" s="2684">
        <f>'Fannie Historical Ops'!N28</f>
        <v>0</v>
      </c>
      <c r="R26" s="2684">
        <f>'Fannie Historical Ops'!O28</f>
        <v>0</v>
      </c>
      <c r="S26" s="2684">
        <f>'Fannie Historical Ops'!P28</f>
        <v>0</v>
      </c>
      <c r="T26" s="2684">
        <f>'Fannie Historical Ops'!Q28</f>
        <v>0</v>
      </c>
      <c r="U26" s="2684">
        <f>'Fannie Historical Ops'!R28</f>
        <v>0</v>
      </c>
      <c r="V26" s="2684">
        <f>'Fannie Historical Ops'!S28</f>
        <v>0</v>
      </c>
      <c r="W26" s="2684">
        <f>'Fannie Historical Ops'!T28</f>
        <v>0</v>
      </c>
      <c r="X26" s="2684">
        <f>'Fannie Historical Ops'!U28</f>
        <v>0</v>
      </c>
      <c r="Y26" s="2681">
        <f>'Fannie Historical Ops'!W28</f>
        <v>0</v>
      </c>
      <c r="Z26" s="2682">
        <f t="shared" si="8"/>
        <v>0</v>
      </c>
      <c r="AA26" s="2683">
        <f t="shared" si="9"/>
        <v>0</v>
      </c>
      <c r="AB26" s="2681">
        <f>'Fannie Historical Ops'!Y28</f>
        <v>0</v>
      </c>
      <c r="AC26" s="2682">
        <f t="shared" si="8"/>
        <v>0</v>
      </c>
      <c r="AD26" s="2684">
        <f t="shared" si="9"/>
        <v>0</v>
      </c>
      <c r="AE26" s="2681">
        <f>'Fannie Historical Ops'!AA28</f>
        <v>0</v>
      </c>
      <c r="AF26" s="2682">
        <f t="shared" si="8"/>
        <v>0</v>
      </c>
      <c r="AG26" s="2684">
        <f t="shared" si="9"/>
        <v>0</v>
      </c>
      <c r="AH26" s="2681">
        <f>'Fannie Historical Ops'!AC28</f>
        <v>0</v>
      </c>
      <c r="AI26" s="2682">
        <f t="shared" si="8"/>
        <v>0</v>
      </c>
      <c r="AJ26" s="2684">
        <f t="shared" si="9"/>
        <v>0</v>
      </c>
      <c r="AK26" s="2681">
        <f>'Fannie Historical Ops'!AE28</f>
        <v>0</v>
      </c>
      <c r="AL26" s="2686">
        <f t="shared" si="8"/>
        <v>0</v>
      </c>
      <c r="AM26" s="2684">
        <f t="shared" si="9"/>
        <v>0</v>
      </c>
      <c r="AN26" s="2681">
        <f>'Fannie Historical Ops'!AG28</f>
        <v>0</v>
      </c>
      <c r="AO26" s="2686">
        <f t="shared" si="8"/>
        <v>0</v>
      </c>
      <c r="AP26" s="2684">
        <f t="shared" si="9"/>
        <v>0</v>
      </c>
      <c r="AQ26" s="2681">
        <f>'Fannie Historical Ops'!AI28</f>
        <v>0</v>
      </c>
      <c r="AR26" s="2682">
        <f t="shared" si="8"/>
        <v>0</v>
      </c>
      <c r="AS26" s="2683">
        <f t="shared" si="9"/>
        <v>0</v>
      </c>
      <c r="AT26" s="2659"/>
      <c r="AU26" s="2681">
        <f>ROUND('Fannie Historical Ops'!AK28,2)</f>
        <v>0</v>
      </c>
      <c r="AV26" s="2686">
        <f t="shared" si="8"/>
        <v>0</v>
      </c>
      <c r="AW26" s="2684">
        <f t="shared" si="9"/>
        <v>0</v>
      </c>
      <c r="AX26" s="2687"/>
      <c r="AY26" s="2681">
        <f>'Fannie Historical Ops'!AM28</f>
        <v>0</v>
      </c>
      <c r="AZ26" s="2686">
        <f t="shared" si="8"/>
        <v>0</v>
      </c>
      <c r="BA26" s="2684">
        <f t="shared" si="9"/>
        <v>0</v>
      </c>
      <c r="BB26" s="2661"/>
      <c r="BC26" s="2681">
        <f t="shared" si="5"/>
        <v>0</v>
      </c>
      <c r="BD26" s="2686">
        <f t="shared" si="8"/>
        <v>0</v>
      </c>
      <c r="BE26" s="2684">
        <f t="shared" si="9"/>
        <v>0</v>
      </c>
      <c r="BF26" s="2681">
        <f t="shared" si="6"/>
        <v>0</v>
      </c>
      <c r="BG26" s="2686">
        <f t="shared" si="8"/>
        <v>0</v>
      </c>
      <c r="BH26" s="2684">
        <f t="shared" si="9"/>
        <v>0</v>
      </c>
      <c r="BI26" s="2681"/>
      <c r="BJ26" s="2686"/>
      <c r="BK26" s="2684">
        <f t="shared" si="9"/>
        <v>0</v>
      </c>
      <c r="BL26" s="2661"/>
    </row>
    <row r="27" ht="15.75" customHeight="1">
      <c r="A27" s="2649"/>
      <c r="B27" s="2696" t="s">
        <v>2443</v>
      </c>
      <c r="C27" s="2719"/>
      <c r="D27" s="2702">
        <f t="shared" si="12" ref="D27:BF27">SUM(D19:D25)</f>
        <v>0</v>
      </c>
      <c r="E27" s="2720">
        <f t="shared" si="8"/>
        <v>0</v>
      </c>
      <c r="F27" s="2720">
        <f t="shared" si="9"/>
        <v>0</v>
      </c>
      <c r="G27" s="2702">
        <f t="shared" si="12"/>
        <v>0</v>
      </c>
      <c r="H27" s="2720">
        <f t="shared" si="8"/>
        <v>0</v>
      </c>
      <c r="I27" s="2702">
        <f t="shared" si="9"/>
        <v>0</v>
      </c>
      <c r="J27" s="2702">
        <f t="shared" si="12"/>
        <v>0</v>
      </c>
      <c r="K27" s="2721">
        <f t="shared" si="8"/>
        <v>0</v>
      </c>
      <c r="L27" s="2702">
        <f t="shared" si="9"/>
        <v>0</v>
      </c>
      <c r="M27" s="2702">
        <f t="shared" si="12"/>
        <v>-245742</v>
      </c>
      <c r="N27" s="2701">
        <f t="shared" si="12"/>
        <v>-248008.36363636365</v>
      </c>
      <c r="O27" s="2701">
        <f t="shared" si="12"/>
        <v>-249134.39999999997</v>
      </c>
      <c r="P27" s="2701">
        <f t="shared" si="12"/>
        <v>-256182.66666666663</v>
      </c>
      <c r="Q27" s="2701">
        <f t="shared" si="12"/>
        <v>-259777.5</v>
      </c>
      <c r="R27" s="2701">
        <f t="shared" si="12"/>
        <v>-258862.2857142857</v>
      </c>
      <c r="S27" s="2701">
        <f t="shared" si="12"/>
        <v>-254970</v>
      </c>
      <c r="T27" s="2701">
        <f t="shared" si="12"/>
        <v>-240420</v>
      </c>
      <c r="U27" s="2701">
        <f t="shared" si="12"/>
        <v>-238899</v>
      </c>
      <c r="V27" s="2701">
        <f t="shared" si="12"/>
        <v>-234032</v>
      </c>
      <c r="W27" s="2701">
        <f t="shared" si="12"/>
        <v>-230988</v>
      </c>
      <c r="X27" s="2701">
        <f t="shared" si="12"/>
        <v>-241800</v>
      </c>
      <c r="Y27" s="2702">
        <f t="shared" si="12"/>
        <v>-245742</v>
      </c>
      <c r="Z27" s="2720">
        <f t="shared" si="8"/>
        <v>-241</v>
      </c>
      <c r="AA27" s="2720" t="e">
        <f t="shared" si="9"/>
        <v>#DIV/0!</v>
      </c>
      <c r="AB27" s="2702">
        <f t="shared" si="12"/>
        <v>0</v>
      </c>
      <c r="AC27" s="2720">
        <f t="shared" si="8"/>
        <v>0</v>
      </c>
      <c r="AD27" s="2702">
        <f t="shared" si="9"/>
        <v>0</v>
      </c>
      <c r="AE27" s="2702">
        <f t="shared" si="12"/>
        <v>0</v>
      </c>
      <c r="AF27" s="2720">
        <f t="shared" si="8"/>
        <v>0</v>
      </c>
      <c r="AG27" s="2702">
        <f t="shared" si="9"/>
        <v>0</v>
      </c>
      <c r="AH27" s="2702">
        <f t="shared" si="12"/>
        <v>0</v>
      </c>
      <c r="AI27" s="2720">
        <f t="shared" si="8"/>
        <v>0</v>
      </c>
      <c r="AJ27" s="2702">
        <f t="shared" si="9"/>
        <v>0</v>
      </c>
      <c r="AK27" s="2702">
        <f t="shared" si="12"/>
        <v>0</v>
      </c>
      <c r="AL27" s="2702">
        <f t="shared" si="8"/>
        <v>0</v>
      </c>
      <c r="AM27" s="2702">
        <f t="shared" si="9"/>
        <v>0</v>
      </c>
      <c r="AN27" s="2702">
        <f t="shared" si="12"/>
        <v>0</v>
      </c>
      <c r="AO27" s="2702">
        <f t="shared" si="8"/>
        <v>0</v>
      </c>
      <c r="AP27" s="2702">
        <f t="shared" si="9"/>
        <v>0</v>
      </c>
      <c r="AQ27" s="2702">
        <f t="shared" si="12"/>
        <v>0</v>
      </c>
      <c r="AR27" s="2720">
        <f t="shared" si="8"/>
        <v>0</v>
      </c>
      <c r="AS27" s="2720">
        <f t="shared" si="9"/>
        <v>0</v>
      </c>
      <c r="AT27" s="2659"/>
      <c r="AU27" s="2702">
        <f>ROUND(SUM(AU19:AU25),2)</f>
        <v>-245742</v>
      </c>
      <c r="AV27" s="2702">
        <f t="shared" si="8"/>
        <v>-241</v>
      </c>
      <c r="AW27" s="2702" t="e">
        <f t="shared" si="9"/>
        <v>#DIV/0!</v>
      </c>
      <c r="AX27" s="2687"/>
      <c r="AY27" s="2702">
        <f t="shared" si="12"/>
        <v>0</v>
      </c>
      <c r="AZ27" s="2702">
        <f t="shared" si="8"/>
        <v>0</v>
      </c>
      <c r="BA27" s="2702">
        <f t="shared" si="9"/>
        <v>0</v>
      </c>
      <c r="BB27" s="2661"/>
      <c r="BC27" s="2702">
        <f t="shared" si="12"/>
        <v>0</v>
      </c>
      <c r="BD27" s="2702">
        <f t="shared" si="8"/>
        <v>0</v>
      </c>
      <c r="BE27" s="2702">
        <f t="shared" si="9"/>
        <v>0</v>
      </c>
      <c r="BF27" s="2702">
        <f t="shared" si="12"/>
        <v>-253114.26</v>
      </c>
      <c r="BG27" s="2702">
        <f t="shared" si="8"/>
        <v>-248</v>
      </c>
      <c r="BH27" s="2702" t="e">
        <f t="shared" si="9"/>
        <v>#DIV/0!</v>
      </c>
      <c r="BI27" s="2702"/>
      <c r="BJ27" s="2702"/>
      <c r="BK27" s="2702">
        <f t="shared" si="9"/>
        <v>0</v>
      </c>
      <c r="BL27" s="2661"/>
    </row>
    <row r="28" ht="6" customHeight="1">
      <c r="A28" s="2649"/>
      <c r="B28" s="2650"/>
      <c r="C28" s="2649"/>
      <c r="D28" s="2681"/>
      <c r="E28" s="2682"/>
      <c r="F28" s="2700"/>
      <c r="G28" s="2681"/>
      <c r="H28" s="2682"/>
      <c r="I28" s="2701"/>
      <c r="J28" s="2681"/>
      <c r="K28" s="2682"/>
      <c r="L28" s="2702"/>
      <c r="M28" s="2685"/>
      <c r="N28" s="2684"/>
      <c r="O28" s="2684"/>
      <c r="P28" s="2684"/>
      <c r="Q28" s="2684"/>
      <c r="R28" s="2684"/>
      <c r="S28" s="2684"/>
      <c r="T28" s="2684"/>
      <c r="U28" s="2684"/>
      <c r="V28" s="2684"/>
      <c r="W28" s="2684"/>
      <c r="X28" s="2684"/>
      <c r="Y28" s="2681"/>
      <c r="Z28" s="2682"/>
      <c r="AA28" s="2700"/>
      <c r="AB28" s="2681"/>
      <c r="AC28" s="2682"/>
      <c r="AD28" s="2701"/>
      <c r="AE28" s="2681"/>
      <c r="AF28" s="2682"/>
      <c r="AG28" s="2701"/>
      <c r="AH28" s="2681"/>
      <c r="AI28" s="2682"/>
      <c r="AJ28" s="2701"/>
      <c r="AK28" s="2681"/>
      <c r="AL28" s="2686"/>
      <c r="AM28" s="2701"/>
      <c r="AN28" s="2681"/>
      <c r="AO28" s="2686"/>
      <c r="AP28" s="2701"/>
      <c r="AQ28" s="2681"/>
      <c r="AR28" s="2682"/>
      <c r="AS28" s="2700"/>
      <c r="AT28" s="2659"/>
      <c r="AU28" s="2681"/>
      <c r="AV28" s="2686"/>
      <c r="AW28" s="2701"/>
      <c r="AX28" s="2687"/>
      <c r="AY28" s="2681"/>
      <c r="AZ28" s="2686"/>
      <c r="BA28" s="2701"/>
      <c r="BB28" s="2661"/>
      <c r="BC28" s="2681"/>
      <c r="BD28" s="2686"/>
      <c r="BE28" s="2701"/>
      <c r="BF28" s="2681"/>
      <c r="BG28" s="2686"/>
      <c r="BH28" s="2701"/>
      <c r="BI28" s="2681"/>
      <c r="BJ28" s="2686"/>
      <c r="BK28" s="2701"/>
      <c r="BL28" s="2661"/>
    </row>
    <row r="29" ht="15.75" customHeight="1">
      <c r="A29" s="2649"/>
      <c r="B29" s="2696" t="s">
        <v>1805</v>
      </c>
      <c r="C29" s="2719"/>
      <c r="D29" s="2702">
        <f t="shared" si="13" ref="D29:BF29">SUM(D15:D17)+D27</f>
        <v>0</v>
      </c>
      <c r="E29" s="2720">
        <f t="shared" si="8"/>
        <v>0</v>
      </c>
      <c r="F29" s="2720">
        <f t="shared" si="9"/>
        <v>0</v>
      </c>
      <c r="G29" s="2702">
        <f t="shared" si="13"/>
        <v>0</v>
      </c>
      <c r="H29" s="2720">
        <f t="shared" si="8"/>
        <v>0</v>
      </c>
      <c r="I29" s="2702">
        <f t="shared" si="9"/>
        <v>0</v>
      </c>
      <c r="J29" s="2702">
        <f t="shared" si="13"/>
        <v>0</v>
      </c>
      <c r="K29" s="2721">
        <f t="shared" si="8"/>
        <v>0</v>
      </c>
      <c r="L29" s="2702">
        <f t="shared" si="9"/>
        <v>0</v>
      </c>
      <c r="M29" s="2702">
        <f t="shared" si="13"/>
        <v>-216050</v>
      </c>
      <c r="N29" s="2701">
        <f t="shared" si="13"/>
        <v>-219330.54545454547</v>
      </c>
      <c r="O29" s="2701">
        <f t="shared" si="13"/>
        <v>-217588.79999999996</v>
      </c>
      <c r="P29" s="2701">
        <f t="shared" si="13"/>
        <v>-221131.99999999997</v>
      </c>
      <c r="Q29" s="2701">
        <f t="shared" si="13"/>
        <v>-220345.5</v>
      </c>
      <c r="R29" s="2701">
        <f t="shared" si="13"/>
        <v>-217764</v>
      </c>
      <c r="S29" s="2701">
        <f t="shared" si="13"/>
        <v>-222446</v>
      </c>
      <c r="T29" s="2701">
        <f t="shared" si="13"/>
        <v>-211893.6</v>
      </c>
      <c r="U29" s="2701">
        <f t="shared" si="13"/>
        <v>-210291</v>
      </c>
      <c r="V29" s="2701">
        <f t="shared" si="13"/>
        <v>-204932</v>
      </c>
      <c r="W29" s="2701">
        <f t="shared" si="13"/>
        <v>-203982</v>
      </c>
      <c r="X29" s="2701">
        <f t="shared" si="13"/>
        <v>-216360</v>
      </c>
      <c r="Y29" s="2702">
        <f t="shared" si="13"/>
        <v>-216050</v>
      </c>
      <c r="Z29" s="2720">
        <f t="shared" si="8"/>
        <v>-212</v>
      </c>
      <c r="AA29" s="2720" t="e">
        <f t="shared" si="9"/>
        <v>#DIV/0!</v>
      </c>
      <c r="AB29" s="2702">
        <f t="shared" si="13"/>
        <v>0</v>
      </c>
      <c r="AC29" s="2720">
        <f t="shared" si="8"/>
        <v>0</v>
      </c>
      <c r="AD29" s="2702">
        <f t="shared" si="9"/>
        <v>0</v>
      </c>
      <c r="AE29" s="2702">
        <f t="shared" si="13"/>
        <v>0</v>
      </c>
      <c r="AF29" s="2720">
        <f t="shared" si="8"/>
        <v>0</v>
      </c>
      <c r="AG29" s="2702">
        <f t="shared" si="9"/>
        <v>0</v>
      </c>
      <c r="AH29" s="2702">
        <f t="shared" si="13"/>
        <v>0</v>
      </c>
      <c r="AI29" s="2720">
        <f t="shared" si="8"/>
        <v>0</v>
      </c>
      <c r="AJ29" s="2702">
        <f t="shared" si="9"/>
        <v>0</v>
      </c>
      <c r="AK29" s="2702">
        <f t="shared" si="13"/>
        <v>0</v>
      </c>
      <c r="AL29" s="2702">
        <f t="shared" si="8"/>
        <v>0</v>
      </c>
      <c r="AM29" s="2702">
        <f t="shared" si="9"/>
        <v>0</v>
      </c>
      <c r="AN29" s="2702">
        <f t="shared" si="13"/>
        <v>0</v>
      </c>
      <c r="AO29" s="2702">
        <f t="shared" si="8"/>
        <v>0</v>
      </c>
      <c r="AP29" s="2702">
        <f t="shared" si="9"/>
        <v>0</v>
      </c>
      <c r="AQ29" s="2702">
        <f t="shared" si="13"/>
        <v>0</v>
      </c>
      <c r="AR29" s="2720">
        <f t="shared" si="8"/>
        <v>0</v>
      </c>
      <c r="AS29" s="2720">
        <f t="shared" si="9"/>
        <v>0</v>
      </c>
      <c r="AT29" s="2659"/>
      <c r="AU29" s="2702">
        <f>ROUND(SUM(AU15:AU17)+AU27,2)</f>
        <v>-216050</v>
      </c>
      <c r="AV29" s="2702">
        <f t="shared" si="8"/>
        <v>-212</v>
      </c>
      <c r="AW29" s="2702" t="e">
        <f t="shared" si="9"/>
        <v>#DIV/0!</v>
      </c>
      <c r="AX29" s="2687"/>
      <c r="AY29" s="2702">
        <f t="shared" si="13"/>
        <v>0</v>
      </c>
      <c r="AZ29" s="2702">
        <f t="shared" si="8"/>
        <v>0</v>
      </c>
      <c r="BA29" s="2702">
        <f t="shared" si="9"/>
        <v>0</v>
      </c>
      <c r="BB29" s="2661"/>
      <c r="BC29" s="2702">
        <f t="shared" si="13"/>
        <v>0</v>
      </c>
      <c r="BD29" s="2702">
        <f t="shared" si="8"/>
        <v>0</v>
      </c>
      <c r="BE29" s="2702">
        <f t="shared" si="9"/>
        <v>0</v>
      </c>
      <c r="BF29" s="2702">
        <f t="shared" si="13"/>
        <v>-222531.5</v>
      </c>
      <c r="BG29" s="2702">
        <f t="shared" si="8"/>
        <v>-218</v>
      </c>
      <c r="BH29" s="2702" t="e">
        <f t="shared" si="9"/>
        <v>#DIV/0!</v>
      </c>
      <c r="BI29" s="2702"/>
      <c r="BJ29" s="2702"/>
      <c r="BK29" s="2702">
        <f t="shared" si="9"/>
        <v>0</v>
      </c>
      <c r="BL29" s="2661"/>
    </row>
    <row r="30" ht="7.5" customHeight="1">
      <c r="A30" s="2649"/>
      <c r="B30" s="2650"/>
      <c r="C30" s="2649"/>
      <c r="D30" s="2722"/>
      <c r="E30" s="2723"/>
      <c r="F30" s="2724"/>
      <c r="G30" s="2670"/>
      <c r="H30" s="2723"/>
      <c r="I30" s="2725"/>
      <c r="J30" s="2670"/>
      <c r="K30" s="2723"/>
      <c r="L30" s="2726"/>
      <c r="M30" s="2727"/>
      <c r="N30" s="2728"/>
      <c r="O30" s="2728"/>
      <c r="P30" s="2728"/>
      <c r="Q30" s="2728"/>
      <c r="R30" s="2728"/>
      <c r="S30" s="2728"/>
      <c r="T30" s="2728"/>
      <c r="U30" s="2728"/>
      <c r="V30" s="2728"/>
      <c r="W30" s="2728"/>
      <c r="X30" s="2728"/>
      <c r="Y30" s="2670"/>
      <c r="Z30" s="2723"/>
      <c r="AA30" s="2724"/>
      <c r="AB30" s="2670"/>
      <c r="AC30" s="2723"/>
      <c r="AD30" s="2725"/>
      <c r="AE30" s="2670"/>
      <c r="AF30" s="2723"/>
      <c r="AG30" s="2725"/>
      <c r="AH30" s="2670"/>
      <c r="AI30" s="2723"/>
      <c r="AJ30" s="2725"/>
      <c r="AK30" s="2670"/>
      <c r="AL30" s="2729"/>
      <c r="AM30" s="2725"/>
      <c r="AN30" s="2670"/>
      <c r="AO30" s="2729"/>
      <c r="AP30" s="2725"/>
      <c r="AQ30" s="2670"/>
      <c r="AR30" s="2723"/>
      <c r="AS30" s="2724"/>
      <c r="AT30" s="2659"/>
      <c r="AU30" s="2730"/>
      <c r="AV30" s="2729"/>
      <c r="AW30" s="2725"/>
      <c r="AX30" s="2687"/>
      <c r="AY30" s="2730"/>
      <c r="AZ30" s="2729"/>
      <c r="BA30" s="2725"/>
      <c r="BB30" s="2661"/>
      <c r="BC30" s="2730"/>
      <c r="BD30" s="2729"/>
      <c r="BE30" s="2725"/>
      <c r="BF30" s="2730"/>
      <c r="BG30" s="2729"/>
      <c r="BH30" s="2725"/>
      <c r="BI30" s="2730"/>
      <c r="BJ30" s="2729"/>
      <c r="BK30" s="2725"/>
      <c r="BL30" s="2661"/>
    </row>
    <row r="31" ht="15.75" customHeight="1">
      <c r="A31" s="2649"/>
      <c r="B31" s="2696" t="str">
        <f>'Fannie Historical Ops'!B30</f>
        <v>EGI</v>
      </c>
      <c r="C31" s="2719"/>
      <c r="D31" s="2731">
        <f t="shared" si="14" ref="D31:BF31">D13+D29</f>
        <v>0</v>
      </c>
      <c r="E31" s="2732">
        <f t="shared" si="8"/>
        <v>0</v>
      </c>
      <c r="F31" s="2732">
        <f t="shared" si="9"/>
        <v>0</v>
      </c>
      <c r="G31" s="2731">
        <f t="shared" si="14"/>
        <v>0</v>
      </c>
      <c r="H31" s="2732">
        <f t="shared" si="8"/>
        <v>0</v>
      </c>
      <c r="I31" s="2731">
        <f t="shared" si="9"/>
        <v>0</v>
      </c>
      <c r="J31" s="2731">
        <f t="shared" si="14"/>
        <v>0</v>
      </c>
      <c r="K31" s="2733">
        <f t="shared" si="8"/>
        <v>0</v>
      </c>
      <c r="L31" s="2731">
        <f t="shared" si="9"/>
        <v>0</v>
      </c>
      <c r="M31" s="2731">
        <f t="shared" si="14"/>
        <v>4591082</v>
      </c>
      <c r="N31" s="2731">
        <f t="shared" si="14"/>
        <v>4579577.454545454</v>
      </c>
      <c r="O31" s="2731">
        <f t="shared" si="14"/>
        <v>4578546</v>
      </c>
      <c r="P31" s="2731">
        <f t="shared" si="14"/>
        <v>4609536</v>
      </c>
      <c r="Q31" s="2731">
        <f t="shared" si="14"/>
        <v>4628344.5</v>
      </c>
      <c r="R31" s="2731">
        <f t="shared" si="14"/>
        <v>4632622.285714286</v>
      </c>
      <c r="S31" s="2731">
        <f t="shared" si="14"/>
        <v>4686538</v>
      </c>
      <c r="T31" s="2731">
        <f t="shared" si="14"/>
        <v>4735466.4</v>
      </c>
      <c r="U31" s="2731">
        <f t="shared" si="14"/>
        <v>4740597</v>
      </c>
      <c r="V31" s="2731">
        <f t="shared" si="14"/>
        <v>4699944</v>
      </c>
      <c r="W31" s="2731">
        <f t="shared" si="14"/>
        <v>4714008</v>
      </c>
      <c r="X31" s="2731">
        <f t="shared" si="14"/>
        <v>4607052</v>
      </c>
      <c r="Y31" s="2731">
        <f t="shared" si="14"/>
        <v>4591082</v>
      </c>
      <c r="Z31" s="2732">
        <f t="shared" si="8"/>
        <v>4501</v>
      </c>
      <c r="AA31" s="2732" t="e">
        <f t="shared" si="9"/>
        <v>#DIV/0!</v>
      </c>
      <c r="AB31" s="2731">
        <f t="shared" si="14"/>
        <v>0</v>
      </c>
      <c r="AC31" s="2732">
        <f t="shared" si="8"/>
        <v>0</v>
      </c>
      <c r="AD31" s="2731">
        <f t="shared" si="9"/>
        <v>0</v>
      </c>
      <c r="AE31" s="2731">
        <f>AE13+SUM(AE15:AE26)</f>
        <v>0</v>
      </c>
      <c r="AF31" s="2732">
        <f t="shared" si="8"/>
        <v>0</v>
      </c>
      <c r="AG31" s="2731">
        <f t="shared" si="9"/>
        <v>0</v>
      </c>
      <c r="AH31" s="2731">
        <f t="shared" si="14"/>
        <v>0</v>
      </c>
      <c r="AI31" s="2732">
        <f t="shared" si="8"/>
        <v>0</v>
      </c>
      <c r="AJ31" s="2731">
        <f t="shared" si="9"/>
        <v>0</v>
      </c>
      <c r="AK31" s="2731">
        <f t="shared" si="14"/>
        <v>0</v>
      </c>
      <c r="AL31" s="2731">
        <f t="shared" si="8"/>
        <v>0</v>
      </c>
      <c r="AM31" s="2731">
        <f t="shared" si="9"/>
        <v>0</v>
      </c>
      <c r="AN31" s="2731">
        <f t="shared" si="14"/>
        <v>0</v>
      </c>
      <c r="AO31" s="2731">
        <f t="shared" si="8"/>
        <v>0</v>
      </c>
      <c r="AP31" s="2731">
        <f t="shared" si="9"/>
        <v>0</v>
      </c>
      <c r="AQ31" s="2731">
        <f t="shared" si="14"/>
        <v>0</v>
      </c>
      <c r="AR31" s="2732">
        <f t="shared" si="8"/>
        <v>0</v>
      </c>
      <c r="AS31" s="2732">
        <f t="shared" si="9"/>
        <v>0</v>
      </c>
      <c r="AT31" s="2659"/>
      <c r="AU31" s="2731">
        <f t="shared" si="14"/>
        <v>1109838</v>
      </c>
      <c r="AV31" s="2731">
        <f t="shared" si="8"/>
        <v>1088</v>
      </c>
      <c r="AW31" s="2731" t="e">
        <f t="shared" si="9"/>
        <v>#DIV/0!</v>
      </c>
      <c r="AX31" s="2687"/>
      <c r="AY31" s="2731">
        <f t="shared" si="14"/>
        <v>0</v>
      </c>
      <c r="AZ31" s="2731">
        <f t="shared" si="8"/>
        <v>0</v>
      </c>
      <c r="BA31" s="2731">
        <f t="shared" si="9"/>
        <v>0</v>
      </c>
      <c r="BB31" s="2661"/>
      <c r="BC31" s="2731">
        <f t="shared" si="14"/>
        <v>0</v>
      </c>
      <c r="BD31" s="2731">
        <f t="shared" si="8"/>
        <v>0</v>
      </c>
      <c r="BE31" s="2731">
        <f t="shared" si="9"/>
        <v>0</v>
      </c>
      <c r="BF31" s="2731">
        <f t="shared" si="14"/>
        <v>4728814.46</v>
      </c>
      <c r="BG31" s="2731">
        <f t="shared" si="8"/>
        <v>4636</v>
      </c>
      <c r="BH31" s="2731" t="e">
        <f t="shared" si="9"/>
        <v>#DIV/0!</v>
      </c>
      <c r="BI31" s="2731">
        <f>'Expense Comps.'!L215</f>
        <v>0</v>
      </c>
      <c r="BJ31" s="2731">
        <f>ROUND(IF(BI31=0,0,BI31/'Expense Comps.'!$J$215/12),0)</f>
        <v>0</v>
      </c>
      <c r="BK31" s="2731">
        <f t="shared" si="9"/>
        <v>0</v>
      </c>
      <c r="BL31" s="2681"/>
    </row>
    <row r="32" ht="9" customHeight="1">
      <c r="A32" s="2649"/>
      <c r="B32" s="2650"/>
      <c r="C32" s="2649"/>
      <c r="D32" s="2673"/>
      <c r="E32" s="2674"/>
      <c r="F32" s="2675"/>
      <c r="G32" s="2673"/>
      <c r="H32" s="2674"/>
      <c r="I32" s="2657"/>
      <c r="J32" s="2673"/>
      <c r="K32" s="2674"/>
      <c r="L32" s="2676"/>
      <c r="M32" s="2676"/>
      <c r="N32" s="2657"/>
      <c r="O32" s="2657"/>
      <c r="P32" s="2657"/>
      <c r="Q32" s="2657"/>
      <c r="R32" s="2657"/>
      <c r="S32" s="2657"/>
      <c r="T32" s="2657"/>
      <c r="U32" s="2657"/>
      <c r="V32" s="2657"/>
      <c r="W32" s="2657"/>
      <c r="X32" s="2657"/>
      <c r="Y32" s="2673"/>
      <c r="Z32" s="2674"/>
      <c r="AA32" s="2675"/>
      <c r="AB32" s="2673"/>
      <c r="AC32" s="2674"/>
      <c r="AD32" s="2657"/>
      <c r="AE32" s="2673"/>
      <c r="AF32" s="2674"/>
      <c r="AG32" s="2657"/>
      <c r="AH32" s="2673"/>
      <c r="AI32" s="2674"/>
      <c r="AJ32" s="2657"/>
      <c r="AK32" s="2673"/>
      <c r="AL32" s="2677"/>
      <c r="AM32" s="2657"/>
      <c r="AN32" s="2673"/>
      <c r="AO32" s="2677"/>
      <c r="AP32" s="2657"/>
      <c r="AQ32" s="2673"/>
      <c r="AR32" s="2674"/>
      <c r="AS32" s="2675"/>
      <c r="AT32" s="2659"/>
      <c r="AU32" s="2734"/>
      <c r="AV32" s="2677"/>
      <c r="AW32" s="2657"/>
      <c r="AX32" s="2659"/>
      <c r="AY32" s="2734"/>
      <c r="AZ32" s="2677"/>
      <c r="BA32" s="2657"/>
      <c r="BB32" s="2661"/>
      <c r="BC32" s="2734"/>
      <c r="BD32" s="2677"/>
      <c r="BE32" s="2657"/>
      <c r="BF32" s="2734"/>
      <c r="BG32" s="2677"/>
      <c r="BH32" s="2657"/>
      <c r="BI32" s="2734"/>
      <c r="BJ32" s="2677"/>
      <c r="BK32" s="2657"/>
      <c r="BL32" s="2661"/>
    </row>
    <row r="33" ht="15" customHeight="1">
      <c r="A33" s="2649"/>
      <c r="B33" s="2650" t="s">
        <v>2444</v>
      </c>
      <c r="C33" s="2663" t="s">
        <v>2445</v>
      </c>
      <c r="D33" s="2661"/>
      <c r="E33" s="2651" t="s">
        <v>2446</v>
      </c>
      <c r="F33" s="2678" t="s">
        <v>2447</v>
      </c>
      <c r="G33" s="2661"/>
      <c r="H33" s="2651" t="s">
        <v>2446</v>
      </c>
      <c r="I33" s="2665" t="s">
        <v>2447</v>
      </c>
      <c r="J33" s="2661"/>
      <c r="K33" s="2651" t="s">
        <v>2446</v>
      </c>
      <c r="L33" s="2659" t="s">
        <v>2447</v>
      </c>
      <c r="M33" s="2659"/>
      <c r="N33" s="2665"/>
      <c r="O33" s="2665"/>
      <c r="P33" s="2665"/>
      <c r="Q33" s="2665"/>
      <c r="R33" s="2665"/>
      <c r="S33" s="2665"/>
      <c r="T33" s="2665"/>
      <c r="U33" s="2665"/>
      <c r="V33" s="2665"/>
      <c r="W33" s="2665"/>
      <c r="X33" s="2665"/>
      <c r="Y33" s="2661"/>
      <c r="Z33" s="2651" t="s">
        <v>2446</v>
      </c>
      <c r="AA33" s="2678" t="s">
        <v>2447</v>
      </c>
      <c r="AB33" s="2661"/>
      <c r="AC33" s="2651" t="s">
        <v>2446</v>
      </c>
      <c r="AD33" s="2665" t="s">
        <v>2447</v>
      </c>
      <c r="AE33" s="2661"/>
      <c r="AF33" s="2651" t="s">
        <v>2446</v>
      </c>
      <c r="AG33" s="2665" t="s">
        <v>2447</v>
      </c>
      <c r="AH33" s="2661"/>
      <c r="AI33" s="2651" t="s">
        <v>2446</v>
      </c>
      <c r="AJ33" s="2678" t="s">
        <v>2447</v>
      </c>
      <c r="AK33" s="2679"/>
      <c r="AL33" s="2651" t="s">
        <v>2446</v>
      </c>
      <c r="AM33" s="2678" t="s">
        <v>2447</v>
      </c>
      <c r="AN33" s="2679"/>
      <c r="AO33" s="2651" t="s">
        <v>2446</v>
      </c>
      <c r="AP33" s="2678" t="s">
        <v>2447</v>
      </c>
      <c r="AQ33" s="2679"/>
      <c r="AR33" s="2651" t="s">
        <v>2446</v>
      </c>
      <c r="AS33" s="2678" t="s">
        <v>2447</v>
      </c>
      <c r="AT33" s="2659"/>
      <c r="AU33" s="2735"/>
      <c r="AV33" s="2651" t="s">
        <v>2446</v>
      </c>
      <c r="AW33" s="2678" t="s">
        <v>2447</v>
      </c>
      <c r="AX33" s="2680"/>
      <c r="AY33" s="2735"/>
      <c r="AZ33" s="2651" t="s">
        <v>2446</v>
      </c>
      <c r="BA33" s="2678" t="s">
        <v>2447</v>
      </c>
      <c r="BB33" s="2679"/>
      <c r="BC33" s="2735"/>
      <c r="BD33" s="2651" t="s">
        <v>2446</v>
      </c>
      <c r="BE33" s="2678" t="s">
        <v>2447</v>
      </c>
      <c r="BF33" s="2735"/>
      <c r="BG33" s="2651" t="s">
        <v>2446</v>
      </c>
      <c r="BH33" s="2678" t="s">
        <v>2447</v>
      </c>
      <c r="BI33" s="2735"/>
      <c r="BJ33" s="2651" t="s">
        <v>2446</v>
      </c>
      <c r="BK33" s="2678" t="s">
        <v>2447</v>
      </c>
      <c r="BL33" s="2661"/>
    </row>
    <row r="34" ht="15" customHeight="1">
      <c r="A34" s="2649"/>
      <c r="B34" s="2650"/>
      <c r="C34" s="2663" t="s">
        <v>2448</v>
      </c>
      <c r="D34" s="2661"/>
      <c r="E34" s="2651"/>
      <c r="F34" s="2678"/>
      <c r="G34" s="2661"/>
      <c r="H34" s="2651"/>
      <c r="I34" s="2665"/>
      <c r="J34" s="2661"/>
      <c r="K34" s="2651"/>
      <c r="L34" s="2659"/>
      <c r="M34" s="2659"/>
      <c r="N34" s="2665"/>
      <c r="O34" s="2665"/>
      <c r="P34" s="2665"/>
      <c r="Q34" s="2665"/>
      <c r="R34" s="2665"/>
      <c r="S34" s="2665"/>
      <c r="T34" s="2665"/>
      <c r="U34" s="2665"/>
      <c r="V34" s="2665"/>
      <c r="W34" s="2665"/>
      <c r="X34" s="2665"/>
      <c r="Y34" s="2661"/>
      <c r="Z34" s="2651"/>
      <c r="AA34" s="2678"/>
      <c r="AB34" s="2661"/>
      <c r="AC34" s="2651"/>
      <c r="AD34" s="2665"/>
      <c r="AE34" s="2661"/>
      <c r="AF34" s="2651"/>
      <c r="AG34" s="2665"/>
      <c r="AH34" s="2661"/>
      <c r="AI34" s="2651"/>
      <c r="AJ34" s="2665"/>
      <c r="AK34" s="2661"/>
      <c r="AL34" s="2649"/>
      <c r="AM34" s="2665"/>
      <c r="AN34" s="2661"/>
      <c r="AO34" s="2649"/>
      <c r="AP34" s="2665"/>
      <c r="AQ34" s="2661"/>
      <c r="AR34" s="2651"/>
      <c r="AS34" s="2678"/>
      <c r="AT34" s="2659"/>
      <c r="AU34" s="2735"/>
      <c r="AV34" s="2651"/>
      <c r="AW34" s="2678"/>
      <c r="AX34" s="2680"/>
      <c r="AY34" s="2735"/>
      <c r="AZ34" s="2651"/>
      <c r="BA34" s="2678"/>
      <c r="BB34" s="2679"/>
      <c r="BC34" s="2735"/>
      <c r="BD34" s="2651"/>
      <c r="BE34" s="2678"/>
      <c r="BF34" s="2735"/>
      <c r="BG34" s="2651"/>
      <c r="BH34" s="2678"/>
      <c r="BI34" s="2735"/>
      <c r="BJ34" s="2651"/>
      <c r="BK34" s="2678"/>
      <c r="BL34" s="2661"/>
    </row>
    <row r="35" ht="15" customHeight="1">
      <c r="A35" s="2649"/>
      <c r="B35" s="2650" t="s">
        <v>2449</v>
      </c>
      <c r="C35" s="2736" t="s">
        <v>2450</v>
      </c>
      <c r="D35" s="2681">
        <f>'Fannie Historical Ops'!D51</f>
        <v>0</v>
      </c>
      <c r="E35" s="2689">
        <f t="shared" si="15" ref="E35:BG35">IF(D35=0,0,D35/D31)</f>
        <v>0</v>
      </c>
      <c r="F35" s="2690">
        <f t="shared" si="16" ref="F35:BK35">IF(D35=0,0,D35/D31)</f>
        <v>0</v>
      </c>
      <c r="G35" s="2681">
        <f>'Fannie Historical Ops'!F51</f>
        <v>0</v>
      </c>
      <c r="H35" s="2689">
        <f t="shared" si="15"/>
        <v>0</v>
      </c>
      <c r="I35" s="2691">
        <f t="shared" si="16"/>
        <v>0</v>
      </c>
      <c r="J35" s="2681">
        <f>'Fannie Historical Ops'!H51</f>
        <v>0</v>
      </c>
      <c r="K35" s="2692">
        <f t="shared" si="15"/>
        <v>0</v>
      </c>
      <c r="L35" s="2693">
        <f t="shared" si="16"/>
        <v>0</v>
      </c>
      <c r="M35" s="2685">
        <f>'Fannie Historical Ops'!J51</f>
        <v>173577</v>
      </c>
      <c r="N35" s="2684">
        <f>'Fannie Historical Ops'!K51</f>
        <v>174280.36363636365</v>
      </c>
      <c r="O35" s="2684">
        <f>'Fannie Historical Ops'!L51</f>
        <v>175737.59999999998</v>
      </c>
      <c r="P35" s="2684">
        <f>'Fannie Historical Ops'!M51</f>
        <v>168997.33333333334</v>
      </c>
      <c r="Q35" s="2684">
        <f>'Fannie Historical Ops'!N51</f>
        <v>168841.5</v>
      </c>
      <c r="R35" s="2684">
        <f>'Fannie Historical Ops'!O51</f>
        <v>168778.2857142857</v>
      </c>
      <c r="S35" s="2684">
        <f>'Fannie Historical Ops'!P51</f>
        <v>168824</v>
      </c>
      <c r="T35" s="2684">
        <f>'Fannie Historical Ops'!Q51</f>
        <v>168780</v>
      </c>
      <c r="U35" s="2684">
        <f>'Fannie Historical Ops'!R51</f>
        <v>167427</v>
      </c>
      <c r="V35" s="2684">
        <f>'Fannie Historical Ops'!S51</f>
        <v>168604</v>
      </c>
      <c r="W35" s="2684">
        <f>'Fannie Historical Ops'!T51</f>
        <v>171720</v>
      </c>
      <c r="X35" s="2684">
        <f>'Fannie Historical Ops'!U51</f>
        <v>166656</v>
      </c>
      <c r="Y35" s="2681">
        <f>'Fannie Historical Ops'!W51</f>
        <v>173577</v>
      </c>
      <c r="Z35" s="2689">
        <f t="shared" si="15"/>
        <v>0.0378074275301552</v>
      </c>
      <c r="AA35" s="2690">
        <f t="shared" si="16"/>
        <v>0.0378074275301552</v>
      </c>
      <c r="AB35" s="2681">
        <f>'Fannie Historical Ops'!Y51</f>
        <v>0</v>
      </c>
      <c r="AC35" s="2689">
        <f t="shared" si="15"/>
        <v>0</v>
      </c>
      <c r="AD35" s="2691">
        <f t="shared" si="16"/>
        <v>0</v>
      </c>
      <c r="AE35" s="2681">
        <f>'Fannie Historical Ops'!AA51</f>
        <v>0</v>
      </c>
      <c r="AF35" s="2689">
        <f t="shared" si="15"/>
        <v>0</v>
      </c>
      <c r="AG35" s="2691">
        <f t="shared" si="16"/>
        <v>0</v>
      </c>
      <c r="AH35" s="2681">
        <f>'Fannie Historical Ops'!AC51</f>
        <v>0</v>
      </c>
      <c r="AI35" s="2689">
        <f t="shared" si="15"/>
        <v>0</v>
      </c>
      <c r="AJ35" s="2691">
        <f t="shared" si="16"/>
        <v>0</v>
      </c>
      <c r="AK35" s="2681">
        <f>'Fannie Historical Ops'!AE51</f>
        <v>0</v>
      </c>
      <c r="AL35" s="2694">
        <f t="shared" si="15"/>
        <v>0</v>
      </c>
      <c r="AM35" s="2691">
        <f t="shared" si="16"/>
        <v>0</v>
      </c>
      <c r="AN35" s="2681">
        <f>'Fannie Historical Ops'!AG51</f>
        <v>0</v>
      </c>
      <c r="AO35" s="2694">
        <f t="shared" si="15"/>
        <v>0</v>
      </c>
      <c r="AP35" s="2691">
        <f t="shared" si="16"/>
        <v>0</v>
      </c>
      <c r="AQ35" s="2681">
        <f>'Fannie Historical Ops'!AI51</f>
        <v>0</v>
      </c>
      <c r="AR35" s="2689">
        <f t="shared" si="15"/>
        <v>0</v>
      </c>
      <c r="AS35" s="2690">
        <f t="shared" si="16"/>
        <v>0</v>
      </c>
      <c r="AT35" s="2737"/>
      <c r="AU35" s="2681">
        <f>ROUND('Fannie Historical Ops'!AK51,2)</f>
        <v>38844.33</v>
      </c>
      <c r="AV35" s="2694">
        <f t="shared" si="15"/>
        <v>0.035</v>
      </c>
      <c r="AW35" s="2695">
        <f t="shared" si="16"/>
        <v>0.035</v>
      </c>
      <c r="AX35" s="2687"/>
      <c r="AY35" s="2681">
        <f>'Fannie Historical Ops'!AM51</f>
        <v>0</v>
      </c>
      <c r="AZ35" s="2694">
        <f t="shared" si="15"/>
        <v>0</v>
      </c>
      <c r="BA35" s="2695">
        <f t="shared" si="16"/>
        <v>0</v>
      </c>
      <c r="BB35" s="2738"/>
      <c r="BC35" s="2681">
        <f t="shared" si="5"/>
        <v>0</v>
      </c>
      <c r="BD35" s="2694">
        <f t="shared" si="15"/>
        <v>0</v>
      </c>
      <c r="BE35" s="2695">
        <f t="shared" si="16"/>
        <v>0</v>
      </c>
      <c r="BF35" s="2681">
        <f t="shared" si="6"/>
        <v>178784.31</v>
      </c>
      <c r="BG35" s="2694">
        <f t="shared" si="15"/>
        <v>0.0378074275301552</v>
      </c>
      <c r="BH35" s="2695">
        <f t="shared" si="16"/>
        <v>0.0378074275301552</v>
      </c>
      <c r="BI35" s="2681">
        <f>'Expense Comps.'!N215*'Expense Comps.'!$J$215</f>
        <v>0</v>
      </c>
      <c r="BJ35" s="2694">
        <f>'Expense Comps.'!M215</f>
        <v>0</v>
      </c>
      <c r="BK35" s="2695">
        <f t="shared" si="16"/>
        <v>0</v>
      </c>
      <c r="BL35" s="2738"/>
    </row>
    <row r="36" ht="15" customHeight="1">
      <c r="A36" s="2649"/>
      <c r="B36" s="2650" t="s">
        <v>2451</v>
      </c>
      <c r="C36" s="2663" t="str">
        <f>"(2,4,"&amp;IF('SBL Quotes'!$AN$32="Seniors","29-33)","27-31)")</f>
        <v>(2,4,27-31)</v>
      </c>
      <c r="D36" s="2681">
        <f>SUM('Fannie Historical Ops'!D34,'Fannie Historical Ops'!D36,'Fannie Historical Ops'!D63:D67)</f>
        <v>0</v>
      </c>
      <c r="E36" s="2682">
        <f t="shared" si="17" ref="E36:BG57">ROUND(IF(D36&gt;0,D36/$C$3,0),0)</f>
        <v>0</v>
      </c>
      <c r="F36" s="2683">
        <f t="shared" si="18" ref="F36:BK57">ROUND(IF(D36&gt;0,D36/TotalBeds,0),0)</f>
        <v>0</v>
      </c>
      <c r="G36" s="2681">
        <f>SUM('Fannie Historical Ops'!F34,'Fannie Historical Ops'!F36,'Fannie Historical Ops'!F63:F67)</f>
        <v>0</v>
      </c>
      <c r="H36" s="2682">
        <f t="shared" si="17"/>
        <v>0</v>
      </c>
      <c r="I36" s="2684">
        <f t="shared" si="18"/>
        <v>0</v>
      </c>
      <c r="J36" s="2681">
        <f>SUM('Fannie Historical Ops'!H34,'Fannie Historical Ops'!H36,'Fannie Historical Ops'!H63:H67)</f>
        <v>0</v>
      </c>
      <c r="K36" s="2682">
        <f t="shared" si="17"/>
        <v>0</v>
      </c>
      <c r="L36" s="2685">
        <f t="shared" si="18"/>
        <v>0</v>
      </c>
      <c r="M36" s="2685">
        <f>SUM('Fannie Historical Ops'!J34,'Fannie Historical Ops'!J36,'Fannie Historical Ops'!J63:J67)</f>
        <v>218375</v>
      </c>
      <c r="N36" s="2684">
        <f>SUM('Fannie Historical Ops'!K34,'Fannie Historical Ops'!K36,'Fannie Historical Ops'!K63:K67)</f>
        <v>207620.72727272726</v>
      </c>
      <c r="O36" s="2684">
        <f>SUM('Fannie Historical Ops'!L34,'Fannie Historical Ops'!L36,'Fannie Historical Ops'!L63:L67)</f>
        <v>203669.99999999997</v>
      </c>
      <c r="P36" s="2684">
        <f>SUM('Fannie Historical Ops'!M34,'Fannie Historical Ops'!M36,'Fannie Historical Ops'!M63:M67)</f>
        <v>203102.66666666666</v>
      </c>
      <c r="Q36" s="2684">
        <f>SUM('Fannie Historical Ops'!N34,'Fannie Historical Ops'!N36,'Fannie Historical Ops'!N63:N67)</f>
        <v>193749</v>
      </c>
      <c r="R36" s="2684">
        <f>SUM('Fannie Historical Ops'!O34,'Fannie Historical Ops'!O36,'Fannie Historical Ops'!O63:O67)</f>
        <v>192353.14285714284</v>
      </c>
      <c r="S36" s="2684">
        <f>SUM('Fannie Historical Ops'!P34,'Fannie Historical Ops'!P36,'Fannie Historical Ops'!P63:P67)</f>
        <v>196286</v>
      </c>
      <c r="T36" s="2684">
        <f>SUM('Fannie Historical Ops'!Q34,'Fannie Historical Ops'!Q36,'Fannie Historical Ops'!Q63:Q67)</f>
        <v>179486.40000000002</v>
      </c>
      <c r="U36" s="2684">
        <f>SUM('Fannie Historical Ops'!R34,'Fannie Historical Ops'!R36,'Fannie Historical Ops'!R63:R67)</f>
        <v>204663</v>
      </c>
      <c r="V36" s="2684">
        <f>SUM('Fannie Historical Ops'!S34,'Fannie Historical Ops'!S36,'Fannie Historical Ops'!S63:S67)</f>
        <v>217880</v>
      </c>
      <c r="W36" s="2684">
        <f>SUM('Fannie Historical Ops'!T34,'Fannie Historical Ops'!T36,'Fannie Historical Ops'!T63:T67)</f>
        <v>228882</v>
      </c>
      <c r="X36" s="2684">
        <f>SUM('Fannie Historical Ops'!U34,'Fannie Historical Ops'!U36,'Fannie Historical Ops'!U63:U67)</f>
        <v>206892</v>
      </c>
      <c r="Y36" s="2681">
        <f>SUM('Fannie Historical Ops'!W34,'Fannie Historical Ops'!W36,'Fannie Historical Ops'!W63:W67)</f>
        <v>218375</v>
      </c>
      <c r="Z36" s="2682">
        <f t="shared" si="17"/>
        <v>2569</v>
      </c>
      <c r="AA36" s="2683" t="e">
        <f t="shared" si="18"/>
        <v>#DIV/0!</v>
      </c>
      <c r="AB36" s="2681">
        <f>SUM('Fannie Historical Ops'!Y34,'Fannie Historical Ops'!Y36,'Fannie Historical Ops'!Y63:Y67)</f>
        <v>0</v>
      </c>
      <c r="AC36" s="2682">
        <f t="shared" si="17"/>
        <v>0</v>
      </c>
      <c r="AD36" s="2684">
        <f t="shared" si="18"/>
        <v>0</v>
      </c>
      <c r="AE36" s="2681">
        <f>SUM('Fannie Historical Ops'!AA34,'Fannie Historical Ops'!AA36,'Fannie Historical Ops'!AA63:AA67)</f>
        <v>0</v>
      </c>
      <c r="AF36" s="2682">
        <f t="shared" si="17"/>
        <v>0</v>
      </c>
      <c r="AG36" s="2684">
        <f t="shared" si="18"/>
        <v>0</v>
      </c>
      <c r="AH36" s="2681">
        <f>SUM('Fannie Historical Ops'!AC34,'Fannie Historical Ops'!AC36,'Fannie Historical Ops'!AC63:AC67)</f>
        <v>0</v>
      </c>
      <c r="AI36" s="2682">
        <f t="shared" si="17"/>
        <v>0</v>
      </c>
      <c r="AJ36" s="2684">
        <f t="shared" si="18"/>
        <v>0</v>
      </c>
      <c r="AK36" s="2681">
        <f>SUM('Fannie Historical Ops'!AE34,'Fannie Historical Ops'!AE36,'Fannie Historical Ops'!AE63:AE67)</f>
        <v>0</v>
      </c>
      <c r="AL36" s="2686">
        <f t="shared" si="17"/>
        <v>0</v>
      </c>
      <c r="AM36" s="2684">
        <f t="shared" si="18"/>
        <v>0</v>
      </c>
      <c r="AN36" s="2681">
        <f>SUM('Fannie Historical Ops'!AG34,'Fannie Historical Ops'!AG36,'Fannie Historical Ops'!AG63:AG67)</f>
        <v>0</v>
      </c>
      <c r="AO36" s="2686">
        <f t="shared" si="17"/>
        <v>0</v>
      </c>
      <c r="AP36" s="2684">
        <f t="shared" si="18"/>
        <v>0</v>
      </c>
      <c r="AQ36" s="2681">
        <f>SUM('Fannie Historical Ops'!AI34,'Fannie Historical Ops'!AI36,'Fannie Historical Ops'!AI63:AI67)</f>
        <v>0</v>
      </c>
      <c r="AR36" s="2682">
        <f t="shared" si="17"/>
        <v>0</v>
      </c>
      <c r="AS36" s="2683">
        <f t="shared" si="18"/>
        <v>0</v>
      </c>
      <c r="AT36" s="2737"/>
      <c r="AU36" s="2681">
        <f>ROUND(SUM('Fannie Historical Ops'!AK34,'Fannie Historical Ops'!AK36,'Fannie Historical Ops'!AK63:AK67),2)</f>
        <v>224926.25</v>
      </c>
      <c r="AV36" s="2686">
        <f t="shared" si="17"/>
        <v>2646</v>
      </c>
      <c r="AW36" s="2684" t="e">
        <f t="shared" si="18"/>
        <v>#DIV/0!</v>
      </c>
      <c r="AX36" s="2687"/>
      <c r="AY36" s="2681">
        <f>SUM('Fannie Historical Ops'!AM34,'Fannie Historical Ops'!AM36,'Fannie Historical Ops'!AM63:AM67)</f>
        <v>0</v>
      </c>
      <c r="AZ36" s="2686">
        <f t="shared" si="17"/>
        <v>0</v>
      </c>
      <c r="BA36" s="2684">
        <f t="shared" si="18"/>
        <v>0</v>
      </c>
      <c r="BB36" s="2738"/>
      <c r="BC36" s="2681">
        <f t="shared" si="5"/>
        <v>0</v>
      </c>
      <c r="BD36" s="2686">
        <f t="shared" si="17"/>
        <v>0</v>
      </c>
      <c r="BE36" s="2684">
        <f t="shared" si="18"/>
        <v>0</v>
      </c>
      <c r="BF36" s="2681">
        <f t="shared" si="6"/>
        <v>224926.25</v>
      </c>
      <c r="BG36" s="2686">
        <f t="shared" si="17"/>
        <v>2646</v>
      </c>
      <c r="BH36" s="2684" t="e">
        <f t="shared" si="18"/>
        <v>#DIV/0!</v>
      </c>
      <c r="BI36" s="2681">
        <f>'Expense Comps.'!Q215*'Expense Comps.'!$J$215</f>
        <v>0</v>
      </c>
      <c r="BJ36" s="2686">
        <f>ROUND(IF(BI36&gt;0,BI36/'Expense Comps.'!$J$215,0),0)</f>
        <v>0</v>
      </c>
      <c r="BK36" s="2684">
        <f t="shared" si="18"/>
        <v>0</v>
      </c>
      <c r="BL36" s="2738"/>
    </row>
    <row r="37" ht="15" customHeight="1">
      <c r="A37" s="2649"/>
      <c r="B37" s="2650" t="str">
        <f>'Fannie Historical Ops'!B59</f>
        <v>Advertising &amp; Marketing</v>
      </c>
      <c r="C37" s="2736" t="s">
        <v>2453</v>
      </c>
      <c r="D37" s="2681">
        <f>'Fannie Historical Ops'!D59</f>
        <v>0</v>
      </c>
      <c r="E37" s="2682">
        <f t="shared" si="17"/>
        <v>0</v>
      </c>
      <c r="F37" s="2683">
        <f t="shared" si="18"/>
        <v>0</v>
      </c>
      <c r="G37" s="2681">
        <f>'Fannie Historical Ops'!F59</f>
        <v>0</v>
      </c>
      <c r="H37" s="2682">
        <f t="shared" si="17"/>
        <v>0</v>
      </c>
      <c r="I37" s="2684">
        <f t="shared" si="18"/>
        <v>0</v>
      </c>
      <c r="J37" s="2681">
        <f>'Fannie Historical Ops'!H59</f>
        <v>0</v>
      </c>
      <c r="K37" s="2682">
        <f t="shared" si="17"/>
        <v>0</v>
      </c>
      <c r="L37" s="2685">
        <f t="shared" si="18"/>
        <v>0</v>
      </c>
      <c r="M37" s="2685">
        <f>'Fannie Historical Ops'!J59</f>
        <v>49624</v>
      </c>
      <c r="N37" s="2684">
        <f>'Fannie Historical Ops'!K59</f>
        <v>49602.545454545456</v>
      </c>
      <c r="O37" s="2684">
        <f>'Fannie Historical Ops'!L59</f>
        <v>49792.799999999996</v>
      </c>
      <c r="P37" s="2684">
        <f>'Fannie Historical Ops'!M59</f>
        <v>47836</v>
      </c>
      <c r="Q37" s="2684">
        <f>'Fannie Historical Ops'!N59</f>
        <v>47443.5</v>
      </c>
      <c r="R37" s="2684">
        <f>'Fannie Historical Ops'!O59</f>
        <v>48224.57142857143</v>
      </c>
      <c r="S37" s="2684">
        <f>'Fannie Historical Ops'!P59</f>
        <v>45686</v>
      </c>
      <c r="T37" s="2684">
        <f>'Fannie Historical Ops'!Q59</f>
        <v>46980</v>
      </c>
      <c r="U37" s="2684">
        <f>'Fannie Historical Ops'!R59</f>
        <v>46341</v>
      </c>
      <c r="V37" s="2684">
        <f>'Fannie Historical Ops'!S59</f>
        <v>47200</v>
      </c>
      <c r="W37" s="2684">
        <f>'Fannie Historical Ops'!T59</f>
        <v>49560</v>
      </c>
      <c r="X37" s="2684">
        <f>'Fannie Historical Ops'!U59</f>
        <v>22656</v>
      </c>
      <c r="Y37" s="2681">
        <f>'Fannie Historical Ops'!W59</f>
        <v>49624</v>
      </c>
      <c r="Z37" s="2682">
        <f t="shared" si="17"/>
        <v>584</v>
      </c>
      <c r="AA37" s="2683" t="e">
        <f t="shared" si="18"/>
        <v>#DIV/0!</v>
      </c>
      <c r="AB37" s="2681">
        <f>'Fannie Historical Ops'!Y59</f>
        <v>0</v>
      </c>
      <c r="AC37" s="2682">
        <f t="shared" si="17"/>
        <v>0</v>
      </c>
      <c r="AD37" s="2684">
        <f t="shared" si="18"/>
        <v>0</v>
      </c>
      <c r="AE37" s="2681">
        <f>'Fannie Historical Ops'!AA59</f>
        <v>0</v>
      </c>
      <c r="AF37" s="2682">
        <f t="shared" si="17"/>
        <v>0</v>
      </c>
      <c r="AG37" s="2684">
        <f t="shared" si="18"/>
        <v>0</v>
      </c>
      <c r="AH37" s="2681">
        <f>'Fannie Historical Ops'!AC59</f>
        <v>0</v>
      </c>
      <c r="AI37" s="2682">
        <f t="shared" si="17"/>
        <v>0</v>
      </c>
      <c r="AJ37" s="2684">
        <f t="shared" si="18"/>
        <v>0</v>
      </c>
      <c r="AK37" s="2681">
        <f>'Fannie Historical Ops'!AE59</f>
        <v>0</v>
      </c>
      <c r="AL37" s="2686">
        <f t="shared" si="17"/>
        <v>0</v>
      </c>
      <c r="AM37" s="2684">
        <f t="shared" si="18"/>
        <v>0</v>
      </c>
      <c r="AN37" s="2681">
        <f>'Fannie Historical Ops'!AG59</f>
        <v>0</v>
      </c>
      <c r="AO37" s="2686">
        <f t="shared" si="17"/>
        <v>0</v>
      </c>
      <c r="AP37" s="2684">
        <f t="shared" si="18"/>
        <v>0</v>
      </c>
      <c r="AQ37" s="2681">
        <f>'Fannie Historical Ops'!AI59</f>
        <v>0</v>
      </c>
      <c r="AR37" s="2682">
        <f t="shared" si="17"/>
        <v>0</v>
      </c>
      <c r="AS37" s="2683">
        <f t="shared" si="18"/>
        <v>0</v>
      </c>
      <c r="AT37" s="2737"/>
      <c r="AU37" s="2681">
        <f>ROUND('Fannie Historical Ops'!AK59,2)</f>
        <v>51112.72</v>
      </c>
      <c r="AV37" s="2686">
        <f t="shared" si="17"/>
        <v>601</v>
      </c>
      <c r="AW37" s="2684" t="e">
        <f t="shared" si="18"/>
        <v>#DIV/0!</v>
      </c>
      <c r="AX37" s="2687"/>
      <c r="AY37" s="2681">
        <f>'Fannie Historical Ops'!AM59</f>
        <v>0</v>
      </c>
      <c r="AZ37" s="2686">
        <f t="shared" si="17"/>
        <v>0</v>
      </c>
      <c r="BA37" s="2684">
        <f t="shared" si="18"/>
        <v>0</v>
      </c>
      <c r="BB37" s="2738"/>
      <c r="BC37" s="2681">
        <f t="shared" si="5"/>
        <v>0</v>
      </c>
      <c r="BD37" s="2686">
        <f t="shared" si="17"/>
        <v>0</v>
      </c>
      <c r="BE37" s="2684">
        <f t="shared" si="18"/>
        <v>0</v>
      </c>
      <c r="BF37" s="2681">
        <f t="shared" si="6"/>
        <v>51112.72</v>
      </c>
      <c r="BG37" s="2686">
        <f t="shared" si="17"/>
        <v>601</v>
      </c>
      <c r="BH37" s="2684" t="e">
        <f t="shared" si="18"/>
        <v>#DIV/0!</v>
      </c>
      <c r="BI37" s="2681">
        <f>'Expense Comps.'!O215*'Expense Comps.'!$J$215</f>
        <v>0</v>
      </c>
      <c r="BJ37" s="2686">
        <f>ROUND(IF(BI37&gt;0,BI37/'Expense Comps.'!$J$215,0),0)</f>
        <v>0</v>
      </c>
      <c r="BK37" s="2684">
        <f t="shared" si="18"/>
        <v>0</v>
      </c>
      <c r="BL37" s="2738"/>
    </row>
    <row r="38" ht="15" customHeight="1">
      <c r="A38" s="2649"/>
      <c r="B38" s="2650" t="s">
        <v>1930</v>
      </c>
      <c r="C38" s="2736" t="s">
        <v>2454</v>
      </c>
      <c r="D38" s="2681">
        <f>'Fannie Historical Ops'!D60</f>
        <v>0</v>
      </c>
      <c r="E38" s="2682">
        <f t="shared" si="17"/>
        <v>0</v>
      </c>
      <c r="F38" s="2683">
        <f t="shared" si="18"/>
        <v>0</v>
      </c>
      <c r="G38" s="2681">
        <f>'Fannie Historical Ops'!F60</f>
        <v>0</v>
      </c>
      <c r="H38" s="2682">
        <f t="shared" si="17"/>
        <v>0</v>
      </c>
      <c r="I38" s="2684">
        <f t="shared" si="18"/>
        <v>0</v>
      </c>
      <c r="J38" s="2681">
        <f>'Fannie Historical Ops'!H60</f>
        <v>0</v>
      </c>
      <c r="K38" s="2682">
        <f t="shared" si="17"/>
        <v>0</v>
      </c>
      <c r="L38" s="2685">
        <f t="shared" si="18"/>
        <v>0</v>
      </c>
      <c r="M38" s="2685">
        <f>'Fannie Historical Ops'!J60</f>
        <v>18386</v>
      </c>
      <c r="N38" s="2684">
        <f>'Fannie Historical Ops'!K60</f>
        <v>17412</v>
      </c>
      <c r="O38" s="2684">
        <f>'Fannie Historical Ops'!L60</f>
        <v>20241.6</v>
      </c>
      <c r="P38" s="2684">
        <f>'Fannie Historical Ops'!M60</f>
        <v>21221.333333333332</v>
      </c>
      <c r="Q38" s="2684">
        <f>'Fannie Historical Ops'!N60</f>
        <v>19116</v>
      </c>
      <c r="R38" s="2684">
        <f>'Fannie Historical Ops'!O60</f>
        <v>17972.571428571428</v>
      </c>
      <c r="S38" s="2684">
        <f>'Fannie Historical Ops'!P60</f>
        <v>21448</v>
      </c>
      <c r="T38" s="2684">
        <f>'Fannie Historical Ops'!Q60</f>
        <v>8515.2</v>
      </c>
      <c r="U38" s="2684">
        <f>'Fannie Historical Ops'!R60</f>
        <v>2919</v>
      </c>
      <c r="V38" s="2684">
        <f>'Fannie Historical Ops'!S60</f>
        <v>3892</v>
      </c>
      <c r="W38" s="2684">
        <f>'Fannie Historical Ops'!T60</f>
        <v>8322</v>
      </c>
      <c r="X38" s="2684">
        <f>'Fannie Historical Ops'!U60</f>
        <v>0</v>
      </c>
      <c r="Y38" s="2681">
        <f>'Fannie Historical Ops'!W60</f>
        <v>18386</v>
      </c>
      <c r="Z38" s="2682">
        <f t="shared" si="17"/>
        <v>216</v>
      </c>
      <c r="AA38" s="2683" t="e">
        <f t="shared" si="18"/>
        <v>#DIV/0!</v>
      </c>
      <c r="AB38" s="2681">
        <f>'Fannie Historical Ops'!Y60</f>
        <v>0</v>
      </c>
      <c r="AC38" s="2682">
        <f t="shared" si="17"/>
        <v>0</v>
      </c>
      <c r="AD38" s="2684">
        <f t="shared" si="18"/>
        <v>0</v>
      </c>
      <c r="AE38" s="2681">
        <f>'Fannie Historical Ops'!AA60</f>
        <v>0</v>
      </c>
      <c r="AF38" s="2682">
        <f t="shared" si="17"/>
        <v>0</v>
      </c>
      <c r="AG38" s="2684">
        <f t="shared" si="18"/>
        <v>0</v>
      </c>
      <c r="AH38" s="2681">
        <f>'Fannie Historical Ops'!AC60</f>
        <v>0</v>
      </c>
      <c r="AI38" s="2682">
        <f t="shared" si="17"/>
        <v>0</v>
      </c>
      <c r="AJ38" s="2684">
        <f t="shared" si="18"/>
        <v>0</v>
      </c>
      <c r="AK38" s="2681">
        <f>'Fannie Historical Ops'!AE60</f>
        <v>0</v>
      </c>
      <c r="AL38" s="2686">
        <f t="shared" si="17"/>
        <v>0</v>
      </c>
      <c r="AM38" s="2684">
        <f t="shared" si="18"/>
        <v>0</v>
      </c>
      <c r="AN38" s="2681">
        <f>'Fannie Historical Ops'!AG60</f>
        <v>0</v>
      </c>
      <c r="AO38" s="2686">
        <f t="shared" si="17"/>
        <v>0</v>
      </c>
      <c r="AP38" s="2684">
        <f t="shared" si="18"/>
        <v>0</v>
      </c>
      <c r="AQ38" s="2681">
        <f>'Fannie Historical Ops'!AI60</f>
        <v>0</v>
      </c>
      <c r="AR38" s="2682">
        <f t="shared" si="17"/>
        <v>0</v>
      </c>
      <c r="AS38" s="2683">
        <f t="shared" si="18"/>
        <v>0</v>
      </c>
      <c r="AT38" s="2737"/>
      <c r="AU38" s="2681">
        <f>ROUND('Fannie Historical Ops'!AK60,2)</f>
        <v>18937.58</v>
      </c>
      <c r="AV38" s="2686">
        <f t="shared" si="17"/>
        <v>223</v>
      </c>
      <c r="AW38" s="2684" t="e">
        <f t="shared" si="18"/>
        <v>#DIV/0!</v>
      </c>
      <c r="AX38" s="2687"/>
      <c r="AY38" s="2681">
        <f>'Fannie Historical Ops'!AM60</f>
        <v>0</v>
      </c>
      <c r="AZ38" s="2686">
        <f t="shared" si="17"/>
        <v>0</v>
      </c>
      <c r="BA38" s="2684">
        <f t="shared" si="18"/>
        <v>0</v>
      </c>
      <c r="BB38" s="2738"/>
      <c r="BC38" s="2681">
        <f t="shared" si="5"/>
        <v>0</v>
      </c>
      <c r="BD38" s="2686">
        <f t="shared" si="17"/>
        <v>0</v>
      </c>
      <c r="BE38" s="2684">
        <f t="shared" si="18"/>
        <v>0</v>
      </c>
      <c r="BF38" s="2681">
        <f t="shared" si="6"/>
        <v>18937.58</v>
      </c>
      <c r="BG38" s="2686">
        <f t="shared" si="17"/>
        <v>223</v>
      </c>
      <c r="BH38" s="2684" t="e">
        <f t="shared" si="18"/>
        <v>#DIV/0!</v>
      </c>
      <c r="BI38" s="2681">
        <f>'Expense Comps.'!P215*'Expense Comps.'!$J$215</f>
        <v>0</v>
      </c>
      <c r="BJ38" s="2686">
        <f>ROUND(IF(BI38&gt;0,BI38/'Expense Comps.'!$J$215,0),0)</f>
        <v>0</v>
      </c>
      <c r="BK38" s="2684">
        <f t="shared" si="18"/>
        <v>0</v>
      </c>
      <c r="BL38" s="2738"/>
    </row>
    <row r="39" ht="15" customHeight="1" hidden="1">
      <c r="A39" s="2649"/>
      <c r="B39" s="2650" t="str">
        <f>'Fannie Historical Ops'!B61</f>
        <v>Meals Expense (Seniors Only)</v>
      </c>
      <c r="C39" s="2663" t="str">
        <f>IF('SBL Quotes'!$AN$32="Seniors","(27)","(26)")</f>
        <v>(26)</v>
      </c>
      <c r="D39" s="2681">
        <f>'Fannie Historical Ops'!D61</f>
        <v>0</v>
      </c>
      <c r="E39" s="2682">
        <f t="shared" si="17"/>
        <v>0</v>
      </c>
      <c r="F39" s="2683">
        <f t="shared" si="18"/>
        <v>0</v>
      </c>
      <c r="G39" s="2681">
        <f>'Fannie Historical Ops'!F61</f>
        <v>0</v>
      </c>
      <c r="H39" s="2682">
        <f t="shared" si="17"/>
        <v>0</v>
      </c>
      <c r="I39" s="2684">
        <f t="shared" si="18"/>
        <v>0</v>
      </c>
      <c r="J39" s="2681">
        <f>'Fannie Historical Ops'!H61</f>
        <v>0</v>
      </c>
      <c r="K39" s="2682">
        <f t="shared" si="17"/>
        <v>0</v>
      </c>
      <c r="L39" s="2685">
        <f t="shared" si="18"/>
        <v>0</v>
      </c>
      <c r="M39" s="2685">
        <f>'Fannie Historical Ops'!J61</f>
        <v>0</v>
      </c>
      <c r="N39" s="2684">
        <f>'Fannie Historical Ops'!K61</f>
        <v>0</v>
      </c>
      <c r="O39" s="2684">
        <f>'Fannie Historical Ops'!L61</f>
        <v>0</v>
      </c>
      <c r="P39" s="2684">
        <f>'Fannie Historical Ops'!M61</f>
        <v>0</v>
      </c>
      <c r="Q39" s="2684">
        <f>'Fannie Historical Ops'!N61</f>
        <v>0</v>
      </c>
      <c r="R39" s="2684">
        <f>'Fannie Historical Ops'!O61</f>
        <v>0</v>
      </c>
      <c r="S39" s="2684">
        <f>'Fannie Historical Ops'!P61</f>
        <v>0</v>
      </c>
      <c r="T39" s="2684">
        <f>'Fannie Historical Ops'!Q61</f>
        <v>0</v>
      </c>
      <c r="U39" s="2684">
        <f>'Fannie Historical Ops'!R61</f>
        <v>0</v>
      </c>
      <c r="V39" s="2684">
        <f>'Fannie Historical Ops'!S61</f>
        <v>0</v>
      </c>
      <c r="W39" s="2684">
        <f>'Fannie Historical Ops'!T61</f>
        <v>0</v>
      </c>
      <c r="X39" s="2684">
        <f>'Fannie Historical Ops'!U61</f>
        <v>0</v>
      </c>
      <c r="Y39" s="2681">
        <f>'Fannie Historical Ops'!W61</f>
        <v>0</v>
      </c>
      <c r="Z39" s="2682">
        <f t="shared" si="17"/>
        <v>0</v>
      </c>
      <c r="AA39" s="2683">
        <f t="shared" si="18"/>
        <v>0</v>
      </c>
      <c r="AB39" s="2681">
        <f>'Fannie Historical Ops'!Y61</f>
        <v>0</v>
      </c>
      <c r="AC39" s="2682">
        <f t="shared" si="17"/>
        <v>0</v>
      </c>
      <c r="AD39" s="2684">
        <f t="shared" si="18"/>
        <v>0</v>
      </c>
      <c r="AE39" s="2681">
        <f>'Fannie Historical Ops'!AA61</f>
        <v>0</v>
      </c>
      <c r="AF39" s="2682">
        <f t="shared" si="17"/>
        <v>0</v>
      </c>
      <c r="AG39" s="2684">
        <f t="shared" si="18"/>
        <v>0</v>
      </c>
      <c r="AH39" s="2681">
        <f>'Fannie Historical Ops'!AC61</f>
        <v>0</v>
      </c>
      <c r="AI39" s="2682">
        <f t="shared" si="17"/>
        <v>0</v>
      </c>
      <c r="AJ39" s="2684">
        <f t="shared" si="18"/>
        <v>0</v>
      </c>
      <c r="AK39" s="2681">
        <f>'Fannie Historical Ops'!AE61</f>
        <v>0</v>
      </c>
      <c r="AL39" s="2686">
        <f t="shared" si="17"/>
        <v>0</v>
      </c>
      <c r="AM39" s="2684">
        <f t="shared" si="18"/>
        <v>0</v>
      </c>
      <c r="AN39" s="2681">
        <f>'Fannie Historical Ops'!AG61</f>
        <v>0</v>
      </c>
      <c r="AO39" s="2686">
        <f t="shared" si="17"/>
        <v>0</v>
      </c>
      <c r="AP39" s="2684">
        <f t="shared" si="18"/>
        <v>0</v>
      </c>
      <c r="AQ39" s="2681">
        <f>'Fannie Historical Ops'!AI61</f>
        <v>0</v>
      </c>
      <c r="AR39" s="2682">
        <f t="shared" si="17"/>
        <v>0</v>
      </c>
      <c r="AS39" s="2683">
        <f t="shared" si="18"/>
        <v>0</v>
      </c>
      <c r="AT39" s="2737"/>
      <c r="AU39" s="2681">
        <f>'Fannie Historical Ops'!AK61</f>
        <v>0</v>
      </c>
      <c r="AV39" s="2686">
        <f t="shared" si="17"/>
        <v>0</v>
      </c>
      <c r="AW39" s="2684">
        <f t="shared" si="18"/>
        <v>0</v>
      </c>
      <c r="AX39" s="2687"/>
      <c r="AY39" s="2681">
        <f>'Fannie Historical Ops'!AM61</f>
        <v>0</v>
      </c>
      <c r="AZ39" s="2686">
        <f t="shared" si="17"/>
        <v>0</v>
      </c>
      <c r="BA39" s="2684">
        <f t="shared" si="18"/>
        <v>0</v>
      </c>
      <c r="BB39" s="2738"/>
      <c r="BC39" s="2681">
        <f t="shared" si="5"/>
        <v>0</v>
      </c>
      <c r="BD39" s="2686">
        <f t="shared" si="17"/>
        <v>0</v>
      </c>
      <c r="BE39" s="2684">
        <f t="shared" si="18"/>
        <v>0</v>
      </c>
      <c r="BF39" s="2681">
        <f t="shared" si="6"/>
        <v>0</v>
      </c>
      <c r="BG39" s="2686">
        <f t="shared" si="17"/>
        <v>0</v>
      </c>
      <c r="BH39" s="2684">
        <f t="shared" si="18"/>
        <v>0</v>
      </c>
      <c r="BI39" s="2681"/>
      <c r="BJ39" s="2686">
        <f>ROUND(IF(BI39&gt;0,BI39/'Expense Comps.'!$J$215,0),0)</f>
        <v>0</v>
      </c>
      <c r="BK39" s="2684">
        <f t="shared" si="18"/>
        <v>0</v>
      </c>
      <c r="BL39" s="2738"/>
    </row>
    <row r="40" ht="15" customHeight="1" hidden="1">
      <c r="A40" s="2649"/>
      <c r="B40" s="2650" t="str">
        <f>'Fannie Historical Ops'!B62</f>
        <v>Room Expense - House Keeping (Seniors Only)</v>
      </c>
      <c r="C40" s="2663" t="str">
        <f>IF('SBL Quotes'!$AN$32="Seniors","(28)","(26)")</f>
        <v>(26)</v>
      </c>
      <c r="D40" s="2681">
        <f>'Fannie Historical Ops'!D62</f>
        <v>0</v>
      </c>
      <c r="E40" s="2682">
        <f t="shared" si="17"/>
        <v>0</v>
      </c>
      <c r="F40" s="2683">
        <f t="shared" si="18"/>
        <v>0</v>
      </c>
      <c r="G40" s="2681">
        <f>'Fannie Historical Ops'!F62</f>
        <v>0</v>
      </c>
      <c r="H40" s="2682">
        <f t="shared" si="17"/>
        <v>0</v>
      </c>
      <c r="I40" s="2684">
        <f t="shared" si="18"/>
        <v>0</v>
      </c>
      <c r="J40" s="2681">
        <f>'Fannie Historical Ops'!H62</f>
        <v>0</v>
      </c>
      <c r="K40" s="2682">
        <f t="shared" si="17"/>
        <v>0</v>
      </c>
      <c r="L40" s="2685">
        <f t="shared" si="18"/>
        <v>0</v>
      </c>
      <c r="M40" s="2685">
        <f>'Fannie Historical Ops'!J62</f>
        <v>0</v>
      </c>
      <c r="N40" s="2684">
        <f>'Fannie Historical Ops'!K62</f>
        <v>0</v>
      </c>
      <c r="O40" s="2684">
        <f>'Fannie Historical Ops'!L62</f>
        <v>0</v>
      </c>
      <c r="P40" s="2684">
        <f>'Fannie Historical Ops'!M62</f>
        <v>0</v>
      </c>
      <c r="Q40" s="2684">
        <f>'Fannie Historical Ops'!N62</f>
        <v>0</v>
      </c>
      <c r="R40" s="2684">
        <f>'Fannie Historical Ops'!O62</f>
        <v>0</v>
      </c>
      <c r="S40" s="2684">
        <f>'Fannie Historical Ops'!P62</f>
        <v>0</v>
      </c>
      <c r="T40" s="2684">
        <f>'Fannie Historical Ops'!Q62</f>
        <v>0</v>
      </c>
      <c r="U40" s="2684">
        <f>'Fannie Historical Ops'!R62</f>
        <v>0</v>
      </c>
      <c r="V40" s="2684">
        <f>'Fannie Historical Ops'!S62</f>
        <v>0</v>
      </c>
      <c r="W40" s="2684">
        <f>'Fannie Historical Ops'!T62</f>
        <v>0</v>
      </c>
      <c r="X40" s="2684">
        <f>'Fannie Historical Ops'!U62</f>
        <v>0</v>
      </c>
      <c r="Y40" s="2681">
        <f>'Fannie Historical Ops'!W62</f>
        <v>0</v>
      </c>
      <c r="Z40" s="2682">
        <f t="shared" si="17"/>
        <v>0</v>
      </c>
      <c r="AA40" s="2683">
        <f t="shared" si="18"/>
        <v>0</v>
      </c>
      <c r="AB40" s="2681">
        <f>'Fannie Historical Ops'!Y62</f>
        <v>0</v>
      </c>
      <c r="AC40" s="2682">
        <f t="shared" si="17"/>
        <v>0</v>
      </c>
      <c r="AD40" s="2684">
        <f t="shared" si="18"/>
        <v>0</v>
      </c>
      <c r="AE40" s="2681">
        <f>'Fannie Historical Ops'!AA62</f>
        <v>0</v>
      </c>
      <c r="AF40" s="2682">
        <f t="shared" si="17"/>
        <v>0</v>
      </c>
      <c r="AG40" s="2684">
        <f t="shared" si="18"/>
        <v>0</v>
      </c>
      <c r="AH40" s="2681">
        <f>'Fannie Historical Ops'!AC62</f>
        <v>0</v>
      </c>
      <c r="AI40" s="2682">
        <f t="shared" si="17"/>
        <v>0</v>
      </c>
      <c r="AJ40" s="2684">
        <f t="shared" si="18"/>
        <v>0</v>
      </c>
      <c r="AK40" s="2681">
        <f>'Fannie Historical Ops'!AE62</f>
        <v>0</v>
      </c>
      <c r="AL40" s="2686">
        <f t="shared" si="17"/>
        <v>0</v>
      </c>
      <c r="AM40" s="2684">
        <f t="shared" si="18"/>
        <v>0</v>
      </c>
      <c r="AN40" s="2681">
        <f>'Fannie Historical Ops'!AG62</f>
        <v>0</v>
      </c>
      <c r="AO40" s="2686">
        <f t="shared" si="17"/>
        <v>0</v>
      </c>
      <c r="AP40" s="2684">
        <f t="shared" si="18"/>
        <v>0</v>
      </c>
      <c r="AQ40" s="2681">
        <f>'Fannie Historical Ops'!AI62</f>
        <v>0</v>
      </c>
      <c r="AR40" s="2682">
        <f t="shared" si="17"/>
        <v>0</v>
      </c>
      <c r="AS40" s="2683">
        <f t="shared" si="18"/>
        <v>0</v>
      </c>
      <c r="AT40" s="2737"/>
      <c r="AU40" s="2681">
        <f>'Fannie Historical Ops'!AK62</f>
        <v>0</v>
      </c>
      <c r="AV40" s="2686">
        <f t="shared" si="17"/>
        <v>0</v>
      </c>
      <c r="AW40" s="2684">
        <f t="shared" si="18"/>
        <v>0</v>
      </c>
      <c r="AX40" s="2687"/>
      <c r="AY40" s="2681">
        <f>'Fannie Historical Ops'!AM62</f>
        <v>0</v>
      </c>
      <c r="AZ40" s="2686">
        <f t="shared" si="17"/>
        <v>0</v>
      </c>
      <c r="BA40" s="2684">
        <f t="shared" si="18"/>
        <v>0</v>
      </c>
      <c r="BB40" s="2738"/>
      <c r="BC40" s="2681">
        <f t="shared" si="5"/>
        <v>0</v>
      </c>
      <c r="BD40" s="2686">
        <f t="shared" si="17"/>
        <v>0</v>
      </c>
      <c r="BE40" s="2684">
        <f t="shared" si="18"/>
        <v>0</v>
      </c>
      <c r="BF40" s="2681">
        <f t="shared" si="6"/>
        <v>0</v>
      </c>
      <c r="BG40" s="2686">
        <f t="shared" si="17"/>
        <v>0</v>
      </c>
      <c r="BH40" s="2684">
        <f t="shared" si="18"/>
        <v>0</v>
      </c>
      <c r="BI40" s="2681"/>
      <c r="BJ40" s="2686">
        <f>ROUND(IF(BI40&gt;0,BI40/'Expense Comps.'!$J$215,0),0)</f>
        <v>0</v>
      </c>
      <c r="BK40" s="2684">
        <f t="shared" si="18"/>
        <v>0</v>
      </c>
      <c r="BL40" s="2738"/>
    </row>
    <row r="41" ht="15" customHeight="1">
      <c r="A41" s="2649"/>
      <c r="B41" s="2650" t="s">
        <v>2455</v>
      </c>
      <c r="C41" s="2736" t="s">
        <v>2456</v>
      </c>
      <c r="D41" s="2681">
        <f>SUM('Fannie Historical Ops'!D52:D58)</f>
        <v>0</v>
      </c>
      <c r="E41" s="2682">
        <f t="shared" si="17"/>
        <v>0</v>
      </c>
      <c r="F41" s="2683">
        <f t="shared" si="18"/>
        <v>0</v>
      </c>
      <c r="G41" s="2681">
        <f>SUM('Fannie Historical Ops'!F52:F58)</f>
        <v>0</v>
      </c>
      <c r="H41" s="2682">
        <f t="shared" si="17"/>
        <v>0</v>
      </c>
      <c r="I41" s="2684">
        <f t="shared" si="18"/>
        <v>0</v>
      </c>
      <c r="J41" s="2681">
        <f>SUM('Fannie Historical Ops'!H52:H58)</f>
        <v>0</v>
      </c>
      <c r="K41" s="2682">
        <f t="shared" si="17"/>
        <v>0</v>
      </c>
      <c r="L41" s="2685">
        <f t="shared" si="18"/>
        <v>0</v>
      </c>
      <c r="M41" s="2685">
        <f>SUM('Fannie Historical Ops'!J52:J58)</f>
        <v>478149</v>
      </c>
      <c r="N41" s="2684">
        <f>SUM('Fannie Historical Ops'!K52:K58)</f>
        <v>489094.90909090906</v>
      </c>
      <c r="O41" s="2684">
        <f>SUM('Fannie Historical Ops'!L52:L58)</f>
        <v>492806.4</v>
      </c>
      <c r="P41" s="2684">
        <f>SUM('Fannie Historical Ops'!M52:M58)</f>
        <v>476314.6666666667</v>
      </c>
      <c r="Q41" s="2684">
        <f>SUM('Fannie Historical Ops'!N52:N58)</f>
        <v>480934.5</v>
      </c>
      <c r="R41" s="2684">
        <f>SUM('Fannie Historical Ops'!O52:O58)</f>
        <v>476046.85714285716</v>
      </c>
      <c r="S41" s="2684">
        <f>SUM('Fannie Historical Ops'!P52:P58)</f>
        <v>482330</v>
      </c>
      <c r="T41" s="2684">
        <f>SUM('Fannie Historical Ops'!Q52:Q58)</f>
        <v>496488</v>
      </c>
      <c r="U41" s="2684">
        <f>SUM('Fannie Historical Ops'!R52:R58)</f>
        <v>499473</v>
      </c>
      <c r="V41" s="2684">
        <f>SUM('Fannie Historical Ops'!S52:S58)</f>
        <v>523276</v>
      </c>
      <c r="W41" s="2684">
        <f>SUM('Fannie Historical Ops'!T52:T58)</f>
        <v>468510</v>
      </c>
      <c r="X41" s="2684">
        <f>SUM('Fannie Historical Ops'!U52:U58)</f>
        <v>421428</v>
      </c>
      <c r="Y41" s="2681">
        <f>SUM('Fannie Historical Ops'!W52:W58)</f>
        <v>478149</v>
      </c>
      <c r="Z41" s="2682">
        <f t="shared" si="17"/>
        <v>5625</v>
      </c>
      <c r="AA41" s="2683" t="e">
        <f t="shared" si="18"/>
        <v>#DIV/0!</v>
      </c>
      <c r="AB41" s="2681">
        <f>SUM('Fannie Historical Ops'!Y52:Y58)</f>
        <v>0</v>
      </c>
      <c r="AC41" s="2682">
        <f t="shared" si="17"/>
        <v>0</v>
      </c>
      <c r="AD41" s="2684">
        <f t="shared" si="18"/>
        <v>0</v>
      </c>
      <c r="AE41" s="2681">
        <f>SUM('Fannie Historical Ops'!AA52:AA58)</f>
        <v>0</v>
      </c>
      <c r="AF41" s="2682">
        <f t="shared" si="17"/>
        <v>0</v>
      </c>
      <c r="AG41" s="2684">
        <f t="shared" si="18"/>
        <v>0</v>
      </c>
      <c r="AH41" s="2681">
        <f>SUM('Fannie Historical Ops'!AC52:AC58)</f>
        <v>0</v>
      </c>
      <c r="AI41" s="2682">
        <f t="shared" si="17"/>
        <v>0</v>
      </c>
      <c r="AJ41" s="2684">
        <f t="shared" si="18"/>
        <v>0</v>
      </c>
      <c r="AK41" s="2681">
        <f>SUM('Fannie Historical Ops'!AE52:AE58)</f>
        <v>0</v>
      </c>
      <c r="AL41" s="2686">
        <f t="shared" si="17"/>
        <v>0</v>
      </c>
      <c r="AM41" s="2684">
        <f t="shared" si="18"/>
        <v>0</v>
      </c>
      <c r="AN41" s="2681">
        <f>SUM('Fannie Historical Ops'!AG52:AG58)</f>
        <v>0</v>
      </c>
      <c r="AO41" s="2686">
        <f t="shared" si="17"/>
        <v>0</v>
      </c>
      <c r="AP41" s="2684">
        <f t="shared" si="18"/>
        <v>0</v>
      </c>
      <c r="AQ41" s="2681">
        <f>SUM('Fannie Historical Ops'!AI52:AI58)</f>
        <v>0</v>
      </c>
      <c r="AR41" s="2682">
        <f t="shared" si="17"/>
        <v>0</v>
      </c>
      <c r="AS41" s="2683">
        <f t="shared" si="18"/>
        <v>0</v>
      </c>
      <c r="AT41" s="2737"/>
      <c r="AU41" s="2681">
        <f>ROUND(SUM('Fannie Historical Ops'!AK52:AK58),2)</f>
        <v>492493.47</v>
      </c>
      <c r="AV41" s="2686">
        <f t="shared" si="17"/>
        <v>5794</v>
      </c>
      <c r="AW41" s="2684" t="e">
        <f t="shared" si="18"/>
        <v>#DIV/0!</v>
      </c>
      <c r="AX41" s="2687"/>
      <c r="AY41" s="2681">
        <f>SUM('Fannie Historical Ops'!AM52:AM58)</f>
        <v>0</v>
      </c>
      <c r="AZ41" s="2686">
        <f t="shared" si="17"/>
        <v>0</v>
      </c>
      <c r="BA41" s="2684">
        <f t="shared" si="18"/>
        <v>0</v>
      </c>
      <c r="BB41" s="2738"/>
      <c r="BC41" s="2681">
        <f t="shared" si="5"/>
        <v>0</v>
      </c>
      <c r="BD41" s="2686">
        <f t="shared" si="17"/>
        <v>0</v>
      </c>
      <c r="BE41" s="2684">
        <f t="shared" si="18"/>
        <v>0</v>
      </c>
      <c r="BF41" s="2681">
        <f t="shared" si="6"/>
        <v>492493.47000000003</v>
      </c>
      <c r="BG41" s="2686">
        <f t="shared" si="17"/>
        <v>5794</v>
      </c>
      <c r="BH41" s="2684" t="e">
        <f t="shared" si="18"/>
        <v>#DIV/0!</v>
      </c>
      <c r="BI41" s="2681">
        <f>'Expense Comps.'!R215*'Expense Comps.'!$J$215</f>
        <v>0</v>
      </c>
      <c r="BJ41" s="2686">
        <f>ROUND(IF(BI41&gt;0,BI41/'Expense Comps.'!$J$215,0),0)</f>
        <v>0</v>
      </c>
      <c r="BK41" s="2684">
        <f t="shared" si="18"/>
        <v>0</v>
      </c>
      <c r="BL41" s="2738"/>
    </row>
    <row r="42" ht="15" customHeight="1">
      <c r="A42" s="2649"/>
      <c r="B42" s="2650" t="s">
        <v>1417</v>
      </c>
      <c r="C42" s="2736" t="s">
        <v>2457</v>
      </c>
      <c r="D42" s="2681">
        <f>SUM('Fannie Historical Ops'!D40:D42)</f>
        <v>0</v>
      </c>
      <c r="E42" s="2682">
        <f t="shared" si="17"/>
        <v>0</v>
      </c>
      <c r="F42" s="2683">
        <f t="shared" si="18"/>
        <v>0</v>
      </c>
      <c r="G42" s="2681">
        <f>SUM('Fannie Historical Ops'!F40:F42)</f>
        <v>0</v>
      </c>
      <c r="H42" s="2682">
        <f t="shared" si="17"/>
        <v>0</v>
      </c>
      <c r="I42" s="2684">
        <f t="shared" si="18"/>
        <v>0</v>
      </c>
      <c r="J42" s="2681">
        <f>SUM('Fannie Historical Ops'!H40:H42)</f>
        <v>0</v>
      </c>
      <c r="K42" s="2682">
        <f t="shared" si="17"/>
        <v>0</v>
      </c>
      <c r="L42" s="2685">
        <f t="shared" si="18"/>
        <v>0</v>
      </c>
      <c r="M42" s="2685">
        <f>SUM('Fannie Historical Ops'!J40:J42)</f>
        <v>177759</v>
      </c>
      <c r="N42" s="2684">
        <f>SUM('Fannie Historical Ops'!K40:K42)</f>
        <v>187993.0909090909</v>
      </c>
      <c r="O42" s="2684">
        <f>SUM('Fannie Historical Ops'!L40:L42)</f>
        <v>192535.19999999998</v>
      </c>
      <c r="P42" s="2684">
        <f>SUM('Fannie Historical Ops'!M40:M42)</f>
        <v>187288</v>
      </c>
      <c r="Q42" s="2684">
        <f>SUM('Fannie Historical Ops'!N40:N42)</f>
        <v>179734.5</v>
      </c>
      <c r="R42" s="2684">
        <f>SUM('Fannie Historical Ops'!O40:O42)</f>
        <v>170254.2857142857</v>
      </c>
      <c r="S42" s="2684">
        <f>SUM('Fannie Historical Ops'!P40:P42)</f>
        <v>159246</v>
      </c>
      <c r="T42" s="2684">
        <f>SUM('Fannie Historical Ops'!Q40:Q42)</f>
        <v>153208.80000000002</v>
      </c>
      <c r="U42" s="2684">
        <f>SUM('Fannie Historical Ops'!R40:R42)</f>
        <v>187770</v>
      </c>
      <c r="V42" s="2684">
        <f>SUM('Fannie Historical Ops'!S40:S42)</f>
        <v>147884</v>
      </c>
      <c r="W42" s="2684">
        <f>SUM('Fannie Historical Ops'!T40:T42)</f>
        <v>143526</v>
      </c>
      <c r="X42" s="2684">
        <f>SUM('Fannie Historical Ops'!U40:U42)</f>
        <v>243312</v>
      </c>
      <c r="Y42" s="2681">
        <f>SUM('Fannie Historical Ops'!W40:W42)</f>
        <v>177759</v>
      </c>
      <c r="Z42" s="2682">
        <f t="shared" si="17"/>
        <v>2091</v>
      </c>
      <c r="AA42" s="2683" t="e">
        <f t="shared" si="18"/>
        <v>#DIV/0!</v>
      </c>
      <c r="AB42" s="2681">
        <f>SUM('Fannie Historical Ops'!Y40:Y42)</f>
        <v>0</v>
      </c>
      <c r="AC42" s="2682">
        <f t="shared" si="17"/>
        <v>0</v>
      </c>
      <c r="AD42" s="2684">
        <f t="shared" si="18"/>
        <v>0</v>
      </c>
      <c r="AE42" s="2681">
        <f>SUM('Fannie Historical Ops'!AA40:AA42)</f>
        <v>0</v>
      </c>
      <c r="AF42" s="2682">
        <f t="shared" si="17"/>
        <v>0</v>
      </c>
      <c r="AG42" s="2684">
        <f t="shared" si="18"/>
        <v>0</v>
      </c>
      <c r="AH42" s="2681">
        <f>SUM('Fannie Historical Ops'!AC40:AC42)</f>
        <v>0</v>
      </c>
      <c r="AI42" s="2682">
        <f t="shared" si="17"/>
        <v>0</v>
      </c>
      <c r="AJ42" s="2684">
        <f t="shared" si="18"/>
        <v>0</v>
      </c>
      <c r="AK42" s="2681">
        <f>SUM('Fannie Historical Ops'!AE40:AE42)</f>
        <v>0</v>
      </c>
      <c r="AL42" s="2686">
        <f t="shared" si="17"/>
        <v>0</v>
      </c>
      <c r="AM42" s="2684">
        <f t="shared" si="18"/>
        <v>0</v>
      </c>
      <c r="AN42" s="2681">
        <f>SUM('Fannie Historical Ops'!AG40:AG42)</f>
        <v>0</v>
      </c>
      <c r="AO42" s="2686">
        <f t="shared" si="17"/>
        <v>0</v>
      </c>
      <c r="AP42" s="2684">
        <f t="shared" si="18"/>
        <v>0</v>
      </c>
      <c r="AQ42" s="2681">
        <f>SUM('Fannie Historical Ops'!AI40:AI42)</f>
        <v>0</v>
      </c>
      <c r="AR42" s="2682">
        <f t="shared" si="17"/>
        <v>0</v>
      </c>
      <c r="AS42" s="2683">
        <f t="shared" si="18"/>
        <v>0</v>
      </c>
      <c r="AT42" s="2737"/>
      <c r="AU42" s="2681">
        <f>ROUND(SUM('Fannie Historical Ops'!AK40:AK42),2)</f>
        <v>183091.77</v>
      </c>
      <c r="AV42" s="2686">
        <f t="shared" si="17"/>
        <v>2154</v>
      </c>
      <c r="AW42" s="2684" t="e">
        <f t="shared" si="18"/>
        <v>#DIV/0!</v>
      </c>
      <c r="AX42" s="2687"/>
      <c r="AY42" s="2681">
        <f>SUM('Fannie Historical Ops'!AM40:AM42)</f>
        <v>0</v>
      </c>
      <c r="AZ42" s="2686">
        <f t="shared" si="17"/>
        <v>0</v>
      </c>
      <c r="BA42" s="2684">
        <f t="shared" si="18"/>
        <v>0</v>
      </c>
      <c r="BB42" s="2738"/>
      <c r="BC42" s="2681">
        <f t="shared" si="5"/>
        <v>0</v>
      </c>
      <c r="BD42" s="2686">
        <f t="shared" si="17"/>
        <v>0</v>
      </c>
      <c r="BE42" s="2684">
        <f t="shared" si="18"/>
        <v>0</v>
      </c>
      <c r="BF42" s="2681">
        <f t="shared" si="6"/>
        <v>183091.77000000002</v>
      </c>
      <c r="BG42" s="2686">
        <f t="shared" si="17"/>
        <v>2154</v>
      </c>
      <c r="BH42" s="2684" t="e">
        <f t="shared" si="18"/>
        <v>#DIV/0!</v>
      </c>
      <c r="BI42" s="2681">
        <f>'Expense Comps.'!S215*'Expense Comps.'!$J$215</f>
        <v>0</v>
      </c>
      <c r="BJ42" s="2686">
        <f>ROUND(IF(BI42&gt;0,BI42/'Expense Comps.'!$J$215,0),0)</f>
        <v>0</v>
      </c>
      <c r="BK42" s="2684">
        <f t="shared" si="18"/>
        <v>0</v>
      </c>
      <c r="BL42" s="2738"/>
    </row>
    <row r="43" ht="15" customHeight="1">
      <c r="A43" s="2649"/>
      <c r="B43" s="2650" t="s">
        <v>1419</v>
      </c>
      <c r="C43" s="2736" t="s">
        <v>2442</v>
      </c>
      <c r="D43" s="2681">
        <f>'Fannie Historical Ops'!D43</f>
        <v>0</v>
      </c>
      <c r="E43" s="2682">
        <f t="shared" si="17"/>
        <v>0</v>
      </c>
      <c r="F43" s="2683">
        <f t="shared" si="18"/>
        <v>0</v>
      </c>
      <c r="G43" s="2681">
        <f>'Fannie Historical Ops'!F43</f>
        <v>0</v>
      </c>
      <c r="H43" s="2682">
        <f t="shared" si="17"/>
        <v>0</v>
      </c>
      <c r="I43" s="2684">
        <f t="shared" si="18"/>
        <v>0</v>
      </c>
      <c r="J43" s="2681">
        <f>'Fannie Historical Ops'!H43</f>
        <v>0</v>
      </c>
      <c r="K43" s="2682">
        <f t="shared" si="17"/>
        <v>0</v>
      </c>
      <c r="L43" s="2685">
        <f t="shared" si="18"/>
        <v>0</v>
      </c>
      <c r="M43" s="2685">
        <f>'Fannie Historical Ops'!J43</f>
        <v>114174</v>
      </c>
      <c r="N43" s="2684">
        <f>'Fannie Historical Ops'!K43</f>
        <v>114571.63636363637</v>
      </c>
      <c r="O43" s="2684">
        <f>'Fannie Historical Ops'!L43</f>
        <v>115201.20000000001</v>
      </c>
      <c r="P43" s="2684">
        <f>'Fannie Historical Ops'!M43</f>
        <v>104226.66666666666</v>
      </c>
      <c r="Q43" s="2684">
        <f>'Fannie Historical Ops'!N43</f>
        <v>116680.5</v>
      </c>
      <c r="R43" s="2684">
        <f>'Fannie Historical Ops'!O43</f>
        <v>113477.14285714284</v>
      </c>
      <c r="S43" s="2684">
        <f>'Fannie Historical Ops'!P43</f>
        <v>106140</v>
      </c>
      <c r="T43" s="2684">
        <f>'Fannie Historical Ops'!Q43</f>
        <v>120554.40000000001</v>
      </c>
      <c r="U43" s="2684">
        <f>'Fannie Historical Ops'!R43</f>
        <v>124221</v>
      </c>
      <c r="V43" s="2684">
        <f>'Fannie Historical Ops'!S43</f>
        <v>132396</v>
      </c>
      <c r="W43" s="2684">
        <f>'Fannie Historical Ops'!T43</f>
        <v>131922</v>
      </c>
      <c r="X43" s="2684">
        <f>'Fannie Historical Ops'!U43</f>
        <v>113544</v>
      </c>
      <c r="Y43" s="2681">
        <f>'Fannie Historical Ops'!W43</f>
        <v>114174</v>
      </c>
      <c r="Z43" s="2682">
        <f t="shared" si="17"/>
        <v>1343</v>
      </c>
      <c r="AA43" s="2683" t="e">
        <f t="shared" si="18"/>
        <v>#DIV/0!</v>
      </c>
      <c r="AB43" s="2681">
        <f>'Fannie Historical Ops'!Y43</f>
        <v>0</v>
      </c>
      <c r="AC43" s="2682">
        <f t="shared" si="17"/>
        <v>0</v>
      </c>
      <c r="AD43" s="2684">
        <f t="shared" si="18"/>
        <v>0</v>
      </c>
      <c r="AE43" s="2681">
        <f>'Fannie Historical Ops'!AA43</f>
        <v>0</v>
      </c>
      <c r="AF43" s="2682">
        <f t="shared" si="17"/>
        <v>0</v>
      </c>
      <c r="AG43" s="2684">
        <f t="shared" si="18"/>
        <v>0</v>
      </c>
      <c r="AH43" s="2681">
        <f>'Fannie Historical Ops'!AC43</f>
        <v>0</v>
      </c>
      <c r="AI43" s="2682">
        <f t="shared" si="17"/>
        <v>0</v>
      </c>
      <c r="AJ43" s="2684">
        <f t="shared" si="18"/>
        <v>0</v>
      </c>
      <c r="AK43" s="2681">
        <f>'Fannie Historical Ops'!AE43</f>
        <v>0</v>
      </c>
      <c r="AL43" s="2686">
        <f t="shared" si="17"/>
        <v>0</v>
      </c>
      <c r="AM43" s="2684">
        <f t="shared" si="18"/>
        <v>0</v>
      </c>
      <c r="AN43" s="2681">
        <f>'Fannie Historical Ops'!AG43</f>
        <v>0</v>
      </c>
      <c r="AO43" s="2686">
        <f t="shared" si="17"/>
        <v>0</v>
      </c>
      <c r="AP43" s="2684">
        <f t="shared" si="18"/>
        <v>0</v>
      </c>
      <c r="AQ43" s="2681">
        <f>'Fannie Historical Ops'!AI43</f>
        <v>0</v>
      </c>
      <c r="AR43" s="2682">
        <f t="shared" si="17"/>
        <v>0</v>
      </c>
      <c r="AS43" s="2683">
        <f t="shared" si="18"/>
        <v>0</v>
      </c>
      <c r="AT43" s="2737"/>
      <c r="AU43" s="2681">
        <f>ROUND('Fannie Historical Ops'!AK43,2)</f>
        <v>117599.22</v>
      </c>
      <c r="AV43" s="2686">
        <f t="shared" si="17"/>
        <v>1384</v>
      </c>
      <c r="AW43" s="2684" t="e">
        <f t="shared" si="18"/>
        <v>#DIV/0!</v>
      </c>
      <c r="AX43" s="2687"/>
      <c r="AY43" s="2681">
        <f>'Fannie Historical Ops'!AM43</f>
        <v>0</v>
      </c>
      <c r="AZ43" s="2686">
        <f t="shared" si="17"/>
        <v>0</v>
      </c>
      <c r="BA43" s="2684">
        <f t="shared" si="18"/>
        <v>0</v>
      </c>
      <c r="BB43" s="2738"/>
      <c r="BC43" s="2681">
        <f t="shared" si="5"/>
        <v>0</v>
      </c>
      <c r="BD43" s="2686">
        <f t="shared" si="17"/>
        <v>0</v>
      </c>
      <c r="BE43" s="2684">
        <f t="shared" si="18"/>
        <v>0</v>
      </c>
      <c r="BF43" s="2681">
        <f t="shared" si="6"/>
        <v>117599.22</v>
      </c>
      <c r="BG43" s="2686">
        <f t="shared" si="17"/>
        <v>1384</v>
      </c>
      <c r="BH43" s="2684" t="e">
        <f t="shared" si="18"/>
        <v>#DIV/0!</v>
      </c>
      <c r="BI43" s="2681">
        <f>'Expense Comps.'!T215*'Expense Comps.'!$J$215</f>
        <v>0</v>
      </c>
      <c r="BJ43" s="2686">
        <f>ROUND(IF(BI43&gt;0,BI43/'Expense Comps.'!$J$215,0),0)</f>
        <v>0</v>
      </c>
      <c r="BK43" s="2684">
        <f t="shared" si="18"/>
        <v>0</v>
      </c>
      <c r="BL43" s="2738"/>
    </row>
    <row r="44" ht="15" customHeight="1">
      <c r="A44" s="2649"/>
      <c r="B44" s="2650" t="s">
        <v>2458</v>
      </c>
      <c r="C44" s="2736" t="s">
        <v>2459</v>
      </c>
      <c r="D44" s="2681">
        <f>SUM('Fannie Historical Ops'!D44:D50)</f>
        <v>0</v>
      </c>
      <c r="E44" s="2682">
        <f t="shared" si="17"/>
        <v>0</v>
      </c>
      <c r="F44" s="2683">
        <f t="shared" si="18"/>
        <v>0</v>
      </c>
      <c r="G44" s="2681">
        <f>SUM('Fannie Historical Ops'!F44:F50)</f>
        <v>0</v>
      </c>
      <c r="H44" s="2682">
        <f t="shared" si="17"/>
        <v>0</v>
      </c>
      <c r="I44" s="2684">
        <f t="shared" si="18"/>
        <v>0</v>
      </c>
      <c r="J44" s="2681">
        <f>SUM('Fannie Historical Ops'!H44:H50)</f>
        <v>0</v>
      </c>
      <c r="K44" s="2682">
        <f t="shared" si="17"/>
        <v>0</v>
      </c>
      <c r="L44" s="2685">
        <f t="shared" si="18"/>
        <v>0</v>
      </c>
      <c r="M44" s="2685">
        <f>SUM('Fannie Historical Ops'!J44:J50)</f>
        <v>384239</v>
      </c>
      <c r="N44" s="2684">
        <f>SUM('Fannie Historical Ops'!K44:K50)</f>
        <v>393526.90909090906</v>
      </c>
      <c r="O44" s="2684">
        <f>SUM('Fannie Historical Ops'!L44:L50)</f>
        <v>388375.19999999995</v>
      </c>
      <c r="P44" s="2684">
        <f>SUM('Fannie Historical Ops'!M44:M50)</f>
        <v>376799.99999999994</v>
      </c>
      <c r="Q44" s="2684">
        <f>SUM('Fannie Historical Ops'!N44:N50)</f>
        <v>393928.5</v>
      </c>
      <c r="R44" s="2684">
        <f>SUM('Fannie Historical Ops'!O44:O50)</f>
        <v>395496</v>
      </c>
      <c r="S44" s="2684">
        <f>SUM('Fannie Historical Ops'!P44:P50)</f>
        <v>373904</v>
      </c>
      <c r="T44" s="2684">
        <f>SUM('Fannie Historical Ops'!Q44:Q50)</f>
        <v>401954.4</v>
      </c>
      <c r="U44" s="2684">
        <f>SUM('Fannie Historical Ops'!R44:R50)</f>
        <v>402831</v>
      </c>
      <c r="V44" s="2684">
        <f>SUM('Fannie Historical Ops'!S44:S50)</f>
        <v>408580</v>
      </c>
      <c r="W44" s="2684">
        <f>SUM('Fannie Historical Ops'!T44:T50)</f>
        <v>424404</v>
      </c>
      <c r="X44" s="2684">
        <f>SUM('Fannie Historical Ops'!U44:U50)</f>
        <v>486132</v>
      </c>
      <c r="Y44" s="2681">
        <f>SUM('Fannie Historical Ops'!W44:W50)</f>
        <v>384239</v>
      </c>
      <c r="Z44" s="2682">
        <f t="shared" si="17"/>
        <v>4520</v>
      </c>
      <c r="AA44" s="2683" t="e">
        <f t="shared" si="18"/>
        <v>#DIV/0!</v>
      </c>
      <c r="AB44" s="2681">
        <f>SUM('Fannie Historical Ops'!Y44:Y50)</f>
        <v>0</v>
      </c>
      <c r="AC44" s="2682">
        <f t="shared" si="17"/>
        <v>0</v>
      </c>
      <c r="AD44" s="2684">
        <f t="shared" si="18"/>
        <v>0</v>
      </c>
      <c r="AE44" s="2681">
        <f>SUM('Fannie Historical Ops'!AA44:AA50)</f>
        <v>0</v>
      </c>
      <c r="AF44" s="2682">
        <f t="shared" si="17"/>
        <v>0</v>
      </c>
      <c r="AG44" s="2684">
        <f t="shared" si="18"/>
        <v>0</v>
      </c>
      <c r="AH44" s="2681">
        <f>SUM('Fannie Historical Ops'!AC44:AC50)</f>
        <v>0</v>
      </c>
      <c r="AI44" s="2682">
        <f t="shared" si="17"/>
        <v>0</v>
      </c>
      <c r="AJ44" s="2684">
        <f t="shared" si="18"/>
        <v>0</v>
      </c>
      <c r="AK44" s="2681">
        <f>SUM('Fannie Historical Ops'!AE44:AE50)</f>
        <v>0</v>
      </c>
      <c r="AL44" s="2686">
        <f t="shared" si="17"/>
        <v>0</v>
      </c>
      <c r="AM44" s="2684">
        <f t="shared" si="18"/>
        <v>0</v>
      </c>
      <c r="AN44" s="2681">
        <f>SUM('Fannie Historical Ops'!AG44:AG50)</f>
        <v>0</v>
      </c>
      <c r="AO44" s="2686">
        <f t="shared" si="17"/>
        <v>0</v>
      </c>
      <c r="AP44" s="2684">
        <f t="shared" si="18"/>
        <v>0</v>
      </c>
      <c r="AQ44" s="2681">
        <f>SUM('Fannie Historical Ops'!AI44:AI50)</f>
        <v>0</v>
      </c>
      <c r="AR44" s="2682">
        <f t="shared" si="17"/>
        <v>0</v>
      </c>
      <c r="AS44" s="2683">
        <f t="shared" si="18"/>
        <v>0</v>
      </c>
      <c r="AT44" s="2737"/>
      <c r="AU44" s="2681">
        <f>ROUND(SUM('Fannie Historical Ops'!AK44:AK50),2)</f>
        <v>395766.17</v>
      </c>
      <c r="AV44" s="2686">
        <f t="shared" si="17"/>
        <v>4656</v>
      </c>
      <c r="AW44" s="2684" t="e">
        <f t="shared" si="18"/>
        <v>#DIV/0!</v>
      </c>
      <c r="AX44" s="2687"/>
      <c r="AY44" s="2681">
        <f>SUM('Fannie Historical Ops'!AM44:AM50)</f>
        <v>0</v>
      </c>
      <c r="AZ44" s="2686">
        <f t="shared" si="17"/>
        <v>0</v>
      </c>
      <c r="BA44" s="2684">
        <f t="shared" si="18"/>
        <v>0</v>
      </c>
      <c r="BB44" s="2738"/>
      <c r="BC44" s="2681">
        <f t="shared" si="5"/>
        <v>0</v>
      </c>
      <c r="BD44" s="2686">
        <f t="shared" si="17"/>
        <v>0</v>
      </c>
      <c r="BE44" s="2684">
        <f t="shared" si="18"/>
        <v>0</v>
      </c>
      <c r="BF44" s="2681">
        <f t="shared" si="6"/>
        <v>395766.17</v>
      </c>
      <c r="BG44" s="2686">
        <f t="shared" si="17"/>
        <v>4656</v>
      </c>
      <c r="BH44" s="2684" t="e">
        <f t="shared" si="18"/>
        <v>#DIV/0!</v>
      </c>
      <c r="BI44" s="2681">
        <f>'Expense Comps.'!U215*'Expense Comps.'!$J$215</f>
        <v>0</v>
      </c>
      <c r="BJ44" s="2686">
        <f>ROUND(IF(BI44&gt;0,BI44/'Expense Comps.'!$J$215,0),0)</f>
        <v>0</v>
      </c>
      <c r="BK44" s="2684">
        <f t="shared" si="18"/>
        <v>0</v>
      </c>
      <c r="BL44" s="2738"/>
    </row>
    <row r="45" ht="15" customHeight="1">
      <c r="A45" s="2649"/>
      <c r="B45" s="2650" t="s">
        <v>1492</v>
      </c>
      <c r="C45" s="2736" t="s">
        <v>2460</v>
      </c>
      <c r="D45" s="2681">
        <f>'Fannie Historical Ops'!D35</f>
        <v>0</v>
      </c>
      <c r="E45" s="2682">
        <f t="shared" si="17"/>
        <v>0</v>
      </c>
      <c r="F45" s="2683">
        <f t="shared" si="18"/>
        <v>0</v>
      </c>
      <c r="G45" s="2681">
        <f>'Fannie Historical Ops'!F35</f>
        <v>0</v>
      </c>
      <c r="H45" s="2682">
        <f t="shared" si="17"/>
        <v>0</v>
      </c>
      <c r="I45" s="2684">
        <f t="shared" si="18"/>
        <v>0</v>
      </c>
      <c r="J45" s="2681">
        <f>'Fannie Historical Ops'!H35</f>
        <v>0</v>
      </c>
      <c r="K45" s="2682">
        <f t="shared" si="17"/>
        <v>0</v>
      </c>
      <c r="L45" s="2685">
        <f t="shared" si="18"/>
        <v>0</v>
      </c>
      <c r="M45" s="2685">
        <f>'Fannie Historical Ops'!J35</f>
        <v>243093</v>
      </c>
      <c r="N45" s="2684">
        <f>'Fannie Historical Ops'!K35</f>
        <v>243326.18181818182</v>
      </c>
      <c r="O45" s="2684">
        <f>'Fannie Historical Ops'!L35</f>
        <v>244185.59999999998</v>
      </c>
      <c r="P45" s="2684">
        <f>'Fannie Historical Ops'!M35</f>
        <v>245037.3333333333</v>
      </c>
      <c r="Q45" s="2684">
        <f>'Fannie Historical Ops'!N35</f>
        <v>243865.5</v>
      </c>
      <c r="R45" s="2684">
        <f>'Fannie Historical Ops'!O35</f>
        <v>245295.42857142858</v>
      </c>
      <c r="S45" s="2684">
        <f>'Fannie Historical Ops'!P35</f>
        <v>247212</v>
      </c>
      <c r="T45" s="2684">
        <f>'Fannie Historical Ops'!Q35</f>
        <v>247120.80000000002</v>
      </c>
      <c r="U45" s="2684">
        <f>'Fannie Historical Ops'!R35</f>
        <v>246114</v>
      </c>
      <c r="V45" s="2684">
        <f>'Fannie Historical Ops'!S35</f>
        <v>244320</v>
      </c>
      <c r="W45" s="2684">
        <f>'Fannie Historical Ops'!T35</f>
        <v>247350</v>
      </c>
      <c r="X45" s="2684">
        <f>'Fannie Historical Ops'!U35</f>
        <v>238164</v>
      </c>
      <c r="Y45" s="2681">
        <f>'Fannie Historical Ops'!W35</f>
        <v>243093</v>
      </c>
      <c r="Z45" s="2682">
        <f t="shared" si="17"/>
        <v>2860</v>
      </c>
      <c r="AA45" s="2683" t="e">
        <f t="shared" si="18"/>
        <v>#DIV/0!</v>
      </c>
      <c r="AB45" s="2681">
        <f>'Fannie Historical Ops'!Y35</f>
        <v>0</v>
      </c>
      <c r="AC45" s="2682">
        <f t="shared" si="17"/>
        <v>0</v>
      </c>
      <c r="AD45" s="2684">
        <f t="shared" si="18"/>
        <v>0</v>
      </c>
      <c r="AE45" s="2681">
        <f>'Fannie Historical Ops'!AA35</f>
        <v>0</v>
      </c>
      <c r="AF45" s="2682">
        <f t="shared" si="17"/>
        <v>0</v>
      </c>
      <c r="AG45" s="2684">
        <f t="shared" si="18"/>
        <v>0</v>
      </c>
      <c r="AH45" s="2681">
        <f>'Fannie Historical Ops'!AC35</f>
        <v>0</v>
      </c>
      <c r="AI45" s="2682">
        <f t="shared" si="17"/>
        <v>0</v>
      </c>
      <c r="AJ45" s="2684">
        <f t="shared" si="18"/>
        <v>0</v>
      </c>
      <c r="AK45" s="2681">
        <f>'Fannie Historical Ops'!AE35</f>
        <v>0</v>
      </c>
      <c r="AL45" s="2686">
        <f t="shared" si="17"/>
        <v>0</v>
      </c>
      <c r="AM45" s="2684">
        <f t="shared" si="18"/>
        <v>0</v>
      </c>
      <c r="AN45" s="2681">
        <f>'Fannie Historical Ops'!AG35</f>
        <v>0</v>
      </c>
      <c r="AO45" s="2686">
        <f t="shared" si="17"/>
        <v>0</v>
      </c>
      <c r="AP45" s="2684">
        <f t="shared" si="18"/>
        <v>0</v>
      </c>
      <c r="AQ45" s="2681">
        <f>'Fannie Historical Ops'!AI35</f>
        <v>0</v>
      </c>
      <c r="AR45" s="2682">
        <f t="shared" si="17"/>
        <v>0</v>
      </c>
      <c r="AS45" s="2683">
        <f t="shared" si="18"/>
        <v>0</v>
      </c>
      <c r="AT45" s="2737"/>
      <c r="AU45" s="2681">
        <f>ROUND('Fannie Historical Ops'!AK35,2)</f>
        <v>250385.79</v>
      </c>
      <c r="AV45" s="2686">
        <f t="shared" si="17"/>
        <v>2946</v>
      </c>
      <c r="AW45" s="2684" t="e">
        <f t="shared" si="18"/>
        <v>#DIV/0!</v>
      </c>
      <c r="AX45" s="2687"/>
      <c r="AY45" s="2681">
        <f>'Fannie Historical Ops'!AM35</f>
        <v>0</v>
      </c>
      <c r="AZ45" s="2686">
        <f t="shared" si="17"/>
        <v>0</v>
      </c>
      <c r="BA45" s="2684">
        <f t="shared" si="18"/>
        <v>0</v>
      </c>
      <c r="BB45" s="2738"/>
      <c r="BC45" s="2681">
        <f t="shared" si="5"/>
        <v>0</v>
      </c>
      <c r="BD45" s="2686">
        <f t="shared" si="17"/>
        <v>0</v>
      </c>
      <c r="BE45" s="2684">
        <f t="shared" si="18"/>
        <v>0</v>
      </c>
      <c r="BF45" s="2681">
        <f t="shared" si="6"/>
        <v>250385.79</v>
      </c>
      <c r="BG45" s="2686">
        <f t="shared" si="17"/>
        <v>2946</v>
      </c>
      <c r="BH45" s="2684" t="e">
        <f t="shared" si="18"/>
        <v>#DIV/0!</v>
      </c>
      <c r="BI45" s="2681">
        <f>'Expense Comps.'!V215*'Expense Comps.'!$J$215</f>
        <v>0</v>
      </c>
      <c r="BJ45" s="2686">
        <f>ROUND(IF(BI45&gt;0,BI45/'Expense Comps.'!$J$215,0),0)</f>
        <v>0</v>
      </c>
      <c r="BK45" s="2684">
        <f t="shared" si="18"/>
        <v>0</v>
      </c>
      <c r="BL45" s="2738"/>
    </row>
    <row r="46" ht="15" customHeight="1">
      <c r="A46" s="2649"/>
      <c r="B46" s="2650" t="s">
        <v>1800</v>
      </c>
      <c r="C46" s="2736" t="s">
        <v>2461</v>
      </c>
      <c r="D46" s="2681">
        <f>'Fannie Historical Ops'!D33</f>
        <v>0</v>
      </c>
      <c r="E46" s="2682">
        <f t="shared" si="17"/>
        <v>0</v>
      </c>
      <c r="F46" s="2683">
        <f t="shared" si="18"/>
        <v>0</v>
      </c>
      <c r="G46" s="2681">
        <f>'Fannie Historical Ops'!F33</f>
        <v>0</v>
      </c>
      <c r="H46" s="2682">
        <f t="shared" si="17"/>
        <v>0</v>
      </c>
      <c r="I46" s="2684">
        <f t="shared" si="18"/>
        <v>0</v>
      </c>
      <c r="J46" s="2681">
        <f>'Fannie Historical Ops'!H33</f>
        <v>0</v>
      </c>
      <c r="K46" s="2682">
        <f t="shared" si="17"/>
        <v>0</v>
      </c>
      <c r="L46" s="2685">
        <f t="shared" si="18"/>
        <v>0</v>
      </c>
      <c r="M46" s="2685">
        <f>'Fannie Historical Ops'!J33</f>
        <v>1006197</v>
      </c>
      <c r="N46" s="2684">
        <f>'Fannie Historical Ops'!K33</f>
        <v>1003195.6363636365</v>
      </c>
      <c r="O46" s="2684">
        <f>'Fannie Historical Ops'!L33</f>
        <v>999962.3999999999</v>
      </c>
      <c r="P46" s="2684">
        <f>'Fannie Historical Ops'!M33</f>
        <v>994116</v>
      </c>
      <c r="Q46" s="2684">
        <f>'Fannie Historical Ops'!N33</f>
        <v>991563</v>
      </c>
      <c r="R46" s="2684">
        <f>'Fannie Historical Ops'!O33</f>
        <v>981183.4285714285</v>
      </c>
      <c r="S46" s="2684">
        <f>'Fannie Historical Ops'!P33</f>
        <v>981090</v>
      </c>
      <c r="T46" s="2684">
        <f>'Fannie Historical Ops'!Q33</f>
        <v>971757.6000000001</v>
      </c>
      <c r="U46" s="2684">
        <f>'Fannie Historical Ops'!R33</f>
        <v>1061562</v>
      </c>
      <c r="V46" s="2684">
        <f>'Fannie Historical Ops'!S33</f>
        <v>1060564</v>
      </c>
      <c r="W46" s="2684">
        <f>'Fannie Historical Ops'!T33</f>
        <v>1078668</v>
      </c>
      <c r="X46" s="2684">
        <f>'Fannie Historical Ops'!U33</f>
        <v>1079340</v>
      </c>
      <c r="Y46" s="2681">
        <f>'Fannie Historical Ops'!W33</f>
        <v>1006197</v>
      </c>
      <c r="Z46" s="2682">
        <f t="shared" si="17"/>
        <v>11838</v>
      </c>
      <c r="AA46" s="2683" t="e">
        <f t="shared" si="18"/>
        <v>#DIV/0!</v>
      </c>
      <c r="AB46" s="2681">
        <f>'Fannie Historical Ops'!Y33</f>
        <v>0</v>
      </c>
      <c r="AC46" s="2682">
        <f t="shared" si="17"/>
        <v>0</v>
      </c>
      <c r="AD46" s="2684">
        <f t="shared" si="18"/>
        <v>0</v>
      </c>
      <c r="AE46" s="2681">
        <f>'Fannie Historical Ops'!AA33</f>
        <v>0</v>
      </c>
      <c r="AF46" s="2682">
        <f t="shared" si="17"/>
        <v>0</v>
      </c>
      <c r="AG46" s="2684">
        <f t="shared" si="18"/>
        <v>0</v>
      </c>
      <c r="AH46" s="2681">
        <f>'Fannie Historical Ops'!AC33</f>
        <v>0</v>
      </c>
      <c r="AI46" s="2682">
        <f t="shared" si="17"/>
        <v>0</v>
      </c>
      <c r="AJ46" s="2684">
        <f t="shared" si="18"/>
        <v>0</v>
      </c>
      <c r="AK46" s="2681">
        <f>'Fannie Historical Ops'!AE33</f>
        <v>0</v>
      </c>
      <c r="AL46" s="2686">
        <f t="shared" si="17"/>
        <v>0</v>
      </c>
      <c r="AM46" s="2684">
        <f t="shared" si="18"/>
        <v>0</v>
      </c>
      <c r="AN46" s="2681">
        <f>'Fannie Historical Ops'!AG33</f>
        <v>0</v>
      </c>
      <c r="AO46" s="2686">
        <f t="shared" si="17"/>
        <v>0</v>
      </c>
      <c r="AP46" s="2684">
        <f t="shared" si="18"/>
        <v>0</v>
      </c>
      <c r="AQ46" s="2681">
        <f>'Fannie Historical Ops'!AI33</f>
        <v>0</v>
      </c>
      <c r="AR46" s="2682">
        <f t="shared" si="17"/>
        <v>0</v>
      </c>
      <c r="AS46" s="2683">
        <f t="shared" si="18"/>
        <v>0</v>
      </c>
      <c r="AT46" s="2737"/>
      <c r="AU46" s="2681">
        <f>ROUND('Fannie Historical Ops'!AK33,2)</f>
        <v>1036382.91</v>
      </c>
      <c r="AV46" s="2686">
        <f t="shared" si="17"/>
        <v>12193</v>
      </c>
      <c r="AW46" s="2684" t="e">
        <f t="shared" si="18"/>
        <v>#DIV/0!</v>
      </c>
      <c r="AX46" s="2687"/>
      <c r="AY46" s="2681">
        <f>'Fannie Historical Ops'!AM33</f>
        <v>0</v>
      </c>
      <c r="AZ46" s="2686">
        <f t="shared" si="17"/>
        <v>0</v>
      </c>
      <c r="BA46" s="2684">
        <f t="shared" si="18"/>
        <v>0</v>
      </c>
      <c r="BB46" s="2738"/>
      <c r="BC46" s="2681">
        <f t="shared" si="5"/>
        <v>0</v>
      </c>
      <c r="BD46" s="2686">
        <f t="shared" si="17"/>
        <v>0</v>
      </c>
      <c r="BE46" s="2684">
        <f t="shared" si="18"/>
        <v>0</v>
      </c>
      <c r="BF46" s="2681">
        <f t="shared" si="6"/>
        <v>1036382.91</v>
      </c>
      <c r="BG46" s="2686">
        <f t="shared" si="17"/>
        <v>12193</v>
      </c>
      <c r="BH46" s="2684" t="e">
        <f t="shared" si="18"/>
        <v>#DIV/0!</v>
      </c>
      <c r="BI46" s="2681">
        <f>'Expense Comps.'!W215*'Expense Comps.'!$J$215</f>
        <v>0</v>
      </c>
      <c r="BJ46" s="2686">
        <f>ROUND(IF(BI46&gt;0,BI46/'Expense Comps.'!$J$215,0),0)</f>
        <v>0</v>
      </c>
      <c r="BK46" s="2684">
        <f t="shared" si="18"/>
        <v>0</v>
      </c>
      <c r="BL46" s="2738"/>
    </row>
    <row r="47" ht="15" customHeight="1">
      <c r="A47" s="2649"/>
      <c r="B47" s="2650" t="s">
        <v>1912</v>
      </c>
      <c r="C47" s="2736" t="s">
        <v>2462</v>
      </c>
      <c r="D47" s="2681">
        <f>'Fannie Historical Ops'!D37</f>
        <v>0</v>
      </c>
      <c r="E47" s="2682">
        <f t="shared" si="17"/>
        <v>0</v>
      </c>
      <c r="F47" s="2683">
        <f t="shared" si="18"/>
        <v>0</v>
      </c>
      <c r="G47" s="2681">
        <f>'Fannie Historical Ops'!F37</f>
        <v>0</v>
      </c>
      <c r="H47" s="2682">
        <f t="shared" si="17"/>
        <v>0</v>
      </c>
      <c r="I47" s="2684">
        <f t="shared" si="18"/>
        <v>0</v>
      </c>
      <c r="J47" s="2681">
        <f>'Fannie Historical Ops'!H37</f>
        <v>0</v>
      </c>
      <c r="K47" s="2682">
        <f t="shared" si="17"/>
        <v>0</v>
      </c>
      <c r="L47" s="2685">
        <f t="shared" si="18"/>
        <v>0</v>
      </c>
      <c r="M47" s="2685">
        <f>'Fannie Historical Ops'!J37</f>
        <v>0</v>
      </c>
      <c r="N47" s="2684">
        <f>'Fannie Historical Ops'!K37</f>
        <v>0</v>
      </c>
      <c r="O47" s="2684">
        <f>'Fannie Historical Ops'!L37</f>
        <v>0</v>
      </c>
      <c r="P47" s="2684">
        <f>'Fannie Historical Ops'!M37</f>
        <v>0</v>
      </c>
      <c r="Q47" s="2684">
        <f>'Fannie Historical Ops'!N37</f>
        <v>0</v>
      </c>
      <c r="R47" s="2684">
        <f>'Fannie Historical Ops'!O37</f>
        <v>0</v>
      </c>
      <c r="S47" s="2684">
        <f>'Fannie Historical Ops'!P37</f>
        <v>0</v>
      </c>
      <c r="T47" s="2684">
        <f>'Fannie Historical Ops'!Q37</f>
        <v>0</v>
      </c>
      <c r="U47" s="2684">
        <f>'Fannie Historical Ops'!R37</f>
        <v>0</v>
      </c>
      <c r="V47" s="2684">
        <f>'Fannie Historical Ops'!S37</f>
        <v>0</v>
      </c>
      <c r="W47" s="2684">
        <f>'Fannie Historical Ops'!T37</f>
        <v>0</v>
      </c>
      <c r="X47" s="2684">
        <f>'Fannie Historical Ops'!U37</f>
        <v>0</v>
      </c>
      <c r="Y47" s="2681">
        <f>'Fannie Historical Ops'!W37</f>
        <v>0</v>
      </c>
      <c r="Z47" s="2682">
        <f t="shared" si="17"/>
        <v>0</v>
      </c>
      <c r="AA47" s="2683">
        <f t="shared" si="18"/>
        <v>0</v>
      </c>
      <c r="AB47" s="2681">
        <f>'Fannie Historical Ops'!Y37</f>
        <v>0</v>
      </c>
      <c r="AC47" s="2682">
        <f t="shared" si="17"/>
        <v>0</v>
      </c>
      <c r="AD47" s="2684">
        <f t="shared" si="18"/>
        <v>0</v>
      </c>
      <c r="AE47" s="2681">
        <f>'Fannie Historical Ops'!AA37</f>
        <v>0</v>
      </c>
      <c r="AF47" s="2682">
        <f t="shared" si="17"/>
        <v>0</v>
      </c>
      <c r="AG47" s="2684">
        <f t="shared" si="18"/>
        <v>0</v>
      </c>
      <c r="AH47" s="2681">
        <f>'Fannie Historical Ops'!AC37</f>
        <v>0</v>
      </c>
      <c r="AI47" s="2682">
        <f t="shared" si="17"/>
        <v>0</v>
      </c>
      <c r="AJ47" s="2684">
        <f t="shared" si="18"/>
        <v>0</v>
      </c>
      <c r="AK47" s="2681">
        <f>'Fannie Historical Ops'!AE37</f>
        <v>0</v>
      </c>
      <c r="AL47" s="2686">
        <f t="shared" si="17"/>
        <v>0</v>
      </c>
      <c r="AM47" s="2684">
        <f t="shared" si="18"/>
        <v>0</v>
      </c>
      <c r="AN47" s="2681">
        <f>'Fannie Historical Ops'!AG37</f>
        <v>0</v>
      </c>
      <c r="AO47" s="2686">
        <f t="shared" si="17"/>
        <v>0</v>
      </c>
      <c r="AP47" s="2684">
        <f t="shared" si="18"/>
        <v>0</v>
      </c>
      <c r="AQ47" s="2681">
        <f>'Fannie Historical Ops'!AI37</f>
        <v>0</v>
      </c>
      <c r="AR47" s="2682">
        <f t="shared" si="17"/>
        <v>0</v>
      </c>
      <c r="AS47" s="2683">
        <f t="shared" si="18"/>
        <v>0</v>
      </c>
      <c r="AT47" s="2737"/>
      <c r="AU47" s="2681">
        <f>ROUND('Fannie Historical Ops'!AK37,2)</f>
        <v>0</v>
      </c>
      <c r="AV47" s="2686">
        <f t="shared" si="17"/>
        <v>0</v>
      </c>
      <c r="AW47" s="2684">
        <f t="shared" si="18"/>
        <v>0</v>
      </c>
      <c r="AX47" s="2687"/>
      <c r="AY47" s="2681">
        <f>'Fannie Historical Ops'!AM37</f>
        <v>0</v>
      </c>
      <c r="AZ47" s="2686">
        <f t="shared" si="17"/>
        <v>0</v>
      </c>
      <c r="BA47" s="2684">
        <f t="shared" si="18"/>
        <v>0</v>
      </c>
      <c r="BB47" s="2738"/>
      <c r="BC47" s="2681">
        <f t="shared" si="5"/>
        <v>0</v>
      </c>
      <c r="BD47" s="2686">
        <f t="shared" si="17"/>
        <v>0</v>
      </c>
      <c r="BE47" s="2684">
        <f t="shared" si="18"/>
        <v>0</v>
      </c>
      <c r="BF47" s="2681">
        <f t="shared" si="6"/>
        <v>0</v>
      </c>
      <c r="BG47" s="2686">
        <f t="shared" si="17"/>
        <v>0</v>
      </c>
      <c r="BH47" s="2684">
        <f t="shared" si="18"/>
        <v>0</v>
      </c>
      <c r="BI47" s="2681"/>
      <c r="BJ47" s="2686">
        <f>ROUND(IF(BI47&gt;0,BI47/'Expense Comps.'!$J$215,0),0)</f>
        <v>0</v>
      </c>
      <c r="BK47" s="2684">
        <f t="shared" si="18"/>
        <v>0</v>
      </c>
      <c r="BL47" s="2738"/>
    </row>
    <row r="48" ht="15" customHeight="1">
      <c r="A48" s="2649"/>
      <c r="B48" s="2650" t="s">
        <v>2463</v>
      </c>
      <c r="C48" s="2663" t="str">
        <f>IF('SBL Quotes'!$AN$32="Seniors","(34)","(32)")</f>
        <v>(32)</v>
      </c>
      <c r="D48" s="2681">
        <f>'Fannie Historical Ops'!D68</f>
        <v>0</v>
      </c>
      <c r="E48" s="2682">
        <f t="shared" si="17"/>
        <v>0</v>
      </c>
      <c r="F48" s="2683">
        <f t="shared" si="18"/>
        <v>0</v>
      </c>
      <c r="G48" s="2681">
        <f>'Fannie Historical Ops'!F68</f>
        <v>0</v>
      </c>
      <c r="H48" s="2682">
        <f t="shared" si="17"/>
        <v>0</v>
      </c>
      <c r="I48" s="2684">
        <f t="shared" si="18"/>
        <v>0</v>
      </c>
      <c r="J48" s="2681">
        <f>'Fannie Historical Ops'!H68</f>
        <v>0</v>
      </c>
      <c r="K48" s="2682">
        <f t="shared" si="17"/>
        <v>0</v>
      </c>
      <c r="L48" s="2685">
        <f t="shared" si="18"/>
        <v>0</v>
      </c>
      <c r="M48" s="2685">
        <f>'Fannie Historical Ops'!J68</f>
        <v>0</v>
      </c>
      <c r="N48" s="2684">
        <f>'Fannie Historical Ops'!K68</f>
        <v>0</v>
      </c>
      <c r="O48" s="2684">
        <f>'Fannie Historical Ops'!L68</f>
        <v>0</v>
      </c>
      <c r="P48" s="2684">
        <f>'Fannie Historical Ops'!M68</f>
        <v>0</v>
      </c>
      <c r="Q48" s="2684">
        <f>'Fannie Historical Ops'!N68</f>
        <v>0</v>
      </c>
      <c r="R48" s="2684">
        <f>'Fannie Historical Ops'!O68</f>
        <v>0</v>
      </c>
      <c r="S48" s="2684">
        <f>'Fannie Historical Ops'!P68</f>
        <v>0</v>
      </c>
      <c r="T48" s="2684">
        <f>'Fannie Historical Ops'!Q68</f>
        <v>0</v>
      </c>
      <c r="U48" s="2684">
        <f>'Fannie Historical Ops'!R68</f>
        <v>0</v>
      </c>
      <c r="V48" s="2684">
        <f>'Fannie Historical Ops'!S68</f>
        <v>0</v>
      </c>
      <c r="W48" s="2684">
        <f>'Fannie Historical Ops'!T68</f>
        <v>0</v>
      </c>
      <c r="X48" s="2684">
        <f>'Fannie Historical Ops'!U68</f>
        <v>0</v>
      </c>
      <c r="Y48" s="2681">
        <f>'Fannie Historical Ops'!W68</f>
        <v>0</v>
      </c>
      <c r="Z48" s="2682">
        <f t="shared" si="17"/>
        <v>0</v>
      </c>
      <c r="AA48" s="2683">
        <f t="shared" si="18"/>
        <v>0</v>
      </c>
      <c r="AB48" s="2681">
        <f>'Fannie Historical Ops'!Y68</f>
        <v>0</v>
      </c>
      <c r="AC48" s="2682">
        <f t="shared" si="17"/>
        <v>0</v>
      </c>
      <c r="AD48" s="2684">
        <f t="shared" si="18"/>
        <v>0</v>
      </c>
      <c r="AE48" s="2681">
        <f>'Fannie Historical Ops'!AA68</f>
        <v>0</v>
      </c>
      <c r="AF48" s="2682">
        <f t="shared" si="17"/>
        <v>0</v>
      </c>
      <c r="AG48" s="2684">
        <f t="shared" si="18"/>
        <v>0</v>
      </c>
      <c r="AH48" s="2681">
        <f>'Fannie Historical Ops'!AC68</f>
        <v>0</v>
      </c>
      <c r="AI48" s="2682">
        <f t="shared" si="17"/>
        <v>0</v>
      </c>
      <c r="AJ48" s="2684">
        <f t="shared" si="18"/>
        <v>0</v>
      </c>
      <c r="AK48" s="2681">
        <f>'Fannie Historical Ops'!AE68</f>
        <v>0</v>
      </c>
      <c r="AL48" s="2686">
        <f t="shared" si="17"/>
        <v>0</v>
      </c>
      <c r="AM48" s="2684">
        <f t="shared" si="18"/>
        <v>0</v>
      </c>
      <c r="AN48" s="2681">
        <f>'Fannie Historical Ops'!AG68</f>
        <v>0</v>
      </c>
      <c r="AO48" s="2686">
        <f t="shared" si="17"/>
        <v>0</v>
      </c>
      <c r="AP48" s="2684">
        <f t="shared" si="18"/>
        <v>0</v>
      </c>
      <c r="AQ48" s="2681">
        <f>'Fannie Historical Ops'!AI68</f>
        <v>0</v>
      </c>
      <c r="AR48" s="2682">
        <f t="shared" si="17"/>
        <v>0</v>
      </c>
      <c r="AS48" s="2683">
        <f t="shared" si="18"/>
        <v>0</v>
      </c>
      <c r="AT48" s="2737"/>
      <c r="AU48" s="2681">
        <f>ROUND('Fannie Historical Ops'!AK68,2)</f>
        <v>0</v>
      </c>
      <c r="AV48" s="2686">
        <f t="shared" si="17"/>
        <v>0</v>
      </c>
      <c r="AW48" s="2684">
        <f t="shared" si="18"/>
        <v>0</v>
      </c>
      <c r="AX48" s="2687"/>
      <c r="AY48" s="2681">
        <f>'Fannie Historical Ops'!AM68</f>
        <v>0</v>
      </c>
      <c r="AZ48" s="2686">
        <f t="shared" si="17"/>
        <v>0</v>
      </c>
      <c r="BA48" s="2684">
        <f t="shared" si="18"/>
        <v>0</v>
      </c>
      <c r="BB48" s="2738"/>
      <c r="BC48" s="2681">
        <f t="shared" si="5"/>
        <v>0</v>
      </c>
      <c r="BD48" s="2686">
        <f t="shared" si="17"/>
        <v>0</v>
      </c>
      <c r="BE48" s="2684">
        <f t="shared" si="18"/>
        <v>0</v>
      </c>
      <c r="BF48" s="2681">
        <f t="shared" si="6"/>
        <v>0</v>
      </c>
      <c r="BG48" s="2686">
        <f t="shared" si="17"/>
        <v>0</v>
      </c>
      <c r="BH48" s="2684">
        <f t="shared" si="18"/>
        <v>0</v>
      </c>
      <c r="BI48" s="2681"/>
      <c r="BJ48" s="2686">
        <f>ROUND(IF(BI48&gt;0,BI48/'Expense Comps.'!$J$215,0),0)</f>
        <v>0</v>
      </c>
      <c r="BK48" s="2684">
        <f t="shared" si="18"/>
        <v>0</v>
      </c>
      <c r="BL48" s="2738"/>
    </row>
    <row r="49" ht="15.75" customHeight="1">
      <c r="A49" s="2649"/>
      <c r="B49" s="2650"/>
      <c r="C49" s="2739"/>
      <c r="D49" s="2730"/>
      <c r="E49" s="2740"/>
      <c r="F49" s="2741"/>
      <c r="G49" s="2730"/>
      <c r="H49" s="2740"/>
      <c r="I49" s="2742"/>
      <c r="J49" s="2730"/>
      <c r="K49" s="2740"/>
      <c r="L49" s="2743"/>
      <c r="M49" s="2743"/>
      <c r="N49" s="2742"/>
      <c r="O49" s="2742"/>
      <c r="P49" s="2742"/>
      <c r="Q49" s="2742"/>
      <c r="R49" s="2742"/>
      <c r="S49" s="2742"/>
      <c r="T49" s="2742"/>
      <c r="U49" s="2742"/>
      <c r="V49" s="2742"/>
      <c r="W49" s="2742"/>
      <c r="X49" s="2742"/>
      <c r="Y49" s="2730"/>
      <c r="Z49" s="2740"/>
      <c r="AA49" s="2741"/>
      <c r="AB49" s="2730"/>
      <c r="AC49" s="2740"/>
      <c r="AD49" s="2742"/>
      <c r="AE49" s="2730"/>
      <c r="AF49" s="2740"/>
      <c r="AG49" s="2742"/>
      <c r="AH49" s="2730"/>
      <c r="AI49" s="2740"/>
      <c r="AJ49" s="2742"/>
      <c r="AK49" s="2730"/>
      <c r="AL49" s="2744"/>
      <c r="AM49" s="2742"/>
      <c r="AN49" s="2730"/>
      <c r="AO49" s="2744"/>
      <c r="AP49" s="2742"/>
      <c r="AQ49" s="2730"/>
      <c r="AR49" s="2740"/>
      <c r="AS49" s="2741"/>
      <c r="AT49" s="2659"/>
      <c r="AU49" s="2730"/>
      <c r="AV49" s="2744"/>
      <c r="AW49" s="2742"/>
      <c r="AX49" s="2687"/>
      <c r="AY49" s="2730"/>
      <c r="AZ49" s="2744"/>
      <c r="BA49" s="2742"/>
      <c r="BB49" s="2661"/>
      <c r="BC49" s="2730"/>
      <c r="BD49" s="2744"/>
      <c r="BE49" s="2742"/>
      <c r="BF49" s="2730"/>
      <c r="BG49" s="2744"/>
      <c r="BH49" s="2742"/>
      <c r="BI49" s="2730"/>
      <c r="BJ49" s="2744"/>
      <c r="BK49" s="2742"/>
      <c r="BL49" s="2661"/>
    </row>
    <row r="50" ht="15.75" customHeight="1">
      <c r="A50" s="2649"/>
      <c r="B50" s="2696" t="s">
        <v>2443</v>
      </c>
      <c r="C50" s="2745"/>
      <c r="D50" s="2746">
        <f t="shared" si="19" ref="D50:BF50">SUM(D35:D48)</f>
        <v>0</v>
      </c>
      <c r="E50" s="2720">
        <f t="shared" si="17"/>
        <v>0</v>
      </c>
      <c r="F50" s="2747">
        <f t="shared" si="18"/>
        <v>0</v>
      </c>
      <c r="G50" s="2746">
        <f t="shared" si="19"/>
        <v>0</v>
      </c>
      <c r="H50" s="2720">
        <f t="shared" si="17"/>
        <v>0</v>
      </c>
      <c r="I50" s="2746">
        <f t="shared" si="18"/>
        <v>0</v>
      </c>
      <c r="J50" s="2746">
        <f t="shared" si="19"/>
        <v>0</v>
      </c>
      <c r="K50" s="2721">
        <f t="shared" si="17"/>
        <v>0</v>
      </c>
      <c r="L50" s="2746">
        <f t="shared" si="18"/>
        <v>0</v>
      </c>
      <c r="M50" s="2746">
        <f t="shared" si="19"/>
        <v>2863573</v>
      </c>
      <c r="N50" s="2748">
        <f t="shared" si="19"/>
        <v>2880624</v>
      </c>
      <c r="O50" s="2748">
        <f t="shared" si="19"/>
        <v>2882507.9999999995</v>
      </c>
      <c r="P50" s="2748">
        <f t="shared" si="19"/>
        <v>2824940</v>
      </c>
      <c r="Q50" s="2748">
        <f t="shared" si="19"/>
        <v>2835856.5</v>
      </c>
      <c r="R50" s="2748">
        <f t="shared" si="19"/>
        <v>2809081.7142857146</v>
      </c>
      <c r="S50" s="2748">
        <f t="shared" si="19"/>
        <v>2782166</v>
      </c>
      <c r="T50" s="2748">
        <f t="shared" si="19"/>
        <v>2794845.6000000006</v>
      </c>
      <c r="U50" s="2748">
        <f t="shared" si="19"/>
        <v>2943321</v>
      </c>
      <c r="V50" s="2748">
        <f t="shared" si="19"/>
        <v>2954596</v>
      </c>
      <c r="W50" s="2748">
        <f t="shared" si="19"/>
        <v>2952864</v>
      </c>
      <c r="X50" s="2748">
        <f t="shared" si="19"/>
        <v>2978124</v>
      </c>
      <c r="Y50" s="2746">
        <f t="shared" si="19"/>
        <v>2863573</v>
      </c>
      <c r="Z50" s="2720">
        <f t="shared" si="17"/>
        <v>33689</v>
      </c>
      <c r="AA50" s="2747" t="e">
        <f t="shared" si="18"/>
        <v>#DIV/0!</v>
      </c>
      <c r="AB50" s="2746">
        <f t="shared" si="19"/>
        <v>0</v>
      </c>
      <c r="AC50" s="2720">
        <f t="shared" si="17"/>
        <v>0</v>
      </c>
      <c r="AD50" s="2746">
        <f t="shared" si="18"/>
        <v>0</v>
      </c>
      <c r="AE50" s="2746">
        <f t="shared" si="19"/>
        <v>0</v>
      </c>
      <c r="AF50" s="2720">
        <f t="shared" si="17"/>
        <v>0</v>
      </c>
      <c r="AG50" s="2746">
        <f t="shared" si="18"/>
        <v>0</v>
      </c>
      <c r="AH50" s="2746">
        <f t="shared" si="19"/>
        <v>0</v>
      </c>
      <c r="AI50" s="2720">
        <f t="shared" si="17"/>
        <v>0</v>
      </c>
      <c r="AJ50" s="2746">
        <f t="shared" si="18"/>
        <v>0</v>
      </c>
      <c r="AK50" s="2746">
        <f t="shared" si="19"/>
        <v>0</v>
      </c>
      <c r="AL50" s="2702">
        <f t="shared" si="17"/>
        <v>0</v>
      </c>
      <c r="AM50" s="2746">
        <f t="shared" si="18"/>
        <v>0</v>
      </c>
      <c r="AN50" s="2746">
        <f t="shared" si="19"/>
        <v>0</v>
      </c>
      <c r="AO50" s="2702">
        <f t="shared" si="17"/>
        <v>0</v>
      </c>
      <c r="AP50" s="2746">
        <f t="shared" si="18"/>
        <v>0</v>
      </c>
      <c r="AQ50" s="2746">
        <f t="shared" si="19"/>
        <v>0</v>
      </c>
      <c r="AR50" s="2720">
        <f t="shared" si="17"/>
        <v>0</v>
      </c>
      <c r="AS50" s="2747">
        <f t="shared" si="18"/>
        <v>0</v>
      </c>
      <c r="AT50" s="2659"/>
      <c r="AU50" s="2746">
        <f t="shared" si="19"/>
        <v>2809540.21</v>
      </c>
      <c r="AV50" s="2702">
        <f t="shared" si="17"/>
        <v>33053</v>
      </c>
      <c r="AW50" s="2746" t="e">
        <f t="shared" si="18"/>
        <v>#DIV/0!</v>
      </c>
      <c r="AX50" s="2687"/>
      <c r="AY50" s="2746">
        <f t="shared" si="19"/>
        <v>0</v>
      </c>
      <c r="AZ50" s="2702">
        <f t="shared" si="17"/>
        <v>0</v>
      </c>
      <c r="BA50" s="2746">
        <f t="shared" si="18"/>
        <v>0</v>
      </c>
      <c r="BB50" s="2661"/>
      <c r="BC50" s="2702">
        <f t="shared" si="19"/>
        <v>0</v>
      </c>
      <c r="BD50" s="2702">
        <f t="shared" si="17"/>
        <v>0</v>
      </c>
      <c r="BE50" s="2702">
        <f t="shared" si="18"/>
        <v>0</v>
      </c>
      <c r="BF50" s="2702">
        <f t="shared" si="19"/>
        <v>2949480.19</v>
      </c>
      <c r="BG50" s="2702">
        <f t="shared" si="17"/>
        <v>34700</v>
      </c>
      <c r="BH50" s="2702" t="e">
        <f t="shared" si="18"/>
        <v>#DIV/0!</v>
      </c>
      <c r="BI50" s="2702">
        <f>SUM(BI35:BI49)</f>
        <v>0</v>
      </c>
      <c r="BJ50" s="2702">
        <f>ROUND(IF(BI50&gt;0,BI50/'Expense Comps.'!$J$215,0),0)</f>
        <v>0</v>
      </c>
      <c r="BK50" s="2702">
        <f t="shared" si="18"/>
        <v>0</v>
      </c>
      <c r="BL50" s="2661"/>
    </row>
    <row r="51" ht="15.75" customHeight="1">
      <c r="A51" s="2649"/>
      <c r="B51" s="2696" t="s">
        <v>1939</v>
      </c>
      <c r="C51" s="2745"/>
      <c r="D51" s="2702">
        <f>'Fannie Historical Ops'!D73</f>
        <v>0</v>
      </c>
      <c r="E51" s="2720">
        <f t="shared" si="17"/>
        <v>0</v>
      </c>
      <c r="F51" s="2720">
        <f t="shared" si="18"/>
        <v>0</v>
      </c>
      <c r="G51" s="2702">
        <f>'Fannie Historical Ops'!F73</f>
        <v>0</v>
      </c>
      <c r="H51" s="2720">
        <f t="shared" si="17"/>
        <v>0</v>
      </c>
      <c r="I51" s="2702">
        <f t="shared" si="18"/>
        <v>0</v>
      </c>
      <c r="J51" s="2702">
        <f>'Fannie Historical Ops'!H73</f>
        <v>0</v>
      </c>
      <c r="K51" s="2721">
        <f t="shared" si="17"/>
        <v>0</v>
      </c>
      <c r="L51" s="2702">
        <f t="shared" si="18"/>
        <v>0</v>
      </c>
      <c r="M51" s="2702">
        <f>'Fannie Historical Ops'!J73</f>
        <v>0</v>
      </c>
      <c r="N51" s="2701">
        <f>'Fannie Historical Ops'!K73</f>
        <v>0</v>
      </c>
      <c r="O51" s="2701">
        <f>'Fannie Historical Ops'!L73</f>
        <v>0</v>
      </c>
      <c r="P51" s="2701">
        <f>'Fannie Historical Ops'!M73</f>
        <v>0</v>
      </c>
      <c r="Q51" s="2701">
        <f>'Fannie Historical Ops'!N73</f>
        <v>0</v>
      </c>
      <c r="R51" s="2701">
        <f>'Fannie Historical Ops'!O73</f>
        <v>0</v>
      </c>
      <c r="S51" s="2701">
        <f>'Fannie Historical Ops'!P73</f>
        <v>0</v>
      </c>
      <c r="T51" s="2701">
        <f>'Fannie Historical Ops'!Q73</f>
        <v>0</v>
      </c>
      <c r="U51" s="2701">
        <f>'Fannie Historical Ops'!R73</f>
        <v>0</v>
      </c>
      <c r="V51" s="2701">
        <f>'Fannie Historical Ops'!S73</f>
        <v>0</v>
      </c>
      <c r="W51" s="2701">
        <f>'Fannie Historical Ops'!T73</f>
        <v>0</v>
      </c>
      <c r="X51" s="2701">
        <f>'Fannie Historical Ops'!U73</f>
        <v>0</v>
      </c>
      <c r="Y51" s="2702">
        <f>'Fannie Historical Ops'!W73</f>
        <v>0</v>
      </c>
      <c r="Z51" s="2720">
        <f t="shared" si="17"/>
        <v>0</v>
      </c>
      <c r="AA51" s="2720">
        <f t="shared" si="18"/>
        <v>0</v>
      </c>
      <c r="AB51" s="2702">
        <f>'Fannie Historical Ops'!Y73</f>
        <v>0</v>
      </c>
      <c r="AC51" s="2720">
        <f t="shared" si="17"/>
        <v>0</v>
      </c>
      <c r="AD51" s="2702">
        <f t="shared" si="18"/>
        <v>0</v>
      </c>
      <c r="AE51" s="2702">
        <f>'Fannie Historical Ops'!AA73</f>
        <v>0</v>
      </c>
      <c r="AF51" s="2720">
        <f t="shared" si="17"/>
        <v>0</v>
      </c>
      <c r="AG51" s="2702">
        <f t="shared" si="18"/>
        <v>0</v>
      </c>
      <c r="AH51" s="2702">
        <f>'Fannie Historical Ops'!AC73</f>
        <v>0</v>
      </c>
      <c r="AI51" s="2720">
        <f t="shared" si="17"/>
        <v>0</v>
      </c>
      <c r="AJ51" s="2702">
        <f t="shared" si="18"/>
        <v>0</v>
      </c>
      <c r="AK51" s="2702">
        <f>'Fannie Historical Ops'!AE73</f>
        <v>0</v>
      </c>
      <c r="AL51" s="2702">
        <f t="shared" si="17"/>
        <v>0</v>
      </c>
      <c r="AM51" s="2702">
        <f t="shared" si="18"/>
        <v>0</v>
      </c>
      <c r="AN51" s="2702">
        <f>'Fannie Historical Ops'!AG73</f>
        <v>0</v>
      </c>
      <c r="AO51" s="2702">
        <f t="shared" si="17"/>
        <v>0</v>
      </c>
      <c r="AP51" s="2702">
        <f t="shared" si="18"/>
        <v>0</v>
      </c>
      <c r="AQ51" s="2702">
        <f>'Fannie Historical Ops'!AI73</f>
        <v>0</v>
      </c>
      <c r="AR51" s="2720">
        <f t="shared" si="17"/>
        <v>0</v>
      </c>
      <c r="AS51" s="2720">
        <f t="shared" si="18"/>
        <v>0</v>
      </c>
      <c r="AT51" s="2659"/>
      <c r="AU51" s="2702">
        <f>ROUND('Fannie Historical Ops'!AK73,2)</f>
        <v>21250</v>
      </c>
      <c r="AV51" s="2702">
        <f t="shared" si="17"/>
        <v>250</v>
      </c>
      <c r="AW51" s="2702" t="e">
        <f t="shared" si="18"/>
        <v>#DIV/0!</v>
      </c>
      <c r="AX51" s="2687"/>
      <c r="AY51" s="2702">
        <f>'Fannie Historical Ops'!AM73</f>
        <v>0</v>
      </c>
      <c r="AZ51" s="2702">
        <f t="shared" si="17"/>
        <v>0</v>
      </c>
      <c r="BA51" s="2702">
        <f t="shared" si="18"/>
        <v>0</v>
      </c>
      <c r="BB51" s="2661"/>
      <c r="BC51" s="2686"/>
      <c r="BD51" s="2686"/>
      <c r="BE51" s="2686"/>
      <c r="BF51" s="2686"/>
      <c r="BG51" s="2686"/>
      <c r="BH51" s="2686">
        <f t="shared" si="18"/>
        <v>0</v>
      </c>
      <c r="BI51" s="2702">
        <f>'Expense Comps.'!X215*'Expense Comps.'!$J$215</f>
        <v>0</v>
      </c>
      <c r="BJ51" s="2686"/>
      <c r="BK51" s="2686">
        <f t="shared" si="18"/>
        <v>0</v>
      </c>
      <c r="BL51" s="2649"/>
    </row>
    <row r="52" ht="15.75" customHeight="1">
      <c r="A52" s="2649"/>
      <c r="B52" s="2650"/>
      <c r="C52" s="2739"/>
      <c r="D52" s="2686"/>
      <c r="E52" s="2682"/>
      <c r="F52" s="2682"/>
      <c r="G52" s="2686"/>
      <c r="H52" s="2682"/>
      <c r="I52" s="2686"/>
      <c r="J52" s="2686"/>
      <c r="K52" s="2682"/>
      <c r="L52" s="2686"/>
      <c r="M52" s="2686"/>
      <c r="N52" s="2686"/>
      <c r="O52" s="2686"/>
      <c r="P52" s="2686"/>
      <c r="Q52" s="2686"/>
      <c r="R52" s="2686"/>
      <c r="S52" s="2686"/>
      <c r="T52" s="2686"/>
      <c r="U52" s="2686"/>
      <c r="V52" s="2686"/>
      <c r="W52" s="2686"/>
      <c r="X52" s="2686"/>
      <c r="Y52" s="2686"/>
      <c r="Z52" s="2682"/>
      <c r="AA52" s="2682"/>
      <c r="AB52" s="2686"/>
      <c r="AC52" s="2682"/>
      <c r="AD52" s="2686"/>
      <c r="AE52" s="2686"/>
      <c r="AF52" s="2682"/>
      <c r="AG52" s="2686"/>
      <c r="AH52" s="2686"/>
      <c r="AI52" s="2682"/>
      <c r="AJ52" s="2686"/>
      <c r="AK52" s="2686"/>
      <c r="AL52" s="2686"/>
      <c r="AM52" s="2686"/>
      <c r="AN52" s="2686"/>
      <c r="AO52" s="2686"/>
      <c r="AP52" s="2686"/>
      <c r="AQ52" s="2686"/>
      <c r="AR52" s="2682"/>
      <c r="AS52" s="2682"/>
      <c r="AT52" s="2649"/>
      <c r="AU52" s="2686"/>
      <c r="AV52" s="2686"/>
      <c r="AW52" s="2686"/>
      <c r="AX52" s="2749"/>
      <c r="AY52" s="2686"/>
      <c r="AZ52" s="2686"/>
      <c r="BA52" s="2686"/>
      <c r="BB52" s="2649"/>
      <c r="BC52" s="2686"/>
      <c r="BD52" s="2686"/>
      <c r="BE52" s="2686"/>
      <c r="BF52" s="2686"/>
      <c r="BG52" s="2686"/>
      <c r="BH52" s="2686"/>
      <c r="BI52" s="2686"/>
      <c r="BJ52" s="2686"/>
      <c r="BK52" s="2686"/>
      <c r="BL52" s="2649"/>
    </row>
    <row r="53" ht="15.75" customHeight="1">
      <c r="A53" s="2649"/>
      <c r="B53" s="2696" t="s">
        <v>1426</v>
      </c>
      <c r="C53" s="2745"/>
      <c r="D53" s="2731">
        <f t="shared" si="20" ref="D53:AY53">D50+D51</f>
        <v>0</v>
      </c>
      <c r="E53" s="2732">
        <f t="shared" si="17"/>
        <v>0</v>
      </c>
      <c r="F53" s="2732">
        <f t="shared" si="18"/>
        <v>0</v>
      </c>
      <c r="G53" s="2731">
        <f t="shared" si="20"/>
        <v>0</v>
      </c>
      <c r="H53" s="2732">
        <f t="shared" si="17"/>
        <v>0</v>
      </c>
      <c r="I53" s="2731">
        <f t="shared" si="18"/>
        <v>0</v>
      </c>
      <c r="J53" s="2731">
        <f t="shared" si="20"/>
        <v>0</v>
      </c>
      <c r="K53" s="2732">
        <f t="shared" si="17"/>
        <v>0</v>
      </c>
      <c r="L53" s="2731">
        <f t="shared" si="18"/>
        <v>0</v>
      </c>
      <c r="M53" s="2731">
        <f t="shared" si="20"/>
        <v>2863573</v>
      </c>
      <c r="N53" s="2731">
        <f t="shared" si="20"/>
        <v>2880624</v>
      </c>
      <c r="O53" s="2731">
        <f t="shared" si="20"/>
        <v>2882507.9999999995</v>
      </c>
      <c r="P53" s="2731">
        <f t="shared" si="20"/>
        <v>2824940</v>
      </c>
      <c r="Q53" s="2731">
        <f t="shared" si="20"/>
        <v>2835856.5</v>
      </c>
      <c r="R53" s="2731">
        <f t="shared" si="20"/>
        <v>2809081.7142857146</v>
      </c>
      <c r="S53" s="2731">
        <f t="shared" si="20"/>
        <v>2782166</v>
      </c>
      <c r="T53" s="2731">
        <f t="shared" si="20"/>
        <v>2794845.6000000006</v>
      </c>
      <c r="U53" s="2731">
        <f t="shared" si="20"/>
        <v>2943321</v>
      </c>
      <c r="V53" s="2731">
        <f t="shared" si="20"/>
        <v>2954596</v>
      </c>
      <c r="W53" s="2731">
        <f t="shared" si="20"/>
        <v>2952864</v>
      </c>
      <c r="X53" s="2731">
        <f t="shared" si="20"/>
        <v>2978124</v>
      </c>
      <c r="Y53" s="2731">
        <f t="shared" si="20"/>
        <v>2863573</v>
      </c>
      <c r="Z53" s="2732">
        <f t="shared" si="17"/>
        <v>33689</v>
      </c>
      <c r="AA53" s="2732" t="e">
        <f t="shared" si="18"/>
        <v>#DIV/0!</v>
      </c>
      <c r="AB53" s="2731">
        <f t="shared" si="20"/>
        <v>0</v>
      </c>
      <c r="AC53" s="2732">
        <f t="shared" si="17"/>
        <v>0</v>
      </c>
      <c r="AD53" s="2731">
        <f t="shared" si="18"/>
        <v>0</v>
      </c>
      <c r="AE53" s="2731">
        <f t="shared" si="20"/>
        <v>0</v>
      </c>
      <c r="AF53" s="2732">
        <f t="shared" si="17"/>
        <v>0</v>
      </c>
      <c r="AG53" s="2731">
        <f t="shared" si="18"/>
        <v>0</v>
      </c>
      <c r="AH53" s="2731">
        <f t="shared" si="20"/>
        <v>0</v>
      </c>
      <c r="AI53" s="2732">
        <f t="shared" si="17"/>
        <v>0</v>
      </c>
      <c r="AJ53" s="2731">
        <f t="shared" si="18"/>
        <v>0</v>
      </c>
      <c r="AK53" s="2731">
        <f t="shared" si="20"/>
        <v>0</v>
      </c>
      <c r="AL53" s="2731">
        <f t="shared" si="17"/>
        <v>0</v>
      </c>
      <c r="AM53" s="2731">
        <f t="shared" si="18"/>
        <v>0</v>
      </c>
      <c r="AN53" s="2731">
        <f t="shared" si="20"/>
        <v>0</v>
      </c>
      <c r="AO53" s="2731">
        <f t="shared" si="17"/>
        <v>0</v>
      </c>
      <c r="AP53" s="2731">
        <f t="shared" si="18"/>
        <v>0</v>
      </c>
      <c r="AQ53" s="2731">
        <f t="shared" si="20"/>
        <v>0</v>
      </c>
      <c r="AR53" s="2732">
        <f t="shared" si="17"/>
        <v>0</v>
      </c>
      <c r="AS53" s="2732">
        <f t="shared" si="18"/>
        <v>0</v>
      </c>
      <c r="AT53" s="2649"/>
      <c r="AU53" s="2731">
        <f>ROUND(AU50+AU51,2)</f>
        <v>2830790.21</v>
      </c>
      <c r="AV53" s="2731">
        <f t="shared" si="17"/>
        <v>33303</v>
      </c>
      <c r="AW53" s="2731" t="e">
        <f t="shared" si="18"/>
        <v>#DIV/0!</v>
      </c>
      <c r="AX53" s="2749"/>
      <c r="AY53" s="2731">
        <f t="shared" si="20"/>
        <v>0</v>
      </c>
      <c r="AZ53" s="2731">
        <f t="shared" si="17"/>
        <v>0</v>
      </c>
      <c r="BA53" s="2731">
        <f t="shared" si="18"/>
        <v>0</v>
      </c>
      <c r="BB53" s="2649"/>
      <c r="BC53" s="2731">
        <f t="shared" si="21" ref="BC53:BJ53">BC50</f>
        <v>0</v>
      </c>
      <c r="BD53" s="2731">
        <f t="shared" si="21"/>
        <v>0</v>
      </c>
      <c r="BE53" s="2731">
        <f t="shared" si="18"/>
        <v>0</v>
      </c>
      <c r="BF53" s="2731">
        <f t="shared" si="21"/>
        <v>2949480.19</v>
      </c>
      <c r="BG53" s="2731">
        <f t="shared" si="21"/>
        <v>34700</v>
      </c>
      <c r="BH53" s="2731" t="e">
        <f t="shared" si="18"/>
        <v>#DIV/0!</v>
      </c>
      <c r="BI53" s="2731">
        <f>'Expense Comps.'!Y215*'Expense Comps.'!$J$215</f>
        <v>0</v>
      </c>
      <c r="BJ53" s="2731">
        <f t="shared" si="21"/>
        <v>0</v>
      </c>
      <c r="BK53" s="2731">
        <f t="shared" si="18"/>
        <v>0</v>
      </c>
      <c r="BL53" s="2649"/>
    </row>
    <row r="54" ht="15" customHeight="1">
      <c r="A54" s="2649"/>
      <c r="B54" s="2650" t="s">
        <v>2465</v>
      </c>
      <c r="C54" s="2739"/>
      <c r="D54" s="2750"/>
      <c r="E54" s="2689">
        <f t="shared" si="22" ref="E54:BJ54">IF(D53=0,0,D53/D31)</f>
        <v>0</v>
      </c>
      <c r="F54" s="2751"/>
      <c r="G54" s="2750"/>
      <c r="H54" s="2689">
        <f t="shared" si="22"/>
        <v>0</v>
      </c>
      <c r="I54" s="2750"/>
      <c r="J54" s="2750"/>
      <c r="K54" s="2689">
        <f t="shared" si="22"/>
        <v>0</v>
      </c>
      <c r="L54" s="2750"/>
      <c r="M54" s="2750"/>
      <c r="N54" s="2750"/>
      <c r="O54" s="2750"/>
      <c r="P54" s="2750"/>
      <c r="Q54" s="2750"/>
      <c r="R54" s="2750"/>
      <c r="S54" s="2750"/>
      <c r="T54" s="2750"/>
      <c r="U54" s="2750"/>
      <c r="V54" s="2750"/>
      <c r="W54" s="2750"/>
      <c r="X54" s="2750"/>
      <c r="Y54" s="2750"/>
      <c r="Z54" s="2689">
        <f t="shared" si="22"/>
        <v>0.6237250826711438</v>
      </c>
      <c r="AA54" s="2689"/>
      <c r="AB54" s="2694"/>
      <c r="AC54" s="2689">
        <f t="shared" si="22"/>
        <v>0</v>
      </c>
      <c r="AD54" s="2694"/>
      <c r="AE54" s="2694"/>
      <c r="AF54" s="2689">
        <f t="shared" si="22"/>
        <v>0</v>
      </c>
      <c r="AG54" s="2694"/>
      <c r="AH54" s="2694"/>
      <c r="AI54" s="2689">
        <f t="shared" si="22"/>
        <v>0</v>
      </c>
      <c r="AJ54" s="2694"/>
      <c r="AK54" s="2694"/>
      <c r="AL54" s="2694">
        <f t="shared" si="22"/>
        <v>0</v>
      </c>
      <c r="AM54" s="2694"/>
      <c r="AN54" s="2694"/>
      <c r="AO54" s="2694">
        <f t="shared" si="22"/>
        <v>0</v>
      </c>
      <c r="AP54" s="2694"/>
      <c r="AQ54" s="2694"/>
      <c r="AR54" s="2689">
        <f t="shared" si="22"/>
        <v>0</v>
      </c>
      <c r="AS54" s="2689"/>
      <c r="AT54" s="2694"/>
      <c r="AU54" s="2694"/>
      <c r="AV54" s="2694">
        <f t="shared" si="22"/>
        <v>2.550633705099303</v>
      </c>
      <c r="AW54" s="2694"/>
      <c r="AX54" s="2694"/>
      <c r="AY54" s="2694"/>
      <c r="AZ54" s="2694">
        <f t="shared" si="22"/>
        <v>0</v>
      </c>
      <c r="BA54" s="2750"/>
      <c r="BB54" s="2649"/>
      <c r="BC54" s="2686"/>
      <c r="BD54" s="2694">
        <f t="shared" si="22"/>
        <v>0</v>
      </c>
      <c r="BE54" s="2750"/>
      <c r="BF54" s="2686"/>
      <c r="BG54" s="2694">
        <f t="shared" si="22"/>
        <v>0.6237250826711438</v>
      </c>
      <c r="BH54" s="2750"/>
      <c r="BI54" s="2686"/>
      <c r="BJ54" s="2694">
        <f t="shared" si="22"/>
        <v>0</v>
      </c>
      <c r="BK54" s="2750"/>
      <c r="BL54" s="2649"/>
    </row>
    <row r="55" ht="15" customHeight="1">
      <c r="A55" s="2752"/>
      <c r="B55" s="2753" t="s">
        <v>2466</v>
      </c>
      <c r="C55" s="2752"/>
      <c r="D55" s="2752"/>
      <c r="E55" s="2754">
        <f t="shared" si="23" ref="E55:BG55">IF(D53=0,0,D53/NRA)</f>
        <v>0</v>
      </c>
      <c r="F55" s="2754"/>
      <c r="G55" s="2752"/>
      <c r="H55" s="2754">
        <f t="shared" si="23"/>
        <v>0</v>
      </c>
      <c r="I55" s="2752"/>
      <c r="J55" s="2752"/>
      <c r="K55" s="2754">
        <f t="shared" si="23"/>
        <v>0</v>
      </c>
      <c r="L55" s="2752"/>
      <c r="M55" s="2752"/>
      <c r="N55" s="2752"/>
      <c r="O55" s="2752"/>
      <c r="P55" s="2752"/>
      <c r="Q55" s="2752"/>
      <c r="R55" s="2752"/>
      <c r="S55" s="2752"/>
      <c r="T55" s="2752"/>
      <c r="U55" s="2752"/>
      <c r="V55" s="2752"/>
      <c r="W55" s="2752"/>
      <c r="X55" s="2752"/>
      <c r="Y55" s="2752"/>
      <c r="Z55" s="2754">
        <f t="shared" si="23"/>
        <v>33.69266157593157</v>
      </c>
      <c r="AA55" s="2754"/>
      <c r="AB55" s="2752"/>
      <c r="AC55" s="2754">
        <f t="shared" si="23"/>
        <v>0</v>
      </c>
      <c r="AD55" s="2752"/>
      <c r="AE55" s="2752"/>
      <c r="AF55" s="2754">
        <f t="shared" si="23"/>
        <v>0</v>
      </c>
      <c r="AG55" s="2752"/>
      <c r="AH55" s="2752"/>
      <c r="AI55" s="2754">
        <f t="shared" si="23"/>
        <v>0</v>
      </c>
      <c r="AJ55" s="2752"/>
      <c r="AK55" s="2752"/>
      <c r="AL55" s="2752">
        <f t="shared" si="23"/>
        <v>0</v>
      </c>
      <c r="AM55" s="2752"/>
      <c r="AN55" s="2752"/>
      <c r="AO55" s="2752">
        <f t="shared" si="23"/>
        <v>0</v>
      </c>
      <c r="AP55" s="2752"/>
      <c r="AQ55" s="2752"/>
      <c r="AR55" s="2754">
        <f t="shared" si="23"/>
        <v>0</v>
      </c>
      <c r="AS55" s="2754"/>
      <c r="AT55" s="2752"/>
      <c r="AU55" s="2752"/>
      <c r="AV55" s="2752">
        <f t="shared" si="23"/>
        <v>33.30694085256086</v>
      </c>
      <c r="AW55" s="2752"/>
      <c r="AX55" s="2749"/>
      <c r="AY55" s="2752"/>
      <c r="AZ55" s="2752">
        <f t="shared" si="23"/>
        <v>0</v>
      </c>
      <c r="BA55" s="2752"/>
      <c r="BB55" s="2752"/>
      <c r="BC55" s="2752"/>
      <c r="BD55" s="2752">
        <f t="shared" si="23"/>
        <v>0</v>
      </c>
      <c r="BE55" s="2752"/>
      <c r="BF55" s="2752"/>
      <c r="BG55" s="2752">
        <f t="shared" si="23"/>
        <v>34.70344142320952</v>
      </c>
      <c r="BH55" s="2752"/>
      <c r="BI55" s="2752"/>
      <c r="BJ55" s="2752"/>
      <c r="BK55" s="2752"/>
      <c r="BL55" s="2752"/>
    </row>
    <row r="56" ht="15.75" customHeight="1">
      <c r="A56" s="2649"/>
      <c r="B56" s="2650"/>
      <c r="C56" s="2739"/>
      <c r="D56" s="2686"/>
      <c r="E56" s="2682"/>
      <c r="F56" s="2682"/>
      <c r="G56" s="2686"/>
      <c r="H56" s="2682"/>
      <c r="I56" s="2686"/>
      <c r="J56" s="2686"/>
      <c r="K56" s="2682"/>
      <c r="L56" s="2686"/>
      <c r="M56" s="2686"/>
      <c r="N56" s="2686"/>
      <c r="O56" s="2686"/>
      <c r="P56" s="2686"/>
      <c r="Q56" s="2686"/>
      <c r="R56" s="2686"/>
      <c r="S56" s="2686"/>
      <c r="T56" s="2686"/>
      <c r="U56" s="2686"/>
      <c r="V56" s="2686"/>
      <c r="W56" s="2686"/>
      <c r="X56" s="2686"/>
      <c r="Y56" s="2686"/>
      <c r="Z56" s="2682"/>
      <c r="AA56" s="2682"/>
      <c r="AB56" s="2686"/>
      <c r="AC56" s="2682"/>
      <c r="AD56" s="2686"/>
      <c r="AE56" s="2686"/>
      <c r="AF56" s="2682"/>
      <c r="AG56" s="2686"/>
      <c r="AH56" s="2686"/>
      <c r="AI56" s="2682"/>
      <c r="AJ56" s="2686"/>
      <c r="AK56" s="2686"/>
      <c r="AL56" s="2686"/>
      <c r="AM56" s="2686"/>
      <c r="AN56" s="2686"/>
      <c r="AO56" s="2686"/>
      <c r="AP56" s="2686"/>
      <c r="AQ56" s="2686"/>
      <c r="AR56" s="2682"/>
      <c r="AS56" s="2682"/>
      <c r="AT56" s="2649"/>
      <c r="AU56" s="2649"/>
      <c r="AV56" s="2686"/>
      <c r="AW56" s="2686"/>
      <c r="AX56" s="2749"/>
      <c r="AY56" s="2649"/>
      <c r="AZ56" s="2686"/>
      <c r="BA56" s="2686"/>
      <c r="BB56" s="2649"/>
      <c r="BC56" s="2686"/>
      <c r="BD56" s="2686"/>
      <c r="BE56" s="2686"/>
      <c r="BF56" s="2686"/>
      <c r="BG56" s="2686"/>
      <c r="BH56" s="2686"/>
      <c r="BI56" s="2686"/>
      <c r="BJ56" s="2686"/>
      <c r="BK56" s="2686"/>
      <c r="BL56" s="2649"/>
    </row>
    <row r="57" ht="15.75" customHeight="1">
      <c r="A57" s="2755"/>
      <c r="B57" s="2756" t="s">
        <v>1427</v>
      </c>
      <c r="C57" s="2757"/>
      <c r="D57" s="2758">
        <f t="shared" si="24" ref="D57:AY57">D31-D53</f>
        <v>0</v>
      </c>
      <c r="E57" s="2759">
        <f t="shared" si="17"/>
        <v>0</v>
      </c>
      <c r="F57" s="2759">
        <f t="shared" si="18"/>
        <v>0</v>
      </c>
      <c r="G57" s="2758">
        <f t="shared" si="24"/>
        <v>0</v>
      </c>
      <c r="H57" s="2759">
        <f t="shared" si="17"/>
        <v>0</v>
      </c>
      <c r="I57" s="2758">
        <f t="shared" si="18"/>
        <v>0</v>
      </c>
      <c r="J57" s="2758">
        <f t="shared" si="24"/>
        <v>0</v>
      </c>
      <c r="K57" s="2759">
        <f t="shared" si="17"/>
        <v>0</v>
      </c>
      <c r="L57" s="2758">
        <f t="shared" si="18"/>
        <v>0</v>
      </c>
      <c r="M57" s="2758">
        <f t="shared" si="24"/>
        <v>1727509</v>
      </c>
      <c r="N57" s="2758">
        <f t="shared" si="24"/>
        <v>1698953.4545454541</v>
      </c>
      <c r="O57" s="2758">
        <f t="shared" si="24"/>
        <v>1696038.0000000005</v>
      </c>
      <c r="P57" s="2758">
        <f t="shared" si="24"/>
        <v>1784596</v>
      </c>
      <c r="Q57" s="2758">
        <f t="shared" si="24"/>
        <v>1792488</v>
      </c>
      <c r="R57" s="2758">
        <f t="shared" si="24"/>
        <v>1823540.5714285718</v>
      </c>
      <c r="S57" s="2758">
        <f t="shared" si="24"/>
        <v>1904372</v>
      </c>
      <c r="T57" s="2758">
        <f t="shared" si="24"/>
        <v>1940620.7999999998</v>
      </c>
      <c r="U57" s="2758">
        <f t="shared" si="24"/>
        <v>1797276</v>
      </c>
      <c r="V57" s="2758">
        <f t="shared" si="24"/>
        <v>1745348</v>
      </c>
      <c r="W57" s="2758">
        <f t="shared" si="24"/>
        <v>1761144</v>
      </c>
      <c r="X57" s="2758">
        <f t="shared" si="24"/>
        <v>1628928</v>
      </c>
      <c r="Y57" s="2758">
        <f t="shared" si="24"/>
        <v>1727509</v>
      </c>
      <c r="Z57" s="2759">
        <f t="shared" si="17"/>
        <v>20324</v>
      </c>
      <c r="AA57" s="2759" t="e">
        <f t="shared" si="18"/>
        <v>#DIV/0!</v>
      </c>
      <c r="AB57" s="2758">
        <f t="shared" si="24"/>
        <v>0</v>
      </c>
      <c r="AC57" s="2759">
        <f t="shared" si="17"/>
        <v>0</v>
      </c>
      <c r="AD57" s="2758">
        <f t="shared" si="18"/>
        <v>0</v>
      </c>
      <c r="AE57" s="2758">
        <f t="shared" si="24"/>
        <v>0</v>
      </c>
      <c r="AF57" s="2759">
        <f t="shared" si="17"/>
        <v>0</v>
      </c>
      <c r="AG57" s="2758">
        <f t="shared" si="18"/>
        <v>0</v>
      </c>
      <c r="AH57" s="2758">
        <f t="shared" si="24"/>
        <v>0</v>
      </c>
      <c r="AI57" s="2759">
        <f t="shared" si="17"/>
        <v>0</v>
      </c>
      <c r="AJ57" s="2758">
        <f t="shared" si="18"/>
        <v>0</v>
      </c>
      <c r="AK57" s="2758">
        <f t="shared" si="24"/>
        <v>0</v>
      </c>
      <c r="AL57" s="2758">
        <f t="shared" si="17"/>
        <v>0</v>
      </c>
      <c r="AM57" s="2758">
        <f t="shared" si="18"/>
        <v>0</v>
      </c>
      <c r="AN57" s="2758">
        <f t="shared" si="24"/>
        <v>0</v>
      </c>
      <c r="AO57" s="2758">
        <f t="shared" si="17"/>
        <v>0</v>
      </c>
      <c r="AP57" s="2758">
        <f t="shared" si="18"/>
        <v>0</v>
      </c>
      <c r="AQ57" s="2758">
        <f t="shared" si="24"/>
        <v>0</v>
      </c>
      <c r="AR57" s="2759">
        <f t="shared" si="17"/>
        <v>0</v>
      </c>
      <c r="AS57" s="2759">
        <f t="shared" si="18"/>
        <v>0</v>
      </c>
      <c r="AT57" s="2755"/>
      <c r="AU57" s="2758">
        <f>ROUND(AU31-AU53,2)</f>
        <v>-1720952.21</v>
      </c>
      <c r="AV57" s="2758">
        <f t="shared" si="17"/>
        <v>0</v>
      </c>
      <c r="AW57" s="2758">
        <f t="shared" si="18"/>
        <v>0</v>
      </c>
      <c r="AX57" s="2760"/>
      <c r="AY57" s="2758">
        <f t="shared" si="24"/>
        <v>0</v>
      </c>
      <c r="AZ57" s="2758">
        <f t="shared" si="17"/>
        <v>0</v>
      </c>
      <c r="BA57" s="2758">
        <f t="shared" si="18"/>
        <v>0</v>
      </c>
      <c r="BB57" s="2755"/>
      <c r="BC57" s="2761">
        <f t="shared" si="25" ref="BC57:BF57">+BC31-BC53</f>
        <v>0</v>
      </c>
      <c r="BD57" s="2758">
        <f t="shared" si="17"/>
        <v>0</v>
      </c>
      <c r="BE57" s="2758">
        <f t="shared" si="18"/>
        <v>0</v>
      </c>
      <c r="BF57" s="2758">
        <f t="shared" si="25"/>
        <v>1779334.27</v>
      </c>
      <c r="BG57" s="2758">
        <f t="shared" si="17"/>
        <v>20933</v>
      </c>
      <c r="BH57" s="2758" t="e">
        <f t="shared" si="18"/>
        <v>#DIV/0!</v>
      </c>
      <c r="BI57" s="2758">
        <f>'Expense Comps.'!AC215*'Expense Comps.'!$J$215</f>
        <v>0</v>
      </c>
      <c r="BJ57" s="2758">
        <f>ROUND(IF(BI57&gt;0,BI57/'Expense Comps.'!$J$215,0),0)</f>
        <v>0</v>
      </c>
      <c r="BK57" s="2758">
        <f t="shared" si="18"/>
        <v>0</v>
      </c>
      <c r="BL57" s="2762"/>
    </row>
    <row r="58" ht="15.75" customHeight="1">
      <c r="A58" s="2649"/>
      <c r="B58" s="2650"/>
      <c r="C58" s="2739"/>
      <c r="D58" s="2649"/>
      <c r="E58" s="2651"/>
      <c r="F58" s="2651"/>
      <c r="G58" s="2649"/>
      <c r="H58" s="2651"/>
      <c r="I58" s="2649"/>
      <c r="J58" s="2649"/>
      <c r="K58" s="2651"/>
      <c r="L58" s="2649"/>
      <c r="M58" s="2649"/>
      <c r="N58" s="2649"/>
      <c r="O58" s="2649"/>
      <c r="P58" s="2649"/>
      <c r="Q58" s="2649"/>
      <c r="R58" s="2649"/>
      <c r="S58" s="2649"/>
      <c r="T58" s="2649"/>
      <c r="U58" s="2649"/>
      <c r="V58" s="2649"/>
      <c r="W58" s="2649"/>
      <c r="X58" s="2649"/>
      <c r="Y58" s="2649"/>
      <c r="Z58" s="2651"/>
      <c r="AA58" s="2651"/>
      <c r="AB58" s="2649"/>
      <c r="AC58" s="2651"/>
      <c r="AD58" s="2649"/>
      <c r="AE58" s="2649"/>
      <c r="AF58" s="2651"/>
      <c r="AG58" s="2649"/>
      <c r="AH58" s="2649"/>
      <c r="AI58" s="2651"/>
      <c r="AJ58" s="2649"/>
      <c r="AK58" s="2649"/>
      <c r="AL58" s="2649"/>
      <c r="AM58" s="2649"/>
      <c r="AN58" s="2649"/>
      <c r="AO58" s="2649"/>
      <c r="AP58" s="2649"/>
      <c r="AQ58" s="2649"/>
      <c r="AR58" s="2651"/>
      <c r="AS58" s="2651"/>
      <c r="AT58" s="2649"/>
      <c r="AU58" s="2649"/>
      <c r="AV58" s="2649"/>
      <c r="AW58" s="2649"/>
      <c r="AX58" s="2649"/>
      <c r="AY58" s="2649"/>
      <c r="AZ58" s="2649"/>
      <c r="BA58" s="2649"/>
      <c r="BB58" s="2649"/>
      <c r="BC58" s="2649"/>
      <c r="BD58" s="2649"/>
      <c r="BE58" s="2649"/>
      <c r="BF58" s="2649"/>
      <c r="BG58" s="2649"/>
      <c r="BH58" s="2649"/>
      <c r="BI58" s="2649"/>
      <c r="BJ58" s="2649"/>
      <c r="BK58" s="2649"/>
      <c r="BL58" s="2763"/>
    </row>
    <row r="59" ht="15.75" customHeight="1">
      <c r="A59" s="2649"/>
      <c r="B59" s="2650" t="s">
        <v>2467</v>
      </c>
      <c r="C59" s="2739"/>
      <c r="D59" s="2649"/>
      <c r="E59" s="2651"/>
      <c r="F59" s="2651"/>
      <c r="G59" s="2649"/>
      <c r="H59" s="2651"/>
      <c r="I59" s="2649"/>
      <c r="J59" s="2649"/>
      <c r="K59" s="2651"/>
      <c r="L59" s="2649"/>
      <c r="M59" s="2649"/>
      <c r="N59" s="2649"/>
      <c r="O59" s="2649"/>
      <c r="P59" s="2649"/>
      <c r="Q59" s="2649"/>
      <c r="R59" s="2649"/>
      <c r="S59" s="2649"/>
      <c r="T59" s="2649"/>
      <c r="U59" s="2649"/>
      <c r="V59" s="2649"/>
      <c r="W59" s="2649"/>
      <c r="X59" s="2649"/>
      <c r="Y59" s="2649"/>
      <c r="Z59" s="2651"/>
      <c r="AA59" s="2651"/>
      <c r="AB59" s="2649"/>
      <c r="AC59" s="2651"/>
      <c r="AD59" s="2649"/>
      <c r="AE59" s="2649"/>
      <c r="AF59" s="2651"/>
      <c r="AG59" s="2649"/>
      <c r="AH59" s="2649"/>
      <c r="AI59" s="2651"/>
      <c r="AJ59" s="2649"/>
      <c r="AK59" s="2764"/>
      <c r="AL59" s="2765"/>
      <c r="AM59" s="2649"/>
      <c r="AN59" s="2764"/>
      <c r="AO59" s="2765"/>
      <c r="AP59" s="2649"/>
      <c r="AQ59" s="2764"/>
      <c r="AR59" s="2766"/>
      <c r="AS59" s="2651"/>
      <c r="AT59" s="2649"/>
      <c r="AU59" s="2767">
        <f>_xlfn.IFERROR(AU57/AE57,0)</f>
        <v>0</v>
      </c>
      <c r="AV59" s="2649"/>
      <c r="AW59" s="2649"/>
      <c r="AX59" s="2649"/>
      <c r="AY59" s="2768">
        <f>_xlfn.IFERROR(AY57/AW57,0)</f>
        <v>0</v>
      </c>
      <c r="AZ59" s="2649"/>
      <c r="BA59" s="2649"/>
      <c r="BB59" s="2649"/>
      <c r="BC59" s="2649"/>
      <c r="BD59" s="2649"/>
      <c r="BE59" s="2649"/>
      <c r="BF59" s="2649"/>
      <c r="BG59" s="2649"/>
      <c r="BH59" s="2649"/>
      <c r="BI59" s="2649"/>
      <c r="BJ59" s="2649"/>
      <c r="BK59" s="2649"/>
      <c r="BL59" s="2649"/>
    </row>
    <row r="60" ht="15.75" customHeight="1">
      <c r="A60" s="2649"/>
      <c r="B60" s="2645" t="s">
        <v>1353</v>
      </c>
      <c r="C60" s="2739"/>
      <c r="D60" s="2649"/>
      <c r="E60" s="2651"/>
      <c r="F60" s="2651"/>
      <c r="G60" s="2649"/>
      <c r="H60" s="2651"/>
      <c r="I60" s="2649"/>
      <c r="J60" s="2649"/>
      <c r="K60" s="2651"/>
      <c r="L60" s="2649"/>
      <c r="M60" s="2649"/>
      <c r="N60" s="2649"/>
      <c r="O60" s="2649"/>
      <c r="P60" s="2649"/>
      <c r="Q60" s="2649"/>
      <c r="R60" s="2649"/>
      <c r="S60" s="2649"/>
      <c r="T60" s="2649"/>
      <c r="U60" s="2649"/>
      <c r="V60" s="2649"/>
      <c r="W60" s="2649"/>
      <c r="X60" s="2649"/>
      <c r="Y60" s="2649"/>
      <c r="Z60" s="2651"/>
      <c r="AA60" s="2651"/>
      <c r="AB60" s="2649"/>
      <c r="AC60" s="2651"/>
      <c r="AD60" s="2649"/>
      <c r="AE60" s="2649"/>
      <c r="AF60" s="2651"/>
      <c r="AG60" s="2649"/>
      <c r="AH60" s="2649"/>
      <c r="AI60" s="2651"/>
      <c r="AJ60" s="2649"/>
      <c r="AK60" s="2649"/>
      <c r="AL60" s="2649"/>
      <c r="AM60" s="2649"/>
      <c r="AN60" s="2649"/>
      <c r="AO60" s="2649"/>
      <c r="AP60" s="2649"/>
      <c r="AQ60" s="2649"/>
      <c r="AR60" s="2651"/>
      <c r="AS60" s="2651"/>
      <c r="AT60" s="2649"/>
      <c r="AU60" s="2649"/>
      <c r="AV60" s="2649"/>
      <c r="AW60" s="2649"/>
      <c r="AX60" s="2649"/>
      <c r="AY60" s="2649"/>
      <c r="AZ60" s="2649"/>
      <c r="BA60" s="2649"/>
      <c r="BB60" s="2649"/>
      <c r="BC60" s="2649"/>
      <c r="BD60" s="2649"/>
      <c r="BE60" s="2649"/>
      <c r="BF60" s="2649"/>
      <c r="BG60" s="2649"/>
      <c r="BH60" s="2649"/>
      <c r="BI60" s="2649"/>
      <c r="BJ60" s="2649"/>
      <c r="BK60" s="2649"/>
      <c r="BL60" s="2649"/>
    </row>
    <row r="61" ht="15.75" customHeight="1" hidden="1">
      <c r="A61" s="2769"/>
      <c r="B61" s="2770" t="s">
        <v>2468</v>
      </c>
      <c r="C61" s="2769"/>
      <c r="D61" s="2720">
        <f t="shared" si="26" ref="D61:BI61">$AU$61</f>
        <v>0</v>
      </c>
      <c r="E61" s="2682"/>
      <c r="F61" s="2682"/>
      <c r="G61" s="2720">
        <f t="shared" si="26"/>
        <v>0</v>
      </c>
      <c r="H61" s="2682"/>
      <c r="I61" s="2682"/>
      <c r="J61" s="2720">
        <f t="shared" si="26"/>
        <v>0</v>
      </c>
      <c r="K61" s="2682"/>
      <c r="L61" s="2682"/>
      <c r="M61" s="2682"/>
      <c r="N61" s="2682"/>
      <c r="O61" s="2682"/>
      <c r="P61" s="2682"/>
      <c r="Q61" s="2682"/>
      <c r="R61" s="2682"/>
      <c r="S61" s="2682"/>
      <c r="T61" s="2682"/>
      <c r="U61" s="2682"/>
      <c r="V61" s="2682"/>
      <c r="W61" s="2682"/>
      <c r="X61" s="2682"/>
      <c r="Y61" s="2720">
        <f t="shared" si="26"/>
        <v>0</v>
      </c>
      <c r="Z61" s="2682"/>
      <c r="AA61" s="2682"/>
      <c r="AB61" s="2720">
        <f t="shared" si="26"/>
        <v>0</v>
      </c>
      <c r="AC61" s="2682"/>
      <c r="AD61" s="2682"/>
      <c r="AE61" s="2720">
        <f t="shared" si="26"/>
        <v>0</v>
      </c>
      <c r="AF61" s="2682"/>
      <c r="AG61" s="2682"/>
      <c r="AH61" s="2720">
        <f t="shared" si="26"/>
        <v>0</v>
      </c>
      <c r="AI61" s="2682"/>
      <c r="AJ61" s="2682"/>
      <c r="AK61" s="2720">
        <f t="shared" si="26"/>
        <v>0</v>
      </c>
      <c r="AL61" s="2682"/>
      <c r="AM61" s="2682"/>
      <c r="AN61" s="2720">
        <f t="shared" si="26"/>
        <v>0</v>
      </c>
      <c r="AO61" s="2682"/>
      <c r="AP61" s="2682"/>
      <c r="AQ61" s="2720">
        <f t="shared" si="26"/>
        <v>0</v>
      </c>
      <c r="AR61" s="2682"/>
      <c r="AS61" s="2682"/>
      <c r="AT61" s="2682"/>
      <c r="AU61" s="2720">
        <f>IF('SBL Quotes'!AN32="Supplemental",FirstDebtService_IfSupp,0)</f>
        <v>0</v>
      </c>
      <c r="AV61" s="2682"/>
      <c r="AW61" s="2682"/>
      <c r="AX61" s="2682"/>
      <c r="AY61" s="2720">
        <f t="shared" si="26"/>
        <v>0</v>
      </c>
      <c r="AZ61" s="2771"/>
      <c r="BA61" s="2771"/>
      <c r="BB61" s="2771"/>
      <c r="BC61" s="2772">
        <f t="shared" si="26"/>
        <v>0</v>
      </c>
      <c r="BD61" s="2771"/>
      <c r="BE61" s="2771"/>
      <c r="BF61" s="2772">
        <f t="shared" si="26"/>
        <v>0</v>
      </c>
      <c r="BG61" s="2771"/>
      <c r="BH61" s="2771"/>
      <c r="BI61" s="2772">
        <f t="shared" si="26"/>
        <v>0</v>
      </c>
      <c r="BJ61" s="2771"/>
      <c r="BK61" s="2771"/>
      <c r="BL61" s="2769" t="e">
        <f>+BL58/BL59</f>
        <v>#DIV/0!</v>
      </c>
    </row>
    <row r="62" ht="15.75" customHeight="1" hidden="1">
      <c r="A62" s="2769"/>
      <c r="B62" s="2770" t="s">
        <v>2469</v>
      </c>
      <c r="C62" s="2769"/>
      <c r="D62" s="2720">
        <f t="shared" si="27" ref="D62:BI62">$AU$62</f>
        <v>0</v>
      </c>
      <c r="E62" s="2682"/>
      <c r="F62" s="2682"/>
      <c r="G62" s="2720">
        <f t="shared" si="27"/>
        <v>0</v>
      </c>
      <c r="H62" s="2682"/>
      <c r="I62" s="2682"/>
      <c r="J62" s="2720">
        <f t="shared" si="27"/>
        <v>0</v>
      </c>
      <c r="K62" s="2682"/>
      <c r="L62" s="2682"/>
      <c r="M62" s="2682"/>
      <c r="N62" s="2682"/>
      <c r="O62" s="2682"/>
      <c r="P62" s="2682"/>
      <c r="Q62" s="2682"/>
      <c r="R62" s="2682"/>
      <c r="S62" s="2682"/>
      <c r="T62" s="2682"/>
      <c r="U62" s="2682"/>
      <c r="V62" s="2682"/>
      <c r="W62" s="2682"/>
      <c r="X62" s="2682"/>
      <c r="Y62" s="2720">
        <f t="shared" si="27"/>
        <v>0</v>
      </c>
      <c r="Z62" s="2682"/>
      <c r="AA62" s="2682"/>
      <c r="AB62" s="2720">
        <f t="shared" si="27"/>
        <v>0</v>
      </c>
      <c r="AC62" s="2682"/>
      <c r="AD62" s="2682"/>
      <c r="AE62" s="2720">
        <f t="shared" si="27"/>
        <v>0</v>
      </c>
      <c r="AF62" s="2682"/>
      <c r="AG62" s="2682"/>
      <c r="AH62" s="2720">
        <f t="shared" si="27"/>
        <v>0</v>
      </c>
      <c r="AI62" s="2682"/>
      <c r="AJ62" s="2682"/>
      <c r="AK62" s="2720">
        <f t="shared" si="27"/>
        <v>0</v>
      </c>
      <c r="AL62" s="2682"/>
      <c r="AM62" s="2682"/>
      <c r="AN62" s="2720">
        <f t="shared" si="27"/>
        <v>0</v>
      </c>
      <c r="AO62" s="2682"/>
      <c r="AP62" s="2682"/>
      <c r="AQ62" s="2720">
        <f t="shared" si="27"/>
        <v>0</v>
      </c>
      <c r="AR62" s="2682"/>
      <c r="AS62" s="2682"/>
      <c r="AT62" s="2682"/>
      <c r="AU62" s="2720">
        <f>IF('SBL Quotes'!AN33="2nd Supplemental",SecondDebtService_IfSupp,0)</f>
        <v>0</v>
      </c>
      <c r="AV62" s="2682"/>
      <c r="AW62" s="2682"/>
      <c r="AX62" s="2682"/>
      <c r="AY62" s="2720">
        <f t="shared" si="27"/>
        <v>0</v>
      </c>
      <c r="AZ62" s="2771"/>
      <c r="BA62" s="2771"/>
      <c r="BB62" s="2771"/>
      <c r="BC62" s="2772">
        <f t="shared" si="27"/>
        <v>0</v>
      </c>
      <c r="BD62" s="2771"/>
      <c r="BE62" s="2771"/>
      <c r="BF62" s="2772">
        <f t="shared" si="27"/>
        <v>0</v>
      </c>
      <c r="BG62" s="2771"/>
      <c r="BH62" s="2771"/>
      <c r="BI62" s="2772">
        <f t="shared" si="27"/>
        <v>0</v>
      </c>
      <c r="BJ62" s="2771"/>
      <c r="BK62" s="2771"/>
      <c r="BL62" s="2769"/>
    </row>
    <row r="63" ht="15.75" customHeight="1" hidden="1">
      <c r="A63" s="2769"/>
      <c r="B63" s="2770" t="s">
        <v>2470</v>
      </c>
      <c r="C63" s="2769"/>
      <c r="D63" s="2720">
        <f t="shared" si="28" ref="D63:BI63">$AU$63</f>
        <v>0</v>
      </c>
      <c r="E63" s="2682"/>
      <c r="F63" s="2682"/>
      <c r="G63" s="2720">
        <f t="shared" si="28"/>
        <v>0</v>
      </c>
      <c r="H63" s="2682"/>
      <c r="I63" s="2682"/>
      <c r="J63" s="2720">
        <f t="shared" si="28"/>
        <v>0</v>
      </c>
      <c r="K63" s="2682"/>
      <c r="L63" s="2682"/>
      <c r="M63" s="2682"/>
      <c r="N63" s="2682"/>
      <c r="O63" s="2682"/>
      <c r="P63" s="2682"/>
      <c r="Q63" s="2682"/>
      <c r="R63" s="2682"/>
      <c r="S63" s="2682"/>
      <c r="T63" s="2682"/>
      <c r="U63" s="2682"/>
      <c r="V63" s="2682"/>
      <c r="W63" s="2682"/>
      <c r="X63" s="2682"/>
      <c r="Y63" s="2720">
        <f t="shared" si="28"/>
        <v>0</v>
      </c>
      <c r="Z63" s="2682"/>
      <c r="AA63" s="2682"/>
      <c r="AB63" s="2720">
        <f t="shared" si="28"/>
        <v>0</v>
      </c>
      <c r="AC63" s="2682"/>
      <c r="AD63" s="2682"/>
      <c r="AE63" s="2720">
        <f t="shared" si="28"/>
        <v>0</v>
      </c>
      <c r="AF63" s="2682"/>
      <c r="AG63" s="2682"/>
      <c r="AH63" s="2720">
        <f t="shared" si="28"/>
        <v>0</v>
      </c>
      <c r="AI63" s="2682"/>
      <c r="AJ63" s="2682"/>
      <c r="AK63" s="2720">
        <f t="shared" si="28"/>
        <v>0</v>
      </c>
      <c r="AL63" s="2682"/>
      <c r="AM63" s="2682"/>
      <c r="AN63" s="2720">
        <f t="shared" si="28"/>
        <v>0</v>
      </c>
      <c r="AO63" s="2682"/>
      <c r="AP63" s="2682"/>
      <c r="AQ63" s="2720">
        <f t="shared" si="28"/>
        <v>0</v>
      </c>
      <c r="AR63" s="2682"/>
      <c r="AS63" s="2682"/>
      <c r="AT63" s="2682"/>
      <c r="AU63" s="2720">
        <f>IF('SBL Quotes'!AN34="3rd Supplemental",ThirdDebtService_IfSupp,0)</f>
        <v>0</v>
      </c>
      <c r="AV63" s="2682"/>
      <c r="AW63" s="2682"/>
      <c r="AX63" s="2682"/>
      <c r="AY63" s="2720">
        <f t="shared" si="28"/>
        <v>0</v>
      </c>
      <c r="AZ63" s="2771"/>
      <c r="BA63" s="2771"/>
      <c r="BB63" s="2771"/>
      <c r="BC63" s="2772">
        <f t="shared" si="28"/>
        <v>0</v>
      </c>
      <c r="BD63" s="2771"/>
      <c r="BE63" s="2771"/>
      <c r="BF63" s="2772">
        <f t="shared" si="28"/>
        <v>0</v>
      </c>
      <c r="BG63" s="2771"/>
      <c r="BH63" s="2771"/>
      <c r="BI63" s="2772">
        <f t="shared" si="28"/>
        <v>0</v>
      </c>
      <c r="BJ63" s="2771"/>
      <c r="BK63" s="2771"/>
      <c r="BL63" s="2769"/>
    </row>
    <row r="64" ht="15.75" customHeight="1">
      <c r="A64" s="2769"/>
      <c r="B64" s="2773" t="str">
        <f>IF('SBL Quotes'!AN32="Supplemental","Combined Debt Service (Fixed)","1st Debt Service")</f>
        <v>1st Debt Service</v>
      </c>
      <c r="C64" s="2725"/>
      <c r="D64" s="2720" t="e">
        <f t="shared" si="29" ref="D64:BI64">$AU$64</f>
        <v>#NAME?</v>
      </c>
      <c r="E64" s="2682"/>
      <c r="F64" s="2682"/>
      <c r="G64" s="2720" t="e">
        <f t="shared" si="29"/>
        <v>#NAME?</v>
      </c>
      <c r="H64" s="2682"/>
      <c r="I64" s="2682"/>
      <c r="J64" s="2720" t="e">
        <f t="shared" si="29"/>
        <v>#NAME?</v>
      </c>
      <c r="K64" s="2682"/>
      <c r="L64" s="2682"/>
      <c r="M64" s="2682"/>
      <c r="N64" s="2682"/>
      <c r="O64" s="2682"/>
      <c r="P64" s="2682"/>
      <c r="Q64" s="2682"/>
      <c r="R64" s="2682"/>
      <c r="S64" s="2682"/>
      <c r="T64" s="2682"/>
      <c r="U64" s="2682"/>
      <c r="V64" s="2682"/>
      <c r="W64" s="2682"/>
      <c r="X64" s="2682"/>
      <c r="Y64" s="2720" t="e">
        <f t="shared" si="29"/>
        <v>#NAME?</v>
      </c>
      <c r="Z64" s="2682"/>
      <c r="AA64" s="2682"/>
      <c r="AB64" s="2720" t="e">
        <f t="shared" si="29"/>
        <v>#NAME?</v>
      </c>
      <c r="AC64" s="2682"/>
      <c r="AD64" s="2682"/>
      <c r="AE64" s="2720" t="e">
        <f t="shared" si="29"/>
        <v>#NAME?</v>
      </c>
      <c r="AF64" s="2682"/>
      <c r="AG64" s="2682"/>
      <c r="AH64" s="2720" t="e">
        <f t="shared" si="29"/>
        <v>#NAME?</v>
      </c>
      <c r="AI64" s="2682"/>
      <c r="AJ64" s="2682"/>
      <c r="AK64" s="2720" t="e">
        <f t="shared" si="29"/>
        <v>#NAME?</v>
      </c>
      <c r="AL64" s="2682"/>
      <c r="AM64" s="2682"/>
      <c r="AN64" s="2720" t="e">
        <f t="shared" si="29"/>
        <v>#NAME?</v>
      </c>
      <c r="AO64" s="2682"/>
      <c r="AP64" s="2682"/>
      <c r="AQ64" s="2720" t="e">
        <f t="shared" si="29"/>
        <v>#NAME?</v>
      </c>
      <c r="AR64" s="2682"/>
      <c r="AS64" s="2682"/>
      <c r="AT64" s="2682"/>
      <c r="AU64" s="2720" t="e">
        <f>AU61+AU62+AU63+AmortizingDebtService</f>
        <v>#NAME?</v>
      </c>
      <c r="AV64" s="2682"/>
      <c r="AW64" s="2682"/>
      <c r="AX64" s="2682"/>
      <c r="AY64" s="2720" t="e">
        <f t="shared" si="29"/>
        <v>#NAME?</v>
      </c>
      <c r="AZ64" s="2771"/>
      <c r="BA64" s="2771"/>
      <c r="BB64" s="2771"/>
      <c r="BC64" s="2772" t="e">
        <f t="shared" si="29"/>
        <v>#NAME?</v>
      </c>
      <c r="BD64" s="2771"/>
      <c r="BE64" s="2771"/>
      <c r="BF64" s="2772" t="e">
        <f t="shared" si="29"/>
        <v>#NAME?</v>
      </c>
      <c r="BG64" s="2771"/>
      <c r="BH64" s="2771"/>
      <c r="BI64" s="2772" t="e">
        <f t="shared" si="29"/>
        <v>#NAME?</v>
      </c>
      <c r="BJ64" s="2771"/>
      <c r="BK64" s="2771"/>
      <c r="BL64" s="2769"/>
    </row>
    <row r="65" ht="15.75" customHeight="1">
      <c r="A65" s="2769"/>
      <c r="B65" s="2770"/>
      <c r="C65" s="2769"/>
      <c r="D65" s="2771"/>
      <c r="E65" s="2771"/>
      <c r="F65" s="2771"/>
      <c r="G65" s="2771"/>
      <c r="H65" s="2771"/>
      <c r="I65" s="2771"/>
      <c r="J65" s="2771"/>
      <c r="K65" s="2771"/>
      <c r="L65" s="2771"/>
      <c r="M65" s="2771"/>
      <c r="N65" s="2771"/>
      <c r="O65" s="2771"/>
      <c r="P65" s="2771"/>
      <c r="Q65" s="2771"/>
      <c r="R65" s="2771"/>
      <c r="S65" s="2771"/>
      <c r="T65" s="2771"/>
      <c r="U65" s="2771"/>
      <c r="V65" s="2771"/>
      <c r="W65" s="2771"/>
      <c r="X65" s="2771"/>
      <c r="Y65" s="2771"/>
      <c r="Z65" s="2771"/>
      <c r="AA65" s="2771"/>
      <c r="AB65" s="2771"/>
      <c r="AC65" s="2771"/>
      <c r="AD65" s="2771"/>
      <c r="AE65" s="2771"/>
      <c r="AF65" s="2771"/>
      <c r="AG65" s="2771"/>
      <c r="AH65" s="2771"/>
      <c r="AI65" s="2771"/>
      <c r="AJ65" s="2771"/>
      <c r="AK65" s="2771"/>
      <c r="AL65" s="2771"/>
      <c r="AM65" s="2771"/>
      <c r="AN65" s="2771"/>
      <c r="AO65" s="2771"/>
      <c r="AP65" s="2771"/>
      <c r="AQ65" s="2771"/>
      <c r="AR65" s="2771"/>
      <c r="AS65" s="2771"/>
      <c r="AT65" s="2771"/>
      <c r="AU65" s="2771"/>
      <c r="AV65" s="2771"/>
      <c r="AW65" s="2771"/>
      <c r="AX65" s="2771"/>
      <c r="AY65" s="2771"/>
      <c r="AZ65" s="2771"/>
      <c r="BA65" s="2771"/>
      <c r="BB65" s="2771"/>
      <c r="BC65" s="2771"/>
      <c r="BD65" s="2771"/>
      <c r="BE65" s="2771"/>
      <c r="BF65" s="2771"/>
      <c r="BG65" s="2771"/>
      <c r="BH65" s="2771"/>
      <c r="BI65" s="2771"/>
      <c r="BJ65" s="2771"/>
      <c r="BK65" s="2771"/>
      <c r="BL65" s="2769"/>
    </row>
    <row r="66" ht="15.75" customHeight="1" hidden="1">
      <c r="A66" s="2649"/>
      <c r="B66" s="2774" t="s">
        <v>2471</v>
      </c>
      <c r="C66" s="2739"/>
      <c r="D66" s="2775">
        <f t="shared" si="30" ref="D66:BI66">IF(D$57=0,0,D$57/D61)</f>
        <v>0</v>
      </c>
      <c r="E66" s="2776"/>
      <c r="F66" s="2776"/>
      <c r="G66" s="2775">
        <f t="shared" si="30"/>
        <v>0</v>
      </c>
      <c r="H66" s="2776"/>
      <c r="I66" s="2776"/>
      <c r="J66" s="2775">
        <f t="shared" si="30"/>
        <v>0</v>
      </c>
      <c r="K66" s="2776"/>
      <c r="L66" s="2776"/>
      <c r="M66" s="2776"/>
      <c r="N66" s="2776"/>
      <c r="O66" s="2776"/>
      <c r="P66" s="2776"/>
      <c r="Q66" s="2776"/>
      <c r="R66" s="2776"/>
      <c r="S66" s="2776"/>
      <c r="T66" s="2776"/>
      <c r="U66" s="2776"/>
      <c r="V66" s="2776"/>
      <c r="W66" s="2776"/>
      <c r="X66" s="2776"/>
      <c r="Y66" s="2775" t="e">
        <f t="shared" si="30"/>
        <v>#DIV/0!</v>
      </c>
      <c r="Z66" s="2776"/>
      <c r="AA66" s="2776"/>
      <c r="AB66" s="2775">
        <f t="shared" si="30"/>
        <v>0</v>
      </c>
      <c r="AC66" s="2776"/>
      <c r="AD66" s="2776"/>
      <c r="AE66" s="2775">
        <f t="shared" si="30"/>
        <v>0</v>
      </c>
      <c r="AF66" s="2776"/>
      <c r="AG66" s="2776"/>
      <c r="AH66" s="2775">
        <f t="shared" si="30"/>
        <v>0</v>
      </c>
      <c r="AI66" s="2776"/>
      <c r="AJ66" s="2776"/>
      <c r="AK66" s="2775">
        <f t="shared" si="30"/>
        <v>0</v>
      </c>
      <c r="AL66" s="2776"/>
      <c r="AM66" s="2776"/>
      <c r="AN66" s="2775">
        <f t="shared" si="30"/>
        <v>0</v>
      </c>
      <c r="AO66" s="2776"/>
      <c r="AP66" s="2776"/>
      <c r="AQ66" s="2775">
        <f t="shared" si="30"/>
        <v>0</v>
      </c>
      <c r="AR66" s="2776"/>
      <c r="AS66" s="2776"/>
      <c r="AT66" s="2776"/>
      <c r="AU66" s="2775" t="e">
        <f t="shared" si="30"/>
        <v>#DIV/0!</v>
      </c>
      <c r="AV66" s="2776"/>
      <c r="AW66" s="2776"/>
      <c r="AX66" s="2776"/>
      <c r="AY66" s="2775">
        <f t="shared" si="30"/>
        <v>0</v>
      </c>
      <c r="AZ66" s="2776"/>
      <c r="BA66" s="2776"/>
      <c r="BB66" s="2776"/>
      <c r="BC66" s="2775">
        <f t="shared" si="30"/>
        <v>0</v>
      </c>
      <c r="BD66" s="2776"/>
      <c r="BE66" s="2776"/>
      <c r="BF66" s="2775" t="e">
        <f t="shared" si="30"/>
        <v>#DIV/0!</v>
      </c>
      <c r="BG66" s="2776"/>
      <c r="BH66" s="2776"/>
      <c r="BI66" s="2775">
        <f t="shared" si="30"/>
        <v>0</v>
      </c>
      <c r="BJ66" s="2776"/>
      <c r="BK66" s="2776"/>
      <c r="BL66" s="2777"/>
    </row>
    <row r="67" ht="14.25" customHeight="1" hidden="1">
      <c r="A67" s="2769"/>
      <c r="B67" s="2770"/>
      <c r="C67" s="2769"/>
      <c r="D67" s="2771"/>
      <c r="E67" s="2771"/>
      <c r="F67" s="2771"/>
      <c r="G67" s="2771"/>
      <c r="H67" s="2771"/>
      <c r="I67" s="2771"/>
      <c r="J67" s="2771"/>
      <c r="K67" s="2771"/>
      <c r="L67" s="2771"/>
      <c r="M67" s="2771"/>
      <c r="N67" s="2771"/>
      <c r="O67" s="2771"/>
      <c r="P67" s="2771"/>
      <c r="Q67" s="2771"/>
      <c r="R67" s="2771"/>
      <c r="S67" s="2771"/>
      <c r="T67" s="2771"/>
      <c r="U67" s="2771"/>
      <c r="V67" s="2771"/>
      <c r="W67" s="2771"/>
      <c r="X67" s="2771"/>
      <c r="Y67" s="2771"/>
      <c r="Z67" s="2771"/>
      <c r="AA67" s="2771"/>
      <c r="AB67" s="2771"/>
      <c r="AC67" s="2771"/>
      <c r="AD67" s="2771"/>
      <c r="AE67" s="2771"/>
      <c r="AF67" s="2771"/>
      <c r="AG67" s="2771"/>
      <c r="AH67" s="2771"/>
      <c r="AI67" s="2771"/>
      <c r="AJ67" s="2771"/>
      <c r="AK67" s="2771"/>
      <c r="AL67" s="2771"/>
      <c r="AM67" s="2771"/>
      <c r="AN67" s="2771"/>
      <c r="AO67" s="2771"/>
      <c r="AP67" s="2771"/>
      <c r="AQ67" s="2771"/>
      <c r="AR67" s="2771"/>
      <c r="AS67" s="2771"/>
      <c r="AT67" s="2771"/>
      <c r="AU67" s="2771"/>
      <c r="AV67" s="2771"/>
      <c r="AW67" s="2771"/>
      <c r="AX67" s="2771"/>
      <c r="AY67" s="2771"/>
      <c r="AZ67" s="2771"/>
      <c r="BA67" s="2771"/>
      <c r="BB67" s="2771"/>
      <c r="BC67" s="2771"/>
      <c r="BD67" s="2771"/>
      <c r="BE67" s="2771"/>
      <c r="BF67" s="2771"/>
      <c r="BG67" s="2771"/>
      <c r="BH67" s="2771"/>
      <c r="BI67" s="2771"/>
      <c r="BJ67" s="2771"/>
      <c r="BK67" s="2771"/>
      <c r="BL67" s="2769"/>
    </row>
    <row r="68" ht="15.75" customHeight="1" hidden="1">
      <c r="A68" s="2649"/>
      <c r="B68" s="2774" t="s">
        <v>2472</v>
      </c>
      <c r="C68" s="2739"/>
      <c r="D68" s="2775">
        <f t="shared" si="31" ref="D68:BI68">IF(D$57=0,0,D$57/(D61+D62))</f>
        <v>0</v>
      </c>
      <c r="E68" s="2776"/>
      <c r="F68" s="2776"/>
      <c r="G68" s="2775">
        <f t="shared" si="31"/>
        <v>0</v>
      </c>
      <c r="H68" s="2776"/>
      <c r="I68" s="2776"/>
      <c r="J68" s="2775">
        <f t="shared" si="31"/>
        <v>0</v>
      </c>
      <c r="K68" s="2776"/>
      <c r="L68" s="2776"/>
      <c r="M68" s="2776"/>
      <c r="N68" s="2776"/>
      <c r="O68" s="2776"/>
      <c r="P68" s="2776"/>
      <c r="Q68" s="2776"/>
      <c r="R68" s="2776"/>
      <c r="S68" s="2776"/>
      <c r="T68" s="2776"/>
      <c r="U68" s="2776"/>
      <c r="V68" s="2776"/>
      <c r="W68" s="2776"/>
      <c r="X68" s="2776"/>
      <c r="Y68" s="2775" t="e">
        <f t="shared" si="31"/>
        <v>#DIV/0!</v>
      </c>
      <c r="Z68" s="2776"/>
      <c r="AA68" s="2776"/>
      <c r="AB68" s="2775">
        <f t="shared" si="31"/>
        <v>0</v>
      </c>
      <c r="AC68" s="2776"/>
      <c r="AD68" s="2776"/>
      <c r="AE68" s="2775">
        <f t="shared" si="31"/>
        <v>0</v>
      </c>
      <c r="AF68" s="2776"/>
      <c r="AG68" s="2776"/>
      <c r="AH68" s="2775">
        <f t="shared" si="31"/>
        <v>0</v>
      </c>
      <c r="AI68" s="2776"/>
      <c r="AJ68" s="2776"/>
      <c r="AK68" s="2775">
        <f t="shared" si="31"/>
        <v>0</v>
      </c>
      <c r="AL68" s="2776"/>
      <c r="AM68" s="2776"/>
      <c r="AN68" s="2775">
        <f t="shared" si="31"/>
        <v>0</v>
      </c>
      <c r="AO68" s="2776"/>
      <c r="AP68" s="2776"/>
      <c r="AQ68" s="2775">
        <f t="shared" si="31"/>
        <v>0</v>
      </c>
      <c r="AR68" s="2776"/>
      <c r="AS68" s="2776"/>
      <c r="AT68" s="2776"/>
      <c r="AU68" s="2775" t="e">
        <f t="shared" si="31"/>
        <v>#DIV/0!</v>
      </c>
      <c r="AV68" s="2776"/>
      <c r="AW68" s="2776"/>
      <c r="AX68" s="2776"/>
      <c r="AY68" s="2775">
        <f t="shared" si="31"/>
        <v>0</v>
      </c>
      <c r="AZ68" s="2776"/>
      <c r="BA68" s="2776"/>
      <c r="BB68" s="2776"/>
      <c r="BC68" s="2775">
        <f t="shared" si="31"/>
        <v>0</v>
      </c>
      <c r="BD68" s="2776"/>
      <c r="BE68" s="2776"/>
      <c r="BF68" s="2775" t="e">
        <f t="shared" si="31"/>
        <v>#DIV/0!</v>
      </c>
      <c r="BG68" s="2776"/>
      <c r="BH68" s="2776"/>
      <c r="BI68" s="2775">
        <f t="shared" si="31"/>
        <v>0</v>
      </c>
      <c r="BJ68" s="2776"/>
      <c r="BK68" s="2776"/>
      <c r="BL68" s="2777"/>
    </row>
    <row r="69" ht="14.25" customHeight="1" hidden="1">
      <c r="A69" s="2769"/>
      <c r="B69" s="2770"/>
      <c r="C69" s="2769"/>
      <c r="D69" s="2771"/>
      <c r="E69" s="2771"/>
      <c r="F69" s="2771"/>
      <c r="G69" s="2771"/>
      <c r="H69" s="2771"/>
      <c r="I69" s="2771"/>
      <c r="J69" s="2771"/>
      <c r="K69" s="2771"/>
      <c r="L69" s="2771"/>
      <c r="M69" s="2771"/>
      <c r="N69" s="2771"/>
      <c r="O69" s="2771"/>
      <c r="P69" s="2771"/>
      <c r="Q69" s="2771"/>
      <c r="R69" s="2771"/>
      <c r="S69" s="2771"/>
      <c r="T69" s="2771"/>
      <c r="U69" s="2771"/>
      <c r="V69" s="2771"/>
      <c r="W69" s="2771"/>
      <c r="X69" s="2771"/>
      <c r="Y69" s="2771"/>
      <c r="Z69" s="2771"/>
      <c r="AA69" s="2771"/>
      <c r="AB69" s="2771"/>
      <c r="AC69" s="2771"/>
      <c r="AD69" s="2771"/>
      <c r="AE69" s="2771"/>
      <c r="AF69" s="2771"/>
      <c r="AG69" s="2771"/>
      <c r="AH69" s="2771"/>
      <c r="AI69" s="2771"/>
      <c r="AJ69" s="2771"/>
      <c r="AK69" s="2771"/>
      <c r="AL69" s="2771"/>
      <c r="AM69" s="2771"/>
      <c r="AN69" s="2771"/>
      <c r="AO69" s="2771"/>
      <c r="AP69" s="2771"/>
      <c r="AQ69" s="2771"/>
      <c r="AR69" s="2771"/>
      <c r="AS69" s="2771"/>
      <c r="AT69" s="2771"/>
      <c r="AU69" s="2771"/>
      <c r="AV69" s="2771"/>
      <c r="AW69" s="2771"/>
      <c r="AX69" s="2771"/>
      <c r="AY69" s="2771"/>
      <c r="AZ69" s="2771"/>
      <c r="BA69" s="2771"/>
      <c r="BB69" s="2771"/>
      <c r="BC69" s="2771"/>
      <c r="BD69" s="2771"/>
      <c r="BE69" s="2771"/>
      <c r="BF69" s="2771"/>
      <c r="BG69" s="2771"/>
      <c r="BH69" s="2771"/>
      <c r="BI69" s="2771"/>
      <c r="BJ69" s="2771"/>
      <c r="BK69" s="2771"/>
      <c r="BL69" s="2769"/>
    </row>
    <row r="70" ht="15.75" customHeight="1" hidden="1">
      <c r="A70" s="2649"/>
      <c r="B70" s="2774" t="s">
        <v>2473</v>
      </c>
      <c r="C70" s="2739"/>
      <c r="D70" s="2775">
        <f t="shared" si="32" ref="D70:BI70">IF(D$57=0,0,D$57/(D61+D62+D63))</f>
        <v>0</v>
      </c>
      <c r="E70" s="2776"/>
      <c r="F70" s="2776"/>
      <c r="G70" s="2775">
        <f t="shared" si="32"/>
        <v>0</v>
      </c>
      <c r="H70" s="2776"/>
      <c r="I70" s="2776"/>
      <c r="J70" s="2775">
        <f t="shared" si="32"/>
        <v>0</v>
      </c>
      <c r="K70" s="2776"/>
      <c r="L70" s="2776"/>
      <c r="M70" s="2776"/>
      <c r="N70" s="2776"/>
      <c r="O70" s="2776"/>
      <c r="P70" s="2776"/>
      <c r="Q70" s="2776"/>
      <c r="R70" s="2776"/>
      <c r="S70" s="2776"/>
      <c r="T70" s="2776"/>
      <c r="U70" s="2776"/>
      <c r="V70" s="2776"/>
      <c r="W70" s="2776"/>
      <c r="X70" s="2776"/>
      <c r="Y70" s="2775" t="e">
        <f t="shared" si="32"/>
        <v>#DIV/0!</v>
      </c>
      <c r="Z70" s="2776"/>
      <c r="AA70" s="2776"/>
      <c r="AB70" s="2775">
        <f t="shared" si="32"/>
        <v>0</v>
      </c>
      <c r="AC70" s="2776"/>
      <c r="AD70" s="2776"/>
      <c r="AE70" s="2775">
        <f t="shared" si="32"/>
        <v>0</v>
      </c>
      <c r="AF70" s="2776"/>
      <c r="AG70" s="2776"/>
      <c r="AH70" s="2775">
        <f t="shared" si="32"/>
        <v>0</v>
      </c>
      <c r="AI70" s="2776"/>
      <c r="AJ70" s="2776"/>
      <c r="AK70" s="2775">
        <f t="shared" si="32"/>
        <v>0</v>
      </c>
      <c r="AL70" s="2776"/>
      <c r="AM70" s="2776"/>
      <c r="AN70" s="2775">
        <f t="shared" si="32"/>
        <v>0</v>
      </c>
      <c r="AO70" s="2776"/>
      <c r="AP70" s="2776"/>
      <c r="AQ70" s="2775">
        <f t="shared" si="32"/>
        <v>0</v>
      </c>
      <c r="AR70" s="2776"/>
      <c r="AS70" s="2776"/>
      <c r="AT70" s="2776"/>
      <c r="AU70" s="2775" t="e">
        <f t="shared" si="32"/>
        <v>#DIV/0!</v>
      </c>
      <c r="AV70" s="2776"/>
      <c r="AW70" s="2776"/>
      <c r="AX70" s="2776"/>
      <c r="AY70" s="2775">
        <f t="shared" si="32"/>
        <v>0</v>
      </c>
      <c r="AZ70" s="2776"/>
      <c r="BA70" s="2776"/>
      <c r="BB70" s="2776"/>
      <c r="BC70" s="2775">
        <f t="shared" si="32"/>
        <v>0</v>
      </c>
      <c r="BD70" s="2776"/>
      <c r="BE70" s="2776"/>
      <c r="BF70" s="2775" t="e">
        <f t="shared" si="32"/>
        <v>#DIV/0!</v>
      </c>
      <c r="BG70" s="2776"/>
      <c r="BH70" s="2776"/>
      <c r="BI70" s="2775">
        <f t="shared" si="32"/>
        <v>0</v>
      </c>
      <c r="BJ70" s="2776"/>
      <c r="BK70" s="2776"/>
      <c r="BL70" s="2777"/>
    </row>
    <row r="71" ht="14.25" customHeight="1" hidden="1">
      <c r="A71" s="2769"/>
      <c r="B71" s="2770"/>
      <c r="C71" s="2769"/>
      <c r="D71" s="2771"/>
      <c r="E71" s="2771"/>
      <c r="F71" s="2771"/>
      <c r="G71" s="2771"/>
      <c r="H71" s="2771"/>
      <c r="I71" s="2771"/>
      <c r="J71" s="2771"/>
      <c r="K71" s="2771"/>
      <c r="L71" s="2771"/>
      <c r="M71" s="2771"/>
      <c r="N71" s="2771"/>
      <c r="O71" s="2771"/>
      <c r="P71" s="2771"/>
      <c r="Q71" s="2771"/>
      <c r="R71" s="2771"/>
      <c r="S71" s="2771"/>
      <c r="T71" s="2771"/>
      <c r="U71" s="2771"/>
      <c r="V71" s="2771"/>
      <c r="W71" s="2771"/>
      <c r="X71" s="2771"/>
      <c r="Y71" s="2771"/>
      <c r="Z71" s="2771"/>
      <c r="AA71" s="2771"/>
      <c r="AB71" s="2771"/>
      <c r="AC71" s="2771"/>
      <c r="AD71" s="2771"/>
      <c r="AE71" s="2771"/>
      <c r="AF71" s="2771"/>
      <c r="AG71" s="2771"/>
      <c r="AH71" s="2771"/>
      <c r="AI71" s="2771"/>
      <c r="AJ71" s="2771"/>
      <c r="AK71" s="2771"/>
      <c r="AL71" s="2771"/>
      <c r="AM71" s="2771"/>
      <c r="AN71" s="2771"/>
      <c r="AO71" s="2771"/>
      <c r="AP71" s="2771"/>
      <c r="AQ71" s="2771"/>
      <c r="AR71" s="2771"/>
      <c r="AS71" s="2771"/>
      <c r="AT71" s="2771"/>
      <c r="AU71" s="2771"/>
      <c r="AV71" s="2771"/>
      <c r="AW71" s="2771"/>
      <c r="AX71" s="2771"/>
      <c r="AY71" s="2771"/>
      <c r="AZ71" s="2771"/>
      <c r="BA71" s="2771"/>
      <c r="BB71" s="2771"/>
      <c r="BC71" s="2771"/>
      <c r="BD71" s="2771"/>
      <c r="BE71" s="2771"/>
      <c r="BF71" s="2771"/>
      <c r="BG71" s="2771"/>
      <c r="BH71" s="2771"/>
      <c r="BI71" s="2771"/>
      <c r="BJ71" s="2771"/>
      <c r="BK71" s="2771"/>
      <c r="BL71" s="2769"/>
    </row>
    <row r="72" ht="15.75" customHeight="1">
      <c r="A72" s="2649"/>
      <c r="B72" s="2696" t="str">
        <f>IF('SBL Quotes'!AN32="Supplemental","Combined DSCR (Actual)","1st DSCR (Actual)")</f>
        <v>1st DSCR (Actual)</v>
      </c>
      <c r="C72" s="2745"/>
      <c r="D72" s="2775">
        <f t="shared" si="33" ref="D72:BI72">IF(D$57=0,0,D$57/(D61+D62+D63+(LoanAmount*NoteConstant)))</f>
        <v>0</v>
      </c>
      <c r="E72" s="2776"/>
      <c r="F72" s="2776"/>
      <c r="G72" s="2775">
        <f t="shared" si="33"/>
        <v>0</v>
      </c>
      <c r="H72" s="2776"/>
      <c r="I72" s="2776"/>
      <c r="J72" s="2775">
        <f t="shared" si="33"/>
        <v>0</v>
      </c>
      <c r="K72" s="2776"/>
      <c r="L72" s="2776"/>
      <c r="M72" s="2776"/>
      <c r="N72" s="2776"/>
      <c r="O72" s="2776"/>
      <c r="P72" s="2776"/>
      <c r="Q72" s="2776"/>
      <c r="R72" s="2776"/>
      <c r="S72" s="2776"/>
      <c r="T72" s="2776"/>
      <c r="U72" s="2776"/>
      <c r="V72" s="2776"/>
      <c r="W72" s="2776"/>
      <c r="X72" s="2776"/>
      <c r="Y72" s="2775" t="e">
        <f t="shared" si="33"/>
        <v>#NAME?</v>
      </c>
      <c r="Z72" s="2776"/>
      <c r="AA72" s="2776"/>
      <c r="AB72" s="2775">
        <f t="shared" si="33"/>
        <v>0</v>
      </c>
      <c r="AC72" s="2776"/>
      <c r="AD72" s="2776"/>
      <c r="AE72" s="2775">
        <f t="shared" si="33"/>
        <v>0</v>
      </c>
      <c r="AF72" s="2776"/>
      <c r="AG72" s="2776"/>
      <c r="AH72" s="2775">
        <f t="shared" si="33"/>
        <v>0</v>
      </c>
      <c r="AI72" s="2776"/>
      <c r="AJ72" s="2776"/>
      <c r="AK72" s="2775">
        <f t="shared" si="33"/>
        <v>0</v>
      </c>
      <c r="AL72" s="2776"/>
      <c r="AM72" s="2776"/>
      <c r="AN72" s="2775">
        <f t="shared" si="33"/>
        <v>0</v>
      </c>
      <c r="AO72" s="2776"/>
      <c r="AP72" s="2776"/>
      <c r="AQ72" s="2775">
        <f t="shared" si="33"/>
        <v>0</v>
      </c>
      <c r="AR72" s="2776"/>
      <c r="AS72" s="2776"/>
      <c r="AT72" s="2776"/>
      <c r="AU72" s="2775" t="e">
        <f t="shared" si="33"/>
        <v>#NAME?</v>
      </c>
      <c r="AV72" s="2776"/>
      <c r="AW72" s="2776"/>
      <c r="AX72" s="2776"/>
      <c r="AY72" s="2775">
        <f t="shared" si="33"/>
        <v>0</v>
      </c>
      <c r="AZ72" s="2776"/>
      <c r="BA72" s="2776"/>
      <c r="BB72" s="2776"/>
      <c r="BC72" s="2775">
        <f t="shared" si="33"/>
        <v>0</v>
      </c>
      <c r="BD72" s="2776"/>
      <c r="BE72" s="2776"/>
      <c r="BF72" s="2775" t="e">
        <f t="shared" si="33"/>
        <v>#NAME?</v>
      </c>
      <c r="BG72" s="2776"/>
      <c r="BH72" s="2776"/>
      <c r="BI72" s="2775">
        <f t="shared" si="33"/>
        <v>0</v>
      </c>
      <c r="BJ72" s="2776"/>
      <c r="BK72" s="2776"/>
      <c r="BL72" s="2777"/>
    </row>
    <row r="73" ht="15.75" customHeight="1">
      <c r="A73" s="2649"/>
      <c r="B73" s="2650"/>
      <c r="C73" s="2739"/>
      <c r="D73" s="2776"/>
      <c r="E73" s="2776"/>
      <c r="F73" s="2776"/>
      <c r="G73" s="2776"/>
      <c r="H73" s="2776"/>
      <c r="I73" s="2776"/>
      <c r="J73" s="2776"/>
      <c r="K73" s="2776"/>
      <c r="L73" s="2776"/>
      <c r="M73" s="2776"/>
      <c r="N73" s="2776"/>
      <c r="O73" s="2776"/>
      <c r="P73" s="2776"/>
      <c r="Q73" s="2776"/>
      <c r="R73" s="2776"/>
      <c r="S73" s="2776"/>
      <c r="T73" s="2776"/>
      <c r="U73" s="2776"/>
      <c r="V73" s="2776"/>
      <c r="W73" s="2776"/>
      <c r="X73" s="2776"/>
      <c r="Y73" s="2776"/>
      <c r="Z73" s="2776"/>
      <c r="AA73" s="2776"/>
      <c r="AB73" s="2776"/>
      <c r="AC73" s="2776"/>
      <c r="AD73" s="2776"/>
      <c r="AE73" s="2776"/>
      <c r="AF73" s="2776"/>
      <c r="AG73" s="2776"/>
      <c r="AH73" s="2776"/>
      <c r="AI73" s="2776"/>
      <c r="AJ73" s="2776"/>
      <c r="AK73" s="2776"/>
      <c r="AL73" s="2776"/>
      <c r="AM73" s="2776"/>
      <c r="AN73" s="2776"/>
      <c r="AO73" s="2776"/>
      <c r="AP73" s="2776"/>
      <c r="AQ73" s="2776"/>
      <c r="AR73" s="2776"/>
      <c r="AS73" s="2776"/>
      <c r="AT73" s="2776"/>
      <c r="AU73" s="2776"/>
      <c r="AV73" s="2776"/>
      <c r="AW73" s="2776"/>
      <c r="AX73" s="2776"/>
      <c r="AY73" s="2776"/>
      <c r="AZ73" s="2776"/>
      <c r="BA73" s="2776"/>
      <c r="BB73" s="2776"/>
      <c r="BC73" s="2776"/>
      <c r="BD73" s="2776"/>
      <c r="BE73" s="2776"/>
      <c r="BF73" s="2776"/>
      <c r="BG73" s="2776"/>
      <c r="BH73" s="2776"/>
      <c r="BI73" s="2776"/>
      <c r="BJ73" s="2776"/>
      <c r="BK73" s="2776"/>
      <c r="BL73" s="2777"/>
    </row>
    <row r="74" ht="15.75" customHeight="1">
      <c r="A74" s="2649"/>
      <c r="B74" s="2696" t="str">
        <f>IF('SBL Quotes'!AN32="Supplemental","Combined DSCR (Floor)","1st DSCR (Floor)")</f>
        <v>1st DSCR (Floor)</v>
      </c>
      <c r="C74" s="2719"/>
      <c r="D74" s="2775">
        <f t="shared" si="34" ref="D74:BI74">IF(D$57=0,0,D$57/(D61+D62+D63+(LoanAmount*FloorConstant)))</f>
        <v>0</v>
      </c>
      <c r="E74" s="2778"/>
      <c r="F74" s="2778"/>
      <c r="G74" s="2775">
        <f t="shared" si="34"/>
        <v>0</v>
      </c>
      <c r="H74" s="2778"/>
      <c r="I74" s="2778"/>
      <c r="J74" s="2775">
        <f t="shared" si="34"/>
        <v>0</v>
      </c>
      <c r="K74" s="2778"/>
      <c r="L74" s="2778"/>
      <c r="M74" s="2778"/>
      <c r="N74" s="2778"/>
      <c r="O74" s="2778"/>
      <c r="P74" s="2778"/>
      <c r="Q74" s="2778"/>
      <c r="R74" s="2778"/>
      <c r="S74" s="2778"/>
      <c r="T74" s="2778"/>
      <c r="U74" s="2778"/>
      <c r="V74" s="2778"/>
      <c r="W74" s="2778"/>
      <c r="X74" s="2778"/>
      <c r="Y74" s="2775" t="e">
        <f t="shared" si="34"/>
        <v>#NAME?</v>
      </c>
      <c r="Z74" s="2778"/>
      <c r="AA74" s="2778"/>
      <c r="AB74" s="2775">
        <f t="shared" si="34"/>
        <v>0</v>
      </c>
      <c r="AC74" s="2778"/>
      <c r="AD74" s="2778"/>
      <c r="AE74" s="2775">
        <f t="shared" si="34"/>
        <v>0</v>
      </c>
      <c r="AF74" s="2778"/>
      <c r="AG74" s="2778"/>
      <c r="AH74" s="2775">
        <f t="shared" si="34"/>
        <v>0</v>
      </c>
      <c r="AI74" s="2778"/>
      <c r="AJ74" s="2778"/>
      <c r="AK74" s="2775">
        <f t="shared" si="34"/>
        <v>0</v>
      </c>
      <c r="AL74" s="2778"/>
      <c r="AM74" s="2778"/>
      <c r="AN74" s="2775">
        <f t="shared" si="34"/>
        <v>0</v>
      </c>
      <c r="AO74" s="2778"/>
      <c r="AP74" s="2778"/>
      <c r="AQ74" s="2775">
        <f t="shared" si="34"/>
        <v>0</v>
      </c>
      <c r="AR74" s="2778"/>
      <c r="AS74" s="2778"/>
      <c r="AT74" s="2778"/>
      <c r="AU74" s="2775" t="e">
        <f t="shared" si="34"/>
        <v>#NAME?</v>
      </c>
      <c r="AV74" s="2778"/>
      <c r="AW74" s="2778"/>
      <c r="AX74" s="2778"/>
      <c r="AY74" s="2775">
        <f t="shared" si="34"/>
        <v>0</v>
      </c>
      <c r="AZ74" s="2778"/>
      <c r="BA74" s="2778"/>
      <c r="BB74" s="2778"/>
      <c r="BC74" s="2775">
        <f t="shared" si="34"/>
        <v>0</v>
      </c>
      <c r="BD74" s="2778"/>
      <c r="BE74" s="2778"/>
      <c r="BF74" s="2775" t="e">
        <f t="shared" si="34"/>
        <v>#NAME?</v>
      </c>
      <c r="BG74" s="2778"/>
      <c r="BH74" s="2778"/>
      <c r="BI74" s="2775">
        <f t="shared" si="34"/>
        <v>0</v>
      </c>
      <c r="BJ74" s="2778"/>
      <c r="BK74" s="2778"/>
      <c r="BL74" s="2779"/>
    </row>
    <row r="75" ht="14.25" customHeight="1" hidden="1">
      <c r="A75" s="2649"/>
      <c r="B75" s="2645" t="s">
        <v>983</v>
      </c>
      <c r="C75" s="2649"/>
      <c r="D75" s="2778"/>
      <c r="E75" s="2778"/>
      <c r="F75" s="2778"/>
      <c r="G75" s="2778"/>
      <c r="H75" s="2778"/>
      <c r="I75" s="2778"/>
      <c r="J75" s="2778"/>
      <c r="K75" s="2778"/>
      <c r="L75" s="2778"/>
      <c r="M75" s="2778"/>
      <c r="N75" s="2778"/>
      <c r="O75" s="2778"/>
      <c r="P75" s="2778"/>
      <c r="Q75" s="2778"/>
      <c r="R75" s="2778"/>
      <c r="S75" s="2778"/>
      <c r="T75" s="2778"/>
      <c r="U75" s="2778"/>
      <c r="V75" s="2778"/>
      <c r="W75" s="2778"/>
      <c r="X75" s="2778"/>
      <c r="Y75" s="2778"/>
      <c r="Z75" s="2778"/>
      <c r="AA75" s="2778"/>
      <c r="AB75" s="2778"/>
      <c r="AC75" s="2778"/>
      <c r="AD75" s="2778"/>
      <c r="AE75" s="2778"/>
      <c r="AF75" s="2778"/>
      <c r="AG75" s="2778"/>
      <c r="AH75" s="2778"/>
      <c r="AI75" s="2778"/>
      <c r="AJ75" s="2778"/>
      <c r="AK75" s="2778"/>
      <c r="AL75" s="2778"/>
      <c r="AM75" s="2778"/>
      <c r="AN75" s="2778"/>
      <c r="AO75" s="2778"/>
      <c r="AP75" s="2778"/>
      <c r="AQ75" s="2778"/>
      <c r="AR75" s="2778"/>
      <c r="AS75" s="2778"/>
      <c r="AT75" s="2778"/>
      <c r="AU75" s="2778"/>
      <c r="AV75" s="2778"/>
      <c r="AW75" s="2778"/>
      <c r="AX75" s="2778"/>
      <c r="AY75" s="2778"/>
      <c r="AZ75" s="2778"/>
      <c r="BA75" s="2778"/>
      <c r="BB75" s="2778"/>
      <c r="BC75" s="2778"/>
      <c r="BD75" s="2778"/>
      <c r="BE75" s="2778"/>
      <c r="BF75" s="2778"/>
      <c r="BG75" s="2778"/>
      <c r="BH75" s="2778"/>
      <c r="BI75" s="2778"/>
      <c r="BJ75" s="2778"/>
      <c r="BK75" s="2778"/>
      <c r="BL75" s="2779"/>
    </row>
    <row r="76" ht="15.75" customHeight="1" hidden="1">
      <c r="A76" s="2769"/>
      <c r="B76" s="2770" t="s">
        <v>2476</v>
      </c>
      <c r="C76" s="2649"/>
      <c r="D76" s="2720" t="e">
        <f t="shared" si="35" ref="D76:BI76">D61+D62+D63+(LoanAmount*SARMPayConstant)</f>
        <v>#NAME?</v>
      </c>
      <c r="E76" s="2682"/>
      <c r="F76" s="2682"/>
      <c r="G76" s="2720" t="e">
        <f t="shared" si="35"/>
        <v>#NAME?</v>
      </c>
      <c r="H76" s="2682"/>
      <c r="I76" s="2682"/>
      <c r="J76" s="2720" t="e">
        <f t="shared" si="35"/>
        <v>#NAME?</v>
      </c>
      <c r="K76" s="2682"/>
      <c r="L76" s="2682"/>
      <c r="M76" s="2682"/>
      <c r="N76" s="2682"/>
      <c r="O76" s="2682"/>
      <c r="P76" s="2682"/>
      <c r="Q76" s="2682"/>
      <c r="R76" s="2682"/>
      <c r="S76" s="2682"/>
      <c r="T76" s="2682"/>
      <c r="U76" s="2682"/>
      <c r="V76" s="2682"/>
      <c r="W76" s="2682"/>
      <c r="X76" s="2682"/>
      <c r="Y76" s="2720" t="e">
        <f t="shared" si="35"/>
        <v>#NAME?</v>
      </c>
      <c r="Z76" s="2682"/>
      <c r="AA76" s="2682"/>
      <c r="AB76" s="2720" t="e">
        <f t="shared" si="35"/>
        <v>#NAME?</v>
      </c>
      <c r="AC76" s="2682"/>
      <c r="AD76" s="2682"/>
      <c r="AE76" s="2720" t="e">
        <f t="shared" si="35"/>
        <v>#NAME?</v>
      </c>
      <c r="AF76" s="2682"/>
      <c r="AG76" s="2682"/>
      <c r="AH76" s="2720" t="e">
        <f t="shared" si="35"/>
        <v>#NAME?</v>
      </c>
      <c r="AI76" s="2682"/>
      <c r="AJ76" s="2682"/>
      <c r="AK76" s="2720" t="e">
        <f t="shared" si="35"/>
        <v>#NAME?</v>
      </c>
      <c r="AL76" s="2682"/>
      <c r="AM76" s="2682"/>
      <c r="AN76" s="2720" t="e">
        <f t="shared" si="35"/>
        <v>#NAME?</v>
      </c>
      <c r="AO76" s="2682"/>
      <c r="AP76" s="2682"/>
      <c r="AQ76" s="2720" t="e">
        <f t="shared" si="35"/>
        <v>#NAME?</v>
      </c>
      <c r="AR76" s="2771"/>
      <c r="AS76" s="2771"/>
      <c r="AT76" s="2771"/>
      <c r="AU76" s="2772" t="e">
        <f t="shared" si="35"/>
        <v>#NAME?</v>
      </c>
      <c r="AV76" s="2771"/>
      <c r="AW76" s="2771"/>
      <c r="AX76" s="2771"/>
      <c r="AY76" s="2772" t="e">
        <f t="shared" si="35"/>
        <v>#NAME?</v>
      </c>
      <c r="AZ76" s="2771"/>
      <c r="BA76" s="2771"/>
      <c r="BB76" s="2771"/>
      <c r="BC76" s="2772" t="e">
        <f t="shared" si="35"/>
        <v>#NAME?</v>
      </c>
      <c r="BD76" s="2771"/>
      <c r="BE76" s="2771"/>
      <c r="BF76" s="2772" t="e">
        <f t="shared" si="35"/>
        <v>#NAME?</v>
      </c>
      <c r="BG76" s="2771"/>
      <c r="BH76" s="2771"/>
      <c r="BI76" s="2772" t="e">
        <f t="shared" si="35"/>
        <v>#NAME?</v>
      </c>
      <c r="BJ76" s="2771"/>
      <c r="BK76" s="2771"/>
      <c r="BL76" s="2769"/>
    </row>
    <row r="77" ht="14.25" customHeight="1" hidden="1">
      <c r="A77" s="2649"/>
      <c r="B77" s="2645"/>
      <c r="C77" s="2649"/>
      <c r="D77" s="2778"/>
      <c r="E77" s="2778"/>
      <c r="F77" s="2778"/>
      <c r="G77" s="2778"/>
      <c r="H77" s="2778"/>
      <c r="I77" s="2778"/>
      <c r="J77" s="2778"/>
      <c r="K77" s="2778"/>
      <c r="L77" s="2778"/>
      <c r="M77" s="2778"/>
      <c r="N77" s="2778"/>
      <c r="O77" s="2778"/>
      <c r="P77" s="2778"/>
      <c r="Q77" s="2778"/>
      <c r="R77" s="2778"/>
      <c r="S77" s="2778"/>
      <c r="T77" s="2778"/>
      <c r="U77" s="2778"/>
      <c r="V77" s="2778"/>
      <c r="W77" s="2778"/>
      <c r="X77" s="2778"/>
      <c r="Y77" s="2778"/>
      <c r="Z77" s="2778"/>
      <c r="AA77" s="2778"/>
      <c r="AB77" s="2778"/>
      <c r="AC77" s="2778"/>
      <c r="AD77" s="2778"/>
      <c r="AE77" s="2778"/>
      <c r="AF77" s="2778"/>
      <c r="AG77" s="2778"/>
      <c r="AH77" s="2778"/>
      <c r="AI77" s="2778"/>
      <c r="AJ77" s="2778"/>
      <c r="AK77" s="2778"/>
      <c r="AL77" s="2778"/>
      <c r="AM77" s="2778"/>
      <c r="AN77" s="2778"/>
      <c r="AO77" s="2778"/>
      <c r="AP77" s="2778"/>
      <c r="AQ77" s="2778"/>
      <c r="AR77" s="2778"/>
      <c r="AS77" s="2778"/>
      <c r="AT77" s="2778"/>
      <c r="AU77" s="2778"/>
      <c r="AV77" s="2778"/>
      <c r="AW77" s="2778"/>
      <c r="AX77" s="2778"/>
      <c r="AY77" s="2778"/>
      <c r="AZ77" s="2778"/>
      <c r="BA77" s="2778"/>
      <c r="BB77" s="2778"/>
      <c r="BC77" s="2778"/>
      <c r="BD77" s="2778"/>
      <c r="BE77" s="2778"/>
      <c r="BF77" s="2778"/>
      <c r="BG77" s="2778"/>
      <c r="BH77" s="2778"/>
      <c r="BI77" s="2778"/>
      <c r="BJ77" s="2778"/>
      <c r="BK77" s="2778"/>
      <c r="BL77" s="2779"/>
    </row>
    <row r="78" ht="15.75" customHeight="1" hidden="1">
      <c r="A78" s="2649"/>
      <c r="B78" s="2774" t="str">
        <f>IF('SBL Quotes'!AN32="Supplemental","Combined DSCR (Pay)","1st DSCR (Pay)")</f>
        <v>1st DSCR (Pay)</v>
      </c>
      <c r="C78" s="2649"/>
      <c r="D78" s="2780">
        <f t="shared" si="36" ref="D78:BI78">IF(D57=0,0,D57/(D61+D62+D63+(LoanAmount*SARMPayConstant)))</f>
        <v>0</v>
      </c>
      <c r="E78" s="2778"/>
      <c r="F78" s="2778"/>
      <c r="G78" s="2780">
        <f t="shared" si="36"/>
        <v>0</v>
      </c>
      <c r="H78" s="2778"/>
      <c r="I78" s="2778"/>
      <c r="J78" s="2780">
        <f t="shared" si="36"/>
        <v>0</v>
      </c>
      <c r="K78" s="2778"/>
      <c r="L78" s="2778"/>
      <c r="M78" s="2778"/>
      <c r="N78" s="2778"/>
      <c r="O78" s="2778"/>
      <c r="P78" s="2778"/>
      <c r="Q78" s="2778"/>
      <c r="R78" s="2778"/>
      <c r="S78" s="2778"/>
      <c r="T78" s="2778"/>
      <c r="U78" s="2778"/>
      <c r="V78" s="2778"/>
      <c r="W78" s="2778"/>
      <c r="X78" s="2778"/>
      <c r="Y78" s="2780" t="e">
        <f t="shared" si="36"/>
        <v>#NAME?</v>
      </c>
      <c r="Z78" s="2778"/>
      <c r="AA78" s="2778"/>
      <c r="AB78" s="2780">
        <f t="shared" si="36"/>
        <v>0</v>
      </c>
      <c r="AC78" s="2778"/>
      <c r="AD78" s="2778"/>
      <c r="AE78" s="2780">
        <f t="shared" si="36"/>
        <v>0</v>
      </c>
      <c r="AF78" s="2778"/>
      <c r="AG78" s="2778"/>
      <c r="AH78" s="2780">
        <f t="shared" si="36"/>
        <v>0</v>
      </c>
      <c r="AI78" s="2778"/>
      <c r="AJ78" s="2778"/>
      <c r="AK78" s="2780">
        <f t="shared" si="36"/>
        <v>0</v>
      </c>
      <c r="AL78" s="2778"/>
      <c r="AM78" s="2778"/>
      <c r="AN78" s="2780">
        <f t="shared" si="36"/>
        <v>0</v>
      </c>
      <c r="AO78" s="2778"/>
      <c r="AP78" s="2778"/>
      <c r="AQ78" s="2780">
        <f t="shared" si="36"/>
        <v>0</v>
      </c>
      <c r="AR78" s="2778"/>
      <c r="AS78" s="2778"/>
      <c r="AT78" s="2778"/>
      <c r="AU78" s="2780" t="e">
        <f t="shared" si="36"/>
        <v>#NAME?</v>
      </c>
      <c r="AV78" s="2778"/>
      <c r="AW78" s="2778"/>
      <c r="AX78" s="2778"/>
      <c r="AY78" s="2780">
        <f t="shared" si="36"/>
        <v>0</v>
      </c>
      <c r="AZ78" s="2778"/>
      <c r="BA78" s="2778"/>
      <c r="BB78" s="2778"/>
      <c r="BC78" s="2780">
        <f t="shared" si="36"/>
        <v>0</v>
      </c>
      <c r="BD78" s="2778"/>
      <c r="BE78" s="2778"/>
      <c r="BF78" s="2780" t="e">
        <f t="shared" si="36"/>
        <v>#NAME?</v>
      </c>
      <c r="BG78" s="2778"/>
      <c r="BH78" s="2778"/>
      <c r="BI78" s="2780">
        <f t="shared" si="36"/>
        <v>0</v>
      </c>
      <c r="BJ78" s="2778"/>
      <c r="BK78" s="2778"/>
      <c r="BL78" s="2779"/>
    </row>
    <row r="79" ht="15" customHeight="1" hidden="1">
      <c r="A79" s="2649"/>
      <c r="B79" s="2781"/>
      <c r="C79" s="2649"/>
      <c r="D79" s="2782"/>
      <c r="E79" s="2778"/>
      <c r="F79" s="2778"/>
      <c r="G79" s="2782"/>
      <c r="H79" s="2778"/>
      <c r="I79" s="2778"/>
      <c r="J79" s="2782"/>
      <c r="K79" s="2778"/>
      <c r="L79" s="2778"/>
      <c r="M79" s="2778"/>
      <c r="N79" s="2778"/>
      <c r="O79" s="2778"/>
      <c r="P79" s="2778"/>
      <c r="Q79" s="2778"/>
      <c r="R79" s="2778"/>
      <c r="S79" s="2778"/>
      <c r="T79" s="2778"/>
      <c r="U79" s="2778"/>
      <c r="V79" s="2778"/>
      <c r="W79" s="2778"/>
      <c r="X79" s="2778"/>
      <c r="Y79" s="2782"/>
      <c r="Z79" s="2778"/>
      <c r="AA79" s="2778"/>
      <c r="AB79" s="2782"/>
      <c r="AC79" s="2778"/>
      <c r="AD79" s="2778"/>
      <c r="AE79" s="2782"/>
      <c r="AF79" s="2778"/>
      <c r="AG79" s="2778"/>
      <c r="AH79" s="2782"/>
      <c r="AI79" s="2778"/>
      <c r="AJ79" s="2778"/>
      <c r="AK79" s="2782"/>
      <c r="AL79" s="2778"/>
      <c r="AM79" s="2778"/>
      <c r="AN79" s="2782"/>
      <c r="AO79" s="2778"/>
      <c r="AP79" s="2778"/>
      <c r="AQ79" s="2782"/>
      <c r="AR79" s="2778"/>
      <c r="AS79" s="2778"/>
      <c r="AT79" s="2778"/>
      <c r="AU79" s="2782"/>
      <c r="AV79" s="2778"/>
      <c r="AW79" s="2778"/>
      <c r="AX79" s="2778"/>
      <c r="AY79" s="2782"/>
      <c r="AZ79" s="2778"/>
      <c r="BA79" s="2778"/>
      <c r="BB79" s="2778"/>
      <c r="BC79" s="2782"/>
      <c r="BD79" s="2778"/>
      <c r="BE79" s="2778"/>
      <c r="BF79" s="2782"/>
      <c r="BG79" s="2778"/>
      <c r="BH79" s="2778"/>
      <c r="BI79" s="2782"/>
      <c r="BJ79" s="2778"/>
      <c r="BK79" s="2778"/>
      <c r="BL79" s="2779"/>
    </row>
    <row r="80" ht="15.75" customHeight="1" hidden="1">
      <c r="A80" s="2649"/>
      <c r="B80" s="2774" t="str">
        <f>IF('SBL Quotes'!AN32="Supplemental","Combined DSCR (Stress)","1st DSCR (Stress)")</f>
        <v>1st DSCR (Stress)</v>
      </c>
      <c r="C80" s="2649"/>
      <c r="D80" s="2780">
        <f t="shared" si="37" ref="D80:BI80">IF(D57=0,0,D57/(D61+D62+D63+(LoanAmount*SARMStressConstant)))</f>
        <v>0</v>
      </c>
      <c r="E80" s="2778"/>
      <c r="F80" s="2778"/>
      <c r="G80" s="2780">
        <f t="shared" si="37"/>
        <v>0</v>
      </c>
      <c r="H80" s="2778"/>
      <c r="I80" s="2778"/>
      <c r="J80" s="2780">
        <f t="shared" si="37"/>
        <v>0</v>
      </c>
      <c r="K80" s="2778"/>
      <c r="L80" s="2778"/>
      <c r="M80" s="2778"/>
      <c r="N80" s="2778"/>
      <c r="O80" s="2778"/>
      <c r="P80" s="2778"/>
      <c r="Q80" s="2778"/>
      <c r="R80" s="2778"/>
      <c r="S80" s="2778"/>
      <c r="T80" s="2778"/>
      <c r="U80" s="2778"/>
      <c r="V80" s="2778"/>
      <c r="W80" s="2778"/>
      <c r="X80" s="2778"/>
      <c r="Y80" s="2780" t="e">
        <f t="shared" si="37"/>
        <v>#NAME?</v>
      </c>
      <c r="Z80" s="2778"/>
      <c r="AA80" s="2778"/>
      <c r="AB80" s="2780">
        <f t="shared" si="37"/>
        <v>0</v>
      </c>
      <c r="AC80" s="2778"/>
      <c r="AD80" s="2778"/>
      <c r="AE80" s="2780">
        <f t="shared" si="37"/>
        <v>0</v>
      </c>
      <c r="AF80" s="2778"/>
      <c r="AG80" s="2778"/>
      <c r="AH80" s="2780">
        <f t="shared" si="37"/>
        <v>0</v>
      </c>
      <c r="AI80" s="2778"/>
      <c r="AJ80" s="2778"/>
      <c r="AK80" s="2780">
        <f t="shared" si="37"/>
        <v>0</v>
      </c>
      <c r="AL80" s="2778"/>
      <c r="AM80" s="2778"/>
      <c r="AN80" s="2780">
        <f t="shared" si="37"/>
        <v>0</v>
      </c>
      <c r="AO80" s="2778"/>
      <c r="AP80" s="2778"/>
      <c r="AQ80" s="2780">
        <f t="shared" si="37"/>
        <v>0</v>
      </c>
      <c r="AR80" s="2778"/>
      <c r="AS80" s="2778"/>
      <c r="AT80" s="2778"/>
      <c r="AU80" s="2780" t="e">
        <f t="shared" si="37"/>
        <v>#NAME?</v>
      </c>
      <c r="AV80" s="2778"/>
      <c r="AW80" s="2778"/>
      <c r="AX80" s="2778"/>
      <c r="AY80" s="2780">
        <f t="shared" si="37"/>
        <v>0</v>
      </c>
      <c r="AZ80" s="2778"/>
      <c r="BA80" s="2778"/>
      <c r="BB80" s="2778"/>
      <c r="BC80" s="2780">
        <f t="shared" si="37"/>
        <v>0</v>
      </c>
      <c r="BD80" s="2778"/>
      <c r="BE80" s="2778"/>
      <c r="BF80" s="2780" t="e">
        <f t="shared" si="37"/>
        <v>#NAME?</v>
      </c>
      <c r="BG80" s="2778"/>
      <c r="BH80" s="2778"/>
      <c r="BI80" s="2780">
        <f t="shared" si="37"/>
        <v>0</v>
      </c>
      <c r="BJ80" s="2778"/>
      <c r="BK80" s="2778"/>
      <c r="BL80" s="2779"/>
    </row>
    <row r="81" ht="9" customHeight="1">
      <c r="A81" s="2649"/>
      <c r="B81" s="2650"/>
      <c r="C81" s="2649"/>
      <c r="D81" s="2651"/>
      <c r="E81" s="2651"/>
      <c r="F81" s="2651"/>
      <c r="G81" s="2651"/>
      <c r="H81" s="2651"/>
      <c r="I81" s="2651"/>
      <c r="J81" s="2651"/>
      <c r="K81" s="2651"/>
      <c r="L81" s="2651"/>
      <c r="M81" s="2651"/>
      <c r="N81" s="2651"/>
      <c r="O81" s="2651"/>
      <c r="P81" s="2651"/>
      <c r="Q81" s="2651"/>
      <c r="R81" s="2651"/>
      <c r="S81" s="2651"/>
      <c r="T81" s="2651"/>
      <c r="U81" s="2651"/>
      <c r="V81" s="2651"/>
      <c r="W81" s="2651"/>
      <c r="X81" s="2651"/>
      <c r="Y81" s="2651"/>
      <c r="Z81" s="2651"/>
      <c r="AA81" s="2651"/>
      <c r="AB81" s="2651"/>
      <c r="AC81" s="2651"/>
      <c r="AD81" s="2651"/>
      <c r="AE81" s="2651"/>
      <c r="AF81" s="2651"/>
      <c r="AG81" s="2651"/>
      <c r="AH81" s="2651"/>
      <c r="AI81" s="2651"/>
      <c r="AJ81" s="2651"/>
      <c r="AK81" s="2651"/>
      <c r="AL81" s="2651"/>
      <c r="AM81" s="2651"/>
      <c r="AN81" s="2651"/>
      <c r="AO81" s="2651"/>
      <c r="AP81" s="2651"/>
      <c r="AQ81" s="2651"/>
      <c r="AR81" s="2651"/>
      <c r="AS81" s="2651"/>
      <c r="AT81" s="2651"/>
      <c r="AU81" s="2651"/>
      <c r="AV81" s="2651"/>
      <c r="AW81" s="2651"/>
      <c r="AX81" s="2651"/>
      <c r="AY81" s="2651"/>
      <c r="AZ81" s="2651"/>
      <c r="BA81" s="2651"/>
      <c r="BB81" s="2651"/>
      <c r="BC81" s="2651"/>
      <c r="BD81" s="2651"/>
      <c r="BE81" s="2651"/>
      <c r="BF81" s="2651"/>
      <c r="BG81" s="2651"/>
      <c r="BH81" s="2651"/>
      <c r="BI81" s="2651"/>
      <c r="BJ81" s="2651"/>
      <c r="BK81" s="2651"/>
      <c r="BL81" s="2649"/>
    </row>
    <row r="82" ht="15.75" customHeight="1">
      <c r="A82" s="2649"/>
      <c r="B82" s="2696" t="s">
        <v>2479</v>
      </c>
      <c r="C82" s="2719"/>
      <c r="D82" s="2720">
        <f>'Fannie Historical Ops'!D73</f>
        <v>0</v>
      </c>
      <c r="E82" s="2682"/>
      <c r="F82" s="2682"/>
      <c r="G82" s="2720">
        <f>'Fannie Historical Ops'!F73</f>
        <v>0</v>
      </c>
      <c r="H82" s="2682"/>
      <c r="I82" s="2682"/>
      <c r="J82" s="2720">
        <f>'Fannie Historical Ops'!H73</f>
        <v>0</v>
      </c>
      <c r="K82" s="2682"/>
      <c r="L82" s="2682"/>
      <c r="M82" s="2682"/>
      <c r="N82" s="2682"/>
      <c r="O82" s="2682"/>
      <c r="P82" s="2682"/>
      <c r="Q82" s="2682"/>
      <c r="R82" s="2682"/>
      <c r="S82" s="2682"/>
      <c r="T82" s="2682"/>
      <c r="U82" s="2682"/>
      <c r="V82" s="2682"/>
      <c r="W82" s="2682"/>
      <c r="X82" s="2682"/>
      <c r="Y82" s="2720">
        <f>'Fannie Historical Ops'!W73</f>
        <v>0</v>
      </c>
      <c r="Z82" s="2682"/>
      <c r="AA82" s="2682"/>
      <c r="AB82" s="2720">
        <f>'Fannie Historical Ops'!Y73</f>
        <v>0</v>
      </c>
      <c r="AC82" s="2682"/>
      <c r="AD82" s="2682"/>
      <c r="AE82" s="2682"/>
      <c r="AF82" s="2682"/>
      <c r="AG82" s="2682"/>
      <c r="AH82" s="2682"/>
      <c r="AI82" s="2682"/>
      <c r="AJ82" s="2682"/>
      <c r="AK82" s="2682"/>
      <c r="AL82" s="2682"/>
      <c r="AM82" s="2682"/>
      <c r="AN82" s="2682"/>
      <c r="AO82" s="2682"/>
      <c r="AP82" s="2682"/>
      <c r="AQ82" s="2682"/>
      <c r="AR82" s="2682"/>
      <c r="AS82" s="2682"/>
      <c r="AT82" s="2682"/>
      <c r="AU82" s="2682"/>
      <c r="AV82" s="2682"/>
      <c r="AW82" s="2682"/>
      <c r="AX82" s="2682"/>
      <c r="AY82" s="2682"/>
      <c r="AZ82" s="2682"/>
      <c r="BA82" s="2682"/>
      <c r="BB82" s="2682"/>
      <c r="BC82" s="2682">
        <f t="shared" si="5"/>
        <v>0</v>
      </c>
      <c r="BD82" s="2682"/>
      <c r="BE82" s="2682"/>
      <c r="BF82" s="2682">
        <f t="shared" si="6"/>
        <v>0</v>
      </c>
      <c r="BG82" s="2682"/>
      <c r="BH82" s="2682"/>
      <c r="BI82" s="2682">
        <f>AC82*1.03</f>
        <v>0</v>
      </c>
      <c r="BJ82" s="2682"/>
      <c r="BK82" s="2682"/>
      <c r="BL82" s="2686"/>
    </row>
    <row r="83" ht="9" customHeight="1">
      <c r="A83" s="2649"/>
      <c r="B83" s="2650"/>
      <c r="C83" s="2649"/>
      <c r="D83" s="2649"/>
      <c r="E83" s="2651"/>
      <c r="F83" s="2651"/>
      <c r="G83" s="2649"/>
      <c r="H83" s="2651"/>
      <c r="I83" s="2649"/>
      <c r="J83" s="2649"/>
      <c r="K83" s="2651"/>
      <c r="L83" s="2649"/>
      <c r="M83" s="2649"/>
      <c r="N83" s="2649"/>
      <c r="O83" s="2649"/>
      <c r="P83" s="2649"/>
      <c r="Q83" s="2649"/>
      <c r="R83" s="2649"/>
      <c r="S83" s="2649"/>
      <c r="T83" s="2649"/>
      <c r="U83" s="2649"/>
      <c r="V83" s="2649"/>
      <c r="W83" s="2649"/>
      <c r="X83" s="2649"/>
      <c r="Y83" s="2649"/>
      <c r="Z83" s="2651"/>
      <c r="AA83" s="2651"/>
      <c r="AB83" s="2649"/>
      <c r="AC83" s="2651"/>
      <c r="AD83" s="2649"/>
      <c r="AE83" s="2649"/>
      <c r="AF83" s="2651"/>
      <c r="AG83" s="2649"/>
      <c r="AH83" s="2649"/>
      <c r="AI83" s="2651"/>
      <c r="AJ83" s="2649"/>
      <c r="AK83" s="2649"/>
      <c r="AL83" s="2649"/>
      <c r="AM83" s="2649"/>
      <c r="AN83" s="2649"/>
      <c r="AO83" s="2649"/>
      <c r="AP83" s="2649"/>
      <c r="AQ83" s="2649"/>
      <c r="AR83" s="2651"/>
      <c r="AS83" s="2651"/>
      <c r="AT83" s="2649"/>
      <c r="AU83" s="2649"/>
      <c r="AV83" s="2649"/>
      <c r="AW83" s="2649"/>
      <c r="AX83" s="2649"/>
      <c r="AY83" s="2649"/>
      <c r="AZ83" s="2649"/>
      <c r="BA83" s="2649"/>
      <c r="BB83" s="2649"/>
      <c r="BC83" s="2649"/>
      <c r="BD83" s="2649"/>
      <c r="BE83" s="2649"/>
      <c r="BF83" s="2649"/>
      <c r="BG83" s="2649"/>
      <c r="BH83" s="2649"/>
      <c r="BI83" s="2649"/>
      <c r="BJ83" s="2649"/>
      <c r="BK83" s="2649"/>
      <c r="BL83" s="2649"/>
    </row>
    <row r="84" ht="15.75" customHeight="1">
      <c r="A84" s="2649"/>
      <c r="B84" s="2783" t="s">
        <v>2480</v>
      </c>
      <c r="C84" s="2784"/>
      <c r="D84" s="2784"/>
      <c r="E84" s="2785"/>
      <c r="F84" s="2785"/>
      <c r="G84" s="2784"/>
      <c r="H84" s="2785"/>
      <c r="I84" s="2784"/>
      <c r="J84" s="2784"/>
      <c r="K84" s="2785"/>
      <c r="L84" s="2784"/>
      <c r="M84" s="2784"/>
      <c r="N84" s="2784"/>
      <c r="O84" s="2784"/>
      <c r="P84" s="2784"/>
      <c r="Q84" s="2784"/>
      <c r="R84" s="2784"/>
      <c r="S84" s="2784"/>
      <c r="T84" s="2784"/>
      <c r="U84" s="2784"/>
      <c r="V84" s="2784"/>
      <c r="W84" s="2784"/>
      <c r="X84" s="2784"/>
      <c r="Y84" s="2784"/>
      <c r="Z84" s="2785"/>
      <c r="AA84" s="2785"/>
      <c r="AB84" s="2784"/>
      <c r="AC84" s="2785"/>
      <c r="AD84" s="2784"/>
      <c r="AE84" s="2784"/>
      <c r="AF84" s="2785"/>
      <c r="AG84" s="2784"/>
      <c r="AH84" s="2784"/>
      <c r="AI84" s="2785"/>
      <c r="AJ84" s="2784"/>
      <c r="AK84" s="2784"/>
      <c r="AL84" s="2784"/>
      <c r="AM84" s="2784"/>
      <c r="AN84" s="2784"/>
      <c r="AO84" s="2784"/>
      <c r="AP84" s="2784"/>
      <c r="AQ84" s="2784"/>
      <c r="AR84" s="2785"/>
      <c r="AS84" s="2785"/>
      <c r="AT84" s="2784"/>
      <c r="AU84" s="2786">
        <f t="shared" si="38" ref="AU84:AY84">_xlfn.IFERROR((AmortizingDebtService+FirstDebtService_IfSupp+SecondDebtService_IfSupp+ThirdDebtService_IfSupp-AU29+AU53)/AU9,0)</f>
        <v>0</v>
      </c>
      <c r="AV84" s="2750"/>
      <c r="AW84" s="2649"/>
      <c r="AX84" s="2750"/>
      <c r="AY84" s="2787">
        <f t="shared" si="38"/>
        <v>0</v>
      </c>
      <c r="AZ84" s="2649"/>
      <c r="BA84" s="2649"/>
      <c r="BB84" s="2649"/>
      <c r="BC84" s="2649"/>
      <c r="BD84" s="2649"/>
      <c r="BE84" s="2649"/>
      <c r="BF84" s="2649"/>
      <c r="BG84" s="2649"/>
      <c r="BH84" s="2649"/>
      <c r="BI84" s="2649"/>
      <c r="BJ84" s="2649"/>
      <c r="BK84" s="2649"/>
      <c r="BL84" s="2649"/>
    </row>
    <row r="85" ht="15.75" customHeight="1">
      <c r="A85" s="2649"/>
      <c r="B85" s="2783" t="s">
        <v>2481</v>
      </c>
      <c r="C85" s="2784"/>
      <c r="D85" s="2784"/>
      <c r="E85" s="2785"/>
      <c r="F85" s="2785"/>
      <c r="G85" s="2784"/>
      <c r="H85" s="2785"/>
      <c r="I85" s="2784"/>
      <c r="J85" s="2784"/>
      <c r="K85" s="2785"/>
      <c r="L85" s="2784"/>
      <c r="M85" s="2784"/>
      <c r="N85" s="2784"/>
      <c r="O85" s="2784"/>
      <c r="P85" s="2784"/>
      <c r="Q85" s="2784"/>
      <c r="R85" s="2784"/>
      <c r="S85" s="2784"/>
      <c r="T85" s="2784"/>
      <c r="U85" s="2784"/>
      <c r="V85" s="2784"/>
      <c r="W85" s="2784"/>
      <c r="X85" s="2784"/>
      <c r="Y85" s="2784"/>
      <c r="Z85" s="2785"/>
      <c r="AA85" s="2785"/>
      <c r="AB85" s="2784"/>
      <c r="AC85" s="2785"/>
      <c r="AD85" s="2784"/>
      <c r="AE85" s="2784"/>
      <c r="AF85" s="2785"/>
      <c r="AG85" s="2784"/>
      <c r="AH85" s="2784"/>
      <c r="AI85" s="2785"/>
      <c r="AJ85" s="2784"/>
      <c r="AK85" s="2784"/>
      <c r="AL85" s="2784"/>
      <c r="AM85" s="2784"/>
      <c r="AN85" s="2784"/>
      <c r="AO85" s="2784"/>
      <c r="AP85" s="2784"/>
      <c r="AQ85" s="2784"/>
      <c r="AR85" s="2785"/>
      <c r="AS85" s="2785"/>
      <c r="AT85" s="2784"/>
      <c r="AU85" s="2788" t="e">
        <f t="shared" si="39" ref="AU85:AY85">AU57-AmortizingDebtService-FirstDebtService_IfSupp-SecondDebtService_IfSupp-ThirdDebtService_IfSupp</f>
        <v>#NAME?</v>
      </c>
      <c r="AV85" s="2649"/>
      <c r="AW85" s="2649"/>
      <c r="AX85" s="2649"/>
      <c r="AY85" s="2702" t="e">
        <f t="shared" si="39"/>
        <v>#NAME?</v>
      </c>
      <c r="AZ85" s="2649"/>
      <c r="BA85" s="2649"/>
      <c r="BB85" s="2649"/>
      <c r="BC85" s="2649"/>
      <c r="BD85" s="2649"/>
      <c r="BE85" s="2649"/>
      <c r="BF85" s="2649"/>
      <c r="BG85" s="2649"/>
      <c r="BH85" s="2649"/>
      <c r="BI85" s="2649"/>
      <c r="BJ85" s="2649"/>
      <c r="BK85" s="2649"/>
      <c r="BL85" s="2649"/>
    </row>
    <row r="86" ht="15.75" customHeight="1">
      <c r="A86" s="2649"/>
      <c r="B86" s="2783" t="s">
        <v>2482</v>
      </c>
      <c r="C86" s="2784"/>
      <c r="D86" s="2784"/>
      <c r="E86" s="2785"/>
      <c r="F86" s="2785"/>
      <c r="G86" s="2784"/>
      <c r="H86" s="2785"/>
      <c r="I86" s="2784"/>
      <c r="J86" s="2784"/>
      <c r="K86" s="2785"/>
      <c r="L86" s="2784"/>
      <c r="M86" s="2784"/>
      <c r="N86" s="2784"/>
      <c r="O86" s="2784"/>
      <c r="P86" s="2784"/>
      <c r="Q86" s="2784"/>
      <c r="R86" s="2784"/>
      <c r="S86" s="2784"/>
      <c r="T86" s="2784"/>
      <c r="U86" s="2784"/>
      <c r="V86" s="2784"/>
      <c r="W86" s="2784"/>
      <c r="X86" s="2784"/>
      <c r="Y86" s="2784"/>
      <c r="Z86" s="2785"/>
      <c r="AA86" s="2785"/>
      <c r="AB86" s="2784"/>
      <c r="AC86" s="2785"/>
      <c r="AD86" s="2784"/>
      <c r="AE86" s="2784"/>
      <c r="AF86" s="2785"/>
      <c r="AG86" s="2784"/>
      <c r="AH86" s="2784"/>
      <c r="AI86" s="2785"/>
      <c r="AJ86" s="2784"/>
      <c r="AK86" s="2784"/>
      <c r="AL86" s="2784"/>
      <c r="AM86" s="2784"/>
      <c r="AN86" s="2784"/>
      <c r="AO86" s="2784"/>
      <c r="AP86" s="2784"/>
      <c r="AQ86" s="2784"/>
      <c r="AR86" s="2785"/>
      <c r="AS86" s="2785"/>
      <c r="AT86" s="2784"/>
      <c r="AU86" s="2789">
        <f t="shared" si="40" ref="AU86:AY86">_xlfn.IFERROR(AU85/(UW_Value-LoanAmount),0)</f>
        <v>0</v>
      </c>
      <c r="AV86" s="2649"/>
      <c r="AW86" s="2649"/>
      <c r="AX86" s="2649"/>
      <c r="AY86" s="2767">
        <f t="shared" si="40"/>
        <v>0</v>
      </c>
      <c r="AZ86" s="2649"/>
      <c r="BA86" s="2649"/>
      <c r="BB86" s="2649"/>
      <c r="BC86" s="2649"/>
      <c r="BD86" s="2649"/>
      <c r="BE86" s="2649"/>
      <c r="BF86" s="2649"/>
      <c r="BG86" s="2649"/>
      <c r="BH86" s="2649"/>
      <c r="BI86" s="2649"/>
      <c r="BJ86" s="2649"/>
      <c r="BK86" s="2649"/>
      <c r="BL86" s="2649"/>
    </row>
    <row r="87" ht="5.25" customHeight="1">
      <c r="A87" s="2649"/>
      <c r="B87" s="2650"/>
      <c r="C87" s="2649"/>
      <c r="D87" s="2649"/>
      <c r="E87" s="2651"/>
      <c r="F87" s="2651"/>
      <c r="G87" s="2649"/>
      <c r="H87" s="2651"/>
      <c r="I87" s="2649"/>
      <c r="J87" s="2649"/>
      <c r="K87" s="2651"/>
      <c r="L87" s="2649"/>
      <c r="M87" s="2649"/>
      <c r="N87" s="2649"/>
      <c r="O87" s="2649"/>
      <c r="P87" s="2649"/>
      <c r="Q87" s="2649"/>
      <c r="R87" s="2649"/>
      <c r="S87" s="2649"/>
      <c r="T87" s="2649"/>
      <c r="U87" s="2649"/>
      <c r="V87" s="2649"/>
      <c r="W87" s="2649"/>
      <c r="X87" s="2649"/>
      <c r="Y87" s="2649"/>
      <c r="Z87" s="2651"/>
      <c r="AA87" s="2651"/>
      <c r="AB87" s="2649"/>
      <c r="AC87" s="2651"/>
      <c r="AD87" s="2649"/>
      <c r="AE87" s="2649"/>
      <c r="AF87" s="2651"/>
      <c r="AG87" s="2649"/>
      <c r="AH87" s="2649"/>
      <c r="AI87" s="2651"/>
      <c r="AJ87" s="2649"/>
      <c r="AK87" s="2649"/>
      <c r="AL87" s="2649"/>
      <c r="AM87" s="2649"/>
      <c r="AN87" s="2649"/>
      <c r="AO87" s="2649"/>
      <c r="AP87" s="2649"/>
      <c r="AQ87" s="2649"/>
      <c r="AR87" s="2651"/>
      <c r="AS87" s="2651"/>
      <c r="AT87" s="2649"/>
      <c r="AU87" s="2649"/>
      <c r="AV87" s="2649"/>
      <c r="AW87" s="2649"/>
      <c r="AX87" s="2649"/>
      <c r="AY87" s="2649"/>
      <c r="AZ87" s="2649"/>
      <c r="BA87" s="2649"/>
      <c r="BB87" s="2649"/>
      <c r="BC87" s="2649"/>
      <c r="BD87" s="2649"/>
      <c r="BE87" s="2649"/>
      <c r="BF87" s="2649"/>
      <c r="BG87" s="2649"/>
      <c r="BH87" s="2649"/>
      <c r="BI87" s="2649"/>
      <c r="BJ87" s="2649"/>
      <c r="BK87" s="2649"/>
      <c r="BL87" s="2649"/>
    </row>
    <row r="88" ht="5.25" customHeight="1">
      <c r="A88" s="2649"/>
      <c r="B88" s="2650"/>
      <c r="C88" s="2649"/>
      <c r="D88" s="2649"/>
      <c r="E88" s="2651"/>
      <c r="F88" s="2651"/>
      <c r="G88" s="2649"/>
      <c r="H88" s="2651"/>
      <c r="I88" s="2649"/>
      <c r="J88" s="2649"/>
      <c r="K88" s="2651"/>
      <c r="L88" s="2649"/>
      <c r="M88" s="2649"/>
      <c r="N88" s="2649"/>
      <c r="O88" s="2649"/>
      <c r="P88" s="2649"/>
      <c r="Q88" s="2649"/>
      <c r="R88" s="2649"/>
      <c r="S88" s="2649"/>
      <c r="T88" s="2649"/>
      <c r="U88" s="2649"/>
      <c r="V88" s="2649"/>
      <c r="W88" s="2649"/>
      <c r="X88" s="2649"/>
      <c r="Y88" s="2649"/>
      <c r="Z88" s="2651"/>
      <c r="AA88" s="2651"/>
      <c r="AB88" s="2649"/>
      <c r="AC88" s="2651"/>
      <c r="AD88" s="2649"/>
      <c r="AE88" s="2649"/>
      <c r="AF88" s="2651"/>
      <c r="AG88" s="2649"/>
      <c r="AH88" s="2649"/>
      <c r="AI88" s="2651"/>
      <c r="AJ88" s="2649"/>
      <c r="AK88" s="2649"/>
      <c r="AL88" s="2649"/>
      <c r="AM88" s="2649"/>
      <c r="AN88" s="2649"/>
      <c r="AO88" s="2649"/>
      <c r="AP88" s="2649"/>
      <c r="AQ88" s="2649"/>
      <c r="AR88" s="2651"/>
      <c r="AS88" s="2651"/>
      <c r="AT88" s="2649"/>
      <c r="AU88" s="2649"/>
      <c r="AV88" s="2649"/>
      <c r="AW88" s="2649"/>
      <c r="AX88" s="2649"/>
      <c r="AY88" s="2649"/>
      <c r="AZ88" s="2649"/>
      <c r="BA88" s="2649"/>
      <c r="BB88" s="2649"/>
      <c r="BC88" s="2649"/>
      <c r="BD88" s="2649"/>
      <c r="BE88" s="2649"/>
      <c r="BF88" s="2649"/>
      <c r="BG88" s="2649"/>
      <c r="BH88" s="2649"/>
      <c r="BI88" s="2649"/>
      <c r="BJ88" s="2649"/>
      <c r="BK88" s="2649"/>
      <c r="BL88" s="2649"/>
    </row>
    <row r="89" ht="15.75" customHeight="1">
      <c r="A89" s="2649"/>
      <c r="B89" s="2696" t="s">
        <v>2483</v>
      </c>
      <c r="C89" s="2790"/>
      <c r="D89" s="2791" t="str">
        <f>$D$6&amp;" to "&amp;$G$6</f>
        <v>2019 to 2020</v>
      </c>
      <c r="E89" s="2791"/>
      <c r="F89" s="2791"/>
      <c r="G89" s="2791" t="str">
        <f>$G$6&amp;" to "&amp;$J$6</f>
        <v>2020 to 2021</v>
      </c>
      <c r="H89" s="2791"/>
      <c r="I89" s="2791"/>
      <c r="J89" s="2791" t="str">
        <f>$J$6&amp;" to "&amp;'Fannie Historical Ops'!$W$2</f>
        <v>2021 to TR-12 Statement (9/2022)</v>
      </c>
      <c r="K89" s="2791"/>
      <c r="L89" s="2791"/>
      <c r="M89" s="2791"/>
      <c r="N89" s="2791"/>
      <c r="O89" s="2791"/>
      <c r="P89" s="2791"/>
      <c r="Q89" s="2791"/>
      <c r="R89" s="2791"/>
      <c r="S89" s="2791"/>
      <c r="T89" s="2791"/>
      <c r="U89" s="2791"/>
      <c r="V89" s="2791"/>
      <c r="W89" s="2791"/>
      <c r="X89" s="2791"/>
      <c r="Y89" s="2791" t="str">
        <f>'Fannie Historical Ops'!$W$2&amp;" to "&amp;$AE$4</f>
        <v>TR-12 Statement (9/2022) to Appraisal</v>
      </c>
      <c r="Z89" s="2791"/>
      <c r="AA89" s="2791"/>
      <c r="AB89" s="2791"/>
      <c r="AC89" s="2791"/>
      <c r="AD89" s="2791"/>
      <c r="AE89" s="2791" t="str">
        <f>'Fannie Historical Ops'!$AA$2&amp;" to "&amp;$AU$4</f>
        <v>Appraisal to Lender Underwriting</v>
      </c>
      <c r="AF89" s="2791"/>
      <c r="AG89" s="2791"/>
      <c r="AH89" s="2791"/>
      <c r="AI89" s="2791" t="str">
        <f>'Fannie Historical Ops'!$AA$2&amp;" Adjusted to "&amp;$AU$4</f>
        <v>Appraisal Adjusted to Lender Underwriting</v>
      </c>
      <c r="AJ89" s="2791"/>
      <c r="AK89" s="2791"/>
      <c r="AL89" s="2791"/>
      <c r="AM89" s="2791"/>
      <c r="AN89" s="2791"/>
      <c r="AO89" s="2791"/>
      <c r="AP89" s="2791"/>
      <c r="AQ89" s="2791"/>
      <c r="AR89" s="2791"/>
      <c r="AS89" s="2791"/>
      <c r="AT89" s="2791"/>
      <c r="AU89" s="2790"/>
      <c r="AV89" s="2792" t="str">
        <f>'Fannie Historical Ops'!$W$2&amp;" to "&amp;AU4</f>
        <v>TR-12 Statement (9/2022) to Lender Underwriting</v>
      </c>
      <c r="AW89" s="2793"/>
      <c r="AX89" s="2663"/>
      <c r="AY89" s="2696" t="str">
        <f>'Fannie Historical Ops'!$W$2&amp;" ("&amp;'Fannie Historical Ops'!$W$4&amp;") to "&amp;AY4</f>
        <v>TR-12 Statement (9/2022) (2022) to Quote</v>
      </c>
      <c r="AZ89" s="2793"/>
      <c r="BA89" s="2719"/>
      <c r="BB89" s="2649"/>
      <c r="BC89" s="2649"/>
      <c r="BD89" s="2649"/>
      <c r="BE89" s="2649"/>
      <c r="BF89" s="2649"/>
      <c r="BG89" s="2649"/>
      <c r="BH89" s="2649"/>
      <c r="BI89" s="2649"/>
      <c r="BJ89" s="2649"/>
      <c r="BK89" s="2649"/>
      <c r="BL89" s="2649"/>
    </row>
    <row r="90" ht="15" customHeight="1">
      <c r="A90" s="2649"/>
      <c r="B90" s="2794" t="s">
        <v>2492</v>
      </c>
      <c r="C90" s="2795"/>
      <c r="D90" s="2796">
        <f>_xlfn.IFERROR(($G$9-$D$9)/$D$9,0)</f>
        <v>0</v>
      </c>
      <c r="E90" s="2796"/>
      <c r="F90" s="2796"/>
      <c r="G90" s="2796">
        <f>_xlfn.IFERROR(($J$9-$G$9)/$G$9,0)</f>
        <v>0</v>
      </c>
      <c r="H90" s="2796"/>
      <c r="I90" s="2796"/>
      <c r="J90" s="2796">
        <f>_xlfn.IFERROR(($Y$9-$J$9)/$J$9,0)</f>
        <v>0</v>
      </c>
      <c r="K90" s="2796"/>
      <c r="L90" s="2796"/>
      <c r="M90" s="2796"/>
      <c r="N90" s="2796"/>
      <c r="O90" s="2796"/>
      <c r="P90" s="2796"/>
      <c r="Q90" s="2796"/>
      <c r="R90" s="2796"/>
      <c r="S90" s="2796"/>
      <c r="T90" s="2796"/>
      <c r="U90" s="2796"/>
      <c r="V90" s="2796"/>
      <c r="W90" s="2796"/>
      <c r="X90" s="2796"/>
      <c r="Y90" s="2796">
        <f>_xlfn.IFERROR(($AE$9-$Y$9)/$Y$9,0)</f>
        <v>-1</v>
      </c>
      <c r="Z90" s="2796"/>
      <c r="AA90" s="2796"/>
      <c r="AB90" s="2796"/>
      <c r="AC90" s="2796"/>
      <c r="AD90" s="2796"/>
      <c r="AE90" s="2796">
        <f>_xlfn.IFERROR(($AU$9-$AE$9)/$AE$9,0)</f>
        <v>0</v>
      </c>
      <c r="AF90" s="2796"/>
      <c r="AG90" s="2796"/>
      <c r="AH90" s="2796"/>
      <c r="AI90" s="2796">
        <f>_xlfn.IFERROR(($AU$9-$AH$9)/$AH$9,0)</f>
        <v>0</v>
      </c>
      <c r="AJ90" s="2796"/>
      <c r="AK90" s="2796"/>
      <c r="AL90" s="2796"/>
      <c r="AM90" s="2796"/>
      <c r="AN90" s="2796"/>
      <c r="AO90" s="2796"/>
      <c r="AP90" s="2796"/>
      <c r="AQ90" s="2796"/>
      <c r="AR90" s="2796"/>
      <c r="AS90" s="2796"/>
      <c r="AT90" s="2796"/>
      <c r="AU90" s="2797">
        <f>_xlfn.IFERROR((AU9-Y9)/Y9,0)</f>
        <v>-0.6904376090323535</v>
      </c>
      <c r="AV90" s="2798"/>
      <c r="AW90" s="2799"/>
      <c r="AX90" s="2800"/>
      <c r="AY90" s="2801">
        <f>_xlfn.IFERROR((+AY9-Y9)/Y9,0)</f>
        <v>-1</v>
      </c>
      <c r="AZ90" s="2799"/>
      <c r="BA90" s="2802"/>
      <c r="BB90" s="2750"/>
      <c r="BC90" s="2750"/>
      <c r="BD90" s="2750"/>
      <c r="BE90" s="2750"/>
      <c r="BF90" s="2750"/>
      <c r="BG90" s="2750"/>
      <c r="BH90" s="2750"/>
      <c r="BI90" s="2750"/>
      <c r="BJ90" s="2750"/>
      <c r="BK90" s="2750"/>
      <c r="BL90" s="2750"/>
    </row>
    <row r="91" ht="15" customHeight="1">
      <c r="A91" s="2649"/>
      <c r="B91" s="2803" t="s">
        <v>2493</v>
      </c>
      <c r="C91" s="2650"/>
      <c r="D91" s="2751">
        <f>_xlfn.IFERROR(($G$13-$D$13)/$D$13,0)</f>
        <v>0</v>
      </c>
      <c r="E91" s="2751"/>
      <c r="F91" s="2751"/>
      <c r="G91" s="2751">
        <f>_xlfn.IFERROR(($J$13-$G$13)/$G$13,0)</f>
        <v>0</v>
      </c>
      <c r="H91" s="2751"/>
      <c r="I91" s="2751"/>
      <c r="J91" s="2751">
        <f>_xlfn.IFERROR(($Y$13-$J$13)/$J$13,0)</f>
        <v>0</v>
      </c>
      <c r="K91" s="2751"/>
      <c r="L91" s="2751"/>
      <c r="M91" s="2751"/>
      <c r="N91" s="2751"/>
      <c r="O91" s="2751"/>
      <c r="P91" s="2751"/>
      <c r="Q91" s="2751"/>
      <c r="R91" s="2751"/>
      <c r="S91" s="2751"/>
      <c r="T91" s="2751"/>
      <c r="U91" s="2751"/>
      <c r="V91" s="2751"/>
      <c r="W91" s="2751"/>
      <c r="X91" s="2751"/>
      <c r="Y91" s="2751">
        <f>_xlfn.IFERROR(($AE$13-$Y$13)/$Y$13,0)</f>
        <v>-1</v>
      </c>
      <c r="Z91" s="2751"/>
      <c r="AA91" s="2751"/>
      <c r="AB91" s="2751"/>
      <c r="AC91" s="2751"/>
      <c r="AD91" s="2751"/>
      <c r="AE91" s="2751">
        <f>_xlfn.IFERROR(($AU$13-$AE$13)/$AE$13,0)</f>
        <v>0</v>
      </c>
      <c r="AF91" s="2751"/>
      <c r="AG91" s="2751"/>
      <c r="AH91" s="2751"/>
      <c r="AI91" s="2751">
        <f t="shared" si="41" ref="AI91:AI92">_xlfn.IFERROR(($AU$13-$AH$13)/$AH$13,0)</f>
        <v>0</v>
      </c>
      <c r="AJ91" s="2751"/>
      <c r="AK91" s="2751"/>
      <c r="AL91" s="2751"/>
      <c r="AM91" s="2751"/>
      <c r="AN91" s="2751"/>
      <c r="AO91" s="2751"/>
      <c r="AP91" s="2751"/>
      <c r="AQ91" s="2751"/>
      <c r="AR91" s="2751"/>
      <c r="AS91" s="2751"/>
      <c r="AT91" s="2751"/>
      <c r="AU91" s="2804">
        <f>_xlfn.IFERROR((AU13-Y13)/Y13,0)</f>
        <v>-0.7241831512011736</v>
      </c>
      <c r="AV91" s="2805"/>
      <c r="AW91" s="2806"/>
      <c r="AX91" s="2800"/>
      <c r="AY91" s="2807">
        <f>_xlfn.IFERROR((+AY13-Y13)/Y13,0)</f>
        <v>-1</v>
      </c>
      <c r="AZ91" s="2806"/>
      <c r="BA91" s="2695"/>
      <c r="BB91" s="2750"/>
      <c r="BC91" s="2750"/>
      <c r="BD91" s="2750"/>
      <c r="BE91" s="2750"/>
      <c r="BF91" s="2750"/>
      <c r="BG91" s="2750"/>
      <c r="BH91" s="2750"/>
      <c r="BI91" s="2750"/>
      <c r="BJ91" s="2750"/>
      <c r="BK91" s="2750"/>
      <c r="BL91" s="2750"/>
    </row>
    <row r="92" ht="15" customHeight="1">
      <c r="A92" s="2649"/>
      <c r="B92" s="2803" t="s">
        <v>2494</v>
      </c>
      <c r="C92" s="2650"/>
      <c r="D92" s="2751">
        <f>_xlfn.IFERROR(($G$31-$D$31)/$D$31,0)</f>
        <v>0</v>
      </c>
      <c r="E92" s="2751"/>
      <c r="F92" s="2751"/>
      <c r="G92" s="2751">
        <f>_xlfn.IFERROR(($J$31-$G$31)/$G$31,0)</f>
        <v>0</v>
      </c>
      <c r="H92" s="2751"/>
      <c r="I92" s="2751"/>
      <c r="J92" s="2751">
        <f>_xlfn.IFERROR(($Y$31-$J$31)/$J$31,0)</f>
        <v>0</v>
      </c>
      <c r="K92" s="2751"/>
      <c r="L92" s="2751"/>
      <c r="M92" s="2751"/>
      <c r="N92" s="2751"/>
      <c r="O92" s="2751"/>
      <c r="P92" s="2751"/>
      <c r="Q92" s="2751"/>
      <c r="R92" s="2751"/>
      <c r="S92" s="2751"/>
      <c r="T92" s="2751"/>
      <c r="U92" s="2751"/>
      <c r="V92" s="2751"/>
      <c r="W92" s="2751"/>
      <c r="X92" s="2751"/>
      <c r="Y92" s="2751">
        <f>_xlfn.IFERROR(($AE$31-$Y$31)/$Y$31,0)</f>
        <v>-1</v>
      </c>
      <c r="Z92" s="2751"/>
      <c r="AA92" s="2751"/>
      <c r="AB92" s="2751"/>
      <c r="AC92" s="2751"/>
      <c r="AD92" s="2751"/>
      <c r="AE92" s="2751">
        <f>_xlfn.IFERROR(($AU$31-$AE$31)/$AE$31,0)</f>
        <v>0</v>
      </c>
      <c r="AF92" s="2751"/>
      <c r="AG92" s="2751"/>
      <c r="AH92" s="2751"/>
      <c r="AI92" s="2751">
        <f t="shared" si="41"/>
        <v>0</v>
      </c>
      <c r="AJ92" s="2751"/>
      <c r="AK92" s="2751"/>
      <c r="AL92" s="2751"/>
      <c r="AM92" s="2751"/>
      <c r="AN92" s="2751"/>
      <c r="AO92" s="2751"/>
      <c r="AP92" s="2751"/>
      <c r="AQ92" s="2751"/>
      <c r="AR92" s="2751"/>
      <c r="AS92" s="2751"/>
      <c r="AT92" s="2751"/>
      <c r="AU92" s="2804">
        <f>_xlfn.IFERROR((AU31-Y31)/Y31,0)</f>
        <v>-0.7582622135696988</v>
      </c>
      <c r="AV92" s="2805"/>
      <c r="AW92" s="2806"/>
      <c r="AX92" s="2800"/>
      <c r="AY92" s="2807"/>
      <c r="AZ92" s="2806"/>
      <c r="BA92" s="2695"/>
      <c r="BB92" s="2750"/>
      <c r="BC92" s="2750"/>
      <c r="BD92" s="2750"/>
      <c r="BE92" s="2750"/>
      <c r="BF92" s="2750"/>
      <c r="BG92" s="2750"/>
      <c r="BH92" s="2750"/>
      <c r="BI92" s="2750"/>
      <c r="BJ92" s="2750"/>
      <c r="BK92" s="2750"/>
      <c r="BL92" s="2750"/>
    </row>
    <row r="93" ht="15" customHeight="1">
      <c r="A93" s="2649"/>
      <c r="B93" s="2803" t="s">
        <v>2495</v>
      </c>
      <c r="C93" s="2650"/>
      <c r="D93" s="2751">
        <f>_xlfn.IFERROR(($G$53-$D$53)/$D$53,0)</f>
        <v>0</v>
      </c>
      <c r="E93" s="2751"/>
      <c r="F93" s="2751"/>
      <c r="G93" s="2751">
        <f>_xlfn.IFERROR(($J$53-$G$53)/$G$53,0)</f>
        <v>0</v>
      </c>
      <c r="H93" s="2751"/>
      <c r="I93" s="2751"/>
      <c r="J93" s="2751">
        <f>_xlfn.IFERROR(($Y$53-$J$53)/$J$53,0)</f>
        <v>0</v>
      </c>
      <c r="K93" s="2751"/>
      <c r="L93" s="2751"/>
      <c r="M93" s="2751"/>
      <c r="N93" s="2751"/>
      <c r="O93" s="2751"/>
      <c r="P93" s="2751"/>
      <c r="Q93" s="2751"/>
      <c r="R93" s="2751"/>
      <c r="S93" s="2751"/>
      <c r="T93" s="2751"/>
      <c r="U93" s="2751"/>
      <c r="V93" s="2751"/>
      <c r="W93" s="2751"/>
      <c r="X93" s="2751"/>
      <c r="Y93" s="2751">
        <f>_xlfn.IFERROR(($AE$53-$Y$53)/$Y$53,0)</f>
        <v>-1</v>
      </c>
      <c r="Z93" s="2751"/>
      <c r="AA93" s="2751"/>
      <c r="AB93" s="2751"/>
      <c r="AC93" s="2751"/>
      <c r="AD93" s="2751"/>
      <c r="AE93" s="2751">
        <f>_xlfn.IFERROR(($AU$53-$AE$53)/$AE$53,0)</f>
        <v>0</v>
      </c>
      <c r="AF93" s="2751"/>
      <c r="AG93" s="2751"/>
      <c r="AH93" s="2751"/>
      <c r="AI93" s="2751">
        <f>_xlfn.IFERROR(($AU$53-$AH$53)/$AH$53,0)</f>
        <v>0</v>
      </c>
      <c r="AJ93" s="2751"/>
      <c r="AK93" s="2751"/>
      <c r="AL93" s="2751"/>
      <c r="AM93" s="2751"/>
      <c r="AN93" s="2751"/>
      <c r="AO93" s="2751"/>
      <c r="AP93" s="2751"/>
      <c r="AQ93" s="2751"/>
      <c r="AR93" s="2751"/>
      <c r="AS93" s="2751"/>
      <c r="AT93" s="2751"/>
      <c r="AU93" s="2804">
        <f>_xlfn.IFERROR((AU53-Y53)/Y53,0)</f>
        <v>-0.011448211727097594</v>
      </c>
      <c r="AV93" s="2805"/>
      <c r="AW93" s="2806"/>
      <c r="AX93" s="2800"/>
      <c r="AY93" s="2807">
        <f>_xlfn.IFERROR((+AY53-Y53)/Y53,0)</f>
        <v>-1</v>
      </c>
      <c r="AZ93" s="2806"/>
      <c r="BA93" s="2695"/>
      <c r="BB93" s="2750"/>
      <c r="BC93" s="2750"/>
      <c r="BD93" s="2750"/>
      <c r="BE93" s="2750"/>
      <c r="BF93" s="2750"/>
      <c r="BG93" s="2750"/>
      <c r="BH93" s="2750"/>
      <c r="BI93" s="2750"/>
      <c r="BJ93" s="2750"/>
      <c r="BK93" s="2750"/>
      <c r="BL93" s="2750"/>
    </row>
    <row r="94" ht="15.75" customHeight="1">
      <c r="A94" s="2649"/>
      <c r="B94" s="2808" t="s">
        <v>2496</v>
      </c>
      <c r="C94" s="2809"/>
      <c r="D94" s="2810">
        <f>_xlfn.IFERROR(($G$57-$D$57)/$D$57,0)</f>
        <v>0</v>
      </c>
      <c r="E94" s="2810"/>
      <c r="F94" s="2810"/>
      <c r="G94" s="2810">
        <f>_xlfn.IFERROR(($J$57-$G$57)/$G$57,0)</f>
        <v>0</v>
      </c>
      <c r="H94" s="2810"/>
      <c r="I94" s="2810"/>
      <c r="J94" s="2810">
        <f>_xlfn.IFERROR(($Y$57-$J$57)/$J$57,0)</f>
        <v>0</v>
      </c>
      <c r="K94" s="2810"/>
      <c r="L94" s="2810"/>
      <c r="M94" s="2810"/>
      <c r="N94" s="2810"/>
      <c r="O94" s="2810"/>
      <c r="P94" s="2810"/>
      <c r="Q94" s="2810"/>
      <c r="R94" s="2810"/>
      <c r="S94" s="2810"/>
      <c r="T94" s="2810"/>
      <c r="U94" s="2810"/>
      <c r="V94" s="2810"/>
      <c r="W94" s="2810"/>
      <c r="X94" s="2810"/>
      <c r="Y94" s="2810">
        <f>_xlfn.IFERROR(($AE$57-$Y$57)/$Y$57,0)</f>
        <v>-1</v>
      </c>
      <c r="Z94" s="2810"/>
      <c r="AA94" s="2810"/>
      <c r="AB94" s="2810"/>
      <c r="AC94" s="2810"/>
      <c r="AD94" s="2810"/>
      <c r="AE94" s="2810">
        <f>_xlfn.IFERROR(($AU$57-$AE$57)/$AE$57,0)</f>
        <v>0</v>
      </c>
      <c r="AF94" s="2810"/>
      <c r="AG94" s="2810"/>
      <c r="AH94" s="2810"/>
      <c r="AI94" s="2810">
        <f>_xlfn.IFERROR(($AU$57-$AH$57)/$AH$57,0)</f>
        <v>0</v>
      </c>
      <c r="AJ94" s="2810"/>
      <c r="AK94" s="2810"/>
      <c r="AL94" s="2810"/>
      <c r="AM94" s="2810"/>
      <c r="AN94" s="2810"/>
      <c r="AO94" s="2810"/>
      <c r="AP94" s="2810"/>
      <c r="AQ94" s="2810"/>
      <c r="AR94" s="2810"/>
      <c r="AS94" s="2810"/>
      <c r="AT94" s="2810"/>
      <c r="AU94" s="2811">
        <f>_xlfn.IFERROR((AU57-Y57)/Y57,0)</f>
        <v>-1.9962044828710008</v>
      </c>
      <c r="AV94" s="2812"/>
      <c r="AW94" s="2813"/>
      <c r="AX94" s="2800"/>
      <c r="AY94" s="2814">
        <f>_xlfn.IFERROR((+AY57-Y57)/Y57,0)</f>
        <v>-1</v>
      </c>
      <c r="AZ94" s="2813"/>
      <c r="BA94" s="2815"/>
      <c r="BB94" s="2750"/>
      <c r="BC94" s="2750"/>
      <c r="BD94" s="2750"/>
      <c r="BE94" s="2750"/>
      <c r="BF94" s="2750"/>
      <c r="BG94" s="2750"/>
      <c r="BH94" s="2750"/>
      <c r="BI94" s="2750"/>
      <c r="BJ94" s="2750"/>
      <c r="BK94" s="2750"/>
      <c r="BL94" s="2750"/>
    </row>
    <row r="95" ht="15" customHeight="1">
      <c r="A95" s="2649"/>
      <c r="B95" s="2650"/>
      <c r="C95" s="2649"/>
      <c r="D95" s="2649"/>
      <c r="E95" s="2651"/>
      <c r="F95" s="2651"/>
      <c r="G95" s="2649"/>
      <c r="H95" s="2651"/>
      <c r="I95" s="2649"/>
      <c r="J95" s="2649"/>
      <c r="K95" s="2651"/>
      <c r="L95" s="2649"/>
      <c r="M95" s="2649"/>
      <c r="N95" s="2649"/>
      <c r="O95" s="2649"/>
      <c r="P95" s="2649"/>
      <c r="Q95" s="2649"/>
      <c r="R95" s="2649"/>
      <c r="S95" s="2649"/>
      <c r="T95" s="2649"/>
      <c r="U95" s="2649"/>
      <c r="V95" s="2649"/>
      <c r="W95" s="2649"/>
      <c r="X95" s="2649"/>
      <c r="Y95" s="2649"/>
      <c r="Z95" s="2651"/>
      <c r="AA95" s="2651"/>
      <c r="AB95" s="2649"/>
      <c r="AC95" s="2651"/>
      <c r="AD95" s="2649"/>
      <c r="AE95" s="2649"/>
      <c r="AF95" s="2651"/>
      <c r="AG95" s="2649"/>
      <c r="AH95" s="2649"/>
      <c r="AI95" s="2651"/>
      <c r="AJ95" s="2649"/>
      <c r="AK95" s="2649"/>
      <c r="AL95" s="2649"/>
      <c r="AM95" s="2649"/>
      <c r="AN95" s="2649"/>
      <c r="AO95" s="2649"/>
      <c r="AP95" s="2649"/>
      <c r="AQ95" s="2649"/>
      <c r="AR95" s="2651"/>
      <c r="AS95" s="2651"/>
      <c r="AT95" s="2649"/>
      <c r="AU95" s="2649"/>
      <c r="AV95" s="2649"/>
      <c r="AW95" s="2649"/>
      <c r="AX95" s="2649"/>
      <c r="AY95" s="2649"/>
      <c r="AZ95" s="2649"/>
      <c r="BA95" s="2649"/>
      <c r="BB95" s="2649"/>
      <c r="BC95" s="2649"/>
      <c r="BD95" s="2649"/>
      <c r="BE95" s="2649"/>
      <c r="BF95" s="2649"/>
      <c r="BG95" s="2649"/>
      <c r="BH95" s="2649"/>
      <c r="BI95" s="2649"/>
      <c r="BJ95" s="2649"/>
      <c r="BK95" s="2649"/>
      <c r="BL95" s="2649"/>
    </row>
    <row r="96" ht="15" customHeight="1">
      <c r="A96" s="2649"/>
      <c r="B96" s="2650"/>
      <c r="C96" s="2649"/>
      <c r="D96" s="2651"/>
      <c r="E96" s="2816"/>
      <c r="F96" s="2816"/>
      <c r="G96" s="2649"/>
      <c r="H96" s="2651"/>
      <c r="I96" s="2651"/>
      <c r="J96" s="2817"/>
      <c r="K96" s="2651"/>
      <c r="L96" s="2649"/>
      <c r="M96" s="2649"/>
      <c r="N96" s="2649"/>
      <c r="O96" s="2649"/>
      <c r="P96" s="2649"/>
      <c r="Q96" s="2649"/>
      <c r="R96" s="2649"/>
      <c r="S96" s="2649"/>
      <c r="T96" s="2649"/>
      <c r="U96" s="2649"/>
      <c r="V96" s="2649"/>
      <c r="W96" s="2649"/>
      <c r="X96" s="2649"/>
      <c r="Y96" s="2651" t="s">
        <v>2497</v>
      </c>
      <c r="Z96" s="2818">
        <f>UW_Cap</f>
        <v>0.05</v>
      </c>
      <c r="AA96" s="2818"/>
      <c r="AB96" s="2649"/>
      <c r="AC96" s="2651"/>
      <c r="AD96" s="2651"/>
      <c r="AE96" s="2819"/>
      <c r="AF96" s="2651"/>
      <c r="AG96" s="2649"/>
      <c r="AH96" s="2651"/>
      <c r="AI96" s="2818"/>
      <c r="AJ96" s="2819"/>
      <c r="AK96" s="2651" t="s">
        <v>2498</v>
      </c>
      <c r="AL96" s="2820">
        <f t="shared" si="42" ref="AL96:AR96">C3</f>
        <v>85</v>
      </c>
      <c r="AM96" s="2820"/>
      <c r="AN96" s="2651" t="s">
        <v>2498</v>
      </c>
      <c r="AO96" s="2820">
        <f t="shared" si="42"/>
        <v>0</v>
      </c>
      <c r="AP96" s="2820"/>
      <c r="AQ96" s="2651" t="s">
        <v>2498</v>
      </c>
      <c r="AR96" s="2821">
        <f t="shared" si="42"/>
        <v>0</v>
      </c>
      <c r="AS96" s="2821"/>
      <c r="AT96" s="2649"/>
      <c r="AU96" s="2651" t="s">
        <v>2499</v>
      </c>
      <c r="AV96" s="2770" t="e">
        <f>LoanAmount</f>
        <v>#NAME?</v>
      </c>
      <c r="AW96" s="2649"/>
      <c r="AX96" s="2649"/>
      <c r="AY96" s="2649"/>
      <c r="AZ96" s="2649"/>
      <c r="BA96" s="2649"/>
      <c r="BB96" s="2649"/>
      <c r="BC96" s="2649"/>
      <c r="BD96" s="2649"/>
      <c r="BE96" s="2649"/>
      <c r="BF96" s="2649"/>
      <c r="BG96" s="2649"/>
      <c r="BH96" s="2649"/>
      <c r="BI96" s="2649"/>
      <c r="BJ96" s="2649"/>
      <c r="BK96" s="2649"/>
      <c r="BL96" s="2649"/>
    </row>
    <row r="97" ht="15" customHeight="1">
      <c r="A97" s="2649"/>
      <c r="B97" s="2650"/>
      <c r="C97" s="2649"/>
      <c r="D97" s="2651"/>
      <c r="E97" s="2816"/>
      <c r="F97" s="2816"/>
      <c r="G97" s="2649"/>
      <c r="H97" s="2651"/>
      <c r="I97" s="2651"/>
      <c r="J97" s="2817"/>
      <c r="K97" s="2651"/>
      <c r="L97" s="2649"/>
      <c r="M97" s="2649"/>
      <c r="N97" s="2649"/>
      <c r="O97" s="2649"/>
      <c r="P97" s="2649"/>
      <c r="Q97" s="2649"/>
      <c r="R97" s="2649"/>
      <c r="S97" s="2649"/>
      <c r="T97" s="2649"/>
      <c r="U97" s="2649"/>
      <c r="V97" s="2649"/>
      <c r="W97" s="2649"/>
      <c r="X97" s="2649"/>
      <c r="Y97" s="2651" t="s">
        <v>2500</v>
      </c>
      <c r="Z97" s="2818" t="e">
        <f>Exit_Rate_Standard</f>
        <v>#NAME?</v>
      </c>
      <c r="AA97" s="2818"/>
      <c r="AB97" s="2649"/>
      <c r="AC97" s="2651"/>
      <c r="AD97" s="2651"/>
      <c r="AE97" s="2819"/>
      <c r="AF97" s="2651"/>
      <c r="AG97" s="2649"/>
      <c r="AH97" s="2649"/>
      <c r="AI97" s="2651"/>
      <c r="AJ97" s="2649"/>
      <c r="AK97" s="2651" t="s">
        <v>668</v>
      </c>
      <c r="AL97" s="2822" t="str">
        <f t="shared" si="43" ref="AL97:AR97">YearBuilt_DataPageTab</f>
        <v>XXXX</v>
      </c>
      <c r="AM97" s="2822"/>
      <c r="AN97" s="2651" t="s">
        <v>668</v>
      </c>
      <c r="AO97" s="2822" t="str">
        <f t="shared" si="43"/>
        <v>XXXX</v>
      </c>
      <c r="AP97" s="2822"/>
      <c r="AQ97" s="2651" t="s">
        <v>668</v>
      </c>
      <c r="AR97" s="2823" t="str">
        <f t="shared" si="43"/>
        <v>XXXX</v>
      </c>
      <c r="AS97" s="2823"/>
      <c r="AT97" s="2649"/>
      <c r="AU97" s="2651" t="s">
        <v>2501</v>
      </c>
      <c r="AV97" s="2770">
        <f>_xlfn.IFERROR(AV96/C3,0)</f>
        <v>0</v>
      </c>
      <c r="AW97" s="2649"/>
      <c r="AX97" s="2649"/>
      <c r="AY97" s="2649"/>
      <c r="AZ97" s="2649"/>
      <c r="BA97" s="2649"/>
      <c r="BB97" s="2649"/>
      <c r="BC97" s="2649"/>
      <c r="BD97" s="2649"/>
      <c r="BE97" s="2649"/>
      <c r="BF97" s="2649"/>
      <c r="BG97" s="2649"/>
      <c r="BH97" s="2649"/>
      <c r="BI97" s="2649"/>
      <c r="BJ97" s="2649"/>
      <c r="BK97" s="2649"/>
      <c r="BL97" s="2649"/>
    </row>
    <row r="98" ht="15" customHeight="1">
      <c r="A98" s="2649"/>
      <c r="B98" s="2650"/>
      <c r="C98" s="2649"/>
      <c r="D98" s="2649"/>
      <c r="E98" s="2651"/>
      <c r="F98" s="2651"/>
      <c r="G98" s="2649"/>
      <c r="H98" s="2651"/>
      <c r="I98" s="2649"/>
      <c r="J98" s="2649"/>
      <c r="K98" s="2651"/>
      <c r="L98" s="2649"/>
      <c r="M98" s="2649"/>
      <c r="N98" s="2649"/>
      <c r="O98" s="2649"/>
      <c r="P98" s="2649"/>
      <c r="Q98" s="2649"/>
      <c r="R98" s="2649"/>
      <c r="S98" s="2649"/>
      <c r="T98" s="2649"/>
      <c r="U98" s="2649"/>
      <c r="V98" s="2649"/>
      <c r="W98" s="2649"/>
      <c r="X98" s="2649"/>
      <c r="Y98" s="2651" t="s">
        <v>2502</v>
      </c>
      <c r="Z98" s="2818" t="e">
        <f>Exit_LTV_Standard</f>
        <v>#NAME?</v>
      </c>
      <c r="AA98" s="2818"/>
      <c r="AB98" s="2649"/>
      <c r="AC98" s="2651"/>
      <c r="AD98" s="2649"/>
      <c r="AE98" s="2649"/>
      <c r="AF98" s="2651"/>
      <c r="AG98" s="2649"/>
      <c r="AH98" s="2649"/>
      <c r="AI98" s="2651"/>
      <c r="AJ98" s="2649"/>
      <c r="AK98" s="2649"/>
      <c r="AL98" s="2649"/>
      <c r="AM98" s="2649"/>
      <c r="AN98" s="2649"/>
      <c r="AO98" s="2649"/>
      <c r="AP98" s="2649"/>
      <c r="AQ98" s="2649"/>
      <c r="AR98" s="2651"/>
      <c r="AS98" s="2651"/>
      <c r="AT98" s="2649"/>
      <c r="AU98" s="2651" t="s">
        <v>2503</v>
      </c>
      <c r="AV98" s="2770">
        <f>UW_Value</f>
        <v>-34419044.199999996</v>
      </c>
      <c r="AW98" s="2649"/>
      <c r="AX98" s="2649"/>
      <c r="AY98" s="2649"/>
      <c r="AZ98" s="2649"/>
      <c r="BA98" s="2649"/>
      <c r="BB98" s="2649"/>
      <c r="BC98" s="2649"/>
      <c r="BD98" s="2649"/>
      <c r="BE98" s="2649"/>
      <c r="BF98" s="2649"/>
      <c r="BG98" s="2649"/>
      <c r="BH98" s="2649"/>
      <c r="BI98" s="2649"/>
      <c r="BJ98" s="2649"/>
      <c r="BK98" s="2649"/>
      <c r="BL98" s="2649"/>
    </row>
    <row r="99" ht="15" customHeight="1">
      <c r="A99" s="2649"/>
      <c r="B99" s="2650"/>
      <c r="C99" s="2649"/>
      <c r="D99" s="2649"/>
      <c r="E99" s="2651"/>
      <c r="F99" s="2651"/>
      <c r="G99" s="2649"/>
      <c r="H99" s="2651"/>
      <c r="I99" s="2649"/>
      <c r="J99" s="2649"/>
      <c r="K99" s="2651"/>
      <c r="L99" s="2649"/>
      <c r="M99" s="2649"/>
      <c r="N99" s="2649"/>
      <c r="O99" s="2649"/>
      <c r="P99" s="2649"/>
      <c r="Q99" s="2649"/>
      <c r="R99" s="2649"/>
      <c r="S99" s="2649"/>
      <c r="T99" s="2649"/>
      <c r="U99" s="2649"/>
      <c r="V99" s="2649"/>
      <c r="W99" s="2649"/>
      <c r="X99" s="2649"/>
      <c r="Y99" s="2651" t="s">
        <v>2504</v>
      </c>
      <c r="Z99" s="2818">
        <f>LTV</f>
        <v>0</v>
      </c>
      <c r="AA99" s="2818"/>
      <c r="AB99" s="2649"/>
      <c r="AC99" s="2651"/>
      <c r="AD99" s="2649"/>
      <c r="AE99" s="2649"/>
      <c r="AF99" s="2651"/>
      <c r="AG99" s="2649"/>
      <c r="AH99" s="2649"/>
      <c r="AI99" s="2651"/>
      <c r="AJ99" s="2649"/>
      <c r="AK99" s="2649"/>
      <c r="AL99" s="2649"/>
      <c r="AM99" s="2649"/>
      <c r="AN99" s="2649"/>
      <c r="AO99" s="2649"/>
      <c r="AP99" s="2649"/>
      <c r="AQ99" s="2649"/>
      <c r="AR99" s="2651"/>
      <c r="AS99" s="2651"/>
      <c r="AT99" s="2649"/>
      <c r="AU99" s="2651" t="s">
        <v>2505</v>
      </c>
      <c r="AV99" s="2770">
        <f>_xlfn.IFERROR(AV98/C3,0)</f>
        <v>-404929.9317647058</v>
      </c>
      <c r="AW99" s="2649"/>
      <c r="AX99" s="2649"/>
      <c r="AY99" s="2649"/>
      <c r="AZ99" s="2649"/>
      <c r="BA99" s="2649"/>
      <c r="BB99" s="2649"/>
      <c r="BC99" s="2649"/>
      <c r="BD99" s="2649"/>
      <c r="BE99" s="2649"/>
      <c r="BF99" s="2649"/>
      <c r="BG99" s="2649"/>
      <c r="BH99" s="2649"/>
      <c r="BI99" s="2649"/>
      <c r="BJ99" s="2649"/>
      <c r="BK99" s="2649"/>
      <c r="BL99" s="2649"/>
    </row>
  </sheetData>
  <mergeCells>
    <mergeCell ref="W4:W6"/>
    <mergeCell ref="X4:X6"/>
    <mergeCell ref="J4:K4"/>
    <mergeCell ref="J5:K5"/>
    <mergeCell ref="R4:R6"/>
    <mergeCell ref="S4:S6"/>
    <mergeCell ref="T4:T6"/>
    <mergeCell ref="U4:U6"/>
    <mergeCell ref="V4:V6"/>
    <mergeCell ref="M4:M6"/>
    <mergeCell ref="N4:N6"/>
    <mergeCell ref="O4:O6"/>
    <mergeCell ref="P4:P6"/>
    <mergeCell ref="Q4:Q6"/>
    <mergeCell ref="AU4:AW4"/>
    <mergeCell ref="AU6:AW6"/>
    <mergeCell ref="AK4:AM4"/>
    <mergeCell ref="AK5:AM5"/>
    <mergeCell ref="AK6:AM6"/>
    <mergeCell ref="AN4:AP4"/>
    <mergeCell ref="AN5:AP5"/>
    <mergeCell ref="AN6:AP6"/>
    <mergeCell ref="AQ4:AS4"/>
    <mergeCell ref="AQ5:AS5"/>
    <mergeCell ref="AQ6:AS6"/>
    <mergeCell ref="D4:F4"/>
    <mergeCell ref="D5:F5"/>
    <mergeCell ref="D6:F6"/>
    <mergeCell ref="G4:I4"/>
    <mergeCell ref="G5:I5"/>
    <mergeCell ref="G6:I6"/>
    <mergeCell ref="G1:AL1"/>
    <mergeCell ref="AY4:BA4"/>
    <mergeCell ref="AY5:BA5"/>
    <mergeCell ref="AY6:BA6"/>
    <mergeCell ref="Y4:AA4"/>
    <mergeCell ref="Y5:AA5"/>
    <mergeCell ref="Y6:AA6"/>
    <mergeCell ref="AB4:AD4"/>
    <mergeCell ref="AB5:AD5"/>
    <mergeCell ref="AB6:AD6"/>
    <mergeCell ref="AE4:AG4"/>
    <mergeCell ref="AE5:AG5"/>
    <mergeCell ref="AE6:AG6"/>
    <mergeCell ref="AH4:AJ4"/>
    <mergeCell ref="AH5:AJ5"/>
    <mergeCell ref="AH6:AJ6"/>
    <mergeCell ref="AU94:AV94"/>
    <mergeCell ref="B93:C93"/>
    <mergeCell ref="B94:C94"/>
    <mergeCell ref="B90:C90"/>
    <mergeCell ref="B91:C91"/>
    <mergeCell ref="B92:C92"/>
    <mergeCell ref="AU90:AV90"/>
    <mergeCell ref="AU91:AV91"/>
    <mergeCell ref="AU93:AV93"/>
    <mergeCell ref="AU92:AV92"/>
    <mergeCell ref="BI4:BK4"/>
    <mergeCell ref="BI5:BK5"/>
    <mergeCell ref="BI6:BK6"/>
    <mergeCell ref="BC4:BE4"/>
    <mergeCell ref="BC5:BE5"/>
    <mergeCell ref="BC6:BE6"/>
    <mergeCell ref="BF4:BH4"/>
    <mergeCell ref="BF5:BH5"/>
    <mergeCell ref="BF6:BH6"/>
  </mergeCells>
  <printOptions horizontalCentered="1"/>
  <pageMargins left="0.25" right="0.25" top="0.25" bottom="0.25" header="0.5" footer="0.5"/>
  <pageSetup useFirstPageNumber="1" fitToHeight="1" fitToWidth="1" paperSize="5" firstPageNumber="1" scale="52" pageOrder="downThenOver" orientation="landscape"/>
  <headerFooter>
    <oddHeader>&amp;L&amp;C&amp;R</oddHeader>
    <oddFooter>&amp;L&amp;C&amp;R</oddFooter>
  </headerFooter>
  <extLst/>
</worksheet>
</file>

<file path=xl/worksheets/sheet21.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841F2AA7-E134-1A51-1249-C5184A8CF206}" mc:Ignorable="x14ac xr xr2 xr3">
  <sheetPr>
    <tabColor theme="8" tint="-0.5"/>
    <pageSetUpPr fitToPage="1"/>
  </sheetPr>
  <dimension ref="A1:KK12246"/>
  <sheetViews>
    <sheetView topLeftCell="A1" zoomScale="80" workbookViewId="0" tabSelected="1">
      <pane ySplit="23" topLeftCell="A28" activePane="bottomLeft" state="frozen"/>
      <selection pane="bottomLeft" activeCell="B24" sqref="B24"/>
    </sheetView>
  </sheetViews>
  <sheetFormatPr defaultRowHeight="14.497499999999997" defaultColWidth="9.57421875" customHeight="1"/>
  <cols>
    <col min="1" max="1" style="625" width="5.28125" customWidth="1"/>
    <col min="2" max="2" style="625" width="22.7109375" customWidth="1"/>
    <col min="3" max="3" style="625" width="13.57421875" customWidth="1"/>
    <col min="4" max="4" style="625" width="11.57421875" customWidth="1"/>
    <col min="5" max="5" style="625" width="13.57421875" hidden="1" customWidth="1"/>
    <col min="6" max="6" style="625" width="25.57421875" hidden="1" customWidth="1"/>
    <col min="7" max="7" style="625" width="12.57421875" customWidth="1"/>
    <col min="8" max="10" style="625" width="13.57421875" customWidth="1"/>
    <col min="11" max="11" style="625" width="14.57421875" customWidth="1"/>
    <col min="12" max="12" style="625" width="13.57421875" customWidth="1"/>
    <col min="13" max="13" style="625" width="15.57421875" customWidth="1"/>
    <col min="14" max="14" style="625" width="13.57421875" customWidth="1"/>
    <col min="15" max="16" style="625" width="12.57421875" customWidth="1"/>
    <col min="17" max="21" style="625" width="12.140625" customWidth="1"/>
    <col min="22" max="156" style="625" width="12.140625" hidden="1" customWidth="1"/>
    <col min="157" max="157" style="625" width="11.00390625" customWidth="1"/>
    <col min="158" max="158" style="625" width="9.57421875" customWidth="1"/>
    <col min="159" max="162" style="625" width="11.57421875" customWidth="1"/>
    <col min="163" max="163" style="625" width="8.57421875" customWidth="1"/>
    <col min="164" max="164" style="625" width="11.57421875" customWidth="1"/>
    <col min="165" max="165" style="625" width="11.8515625" customWidth="1"/>
    <col min="166" max="166" style="625" width="7.57421875" customWidth="1"/>
    <col min="167" max="167" style="625" width="13.57421875" customWidth="1"/>
    <col min="168" max="168" style="625" width="8.57421875" customWidth="1"/>
    <col min="169" max="247" style="625" width="11.140625" hidden="1" customWidth="1"/>
    <col min="248" max="248" style="625" width="4.00390625" customWidth="1"/>
    <col min="249" max="249" style="625" width="19.57421875" customWidth="1"/>
    <col min="250" max="250" style="625" width="5.57421875" hidden="1" customWidth="1"/>
    <col min="251" max="251" style="625" width="19.57421875" customWidth="1"/>
    <col min="252" max="252" style="625" width="14.140625" customWidth="1"/>
    <col min="253" max="253" style="625" width="14.8515625" customWidth="1"/>
    <col min="254" max="256" style="625" width="5.57421875" customWidth="1"/>
    <col min="257" max="257" style="625" width="10.57421875" customWidth="1"/>
    <col min="258" max="258" style="625" width="8.57421875" customWidth="1"/>
    <col min="259" max="259" style="625" width="10.57421875" customWidth="1"/>
    <col min="260" max="260" style="625" width="19.57421875" customWidth="1"/>
    <col min="261" max="261" style="625" width="10.57421875" customWidth="1"/>
    <col min="262" max="262" style="625" width="12.57421875" customWidth="1"/>
    <col min="263" max="263" style="625" width="10.57421875" customWidth="1"/>
    <col min="264" max="267" style="625" width="16.57421875" customWidth="1"/>
    <col min="268" max="268" style="625" width="13.57421875" customWidth="1"/>
    <col min="269" max="270" style="625" width="10.57421875" customWidth="1"/>
    <col min="271" max="274" style="625" width="12.57421875" customWidth="1"/>
    <col min="275" max="280" style="625" width="10.57421875" customWidth="1"/>
    <col min="281" max="281" style="625" width="12.57421875" customWidth="1"/>
    <col min="282" max="282" style="625" width="11.57421875" customWidth="1"/>
    <col min="283" max="290" style="625" width="10.57421875" customWidth="1"/>
    <col min="291" max="291" style="625" width="13.00390625" customWidth="1"/>
    <col min="292" max="296" style="625" width="10.57421875" customWidth="1"/>
  </cols>
  <sheetData>
    <row r="2" ht="14.25" customHeight="1" hidden="1">
      <c r="E2" s="625" t="s">
        <v>2506</v>
      </c>
      <c r="Q2" s="2825">
        <f t="shared" si="0" ref="Q2:EZ2">COUNTIF($G$24:$G$124,Q$20)</f>
        <v>32</v>
      </c>
      <c r="R2" s="2825">
        <f t="shared" si="0"/>
        <v>28</v>
      </c>
      <c r="S2" s="2825">
        <f t="shared" si="0"/>
        <v>16</v>
      </c>
      <c r="T2" s="2825">
        <f t="shared" si="0"/>
        <v>24</v>
      </c>
      <c r="U2" s="2825">
        <f t="shared" si="0"/>
        <v>1</v>
      </c>
      <c r="V2" s="2825">
        <f t="shared" si="0"/>
        <v>0</v>
      </c>
      <c r="W2" s="2825">
        <f t="shared" si="0"/>
        <v>0</v>
      </c>
      <c r="X2" s="2825">
        <f t="shared" si="0"/>
        <v>0</v>
      </c>
      <c r="Y2" s="2825">
        <f t="shared" si="0"/>
        <v>0</v>
      </c>
      <c r="Z2" s="2825">
        <f t="shared" si="0"/>
        <v>0</v>
      </c>
      <c r="AA2" s="2825">
        <f t="shared" si="0"/>
        <v>0</v>
      </c>
      <c r="AB2" s="2825">
        <f t="shared" si="0"/>
        <v>0</v>
      </c>
      <c r="AC2" s="2825">
        <f t="shared" si="0"/>
        <v>0</v>
      </c>
      <c r="AD2" s="2825">
        <f t="shared" si="0"/>
        <v>0</v>
      </c>
      <c r="AE2" s="2825">
        <f t="shared" si="0"/>
        <v>0</v>
      </c>
      <c r="AF2" s="2825">
        <f t="shared" si="0"/>
        <v>0</v>
      </c>
      <c r="AG2" s="2825">
        <f t="shared" si="0"/>
        <v>0</v>
      </c>
      <c r="AH2" s="2825">
        <f t="shared" si="0"/>
        <v>0</v>
      </c>
      <c r="AI2" s="2825">
        <f t="shared" si="0"/>
        <v>0</v>
      </c>
      <c r="AJ2" s="2825">
        <f t="shared" si="0"/>
        <v>0</v>
      </c>
      <c r="AK2" s="2825">
        <f t="shared" si="0"/>
        <v>0</v>
      </c>
      <c r="AL2" s="2825">
        <f t="shared" si="0"/>
        <v>0</v>
      </c>
      <c r="AM2" s="2825">
        <f t="shared" si="0"/>
        <v>0</v>
      </c>
      <c r="AN2" s="2825">
        <f t="shared" si="0"/>
        <v>0</v>
      </c>
      <c r="AO2" s="2825">
        <f t="shared" si="0"/>
        <v>0</v>
      </c>
      <c r="AP2" s="2825">
        <f t="shared" si="0"/>
        <v>0</v>
      </c>
      <c r="AQ2" s="2825">
        <f t="shared" si="0"/>
        <v>0</v>
      </c>
      <c r="AR2" s="2825">
        <f t="shared" si="0"/>
        <v>0</v>
      </c>
      <c r="AS2" s="2825">
        <f t="shared" si="0"/>
        <v>0</v>
      </c>
      <c r="AT2" s="2825">
        <f t="shared" si="0"/>
        <v>0</v>
      </c>
      <c r="AU2" s="2825">
        <f t="shared" si="0"/>
        <v>0</v>
      </c>
      <c r="AV2" s="2825">
        <f t="shared" si="0"/>
        <v>0</v>
      </c>
      <c r="AW2" s="2825">
        <f t="shared" si="0"/>
        <v>0</v>
      </c>
      <c r="AX2" s="2825">
        <f t="shared" si="0"/>
        <v>0</v>
      </c>
      <c r="AY2" s="2825">
        <f t="shared" si="0"/>
        <v>0</v>
      </c>
      <c r="AZ2" s="2825">
        <f t="shared" si="0"/>
        <v>0</v>
      </c>
      <c r="BA2" s="2825">
        <f t="shared" si="0"/>
        <v>0</v>
      </c>
      <c r="BB2" s="2825">
        <f t="shared" si="0"/>
        <v>0</v>
      </c>
      <c r="BC2" s="2825">
        <f t="shared" si="0"/>
        <v>0</v>
      </c>
      <c r="BD2" s="2825">
        <f t="shared" si="0"/>
        <v>0</v>
      </c>
      <c r="BE2" s="2825">
        <f t="shared" si="0"/>
        <v>0</v>
      </c>
      <c r="BF2" s="2825">
        <f t="shared" si="0"/>
        <v>0</v>
      </c>
      <c r="BG2" s="2825">
        <f t="shared" si="0"/>
        <v>0</v>
      </c>
      <c r="BH2" s="2825">
        <f t="shared" si="0"/>
        <v>0</v>
      </c>
      <c r="BI2" s="2825">
        <f t="shared" si="0"/>
        <v>0</v>
      </c>
      <c r="BJ2" s="2825">
        <f t="shared" si="0"/>
        <v>0</v>
      </c>
      <c r="BK2" s="2825">
        <f t="shared" si="0"/>
        <v>0</v>
      </c>
      <c r="BL2" s="2825">
        <f t="shared" si="0"/>
        <v>0</v>
      </c>
      <c r="BM2" s="2825">
        <f t="shared" si="0"/>
        <v>0</v>
      </c>
      <c r="BN2" s="2825">
        <f t="shared" si="0"/>
        <v>0</v>
      </c>
      <c r="BO2" s="2825">
        <f t="shared" si="0"/>
        <v>0</v>
      </c>
      <c r="BP2" s="2825">
        <f t="shared" si="0"/>
        <v>0</v>
      </c>
      <c r="BQ2" s="2825">
        <f t="shared" si="0"/>
        <v>0</v>
      </c>
      <c r="BR2" s="2825">
        <f t="shared" si="0"/>
        <v>0</v>
      </c>
      <c r="BS2" s="2825">
        <f t="shared" si="0"/>
        <v>0</v>
      </c>
      <c r="BT2" s="2825">
        <f t="shared" si="0"/>
        <v>0</v>
      </c>
      <c r="BU2" s="2825">
        <f t="shared" si="0"/>
        <v>0</v>
      </c>
      <c r="BV2" s="2825">
        <f t="shared" si="0"/>
        <v>0</v>
      </c>
      <c r="BW2" s="2825">
        <f t="shared" si="0"/>
        <v>0</v>
      </c>
      <c r="BX2" s="2825">
        <f t="shared" si="0"/>
        <v>0</v>
      </c>
      <c r="BY2" s="2825">
        <f t="shared" si="0"/>
        <v>0</v>
      </c>
      <c r="BZ2" s="2825">
        <f t="shared" si="0"/>
        <v>0</v>
      </c>
      <c r="CA2" s="2825">
        <f t="shared" si="0"/>
        <v>0</v>
      </c>
      <c r="CB2" s="2825">
        <f t="shared" si="0"/>
        <v>0</v>
      </c>
      <c r="CC2" s="2825">
        <f t="shared" si="0"/>
        <v>0</v>
      </c>
      <c r="CD2" s="2825">
        <f t="shared" si="0"/>
        <v>0</v>
      </c>
      <c r="CE2" s="2825">
        <f t="shared" si="0"/>
        <v>0</v>
      </c>
      <c r="CF2" s="2825">
        <f t="shared" si="0"/>
        <v>0</v>
      </c>
      <c r="CG2" s="2825">
        <f t="shared" si="0"/>
        <v>0</v>
      </c>
      <c r="CH2" s="2825">
        <f t="shared" si="0"/>
        <v>0</v>
      </c>
      <c r="CI2" s="2825">
        <f t="shared" si="0"/>
        <v>0</v>
      </c>
      <c r="CJ2" s="2825">
        <f t="shared" si="0"/>
        <v>0</v>
      </c>
      <c r="CK2" s="2825">
        <f t="shared" si="0"/>
        <v>0</v>
      </c>
      <c r="CL2" s="2825">
        <f t="shared" si="0"/>
        <v>0</v>
      </c>
      <c r="CM2" s="2825">
        <f t="shared" si="0"/>
        <v>0</v>
      </c>
      <c r="CN2" s="2825">
        <f t="shared" si="0"/>
        <v>0</v>
      </c>
      <c r="CO2" s="2825">
        <f t="shared" si="0"/>
        <v>0</v>
      </c>
      <c r="CP2" s="2825">
        <f t="shared" si="0"/>
        <v>0</v>
      </c>
      <c r="CQ2" s="2825">
        <f t="shared" si="0"/>
        <v>0</v>
      </c>
      <c r="CR2" s="2825">
        <f t="shared" si="0"/>
        <v>0</v>
      </c>
      <c r="CS2" s="2825">
        <f t="shared" si="0"/>
        <v>0</v>
      </c>
      <c r="CT2" s="2825">
        <f t="shared" si="0"/>
        <v>0</v>
      </c>
      <c r="CU2" s="2825">
        <f t="shared" si="0"/>
        <v>0</v>
      </c>
      <c r="CV2" s="2825">
        <f t="shared" si="0"/>
        <v>0</v>
      </c>
      <c r="CW2" s="2825">
        <f t="shared" si="0"/>
        <v>0</v>
      </c>
      <c r="CX2" s="2825">
        <f t="shared" si="0"/>
        <v>0</v>
      </c>
      <c r="CY2" s="2825">
        <f t="shared" si="0"/>
        <v>0</v>
      </c>
      <c r="CZ2" s="2825">
        <f t="shared" si="0"/>
        <v>0</v>
      </c>
      <c r="DA2" s="2825">
        <f t="shared" si="0"/>
        <v>0</v>
      </c>
      <c r="DB2" s="2825">
        <f t="shared" si="0"/>
        <v>0</v>
      </c>
      <c r="DC2" s="2825">
        <f t="shared" si="0"/>
        <v>0</v>
      </c>
      <c r="DD2" s="2825">
        <f t="shared" si="0"/>
        <v>0</v>
      </c>
      <c r="DE2" s="2825">
        <f t="shared" si="0"/>
        <v>0</v>
      </c>
      <c r="DF2" s="2825">
        <f t="shared" si="0"/>
        <v>0</v>
      </c>
      <c r="DG2" s="2825">
        <f t="shared" si="0"/>
        <v>0</v>
      </c>
      <c r="DH2" s="2825">
        <f t="shared" si="0"/>
        <v>0</v>
      </c>
      <c r="DI2" s="2825">
        <f t="shared" si="0"/>
        <v>0</v>
      </c>
      <c r="DJ2" s="2825">
        <f t="shared" si="0"/>
        <v>0</v>
      </c>
      <c r="DK2" s="2825">
        <f t="shared" si="0"/>
        <v>0</v>
      </c>
      <c r="DL2" s="2825">
        <f t="shared" si="0"/>
        <v>0</v>
      </c>
      <c r="DM2" s="2825">
        <f t="shared" si="0"/>
        <v>0</v>
      </c>
      <c r="DN2" s="2825">
        <f t="shared" si="0"/>
        <v>0</v>
      </c>
      <c r="DO2" s="2825">
        <f t="shared" si="0"/>
        <v>0</v>
      </c>
      <c r="DP2" s="2825">
        <f t="shared" si="0"/>
        <v>0</v>
      </c>
      <c r="DQ2" s="2825">
        <f t="shared" si="0"/>
        <v>0</v>
      </c>
      <c r="DR2" s="2825">
        <f t="shared" si="0"/>
        <v>0</v>
      </c>
      <c r="DS2" s="2825">
        <f t="shared" si="0"/>
        <v>0</v>
      </c>
      <c r="DT2" s="2825">
        <f t="shared" si="0"/>
        <v>0</v>
      </c>
      <c r="DU2" s="2825">
        <f t="shared" si="0"/>
        <v>0</v>
      </c>
      <c r="DV2" s="2825">
        <f t="shared" si="0"/>
        <v>0</v>
      </c>
      <c r="DW2" s="2825">
        <f t="shared" si="0"/>
        <v>0</v>
      </c>
      <c r="DX2" s="2825">
        <f t="shared" si="0"/>
        <v>0</v>
      </c>
      <c r="DY2" s="2825">
        <f t="shared" si="0"/>
        <v>0</v>
      </c>
      <c r="DZ2" s="2825">
        <f t="shared" si="0"/>
        <v>0</v>
      </c>
      <c r="EA2" s="2825">
        <f t="shared" si="0"/>
        <v>0</v>
      </c>
      <c r="EB2" s="2825">
        <f t="shared" si="0"/>
        <v>0</v>
      </c>
      <c r="EC2" s="2825">
        <f t="shared" si="0"/>
        <v>0</v>
      </c>
      <c r="ED2" s="2825">
        <f t="shared" si="0"/>
        <v>0</v>
      </c>
      <c r="EE2" s="2825">
        <f t="shared" si="0"/>
        <v>0</v>
      </c>
      <c r="EF2" s="2825">
        <f t="shared" si="0"/>
        <v>0</v>
      </c>
      <c r="EG2" s="2825">
        <f t="shared" si="0"/>
        <v>0</v>
      </c>
      <c r="EH2" s="2825">
        <f t="shared" si="0"/>
        <v>0</v>
      </c>
      <c r="EI2" s="2825">
        <f t="shared" si="0"/>
        <v>0</v>
      </c>
      <c r="EJ2" s="2825">
        <f t="shared" si="0"/>
        <v>0</v>
      </c>
      <c r="EK2" s="2825">
        <f t="shared" si="0"/>
        <v>0</v>
      </c>
      <c r="EL2" s="2825">
        <f t="shared" si="0"/>
        <v>0</v>
      </c>
      <c r="EM2" s="2825">
        <f t="shared" si="0"/>
        <v>0</v>
      </c>
      <c r="EN2" s="2825">
        <f t="shared" si="0"/>
        <v>0</v>
      </c>
      <c r="EO2" s="2825">
        <f t="shared" si="0"/>
        <v>0</v>
      </c>
      <c r="EP2" s="2825">
        <f t="shared" si="0"/>
        <v>0</v>
      </c>
      <c r="EQ2" s="2825">
        <f t="shared" si="0"/>
        <v>0</v>
      </c>
      <c r="ER2" s="2825">
        <f t="shared" si="0"/>
        <v>0</v>
      </c>
      <c r="ES2" s="2825">
        <f t="shared" si="0"/>
        <v>0</v>
      </c>
      <c r="ET2" s="2825">
        <f t="shared" si="0"/>
        <v>0</v>
      </c>
      <c r="EU2" s="2825">
        <f t="shared" si="0"/>
        <v>0</v>
      </c>
      <c r="EV2" s="2825">
        <f t="shared" si="0"/>
        <v>0</v>
      </c>
      <c r="EW2" s="2825">
        <f t="shared" si="0"/>
        <v>0</v>
      </c>
      <c r="EX2" s="2825">
        <f t="shared" si="0"/>
        <v>0</v>
      </c>
      <c r="EY2" s="2825">
        <f t="shared" si="0"/>
        <v>0</v>
      </c>
      <c r="EZ2" s="2825">
        <f t="shared" si="0"/>
        <v>0</v>
      </c>
      <c r="FA2" s="2825"/>
    </row>
    <row r="3" ht="14.25" customHeight="1" hidden="1">
      <c r="E3" s="2826" t="b">
        <v>0</v>
      </c>
      <c r="F3" s="2826"/>
      <c r="P3" s="2827" t="s">
        <v>2507</v>
      </c>
      <c r="Q3" s="2828" t="b">
        <f t="shared" si="1" ref="Q3:EZ3">AND(RentRollTotalUnits&gt;0,_xlfn.CONCAT(Q$17,Q$18,Q$21,Q$22)&lt;&gt;"# Bedrooms# BathsMarket RentSquare Footage",ISNA(MATCH(Q$20,$G$24:$G$125,0)))</f>
        <v>0</v>
      </c>
      <c r="R3" s="2828" t="b">
        <f t="shared" si="1"/>
        <v>0</v>
      </c>
      <c r="S3" s="2828" t="b">
        <f t="shared" si="1"/>
        <v>0</v>
      </c>
      <c r="T3" s="2828" t="b">
        <f t="shared" si="1"/>
        <v>0</v>
      </c>
      <c r="U3" s="2828" t="b">
        <f t="shared" si="1"/>
        <v>0</v>
      </c>
      <c r="V3" s="2828" t="b">
        <f t="shared" si="1"/>
        <v>0</v>
      </c>
      <c r="W3" s="2828" t="b">
        <f t="shared" si="1"/>
        <v>0</v>
      </c>
      <c r="X3" s="2828" t="b">
        <f t="shared" si="1"/>
        <v>0</v>
      </c>
      <c r="Y3" s="2828" t="b">
        <f t="shared" si="1"/>
        <v>0</v>
      </c>
      <c r="Z3" s="2828" t="b">
        <f t="shared" si="1"/>
        <v>0</v>
      </c>
      <c r="AA3" s="2828" t="b">
        <f t="shared" si="1"/>
        <v>0</v>
      </c>
      <c r="AB3" s="2828" t="b">
        <f t="shared" si="1"/>
        <v>0</v>
      </c>
      <c r="AC3" s="2828" t="b">
        <f t="shared" si="1"/>
        <v>0</v>
      </c>
      <c r="AD3" s="2828" t="b">
        <f t="shared" si="1"/>
        <v>0</v>
      </c>
      <c r="AE3" s="2828" t="b">
        <f t="shared" si="1"/>
        <v>0</v>
      </c>
      <c r="AF3" s="2828" t="b">
        <f t="shared" si="1"/>
        <v>0</v>
      </c>
      <c r="AG3" s="2828" t="b">
        <f t="shared" si="1"/>
        <v>0</v>
      </c>
      <c r="AH3" s="2828" t="b">
        <f t="shared" si="1"/>
        <v>0</v>
      </c>
      <c r="AI3" s="2828" t="b">
        <f t="shared" si="1"/>
        <v>0</v>
      </c>
      <c r="AJ3" s="2828" t="b">
        <f t="shared" si="1"/>
        <v>0</v>
      </c>
      <c r="AK3" s="2828" t="b">
        <f t="shared" si="1"/>
        <v>0</v>
      </c>
      <c r="AL3" s="2828" t="b">
        <f t="shared" si="1"/>
        <v>0</v>
      </c>
      <c r="AM3" s="2828" t="b">
        <f t="shared" si="1"/>
        <v>0</v>
      </c>
      <c r="AN3" s="2828" t="b">
        <f t="shared" si="1"/>
        <v>0</v>
      </c>
      <c r="AO3" s="2828" t="b">
        <f t="shared" si="1"/>
        <v>0</v>
      </c>
      <c r="AP3" s="2828" t="b">
        <f t="shared" si="1"/>
        <v>0</v>
      </c>
      <c r="AQ3" s="2828" t="b">
        <f t="shared" si="1"/>
        <v>0</v>
      </c>
      <c r="AR3" s="2828" t="b">
        <f t="shared" si="1"/>
        <v>0</v>
      </c>
      <c r="AS3" s="2828" t="b">
        <f t="shared" si="1"/>
        <v>0</v>
      </c>
      <c r="AT3" s="2828" t="b">
        <f t="shared" si="1"/>
        <v>0</v>
      </c>
      <c r="AU3" s="2828" t="b">
        <f t="shared" si="1"/>
        <v>0</v>
      </c>
      <c r="AV3" s="2828" t="b">
        <f t="shared" si="1"/>
        <v>0</v>
      </c>
      <c r="AW3" s="2828" t="b">
        <f t="shared" si="1"/>
        <v>0</v>
      </c>
      <c r="AX3" s="2828" t="b">
        <f t="shared" si="1"/>
        <v>0</v>
      </c>
      <c r="AY3" s="2828" t="b">
        <f t="shared" si="1"/>
        <v>0</v>
      </c>
      <c r="AZ3" s="2828" t="b">
        <f t="shared" si="1"/>
        <v>0</v>
      </c>
      <c r="BA3" s="2828" t="b">
        <f t="shared" si="1"/>
        <v>0</v>
      </c>
      <c r="BB3" s="2828" t="b">
        <f t="shared" si="1"/>
        <v>0</v>
      </c>
      <c r="BC3" s="2828" t="b">
        <f t="shared" si="1"/>
        <v>0</v>
      </c>
      <c r="BD3" s="2828" t="b">
        <f t="shared" si="1"/>
        <v>0</v>
      </c>
      <c r="BE3" s="2828" t="b">
        <f t="shared" si="1"/>
        <v>0</v>
      </c>
      <c r="BF3" s="2828" t="b">
        <f t="shared" si="1"/>
        <v>0</v>
      </c>
      <c r="BG3" s="2828" t="b">
        <f t="shared" si="1"/>
        <v>0</v>
      </c>
      <c r="BH3" s="2828" t="b">
        <f t="shared" si="1"/>
        <v>0</v>
      </c>
      <c r="BI3" s="2828" t="b">
        <f t="shared" si="1"/>
        <v>0</v>
      </c>
      <c r="BJ3" s="2828" t="b">
        <f t="shared" si="1"/>
        <v>0</v>
      </c>
      <c r="BK3" s="2828" t="b">
        <f t="shared" si="1"/>
        <v>0</v>
      </c>
      <c r="BL3" s="2828" t="b">
        <f t="shared" si="1"/>
        <v>0</v>
      </c>
      <c r="BM3" s="2828" t="b">
        <f t="shared" si="1"/>
        <v>0</v>
      </c>
      <c r="BN3" s="2828" t="b">
        <f t="shared" si="1"/>
        <v>0</v>
      </c>
      <c r="BO3" s="2828" t="b">
        <f t="shared" si="1"/>
        <v>0</v>
      </c>
      <c r="BP3" s="2828" t="b">
        <f t="shared" si="1"/>
        <v>0</v>
      </c>
      <c r="BQ3" s="2828" t="b">
        <f t="shared" si="1"/>
        <v>0</v>
      </c>
      <c r="BR3" s="2828" t="b">
        <f t="shared" si="1"/>
        <v>0</v>
      </c>
      <c r="BS3" s="2828" t="b">
        <f t="shared" si="1"/>
        <v>0</v>
      </c>
      <c r="BT3" s="2828" t="b">
        <f t="shared" si="1"/>
        <v>0</v>
      </c>
      <c r="BU3" s="2828" t="b">
        <f t="shared" si="1"/>
        <v>0</v>
      </c>
      <c r="BV3" s="2828" t="b">
        <f t="shared" si="1"/>
        <v>0</v>
      </c>
      <c r="BW3" s="2828" t="b">
        <f t="shared" si="1"/>
        <v>0</v>
      </c>
      <c r="BX3" s="2828" t="b">
        <f t="shared" si="1"/>
        <v>0</v>
      </c>
      <c r="BY3" s="2828" t="b">
        <f t="shared" si="1"/>
        <v>0</v>
      </c>
      <c r="BZ3" s="2828" t="b">
        <f t="shared" si="1"/>
        <v>0</v>
      </c>
      <c r="CA3" s="2828" t="b">
        <f t="shared" si="1"/>
        <v>0</v>
      </c>
      <c r="CB3" s="2828" t="b">
        <f t="shared" si="1"/>
        <v>0</v>
      </c>
      <c r="CC3" s="2828" t="b">
        <f t="shared" si="1"/>
        <v>0</v>
      </c>
      <c r="CD3" s="2828" t="b">
        <f t="shared" si="1"/>
        <v>0</v>
      </c>
      <c r="CE3" s="2828" t="b">
        <f t="shared" si="1"/>
        <v>0</v>
      </c>
      <c r="CF3" s="2828" t="b">
        <f t="shared" si="1"/>
        <v>0</v>
      </c>
      <c r="CG3" s="2828" t="b">
        <f t="shared" si="1"/>
        <v>0</v>
      </c>
      <c r="CH3" s="2828" t="b">
        <f t="shared" si="1"/>
        <v>0</v>
      </c>
      <c r="CI3" s="2828" t="b">
        <f t="shared" si="1"/>
        <v>0</v>
      </c>
      <c r="CJ3" s="2828" t="b">
        <f t="shared" si="1"/>
        <v>0</v>
      </c>
      <c r="CK3" s="2828" t="b">
        <f t="shared" si="1"/>
        <v>0</v>
      </c>
      <c r="CL3" s="2828" t="b">
        <f t="shared" si="1"/>
        <v>0</v>
      </c>
      <c r="CM3" s="2828" t="b">
        <f t="shared" si="1"/>
        <v>0</v>
      </c>
      <c r="CN3" s="2828" t="b">
        <f t="shared" si="1"/>
        <v>0</v>
      </c>
      <c r="CO3" s="2828" t="b">
        <f t="shared" si="1"/>
        <v>0</v>
      </c>
      <c r="CP3" s="2828" t="b">
        <f t="shared" si="1"/>
        <v>0</v>
      </c>
      <c r="CQ3" s="2828" t="b">
        <f t="shared" si="1"/>
        <v>0</v>
      </c>
      <c r="CR3" s="2828" t="b">
        <f t="shared" si="1"/>
        <v>0</v>
      </c>
      <c r="CS3" s="2828" t="b">
        <f t="shared" si="1"/>
        <v>0</v>
      </c>
      <c r="CT3" s="2828" t="b">
        <f t="shared" si="1"/>
        <v>0</v>
      </c>
      <c r="CU3" s="2828" t="b">
        <f t="shared" si="1"/>
        <v>0</v>
      </c>
      <c r="CV3" s="2828" t="b">
        <f t="shared" si="1"/>
        <v>0</v>
      </c>
      <c r="CW3" s="2828" t="b">
        <f t="shared" si="1"/>
        <v>0</v>
      </c>
      <c r="CX3" s="2828" t="b">
        <f t="shared" si="1"/>
        <v>0</v>
      </c>
      <c r="CY3" s="2828" t="b">
        <f t="shared" si="1"/>
        <v>0</v>
      </c>
      <c r="CZ3" s="2828" t="b">
        <f t="shared" si="1"/>
        <v>0</v>
      </c>
      <c r="DA3" s="2828" t="b">
        <f t="shared" si="1"/>
        <v>0</v>
      </c>
      <c r="DB3" s="2828" t="b">
        <f t="shared" si="1"/>
        <v>0</v>
      </c>
      <c r="DC3" s="2828" t="b">
        <f t="shared" si="1"/>
        <v>0</v>
      </c>
      <c r="DD3" s="2828" t="b">
        <f t="shared" si="1"/>
        <v>0</v>
      </c>
      <c r="DE3" s="2828" t="b">
        <f t="shared" si="1"/>
        <v>0</v>
      </c>
      <c r="DF3" s="2828" t="b">
        <f t="shared" si="1"/>
        <v>0</v>
      </c>
      <c r="DG3" s="2828" t="b">
        <f t="shared" si="1"/>
        <v>0</v>
      </c>
      <c r="DH3" s="2828" t="b">
        <f t="shared" si="1"/>
        <v>0</v>
      </c>
      <c r="DI3" s="2828" t="b">
        <f t="shared" si="1"/>
        <v>0</v>
      </c>
      <c r="DJ3" s="2828" t="b">
        <f t="shared" si="1"/>
        <v>0</v>
      </c>
      <c r="DK3" s="2828" t="b">
        <f t="shared" si="1"/>
        <v>0</v>
      </c>
      <c r="DL3" s="2828" t="b">
        <f t="shared" si="1"/>
        <v>0</v>
      </c>
      <c r="DM3" s="2828" t="b">
        <f t="shared" si="1"/>
        <v>0</v>
      </c>
      <c r="DN3" s="2828" t="b">
        <f t="shared" si="1"/>
        <v>0</v>
      </c>
      <c r="DO3" s="2828" t="b">
        <f t="shared" si="1"/>
        <v>0</v>
      </c>
      <c r="DP3" s="2828" t="b">
        <f t="shared" si="1"/>
        <v>0</v>
      </c>
      <c r="DQ3" s="2828" t="b">
        <f t="shared" si="1"/>
        <v>0</v>
      </c>
      <c r="DR3" s="2828" t="b">
        <f t="shared" si="1"/>
        <v>0</v>
      </c>
      <c r="DS3" s="2828" t="b">
        <f t="shared" si="1"/>
        <v>0</v>
      </c>
      <c r="DT3" s="2828" t="b">
        <f t="shared" si="1"/>
        <v>0</v>
      </c>
      <c r="DU3" s="2828" t="b">
        <f t="shared" si="1"/>
        <v>0</v>
      </c>
      <c r="DV3" s="2828" t="b">
        <f t="shared" si="1"/>
        <v>0</v>
      </c>
      <c r="DW3" s="2828" t="b">
        <f t="shared" si="1"/>
        <v>0</v>
      </c>
      <c r="DX3" s="2828" t="b">
        <f t="shared" si="1"/>
        <v>0</v>
      </c>
      <c r="DY3" s="2828" t="b">
        <f t="shared" si="1"/>
        <v>0</v>
      </c>
      <c r="DZ3" s="2828" t="b">
        <f t="shared" si="1"/>
        <v>0</v>
      </c>
      <c r="EA3" s="2828" t="b">
        <f t="shared" si="1"/>
        <v>0</v>
      </c>
      <c r="EB3" s="2828" t="b">
        <f t="shared" si="1"/>
        <v>0</v>
      </c>
      <c r="EC3" s="2828" t="b">
        <f t="shared" si="1"/>
        <v>0</v>
      </c>
      <c r="ED3" s="2828" t="b">
        <f t="shared" si="1"/>
        <v>0</v>
      </c>
      <c r="EE3" s="2828" t="b">
        <f t="shared" si="1"/>
        <v>0</v>
      </c>
      <c r="EF3" s="2828" t="b">
        <f t="shared" si="1"/>
        <v>0</v>
      </c>
      <c r="EG3" s="2828" t="b">
        <f t="shared" si="1"/>
        <v>0</v>
      </c>
      <c r="EH3" s="2828" t="b">
        <f t="shared" si="1"/>
        <v>0</v>
      </c>
      <c r="EI3" s="2828" t="b">
        <f t="shared" si="1"/>
        <v>0</v>
      </c>
      <c r="EJ3" s="2828" t="b">
        <f t="shared" si="1"/>
        <v>0</v>
      </c>
      <c r="EK3" s="2828" t="b">
        <f t="shared" si="1"/>
        <v>0</v>
      </c>
      <c r="EL3" s="2828" t="b">
        <f t="shared" si="1"/>
        <v>0</v>
      </c>
      <c r="EM3" s="2828" t="b">
        <f t="shared" si="1"/>
        <v>0</v>
      </c>
      <c r="EN3" s="2828" t="b">
        <f t="shared" si="1"/>
        <v>0</v>
      </c>
      <c r="EO3" s="2828" t="b">
        <f t="shared" si="1"/>
        <v>0</v>
      </c>
      <c r="EP3" s="2828" t="b">
        <f t="shared" si="1"/>
        <v>0</v>
      </c>
      <c r="EQ3" s="2828" t="b">
        <f t="shared" si="1"/>
        <v>0</v>
      </c>
      <c r="ER3" s="2828" t="b">
        <f t="shared" si="1"/>
        <v>0</v>
      </c>
      <c r="ES3" s="2828" t="b">
        <f t="shared" si="1"/>
        <v>0</v>
      </c>
      <c r="ET3" s="2828" t="b">
        <f t="shared" si="1"/>
        <v>0</v>
      </c>
      <c r="EU3" s="2828" t="b">
        <f t="shared" si="1"/>
        <v>0</v>
      </c>
      <c r="EV3" s="2828" t="b">
        <f t="shared" si="1"/>
        <v>0</v>
      </c>
      <c r="EW3" s="2828" t="b">
        <f t="shared" si="1"/>
        <v>0</v>
      </c>
      <c r="EX3" s="2828" t="b">
        <f t="shared" si="1"/>
        <v>0</v>
      </c>
      <c r="EY3" s="2828" t="b">
        <f t="shared" si="1"/>
        <v>0</v>
      </c>
      <c r="EZ3" s="2828" t="b">
        <f t="shared" si="1"/>
        <v>0</v>
      </c>
      <c r="FA3" s="2829">
        <f>COUNTIF(Q3:EZ3,TRUE)</f>
        <v>0</v>
      </c>
    </row>
    <row r="4" ht="14.25" customHeight="1" hidden="1">
      <c r="Q4" s="2830">
        <f t="shared" si="2" ref="Q4:CP4">IF(Q127&gt;0,Q126/Q127,0)</f>
        <v>1131.875</v>
      </c>
      <c r="R4" s="2831">
        <f t="shared" si="2"/>
        <v>1205.892857142857</v>
      </c>
      <c r="S4" s="2831">
        <f t="shared" si="2"/>
        <v>1364.4666666666667</v>
      </c>
      <c r="T4" s="2831">
        <f t="shared" si="2"/>
        <v>1535.2</v>
      </c>
      <c r="U4" s="2831">
        <f t="shared" si="2"/>
        <v>1017</v>
      </c>
      <c r="V4" s="2832">
        <f t="shared" si="2"/>
        <v>0</v>
      </c>
      <c r="W4" s="2832">
        <f t="shared" si="2"/>
        <v>0</v>
      </c>
      <c r="X4" s="2832">
        <f t="shared" si="2"/>
        <v>0</v>
      </c>
      <c r="Y4" s="2832">
        <f t="shared" si="2"/>
        <v>0</v>
      </c>
      <c r="Z4" s="2832">
        <f t="shared" si="2"/>
        <v>0</v>
      </c>
      <c r="AA4" s="2832">
        <f t="shared" si="2"/>
        <v>0</v>
      </c>
      <c r="AB4" s="2831">
        <f t="shared" si="2"/>
        <v>0</v>
      </c>
      <c r="AC4" s="2831">
        <f t="shared" si="2"/>
        <v>0</v>
      </c>
      <c r="AD4" s="2831">
        <f t="shared" si="2"/>
        <v>0</v>
      </c>
      <c r="AE4" s="2831">
        <f t="shared" si="2"/>
        <v>0</v>
      </c>
      <c r="AF4" s="2831">
        <f t="shared" si="2"/>
        <v>0</v>
      </c>
      <c r="AG4" s="2831">
        <f t="shared" si="2"/>
        <v>0</v>
      </c>
      <c r="AH4" s="2831">
        <f t="shared" si="2"/>
        <v>0</v>
      </c>
      <c r="AI4" s="2832">
        <f t="shared" si="2"/>
        <v>0</v>
      </c>
      <c r="AJ4" s="2832">
        <f t="shared" si="2"/>
        <v>0</v>
      </c>
      <c r="AK4" s="2832">
        <f t="shared" si="2"/>
        <v>0</v>
      </c>
      <c r="AL4" s="2832">
        <f t="shared" si="2"/>
        <v>0</v>
      </c>
      <c r="AM4" s="2832">
        <f t="shared" si="2"/>
        <v>0</v>
      </c>
      <c r="AN4" s="2832">
        <f t="shared" si="2"/>
        <v>0</v>
      </c>
      <c r="AO4" s="2832">
        <f t="shared" si="2"/>
        <v>0</v>
      </c>
      <c r="AP4" s="2832">
        <f t="shared" si="2"/>
        <v>0</v>
      </c>
      <c r="AQ4" s="2832">
        <f t="shared" si="2"/>
        <v>0</v>
      </c>
      <c r="AR4" s="2832">
        <f t="shared" si="2"/>
        <v>0</v>
      </c>
      <c r="AS4" s="2832">
        <f t="shared" si="2"/>
        <v>0</v>
      </c>
      <c r="AT4" s="2832">
        <f t="shared" si="2"/>
        <v>0</v>
      </c>
      <c r="AU4" s="2832">
        <f t="shared" si="2"/>
        <v>0</v>
      </c>
      <c r="AV4" s="2832">
        <f t="shared" si="2"/>
        <v>0</v>
      </c>
      <c r="AW4" s="2832">
        <f t="shared" si="2"/>
        <v>0</v>
      </c>
      <c r="AX4" s="2832">
        <f t="shared" si="2"/>
        <v>0</v>
      </c>
      <c r="AY4" s="2832">
        <f t="shared" si="2"/>
        <v>0</v>
      </c>
      <c r="AZ4" s="2832">
        <f t="shared" si="2"/>
        <v>0</v>
      </c>
      <c r="BA4" s="2832">
        <f t="shared" si="2"/>
        <v>0</v>
      </c>
      <c r="BB4" s="2832">
        <f t="shared" si="2"/>
        <v>0</v>
      </c>
      <c r="BC4" s="2832">
        <f t="shared" si="2"/>
        <v>0</v>
      </c>
      <c r="BD4" s="2832">
        <f t="shared" si="2"/>
        <v>0</v>
      </c>
      <c r="BE4" s="2832">
        <f t="shared" si="2"/>
        <v>0</v>
      </c>
      <c r="BF4" s="2832">
        <f t="shared" si="2"/>
        <v>0</v>
      </c>
      <c r="BG4" s="2832">
        <f t="shared" si="2"/>
        <v>0</v>
      </c>
      <c r="BH4" s="2832">
        <f t="shared" si="2"/>
        <v>0</v>
      </c>
      <c r="BI4" s="2832">
        <f t="shared" si="2"/>
        <v>0</v>
      </c>
      <c r="BJ4" s="2832">
        <f t="shared" si="2"/>
        <v>0</v>
      </c>
      <c r="BK4" s="2832">
        <f t="shared" si="2"/>
        <v>0</v>
      </c>
      <c r="BL4" s="2832">
        <f t="shared" si="2"/>
        <v>0</v>
      </c>
      <c r="BM4" s="2832">
        <f t="shared" si="2"/>
        <v>0</v>
      </c>
      <c r="BN4" s="2832">
        <f t="shared" si="2"/>
        <v>0</v>
      </c>
      <c r="BO4" s="2832">
        <f t="shared" si="2"/>
        <v>0</v>
      </c>
      <c r="BP4" s="2832">
        <f t="shared" si="2"/>
        <v>0</v>
      </c>
      <c r="BQ4" s="2832">
        <f t="shared" si="2"/>
        <v>0</v>
      </c>
      <c r="BR4" s="2832">
        <f t="shared" si="2"/>
        <v>0</v>
      </c>
      <c r="BS4" s="2832">
        <f t="shared" si="2"/>
        <v>0</v>
      </c>
      <c r="BT4" s="2832">
        <f t="shared" si="2"/>
        <v>0</v>
      </c>
      <c r="BU4" s="2832">
        <f t="shared" si="2"/>
        <v>0</v>
      </c>
      <c r="BV4" s="2832">
        <f t="shared" si="2"/>
        <v>0</v>
      </c>
      <c r="BW4" s="2832">
        <f t="shared" si="2"/>
        <v>0</v>
      </c>
      <c r="BX4" s="2832">
        <f t="shared" si="2"/>
        <v>0</v>
      </c>
      <c r="BY4" s="2832">
        <f t="shared" si="2"/>
        <v>0</v>
      </c>
      <c r="BZ4" s="2832">
        <f t="shared" si="2"/>
        <v>0</v>
      </c>
      <c r="CA4" s="2832">
        <f t="shared" si="2"/>
        <v>0</v>
      </c>
      <c r="CB4" s="2832">
        <f t="shared" si="2"/>
        <v>0</v>
      </c>
      <c r="CC4" s="2832">
        <f t="shared" si="2"/>
        <v>0</v>
      </c>
      <c r="CD4" s="2832">
        <f t="shared" si="2"/>
        <v>0</v>
      </c>
      <c r="CE4" s="2832">
        <f t="shared" si="2"/>
        <v>0</v>
      </c>
      <c r="CF4" s="2832">
        <f t="shared" si="2"/>
        <v>0</v>
      </c>
      <c r="CG4" s="2832">
        <f t="shared" si="2"/>
        <v>0</v>
      </c>
      <c r="CH4" s="2832">
        <f t="shared" si="2"/>
        <v>0</v>
      </c>
      <c r="CI4" s="2832">
        <f t="shared" si="2"/>
        <v>0</v>
      </c>
      <c r="CJ4" s="2832">
        <f t="shared" si="2"/>
        <v>0</v>
      </c>
      <c r="CK4" s="2832">
        <f t="shared" si="2"/>
        <v>0</v>
      </c>
      <c r="CL4" s="2832">
        <f t="shared" si="2"/>
        <v>0</v>
      </c>
      <c r="CM4" s="2832">
        <f t="shared" si="2"/>
        <v>0</v>
      </c>
      <c r="CN4" s="2832">
        <f t="shared" si="2"/>
        <v>0</v>
      </c>
      <c r="CO4" s="2832">
        <f t="shared" si="2"/>
        <v>0</v>
      </c>
      <c r="CP4" s="2832">
        <f t="shared" si="2"/>
        <v>0</v>
      </c>
      <c r="CQ4" s="2832"/>
      <c r="CR4" s="2832"/>
      <c r="CS4" s="2832"/>
      <c r="CT4" s="2832"/>
      <c r="CU4" s="2832"/>
      <c r="CV4" s="2832"/>
      <c r="CW4" s="2832"/>
      <c r="CX4" s="2832"/>
      <c r="CY4" s="2832"/>
      <c r="CZ4" s="2832"/>
      <c r="DA4" s="2832"/>
      <c r="DB4" s="2832"/>
      <c r="DC4" s="2832"/>
      <c r="DD4" s="2832"/>
      <c r="DE4" s="2832"/>
      <c r="DF4" s="2832"/>
      <c r="DG4" s="2832"/>
      <c r="DH4" s="2832"/>
      <c r="DI4" s="2832"/>
      <c r="DJ4" s="2832"/>
      <c r="DK4" s="2832"/>
      <c r="DL4" s="2832"/>
      <c r="DM4" s="2832"/>
      <c r="DN4" s="2832"/>
      <c r="DO4" s="2832"/>
      <c r="DP4" s="2832"/>
      <c r="DQ4" s="2832"/>
      <c r="DR4" s="2832"/>
      <c r="DS4" s="2832"/>
      <c r="DT4" s="2832"/>
      <c r="DU4" s="2832"/>
      <c r="DV4" s="2832"/>
      <c r="DW4" s="2832"/>
      <c r="DX4" s="2832"/>
      <c r="DY4" s="2832"/>
      <c r="DZ4" s="2832"/>
      <c r="EA4" s="2832"/>
      <c r="EB4" s="2832"/>
      <c r="EC4" s="2832"/>
      <c r="ED4" s="2832"/>
      <c r="EE4" s="2832"/>
      <c r="EF4" s="2832"/>
      <c r="EG4" s="2832"/>
      <c r="EH4" s="2832"/>
      <c r="EI4" s="2832"/>
      <c r="EJ4" s="2832"/>
      <c r="EK4" s="2832"/>
      <c r="EL4" s="2832"/>
      <c r="EM4" s="2832"/>
      <c r="EN4" s="2832"/>
      <c r="EO4" s="2832"/>
      <c r="EP4" s="2832"/>
      <c r="EQ4" s="2832"/>
      <c r="ER4" s="2832"/>
      <c r="ES4" s="2832"/>
      <c r="ET4" s="2832"/>
      <c r="EU4" s="2832"/>
      <c r="EV4" s="2832"/>
      <c r="EW4" s="2832"/>
      <c r="EX4" s="2832"/>
      <c r="EY4" s="2832"/>
      <c r="EZ4" s="2832"/>
      <c r="FA4" s="2825"/>
    </row>
    <row r="5" ht="14.25" customHeight="1" hidden="1">
      <c r="Q5" s="2831">
        <f t="shared" si="3" ref="Q5:CP5">_xlfn.IFERROR(_xlfn.STDEV.P(Q24:Q125),0)</f>
        <v>56.85823928860267</v>
      </c>
      <c r="R5" s="2831">
        <f t="shared" si="3"/>
        <v>40.551853300711784</v>
      </c>
      <c r="S5" s="2831">
        <f t="shared" si="3"/>
        <v>68.7273518250841</v>
      </c>
      <c r="T5" s="2831">
        <f t="shared" si="3"/>
        <v>57.42351434734729</v>
      </c>
      <c r="U5" s="2831">
        <f t="shared" si="3"/>
        <v>0</v>
      </c>
      <c r="V5" s="2832">
        <f t="shared" si="3"/>
        <v>0</v>
      </c>
      <c r="W5" s="2832">
        <f t="shared" si="3"/>
        <v>0</v>
      </c>
      <c r="X5" s="2832">
        <f t="shared" si="3"/>
        <v>0</v>
      </c>
      <c r="Y5" s="2832">
        <f t="shared" si="3"/>
        <v>0</v>
      </c>
      <c r="Z5" s="2832">
        <f t="shared" si="3"/>
        <v>0</v>
      </c>
      <c r="AA5" s="2832">
        <f t="shared" si="3"/>
        <v>0</v>
      </c>
      <c r="AB5" s="2831">
        <f t="shared" si="3"/>
        <v>0</v>
      </c>
      <c r="AC5" s="2831">
        <f t="shared" si="3"/>
        <v>0</v>
      </c>
      <c r="AD5" s="2831">
        <f t="shared" si="3"/>
        <v>0</v>
      </c>
      <c r="AE5" s="2831">
        <f t="shared" si="3"/>
        <v>0</v>
      </c>
      <c r="AF5" s="2831">
        <f t="shared" si="3"/>
        <v>0</v>
      </c>
      <c r="AG5" s="2831">
        <f t="shared" si="3"/>
        <v>0</v>
      </c>
      <c r="AH5" s="2831">
        <f t="shared" si="3"/>
        <v>0</v>
      </c>
      <c r="AI5" s="2832">
        <f t="shared" si="3"/>
        <v>0</v>
      </c>
      <c r="AJ5" s="2832">
        <f t="shared" si="3"/>
        <v>0</v>
      </c>
      <c r="AK5" s="2832">
        <f t="shared" si="3"/>
        <v>0</v>
      </c>
      <c r="AL5" s="2832">
        <f t="shared" si="3"/>
        <v>0</v>
      </c>
      <c r="AM5" s="2832">
        <f t="shared" si="3"/>
        <v>0</v>
      </c>
      <c r="AN5" s="2832">
        <f t="shared" si="3"/>
        <v>0</v>
      </c>
      <c r="AO5" s="2832">
        <f t="shared" si="3"/>
        <v>0</v>
      </c>
      <c r="AP5" s="2832">
        <f t="shared" si="3"/>
        <v>0</v>
      </c>
      <c r="AQ5" s="2832">
        <f t="shared" si="3"/>
        <v>0</v>
      </c>
      <c r="AR5" s="2832">
        <f t="shared" si="3"/>
        <v>0</v>
      </c>
      <c r="AS5" s="2832">
        <f t="shared" si="3"/>
        <v>0</v>
      </c>
      <c r="AT5" s="2832">
        <f t="shared" si="3"/>
        <v>0</v>
      </c>
      <c r="AU5" s="2832">
        <f t="shared" si="3"/>
        <v>0</v>
      </c>
      <c r="AV5" s="2832">
        <f t="shared" si="3"/>
        <v>0</v>
      </c>
      <c r="AW5" s="2832">
        <f t="shared" si="3"/>
        <v>0</v>
      </c>
      <c r="AX5" s="2832">
        <f t="shared" si="3"/>
        <v>0</v>
      </c>
      <c r="AY5" s="2832">
        <f t="shared" si="3"/>
        <v>0</v>
      </c>
      <c r="AZ5" s="2832">
        <f t="shared" si="3"/>
        <v>0</v>
      </c>
      <c r="BA5" s="2832">
        <f t="shared" si="3"/>
        <v>0</v>
      </c>
      <c r="BB5" s="2832">
        <f t="shared" si="3"/>
        <v>0</v>
      </c>
      <c r="BC5" s="2832">
        <f t="shared" si="3"/>
        <v>0</v>
      </c>
      <c r="BD5" s="2832">
        <f t="shared" si="3"/>
        <v>0</v>
      </c>
      <c r="BE5" s="2832">
        <f t="shared" si="3"/>
        <v>0</v>
      </c>
      <c r="BF5" s="2832">
        <f t="shared" si="3"/>
        <v>0</v>
      </c>
      <c r="BG5" s="2832">
        <f t="shared" si="3"/>
        <v>0</v>
      </c>
      <c r="BH5" s="2832">
        <f t="shared" si="3"/>
        <v>0</v>
      </c>
      <c r="BI5" s="2832">
        <f t="shared" si="3"/>
        <v>0</v>
      </c>
      <c r="BJ5" s="2832">
        <f t="shared" si="3"/>
        <v>0</v>
      </c>
      <c r="BK5" s="2832">
        <f t="shared" si="3"/>
        <v>0</v>
      </c>
      <c r="BL5" s="2832">
        <f t="shared" si="3"/>
        <v>0</v>
      </c>
      <c r="BM5" s="2832">
        <f t="shared" si="3"/>
        <v>0</v>
      </c>
      <c r="BN5" s="2832">
        <f t="shared" si="3"/>
        <v>0</v>
      </c>
      <c r="BO5" s="2832">
        <f t="shared" si="3"/>
        <v>0</v>
      </c>
      <c r="BP5" s="2832">
        <f t="shared" si="3"/>
        <v>0</v>
      </c>
      <c r="BQ5" s="2832">
        <f t="shared" si="3"/>
        <v>0</v>
      </c>
      <c r="BR5" s="2832">
        <f t="shared" si="3"/>
        <v>0</v>
      </c>
      <c r="BS5" s="2832">
        <f t="shared" si="3"/>
        <v>0</v>
      </c>
      <c r="BT5" s="2832">
        <f t="shared" si="3"/>
        <v>0</v>
      </c>
      <c r="BU5" s="2832">
        <f t="shared" si="3"/>
        <v>0</v>
      </c>
      <c r="BV5" s="2832">
        <f t="shared" si="3"/>
        <v>0</v>
      </c>
      <c r="BW5" s="2832">
        <f t="shared" si="3"/>
        <v>0</v>
      </c>
      <c r="BX5" s="2832">
        <f t="shared" si="3"/>
        <v>0</v>
      </c>
      <c r="BY5" s="2832">
        <f t="shared" si="3"/>
        <v>0</v>
      </c>
      <c r="BZ5" s="2832">
        <f t="shared" si="3"/>
        <v>0</v>
      </c>
      <c r="CA5" s="2832">
        <f t="shared" si="3"/>
        <v>0</v>
      </c>
      <c r="CB5" s="2832">
        <f t="shared" si="3"/>
        <v>0</v>
      </c>
      <c r="CC5" s="2832">
        <f t="shared" si="3"/>
        <v>0</v>
      </c>
      <c r="CD5" s="2832">
        <f t="shared" si="3"/>
        <v>0</v>
      </c>
      <c r="CE5" s="2832">
        <f t="shared" si="3"/>
        <v>0</v>
      </c>
      <c r="CF5" s="2832">
        <f t="shared" si="3"/>
        <v>0</v>
      </c>
      <c r="CG5" s="2832">
        <f t="shared" si="3"/>
        <v>0</v>
      </c>
      <c r="CH5" s="2832">
        <f t="shared" si="3"/>
        <v>0</v>
      </c>
      <c r="CI5" s="2832">
        <f t="shared" si="3"/>
        <v>0</v>
      </c>
      <c r="CJ5" s="2832">
        <f t="shared" si="3"/>
        <v>0</v>
      </c>
      <c r="CK5" s="2832">
        <f t="shared" si="3"/>
        <v>0</v>
      </c>
      <c r="CL5" s="2832">
        <f t="shared" si="3"/>
        <v>0</v>
      </c>
      <c r="CM5" s="2832">
        <f t="shared" si="3"/>
        <v>0</v>
      </c>
      <c r="CN5" s="2832">
        <f t="shared" si="3"/>
        <v>0</v>
      </c>
      <c r="CO5" s="2832">
        <f t="shared" si="3"/>
        <v>0</v>
      </c>
      <c r="CP5" s="2832">
        <f t="shared" si="3"/>
        <v>0</v>
      </c>
      <c r="CQ5" s="2832"/>
      <c r="CR5" s="2832"/>
      <c r="CS5" s="2832"/>
      <c r="CT5" s="2832"/>
      <c r="CU5" s="2832"/>
      <c r="CV5" s="2832"/>
      <c r="CW5" s="2832"/>
      <c r="CX5" s="2832"/>
      <c r="CY5" s="2832"/>
      <c r="CZ5" s="2832"/>
      <c r="DA5" s="2832"/>
      <c r="DB5" s="2832"/>
      <c r="DC5" s="2832"/>
      <c r="DD5" s="2832"/>
      <c r="DE5" s="2832"/>
      <c r="DF5" s="2832"/>
      <c r="DG5" s="2832"/>
      <c r="DH5" s="2832"/>
      <c r="DI5" s="2832"/>
      <c r="DJ5" s="2832"/>
      <c r="DK5" s="2832"/>
      <c r="DL5" s="2832"/>
      <c r="DM5" s="2832"/>
      <c r="DN5" s="2832"/>
      <c r="DO5" s="2832"/>
      <c r="DP5" s="2832"/>
      <c r="DQ5" s="2832"/>
      <c r="DR5" s="2832"/>
      <c r="DS5" s="2832"/>
      <c r="DT5" s="2832"/>
      <c r="DU5" s="2832"/>
      <c r="DV5" s="2832"/>
      <c r="DW5" s="2832"/>
      <c r="DX5" s="2832"/>
      <c r="DY5" s="2832"/>
      <c r="DZ5" s="2832"/>
      <c r="EA5" s="2832"/>
      <c r="EB5" s="2832"/>
      <c r="EC5" s="2832"/>
      <c r="ED5" s="2832"/>
      <c r="EE5" s="2832"/>
      <c r="EF5" s="2832"/>
      <c r="EG5" s="2832"/>
      <c r="EH5" s="2832"/>
      <c r="EI5" s="2832"/>
      <c r="EJ5" s="2832"/>
      <c r="EK5" s="2832"/>
      <c r="EL5" s="2832"/>
      <c r="EM5" s="2832"/>
      <c r="EN5" s="2832"/>
      <c r="EO5" s="2832"/>
      <c r="EP5" s="2832"/>
      <c r="EQ5" s="2832"/>
      <c r="ER5" s="2832"/>
      <c r="ES5" s="2832"/>
      <c r="ET5" s="2832"/>
      <c r="EU5" s="2832"/>
      <c r="EV5" s="2832"/>
      <c r="EW5" s="2832"/>
      <c r="EX5" s="2832"/>
      <c r="EY5" s="2832"/>
      <c r="EZ5" s="2832"/>
      <c r="FA5" s="2825"/>
    </row>
    <row r="6" ht="17.25" customHeight="1" hidden="1"/>
    <row r="7" ht="27.75" customHeight="1">
      <c r="A7" s="2833"/>
      <c r="B7" s="2834" t="s">
        <v>2508</v>
      </c>
      <c r="C7" s="2833"/>
      <c r="D7" s="2835"/>
      <c r="E7" s="2835"/>
      <c r="F7" s="2835"/>
      <c r="G7" s="2833"/>
      <c r="H7" s="2833"/>
      <c r="I7" s="2833"/>
      <c r="J7" s="2833"/>
      <c r="K7" s="2836"/>
      <c r="L7" s="2836"/>
      <c r="M7" s="2836"/>
      <c r="N7" s="2836"/>
      <c r="O7" s="2837"/>
      <c r="P7" s="2837"/>
      <c r="Q7" s="1353"/>
      <c r="R7" s="1353"/>
      <c r="S7" s="1353"/>
      <c r="T7" s="1353"/>
      <c r="U7" s="1353"/>
      <c r="V7" s="1353"/>
      <c r="W7" s="1353"/>
      <c r="X7" s="1353"/>
      <c r="Y7" s="1353"/>
      <c r="Z7" s="1353"/>
      <c r="AA7" s="1353"/>
      <c r="AB7" s="1353"/>
      <c r="AC7" s="1353"/>
      <c r="AD7" s="1353"/>
      <c r="AE7" s="1353"/>
      <c r="AF7" s="1353"/>
      <c r="AG7" s="1353"/>
      <c r="AH7" s="1353"/>
      <c r="AI7" s="1353"/>
      <c r="AJ7" s="1353"/>
      <c r="AK7" s="1353"/>
      <c r="AL7" s="1353"/>
      <c r="AM7" s="1353"/>
      <c r="AN7" s="1353"/>
      <c r="AO7" s="1353"/>
      <c r="AP7" s="1353"/>
      <c r="AQ7" s="1353"/>
      <c r="AR7" s="1353"/>
      <c r="AS7" s="1353"/>
      <c r="AT7" s="1353"/>
      <c r="AU7" s="1353"/>
      <c r="AV7" s="1353"/>
      <c r="AW7" s="1353"/>
      <c r="AX7" s="1353"/>
      <c r="AY7" s="1353"/>
      <c r="AZ7" s="1353"/>
      <c r="BA7" s="1353"/>
      <c r="BB7" s="1353"/>
      <c r="BC7" s="1353"/>
      <c r="BD7" s="1353"/>
      <c r="BE7" s="1353"/>
      <c r="BF7" s="1353"/>
      <c r="BG7" s="1353"/>
      <c r="BH7" s="1353"/>
      <c r="BI7" s="1353"/>
      <c r="BJ7" s="1353"/>
      <c r="BK7" s="1353"/>
      <c r="BL7" s="1353"/>
      <c r="BM7" s="1353"/>
      <c r="BN7" s="1353"/>
      <c r="BO7" s="1353"/>
      <c r="BP7" s="1353"/>
      <c r="BQ7" s="1353"/>
      <c r="BR7" s="1353"/>
      <c r="BS7" s="1353"/>
      <c r="BT7" s="1353"/>
      <c r="BU7" s="1353"/>
      <c r="BV7" s="1353"/>
      <c r="BW7" s="1353"/>
      <c r="BX7" s="1353"/>
      <c r="BY7" s="1353"/>
      <c r="BZ7" s="1353"/>
      <c r="CA7" s="1353"/>
      <c r="CB7" s="1353"/>
      <c r="CC7" s="1353"/>
      <c r="CD7" s="1353"/>
      <c r="CE7" s="1353"/>
      <c r="CF7" s="1353"/>
      <c r="CG7" s="1353"/>
      <c r="CH7" s="1353"/>
      <c r="CI7" s="1353"/>
      <c r="CJ7" s="1353"/>
      <c r="CK7" s="1353"/>
      <c r="CL7" s="1353"/>
      <c r="CM7" s="1353"/>
      <c r="CN7" s="1353"/>
      <c r="CO7" s="1353"/>
      <c r="CP7" s="1353"/>
      <c r="CQ7" s="1353"/>
      <c r="CR7" s="1353"/>
      <c r="CS7" s="1353"/>
      <c r="CT7" s="1353"/>
      <c r="CU7" s="1353"/>
      <c r="CV7" s="1353"/>
      <c r="CW7" s="1353"/>
      <c r="CX7" s="1353"/>
      <c r="CY7" s="1353"/>
      <c r="CZ7" s="1353"/>
      <c r="DA7" s="1353"/>
      <c r="DB7" s="1353"/>
      <c r="DC7" s="1353"/>
      <c r="DD7" s="1353"/>
      <c r="DE7" s="1353"/>
      <c r="DF7" s="1353"/>
      <c r="DG7" s="1353"/>
      <c r="DH7" s="1353"/>
      <c r="DI7" s="1353"/>
      <c r="DJ7" s="1353"/>
      <c r="DK7" s="1353"/>
      <c r="DL7" s="1353"/>
      <c r="DM7" s="1353"/>
      <c r="DN7" s="1353"/>
      <c r="DO7" s="1353"/>
      <c r="DP7" s="1353"/>
      <c r="DQ7" s="1353"/>
      <c r="DR7" s="1353"/>
      <c r="DS7" s="1353"/>
      <c r="DT7" s="1353"/>
      <c r="DU7" s="1353"/>
      <c r="DV7" s="1353"/>
      <c r="DW7" s="1353"/>
      <c r="DX7" s="1353"/>
      <c r="DY7" s="1353"/>
      <c r="DZ7" s="1353"/>
      <c r="EA7" s="1353"/>
      <c r="EB7" s="1353"/>
      <c r="EC7" s="1353"/>
      <c r="ED7" s="1353"/>
      <c r="EE7" s="1353"/>
      <c r="EF7" s="1353"/>
      <c r="EG7" s="1353"/>
      <c r="EH7" s="1353"/>
      <c r="EI7" s="1353"/>
      <c r="EJ7" s="1353"/>
      <c r="EK7" s="1353"/>
      <c r="EL7" s="1353"/>
      <c r="EM7" s="1353"/>
      <c r="EN7" s="1353"/>
      <c r="EO7" s="1353"/>
      <c r="EP7" s="1353"/>
      <c r="EQ7" s="1353"/>
      <c r="ER7" s="1353"/>
      <c r="ES7" s="1353"/>
      <c r="ET7" s="1353"/>
      <c r="EU7" s="1353"/>
      <c r="EV7" s="1353"/>
      <c r="EW7" s="1353"/>
      <c r="EX7" s="1353"/>
      <c r="EY7" s="1353"/>
      <c r="EZ7" s="1353"/>
      <c r="FA7" s="1353"/>
      <c r="FB7" s="2833"/>
      <c r="FC7" s="2825"/>
      <c r="FD7" s="2833"/>
      <c r="FE7" s="2833"/>
      <c r="FF7" s="2833"/>
      <c r="FG7" s="2833"/>
      <c r="FH7" s="2833"/>
      <c r="FI7" s="2833"/>
      <c r="FJ7" s="2833"/>
      <c r="FK7" s="2833"/>
      <c r="FL7" s="2838"/>
      <c r="FM7" s="2825"/>
      <c r="FN7" s="2825"/>
      <c r="FO7" s="2825"/>
      <c r="FP7" s="2825"/>
      <c r="FQ7" s="2825"/>
      <c r="FR7" s="2825"/>
      <c r="FS7" s="2825"/>
      <c r="FT7" s="2825"/>
      <c r="FU7" s="2825"/>
      <c r="FV7" s="2825"/>
      <c r="FW7" s="2825"/>
      <c r="FX7" s="2825"/>
      <c r="FY7" s="2825"/>
      <c r="FZ7" s="2825"/>
      <c r="GA7" s="2825"/>
      <c r="GB7" s="2825"/>
      <c r="GC7" s="2825"/>
      <c r="GD7" s="2825"/>
      <c r="GE7" s="2825"/>
      <c r="GF7" s="2825"/>
      <c r="GG7" s="2825"/>
      <c r="GH7" s="2825"/>
      <c r="GI7" s="2825"/>
      <c r="GJ7" s="2825"/>
      <c r="GK7" s="2825"/>
      <c r="GL7" s="2825"/>
      <c r="GM7" s="2825"/>
      <c r="GN7" s="2825"/>
      <c r="GO7" s="2825"/>
      <c r="GP7" s="2825"/>
      <c r="GQ7" s="2825"/>
      <c r="GR7" s="2825"/>
      <c r="GS7" s="2825"/>
      <c r="GT7" s="2825"/>
      <c r="GU7" s="2825"/>
      <c r="GV7" s="2825"/>
      <c r="GW7" s="2825"/>
      <c r="GX7" s="2825"/>
      <c r="GY7" s="2825"/>
      <c r="GZ7" s="2825"/>
      <c r="HA7" s="2825"/>
      <c r="HB7" s="2825"/>
      <c r="HC7" s="2825"/>
      <c r="HD7" s="2825"/>
      <c r="HE7" s="2825"/>
      <c r="HF7" s="2825"/>
      <c r="HG7" s="2825"/>
      <c r="HH7" s="2825"/>
      <c r="HI7" s="2825"/>
      <c r="HJ7" s="2825"/>
      <c r="HK7" s="2825"/>
      <c r="HL7" s="2825"/>
      <c r="HM7" s="2825"/>
      <c r="HN7" s="2825"/>
      <c r="HO7" s="2825"/>
      <c r="HP7" s="2825"/>
      <c r="HQ7" s="2825"/>
      <c r="HR7" s="2825"/>
      <c r="HS7" s="2825"/>
      <c r="HT7" s="2825"/>
      <c r="HU7" s="2825"/>
      <c r="HV7" s="2825"/>
      <c r="HW7" s="2825"/>
      <c r="HX7" s="2825"/>
      <c r="HY7" s="2825"/>
      <c r="HZ7" s="2825"/>
      <c r="IA7" s="2825"/>
      <c r="IB7" s="2825"/>
      <c r="IC7" s="2825"/>
      <c r="ID7" s="2825"/>
      <c r="IE7" s="2825"/>
      <c r="IF7" s="2825"/>
      <c r="IG7" s="2825"/>
      <c r="IH7" s="2825"/>
      <c r="II7" s="2825"/>
      <c r="IJ7" s="2825"/>
      <c r="IK7" s="2825"/>
      <c r="IL7" s="2825"/>
      <c r="IM7" s="2825"/>
      <c r="IN7" s="2825"/>
      <c r="IO7" s="2838"/>
      <c r="IP7" s="2839"/>
      <c r="IQ7" s="2838"/>
      <c r="IR7" s="2825"/>
      <c r="IS7" s="2838"/>
      <c r="IT7" s="2838"/>
      <c r="IU7" s="2838"/>
      <c r="IV7" s="2838"/>
      <c r="IW7" s="2838"/>
      <c r="IX7" s="2838"/>
      <c r="IY7" s="2838"/>
      <c r="IZ7" s="2838"/>
      <c r="JA7" s="2838"/>
      <c r="JB7" s="2838"/>
      <c r="JC7" s="2838"/>
      <c r="JD7" s="2838"/>
      <c r="JE7" s="2838"/>
      <c r="JF7" s="2838"/>
      <c r="JG7" s="2838"/>
      <c r="JH7" s="2825"/>
      <c r="JI7" s="2833"/>
      <c r="JJ7" s="2833"/>
      <c r="JK7" s="2833"/>
      <c r="JL7" s="2833"/>
      <c r="JM7" s="2833"/>
      <c r="JN7" s="2833"/>
      <c r="JO7" s="2833"/>
      <c r="JP7" s="2833"/>
      <c r="JQ7" s="2833"/>
      <c r="JR7" s="2833"/>
      <c r="JS7" s="2833"/>
      <c r="JT7" s="2833"/>
      <c r="JU7" s="2833"/>
      <c r="JV7" s="2833"/>
      <c r="JW7" s="2833"/>
      <c r="JX7" s="2833"/>
      <c r="JY7" s="2833"/>
      <c r="JZ7" s="2833"/>
      <c r="KA7" s="2833"/>
      <c r="KB7" s="2833"/>
      <c r="KC7" s="2833"/>
      <c r="KD7" s="2833"/>
      <c r="KE7" s="2833"/>
      <c r="KF7" s="2833"/>
      <c r="KG7" s="2833"/>
      <c r="KH7" s="2833"/>
      <c r="KI7" s="2833"/>
      <c r="KJ7" s="2833"/>
      <c r="KK7" s="1353"/>
    </row>
    <row r="8" ht="8.25" customHeight="1">
      <c r="A8" s="2833"/>
      <c r="B8" s="2840"/>
      <c r="C8" s="2841"/>
      <c r="D8" s="2833"/>
      <c r="E8" s="2833"/>
      <c r="F8" s="2833"/>
      <c r="G8" s="2833"/>
      <c r="H8" s="2833"/>
      <c r="I8" s="2833"/>
      <c r="J8" s="2833"/>
      <c r="K8" s="2836"/>
      <c r="L8" s="2836"/>
      <c r="M8" s="2836"/>
      <c r="N8" s="2836"/>
      <c r="O8" s="2837"/>
      <c r="P8" s="2837"/>
      <c r="Q8" s="2825"/>
      <c r="R8" s="2825"/>
      <c r="S8" s="2825"/>
      <c r="T8" s="2825"/>
      <c r="U8" s="2825"/>
      <c r="V8" s="2825"/>
      <c r="W8" s="2825"/>
      <c r="X8" s="2825"/>
      <c r="Y8" s="2825"/>
      <c r="Z8" s="2825"/>
      <c r="AA8" s="2825"/>
      <c r="AB8" s="2825"/>
      <c r="AC8" s="2825"/>
      <c r="AD8" s="2825"/>
      <c r="AE8" s="2825"/>
      <c r="AF8" s="2825"/>
      <c r="AG8" s="2825"/>
      <c r="AH8" s="2825"/>
      <c r="AI8" s="2825"/>
      <c r="AJ8" s="2825"/>
      <c r="AK8" s="2825"/>
      <c r="AL8" s="2825"/>
      <c r="AM8" s="2825"/>
      <c r="AN8" s="2825"/>
      <c r="AO8" s="2825"/>
      <c r="AP8" s="2825"/>
      <c r="AQ8" s="2825"/>
      <c r="AR8" s="2825"/>
      <c r="AS8" s="2825"/>
      <c r="AT8" s="2825"/>
      <c r="AU8" s="2825"/>
      <c r="AV8" s="2825"/>
      <c r="AW8" s="2825"/>
      <c r="AX8" s="2825"/>
      <c r="AY8" s="2825"/>
      <c r="AZ8" s="2825"/>
      <c r="BA8" s="2825"/>
      <c r="BB8" s="2825"/>
      <c r="BC8" s="2825"/>
      <c r="BD8" s="2825"/>
      <c r="BE8" s="2825"/>
      <c r="BF8" s="2825"/>
      <c r="BG8" s="2825"/>
      <c r="BH8" s="2825"/>
      <c r="BI8" s="2825"/>
      <c r="BJ8" s="2825"/>
      <c r="BK8" s="2825"/>
      <c r="BL8" s="2825"/>
      <c r="BM8" s="2825"/>
      <c r="BN8" s="2825"/>
      <c r="BO8" s="2825"/>
      <c r="BP8" s="2825"/>
      <c r="BQ8" s="2825"/>
      <c r="BR8" s="2825"/>
      <c r="BS8" s="2825"/>
      <c r="BT8" s="2825"/>
      <c r="BU8" s="2825"/>
      <c r="BV8" s="2825"/>
      <c r="BW8" s="2825"/>
      <c r="BX8" s="2825"/>
      <c r="BY8" s="2825"/>
      <c r="BZ8" s="2825"/>
      <c r="CA8" s="2825"/>
      <c r="CB8" s="2825"/>
      <c r="CC8" s="2825"/>
      <c r="CD8" s="2825"/>
      <c r="CE8" s="2825"/>
      <c r="CF8" s="2825"/>
      <c r="CG8" s="2825"/>
      <c r="CH8" s="2825"/>
      <c r="CI8" s="2825"/>
      <c r="CJ8" s="2825"/>
      <c r="CK8" s="2825"/>
      <c r="CL8" s="2825"/>
      <c r="CM8" s="2825"/>
      <c r="CN8" s="2825"/>
      <c r="CO8" s="2825"/>
      <c r="CP8" s="2825"/>
      <c r="CQ8" s="2825"/>
      <c r="CR8" s="2825"/>
      <c r="CS8" s="2825"/>
      <c r="CT8" s="2825"/>
      <c r="CU8" s="2825"/>
      <c r="CV8" s="2825"/>
      <c r="CW8" s="2825"/>
      <c r="CX8" s="2825"/>
      <c r="CY8" s="2825"/>
      <c r="CZ8" s="2825"/>
      <c r="DA8" s="2825"/>
      <c r="DB8" s="2825"/>
      <c r="DC8" s="2825"/>
      <c r="DD8" s="2825"/>
      <c r="DE8" s="2825"/>
      <c r="DF8" s="2825"/>
      <c r="DG8" s="2825"/>
      <c r="DH8" s="2825"/>
      <c r="DI8" s="2825"/>
      <c r="DJ8" s="2825"/>
      <c r="DK8" s="2825"/>
      <c r="DL8" s="2825"/>
      <c r="DM8" s="2825"/>
      <c r="DN8" s="2825"/>
      <c r="DO8" s="2825"/>
      <c r="DP8" s="2825"/>
      <c r="DQ8" s="2825"/>
      <c r="DR8" s="2825"/>
      <c r="DS8" s="2825"/>
      <c r="DT8" s="2825"/>
      <c r="DU8" s="2825"/>
      <c r="DV8" s="2825"/>
      <c r="DW8" s="2825"/>
      <c r="DX8" s="2825"/>
      <c r="DY8" s="2825"/>
      <c r="DZ8" s="2825"/>
      <c r="EA8" s="2825"/>
      <c r="EB8" s="2825"/>
      <c r="EC8" s="2825"/>
      <c r="ED8" s="2825"/>
      <c r="EE8" s="2825"/>
      <c r="EF8" s="2825"/>
      <c r="EG8" s="2825"/>
      <c r="EH8" s="2825"/>
      <c r="EI8" s="2825"/>
      <c r="EJ8" s="2825"/>
      <c r="EK8" s="2825"/>
      <c r="EL8" s="2825"/>
      <c r="EM8" s="2825"/>
      <c r="EN8" s="2825"/>
      <c r="EO8" s="2825"/>
      <c r="EP8" s="2825"/>
      <c r="EQ8" s="2825"/>
      <c r="ER8" s="2825"/>
      <c r="ES8" s="2825"/>
      <c r="ET8" s="2825"/>
      <c r="EU8" s="2825"/>
      <c r="EV8" s="2825"/>
      <c r="EW8" s="2825"/>
      <c r="EX8" s="2825"/>
      <c r="EY8" s="2825"/>
      <c r="EZ8" s="2825"/>
      <c r="FA8" s="2825"/>
      <c r="FB8" s="2833"/>
      <c r="FC8" s="2833"/>
      <c r="FD8" s="2833"/>
      <c r="FE8" s="2833"/>
      <c r="FF8" s="2833"/>
      <c r="FG8" s="2833"/>
      <c r="FH8" s="2833"/>
      <c r="FI8" s="2833"/>
      <c r="FJ8" s="2833"/>
      <c r="FK8" s="2833"/>
      <c r="FL8" s="2838"/>
      <c r="FM8" s="2825"/>
      <c r="FN8" s="2825"/>
      <c r="FO8" s="2825"/>
      <c r="FP8" s="2825"/>
      <c r="FQ8" s="2825"/>
      <c r="FR8" s="2825"/>
      <c r="FS8" s="2825"/>
      <c r="FT8" s="2825"/>
      <c r="FU8" s="2825"/>
      <c r="FV8" s="2825"/>
      <c r="FW8" s="2825"/>
      <c r="FX8" s="2825"/>
      <c r="FY8" s="2825"/>
      <c r="FZ8" s="2825"/>
      <c r="GA8" s="2825"/>
      <c r="GB8" s="2825"/>
      <c r="GC8" s="2825"/>
      <c r="GD8" s="2825"/>
      <c r="GE8" s="2825"/>
      <c r="GF8" s="2825"/>
      <c r="GG8" s="2825"/>
      <c r="GH8" s="2825"/>
      <c r="GI8" s="2825"/>
      <c r="GJ8" s="2825"/>
      <c r="GK8" s="2825"/>
      <c r="GL8" s="2825"/>
      <c r="GM8" s="2825"/>
      <c r="GN8" s="2825"/>
      <c r="GO8" s="2825"/>
      <c r="GP8" s="2825"/>
      <c r="GQ8" s="2825"/>
      <c r="GR8" s="2825"/>
      <c r="GS8" s="2825"/>
      <c r="GT8" s="2825"/>
      <c r="GU8" s="2825"/>
      <c r="GV8" s="2825"/>
      <c r="GW8" s="2825"/>
      <c r="GX8" s="2825"/>
      <c r="GY8" s="2825"/>
      <c r="GZ8" s="2825"/>
      <c r="HA8" s="2825"/>
      <c r="HB8" s="2825"/>
      <c r="HC8" s="2825"/>
      <c r="HD8" s="2825"/>
      <c r="HE8" s="2825"/>
      <c r="HF8" s="2825"/>
      <c r="HG8" s="2825"/>
      <c r="HH8" s="2825"/>
      <c r="HI8" s="2825"/>
      <c r="HJ8" s="2825"/>
      <c r="HK8" s="2825"/>
      <c r="HL8" s="2825"/>
      <c r="HM8" s="2825"/>
      <c r="HN8" s="2825"/>
      <c r="HO8" s="2825"/>
      <c r="HP8" s="2825"/>
      <c r="HQ8" s="2825"/>
      <c r="HR8" s="2825"/>
      <c r="HS8" s="2825"/>
      <c r="HT8" s="2825"/>
      <c r="HU8" s="2825"/>
      <c r="HV8" s="2825"/>
      <c r="HW8" s="2825"/>
      <c r="HX8" s="2825"/>
      <c r="HY8" s="2825"/>
      <c r="HZ8" s="2825"/>
      <c r="IA8" s="2825"/>
      <c r="IB8" s="2825"/>
      <c r="IC8" s="2825"/>
      <c r="ID8" s="2825"/>
      <c r="IE8" s="2825"/>
      <c r="IF8" s="2825"/>
      <c r="IG8" s="2825"/>
      <c r="IH8" s="2825"/>
      <c r="II8" s="2825"/>
      <c r="IJ8" s="2825"/>
      <c r="IK8" s="2825"/>
      <c r="IL8" s="2825"/>
      <c r="IM8" s="2825"/>
      <c r="IN8" s="2825"/>
      <c r="IO8" s="2838"/>
      <c r="IP8" s="2839"/>
      <c r="IQ8" s="2838"/>
      <c r="IR8" s="2838"/>
      <c r="IS8" s="2838"/>
      <c r="IT8" s="2838"/>
      <c r="IU8" s="2838"/>
      <c r="IV8" s="2838"/>
      <c r="IW8" s="2838"/>
      <c r="IX8" s="2838"/>
      <c r="IY8" s="2838"/>
      <c r="IZ8" s="2838"/>
      <c r="JA8" s="2838"/>
      <c r="JB8" s="2838"/>
      <c r="JC8" s="2838"/>
      <c r="JD8" s="2838"/>
      <c r="JE8" s="2838"/>
      <c r="JF8" s="2838"/>
      <c r="JG8" s="2838"/>
      <c r="JH8" s="2838"/>
      <c r="JI8" s="2833"/>
      <c r="JJ8" s="2833"/>
      <c r="JK8" s="2833"/>
      <c r="JL8" s="2833"/>
      <c r="JM8" s="2833"/>
      <c r="JN8" s="2833"/>
      <c r="JO8" s="2833"/>
      <c r="JP8" s="2833"/>
      <c r="JQ8" s="2833"/>
      <c r="JR8" s="2833"/>
      <c r="JS8" s="2833"/>
      <c r="JT8" s="2833"/>
      <c r="JU8" s="2833"/>
      <c r="JV8" s="2833"/>
      <c r="JW8" s="2833"/>
      <c r="JX8" s="2833"/>
      <c r="JY8" s="2833"/>
      <c r="JZ8" s="2833"/>
      <c r="KA8" s="2833"/>
      <c r="KB8" s="2833"/>
      <c r="KC8" s="2833"/>
      <c r="KD8" s="2833"/>
      <c r="KE8" s="2833"/>
      <c r="KF8" s="2833"/>
      <c r="KG8" s="2833"/>
      <c r="KH8" s="2833"/>
      <c r="KI8" s="2833"/>
      <c r="KJ8" s="2833"/>
      <c r="KK8" s="1353"/>
    </row>
    <row r="9" ht="8.25" customHeight="1">
      <c r="A9" s="2833"/>
      <c r="B9" s="2833"/>
      <c r="C9" s="2833"/>
      <c r="D9" s="2833"/>
      <c r="E9" s="2833"/>
      <c r="F9" s="2833"/>
      <c r="G9" s="2833"/>
      <c r="H9" s="2833"/>
      <c r="I9" s="2833"/>
      <c r="J9" s="2833"/>
      <c r="K9" s="2836"/>
      <c r="L9" s="2836"/>
      <c r="M9" s="2836"/>
      <c r="N9" s="2836"/>
      <c r="O9" s="2837"/>
      <c r="P9" s="2837"/>
      <c r="Q9" s="2825"/>
      <c r="R9" s="2825"/>
      <c r="S9" s="2825"/>
      <c r="T9" s="2825"/>
      <c r="U9" s="2825"/>
      <c r="V9" s="2825"/>
      <c r="W9" s="2825"/>
      <c r="X9" s="2825"/>
      <c r="Y9" s="2825"/>
      <c r="Z9" s="2825"/>
      <c r="AA9" s="2825"/>
      <c r="AB9" s="2825"/>
      <c r="AC9" s="2825"/>
      <c r="AD9" s="2825"/>
      <c r="AE9" s="2825"/>
      <c r="AF9" s="2825"/>
      <c r="AG9" s="2825"/>
      <c r="AH9" s="2825"/>
      <c r="AI9" s="2825"/>
      <c r="AJ9" s="2825"/>
      <c r="AK9" s="2825"/>
      <c r="AL9" s="2825"/>
      <c r="AM9" s="2825"/>
      <c r="AN9" s="2825"/>
      <c r="AO9" s="2825"/>
      <c r="AP9" s="2825"/>
      <c r="AQ9" s="2825"/>
      <c r="AR9" s="2825"/>
      <c r="AS9" s="2825"/>
      <c r="AT9" s="2825"/>
      <c r="AU9" s="2825"/>
      <c r="AV9" s="2825"/>
      <c r="AW9" s="2825"/>
      <c r="AX9" s="2825"/>
      <c r="AY9" s="2825"/>
      <c r="AZ9" s="2825"/>
      <c r="BA9" s="2825"/>
      <c r="BB9" s="2825"/>
      <c r="BC9" s="2825"/>
      <c r="BD9" s="2825"/>
      <c r="BE9" s="2825"/>
      <c r="BF9" s="2825"/>
      <c r="BG9" s="2825"/>
      <c r="BH9" s="2825"/>
      <c r="BI9" s="2825"/>
      <c r="BJ9" s="2825"/>
      <c r="BK9" s="2825"/>
      <c r="BL9" s="2825"/>
      <c r="BM9" s="2825"/>
      <c r="BN9" s="2825"/>
      <c r="BO9" s="2825"/>
      <c r="BP9" s="2825"/>
      <c r="BQ9" s="2825"/>
      <c r="BR9" s="2825"/>
      <c r="BS9" s="2825"/>
      <c r="BT9" s="2825"/>
      <c r="BU9" s="2825"/>
      <c r="BV9" s="2825"/>
      <c r="BW9" s="2825"/>
      <c r="BX9" s="2825"/>
      <c r="BY9" s="2825"/>
      <c r="BZ9" s="2825"/>
      <c r="CA9" s="2825"/>
      <c r="CB9" s="2825"/>
      <c r="CC9" s="2825"/>
      <c r="CD9" s="2825"/>
      <c r="CE9" s="2825"/>
      <c r="CF9" s="2825"/>
      <c r="CG9" s="2825"/>
      <c r="CH9" s="2825"/>
      <c r="CI9" s="2825"/>
      <c r="CJ9" s="2825"/>
      <c r="CK9" s="2825"/>
      <c r="CL9" s="2825"/>
      <c r="CM9" s="2825"/>
      <c r="CN9" s="2825"/>
      <c r="CO9" s="2825"/>
      <c r="CP9" s="2825"/>
      <c r="CQ9" s="2825"/>
      <c r="CR9" s="2825"/>
      <c r="CS9" s="2825"/>
      <c r="CT9" s="2825"/>
      <c r="CU9" s="2825"/>
      <c r="CV9" s="2825"/>
      <c r="CW9" s="2825"/>
      <c r="CX9" s="2825"/>
      <c r="CY9" s="2825"/>
      <c r="CZ9" s="2825"/>
      <c r="DA9" s="2825"/>
      <c r="DB9" s="2825"/>
      <c r="DC9" s="2825"/>
      <c r="DD9" s="2825"/>
      <c r="DE9" s="2825"/>
      <c r="DF9" s="2825"/>
      <c r="DG9" s="2825"/>
      <c r="DH9" s="2825"/>
      <c r="DI9" s="2825"/>
      <c r="DJ9" s="2825"/>
      <c r="DK9" s="2825"/>
      <c r="DL9" s="2825"/>
      <c r="DM9" s="2825"/>
      <c r="DN9" s="2825"/>
      <c r="DO9" s="2825"/>
      <c r="DP9" s="2825"/>
      <c r="DQ9" s="2825"/>
      <c r="DR9" s="2825"/>
      <c r="DS9" s="2825"/>
      <c r="DT9" s="2825"/>
      <c r="DU9" s="2825"/>
      <c r="DV9" s="2825"/>
      <c r="DW9" s="2825"/>
      <c r="DX9" s="2825"/>
      <c r="DY9" s="2825"/>
      <c r="DZ9" s="2825"/>
      <c r="EA9" s="2825"/>
      <c r="EB9" s="2825"/>
      <c r="EC9" s="2825"/>
      <c r="ED9" s="2825"/>
      <c r="EE9" s="2825"/>
      <c r="EF9" s="2825"/>
      <c r="EG9" s="2825"/>
      <c r="EH9" s="2825"/>
      <c r="EI9" s="2825"/>
      <c r="EJ9" s="2825"/>
      <c r="EK9" s="2825"/>
      <c r="EL9" s="2825"/>
      <c r="EM9" s="2825"/>
      <c r="EN9" s="2825"/>
      <c r="EO9" s="2825"/>
      <c r="EP9" s="2825"/>
      <c r="EQ9" s="2825"/>
      <c r="ER9" s="2825"/>
      <c r="ES9" s="2825"/>
      <c r="ET9" s="2825"/>
      <c r="EU9" s="2825"/>
      <c r="EV9" s="2825"/>
      <c r="EW9" s="2825"/>
      <c r="EX9" s="2825"/>
      <c r="EY9" s="2825"/>
      <c r="EZ9" s="2825"/>
      <c r="FA9" s="2825"/>
      <c r="FB9" s="2833"/>
      <c r="FC9" s="2833"/>
      <c r="FD9" s="2833"/>
      <c r="FE9" s="2833"/>
      <c r="FF9" s="2833"/>
      <c r="FG9" s="2833"/>
      <c r="FH9" s="2833"/>
      <c r="FI9" s="2833"/>
      <c r="FJ9" s="2833"/>
      <c r="FK9" s="2833"/>
      <c r="FL9" s="2838"/>
      <c r="FM9" s="2825"/>
      <c r="FN9" s="2825"/>
      <c r="FO9" s="2825"/>
      <c r="FP9" s="2825"/>
      <c r="FQ9" s="2825"/>
      <c r="FR9" s="2825"/>
      <c r="FS9" s="2825"/>
      <c r="FT9" s="2825"/>
      <c r="FU9" s="2825"/>
      <c r="FV9" s="2825"/>
      <c r="FW9" s="2825"/>
      <c r="FX9" s="2825"/>
      <c r="FY9" s="2825"/>
      <c r="FZ9" s="2825"/>
      <c r="GA9" s="2825"/>
      <c r="GB9" s="2825"/>
      <c r="GC9" s="2825"/>
      <c r="GD9" s="2825"/>
      <c r="GE9" s="2825"/>
      <c r="GF9" s="2825"/>
      <c r="GG9" s="2825"/>
      <c r="GH9" s="2825"/>
      <c r="GI9" s="2825"/>
      <c r="GJ9" s="2825"/>
      <c r="GK9" s="2825"/>
      <c r="GL9" s="2825"/>
      <c r="GM9" s="2825"/>
      <c r="GN9" s="2825"/>
      <c r="GO9" s="2825"/>
      <c r="GP9" s="2825"/>
      <c r="GQ9" s="2825"/>
      <c r="GR9" s="2825"/>
      <c r="GS9" s="2825"/>
      <c r="GT9" s="2825"/>
      <c r="GU9" s="2825"/>
      <c r="GV9" s="2825"/>
      <c r="GW9" s="2825"/>
      <c r="GX9" s="2825"/>
      <c r="GY9" s="2825"/>
      <c r="GZ9" s="2825"/>
      <c r="HA9" s="2825"/>
      <c r="HB9" s="2825"/>
      <c r="HC9" s="2825"/>
      <c r="HD9" s="2825"/>
      <c r="HE9" s="2825"/>
      <c r="HF9" s="2825"/>
      <c r="HG9" s="2825"/>
      <c r="HH9" s="2825"/>
      <c r="HI9" s="2825"/>
      <c r="HJ9" s="2825"/>
      <c r="HK9" s="2825"/>
      <c r="HL9" s="2825"/>
      <c r="HM9" s="2825"/>
      <c r="HN9" s="2825"/>
      <c r="HO9" s="2825"/>
      <c r="HP9" s="2825"/>
      <c r="HQ9" s="2825"/>
      <c r="HR9" s="2825"/>
      <c r="HS9" s="2825"/>
      <c r="HT9" s="2825"/>
      <c r="HU9" s="2825"/>
      <c r="HV9" s="2825"/>
      <c r="HW9" s="2825"/>
      <c r="HX9" s="2825"/>
      <c r="HY9" s="2825"/>
      <c r="HZ9" s="2825"/>
      <c r="IA9" s="2825"/>
      <c r="IB9" s="2825"/>
      <c r="IC9" s="2825"/>
      <c r="ID9" s="2825"/>
      <c r="IE9" s="2825"/>
      <c r="IF9" s="2825"/>
      <c r="IG9" s="2825"/>
      <c r="IH9" s="2825"/>
      <c r="II9" s="2825"/>
      <c r="IJ9" s="2825"/>
      <c r="IK9" s="2825"/>
      <c r="IL9" s="2825"/>
      <c r="IM9" s="2825"/>
      <c r="IN9" s="2825"/>
      <c r="IO9" s="2838"/>
      <c r="IP9" s="2839"/>
      <c r="IQ9" s="2838"/>
      <c r="IR9" s="2838"/>
      <c r="IS9" s="2838"/>
      <c r="IT9" s="2838"/>
      <c r="IU9" s="2838"/>
      <c r="IV9" s="2838"/>
      <c r="IW9" s="2838"/>
      <c r="IX9" s="2838"/>
      <c r="IY9" s="2838"/>
      <c r="IZ9" s="2838"/>
      <c r="JA9" s="2838"/>
      <c r="JB9" s="2838"/>
      <c r="JC9" s="2838"/>
      <c r="JD9" s="2838"/>
      <c r="JE9" s="2838"/>
      <c r="JF9" s="2838"/>
      <c r="JG9" s="2838"/>
      <c r="JH9" s="2838"/>
      <c r="JI9" s="2833"/>
      <c r="JJ9" s="2833"/>
      <c r="JK9" s="2833"/>
      <c r="JL9" s="2833"/>
      <c r="JM9" s="2833"/>
      <c r="JN9" s="2833"/>
      <c r="JO9" s="2833"/>
      <c r="JP9" s="2833"/>
      <c r="JQ9" s="2833"/>
      <c r="JR9" s="2833"/>
      <c r="JS9" s="2833"/>
      <c r="JT9" s="2833"/>
      <c r="JU9" s="2833"/>
      <c r="JV9" s="2833"/>
      <c r="JW9" s="2833"/>
      <c r="JX9" s="2833"/>
      <c r="JY9" s="2833"/>
      <c r="JZ9" s="2833"/>
      <c r="KA9" s="2833"/>
      <c r="KB9" s="2833"/>
      <c r="KC9" s="2833"/>
      <c r="KD9" s="2833"/>
      <c r="KE9" s="2833"/>
      <c r="KF9" s="2833"/>
      <c r="KG9" s="2833"/>
      <c r="KH9" s="2833"/>
      <c r="KI9" s="2833"/>
      <c r="KJ9" s="2833"/>
      <c r="KK9" s="1353"/>
    </row>
    <row r="10" ht="13.5" customHeight="1">
      <c r="A10" s="2833"/>
      <c r="B10" s="2833"/>
      <c r="C10" s="2833"/>
      <c r="D10" s="2833"/>
      <c r="E10" s="2833"/>
      <c r="F10" s="2833"/>
      <c r="G10" s="2833"/>
      <c r="H10" s="2833"/>
      <c r="I10" s="2833"/>
      <c r="J10" s="2833"/>
      <c r="K10" s="2836"/>
      <c r="L10" s="2836"/>
      <c r="M10" s="2836"/>
      <c r="N10" s="2836"/>
      <c r="O10" s="2837"/>
      <c r="P10" s="2837"/>
      <c r="Q10" s="1353"/>
      <c r="R10" s="1353"/>
      <c r="S10" s="1353"/>
      <c r="T10" s="1353"/>
      <c r="U10" s="1353"/>
      <c r="V10" s="1353"/>
      <c r="W10" s="1353"/>
      <c r="X10" s="1353"/>
      <c r="Y10" s="1353"/>
      <c r="Z10" s="1353"/>
      <c r="AA10" s="1353"/>
      <c r="AB10" s="1353"/>
      <c r="AC10" s="1353"/>
      <c r="AD10" s="1353"/>
      <c r="AE10" s="1353"/>
      <c r="AF10" s="1353"/>
      <c r="AG10" s="1353"/>
      <c r="AH10" s="1353"/>
      <c r="AI10" s="1353"/>
      <c r="AJ10" s="1353"/>
      <c r="AK10" s="1353"/>
      <c r="AL10" s="1353"/>
      <c r="AM10" s="1353"/>
      <c r="AN10" s="1353"/>
      <c r="AO10" s="1353"/>
      <c r="AP10" s="1353"/>
      <c r="AQ10" s="1353"/>
      <c r="AR10" s="1353"/>
      <c r="AS10" s="1353"/>
      <c r="AT10" s="1353"/>
      <c r="AU10" s="1353"/>
      <c r="AV10" s="1353"/>
      <c r="AW10" s="1353"/>
      <c r="AX10" s="1353"/>
      <c r="AY10" s="1353"/>
      <c r="AZ10" s="1353"/>
      <c r="BA10" s="1353"/>
      <c r="BB10" s="1353"/>
      <c r="BC10" s="1353"/>
      <c r="BD10" s="1353"/>
      <c r="BE10" s="1353"/>
      <c r="BF10" s="1353"/>
      <c r="BG10" s="1353"/>
      <c r="BH10" s="1353"/>
      <c r="BI10" s="1353"/>
      <c r="BJ10" s="1353"/>
      <c r="BK10" s="1353"/>
      <c r="BL10" s="1353"/>
      <c r="BM10" s="1353"/>
      <c r="BN10" s="1353"/>
      <c r="BO10" s="1353"/>
      <c r="BP10" s="1353"/>
      <c r="BQ10" s="1353"/>
      <c r="BR10" s="1353"/>
      <c r="BS10" s="1353"/>
      <c r="BT10" s="1353"/>
      <c r="BU10" s="1353"/>
      <c r="BV10" s="1353"/>
      <c r="BW10" s="1353"/>
      <c r="BX10" s="1353"/>
      <c r="BY10" s="1353"/>
      <c r="BZ10" s="1353"/>
      <c r="CA10" s="1353"/>
      <c r="CB10" s="1353"/>
      <c r="CC10" s="1353"/>
      <c r="CD10" s="1353"/>
      <c r="CE10" s="1353"/>
      <c r="CF10" s="1353"/>
      <c r="CG10" s="1353"/>
      <c r="CH10" s="1353"/>
      <c r="CI10" s="1353"/>
      <c r="CJ10" s="1353"/>
      <c r="CK10" s="1353"/>
      <c r="CL10" s="1353"/>
      <c r="CM10" s="1353"/>
      <c r="CN10" s="1353"/>
      <c r="CO10" s="1353"/>
      <c r="CP10" s="1353"/>
      <c r="CQ10" s="1353"/>
      <c r="CR10" s="1353"/>
      <c r="CS10" s="1353"/>
      <c r="CT10" s="1353"/>
      <c r="CU10" s="1353"/>
      <c r="CV10" s="1353"/>
      <c r="CW10" s="1353"/>
      <c r="CX10" s="1353"/>
      <c r="CY10" s="1353"/>
      <c r="CZ10" s="1353"/>
      <c r="DA10" s="1353"/>
      <c r="DB10" s="1353"/>
      <c r="DC10" s="1353"/>
      <c r="DD10" s="1353"/>
      <c r="DE10" s="1353"/>
      <c r="DF10" s="1353"/>
      <c r="DG10" s="1353"/>
      <c r="DH10" s="1353"/>
      <c r="DI10" s="1353"/>
      <c r="DJ10" s="1353"/>
      <c r="DK10" s="1353"/>
      <c r="DL10" s="1353"/>
      <c r="DM10" s="1353"/>
      <c r="DN10" s="1353"/>
      <c r="DO10" s="1353"/>
      <c r="DP10" s="1353"/>
      <c r="DQ10" s="1353"/>
      <c r="DR10" s="1353"/>
      <c r="DS10" s="1353"/>
      <c r="DT10" s="1353"/>
      <c r="DU10" s="1353"/>
      <c r="DV10" s="1353"/>
      <c r="DW10" s="1353"/>
      <c r="DX10" s="1353"/>
      <c r="DY10" s="1353"/>
      <c r="DZ10" s="1353"/>
      <c r="EA10" s="1353"/>
      <c r="EB10" s="1353"/>
      <c r="EC10" s="1353"/>
      <c r="ED10" s="1353"/>
      <c r="EE10" s="1353"/>
      <c r="EF10" s="1353"/>
      <c r="EG10" s="1353"/>
      <c r="EH10" s="1353"/>
      <c r="EI10" s="1353"/>
      <c r="EJ10" s="1353"/>
      <c r="EK10" s="1353"/>
      <c r="EL10" s="1353"/>
      <c r="EM10" s="1353"/>
      <c r="EN10" s="1353"/>
      <c r="EO10" s="1353"/>
      <c r="EP10" s="1353"/>
      <c r="EQ10" s="1353"/>
      <c r="ER10" s="1353"/>
      <c r="ES10" s="1353"/>
      <c r="ET10" s="1353"/>
      <c r="EU10" s="1353"/>
      <c r="EV10" s="1353"/>
      <c r="EW10" s="1353"/>
      <c r="EX10" s="1353"/>
      <c r="EY10" s="1353"/>
      <c r="EZ10" s="1353"/>
      <c r="FA10" s="1353"/>
      <c r="FB10" s="2833"/>
      <c r="FC10" s="2825"/>
      <c r="FD10" s="2825"/>
      <c r="FE10" s="2825"/>
      <c r="FF10" s="2825"/>
      <c r="FG10" s="2825"/>
      <c r="FH10" s="2825"/>
      <c r="FI10" s="2825"/>
      <c r="FJ10" s="2825"/>
      <c r="FK10" s="2825"/>
      <c r="FL10" s="2825"/>
      <c r="FM10" s="2825"/>
      <c r="FN10" s="2825"/>
      <c r="FO10" s="2825"/>
      <c r="FP10" s="2825"/>
      <c r="FQ10" s="2825"/>
      <c r="FR10" s="2825"/>
      <c r="FS10" s="2825"/>
      <c r="FT10" s="2825"/>
      <c r="FU10" s="2825"/>
      <c r="FV10" s="2825"/>
      <c r="FW10" s="2825"/>
      <c r="FX10" s="2825"/>
      <c r="FY10" s="2825"/>
      <c r="FZ10" s="2825"/>
      <c r="GA10" s="2825"/>
      <c r="GB10" s="2825"/>
      <c r="GC10" s="2825"/>
      <c r="GD10" s="2825"/>
      <c r="GE10" s="2825"/>
      <c r="GF10" s="2825"/>
      <c r="GG10" s="2825"/>
      <c r="GH10" s="2825"/>
      <c r="GI10" s="2825"/>
      <c r="GJ10" s="2825"/>
      <c r="GK10" s="2825"/>
      <c r="GL10" s="2825"/>
      <c r="GM10" s="2825"/>
      <c r="GN10" s="2825"/>
      <c r="GO10" s="2825"/>
      <c r="GP10" s="2825"/>
      <c r="GQ10" s="2825"/>
      <c r="GR10" s="2825"/>
      <c r="GS10" s="2825"/>
      <c r="GT10" s="2825"/>
      <c r="GU10" s="2825"/>
      <c r="GV10" s="2825"/>
      <c r="GW10" s="2825"/>
      <c r="GX10" s="2825"/>
      <c r="GY10" s="2825"/>
      <c r="GZ10" s="2825"/>
      <c r="HA10" s="2825"/>
      <c r="HB10" s="2825"/>
      <c r="HC10" s="2825"/>
      <c r="HD10" s="2825"/>
      <c r="HE10" s="2825"/>
      <c r="HF10" s="2825"/>
      <c r="HG10" s="2825"/>
      <c r="HH10" s="2825"/>
      <c r="HI10" s="2825"/>
      <c r="HJ10" s="2825"/>
      <c r="HK10" s="2825"/>
      <c r="HL10" s="2825"/>
      <c r="HM10" s="2825"/>
      <c r="HN10" s="2825"/>
      <c r="HO10" s="2825"/>
      <c r="HP10" s="2825"/>
      <c r="HQ10" s="2825"/>
      <c r="HR10" s="2825"/>
      <c r="HS10" s="2825"/>
      <c r="HT10" s="2825"/>
      <c r="HU10" s="2825"/>
      <c r="HV10" s="2825"/>
      <c r="HW10" s="2825"/>
      <c r="HX10" s="2825"/>
      <c r="HY10" s="2825"/>
      <c r="HZ10" s="2825"/>
      <c r="IA10" s="2825"/>
      <c r="IB10" s="2825"/>
      <c r="IC10" s="2825"/>
      <c r="ID10" s="2825"/>
      <c r="IE10" s="2825"/>
      <c r="IF10" s="2825"/>
      <c r="IG10" s="2825"/>
      <c r="IH10" s="2825"/>
      <c r="II10" s="2825"/>
      <c r="IJ10" s="2825"/>
      <c r="IK10" s="2825"/>
      <c r="IL10" s="2825"/>
      <c r="IM10" s="2825"/>
      <c r="IN10" s="2825"/>
      <c r="IO10" s="2825"/>
      <c r="IP10" s="2842"/>
      <c r="IQ10" s="2825"/>
      <c r="IR10" s="2825"/>
      <c r="IS10" s="2825"/>
      <c r="IT10" s="2825"/>
      <c r="IU10" s="2825"/>
      <c r="IV10" s="2825"/>
      <c r="IW10" s="2825"/>
      <c r="IX10" s="2825"/>
      <c r="IY10" s="2825"/>
      <c r="IZ10" s="2825"/>
      <c r="JA10" s="2825"/>
      <c r="JB10" s="2825"/>
      <c r="JC10" s="2825"/>
      <c r="JD10" s="2825"/>
      <c r="JE10" s="2825"/>
      <c r="JF10" s="2825"/>
      <c r="JG10" s="2825"/>
      <c r="JH10" s="2825"/>
      <c r="JI10" s="2825"/>
      <c r="JJ10" s="2825"/>
      <c r="JK10" s="2825"/>
      <c r="JL10" s="2825"/>
      <c r="JM10" s="2825"/>
      <c r="JN10" s="2825"/>
      <c r="JO10" s="2825"/>
      <c r="JP10" s="2825"/>
      <c r="JQ10" s="2825"/>
      <c r="JR10" s="2825"/>
      <c r="JS10" s="2825"/>
      <c r="JT10" s="2825"/>
      <c r="JU10" s="2825"/>
      <c r="JV10" s="2825"/>
      <c r="JW10" s="2825"/>
      <c r="JX10" s="2825"/>
      <c r="JY10" s="2825"/>
      <c r="JZ10" s="2825"/>
      <c r="KA10" s="2825"/>
      <c r="KB10" s="2825"/>
      <c r="KC10" s="2825"/>
      <c r="KD10" s="2825"/>
      <c r="KE10" s="2825"/>
      <c r="KF10" s="2825"/>
      <c r="KG10" s="2825"/>
      <c r="KH10" s="2825"/>
      <c r="KI10" s="2825"/>
      <c r="KJ10" s="2825"/>
      <c r="KK10" s="1353"/>
    </row>
    <row r="11" ht="15" customHeight="1">
      <c r="A11" s="2833"/>
      <c r="B11" s="2843"/>
      <c r="C11" s="2843"/>
      <c r="D11" s="2843"/>
      <c r="E11" s="2843"/>
      <c r="F11" s="2843"/>
      <c r="G11" s="2843"/>
      <c r="H11" s="2833"/>
      <c r="I11" s="2833"/>
      <c r="J11" s="2833"/>
      <c r="K11" s="2836"/>
      <c r="L11" s="2836"/>
      <c r="M11" s="2836"/>
      <c r="N11" s="2836"/>
      <c r="O11" s="2837"/>
      <c r="P11" s="2838"/>
      <c r="Q11" s="2838"/>
      <c r="R11" s="2838"/>
      <c r="S11" s="2838"/>
      <c r="T11" s="2838"/>
      <c r="U11" s="2838"/>
      <c r="V11" s="2825"/>
      <c r="W11" s="2825"/>
      <c r="X11" s="2825"/>
      <c r="Y11" s="2825"/>
      <c r="Z11" s="2825"/>
      <c r="AA11" s="2825"/>
      <c r="AB11" s="2838"/>
      <c r="AC11" s="2838"/>
      <c r="AD11" s="2838"/>
      <c r="AE11" s="2838"/>
      <c r="AF11" s="2838"/>
      <c r="AG11" s="2838"/>
      <c r="AH11" s="2838"/>
      <c r="AI11" s="2825"/>
      <c r="AJ11" s="2825"/>
      <c r="AK11" s="2825"/>
      <c r="AL11" s="2825"/>
      <c r="AM11" s="2825"/>
      <c r="AN11" s="2825"/>
      <c r="AO11" s="2825"/>
      <c r="AP11" s="2825"/>
      <c r="AQ11" s="2825"/>
      <c r="AR11" s="2825"/>
      <c r="AS11" s="2825"/>
      <c r="AT11" s="2825"/>
      <c r="AU11" s="2825"/>
      <c r="AV11" s="2825"/>
      <c r="AW11" s="2825"/>
      <c r="AX11" s="2825"/>
      <c r="AY11" s="2825"/>
      <c r="AZ11" s="2825"/>
      <c r="BA11" s="2825"/>
      <c r="BB11" s="2825"/>
      <c r="BC11" s="2825"/>
      <c r="BD11" s="2825"/>
      <c r="BE11" s="2825"/>
      <c r="BF11" s="2825"/>
      <c r="BG11" s="2825"/>
      <c r="BH11" s="2825"/>
      <c r="BI11" s="2825"/>
      <c r="BJ11" s="2825"/>
      <c r="BK11" s="2825"/>
      <c r="BL11" s="2825"/>
      <c r="BM11" s="2825"/>
      <c r="BN11" s="2825"/>
      <c r="BO11" s="2825"/>
      <c r="BP11" s="2825"/>
      <c r="BQ11" s="2825"/>
      <c r="BR11" s="2825"/>
      <c r="BS11" s="2825"/>
      <c r="BT11" s="2825"/>
      <c r="BU11" s="2825"/>
      <c r="BV11" s="2825"/>
      <c r="BW11" s="2825"/>
      <c r="BX11" s="2825"/>
      <c r="BY11" s="2825"/>
      <c r="BZ11" s="2825"/>
      <c r="CA11" s="2825"/>
      <c r="CB11" s="2825"/>
      <c r="CC11" s="2825"/>
      <c r="CD11" s="2825"/>
      <c r="CE11" s="2825"/>
      <c r="CF11" s="2825"/>
      <c r="CG11" s="2825"/>
      <c r="CH11" s="2825"/>
      <c r="CI11" s="2825"/>
      <c r="CJ11" s="2825"/>
      <c r="CK11" s="2825"/>
      <c r="CL11" s="2825"/>
      <c r="CM11" s="2825"/>
      <c r="CN11" s="2825"/>
      <c r="CO11" s="2825"/>
      <c r="CP11" s="2825"/>
      <c r="CQ11" s="2825"/>
      <c r="CR11" s="2825"/>
      <c r="CS11" s="2825"/>
      <c r="CT11" s="2825"/>
      <c r="CU11" s="2825"/>
      <c r="CV11" s="2825"/>
      <c r="CW11" s="2825"/>
      <c r="CX11" s="2825"/>
      <c r="CY11" s="2825"/>
      <c r="CZ11" s="2825"/>
      <c r="DA11" s="2825"/>
      <c r="DB11" s="2825"/>
      <c r="DC11" s="2825"/>
      <c r="DD11" s="2825"/>
      <c r="DE11" s="2825"/>
      <c r="DF11" s="2825"/>
      <c r="DG11" s="2825"/>
      <c r="DH11" s="2825"/>
      <c r="DI11" s="2825"/>
      <c r="DJ11" s="2825"/>
      <c r="DK11" s="2825"/>
      <c r="DL11" s="2825"/>
      <c r="DM11" s="2825"/>
      <c r="DN11" s="2825"/>
      <c r="DO11" s="2825"/>
      <c r="DP11" s="2825"/>
      <c r="DQ11" s="2825"/>
      <c r="DR11" s="2825"/>
      <c r="DS11" s="2825"/>
      <c r="DT11" s="2825"/>
      <c r="DU11" s="2825"/>
      <c r="DV11" s="2825"/>
      <c r="DW11" s="2825"/>
      <c r="DX11" s="2825"/>
      <c r="DY11" s="2825"/>
      <c r="DZ11" s="2825"/>
      <c r="EA11" s="2825"/>
      <c r="EB11" s="2825"/>
      <c r="EC11" s="2825"/>
      <c r="ED11" s="2825"/>
      <c r="EE11" s="2825"/>
      <c r="EF11" s="2825"/>
      <c r="EG11" s="2825"/>
      <c r="EH11" s="2825"/>
      <c r="EI11" s="2825"/>
      <c r="EJ11" s="2825"/>
      <c r="EK11" s="2825"/>
      <c r="EL11" s="2825"/>
      <c r="EM11" s="2825"/>
      <c r="EN11" s="2825"/>
      <c r="EO11" s="2825"/>
      <c r="EP11" s="2825"/>
      <c r="EQ11" s="2825"/>
      <c r="ER11" s="2825"/>
      <c r="ES11" s="2825"/>
      <c r="ET11" s="2825"/>
      <c r="EU11" s="2825"/>
      <c r="EV11" s="2825"/>
      <c r="EW11" s="2825"/>
      <c r="EX11" s="2825"/>
      <c r="EY11" s="2825"/>
      <c r="EZ11" s="2825"/>
      <c r="FA11" s="2825"/>
      <c r="FB11" s="2833"/>
      <c r="FC11" s="2833"/>
      <c r="FD11" s="2833"/>
      <c r="FE11" s="2833"/>
      <c r="FF11" s="2833"/>
      <c r="FG11" s="2833"/>
      <c r="FH11" s="2833"/>
      <c r="FI11" s="2833"/>
      <c r="FJ11" s="2833"/>
      <c r="FK11" s="2833"/>
      <c r="FL11" s="2838"/>
      <c r="FM11" s="2825"/>
      <c r="FN11" s="2825"/>
      <c r="FO11" s="2825"/>
      <c r="FP11" s="2825"/>
      <c r="FQ11" s="2825"/>
      <c r="FR11" s="2825"/>
      <c r="FS11" s="2825"/>
      <c r="FT11" s="2825"/>
      <c r="FU11" s="2825"/>
      <c r="FV11" s="2825"/>
      <c r="FW11" s="2825"/>
      <c r="FX11" s="2825"/>
      <c r="FY11" s="2825"/>
      <c r="FZ11" s="2825"/>
      <c r="GA11" s="2825"/>
      <c r="GB11" s="2825"/>
      <c r="GC11" s="2825"/>
      <c r="GD11" s="2825"/>
      <c r="GE11" s="2825"/>
      <c r="GF11" s="2825"/>
      <c r="GG11" s="2825"/>
      <c r="GH11" s="2825"/>
      <c r="GI11" s="2825"/>
      <c r="GJ11" s="2825"/>
      <c r="GK11" s="2825"/>
      <c r="GL11" s="2825"/>
      <c r="GM11" s="2825"/>
      <c r="GN11" s="2825"/>
      <c r="GO11" s="2825"/>
      <c r="GP11" s="2825"/>
      <c r="GQ11" s="2825"/>
      <c r="GR11" s="2825"/>
      <c r="GS11" s="2825"/>
      <c r="GT11" s="2825"/>
      <c r="GU11" s="2825"/>
      <c r="GV11" s="2825"/>
      <c r="GW11" s="2825"/>
      <c r="GX11" s="2825"/>
      <c r="GY11" s="2825"/>
      <c r="GZ11" s="2825"/>
      <c r="HA11" s="2825"/>
      <c r="HB11" s="2825"/>
      <c r="HC11" s="2825"/>
      <c r="HD11" s="2825"/>
      <c r="HE11" s="2825"/>
      <c r="HF11" s="2825"/>
      <c r="HG11" s="2825"/>
      <c r="HH11" s="2825"/>
      <c r="HI11" s="2825"/>
      <c r="HJ11" s="2825"/>
      <c r="HK11" s="2825"/>
      <c r="HL11" s="2825"/>
      <c r="HM11" s="2825"/>
      <c r="HN11" s="2825"/>
      <c r="HO11" s="2825"/>
      <c r="HP11" s="2825"/>
      <c r="HQ11" s="2825"/>
      <c r="HR11" s="2825"/>
      <c r="HS11" s="2825"/>
      <c r="HT11" s="2825"/>
      <c r="HU11" s="2825"/>
      <c r="HV11" s="2825"/>
      <c r="HW11" s="2825"/>
      <c r="HX11" s="2825"/>
      <c r="HY11" s="2825"/>
      <c r="HZ11" s="2825"/>
      <c r="IA11" s="2825"/>
      <c r="IB11" s="2825"/>
      <c r="IC11" s="2825"/>
      <c r="ID11" s="2825"/>
      <c r="IE11" s="2825"/>
      <c r="IF11" s="2825"/>
      <c r="IG11" s="2825"/>
      <c r="IH11" s="2825"/>
      <c r="II11" s="2825"/>
      <c r="IJ11" s="2825"/>
      <c r="IK11" s="2825"/>
      <c r="IL11" s="2825"/>
      <c r="IM11" s="2825"/>
      <c r="IN11" s="2825"/>
      <c r="IO11" s="2838"/>
      <c r="IP11" s="2839"/>
      <c r="IQ11" s="2838"/>
      <c r="IR11" s="2838"/>
      <c r="IS11" s="2838"/>
      <c r="IT11" s="2838"/>
      <c r="IU11" s="2838"/>
      <c r="IV11" s="2838"/>
      <c r="IW11" s="2838"/>
      <c r="IX11" s="2838"/>
      <c r="IY11" s="2838"/>
      <c r="IZ11" s="2838"/>
      <c r="JA11" s="2838"/>
      <c r="JB11" s="2838"/>
      <c r="JC11" s="2838"/>
      <c r="JD11" s="2838"/>
      <c r="JE11" s="2838"/>
      <c r="JF11" s="2838"/>
      <c r="JG11" s="2838"/>
      <c r="JH11" s="2838"/>
      <c r="JI11" s="2833"/>
      <c r="JJ11" s="2833"/>
      <c r="JK11" s="2833"/>
      <c r="JL11" s="2833"/>
      <c r="JM11" s="2833"/>
      <c r="JN11" s="2833"/>
      <c r="JO11" s="2833"/>
      <c r="JP11" s="2833"/>
      <c r="JQ11" s="2833"/>
      <c r="JR11" s="2833"/>
      <c r="JS11" s="2833"/>
      <c r="JT11" s="2833"/>
      <c r="JU11" s="2833"/>
      <c r="JV11" s="2833"/>
      <c r="JW11" s="2833"/>
      <c r="JX11" s="2833"/>
      <c r="JY11" s="2833"/>
      <c r="JZ11" s="2833"/>
      <c r="KA11" s="2833"/>
      <c r="KB11" s="2833"/>
      <c r="KC11" s="2833"/>
      <c r="KD11" s="2833"/>
      <c r="KE11" s="2833"/>
      <c r="KF11" s="2833"/>
      <c r="KG11" s="2833"/>
      <c r="KH11" s="2833"/>
      <c r="KI11" s="2833"/>
      <c r="KJ11" s="2833"/>
      <c r="KK11" s="1353"/>
    </row>
    <row r="12" ht="15.75" customHeight="1">
      <c r="A12" s="2833"/>
      <c r="B12" s="2843"/>
      <c r="C12" s="2843"/>
      <c r="D12" s="2843"/>
      <c r="E12" s="2843"/>
      <c r="F12" s="2843"/>
      <c r="G12" s="2843"/>
      <c r="H12" s="2833"/>
      <c r="I12" s="2833"/>
      <c r="J12" s="2833"/>
      <c r="K12" s="2836"/>
      <c r="L12" s="2836"/>
      <c r="M12" s="2836"/>
      <c r="N12" s="2836"/>
      <c r="O12" s="2837"/>
      <c r="P12" s="2837"/>
      <c r="Q12" s="2837"/>
      <c r="R12" s="2837"/>
      <c r="S12" s="2837"/>
      <c r="T12" s="2837"/>
      <c r="U12" s="2837"/>
      <c r="V12" s="2837"/>
      <c r="W12" s="2837"/>
      <c r="X12" s="2837"/>
      <c r="Y12" s="2837"/>
      <c r="Z12" s="2837"/>
      <c r="AA12" s="2837"/>
      <c r="AB12" s="2841"/>
      <c r="AC12" s="2841"/>
      <c r="AD12" s="2841"/>
      <c r="AE12" s="2841"/>
      <c r="AF12" s="2841"/>
      <c r="AG12" s="2841"/>
      <c r="AH12" s="2841"/>
      <c r="AI12" s="2837"/>
      <c r="AJ12" s="2837"/>
      <c r="AK12" s="2837"/>
      <c r="AL12" s="2837"/>
      <c r="AM12" s="2837"/>
      <c r="AN12" s="2837"/>
      <c r="AO12" s="2837"/>
      <c r="AP12" s="2837"/>
      <c r="AQ12" s="2837"/>
      <c r="AR12" s="2837"/>
      <c r="AS12" s="2837"/>
      <c r="AT12" s="2837"/>
      <c r="AU12" s="2837"/>
      <c r="AV12" s="2837"/>
      <c r="AW12" s="2837"/>
      <c r="AX12" s="2837"/>
      <c r="AY12" s="2837"/>
      <c r="AZ12" s="2837"/>
      <c r="BA12" s="2837"/>
      <c r="BB12" s="2837"/>
      <c r="BC12" s="2837"/>
      <c r="BD12" s="2837"/>
      <c r="BE12" s="2837"/>
      <c r="BF12" s="2837"/>
      <c r="BG12" s="2837"/>
      <c r="BH12" s="2837"/>
      <c r="BI12" s="2837"/>
      <c r="BJ12" s="2837"/>
      <c r="BK12" s="2837"/>
      <c r="BL12" s="2837"/>
      <c r="BM12" s="2837"/>
      <c r="BN12" s="2837"/>
      <c r="BO12" s="2837"/>
      <c r="BP12" s="2837"/>
      <c r="BQ12" s="2837"/>
      <c r="BR12" s="2837"/>
      <c r="BS12" s="2837"/>
      <c r="BT12" s="2837"/>
      <c r="BU12" s="2837"/>
      <c r="BV12" s="2837"/>
      <c r="BW12" s="2837"/>
      <c r="BX12" s="2837"/>
      <c r="BY12" s="2837"/>
      <c r="BZ12" s="2837"/>
      <c r="CA12" s="2837"/>
      <c r="CB12" s="2837"/>
      <c r="CC12" s="2837"/>
      <c r="CD12" s="2837"/>
      <c r="CE12" s="2837"/>
      <c r="CF12" s="2837"/>
      <c r="CG12" s="2837"/>
      <c r="CH12" s="2837"/>
      <c r="CI12" s="2837"/>
      <c r="CJ12" s="2837"/>
      <c r="CK12" s="2837"/>
      <c r="CL12" s="2837"/>
      <c r="CM12" s="2837"/>
      <c r="CN12" s="2837"/>
      <c r="CO12" s="2837"/>
      <c r="CP12" s="2837"/>
      <c r="CQ12" s="2837"/>
      <c r="CR12" s="2837"/>
      <c r="CS12" s="2837"/>
      <c r="CT12" s="2837"/>
      <c r="CU12" s="2837"/>
      <c r="CV12" s="2837"/>
      <c r="CW12" s="2837"/>
      <c r="CX12" s="2837"/>
      <c r="CY12" s="2837"/>
      <c r="CZ12" s="2837"/>
      <c r="DA12" s="2837"/>
      <c r="DB12" s="2837"/>
      <c r="DC12" s="2837"/>
      <c r="DD12" s="2837"/>
      <c r="DE12" s="2837"/>
      <c r="DF12" s="2837"/>
      <c r="DG12" s="2837"/>
      <c r="DH12" s="2837"/>
      <c r="DI12" s="2837"/>
      <c r="DJ12" s="2837"/>
      <c r="DK12" s="2837"/>
      <c r="DL12" s="2837"/>
      <c r="DM12" s="2837"/>
      <c r="DN12" s="2837"/>
      <c r="DO12" s="2837"/>
      <c r="DP12" s="2837"/>
      <c r="DQ12" s="2837"/>
      <c r="DR12" s="2837"/>
      <c r="DS12" s="2837"/>
      <c r="DT12" s="2837"/>
      <c r="DU12" s="2837"/>
      <c r="DV12" s="2837"/>
      <c r="DW12" s="2837"/>
      <c r="DX12" s="2837"/>
      <c r="DY12" s="2837"/>
      <c r="DZ12" s="2837"/>
      <c r="EA12" s="2837"/>
      <c r="EB12" s="2837"/>
      <c r="EC12" s="2837"/>
      <c r="ED12" s="2837"/>
      <c r="EE12" s="2837"/>
      <c r="EF12" s="2837"/>
      <c r="EG12" s="2837"/>
      <c r="EH12" s="2837"/>
      <c r="EI12" s="2837"/>
      <c r="EJ12" s="2837"/>
      <c r="EK12" s="2837"/>
      <c r="EL12" s="2837"/>
      <c r="EM12" s="2837"/>
      <c r="EN12" s="2837"/>
      <c r="EO12" s="2837"/>
      <c r="EP12" s="2837"/>
      <c r="EQ12" s="2837"/>
      <c r="ER12" s="2837"/>
      <c r="ES12" s="2837"/>
      <c r="ET12" s="2837"/>
      <c r="EU12" s="2837"/>
      <c r="EV12" s="2837"/>
      <c r="EW12" s="2837"/>
      <c r="EX12" s="2837"/>
      <c r="EY12" s="2837"/>
      <c r="EZ12" s="2837"/>
      <c r="FA12" s="2837"/>
      <c r="FB12" s="2837"/>
      <c r="FC12" s="2833"/>
      <c r="FD12" s="2833"/>
      <c r="FE12" s="2833"/>
      <c r="FF12" s="2833"/>
      <c r="FG12" s="2833"/>
      <c r="FH12" s="2833"/>
      <c r="FI12" s="2833"/>
      <c r="FJ12" s="2833"/>
      <c r="FK12" s="2833"/>
      <c r="FL12" s="2838"/>
      <c r="FM12" s="2825"/>
      <c r="FN12" s="2825"/>
      <c r="FO12" s="2825"/>
      <c r="FP12" s="2825"/>
      <c r="FQ12" s="2825"/>
      <c r="FR12" s="2825"/>
      <c r="FS12" s="2825"/>
      <c r="FT12" s="2825"/>
      <c r="FU12" s="2825"/>
      <c r="FV12" s="2825"/>
      <c r="FW12" s="2825"/>
      <c r="FX12" s="2825"/>
      <c r="FY12" s="2825"/>
      <c r="FZ12" s="2825"/>
      <c r="GA12" s="2825"/>
      <c r="GB12" s="2825"/>
      <c r="GC12" s="2825"/>
      <c r="GD12" s="2825"/>
      <c r="GE12" s="2825"/>
      <c r="GF12" s="2825"/>
      <c r="GG12" s="2825"/>
      <c r="GH12" s="2825"/>
      <c r="GI12" s="2825"/>
      <c r="GJ12" s="2825"/>
      <c r="GK12" s="2825"/>
      <c r="GL12" s="2825"/>
      <c r="GM12" s="2825"/>
      <c r="GN12" s="2825"/>
      <c r="GO12" s="2825"/>
      <c r="GP12" s="2825"/>
      <c r="GQ12" s="2825"/>
      <c r="GR12" s="2825"/>
      <c r="GS12" s="2825"/>
      <c r="GT12" s="2825"/>
      <c r="GU12" s="2825"/>
      <c r="GV12" s="2825"/>
      <c r="GW12" s="2825"/>
      <c r="GX12" s="2825"/>
      <c r="GY12" s="2825"/>
      <c r="GZ12" s="2825"/>
      <c r="HA12" s="2825"/>
      <c r="HB12" s="2825"/>
      <c r="HC12" s="2825"/>
      <c r="HD12" s="2825"/>
      <c r="HE12" s="2825"/>
      <c r="HF12" s="2825"/>
      <c r="HG12" s="2825"/>
      <c r="HH12" s="2825"/>
      <c r="HI12" s="2825"/>
      <c r="HJ12" s="2825"/>
      <c r="HK12" s="2825"/>
      <c r="HL12" s="2825"/>
      <c r="HM12" s="2825"/>
      <c r="HN12" s="2825"/>
      <c r="HO12" s="2825"/>
      <c r="HP12" s="2825"/>
      <c r="HQ12" s="2825"/>
      <c r="HR12" s="2825"/>
      <c r="HS12" s="2825"/>
      <c r="HT12" s="2825"/>
      <c r="HU12" s="2825"/>
      <c r="HV12" s="2825"/>
      <c r="HW12" s="2825"/>
      <c r="HX12" s="2825"/>
      <c r="HY12" s="2825"/>
      <c r="HZ12" s="2825"/>
      <c r="IA12" s="2825"/>
      <c r="IB12" s="2825"/>
      <c r="IC12" s="2825"/>
      <c r="ID12" s="2825"/>
      <c r="IE12" s="2825"/>
      <c r="IF12" s="2825"/>
      <c r="IG12" s="2825"/>
      <c r="IH12" s="2825"/>
      <c r="II12" s="2825"/>
      <c r="IJ12" s="2825"/>
      <c r="IK12" s="2825"/>
      <c r="IL12" s="2825"/>
      <c r="IM12" s="2825"/>
      <c r="IN12" s="2825"/>
      <c r="IO12" s="2838"/>
      <c r="IP12" s="2839"/>
      <c r="IQ12" s="2838"/>
      <c r="IR12" s="2838"/>
      <c r="IS12" s="2838"/>
      <c r="IT12" s="2838"/>
      <c r="IU12" s="2838"/>
      <c r="IV12" s="2838"/>
      <c r="IW12" s="2838"/>
      <c r="IX12" s="2838"/>
      <c r="IY12" s="2838"/>
      <c r="IZ12" s="2838"/>
      <c r="JA12" s="2838"/>
      <c r="JB12" s="2838"/>
      <c r="JC12" s="2838"/>
      <c r="JD12" s="2838"/>
      <c r="JE12" s="2838"/>
      <c r="JF12" s="2838"/>
      <c r="JG12" s="2838"/>
      <c r="JH12" s="2838"/>
      <c r="JI12" s="2833"/>
      <c r="JJ12" s="2833"/>
      <c r="JK12" s="2833"/>
      <c r="JL12" s="2833"/>
      <c r="JM12" s="2833"/>
      <c r="JN12" s="2833"/>
      <c r="JO12" s="2833"/>
      <c r="JP12" s="2833"/>
      <c r="JQ12" s="2833"/>
      <c r="JR12" s="2833"/>
      <c r="JS12" s="2833"/>
      <c r="JT12" s="2833"/>
      <c r="JU12" s="2833"/>
      <c r="JV12" s="2833"/>
      <c r="JW12" s="2833"/>
      <c r="JX12" s="2833"/>
      <c r="JY12" s="2833"/>
      <c r="JZ12" s="2833"/>
      <c r="KA12" s="2833"/>
      <c r="KB12" s="2833"/>
      <c r="KC12" s="2833"/>
      <c r="KD12" s="2833"/>
      <c r="KE12" s="2833"/>
      <c r="KF12" s="2833"/>
      <c r="KG12" s="2833"/>
      <c r="KH12" s="2833"/>
      <c r="KI12" s="2833"/>
      <c r="KJ12" s="2833"/>
      <c r="KK12" s="1353"/>
    </row>
    <row r="13" ht="6.75" customHeight="1">
      <c r="A13" s="2833"/>
      <c r="B13" s="2833"/>
      <c r="C13" s="2833"/>
      <c r="D13" s="2833"/>
      <c r="E13" s="2833"/>
      <c r="F13" s="2833"/>
      <c r="G13" s="2833"/>
      <c r="H13" s="2833"/>
      <c r="I13" s="2833"/>
      <c r="J13" s="2833"/>
      <c r="K13" s="2836"/>
      <c r="L13" s="2836"/>
      <c r="M13" s="2836"/>
      <c r="N13" s="2836"/>
      <c r="O13" s="2837"/>
      <c r="P13" s="2837"/>
      <c r="Q13" s="1353"/>
      <c r="R13" s="1353"/>
      <c r="S13" s="1353"/>
      <c r="T13" s="1353"/>
      <c r="U13" s="1353"/>
      <c r="V13" s="1353"/>
      <c r="W13" s="1353"/>
      <c r="X13" s="1353"/>
      <c r="Y13" s="1353"/>
      <c r="Z13" s="1353"/>
      <c r="AA13" s="1353"/>
      <c r="AB13" s="1353"/>
      <c r="AC13" s="1353"/>
      <c r="AD13" s="1353"/>
      <c r="AE13" s="1353"/>
      <c r="AF13" s="1353"/>
      <c r="AG13" s="1353"/>
      <c r="AH13" s="1353"/>
      <c r="AI13" s="1353"/>
      <c r="AJ13" s="1353"/>
      <c r="AK13" s="1353"/>
      <c r="AL13" s="1353"/>
      <c r="AM13" s="1353"/>
      <c r="AN13" s="1353"/>
      <c r="AO13" s="1353"/>
      <c r="AP13" s="1353"/>
      <c r="AQ13" s="1353"/>
      <c r="AR13" s="1353"/>
      <c r="AS13" s="1353"/>
      <c r="AT13" s="1353"/>
      <c r="AU13" s="1353"/>
      <c r="AV13" s="1353"/>
      <c r="AW13" s="1353"/>
      <c r="AX13" s="1353"/>
      <c r="AY13" s="1353"/>
      <c r="AZ13" s="1353"/>
      <c r="BA13" s="1353"/>
      <c r="BB13" s="1353"/>
      <c r="BC13" s="1353"/>
      <c r="BD13" s="1353"/>
      <c r="BE13" s="1353"/>
      <c r="BF13" s="1353"/>
      <c r="BG13" s="1353"/>
      <c r="BH13" s="1353"/>
      <c r="BI13" s="1353"/>
      <c r="BJ13" s="1353"/>
      <c r="BK13" s="1353"/>
      <c r="BL13" s="1353"/>
      <c r="BM13" s="1353"/>
      <c r="BN13" s="1353"/>
      <c r="BO13" s="1353"/>
      <c r="BP13" s="1353"/>
      <c r="BQ13" s="1353"/>
      <c r="BR13" s="1353"/>
      <c r="BS13" s="1353"/>
      <c r="BT13" s="1353"/>
      <c r="BU13" s="1353"/>
      <c r="BV13" s="1353"/>
      <c r="BW13" s="1353"/>
      <c r="BX13" s="1353"/>
      <c r="BY13" s="1353"/>
      <c r="BZ13" s="1353"/>
      <c r="CA13" s="1353"/>
      <c r="CB13" s="1353"/>
      <c r="CC13" s="1353"/>
      <c r="CD13" s="1353"/>
      <c r="CE13" s="1353"/>
      <c r="CF13" s="1353"/>
      <c r="CG13" s="1353"/>
      <c r="CH13" s="1353"/>
      <c r="CI13" s="1353"/>
      <c r="CJ13" s="1353"/>
      <c r="CK13" s="1353"/>
      <c r="CL13" s="1353"/>
      <c r="CM13" s="1353"/>
      <c r="CN13" s="1353"/>
      <c r="CO13" s="1353"/>
      <c r="CP13" s="1353"/>
      <c r="CQ13" s="1353"/>
      <c r="CR13" s="1353"/>
      <c r="CS13" s="1353"/>
      <c r="CT13" s="1353"/>
      <c r="CU13" s="1353"/>
      <c r="CV13" s="1353"/>
      <c r="CW13" s="1353"/>
      <c r="CX13" s="1353"/>
      <c r="CY13" s="1353"/>
      <c r="CZ13" s="1353"/>
      <c r="DA13" s="1353"/>
      <c r="DB13" s="1353"/>
      <c r="DC13" s="1353"/>
      <c r="DD13" s="1353"/>
      <c r="DE13" s="1353"/>
      <c r="DF13" s="1353"/>
      <c r="DG13" s="1353"/>
      <c r="DH13" s="1353"/>
      <c r="DI13" s="1353"/>
      <c r="DJ13" s="1353"/>
      <c r="DK13" s="1353"/>
      <c r="DL13" s="1353"/>
      <c r="DM13" s="1353"/>
      <c r="DN13" s="1353"/>
      <c r="DO13" s="1353"/>
      <c r="DP13" s="1353"/>
      <c r="DQ13" s="1353"/>
      <c r="DR13" s="1353"/>
      <c r="DS13" s="1353"/>
      <c r="DT13" s="1353"/>
      <c r="DU13" s="1353"/>
      <c r="DV13" s="1353"/>
      <c r="DW13" s="1353"/>
      <c r="DX13" s="1353"/>
      <c r="DY13" s="1353"/>
      <c r="DZ13" s="1353"/>
      <c r="EA13" s="1353"/>
      <c r="EB13" s="1353"/>
      <c r="EC13" s="1353"/>
      <c r="ED13" s="1353"/>
      <c r="EE13" s="1353"/>
      <c r="EF13" s="1353"/>
      <c r="EG13" s="1353"/>
      <c r="EH13" s="1353"/>
      <c r="EI13" s="1353"/>
      <c r="EJ13" s="1353"/>
      <c r="EK13" s="1353"/>
      <c r="EL13" s="1353"/>
      <c r="EM13" s="1353"/>
      <c r="EN13" s="1353"/>
      <c r="EO13" s="1353"/>
      <c r="EP13" s="1353"/>
      <c r="EQ13" s="1353"/>
      <c r="ER13" s="1353"/>
      <c r="ES13" s="1353"/>
      <c r="ET13" s="1353"/>
      <c r="EU13" s="1353"/>
      <c r="EV13" s="1353"/>
      <c r="EW13" s="1353"/>
      <c r="EX13" s="1353"/>
      <c r="EY13" s="1353"/>
      <c r="EZ13" s="1353"/>
      <c r="FA13" s="1353"/>
      <c r="FB13" s="2833"/>
      <c r="FC13" s="2833"/>
      <c r="FD13" s="2833"/>
      <c r="FE13" s="2833"/>
      <c r="FF13" s="2833"/>
      <c r="FG13" s="2833"/>
      <c r="FH13" s="2833"/>
      <c r="FI13" s="2833"/>
      <c r="FJ13" s="2833"/>
      <c r="FK13" s="2833"/>
      <c r="FL13" s="2838"/>
      <c r="FM13" s="2825"/>
      <c r="FN13" s="2825"/>
      <c r="FO13" s="2825"/>
      <c r="FP13" s="2825"/>
      <c r="FQ13" s="2825"/>
      <c r="FR13" s="2825"/>
      <c r="FS13" s="2825"/>
      <c r="FT13" s="2825"/>
      <c r="FU13" s="2825"/>
      <c r="FV13" s="2825"/>
      <c r="FW13" s="2825"/>
      <c r="FX13" s="2825"/>
      <c r="FY13" s="2825"/>
      <c r="FZ13" s="2825"/>
      <c r="GA13" s="2825"/>
      <c r="GB13" s="2825"/>
      <c r="GC13" s="2825"/>
      <c r="GD13" s="2825"/>
      <c r="GE13" s="2825"/>
      <c r="GF13" s="2825"/>
      <c r="GG13" s="2825"/>
      <c r="GH13" s="2825"/>
      <c r="GI13" s="2825"/>
      <c r="GJ13" s="2825"/>
      <c r="GK13" s="2825"/>
      <c r="GL13" s="2825"/>
      <c r="GM13" s="2825"/>
      <c r="GN13" s="2825"/>
      <c r="GO13" s="2825"/>
      <c r="GP13" s="2825"/>
      <c r="GQ13" s="2825"/>
      <c r="GR13" s="2825"/>
      <c r="GS13" s="2825"/>
      <c r="GT13" s="2825"/>
      <c r="GU13" s="2825"/>
      <c r="GV13" s="2825"/>
      <c r="GW13" s="2825"/>
      <c r="GX13" s="2825"/>
      <c r="GY13" s="2825"/>
      <c r="GZ13" s="2825"/>
      <c r="HA13" s="2825"/>
      <c r="HB13" s="2825"/>
      <c r="HC13" s="2825"/>
      <c r="HD13" s="2825"/>
      <c r="HE13" s="2825"/>
      <c r="HF13" s="2825"/>
      <c r="HG13" s="2825"/>
      <c r="HH13" s="2825"/>
      <c r="HI13" s="2825"/>
      <c r="HJ13" s="2825"/>
      <c r="HK13" s="2825"/>
      <c r="HL13" s="2825"/>
      <c r="HM13" s="2825"/>
      <c r="HN13" s="2825"/>
      <c r="HO13" s="2825"/>
      <c r="HP13" s="2825"/>
      <c r="HQ13" s="2825"/>
      <c r="HR13" s="2825"/>
      <c r="HS13" s="2825"/>
      <c r="HT13" s="2825"/>
      <c r="HU13" s="2825"/>
      <c r="HV13" s="2825"/>
      <c r="HW13" s="2825"/>
      <c r="HX13" s="2825"/>
      <c r="HY13" s="2825"/>
      <c r="HZ13" s="2825"/>
      <c r="IA13" s="2825"/>
      <c r="IB13" s="2825"/>
      <c r="IC13" s="2825"/>
      <c r="ID13" s="2825"/>
      <c r="IE13" s="2825"/>
      <c r="IF13" s="2825"/>
      <c r="IG13" s="2825"/>
      <c r="IH13" s="2825"/>
      <c r="II13" s="2825"/>
      <c r="IJ13" s="2825"/>
      <c r="IK13" s="2825"/>
      <c r="IL13" s="2825"/>
      <c r="IM13" s="2825"/>
      <c r="IN13" s="2825"/>
      <c r="IO13" s="2838"/>
      <c r="IP13" s="2839"/>
      <c r="IQ13" s="2838"/>
      <c r="IR13" s="2838"/>
      <c r="IS13" s="2838"/>
      <c r="IT13" s="2838"/>
      <c r="IU13" s="2838"/>
      <c r="IV13" s="2838"/>
      <c r="IW13" s="2838"/>
      <c r="IX13" s="2838"/>
      <c r="IY13" s="2838"/>
      <c r="IZ13" s="2838"/>
      <c r="JA13" s="2838"/>
      <c r="JB13" s="2838"/>
      <c r="JC13" s="2838"/>
      <c r="JD13" s="2838"/>
      <c r="JE13" s="2838"/>
      <c r="JF13" s="2838"/>
      <c r="JG13" s="2838"/>
      <c r="JH13" s="2838"/>
      <c r="JI13" s="2833"/>
      <c r="JJ13" s="2833"/>
      <c r="JK13" s="2833"/>
      <c r="JL13" s="2833"/>
      <c r="JM13" s="2833"/>
      <c r="JN13" s="2833"/>
      <c r="JO13" s="2833"/>
      <c r="JP13" s="2833"/>
      <c r="JQ13" s="2833"/>
      <c r="JR13" s="2833"/>
      <c r="JS13" s="2833"/>
      <c r="JT13" s="2833"/>
      <c r="JU13" s="2833"/>
      <c r="JV13" s="2833"/>
      <c r="JW13" s="2833"/>
      <c r="JX13" s="2833"/>
      <c r="JY13" s="2833"/>
      <c r="JZ13" s="2833"/>
      <c r="KA13" s="2833"/>
      <c r="KB13" s="2833"/>
      <c r="KC13" s="2833"/>
      <c r="KD13" s="2833"/>
      <c r="KE13" s="2833"/>
      <c r="KF13" s="2833"/>
      <c r="KG13" s="2833"/>
      <c r="KH13" s="2833"/>
      <c r="KI13" s="2833"/>
      <c r="KJ13" s="2833"/>
      <c r="KK13" s="1353"/>
    </row>
    <row r="14" ht="6.75" customHeight="1">
      <c r="A14" s="2833"/>
      <c r="B14" s="2833"/>
      <c r="C14" s="2833"/>
      <c r="D14" s="2833"/>
      <c r="E14" s="2833"/>
      <c r="F14" s="2833"/>
      <c r="G14" s="2833"/>
      <c r="H14" s="2833"/>
      <c r="I14" s="2833"/>
      <c r="J14" s="2833"/>
      <c r="K14" s="2836"/>
      <c r="L14" s="2836"/>
      <c r="M14" s="2836"/>
      <c r="N14" s="2836"/>
      <c r="O14" s="2837"/>
      <c r="P14" s="2837"/>
      <c r="Q14" s="1353"/>
      <c r="R14" s="1353"/>
      <c r="S14" s="1353"/>
      <c r="T14" s="1353"/>
      <c r="U14" s="1353"/>
      <c r="V14" s="1353"/>
      <c r="W14" s="1353"/>
      <c r="X14" s="1353"/>
      <c r="Y14" s="1353"/>
      <c r="Z14" s="1353"/>
      <c r="AA14" s="1353"/>
      <c r="AB14" s="1353"/>
      <c r="AC14" s="1353"/>
      <c r="AD14" s="1353"/>
      <c r="AE14" s="1353"/>
      <c r="AF14" s="1353"/>
      <c r="AG14" s="1353"/>
      <c r="AH14" s="1353"/>
      <c r="AI14" s="1353"/>
      <c r="AJ14" s="1353"/>
      <c r="AK14" s="1353"/>
      <c r="AL14" s="1353"/>
      <c r="AM14" s="1353"/>
      <c r="AN14" s="1353"/>
      <c r="AO14" s="1353"/>
      <c r="AP14" s="1353"/>
      <c r="AQ14" s="1353"/>
      <c r="AR14" s="1353"/>
      <c r="AS14" s="1353"/>
      <c r="AT14" s="1353"/>
      <c r="AU14" s="1353"/>
      <c r="AV14" s="1353"/>
      <c r="AW14" s="1353"/>
      <c r="AX14" s="1353"/>
      <c r="AY14" s="1353"/>
      <c r="AZ14" s="1353"/>
      <c r="BA14" s="1353"/>
      <c r="BB14" s="1353"/>
      <c r="BC14" s="1353"/>
      <c r="BD14" s="1353"/>
      <c r="BE14" s="1353"/>
      <c r="BF14" s="1353"/>
      <c r="BG14" s="1353"/>
      <c r="BH14" s="1353"/>
      <c r="BI14" s="1353"/>
      <c r="BJ14" s="1353"/>
      <c r="BK14" s="1353"/>
      <c r="BL14" s="1353"/>
      <c r="BM14" s="1353"/>
      <c r="BN14" s="1353"/>
      <c r="BO14" s="1353"/>
      <c r="BP14" s="1353"/>
      <c r="BQ14" s="1353"/>
      <c r="BR14" s="1353"/>
      <c r="BS14" s="1353"/>
      <c r="BT14" s="1353"/>
      <c r="BU14" s="1353"/>
      <c r="BV14" s="1353"/>
      <c r="BW14" s="1353"/>
      <c r="BX14" s="1353"/>
      <c r="BY14" s="1353"/>
      <c r="BZ14" s="1353"/>
      <c r="CA14" s="1353"/>
      <c r="CB14" s="1353"/>
      <c r="CC14" s="1353"/>
      <c r="CD14" s="1353"/>
      <c r="CE14" s="1353"/>
      <c r="CF14" s="1353"/>
      <c r="CG14" s="1353"/>
      <c r="CH14" s="1353"/>
      <c r="CI14" s="1353"/>
      <c r="CJ14" s="1353"/>
      <c r="CK14" s="1353"/>
      <c r="CL14" s="1353"/>
      <c r="CM14" s="1353"/>
      <c r="CN14" s="1353"/>
      <c r="CO14" s="1353"/>
      <c r="CP14" s="1353"/>
      <c r="CQ14" s="1353"/>
      <c r="CR14" s="1353"/>
      <c r="CS14" s="1353"/>
      <c r="CT14" s="1353"/>
      <c r="CU14" s="1353"/>
      <c r="CV14" s="1353"/>
      <c r="CW14" s="1353"/>
      <c r="CX14" s="1353"/>
      <c r="CY14" s="1353"/>
      <c r="CZ14" s="1353"/>
      <c r="DA14" s="1353"/>
      <c r="DB14" s="1353"/>
      <c r="DC14" s="1353"/>
      <c r="DD14" s="1353"/>
      <c r="DE14" s="1353"/>
      <c r="DF14" s="1353"/>
      <c r="DG14" s="1353"/>
      <c r="DH14" s="1353"/>
      <c r="DI14" s="1353"/>
      <c r="DJ14" s="1353"/>
      <c r="DK14" s="1353"/>
      <c r="DL14" s="1353"/>
      <c r="DM14" s="1353"/>
      <c r="DN14" s="1353"/>
      <c r="DO14" s="1353"/>
      <c r="DP14" s="1353"/>
      <c r="DQ14" s="1353"/>
      <c r="DR14" s="1353"/>
      <c r="DS14" s="1353"/>
      <c r="DT14" s="1353"/>
      <c r="DU14" s="1353"/>
      <c r="DV14" s="1353"/>
      <c r="DW14" s="1353"/>
      <c r="DX14" s="1353"/>
      <c r="DY14" s="1353"/>
      <c r="DZ14" s="1353"/>
      <c r="EA14" s="1353"/>
      <c r="EB14" s="1353"/>
      <c r="EC14" s="1353"/>
      <c r="ED14" s="1353"/>
      <c r="EE14" s="1353"/>
      <c r="EF14" s="1353"/>
      <c r="EG14" s="1353"/>
      <c r="EH14" s="1353"/>
      <c r="EI14" s="1353"/>
      <c r="EJ14" s="1353"/>
      <c r="EK14" s="1353"/>
      <c r="EL14" s="1353"/>
      <c r="EM14" s="1353"/>
      <c r="EN14" s="1353"/>
      <c r="EO14" s="1353"/>
      <c r="EP14" s="1353"/>
      <c r="EQ14" s="1353"/>
      <c r="ER14" s="1353"/>
      <c r="ES14" s="1353"/>
      <c r="ET14" s="1353"/>
      <c r="EU14" s="1353"/>
      <c r="EV14" s="1353"/>
      <c r="EW14" s="1353"/>
      <c r="EX14" s="1353"/>
      <c r="EY14" s="1353"/>
      <c r="EZ14" s="1353"/>
      <c r="FA14" s="1353"/>
      <c r="FB14" s="2833"/>
      <c r="FC14" s="2833"/>
      <c r="FD14" s="2833"/>
      <c r="FE14" s="2833"/>
      <c r="FF14" s="2833"/>
      <c r="FG14" s="2833"/>
      <c r="FH14" s="2833"/>
      <c r="FI14" s="2833"/>
      <c r="FJ14" s="2833"/>
      <c r="FK14" s="2833"/>
      <c r="FL14" s="2838"/>
      <c r="FM14" s="2825"/>
      <c r="FN14" s="2825"/>
      <c r="FO14" s="2825"/>
      <c r="FP14" s="2825"/>
      <c r="FQ14" s="2825"/>
      <c r="FR14" s="2825"/>
      <c r="FS14" s="2825"/>
      <c r="FT14" s="2825"/>
      <c r="FU14" s="2825"/>
      <c r="FV14" s="2825"/>
      <c r="FW14" s="2825"/>
      <c r="FX14" s="2825"/>
      <c r="FY14" s="2825"/>
      <c r="FZ14" s="2825"/>
      <c r="GA14" s="2825"/>
      <c r="GB14" s="2825"/>
      <c r="GC14" s="2825"/>
      <c r="GD14" s="2825"/>
      <c r="GE14" s="2825"/>
      <c r="GF14" s="2825"/>
      <c r="GG14" s="2825"/>
      <c r="GH14" s="2825"/>
      <c r="GI14" s="2825"/>
      <c r="GJ14" s="2825"/>
      <c r="GK14" s="2825"/>
      <c r="GL14" s="2825"/>
      <c r="GM14" s="2825"/>
      <c r="GN14" s="2825"/>
      <c r="GO14" s="2825"/>
      <c r="GP14" s="2825"/>
      <c r="GQ14" s="2825"/>
      <c r="GR14" s="2825"/>
      <c r="GS14" s="2825"/>
      <c r="GT14" s="2825"/>
      <c r="GU14" s="2825"/>
      <c r="GV14" s="2825"/>
      <c r="GW14" s="2825"/>
      <c r="GX14" s="2825"/>
      <c r="GY14" s="2825"/>
      <c r="GZ14" s="2825"/>
      <c r="HA14" s="2825"/>
      <c r="HB14" s="2825"/>
      <c r="HC14" s="2825"/>
      <c r="HD14" s="2825"/>
      <c r="HE14" s="2825"/>
      <c r="HF14" s="2825"/>
      <c r="HG14" s="2825"/>
      <c r="HH14" s="2825"/>
      <c r="HI14" s="2825"/>
      <c r="HJ14" s="2825"/>
      <c r="HK14" s="2825"/>
      <c r="HL14" s="2825"/>
      <c r="HM14" s="2825"/>
      <c r="HN14" s="2825"/>
      <c r="HO14" s="2825"/>
      <c r="HP14" s="2825"/>
      <c r="HQ14" s="2825"/>
      <c r="HR14" s="2825"/>
      <c r="HS14" s="2825"/>
      <c r="HT14" s="2825"/>
      <c r="HU14" s="2825"/>
      <c r="HV14" s="2825"/>
      <c r="HW14" s="2825"/>
      <c r="HX14" s="2825"/>
      <c r="HY14" s="2825"/>
      <c r="HZ14" s="2825"/>
      <c r="IA14" s="2825"/>
      <c r="IB14" s="2825"/>
      <c r="IC14" s="2825"/>
      <c r="ID14" s="2825"/>
      <c r="IE14" s="2825"/>
      <c r="IF14" s="2825"/>
      <c r="IG14" s="2825"/>
      <c r="IH14" s="2825"/>
      <c r="II14" s="2825"/>
      <c r="IJ14" s="2825"/>
      <c r="IK14" s="2825"/>
      <c r="IL14" s="2825"/>
      <c r="IM14" s="2825"/>
      <c r="IN14" s="2825"/>
      <c r="IO14" s="2838"/>
      <c r="IP14" s="2839"/>
      <c r="IQ14" s="2838"/>
      <c r="IR14" s="2838"/>
      <c r="IS14" s="2838"/>
      <c r="IT14" s="2838"/>
      <c r="IU14" s="2838"/>
      <c r="IV14" s="2838"/>
      <c r="IW14" s="2838"/>
      <c r="IX14" s="2838"/>
      <c r="IY14" s="2838"/>
      <c r="IZ14" s="2838"/>
      <c r="JA14" s="2838"/>
      <c r="JB14" s="2838"/>
      <c r="JC14" s="2838"/>
      <c r="JD14" s="2838"/>
      <c r="JE14" s="2838"/>
      <c r="JF14" s="2838"/>
      <c r="JG14" s="2838"/>
      <c r="JH14" s="2838"/>
      <c r="JI14" s="2833"/>
      <c r="JJ14" s="2833"/>
      <c r="JK14" s="2833"/>
      <c r="JL14" s="2833"/>
      <c r="JM14" s="2833"/>
      <c r="JN14" s="2833"/>
      <c r="JO14" s="2833"/>
      <c r="JP14" s="2833"/>
      <c r="JQ14" s="2833"/>
      <c r="JR14" s="2833"/>
      <c r="JS14" s="2833"/>
      <c r="JT14" s="2833"/>
      <c r="JU14" s="2833"/>
      <c r="JV14" s="2833"/>
      <c r="JW14" s="2833"/>
      <c r="JX14" s="2833"/>
      <c r="JY14" s="2833"/>
      <c r="JZ14" s="2833"/>
      <c r="KA14" s="2833"/>
      <c r="KB14" s="2833"/>
      <c r="KC14" s="2833"/>
      <c r="KD14" s="2833"/>
      <c r="KE14" s="2833"/>
      <c r="KF14" s="2833"/>
      <c r="KG14" s="2833"/>
      <c r="KH14" s="2833"/>
      <c r="KI14" s="2833"/>
      <c r="KJ14" s="2833"/>
      <c r="KK14" s="1353"/>
    </row>
    <row r="15" ht="18.75" customHeight="1">
      <c r="A15" s="2833"/>
      <c r="B15" s="2844" t="s">
        <v>2509</v>
      </c>
      <c r="C15" s="2845"/>
      <c r="D15" s="2833"/>
      <c r="E15" s="2833"/>
      <c r="F15" s="2833"/>
      <c r="G15" s="2846" t="str">
        <f>IF(RentRollTotalUnits=0,"-",IF(RentRoll_NmbrOfUnitsWithoutMatchingUnitType=0,"All Units have matching Unit Type",IF(RentRoll_NmbrOfUnitsWithoutMatchingUnitType&gt;1,RentRoll_NmbrOfUnitsWithoutMatchingUnitType&amp;"  Units below have","One (1)  Unit below has")&amp;" no matching Unit Type"))</f>
        <v>All Units have matching Unit Type</v>
      </c>
      <c r="H15" s="2846"/>
      <c r="I15" s="2846"/>
      <c r="J15" s="2846"/>
      <c r="K15" s="2847"/>
      <c r="L15" s="2847"/>
      <c r="M15" s="2848"/>
      <c r="N15" s="2833"/>
      <c r="O15" s="2837"/>
      <c r="P15" s="2827" t="s">
        <v>2511</v>
      </c>
      <c r="Q15" s="2849">
        <v>5</v>
      </c>
      <c r="R15" s="2838"/>
      <c r="S15" s="2838"/>
      <c r="T15" s="2838"/>
      <c r="U15" s="2838"/>
      <c r="V15" s="2825"/>
      <c r="W15" s="2825"/>
      <c r="X15" s="2825"/>
      <c r="Y15" s="2825"/>
      <c r="Z15" s="2825"/>
      <c r="AA15" s="2825"/>
      <c r="AB15" s="2838"/>
      <c r="AC15" s="2838"/>
      <c r="AD15" s="2838"/>
      <c r="AE15" s="2838"/>
      <c r="AF15" s="2838"/>
      <c r="AG15" s="2838"/>
      <c r="AH15" s="2838"/>
      <c r="AI15" s="2825"/>
      <c r="AJ15" s="2825"/>
      <c r="AK15" s="2825"/>
      <c r="AL15" s="2825"/>
      <c r="AM15" s="2825"/>
      <c r="AN15" s="2825"/>
      <c r="AO15" s="2825"/>
      <c r="AP15" s="2825"/>
      <c r="AQ15" s="2825"/>
      <c r="AR15" s="2825"/>
      <c r="AS15" s="2825"/>
      <c r="AT15" s="2825"/>
      <c r="AU15" s="2825"/>
      <c r="AV15" s="2825"/>
      <c r="AW15" s="2825"/>
      <c r="AX15" s="2825"/>
      <c r="AY15" s="2825"/>
      <c r="AZ15" s="2825"/>
      <c r="BA15" s="2825"/>
      <c r="BB15" s="2825"/>
      <c r="BC15" s="2825"/>
      <c r="BD15" s="2825"/>
      <c r="BE15" s="2825"/>
      <c r="BF15" s="2825"/>
      <c r="BG15" s="2825"/>
      <c r="BH15" s="2825"/>
      <c r="BI15" s="2825"/>
      <c r="BJ15" s="2825"/>
      <c r="BK15" s="2825"/>
      <c r="BL15" s="2825"/>
      <c r="BM15" s="2825"/>
      <c r="BN15" s="2825"/>
      <c r="BO15" s="2825"/>
      <c r="BP15" s="2825"/>
      <c r="BQ15" s="2825"/>
      <c r="BR15" s="2825"/>
      <c r="BS15" s="2825"/>
      <c r="BT15" s="2825"/>
      <c r="BU15" s="2825"/>
      <c r="BV15" s="2825"/>
      <c r="BW15" s="2825"/>
      <c r="BX15" s="2825"/>
      <c r="BY15" s="2825"/>
      <c r="BZ15" s="2825"/>
      <c r="CA15" s="2825"/>
      <c r="CB15" s="2825"/>
      <c r="CC15" s="2825"/>
      <c r="CD15" s="2825"/>
      <c r="CE15" s="2825"/>
      <c r="CF15" s="2825"/>
      <c r="CG15" s="2825"/>
      <c r="CH15" s="2825"/>
      <c r="CI15" s="2825"/>
      <c r="CJ15" s="2825"/>
      <c r="CK15" s="2825"/>
      <c r="CL15" s="2825"/>
      <c r="CM15" s="2825"/>
      <c r="CN15" s="2825"/>
      <c r="CO15" s="2825"/>
      <c r="CP15" s="2825"/>
      <c r="CQ15" s="2825"/>
      <c r="CR15" s="2825"/>
      <c r="CS15" s="2825"/>
      <c r="CT15" s="2825"/>
      <c r="CU15" s="2825"/>
      <c r="CV15" s="2825"/>
      <c r="CW15" s="2825"/>
      <c r="CX15" s="2825"/>
      <c r="CY15" s="2825"/>
      <c r="CZ15" s="2825"/>
      <c r="DA15" s="2825"/>
      <c r="DB15" s="2825"/>
      <c r="DC15" s="2825"/>
      <c r="DD15" s="2825"/>
      <c r="DE15" s="2825"/>
      <c r="DF15" s="2825"/>
      <c r="DG15" s="2825"/>
      <c r="DH15" s="2825"/>
      <c r="DI15" s="2825"/>
      <c r="DJ15" s="2825"/>
      <c r="DK15" s="2825"/>
      <c r="DL15" s="2825"/>
      <c r="DM15" s="2825"/>
      <c r="DN15" s="2825"/>
      <c r="DO15" s="2825"/>
      <c r="DP15" s="2825"/>
      <c r="DQ15" s="2825"/>
      <c r="DR15" s="2825"/>
      <c r="DS15" s="2825"/>
      <c r="DT15" s="2825"/>
      <c r="DU15" s="2825"/>
      <c r="DV15" s="2825"/>
      <c r="DW15" s="2825"/>
      <c r="DX15" s="2825"/>
      <c r="DY15" s="2825"/>
      <c r="DZ15" s="2825"/>
      <c r="EA15" s="2825"/>
      <c r="EB15" s="2825"/>
      <c r="EC15" s="2825"/>
      <c r="ED15" s="2825"/>
      <c r="EE15" s="2825"/>
      <c r="EF15" s="2825"/>
      <c r="EG15" s="2825"/>
      <c r="EH15" s="2825"/>
      <c r="EI15" s="2825"/>
      <c r="EJ15" s="2825"/>
      <c r="EK15" s="2825"/>
      <c r="EL15" s="2825"/>
      <c r="EM15" s="2825"/>
      <c r="EN15" s="2825"/>
      <c r="EO15" s="2825"/>
      <c r="EP15" s="2825"/>
      <c r="EQ15" s="2825"/>
      <c r="ER15" s="2825"/>
      <c r="ES15" s="2825"/>
      <c r="ET15" s="2825"/>
      <c r="EU15" s="2825"/>
      <c r="EV15" s="2825"/>
      <c r="EW15" s="2825"/>
      <c r="EX15" s="2825"/>
      <c r="EY15" s="2825"/>
      <c r="EZ15" s="2825"/>
      <c r="FA15" s="2825"/>
      <c r="FB15" s="2833"/>
      <c r="FC15" s="2850"/>
      <c r="FD15" s="2850"/>
      <c r="FE15" s="2850"/>
      <c r="FF15" s="2850"/>
      <c r="FG15" s="2833"/>
      <c r="FH15" s="2833"/>
      <c r="FI15" s="2833"/>
      <c r="FJ15" s="2833"/>
      <c r="FK15" s="2833"/>
      <c r="FL15" s="2838"/>
      <c r="FM15" s="2825"/>
      <c r="FN15" s="2825"/>
      <c r="FO15" s="2825"/>
      <c r="FP15" s="2825"/>
      <c r="FQ15" s="2825"/>
      <c r="FR15" s="2825"/>
      <c r="FS15" s="2825"/>
      <c r="FT15" s="2825"/>
      <c r="FU15" s="2825"/>
      <c r="FV15" s="2825"/>
      <c r="FW15" s="2825"/>
      <c r="FX15" s="2825"/>
      <c r="FY15" s="2825"/>
      <c r="FZ15" s="2825"/>
      <c r="GA15" s="2825"/>
      <c r="GB15" s="2825"/>
      <c r="GC15" s="2825"/>
      <c r="GD15" s="2825"/>
      <c r="GE15" s="2825"/>
      <c r="GF15" s="2825"/>
      <c r="GG15" s="2825"/>
      <c r="GH15" s="2825"/>
      <c r="GI15" s="2825"/>
      <c r="GJ15" s="2825"/>
      <c r="GK15" s="2825"/>
      <c r="GL15" s="2825"/>
      <c r="GM15" s="2825"/>
      <c r="GN15" s="2825"/>
      <c r="GO15" s="2825"/>
      <c r="GP15" s="2825"/>
      <c r="GQ15" s="2825"/>
      <c r="GR15" s="2825"/>
      <c r="GS15" s="2825"/>
      <c r="GT15" s="2825"/>
      <c r="GU15" s="2825"/>
      <c r="GV15" s="2825"/>
      <c r="GW15" s="2825"/>
      <c r="GX15" s="2825"/>
      <c r="GY15" s="2825"/>
      <c r="GZ15" s="2825"/>
      <c r="HA15" s="2825"/>
      <c r="HB15" s="2825"/>
      <c r="HC15" s="2825"/>
      <c r="HD15" s="2825"/>
      <c r="HE15" s="2825"/>
      <c r="HF15" s="2825"/>
      <c r="HG15" s="2825"/>
      <c r="HH15" s="2825"/>
      <c r="HI15" s="2825"/>
      <c r="HJ15" s="2825"/>
      <c r="HK15" s="2825"/>
      <c r="HL15" s="2825"/>
      <c r="HM15" s="2825"/>
      <c r="HN15" s="2825"/>
      <c r="HO15" s="2825"/>
      <c r="HP15" s="2825"/>
      <c r="HQ15" s="2825"/>
      <c r="HR15" s="2825"/>
      <c r="HS15" s="2825"/>
      <c r="HT15" s="2825"/>
      <c r="HU15" s="2825"/>
      <c r="HV15" s="2825"/>
      <c r="HW15" s="2825"/>
      <c r="HX15" s="2825"/>
      <c r="HY15" s="2825"/>
      <c r="HZ15" s="2825"/>
      <c r="IA15" s="2825"/>
      <c r="IB15" s="2825"/>
      <c r="IC15" s="2825"/>
      <c r="ID15" s="2825"/>
      <c r="IE15" s="2825"/>
      <c r="IF15" s="2825"/>
      <c r="IG15" s="2825"/>
      <c r="IH15" s="2825"/>
      <c r="II15" s="2825"/>
      <c r="IJ15" s="2825"/>
      <c r="IK15" s="2825"/>
      <c r="IL15" s="2825"/>
      <c r="IM15" s="2825"/>
      <c r="IN15" s="2825"/>
      <c r="IO15" s="2838"/>
      <c r="IP15" s="2839"/>
      <c r="IQ15" s="2838"/>
      <c r="IR15" s="2838"/>
      <c r="IS15" s="2838"/>
      <c r="IT15" s="2838"/>
      <c r="IU15" s="2838"/>
      <c r="IV15" s="2838"/>
      <c r="IW15" s="2838"/>
      <c r="IX15" s="2838"/>
      <c r="IY15" s="2838"/>
      <c r="IZ15" s="2838"/>
      <c r="JA15" s="2838"/>
      <c r="JB15" s="2838"/>
      <c r="JC15" s="2838"/>
      <c r="JD15" s="2838"/>
      <c r="JE15" s="2838"/>
      <c r="JF15" s="2838"/>
      <c r="JG15" s="2838"/>
      <c r="JH15" s="2838"/>
      <c r="JI15" s="2833"/>
      <c r="JJ15" s="2833"/>
      <c r="JK15" s="2833"/>
      <c r="JL15" s="2833"/>
      <c r="JM15" s="2833"/>
      <c r="JN15" s="2833"/>
      <c r="JO15" s="2833"/>
      <c r="JP15" s="2833"/>
      <c r="JQ15" s="2833"/>
      <c r="JR15" s="2833"/>
      <c r="JS15" s="2833"/>
      <c r="JT15" s="2833"/>
      <c r="JU15" s="2833"/>
      <c r="JV15" s="2833"/>
      <c r="JW15" s="2833"/>
      <c r="JX15" s="2833"/>
      <c r="JY15" s="2833"/>
      <c r="JZ15" s="2833"/>
      <c r="KA15" s="2833"/>
      <c r="KB15" s="2833"/>
      <c r="KC15" s="2833"/>
      <c r="KD15" s="2833"/>
      <c r="KE15" s="2833"/>
      <c r="KF15" s="2833"/>
      <c r="KG15" s="2833"/>
      <c r="KH15" s="2833"/>
      <c r="KI15" s="2833"/>
      <c r="KJ15" s="2833"/>
      <c r="KK15" s="1353"/>
    </row>
    <row r="16" ht="18.75" customHeight="1">
      <c r="A16" s="2833"/>
      <c r="B16" s="2833"/>
      <c r="C16" s="2833"/>
      <c r="D16" s="2833"/>
      <c r="E16" s="2833"/>
      <c r="F16" s="2833"/>
      <c r="G16" s="2846" t="str">
        <f>IF(RentRollTotalUnits=0,"-",IF(RentRoll_NmbrOfUnitTypesWithoutMatchingUnits=0,"All Unit Types have at least one matching Unit",IF(RentRoll_NmbrOfUnitTypesWithoutMatchingUnits&gt;1,RentRoll_NmbrOfUnitTypesWithoutMatchingUnits&amp;"  Unit Types have","One (1)  Unit Type has")&amp;" no matching Units"))</f>
        <v>All Unit Types have at least one matching Unit</v>
      </c>
      <c r="H16" s="2846"/>
      <c r="I16" s="2846"/>
      <c r="J16" s="2846"/>
      <c r="K16" s="2847"/>
      <c r="L16" s="2847"/>
      <c r="M16" s="2847"/>
      <c r="N16" s="2833"/>
      <c r="O16" s="2837"/>
      <c r="P16" s="2837"/>
      <c r="Q16" s="2851" t="s">
        <v>2513</v>
      </c>
      <c r="R16" s="2852"/>
      <c r="S16" s="2852"/>
      <c r="T16" s="2852"/>
      <c r="U16" s="2852"/>
      <c r="V16" s="2852"/>
      <c r="W16" s="2852"/>
      <c r="X16" s="2852"/>
      <c r="Y16" s="2852"/>
      <c r="Z16" s="2852"/>
      <c r="AA16" s="2852"/>
      <c r="AB16" s="2853"/>
      <c r="AC16" s="2853"/>
      <c r="AD16" s="2853"/>
      <c r="AE16" s="2853"/>
      <c r="AF16" s="2853"/>
      <c r="AG16" s="2853"/>
      <c r="AH16" s="2853"/>
      <c r="AI16" s="2852"/>
      <c r="AJ16" s="2852"/>
      <c r="AK16" s="2852"/>
      <c r="AL16" s="2852"/>
      <c r="AM16" s="2852"/>
      <c r="AN16" s="2852"/>
      <c r="AO16" s="2852"/>
      <c r="AP16" s="2852"/>
      <c r="AQ16" s="2852"/>
      <c r="AR16" s="2852"/>
      <c r="AS16" s="2852"/>
      <c r="AT16" s="2852"/>
      <c r="AU16" s="2852"/>
      <c r="AV16" s="2852"/>
      <c r="AW16" s="2852"/>
      <c r="AX16" s="2852"/>
      <c r="AY16" s="2852"/>
      <c r="AZ16" s="2852"/>
      <c r="BA16" s="2852"/>
      <c r="BB16" s="2852"/>
      <c r="BC16" s="2852"/>
      <c r="BD16" s="2852"/>
      <c r="BE16" s="2852"/>
      <c r="BF16" s="2852"/>
      <c r="BG16" s="2852"/>
      <c r="BH16" s="2852"/>
      <c r="BI16" s="2852"/>
      <c r="BJ16" s="2852"/>
      <c r="BK16" s="2852"/>
      <c r="BL16" s="2852"/>
      <c r="BM16" s="2852"/>
      <c r="BN16" s="2852"/>
      <c r="BO16" s="2852"/>
      <c r="BP16" s="2852"/>
      <c r="BQ16" s="2852"/>
      <c r="BR16" s="2852"/>
      <c r="BS16" s="2852"/>
      <c r="BT16" s="2852"/>
      <c r="BU16" s="2852"/>
      <c r="BV16" s="2852"/>
      <c r="BW16" s="2852"/>
      <c r="BX16" s="2852"/>
      <c r="BY16" s="2852"/>
      <c r="BZ16" s="2852"/>
      <c r="CA16" s="2852"/>
      <c r="CB16" s="2852"/>
      <c r="CC16" s="2852"/>
      <c r="CD16" s="2852"/>
      <c r="CE16" s="2852"/>
      <c r="CF16" s="2852"/>
      <c r="CG16" s="2852"/>
      <c r="CH16" s="2852"/>
      <c r="CI16" s="2852"/>
      <c r="CJ16" s="2852"/>
      <c r="CK16" s="2852"/>
      <c r="CL16" s="2852"/>
      <c r="CM16" s="2852"/>
      <c r="CN16" s="2852"/>
      <c r="CO16" s="2852"/>
      <c r="CP16" s="2852"/>
      <c r="CQ16" s="2852"/>
      <c r="CR16" s="2852"/>
      <c r="CS16" s="2852"/>
      <c r="CT16" s="2852"/>
      <c r="CU16" s="2852"/>
      <c r="CV16" s="2852"/>
      <c r="CW16" s="2852"/>
      <c r="CX16" s="2852"/>
      <c r="CY16" s="2852"/>
      <c r="CZ16" s="2852"/>
      <c r="DA16" s="2852"/>
      <c r="DB16" s="2852"/>
      <c r="DC16" s="2852"/>
      <c r="DD16" s="2852"/>
      <c r="DE16" s="2852"/>
      <c r="DF16" s="2852"/>
      <c r="DG16" s="2852"/>
      <c r="DH16" s="2852"/>
      <c r="DI16" s="2852"/>
      <c r="DJ16" s="2852"/>
      <c r="DK16" s="2852"/>
      <c r="DL16" s="2852"/>
      <c r="DM16" s="2852"/>
      <c r="DN16" s="2852"/>
      <c r="DO16" s="2852"/>
      <c r="DP16" s="2852"/>
      <c r="DQ16" s="2852"/>
      <c r="DR16" s="2852"/>
      <c r="DS16" s="2852"/>
      <c r="DT16" s="2852"/>
      <c r="DU16" s="2852"/>
      <c r="DV16" s="2852"/>
      <c r="DW16" s="2852"/>
      <c r="DX16" s="2852"/>
      <c r="DY16" s="2852"/>
      <c r="DZ16" s="2852"/>
      <c r="EA16" s="2852"/>
      <c r="EB16" s="2852"/>
      <c r="EC16" s="2852"/>
      <c r="ED16" s="2852"/>
      <c r="EE16" s="2852"/>
      <c r="EF16" s="2852"/>
      <c r="EG16" s="2852"/>
      <c r="EH16" s="2852"/>
      <c r="EI16" s="2852"/>
      <c r="EJ16" s="2852"/>
      <c r="EK16" s="2852"/>
      <c r="EL16" s="2852"/>
      <c r="EM16" s="2852"/>
      <c r="EN16" s="2852"/>
      <c r="EO16" s="2852"/>
      <c r="EP16" s="2852"/>
      <c r="EQ16" s="2852"/>
      <c r="ER16" s="2852"/>
      <c r="ES16" s="2852"/>
      <c r="ET16" s="2852"/>
      <c r="EU16" s="2852"/>
      <c r="EV16" s="2852"/>
      <c r="EW16" s="2852"/>
      <c r="EX16" s="2852"/>
      <c r="EY16" s="2852"/>
      <c r="EZ16" s="2852"/>
      <c r="FA16" s="2854"/>
      <c r="FB16" s="2833"/>
      <c r="FC16" s="2850"/>
      <c r="FD16" s="2850"/>
      <c r="FE16" s="2850"/>
      <c r="FF16" s="2833"/>
      <c r="FG16" s="2833"/>
      <c r="FH16" s="2833"/>
      <c r="FI16" s="2833"/>
      <c r="FJ16" s="2833"/>
      <c r="FK16" s="2833"/>
      <c r="FL16" s="2838"/>
      <c r="FM16" s="2825"/>
      <c r="FN16" s="2825"/>
      <c r="FO16" s="2825"/>
      <c r="FP16" s="2825"/>
      <c r="FQ16" s="2825"/>
      <c r="FR16" s="2825"/>
      <c r="FS16" s="2825"/>
      <c r="FT16" s="2825"/>
      <c r="FU16" s="2825"/>
      <c r="FV16" s="2825"/>
      <c r="FW16" s="2825"/>
      <c r="FX16" s="2825"/>
      <c r="FY16" s="2825"/>
      <c r="FZ16" s="2825"/>
      <c r="GA16" s="2825"/>
      <c r="GB16" s="2825"/>
      <c r="GC16" s="2825"/>
      <c r="GD16" s="2825"/>
      <c r="GE16" s="2825"/>
      <c r="GF16" s="2825"/>
      <c r="GG16" s="2825"/>
      <c r="GH16" s="2825"/>
      <c r="GI16" s="2825"/>
      <c r="GJ16" s="2825"/>
      <c r="GK16" s="2825"/>
      <c r="GL16" s="2825"/>
      <c r="GM16" s="2825"/>
      <c r="GN16" s="2825"/>
      <c r="GO16" s="2825"/>
      <c r="GP16" s="2825"/>
      <c r="GQ16" s="2825"/>
      <c r="GR16" s="2825"/>
      <c r="GS16" s="2825"/>
      <c r="GT16" s="2825"/>
      <c r="GU16" s="2825"/>
      <c r="GV16" s="2825"/>
      <c r="GW16" s="2825"/>
      <c r="GX16" s="2825"/>
      <c r="GY16" s="2825"/>
      <c r="GZ16" s="2825"/>
      <c r="HA16" s="2825"/>
      <c r="HB16" s="2825"/>
      <c r="HC16" s="2825"/>
      <c r="HD16" s="2825"/>
      <c r="HE16" s="2825"/>
      <c r="HF16" s="2825"/>
      <c r="HG16" s="2825"/>
      <c r="HH16" s="2825"/>
      <c r="HI16" s="2825"/>
      <c r="HJ16" s="2825"/>
      <c r="HK16" s="2825"/>
      <c r="HL16" s="2825"/>
      <c r="HM16" s="2825"/>
      <c r="HN16" s="2825"/>
      <c r="HO16" s="2825"/>
      <c r="HP16" s="2825"/>
      <c r="HQ16" s="2825"/>
      <c r="HR16" s="2825"/>
      <c r="HS16" s="2825"/>
      <c r="HT16" s="2825"/>
      <c r="HU16" s="2825"/>
      <c r="HV16" s="2825"/>
      <c r="HW16" s="2825"/>
      <c r="HX16" s="2825"/>
      <c r="HY16" s="2825"/>
      <c r="HZ16" s="2825"/>
      <c r="IA16" s="2825"/>
      <c r="IB16" s="2825"/>
      <c r="IC16" s="2825"/>
      <c r="ID16" s="2825"/>
      <c r="IE16" s="2825"/>
      <c r="IF16" s="2825"/>
      <c r="IG16" s="2825"/>
      <c r="IH16" s="2825"/>
      <c r="II16" s="2825"/>
      <c r="IJ16" s="2825"/>
      <c r="IK16" s="2825"/>
      <c r="IL16" s="2825"/>
      <c r="IM16" s="2825"/>
      <c r="IN16" s="2825"/>
      <c r="IO16" s="2838"/>
      <c r="IP16" s="2839"/>
      <c r="IQ16" s="2855" t="str">
        <f>IF(RentRoll_UnitTypeCount&lt;=78,"-","The Affordability Estimator is not configured for more than 78 Unit Types.")</f>
        <v>-</v>
      </c>
      <c r="IR16" s="2838"/>
      <c r="IS16" s="2838"/>
      <c r="IT16" s="2838"/>
      <c r="IU16" s="2838"/>
      <c r="IV16" s="2838"/>
      <c r="IW16" s="2838"/>
      <c r="IX16" s="2838"/>
      <c r="IY16" s="2838"/>
      <c r="IZ16" s="2838"/>
      <c r="JA16" s="2838"/>
      <c r="JB16" s="2838"/>
      <c r="JC16" s="2838"/>
      <c r="JD16" s="2838"/>
      <c r="JE16" s="2838"/>
      <c r="JF16" s="2838"/>
      <c r="JG16" s="2838"/>
      <c r="JH16" s="2838"/>
      <c r="JI16" s="2833"/>
      <c r="JJ16" s="2833"/>
      <c r="JK16" s="2833"/>
      <c r="JL16" s="2833"/>
      <c r="JM16" s="2833"/>
      <c r="JN16" s="2833"/>
      <c r="JO16" s="2833"/>
      <c r="JP16" s="2833"/>
      <c r="JQ16" s="2833"/>
      <c r="JR16" s="2833"/>
      <c r="JS16" s="2833"/>
      <c r="JT16" s="2833"/>
      <c r="JU16" s="2833"/>
      <c r="JV16" s="2833"/>
      <c r="JW16" s="2833"/>
      <c r="JX16" s="2833"/>
      <c r="JY16" s="2833"/>
      <c r="JZ16" s="2833"/>
      <c r="KA16" s="2833"/>
      <c r="KB16" s="2833"/>
      <c r="KC16" s="2833"/>
      <c r="KD16" s="2833"/>
      <c r="KE16" s="2833"/>
      <c r="KF16" s="2833"/>
      <c r="KG16" s="2833"/>
      <c r="KH16" s="2833"/>
      <c r="KI16" s="2833"/>
      <c r="KJ16" s="2833"/>
      <c r="KK16" s="1353"/>
    </row>
    <row r="17" ht="14.25" customHeight="1">
      <c r="A17" s="2840"/>
      <c r="B17" s="2856" t="s">
        <v>2514</v>
      </c>
      <c r="C17" s="2857"/>
      <c r="D17" s="2857"/>
      <c r="E17" s="2857"/>
      <c r="F17" s="2857"/>
      <c r="G17" s="2857"/>
      <c r="H17" s="2857"/>
      <c r="I17" s="2857"/>
      <c r="J17" s="2857"/>
      <c r="K17" s="2858"/>
      <c r="L17" s="1353"/>
      <c r="M17" s="2847"/>
      <c r="N17" s="2840"/>
      <c r="O17" s="2841"/>
      <c r="P17" s="2837" t="s">
        <v>2515</v>
      </c>
      <c r="Q17" s="2859">
        <v>1</v>
      </c>
      <c r="R17" s="2859">
        <v>0</v>
      </c>
      <c r="S17" s="2859">
        <v>2</v>
      </c>
      <c r="T17" s="2859">
        <v>0</v>
      </c>
      <c r="U17" s="2859">
        <v>0</v>
      </c>
      <c r="V17" s="2859" t="s">
        <v>2516</v>
      </c>
      <c r="W17" s="2859" t="s">
        <v>2516</v>
      </c>
      <c r="X17" s="2859" t="s">
        <v>2516</v>
      </c>
      <c r="Y17" s="2859" t="s">
        <v>2516</v>
      </c>
      <c r="Z17" s="2859" t="s">
        <v>2516</v>
      </c>
      <c r="AA17" s="2859" t="s">
        <v>2516</v>
      </c>
      <c r="AB17" s="2859" t="s">
        <v>2516</v>
      </c>
      <c r="AC17" s="2859" t="s">
        <v>2516</v>
      </c>
      <c r="AD17" s="2859" t="s">
        <v>2516</v>
      </c>
      <c r="AE17" s="2859" t="s">
        <v>2516</v>
      </c>
      <c r="AF17" s="2859" t="s">
        <v>2516</v>
      </c>
      <c r="AG17" s="2859" t="s">
        <v>2516</v>
      </c>
      <c r="AH17" s="2859" t="s">
        <v>2516</v>
      </c>
      <c r="AI17" s="2859" t="s">
        <v>2516</v>
      </c>
      <c r="AJ17" s="2859" t="s">
        <v>2516</v>
      </c>
      <c r="AK17" s="2859" t="s">
        <v>2516</v>
      </c>
      <c r="AL17" s="2859" t="s">
        <v>2516</v>
      </c>
      <c r="AM17" s="2859" t="s">
        <v>2516</v>
      </c>
      <c r="AN17" s="2859" t="s">
        <v>2516</v>
      </c>
      <c r="AO17" s="2859" t="s">
        <v>2516</v>
      </c>
      <c r="AP17" s="2859" t="s">
        <v>2516</v>
      </c>
      <c r="AQ17" s="2859" t="s">
        <v>2516</v>
      </c>
      <c r="AR17" s="2859" t="s">
        <v>2516</v>
      </c>
      <c r="AS17" s="2859" t="s">
        <v>2516</v>
      </c>
      <c r="AT17" s="2859" t="s">
        <v>2516</v>
      </c>
      <c r="AU17" s="2859" t="s">
        <v>2516</v>
      </c>
      <c r="AV17" s="2859" t="s">
        <v>2516</v>
      </c>
      <c r="AW17" s="2859" t="s">
        <v>2516</v>
      </c>
      <c r="AX17" s="2859" t="s">
        <v>2516</v>
      </c>
      <c r="AY17" s="2859" t="s">
        <v>2516</v>
      </c>
      <c r="AZ17" s="2859" t="s">
        <v>2516</v>
      </c>
      <c r="BA17" s="2859" t="s">
        <v>2516</v>
      </c>
      <c r="BB17" s="2859" t="s">
        <v>2516</v>
      </c>
      <c r="BC17" s="2859" t="s">
        <v>2516</v>
      </c>
      <c r="BD17" s="2859" t="s">
        <v>2516</v>
      </c>
      <c r="BE17" s="2859" t="s">
        <v>2516</v>
      </c>
      <c r="BF17" s="2859" t="s">
        <v>2516</v>
      </c>
      <c r="BG17" s="2859" t="s">
        <v>2516</v>
      </c>
      <c r="BH17" s="2859" t="s">
        <v>2516</v>
      </c>
      <c r="BI17" s="2859" t="s">
        <v>2516</v>
      </c>
      <c r="BJ17" s="2859" t="s">
        <v>2516</v>
      </c>
      <c r="BK17" s="2859" t="s">
        <v>2516</v>
      </c>
      <c r="BL17" s="2859" t="s">
        <v>2516</v>
      </c>
      <c r="BM17" s="2859" t="s">
        <v>2516</v>
      </c>
      <c r="BN17" s="2859" t="s">
        <v>2516</v>
      </c>
      <c r="BO17" s="2859" t="s">
        <v>2516</v>
      </c>
      <c r="BP17" s="2859" t="s">
        <v>2516</v>
      </c>
      <c r="BQ17" s="2859" t="s">
        <v>2516</v>
      </c>
      <c r="BR17" s="2859" t="s">
        <v>2516</v>
      </c>
      <c r="BS17" s="2859" t="s">
        <v>2516</v>
      </c>
      <c r="BT17" s="2859" t="s">
        <v>2516</v>
      </c>
      <c r="BU17" s="2859" t="s">
        <v>2516</v>
      </c>
      <c r="BV17" s="2859" t="s">
        <v>2516</v>
      </c>
      <c r="BW17" s="2859" t="s">
        <v>2516</v>
      </c>
      <c r="BX17" s="2859" t="s">
        <v>2516</v>
      </c>
      <c r="BY17" s="2859" t="s">
        <v>2516</v>
      </c>
      <c r="BZ17" s="2859" t="s">
        <v>2516</v>
      </c>
      <c r="CA17" s="2859" t="s">
        <v>2516</v>
      </c>
      <c r="CB17" s="2859" t="s">
        <v>2516</v>
      </c>
      <c r="CC17" s="2859" t="s">
        <v>2516</v>
      </c>
      <c r="CD17" s="2859" t="s">
        <v>2516</v>
      </c>
      <c r="CE17" s="2859" t="s">
        <v>2516</v>
      </c>
      <c r="CF17" s="2859" t="s">
        <v>2516</v>
      </c>
      <c r="CG17" s="2859" t="s">
        <v>2516</v>
      </c>
      <c r="CH17" s="2859" t="s">
        <v>2516</v>
      </c>
      <c r="CI17" s="2859" t="s">
        <v>2516</v>
      </c>
      <c r="CJ17" s="2859" t="s">
        <v>2516</v>
      </c>
      <c r="CK17" s="2859" t="s">
        <v>2516</v>
      </c>
      <c r="CL17" s="2859" t="s">
        <v>2516</v>
      </c>
      <c r="CM17" s="2859" t="s">
        <v>2516</v>
      </c>
      <c r="CN17" s="2859" t="s">
        <v>2516</v>
      </c>
      <c r="CO17" s="2859" t="s">
        <v>2516</v>
      </c>
      <c r="CP17" s="2859" t="s">
        <v>2516</v>
      </c>
      <c r="CQ17" s="2859" t="s">
        <v>2516</v>
      </c>
      <c r="CR17" s="2859" t="s">
        <v>2516</v>
      </c>
      <c r="CS17" s="2859" t="s">
        <v>2516</v>
      </c>
      <c r="CT17" s="2859" t="s">
        <v>2516</v>
      </c>
      <c r="CU17" s="2859" t="s">
        <v>2516</v>
      </c>
      <c r="CV17" s="2859" t="s">
        <v>2516</v>
      </c>
      <c r="CW17" s="2859" t="s">
        <v>2516</v>
      </c>
      <c r="CX17" s="2859" t="s">
        <v>2516</v>
      </c>
      <c r="CY17" s="2859" t="s">
        <v>2516</v>
      </c>
      <c r="CZ17" s="2859" t="s">
        <v>2516</v>
      </c>
      <c r="DA17" s="2859" t="s">
        <v>2516</v>
      </c>
      <c r="DB17" s="2859" t="s">
        <v>2516</v>
      </c>
      <c r="DC17" s="2859" t="s">
        <v>2516</v>
      </c>
      <c r="DD17" s="2859" t="s">
        <v>2516</v>
      </c>
      <c r="DE17" s="2859" t="s">
        <v>2516</v>
      </c>
      <c r="DF17" s="2859" t="s">
        <v>2516</v>
      </c>
      <c r="DG17" s="2859" t="s">
        <v>2516</v>
      </c>
      <c r="DH17" s="2859" t="s">
        <v>2516</v>
      </c>
      <c r="DI17" s="2859" t="s">
        <v>2516</v>
      </c>
      <c r="DJ17" s="2859" t="s">
        <v>2516</v>
      </c>
      <c r="DK17" s="2859" t="s">
        <v>2516</v>
      </c>
      <c r="DL17" s="2859" t="s">
        <v>2516</v>
      </c>
      <c r="DM17" s="2859" t="s">
        <v>2516</v>
      </c>
      <c r="DN17" s="2859" t="s">
        <v>2516</v>
      </c>
      <c r="DO17" s="2859" t="s">
        <v>2516</v>
      </c>
      <c r="DP17" s="2859" t="s">
        <v>2516</v>
      </c>
      <c r="DQ17" s="2859" t="s">
        <v>2516</v>
      </c>
      <c r="DR17" s="2859" t="s">
        <v>2516</v>
      </c>
      <c r="DS17" s="2859" t="s">
        <v>2516</v>
      </c>
      <c r="DT17" s="2859" t="s">
        <v>2516</v>
      </c>
      <c r="DU17" s="2859" t="s">
        <v>2516</v>
      </c>
      <c r="DV17" s="2859" t="s">
        <v>2516</v>
      </c>
      <c r="DW17" s="2859" t="s">
        <v>2516</v>
      </c>
      <c r="DX17" s="2859" t="s">
        <v>2516</v>
      </c>
      <c r="DY17" s="2859" t="s">
        <v>2516</v>
      </c>
      <c r="DZ17" s="2859" t="s">
        <v>2516</v>
      </c>
      <c r="EA17" s="2859" t="s">
        <v>2516</v>
      </c>
      <c r="EB17" s="2859" t="s">
        <v>2516</v>
      </c>
      <c r="EC17" s="2859" t="s">
        <v>2516</v>
      </c>
      <c r="ED17" s="2859" t="s">
        <v>2516</v>
      </c>
      <c r="EE17" s="2859" t="s">
        <v>2516</v>
      </c>
      <c r="EF17" s="2859" t="s">
        <v>2516</v>
      </c>
      <c r="EG17" s="2859" t="s">
        <v>2516</v>
      </c>
      <c r="EH17" s="2859" t="s">
        <v>2516</v>
      </c>
      <c r="EI17" s="2859" t="s">
        <v>2516</v>
      </c>
      <c r="EJ17" s="2859" t="s">
        <v>2516</v>
      </c>
      <c r="EK17" s="2859" t="s">
        <v>2516</v>
      </c>
      <c r="EL17" s="2859" t="s">
        <v>2516</v>
      </c>
      <c r="EM17" s="2859" t="s">
        <v>2516</v>
      </c>
      <c r="EN17" s="2859" t="s">
        <v>2516</v>
      </c>
      <c r="EO17" s="2859" t="s">
        <v>2516</v>
      </c>
      <c r="EP17" s="2859" t="s">
        <v>2516</v>
      </c>
      <c r="EQ17" s="2859" t="s">
        <v>2516</v>
      </c>
      <c r="ER17" s="2859" t="s">
        <v>2516</v>
      </c>
      <c r="ES17" s="2859" t="s">
        <v>2516</v>
      </c>
      <c r="ET17" s="2859" t="s">
        <v>2516</v>
      </c>
      <c r="EU17" s="2859" t="s">
        <v>2516</v>
      </c>
      <c r="EV17" s="2859" t="s">
        <v>2516</v>
      </c>
      <c r="EW17" s="2859" t="s">
        <v>2516</v>
      </c>
      <c r="EX17" s="2859" t="s">
        <v>2516</v>
      </c>
      <c r="EY17" s="2859" t="s">
        <v>2516</v>
      </c>
      <c r="EZ17" s="2859" t="s">
        <v>2516</v>
      </c>
      <c r="FA17" s="2860" t="s">
        <v>2517</v>
      </c>
      <c r="FB17" s="2833"/>
      <c r="FC17" s="2850"/>
      <c r="FD17" s="2850"/>
      <c r="FE17" s="2850"/>
      <c r="FF17" s="2833"/>
      <c r="FG17" s="2833"/>
      <c r="FH17" s="2833"/>
      <c r="FI17" s="2833"/>
      <c r="FJ17" s="2833"/>
      <c r="FK17" s="2833"/>
      <c r="FL17" s="2838"/>
      <c r="FM17" s="2825"/>
      <c r="FN17" s="2825"/>
      <c r="FO17" s="2825"/>
      <c r="FP17" s="2825"/>
      <c r="FQ17" s="2825"/>
      <c r="FR17" s="2825"/>
      <c r="FS17" s="2825"/>
      <c r="FT17" s="2825"/>
      <c r="FU17" s="2825"/>
      <c r="FV17" s="2825"/>
      <c r="FW17" s="2825"/>
      <c r="FX17" s="2825"/>
      <c r="FY17" s="2825"/>
      <c r="FZ17" s="2825"/>
      <c r="GA17" s="2825"/>
      <c r="GB17" s="2825"/>
      <c r="GC17" s="2825"/>
      <c r="GD17" s="2825"/>
      <c r="GE17" s="2825"/>
      <c r="GF17" s="2825"/>
      <c r="GG17" s="2825"/>
      <c r="GH17" s="2825"/>
      <c r="GI17" s="2825"/>
      <c r="GJ17" s="2825"/>
      <c r="GK17" s="2825"/>
      <c r="GL17" s="2825"/>
      <c r="GM17" s="2825"/>
      <c r="GN17" s="2825"/>
      <c r="GO17" s="2825"/>
      <c r="GP17" s="2825"/>
      <c r="GQ17" s="2825"/>
      <c r="GR17" s="2825"/>
      <c r="GS17" s="2825"/>
      <c r="GT17" s="2825"/>
      <c r="GU17" s="2825"/>
      <c r="GV17" s="2825"/>
      <c r="GW17" s="2825"/>
      <c r="GX17" s="2825"/>
      <c r="GY17" s="2825"/>
      <c r="GZ17" s="2825"/>
      <c r="HA17" s="2825"/>
      <c r="HB17" s="2825"/>
      <c r="HC17" s="2825"/>
      <c r="HD17" s="2825"/>
      <c r="HE17" s="2825"/>
      <c r="HF17" s="2825"/>
      <c r="HG17" s="2825"/>
      <c r="HH17" s="2825"/>
      <c r="HI17" s="2825"/>
      <c r="HJ17" s="2825"/>
      <c r="HK17" s="2825"/>
      <c r="HL17" s="2825"/>
      <c r="HM17" s="2825"/>
      <c r="HN17" s="2825"/>
      <c r="HO17" s="2825"/>
      <c r="HP17" s="2825"/>
      <c r="HQ17" s="2825"/>
      <c r="HR17" s="2825"/>
      <c r="HS17" s="2825"/>
      <c r="HT17" s="2825"/>
      <c r="HU17" s="2825"/>
      <c r="HV17" s="2825"/>
      <c r="HW17" s="2825"/>
      <c r="HX17" s="2825"/>
      <c r="HY17" s="2825"/>
      <c r="HZ17" s="2825"/>
      <c r="IA17" s="2825"/>
      <c r="IB17" s="2825"/>
      <c r="IC17" s="2825"/>
      <c r="ID17" s="2825"/>
      <c r="IE17" s="2825"/>
      <c r="IF17" s="2825"/>
      <c r="IG17" s="2825"/>
      <c r="IH17" s="2825"/>
      <c r="II17" s="2825"/>
      <c r="IJ17" s="2825"/>
      <c r="IK17" s="2825"/>
      <c r="IL17" s="2825"/>
      <c r="IM17" s="2825"/>
      <c r="IN17" s="2825"/>
      <c r="IO17" s="2838"/>
      <c r="IP17" s="2839"/>
      <c r="IQ17" s="2861"/>
      <c r="IR17" s="2838"/>
      <c r="IS17" s="2838"/>
      <c r="IT17" s="2838"/>
      <c r="IU17" s="2838"/>
      <c r="IV17" s="2838"/>
      <c r="IW17" s="2838"/>
      <c r="IX17" s="2838"/>
      <c r="IY17" s="2838"/>
      <c r="IZ17" s="2838"/>
      <c r="JA17" s="2838"/>
      <c r="JB17" s="2838"/>
      <c r="JC17" s="2838"/>
      <c r="JD17" s="2838"/>
      <c r="JE17" s="2838"/>
      <c r="JF17" s="2838"/>
      <c r="JG17" s="2838"/>
      <c r="JH17" s="2838"/>
      <c r="JI17" s="2833"/>
      <c r="JJ17" s="2833"/>
      <c r="JK17" s="2833"/>
      <c r="JL17" s="2833"/>
      <c r="JM17" s="2833"/>
      <c r="JN17" s="2833"/>
      <c r="JO17" s="2833"/>
      <c r="JP17" s="2833"/>
      <c r="JQ17" s="2833"/>
      <c r="JR17" s="2833"/>
      <c r="JS17" s="2833"/>
      <c r="JT17" s="2833"/>
      <c r="JU17" s="2833"/>
      <c r="JV17" s="2833"/>
      <c r="JW17" s="2833"/>
      <c r="JX17" s="2833"/>
      <c r="JY17" s="2833"/>
      <c r="JZ17" s="2833"/>
      <c r="KA17" s="2833"/>
      <c r="KB17" s="2833"/>
      <c r="KC17" s="2833"/>
      <c r="KD17" s="2833"/>
      <c r="KE17" s="2833"/>
      <c r="KF17" s="2833"/>
      <c r="KG17" s="2833"/>
      <c r="KH17" s="2833"/>
      <c r="KI17" s="2833"/>
      <c r="KJ17" s="2833"/>
      <c r="KK17" s="1353"/>
    </row>
    <row r="18" ht="14.25" customHeight="1">
      <c r="A18" s="2840"/>
      <c r="B18" s="2862"/>
      <c r="C18" s="2863"/>
      <c r="D18" s="2863"/>
      <c r="E18" s="2863"/>
      <c r="F18" s="2863"/>
      <c r="G18" s="2863"/>
      <c r="H18" s="2863"/>
      <c r="I18" s="2863"/>
      <c r="J18" s="2863"/>
      <c r="K18" s="2864"/>
      <c r="L18" s="1353"/>
      <c r="M18" s="2847"/>
      <c r="N18" s="2840"/>
      <c r="O18" s="2841"/>
      <c r="P18" s="2837" t="s">
        <v>2518</v>
      </c>
      <c r="Q18" s="2865">
        <v>0</v>
      </c>
      <c r="R18" s="2865">
        <v>0</v>
      </c>
      <c r="S18" s="2865">
        <v>0</v>
      </c>
      <c r="T18" s="2865">
        <v>0</v>
      </c>
      <c r="U18" s="2865">
        <v>0</v>
      </c>
      <c r="V18" s="2865" t="s">
        <v>2519</v>
      </c>
      <c r="W18" s="2865" t="s">
        <v>2519</v>
      </c>
      <c r="X18" s="2865" t="s">
        <v>2519</v>
      </c>
      <c r="Y18" s="2865" t="s">
        <v>2519</v>
      </c>
      <c r="Z18" s="2865" t="s">
        <v>2519</v>
      </c>
      <c r="AA18" s="2865" t="s">
        <v>2519</v>
      </c>
      <c r="AB18" s="2865" t="s">
        <v>2519</v>
      </c>
      <c r="AC18" s="2865" t="s">
        <v>2519</v>
      </c>
      <c r="AD18" s="2865" t="s">
        <v>2519</v>
      </c>
      <c r="AE18" s="2865" t="s">
        <v>2519</v>
      </c>
      <c r="AF18" s="2865" t="s">
        <v>2519</v>
      </c>
      <c r="AG18" s="2865" t="s">
        <v>2519</v>
      </c>
      <c r="AH18" s="2865" t="s">
        <v>2519</v>
      </c>
      <c r="AI18" s="2865" t="s">
        <v>2519</v>
      </c>
      <c r="AJ18" s="2865" t="s">
        <v>2519</v>
      </c>
      <c r="AK18" s="2865" t="s">
        <v>2519</v>
      </c>
      <c r="AL18" s="2865" t="s">
        <v>2519</v>
      </c>
      <c r="AM18" s="2865" t="s">
        <v>2519</v>
      </c>
      <c r="AN18" s="2865" t="s">
        <v>2519</v>
      </c>
      <c r="AO18" s="2865" t="s">
        <v>2519</v>
      </c>
      <c r="AP18" s="2865" t="s">
        <v>2519</v>
      </c>
      <c r="AQ18" s="2865" t="s">
        <v>2519</v>
      </c>
      <c r="AR18" s="2865" t="s">
        <v>2519</v>
      </c>
      <c r="AS18" s="2865" t="s">
        <v>2519</v>
      </c>
      <c r="AT18" s="2865" t="s">
        <v>2519</v>
      </c>
      <c r="AU18" s="2865" t="s">
        <v>2519</v>
      </c>
      <c r="AV18" s="2865" t="s">
        <v>2519</v>
      </c>
      <c r="AW18" s="2865" t="s">
        <v>2519</v>
      </c>
      <c r="AX18" s="2865" t="s">
        <v>2519</v>
      </c>
      <c r="AY18" s="2865" t="s">
        <v>2519</v>
      </c>
      <c r="AZ18" s="2865" t="s">
        <v>2519</v>
      </c>
      <c r="BA18" s="2865" t="s">
        <v>2519</v>
      </c>
      <c r="BB18" s="2865" t="s">
        <v>2519</v>
      </c>
      <c r="BC18" s="2865" t="s">
        <v>2519</v>
      </c>
      <c r="BD18" s="2865" t="s">
        <v>2519</v>
      </c>
      <c r="BE18" s="2865" t="s">
        <v>2519</v>
      </c>
      <c r="BF18" s="2865" t="s">
        <v>2519</v>
      </c>
      <c r="BG18" s="2865" t="s">
        <v>2519</v>
      </c>
      <c r="BH18" s="2865" t="s">
        <v>2519</v>
      </c>
      <c r="BI18" s="2865" t="s">
        <v>2519</v>
      </c>
      <c r="BJ18" s="2865" t="s">
        <v>2519</v>
      </c>
      <c r="BK18" s="2865" t="s">
        <v>2519</v>
      </c>
      <c r="BL18" s="2865" t="s">
        <v>2519</v>
      </c>
      <c r="BM18" s="2865" t="s">
        <v>2519</v>
      </c>
      <c r="BN18" s="2865" t="s">
        <v>2519</v>
      </c>
      <c r="BO18" s="2865" t="s">
        <v>2519</v>
      </c>
      <c r="BP18" s="2865" t="s">
        <v>2519</v>
      </c>
      <c r="BQ18" s="2865" t="s">
        <v>2519</v>
      </c>
      <c r="BR18" s="2865" t="s">
        <v>2519</v>
      </c>
      <c r="BS18" s="2865" t="s">
        <v>2519</v>
      </c>
      <c r="BT18" s="2865" t="s">
        <v>2519</v>
      </c>
      <c r="BU18" s="2865" t="s">
        <v>2519</v>
      </c>
      <c r="BV18" s="2865" t="s">
        <v>2519</v>
      </c>
      <c r="BW18" s="2865" t="s">
        <v>2519</v>
      </c>
      <c r="BX18" s="2865" t="s">
        <v>2519</v>
      </c>
      <c r="BY18" s="2865" t="s">
        <v>2519</v>
      </c>
      <c r="BZ18" s="2865" t="s">
        <v>2519</v>
      </c>
      <c r="CA18" s="2865" t="s">
        <v>2519</v>
      </c>
      <c r="CB18" s="2865" t="s">
        <v>2519</v>
      </c>
      <c r="CC18" s="2865" t="s">
        <v>2519</v>
      </c>
      <c r="CD18" s="2865" t="s">
        <v>2519</v>
      </c>
      <c r="CE18" s="2865" t="s">
        <v>2519</v>
      </c>
      <c r="CF18" s="2865" t="s">
        <v>2519</v>
      </c>
      <c r="CG18" s="2865" t="s">
        <v>2519</v>
      </c>
      <c r="CH18" s="2865" t="s">
        <v>2519</v>
      </c>
      <c r="CI18" s="2865" t="s">
        <v>2519</v>
      </c>
      <c r="CJ18" s="2865" t="s">
        <v>2519</v>
      </c>
      <c r="CK18" s="2865" t="s">
        <v>2519</v>
      </c>
      <c r="CL18" s="2865" t="s">
        <v>2519</v>
      </c>
      <c r="CM18" s="2865" t="s">
        <v>2519</v>
      </c>
      <c r="CN18" s="2865" t="s">
        <v>2519</v>
      </c>
      <c r="CO18" s="2865" t="s">
        <v>2519</v>
      </c>
      <c r="CP18" s="2865" t="s">
        <v>2519</v>
      </c>
      <c r="CQ18" s="2865" t="s">
        <v>2519</v>
      </c>
      <c r="CR18" s="2865" t="s">
        <v>2519</v>
      </c>
      <c r="CS18" s="2865" t="s">
        <v>2519</v>
      </c>
      <c r="CT18" s="2865" t="s">
        <v>2519</v>
      </c>
      <c r="CU18" s="2865" t="s">
        <v>2519</v>
      </c>
      <c r="CV18" s="2865" t="s">
        <v>2519</v>
      </c>
      <c r="CW18" s="2865" t="s">
        <v>2519</v>
      </c>
      <c r="CX18" s="2865" t="s">
        <v>2519</v>
      </c>
      <c r="CY18" s="2865" t="s">
        <v>2519</v>
      </c>
      <c r="CZ18" s="2865" t="s">
        <v>2519</v>
      </c>
      <c r="DA18" s="2865" t="s">
        <v>2519</v>
      </c>
      <c r="DB18" s="2865" t="s">
        <v>2519</v>
      </c>
      <c r="DC18" s="2865" t="s">
        <v>2519</v>
      </c>
      <c r="DD18" s="2865" t="s">
        <v>2519</v>
      </c>
      <c r="DE18" s="2865" t="s">
        <v>2519</v>
      </c>
      <c r="DF18" s="2865" t="s">
        <v>2519</v>
      </c>
      <c r="DG18" s="2865" t="s">
        <v>2519</v>
      </c>
      <c r="DH18" s="2865" t="s">
        <v>2519</v>
      </c>
      <c r="DI18" s="2865" t="s">
        <v>2519</v>
      </c>
      <c r="DJ18" s="2865" t="s">
        <v>2519</v>
      </c>
      <c r="DK18" s="2865" t="s">
        <v>2519</v>
      </c>
      <c r="DL18" s="2865" t="s">
        <v>2519</v>
      </c>
      <c r="DM18" s="2865" t="s">
        <v>2519</v>
      </c>
      <c r="DN18" s="2865" t="s">
        <v>2519</v>
      </c>
      <c r="DO18" s="2865" t="s">
        <v>2519</v>
      </c>
      <c r="DP18" s="2865" t="s">
        <v>2519</v>
      </c>
      <c r="DQ18" s="2865" t="s">
        <v>2519</v>
      </c>
      <c r="DR18" s="2865" t="s">
        <v>2519</v>
      </c>
      <c r="DS18" s="2865" t="s">
        <v>2519</v>
      </c>
      <c r="DT18" s="2865" t="s">
        <v>2519</v>
      </c>
      <c r="DU18" s="2865" t="s">
        <v>2519</v>
      </c>
      <c r="DV18" s="2865" t="s">
        <v>2519</v>
      </c>
      <c r="DW18" s="2865" t="s">
        <v>2519</v>
      </c>
      <c r="DX18" s="2865" t="s">
        <v>2519</v>
      </c>
      <c r="DY18" s="2865" t="s">
        <v>2519</v>
      </c>
      <c r="DZ18" s="2865" t="s">
        <v>2519</v>
      </c>
      <c r="EA18" s="2865" t="s">
        <v>2519</v>
      </c>
      <c r="EB18" s="2865" t="s">
        <v>2519</v>
      </c>
      <c r="EC18" s="2865" t="s">
        <v>2519</v>
      </c>
      <c r="ED18" s="2865" t="s">
        <v>2519</v>
      </c>
      <c r="EE18" s="2865" t="s">
        <v>2519</v>
      </c>
      <c r="EF18" s="2865" t="s">
        <v>2519</v>
      </c>
      <c r="EG18" s="2865" t="s">
        <v>2519</v>
      </c>
      <c r="EH18" s="2865" t="s">
        <v>2519</v>
      </c>
      <c r="EI18" s="2865" t="s">
        <v>2519</v>
      </c>
      <c r="EJ18" s="2865" t="s">
        <v>2519</v>
      </c>
      <c r="EK18" s="2865" t="s">
        <v>2519</v>
      </c>
      <c r="EL18" s="2865" t="s">
        <v>2519</v>
      </c>
      <c r="EM18" s="2865" t="s">
        <v>2519</v>
      </c>
      <c r="EN18" s="2865" t="s">
        <v>2519</v>
      </c>
      <c r="EO18" s="2865" t="s">
        <v>2519</v>
      </c>
      <c r="EP18" s="2865" t="s">
        <v>2519</v>
      </c>
      <c r="EQ18" s="2865" t="s">
        <v>2519</v>
      </c>
      <c r="ER18" s="2865" t="s">
        <v>2519</v>
      </c>
      <c r="ES18" s="2865" t="s">
        <v>2519</v>
      </c>
      <c r="ET18" s="2865" t="s">
        <v>2519</v>
      </c>
      <c r="EU18" s="2865" t="s">
        <v>2519</v>
      </c>
      <c r="EV18" s="2865" t="s">
        <v>2519</v>
      </c>
      <c r="EW18" s="2865" t="s">
        <v>2519</v>
      </c>
      <c r="EX18" s="2865" t="s">
        <v>2519</v>
      </c>
      <c r="EY18" s="2865" t="s">
        <v>2519</v>
      </c>
      <c r="EZ18" s="2865" t="s">
        <v>2519</v>
      </c>
      <c r="FA18" s="2866" t="s">
        <v>2520</v>
      </c>
      <c r="FB18" s="2833"/>
      <c r="FC18" s="2850"/>
      <c r="FD18" s="2850"/>
      <c r="FE18" s="2850"/>
      <c r="FF18" s="2825" t="s">
        <v>2521</v>
      </c>
      <c r="FG18" s="2833"/>
      <c r="FH18" s="2833"/>
      <c r="FI18" s="2833"/>
      <c r="FJ18" s="2833"/>
      <c r="FK18" s="2833"/>
      <c r="FL18" s="2838"/>
      <c r="FM18" s="2825"/>
      <c r="FN18" s="2825"/>
      <c r="FO18" s="2825"/>
      <c r="FP18" s="2825"/>
      <c r="FQ18" s="2825"/>
      <c r="FR18" s="2825"/>
      <c r="FS18" s="2825"/>
      <c r="FT18" s="2825"/>
      <c r="FU18" s="2825"/>
      <c r="FV18" s="2825"/>
      <c r="FW18" s="2825"/>
      <c r="FX18" s="2825"/>
      <c r="FY18" s="2825"/>
      <c r="FZ18" s="2825"/>
      <c r="GA18" s="2825"/>
      <c r="GB18" s="2825"/>
      <c r="GC18" s="2825"/>
      <c r="GD18" s="2825"/>
      <c r="GE18" s="2825"/>
      <c r="GF18" s="2825"/>
      <c r="GG18" s="2825"/>
      <c r="GH18" s="2825"/>
      <c r="GI18" s="2825"/>
      <c r="GJ18" s="2825"/>
      <c r="GK18" s="2825"/>
      <c r="GL18" s="2825"/>
      <c r="GM18" s="2825"/>
      <c r="GN18" s="2825"/>
      <c r="GO18" s="2825"/>
      <c r="GP18" s="2825"/>
      <c r="GQ18" s="2825"/>
      <c r="GR18" s="2825"/>
      <c r="GS18" s="2825"/>
      <c r="GT18" s="2825"/>
      <c r="GU18" s="2825"/>
      <c r="GV18" s="2825"/>
      <c r="GW18" s="2825"/>
      <c r="GX18" s="2825"/>
      <c r="GY18" s="2825"/>
      <c r="GZ18" s="2825"/>
      <c r="HA18" s="2825"/>
      <c r="HB18" s="2825"/>
      <c r="HC18" s="2825"/>
      <c r="HD18" s="2825"/>
      <c r="HE18" s="2825"/>
      <c r="HF18" s="2825"/>
      <c r="HG18" s="2825"/>
      <c r="HH18" s="2825"/>
      <c r="HI18" s="2825"/>
      <c r="HJ18" s="2825"/>
      <c r="HK18" s="2825"/>
      <c r="HL18" s="2825"/>
      <c r="HM18" s="2825"/>
      <c r="HN18" s="2825"/>
      <c r="HO18" s="2825"/>
      <c r="HP18" s="2825"/>
      <c r="HQ18" s="2825"/>
      <c r="HR18" s="2825"/>
      <c r="HS18" s="2825"/>
      <c r="HT18" s="2825"/>
      <c r="HU18" s="2825"/>
      <c r="HV18" s="2825"/>
      <c r="HW18" s="2825"/>
      <c r="HX18" s="2825"/>
      <c r="HY18" s="2825"/>
      <c r="HZ18" s="2825"/>
      <c r="IA18" s="2825"/>
      <c r="IB18" s="2825"/>
      <c r="IC18" s="2825"/>
      <c r="ID18" s="2825"/>
      <c r="IE18" s="2825"/>
      <c r="IF18" s="2825"/>
      <c r="IG18" s="2825"/>
      <c r="IH18" s="2825"/>
      <c r="II18" s="2825"/>
      <c r="IJ18" s="2825"/>
      <c r="IK18" s="2825"/>
      <c r="IL18" s="2825"/>
      <c r="IM18" s="2825"/>
      <c r="IN18" s="2825"/>
      <c r="IO18" s="2838"/>
      <c r="IP18" s="2839"/>
      <c r="IQ18" s="2861"/>
      <c r="IR18" s="2838"/>
      <c r="IS18" s="2838"/>
      <c r="IT18" s="2838"/>
      <c r="IU18" s="2838"/>
      <c r="IV18" s="2838"/>
      <c r="IW18" s="2838"/>
      <c r="IX18" s="2838"/>
      <c r="IY18" s="2838"/>
      <c r="IZ18" s="2838"/>
      <c r="JA18" s="2838"/>
      <c r="JB18" s="2838"/>
      <c r="JC18" s="2838"/>
      <c r="JD18" s="2838"/>
      <c r="JE18" s="2838"/>
      <c r="JF18" s="2838"/>
      <c r="JG18" s="2838"/>
      <c r="JH18" s="2838"/>
      <c r="JI18" s="2833"/>
      <c r="JJ18" s="2833"/>
      <c r="JK18" s="2833"/>
      <c r="JL18" s="2833"/>
      <c r="JM18" s="2833"/>
      <c r="JN18" s="2833"/>
      <c r="JO18" s="2833"/>
      <c r="JP18" s="2833"/>
      <c r="JQ18" s="2833"/>
      <c r="JR18" s="2833"/>
      <c r="JS18" s="2833"/>
      <c r="JT18" s="2833"/>
      <c r="JU18" s="2833"/>
      <c r="JV18" s="2833"/>
      <c r="JW18" s="2833"/>
      <c r="JX18" s="2833"/>
      <c r="JY18" s="2833"/>
      <c r="JZ18" s="2833"/>
      <c r="KA18" s="2833"/>
      <c r="KB18" s="2833"/>
      <c r="KC18" s="2833"/>
      <c r="KD18" s="2833"/>
      <c r="KE18" s="2833"/>
      <c r="KF18" s="2833"/>
      <c r="KG18" s="2833"/>
      <c r="KH18" s="2833"/>
      <c r="KI18" s="2833"/>
      <c r="KJ18" s="2833"/>
      <c r="KK18" s="1353"/>
    </row>
    <row r="19" ht="21" customHeight="1">
      <c r="A19" s="2840"/>
      <c r="B19" s="2862"/>
      <c r="C19" s="2863"/>
      <c r="D19" s="2863"/>
      <c r="E19" s="2863"/>
      <c r="F19" s="2863"/>
      <c r="G19" s="2863"/>
      <c r="H19" s="2863"/>
      <c r="I19" s="2863"/>
      <c r="J19" s="2863"/>
      <c r="K19" s="2864"/>
      <c r="L19" s="1353"/>
      <c r="M19" s="2867"/>
      <c r="N19" s="2867"/>
      <c r="O19" s="2841"/>
      <c r="P19" s="2837" t="s">
        <v>2522</v>
      </c>
      <c r="Q19" s="2868" t="str">
        <f t="shared" si="4" ref="Q19:EZ19">Q17&amp;" / "&amp;Q18</f>
        <v>1 / 0</v>
      </c>
      <c r="R19" s="2868" t="str">
        <f t="shared" si="4"/>
        <v>0 / 0</v>
      </c>
      <c r="S19" s="2868" t="str">
        <f t="shared" si="4"/>
        <v>2 / 0</v>
      </c>
      <c r="T19" s="2868" t="str">
        <f t="shared" si="4"/>
        <v>0 / 0</v>
      </c>
      <c r="U19" s="2868" t="str">
        <f t="shared" si="4"/>
        <v>0 / 0</v>
      </c>
      <c r="V19" s="2868" t="str">
        <f t="shared" si="4"/>
        <v># Bedrooms / # Baths</v>
      </c>
      <c r="W19" s="2868" t="str">
        <f t="shared" si="4"/>
        <v># Bedrooms / # Baths</v>
      </c>
      <c r="X19" s="2868" t="str">
        <f t="shared" si="4"/>
        <v># Bedrooms / # Baths</v>
      </c>
      <c r="Y19" s="2868" t="str">
        <f t="shared" si="4"/>
        <v># Bedrooms / # Baths</v>
      </c>
      <c r="Z19" s="2868" t="str">
        <f t="shared" si="4"/>
        <v># Bedrooms / # Baths</v>
      </c>
      <c r="AA19" s="2868" t="str">
        <f t="shared" si="4"/>
        <v># Bedrooms / # Baths</v>
      </c>
      <c r="AB19" s="2868" t="str">
        <f t="shared" si="4"/>
        <v># Bedrooms / # Baths</v>
      </c>
      <c r="AC19" s="2868" t="str">
        <f t="shared" si="4"/>
        <v># Bedrooms / # Baths</v>
      </c>
      <c r="AD19" s="2868" t="str">
        <f t="shared" si="4"/>
        <v># Bedrooms / # Baths</v>
      </c>
      <c r="AE19" s="2868" t="str">
        <f t="shared" si="4"/>
        <v># Bedrooms / # Baths</v>
      </c>
      <c r="AF19" s="2868" t="str">
        <f t="shared" si="4"/>
        <v># Bedrooms / # Baths</v>
      </c>
      <c r="AG19" s="2868" t="str">
        <f t="shared" si="4"/>
        <v># Bedrooms / # Baths</v>
      </c>
      <c r="AH19" s="2868" t="str">
        <f t="shared" si="4"/>
        <v># Bedrooms / # Baths</v>
      </c>
      <c r="AI19" s="2868" t="str">
        <f t="shared" si="4"/>
        <v># Bedrooms / # Baths</v>
      </c>
      <c r="AJ19" s="2868" t="str">
        <f t="shared" si="4"/>
        <v># Bedrooms / # Baths</v>
      </c>
      <c r="AK19" s="2868" t="str">
        <f t="shared" si="4"/>
        <v># Bedrooms / # Baths</v>
      </c>
      <c r="AL19" s="2868" t="str">
        <f t="shared" si="4"/>
        <v># Bedrooms / # Baths</v>
      </c>
      <c r="AM19" s="2868" t="str">
        <f t="shared" si="4"/>
        <v># Bedrooms / # Baths</v>
      </c>
      <c r="AN19" s="2868" t="str">
        <f t="shared" si="4"/>
        <v># Bedrooms / # Baths</v>
      </c>
      <c r="AO19" s="2868" t="str">
        <f t="shared" si="4"/>
        <v># Bedrooms / # Baths</v>
      </c>
      <c r="AP19" s="2868" t="str">
        <f t="shared" si="4"/>
        <v># Bedrooms / # Baths</v>
      </c>
      <c r="AQ19" s="2868" t="str">
        <f t="shared" si="4"/>
        <v># Bedrooms / # Baths</v>
      </c>
      <c r="AR19" s="2868" t="str">
        <f t="shared" si="4"/>
        <v># Bedrooms / # Baths</v>
      </c>
      <c r="AS19" s="2868" t="str">
        <f t="shared" si="4"/>
        <v># Bedrooms / # Baths</v>
      </c>
      <c r="AT19" s="2868" t="str">
        <f t="shared" si="4"/>
        <v># Bedrooms / # Baths</v>
      </c>
      <c r="AU19" s="2868" t="str">
        <f t="shared" si="4"/>
        <v># Bedrooms / # Baths</v>
      </c>
      <c r="AV19" s="2868" t="str">
        <f t="shared" si="4"/>
        <v># Bedrooms / # Baths</v>
      </c>
      <c r="AW19" s="2868" t="str">
        <f t="shared" si="4"/>
        <v># Bedrooms / # Baths</v>
      </c>
      <c r="AX19" s="2868" t="str">
        <f t="shared" si="4"/>
        <v># Bedrooms / # Baths</v>
      </c>
      <c r="AY19" s="2868" t="str">
        <f t="shared" si="4"/>
        <v># Bedrooms / # Baths</v>
      </c>
      <c r="AZ19" s="2868" t="str">
        <f t="shared" si="4"/>
        <v># Bedrooms / # Baths</v>
      </c>
      <c r="BA19" s="2868" t="str">
        <f t="shared" si="4"/>
        <v># Bedrooms / # Baths</v>
      </c>
      <c r="BB19" s="2868" t="str">
        <f t="shared" si="4"/>
        <v># Bedrooms / # Baths</v>
      </c>
      <c r="BC19" s="2868" t="str">
        <f t="shared" si="4"/>
        <v># Bedrooms / # Baths</v>
      </c>
      <c r="BD19" s="2868" t="str">
        <f t="shared" si="4"/>
        <v># Bedrooms / # Baths</v>
      </c>
      <c r="BE19" s="2868" t="str">
        <f t="shared" si="4"/>
        <v># Bedrooms / # Baths</v>
      </c>
      <c r="BF19" s="2868" t="str">
        <f t="shared" si="4"/>
        <v># Bedrooms / # Baths</v>
      </c>
      <c r="BG19" s="2868" t="str">
        <f t="shared" si="4"/>
        <v># Bedrooms / # Baths</v>
      </c>
      <c r="BH19" s="2868" t="str">
        <f t="shared" si="4"/>
        <v># Bedrooms / # Baths</v>
      </c>
      <c r="BI19" s="2868" t="str">
        <f t="shared" si="4"/>
        <v># Bedrooms / # Baths</v>
      </c>
      <c r="BJ19" s="2868" t="str">
        <f t="shared" si="4"/>
        <v># Bedrooms / # Baths</v>
      </c>
      <c r="BK19" s="2868" t="str">
        <f t="shared" si="4"/>
        <v># Bedrooms / # Baths</v>
      </c>
      <c r="BL19" s="2868" t="str">
        <f t="shared" si="4"/>
        <v># Bedrooms / # Baths</v>
      </c>
      <c r="BM19" s="2868" t="str">
        <f t="shared" si="4"/>
        <v># Bedrooms / # Baths</v>
      </c>
      <c r="BN19" s="2868" t="str">
        <f t="shared" si="4"/>
        <v># Bedrooms / # Baths</v>
      </c>
      <c r="BO19" s="2868" t="str">
        <f t="shared" si="4"/>
        <v># Bedrooms / # Baths</v>
      </c>
      <c r="BP19" s="2868" t="str">
        <f t="shared" si="4"/>
        <v># Bedrooms / # Baths</v>
      </c>
      <c r="BQ19" s="2868" t="str">
        <f t="shared" si="4"/>
        <v># Bedrooms / # Baths</v>
      </c>
      <c r="BR19" s="2868" t="str">
        <f t="shared" si="4"/>
        <v># Bedrooms / # Baths</v>
      </c>
      <c r="BS19" s="2868" t="str">
        <f t="shared" si="4"/>
        <v># Bedrooms / # Baths</v>
      </c>
      <c r="BT19" s="2868" t="str">
        <f t="shared" si="4"/>
        <v># Bedrooms / # Baths</v>
      </c>
      <c r="BU19" s="2868" t="str">
        <f t="shared" si="4"/>
        <v># Bedrooms / # Baths</v>
      </c>
      <c r="BV19" s="2868" t="str">
        <f t="shared" si="4"/>
        <v># Bedrooms / # Baths</v>
      </c>
      <c r="BW19" s="2868" t="str">
        <f t="shared" si="4"/>
        <v># Bedrooms / # Baths</v>
      </c>
      <c r="BX19" s="2868" t="str">
        <f t="shared" si="4"/>
        <v># Bedrooms / # Baths</v>
      </c>
      <c r="BY19" s="2868" t="str">
        <f t="shared" si="4"/>
        <v># Bedrooms / # Baths</v>
      </c>
      <c r="BZ19" s="2868" t="str">
        <f t="shared" si="4"/>
        <v># Bedrooms / # Baths</v>
      </c>
      <c r="CA19" s="2868" t="str">
        <f t="shared" si="4"/>
        <v># Bedrooms / # Baths</v>
      </c>
      <c r="CB19" s="2868" t="str">
        <f t="shared" si="4"/>
        <v># Bedrooms / # Baths</v>
      </c>
      <c r="CC19" s="2868" t="str">
        <f t="shared" si="4"/>
        <v># Bedrooms / # Baths</v>
      </c>
      <c r="CD19" s="2868" t="str">
        <f t="shared" si="4"/>
        <v># Bedrooms / # Baths</v>
      </c>
      <c r="CE19" s="2868" t="str">
        <f t="shared" si="4"/>
        <v># Bedrooms / # Baths</v>
      </c>
      <c r="CF19" s="2868" t="str">
        <f t="shared" si="4"/>
        <v># Bedrooms / # Baths</v>
      </c>
      <c r="CG19" s="2868" t="str">
        <f t="shared" si="4"/>
        <v># Bedrooms / # Baths</v>
      </c>
      <c r="CH19" s="2868" t="str">
        <f t="shared" si="4"/>
        <v># Bedrooms / # Baths</v>
      </c>
      <c r="CI19" s="2868" t="str">
        <f t="shared" si="4"/>
        <v># Bedrooms / # Baths</v>
      </c>
      <c r="CJ19" s="2868" t="str">
        <f t="shared" si="4"/>
        <v># Bedrooms / # Baths</v>
      </c>
      <c r="CK19" s="2868" t="str">
        <f t="shared" si="4"/>
        <v># Bedrooms / # Baths</v>
      </c>
      <c r="CL19" s="2868" t="str">
        <f t="shared" si="4"/>
        <v># Bedrooms / # Baths</v>
      </c>
      <c r="CM19" s="2868" t="str">
        <f t="shared" si="4"/>
        <v># Bedrooms / # Baths</v>
      </c>
      <c r="CN19" s="2868" t="str">
        <f t="shared" si="4"/>
        <v># Bedrooms / # Baths</v>
      </c>
      <c r="CO19" s="2868" t="str">
        <f t="shared" si="4"/>
        <v># Bedrooms / # Baths</v>
      </c>
      <c r="CP19" s="2868" t="str">
        <f t="shared" si="4"/>
        <v># Bedrooms / # Baths</v>
      </c>
      <c r="CQ19" s="2869" t="str">
        <f t="shared" si="4"/>
        <v># Bedrooms / # Baths</v>
      </c>
      <c r="CR19" s="2869" t="str">
        <f t="shared" si="4"/>
        <v># Bedrooms / # Baths</v>
      </c>
      <c r="CS19" s="2869" t="str">
        <f t="shared" si="4"/>
        <v># Bedrooms / # Baths</v>
      </c>
      <c r="CT19" s="2869" t="str">
        <f t="shared" si="4"/>
        <v># Bedrooms / # Baths</v>
      </c>
      <c r="CU19" s="2869" t="str">
        <f t="shared" si="4"/>
        <v># Bedrooms / # Baths</v>
      </c>
      <c r="CV19" s="2869" t="str">
        <f t="shared" si="4"/>
        <v># Bedrooms / # Baths</v>
      </c>
      <c r="CW19" s="2869" t="str">
        <f t="shared" si="4"/>
        <v># Bedrooms / # Baths</v>
      </c>
      <c r="CX19" s="2869" t="str">
        <f t="shared" si="4"/>
        <v># Bedrooms / # Baths</v>
      </c>
      <c r="CY19" s="2869" t="str">
        <f t="shared" si="4"/>
        <v># Bedrooms / # Baths</v>
      </c>
      <c r="CZ19" s="2869" t="str">
        <f t="shared" si="4"/>
        <v># Bedrooms / # Baths</v>
      </c>
      <c r="DA19" s="2869" t="str">
        <f t="shared" si="4"/>
        <v># Bedrooms / # Baths</v>
      </c>
      <c r="DB19" s="2869" t="str">
        <f t="shared" si="4"/>
        <v># Bedrooms / # Baths</v>
      </c>
      <c r="DC19" s="2869" t="str">
        <f t="shared" si="4"/>
        <v># Bedrooms / # Baths</v>
      </c>
      <c r="DD19" s="2869" t="str">
        <f t="shared" si="4"/>
        <v># Bedrooms / # Baths</v>
      </c>
      <c r="DE19" s="2869" t="str">
        <f t="shared" si="4"/>
        <v># Bedrooms / # Baths</v>
      </c>
      <c r="DF19" s="2869" t="str">
        <f t="shared" si="4"/>
        <v># Bedrooms / # Baths</v>
      </c>
      <c r="DG19" s="2869" t="str">
        <f t="shared" si="4"/>
        <v># Bedrooms / # Baths</v>
      </c>
      <c r="DH19" s="2869" t="str">
        <f t="shared" si="4"/>
        <v># Bedrooms / # Baths</v>
      </c>
      <c r="DI19" s="2869" t="str">
        <f t="shared" si="4"/>
        <v># Bedrooms / # Baths</v>
      </c>
      <c r="DJ19" s="2869" t="str">
        <f t="shared" si="4"/>
        <v># Bedrooms / # Baths</v>
      </c>
      <c r="DK19" s="2869" t="str">
        <f t="shared" si="4"/>
        <v># Bedrooms / # Baths</v>
      </c>
      <c r="DL19" s="2869" t="str">
        <f t="shared" si="4"/>
        <v># Bedrooms / # Baths</v>
      </c>
      <c r="DM19" s="2869" t="str">
        <f t="shared" si="4"/>
        <v># Bedrooms / # Baths</v>
      </c>
      <c r="DN19" s="2869" t="str">
        <f t="shared" si="4"/>
        <v># Bedrooms / # Baths</v>
      </c>
      <c r="DO19" s="2869" t="str">
        <f t="shared" si="4"/>
        <v># Bedrooms / # Baths</v>
      </c>
      <c r="DP19" s="2869" t="str">
        <f t="shared" si="4"/>
        <v># Bedrooms / # Baths</v>
      </c>
      <c r="DQ19" s="2868" t="str">
        <f t="shared" si="4"/>
        <v># Bedrooms / # Baths</v>
      </c>
      <c r="DR19" s="2868" t="str">
        <f t="shared" si="4"/>
        <v># Bedrooms / # Baths</v>
      </c>
      <c r="DS19" s="2868" t="str">
        <f t="shared" si="4"/>
        <v># Bedrooms / # Baths</v>
      </c>
      <c r="DT19" s="2868" t="str">
        <f t="shared" si="4"/>
        <v># Bedrooms / # Baths</v>
      </c>
      <c r="DU19" s="2868" t="str">
        <f t="shared" si="4"/>
        <v># Bedrooms / # Baths</v>
      </c>
      <c r="DV19" s="2868" t="str">
        <f t="shared" si="4"/>
        <v># Bedrooms / # Baths</v>
      </c>
      <c r="DW19" s="2868" t="str">
        <f t="shared" si="4"/>
        <v># Bedrooms / # Baths</v>
      </c>
      <c r="DX19" s="2868" t="str">
        <f t="shared" si="4"/>
        <v># Bedrooms / # Baths</v>
      </c>
      <c r="DY19" s="2868" t="str">
        <f t="shared" si="4"/>
        <v># Bedrooms / # Baths</v>
      </c>
      <c r="DZ19" s="2868" t="str">
        <f t="shared" si="4"/>
        <v># Bedrooms / # Baths</v>
      </c>
      <c r="EA19" s="2868" t="str">
        <f t="shared" si="4"/>
        <v># Bedrooms / # Baths</v>
      </c>
      <c r="EB19" s="2868" t="str">
        <f t="shared" si="4"/>
        <v># Bedrooms / # Baths</v>
      </c>
      <c r="EC19" s="2868" t="str">
        <f t="shared" si="4"/>
        <v># Bedrooms / # Baths</v>
      </c>
      <c r="ED19" s="2868" t="str">
        <f t="shared" si="4"/>
        <v># Bedrooms / # Baths</v>
      </c>
      <c r="EE19" s="2868" t="str">
        <f t="shared" si="4"/>
        <v># Bedrooms / # Baths</v>
      </c>
      <c r="EF19" s="2868" t="str">
        <f t="shared" si="4"/>
        <v># Bedrooms / # Baths</v>
      </c>
      <c r="EG19" s="2868" t="str">
        <f t="shared" si="4"/>
        <v># Bedrooms / # Baths</v>
      </c>
      <c r="EH19" s="2868" t="str">
        <f t="shared" si="4"/>
        <v># Bedrooms / # Baths</v>
      </c>
      <c r="EI19" s="2868" t="str">
        <f t="shared" si="4"/>
        <v># Bedrooms / # Baths</v>
      </c>
      <c r="EJ19" s="2868" t="str">
        <f t="shared" si="4"/>
        <v># Bedrooms / # Baths</v>
      </c>
      <c r="EK19" s="2868" t="str">
        <f t="shared" si="4"/>
        <v># Bedrooms / # Baths</v>
      </c>
      <c r="EL19" s="2868" t="str">
        <f t="shared" si="4"/>
        <v># Bedrooms / # Baths</v>
      </c>
      <c r="EM19" s="2868" t="str">
        <f t="shared" si="4"/>
        <v># Bedrooms / # Baths</v>
      </c>
      <c r="EN19" s="2868" t="str">
        <f t="shared" si="4"/>
        <v># Bedrooms / # Baths</v>
      </c>
      <c r="EO19" s="2868" t="str">
        <f t="shared" si="4"/>
        <v># Bedrooms / # Baths</v>
      </c>
      <c r="EP19" s="2868" t="str">
        <f t="shared" si="4"/>
        <v># Bedrooms / # Baths</v>
      </c>
      <c r="EQ19" s="2868" t="str">
        <f t="shared" si="4"/>
        <v># Bedrooms / # Baths</v>
      </c>
      <c r="ER19" s="2868" t="str">
        <f t="shared" si="4"/>
        <v># Bedrooms / # Baths</v>
      </c>
      <c r="ES19" s="2868" t="str">
        <f t="shared" si="4"/>
        <v># Bedrooms / # Baths</v>
      </c>
      <c r="ET19" s="2868" t="str">
        <f t="shared" si="4"/>
        <v># Bedrooms / # Baths</v>
      </c>
      <c r="EU19" s="2868" t="str">
        <f t="shared" si="4"/>
        <v># Bedrooms / # Baths</v>
      </c>
      <c r="EV19" s="2868" t="str">
        <f t="shared" si="4"/>
        <v># Bedrooms / # Baths</v>
      </c>
      <c r="EW19" s="2868" t="str">
        <f t="shared" si="4"/>
        <v># Bedrooms / # Baths</v>
      </c>
      <c r="EX19" s="2868" t="str">
        <f t="shared" si="4"/>
        <v># Bedrooms / # Baths</v>
      </c>
      <c r="EY19" s="2868" t="str">
        <f t="shared" si="4"/>
        <v># Bedrooms / # Baths</v>
      </c>
      <c r="EZ19" s="2868" t="str">
        <f t="shared" si="4"/>
        <v># Bedrooms / # Baths</v>
      </c>
      <c r="FA19" s="2870" t="s">
        <v>2527</v>
      </c>
      <c r="FB19" s="2833"/>
      <c r="FC19" s="2871" t="s">
        <v>2527</v>
      </c>
      <c r="FD19" s="2850"/>
      <c r="FE19" s="2850"/>
      <c r="FF19" s="2825" t="s">
        <v>1055</v>
      </c>
      <c r="FG19" s="2833"/>
      <c r="FH19" s="2833"/>
      <c r="FI19" s="2833"/>
      <c r="FJ19" s="2833"/>
      <c r="FK19" s="2833"/>
      <c r="FL19" s="2838"/>
      <c r="FM19" s="2825"/>
      <c r="FN19" s="2825"/>
      <c r="FO19" s="2825"/>
      <c r="FP19" s="2825"/>
      <c r="FQ19" s="2825"/>
      <c r="FR19" s="2825"/>
      <c r="FS19" s="2825"/>
      <c r="FT19" s="2825"/>
      <c r="FU19" s="2825"/>
      <c r="FV19" s="2825"/>
      <c r="FW19" s="2825"/>
      <c r="FX19" s="2825"/>
      <c r="FY19" s="2825"/>
      <c r="FZ19" s="2825"/>
      <c r="GA19" s="2825"/>
      <c r="GB19" s="2825"/>
      <c r="GC19" s="2825"/>
      <c r="GD19" s="2825"/>
      <c r="GE19" s="2825"/>
      <c r="GF19" s="2825"/>
      <c r="GG19" s="2825"/>
      <c r="GH19" s="2825"/>
      <c r="GI19" s="2825"/>
      <c r="GJ19" s="2825"/>
      <c r="GK19" s="2825"/>
      <c r="GL19" s="2825"/>
      <c r="GM19" s="2825"/>
      <c r="GN19" s="2825"/>
      <c r="GO19" s="2825"/>
      <c r="GP19" s="2825"/>
      <c r="GQ19" s="2825"/>
      <c r="GR19" s="2825"/>
      <c r="GS19" s="2825"/>
      <c r="GT19" s="2825"/>
      <c r="GU19" s="2825"/>
      <c r="GV19" s="2825"/>
      <c r="GW19" s="2825"/>
      <c r="GX19" s="2825"/>
      <c r="GY19" s="2825"/>
      <c r="GZ19" s="2825"/>
      <c r="HA19" s="2825"/>
      <c r="HB19" s="2825"/>
      <c r="HC19" s="2825"/>
      <c r="HD19" s="2825"/>
      <c r="HE19" s="2825"/>
      <c r="HF19" s="2825"/>
      <c r="HG19" s="2825"/>
      <c r="HH19" s="2825"/>
      <c r="HI19" s="2825"/>
      <c r="HJ19" s="2825"/>
      <c r="HK19" s="2825"/>
      <c r="HL19" s="2825"/>
      <c r="HM19" s="2825"/>
      <c r="HN19" s="2825"/>
      <c r="HO19" s="2825"/>
      <c r="HP19" s="2825"/>
      <c r="HQ19" s="2825"/>
      <c r="HR19" s="2825"/>
      <c r="HS19" s="2825"/>
      <c r="HT19" s="2825"/>
      <c r="HU19" s="2825"/>
      <c r="HV19" s="2825"/>
      <c r="HW19" s="2825"/>
      <c r="HX19" s="2825"/>
      <c r="HY19" s="2825"/>
      <c r="HZ19" s="2825"/>
      <c r="IA19" s="2825"/>
      <c r="IB19" s="2825"/>
      <c r="IC19" s="2825"/>
      <c r="ID19" s="2825"/>
      <c r="IE19" s="2825"/>
      <c r="IF19" s="2825"/>
      <c r="IG19" s="2825"/>
      <c r="IH19" s="2825"/>
      <c r="II19" s="2825"/>
      <c r="IJ19" s="2825"/>
      <c r="IK19" s="2825"/>
      <c r="IL19" s="2825"/>
      <c r="IM19" s="2825"/>
      <c r="IN19" s="2825"/>
      <c r="IO19" s="2838"/>
      <c r="IP19" s="2839"/>
      <c r="IQ19" s="2872"/>
      <c r="IR19" s="2871" t="s">
        <v>2527</v>
      </c>
      <c r="IS19" s="2838"/>
      <c r="IT19" s="2838"/>
      <c r="IU19" s="2838"/>
      <c r="IV19" s="2838"/>
      <c r="IW19" s="2838"/>
      <c r="IX19" s="2838"/>
      <c r="IY19" s="2838"/>
      <c r="IZ19" s="2838"/>
      <c r="JA19" s="2838"/>
      <c r="JB19" s="2838"/>
      <c r="JC19" s="2838"/>
      <c r="JD19" s="2838"/>
      <c r="JE19" s="2838"/>
      <c r="JF19" s="2838"/>
      <c r="JG19" s="2838"/>
      <c r="JH19" s="2871" t="s">
        <v>2527</v>
      </c>
      <c r="JI19" s="2833"/>
      <c r="JJ19" s="2833"/>
      <c r="JK19" s="2833"/>
      <c r="JL19" s="2833"/>
      <c r="JM19" s="2833"/>
      <c r="JN19" s="2833"/>
      <c r="JO19" s="2833"/>
      <c r="JP19" s="2833"/>
      <c r="JQ19" s="2833"/>
      <c r="JR19" s="2833"/>
      <c r="JS19" s="2833"/>
      <c r="JT19" s="2833"/>
      <c r="JU19" s="2833"/>
      <c r="JV19" s="2833"/>
      <c r="JW19" s="2833"/>
      <c r="JX19" s="2833"/>
      <c r="JY19" s="2833"/>
      <c r="JZ19" s="2833"/>
      <c r="KA19" s="2833"/>
      <c r="KB19" s="2833"/>
      <c r="KC19" s="2833"/>
      <c r="KD19" s="2833"/>
      <c r="KE19" s="2833"/>
      <c r="KF19" s="2833"/>
      <c r="KG19" s="2833"/>
      <c r="KH19" s="2833"/>
      <c r="KI19" s="2833"/>
      <c r="KJ19" s="2833"/>
      <c r="KK19" s="1353"/>
    </row>
    <row r="20" ht="14.25" customHeight="1">
      <c r="A20" s="2840"/>
      <c r="B20" s="2862"/>
      <c r="C20" s="2863"/>
      <c r="D20" s="2863"/>
      <c r="E20" s="2863"/>
      <c r="F20" s="2863"/>
      <c r="G20" s="2863"/>
      <c r="H20" s="2863"/>
      <c r="I20" s="2863"/>
      <c r="J20" s="2863"/>
      <c r="K20" s="2864"/>
      <c r="L20" s="1353"/>
      <c r="M20" s="2867"/>
      <c r="N20" s="2867"/>
      <c r="O20" s="2841"/>
      <c r="P20" s="2837" t="s">
        <v>2528</v>
      </c>
      <c r="Q20" s="2873" t="s">
        <v>2529</v>
      </c>
      <c r="R20" s="2873" t="s">
        <v>2530</v>
      </c>
      <c r="S20" s="2873" t="s">
        <v>2531</v>
      </c>
      <c r="T20" s="2873" t="s">
        <v>2532</v>
      </c>
      <c r="U20" s="2873" t="s">
        <v>2533</v>
      </c>
      <c r="V20" s="2873" t="s">
        <v>2534</v>
      </c>
      <c r="W20" s="2873" t="s">
        <v>2535</v>
      </c>
      <c r="X20" s="2873" t="s">
        <v>2536</v>
      </c>
      <c r="Y20" s="2873" t="s">
        <v>2537</v>
      </c>
      <c r="Z20" s="2873" t="s">
        <v>2538</v>
      </c>
      <c r="AA20" s="2873" t="s">
        <v>2539</v>
      </c>
      <c r="AB20" s="2873" t="s">
        <v>2540</v>
      </c>
      <c r="AC20" s="2873" t="s">
        <v>2541</v>
      </c>
      <c r="AD20" s="2873" t="s">
        <v>2542</v>
      </c>
      <c r="AE20" s="2873" t="s">
        <v>2543</v>
      </c>
      <c r="AF20" s="2873" t="s">
        <v>2544</v>
      </c>
      <c r="AG20" s="2873" t="s">
        <v>2545</v>
      </c>
      <c r="AH20" s="2873" t="s">
        <v>2546</v>
      </c>
      <c r="AI20" s="2873" t="s">
        <v>2547</v>
      </c>
      <c r="AJ20" s="2873" t="s">
        <v>2548</v>
      </c>
      <c r="AK20" s="2873" t="s">
        <v>2549</v>
      </c>
      <c r="AL20" s="2873" t="s">
        <v>2550</v>
      </c>
      <c r="AM20" s="2873" t="s">
        <v>2551</v>
      </c>
      <c r="AN20" s="2873" t="s">
        <v>2552</v>
      </c>
      <c r="AO20" s="2873" t="s">
        <v>2553</v>
      </c>
      <c r="AP20" s="2873" t="s">
        <v>2554</v>
      </c>
      <c r="AQ20" s="2873" t="s">
        <v>2555</v>
      </c>
      <c r="AR20" s="2873" t="s">
        <v>2556</v>
      </c>
      <c r="AS20" s="2873" t="s">
        <v>2557</v>
      </c>
      <c r="AT20" s="2873" t="s">
        <v>2558</v>
      </c>
      <c r="AU20" s="2873" t="s">
        <v>2559</v>
      </c>
      <c r="AV20" s="2873" t="s">
        <v>2560</v>
      </c>
      <c r="AW20" s="2873" t="s">
        <v>2561</v>
      </c>
      <c r="AX20" s="2873" t="s">
        <v>2562</v>
      </c>
      <c r="AY20" s="2873" t="s">
        <v>2563</v>
      </c>
      <c r="AZ20" s="2873" t="s">
        <v>2564</v>
      </c>
      <c r="BA20" s="2873" t="s">
        <v>2565</v>
      </c>
      <c r="BB20" s="2873" t="s">
        <v>2566</v>
      </c>
      <c r="BC20" s="2873" t="s">
        <v>2567</v>
      </c>
      <c r="BD20" s="2873" t="s">
        <v>2568</v>
      </c>
      <c r="BE20" s="2873" t="s">
        <v>2569</v>
      </c>
      <c r="BF20" s="2873" t="s">
        <v>2570</v>
      </c>
      <c r="BG20" s="2873" t="s">
        <v>2571</v>
      </c>
      <c r="BH20" s="2873" t="s">
        <v>2572</v>
      </c>
      <c r="BI20" s="2873" t="s">
        <v>2573</v>
      </c>
      <c r="BJ20" s="2873" t="s">
        <v>2574</v>
      </c>
      <c r="BK20" s="2873" t="s">
        <v>2575</v>
      </c>
      <c r="BL20" s="2873" t="s">
        <v>2576</v>
      </c>
      <c r="BM20" s="2873" t="s">
        <v>2577</v>
      </c>
      <c r="BN20" s="2873" t="s">
        <v>2578</v>
      </c>
      <c r="BO20" s="2873" t="s">
        <v>2579</v>
      </c>
      <c r="BP20" s="2873" t="s">
        <v>2580</v>
      </c>
      <c r="BQ20" s="2873" t="s">
        <v>2581</v>
      </c>
      <c r="BR20" s="2873" t="s">
        <v>2582</v>
      </c>
      <c r="BS20" s="2873" t="s">
        <v>2583</v>
      </c>
      <c r="BT20" s="2873" t="s">
        <v>2584</v>
      </c>
      <c r="BU20" s="2873" t="s">
        <v>2585</v>
      </c>
      <c r="BV20" s="2873" t="s">
        <v>2586</v>
      </c>
      <c r="BW20" s="2873" t="s">
        <v>2587</v>
      </c>
      <c r="BX20" s="2873" t="s">
        <v>2588</v>
      </c>
      <c r="BY20" s="2873" t="s">
        <v>2589</v>
      </c>
      <c r="BZ20" s="2873" t="s">
        <v>2590</v>
      </c>
      <c r="CA20" s="2873" t="s">
        <v>2591</v>
      </c>
      <c r="CB20" s="2873" t="s">
        <v>2592</v>
      </c>
      <c r="CC20" s="2873" t="s">
        <v>2593</v>
      </c>
      <c r="CD20" s="2873" t="s">
        <v>2594</v>
      </c>
      <c r="CE20" s="2873" t="s">
        <v>2595</v>
      </c>
      <c r="CF20" s="2873" t="s">
        <v>2596</v>
      </c>
      <c r="CG20" s="2873" t="s">
        <v>2597</v>
      </c>
      <c r="CH20" s="2873" t="s">
        <v>2598</v>
      </c>
      <c r="CI20" s="2873" t="s">
        <v>2599</v>
      </c>
      <c r="CJ20" s="2873" t="s">
        <v>2600</v>
      </c>
      <c r="CK20" s="2873" t="s">
        <v>2601</v>
      </c>
      <c r="CL20" s="2873" t="s">
        <v>2602</v>
      </c>
      <c r="CM20" s="2873" t="s">
        <v>2603</v>
      </c>
      <c r="CN20" s="2873" t="s">
        <v>2604</v>
      </c>
      <c r="CO20" s="2873" t="s">
        <v>2605</v>
      </c>
      <c r="CP20" s="2874" t="s">
        <v>2606</v>
      </c>
      <c r="CQ20" s="2873" t="s">
        <v>2607</v>
      </c>
      <c r="CR20" s="2873" t="s">
        <v>2608</v>
      </c>
      <c r="CS20" s="2873" t="s">
        <v>2609</v>
      </c>
      <c r="CT20" s="2873" t="s">
        <v>2610</v>
      </c>
      <c r="CU20" s="2873" t="s">
        <v>2611</v>
      </c>
      <c r="CV20" s="2873" t="s">
        <v>2612</v>
      </c>
      <c r="CW20" s="2873" t="s">
        <v>2613</v>
      </c>
      <c r="CX20" s="2873" t="s">
        <v>2614</v>
      </c>
      <c r="CY20" s="2873" t="s">
        <v>2615</v>
      </c>
      <c r="CZ20" s="2873" t="s">
        <v>2616</v>
      </c>
      <c r="DA20" s="2873" t="s">
        <v>2617</v>
      </c>
      <c r="DB20" s="2873" t="s">
        <v>2618</v>
      </c>
      <c r="DC20" s="2873" t="s">
        <v>2619</v>
      </c>
      <c r="DD20" s="2873" t="s">
        <v>2620</v>
      </c>
      <c r="DE20" s="2873" t="s">
        <v>2621</v>
      </c>
      <c r="DF20" s="2873" t="s">
        <v>2622</v>
      </c>
      <c r="DG20" s="2873" t="s">
        <v>2623</v>
      </c>
      <c r="DH20" s="2873" t="s">
        <v>2624</v>
      </c>
      <c r="DI20" s="2873" t="s">
        <v>2625</v>
      </c>
      <c r="DJ20" s="2873" t="s">
        <v>2626</v>
      </c>
      <c r="DK20" s="2873" t="s">
        <v>2627</v>
      </c>
      <c r="DL20" s="2873" t="s">
        <v>2628</v>
      </c>
      <c r="DM20" s="2873" t="s">
        <v>2629</v>
      </c>
      <c r="DN20" s="2873" t="s">
        <v>2630</v>
      </c>
      <c r="DO20" s="2873" t="s">
        <v>2631</v>
      </c>
      <c r="DP20" s="2873" t="s">
        <v>2632</v>
      </c>
      <c r="DQ20" s="2875" t="s">
        <v>2633</v>
      </c>
      <c r="DR20" s="2873" t="s">
        <v>2634</v>
      </c>
      <c r="DS20" s="2873" t="s">
        <v>2635</v>
      </c>
      <c r="DT20" s="2873" t="s">
        <v>2636</v>
      </c>
      <c r="DU20" s="2873" t="s">
        <v>2637</v>
      </c>
      <c r="DV20" s="2873" t="s">
        <v>2638</v>
      </c>
      <c r="DW20" s="2873" t="s">
        <v>2639</v>
      </c>
      <c r="DX20" s="2873" t="s">
        <v>2640</v>
      </c>
      <c r="DY20" s="2873" t="s">
        <v>2641</v>
      </c>
      <c r="DZ20" s="2873" t="s">
        <v>2642</v>
      </c>
      <c r="EA20" s="2873" t="s">
        <v>2643</v>
      </c>
      <c r="EB20" s="2873" t="s">
        <v>2644</v>
      </c>
      <c r="EC20" s="2873" t="s">
        <v>2645</v>
      </c>
      <c r="ED20" s="2873" t="s">
        <v>2646</v>
      </c>
      <c r="EE20" s="2873" t="s">
        <v>2647</v>
      </c>
      <c r="EF20" s="2873" t="s">
        <v>2648</v>
      </c>
      <c r="EG20" s="2873" t="s">
        <v>2649</v>
      </c>
      <c r="EH20" s="2873" t="s">
        <v>2650</v>
      </c>
      <c r="EI20" s="2873" t="s">
        <v>2651</v>
      </c>
      <c r="EJ20" s="2873" t="s">
        <v>2652</v>
      </c>
      <c r="EK20" s="2873" t="s">
        <v>2653</v>
      </c>
      <c r="EL20" s="2873" t="s">
        <v>2654</v>
      </c>
      <c r="EM20" s="2873" t="s">
        <v>2655</v>
      </c>
      <c r="EN20" s="2873" t="s">
        <v>2656</v>
      </c>
      <c r="EO20" s="2873" t="s">
        <v>2657</v>
      </c>
      <c r="EP20" s="2873" t="s">
        <v>2658</v>
      </c>
      <c r="EQ20" s="2873" t="s">
        <v>2659</v>
      </c>
      <c r="ER20" s="2873" t="s">
        <v>2660</v>
      </c>
      <c r="ES20" s="2873" t="s">
        <v>2661</v>
      </c>
      <c r="ET20" s="2873" t="s">
        <v>2662</v>
      </c>
      <c r="EU20" s="2873" t="s">
        <v>2663</v>
      </c>
      <c r="EV20" s="2873" t="s">
        <v>2664</v>
      </c>
      <c r="EW20" s="2873" t="s">
        <v>2665</v>
      </c>
      <c r="EX20" s="2873" t="s">
        <v>2666</v>
      </c>
      <c r="EY20" s="2873" t="s">
        <v>2667</v>
      </c>
      <c r="EZ20" s="2873" t="s">
        <v>2668</v>
      </c>
      <c r="FA20" s="2876" t="s">
        <v>2669</v>
      </c>
      <c r="FB20" s="2833"/>
      <c r="FC20" s="2877" t="str">
        <f t="shared" si="5" ref="FC20:JH20">RR_VacantUnitMktRentSource</f>
        <v>Unit Type</v>
      </c>
      <c r="FD20" s="2833"/>
      <c r="FE20" s="2833"/>
      <c r="FF20" s="2878" t="b">
        <f>'SBL Quotes'!AN36="Chapter 9 SBL"</f>
        <v>0</v>
      </c>
      <c r="FG20" s="2833"/>
      <c r="FH20" s="2833"/>
      <c r="FI20" s="2833"/>
      <c r="FJ20" s="2833"/>
      <c r="FK20" s="2833"/>
      <c r="FL20" s="2879"/>
      <c r="FM20" s="2880"/>
      <c r="FN20" s="2880"/>
      <c r="FO20" s="2880"/>
      <c r="FP20" s="2880"/>
      <c r="FQ20" s="2880"/>
      <c r="FR20" s="2880"/>
      <c r="FS20" s="2880"/>
      <c r="FT20" s="2880"/>
      <c r="FU20" s="2880"/>
      <c r="FV20" s="2880"/>
      <c r="FW20" s="2880"/>
      <c r="FX20" s="2880"/>
      <c r="FY20" s="2880"/>
      <c r="FZ20" s="2880"/>
      <c r="GA20" s="2880"/>
      <c r="GB20" s="2880"/>
      <c r="GC20" s="2880"/>
      <c r="GD20" s="2880"/>
      <c r="GE20" s="2880"/>
      <c r="GF20" s="2880"/>
      <c r="GG20" s="2880"/>
      <c r="GH20" s="2880"/>
      <c r="GI20" s="2880"/>
      <c r="GJ20" s="2880"/>
      <c r="GK20" s="2880"/>
      <c r="GL20" s="2880"/>
      <c r="GM20" s="2880"/>
      <c r="GN20" s="2880"/>
      <c r="GO20" s="2880"/>
      <c r="GP20" s="2880"/>
      <c r="GQ20" s="2880"/>
      <c r="GR20" s="2880"/>
      <c r="GS20" s="2880"/>
      <c r="GT20" s="2880"/>
      <c r="GU20" s="2880"/>
      <c r="GV20" s="2880"/>
      <c r="GW20" s="2880"/>
      <c r="GX20" s="2880"/>
      <c r="GY20" s="2880"/>
      <c r="GZ20" s="2880"/>
      <c r="HA20" s="2880"/>
      <c r="HB20" s="2880"/>
      <c r="HC20" s="2880"/>
      <c r="HD20" s="2880"/>
      <c r="HE20" s="2880"/>
      <c r="HF20" s="2880"/>
      <c r="HG20" s="2880"/>
      <c r="HH20" s="2880"/>
      <c r="HI20" s="2880"/>
      <c r="HJ20" s="2880"/>
      <c r="HK20" s="2880"/>
      <c r="HL20" s="2880"/>
      <c r="HM20" s="2880"/>
      <c r="HN20" s="2880"/>
      <c r="HO20" s="2880"/>
      <c r="HP20" s="2880"/>
      <c r="HQ20" s="2880"/>
      <c r="HR20" s="2880"/>
      <c r="HS20" s="2880"/>
      <c r="HT20" s="2880"/>
      <c r="HU20" s="2880"/>
      <c r="HV20" s="2880"/>
      <c r="HW20" s="2880"/>
      <c r="HX20" s="2880"/>
      <c r="HY20" s="2880"/>
      <c r="HZ20" s="2880"/>
      <c r="IA20" s="2880"/>
      <c r="IB20" s="2880"/>
      <c r="IC20" s="2880"/>
      <c r="ID20" s="2880"/>
      <c r="IE20" s="2880"/>
      <c r="IF20" s="2880"/>
      <c r="IG20" s="2880"/>
      <c r="IH20" s="2880"/>
      <c r="II20" s="2880"/>
      <c r="IJ20" s="2880"/>
      <c r="IK20" s="2880"/>
      <c r="IL20" s="2880"/>
      <c r="IM20" s="2880"/>
      <c r="IN20" s="2880"/>
      <c r="IO20" s="2879"/>
      <c r="IP20" s="2881"/>
      <c r="IQ20" s="1353"/>
      <c r="IR20" s="2877" t="str">
        <f t="shared" si="5"/>
        <v>Unit Type</v>
      </c>
      <c r="IS20" s="2882"/>
      <c r="IT20" s="2879"/>
      <c r="IU20" s="2879"/>
      <c r="IV20" s="2879"/>
      <c r="IW20" s="1353"/>
      <c r="IX20" s="2883"/>
      <c r="IY20" s="2883"/>
      <c r="IZ20" s="2883"/>
      <c r="JA20" s="2883"/>
      <c r="JB20" s="2883"/>
      <c r="JC20" s="2883"/>
      <c r="JD20" s="2883"/>
      <c r="JE20" s="2883"/>
      <c r="JF20" s="2883"/>
      <c r="JG20" s="2883"/>
      <c r="JH20" s="2877" t="str">
        <f t="shared" si="5"/>
        <v>Unit Type</v>
      </c>
      <c r="JI20" s="2883"/>
      <c r="JJ20" s="2883"/>
      <c r="JK20" s="2883"/>
      <c r="JL20" s="2883"/>
      <c r="JM20" s="2883"/>
      <c r="JN20" s="2883"/>
      <c r="JO20" s="2883"/>
      <c r="JP20" s="2883"/>
      <c r="JQ20" s="2883"/>
      <c r="JR20" s="2883"/>
      <c r="JS20" s="2883"/>
      <c r="JT20" s="2883"/>
      <c r="JU20" s="2883"/>
      <c r="JV20" s="2883"/>
      <c r="JW20" s="2883"/>
      <c r="JX20" s="2883"/>
      <c r="JY20" s="2883"/>
      <c r="JZ20" s="2883"/>
      <c r="KA20" s="2883"/>
      <c r="KB20" s="2883"/>
      <c r="KC20" s="2883"/>
      <c r="KD20" s="2883"/>
      <c r="KE20" s="2883"/>
      <c r="KF20" s="2883"/>
      <c r="KG20" s="2883"/>
      <c r="KH20" s="2883"/>
      <c r="KI20" s="2883"/>
      <c r="KJ20" s="2883"/>
      <c r="KK20" s="1353"/>
    </row>
    <row r="21" ht="20.25" customHeight="1">
      <c r="A21" s="2840"/>
      <c r="B21" s="2884"/>
      <c r="C21" s="2885"/>
      <c r="D21" s="2885"/>
      <c r="E21" s="2885"/>
      <c r="F21" s="2885"/>
      <c r="G21" s="2885"/>
      <c r="H21" s="2885"/>
      <c r="I21" s="2885"/>
      <c r="J21" s="2885"/>
      <c r="K21" s="2886"/>
      <c r="L21" s="1353"/>
      <c r="M21" s="2867"/>
      <c r="N21" s="2867"/>
      <c r="O21" s="2841"/>
      <c r="P21" s="2837" t="s">
        <v>2670</v>
      </c>
      <c r="Q21" s="2887">
        <v>1159</v>
      </c>
      <c r="R21" s="2887">
        <v>1217</v>
      </c>
      <c r="S21" s="2887">
        <v>1410</v>
      </c>
      <c r="T21" s="2887">
        <v>1533</v>
      </c>
      <c r="U21" s="2887">
        <v>1081</v>
      </c>
      <c r="V21" s="2887" t="s">
        <v>2520</v>
      </c>
      <c r="W21" s="2887" t="s">
        <v>2520</v>
      </c>
      <c r="X21" s="2887" t="s">
        <v>2520</v>
      </c>
      <c r="Y21" s="2887" t="s">
        <v>2520</v>
      </c>
      <c r="Z21" s="2887" t="s">
        <v>2520</v>
      </c>
      <c r="AA21" s="2887" t="s">
        <v>2520</v>
      </c>
      <c r="AB21" s="2887" t="s">
        <v>2520</v>
      </c>
      <c r="AC21" s="2887" t="s">
        <v>2520</v>
      </c>
      <c r="AD21" s="2887" t="s">
        <v>2520</v>
      </c>
      <c r="AE21" s="2887" t="s">
        <v>2520</v>
      </c>
      <c r="AF21" s="2887" t="s">
        <v>2520</v>
      </c>
      <c r="AG21" s="2887" t="s">
        <v>2520</v>
      </c>
      <c r="AH21" s="2887" t="s">
        <v>2520</v>
      </c>
      <c r="AI21" s="2887" t="s">
        <v>2520</v>
      </c>
      <c r="AJ21" s="2887" t="s">
        <v>2520</v>
      </c>
      <c r="AK21" s="2887" t="s">
        <v>2520</v>
      </c>
      <c r="AL21" s="2887" t="s">
        <v>2520</v>
      </c>
      <c r="AM21" s="2887" t="s">
        <v>2520</v>
      </c>
      <c r="AN21" s="2887" t="s">
        <v>2520</v>
      </c>
      <c r="AO21" s="2887" t="s">
        <v>2520</v>
      </c>
      <c r="AP21" s="2887" t="s">
        <v>2520</v>
      </c>
      <c r="AQ21" s="2887" t="s">
        <v>2520</v>
      </c>
      <c r="AR21" s="2887" t="s">
        <v>2520</v>
      </c>
      <c r="AS21" s="2887" t="s">
        <v>2520</v>
      </c>
      <c r="AT21" s="2887" t="s">
        <v>2520</v>
      </c>
      <c r="AU21" s="2887" t="s">
        <v>2520</v>
      </c>
      <c r="AV21" s="2887" t="s">
        <v>2520</v>
      </c>
      <c r="AW21" s="2887" t="s">
        <v>2520</v>
      </c>
      <c r="AX21" s="2887" t="s">
        <v>2520</v>
      </c>
      <c r="AY21" s="2887" t="s">
        <v>2520</v>
      </c>
      <c r="AZ21" s="2887" t="s">
        <v>2520</v>
      </c>
      <c r="BA21" s="2887" t="s">
        <v>2520</v>
      </c>
      <c r="BB21" s="2887" t="s">
        <v>2520</v>
      </c>
      <c r="BC21" s="2887" t="s">
        <v>2520</v>
      </c>
      <c r="BD21" s="2887" t="s">
        <v>2520</v>
      </c>
      <c r="BE21" s="2887" t="s">
        <v>2520</v>
      </c>
      <c r="BF21" s="2887" t="s">
        <v>2520</v>
      </c>
      <c r="BG21" s="2887" t="s">
        <v>2520</v>
      </c>
      <c r="BH21" s="2887" t="s">
        <v>2520</v>
      </c>
      <c r="BI21" s="2887" t="s">
        <v>2520</v>
      </c>
      <c r="BJ21" s="2887" t="s">
        <v>2520</v>
      </c>
      <c r="BK21" s="2887" t="s">
        <v>2520</v>
      </c>
      <c r="BL21" s="2887" t="s">
        <v>2520</v>
      </c>
      <c r="BM21" s="2887" t="s">
        <v>2520</v>
      </c>
      <c r="BN21" s="2887" t="s">
        <v>2520</v>
      </c>
      <c r="BO21" s="2887" t="s">
        <v>2520</v>
      </c>
      <c r="BP21" s="2887" t="s">
        <v>2520</v>
      </c>
      <c r="BQ21" s="2887" t="s">
        <v>2520</v>
      </c>
      <c r="BR21" s="2887" t="s">
        <v>2520</v>
      </c>
      <c r="BS21" s="2887" t="s">
        <v>2520</v>
      </c>
      <c r="BT21" s="2887" t="s">
        <v>2520</v>
      </c>
      <c r="BU21" s="2887" t="s">
        <v>2520</v>
      </c>
      <c r="BV21" s="2887" t="s">
        <v>2520</v>
      </c>
      <c r="BW21" s="2887" t="s">
        <v>2520</v>
      </c>
      <c r="BX21" s="2887" t="s">
        <v>2520</v>
      </c>
      <c r="BY21" s="2887" t="s">
        <v>2520</v>
      </c>
      <c r="BZ21" s="2887" t="s">
        <v>2520</v>
      </c>
      <c r="CA21" s="2887" t="s">
        <v>2520</v>
      </c>
      <c r="CB21" s="2887" t="s">
        <v>2520</v>
      </c>
      <c r="CC21" s="2887" t="s">
        <v>2520</v>
      </c>
      <c r="CD21" s="2887" t="s">
        <v>2520</v>
      </c>
      <c r="CE21" s="2887" t="s">
        <v>2520</v>
      </c>
      <c r="CF21" s="2887" t="s">
        <v>2520</v>
      </c>
      <c r="CG21" s="2887" t="s">
        <v>2520</v>
      </c>
      <c r="CH21" s="2887" t="s">
        <v>2520</v>
      </c>
      <c r="CI21" s="2887" t="s">
        <v>2520</v>
      </c>
      <c r="CJ21" s="2887" t="s">
        <v>2520</v>
      </c>
      <c r="CK21" s="2887" t="s">
        <v>2520</v>
      </c>
      <c r="CL21" s="2887" t="s">
        <v>2520</v>
      </c>
      <c r="CM21" s="2887" t="s">
        <v>2520</v>
      </c>
      <c r="CN21" s="2887" t="s">
        <v>2520</v>
      </c>
      <c r="CO21" s="2887" t="s">
        <v>2520</v>
      </c>
      <c r="CP21" s="2887" t="s">
        <v>2520</v>
      </c>
      <c r="CQ21" s="2888" t="s">
        <v>2520</v>
      </c>
      <c r="CR21" s="2888" t="s">
        <v>2520</v>
      </c>
      <c r="CS21" s="2888" t="s">
        <v>2520</v>
      </c>
      <c r="CT21" s="2888" t="s">
        <v>2520</v>
      </c>
      <c r="CU21" s="2888" t="s">
        <v>2520</v>
      </c>
      <c r="CV21" s="2888" t="s">
        <v>2520</v>
      </c>
      <c r="CW21" s="2888" t="s">
        <v>2520</v>
      </c>
      <c r="CX21" s="2888" t="s">
        <v>2520</v>
      </c>
      <c r="CY21" s="2888" t="s">
        <v>2520</v>
      </c>
      <c r="CZ21" s="2888" t="s">
        <v>2520</v>
      </c>
      <c r="DA21" s="2888" t="s">
        <v>2520</v>
      </c>
      <c r="DB21" s="2888" t="s">
        <v>2520</v>
      </c>
      <c r="DC21" s="2888" t="s">
        <v>2520</v>
      </c>
      <c r="DD21" s="2888" t="s">
        <v>2520</v>
      </c>
      <c r="DE21" s="2888" t="s">
        <v>2520</v>
      </c>
      <c r="DF21" s="2888" t="s">
        <v>2520</v>
      </c>
      <c r="DG21" s="2888" t="s">
        <v>2520</v>
      </c>
      <c r="DH21" s="2888" t="s">
        <v>2520</v>
      </c>
      <c r="DI21" s="2888" t="s">
        <v>2520</v>
      </c>
      <c r="DJ21" s="2888" t="s">
        <v>2520</v>
      </c>
      <c r="DK21" s="2888" t="s">
        <v>2520</v>
      </c>
      <c r="DL21" s="2888" t="s">
        <v>2520</v>
      </c>
      <c r="DM21" s="2888" t="s">
        <v>2520</v>
      </c>
      <c r="DN21" s="2888" t="s">
        <v>2520</v>
      </c>
      <c r="DO21" s="2888" t="s">
        <v>2520</v>
      </c>
      <c r="DP21" s="2888" t="s">
        <v>2520</v>
      </c>
      <c r="DQ21" s="2887" t="s">
        <v>2520</v>
      </c>
      <c r="DR21" s="2887" t="s">
        <v>2520</v>
      </c>
      <c r="DS21" s="2887" t="s">
        <v>2520</v>
      </c>
      <c r="DT21" s="2887" t="s">
        <v>2520</v>
      </c>
      <c r="DU21" s="2887" t="s">
        <v>2520</v>
      </c>
      <c r="DV21" s="2887" t="s">
        <v>2520</v>
      </c>
      <c r="DW21" s="2887" t="s">
        <v>2520</v>
      </c>
      <c r="DX21" s="2887" t="s">
        <v>2520</v>
      </c>
      <c r="DY21" s="2887" t="s">
        <v>2520</v>
      </c>
      <c r="DZ21" s="2887" t="s">
        <v>2520</v>
      </c>
      <c r="EA21" s="2887" t="s">
        <v>2520</v>
      </c>
      <c r="EB21" s="2887" t="s">
        <v>2520</v>
      </c>
      <c r="EC21" s="2887" t="s">
        <v>2520</v>
      </c>
      <c r="ED21" s="2887" t="s">
        <v>2520</v>
      </c>
      <c r="EE21" s="2887" t="s">
        <v>2520</v>
      </c>
      <c r="EF21" s="2887" t="s">
        <v>2520</v>
      </c>
      <c r="EG21" s="2887" t="s">
        <v>2520</v>
      </c>
      <c r="EH21" s="2887" t="s">
        <v>2520</v>
      </c>
      <c r="EI21" s="2887" t="s">
        <v>2520</v>
      </c>
      <c r="EJ21" s="2887" t="s">
        <v>2520</v>
      </c>
      <c r="EK21" s="2887" t="s">
        <v>2520</v>
      </c>
      <c r="EL21" s="2887" t="s">
        <v>2520</v>
      </c>
      <c r="EM21" s="2887" t="s">
        <v>2520</v>
      </c>
      <c r="EN21" s="2887" t="s">
        <v>2520</v>
      </c>
      <c r="EO21" s="2887" t="s">
        <v>2520</v>
      </c>
      <c r="EP21" s="2887" t="s">
        <v>2520</v>
      </c>
      <c r="EQ21" s="2887" t="s">
        <v>2520</v>
      </c>
      <c r="ER21" s="2887" t="s">
        <v>2520</v>
      </c>
      <c r="ES21" s="2887" t="s">
        <v>2520</v>
      </c>
      <c r="ET21" s="2887" t="s">
        <v>2520</v>
      </c>
      <c r="EU21" s="2887" t="s">
        <v>2520</v>
      </c>
      <c r="EV21" s="2887" t="s">
        <v>2520</v>
      </c>
      <c r="EW21" s="2887" t="s">
        <v>2520</v>
      </c>
      <c r="EX21" s="2887" t="s">
        <v>2520</v>
      </c>
      <c r="EY21" s="2887" t="s">
        <v>2520</v>
      </c>
      <c r="EZ21" s="2887" t="s">
        <v>2520</v>
      </c>
      <c r="FA21" s="2889"/>
      <c r="FB21" s="2833"/>
      <c r="FC21" s="2833"/>
      <c r="FD21" s="2833"/>
      <c r="FE21" s="2833"/>
      <c r="FF21" s="2833"/>
      <c r="FG21" s="2833"/>
      <c r="FH21" s="2833"/>
      <c r="FI21" s="2833"/>
      <c r="FJ21" s="2833"/>
      <c r="FK21" s="2833"/>
      <c r="FL21" s="2879"/>
      <c r="FM21" s="2880"/>
      <c r="FN21" s="2880"/>
      <c r="FO21" s="2880"/>
      <c r="FP21" s="2880"/>
      <c r="FQ21" s="2890"/>
      <c r="FR21" s="2880"/>
      <c r="FS21" s="2880"/>
      <c r="FT21" s="2880"/>
      <c r="FU21" s="2880"/>
      <c r="FV21" s="2880"/>
      <c r="FW21" s="2880"/>
      <c r="FX21" s="2880"/>
      <c r="FY21" s="2880"/>
      <c r="FZ21" s="2880"/>
      <c r="GA21" s="2880"/>
      <c r="GB21" s="2880"/>
      <c r="GC21" s="2880"/>
      <c r="GD21" s="2880"/>
      <c r="GE21" s="2880"/>
      <c r="GF21" s="2880"/>
      <c r="GG21" s="2880"/>
      <c r="GH21" s="2880"/>
      <c r="GI21" s="2880"/>
      <c r="GJ21" s="2880"/>
      <c r="GK21" s="2880"/>
      <c r="GL21" s="2880"/>
      <c r="GM21" s="2880"/>
      <c r="GN21" s="2880"/>
      <c r="GO21" s="2880"/>
      <c r="GP21" s="2880"/>
      <c r="GQ21" s="2880"/>
      <c r="GR21" s="2880"/>
      <c r="GS21" s="2880"/>
      <c r="GT21" s="2880"/>
      <c r="GU21" s="2880"/>
      <c r="GV21" s="2880"/>
      <c r="GW21" s="2880"/>
      <c r="GX21" s="2880"/>
      <c r="GY21" s="2880"/>
      <c r="GZ21" s="2880"/>
      <c r="HA21" s="2880"/>
      <c r="HB21" s="2880"/>
      <c r="HC21" s="2880"/>
      <c r="HD21" s="2880"/>
      <c r="HE21" s="2880"/>
      <c r="HF21" s="2880"/>
      <c r="HG21" s="2880"/>
      <c r="HH21" s="2880"/>
      <c r="HI21" s="2880"/>
      <c r="HJ21" s="2880"/>
      <c r="HK21" s="2880"/>
      <c r="HL21" s="2880"/>
      <c r="HM21" s="2880"/>
      <c r="HN21" s="2880"/>
      <c r="HO21" s="2880"/>
      <c r="HP21" s="2880"/>
      <c r="HQ21" s="2880"/>
      <c r="HR21" s="2880"/>
      <c r="HS21" s="2880"/>
      <c r="HT21" s="2880"/>
      <c r="HU21" s="2880"/>
      <c r="HV21" s="2880"/>
      <c r="HW21" s="2880"/>
      <c r="HX21" s="2880"/>
      <c r="HY21" s="2880"/>
      <c r="HZ21" s="2880"/>
      <c r="IA21" s="2880"/>
      <c r="IB21" s="2880"/>
      <c r="IC21" s="2880"/>
      <c r="ID21" s="2880"/>
      <c r="IE21" s="2880"/>
      <c r="IF21" s="2880"/>
      <c r="IG21" s="2880"/>
      <c r="IH21" s="2880"/>
      <c r="II21" s="2880"/>
      <c r="IJ21" s="2880"/>
      <c r="IK21" s="2880"/>
      <c r="IL21" s="2880"/>
      <c r="IM21" s="2880"/>
      <c r="IN21" s="2880"/>
      <c r="IO21" s="2879"/>
      <c r="IP21" s="2881"/>
      <c r="IQ21" s="2891" t="s">
        <v>2671</v>
      </c>
      <c r="IR21" s="2892"/>
      <c r="IS21" s="2892"/>
      <c r="IT21" s="2879"/>
      <c r="IU21" s="2879"/>
      <c r="IV21" s="2879"/>
      <c r="IW21" s="2891" t="s">
        <v>2672</v>
      </c>
      <c r="IX21" s="2893"/>
      <c r="IY21" s="2893"/>
      <c r="IZ21" s="2893"/>
      <c r="JA21" s="2893"/>
      <c r="JB21" s="2893"/>
      <c r="JC21" s="2893"/>
      <c r="JD21" s="2893"/>
      <c r="JE21" s="2893"/>
      <c r="JF21" s="2893"/>
      <c r="JG21" s="2893"/>
      <c r="JH21" s="2893"/>
      <c r="JI21" s="2893"/>
      <c r="JJ21" s="2893"/>
      <c r="JK21" s="2893"/>
      <c r="JL21" s="2893"/>
      <c r="JM21" s="2893"/>
      <c r="JN21" s="2893"/>
      <c r="JO21" s="2893"/>
      <c r="JP21" s="2893"/>
      <c r="JQ21" s="2893"/>
      <c r="JR21" s="2893"/>
      <c r="JS21" s="2893"/>
      <c r="JT21" s="2893"/>
      <c r="JU21" s="2893"/>
      <c r="JV21" s="2893"/>
      <c r="JW21" s="2893"/>
      <c r="JX21" s="2893"/>
      <c r="JY21" s="2893"/>
      <c r="JZ21" s="2893"/>
      <c r="KA21" s="2893"/>
      <c r="KB21" s="2893"/>
      <c r="KC21" s="2893"/>
      <c r="KD21" s="2893"/>
      <c r="KE21" s="2893"/>
      <c r="KF21" s="2893"/>
      <c r="KG21" s="2893"/>
      <c r="KH21" s="2893"/>
      <c r="KI21" s="2893"/>
      <c r="KJ21" s="2893"/>
      <c r="KK21" s="1353"/>
    </row>
    <row r="22" ht="40.5" customHeight="1">
      <c r="A22" s="2894"/>
      <c r="B22" s="2895"/>
      <c r="C22" s="2896"/>
      <c r="D22" s="2896"/>
      <c r="E22" s="2896"/>
      <c r="F22" s="2896"/>
      <c r="G22" s="2896"/>
      <c r="H22" s="2896"/>
      <c r="I22" s="2896"/>
      <c r="J22" s="2896"/>
      <c r="K22" s="2896"/>
      <c r="L22" s="2896"/>
      <c r="M22" s="2896"/>
      <c r="N22" s="2896"/>
      <c r="O22" s="2897"/>
      <c r="P22" s="2837" t="s">
        <v>2673</v>
      </c>
      <c r="Q22" s="2898">
        <v>704</v>
      </c>
      <c r="R22" s="2898">
        <v>800</v>
      </c>
      <c r="S22" s="2898">
        <v>851</v>
      </c>
      <c r="T22" s="2898">
        <v>1050</v>
      </c>
      <c r="U22" s="2898">
        <v>1247</v>
      </c>
      <c r="V22" s="2898" t="s">
        <v>2674</v>
      </c>
      <c r="W22" s="2898" t="s">
        <v>2674</v>
      </c>
      <c r="X22" s="2898" t="s">
        <v>2674</v>
      </c>
      <c r="Y22" s="2898" t="s">
        <v>2674</v>
      </c>
      <c r="Z22" s="2898" t="s">
        <v>2674</v>
      </c>
      <c r="AA22" s="2898" t="s">
        <v>2674</v>
      </c>
      <c r="AB22" s="2898" t="s">
        <v>2674</v>
      </c>
      <c r="AC22" s="2898" t="s">
        <v>2674</v>
      </c>
      <c r="AD22" s="2898" t="s">
        <v>2674</v>
      </c>
      <c r="AE22" s="2898" t="s">
        <v>2674</v>
      </c>
      <c r="AF22" s="2898" t="s">
        <v>2674</v>
      </c>
      <c r="AG22" s="2898" t="s">
        <v>2674</v>
      </c>
      <c r="AH22" s="2898" t="s">
        <v>2674</v>
      </c>
      <c r="AI22" s="2898" t="s">
        <v>2674</v>
      </c>
      <c r="AJ22" s="2898" t="s">
        <v>2674</v>
      </c>
      <c r="AK22" s="2898" t="s">
        <v>2674</v>
      </c>
      <c r="AL22" s="2898" t="s">
        <v>2674</v>
      </c>
      <c r="AM22" s="2898" t="s">
        <v>2674</v>
      </c>
      <c r="AN22" s="2898" t="s">
        <v>2674</v>
      </c>
      <c r="AO22" s="2898" t="s">
        <v>2674</v>
      </c>
      <c r="AP22" s="2898" t="s">
        <v>2674</v>
      </c>
      <c r="AQ22" s="2898" t="s">
        <v>2674</v>
      </c>
      <c r="AR22" s="2898" t="s">
        <v>2674</v>
      </c>
      <c r="AS22" s="2898" t="s">
        <v>2674</v>
      </c>
      <c r="AT22" s="2898" t="s">
        <v>2674</v>
      </c>
      <c r="AU22" s="2898" t="s">
        <v>2674</v>
      </c>
      <c r="AV22" s="2898" t="s">
        <v>2674</v>
      </c>
      <c r="AW22" s="2898" t="s">
        <v>2674</v>
      </c>
      <c r="AX22" s="2898" t="s">
        <v>2674</v>
      </c>
      <c r="AY22" s="2898" t="s">
        <v>2674</v>
      </c>
      <c r="AZ22" s="2898" t="s">
        <v>2674</v>
      </c>
      <c r="BA22" s="2898" t="s">
        <v>2674</v>
      </c>
      <c r="BB22" s="2898" t="s">
        <v>2674</v>
      </c>
      <c r="BC22" s="2898" t="s">
        <v>2674</v>
      </c>
      <c r="BD22" s="2898" t="s">
        <v>2674</v>
      </c>
      <c r="BE22" s="2898" t="s">
        <v>2674</v>
      </c>
      <c r="BF22" s="2898" t="s">
        <v>2674</v>
      </c>
      <c r="BG22" s="2898" t="s">
        <v>2674</v>
      </c>
      <c r="BH22" s="2898" t="s">
        <v>2674</v>
      </c>
      <c r="BI22" s="2898" t="s">
        <v>2674</v>
      </c>
      <c r="BJ22" s="2898" t="s">
        <v>2674</v>
      </c>
      <c r="BK22" s="2898" t="s">
        <v>2674</v>
      </c>
      <c r="BL22" s="2898" t="s">
        <v>2674</v>
      </c>
      <c r="BM22" s="2898" t="s">
        <v>2674</v>
      </c>
      <c r="BN22" s="2898" t="s">
        <v>2674</v>
      </c>
      <c r="BO22" s="2898" t="s">
        <v>2674</v>
      </c>
      <c r="BP22" s="2898" t="s">
        <v>2674</v>
      </c>
      <c r="BQ22" s="2898" t="s">
        <v>2674</v>
      </c>
      <c r="BR22" s="2898" t="s">
        <v>2674</v>
      </c>
      <c r="BS22" s="2898" t="s">
        <v>2674</v>
      </c>
      <c r="BT22" s="2898" t="s">
        <v>2674</v>
      </c>
      <c r="BU22" s="2898" t="s">
        <v>2674</v>
      </c>
      <c r="BV22" s="2898" t="s">
        <v>2674</v>
      </c>
      <c r="BW22" s="2898" t="s">
        <v>2674</v>
      </c>
      <c r="BX22" s="2898" t="s">
        <v>2674</v>
      </c>
      <c r="BY22" s="2898" t="s">
        <v>2674</v>
      </c>
      <c r="BZ22" s="2898" t="s">
        <v>2674</v>
      </c>
      <c r="CA22" s="2898" t="s">
        <v>2674</v>
      </c>
      <c r="CB22" s="2898" t="s">
        <v>2674</v>
      </c>
      <c r="CC22" s="2898" t="s">
        <v>2674</v>
      </c>
      <c r="CD22" s="2898" t="s">
        <v>2674</v>
      </c>
      <c r="CE22" s="2898" t="s">
        <v>2674</v>
      </c>
      <c r="CF22" s="2898" t="s">
        <v>2674</v>
      </c>
      <c r="CG22" s="2898" t="s">
        <v>2674</v>
      </c>
      <c r="CH22" s="2898" t="s">
        <v>2674</v>
      </c>
      <c r="CI22" s="2898" t="s">
        <v>2674</v>
      </c>
      <c r="CJ22" s="2898" t="s">
        <v>2674</v>
      </c>
      <c r="CK22" s="2898" t="s">
        <v>2674</v>
      </c>
      <c r="CL22" s="2898" t="s">
        <v>2674</v>
      </c>
      <c r="CM22" s="2898" t="s">
        <v>2674</v>
      </c>
      <c r="CN22" s="2898" t="s">
        <v>2674</v>
      </c>
      <c r="CO22" s="2898" t="s">
        <v>2674</v>
      </c>
      <c r="CP22" s="2898" t="s">
        <v>2674</v>
      </c>
      <c r="CQ22" s="2898" t="s">
        <v>2674</v>
      </c>
      <c r="CR22" s="2898" t="s">
        <v>2674</v>
      </c>
      <c r="CS22" s="2898" t="s">
        <v>2674</v>
      </c>
      <c r="CT22" s="2898" t="s">
        <v>2674</v>
      </c>
      <c r="CU22" s="2898" t="s">
        <v>2674</v>
      </c>
      <c r="CV22" s="2898" t="s">
        <v>2674</v>
      </c>
      <c r="CW22" s="2898" t="s">
        <v>2674</v>
      </c>
      <c r="CX22" s="2898" t="s">
        <v>2674</v>
      </c>
      <c r="CY22" s="2898" t="s">
        <v>2674</v>
      </c>
      <c r="CZ22" s="2898" t="s">
        <v>2674</v>
      </c>
      <c r="DA22" s="2898" t="s">
        <v>2674</v>
      </c>
      <c r="DB22" s="2898" t="s">
        <v>2674</v>
      </c>
      <c r="DC22" s="2898" t="s">
        <v>2674</v>
      </c>
      <c r="DD22" s="2898" t="s">
        <v>2674</v>
      </c>
      <c r="DE22" s="2898" t="s">
        <v>2674</v>
      </c>
      <c r="DF22" s="2898" t="s">
        <v>2674</v>
      </c>
      <c r="DG22" s="2898" t="s">
        <v>2674</v>
      </c>
      <c r="DH22" s="2898" t="s">
        <v>2674</v>
      </c>
      <c r="DI22" s="2898" t="s">
        <v>2674</v>
      </c>
      <c r="DJ22" s="2898" t="s">
        <v>2674</v>
      </c>
      <c r="DK22" s="2898" t="s">
        <v>2674</v>
      </c>
      <c r="DL22" s="2898" t="s">
        <v>2674</v>
      </c>
      <c r="DM22" s="2898" t="s">
        <v>2674</v>
      </c>
      <c r="DN22" s="2898" t="s">
        <v>2674</v>
      </c>
      <c r="DO22" s="2898" t="s">
        <v>2674</v>
      </c>
      <c r="DP22" s="2898" t="s">
        <v>2674</v>
      </c>
      <c r="DQ22" s="2898" t="s">
        <v>2674</v>
      </c>
      <c r="DR22" s="2898" t="s">
        <v>2674</v>
      </c>
      <c r="DS22" s="2898" t="s">
        <v>2674</v>
      </c>
      <c r="DT22" s="2898" t="s">
        <v>2674</v>
      </c>
      <c r="DU22" s="2898" t="s">
        <v>2674</v>
      </c>
      <c r="DV22" s="2898" t="s">
        <v>2674</v>
      </c>
      <c r="DW22" s="2898" t="s">
        <v>2674</v>
      </c>
      <c r="DX22" s="2898" t="s">
        <v>2674</v>
      </c>
      <c r="DY22" s="2898" t="s">
        <v>2674</v>
      </c>
      <c r="DZ22" s="2898" t="s">
        <v>2674</v>
      </c>
      <c r="EA22" s="2898" t="s">
        <v>2674</v>
      </c>
      <c r="EB22" s="2898" t="s">
        <v>2674</v>
      </c>
      <c r="EC22" s="2898" t="s">
        <v>2674</v>
      </c>
      <c r="ED22" s="2898" t="s">
        <v>2674</v>
      </c>
      <c r="EE22" s="2898" t="s">
        <v>2674</v>
      </c>
      <c r="EF22" s="2898" t="s">
        <v>2674</v>
      </c>
      <c r="EG22" s="2898" t="s">
        <v>2674</v>
      </c>
      <c r="EH22" s="2898" t="s">
        <v>2674</v>
      </c>
      <c r="EI22" s="2898" t="s">
        <v>2674</v>
      </c>
      <c r="EJ22" s="2898" t="s">
        <v>2674</v>
      </c>
      <c r="EK22" s="2898" t="s">
        <v>2674</v>
      </c>
      <c r="EL22" s="2898" t="s">
        <v>2674</v>
      </c>
      <c r="EM22" s="2898" t="s">
        <v>2674</v>
      </c>
      <c r="EN22" s="2898" t="s">
        <v>2674</v>
      </c>
      <c r="EO22" s="2898" t="s">
        <v>2674</v>
      </c>
      <c r="EP22" s="2898" t="s">
        <v>2674</v>
      </c>
      <c r="EQ22" s="2898" t="s">
        <v>2674</v>
      </c>
      <c r="ER22" s="2898" t="s">
        <v>2674</v>
      </c>
      <c r="ES22" s="2898" t="s">
        <v>2674</v>
      </c>
      <c r="ET22" s="2898" t="s">
        <v>2674</v>
      </c>
      <c r="EU22" s="2898" t="s">
        <v>2674</v>
      </c>
      <c r="EV22" s="2898" t="s">
        <v>2674</v>
      </c>
      <c r="EW22" s="2898" t="s">
        <v>2674</v>
      </c>
      <c r="EX22" s="2898" t="s">
        <v>2674</v>
      </c>
      <c r="EY22" s="2898" t="s">
        <v>2674</v>
      </c>
      <c r="EZ22" s="2898" t="s">
        <v>2674</v>
      </c>
      <c r="FA22" s="1353"/>
      <c r="FB22" s="2899"/>
      <c r="FC22" s="2900" t="s">
        <v>2675</v>
      </c>
      <c r="FD22" s="2900" t="s">
        <v>2676</v>
      </c>
      <c r="FE22" s="2900" t="s">
        <v>2677</v>
      </c>
      <c r="FF22" s="2900" t="s">
        <v>2678</v>
      </c>
      <c r="FG22" s="2899"/>
      <c r="FH22" s="2900" t="s">
        <v>2679</v>
      </c>
      <c r="FI22" s="2900" t="s">
        <v>2680</v>
      </c>
      <c r="FJ22" s="2899"/>
      <c r="FK22" s="2901" t="s">
        <v>2681</v>
      </c>
      <c r="FL22" s="2902" t="s">
        <v>2682</v>
      </c>
      <c r="FM22" s="2903" t="str">
        <f t="shared" si="6" ref="FM22:IL22">Q20</f>
        <v>1 BR</v>
      </c>
      <c r="FN22" s="2904" t="str">
        <f t="shared" si="6"/>
        <v>1 TH</v>
      </c>
      <c r="FO22" s="2904" t="str">
        <f t="shared" si="6"/>
        <v>2 BR</v>
      </c>
      <c r="FP22" s="2904" t="str">
        <f t="shared" si="6"/>
        <v>2 TH</v>
      </c>
      <c r="FQ22" s="2904" t="str">
        <f t="shared" si="6"/>
        <v>1 CH</v>
      </c>
      <c r="FR22" s="2904" t="str">
        <f t="shared" si="6"/>
        <v>F</v>
      </c>
      <c r="FS22" s="2904" t="str">
        <f t="shared" si="6"/>
        <v>G</v>
      </c>
      <c r="FT22" s="2904" t="str">
        <f t="shared" si="6"/>
        <v>H</v>
      </c>
      <c r="FU22" s="2904" t="str">
        <f t="shared" si="6"/>
        <v>I</v>
      </c>
      <c r="FV22" s="2904" t="str">
        <f t="shared" si="6"/>
        <v>J</v>
      </c>
      <c r="FW22" s="2904" t="str">
        <f t="shared" si="6"/>
        <v>K</v>
      </c>
      <c r="FX22" s="2904" t="str">
        <f t="shared" si="6"/>
        <v>L</v>
      </c>
      <c r="FY22" s="2904" t="str">
        <f t="shared" si="6"/>
        <v>M</v>
      </c>
      <c r="FZ22" s="2904" t="str">
        <f t="shared" si="6"/>
        <v>N</v>
      </c>
      <c r="GA22" s="2904" t="str">
        <f t="shared" si="6"/>
        <v>O</v>
      </c>
      <c r="GB22" s="2904" t="str">
        <f t="shared" si="6"/>
        <v>P</v>
      </c>
      <c r="GC22" s="2904" t="str">
        <f t="shared" si="6"/>
        <v>Q</v>
      </c>
      <c r="GD22" s="2904" t="str">
        <f t="shared" si="6"/>
        <v>R</v>
      </c>
      <c r="GE22" s="2904" t="str">
        <f t="shared" si="6"/>
        <v>S</v>
      </c>
      <c r="GF22" s="2904" t="str">
        <f t="shared" si="6"/>
        <v>T</v>
      </c>
      <c r="GG22" s="2904" t="str">
        <f t="shared" si="6"/>
        <v>U</v>
      </c>
      <c r="GH22" s="2904" t="str">
        <f t="shared" si="6"/>
        <v>V</v>
      </c>
      <c r="GI22" s="2904" t="str">
        <f t="shared" si="6"/>
        <v>W</v>
      </c>
      <c r="GJ22" s="2904" t="str">
        <f t="shared" si="6"/>
        <v>X</v>
      </c>
      <c r="GK22" s="2904" t="str">
        <f t="shared" si="6"/>
        <v>Y</v>
      </c>
      <c r="GL22" s="2904" t="str">
        <f t="shared" si="6"/>
        <v>Z</v>
      </c>
      <c r="GM22" s="2904" t="str">
        <f t="shared" si="6"/>
        <v>BA</v>
      </c>
      <c r="GN22" s="2904" t="str">
        <f t="shared" si="6"/>
        <v>BB</v>
      </c>
      <c r="GO22" s="2904" t="str">
        <f t="shared" si="6"/>
        <v>BC</v>
      </c>
      <c r="GP22" s="2904" t="str">
        <f t="shared" si="6"/>
        <v>BD</v>
      </c>
      <c r="GQ22" s="2904" t="str">
        <f t="shared" si="6"/>
        <v>BE</v>
      </c>
      <c r="GR22" s="2904" t="str">
        <f t="shared" si="6"/>
        <v>BF</v>
      </c>
      <c r="GS22" s="2904" t="str">
        <f t="shared" si="6"/>
        <v>BG</v>
      </c>
      <c r="GT22" s="2904" t="str">
        <f t="shared" si="6"/>
        <v>BH</v>
      </c>
      <c r="GU22" s="2904" t="str">
        <f t="shared" si="6"/>
        <v>BI</v>
      </c>
      <c r="GV22" s="2904" t="str">
        <f t="shared" si="6"/>
        <v>BJ</v>
      </c>
      <c r="GW22" s="2904" t="str">
        <f t="shared" si="6"/>
        <v>BK</v>
      </c>
      <c r="GX22" s="2904" t="str">
        <f t="shared" si="6"/>
        <v>BL</v>
      </c>
      <c r="GY22" s="2904" t="str">
        <f t="shared" si="6"/>
        <v>BM</v>
      </c>
      <c r="GZ22" s="2904" t="str">
        <f t="shared" si="6"/>
        <v>BN</v>
      </c>
      <c r="HA22" s="2904" t="str">
        <f t="shared" si="6"/>
        <v>BO</v>
      </c>
      <c r="HB22" s="2904" t="str">
        <f t="shared" si="6"/>
        <v>BP</v>
      </c>
      <c r="HC22" s="2904" t="str">
        <f t="shared" si="6"/>
        <v>BQ</v>
      </c>
      <c r="HD22" s="2904" t="str">
        <f t="shared" si="6"/>
        <v>BR</v>
      </c>
      <c r="HE22" s="2904" t="str">
        <f t="shared" si="6"/>
        <v>BS</v>
      </c>
      <c r="HF22" s="2904" t="str">
        <f t="shared" si="6"/>
        <v>BT</v>
      </c>
      <c r="HG22" s="2904" t="str">
        <f t="shared" si="6"/>
        <v>BU</v>
      </c>
      <c r="HH22" s="2904" t="str">
        <f t="shared" si="6"/>
        <v>BV</v>
      </c>
      <c r="HI22" s="2904" t="str">
        <f t="shared" si="6"/>
        <v>BW</v>
      </c>
      <c r="HJ22" s="2904" t="str">
        <f t="shared" si="6"/>
        <v>BX</v>
      </c>
      <c r="HK22" s="2904" t="str">
        <f t="shared" si="6"/>
        <v>BY</v>
      </c>
      <c r="HL22" s="2904" t="str">
        <f t="shared" si="6"/>
        <v>BZ</v>
      </c>
      <c r="HM22" s="2904" t="str">
        <f t="shared" si="6"/>
        <v>CA</v>
      </c>
      <c r="HN22" s="2904" t="str">
        <f t="shared" si="6"/>
        <v>CB</v>
      </c>
      <c r="HO22" s="2904" t="str">
        <f t="shared" si="6"/>
        <v>CC</v>
      </c>
      <c r="HP22" s="2904" t="str">
        <f t="shared" si="6"/>
        <v>CD</v>
      </c>
      <c r="HQ22" s="2904" t="str">
        <f t="shared" si="6"/>
        <v>CE</v>
      </c>
      <c r="HR22" s="2904" t="str">
        <f t="shared" si="6"/>
        <v>CF</v>
      </c>
      <c r="HS22" s="2904" t="str">
        <f t="shared" si="6"/>
        <v>CG</v>
      </c>
      <c r="HT22" s="2904" t="str">
        <f t="shared" si="6"/>
        <v>CH</v>
      </c>
      <c r="HU22" s="2904" t="str">
        <f t="shared" si="6"/>
        <v>CI</v>
      </c>
      <c r="HV22" s="2904" t="str">
        <f t="shared" si="6"/>
        <v>CJ</v>
      </c>
      <c r="HW22" s="2904" t="str">
        <f t="shared" si="6"/>
        <v>CK</v>
      </c>
      <c r="HX22" s="2904" t="str">
        <f t="shared" si="6"/>
        <v>CL</v>
      </c>
      <c r="HY22" s="2904" t="str">
        <f t="shared" si="6"/>
        <v>CM</v>
      </c>
      <c r="HZ22" s="2904" t="str">
        <f t="shared" si="6"/>
        <v>CN</v>
      </c>
      <c r="IA22" s="2904" t="str">
        <f t="shared" si="6"/>
        <v>CO</v>
      </c>
      <c r="IB22" s="2904" t="str">
        <f t="shared" si="6"/>
        <v>CP</v>
      </c>
      <c r="IC22" s="2904" t="str">
        <f t="shared" si="6"/>
        <v>CQ</v>
      </c>
      <c r="ID22" s="2904" t="str">
        <f t="shared" si="6"/>
        <v>CR</v>
      </c>
      <c r="IE22" s="2904" t="str">
        <f t="shared" si="6"/>
        <v>CS</v>
      </c>
      <c r="IF22" s="2904" t="str">
        <f t="shared" si="6"/>
        <v>CT</v>
      </c>
      <c r="IG22" s="2904" t="str">
        <f t="shared" si="6"/>
        <v>CU</v>
      </c>
      <c r="IH22" s="2904" t="str">
        <f t="shared" si="6"/>
        <v>CV</v>
      </c>
      <c r="II22" s="2904" t="str">
        <f t="shared" si="6"/>
        <v>CW</v>
      </c>
      <c r="IJ22" s="2904" t="str">
        <f t="shared" si="6"/>
        <v>CX</v>
      </c>
      <c r="IK22" s="2904" t="str">
        <f t="shared" si="6"/>
        <v>CY</v>
      </c>
      <c r="IL22" s="2904" t="str">
        <f t="shared" si="6"/>
        <v>CZ</v>
      </c>
      <c r="IM22" s="2825"/>
      <c r="IN22" s="2825"/>
      <c r="IO22" s="2838"/>
      <c r="IP22" s="2839"/>
      <c r="IQ22" s="2901" t="s">
        <v>2683</v>
      </c>
      <c r="IR22" s="2901" t="s">
        <v>2684</v>
      </c>
      <c r="IS22" s="2901" t="s">
        <v>2685</v>
      </c>
      <c r="IT22" s="2838"/>
      <c r="IU22" s="2838"/>
      <c r="IV22" s="2838"/>
      <c r="IW22" s="2905" t="s">
        <v>2686</v>
      </c>
      <c r="IX22" s="2905" t="s">
        <v>2687</v>
      </c>
      <c r="IY22" s="2905" t="s">
        <v>2688</v>
      </c>
      <c r="IZ22" s="2905" t="s">
        <v>2689</v>
      </c>
      <c r="JA22" s="2905" t="s">
        <v>2690</v>
      </c>
      <c r="JB22" s="2905" t="s">
        <v>2691</v>
      </c>
      <c r="JC22" s="2905" t="s">
        <v>2692</v>
      </c>
      <c r="JD22" s="2905" t="s">
        <v>2693</v>
      </c>
      <c r="JE22" s="2905" t="s">
        <v>2694</v>
      </c>
      <c r="JF22" s="2905" t="s">
        <v>2695</v>
      </c>
      <c r="JG22" s="2905" t="s">
        <v>2696</v>
      </c>
      <c r="JH22" s="2905" t="s">
        <v>2697</v>
      </c>
      <c r="JI22" s="2905" t="s">
        <v>2698</v>
      </c>
      <c r="JJ22" s="2905" t="s">
        <v>2699</v>
      </c>
      <c r="JK22" s="2905" t="s">
        <v>2700</v>
      </c>
      <c r="JL22" s="2905" t="s">
        <v>2701</v>
      </c>
      <c r="JM22" s="2905" t="s">
        <v>2702</v>
      </c>
      <c r="JN22" s="2905" t="s">
        <v>2703</v>
      </c>
      <c r="JO22" s="2905" t="s">
        <v>2704</v>
      </c>
      <c r="JP22" s="2905" t="s">
        <v>2705</v>
      </c>
      <c r="JQ22" s="2905" t="s">
        <v>2706</v>
      </c>
      <c r="JR22" s="2905" t="s">
        <v>2707</v>
      </c>
      <c r="JS22" s="2905" t="s">
        <v>2669</v>
      </c>
      <c r="JT22" s="2905" t="s">
        <v>2708</v>
      </c>
      <c r="JU22" s="2905" t="s">
        <v>2709</v>
      </c>
      <c r="JV22" s="2905" t="s">
        <v>2710</v>
      </c>
      <c r="JW22" s="2905" t="s">
        <v>2711</v>
      </c>
      <c r="JX22" s="2905" t="s">
        <v>2712</v>
      </c>
      <c r="JY22" s="2905" t="s">
        <v>2713</v>
      </c>
      <c r="JZ22" s="2905" t="s">
        <v>2714</v>
      </c>
      <c r="KA22" s="2905" t="s">
        <v>2715</v>
      </c>
      <c r="KB22" s="2905" t="s">
        <v>2716</v>
      </c>
      <c r="KC22" s="2905" t="s">
        <v>2717</v>
      </c>
      <c r="KD22" s="2905" t="s">
        <v>2718</v>
      </c>
      <c r="KE22" s="2905" t="s">
        <v>2719</v>
      </c>
      <c r="KF22" s="2905" t="s">
        <v>2720</v>
      </c>
      <c r="KG22" s="2905" t="s">
        <v>2721</v>
      </c>
      <c r="KH22" s="2905" t="s">
        <v>2722</v>
      </c>
      <c r="KI22" s="2905" t="s">
        <v>2723</v>
      </c>
      <c r="KJ22" s="2905" t="s">
        <v>2724</v>
      </c>
      <c r="KK22" s="1353"/>
    </row>
    <row r="23" ht="30" customHeight="1">
      <c r="A23" s="2833"/>
      <c r="B23" s="2906" t="s">
        <v>2725</v>
      </c>
      <c r="C23" s="2907" t="s">
        <v>2726</v>
      </c>
      <c r="D23" s="2907" t="s">
        <v>2682</v>
      </c>
      <c r="E23" s="2906" t="s">
        <v>2727</v>
      </c>
      <c r="F23" s="2906" t="s">
        <v>2728</v>
      </c>
      <c r="G23" s="2907" t="s">
        <v>2669</v>
      </c>
      <c r="H23" s="2906" t="s">
        <v>2729</v>
      </c>
      <c r="I23" s="2906" t="s">
        <v>2730</v>
      </c>
      <c r="J23" s="2906" t="s">
        <v>2731</v>
      </c>
      <c r="K23" s="2906" t="s">
        <v>2732</v>
      </c>
      <c r="L23" s="2906" t="s">
        <v>2733</v>
      </c>
      <c r="M23" s="2906" t="s">
        <v>2734</v>
      </c>
      <c r="N23" s="2906" t="s">
        <v>2735</v>
      </c>
      <c r="O23" s="2908" t="s">
        <v>2736</v>
      </c>
      <c r="P23" s="2908" t="s">
        <v>2714</v>
      </c>
      <c r="Q23" s="2909" t="s">
        <v>2737</v>
      </c>
      <c r="R23" s="2910"/>
      <c r="S23" s="2910"/>
      <c r="T23" s="2910"/>
      <c r="U23" s="2910"/>
      <c r="V23" s="2910"/>
      <c r="W23" s="2910"/>
      <c r="X23" s="2910"/>
      <c r="Y23" s="2910"/>
      <c r="Z23" s="2910"/>
      <c r="AA23" s="2910"/>
      <c r="AB23" s="2911"/>
      <c r="AC23" s="2911"/>
      <c r="AD23" s="2911"/>
      <c r="AE23" s="2911"/>
      <c r="AF23" s="2911"/>
      <c r="AG23" s="2911"/>
      <c r="AH23" s="2911"/>
      <c r="AI23" s="2910"/>
      <c r="AJ23" s="2910"/>
      <c r="AK23" s="2910"/>
      <c r="AL23" s="2910"/>
      <c r="AM23" s="2910"/>
      <c r="AN23" s="2910"/>
      <c r="AO23" s="2910"/>
      <c r="AP23" s="2910"/>
      <c r="AQ23" s="2910"/>
      <c r="AR23" s="2910"/>
      <c r="AS23" s="2910"/>
      <c r="AT23" s="2910"/>
      <c r="AU23" s="2910"/>
      <c r="AV23" s="2910"/>
      <c r="AW23" s="2910"/>
      <c r="AX23" s="2910"/>
      <c r="AY23" s="2910"/>
      <c r="AZ23" s="2910"/>
      <c r="BA23" s="2910"/>
      <c r="BB23" s="2910"/>
      <c r="BC23" s="2910"/>
      <c r="BD23" s="2910"/>
      <c r="BE23" s="2910"/>
      <c r="BF23" s="2910"/>
      <c r="BG23" s="2910"/>
      <c r="BH23" s="2910"/>
      <c r="BI23" s="2910"/>
      <c r="BJ23" s="2910"/>
      <c r="BK23" s="2910"/>
      <c r="BL23" s="2910"/>
      <c r="BM23" s="2910"/>
      <c r="BN23" s="2910"/>
      <c r="BO23" s="2910"/>
      <c r="BP23" s="2910"/>
      <c r="BQ23" s="2910"/>
      <c r="BR23" s="2910"/>
      <c r="BS23" s="2910"/>
      <c r="BT23" s="2910"/>
      <c r="BU23" s="2910"/>
      <c r="BV23" s="2910"/>
      <c r="BW23" s="2910"/>
      <c r="BX23" s="2910"/>
      <c r="BY23" s="2910"/>
      <c r="BZ23" s="2910"/>
      <c r="CA23" s="2910"/>
      <c r="CB23" s="2910"/>
      <c r="CC23" s="2910"/>
      <c r="CD23" s="2910"/>
      <c r="CE23" s="2910"/>
      <c r="CF23" s="2910"/>
      <c r="CG23" s="2910"/>
      <c r="CH23" s="2910"/>
      <c r="CI23" s="2910"/>
      <c r="CJ23" s="2910"/>
      <c r="CK23" s="2910"/>
      <c r="CL23" s="2910"/>
      <c r="CM23" s="2910"/>
      <c r="CN23" s="2910"/>
      <c r="CO23" s="2910"/>
      <c r="CP23" s="2910"/>
      <c r="CQ23" s="2910"/>
      <c r="CR23" s="2910"/>
      <c r="CS23" s="2910"/>
      <c r="CT23" s="2910"/>
      <c r="CU23" s="2910"/>
      <c r="CV23" s="2910"/>
      <c r="CW23" s="2910"/>
      <c r="CX23" s="2910"/>
      <c r="CY23" s="2910"/>
      <c r="CZ23" s="2910"/>
      <c r="DA23" s="2910"/>
      <c r="DB23" s="2910"/>
      <c r="DC23" s="2910"/>
      <c r="DD23" s="2910"/>
      <c r="DE23" s="2910"/>
      <c r="DF23" s="2910"/>
      <c r="DG23" s="2910"/>
      <c r="DH23" s="2910"/>
      <c r="DI23" s="2910"/>
      <c r="DJ23" s="2910"/>
      <c r="DK23" s="2910"/>
      <c r="DL23" s="2910"/>
      <c r="DM23" s="2910"/>
      <c r="DN23" s="2910"/>
      <c r="DO23" s="2910"/>
      <c r="DP23" s="2910"/>
      <c r="DQ23" s="2910"/>
      <c r="DR23" s="2910"/>
      <c r="DS23" s="2910"/>
      <c r="DT23" s="2910"/>
      <c r="DU23" s="2910"/>
      <c r="DV23" s="2910"/>
      <c r="DW23" s="2910"/>
      <c r="DX23" s="2910"/>
      <c r="DY23" s="2910"/>
      <c r="DZ23" s="2910"/>
      <c r="EA23" s="2910"/>
      <c r="EB23" s="2910"/>
      <c r="EC23" s="2910"/>
      <c r="ED23" s="2910"/>
      <c r="EE23" s="2910"/>
      <c r="EF23" s="2910"/>
      <c r="EG23" s="2910"/>
      <c r="EH23" s="2910"/>
      <c r="EI23" s="2910"/>
      <c r="EJ23" s="2910"/>
      <c r="EK23" s="2910"/>
      <c r="EL23" s="2910"/>
      <c r="EM23" s="2910"/>
      <c r="EN23" s="2910"/>
      <c r="EO23" s="2910"/>
      <c r="EP23" s="2910"/>
      <c r="EQ23" s="2910"/>
      <c r="ER23" s="2910"/>
      <c r="ES23" s="2910"/>
      <c r="ET23" s="2910"/>
      <c r="EU23" s="2910"/>
      <c r="EV23" s="2910"/>
      <c r="EW23" s="2910"/>
      <c r="EX23" s="2910"/>
      <c r="EY23" s="2910"/>
      <c r="EZ23" s="2910"/>
      <c r="FA23" s="2900" t="s">
        <v>2738</v>
      </c>
      <c r="FB23" s="2833"/>
      <c r="FC23" s="2912" t="s">
        <v>2675</v>
      </c>
      <c r="FD23" s="2912"/>
      <c r="FE23" s="2912" t="s">
        <v>2677</v>
      </c>
      <c r="FF23" s="2913" t="s">
        <v>2739</v>
      </c>
      <c r="FG23" s="2833"/>
      <c r="FH23" s="2914"/>
      <c r="FI23" s="2914"/>
      <c r="FJ23" s="2833"/>
      <c r="FK23" s="2915"/>
      <c r="FL23" s="2902"/>
      <c r="FM23" s="2916">
        <f t="shared" si="7" ref="FM23:IL23">Q17</f>
        <v>1</v>
      </c>
      <c r="FN23" s="2917">
        <f t="shared" si="7"/>
        <v>0</v>
      </c>
      <c r="FO23" s="2917">
        <f t="shared" si="7"/>
        <v>2</v>
      </c>
      <c r="FP23" s="2917">
        <f t="shared" si="7"/>
        <v>0</v>
      </c>
      <c r="FQ23" s="2917">
        <f t="shared" si="7"/>
        <v>0</v>
      </c>
      <c r="FR23" s="2917" t="str">
        <f t="shared" si="7"/>
        <v># Bedrooms</v>
      </c>
      <c r="FS23" s="2917" t="str">
        <f t="shared" si="7"/>
        <v># Bedrooms</v>
      </c>
      <c r="FT23" s="2917" t="str">
        <f t="shared" si="7"/>
        <v># Bedrooms</v>
      </c>
      <c r="FU23" s="2917" t="str">
        <f t="shared" si="7"/>
        <v># Bedrooms</v>
      </c>
      <c r="FV23" s="2917" t="str">
        <f t="shared" si="7"/>
        <v># Bedrooms</v>
      </c>
      <c r="FW23" s="2917" t="str">
        <f t="shared" si="7"/>
        <v># Bedrooms</v>
      </c>
      <c r="FX23" s="2917" t="str">
        <f t="shared" si="7"/>
        <v># Bedrooms</v>
      </c>
      <c r="FY23" s="2917" t="str">
        <f t="shared" si="7"/>
        <v># Bedrooms</v>
      </c>
      <c r="FZ23" s="2917" t="str">
        <f t="shared" si="7"/>
        <v># Bedrooms</v>
      </c>
      <c r="GA23" s="2917" t="str">
        <f t="shared" si="7"/>
        <v># Bedrooms</v>
      </c>
      <c r="GB23" s="2917" t="str">
        <f t="shared" si="7"/>
        <v># Bedrooms</v>
      </c>
      <c r="GC23" s="2917" t="str">
        <f t="shared" si="7"/>
        <v># Bedrooms</v>
      </c>
      <c r="GD23" s="2917" t="str">
        <f t="shared" si="7"/>
        <v># Bedrooms</v>
      </c>
      <c r="GE23" s="2917" t="str">
        <f t="shared" si="7"/>
        <v># Bedrooms</v>
      </c>
      <c r="GF23" s="2917" t="str">
        <f t="shared" si="7"/>
        <v># Bedrooms</v>
      </c>
      <c r="GG23" s="2917" t="str">
        <f t="shared" si="7"/>
        <v># Bedrooms</v>
      </c>
      <c r="GH23" s="2917" t="str">
        <f t="shared" si="7"/>
        <v># Bedrooms</v>
      </c>
      <c r="GI23" s="2917" t="str">
        <f t="shared" si="7"/>
        <v># Bedrooms</v>
      </c>
      <c r="GJ23" s="2917" t="str">
        <f t="shared" si="7"/>
        <v># Bedrooms</v>
      </c>
      <c r="GK23" s="2917" t="str">
        <f t="shared" si="7"/>
        <v># Bedrooms</v>
      </c>
      <c r="GL23" s="2917" t="str">
        <f t="shared" si="7"/>
        <v># Bedrooms</v>
      </c>
      <c r="GM23" s="2917" t="str">
        <f t="shared" si="7"/>
        <v># Bedrooms</v>
      </c>
      <c r="GN23" s="2917" t="str">
        <f t="shared" si="7"/>
        <v># Bedrooms</v>
      </c>
      <c r="GO23" s="2917" t="str">
        <f t="shared" si="7"/>
        <v># Bedrooms</v>
      </c>
      <c r="GP23" s="2917" t="str">
        <f t="shared" si="7"/>
        <v># Bedrooms</v>
      </c>
      <c r="GQ23" s="2917" t="str">
        <f t="shared" si="7"/>
        <v># Bedrooms</v>
      </c>
      <c r="GR23" s="2917" t="str">
        <f t="shared" si="7"/>
        <v># Bedrooms</v>
      </c>
      <c r="GS23" s="2917" t="str">
        <f t="shared" si="7"/>
        <v># Bedrooms</v>
      </c>
      <c r="GT23" s="2917" t="str">
        <f t="shared" si="7"/>
        <v># Bedrooms</v>
      </c>
      <c r="GU23" s="2917" t="str">
        <f t="shared" si="7"/>
        <v># Bedrooms</v>
      </c>
      <c r="GV23" s="2917" t="str">
        <f t="shared" si="7"/>
        <v># Bedrooms</v>
      </c>
      <c r="GW23" s="2917" t="str">
        <f t="shared" si="7"/>
        <v># Bedrooms</v>
      </c>
      <c r="GX23" s="2917" t="str">
        <f t="shared" si="7"/>
        <v># Bedrooms</v>
      </c>
      <c r="GY23" s="2917" t="str">
        <f t="shared" si="7"/>
        <v># Bedrooms</v>
      </c>
      <c r="GZ23" s="2917" t="str">
        <f t="shared" si="7"/>
        <v># Bedrooms</v>
      </c>
      <c r="HA23" s="2917" t="str">
        <f t="shared" si="7"/>
        <v># Bedrooms</v>
      </c>
      <c r="HB23" s="2917" t="str">
        <f t="shared" si="7"/>
        <v># Bedrooms</v>
      </c>
      <c r="HC23" s="2917" t="str">
        <f t="shared" si="7"/>
        <v># Bedrooms</v>
      </c>
      <c r="HD23" s="2917" t="str">
        <f t="shared" si="7"/>
        <v># Bedrooms</v>
      </c>
      <c r="HE23" s="2917" t="str">
        <f t="shared" si="7"/>
        <v># Bedrooms</v>
      </c>
      <c r="HF23" s="2917" t="str">
        <f t="shared" si="7"/>
        <v># Bedrooms</v>
      </c>
      <c r="HG23" s="2917" t="str">
        <f t="shared" si="7"/>
        <v># Bedrooms</v>
      </c>
      <c r="HH23" s="2917" t="str">
        <f t="shared" si="7"/>
        <v># Bedrooms</v>
      </c>
      <c r="HI23" s="2917" t="str">
        <f t="shared" si="7"/>
        <v># Bedrooms</v>
      </c>
      <c r="HJ23" s="2917" t="str">
        <f t="shared" si="7"/>
        <v># Bedrooms</v>
      </c>
      <c r="HK23" s="2917" t="str">
        <f t="shared" si="7"/>
        <v># Bedrooms</v>
      </c>
      <c r="HL23" s="2917" t="str">
        <f t="shared" si="7"/>
        <v># Bedrooms</v>
      </c>
      <c r="HM23" s="2917" t="str">
        <f t="shared" si="7"/>
        <v># Bedrooms</v>
      </c>
      <c r="HN23" s="2917" t="str">
        <f t="shared" si="7"/>
        <v># Bedrooms</v>
      </c>
      <c r="HO23" s="2917" t="str">
        <f t="shared" si="7"/>
        <v># Bedrooms</v>
      </c>
      <c r="HP23" s="2917" t="str">
        <f t="shared" si="7"/>
        <v># Bedrooms</v>
      </c>
      <c r="HQ23" s="2917" t="str">
        <f t="shared" si="7"/>
        <v># Bedrooms</v>
      </c>
      <c r="HR23" s="2917" t="str">
        <f t="shared" si="7"/>
        <v># Bedrooms</v>
      </c>
      <c r="HS23" s="2917" t="str">
        <f t="shared" si="7"/>
        <v># Bedrooms</v>
      </c>
      <c r="HT23" s="2917" t="str">
        <f t="shared" si="7"/>
        <v># Bedrooms</v>
      </c>
      <c r="HU23" s="2917" t="str">
        <f t="shared" si="7"/>
        <v># Bedrooms</v>
      </c>
      <c r="HV23" s="2917" t="str">
        <f t="shared" si="7"/>
        <v># Bedrooms</v>
      </c>
      <c r="HW23" s="2917" t="str">
        <f t="shared" si="7"/>
        <v># Bedrooms</v>
      </c>
      <c r="HX23" s="2917" t="str">
        <f t="shared" si="7"/>
        <v># Bedrooms</v>
      </c>
      <c r="HY23" s="2917" t="str">
        <f t="shared" si="7"/>
        <v># Bedrooms</v>
      </c>
      <c r="HZ23" s="2917" t="str">
        <f t="shared" si="7"/>
        <v># Bedrooms</v>
      </c>
      <c r="IA23" s="2917" t="str">
        <f t="shared" si="7"/>
        <v># Bedrooms</v>
      </c>
      <c r="IB23" s="2917" t="str">
        <f t="shared" si="7"/>
        <v># Bedrooms</v>
      </c>
      <c r="IC23" s="2917" t="str">
        <f t="shared" si="7"/>
        <v># Bedrooms</v>
      </c>
      <c r="ID23" s="2917" t="str">
        <f t="shared" si="7"/>
        <v># Bedrooms</v>
      </c>
      <c r="IE23" s="2917" t="str">
        <f t="shared" si="7"/>
        <v># Bedrooms</v>
      </c>
      <c r="IF23" s="2917" t="str">
        <f t="shared" si="7"/>
        <v># Bedrooms</v>
      </c>
      <c r="IG23" s="2917" t="str">
        <f t="shared" si="7"/>
        <v># Bedrooms</v>
      </c>
      <c r="IH23" s="2917" t="str">
        <f t="shared" si="7"/>
        <v># Bedrooms</v>
      </c>
      <c r="II23" s="2917" t="str">
        <f t="shared" si="7"/>
        <v># Bedrooms</v>
      </c>
      <c r="IJ23" s="2917" t="str">
        <f t="shared" si="7"/>
        <v># Bedrooms</v>
      </c>
      <c r="IK23" s="2917" t="str">
        <f t="shared" si="7"/>
        <v># Bedrooms</v>
      </c>
      <c r="IL23" s="2917" t="str">
        <f t="shared" si="7"/>
        <v># Bedrooms</v>
      </c>
      <c r="IM23" s="2918"/>
      <c r="IN23" s="2918"/>
      <c r="IO23" s="2919"/>
      <c r="IP23" s="2920"/>
      <c r="IQ23" s="2915"/>
      <c r="IR23" s="2915"/>
      <c r="IS23" s="2915"/>
      <c r="IT23" s="2919"/>
      <c r="IU23" s="2919"/>
      <c r="IV23" s="2919"/>
      <c r="IW23" s="2921"/>
      <c r="IX23" s="2921"/>
      <c r="IY23" s="2921"/>
      <c r="IZ23" s="2921"/>
      <c r="JA23" s="2921"/>
      <c r="JB23" s="2921"/>
      <c r="JC23" s="2921"/>
      <c r="JD23" s="2921"/>
      <c r="JE23" s="2921"/>
      <c r="JF23" s="2921"/>
      <c r="JG23" s="2921"/>
      <c r="JH23" s="2921"/>
      <c r="JI23" s="2921"/>
      <c r="JJ23" s="2921"/>
      <c r="JK23" s="2921"/>
      <c r="JL23" s="2921"/>
      <c r="JM23" s="2921"/>
      <c r="JN23" s="2921"/>
      <c r="JO23" s="2921"/>
      <c r="JP23" s="2921"/>
      <c r="JQ23" s="2921"/>
      <c r="JR23" s="2921"/>
      <c r="JS23" s="2921"/>
      <c r="JT23" s="2921"/>
      <c r="JU23" s="2921"/>
      <c r="JV23" s="2921"/>
      <c r="JW23" s="2921"/>
      <c r="JX23" s="2921"/>
      <c r="JY23" s="2921"/>
      <c r="JZ23" s="2921"/>
      <c r="KA23" s="2921"/>
      <c r="KB23" s="2921"/>
      <c r="KC23" s="2921"/>
      <c r="KD23" s="2921"/>
      <c r="KE23" s="2921"/>
      <c r="KF23" s="2921"/>
      <c r="KG23" s="2921"/>
      <c r="KH23" s="2921"/>
      <c r="KI23" s="2921"/>
      <c r="KJ23" s="2921"/>
      <c r="KK23" s="1353"/>
    </row>
    <row r="24" ht="15" customHeight="1">
      <c r="A24" s="2922">
        <f t="shared" si="10" ref="A24:A124">ROW(A24)-ROW($A$23)</f>
        <v>1</v>
      </c>
      <c r="B24" s="2865"/>
      <c r="C24" s="2873"/>
      <c r="D24" s="2873" t="s">
        <v>2740</v>
      </c>
      <c r="E24" s="2923">
        <v>1432</v>
      </c>
      <c r="F24" s="2924" t="s">
        <v>2741</v>
      </c>
      <c r="G24" s="2873" t="s">
        <v>2531</v>
      </c>
      <c r="H24" s="2923">
        <v>1467</v>
      </c>
      <c r="I24" s="2925" cm="1">
        <f t="array" ref="I24">_xlfn.LET(_xlpm.has_subsidy,$N24&gt;0,_xlpm.is_chap9_sbl,$FF$20,_xlpm.contract_rent,$H24,_xlpm.unit_type_mkt_rent,_xlfn.XLOOKUP(TRUE,EXACT($G24,RentRoll_InputArea_DesignatedUnitType),RentRoll_InputArea_MarketRent,"Not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4" s="2926">
        <f t="shared" si="11" ref="J24:J124">IF(H24="","",H24-I24)</f>
        <v>1467</v>
      </c>
      <c r="K24" s="2923"/>
      <c r="L24" s="2923"/>
      <c r="M24" s="2923"/>
      <c r="N24" s="2923"/>
      <c r="O24" s="2927">
        <v>43573</v>
      </c>
      <c r="P24" s="2927">
        <v>43921</v>
      </c>
      <c r="Q24" s="2928">
        <f t="shared" si="8" ref="Q24:EZ124">IF(EXACT($G24,Q$20),IF($B24="Vacant","",_xlfn.NUMBERVALUE($H24)),"")</f>
      </c>
      <c r="R24" s="2928">
        <f t="shared" si="8"/>
      </c>
      <c r="S24" s="2928">
        <f t="shared" si="8"/>
        <v>1467</v>
      </c>
      <c r="T24" s="2928">
        <f t="shared" si="8"/>
      </c>
      <c r="U24" s="2928">
        <f t="shared" si="8"/>
      </c>
      <c r="V24" s="2928">
        <f t="shared" si="8"/>
      </c>
      <c r="W24" s="2928">
        <f t="shared" si="8"/>
      </c>
      <c r="X24" s="2928">
        <f t="shared" si="8"/>
      </c>
      <c r="Y24" s="2928">
        <f t="shared" si="8"/>
      </c>
      <c r="Z24" s="2928">
        <f t="shared" si="8"/>
      </c>
      <c r="AA24" s="2928">
        <f t="shared" si="8"/>
      </c>
      <c r="AB24" s="2928">
        <f t="shared" si="8"/>
      </c>
      <c r="AC24" s="2928">
        <f t="shared" si="8"/>
      </c>
      <c r="AD24" s="2928">
        <f t="shared" si="8"/>
      </c>
      <c r="AE24" s="2928">
        <f t="shared" si="8"/>
      </c>
      <c r="AF24" s="2928">
        <f t="shared" si="8"/>
      </c>
      <c r="AG24" s="2928">
        <f t="shared" si="8"/>
      </c>
      <c r="AH24" s="2928">
        <f t="shared" si="8"/>
      </c>
      <c r="AI24" s="2928">
        <f t="shared" si="8"/>
      </c>
      <c r="AJ24" s="2928">
        <f t="shared" si="8"/>
      </c>
      <c r="AK24" s="2928">
        <f t="shared" si="8"/>
      </c>
      <c r="AL24" s="2928">
        <f t="shared" si="8"/>
      </c>
      <c r="AM24" s="2928">
        <f t="shared" si="8"/>
      </c>
      <c r="AN24" s="2928">
        <f t="shared" si="8"/>
      </c>
      <c r="AO24" s="2928">
        <f t="shared" si="8"/>
      </c>
      <c r="AP24" s="2928">
        <f t="shared" si="8"/>
      </c>
      <c r="AQ24" s="2928">
        <f t="shared" si="8"/>
      </c>
      <c r="AR24" s="2928">
        <f t="shared" si="8"/>
      </c>
      <c r="AS24" s="2928">
        <f t="shared" si="8"/>
      </c>
      <c r="AT24" s="2928">
        <f t="shared" si="8"/>
      </c>
      <c r="AU24" s="2928">
        <f t="shared" si="8"/>
      </c>
      <c r="AV24" s="2928">
        <f t="shared" si="8"/>
      </c>
      <c r="AW24" s="2928">
        <f t="shared" si="8"/>
      </c>
      <c r="AX24" s="2928">
        <f t="shared" si="8"/>
      </c>
      <c r="AY24" s="2928">
        <f t="shared" si="8"/>
      </c>
      <c r="AZ24" s="2928">
        <f t="shared" si="8"/>
      </c>
      <c r="BA24" s="2928">
        <f t="shared" si="8"/>
      </c>
      <c r="BB24" s="2928">
        <f t="shared" si="8"/>
      </c>
      <c r="BC24" s="2928">
        <f t="shared" si="8"/>
      </c>
      <c r="BD24" s="2928">
        <f t="shared" si="8"/>
      </c>
      <c r="BE24" s="2928">
        <f t="shared" si="8"/>
      </c>
      <c r="BF24" s="2928">
        <f t="shared" si="8"/>
      </c>
      <c r="BG24" s="2928">
        <f t="shared" si="8"/>
      </c>
      <c r="BH24" s="2928">
        <f t="shared" si="8"/>
      </c>
      <c r="BI24" s="2928">
        <f t="shared" si="8"/>
      </c>
      <c r="BJ24" s="2928">
        <f t="shared" si="8"/>
      </c>
      <c r="BK24" s="2928">
        <f t="shared" si="8"/>
      </c>
      <c r="BL24" s="2928">
        <f t="shared" si="8"/>
      </c>
      <c r="BM24" s="2928">
        <f t="shared" si="8"/>
      </c>
      <c r="BN24" s="2928">
        <f t="shared" si="8"/>
      </c>
      <c r="BO24" s="2928">
        <f t="shared" si="8"/>
      </c>
      <c r="BP24" s="2928">
        <f t="shared" si="8"/>
      </c>
      <c r="BQ24" s="2928">
        <f t="shared" si="8"/>
      </c>
      <c r="BR24" s="2928">
        <f t="shared" si="8"/>
      </c>
      <c r="BS24" s="2928">
        <f t="shared" si="8"/>
      </c>
      <c r="BT24" s="2928">
        <f t="shared" si="8"/>
      </c>
      <c r="BU24" s="2928">
        <f t="shared" si="8"/>
      </c>
      <c r="BV24" s="2928">
        <f t="shared" si="8"/>
      </c>
      <c r="BW24" s="2928">
        <f t="shared" si="8"/>
      </c>
      <c r="BX24" s="2928">
        <f t="shared" si="8"/>
      </c>
      <c r="BY24" s="2928">
        <f t="shared" si="8"/>
      </c>
      <c r="BZ24" s="2928">
        <f t="shared" si="8"/>
      </c>
      <c r="CA24" s="2928">
        <f t="shared" si="8"/>
      </c>
      <c r="CB24" s="2928">
        <f t="shared" si="8"/>
      </c>
      <c r="CC24" s="2928">
        <f t="shared" si="8"/>
      </c>
      <c r="CD24" s="2928">
        <f t="shared" si="8"/>
      </c>
      <c r="CE24" s="2928">
        <f t="shared" si="8"/>
      </c>
      <c r="CF24" s="2928">
        <f t="shared" si="8"/>
      </c>
      <c r="CG24" s="2928">
        <f t="shared" si="8"/>
      </c>
      <c r="CH24" s="2928">
        <f t="shared" si="8"/>
      </c>
      <c r="CI24" s="2928">
        <f t="shared" si="8"/>
      </c>
      <c r="CJ24" s="2928">
        <f t="shared" si="8"/>
      </c>
      <c r="CK24" s="2928">
        <f t="shared" si="8"/>
      </c>
      <c r="CL24" s="2928">
        <f t="shared" si="8"/>
      </c>
      <c r="CM24" s="2928">
        <f t="shared" si="8"/>
      </c>
      <c r="CN24" s="2928">
        <f t="shared" si="8"/>
      </c>
      <c r="CO24" s="2928">
        <f t="shared" si="8"/>
      </c>
      <c r="CP24" s="2928">
        <f t="shared" si="8"/>
      </c>
      <c r="CQ24" s="2928">
        <f t="shared" si="8"/>
      </c>
      <c r="CR24" s="2928">
        <f t="shared" si="8"/>
      </c>
      <c r="CS24" s="2928">
        <f t="shared" si="8"/>
      </c>
      <c r="CT24" s="2928">
        <f t="shared" si="8"/>
      </c>
      <c r="CU24" s="2928">
        <f t="shared" si="8"/>
      </c>
      <c r="CV24" s="2928">
        <f t="shared" si="8"/>
      </c>
      <c r="CW24" s="2928">
        <f t="shared" si="8"/>
      </c>
      <c r="CX24" s="2928">
        <f t="shared" si="8"/>
      </c>
      <c r="CY24" s="2928">
        <f t="shared" si="8"/>
      </c>
      <c r="CZ24" s="2928">
        <f t="shared" si="8"/>
      </c>
      <c r="DA24" s="2928">
        <f t="shared" si="8"/>
      </c>
      <c r="DB24" s="2928">
        <f t="shared" si="8"/>
      </c>
      <c r="DC24" s="2928">
        <f t="shared" si="8"/>
      </c>
      <c r="DD24" s="2928">
        <f t="shared" si="8"/>
      </c>
      <c r="DE24" s="2928">
        <f t="shared" si="8"/>
      </c>
      <c r="DF24" s="2928">
        <f t="shared" si="8"/>
      </c>
      <c r="DG24" s="2928">
        <f t="shared" si="8"/>
      </c>
      <c r="DH24" s="2928">
        <f t="shared" si="8"/>
      </c>
      <c r="DI24" s="2928">
        <f t="shared" si="8"/>
      </c>
      <c r="DJ24" s="2928">
        <f t="shared" si="8"/>
      </c>
      <c r="DK24" s="2928">
        <f t="shared" si="8"/>
      </c>
      <c r="DL24" s="2928">
        <f t="shared" si="8"/>
      </c>
      <c r="DM24" s="2928">
        <f t="shared" si="8"/>
      </c>
      <c r="DN24" s="2928">
        <f t="shared" si="8"/>
      </c>
      <c r="DO24" s="2928">
        <f t="shared" si="8"/>
      </c>
      <c r="DP24" s="2928">
        <f t="shared" si="8"/>
      </c>
      <c r="DQ24" s="2928">
        <f t="shared" si="8"/>
      </c>
      <c r="DR24" s="2928">
        <f t="shared" si="8"/>
      </c>
      <c r="DS24" s="2928">
        <f t="shared" si="8"/>
      </c>
      <c r="DT24" s="2928">
        <f t="shared" si="8"/>
      </c>
      <c r="DU24" s="2928">
        <f t="shared" si="8"/>
      </c>
      <c r="DV24" s="2928">
        <f t="shared" si="8"/>
      </c>
      <c r="DW24" s="2928">
        <f t="shared" si="8"/>
      </c>
      <c r="DX24" s="2928">
        <f t="shared" si="8"/>
      </c>
      <c r="DY24" s="2928">
        <f t="shared" si="8"/>
      </c>
      <c r="DZ24" s="2928">
        <f t="shared" si="8"/>
      </c>
      <c r="EA24" s="2928">
        <f t="shared" si="8"/>
      </c>
      <c r="EB24" s="2928">
        <f t="shared" si="8"/>
      </c>
      <c r="EC24" s="2928">
        <f t="shared" si="8"/>
      </c>
      <c r="ED24" s="2928">
        <f t="shared" si="8"/>
      </c>
      <c r="EE24" s="2928">
        <f t="shared" si="8"/>
      </c>
      <c r="EF24" s="2928">
        <f t="shared" si="8"/>
      </c>
      <c r="EG24" s="2928">
        <f t="shared" si="8"/>
      </c>
      <c r="EH24" s="2928">
        <f t="shared" si="8"/>
      </c>
      <c r="EI24" s="2928">
        <f t="shared" si="8"/>
      </c>
      <c r="EJ24" s="2928">
        <f t="shared" si="8"/>
      </c>
      <c r="EK24" s="2928">
        <f t="shared" si="8"/>
      </c>
      <c r="EL24" s="2928">
        <f t="shared" si="8"/>
      </c>
      <c r="EM24" s="2928">
        <f t="shared" si="8"/>
      </c>
      <c r="EN24" s="2928">
        <f t="shared" si="8"/>
      </c>
      <c r="EO24" s="2928">
        <f t="shared" si="8"/>
      </c>
      <c r="EP24" s="2928">
        <f t="shared" si="8"/>
      </c>
      <c r="EQ24" s="2928">
        <f t="shared" si="8"/>
      </c>
      <c r="ER24" s="2928">
        <f t="shared" si="8"/>
      </c>
      <c r="ES24" s="2928">
        <f t="shared" si="8"/>
      </c>
      <c r="ET24" s="2928">
        <f t="shared" si="8"/>
      </c>
      <c r="EU24" s="2928">
        <f t="shared" si="8"/>
      </c>
      <c r="EV24" s="2928">
        <f t="shared" si="8"/>
      </c>
      <c r="EW24" s="2928">
        <f t="shared" si="8"/>
      </c>
      <c r="EX24" s="2928">
        <f t="shared" si="8"/>
      </c>
      <c r="EY24" s="2928">
        <f t="shared" si="8"/>
      </c>
      <c r="EZ24" s="2928">
        <f t="shared" si="8"/>
      </c>
      <c r="FA24" s="2929" t="str">
        <f t="shared" si="12" ref="FA24:FA124">_xlfn.LET(_xlpm.is_vacant,B24="Vacant",_xlpm.use_market_rent_by_unit,RR_VacantUnitMktRentSource="Rent Roll (if avail)",_xlpm.market_rent_by_unit,E24,_xlpm.market_rent_by_unit_type,FC24,IF(_xlpm.is_vacant,IF(AND(_xlpm.use_market_rent_by_unit,_xlpm.market_rent_by_unit&gt;0),_xlpm.market_rent_by_unit,_xlpm.market_rent_by_unit_type),"-"))</f>
        <v>-</v>
      </c>
      <c r="FB24" s="2825">
        <f t="shared" si="13" ref="FB24:FB124">IF(N24=0,"",IF(H24&gt;HLOOKUP($G24,$Q$20:$CP$21,2,FALSE),IF(J24=HLOOKUP($G24,$Q$20:$CP$21,2,FALSE),"",1),IF(I24=0,"",1)))</f>
      </c>
      <c r="FC24" s="2930" cm="1">
        <f t="array" ref="FC24">_xlfn.LET(_xlpm.unit_type,$G24,_xlpm.market_rent_from_rent_roll,$E24,_xlpm.unit_type_list,RentRoll_InputArea_DesignatedUnitType,_xlpm.rent_by_unit_type,RentRoll_InputArea_MarketRent,_xlpm.use_rent_roll_market_rent,LEFT(RR_VacantUnitMktRentSource,9)="Rent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4" s="2930">
        <f t="shared" si="14" ref="FD24:FD124">IF(J24="","",J24)</f>
        <v>1467</v>
      </c>
      <c r="FE24" s="2930">
        <f t="shared" si="15" ref="FE24:FE124">IF(B24="Vacant",FC24,FD24)</f>
        <v>1467</v>
      </c>
      <c r="FF24" s="2930">
        <f t="shared" si="16" ref="FF24:FF124">_xlfn.LET(_xlpm.row_is_empty,LEN($G24)=0,_xlpm.is_chap9_sbl,TRUE,_xlpm.contract_rent,H24,_xlpm.gross_potential_rent,FE24,_xlpm.employee_allowance,L24,_xlpm.rent_adjustment,I24,_xlpm.subsidy,N24,IF(_xlpm.row_is_empty,"",IF(_xlpm.is_chap9_sbl,_xlpm.contract_rent-_xlpm.employee_allowance-IF(_xlpm.subsidy&gt;0,_xlpm.subsidy,0),_xlpm.gross_potential_rent-_xlpm.employee_allowance-IF(_xlpm.subsidy&gt;0,_xlpm.subsidy-_xlpm.rent_adjustment,0))))</f>
        <v>1467</v>
      </c>
      <c r="FG24" s="2931"/>
      <c r="FH24" s="2932">
        <f t="shared" si="17" ref="FH24:FH124">IF(L24="","",FC24)</f>
      </c>
      <c r="FI24" s="2932">
        <f t="shared" si="18" ref="FI24:FI124">IF(M24="","",FC24)</f>
      </c>
      <c r="FJ24" s="2931"/>
      <c r="FK24" s="2933" cm="1">
        <f t="array" ref="FK24">IF(AND(LEN($D24)&gt;0,ISNA(MATCH(TRUE,EXACT($G24,RentRoll_InputArea_DesignatedUnitType),0))),1,0)</f>
        <v>0</v>
      </c>
      <c r="FL24" s="2931">
        <f t="shared" si="19" ref="FL24:FL124">$A24</f>
        <v>1</v>
      </c>
      <c r="FM24" s="2931"/>
      <c r="FN24" s="2931"/>
      <c r="FO24" s="2931"/>
      <c r="FP24" s="2931"/>
      <c r="FQ24" s="2931"/>
      <c r="FR24" s="2931"/>
      <c r="FS24" s="2931"/>
      <c r="FT24" s="2931"/>
      <c r="FU24" s="2931"/>
      <c r="FV24" s="2931"/>
      <c r="FW24" s="2931"/>
      <c r="FX24" s="2931"/>
      <c r="FY24" s="2931"/>
      <c r="FZ24" s="2931"/>
      <c r="GA24" s="2931"/>
      <c r="GB24" s="2931"/>
      <c r="GC24" s="2931"/>
      <c r="GD24" s="2931"/>
      <c r="GE24" s="2931"/>
      <c r="GF24" s="2931"/>
      <c r="GG24" s="2931"/>
      <c r="GH24" s="2931"/>
      <c r="GI24" s="2931"/>
      <c r="GJ24" s="2931"/>
      <c r="GK24" s="2931"/>
      <c r="GL24" s="2931"/>
      <c r="GM24" s="2931"/>
      <c r="GN24" s="2931"/>
      <c r="GO24" s="2931"/>
      <c r="GP24" s="2931"/>
      <c r="GQ24" s="2931"/>
      <c r="GR24" s="2931"/>
      <c r="GS24" s="2931"/>
      <c r="GT24" s="2931"/>
      <c r="GU24" s="2931"/>
      <c r="GV24" s="2931"/>
      <c r="GW24" s="2931"/>
      <c r="GX24" s="2931"/>
      <c r="GY24" s="2931"/>
      <c r="GZ24" s="2931"/>
      <c r="HA24" s="2931"/>
      <c r="HB24" s="2931"/>
      <c r="HC24" s="2931"/>
      <c r="HD24" s="2931"/>
      <c r="HE24" s="2931"/>
      <c r="HF24" s="2931"/>
      <c r="HG24" s="2931"/>
      <c r="HH24" s="2931"/>
      <c r="HI24" s="2931"/>
      <c r="HJ24" s="2931"/>
      <c r="HK24" s="2931"/>
      <c r="HL24" s="2931"/>
      <c r="HM24" s="2931"/>
      <c r="HN24" s="2931"/>
      <c r="HO24" s="2931"/>
      <c r="HP24" s="2931"/>
      <c r="HQ24" s="2931"/>
      <c r="HR24" s="2931"/>
      <c r="HS24" s="2931"/>
      <c r="HT24" s="2931"/>
      <c r="HU24" s="2931"/>
      <c r="HV24" s="2931"/>
      <c r="HW24" s="2931"/>
      <c r="HX24" s="2931"/>
      <c r="HY24" s="2931"/>
      <c r="HZ24" s="2931"/>
      <c r="IA24" s="2931"/>
      <c r="IB24" s="2931"/>
      <c r="IC24" s="2931"/>
      <c r="ID24" s="2931"/>
      <c r="IE24" s="2931"/>
      <c r="IF24" s="2931"/>
      <c r="IG24" s="2931"/>
      <c r="IH24" s="2931"/>
      <c r="II24" s="2931"/>
      <c r="IJ24" s="2931"/>
      <c r="IK24" s="2931"/>
      <c r="IL24" s="2931"/>
      <c r="IM24" s="2931"/>
      <c r="IN24" s="2931"/>
      <c r="IO24" s="2931" cm="1">
        <f t="array" ref="IO24">IF(LEN($G24)=0,"Rent Roll is incomplete",_xlfn.XLOOKUP(TRUE,EXACT(RentRoll_InputArea_DesignatedUnitType,$G24),RentRoll_InputArea_Beds,"Not Found"))</f>
        <v>2</v>
      </c>
      <c r="IP24" s="2934"/>
      <c r="IQ24" s="2935" t="str">
        <f t="shared" si="20" ref="IQ24:IQ124">IF(ISNUMBER(IO24),IF(IO24=0,"0 Bedroom Unit (Efficiency/Studio)",IO24&amp;" Bedroom Unit"),"")</f>
        <v>2 Bedroom Unit</v>
      </c>
      <c r="IR24" s="2926">
        <f t="shared" si="21" ref="IR24:IR124">_xlfn.LET(_xlpm.actual_rent,$H24,_xlpm.market_rent,$FC24,_xlpm.subsidy,$N24,_xlfn.IFERROR(IF(_xlpm.actual_rent&gt;0,_xlpm.actual_rent,_xlpm.market_rent)-_xlpm.subsidy,""))</f>
        <v>1467</v>
      </c>
      <c r="IS24" s="2935"/>
      <c r="IT24" s="2931"/>
      <c r="IU24" s="2931"/>
      <c r="IV24" s="2931"/>
      <c r="IW24" s="2936" t="str">
        <f t="shared" si="22" ref="IW24:IW124">D24</f>
        <v>1-100</v>
      </c>
      <c r="IX24" s="2936"/>
      <c r="IY24" s="2936"/>
      <c r="IZ24" s="2936">
        <f t="shared" si="23" ref="IZ24:IZ124">IO24</f>
        <v>2</v>
      </c>
      <c r="JA24" s="2936">
        <f t="shared" si="24" ref="JA24:JA124">IF(B24="Vacant",0,FF24)</f>
        <v>1467</v>
      </c>
      <c r="JB24" s="2936"/>
      <c r="JC24" s="2936"/>
      <c r="JD24" s="2936"/>
      <c r="JE24" s="2936"/>
      <c r="JF24" s="2936"/>
      <c r="JG24" s="2936"/>
      <c r="JH24" s="2936">
        <f t="shared" si="25" ref="JH24:JH124">FC24</f>
        <v>1410</v>
      </c>
      <c r="JI24" s="2936"/>
      <c r="JJ24" s="2936">
        <f t="shared" si="26" ref="JJ24:JJ124">IF(JI24="","",I24)</f>
      </c>
      <c r="JK24" s="2936"/>
      <c r="JL24" s="2936"/>
      <c r="JM24" s="2936"/>
      <c r="JN24" s="2936"/>
      <c r="JO24" s="2936"/>
      <c r="JP24" s="2936"/>
      <c r="JQ24" s="2936" t="str">
        <f t="shared" si="27" ref="JQ24:JQ124">IF(L24&gt;0,"Employee",IF(B24="Vacant","Vacant","Occupied"))</f>
        <v>Occupied</v>
      </c>
      <c r="JR24" s="2936" cm="1">
        <f t="array" ref="JR24">_xlfn.XLOOKUP(TRUE,EXACT(RentRoll_InputArea_DesignatedUnitType,$G24),RentRoll_InputArea_SquareFootage,"Not Found")</f>
        <v>851</v>
      </c>
      <c r="JS24" s="2936" t="str">
        <f t="shared" si="28" ref="JS24:JS124">IF(Property_Type="Manufactured Housing","Pad","Apartment")</f>
        <v>Apartment</v>
      </c>
      <c r="JT24" s="2936">
        <f t="shared" si="29" ref="JT24:JT124">IF(IX24="","","Bed")</f>
      </c>
      <c r="JU24" s="2936"/>
      <c r="JV24" s="2936"/>
      <c r="JW24" s="2936"/>
      <c r="JX24" s="2936"/>
      <c r="JY24" s="2936">
        <f t="shared" si="9" ref="JY24:JZ124">IF(O24="","",O24)</f>
        <v>43573</v>
      </c>
      <c r="JZ24" s="2936">
        <f t="shared" si="9"/>
        <v>43921</v>
      </c>
      <c r="KA24" s="2936"/>
      <c r="KB24" s="2936"/>
      <c r="KC24" s="2936"/>
      <c r="KD24" s="2936"/>
      <c r="KE24" s="2936"/>
      <c r="KF24" s="2936"/>
      <c r="KG24" s="2936"/>
      <c r="KH24" s="2936"/>
      <c r="KI24" s="2937"/>
      <c r="KJ24" s="2936"/>
      <c r="KK24" s="1353"/>
    </row>
    <row r="25" ht="15" customHeight="1">
      <c r="A25" s="2922">
        <f t="shared" si="10"/>
        <v>2</v>
      </c>
      <c r="B25" s="2865"/>
      <c r="C25" s="2873"/>
      <c r="D25" s="2873" t="s">
        <v>2745</v>
      </c>
      <c r="E25" s="2923">
        <v>1357</v>
      </c>
      <c r="F25" s="2924" t="s">
        <v>2746</v>
      </c>
      <c r="G25" s="2873" t="s">
        <v>2531</v>
      </c>
      <c r="H25" s="2923">
        <v>1435</v>
      </c>
      <c r="I25" s="2925" cm="1">
        <f t="array" ref="I25">_xlfn.LET(_xlpm.has_subsidy,$N25&gt;0,_xlpm.is_chap9_sbl,$FF$20,_xlpm.contract_rent,$H25,_xlpm.unit_type_mkt_rent,_xlfn.XLOOKUP(TRUE,EXACT($G25,RentRoll_InputArea_DesignatedUnitType),RentRoll_InputArea_MarketRent,"Not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5" s="2926">
        <f t="shared" si="11"/>
        <v>1435</v>
      </c>
      <c r="K25" s="2923"/>
      <c r="L25" s="2923"/>
      <c r="M25" s="2923"/>
      <c r="N25" s="2923"/>
      <c r="O25" s="2927">
        <v>43309</v>
      </c>
      <c r="P25" s="2927">
        <v>43585</v>
      </c>
      <c r="Q25" s="2928">
        <f t="shared" si="8"/>
      </c>
      <c r="R25" s="2928">
        <f t="shared" si="8"/>
      </c>
      <c r="S25" s="2928">
        <f t="shared" si="8"/>
        <v>1435</v>
      </c>
      <c r="T25" s="2928">
        <f t="shared" si="8"/>
      </c>
      <c r="U25" s="2928">
        <f t="shared" si="8"/>
      </c>
      <c r="V25" s="2928">
        <f t="shared" si="8"/>
      </c>
      <c r="W25" s="2928">
        <f t="shared" si="8"/>
      </c>
      <c r="X25" s="2928">
        <f t="shared" si="8"/>
      </c>
      <c r="Y25" s="2928">
        <f t="shared" si="8"/>
      </c>
      <c r="Z25" s="2928">
        <f t="shared" si="8"/>
      </c>
      <c r="AA25" s="2928">
        <f t="shared" si="8"/>
      </c>
      <c r="AB25" s="2928">
        <f t="shared" si="8"/>
      </c>
      <c r="AC25" s="2928">
        <f t="shared" si="8"/>
      </c>
      <c r="AD25" s="2928">
        <f t="shared" si="8"/>
      </c>
      <c r="AE25" s="2928">
        <f t="shared" si="8"/>
      </c>
      <c r="AF25" s="2928">
        <f t="shared" si="8"/>
      </c>
      <c r="AG25" s="2928">
        <f t="shared" si="8"/>
      </c>
      <c r="AH25" s="2928">
        <f t="shared" si="8"/>
      </c>
      <c r="AI25" s="2928">
        <f t="shared" si="8"/>
      </c>
      <c r="AJ25" s="2928">
        <f t="shared" si="8"/>
      </c>
      <c r="AK25" s="2928">
        <f t="shared" si="8"/>
      </c>
      <c r="AL25" s="2928">
        <f t="shared" si="8"/>
      </c>
      <c r="AM25" s="2928">
        <f t="shared" si="8"/>
      </c>
      <c r="AN25" s="2928">
        <f t="shared" si="8"/>
      </c>
      <c r="AO25" s="2928">
        <f t="shared" si="8"/>
      </c>
      <c r="AP25" s="2928">
        <f t="shared" si="8"/>
      </c>
      <c r="AQ25" s="2928">
        <f t="shared" si="8"/>
      </c>
      <c r="AR25" s="2928">
        <f t="shared" si="8"/>
      </c>
      <c r="AS25" s="2928">
        <f t="shared" si="8"/>
      </c>
      <c r="AT25" s="2928">
        <f t="shared" si="8"/>
      </c>
      <c r="AU25" s="2928">
        <f t="shared" si="8"/>
      </c>
      <c r="AV25" s="2928">
        <f t="shared" si="8"/>
      </c>
      <c r="AW25" s="2928">
        <f t="shared" si="8"/>
      </c>
      <c r="AX25" s="2928">
        <f t="shared" si="8"/>
      </c>
      <c r="AY25" s="2928">
        <f t="shared" si="8"/>
      </c>
      <c r="AZ25" s="2928">
        <f t="shared" si="8"/>
      </c>
      <c r="BA25" s="2928">
        <f t="shared" si="8"/>
      </c>
      <c r="BB25" s="2928">
        <f t="shared" si="8"/>
      </c>
      <c r="BC25" s="2928">
        <f t="shared" si="8"/>
      </c>
      <c r="BD25" s="2928">
        <f t="shared" si="8"/>
      </c>
      <c r="BE25" s="2928">
        <f t="shared" si="8"/>
      </c>
      <c r="BF25" s="2928">
        <f t="shared" si="8"/>
      </c>
      <c r="BG25" s="2928">
        <f t="shared" si="8"/>
      </c>
      <c r="BH25" s="2928">
        <f t="shared" si="8"/>
      </c>
      <c r="BI25" s="2928">
        <f t="shared" si="8"/>
      </c>
      <c r="BJ25" s="2928">
        <f t="shared" si="8"/>
      </c>
      <c r="BK25" s="2928">
        <f t="shared" si="8"/>
      </c>
      <c r="BL25" s="2928">
        <f t="shared" si="8"/>
      </c>
      <c r="BM25" s="2928">
        <f t="shared" si="8"/>
      </c>
      <c r="BN25" s="2928">
        <f t="shared" si="8"/>
      </c>
      <c r="BO25" s="2928">
        <f t="shared" si="8"/>
      </c>
      <c r="BP25" s="2928">
        <f t="shared" si="8"/>
      </c>
      <c r="BQ25" s="2928">
        <f t="shared" si="8"/>
      </c>
      <c r="BR25" s="2928">
        <f t="shared" si="8"/>
      </c>
      <c r="BS25" s="2928">
        <f t="shared" si="8"/>
      </c>
      <c r="BT25" s="2928">
        <f t="shared" si="8"/>
      </c>
      <c r="BU25" s="2928">
        <f t="shared" si="8"/>
      </c>
      <c r="BV25" s="2928">
        <f t="shared" si="8"/>
      </c>
      <c r="BW25" s="2928">
        <f t="shared" si="8"/>
      </c>
      <c r="BX25" s="2928">
        <f t="shared" si="8"/>
      </c>
      <c r="BY25" s="2928">
        <f t="shared" si="8"/>
      </c>
      <c r="BZ25" s="2928">
        <f t="shared" si="8"/>
      </c>
      <c r="CA25" s="2928">
        <f t="shared" si="8"/>
      </c>
      <c r="CB25" s="2928">
        <f t="shared" si="8"/>
      </c>
      <c r="CC25" s="2928">
        <f t="shared" si="8"/>
      </c>
      <c r="CD25" s="2928">
        <f t="shared" si="8"/>
      </c>
      <c r="CE25" s="2928">
        <f t="shared" si="8"/>
      </c>
      <c r="CF25" s="2928">
        <f t="shared" si="8"/>
      </c>
      <c r="CG25" s="2928">
        <f t="shared" si="8"/>
      </c>
      <c r="CH25" s="2928">
        <f t="shared" si="8"/>
      </c>
      <c r="CI25" s="2928">
        <f t="shared" si="8"/>
      </c>
      <c r="CJ25" s="2928">
        <f t="shared" si="8"/>
      </c>
      <c r="CK25" s="2928">
        <f t="shared" si="8"/>
      </c>
      <c r="CL25" s="2928">
        <f t="shared" si="8"/>
      </c>
      <c r="CM25" s="2928">
        <f t="shared" si="8"/>
      </c>
      <c r="CN25" s="2928">
        <f t="shared" si="8"/>
      </c>
      <c r="CO25" s="2928">
        <f t="shared" si="8"/>
      </c>
      <c r="CP25" s="2928">
        <f t="shared" si="8"/>
      </c>
      <c r="CQ25" s="2928">
        <f t="shared" si="8"/>
      </c>
      <c r="CR25" s="2928">
        <f t="shared" si="8"/>
      </c>
      <c r="CS25" s="2928">
        <f t="shared" si="8"/>
      </c>
      <c r="CT25" s="2928">
        <f t="shared" si="8"/>
      </c>
      <c r="CU25" s="2928">
        <f t="shared" si="8"/>
      </c>
      <c r="CV25" s="2928">
        <f t="shared" si="8"/>
      </c>
      <c r="CW25" s="2928">
        <f t="shared" si="8"/>
      </c>
      <c r="CX25" s="2928">
        <f t="shared" si="8"/>
      </c>
      <c r="CY25" s="2928">
        <f t="shared" si="8"/>
      </c>
      <c r="CZ25" s="2928">
        <f t="shared" si="8"/>
      </c>
      <c r="DA25" s="2928">
        <f t="shared" si="8"/>
      </c>
      <c r="DB25" s="2928">
        <f t="shared" si="8"/>
      </c>
      <c r="DC25" s="2928">
        <f t="shared" si="8"/>
      </c>
      <c r="DD25" s="2928">
        <f t="shared" si="8"/>
      </c>
      <c r="DE25" s="2928">
        <f t="shared" si="8"/>
      </c>
      <c r="DF25" s="2928">
        <f t="shared" si="8"/>
      </c>
      <c r="DG25" s="2928">
        <f t="shared" si="8"/>
      </c>
      <c r="DH25" s="2928">
        <f t="shared" si="8"/>
      </c>
      <c r="DI25" s="2928">
        <f t="shared" si="8"/>
      </c>
      <c r="DJ25" s="2928">
        <f t="shared" si="8"/>
      </c>
      <c r="DK25" s="2928">
        <f t="shared" si="8"/>
      </c>
      <c r="DL25" s="2928">
        <f t="shared" si="8"/>
      </c>
      <c r="DM25" s="2928">
        <f t="shared" si="8"/>
      </c>
      <c r="DN25" s="2928">
        <f t="shared" si="8"/>
      </c>
      <c r="DO25" s="2928">
        <f t="shared" si="8"/>
      </c>
      <c r="DP25" s="2928">
        <f t="shared" si="8"/>
      </c>
      <c r="DQ25" s="2928">
        <f t="shared" si="8"/>
      </c>
      <c r="DR25" s="2928">
        <f t="shared" si="8"/>
      </c>
      <c r="DS25" s="2928">
        <f t="shared" si="8"/>
      </c>
      <c r="DT25" s="2928">
        <f t="shared" si="8"/>
      </c>
      <c r="DU25" s="2928">
        <f t="shared" si="8"/>
      </c>
      <c r="DV25" s="2928">
        <f t="shared" si="8"/>
      </c>
      <c r="DW25" s="2928">
        <f t="shared" si="8"/>
      </c>
      <c r="DX25" s="2928">
        <f t="shared" si="8"/>
      </c>
      <c r="DY25" s="2928">
        <f t="shared" si="8"/>
      </c>
      <c r="DZ25" s="2928">
        <f t="shared" si="8"/>
      </c>
      <c r="EA25" s="2928">
        <f t="shared" si="8"/>
      </c>
      <c r="EB25" s="2928">
        <f t="shared" si="8"/>
      </c>
      <c r="EC25" s="2928">
        <f t="shared" si="8"/>
      </c>
      <c r="ED25" s="2928">
        <f t="shared" si="8"/>
      </c>
      <c r="EE25" s="2928">
        <f t="shared" si="8"/>
      </c>
      <c r="EF25" s="2928">
        <f t="shared" si="8"/>
      </c>
      <c r="EG25" s="2928">
        <f t="shared" si="8"/>
      </c>
      <c r="EH25" s="2928">
        <f t="shared" si="8"/>
      </c>
      <c r="EI25" s="2928">
        <f t="shared" si="8"/>
      </c>
      <c r="EJ25" s="2928">
        <f t="shared" si="8"/>
      </c>
      <c r="EK25" s="2928">
        <f t="shared" si="8"/>
      </c>
      <c r="EL25" s="2928">
        <f t="shared" si="8"/>
      </c>
      <c r="EM25" s="2928">
        <f t="shared" si="8"/>
      </c>
      <c r="EN25" s="2928">
        <f t="shared" si="8"/>
      </c>
      <c r="EO25" s="2928">
        <f t="shared" si="8"/>
      </c>
      <c r="EP25" s="2928">
        <f t="shared" si="8"/>
      </c>
      <c r="EQ25" s="2928">
        <f t="shared" si="8"/>
      </c>
      <c r="ER25" s="2928">
        <f t="shared" si="8"/>
      </c>
      <c r="ES25" s="2928">
        <f t="shared" si="8"/>
      </c>
      <c r="ET25" s="2928">
        <f t="shared" si="8"/>
      </c>
      <c r="EU25" s="2928">
        <f t="shared" si="8"/>
      </c>
      <c r="EV25" s="2928">
        <f t="shared" si="8"/>
      </c>
      <c r="EW25" s="2928">
        <f t="shared" si="8"/>
      </c>
      <c r="EX25" s="2928">
        <f t="shared" si="8"/>
      </c>
      <c r="EY25" s="2928">
        <f t="shared" si="8"/>
      </c>
      <c r="EZ25" s="2928">
        <f t="shared" si="8"/>
      </c>
      <c r="FA25" s="2929" t="str">
        <f t="shared" si="12"/>
        <v>-</v>
      </c>
      <c r="FB25" s="2825">
        <f t="shared" si="13"/>
      </c>
      <c r="FC25" s="2930" cm="1">
        <f t="array" ref="FC25">_xlfn.LET(_xlpm.unit_type,$G25,_xlpm.market_rent_from_rent_roll,$E25,_xlpm.unit_type_list,RentRoll_InputArea_DesignatedUnitType,_xlpm.rent_by_unit_type,RentRoll_InputArea_MarketRent,_xlpm.use_rent_roll_market_rent,LEFT(RR_VacantUnitMktRentSource,9)="Rent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5" s="2930">
        <f t="shared" si="14"/>
        <v>1435</v>
      </c>
      <c r="FE25" s="2930">
        <f t="shared" si="15"/>
        <v>1435</v>
      </c>
      <c r="FF25" s="2930">
        <f t="shared" si="16"/>
        <v>1435</v>
      </c>
      <c r="FG25" s="2931"/>
      <c r="FH25" s="2932">
        <f t="shared" si="17"/>
      </c>
      <c r="FI25" s="2932">
        <f t="shared" si="18"/>
      </c>
      <c r="FJ25" s="2931"/>
      <c r="FK25" s="2933" cm="1">
        <f t="array" ref="FK25">IF(AND(LEN($D25)&gt;0,ISNA(MATCH(TRUE,EXACT($G25,RentRoll_InputArea_DesignatedUnitType),0))),1,0)</f>
        <v>0</v>
      </c>
      <c r="FL25" s="2931">
        <f t="shared" si="19"/>
        <v>2</v>
      </c>
      <c r="FM25" s="2931"/>
      <c r="FN25" s="2931"/>
      <c r="FO25" s="2931"/>
      <c r="FP25" s="2931"/>
      <c r="FQ25" s="2931"/>
      <c r="FR25" s="2931"/>
      <c r="FS25" s="2931"/>
      <c r="FT25" s="2931"/>
      <c r="FU25" s="2931"/>
      <c r="FV25" s="2931"/>
      <c r="FW25" s="2931"/>
      <c r="FX25" s="2931"/>
      <c r="FY25" s="2931"/>
      <c r="FZ25" s="2931"/>
      <c r="GA25" s="2931"/>
      <c r="GB25" s="2931"/>
      <c r="GC25" s="2931"/>
      <c r="GD25" s="2931"/>
      <c r="GE25" s="2931"/>
      <c r="GF25" s="2931"/>
      <c r="GG25" s="2931"/>
      <c r="GH25" s="2931"/>
      <c r="GI25" s="2931"/>
      <c r="GJ25" s="2931"/>
      <c r="GK25" s="2931"/>
      <c r="GL25" s="2931"/>
      <c r="GM25" s="2931"/>
      <c r="GN25" s="2931"/>
      <c r="GO25" s="2931"/>
      <c r="GP25" s="2931"/>
      <c r="GQ25" s="2931"/>
      <c r="GR25" s="2931"/>
      <c r="GS25" s="2931"/>
      <c r="GT25" s="2931"/>
      <c r="GU25" s="2931"/>
      <c r="GV25" s="2931"/>
      <c r="GW25" s="2931"/>
      <c r="GX25" s="2931"/>
      <c r="GY25" s="2931"/>
      <c r="GZ25" s="2931"/>
      <c r="HA25" s="2931"/>
      <c r="HB25" s="2931"/>
      <c r="HC25" s="2931"/>
      <c r="HD25" s="2931"/>
      <c r="HE25" s="2931"/>
      <c r="HF25" s="2931"/>
      <c r="HG25" s="2931"/>
      <c r="HH25" s="2931"/>
      <c r="HI25" s="2931"/>
      <c r="HJ25" s="2931"/>
      <c r="HK25" s="2931"/>
      <c r="HL25" s="2931"/>
      <c r="HM25" s="2931"/>
      <c r="HN25" s="2931"/>
      <c r="HO25" s="2931"/>
      <c r="HP25" s="2931"/>
      <c r="HQ25" s="2931"/>
      <c r="HR25" s="2931"/>
      <c r="HS25" s="2931"/>
      <c r="HT25" s="2931"/>
      <c r="HU25" s="2931"/>
      <c r="HV25" s="2931"/>
      <c r="HW25" s="2931"/>
      <c r="HX25" s="2931"/>
      <c r="HY25" s="2931"/>
      <c r="HZ25" s="2931"/>
      <c r="IA25" s="2931"/>
      <c r="IB25" s="2931"/>
      <c r="IC25" s="2931"/>
      <c r="ID25" s="2931"/>
      <c r="IE25" s="2931"/>
      <c r="IF25" s="2931"/>
      <c r="IG25" s="2931"/>
      <c r="IH25" s="2931"/>
      <c r="II25" s="2931"/>
      <c r="IJ25" s="2931"/>
      <c r="IK25" s="2931"/>
      <c r="IL25" s="2931"/>
      <c r="IM25" s="2931"/>
      <c r="IN25" s="2931"/>
      <c r="IO25" s="2931" cm="1">
        <f t="array" ref="IO25">IF(LEN($G25)=0,"Rent Roll is incomplete",_xlfn.XLOOKUP(TRUE,EXACT(RentRoll_InputArea_DesignatedUnitType,$G25),RentRoll_InputArea_Beds,"Not Found"))</f>
        <v>2</v>
      </c>
      <c r="IP25" s="2934"/>
      <c r="IQ25" s="2935" t="str">
        <f t="shared" si="20"/>
        <v>2 Bedroom Unit</v>
      </c>
      <c r="IR25" s="2926">
        <f t="shared" si="21"/>
        <v>1435</v>
      </c>
      <c r="IS25" s="2935"/>
      <c r="IT25" s="2931"/>
      <c r="IU25" s="2931"/>
      <c r="IV25" s="2931"/>
      <c r="IW25" s="2936" t="str">
        <f t="shared" si="22"/>
        <v>1-101</v>
      </c>
      <c r="IX25" s="2936"/>
      <c r="IY25" s="2936"/>
      <c r="IZ25" s="2936">
        <f t="shared" si="23"/>
        <v>2</v>
      </c>
      <c r="JA25" s="2936">
        <f t="shared" si="24"/>
        <v>1435</v>
      </c>
      <c r="JB25" s="2936"/>
      <c r="JC25" s="2936"/>
      <c r="JD25" s="2936"/>
      <c r="JE25" s="2936"/>
      <c r="JF25" s="2936"/>
      <c r="JG25" s="2936"/>
      <c r="JH25" s="2936">
        <f t="shared" si="25"/>
        <v>1410</v>
      </c>
      <c r="JI25" s="2936"/>
      <c r="JJ25" s="2936">
        <f t="shared" si="26"/>
      </c>
      <c r="JK25" s="2936"/>
      <c r="JL25" s="2936"/>
      <c r="JM25" s="2936"/>
      <c r="JN25" s="2936"/>
      <c r="JO25" s="2936"/>
      <c r="JP25" s="2936"/>
      <c r="JQ25" s="2936" t="str">
        <f t="shared" si="27"/>
        <v>Occupied</v>
      </c>
      <c r="JR25" s="2936" cm="1">
        <f t="array" ref="JR25">_xlfn.XLOOKUP(TRUE,EXACT(RentRoll_InputArea_DesignatedUnitType,$G25),RentRoll_InputArea_SquareFootage,"Not Found")</f>
        <v>851</v>
      </c>
      <c r="JS25" s="2936" t="str">
        <f t="shared" si="28"/>
        <v>Apartment</v>
      </c>
      <c r="JT25" s="2936">
        <f t="shared" si="29"/>
      </c>
      <c r="JU25" s="2936"/>
      <c r="JV25" s="2936"/>
      <c r="JW25" s="2936"/>
      <c r="JX25" s="2936"/>
      <c r="JY25" s="2936">
        <f t="shared" si="9"/>
        <v>43309</v>
      </c>
      <c r="JZ25" s="2936">
        <f t="shared" si="9"/>
        <v>43585</v>
      </c>
      <c r="KA25" s="2936"/>
      <c r="KB25" s="2936"/>
      <c r="KC25" s="2936"/>
      <c r="KD25" s="2936"/>
      <c r="KE25" s="2936"/>
      <c r="KF25" s="2936"/>
      <c r="KG25" s="2936"/>
      <c r="KH25" s="2936"/>
      <c r="KI25" s="2937"/>
      <c r="KJ25" s="2936"/>
      <c r="KK25" s="1353"/>
    </row>
    <row r="26" ht="15" customHeight="1">
      <c r="A26" s="2922">
        <f t="shared" si="10"/>
        <v>3</v>
      </c>
      <c r="B26" s="2865"/>
      <c r="C26" s="2873"/>
      <c r="D26" s="2873" t="s">
        <v>2747</v>
      </c>
      <c r="E26" s="2923">
        <v>1413</v>
      </c>
      <c r="F26" s="2924" t="s">
        <v>2748</v>
      </c>
      <c r="G26" s="2873" t="s">
        <v>2531</v>
      </c>
      <c r="H26" s="2923">
        <v>1283</v>
      </c>
      <c r="I26" s="2925" cm="1">
        <f t="array" ref="I26">_xlfn.LET(_xlpm.has_subsidy,$N26&gt;0,_xlpm.is_chap9_sbl,$FF$20,_xlpm.contract_rent,$H26,_xlpm.unit_type_mkt_rent,_xlfn.XLOOKUP(TRUE,EXACT($G26,RentRoll_InputArea_DesignatedUnitType),RentRoll_InputArea_MarketRent,"Not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6" s="2926">
        <f t="shared" si="11"/>
        <v>1283</v>
      </c>
      <c r="K26" s="2923"/>
      <c r="L26" s="2923"/>
      <c r="M26" s="2923"/>
      <c r="N26" s="2923"/>
      <c r="O26" s="2927">
        <v>43466</v>
      </c>
      <c r="P26" s="2927">
        <v>43738</v>
      </c>
      <c r="Q26" s="2928">
        <f t="shared" si="8"/>
      </c>
      <c r="R26" s="2928">
        <f t="shared" si="8"/>
      </c>
      <c r="S26" s="2928">
        <f t="shared" si="8"/>
        <v>1283</v>
      </c>
      <c r="T26" s="2928">
        <f t="shared" si="8"/>
      </c>
      <c r="U26" s="2928">
        <f t="shared" si="8"/>
      </c>
      <c r="V26" s="2928">
        <f t="shared" si="8"/>
      </c>
      <c r="W26" s="2928">
        <f t="shared" si="8"/>
      </c>
      <c r="X26" s="2928">
        <f t="shared" si="8"/>
      </c>
      <c r="Y26" s="2928">
        <f t="shared" si="8"/>
      </c>
      <c r="Z26" s="2928">
        <f t="shared" si="8"/>
      </c>
      <c r="AA26" s="2928">
        <f t="shared" si="8"/>
      </c>
      <c r="AB26" s="2928">
        <f t="shared" si="8"/>
      </c>
      <c r="AC26" s="2928">
        <f t="shared" si="8"/>
      </c>
      <c r="AD26" s="2928">
        <f t="shared" si="8"/>
      </c>
      <c r="AE26" s="2928">
        <f t="shared" si="8"/>
      </c>
      <c r="AF26" s="2928">
        <f t="shared" si="8"/>
      </c>
      <c r="AG26" s="2928">
        <f t="shared" si="8"/>
      </c>
      <c r="AH26" s="2928">
        <f t="shared" si="8"/>
      </c>
      <c r="AI26" s="2928">
        <f t="shared" si="8"/>
      </c>
      <c r="AJ26" s="2928">
        <f t="shared" si="8"/>
      </c>
      <c r="AK26" s="2928">
        <f t="shared" si="8"/>
      </c>
      <c r="AL26" s="2928">
        <f t="shared" si="8"/>
      </c>
      <c r="AM26" s="2928">
        <f t="shared" si="8"/>
      </c>
      <c r="AN26" s="2928">
        <f t="shared" si="8"/>
      </c>
      <c r="AO26" s="2928">
        <f t="shared" si="8"/>
      </c>
      <c r="AP26" s="2928">
        <f t="shared" si="8"/>
      </c>
      <c r="AQ26" s="2928">
        <f t="shared" si="8"/>
      </c>
      <c r="AR26" s="2928">
        <f t="shared" si="8"/>
      </c>
      <c r="AS26" s="2928">
        <f t="shared" si="8"/>
      </c>
      <c r="AT26" s="2928">
        <f t="shared" si="8"/>
      </c>
      <c r="AU26" s="2928">
        <f t="shared" si="8"/>
      </c>
      <c r="AV26" s="2928">
        <f t="shared" si="8"/>
      </c>
      <c r="AW26" s="2928">
        <f t="shared" si="8"/>
      </c>
      <c r="AX26" s="2928">
        <f t="shared" si="8"/>
      </c>
      <c r="AY26" s="2928">
        <f t="shared" si="8"/>
      </c>
      <c r="AZ26" s="2928">
        <f t="shared" si="8"/>
      </c>
      <c r="BA26" s="2928">
        <f t="shared" si="8"/>
      </c>
      <c r="BB26" s="2928">
        <f t="shared" si="8"/>
      </c>
      <c r="BC26" s="2928">
        <f t="shared" si="8"/>
      </c>
      <c r="BD26" s="2928">
        <f t="shared" si="8"/>
      </c>
      <c r="BE26" s="2928">
        <f t="shared" si="8"/>
      </c>
      <c r="BF26" s="2928">
        <f t="shared" si="8"/>
      </c>
      <c r="BG26" s="2928">
        <f t="shared" si="8"/>
      </c>
      <c r="BH26" s="2928">
        <f t="shared" si="8"/>
      </c>
      <c r="BI26" s="2928">
        <f t="shared" si="8"/>
      </c>
      <c r="BJ26" s="2928">
        <f t="shared" si="8"/>
      </c>
      <c r="BK26" s="2928">
        <f t="shared" si="8"/>
      </c>
      <c r="BL26" s="2928">
        <f t="shared" si="8"/>
      </c>
      <c r="BM26" s="2928">
        <f t="shared" si="8"/>
      </c>
      <c r="BN26" s="2928">
        <f t="shared" si="8"/>
      </c>
      <c r="BO26" s="2928">
        <f t="shared" si="8"/>
      </c>
      <c r="BP26" s="2928">
        <f t="shared" si="8"/>
      </c>
      <c r="BQ26" s="2928">
        <f t="shared" si="8"/>
      </c>
      <c r="BR26" s="2928">
        <f t="shared" si="8"/>
      </c>
      <c r="BS26" s="2928">
        <f t="shared" si="8"/>
      </c>
      <c r="BT26" s="2928">
        <f t="shared" si="8"/>
      </c>
      <c r="BU26" s="2928">
        <f t="shared" si="8"/>
      </c>
      <c r="BV26" s="2928">
        <f t="shared" si="8"/>
      </c>
      <c r="BW26" s="2928">
        <f t="shared" si="8"/>
      </c>
      <c r="BX26" s="2928">
        <f t="shared" si="8"/>
      </c>
      <c r="BY26" s="2928">
        <f t="shared" si="8"/>
      </c>
      <c r="BZ26" s="2928">
        <f t="shared" si="8"/>
      </c>
      <c r="CA26" s="2928">
        <f t="shared" si="8"/>
      </c>
      <c r="CB26" s="2928">
        <f t="shared" si="8"/>
      </c>
      <c r="CC26" s="2928">
        <f t="shared" si="8"/>
      </c>
      <c r="CD26" s="2928">
        <f t="shared" si="8"/>
      </c>
      <c r="CE26" s="2928">
        <f t="shared" si="8"/>
      </c>
      <c r="CF26" s="2928">
        <f t="shared" si="8"/>
      </c>
      <c r="CG26" s="2928">
        <f t="shared" si="8"/>
      </c>
      <c r="CH26" s="2928">
        <f t="shared" si="8"/>
      </c>
      <c r="CI26" s="2928">
        <f t="shared" si="8"/>
      </c>
      <c r="CJ26" s="2928">
        <f t="shared" si="8"/>
      </c>
      <c r="CK26" s="2928">
        <f t="shared" si="8"/>
      </c>
      <c r="CL26" s="2928">
        <f t="shared" si="8"/>
      </c>
      <c r="CM26" s="2928">
        <f t="shared" si="8"/>
      </c>
      <c r="CN26" s="2928">
        <f t="shared" si="8"/>
      </c>
      <c r="CO26" s="2928">
        <f t="shared" si="8"/>
      </c>
      <c r="CP26" s="2928">
        <f t="shared" si="8"/>
      </c>
      <c r="CQ26" s="2928">
        <f t="shared" si="8"/>
      </c>
      <c r="CR26" s="2928">
        <f t="shared" si="8"/>
      </c>
      <c r="CS26" s="2928">
        <f t="shared" si="8"/>
      </c>
      <c r="CT26" s="2928">
        <f t="shared" si="8"/>
      </c>
      <c r="CU26" s="2928">
        <f t="shared" si="8"/>
      </c>
      <c r="CV26" s="2928">
        <f t="shared" si="8"/>
      </c>
      <c r="CW26" s="2928">
        <f t="shared" si="8"/>
      </c>
      <c r="CX26" s="2928">
        <f t="shared" si="8"/>
      </c>
      <c r="CY26" s="2928">
        <f t="shared" si="8"/>
      </c>
      <c r="CZ26" s="2928">
        <f t="shared" si="8"/>
      </c>
      <c r="DA26" s="2928">
        <f t="shared" si="8"/>
      </c>
      <c r="DB26" s="2928">
        <f t="shared" si="8"/>
      </c>
      <c r="DC26" s="2928">
        <f t="shared" si="8"/>
      </c>
      <c r="DD26" s="2928">
        <f t="shared" si="8"/>
      </c>
      <c r="DE26" s="2928">
        <f t="shared" si="8"/>
      </c>
      <c r="DF26" s="2928">
        <f t="shared" si="8"/>
      </c>
      <c r="DG26" s="2928">
        <f t="shared" si="8"/>
      </c>
      <c r="DH26" s="2928">
        <f t="shared" si="8"/>
      </c>
      <c r="DI26" s="2928">
        <f t="shared" si="8"/>
      </c>
      <c r="DJ26" s="2928">
        <f t="shared" si="8"/>
      </c>
      <c r="DK26" s="2928">
        <f t="shared" si="8"/>
      </c>
      <c r="DL26" s="2928">
        <f t="shared" si="8"/>
      </c>
      <c r="DM26" s="2928">
        <f t="shared" si="8"/>
      </c>
      <c r="DN26" s="2928">
        <f t="shared" si="8"/>
      </c>
      <c r="DO26" s="2928">
        <f t="shared" si="8"/>
      </c>
      <c r="DP26" s="2928">
        <f t="shared" si="8"/>
      </c>
      <c r="DQ26" s="2928">
        <f t="shared" si="8"/>
      </c>
      <c r="DR26" s="2928">
        <f t="shared" si="8"/>
      </c>
      <c r="DS26" s="2928">
        <f t="shared" si="8"/>
      </c>
      <c r="DT26" s="2928">
        <f t="shared" si="8"/>
      </c>
      <c r="DU26" s="2928">
        <f t="shared" si="8"/>
      </c>
      <c r="DV26" s="2928">
        <f t="shared" si="8"/>
      </c>
      <c r="DW26" s="2928">
        <f t="shared" si="8"/>
      </c>
      <c r="DX26" s="2928">
        <f t="shared" si="8"/>
      </c>
      <c r="DY26" s="2928">
        <f t="shared" si="8"/>
      </c>
      <c r="DZ26" s="2928">
        <f t="shared" si="8"/>
      </c>
      <c r="EA26" s="2928">
        <f t="shared" si="8"/>
      </c>
      <c r="EB26" s="2928">
        <f t="shared" si="8"/>
      </c>
      <c r="EC26" s="2928">
        <f t="shared" si="8"/>
      </c>
      <c r="ED26" s="2928">
        <f t="shared" si="8"/>
      </c>
      <c r="EE26" s="2928">
        <f t="shared" si="8"/>
      </c>
      <c r="EF26" s="2928">
        <f t="shared" si="8"/>
      </c>
      <c r="EG26" s="2928">
        <f t="shared" si="8"/>
      </c>
      <c r="EH26" s="2928">
        <f t="shared" si="8"/>
      </c>
      <c r="EI26" s="2928">
        <f t="shared" si="8"/>
      </c>
      <c r="EJ26" s="2928">
        <f t="shared" si="8"/>
      </c>
      <c r="EK26" s="2928">
        <f t="shared" si="8"/>
      </c>
      <c r="EL26" s="2928">
        <f t="shared" si="8"/>
      </c>
      <c r="EM26" s="2928">
        <f t="shared" si="8"/>
      </c>
      <c r="EN26" s="2928">
        <f t="shared" si="8"/>
      </c>
      <c r="EO26" s="2928">
        <f t="shared" si="8"/>
      </c>
      <c r="EP26" s="2928">
        <f t="shared" si="8"/>
      </c>
      <c r="EQ26" s="2928">
        <f t="shared" si="8"/>
      </c>
      <c r="ER26" s="2928">
        <f t="shared" si="8"/>
      </c>
      <c r="ES26" s="2928">
        <f t="shared" si="8"/>
      </c>
      <c r="ET26" s="2928">
        <f t="shared" si="8"/>
      </c>
      <c r="EU26" s="2928">
        <f t="shared" si="8"/>
      </c>
      <c r="EV26" s="2928">
        <f t="shared" si="8"/>
      </c>
      <c r="EW26" s="2928">
        <f t="shared" si="8"/>
      </c>
      <c r="EX26" s="2928">
        <f t="shared" si="8"/>
      </c>
      <c r="EY26" s="2928">
        <f t="shared" si="8"/>
      </c>
      <c r="EZ26" s="2928">
        <f t="shared" si="8"/>
      </c>
      <c r="FA26" s="2929" t="str">
        <f t="shared" si="12"/>
        <v>-</v>
      </c>
      <c r="FB26" s="2825">
        <f t="shared" si="13"/>
      </c>
      <c r="FC26" s="2930" cm="1">
        <f t="array" ref="FC26">_xlfn.LET(_xlpm.unit_type,$G26,_xlpm.market_rent_from_rent_roll,$E26,_xlpm.unit_type_list,RentRoll_InputArea_DesignatedUnitType,_xlpm.rent_by_unit_type,RentRoll_InputArea_MarketRent,_xlpm.use_rent_roll_market_rent,LEFT(RR_VacantUnitMktRentSource,9)="Rent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6" s="2930">
        <f t="shared" si="14"/>
        <v>1283</v>
      </c>
      <c r="FE26" s="2930">
        <f t="shared" si="15"/>
        <v>1283</v>
      </c>
      <c r="FF26" s="2930">
        <f t="shared" si="16"/>
        <v>1283</v>
      </c>
      <c r="FG26" s="2931"/>
      <c r="FH26" s="2932">
        <f t="shared" si="17"/>
      </c>
      <c r="FI26" s="2932">
        <f t="shared" si="18"/>
      </c>
      <c r="FJ26" s="2931"/>
      <c r="FK26" s="2933" cm="1">
        <f t="array" ref="FK26">IF(AND(LEN($D26)&gt;0,ISNA(MATCH(TRUE,EXACT($G26,RentRoll_InputArea_DesignatedUnitType),0))),1,0)</f>
        <v>0</v>
      </c>
      <c r="FL26" s="2931">
        <f t="shared" si="19"/>
        <v>3</v>
      </c>
      <c r="FM26" s="2931"/>
      <c r="FN26" s="2931"/>
      <c r="FO26" s="2931"/>
      <c r="FP26" s="2931"/>
      <c r="FQ26" s="2931"/>
      <c r="FR26" s="2931"/>
      <c r="FS26" s="2931"/>
      <c r="FT26" s="2931"/>
      <c r="FU26" s="2931"/>
      <c r="FV26" s="2931"/>
      <c r="FW26" s="2931"/>
      <c r="FX26" s="2931"/>
      <c r="FY26" s="2931"/>
      <c r="FZ26" s="2931"/>
      <c r="GA26" s="2931"/>
      <c r="GB26" s="2931"/>
      <c r="GC26" s="2931"/>
      <c r="GD26" s="2931"/>
      <c r="GE26" s="2931"/>
      <c r="GF26" s="2931"/>
      <c r="GG26" s="2931"/>
      <c r="GH26" s="2931"/>
      <c r="GI26" s="2931"/>
      <c r="GJ26" s="2931"/>
      <c r="GK26" s="2931"/>
      <c r="GL26" s="2931"/>
      <c r="GM26" s="2931"/>
      <c r="GN26" s="2931"/>
      <c r="GO26" s="2931"/>
      <c r="GP26" s="2931"/>
      <c r="GQ26" s="2931"/>
      <c r="GR26" s="2931"/>
      <c r="GS26" s="2931"/>
      <c r="GT26" s="2931"/>
      <c r="GU26" s="2931"/>
      <c r="GV26" s="2931"/>
      <c r="GW26" s="2931"/>
      <c r="GX26" s="2931"/>
      <c r="GY26" s="2931"/>
      <c r="GZ26" s="2931"/>
      <c r="HA26" s="2931"/>
      <c r="HB26" s="2931"/>
      <c r="HC26" s="2931"/>
      <c r="HD26" s="2931"/>
      <c r="HE26" s="2931"/>
      <c r="HF26" s="2931"/>
      <c r="HG26" s="2931"/>
      <c r="HH26" s="2931"/>
      <c r="HI26" s="2931"/>
      <c r="HJ26" s="2931"/>
      <c r="HK26" s="2931"/>
      <c r="HL26" s="2931"/>
      <c r="HM26" s="2931"/>
      <c r="HN26" s="2931"/>
      <c r="HO26" s="2931"/>
      <c r="HP26" s="2931"/>
      <c r="HQ26" s="2931"/>
      <c r="HR26" s="2931"/>
      <c r="HS26" s="2931"/>
      <c r="HT26" s="2931"/>
      <c r="HU26" s="2931"/>
      <c r="HV26" s="2931"/>
      <c r="HW26" s="2931"/>
      <c r="HX26" s="2931"/>
      <c r="HY26" s="2931"/>
      <c r="HZ26" s="2931"/>
      <c r="IA26" s="2931"/>
      <c r="IB26" s="2931"/>
      <c r="IC26" s="2931"/>
      <c r="ID26" s="2931"/>
      <c r="IE26" s="2931"/>
      <c r="IF26" s="2931"/>
      <c r="IG26" s="2931"/>
      <c r="IH26" s="2931"/>
      <c r="II26" s="2931"/>
      <c r="IJ26" s="2931"/>
      <c r="IK26" s="2931"/>
      <c r="IL26" s="2931"/>
      <c r="IM26" s="2931"/>
      <c r="IN26" s="2931"/>
      <c r="IO26" s="2931" cm="1">
        <f t="array" ref="IO26">IF(LEN($G26)=0,"Rent Roll is incomplete",_xlfn.XLOOKUP(TRUE,EXACT(RentRoll_InputArea_DesignatedUnitType,$G26),RentRoll_InputArea_Beds,"Not Found"))</f>
        <v>2</v>
      </c>
      <c r="IP26" s="2934"/>
      <c r="IQ26" s="2935" t="str">
        <f t="shared" si="20"/>
        <v>2 Bedroom Unit</v>
      </c>
      <c r="IR26" s="2926">
        <f t="shared" si="21"/>
        <v>1283</v>
      </c>
      <c r="IS26" s="2935"/>
      <c r="IT26" s="2931"/>
      <c r="IU26" s="2931"/>
      <c r="IV26" s="2931"/>
      <c r="IW26" s="2936" t="str">
        <f t="shared" si="22"/>
        <v>1-102</v>
      </c>
      <c r="IX26" s="2936"/>
      <c r="IY26" s="2936"/>
      <c r="IZ26" s="2936">
        <f t="shared" si="23"/>
        <v>2</v>
      </c>
      <c r="JA26" s="2936">
        <f t="shared" si="24"/>
        <v>1283</v>
      </c>
      <c r="JB26" s="2936"/>
      <c r="JC26" s="2936"/>
      <c r="JD26" s="2936"/>
      <c r="JE26" s="2936"/>
      <c r="JF26" s="2936"/>
      <c r="JG26" s="2936"/>
      <c r="JH26" s="2936">
        <f t="shared" si="25"/>
        <v>1410</v>
      </c>
      <c r="JI26" s="2936"/>
      <c r="JJ26" s="2936">
        <f t="shared" si="26"/>
      </c>
      <c r="JK26" s="2936"/>
      <c r="JL26" s="2936"/>
      <c r="JM26" s="2936"/>
      <c r="JN26" s="2936"/>
      <c r="JO26" s="2936"/>
      <c r="JP26" s="2936"/>
      <c r="JQ26" s="2936" t="str">
        <f t="shared" si="27"/>
        <v>Occupied</v>
      </c>
      <c r="JR26" s="2936" cm="1">
        <f t="array" ref="JR26">_xlfn.XLOOKUP(TRUE,EXACT(RentRoll_InputArea_DesignatedUnitType,$G26),RentRoll_InputArea_SquareFootage,"Not Found")</f>
        <v>851</v>
      </c>
      <c r="JS26" s="2936" t="str">
        <f t="shared" si="28"/>
        <v>Apartment</v>
      </c>
      <c r="JT26" s="2936">
        <f t="shared" si="29"/>
      </c>
      <c r="JU26" s="2936"/>
      <c r="JV26" s="2936"/>
      <c r="JW26" s="2936"/>
      <c r="JX26" s="2936"/>
      <c r="JY26" s="2936">
        <f t="shared" si="9"/>
        <v>43466</v>
      </c>
      <c r="JZ26" s="2936">
        <f t="shared" si="9"/>
        <v>43738</v>
      </c>
      <c r="KA26" s="2936"/>
      <c r="KB26" s="2936"/>
      <c r="KC26" s="2936"/>
      <c r="KD26" s="2936"/>
      <c r="KE26" s="2936"/>
      <c r="KF26" s="2936"/>
      <c r="KG26" s="2936"/>
      <c r="KH26" s="2936"/>
      <c r="KI26" s="2937"/>
      <c r="KJ26" s="2936"/>
      <c r="KK26" s="1353"/>
    </row>
    <row r="27" ht="15" customHeight="1">
      <c r="A27" s="2922">
        <f t="shared" si="10"/>
        <v>4</v>
      </c>
      <c r="B27" s="2865"/>
      <c r="C27" s="2873"/>
      <c r="D27" s="2873" t="s">
        <v>2749</v>
      </c>
      <c r="E27" s="2923">
        <v>1414</v>
      </c>
      <c r="F27" s="2924" t="s">
        <v>2750</v>
      </c>
      <c r="G27" s="2873" t="s">
        <v>2531</v>
      </c>
      <c r="H27" s="2923">
        <v>1236</v>
      </c>
      <c r="I27" s="2925" cm="1">
        <f t="array" ref="I27">_xlfn.LET(_xlpm.has_subsidy,$N27&gt;0,_xlpm.is_chap9_sbl,$FF$20,_xlpm.contract_rent,$H27,_xlpm.unit_type_mkt_rent,_xlfn.XLOOKUP(TRUE,EXACT($G27,RentRoll_InputArea_DesignatedUnitType),RentRoll_InputArea_MarketRent,"Not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7" s="2926">
        <f t="shared" si="11"/>
        <v>1236</v>
      </c>
      <c r="K27" s="2923"/>
      <c r="L27" s="2923"/>
      <c r="M27" s="2923"/>
      <c r="N27" s="2923"/>
      <c r="O27" s="2927">
        <v>42906</v>
      </c>
      <c r="P27" s="2927">
        <v>43270</v>
      </c>
      <c r="Q27" s="2928">
        <f t="shared" si="8"/>
      </c>
      <c r="R27" s="2928">
        <f t="shared" si="8"/>
      </c>
      <c r="S27" s="2928">
        <f t="shared" si="8"/>
        <v>1236</v>
      </c>
      <c r="T27" s="2928">
        <f t="shared" si="8"/>
      </c>
      <c r="U27" s="2928">
        <f t="shared" si="8"/>
      </c>
      <c r="V27" s="2928">
        <f t="shared" si="8"/>
      </c>
      <c r="W27" s="2928">
        <f t="shared" si="8"/>
      </c>
      <c r="X27" s="2928">
        <f t="shared" si="8"/>
      </c>
      <c r="Y27" s="2928">
        <f t="shared" si="8"/>
      </c>
      <c r="Z27" s="2928">
        <f t="shared" si="8"/>
      </c>
      <c r="AA27" s="2928">
        <f t="shared" si="8"/>
      </c>
      <c r="AB27" s="2928">
        <f t="shared" si="8"/>
      </c>
      <c r="AC27" s="2928">
        <f t="shared" si="8"/>
      </c>
      <c r="AD27" s="2928">
        <f t="shared" si="8"/>
      </c>
      <c r="AE27" s="2928">
        <f t="shared" si="8"/>
      </c>
      <c r="AF27" s="2928">
        <f t="shared" si="8"/>
      </c>
      <c r="AG27" s="2928">
        <f t="shared" si="8"/>
      </c>
      <c r="AH27" s="2928">
        <f t="shared" si="8"/>
      </c>
      <c r="AI27" s="2928">
        <f t="shared" si="8"/>
      </c>
      <c r="AJ27" s="2928">
        <f t="shared" si="8"/>
      </c>
      <c r="AK27" s="2928">
        <f t="shared" si="8"/>
      </c>
      <c r="AL27" s="2928">
        <f t="shared" si="8"/>
      </c>
      <c r="AM27" s="2928">
        <f t="shared" si="8"/>
      </c>
      <c r="AN27" s="2928">
        <f t="shared" si="8"/>
      </c>
      <c r="AO27" s="2928">
        <f t="shared" si="8"/>
      </c>
      <c r="AP27" s="2928">
        <f t="shared" si="8"/>
      </c>
      <c r="AQ27" s="2928">
        <f t="shared" si="8"/>
      </c>
      <c r="AR27" s="2928">
        <f t="shared" si="8"/>
      </c>
      <c r="AS27" s="2928">
        <f t="shared" si="8"/>
      </c>
      <c r="AT27" s="2928">
        <f t="shared" si="8"/>
      </c>
      <c r="AU27" s="2928">
        <f t="shared" si="8"/>
      </c>
      <c r="AV27" s="2928">
        <f t="shared" si="8"/>
      </c>
      <c r="AW27" s="2928">
        <f t="shared" si="8"/>
      </c>
      <c r="AX27" s="2928">
        <f t="shared" si="8"/>
      </c>
      <c r="AY27" s="2928">
        <f t="shared" si="8"/>
      </c>
      <c r="AZ27" s="2928">
        <f t="shared" si="8"/>
      </c>
      <c r="BA27" s="2928">
        <f t="shared" si="8"/>
      </c>
      <c r="BB27" s="2928">
        <f t="shared" si="8"/>
      </c>
      <c r="BC27" s="2928">
        <f t="shared" si="8"/>
      </c>
      <c r="BD27" s="2928">
        <f t="shared" si="8"/>
      </c>
      <c r="BE27" s="2928">
        <f t="shared" si="8"/>
      </c>
      <c r="BF27" s="2928">
        <f t="shared" si="8"/>
      </c>
      <c r="BG27" s="2928">
        <f t="shared" si="8"/>
      </c>
      <c r="BH27" s="2928">
        <f t="shared" si="8"/>
      </c>
      <c r="BI27" s="2928">
        <f t="shared" si="8"/>
      </c>
      <c r="BJ27" s="2928">
        <f t="shared" si="8"/>
      </c>
      <c r="BK27" s="2928">
        <f t="shared" si="8"/>
      </c>
      <c r="BL27" s="2928">
        <f t="shared" si="8"/>
      </c>
      <c r="BM27" s="2928">
        <f t="shared" si="8"/>
      </c>
      <c r="BN27" s="2928">
        <f t="shared" si="8"/>
      </c>
      <c r="BO27" s="2928">
        <f t="shared" si="8"/>
      </c>
      <c r="BP27" s="2928">
        <f t="shared" si="8"/>
      </c>
      <c r="BQ27" s="2928">
        <f t="shared" si="8"/>
      </c>
      <c r="BR27" s="2928">
        <f t="shared" si="8"/>
      </c>
      <c r="BS27" s="2928">
        <f t="shared" si="8"/>
      </c>
      <c r="BT27" s="2928">
        <f t="shared" si="8"/>
      </c>
      <c r="BU27" s="2928">
        <f t="shared" si="8"/>
      </c>
      <c r="BV27" s="2928">
        <f t="shared" si="8"/>
      </c>
      <c r="BW27" s="2928">
        <f t="shared" si="8"/>
      </c>
      <c r="BX27" s="2928">
        <f t="shared" si="8"/>
      </c>
      <c r="BY27" s="2928">
        <f t="shared" si="8"/>
      </c>
      <c r="BZ27" s="2928">
        <f t="shared" si="8"/>
      </c>
      <c r="CA27" s="2928">
        <f t="shared" si="8"/>
      </c>
      <c r="CB27" s="2928">
        <f t="shared" si="8"/>
      </c>
      <c r="CC27" s="2928">
        <f t="shared" si="8"/>
      </c>
      <c r="CD27" s="2928">
        <f t="shared" si="8"/>
      </c>
      <c r="CE27" s="2928">
        <f t="shared" si="8"/>
      </c>
      <c r="CF27" s="2928">
        <f t="shared" si="8"/>
      </c>
      <c r="CG27" s="2928">
        <f t="shared" si="8"/>
      </c>
      <c r="CH27" s="2928">
        <f t="shared" si="8"/>
      </c>
      <c r="CI27" s="2928">
        <f t="shared" si="8"/>
      </c>
      <c r="CJ27" s="2928">
        <f t="shared" si="8"/>
      </c>
      <c r="CK27" s="2928">
        <f t="shared" si="8"/>
      </c>
      <c r="CL27" s="2928">
        <f t="shared" si="8"/>
      </c>
      <c r="CM27" s="2928">
        <f t="shared" si="8"/>
      </c>
      <c r="CN27" s="2928">
        <f t="shared" si="8"/>
      </c>
      <c r="CO27" s="2928">
        <f t="shared" si="8"/>
      </c>
      <c r="CP27" s="2928">
        <f t="shared" si="8"/>
      </c>
      <c r="CQ27" s="2928">
        <f t="shared" si="8"/>
      </c>
      <c r="CR27" s="2928">
        <f t="shared" si="8"/>
      </c>
      <c r="CS27" s="2928">
        <f t="shared" si="8"/>
      </c>
      <c r="CT27" s="2928">
        <f t="shared" si="8"/>
      </c>
      <c r="CU27" s="2928">
        <f t="shared" si="8"/>
      </c>
      <c r="CV27" s="2928">
        <f t="shared" si="8"/>
      </c>
      <c r="CW27" s="2928">
        <f t="shared" si="8"/>
      </c>
      <c r="CX27" s="2928">
        <f t="shared" si="8"/>
      </c>
      <c r="CY27" s="2928">
        <f t="shared" si="8"/>
      </c>
      <c r="CZ27" s="2928">
        <f t="shared" si="8"/>
      </c>
      <c r="DA27" s="2928">
        <f t="shared" si="8"/>
      </c>
      <c r="DB27" s="2928">
        <f t="shared" si="8"/>
      </c>
      <c r="DC27" s="2928">
        <f t="shared" si="8"/>
      </c>
      <c r="DD27" s="2928">
        <f t="shared" si="8"/>
      </c>
      <c r="DE27" s="2928">
        <f t="shared" si="8"/>
      </c>
      <c r="DF27" s="2928">
        <f t="shared" si="8"/>
      </c>
      <c r="DG27" s="2928">
        <f t="shared" si="8"/>
      </c>
      <c r="DH27" s="2928">
        <f t="shared" si="8"/>
      </c>
      <c r="DI27" s="2928">
        <f t="shared" si="8"/>
      </c>
      <c r="DJ27" s="2928">
        <f t="shared" si="8"/>
      </c>
      <c r="DK27" s="2928">
        <f t="shared" si="8"/>
      </c>
      <c r="DL27" s="2928">
        <f t="shared" si="8"/>
      </c>
      <c r="DM27" s="2928">
        <f t="shared" si="8"/>
      </c>
      <c r="DN27" s="2928">
        <f t="shared" si="8"/>
      </c>
      <c r="DO27" s="2928">
        <f t="shared" si="8"/>
      </c>
      <c r="DP27" s="2928">
        <f t="shared" si="8"/>
      </c>
      <c r="DQ27" s="2928">
        <f t="shared" si="8"/>
      </c>
      <c r="DR27" s="2928">
        <f t="shared" si="8"/>
      </c>
      <c r="DS27" s="2928">
        <f t="shared" si="8"/>
      </c>
      <c r="DT27" s="2928">
        <f t="shared" si="8"/>
      </c>
      <c r="DU27" s="2928">
        <f t="shared" si="8"/>
      </c>
      <c r="DV27" s="2928">
        <f t="shared" si="8"/>
      </c>
      <c r="DW27" s="2928">
        <f t="shared" si="8"/>
      </c>
      <c r="DX27" s="2928">
        <f t="shared" si="8"/>
      </c>
      <c r="DY27" s="2928">
        <f t="shared" si="8"/>
      </c>
      <c r="DZ27" s="2928">
        <f t="shared" si="8"/>
      </c>
      <c r="EA27" s="2928">
        <f t="shared" si="8"/>
      </c>
      <c r="EB27" s="2928">
        <f t="shared" si="8"/>
      </c>
      <c r="EC27" s="2928">
        <f t="shared" si="8"/>
      </c>
      <c r="ED27" s="2928">
        <f t="shared" si="8"/>
      </c>
      <c r="EE27" s="2928">
        <f t="shared" si="8"/>
      </c>
      <c r="EF27" s="2928">
        <f t="shared" si="8"/>
      </c>
      <c r="EG27" s="2928">
        <f t="shared" si="8"/>
      </c>
      <c r="EH27" s="2928">
        <f t="shared" si="8"/>
      </c>
      <c r="EI27" s="2928">
        <f t="shared" si="8"/>
      </c>
      <c r="EJ27" s="2928">
        <f t="shared" si="8"/>
      </c>
      <c r="EK27" s="2928">
        <f t="shared" si="8"/>
      </c>
      <c r="EL27" s="2928">
        <f t="shared" si="8"/>
      </c>
      <c r="EM27" s="2928">
        <f t="shared" si="8"/>
      </c>
      <c r="EN27" s="2928">
        <f t="shared" si="8"/>
      </c>
      <c r="EO27" s="2928">
        <f t="shared" si="8"/>
      </c>
      <c r="EP27" s="2928">
        <f t="shared" si="8"/>
      </c>
      <c r="EQ27" s="2928">
        <f t="shared" si="8"/>
      </c>
      <c r="ER27" s="2928">
        <f t="shared" si="8"/>
      </c>
      <c r="ES27" s="2928">
        <f t="shared" si="8"/>
      </c>
      <c r="ET27" s="2928">
        <f t="shared" si="8"/>
      </c>
      <c r="EU27" s="2928">
        <f t="shared" si="8"/>
      </c>
      <c r="EV27" s="2928">
        <f t="shared" si="8"/>
      </c>
      <c r="EW27" s="2928">
        <f t="shared" si="8"/>
      </c>
      <c r="EX27" s="2928">
        <f t="shared" si="8"/>
      </c>
      <c r="EY27" s="2928">
        <f t="shared" si="8"/>
      </c>
      <c r="EZ27" s="2928">
        <f t="shared" si="8"/>
      </c>
      <c r="FA27" s="2929" t="str">
        <f t="shared" si="12"/>
        <v>-</v>
      </c>
      <c r="FB27" s="2825">
        <f t="shared" si="13"/>
      </c>
      <c r="FC27" s="2930" cm="1">
        <f t="array" ref="FC27">_xlfn.LET(_xlpm.unit_type,$G27,_xlpm.market_rent_from_rent_roll,$E27,_xlpm.unit_type_list,RentRoll_InputArea_DesignatedUnitType,_xlpm.rent_by_unit_type,RentRoll_InputArea_MarketRent,_xlpm.use_rent_roll_market_rent,LEFT(RR_VacantUnitMktRentSource,9)="Rent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7" s="2930">
        <f t="shared" si="14"/>
        <v>1236</v>
      </c>
      <c r="FE27" s="2930">
        <f t="shared" si="15"/>
        <v>1236</v>
      </c>
      <c r="FF27" s="2930">
        <f t="shared" si="16"/>
        <v>1236</v>
      </c>
      <c r="FG27" s="2931"/>
      <c r="FH27" s="2932">
        <f t="shared" si="17"/>
      </c>
      <c r="FI27" s="2932">
        <f t="shared" si="18"/>
      </c>
      <c r="FJ27" s="2931"/>
      <c r="FK27" s="2933" cm="1">
        <f t="array" ref="FK27">IF(AND(LEN($D27)&gt;0,ISNA(MATCH(TRUE,EXACT($G27,RentRoll_InputArea_DesignatedUnitType),0))),1,0)</f>
        <v>0</v>
      </c>
      <c r="FL27" s="2931">
        <f t="shared" si="19"/>
        <v>4</v>
      </c>
      <c r="FM27" s="2931"/>
      <c r="FN27" s="2931"/>
      <c r="FO27" s="2931"/>
      <c r="FP27" s="2931"/>
      <c r="FQ27" s="2931"/>
      <c r="FR27" s="2931"/>
      <c r="FS27" s="2931"/>
      <c r="FT27" s="2931"/>
      <c r="FU27" s="2931"/>
      <c r="FV27" s="2931"/>
      <c r="FW27" s="2931"/>
      <c r="FX27" s="2931"/>
      <c r="FY27" s="2931"/>
      <c r="FZ27" s="2931"/>
      <c r="GA27" s="2931"/>
      <c r="GB27" s="2931"/>
      <c r="GC27" s="2931"/>
      <c r="GD27" s="2931"/>
      <c r="GE27" s="2931"/>
      <c r="GF27" s="2931"/>
      <c r="GG27" s="2931"/>
      <c r="GH27" s="2931"/>
      <c r="GI27" s="2931"/>
      <c r="GJ27" s="2931"/>
      <c r="GK27" s="2931"/>
      <c r="GL27" s="2931"/>
      <c r="GM27" s="2931"/>
      <c r="GN27" s="2931"/>
      <c r="GO27" s="2931"/>
      <c r="GP27" s="2931"/>
      <c r="GQ27" s="2931"/>
      <c r="GR27" s="2931"/>
      <c r="GS27" s="2931"/>
      <c r="GT27" s="2931"/>
      <c r="GU27" s="2931"/>
      <c r="GV27" s="2931"/>
      <c r="GW27" s="2931"/>
      <c r="GX27" s="2931"/>
      <c r="GY27" s="2931"/>
      <c r="GZ27" s="2931"/>
      <c r="HA27" s="2931"/>
      <c r="HB27" s="2931"/>
      <c r="HC27" s="2931"/>
      <c r="HD27" s="2931"/>
      <c r="HE27" s="2931"/>
      <c r="HF27" s="2931"/>
      <c r="HG27" s="2931"/>
      <c r="HH27" s="2931"/>
      <c r="HI27" s="2931"/>
      <c r="HJ27" s="2931"/>
      <c r="HK27" s="2931"/>
      <c r="HL27" s="2931"/>
      <c r="HM27" s="2931"/>
      <c r="HN27" s="2931"/>
      <c r="HO27" s="2931"/>
      <c r="HP27" s="2931"/>
      <c r="HQ27" s="2931"/>
      <c r="HR27" s="2931"/>
      <c r="HS27" s="2931"/>
      <c r="HT27" s="2931"/>
      <c r="HU27" s="2931"/>
      <c r="HV27" s="2931"/>
      <c r="HW27" s="2931"/>
      <c r="HX27" s="2931"/>
      <c r="HY27" s="2931"/>
      <c r="HZ27" s="2931"/>
      <c r="IA27" s="2931"/>
      <c r="IB27" s="2931"/>
      <c r="IC27" s="2931"/>
      <c r="ID27" s="2931"/>
      <c r="IE27" s="2931"/>
      <c r="IF27" s="2931"/>
      <c r="IG27" s="2931"/>
      <c r="IH27" s="2931"/>
      <c r="II27" s="2931"/>
      <c r="IJ27" s="2931"/>
      <c r="IK27" s="2931"/>
      <c r="IL27" s="2931"/>
      <c r="IM27" s="2931"/>
      <c r="IN27" s="2931"/>
      <c r="IO27" s="2931" cm="1">
        <f t="array" ref="IO27">IF(LEN($G27)=0,"Rent Roll is incomplete",_xlfn.XLOOKUP(TRUE,EXACT(RentRoll_InputArea_DesignatedUnitType,$G27),RentRoll_InputArea_Beds,"Not Found"))</f>
        <v>2</v>
      </c>
      <c r="IP27" s="2934"/>
      <c r="IQ27" s="2935" t="str">
        <f t="shared" si="20"/>
        <v>2 Bedroom Unit</v>
      </c>
      <c r="IR27" s="2926">
        <f t="shared" si="21"/>
        <v>1236</v>
      </c>
      <c r="IS27" s="2935"/>
      <c r="IT27" s="2931"/>
      <c r="IU27" s="2931"/>
      <c r="IV27" s="2931"/>
      <c r="IW27" s="2936" t="str">
        <f t="shared" si="22"/>
        <v>1-103</v>
      </c>
      <c r="IX27" s="2936"/>
      <c r="IY27" s="2936"/>
      <c r="IZ27" s="2936">
        <f t="shared" si="23"/>
        <v>2</v>
      </c>
      <c r="JA27" s="2936">
        <f t="shared" si="24"/>
        <v>1236</v>
      </c>
      <c r="JB27" s="2936"/>
      <c r="JC27" s="2936"/>
      <c r="JD27" s="2936"/>
      <c r="JE27" s="2936"/>
      <c r="JF27" s="2936"/>
      <c r="JG27" s="2936"/>
      <c r="JH27" s="2936">
        <f t="shared" si="25"/>
        <v>1410</v>
      </c>
      <c r="JI27" s="2936"/>
      <c r="JJ27" s="2936">
        <f t="shared" si="26"/>
      </c>
      <c r="JK27" s="2936"/>
      <c r="JL27" s="2936"/>
      <c r="JM27" s="2936"/>
      <c r="JN27" s="2936"/>
      <c r="JO27" s="2936"/>
      <c r="JP27" s="2936"/>
      <c r="JQ27" s="2936" t="str">
        <f t="shared" si="27"/>
        <v>Occupied</v>
      </c>
      <c r="JR27" s="2936" cm="1">
        <f t="array" ref="JR27">_xlfn.XLOOKUP(TRUE,EXACT(RentRoll_InputArea_DesignatedUnitType,$G27),RentRoll_InputArea_SquareFootage,"Not Found")</f>
        <v>851</v>
      </c>
      <c r="JS27" s="2936" t="str">
        <f t="shared" si="28"/>
        <v>Apartment</v>
      </c>
      <c r="JT27" s="2936">
        <f t="shared" si="29"/>
      </c>
      <c r="JU27" s="2936"/>
      <c r="JV27" s="2936"/>
      <c r="JW27" s="2936"/>
      <c r="JX27" s="2936"/>
      <c r="JY27" s="2936">
        <f t="shared" si="9"/>
        <v>42906</v>
      </c>
      <c r="JZ27" s="2936">
        <f t="shared" si="9"/>
        <v>43270</v>
      </c>
      <c r="KA27" s="2936"/>
      <c r="KB27" s="2936"/>
      <c r="KC27" s="2936"/>
      <c r="KD27" s="2936"/>
      <c r="KE27" s="2936"/>
      <c r="KF27" s="2936"/>
      <c r="KG27" s="2936"/>
      <c r="KH27" s="2936"/>
      <c r="KI27" s="2937"/>
      <c r="KJ27" s="2936"/>
      <c r="KK27" s="1353"/>
    </row>
    <row r="28" ht="15" customHeight="1">
      <c r="A28" s="2922">
        <f t="shared" si="10"/>
        <v>5</v>
      </c>
      <c r="B28" s="2865"/>
      <c r="C28" s="2873"/>
      <c r="D28" s="2873" t="s">
        <v>2751</v>
      </c>
      <c r="E28" s="2923">
        <v>1381</v>
      </c>
      <c r="F28" s="2924" t="s">
        <v>2752</v>
      </c>
      <c r="G28" s="2873" t="s">
        <v>2531</v>
      </c>
      <c r="H28" s="2923">
        <v>1368</v>
      </c>
      <c r="I28" s="2925" cm="1">
        <f t="array" ref="I28">_xlfn.LET(_xlpm.has_subsidy,$N28&gt;0,_xlpm.is_chap9_sbl,$FF$20,_xlpm.contract_rent,$H28,_xlpm.unit_type_mkt_rent,_xlfn.XLOOKUP(TRUE,EXACT($G28,RentRoll_InputArea_DesignatedUnitType),RentRoll_InputArea_MarketRent,"Not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8" s="2926">
        <f t="shared" si="11"/>
        <v>1368</v>
      </c>
      <c r="K28" s="2923"/>
      <c r="L28" s="2923"/>
      <c r="M28" s="2923"/>
      <c r="N28" s="2923"/>
      <c r="O28" s="2927">
        <v>43520</v>
      </c>
      <c r="P28" s="2927">
        <v>43799</v>
      </c>
      <c r="Q28" s="2928">
        <f t="shared" si="8"/>
      </c>
      <c r="R28" s="2928">
        <f t="shared" si="8"/>
      </c>
      <c r="S28" s="2928">
        <f t="shared" si="8"/>
        <v>1368</v>
      </c>
      <c r="T28" s="2928">
        <f t="shared" si="8"/>
      </c>
      <c r="U28" s="2928">
        <f t="shared" si="8"/>
      </c>
      <c r="V28" s="2928">
        <f t="shared" si="8"/>
      </c>
      <c r="W28" s="2928">
        <f t="shared" si="8"/>
      </c>
      <c r="X28" s="2928">
        <f t="shared" si="8"/>
      </c>
      <c r="Y28" s="2928">
        <f t="shared" si="8"/>
      </c>
      <c r="Z28" s="2928">
        <f t="shared" si="8"/>
      </c>
      <c r="AA28" s="2928">
        <f t="shared" si="8"/>
      </c>
      <c r="AB28" s="2928">
        <f t="shared" si="8"/>
      </c>
      <c r="AC28" s="2928">
        <f t="shared" si="8"/>
      </c>
      <c r="AD28" s="2928">
        <f t="shared" si="8"/>
      </c>
      <c r="AE28" s="2928">
        <f t="shared" si="8"/>
      </c>
      <c r="AF28" s="2928">
        <f t="shared" si="8"/>
      </c>
      <c r="AG28" s="2928">
        <f t="shared" si="8"/>
      </c>
      <c r="AH28" s="2928">
        <f t="shared" si="8"/>
      </c>
      <c r="AI28" s="2928">
        <f t="shared" si="8"/>
      </c>
      <c r="AJ28" s="2928">
        <f t="shared" si="8"/>
      </c>
      <c r="AK28" s="2928">
        <f t="shared" si="8"/>
      </c>
      <c r="AL28" s="2928">
        <f t="shared" si="8"/>
      </c>
      <c r="AM28" s="2928">
        <f t="shared" si="8"/>
      </c>
      <c r="AN28" s="2928">
        <f t="shared" si="8"/>
      </c>
      <c r="AO28" s="2928">
        <f t="shared" si="8"/>
      </c>
      <c r="AP28" s="2928">
        <f t="shared" si="8"/>
      </c>
      <c r="AQ28" s="2928">
        <f t="shared" si="8"/>
      </c>
      <c r="AR28" s="2928">
        <f t="shared" si="8"/>
      </c>
      <c r="AS28" s="2928">
        <f t="shared" si="8"/>
      </c>
      <c r="AT28" s="2928">
        <f t="shared" si="8"/>
      </c>
      <c r="AU28" s="2928">
        <f t="shared" si="8"/>
      </c>
      <c r="AV28" s="2928">
        <f t="shared" si="8"/>
      </c>
      <c r="AW28" s="2928">
        <f t="shared" si="8"/>
      </c>
      <c r="AX28" s="2928">
        <f t="shared" si="8"/>
      </c>
      <c r="AY28" s="2928">
        <f t="shared" si="8"/>
      </c>
      <c r="AZ28" s="2928">
        <f t="shared" si="8"/>
      </c>
      <c r="BA28" s="2928">
        <f t="shared" si="8"/>
      </c>
      <c r="BB28" s="2928">
        <f t="shared" si="8"/>
      </c>
      <c r="BC28" s="2928">
        <f t="shared" si="8"/>
      </c>
      <c r="BD28" s="2928">
        <f t="shared" si="8"/>
      </c>
      <c r="BE28" s="2928">
        <f t="shared" si="8"/>
      </c>
      <c r="BF28" s="2928">
        <f t="shared" si="8"/>
      </c>
      <c r="BG28" s="2928">
        <f t="shared" si="8"/>
      </c>
      <c r="BH28" s="2928">
        <f t="shared" si="8"/>
      </c>
      <c r="BI28" s="2928">
        <f t="shared" si="8"/>
      </c>
      <c r="BJ28" s="2928">
        <f t="shared" si="8"/>
      </c>
      <c r="BK28" s="2928">
        <f t="shared" si="8"/>
      </c>
      <c r="BL28" s="2928">
        <f t="shared" si="8"/>
      </c>
      <c r="BM28" s="2928">
        <f t="shared" si="8"/>
      </c>
      <c r="BN28" s="2928">
        <f t="shared" si="8"/>
      </c>
      <c r="BO28" s="2928">
        <f t="shared" si="8"/>
      </c>
      <c r="BP28" s="2928">
        <f t="shared" si="8"/>
      </c>
      <c r="BQ28" s="2928">
        <f t="shared" si="8"/>
      </c>
      <c r="BR28" s="2928">
        <f t="shared" si="8"/>
      </c>
      <c r="BS28" s="2928">
        <f t="shared" si="8"/>
      </c>
      <c r="BT28" s="2928">
        <f t="shared" si="8"/>
      </c>
      <c r="BU28" s="2928">
        <f t="shared" si="8"/>
      </c>
      <c r="BV28" s="2928">
        <f t="shared" si="8"/>
      </c>
      <c r="BW28" s="2928">
        <f t="shared" si="8"/>
      </c>
      <c r="BX28" s="2928">
        <f t="shared" si="8"/>
      </c>
      <c r="BY28" s="2928">
        <f t="shared" si="8"/>
      </c>
      <c r="BZ28" s="2928">
        <f t="shared" si="8"/>
      </c>
      <c r="CA28" s="2928">
        <f t="shared" si="8"/>
      </c>
      <c r="CB28" s="2928">
        <f t="shared" si="8"/>
      </c>
      <c r="CC28" s="2928">
        <f t="shared" si="8"/>
      </c>
      <c r="CD28" s="2928">
        <f t="shared" si="8"/>
      </c>
      <c r="CE28" s="2928">
        <f t="shared" si="8"/>
      </c>
      <c r="CF28" s="2928">
        <f t="shared" si="8"/>
      </c>
      <c r="CG28" s="2928">
        <f t="shared" si="8"/>
      </c>
      <c r="CH28" s="2928">
        <f t="shared" si="8"/>
      </c>
      <c r="CI28" s="2928">
        <f t="shared" si="8"/>
      </c>
      <c r="CJ28" s="2928">
        <f t="shared" si="8"/>
      </c>
      <c r="CK28" s="2928">
        <f t="shared" si="8"/>
      </c>
      <c r="CL28" s="2928">
        <f t="shared" si="8"/>
      </c>
      <c r="CM28" s="2928">
        <f t="shared" si="8"/>
      </c>
      <c r="CN28" s="2928">
        <f t="shared" si="8"/>
      </c>
      <c r="CO28" s="2928">
        <f t="shared" si="8"/>
      </c>
      <c r="CP28" s="2928">
        <f t="shared" si="8"/>
      </c>
      <c r="CQ28" s="2928">
        <f t="shared" si="8"/>
      </c>
      <c r="CR28" s="2928">
        <f t="shared" si="8"/>
      </c>
      <c r="CS28" s="2928">
        <f t="shared" si="8"/>
      </c>
      <c r="CT28" s="2928">
        <f t="shared" si="8"/>
      </c>
      <c r="CU28" s="2928">
        <f t="shared" si="8"/>
      </c>
      <c r="CV28" s="2928">
        <f t="shared" si="8"/>
      </c>
      <c r="CW28" s="2928">
        <f t="shared" si="8"/>
      </c>
      <c r="CX28" s="2928">
        <f t="shared" si="8"/>
      </c>
      <c r="CY28" s="2928">
        <f t="shared" si="8"/>
      </c>
      <c r="CZ28" s="2928">
        <f t="shared" si="8"/>
      </c>
      <c r="DA28" s="2928">
        <f t="shared" si="8"/>
      </c>
      <c r="DB28" s="2928">
        <f t="shared" si="8"/>
      </c>
      <c r="DC28" s="2928">
        <f t="shared" si="8"/>
      </c>
      <c r="DD28" s="2928">
        <f t="shared" si="8"/>
      </c>
      <c r="DE28" s="2928">
        <f t="shared" si="8"/>
      </c>
      <c r="DF28" s="2928">
        <f t="shared" si="8"/>
      </c>
      <c r="DG28" s="2928">
        <f t="shared" si="8"/>
      </c>
      <c r="DH28" s="2928">
        <f t="shared" si="8"/>
      </c>
      <c r="DI28" s="2928">
        <f t="shared" si="8"/>
      </c>
      <c r="DJ28" s="2928">
        <f t="shared" si="8"/>
      </c>
      <c r="DK28" s="2928">
        <f t="shared" si="8"/>
      </c>
      <c r="DL28" s="2928">
        <f t="shared" si="8"/>
      </c>
      <c r="DM28" s="2928">
        <f t="shared" si="8"/>
      </c>
      <c r="DN28" s="2928">
        <f t="shared" si="8"/>
      </c>
      <c r="DO28" s="2928">
        <f t="shared" si="8"/>
      </c>
      <c r="DP28" s="2928">
        <f t="shared" si="8"/>
      </c>
      <c r="DQ28" s="2928">
        <f t="shared" si="8"/>
      </c>
      <c r="DR28" s="2928">
        <f t="shared" si="8"/>
      </c>
      <c r="DS28" s="2928">
        <f t="shared" si="8"/>
      </c>
      <c r="DT28" s="2928">
        <f t="shared" si="8"/>
      </c>
      <c r="DU28" s="2928">
        <f t="shared" si="8"/>
      </c>
      <c r="DV28" s="2928">
        <f t="shared" si="8"/>
      </c>
      <c r="DW28" s="2928">
        <f t="shared" si="8"/>
      </c>
      <c r="DX28" s="2928">
        <f t="shared" si="8"/>
      </c>
      <c r="DY28" s="2928">
        <f t="shared" si="8"/>
      </c>
      <c r="DZ28" s="2928">
        <f t="shared" si="8"/>
      </c>
      <c r="EA28" s="2928">
        <f t="shared" si="8"/>
      </c>
      <c r="EB28" s="2928">
        <f t="shared" si="8"/>
      </c>
      <c r="EC28" s="2928">
        <f t="shared" si="8"/>
      </c>
      <c r="ED28" s="2928">
        <f t="shared" si="8"/>
      </c>
      <c r="EE28" s="2928">
        <f t="shared" si="8"/>
      </c>
      <c r="EF28" s="2928">
        <f t="shared" si="8"/>
      </c>
      <c r="EG28" s="2928">
        <f t="shared" si="8"/>
      </c>
      <c r="EH28" s="2928">
        <f t="shared" si="8"/>
      </c>
      <c r="EI28" s="2928">
        <f t="shared" si="8"/>
      </c>
      <c r="EJ28" s="2928">
        <f t="shared" si="8"/>
      </c>
      <c r="EK28" s="2928">
        <f t="shared" si="8"/>
      </c>
      <c r="EL28" s="2928">
        <f t="shared" si="8"/>
      </c>
      <c r="EM28" s="2928">
        <f t="shared" si="8"/>
      </c>
      <c r="EN28" s="2928">
        <f t="shared" si="8"/>
      </c>
      <c r="EO28" s="2928">
        <f t="shared" si="8"/>
      </c>
      <c r="EP28" s="2928">
        <f t="shared" si="8"/>
      </c>
      <c r="EQ28" s="2928">
        <f t="shared" si="8"/>
      </c>
      <c r="ER28" s="2928">
        <f t="shared" si="8"/>
      </c>
      <c r="ES28" s="2928">
        <f t="shared" si="8"/>
      </c>
      <c r="ET28" s="2928">
        <f t="shared" si="8"/>
      </c>
      <c r="EU28" s="2928">
        <f t="shared" si="8"/>
      </c>
      <c r="EV28" s="2928">
        <f t="shared" si="8"/>
      </c>
      <c r="EW28" s="2928">
        <f t="shared" si="8"/>
      </c>
      <c r="EX28" s="2928">
        <f t="shared" si="8"/>
      </c>
      <c r="EY28" s="2928">
        <f t="shared" si="8"/>
      </c>
      <c r="EZ28" s="2928">
        <f t="shared" si="8"/>
      </c>
      <c r="FA28" s="2929" t="str">
        <f t="shared" si="12"/>
        <v>-</v>
      </c>
      <c r="FB28" s="2825">
        <f t="shared" si="13"/>
      </c>
      <c r="FC28" s="2930" cm="1">
        <f t="array" ref="FC28">_xlfn.LET(_xlpm.unit_type,$G28,_xlpm.market_rent_from_rent_roll,$E28,_xlpm.unit_type_list,RentRoll_InputArea_DesignatedUnitType,_xlpm.rent_by_unit_type,RentRoll_InputArea_MarketRent,_xlpm.use_rent_roll_market_rent,LEFT(RR_VacantUnitMktRentSource,9)="Rent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8" s="2930">
        <f t="shared" si="14"/>
        <v>1368</v>
      </c>
      <c r="FE28" s="2930">
        <f t="shared" si="15"/>
        <v>1368</v>
      </c>
      <c r="FF28" s="2930">
        <f t="shared" si="16"/>
        <v>1368</v>
      </c>
      <c r="FG28" s="2931"/>
      <c r="FH28" s="2932">
        <f t="shared" si="17"/>
      </c>
      <c r="FI28" s="2932">
        <f t="shared" si="18"/>
      </c>
      <c r="FJ28" s="2931"/>
      <c r="FK28" s="2933" cm="1">
        <f t="array" ref="FK28">IF(AND(LEN($D28)&gt;0,ISNA(MATCH(TRUE,EXACT($G28,RentRoll_InputArea_DesignatedUnitType),0))),1,0)</f>
        <v>0</v>
      </c>
      <c r="FL28" s="2931">
        <f t="shared" si="19"/>
        <v>5</v>
      </c>
      <c r="FM28" s="2931"/>
      <c r="FN28" s="2931"/>
      <c r="FO28" s="2931"/>
      <c r="FP28" s="2931"/>
      <c r="FQ28" s="2931"/>
      <c r="FR28" s="2931"/>
      <c r="FS28" s="2931"/>
      <c r="FT28" s="2931"/>
      <c r="FU28" s="2931"/>
      <c r="FV28" s="2931"/>
      <c r="FW28" s="2931"/>
      <c r="FX28" s="2931"/>
      <c r="FY28" s="2931"/>
      <c r="FZ28" s="2931"/>
      <c r="GA28" s="2931"/>
      <c r="GB28" s="2931"/>
      <c r="GC28" s="2931"/>
      <c r="GD28" s="2931"/>
      <c r="GE28" s="2931"/>
      <c r="GF28" s="2931"/>
      <c r="GG28" s="2931"/>
      <c r="GH28" s="2931"/>
      <c r="GI28" s="2931"/>
      <c r="GJ28" s="2931"/>
      <c r="GK28" s="2931"/>
      <c r="GL28" s="2931"/>
      <c r="GM28" s="2931"/>
      <c r="GN28" s="2931"/>
      <c r="GO28" s="2931"/>
      <c r="GP28" s="2931"/>
      <c r="GQ28" s="2931"/>
      <c r="GR28" s="2931"/>
      <c r="GS28" s="2931"/>
      <c r="GT28" s="2931"/>
      <c r="GU28" s="2931"/>
      <c r="GV28" s="2931"/>
      <c r="GW28" s="2931"/>
      <c r="GX28" s="2931"/>
      <c r="GY28" s="2931"/>
      <c r="GZ28" s="2931"/>
      <c r="HA28" s="2931"/>
      <c r="HB28" s="2931"/>
      <c r="HC28" s="2931"/>
      <c r="HD28" s="2931"/>
      <c r="HE28" s="2931"/>
      <c r="HF28" s="2931"/>
      <c r="HG28" s="2931"/>
      <c r="HH28" s="2931"/>
      <c r="HI28" s="2931"/>
      <c r="HJ28" s="2931"/>
      <c r="HK28" s="2931"/>
      <c r="HL28" s="2931"/>
      <c r="HM28" s="2931"/>
      <c r="HN28" s="2931"/>
      <c r="HO28" s="2931"/>
      <c r="HP28" s="2931"/>
      <c r="HQ28" s="2931"/>
      <c r="HR28" s="2931"/>
      <c r="HS28" s="2931"/>
      <c r="HT28" s="2931"/>
      <c r="HU28" s="2931"/>
      <c r="HV28" s="2931"/>
      <c r="HW28" s="2931"/>
      <c r="HX28" s="2931"/>
      <c r="HY28" s="2931"/>
      <c r="HZ28" s="2931"/>
      <c r="IA28" s="2931"/>
      <c r="IB28" s="2931"/>
      <c r="IC28" s="2931"/>
      <c r="ID28" s="2931"/>
      <c r="IE28" s="2931"/>
      <c r="IF28" s="2931"/>
      <c r="IG28" s="2931"/>
      <c r="IH28" s="2931"/>
      <c r="II28" s="2931"/>
      <c r="IJ28" s="2931"/>
      <c r="IK28" s="2931"/>
      <c r="IL28" s="2931"/>
      <c r="IM28" s="2931"/>
      <c r="IN28" s="2931"/>
      <c r="IO28" s="2931" cm="1">
        <f t="array" ref="IO28">IF(LEN($G28)=0,"Rent Roll is incomplete",_xlfn.XLOOKUP(TRUE,EXACT(RentRoll_InputArea_DesignatedUnitType,$G28),RentRoll_InputArea_Beds,"Not Found"))</f>
        <v>2</v>
      </c>
      <c r="IP28" s="2934"/>
      <c r="IQ28" s="2935" t="str">
        <f t="shared" si="20"/>
        <v>2 Bedroom Unit</v>
      </c>
      <c r="IR28" s="2926">
        <f t="shared" si="21"/>
        <v>1368</v>
      </c>
      <c r="IS28" s="2935"/>
      <c r="IT28" s="2931"/>
      <c r="IU28" s="2931"/>
      <c r="IV28" s="2931"/>
      <c r="IW28" s="2936" t="str">
        <f t="shared" si="22"/>
        <v>1-104</v>
      </c>
      <c r="IX28" s="2936"/>
      <c r="IY28" s="2936"/>
      <c r="IZ28" s="2936">
        <f t="shared" si="23"/>
        <v>2</v>
      </c>
      <c r="JA28" s="2936">
        <f t="shared" si="24"/>
        <v>1368</v>
      </c>
      <c r="JB28" s="2936"/>
      <c r="JC28" s="2936"/>
      <c r="JD28" s="2936"/>
      <c r="JE28" s="2936"/>
      <c r="JF28" s="2936"/>
      <c r="JG28" s="2936"/>
      <c r="JH28" s="2936">
        <f t="shared" si="25"/>
        <v>1410</v>
      </c>
      <c r="JI28" s="2936"/>
      <c r="JJ28" s="2936">
        <f t="shared" si="26"/>
      </c>
      <c r="JK28" s="2936"/>
      <c r="JL28" s="2936"/>
      <c r="JM28" s="2936"/>
      <c r="JN28" s="2936"/>
      <c r="JO28" s="2936"/>
      <c r="JP28" s="2936"/>
      <c r="JQ28" s="2936" t="str">
        <f t="shared" si="27"/>
        <v>Occupied</v>
      </c>
      <c r="JR28" s="2936" cm="1">
        <f t="array" ref="JR28">_xlfn.XLOOKUP(TRUE,EXACT(RentRoll_InputArea_DesignatedUnitType,$G28),RentRoll_InputArea_SquareFootage,"Not Found")</f>
        <v>851</v>
      </c>
      <c r="JS28" s="2936" t="str">
        <f t="shared" si="28"/>
        <v>Apartment</v>
      </c>
      <c r="JT28" s="2936">
        <f t="shared" si="29"/>
      </c>
      <c r="JU28" s="2936"/>
      <c r="JV28" s="2936"/>
      <c r="JW28" s="2936"/>
      <c r="JX28" s="2936"/>
      <c r="JY28" s="2936">
        <f t="shared" si="9"/>
        <v>43520</v>
      </c>
      <c r="JZ28" s="2936">
        <f t="shared" si="9"/>
        <v>43799</v>
      </c>
      <c r="KA28" s="2936"/>
      <c r="KB28" s="2936"/>
      <c r="KC28" s="2936"/>
      <c r="KD28" s="2936"/>
      <c r="KE28" s="2936"/>
      <c r="KF28" s="2936"/>
      <c r="KG28" s="2936"/>
      <c r="KH28" s="2936"/>
      <c r="KI28" s="2937"/>
      <c r="KJ28" s="2936"/>
      <c r="KK28" s="1353"/>
    </row>
    <row r="29" ht="15" customHeight="1">
      <c r="A29" s="2922">
        <f t="shared" si="10"/>
        <v>6</v>
      </c>
      <c r="B29" s="2865"/>
      <c r="C29" s="2873"/>
      <c r="D29" s="2873" t="s">
        <v>2753</v>
      </c>
      <c r="E29" s="2923">
        <v>1438</v>
      </c>
      <c r="F29" s="2924" t="s">
        <v>2754</v>
      </c>
      <c r="G29" s="2873" t="s">
        <v>2531</v>
      </c>
      <c r="H29" s="2923">
        <v>1357</v>
      </c>
      <c r="I29" s="2925" cm="1">
        <f t="array" ref="I29">_xlfn.LET(_xlpm.has_subsidy,$N29&gt;0,_xlpm.is_chap9_sbl,$FF$20,_xlpm.contract_rent,$H29,_xlpm.unit_type_mkt_rent,_xlfn.XLOOKUP(TRUE,EXACT($G29,RentRoll_InputArea_DesignatedUnitType),RentRoll_InputArea_MarketRent,"Not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29" s="2926">
        <f t="shared" si="11"/>
        <v>1357</v>
      </c>
      <c r="K29" s="2923"/>
      <c r="L29" s="2923"/>
      <c r="M29" s="2923"/>
      <c r="N29" s="2923"/>
      <c r="O29" s="2927">
        <v>43506</v>
      </c>
      <c r="P29" s="2927">
        <v>43708</v>
      </c>
      <c r="Q29" s="2928">
        <f t="shared" si="8"/>
      </c>
      <c r="R29" s="2928">
        <f t="shared" si="8"/>
      </c>
      <c r="S29" s="2928">
        <f t="shared" si="8"/>
        <v>1357</v>
      </c>
      <c r="T29" s="2928">
        <f t="shared" si="8"/>
      </c>
      <c r="U29" s="2928">
        <f t="shared" si="8"/>
      </c>
      <c r="V29" s="2928">
        <f t="shared" si="8"/>
      </c>
      <c r="W29" s="2928">
        <f t="shared" si="8"/>
      </c>
      <c r="X29" s="2928">
        <f t="shared" si="8"/>
      </c>
      <c r="Y29" s="2928">
        <f t="shared" si="8"/>
      </c>
      <c r="Z29" s="2928">
        <f t="shared" si="8"/>
      </c>
      <c r="AA29" s="2928">
        <f t="shared" si="8"/>
      </c>
      <c r="AB29" s="2928">
        <f t="shared" si="8"/>
      </c>
      <c r="AC29" s="2928">
        <f t="shared" si="8"/>
      </c>
      <c r="AD29" s="2928">
        <f t="shared" si="8"/>
      </c>
      <c r="AE29" s="2928">
        <f t="shared" si="8"/>
      </c>
      <c r="AF29" s="2928">
        <f t="shared" si="8"/>
      </c>
      <c r="AG29" s="2928">
        <f t="shared" si="8"/>
      </c>
      <c r="AH29" s="2928">
        <f t="shared" si="8"/>
      </c>
      <c r="AI29" s="2928">
        <f t="shared" si="8"/>
      </c>
      <c r="AJ29" s="2928">
        <f t="shared" si="8"/>
      </c>
      <c r="AK29" s="2928">
        <f t="shared" si="8"/>
      </c>
      <c r="AL29" s="2928">
        <f t="shared" si="8"/>
      </c>
      <c r="AM29" s="2928">
        <f t="shared" si="8"/>
      </c>
      <c r="AN29" s="2928">
        <f t="shared" si="8"/>
      </c>
      <c r="AO29" s="2928">
        <f t="shared" si="8"/>
      </c>
      <c r="AP29" s="2928">
        <f t="shared" si="8"/>
      </c>
      <c r="AQ29" s="2928">
        <f t="shared" si="8"/>
      </c>
      <c r="AR29" s="2928">
        <f t="shared" si="8"/>
      </c>
      <c r="AS29" s="2928">
        <f t="shared" si="8"/>
      </c>
      <c r="AT29" s="2928">
        <f t="shared" si="8"/>
      </c>
      <c r="AU29" s="2928">
        <f t="shared" si="8"/>
      </c>
      <c r="AV29" s="2928">
        <f t="shared" si="8"/>
      </c>
      <c r="AW29" s="2928">
        <f t="shared" si="8"/>
      </c>
      <c r="AX29" s="2928">
        <f t="shared" si="8"/>
      </c>
      <c r="AY29" s="2928">
        <f t="shared" si="8"/>
      </c>
      <c r="AZ29" s="2928">
        <f t="shared" si="8"/>
      </c>
      <c r="BA29" s="2928">
        <f t="shared" si="8"/>
      </c>
      <c r="BB29" s="2928">
        <f t="shared" si="8"/>
      </c>
      <c r="BC29" s="2928">
        <f t="shared" si="8"/>
      </c>
      <c r="BD29" s="2928">
        <f t="shared" si="8"/>
      </c>
      <c r="BE29" s="2928">
        <f t="shared" si="8"/>
      </c>
      <c r="BF29" s="2928">
        <f t="shared" si="8"/>
      </c>
      <c r="BG29" s="2928">
        <f t="shared" si="8"/>
      </c>
      <c r="BH29" s="2928">
        <f t="shared" si="8"/>
      </c>
      <c r="BI29" s="2928">
        <f t="shared" si="8"/>
      </c>
      <c r="BJ29" s="2928">
        <f t="shared" si="8"/>
      </c>
      <c r="BK29" s="2928">
        <f t="shared" si="8"/>
      </c>
      <c r="BL29" s="2928">
        <f t="shared" si="8"/>
      </c>
      <c r="BM29" s="2928">
        <f t="shared" si="8"/>
      </c>
      <c r="BN29" s="2928">
        <f t="shared" si="8"/>
      </c>
      <c r="BO29" s="2928">
        <f t="shared" si="8"/>
      </c>
      <c r="BP29" s="2928">
        <f t="shared" si="8"/>
      </c>
      <c r="BQ29" s="2928">
        <f t="shared" si="8"/>
      </c>
      <c r="BR29" s="2928">
        <f t="shared" si="8"/>
      </c>
      <c r="BS29" s="2928">
        <f t="shared" si="8"/>
      </c>
      <c r="BT29" s="2928">
        <f t="shared" si="8"/>
      </c>
      <c r="BU29" s="2928">
        <f t="shared" si="8"/>
      </c>
      <c r="BV29" s="2928">
        <f t="shared" si="8"/>
      </c>
      <c r="BW29" s="2928">
        <f t="shared" si="8"/>
      </c>
      <c r="BX29" s="2928">
        <f t="shared" si="8"/>
      </c>
      <c r="BY29" s="2928">
        <f t="shared" si="8"/>
      </c>
      <c r="BZ29" s="2928">
        <f t="shared" si="8"/>
      </c>
      <c r="CA29" s="2928">
        <f t="shared" si="8"/>
      </c>
      <c r="CB29" s="2928">
        <f t="shared" si="8"/>
      </c>
      <c r="CC29" s="2928">
        <f t="shared" si="8"/>
      </c>
      <c r="CD29" s="2928">
        <f t="shared" si="8"/>
      </c>
      <c r="CE29" s="2928">
        <f t="shared" si="8"/>
      </c>
      <c r="CF29" s="2928">
        <f t="shared" si="8"/>
      </c>
      <c r="CG29" s="2928">
        <f t="shared" si="8"/>
      </c>
      <c r="CH29" s="2928">
        <f t="shared" si="8"/>
      </c>
      <c r="CI29" s="2928">
        <f t="shared" si="8"/>
      </c>
      <c r="CJ29" s="2928">
        <f t="shared" si="8"/>
      </c>
      <c r="CK29" s="2928">
        <f t="shared" si="8"/>
      </c>
      <c r="CL29" s="2928">
        <f t="shared" si="8"/>
      </c>
      <c r="CM29" s="2928">
        <f t="shared" si="8"/>
      </c>
      <c r="CN29" s="2928">
        <f t="shared" si="8"/>
      </c>
      <c r="CO29" s="2928">
        <f t="shared" si="8"/>
      </c>
      <c r="CP29" s="2928">
        <f t="shared" si="8"/>
      </c>
      <c r="CQ29" s="2928">
        <f t="shared" si="8"/>
      </c>
      <c r="CR29" s="2928">
        <f t="shared" si="8"/>
      </c>
      <c r="CS29" s="2928">
        <f t="shared" si="8"/>
      </c>
      <c r="CT29" s="2928">
        <f t="shared" si="8"/>
      </c>
      <c r="CU29" s="2928">
        <f t="shared" si="8"/>
      </c>
      <c r="CV29" s="2928">
        <f t="shared" si="8"/>
      </c>
      <c r="CW29" s="2928">
        <f t="shared" si="8"/>
      </c>
      <c r="CX29" s="2928">
        <f t="shared" si="8"/>
      </c>
      <c r="CY29" s="2928">
        <f t="shared" si="8"/>
      </c>
      <c r="CZ29" s="2928">
        <f t="shared" si="8"/>
      </c>
      <c r="DA29" s="2928">
        <f t="shared" si="8"/>
      </c>
      <c r="DB29" s="2928">
        <f t="shared" si="8"/>
      </c>
      <c r="DC29" s="2928">
        <f t="shared" si="8"/>
      </c>
      <c r="DD29" s="2928">
        <f t="shared" si="8"/>
      </c>
      <c r="DE29" s="2928">
        <f t="shared" si="8"/>
      </c>
      <c r="DF29" s="2928">
        <f t="shared" si="8"/>
      </c>
      <c r="DG29" s="2928">
        <f t="shared" si="8"/>
      </c>
      <c r="DH29" s="2928">
        <f t="shared" si="8"/>
      </c>
      <c r="DI29" s="2928">
        <f t="shared" si="8"/>
      </c>
      <c r="DJ29" s="2928">
        <f t="shared" si="8"/>
      </c>
      <c r="DK29" s="2928">
        <f t="shared" si="8"/>
      </c>
      <c r="DL29" s="2928">
        <f t="shared" si="8"/>
      </c>
      <c r="DM29" s="2928">
        <f t="shared" si="8"/>
      </c>
      <c r="DN29" s="2928">
        <f t="shared" si="8"/>
      </c>
      <c r="DO29" s="2928">
        <f t="shared" si="8"/>
      </c>
      <c r="DP29" s="2928">
        <f t="shared" si="8"/>
      </c>
      <c r="DQ29" s="2928">
        <f t="shared" si="8"/>
      </c>
      <c r="DR29" s="2928">
        <f t="shared" si="8"/>
      </c>
      <c r="DS29" s="2928">
        <f t="shared" si="8"/>
      </c>
      <c r="DT29" s="2928">
        <f t="shared" si="8"/>
      </c>
      <c r="DU29" s="2928">
        <f t="shared" si="8"/>
      </c>
      <c r="DV29" s="2928">
        <f t="shared" si="8"/>
      </c>
      <c r="DW29" s="2928">
        <f t="shared" si="8"/>
      </c>
      <c r="DX29" s="2928">
        <f t="shared" si="8"/>
      </c>
      <c r="DY29" s="2928">
        <f t="shared" si="8"/>
      </c>
      <c r="DZ29" s="2928">
        <f t="shared" si="8"/>
      </c>
      <c r="EA29" s="2928">
        <f t="shared" si="8"/>
      </c>
      <c r="EB29" s="2928">
        <f t="shared" si="8"/>
      </c>
      <c r="EC29" s="2928">
        <f t="shared" si="8"/>
      </c>
      <c r="ED29" s="2928">
        <f t="shared" si="8"/>
      </c>
      <c r="EE29" s="2928">
        <f t="shared" si="8"/>
      </c>
      <c r="EF29" s="2928">
        <f t="shared" si="8"/>
      </c>
      <c r="EG29" s="2928">
        <f t="shared" si="8"/>
      </c>
      <c r="EH29" s="2928">
        <f t="shared" si="8"/>
      </c>
      <c r="EI29" s="2928">
        <f t="shared" si="8"/>
      </c>
      <c r="EJ29" s="2928">
        <f t="shared" si="8"/>
      </c>
      <c r="EK29" s="2928">
        <f t="shared" si="8"/>
      </c>
      <c r="EL29" s="2928">
        <f t="shared" si="8"/>
      </c>
      <c r="EM29" s="2928">
        <f t="shared" si="8"/>
      </c>
      <c r="EN29" s="2928">
        <f t="shared" si="8"/>
      </c>
      <c r="EO29" s="2928">
        <f t="shared" si="8"/>
      </c>
      <c r="EP29" s="2928">
        <f t="shared" si="8"/>
      </c>
      <c r="EQ29" s="2928">
        <f t="shared" si="8"/>
      </c>
      <c r="ER29" s="2928">
        <f t="shared" si="8"/>
      </c>
      <c r="ES29" s="2928">
        <f t="shared" si="8"/>
      </c>
      <c r="ET29" s="2928">
        <f t="shared" si="8"/>
      </c>
      <c r="EU29" s="2928">
        <f t="shared" si="8"/>
      </c>
      <c r="EV29" s="2928">
        <f t="shared" si="8"/>
      </c>
      <c r="EW29" s="2928">
        <f t="shared" si="8"/>
      </c>
      <c r="EX29" s="2928">
        <f t="shared" si="8"/>
      </c>
      <c r="EY29" s="2928">
        <f t="shared" si="8"/>
      </c>
      <c r="EZ29" s="2928">
        <f t="shared" si="8"/>
      </c>
      <c r="FA29" s="2929" t="str">
        <f t="shared" si="12"/>
        <v>-</v>
      </c>
      <c r="FB29" s="2825">
        <f t="shared" si="13"/>
      </c>
      <c r="FC29" s="2930" cm="1">
        <f t="array" ref="FC29">_xlfn.LET(_xlpm.unit_type,$G29,_xlpm.market_rent_from_rent_roll,$E29,_xlpm.unit_type_list,RentRoll_InputArea_DesignatedUnitType,_xlpm.rent_by_unit_type,RentRoll_InputArea_MarketRent,_xlpm.use_rent_roll_market_rent,LEFT(RR_VacantUnitMktRentSource,9)="Rent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29" s="2930">
        <f t="shared" si="14"/>
        <v>1357</v>
      </c>
      <c r="FE29" s="2930">
        <f t="shared" si="15"/>
        <v>1357</v>
      </c>
      <c r="FF29" s="2930">
        <f t="shared" si="16"/>
        <v>1357</v>
      </c>
      <c r="FG29" s="2931"/>
      <c r="FH29" s="2932">
        <f t="shared" si="17"/>
      </c>
      <c r="FI29" s="2932">
        <f t="shared" si="18"/>
      </c>
      <c r="FJ29" s="2931"/>
      <c r="FK29" s="2933" cm="1">
        <f t="array" ref="FK29">IF(AND(LEN($D29)&gt;0,ISNA(MATCH(TRUE,EXACT($G29,RentRoll_InputArea_DesignatedUnitType),0))),1,0)</f>
        <v>0</v>
      </c>
      <c r="FL29" s="2931">
        <f t="shared" si="19"/>
        <v>6</v>
      </c>
      <c r="FM29" s="2931"/>
      <c r="FN29" s="2931"/>
      <c r="FO29" s="2931"/>
      <c r="FP29" s="2931"/>
      <c r="FQ29" s="2931"/>
      <c r="FR29" s="2931"/>
      <c r="FS29" s="2931"/>
      <c r="FT29" s="2931"/>
      <c r="FU29" s="2931"/>
      <c r="FV29" s="2931"/>
      <c r="FW29" s="2931"/>
      <c r="FX29" s="2931"/>
      <c r="FY29" s="2931"/>
      <c r="FZ29" s="2931"/>
      <c r="GA29" s="2931"/>
      <c r="GB29" s="2931"/>
      <c r="GC29" s="2931"/>
      <c r="GD29" s="2931"/>
      <c r="GE29" s="2931"/>
      <c r="GF29" s="2931"/>
      <c r="GG29" s="2931"/>
      <c r="GH29" s="2931"/>
      <c r="GI29" s="2931"/>
      <c r="GJ29" s="2931"/>
      <c r="GK29" s="2931"/>
      <c r="GL29" s="2931"/>
      <c r="GM29" s="2931"/>
      <c r="GN29" s="2931"/>
      <c r="GO29" s="2931"/>
      <c r="GP29" s="2931"/>
      <c r="GQ29" s="2931"/>
      <c r="GR29" s="2931"/>
      <c r="GS29" s="2931"/>
      <c r="GT29" s="2931"/>
      <c r="GU29" s="2931"/>
      <c r="GV29" s="2931"/>
      <c r="GW29" s="2931"/>
      <c r="GX29" s="2931"/>
      <c r="GY29" s="2931"/>
      <c r="GZ29" s="2931"/>
      <c r="HA29" s="2931"/>
      <c r="HB29" s="2931"/>
      <c r="HC29" s="2931"/>
      <c r="HD29" s="2931"/>
      <c r="HE29" s="2931"/>
      <c r="HF29" s="2931"/>
      <c r="HG29" s="2931"/>
      <c r="HH29" s="2931"/>
      <c r="HI29" s="2931"/>
      <c r="HJ29" s="2931"/>
      <c r="HK29" s="2931"/>
      <c r="HL29" s="2931"/>
      <c r="HM29" s="2931"/>
      <c r="HN29" s="2931"/>
      <c r="HO29" s="2931"/>
      <c r="HP29" s="2931"/>
      <c r="HQ29" s="2931"/>
      <c r="HR29" s="2931"/>
      <c r="HS29" s="2931"/>
      <c r="HT29" s="2931"/>
      <c r="HU29" s="2931"/>
      <c r="HV29" s="2931"/>
      <c r="HW29" s="2931"/>
      <c r="HX29" s="2931"/>
      <c r="HY29" s="2931"/>
      <c r="HZ29" s="2931"/>
      <c r="IA29" s="2931"/>
      <c r="IB29" s="2931"/>
      <c r="IC29" s="2931"/>
      <c r="ID29" s="2931"/>
      <c r="IE29" s="2931"/>
      <c r="IF29" s="2931"/>
      <c r="IG29" s="2931"/>
      <c r="IH29" s="2931"/>
      <c r="II29" s="2931"/>
      <c r="IJ29" s="2931"/>
      <c r="IK29" s="2931"/>
      <c r="IL29" s="2931"/>
      <c r="IM29" s="2931"/>
      <c r="IN29" s="2931"/>
      <c r="IO29" s="2931" cm="1">
        <f t="array" ref="IO29">IF(LEN($G29)=0,"Rent Roll is incomplete",_xlfn.XLOOKUP(TRUE,EXACT(RentRoll_InputArea_DesignatedUnitType,$G29),RentRoll_InputArea_Beds,"Not Found"))</f>
        <v>2</v>
      </c>
      <c r="IP29" s="2934"/>
      <c r="IQ29" s="2935" t="str">
        <f t="shared" si="20"/>
        <v>2 Bedroom Unit</v>
      </c>
      <c r="IR29" s="2926">
        <f t="shared" si="21"/>
        <v>1357</v>
      </c>
      <c r="IS29" s="2935"/>
      <c r="IT29" s="2931"/>
      <c r="IU29" s="2931"/>
      <c r="IV29" s="2931"/>
      <c r="IW29" s="2936" t="str">
        <f t="shared" si="22"/>
        <v>1-105</v>
      </c>
      <c r="IX29" s="2936"/>
      <c r="IY29" s="2936"/>
      <c r="IZ29" s="2936">
        <f t="shared" si="23"/>
        <v>2</v>
      </c>
      <c r="JA29" s="2936">
        <f t="shared" si="24"/>
        <v>1357</v>
      </c>
      <c r="JB29" s="2936"/>
      <c r="JC29" s="2936"/>
      <c r="JD29" s="2936"/>
      <c r="JE29" s="2936"/>
      <c r="JF29" s="2936"/>
      <c r="JG29" s="2936"/>
      <c r="JH29" s="2936">
        <f t="shared" si="25"/>
        <v>1410</v>
      </c>
      <c r="JI29" s="2936"/>
      <c r="JJ29" s="2936">
        <f t="shared" si="26"/>
      </c>
      <c r="JK29" s="2936"/>
      <c r="JL29" s="2936"/>
      <c r="JM29" s="2936"/>
      <c r="JN29" s="2936"/>
      <c r="JO29" s="2936"/>
      <c r="JP29" s="2936"/>
      <c r="JQ29" s="2936" t="str">
        <f t="shared" si="27"/>
        <v>Occupied</v>
      </c>
      <c r="JR29" s="2936" cm="1">
        <f t="array" ref="JR29">_xlfn.XLOOKUP(TRUE,EXACT(RentRoll_InputArea_DesignatedUnitType,$G29),RentRoll_InputArea_SquareFootage,"Not Found")</f>
        <v>851</v>
      </c>
      <c r="JS29" s="2936" t="str">
        <f t="shared" si="28"/>
        <v>Apartment</v>
      </c>
      <c r="JT29" s="2936">
        <f t="shared" si="29"/>
      </c>
      <c r="JU29" s="2936"/>
      <c r="JV29" s="2936"/>
      <c r="JW29" s="2936"/>
      <c r="JX29" s="2936"/>
      <c r="JY29" s="2936">
        <f t="shared" si="9"/>
        <v>43506</v>
      </c>
      <c r="JZ29" s="2936">
        <f t="shared" si="9"/>
        <v>43708</v>
      </c>
      <c r="KA29" s="2936"/>
      <c r="KB29" s="2936"/>
      <c r="KC29" s="2936"/>
      <c r="KD29" s="2936"/>
      <c r="KE29" s="2936"/>
      <c r="KF29" s="2936"/>
      <c r="KG29" s="2936"/>
      <c r="KH29" s="2936"/>
      <c r="KI29" s="2937"/>
      <c r="KJ29" s="2936"/>
      <c r="KK29" s="1353"/>
    </row>
    <row r="30" ht="15" customHeight="1">
      <c r="A30" s="2922">
        <f t="shared" si="10"/>
        <v>7</v>
      </c>
      <c r="B30" s="2865"/>
      <c r="C30" s="2873"/>
      <c r="D30" s="2873" t="s">
        <v>2755</v>
      </c>
      <c r="E30" s="2923">
        <v>1360</v>
      </c>
      <c r="F30" s="2924" t="s">
        <v>2756</v>
      </c>
      <c r="G30" s="2873" t="s">
        <v>2531</v>
      </c>
      <c r="H30" s="2923">
        <v>1318</v>
      </c>
      <c r="I30" s="2925" cm="1">
        <f t="array" ref="I30">_xlfn.LET(_xlpm.has_subsidy,$N30&gt;0,_xlpm.is_chap9_sbl,$FF$20,_xlpm.contract_rent,$H30,_xlpm.unit_type_mkt_rent,_xlfn.XLOOKUP(TRUE,EXACT($G30,RentRoll_InputArea_DesignatedUnitType),RentRoll_InputArea_MarketRent,"Not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0" s="2926">
        <f t="shared" si="11"/>
        <v>1318</v>
      </c>
      <c r="K30" s="2923"/>
      <c r="L30" s="2923"/>
      <c r="M30" s="2923"/>
      <c r="N30" s="2923"/>
      <c r="O30" s="2927">
        <v>43398</v>
      </c>
      <c r="P30" s="2927">
        <v>43616</v>
      </c>
      <c r="Q30" s="2928">
        <f t="shared" si="8"/>
      </c>
      <c r="R30" s="2928">
        <f t="shared" si="8"/>
      </c>
      <c r="S30" s="2928">
        <f t="shared" si="8"/>
        <v>1318</v>
      </c>
      <c r="T30" s="2928">
        <f t="shared" si="8"/>
      </c>
      <c r="U30" s="2928">
        <f t="shared" si="8"/>
      </c>
      <c r="V30" s="2928">
        <f t="shared" si="8"/>
      </c>
      <c r="W30" s="2928">
        <f t="shared" si="8"/>
      </c>
      <c r="X30" s="2928">
        <f t="shared" si="8"/>
      </c>
      <c r="Y30" s="2928">
        <f t="shared" si="8"/>
      </c>
      <c r="Z30" s="2928">
        <f t="shared" si="8"/>
      </c>
      <c r="AA30" s="2928">
        <f t="shared" si="8"/>
      </c>
      <c r="AB30" s="2928">
        <f t="shared" si="8"/>
      </c>
      <c r="AC30" s="2928">
        <f t="shared" si="8"/>
      </c>
      <c r="AD30" s="2928">
        <f t="shared" si="8"/>
      </c>
      <c r="AE30" s="2928">
        <f t="shared" si="8"/>
      </c>
      <c r="AF30" s="2928">
        <f t="shared" si="8"/>
      </c>
      <c r="AG30" s="2928">
        <f t="shared" si="8"/>
      </c>
      <c r="AH30" s="2928">
        <f t="shared" si="8"/>
      </c>
      <c r="AI30" s="2928">
        <f t="shared" si="8"/>
      </c>
      <c r="AJ30" s="2928">
        <f t="shared" si="8"/>
      </c>
      <c r="AK30" s="2928">
        <f t="shared" si="8"/>
      </c>
      <c r="AL30" s="2928">
        <f t="shared" si="8"/>
      </c>
      <c r="AM30" s="2928">
        <f t="shared" si="8"/>
      </c>
      <c r="AN30" s="2928">
        <f t="shared" si="8"/>
      </c>
      <c r="AO30" s="2928">
        <f t="shared" si="8"/>
      </c>
      <c r="AP30" s="2928">
        <f t="shared" si="8"/>
      </c>
      <c r="AQ30" s="2928">
        <f t="shared" si="8"/>
      </c>
      <c r="AR30" s="2928">
        <f t="shared" si="8"/>
      </c>
      <c r="AS30" s="2928">
        <f t="shared" si="8"/>
      </c>
      <c r="AT30" s="2928">
        <f t="shared" si="8"/>
      </c>
      <c r="AU30" s="2928">
        <f t="shared" si="8"/>
      </c>
      <c r="AV30" s="2928">
        <f t="shared" si="8"/>
      </c>
      <c r="AW30" s="2928">
        <f t="shared" si="8"/>
      </c>
      <c r="AX30" s="2928">
        <f t="shared" si="8"/>
      </c>
      <c r="AY30" s="2928">
        <f t="shared" si="8"/>
      </c>
      <c r="AZ30" s="2928">
        <f t="shared" si="8"/>
      </c>
      <c r="BA30" s="2928">
        <f t="shared" si="8"/>
      </c>
      <c r="BB30" s="2928">
        <f t="shared" si="8"/>
      </c>
      <c r="BC30" s="2928">
        <f t="shared" si="8"/>
      </c>
      <c r="BD30" s="2928">
        <f t="shared" si="8"/>
      </c>
      <c r="BE30" s="2928">
        <f t="shared" si="8"/>
      </c>
      <c r="BF30" s="2928">
        <f t="shared" si="8"/>
      </c>
      <c r="BG30" s="2928">
        <f t="shared" si="8"/>
      </c>
      <c r="BH30" s="2928">
        <f t="shared" si="8"/>
      </c>
      <c r="BI30" s="2928">
        <f t="shared" si="8"/>
      </c>
      <c r="BJ30" s="2928">
        <f t="shared" si="8"/>
      </c>
      <c r="BK30" s="2928">
        <f t="shared" si="8"/>
      </c>
      <c r="BL30" s="2928">
        <f t="shared" si="8"/>
      </c>
      <c r="BM30" s="2928">
        <f t="shared" si="8"/>
      </c>
      <c r="BN30" s="2928">
        <f t="shared" si="8"/>
      </c>
      <c r="BO30" s="2928">
        <f t="shared" si="8"/>
      </c>
      <c r="BP30" s="2928">
        <f t="shared" si="8"/>
      </c>
      <c r="BQ30" s="2928">
        <f t="shared" si="8"/>
      </c>
      <c r="BR30" s="2928">
        <f t="shared" si="8"/>
      </c>
      <c r="BS30" s="2928">
        <f t="shared" si="8"/>
      </c>
      <c r="BT30" s="2928">
        <f t="shared" si="8"/>
      </c>
      <c r="BU30" s="2928">
        <f t="shared" si="8"/>
      </c>
      <c r="BV30" s="2928">
        <f t="shared" si="8"/>
      </c>
      <c r="BW30" s="2928">
        <f t="shared" si="8"/>
      </c>
      <c r="BX30" s="2928">
        <f t="shared" si="8"/>
      </c>
      <c r="BY30" s="2928">
        <f t="shared" si="8"/>
      </c>
      <c r="BZ30" s="2928">
        <f t="shared" si="8"/>
      </c>
      <c r="CA30" s="2928">
        <f t="shared" si="8"/>
      </c>
      <c r="CB30" s="2928">
        <f t="shared" si="8"/>
      </c>
      <c r="CC30" s="2928">
        <f t="shared" si="8"/>
      </c>
      <c r="CD30" s="2928">
        <f t="shared" si="8"/>
      </c>
      <c r="CE30" s="2928">
        <f t="shared" si="8"/>
      </c>
      <c r="CF30" s="2928">
        <f t="shared" si="8"/>
      </c>
      <c r="CG30" s="2928">
        <f t="shared" si="8"/>
      </c>
      <c r="CH30" s="2928">
        <f t="shared" si="8"/>
      </c>
      <c r="CI30" s="2928">
        <f t="shared" si="8"/>
      </c>
      <c r="CJ30" s="2928">
        <f t="shared" si="8"/>
      </c>
      <c r="CK30" s="2928">
        <f t="shared" si="8"/>
      </c>
      <c r="CL30" s="2928">
        <f t="shared" si="8"/>
      </c>
      <c r="CM30" s="2928">
        <f t="shared" si="8"/>
      </c>
      <c r="CN30" s="2928">
        <f t="shared" si="8"/>
      </c>
      <c r="CO30" s="2928">
        <f t="shared" si="8"/>
      </c>
      <c r="CP30" s="2928">
        <f t="shared" si="8"/>
      </c>
      <c r="CQ30" s="2928">
        <f t="shared" si="8"/>
      </c>
      <c r="CR30" s="2928">
        <f t="shared" si="8"/>
      </c>
      <c r="CS30" s="2928">
        <f t="shared" si="8"/>
      </c>
      <c r="CT30" s="2928">
        <f t="shared" si="8"/>
      </c>
      <c r="CU30" s="2928">
        <f t="shared" si="8"/>
      </c>
      <c r="CV30" s="2928">
        <f t="shared" si="8"/>
      </c>
      <c r="CW30" s="2928">
        <f t="shared" si="8"/>
      </c>
      <c r="CX30" s="2928">
        <f t="shared" si="8"/>
      </c>
      <c r="CY30" s="2928">
        <f t="shared" si="8"/>
      </c>
      <c r="CZ30" s="2928">
        <f t="shared" si="8"/>
      </c>
      <c r="DA30" s="2928">
        <f t="shared" si="8"/>
      </c>
      <c r="DB30" s="2928">
        <f t="shared" si="8"/>
      </c>
      <c r="DC30" s="2928">
        <f t="shared" si="8"/>
      </c>
      <c r="DD30" s="2928">
        <f t="shared" si="8"/>
      </c>
      <c r="DE30" s="2928">
        <f t="shared" si="8"/>
      </c>
      <c r="DF30" s="2928">
        <f t="shared" si="8"/>
      </c>
      <c r="DG30" s="2928">
        <f t="shared" si="8"/>
      </c>
      <c r="DH30" s="2928">
        <f t="shared" si="8"/>
      </c>
      <c r="DI30" s="2928">
        <f t="shared" si="8"/>
      </c>
      <c r="DJ30" s="2928">
        <f t="shared" si="8"/>
      </c>
      <c r="DK30" s="2928">
        <f t="shared" si="8"/>
      </c>
      <c r="DL30" s="2928">
        <f t="shared" si="8"/>
      </c>
      <c r="DM30" s="2928">
        <f t="shared" si="8"/>
      </c>
      <c r="DN30" s="2928">
        <f t="shared" si="8"/>
      </c>
      <c r="DO30" s="2928">
        <f t="shared" si="8"/>
      </c>
      <c r="DP30" s="2928">
        <f t="shared" si="8"/>
      </c>
      <c r="DQ30" s="2928">
        <f t="shared" si="8"/>
      </c>
      <c r="DR30" s="2928">
        <f t="shared" si="8"/>
      </c>
      <c r="DS30" s="2928">
        <f t="shared" si="8"/>
      </c>
      <c r="DT30" s="2928">
        <f t="shared" si="8"/>
      </c>
      <c r="DU30" s="2928">
        <f t="shared" si="8"/>
      </c>
      <c r="DV30" s="2928">
        <f t="shared" si="8"/>
      </c>
      <c r="DW30" s="2928">
        <f t="shared" si="8"/>
      </c>
      <c r="DX30" s="2928">
        <f t="shared" si="8"/>
      </c>
      <c r="DY30" s="2928">
        <f t="shared" si="8"/>
      </c>
      <c r="DZ30" s="2928">
        <f t="shared" si="8"/>
      </c>
      <c r="EA30" s="2928">
        <f t="shared" si="8"/>
      </c>
      <c r="EB30" s="2928">
        <f t="shared" si="8"/>
      </c>
      <c r="EC30" s="2928">
        <f t="shared" si="8"/>
      </c>
      <c r="ED30" s="2928">
        <f t="shared" si="8"/>
      </c>
      <c r="EE30" s="2928">
        <f t="shared" si="8"/>
      </c>
      <c r="EF30" s="2928">
        <f t="shared" si="8"/>
      </c>
      <c r="EG30" s="2928">
        <f t="shared" si="8"/>
      </c>
      <c r="EH30" s="2928">
        <f t="shared" si="8"/>
      </c>
      <c r="EI30" s="2928">
        <f t="shared" si="8"/>
      </c>
      <c r="EJ30" s="2928">
        <f t="shared" si="8"/>
      </c>
      <c r="EK30" s="2928">
        <f t="shared" si="8"/>
      </c>
      <c r="EL30" s="2928">
        <f t="shared" si="8"/>
      </c>
      <c r="EM30" s="2928">
        <f t="shared" si="8"/>
      </c>
      <c r="EN30" s="2928">
        <f t="shared" si="8"/>
      </c>
      <c r="EO30" s="2928">
        <f t="shared" si="8"/>
      </c>
      <c r="EP30" s="2928">
        <f t="shared" si="8"/>
      </c>
      <c r="EQ30" s="2928">
        <f t="shared" si="8"/>
      </c>
      <c r="ER30" s="2928">
        <f t="shared" si="8"/>
      </c>
      <c r="ES30" s="2928">
        <f t="shared" si="8"/>
      </c>
      <c r="ET30" s="2928">
        <f t="shared" si="8"/>
      </c>
      <c r="EU30" s="2928">
        <f t="shared" si="8"/>
      </c>
      <c r="EV30" s="2928">
        <f t="shared" si="8"/>
      </c>
      <c r="EW30" s="2928">
        <f t="shared" si="8"/>
      </c>
      <c r="EX30" s="2928">
        <f t="shared" si="8"/>
      </c>
      <c r="EY30" s="2928">
        <f t="shared" si="8"/>
      </c>
      <c r="EZ30" s="2928">
        <f t="shared" si="8"/>
      </c>
      <c r="FA30" s="2929" t="str">
        <f t="shared" si="12"/>
        <v>-</v>
      </c>
      <c r="FB30" s="2825">
        <f t="shared" si="13"/>
      </c>
      <c r="FC30" s="2930" cm="1">
        <f t="array" ref="FC30">_xlfn.LET(_xlpm.unit_type,$G30,_xlpm.market_rent_from_rent_roll,$E30,_xlpm.unit_type_list,RentRoll_InputArea_DesignatedUnitType,_xlpm.rent_by_unit_type,RentRoll_InputArea_MarketRent,_xlpm.use_rent_roll_market_rent,LEFT(RR_VacantUnitMktRentSource,9)="Rent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30" s="2930">
        <f t="shared" si="14"/>
        <v>1318</v>
      </c>
      <c r="FE30" s="2930">
        <f t="shared" si="15"/>
        <v>1318</v>
      </c>
      <c r="FF30" s="2930">
        <f t="shared" si="16"/>
        <v>1318</v>
      </c>
      <c r="FG30" s="2931"/>
      <c r="FH30" s="2932">
        <f t="shared" si="17"/>
      </c>
      <c r="FI30" s="2932">
        <f t="shared" si="18"/>
      </c>
      <c r="FJ30" s="2931"/>
      <c r="FK30" s="2933" cm="1">
        <f t="array" ref="FK30">IF(AND(LEN($D30)&gt;0,ISNA(MATCH(TRUE,EXACT($G30,RentRoll_InputArea_DesignatedUnitType),0))),1,0)</f>
        <v>0</v>
      </c>
      <c r="FL30" s="2931">
        <f t="shared" si="19"/>
        <v>7</v>
      </c>
      <c r="FM30" s="2931"/>
      <c r="FN30" s="2931"/>
      <c r="FO30" s="2931"/>
      <c r="FP30" s="2931"/>
      <c r="FQ30" s="2931"/>
      <c r="FR30" s="2931"/>
      <c r="FS30" s="2931"/>
      <c r="FT30" s="2931"/>
      <c r="FU30" s="2931"/>
      <c r="FV30" s="2931"/>
      <c r="FW30" s="2931"/>
      <c r="FX30" s="2931"/>
      <c r="FY30" s="2931"/>
      <c r="FZ30" s="2931"/>
      <c r="GA30" s="2931"/>
      <c r="GB30" s="2931"/>
      <c r="GC30" s="2931"/>
      <c r="GD30" s="2931"/>
      <c r="GE30" s="2931"/>
      <c r="GF30" s="2931"/>
      <c r="GG30" s="2931"/>
      <c r="GH30" s="2931"/>
      <c r="GI30" s="2931"/>
      <c r="GJ30" s="2931"/>
      <c r="GK30" s="2931"/>
      <c r="GL30" s="2931"/>
      <c r="GM30" s="2931"/>
      <c r="GN30" s="2931"/>
      <c r="GO30" s="2931"/>
      <c r="GP30" s="2931"/>
      <c r="GQ30" s="2931"/>
      <c r="GR30" s="2931"/>
      <c r="GS30" s="2931"/>
      <c r="GT30" s="2931"/>
      <c r="GU30" s="2931"/>
      <c r="GV30" s="2931"/>
      <c r="GW30" s="2931"/>
      <c r="GX30" s="2931"/>
      <c r="GY30" s="2931"/>
      <c r="GZ30" s="2931"/>
      <c r="HA30" s="2931"/>
      <c r="HB30" s="2931"/>
      <c r="HC30" s="2931"/>
      <c r="HD30" s="2931"/>
      <c r="HE30" s="2931"/>
      <c r="HF30" s="2931"/>
      <c r="HG30" s="2931"/>
      <c r="HH30" s="2931"/>
      <c r="HI30" s="2931"/>
      <c r="HJ30" s="2931"/>
      <c r="HK30" s="2931"/>
      <c r="HL30" s="2931"/>
      <c r="HM30" s="2931"/>
      <c r="HN30" s="2931"/>
      <c r="HO30" s="2931"/>
      <c r="HP30" s="2931"/>
      <c r="HQ30" s="2931"/>
      <c r="HR30" s="2931"/>
      <c r="HS30" s="2931"/>
      <c r="HT30" s="2931"/>
      <c r="HU30" s="2931"/>
      <c r="HV30" s="2931"/>
      <c r="HW30" s="2931"/>
      <c r="HX30" s="2931"/>
      <c r="HY30" s="2931"/>
      <c r="HZ30" s="2931"/>
      <c r="IA30" s="2931"/>
      <c r="IB30" s="2931"/>
      <c r="IC30" s="2931"/>
      <c r="ID30" s="2931"/>
      <c r="IE30" s="2931"/>
      <c r="IF30" s="2931"/>
      <c r="IG30" s="2931"/>
      <c r="IH30" s="2931"/>
      <c r="II30" s="2931"/>
      <c r="IJ30" s="2931"/>
      <c r="IK30" s="2931"/>
      <c r="IL30" s="2931"/>
      <c r="IM30" s="2931"/>
      <c r="IN30" s="2931"/>
      <c r="IO30" s="2931" cm="1">
        <f t="array" ref="IO30">IF(LEN($G30)=0,"Rent Roll is incomplete",_xlfn.XLOOKUP(TRUE,EXACT(RentRoll_InputArea_DesignatedUnitType,$G30),RentRoll_InputArea_Beds,"Not Found"))</f>
        <v>2</v>
      </c>
      <c r="IP30" s="2934"/>
      <c r="IQ30" s="2935" t="str">
        <f t="shared" si="20"/>
        <v>2 Bedroom Unit</v>
      </c>
      <c r="IR30" s="2926">
        <f t="shared" si="21"/>
        <v>1318</v>
      </c>
      <c r="IS30" s="2935"/>
      <c r="IT30" s="2931"/>
      <c r="IU30" s="2931"/>
      <c r="IV30" s="2931"/>
      <c r="IW30" s="2936" t="str">
        <f t="shared" si="22"/>
        <v>1-106</v>
      </c>
      <c r="IX30" s="2936"/>
      <c r="IY30" s="2936"/>
      <c r="IZ30" s="2936">
        <f t="shared" si="23"/>
        <v>2</v>
      </c>
      <c r="JA30" s="2936">
        <f t="shared" si="24"/>
        <v>1318</v>
      </c>
      <c r="JB30" s="2936"/>
      <c r="JC30" s="2936"/>
      <c r="JD30" s="2936"/>
      <c r="JE30" s="2936"/>
      <c r="JF30" s="2936"/>
      <c r="JG30" s="2936"/>
      <c r="JH30" s="2936">
        <f t="shared" si="25"/>
        <v>1410</v>
      </c>
      <c r="JI30" s="2936"/>
      <c r="JJ30" s="2936">
        <f t="shared" si="26"/>
      </c>
      <c r="JK30" s="2936"/>
      <c r="JL30" s="2936"/>
      <c r="JM30" s="2936"/>
      <c r="JN30" s="2936"/>
      <c r="JO30" s="2936"/>
      <c r="JP30" s="2936"/>
      <c r="JQ30" s="2936" t="str">
        <f t="shared" si="27"/>
        <v>Occupied</v>
      </c>
      <c r="JR30" s="2936" cm="1">
        <f t="array" ref="JR30">_xlfn.XLOOKUP(TRUE,EXACT(RentRoll_InputArea_DesignatedUnitType,$G30),RentRoll_InputArea_SquareFootage,"Not Found")</f>
        <v>851</v>
      </c>
      <c r="JS30" s="2936" t="str">
        <f t="shared" si="28"/>
        <v>Apartment</v>
      </c>
      <c r="JT30" s="2936">
        <f t="shared" si="29"/>
      </c>
      <c r="JU30" s="2936"/>
      <c r="JV30" s="2936"/>
      <c r="JW30" s="2936"/>
      <c r="JX30" s="2936"/>
      <c r="JY30" s="2936">
        <f t="shared" si="9"/>
        <v>43398</v>
      </c>
      <c r="JZ30" s="2936">
        <f t="shared" si="9"/>
        <v>43616</v>
      </c>
      <c r="KA30" s="2936"/>
      <c r="KB30" s="2936"/>
      <c r="KC30" s="2936"/>
      <c r="KD30" s="2936"/>
      <c r="KE30" s="2936"/>
      <c r="KF30" s="2936"/>
      <c r="KG30" s="2936"/>
      <c r="KH30" s="2936"/>
      <c r="KI30" s="2937"/>
      <c r="KJ30" s="2936"/>
      <c r="KK30" s="1353"/>
    </row>
    <row r="31" ht="15" customHeight="1">
      <c r="A31" s="2922">
        <f t="shared" si="10"/>
        <v>8</v>
      </c>
      <c r="B31" s="2865"/>
      <c r="C31" s="2873"/>
      <c r="D31" s="2873" t="s">
        <v>2757</v>
      </c>
      <c r="E31" s="2923">
        <v>1412</v>
      </c>
      <c r="F31" s="2924" t="s">
        <v>2758</v>
      </c>
      <c r="G31" s="2873" t="s">
        <v>2531</v>
      </c>
      <c r="H31" s="2923">
        <v>1394</v>
      </c>
      <c r="I31" s="2925" cm="1">
        <f t="array" ref="I31">_xlfn.LET(_xlpm.has_subsidy,$N31&gt;0,_xlpm.is_chap9_sbl,$FF$20,_xlpm.contract_rent,$H31,_xlpm.unit_type_mkt_rent,_xlfn.XLOOKUP(TRUE,EXACT($G31,RentRoll_InputArea_DesignatedUnitType),RentRoll_InputArea_MarketRent,"Not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1" s="2926">
        <f t="shared" si="11"/>
        <v>1394</v>
      </c>
      <c r="K31" s="2923"/>
      <c r="L31" s="2923"/>
      <c r="M31" s="2923"/>
      <c r="N31" s="2923"/>
      <c r="O31" s="2927">
        <v>43337</v>
      </c>
      <c r="P31" s="2927">
        <v>43616</v>
      </c>
      <c r="Q31" s="2928">
        <f t="shared" si="8"/>
      </c>
      <c r="R31" s="2928">
        <f t="shared" si="8"/>
      </c>
      <c r="S31" s="2928">
        <f t="shared" si="8"/>
        <v>1394</v>
      </c>
      <c r="T31" s="2928">
        <f t="shared" si="8"/>
      </c>
      <c r="U31" s="2928">
        <f t="shared" si="8"/>
      </c>
      <c r="V31" s="2928">
        <f t="shared" si="8"/>
      </c>
      <c r="W31" s="2928">
        <f t="shared" si="8"/>
      </c>
      <c r="X31" s="2928">
        <f t="shared" si="8"/>
      </c>
      <c r="Y31" s="2928">
        <f t="shared" si="8"/>
      </c>
      <c r="Z31" s="2928">
        <f t="shared" si="8"/>
      </c>
      <c r="AA31" s="2928">
        <f t="shared" si="8"/>
      </c>
      <c r="AB31" s="2928">
        <f t="shared" si="8"/>
      </c>
      <c r="AC31" s="2928">
        <f t="shared" si="8"/>
      </c>
      <c r="AD31" s="2928">
        <f t="shared" si="8"/>
      </c>
      <c r="AE31" s="2928">
        <f t="shared" si="8"/>
      </c>
      <c r="AF31" s="2928">
        <f t="shared" si="8"/>
      </c>
      <c r="AG31" s="2928">
        <f t="shared" si="8"/>
      </c>
      <c r="AH31" s="2928">
        <f t="shared" si="8"/>
      </c>
      <c r="AI31" s="2928">
        <f t="shared" si="8"/>
      </c>
      <c r="AJ31" s="2928">
        <f t="shared" si="8"/>
      </c>
      <c r="AK31" s="2928">
        <f t="shared" si="8"/>
      </c>
      <c r="AL31" s="2928">
        <f t="shared" si="8"/>
      </c>
      <c r="AM31" s="2928">
        <f t="shared" si="8"/>
      </c>
      <c r="AN31" s="2928">
        <f t="shared" si="8"/>
      </c>
      <c r="AO31" s="2928">
        <f t="shared" si="8"/>
      </c>
      <c r="AP31" s="2928">
        <f t="shared" si="8"/>
      </c>
      <c r="AQ31" s="2928">
        <f t="shared" si="8"/>
      </c>
      <c r="AR31" s="2928">
        <f t="shared" si="8"/>
      </c>
      <c r="AS31" s="2928">
        <f t="shared" si="8"/>
      </c>
      <c r="AT31" s="2928">
        <f t="shared" si="8"/>
      </c>
      <c r="AU31" s="2928">
        <f t="shared" si="8"/>
      </c>
      <c r="AV31" s="2928">
        <f t="shared" si="8"/>
      </c>
      <c r="AW31" s="2928">
        <f t="shared" si="8"/>
      </c>
      <c r="AX31" s="2928">
        <f t="shared" si="8"/>
      </c>
      <c r="AY31" s="2928">
        <f t="shared" si="8"/>
      </c>
      <c r="AZ31" s="2928">
        <f t="shared" si="8"/>
      </c>
      <c r="BA31" s="2928">
        <f t="shared" si="8"/>
      </c>
      <c r="BB31" s="2928">
        <f t="shared" si="8"/>
      </c>
      <c r="BC31" s="2928">
        <f t="shared" si="8"/>
      </c>
      <c r="BD31" s="2928">
        <f t="shared" si="8"/>
      </c>
      <c r="BE31" s="2928">
        <f t="shared" si="8"/>
      </c>
      <c r="BF31" s="2928">
        <f t="shared" si="8"/>
      </c>
      <c r="BG31" s="2928">
        <f t="shared" si="8"/>
      </c>
      <c r="BH31" s="2928">
        <f t="shared" si="8"/>
      </c>
      <c r="BI31" s="2928">
        <f t="shared" si="8"/>
      </c>
      <c r="BJ31" s="2928">
        <f t="shared" si="8"/>
      </c>
      <c r="BK31" s="2928">
        <f t="shared" si="8"/>
      </c>
      <c r="BL31" s="2928">
        <f t="shared" si="8"/>
      </c>
      <c r="BM31" s="2928">
        <f t="shared" si="8"/>
      </c>
      <c r="BN31" s="2928">
        <f t="shared" si="8"/>
      </c>
      <c r="BO31" s="2928">
        <f t="shared" si="8"/>
      </c>
      <c r="BP31" s="2928">
        <f t="shared" si="8"/>
      </c>
      <c r="BQ31" s="2928">
        <f t="shared" si="8"/>
      </c>
      <c r="BR31" s="2928">
        <f t="shared" si="8"/>
      </c>
      <c r="BS31" s="2928">
        <f t="shared" si="8"/>
      </c>
      <c r="BT31" s="2928">
        <f t="shared" si="8"/>
      </c>
      <c r="BU31" s="2928">
        <f t="shared" si="8"/>
      </c>
      <c r="BV31" s="2928">
        <f t="shared" si="8"/>
      </c>
      <c r="BW31" s="2928">
        <f t="shared" si="8"/>
      </c>
      <c r="BX31" s="2928">
        <f t="shared" si="8"/>
      </c>
      <c r="BY31" s="2928">
        <f t="shared" si="8"/>
      </c>
      <c r="BZ31" s="2928">
        <f t="shared" si="8"/>
      </c>
      <c r="CA31" s="2928">
        <f t="shared" si="8"/>
      </c>
      <c r="CB31" s="2928">
        <f t="shared" si="8"/>
      </c>
      <c r="CC31" s="2928">
        <f t="shared" si="8"/>
      </c>
      <c r="CD31" s="2928">
        <f t="shared" si="8"/>
      </c>
      <c r="CE31" s="2928">
        <f t="shared" si="8"/>
      </c>
      <c r="CF31" s="2928">
        <f t="shared" si="8"/>
      </c>
      <c r="CG31" s="2928">
        <f t="shared" si="8"/>
      </c>
      <c r="CH31" s="2928">
        <f t="shared" si="8"/>
      </c>
      <c r="CI31" s="2928">
        <f t="shared" si="8"/>
      </c>
      <c r="CJ31" s="2928">
        <f t="shared" si="8"/>
      </c>
      <c r="CK31" s="2928">
        <f t="shared" si="8"/>
      </c>
      <c r="CL31" s="2928">
        <f t="shared" si="8"/>
      </c>
      <c r="CM31" s="2928">
        <f t="shared" si="8"/>
      </c>
      <c r="CN31" s="2928">
        <f t="shared" si="8"/>
      </c>
      <c r="CO31" s="2928">
        <f t="shared" si="8"/>
      </c>
      <c r="CP31" s="2928">
        <f t="shared" si="8"/>
      </c>
      <c r="CQ31" s="2928">
        <f t="shared" si="8"/>
      </c>
      <c r="CR31" s="2928">
        <f t="shared" si="8"/>
      </c>
      <c r="CS31" s="2928">
        <f t="shared" si="8"/>
      </c>
      <c r="CT31" s="2928">
        <f t="shared" si="8"/>
      </c>
      <c r="CU31" s="2928">
        <f t="shared" si="8"/>
      </c>
      <c r="CV31" s="2928">
        <f t="shared" si="8"/>
      </c>
      <c r="CW31" s="2928">
        <f t="shared" si="8"/>
      </c>
      <c r="CX31" s="2928">
        <f t="shared" si="8"/>
      </c>
      <c r="CY31" s="2928">
        <f t="shared" si="8"/>
      </c>
      <c r="CZ31" s="2928">
        <f t="shared" si="8"/>
      </c>
      <c r="DA31" s="2928">
        <f t="shared" si="8"/>
      </c>
      <c r="DB31" s="2928">
        <f t="shared" si="8"/>
      </c>
      <c r="DC31" s="2928">
        <f t="shared" si="8"/>
      </c>
      <c r="DD31" s="2928">
        <f t="shared" si="8"/>
      </c>
      <c r="DE31" s="2928">
        <f t="shared" si="8"/>
      </c>
      <c r="DF31" s="2928">
        <f t="shared" si="8"/>
      </c>
      <c r="DG31" s="2928">
        <f t="shared" si="8"/>
      </c>
      <c r="DH31" s="2928">
        <f t="shared" si="8"/>
      </c>
      <c r="DI31" s="2928">
        <f t="shared" si="8"/>
      </c>
      <c r="DJ31" s="2928">
        <f t="shared" si="8"/>
      </c>
      <c r="DK31" s="2928">
        <f t="shared" si="8"/>
      </c>
      <c r="DL31" s="2928">
        <f t="shared" si="8"/>
      </c>
      <c r="DM31" s="2928">
        <f t="shared" si="8"/>
      </c>
      <c r="DN31" s="2928">
        <f t="shared" si="8"/>
      </c>
      <c r="DO31" s="2928">
        <f t="shared" si="8"/>
      </c>
      <c r="DP31" s="2928">
        <f t="shared" si="8"/>
      </c>
      <c r="DQ31" s="2928">
        <f t="shared" si="8"/>
      </c>
      <c r="DR31" s="2928">
        <f t="shared" si="8"/>
      </c>
      <c r="DS31" s="2928">
        <f t="shared" si="8"/>
      </c>
      <c r="DT31" s="2928">
        <f t="shared" si="8"/>
      </c>
      <c r="DU31" s="2928">
        <f t="shared" si="8"/>
      </c>
      <c r="DV31" s="2928">
        <f t="shared" si="8"/>
      </c>
      <c r="DW31" s="2928">
        <f t="shared" si="8"/>
      </c>
      <c r="DX31" s="2928">
        <f t="shared" si="8"/>
      </c>
      <c r="DY31" s="2928">
        <f t="shared" si="8"/>
      </c>
      <c r="DZ31" s="2928">
        <f t="shared" si="8"/>
      </c>
      <c r="EA31" s="2928">
        <f t="shared" si="8"/>
      </c>
      <c r="EB31" s="2928">
        <f t="shared" si="8"/>
      </c>
      <c r="EC31" s="2928">
        <f t="shared" si="8"/>
      </c>
      <c r="ED31" s="2928">
        <f t="shared" si="8"/>
      </c>
      <c r="EE31" s="2928">
        <f t="shared" si="8"/>
      </c>
      <c r="EF31" s="2928">
        <f t="shared" si="8"/>
      </c>
      <c r="EG31" s="2928">
        <f t="shared" si="8"/>
      </c>
      <c r="EH31" s="2928">
        <f t="shared" si="8"/>
      </c>
      <c r="EI31" s="2928">
        <f t="shared" si="8"/>
      </c>
      <c r="EJ31" s="2928">
        <f t="shared" si="8"/>
      </c>
      <c r="EK31" s="2928">
        <f t="shared" si="8"/>
      </c>
      <c r="EL31" s="2928">
        <f t="shared" si="8"/>
      </c>
      <c r="EM31" s="2928">
        <f t="shared" si="8"/>
      </c>
      <c r="EN31" s="2928">
        <f t="shared" si="8"/>
      </c>
      <c r="EO31" s="2928">
        <f t="shared" si="8"/>
      </c>
      <c r="EP31" s="2928">
        <f t="shared" si="8"/>
      </c>
      <c r="EQ31" s="2928">
        <f t="shared" si="8"/>
      </c>
      <c r="ER31" s="2928">
        <f t="shared" si="8"/>
      </c>
      <c r="ES31" s="2928">
        <f t="shared" si="8"/>
      </c>
      <c r="ET31" s="2928">
        <f t="shared" si="8"/>
      </c>
      <c r="EU31" s="2928">
        <f t="shared" si="8"/>
      </c>
      <c r="EV31" s="2928">
        <f t="shared" si="8"/>
      </c>
      <c r="EW31" s="2928">
        <f t="shared" si="8"/>
      </c>
      <c r="EX31" s="2928">
        <f t="shared" si="8"/>
      </c>
      <c r="EY31" s="2928">
        <f t="shared" si="8"/>
      </c>
      <c r="EZ31" s="2928">
        <f t="shared" si="8"/>
      </c>
      <c r="FA31" s="2929" t="str">
        <f t="shared" si="12"/>
        <v>-</v>
      </c>
      <c r="FB31" s="2825">
        <f t="shared" si="13"/>
      </c>
      <c r="FC31" s="2930" cm="1">
        <f t="array" ref="FC31">_xlfn.LET(_xlpm.unit_type,$G31,_xlpm.market_rent_from_rent_roll,$E31,_xlpm.unit_type_list,RentRoll_InputArea_DesignatedUnitType,_xlpm.rent_by_unit_type,RentRoll_InputArea_MarketRent,_xlpm.use_rent_roll_market_rent,LEFT(RR_VacantUnitMktRentSource,9)="Rent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31" s="2930">
        <f t="shared" si="14"/>
        <v>1394</v>
      </c>
      <c r="FE31" s="2930">
        <f t="shared" si="15"/>
        <v>1394</v>
      </c>
      <c r="FF31" s="2930">
        <f t="shared" si="16"/>
        <v>1394</v>
      </c>
      <c r="FG31" s="2931"/>
      <c r="FH31" s="2932">
        <f t="shared" si="17"/>
      </c>
      <c r="FI31" s="2932">
        <f t="shared" si="18"/>
      </c>
      <c r="FJ31" s="2931"/>
      <c r="FK31" s="2933" cm="1">
        <f t="array" ref="FK31">IF(AND(LEN($D31)&gt;0,ISNA(MATCH(TRUE,EXACT($G31,RentRoll_InputArea_DesignatedUnitType),0))),1,0)</f>
        <v>0</v>
      </c>
      <c r="FL31" s="2931">
        <f t="shared" si="19"/>
        <v>8</v>
      </c>
      <c r="FM31" s="2931"/>
      <c r="FN31" s="2931"/>
      <c r="FO31" s="2931"/>
      <c r="FP31" s="2931"/>
      <c r="FQ31" s="2931"/>
      <c r="FR31" s="2931"/>
      <c r="FS31" s="2931"/>
      <c r="FT31" s="2931"/>
      <c r="FU31" s="2931"/>
      <c r="FV31" s="2931"/>
      <c r="FW31" s="2931"/>
      <c r="FX31" s="2931"/>
      <c r="FY31" s="2931"/>
      <c r="FZ31" s="2931"/>
      <c r="GA31" s="2931"/>
      <c r="GB31" s="2931"/>
      <c r="GC31" s="2931"/>
      <c r="GD31" s="2931"/>
      <c r="GE31" s="2931"/>
      <c r="GF31" s="2931"/>
      <c r="GG31" s="2931"/>
      <c r="GH31" s="2931"/>
      <c r="GI31" s="2931"/>
      <c r="GJ31" s="2931"/>
      <c r="GK31" s="2931"/>
      <c r="GL31" s="2931"/>
      <c r="GM31" s="2931"/>
      <c r="GN31" s="2931"/>
      <c r="GO31" s="2931"/>
      <c r="GP31" s="2931"/>
      <c r="GQ31" s="2931"/>
      <c r="GR31" s="2931"/>
      <c r="GS31" s="2931"/>
      <c r="GT31" s="2931"/>
      <c r="GU31" s="2931"/>
      <c r="GV31" s="2931"/>
      <c r="GW31" s="2931"/>
      <c r="GX31" s="2931"/>
      <c r="GY31" s="2931"/>
      <c r="GZ31" s="2931"/>
      <c r="HA31" s="2931"/>
      <c r="HB31" s="2931"/>
      <c r="HC31" s="2931"/>
      <c r="HD31" s="2931"/>
      <c r="HE31" s="2931"/>
      <c r="HF31" s="2931"/>
      <c r="HG31" s="2931"/>
      <c r="HH31" s="2931"/>
      <c r="HI31" s="2931"/>
      <c r="HJ31" s="2931"/>
      <c r="HK31" s="2931"/>
      <c r="HL31" s="2931"/>
      <c r="HM31" s="2931"/>
      <c r="HN31" s="2931"/>
      <c r="HO31" s="2931"/>
      <c r="HP31" s="2931"/>
      <c r="HQ31" s="2931"/>
      <c r="HR31" s="2931"/>
      <c r="HS31" s="2931"/>
      <c r="HT31" s="2931"/>
      <c r="HU31" s="2931"/>
      <c r="HV31" s="2931"/>
      <c r="HW31" s="2931"/>
      <c r="HX31" s="2931"/>
      <c r="HY31" s="2931"/>
      <c r="HZ31" s="2931"/>
      <c r="IA31" s="2931"/>
      <c r="IB31" s="2931"/>
      <c r="IC31" s="2931"/>
      <c r="ID31" s="2931"/>
      <c r="IE31" s="2931"/>
      <c r="IF31" s="2931"/>
      <c r="IG31" s="2931"/>
      <c r="IH31" s="2931"/>
      <c r="II31" s="2931"/>
      <c r="IJ31" s="2931"/>
      <c r="IK31" s="2931"/>
      <c r="IL31" s="2931"/>
      <c r="IM31" s="2931"/>
      <c r="IN31" s="2931"/>
      <c r="IO31" s="2931" cm="1">
        <f t="array" ref="IO31">IF(LEN($G31)=0,"Rent Roll is incomplete",_xlfn.XLOOKUP(TRUE,EXACT(RentRoll_InputArea_DesignatedUnitType,$G31),RentRoll_InputArea_Beds,"Not Found"))</f>
        <v>2</v>
      </c>
      <c r="IP31" s="2934"/>
      <c r="IQ31" s="2935" t="str">
        <f t="shared" si="20"/>
        <v>2 Bedroom Unit</v>
      </c>
      <c r="IR31" s="2926">
        <f t="shared" si="21"/>
        <v>1394</v>
      </c>
      <c r="IS31" s="2935"/>
      <c r="IT31" s="2931"/>
      <c r="IU31" s="2931"/>
      <c r="IV31" s="2931"/>
      <c r="IW31" s="2936" t="str">
        <f t="shared" si="22"/>
        <v>1-107</v>
      </c>
      <c r="IX31" s="2936"/>
      <c r="IY31" s="2936"/>
      <c r="IZ31" s="2936">
        <f t="shared" si="23"/>
        <v>2</v>
      </c>
      <c r="JA31" s="2936">
        <f t="shared" si="24"/>
        <v>1394</v>
      </c>
      <c r="JB31" s="2936"/>
      <c r="JC31" s="2936"/>
      <c r="JD31" s="2936"/>
      <c r="JE31" s="2936"/>
      <c r="JF31" s="2936"/>
      <c r="JG31" s="2936"/>
      <c r="JH31" s="2936">
        <f t="shared" si="25"/>
        <v>1410</v>
      </c>
      <c r="JI31" s="2936"/>
      <c r="JJ31" s="2936">
        <f t="shared" si="26"/>
      </c>
      <c r="JK31" s="2936"/>
      <c r="JL31" s="2936"/>
      <c r="JM31" s="2936"/>
      <c r="JN31" s="2936"/>
      <c r="JO31" s="2936"/>
      <c r="JP31" s="2936"/>
      <c r="JQ31" s="2936" t="str">
        <f t="shared" si="27"/>
        <v>Occupied</v>
      </c>
      <c r="JR31" s="2936" cm="1">
        <f t="array" ref="JR31">_xlfn.XLOOKUP(TRUE,EXACT(RentRoll_InputArea_DesignatedUnitType,$G31),RentRoll_InputArea_SquareFootage,"Not Found")</f>
        <v>851</v>
      </c>
      <c r="JS31" s="2936" t="str">
        <f t="shared" si="28"/>
        <v>Apartment</v>
      </c>
      <c r="JT31" s="2936">
        <f t="shared" si="29"/>
      </c>
      <c r="JU31" s="2936"/>
      <c r="JV31" s="2936"/>
      <c r="JW31" s="2936"/>
      <c r="JX31" s="2936"/>
      <c r="JY31" s="2936">
        <f t="shared" si="9"/>
        <v>43337</v>
      </c>
      <c r="JZ31" s="2936">
        <f t="shared" si="9"/>
        <v>43616</v>
      </c>
      <c r="KA31" s="2936"/>
      <c r="KB31" s="2936"/>
      <c r="KC31" s="2936"/>
      <c r="KD31" s="2936"/>
      <c r="KE31" s="2936"/>
      <c r="KF31" s="2936"/>
      <c r="KG31" s="2936"/>
      <c r="KH31" s="2936"/>
      <c r="KI31" s="2937"/>
      <c r="KJ31" s="2936"/>
      <c r="KK31" s="1353"/>
    </row>
    <row r="32" ht="15" customHeight="1">
      <c r="A32" s="2922">
        <f t="shared" si="10"/>
        <v>9</v>
      </c>
      <c r="B32" s="2865"/>
      <c r="C32" s="2873"/>
      <c r="D32" s="2873" t="s">
        <v>2759</v>
      </c>
      <c r="E32" s="2923">
        <v>1201</v>
      </c>
      <c r="F32" s="2924" t="s">
        <v>2760</v>
      </c>
      <c r="G32" s="2873" t="s">
        <v>2529</v>
      </c>
      <c r="H32" s="2923">
        <v>1002</v>
      </c>
      <c r="I32" s="2925" cm="1">
        <f t="array" ref="I32">_xlfn.LET(_xlpm.has_subsidy,$N32&gt;0,_xlpm.is_chap9_sbl,$FF$20,_xlpm.contract_rent,$H32,_xlpm.unit_type_mkt_rent,_xlfn.XLOOKUP(TRUE,EXACT($G32,RentRoll_InputArea_DesignatedUnitType),RentRoll_InputArea_MarketRent,"Not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2" s="2926">
        <f t="shared" si="11"/>
        <v>1002</v>
      </c>
      <c r="K32" s="2923"/>
      <c r="L32" s="2923"/>
      <c r="M32" s="2923"/>
      <c r="N32" s="2923"/>
      <c r="O32" s="2927">
        <v>43556</v>
      </c>
      <c r="P32" s="2927">
        <v>43921</v>
      </c>
      <c r="Q32" s="2928">
        <f t="shared" si="8"/>
        <v>1002</v>
      </c>
      <c r="R32" s="2928">
        <f t="shared" si="8"/>
      </c>
      <c r="S32" s="2928">
        <f t="shared" si="8"/>
      </c>
      <c r="T32" s="2928">
        <f t="shared" si="8"/>
      </c>
      <c r="U32" s="2928">
        <f t="shared" si="8"/>
      </c>
      <c r="V32" s="2928">
        <f t="shared" si="8"/>
      </c>
      <c r="W32" s="2928">
        <f t="shared" si="8"/>
      </c>
      <c r="X32" s="2928">
        <f t="shared" si="8"/>
      </c>
      <c r="Y32" s="2928">
        <f t="shared" si="8"/>
      </c>
      <c r="Z32" s="2928">
        <f t="shared" si="8"/>
      </c>
      <c r="AA32" s="2928">
        <f t="shared" si="8"/>
      </c>
      <c r="AB32" s="2928">
        <f t="shared" si="8"/>
      </c>
      <c r="AC32" s="2928">
        <f t="shared" si="8"/>
      </c>
      <c r="AD32" s="2928">
        <f t="shared" si="8"/>
      </c>
      <c r="AE32" s="2928">
        <f t="shared" si="8"/>
      </c>
      <c r="AF32" s="2928">
        <f t="shared" si="8"/>
      </c>
      <c r="AG32" s="2928">
        <f t="shared" si="8"/>
      </c>
      <c r="AH32" s="2928">
        <f t="shared" si="8"/>
      </c>
      <c r="AI32" s="2928">
        <f t="shared" si="8"/>
      </c>
      <c r="AJ32" s="2928">
        <f t="shared" si="8"/>
      </c>
      <c r="AK32" s="2928">
        <f t="shared" si="8"/>
      </c>
      <c r="AL32" s="2928">
        <f t="shared" si="8"/>
      </c>
      <c r="AM32" s="2928">
        <f t="shared" si="8"/>
      </c>
      <c r="AN32" s="2928">
        <f t="shared" si="8"/>
      </c>
      <c r="AO32" s="2928">
        <f t="shared" si="8"/>
      </c>
      <c r="AP32" s="2928">
        <f t="shared" si="8"/>
      </c>
      <c r="AQ32" s="2928">
        <f t="shared" si="8"/>
      </c>
      <c r="AR32" s="2928">
        <f t="shared" si="8"/>
      </c>
      <c r="AS32" s="2928">
        <f t="shared" si="8"/>
      </c>
      <c r="AT32" s="2928">
        <f t="shared" si="8"/>
      </c>
      <c r="AU32" s="2928">
        <f t="shared" si="8"/>
      </c>
      <c r="AV32" s="2928">
        <f t="shared" si="8"/>
      </c>
      <c r="AW32" s="2928">
        <f t="shared" si="8"/>
      </c>
      <c r="AX32" s="2928">
        <f t="shared" si="8"/>
      </c>
      <c r="AY32" s="2928">
        <f t="shared" si="8"/>
      </c>
      <c r="AZ32" s="2928">
        <f t="shared" si="8"/>
      </c>
      <c r="BA32" s="2928">
        <f t="shared" si="8"/>
      </c>
      <c r="BB32" s="2928">
        <f t="shared" si="8"/>
      </c>
      <c r="BC32" s="2928">
        <f t="shared" si="8"/>
      </c>
      <c r="BD32" s="2928">
        <f t="shared" si="8"/>
      </c>
      <c r="BE32" s="2928">
        <f t="shared" si="8"/>
      </c>
      <c r="BF32" s="2928">
        <f t="shared" si="8"/>
      </c>
      <c r="BG32" s="2928">
        <f t="shared" si="8"/>
      </c>
      <c r="BH32" s="2928">
        <f t="shared" si="8"/>
      </c>
      <c r="BI32" s="2928">
        <f t="shared" si="8"/>
      </c>
      <c r="BJ32" s="2928">
        <f t="shared" si="8"/>
      </c>
      <c r="BK32" s="2928">
        <f t="shared" si="8"/>
      </c>
      <c r="BL32" s="2928">
        <f t="shared" si="8"/>
      </c>
      <c r="BM32" s="2928">
        <f t="shared" si="8"/>
      </c>
      <c r="BN32" s="2928">
        <f t="shared" si="8"/>
      </c>
      <c r="BO32" s="2928">
        <f t="shared" si="8"/>
      </c>
      <c r="BP32" s="2928">
        <f t="shared" si="8"/>
      </c>
      <c r="BQ32" s="2928">
        <f t="shared" si="8"/>
      </c>
      <c r="BR32" s="2928">
        <f t="shared" si="8"/>
      </c>
      <c r="BS32" s="2928">
        <f t="shared" si="8"/>
      </c>
      <c r="BT32" s="2928">
        <f t="shared" si="8"/>
      </c>
      <c r="BU32" s="2928">
        <f t="shared" si="8"/>
      </c>
      <c r="BV32" s="2928">
        <f t="shared" si="8"/>
      </c>
      <c r="BW32" s="2928">
        <f t="shared" si="8"/>
      </c>
      <c r="BX32" s="2928">
        <f t="shared" si="8"/>
      </c>
      <c r="BY32" s="2928">
        <f t="shared" si="8"/>
      </c>
      <c r="BZ32" s="2928">
        <f t="shared" si="8"/>
      </c>
      <c r="CA32" s="2928">
        <f t="shared" si="8"/>
      </c>
      <c r="CB32" s="2928">
        <f t="shared" si="8"/>
      </c>
      <c r="CC32" s="2928">
        <f t="shared" si="8"/>
      </c>
      <c r="CD32" s="2928">
        <f t="shared" si="8"/>
      </c>
      <c r="CE32" s="2928">
        <f t="shared" si="8"/>
      </c>
      <c r="CF32" s="2928">
        <f t="shared" si="8"/>
      </c>
      <c r="CG32" s="2928">
        <f t="shared" si="8"/>
      </c>
      <c r="CH32" s="2928">
        <f t="shared" si="8"/>
      </c>
      <c r="CI32" s="2928">
        <f t="shared" si="8"/>
      </c>
      <c r="CJ32" s="2928">
        <f t="shared" si="8"/>
      </c>
      <c r="CK32" s="2928">
        <f t="shared" si="8"/>
      </c>
      <c r="CL32" s="2928">
        <f t="shared" si="8"/>
      </c>
      <c r="CM32" s="2928">
        <f t="shared" si="8"/>
      </c>
      <c r="CN32" s="2928">
        <f t="shared" si="8"/>
      </c>
      <c r="CO32" s="2928">
        <f t="shared" si="8"/>
      </c>
      <c r="CP32" s="2928">
        <f t="shared" si="8"/>
      </c>
      <c r="CQ32" s="2928">
        <f t="shared" si="8"/>
      </c>
      <c r="CR32" s="2928">
        <f t="shared" si="8"/>
      </c>
      <c r="CS32" s="2928">
        <f t="shared" si="8"/>
      </c>
      <c r="CT32" s="2928">
        <f t="shared" si="8"/>
      </c>
      <c r="CU32" s="2928">
        <f t="shared" si="8"/>
      </c>
      <c r="CV32" s="2928">
        <f t="shared" si="8"/>
      </c>
      <c r="CW32" s="2928">
        <f t="shared" si="8"/>
      </c>
      <c r="CX32" s="2928">
        <f t="shared" si="8"/>
      </c>
      <c r="CY32" s="2928">
        <f t="shared" si="8"/>
      </c>
      <c r="CZ32" s="2928">
        <f t="shared" si="8"/>
      </c>
      <c r="DA32" s="2928">
        <f t="shared" si="8"/>
      </c>
      <c r="DB32" s="2928">
        <f t="shared" si="8"/>
      </c>
      <c r="DC32" s="2928">
        <f t="shared" si="8"/>
      </c>
      <c r="DD32" s="2928">
        <f t="shared" si="8"/>
      </c>
      <c r="DE32" s="2928">
        <f t="shared" si="8"/>
      </c>
      <c r="DF32" s="2928">
        <f t="shared" si="8"/>
      </c>
      <c r="DG32" s="2928">
        <f t="shared" si="8"/>
      </c>
      <c r="DH32" s="2928">
        <f t="shared" si="8"/>
      </c>
      <c r="DI32" s="2928">
        <f t="shared" si="8"/>
      </c>
      <c r="DJ32" s="2928">
        <f t="shared" si="8"/>
      </c>
      <c r="DK32" s="2928">
        <f t="shared" si="8"/>
      </c>
      <c r="DL32" s="2928">
        <f t="shared" si="8"/>
      </c>
      <c r="DM32" s="2928">
        <f t="shared" si="8"/>
      </c>
      <c r="DN32" s="2928">
        <f t="shared" si="8"/>
      </c>
      <c r="DO32" s="2928">
        <f t="shared" si="8"/>
      </c>
      <c r="DP32" s="2928">
        <f t="shared" si="8"/>
      </c>
      <c r="DQ32" s="2928">
        <f t="shared" si="8"/>
      </c>
      <c r="DR32" s="2928">
        <f t="shared" si="8"/>
      </c>
      <c r="DS32" s="2928">
        <f t="shared" si="8"/>
      </c>
      <c r="DT32" s="2928">
        <f t="shared" si="8"/>
      </c>
      <c r="DU32" s="2928">
        <f t="shared" si="8"/>
      </c>
      <c r="DV32" s="2928">
        <f t="shared" si="8"/>
      </c>
      <c r="DW32" s="2928">
        <f t="shared" si="8"/>
      </c>
      <c r="DX32" s="2928">
        <f t="shared" si="8"/>
      </c>
      <c r="DY32" s="2928">
        <f t="shared" si="8"/>
      </c>
      <c r="DZ32" s="2928">
        <f t="shared" si="8"/>
      </c>
      <c r="EA32" s="2928">
        <f t="shared" si="8"/>
      </c>
      <c r="EB32" s="2928">
        <f t="shared" si="8"/>
      </c>
      <c r="EC32" s="2928">
        <f t="shared" si="8"/>
      </c>
      <c r="ED32" s="2928">
        <f t="shared" si="8"/>
      </c>
      <c r="EE32" s="2928">
        <f t="shared" si="8"/>
      </c>
      <c r="EF32" s="2928">
        <f t="shared" si="8"/>
      </c>
      <c r="EG32" s="2928">
        <f t="shared" si="8"/>
      </c>
      <c r="EH32" s="2928">
        <f t="shared" si="8"/>
      </c>
      <c r="EI32" s="2928">
        <f t="shared" si="8"/>
      </c>
      <c r="EJ32" s="2928">
        <f t="shared" si="8"/>
      </c>
      <c r="EK32" s="2928">
        <f t="shared" si="8"/>
      </c>
      <c r="EL32" s="2928">
        <f t="shared" si="8"/>
      </c>
      <c r="EM32" s="2928">
        <f t="shared" si="8"/>
      </c>
      <c r="EN32" s="2928">
        <f t="shared" si="8"/>
      </c>
      <c r="EO32" s="2928">
        <f t="shared" si="8"/>
      </c>
      <c r="EP32" s="2928">
        <f t="shared" si="8"/>
      </c>
      <c r="EQ32" s="2928">
        <f t="shared" si="8"/>
      </c>
      <c r="ER32" s="2928">
        <f t="shared" si="8"/>
      </c>
      <c r="ES32" s="2928">
        <f t="shared" si="8"/>
      </c>
      <c r="ET32" s="2928">
        <f t="shared" si="8"/>
      </c>
      <c r="EU32" s="2928">
        <f t="shared" si="8"/>
      </c>
      <c r="EV32" s="2928">
        <f t="shared" si="8"/>
      </c>
      <c r="EW32" s="2928">
        <f t="shared" si="8"/>
      </c>
      <c r="EX32" s="2928">
        <f t="shared" si="8"/>
      </c>
      <c r="EY32" s="2928">
        <f t="shared" si="8"/>
      </c>
      <c r="EZ32" s="2928">
        <f t="shared" si="8"/>
      </c>
      <c r="FA32" s="2929" t="str">
        <f t="shared" si="12"/>
        <v>-</v>
      </c>
      <c r="FB32" s="2825">
        <f t="shared" si="13"/>
      </c>
      <c r="FC32" s="2930" cm="1">
        <f t="array" ref="FC32">_xlfn.LET(_xlpm.unit_type,$G32,_xlpm.market_rent_from_rent_roll,$E32,_xlpm.unit_type_list,RentRoll_InputArea_DesignatedUnitType,_xlpm.rent_by_unit_type,RentRoll_InputArea_MarketRent,_xlpm.use_rent_roll_market_rent,LEFT(RR_VacantUnitMktRentSource,9)="Rent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2" s="2930">
        <f t="shared" si="14"/>
        <v>1002</v>
      </c>
      <c r="FE32" s="2930">
        <f t="shared" si="15"/>
        <v>1002</v>
      </c>
      <c r="FF32" s="2930">
        <f t="shared" si="16"/>
        <v>1002</v>
      </c>
      <c r="FG32" s="2931"/>
      <c r="FH32" s="2932">
        <f t="shared" si="17"/>
      </c>
      <c r="FI32" s="2932">
        <f t="shared" si="18"/>
      </c>
      <c r="FJ32" s="2931"/>
      <c r="FK32" s="2933" cm="1">
        <f t="array" ref="FK32">IF(AND(LEN($D32)&gt;0,ISNA(MATCH(TRUE,EXACT($G32,RentRoll_InputArea_DesignatedUnitType),0))),1,0)</f>
        <v>0</v>
      </c>
      <c r="FL32" s="2931">
        <f t="shared" si="19"/>
        <v>9</v>
      </c>
      <c r="FM32" s="2931"/>
      <c r="FN32" s="2931"/>
      <c r="FO32" s="2931"/>
      <c r="FP32" s="2931"/>
      <c r="FQ32" s="2931"/>
      <c r="FR32" s="2931"/>
      <c r="FS32" s="2931"/>
      <c r="FT32" s="2931"/>
      <c r="FU32" s="2931"/>
      <c r="FV32" s="2931"/>
      <c r="FW32" s="2931"/>
      <c r="FX32" s="2931"/>
      <c r="FY32" s="2931"/>
      <c r="FZ32" s="2931"/>
      <c r="GA32" s="2931"/>
      <c r="GB32" s="2931"/>
      <c r="GC32" s="2931"/>
      <c r="GD32" s="2931"/>
      <c r="GE32" s="2931"/>
      <c r="GF32" s="2931"/>
      <c r="GG32" s="2931"/>
      <c r="GH32" s="2931"/>
      <c r="GI32" s="2931"/>
      <c r="GJ32" s="2931"/>
      <c r="GK32" s="2931"/>
      <c r="GL32" s="2931"/>
      <c r="GM32" s="2931"/>
      <c r="GN32" s="2931"/>
      <c r="GO32" s="2931"/>
      <c r="GP32" s="2931"/>
      <c r="GQ32" s="2931"/>
      <c r="GR32" s="2931"/>
      <c r="GS32" s="2931"/>
      <c r="GT32" s="2931"/>
      <c r="GU32" s="2931"/>
      <c r="GV32" s="2931"/>
      <c r="GW32" s="2931"/>
      <c r="GX32" s="2931"/>
      <c r="GY32" s="2931"/>
      <c r="GZ32" s="2931"/>
      <c r="HA32" s="2931"/>
      <c r="HB32" s="2931"/>
      <c r="HC32" s="2931"/>
      <c r="HD32" s="2931"/>
      <c r="HE32" s="2931"/>
      <c r="HF32" s="2931"/>
      <c r="HG32" s="2931"/>
      <c r="HH32" s="2931"/>
      <c r="HI32" s="2931"/>
      <c r="HJ32" s="2931"/>
      <c r="HK32" s="2931"/>
      <c r="HL32" s="2931"/>
      <c r="HM32" s="2931"/>
      <c r="HN32" s="2931"/>
      <c r="HO32" s="2931"/>
      <c r="HP32" s="2931"/>
      <c r="HQ32" s="2931"/>
      <c r="HR32" s="2931"/>
      <c r="HS32" s="2931"/>
      <c r="HT32" s="2931"/>
      <c r="HU32" s="2931"/>
      <c r="HV32" s="2931"/>
      <c r="HW32" s="2931"/>
      <c r="HX32" s="2931"/>
      <c r="HY32" s="2931"/>
      <c r="HZ32" s="2931"/>
      <c r="IA32" s="2931"/>
      <c r="IB32" s="2931"/>
      <c r="IC32" s="2931"/>
      <c r="ID32" s="2931"/>
      <c r="IE32" s="2931"/>
      <c r="IF32" s="2931"/>
      <c r="IG32" s="2931"/>
      <c r="IH32" s="2931"/>
      <c r="II32" s="2931"/>
      <c r="IJ32" s="2931"/>
      <c r="IK32" s="2931"/>
      <c r="IL32" s="2931"/>
      <c r="IM32" s="2931"/>
      <c r="IN32" s="2931"/>
      <c r="IO32" s="2931" cm="1">
        <f t="array" ref="IO32">IF(LEN($G32)=0,"Rent Roll is incomplete",_xlfn.XLOOKUP(TRUE,EXACT(RentRoll_InputArea_DesignatedUnitType,$G32),RentRoll_InputArea_Beds,"Not Found"))</f>
        <v>1</v>
      </c>
      <c r="IP32" s="2934"/>
      <c r="IQ32" s="2935" t="str">
        <f t="shared" si="20"/>
        <v>1 Bedroom Unit</v>
      </c>
      <c r="IR32" s="2926">
        <f t="shared" si="21"/>
        <v>1002</v>
      </c>
      <c r="IS32" s="2935"/>
      <c r="IT32" s="2931"/>
      <c r="IU32" s="2931"/>
      <c r="IV32" s="2931"/>
      <c r="IW32" s="2936" t="str">
        <f t="shared" si="22"/>
        <v>2-200</v>
      </c>
      <c r="IX32" s="2936"/>
      <c r="IY32" s="2936"/>
      <c r="IZ32" s="2936">
        <f t="shared" si="23"/>
        <v>1</v>
      </c>
      <c r="JA32" s="2936">
        <f t="shared" si="24"/>
        <v>1002</v>
      </c>
      <c r="JB32" s="2936"/>
      <c r="JC32" s="2936"/>
      <c r="JD32" s="2936"/>
      <c r="JE32" s="2936"/>
      <c r="JF32" s="2936"/>
      <c r="JG32" s="2936"/>
      <c r="JH32" s="2936">
        <f t="shared" si="25"/>
        <v>1159</v>
      </c>
      <c r="JI32" s="2936"/>
      <c r="JJ32" s="2936">
        <f t="shared" si="26"/>
      </c>
      <c r="JK32" s="2936"/>
      <c r="JL32" s="2936"/>
      <c r="JM32" s="2936"/>
      <c r="JN32" s="2936"/>
      <c r="JO32" s="2936"/>
      <c r="JP32" s="2936"/>
      <c r="JQ32" s="2936" t="str">
        <f t="shared" si="27"/>
        <v>Occupied</v>
      </c>
      <c r="JR32" s="2936" cm="1">
        <f t="array" ref="JR32">_xlfn.XLOOKUP(TRUE,EXACT(RentRoll_InputArea_DesignatedUnitType,$G32),RentRoll_InputArea_SquareFootage,"Not Found")</f>
        <v>704</v>
      </c>
      <c r="JS32" s="2936" t="str">
        <f t="shared" si="28"/>
        <v>Apartment</v>
      </c>
      <c r="JT32" s="2936">
        <f t="shared" si="29"/>
      </c>
      <c r="JU32" s="2936"/>
      <c r="JV32" s="2936"/>
      <c r="JW32" s="2936"/>
      <c r="JX32" s="2936"/>
      <c r="JY32" s="2936">
        <f t="shared" si="9"/>
        <v>43556</v>
      </c>
      <c r="JZ32" s="2936">
        <f t="shared" si="9"/>
        <v>43921</v>
      </c>
      <c r="KA32" s="2936"/>
      <c r="KB32" s="2936"/>
      <c r="KC32" s="2936"/>
      <c r="KD32" s="2936"/>
      <c r="KE32" s="2936"/>
      <c r="KF32" s="2936"/>
      <c r="KG32" s="2936"/>
      <c r="KH32" s="2936"/>
      <c r="KI32" s="2937"/>
      <c r="KJ32" s="2936"/>
      <c r="KK32" s="1353"/>
    </row>
    <row r="33" ht="15" customHeight="1">
      <c r="A33" s="2922">
        <f t="shared" si="10"/>
        <v>10</v>
      </c>
      <c r="B33" s="2865"/>
      <c r="C33" s="2873"/>
      <c r="D33" s="2873" t="s">
        <v>2762</v>
      </c>
      <c r="E33" s="2923">
        <v>1117</v>
      </c>
      <c r="F33" s="2924" t="s">
        <v>2763</v>
      </c>
      <c r="G33" s="2873" t="s">
        <v>2529</v>
      </c>
      <c r="H33" s="2923">
        <v>1184</v>
      </c>
      <c r="I33" s="2925" cm="1">
        <f t="array" ref="I33">_xlfn.LET(_xlpm.has_subsidy,$N33&gt;0,_xlpm.is_chap9_sbl,$FF$20,_xlpm.contract_rent,$H33,_xlpm.unit_type_mkt_rent,_xlfn.XLOOKUP(TRUE,EXACT($G33,RentRoll_InputArea_DesignatedUnitType),RentRoll_InputArea_MarketRent,"Not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3" s="2926">
        <f t="shared" si="11"/>
        <v>1184</v>
      </c>
      <c r="K33" s="2923"/>
      <c r="L33" s="2923"/>
      <c r="M33" s="2923"/>
      <c r="N33" s="2923"/>
      <c r="O33" s="2927">
        <v>43540</v>
      </c>
      <c r="P33" s="2927">
        <v>43921</v>
      </c>
      <c r="Q33" s="2928">
        <f t="shared" si="8"/>
        <v>1184</v>
      </c>
      <c r="R33" s="2928">
        <f t="shared" si="8"/>
      </c>
      <c r="S33" s="2928">
        <f t="shared" si="8"/>
      </c>
      <c r="T33" s="2928">
        <f t="shared" si="8"/>
      </c>
      <c r="U33" s="2928">
        <f t="shared" si="8"/>
      </c>
      <c r="V33" s="2928">
        <f t="shared" si="8"/>
      </c>
      <c r="W33" s="2928">
        <f t="shared" si="8"/>
      </c>
      <c r="X33" s="2928">
        <f t="shared" si="8"/>
      </c>
      <c r="Y33" s="2928">
        <f t="shared" si="8"/>
      </c>
      <c r="Z33" s="2928">
        <f t="shared" si="8"/>
      </c>
      <c r="AA33" s="2928">
        <f t="shared" si="8"/>
      </c>
      <c r="AB33" s="2928">
        <f t="shared" si="8"/>
      </c>
      <c r="AC33" s="2928">
        <f t="shared" si="8"/>
      </c>
      <c r="AD33" s="2928">
        <f t="shared" si="8"/>
      </c>
      <c r="AE33" s="2928">
        <f t="shared" si="8"/>
      </c>
      <c r="AF33" s="2928">
        <f t="shared" si="8"/>
      </c>
      <c r="AG33" s="2928">
        <f t="shared" si="8"/>
      </c>
      <c r="AH33" s="2928">
        <f t="shared" si="8"/>
      </c>
      <c r="AI33" s="2928">
        <f t="shared" si="8"/>
      </c>
      <c r="AJ33" s="2928">
        <f t="shared" si="8"/>
      </c>
      <c r="AK33" s="2928">
        <f t="shared" si="8"/>
      </c>
      <c r="AL33" s="2928">
        <f t="shared" si="8"/>
      </c>
      <c r="AM33" s="2928">
        <f t="shared" si="8"/>
      </c>
      <c r="AN33" s="2928">
        <f t="shared" si="8"/>
      </c>
      <c r="AO33" s="2928">
        <f t="shared" si="8"/>
      </c>
      <c r="AP33" s="2928">
        <f t="shared" si="8"/>
      </c>
      <c r="AQ33" s="2928">
        <f t="shared" si="8"/>
      </c>
      <c r="AR33" s="2928">
        <f t="shared" si="8"/>
      </c>
      <c r="AS33" s="2928">
        <f t="shared" si="8"/>
      </c>
      <c r="AT33" s="2928">
        <f t="shared" si="8"/>
      </c>
      <c r="AU33" s="2928">
        <f t="shared" si="8"/>
      </c>
      <c r="AV33" s="2928">
        <f t="shared" si="8"/>
      </c>
      <c r="AW33" s="2928">
        <f t="shared" si="8"/>
      </c>
      <c r="AX33" s="2928">
        <f t="shared" si="8"/>
      </c>
      <c r="AY33" s="2928">
        <f t="shared" si="8"/>
      </c>
      <c r="AZ33" s="2928">
        <f t="shared" si="8"/>
      </c>
      <c r="BA33" s="2928">
        <f t="shared" si="8"/>
      </c>
      <c r="BB33" s="2928">
        <f t="shared" si="8"/>
      </c>
      <c r="BC33" s="2928">
        <f t="shared" si="8"/>
      </c>
      <c r="BD33" s="2928">
        <f t="shared" si="8"/>
      </c>
      <c r="BE33" s="2928">
        <f t="shared" si="8"/>
      </c>
      <c r="BF33" s="2928">
        <f t="shared" si="8"/>
      </c>
      <c r="BG33" s="2928">
        <f t="shared" si="8"/>
      </c>
      <c r="BH33" s="2928">
        <f t="shared" si="8"/>
      </c>
      <c r="BI33" s="2928">
        <f t="shared" si="8"/>
      </c>
      <c r="BJ33" s="2928">
        <f t="shared" si="8"/>
      </c>
      <c r="BK33" s="2928">
        <f t="shared" si="8"/>
      </c>
      <c r="BL33" s="2928">
        <f t="shared" si="8"/>
      </c>
      <c r="BM33" s="2928">
        <f t="shared" si="8"/>
      </c>
      <c r="BN33" s="2928">
        <f t="shared" si="8"/>
      </c>
      <c r="BO33" s="2928">
        <f t="shared" si="8"/>
      </c>
      <c r="BP33" s="2928">
        <f t="shared" si="8"/>
      </c>
      <c r="BQ33" s="2928">
        <f t="shared" si="8"/>
      </c>
      <c r="BR33" s="2928">
        <f t="shared" si="8"/>
      </c>
      <c r="BS33" s="2928">
        <f t="shared" si="8"/>
      </c>
      <c r="BT33" s="2928">
        <f t="shared" si="8"/>
      </c>
      <c r="BU33" s="2928">
        <f t="shared" si="8"/>
      </c>
      <c r="BV33" s="2928">
        <f t="shared" si="8"/>
      </c>
      <c r="BW33" s="2928">
        <f t="shared" si="8"/>
      </c>
      <c r="BX33" s="2928">
        <f t="shared" si="8"/>
      </c>
      <c r="BY33" s="2928">
        <f t="shared" si="8"/>
      </c>
      <c r="BZ33" s="2928">
        <f t="shared" si="8"/>
      </c>
      <c r="CA33" s="2928">
        <f t="shared" si="8"/>
      </c>
      <c r="CB33" s="2928">
        <f t="shared" si="8"/>
      </c>
      <c r="CC33" s="2928">
        <f t="shared" si="8"/>
      </c>
      <c r="CD33" s="2928">
        <f t="shared" si="8"/>
      </c>
      <c r="CE33" s="2928">
        <f t="shared" si="8"/>
      </c>
      <c r="CF33" s="2928">
        <f t="shared" si="8"/>
      </c>
      <c r="CG33" s="2928">
        <f t="shared" si="8"/>
      </c>
      <c r="CH33" s="2928">
        <f t="shared" si="8"/>
      </c>
      <c r="CI33" s="2928">
        <f t="shared" si="8"/>
      </c>
      <c r="CJ33" s="2928">
        <f t="shared" si="8"/>
      </c>
      <c r="CK33" s="2928">
        <f t="shared" si="8"/>
      </c>
      <c r="CL33" s="2928">
        <f t="shared" si="8"/>
      </c>
      <c r="CM33" s="2928">
        <f t="shared" si="8"/>
      </c>
      <c r="CN33" s="2928">
        <f t="shared" si="8"/>
      </c>
      <c r="CO33" s="2928">
        <f t="shared" si="8"/>
      </c>
      <c r="CP33" s="2928">
        <f t="shared" si="8"/>
      </c>
      <c r="CQ33" s="2928">
        <f t="shared" si="8"/>
      </c>
      <c r="CR33" s="2928">
        <f t="shared" si="8"/>
      </c>
      <c r="CS33" s="2928">
        <f t="shared" si="8"/>
      </c>
      <c r="CT33" s="2928">
        <f t="shared" si="8"/>
      </c>
      <c r="CU33" s="2928">
        <f t="shared" si="8"/>
      </c>
      <c r="CV33" s="2928">
        <f t="shared" si="8"/>
      </c>
      <c r="CW33" s="2928">
        <f t="shared" si="8"/>
      </c>
      <c r="CX33" s="2928">
        <f t="shared" si="8"/>
      </c>
      <c r="CY33" s="2928">
        <f t="shared" si="8"/>
      </c>
      <c r="CZ33" s="2928">
        <f t="shared" si="8"/>
      </c>
      <c r="DA33" s="2928">
        <f t="shared" si="8"/>
      </c>
      <c r="DB33" s="2928">
        <f t="shared" si="8"/>
      </c>
      <c r="DC33" s="2928">
        <f t="shared" si="8"/>
      </c>
      <c r="DD33" s="2928">
        <f t="shared" si="8"/>
      </c>
      <c r="DE33" s="2928">
        <f t="shared" si="8"/>
      </c>
      <c r="DF33" s="2928">
        <f t="shared" si="8"/>
      </c>
      <c r="DG33" s="2928">
        <f t="shared" si="8"/>
      </c>
      <c r="DH33" s="2928">
        <f t="shared" si="8"/>
      </c>
      <c r="DI33" s="2928">
        <f t="shared" si="8"/>
      </c>
      <c r="DJ33" s="2928">
        <f t="shared" si="8"/>
      </c>
      <c r="DK33" s="2928">
        <f t="shared" si="8"/>
      </c>
      <c r="DL33" s="2928">
        <f t="shared" si="8"/>
      </c>
      <c r="DM33" s="2928">
        <f t="shared" si="8"/>
      </c>
      <c r="DN33" s="2928">
        <f t="shared" si="8"/>
      </c>
      <c r="DO33" s="2928">
        <f t="shared" si="8"/>
      </c>
      <c r="DP33" s="2928">
        <f t="shared" si="8"/>
      </c>
      <c r="DQ33" s="2928">
        <f t="shared" si="8"/>
      </c>
      <c r="DR33" s="2928">
        <f t="shared" si="8"/>
      </c>
      <c r="DS33" s="2928">
        <f t="shared" si="8"/>
      </c>
      <c r="DT33" s="2928">
        <f t="shared" si="8"/>
      </c>
      <c r="DU33" s="2928">
        <f t="shared" si="8"/>
      </c>
      <c r="DV33" s="2928">
        <f t="shared" si="8"/>
      </c>
      <c r="DW33" s="2928">
        <f t="shared" si="8"/>
      </c>
      <c r="DX33" s="2928">
        <f t="shared" si="8"/>
      </c>
      <c r="DY33" s="2928">
        <f t="shared" si="8"/>
      </c>
      <c r="DZ33" s="2928">
        <f t="shared" si="8"/>
      </c>
      <c r="EA33" s="2928">
        <f t="shared" si="8"/>
      </c>
      <c r="EB33" s="2928">
        <f t="shared" si="8"/>
      </c>
      <c r="EC33" s="2928">
        <f t="shared" si="8"/>
      </c>
      <c r="ED33" s="2928">
        <f t="shared" si="8"/>
      </c>
      <c r="EE33" s="2928">
        <f t="shared" si="8"/>
      </c>
      <c r="EF33" s="2928">
        <f t="shared" si="8"/>
      </c>
      <c r="EG33" s="2928">
        <f t="shared" si="8"/>
      </c>
      <c r="EH33" s="2928">
        <f t="shared" si="8"/>
      </c>
      <c r="EI33" s="2928">
        <f t="shared" si="8"/>
      </c>
      <c r="EJ33" s="2928">
        <f t="shared" si="8"/>
      </c>
      <c r="EK33" s="2928">
        <f t="shared" si="8"/>
      </c>
      <c r="EL33" s="2928">
        <f t="shared" si="8"/>
      </c>
      <c r="EM33" s="2928">
        <f t="shared" si="8"/>
      </c>
      <c r="EN33" s="2928">
        <f t="shared" si="8"/>
      </c>
      <c r="EO33" s="2928">
        <f t="shared" si="8"/>
      </c>
      <c r="EP33" s="2928">
        <f t="shared" si="8"/>
      </c>
      <c r="EQ33" s="2928">
        <f t="shared" si="8"/>
      </c>
      <c r="ER33" s="2928">
        <f t="shared" si="8"/>
      </c>
      <c r="ES33" s="2928">
        <f t="shared" si="8"/>
      </c>
      <c r="ET33" s="2928">
        <f t="shared" si="8"/>
      </c>
      <c r="EU33" s="2928">
        <f t="shared" si="8"/>
      </c>
      <c r="EV33" s="2928">
        <f t="shared" si="8"/>
      </c>
      <c r="EW33" s="2928">
        <f t="shared" si="8"/>
      </c>
      <c r="EX33" s="2928">
        <f t="shared" si="8"/>
      </c>
      <c r="EY33" s="2928">
        <f t="shared" si="8"/>
      </c>
      <c r="EZ33" s="2928">
        <f t="shared" si="8"/>
      </c>
      <c r="FA33" s="2929" t="str">
        <f t="shared" si="12"/>
        <v>-</v>
      </c>
      <c r="FB33" s="2825">
        <f t="shared" si="13"/>
      </c>
      <c r="FC33" s="2930" cm="1">
        <f t="array" ref="FC33">_xlfn.LET(_xlpm.unit_type,$G33,_xlpm.market_rent_from_rent_roll,$E33,_xlpm.unit_type_list,RentRoll_InputArea_DesignatedUnitType,_xlpm.rent_by_unit_type,RentRoll_InputArea_MarketRent,_xlpm.use_rent_roll_market_rent,LEFT(RR_VacantUnitMktRentSource,9)="Rent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3" s="2930">
        <f t="shared" si="14"/>
        <v>1184</v>
      </c>
      <c r="FE33" s="2930">
        <f t="shared" si="15"/>
        <v>1184</v>
      </c>
      <c r="FF33" s="2930">
        <f t="shared" si="16"/>
        <v>1184</v>
      </c>
      <c r="FG33" s="2931"/>
      <c r="FH33" s="2932">
        <f t="shared" si="17"/>
      </c>
      <c r="FI33" s="2932">
        <f t="shared" si="18"/>
      </c>
      <c r="FJ33" s="2931"/>
      <c r="FK33" s="2933" cm="1">
        <f t="array" ref="FK33">IF(AND(LEN($D33)&gt;0,ISNA(MATCH(TRUE,EXACT($G33,RentRoll_InputArea_DesignatedUnitType),0))),1,0)</f>
        <v>0</v>
      </c>
      <c r="FL33" s="2931">
        <f t="shared" si="19"/>
        <v>10</v>
      </c>
      <c r="FM33" s="2931"/>
      <c r="FN33" s="2931"/>
      <c r="FO33" s="2931"/>
      <c r="FP33" s="2931"/>
      <c r="FQ33" s="2931"/>
      <c r="FR33" s="2931"/>
      <c r="FS33" s="2931"/>
      <c r="FT33" s="2931"/>
      <c r="FU33" s="2931"/>
      <c r="FV33" s="2931"/>
      <c r="FW33" s="2931"/>
      <c r="FX33" s="2931"/>
      <c r="FY33" s="2931"/>
      <c r="FZ33" s="2931"/>
      <c r="GA33" s="2931"/>
      <c r="GB33" s="2931"/>
      <c r="GC33" s="2931"/>
      <c r="GD33" s="2931"/>
      <c r="GE33" s="2931"/>
      <c r="GF33" s="2931"/>
      <c r="GG33" s="2931"/>
      <c r="GH33" s="2931"/>
      <c r="GI33" s="2931"/>
      <c r="GJ33" s="2931"/>
      <c r="GK33" s="2931"/>
      <c r="GL33" s="2931"/>
      <c r="GM33" s="2931"/>
      <c r="GN33" s="2931"/>
      <c r="GO33" s="2931"/>
      <c r="GP33" s="2931"/>
      <c r="GQ33" s="2931"/>
      <c r="GR33" s="2931"/>
      <c r="GS33" s="2931"/>
      <c r="GT33" s="2931"/>
      <c r="GU33" s="2931"/>
      <c r="GV33" s="2931"/>
      <c r="GW33" s="2931"/>
      <c r="GX33" s="2931"/>
      <c r="GY33" s="2931"/>
      <c r="GZ33" s="2931"/>
      <c r="HA33" s="2931"/>
      <c r="HB33" s="2931"/>
      <c r="HC33" s="2931"/>
      <c r="HD33" s="2931"/>
      <c r="HE33" s="2931"/>
      <c r="HF33" s="2931"/>
      <c r="HG33" s="2931"/>
      <c r="HH33" s="2931"/>
      <c r="HI33" s="2931"/>
      <c r="HJ33" s="2931"/>
      <c r="HK33" s="2931"/>
      <c r="HL33" s="2931"/>
      <c r="HM33" s="2931"/>
      <c r="HN33" s="2931"/>
      <c r="HO33" s="2931"/>
      <c r="HP33" s="2931"/>
      <c r="HQ33" s="2931"/>
      <c r="HR33" s="2931"/>
      <c r="HS33" s="2931"/>
      <c r="HT33" s="2931"/>
      <c r="HU33" s="2931"/>
      <c r="HV33" s="2931"/>
      <c r="HW33" s="2931"/>
      <c r="HX33" s="2931"/>
      <c r="HY33" s="2931"/>
      <c r="HZ33" s="2931"/>
      <c r="IA33" s="2931"/>
      <c r="IB33" s="2931"/>
      <c r="IC33" s="2931"/>
      <c r="ID33" s="2931"/>
      <c r="IE33" s="2931"/>
      <c r="IF33" s="2931"/>
      <c r="IG33" s="2931"/>
      <c r="IH33" s="2931"/>
      <c r="II33" s="2931"/>
      <c r="IJ33" s="2931"/>
      <c r="IK33" s="2931"/>
      <c r="IL33" s="2931"/>
      <c r="IM33" s="2931"/>
      <c r="IN33" s="2931"/>
      <c r="IO33" s="2931" cm="1">
        <f t="array" ref="IO33">IF(LEN($G33)=0,"Rent Roll is incomplete",_xlfn.XLOOKUP(TRUE,EXACT(RentRoll_InputArea_DesignatedUnitType,$G33),RentRoll_InputArea_Beds,"Not Found"))</f>
        <v>1</v>
      </c>
      <c r="IP33" s="2934"/>
      <c r="IQ33" s="2935" t="str">
        <f t="shared" si="20"/>
        <v>1 Bedroom Unit</v>
      </c>
      <c r="IR33" s="2926">
        <f t="shared" si="21"/>
        <v>1184</v>
      </c>
      <c r="IS33" s="2935"/>
      <c r="IT33" s="2931"/>
      <c r="IU33" s="2931"/>
      <c r="IV33" s="2931"/>
      <c r="IW33" s="2936" t="str">
        <f t="shared" si="22"/>
        <v>2-201</v>
      </c>
      <c r="IX33" s="2936"/>
      <c r="IY33" s="2936"/>
      <c r="IZ33" s="2936">
        <f t="shared" si="23"/>
        <v>1</v>
      </c>
      <c r="JA33" s="2936">
        <f t="shared" si="24"/>
        <v>1184</v>
      </c>
      <c r="JB33" s="2936"/>
      <c r="JC33" s="2936"/>
      <c r="JD33" s="2936"/>
      <c r="JE33" s="2936"/>
      <c r="JF33" s="2936"/>
      <c r="JG33" s="2936"/>
      <c r="JH33" s="2936">
        <f t="shared" si="25"/>
        <v>1159</v>
      </c>
      <c r="JI33" s="2936"/>
      <c r="JJ33" s="2936">
        <f t="shared" si="26"/>
      </c>
      <c r="JK33" s="2936"/>
      <c r="JL33" s="2936"/>
      <c r="JM33" s="2936"/>
      <c r="JN33" s="2936"/>
      <c r="JO33" s="2936"/>
      <c r="JP33" s="2936"/>
      <c r="JQ33" s="2936" t="str">
        <f t="shared" si="27"/>
        <v>Occupied</v>
      </c>
      <c r="JR33" s="2936" cm="1">
        <f t="array" ref="JR33">_xlfn.XLOOKUP(TRUE,EXACT(RentRoll_InputArea_DesignatedUnitType,$G33),RentRoll_InputArea_SquareFootage,"Not Found")</f>
        <v>704</v>
      </c>
      <c r="JS33" s="2936" t="str">
        <f t="shared" si="28"/>
        <v>Apartment</v>
      </c>
      <c r="JT33" s="2936">
        <f t="shared" si="29"/>
      </c>
      <c r="JU33" s="2936"/>
      <c r="JV33" s="2936"/>
      <c r="JW33" s="2936"/>
      <c r="JX33" s="2936"/>
      <c r="JY33" s="2936">
        <f t="shared" si="9"/>
        <v>43540</v>
      </c>
      <c r="JZ33" s="2936">
        <f t="shared" si="9"/>
        <v>43921</v>
      </c>
      <c r="KA33" s="2936"/>
      <c r="KB33" s="2936"/>
      <c r="KC33" s="2936"/>
      <c r="KD33" s="2936"/>
      <c r="KE33" s="2936"/>
      <c r="KF33" s="2936"/>
      <c r="KG33" s="2936"/>
      <c r="KH33" s="2936"/>
      <c r="KI33" s="2937"/>
      <c r="KJ33" s="2936"/>
      <c r="KK33" s="1353"/>
    </row>
    <row r="34" ht="15" customHeight="1">
      <c r="A34" s="2922">
        <f t="shared" si="10"/>
        <v>11</v>
      </c>
      <c r="B34" s="2865"/>
      <c r="C34" s="2873"/>
      <c r="D34" s="2873" t="s">
        <v>2764</v>
      </c>
      <c r="E34" s="2923">
        <v>1186</v>
      </c>
      <c r="F34" s="2924" t="s">
        <v>2765</v>
      </c>
      <c r="G34" s="2873" t="s">
        <v>2529</v>
      </c>
      <c r="H34" s="2923">
        <v>1097</v>
      </c>
      <c r="I34" s="2925" cm="1">
        <f t="array" ref="I34">_xlfn.LET(_xlpm.has_subsidy,$N34&gt;0,_xlpm.is_chap9_sbl,$FF$20,_xlpm.contract_rent,$H34,_xlpm.unit_type_mkt_rent,_xlfn.XLOOKUP(TRUE,EXACT($G34,RentRoll_InputArea_DesignatedUnitType),RentRoll_InputArea_MarketRent,"Not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4" s="2926">
        <f t="shared" si="11"/>
        <v>1097</v>
      </c>
      <c r="K34" s="2923"/>
      <c r="L34" s="2923"/>
      <c r="M34" s="2923"/>
      <c r="N34" s="2923"/>
      <c r="O34" s="2927">
        <v>43407</v>
      </c>
      <c r="P34" s="2927">
        <v>43616</v>
      </c>
      <c r="Q34" s="2928">
        <f t="shared" si="8"/>
        <v>1097</v>
      </c>
      <c r="R34" s="2928">
        <f t="shared" si="8"/>
      </c>
      <c r="S34" s="2928">
        <f t="shared" si="8"/>
      </c>
      <c r="T34" s="2928">
        <f t="shared" si="8"/>
      </c>
      <c r="U34" s="2928">
        <f t="shared" si="8"/>
      </c>
      <c r="V34" s="2928">
        <f t="shared" si="8"/>
      </c>
      <c r="W34" s="2928">
        <f t="shared" si="8"/>
      </c>
      <c r="X34" s="2928">
        <f t="shared" si="8"/>
      </c>
      <c r="Y34" s="2928">
        <f t="shared" si="8"/>
      </c>
      <c r="Z34" s="2928">
        <f t="shared" si="8"/>
      </c>
      <c r="AA34" s="2928">
        <f t="shared" si="8"/>
      </c>
      <c r="AB34" s="2928">
        <f t="shared" si="8"/>
      </c>
      <c r="AC34" s="2928">
        <f t="shared" si="8"/>
      </c>
      <c r="AD34" s="2928">
        <f t="shared" si="8"/>
      </c>
      <c r="AE34" s="2928">
        <f t="shared" si="8"/>
      </c>
      <c r="AF34" s="2928">
        <f t="shared" si="8"/>
      </c>
      <c r="AG34" s="2928">
        <f t="shared" si="8"/>
      </c>
      <c r="AH34" s="2928">
        <f t="shared" si="8"/>
      </c>
      <c r="AI34" s="2928">
        <f t="shared" si="8"/>
      </c>
      <c r="AJ34" s="2928">
        <f t="shared" si="8"/>
      </c>
      <c r="AK34" s="2928">
        <f t="shared" si="8"/>
      </c>
      <c r="AL34" s="2928">
        <f t="shared" si="8"/>
      </c>
      <c r="AM34" s="2928">
        <f t="shared" si="8"/>
      </c>
      <c r="AN34" s="2928">
        <f t="shared" si="8"/>
      </c>
      <c r="AO34" s="2928">
        <f t="shared" si="8"/>
      </c>
      <c r="AP34" s="2928">
        <f t="shared" si="8"/>
      </c>
      <c r="AQ34" s="2928">
        <f t="shared" si="8"/>
      </c>
      <c r="AR34" s="2928">
        <f t="shared" si="8"/>
      </c>
      <c r="AS34" s="2928">
        <f t="shared" si="8"/>
      </c>
      <c r="AT34" s="2928">
        <f t="shared" si="8"/>
      </c>
      <c r="AU34" s="2928">
        <f t="shared" si="8"/>
      </c>
      <c r="AV34" s="2928">
        <f t="shared" si="8"/>
      </c>
      <c r="AW34" s="2928">
        <f t="shared" si="8"/>
      </c>
      <c r="AX34" s="2928">
        <f t="shared" si="8"/>
      </c>
      <c r="AY34" s="2928">
        <f t="shared" si="8"/>
      </c>
      <c r="AZ34" s="2928">
        <f t="shared" si="8"/>
      </c>
      <c r="BA34" s="2928">
        <f t="shared" si="8"/>
      </c>
      <c r="BB34" s="2928">
        <f t="shared" si="8"/>
      </c>
      <c r="BC34" s="2928">
        <f t="shared" si="8"/>
      </c>
      <c r="BD34" s="2928">
        <f t="shared" si="8"/>
      </c>
      <c r="BE34" s="2928">
        <f t="shared" si="8"/>
      </c>
      <c r="BF34" s="2928">
        <f t="shared" si="8"/>
      </c>
      <c r="BG34" s="2928">
        <f t="shared" si="8"/>
      </c>
      <c r="BH34" s="2928">
        <f t="shared" si="8"/>
      </c>
      <c r="BI34" s="2928">
        <f t="shared" si="8"/>
      </c>
      <c r="BJ34" s="2928">
        <f t="shared" si="8"/>
      </c>
      <c r="BK34" s="2928">
        <f t="shared" si="8"/>
      </c>
      <c r="BL34" s="2928">
        <f t="shared" si="8"/>
      </c>
      <c r="BM34" s="2928">
        <f t="shared" si="8"/>
      </c>
      <c r="BN34" s="2928">
        <f t="shared" si="8"/>
      </c>
      <c r="BO34" s="2928">
        <f t="shared" si="8"/>
      </c>
      <c r="BP34" s="2928">
        <f t="shared" si="8"/>
      </c>
      <c r="BQ34" s="2928">
        <f t="shared" si="8"/>
      </c>
      <c r="BR34" s="2928">
        <f t="shared" si="8"/>
      </c>
      <c r="BS34" s="2928">
        <f t="shared" si="8"/>
      </c>
      <c r="BT34" s="2928">
        <f t="shared" si="8"/>
      </c>
      <c r="BU34" s="2928">
        <f t="shared" si="8"/>
      </c>
      <c r="BV34" s="2928">
        <f t="shared" si="8"/>
      </c>
      <c r="BW34" s="2928">
        <f t="shared" si="8"/>
      </c>
      <c r="BX34" s="2928">
        <f t="shared" si="8"/>
      </c>
      <c r="BY34" s="2928">
        <f t="shared" si="8"/>
      </c>
      <c r="BZ34" s="2928">
        <f t="shared" si="8"/>
      </c>
      <c r="CA34" s="2928">
        <f t="shared" si="8"/>
      </c>
      <c r="CB34" s="2928">
        <f t="shared" si="8"/>
      </c>
      <c r="CC34" s="2928">
        <f t="shared" si="8"/>
      </c>
      <c r="CD34" s="2928">
        <f t="shared" si="8"/>
      </c>
      <c r="CE34" s="2928">
        <f t="shared" si="8"/>
      </c>
      <c r="CF34" s="2928">
        <f t="shared" si="8"/>
      </c>
      <c r="CG34" s="2928">
        <f t="shared" si="8"/>
      </c>
      <c r="CH34" s="2928">
        <f t="shared" si="8"/>
      </c>
      <c r="CI34" s="2928">
        <f t="shared" si="8"/>
      </c>
      <c r="CJ34" s="2928">
        <f t="shared" si="8"/>
      </c>
      <c r="CK34" s="2928">
        <f t="shared" si="8"/>
      </c>
      <c r="CL34" s="2928">
        <f t="shared" si="8"/>
      </c>
      <c r="CM34" s="2928">
        <f t="shared" si="8"/>
      </c>
      <c r="CN34" s="2928">
        <f t="shared" si="8"/>
      </c>
      <c r="CO34" s="2928">
        <f t="shared" si="8"/>
      </c>
      <c r="CP34" s="2928">
        <f t="shared" si="8"/>
      </c>
      <c r="CQ34" s="2928">
        <f t="shared" si="8"/>
      </c>
      <c r="CR34" s="2928">
        <f t="shared" si="8"/>
      </c>
      <c r="CS34" s="2928">
        <f t="shared" si="8"/>
      </c>
      <c r="CT34" s="2928">
        <f t="shared" si="8"/>
      </c>
      <c r="CU34" s="2928">
        <f t="shared" si="8"/>
      </c>
      <c r="CV34" s="2928">
        <f t="shared" si="8"/>
      </c>
      <c r="CW34" s="2928">
        <f t="shared" si="8"/>
      </c>
      <c r="CX34" s="2928">
        <f t="shared" si="8"/>
      </c>
      <c r="CY34" s="2928">
        <f t="shared" si="8"/>
      </c>
      <c r="CZ34" s="2928">
        <f t="shared" si="8"/>
      </c>
      <c r="DA34" s="2928">
        <f t="shared" si="8"/>
      </c>
      <c r="DB34" s="2928">
        <f t="shared" si="8"/>
      </c>
      <c r="DC34" s="2928">
        <f t="shared" si="8"/>
      </c>
      <c r="DD34" s="2928">
        <f t="shared" si="8"/>
      </c>
      <c r="DE34" s="2928">
        <f t="shared" si="8"/>
      </c>
      <c r="DF34" s="2928">
        <f t="shared" si="8"/>
      </c>
      <c r="DG34" s="2928">
        <f t="shared" si="8"/>
      </c>
      <c r="DH34" s="2928">
        <f t="shared" si="8"/>
      </c>
      <c r="DI34" s="2928">
        <f t="shared" si="8"/>
      </c>
      <c r="DJ34" s="2928">
        <f t="shared" si="8"/>
      </c>
      <c r="DK34" s="2928">
        <f t="shared" si="8"/>
      </c>
      <c r="DL34" s="2928">
        <f t="shared" si="8"/>
      </c>
      <c r="DM34" s="2928">
        <f t="shared" si="8"/>
      </c>
      <c r="DN34" s="2928">
        <f t="shared" si="8"/>
      </c>
      <c r="DO34" s="2928">
        <f t="shared" si="8"/>
      </c>
      <c r="DP34" s="2928">
        <f t="shared" si="8"/>
      </c>
      <c r="DQ34" s="2928">
        <f t="shared" si="8"/>
      </c>
      <c r="DR34" s="2928">
        <f t="shared" si="8"/>
      </c>
      <c r="DS34" s="2928">
        <f t="shared" si="8"/>
      </c>
      <c r="DT34" s="2928">
        <f t="shared" si="8"/>
      </c>
      <c r="DU34" s="2928">
        <f t="shared" si="8"/>
      </c>
      <c r="DV34" s="2928">
        <f t="shared" si="8"/>
      </c>
      <c r="DW34" s="2928">
        <f t="shared" si="8"/>
      </c>
      <c r="DX34" s="2928">
        <f t="shared" si="8"/>
      </c>
      <c r="DY34" s="2928">
        <f t="shared" si="8"/>
      </c>
      <c r="DZ34" s="2928">
        <f t="shared" si="8"/>
      </c>
      <c r="EA34" s="2928">
        <f t="shared" si="8"/>
      </c>
      <c r="EB34" s="2928">
        <f t="shared" si="8"/>
      </c>
      <c r="EC34" s="2928">
        <f t="shared" si="8"/>
      </c>
      <c r="ED34" s="2928">
        <f t="shared" si="8"/>
      </c>
      <c r="EE34" s="2928">
        <f t="shared" si="8"/>
      </c>
      <c r="EF34" s="2928">
        <f t="shared" si="8"/>
      </c>
      <c r="EG34" s="2928">
        <f t="shared" si="8"/>
      </c>
      <c r="EH34" s="2928">
        <f t="shared" si="8"/>
      </c>
      <c r="EI34" s="2928">
        <f t="shared" si="8"/>
      </c>
      <c r="EJ34" s="2928">
        <f t="shared" si="8"/>
      </c>
      <c r="EK34" s="2928">
        <f t="shared" si="8"/>
      </c>
      <c r="EL34" s="2928">
        <f t="shared" si="8"/>
      </c>
      <c r="EM34" s="2928">
        <f t="shared" si="8"/>
      </c>
      <c r="EN34" s="2928">
        <f t="shared" si="8"/>
      </c>
      <c r="EO34" s="2928">
        <f t="shared" si="8"/>
      </c>
      <c r="EP34" s="2928">
        <f t="shared" si="8"/>
      </c>
      <c r="EQ34" s="2928">
        <f t="shared" si="8"/>
      </c>
      <c r="ER34" s="2928">
        <f t="shared" si="8"/>
      </c>
      <c r="ES34" s="2928">
        <f t="shared" si="8"/>
      </c>
      <c r="ET34" s="2928">
        <f t="shared" si="8"/>
      </c>
      <c r="EU34" s="2928">
        <f t="shared" si="8"/>
      </c>
      <c r="EV34" s="2928">
        <f t="shared" si="8"/>
      </c>
      <c r="EW34" s="2928">
        <f t="shared" si="8"/>
      </c>
      <c r="EX34" s="2928">
        <f t="shared" si="8"/>
      </c>
      <c r="EY34" s="2928">
        <f t="shared" si="8"/>
      </c>
      <c r="EZ34" s="2928">
        <f t="shared" si="8"/>
      </c>
      <c r="FA34" s="2929" t="str">
        <f t="shared" si="12"/>
        <v>-</v>
      </c>
      <c r="FB34" s="2825">
        <f t="shared" si="13"/>
      </c>
      <c r="FC34" s="2930" cm="1">
        <f t="array" ref="FC34">_xlfn.LET(_xlpm.unit_type,$G34,_xlpm.market_rent_from_rent_roll,$E34,_xlpm.unit_type_list,RentRoll_InputArea_DesignatedUnitType,_xlpm.rent_by_unit_type,RentRoll_InputArea_MarketRent,_xlpm.use_rent_roll_market_rent,LEFT(RR_VacantUnitMktRentSource,9)="Rent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4" s="2930">
        <f t="shared" si="14"/>
        <v>1097</v>
      </c>
      <c r="FE34" s="2930">
        <f t="shared" si="15"/>
        <v>1097</v>
      </c>
      <c r="FF34" s="2930">
        <f t="shared" si="16"/>
        <v>1097</v>
      </c>
      <c r="FG34" s="2931"/>
      <c r="FH34" s="2932">
        <f t="shared" si="17"/>
      </c>
      <c r="FI34" s="2932">
        <f t="shared" si="18"/>
      </c>
      <c r="FJ34" s="2931"/>
      <c r="FK34" s="2933" cm="1">
        <f t="array" ref="FK34">IF(AND(LEN($D34)&gt;0,ISNA(MATCH(TRUE,EXACT($G34,RentRoll_InputArea_DesignatedUnitType),0))),1,0)</f>
        <v>0</v>
      </c>
      <c r="FL34" s="2931">
        <f t="shared" si="19"/>
        <v>11</v>
      </c>
      <c r="FM34" s="2931"/>
      <c r="FN34" s="2931"/>
      <c r="FO34" s="2931"/>
      <c r="FP34" s="2931"/>
      <c r="FQ34" s="2931"/>
      <c r="FR34" s="2931"/>
      <c r="FS34" s="2931"/>
      <c r="FT34" s="2931"/>
      <c r="FU34" s="2931"/>
      <c r="FV34" s="2931"/>
      <c r="FW34" s="2931"/>
      <c r="FX34" s="2931"/>
      <c r="FY34" s="2931"/>
      <c r="FZ34" s="2931"/>
      <c r="GA34" s="2931"/>
      <c r="GB34" s="2931"/>
      <c r="GC34" s="2931"/>
      <c r="GD34" s="2931"/>
      <c r="GE34" s="2931"/>
      <c r="GF34" s="2931"/>
      <c r="GG34" s="2931"/>
      <c r="GH34" s="2931"/>
      <c r="GI34" s="2931"/>
      <c r="GJ34" s="2931"/>
      <c r="GK34" s="2931"/>
      <c r="GL34" s="2931"/>
      <c r="GM34" s="2931"/>
      <c r="GN34" s="2931"/>
      <c r="GO34" s="2931"/>
      <c r="GP34" s="2931"/>
      <c r="GQ34" s="2931"/>
      <c r="GR34" s="2931"/>
      <c r="GS34" s="2931"/>
      <c r="GT34" s="2931"/>
      <c r="GU34" s="2931"/>
      <c r="GV34" s="2931"/>
      <c r="GW34" s="2931"/>
      <c r="GX34" s="2931"/>
      <c r="GY34" s="2931"/>
      <c r="GZ34" s="2931"/>
      <c r="HA34" s="2931"/>
      <c r="HB34" s="2931"/>
      <c r="HC34" s="2931"/>
      <c r="HD34" s="2931"/>
      <c r="HE34" s="2931"/>
      <c r="HF34" s="2931"/>
      <c r="HG34" s="2931"/>
      <c r="HH34" s="2931"/>
      <c r="HI34" s="2931"/>
      <c r="HJ34" s="2931"/>
      <c r="HK34" s="2931"/>
      <c r="HL34" s="2931"/>
      <c r="HM34" s="2931"/>
      <c r="HN34" s="2931"/>
      <c r="HO34" s="2931"/>
      <c r="HP34" s="2931"/>
      <c r="HQ34" s="2931"/>
      <c r="HR34" s="2931"/>
      <c r="HS34" s="2931"/>
      <c r="HT34" s="2931"/>
      <c r="HU34" s="2931"/>
      <c r="HV34" s="2931"/>
      <c r="HW34" s="2931"/>
      <c r="HX34" s="2931"/>
      <c r="HY34" s="2931"/>
      <c r="HZ34" s="2931"/>
      <c r="IA34" s="2931"/>
      <c r="IB34" s="2931"/>
      <c r="IC34" s="2931"/>
      <c r="ID34" s="2931"/>
      <c r="IE34" s="2931"/>
      <c r="IF34" s="2931"/>
      <c r="IG34" s="2931"/>
      <c r="IH34" s="2931"/>
      <c r="II34" s="2931"/>
      <c r="IJ34" s="2931"/>
      <c r="IK34" s="2931"/>
      <c r="IL34" s="2931"/>
      <c r="IM34" s="2931"/>
      <c r="IN34" s="2931"/>
      <c r="IO34" s="2931" cm="1">
        <f t="array" ref="IO34">IF(LEN($G34)=0,"Rent Roll is incomplete",_xlfn.XLOOKUP(TRUE,EXACT(RentRoll_InputArea_DesignatedUnitType,$G34),RentRoll_InputArea_Beds,"Not Found"))</f>
        <v>1</v>
      </c>
      <c r="IP34" s="2934"/>
      <c r="IQ34" s="2935" t="str">
        <f t="shared" si="20"/>
        <v>1 Bedroom Unit</v>
      </c>
      <c r="IR34" s="2926">
        <f t="shared" si="21"/>
        <v>1097</v>
      </c>
      <c r="IS34" s="2935"/>
      <c r="IT34" s="2931"/>
      <c r="IU34" s="2931"/>
      <c r="IV34" s="2931"/>
      <c r="IW34" s="2936" t="str">
        <f t="shared" si="22"/>
        <v>2-202</v>
      </c>
      <c r="IX34" s="2936"/>
      <c r="IY34" s="2936"/>
      <c r="IZ34" s="2936">
        <f t="shared" si="23"/>
        <v>1</v>
      </c>
      <c r="JA34" s="2936">
        <f t="shared" si="24"/>
        <v>1097</v>
      </c>
      <c r="JB34" s="2936"/>
      <c r="JC34" s="2936"/>
      <c r="JD34" s="2936"/>
      <c r="JE34" s="2936"/>
      <c r="JF34" s="2936"/>
      <c r="JG34" s="2936"/>
      <c r="JH34" s="2936">
        <f t="shared" si="25"/>
        <v>1159</v>
      </c>
      <c r="JI34" s="2936"/>
      <c r="JJ34" s="2936">
        <f t="shared" si="26"/>
      </c>
      <c r="JK34" s="2936"/>
      <c r="JL34" s="2936"/>
      <c r="JM34" s="2936"/>
      <c r="JN34" s="2936"/>
      <c r="JO34" s="2936"/>
      <c r="JP34" s="2936"/>
      <c r="JQ34" s="2936" t="str">
        <f t="shared" si="27"/>
        <v>Occupied</v>
      </c>
      <c r="JR34" s="2936" cm="1">
        <f t="array" ref="JR34">_xlfn.XLOOKUP(TRUE,EXACT(RentRoll_InputArea_DesignatedUnitType,$G34),RentRoll_InputArea_SquareFootage,"Not Found")</f>
        <v>704</v>
      </c>
      <c r="JS34" s="2936" t="str">
        <f t="shared" si="28"/>
        <v>Apartment</v>
      </c>
      <c r="JT34" s="2936">
        <f t="shared" si="29"/>
      </c>
      <c r="JU34" s="2936"/>
      <c r="JV34" s="2936"/>
      <c r="JW34" s="2936"/>
      <c r="JX34" s="2936"/>
      <c r="JY34" s="2936">
        <f t="shared" si="9"/>
        <v>43407</v>
      </c>
      <c r="JZ34" s="2936">
        <f t="shared" si="9"/>
        <v>43616</v>
      </c>
      <c r="KA34" s="2936"/>
      <c r="KB34" s="2936"/>
      <c r="KC34" s="2936"/>
      <c r="KD34" s="2936"/>
      <c r="KE34" s="2936"/>
      <c r="KF34" s="2936"/>
      <c r="KG34" s="2936"/>
      <c r="KH34" s="2936"/>
      <c r="KI34" s="2937"/>
      <c r="KJ34" s="2936"/>
      <c r="KK34" s="1353"/>
    </row>
    <row r="35" ht="15" customHeight="1">
      <c r="A35" s="2922">
        <f t="shared" si="10"/>
        <v>12</v>
      </c>
      <c r="B35" s="2865"/>
      <c r="C35" s="2873"/>
      <c r="D35" s="2873" t="s">
        <v>2766</v>
      </c>
      <c r="E35" s="2923">
        <v>1158</v>
      </c>
      <c r="F35" s="2924" t="s">
        <v>2767</v>
      </c>
      <c r="G35" s="2873" t="s">
        <v>2529</v>
      </c>
      <c r="H35" s="2923">
        <v>1096</v>
      </c>
      <c r="I35" s="2925" cm="1">
        <f t="array" ref="I35">_xlfn.LET(_xlpm.has_subsidy,$N35&gt;0,_xlpm.is_chap9_sbl,$FF$20,_xlpm.contract_rent,$H35,_xlpm.unit_type_mkt_rent,_xlfn.XLOOKUP(TRUE,EXACT($G35,RentRoll_InputArea_DesignatedUnitType),RentRoll_InputArea_MarketRent,"Not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5" s="2926">
        <f t="shared" si="11"/>
        <v>1096</v>
      </c>
      <c r="K35" s="2923"/>
      <c r="L35" s="2923"/>
      <c r="M35" s="2923"/>
      <c r="N35" s="2923"/>
      <c r="O35" s="2927">
        <v>43508</v>
      </c>
      <c r="P35" s="2927">
        <v>43861</v>
      </c>
      <c r="Q35" s="2928">
        <f t="shared" si="8"/>
        <v>1096</v>
      </c>
      <c r="R35" s="2928">
        <f t="shared" si="8"/>
      </c>
      <c r="S35" s="2928">
        <f t="shared" si="8"/>
      </c>
      <c r="T35" s="2928">
        <f t="shared" si="8"/>
      </c>
      <c r="U35" s="2928">
        <f t="shared" si="8"/>
      </c>
      <c r="V35" s="2928">
        <f t="shared" si="8"/>
      </c>
      <c r="W35" s="2928">
        <f t="shared" si="8"/>
      </c>
      <c r="X35" s="2928">
        <f t="shared" si="8"/>
      </c>
      <c r="Y35" s="2928">
        <f t="shared" si="8"/>
      </c>
      <c r="Z35" s="2928">
        <f t="shared" si="8"/>
      </c>
      <c r="AA35" s="2928">
        <f t="shared" si="8"/>
      </c>
      <c r="AB35" s="2928">
        <f t="shared" si="8"/>
      </c>
      <c r="AC35" s="2928">
        <f t="shared" si="8"/>
      </c>
      <c r="AD35" s="2928">
        <f t="shared" si="8"/>
      </c>
      <c r="AE35" s="2928">
        <f t="shared" si="8"/>
      </c>
      <c r="AF35" s="2928">
        <f t="shared" si="8"/>
      </c>
      <c r="AG35" s="2928">
        <f t="shared" si="8"/>
      </c>
      <c r="AH35" s="2928">
        <f t="shared" si="8"/>
      </c>
      <c r="AI35" s="2928">
        <f t="shared" si="8"/>
      </c>
      <c r="AJ35" s="2928">
        <f t="shared" si="8"/>
      </c>
      <c r="AK35" s="2928">
        <f t="shared" si="8"/>
      </c>
      <c r="AL35" s="2928">
        <f t="shared" si="8"/>
      </c>
      <c r="AM35" s="2928">
        <f t="shared" si="8"/>
      </c>
      <c r="AN35" s="2928">
        <f t="shared" si="8"/>
      </c>
      <c r="AO35" s="2928">
        <f t="shared" si="8"/>
      </c>
      <c r="AP35" s="2928">
        <f t="shared" si="8"/>
      </c>
      <c r="AQ35" s="2928">
        <f t="shared" si="8"/>
      </c>
      <c r="AR35" s="2928">
        <f t="shared" si="8"/>
      </c>
      <c r="AS35" s="2928">
        <f t="shared" si="8"/>
      </c>
      <c r="AT35" s="2928">
        <f t="shared" si="8"/>
      </c>
      <c r="AU35" s="2928">
        <f t="shared" si="8"/>
      </c>
      <c r="AV35" s="2928">
        <f t="shared" si="8"/>
      </c>
      <c r="AW35" s="2928">
        <f t="shared" si="8"/>
      </c>
      <c r="AX35" s="2928">
        <f t="shared" si="8"/>
      </c>
      <c r="AY35" s="2928">
        <f t="shared" si="8"/>
      </c>
      <c r="AZ35" s="2928">
        <f t="shared" si="8"/>
      </c>
      <c r="BA35" s="2928">
        <f t="shared" si="8"/>
      </c>
      <c r="BB35" s="2928">
        <f t="shared" si="8"/>
      </c>
      <c r="BC35" s="2928">
        <f t="shared" si="8"/>
      </c>
      <c r="BD35" s="2928">
        <f t="shared" si="8"/>
      </c>
      <c r="BE35" s="2928">
        <f t="shared" si="8"/>
      </c>
      <c r="BF35" s="2928">
        <f t="shared" si="8"/>
      </c>
      <c r="BG35" s="2928">
        <f t="shared" si="8"/>
      </c>
      <c r="BH35" s="2928">
        <f t="shared" si="8"/>
      </c>
      <c r="BI35" s="2928">
        <f t="shared" si="8"/>
      </c>
      <c r="BJ35" s="2928">
        <f t="shared" si="8"/>
      </c>
      <c r="BK35" s="2928">
        <f t="shared" si="8"/>
      </c>
      <c r="BL35" s="2928">
        <f t="shared" si="8"/>
      </c>
      <c r="BM35" s="2928">
        <f t="shared" si="8"/>
      </c>
      <c r="BN35" s="2928">
        <f t="shared" si="8"/>
      </c>
      <c r="BO35" s="2928">
        <f t="shared" si="8"/>
      </c>
      <c r="BP35" s="2928">
        <f t="shared" si="8"/>
      </c>
      <c r="BQ35" s="2928">
        <f t="shared" si="8"/>
      </c>
      <c r="BR35" s="2928">
        <f t="shared" si="8"/>
      </c>
      <c r="BS35" s="2928">
        <f t="shared" si="8"/>
      </c>
      <c r="BT35" s="2928">
        <f t="shared" si="8"/>
      </c>
      <c r="BU35" s="2928">
        <f t="shared" si="8"/>
      </c>
      <c r="BV35" s="2928">
        <f t="shared" si="8"/>
      </c>
      <c r="BW35" s="2928">
        <f t="shared" si="8"/>
      </c>
      <c r="BX35" s="2928">
        <f t="shared" si="8"/>
      </c>
      <c r="BY35" s="2928">
        <f t="shared" si="8"/>
      </c>
      <c r="BZ35" s="2928">
        <f t="shared" si="8"/>
      </c>
      <c r="CA35" s="2928">
        <f t="shared" si="8"/>
      </c>
      <c r="CB35" s="2928">
        <f t="shared" si="8"/>
      </c>
      <c r="CC35" s="2928">
        <f t="shared" si="8"/>
      </c>
      <c r="CD35" s="2928">
        <f t="shared" si="8"/>
      </c>
      <c r="CE35" s="2928">
        <f t="shared" si="8"/>
      </c>
      <c r="CF35" s="2928">
        <f t="shared" si="8"/>
      </c>
      <c r="CG35" s="2928">
        <f t="shared" si="8"/>
      </c>
      <c r="CH35" s="2928">
        <f t="shared" si="8"/>
      </c>
      <c r="CI35" s="2928">
        <f t="shared" si="8"/>
      </c>
      <c r="CJ35" s="2928">
        <f t="shared" si="8"/>
      </c>
      <c r="CK35" s="2928">
        <f t="shared" si="8"/>
      </c>
      <c r="CL35" s="2928">
        <f t="shared" si="8"/>
      </c>
      <c r="CM35" s="2928">
        <f t="shared" si="8"/>
      </c>
      <c r="CN35" s="2928">
        <f t="shared" si="8"/>
      </c>
      <c r="CO35" s="2928">
        <f t="shared" si="8"/>
      </c>
      <c r="CP35" s="2928">
        <f t="shared" si="8"/>
      </c>
      <c r="CQ35" s="2928">
        <f t="shared" si="8"/>
      </c>
      <c r="CR35" s="2928">
        <f t="shared" si="8"/>
      </c>
      <c r="CS35" s="2928">
        <f t="shared" si="8"/>
      </c>
      <c r="CT35" s="2928">
        <f t="shared" si="8"/>
      </c>
      <c r="CU35" s="2928">
        <f t="shared" si="8"/>
      </c>
      <c r="CV35" s="2928">
        <f t="shared" si="8"/>
      </c>
      <c r="CW35" s="2928">
        <f t="shared" si="8"/>
      </c>
      <c r="CX35" s="2928">
        <f t="shared" si="8"/>
      </c>
      <c r="CY35" s="2928">
        <f t="shared" si="8"/>
      </c>
      <c r="CZ35" s="2928">
        <f t="shared" si="8"/>
      </c>
      <c r="DA35" s="2928">
        <f t="shared" si="8"/>
      </c>
      <c r="DB35" s="2928">
        <f t="shared" si="8"/>
      </c>
      <c r="DC35" s="2928">
        <f t="shared" si="8"/>
      </c>
      <c r="DD35" s="2928">
        <f t="shared" si="8"/>
      </c>
      <c r="DE35" s="2928">
        <f t="shared" si="8"/>
      </c>
      <c r="DF35" s="2928">
        <f t="shared" si="8"/>
      </c>
      <c r="DG35" s="2928">
        <f t="shared" si="8"/>
      </c>
      <c r="DH35" s="2928">
        <f t="shared" si="8"/>
      </c>
      <c r="DI35" s="2928">
        <f t="shared" si="8"/>
      </c>
      <c r="DJ35" s="2928">
        <f t="shared" si="8"/>
      </c>
      <c r="DK35" s="2928">
        <f t="shared" si="8"/>
      </c>
      <c r="DL35" s="2928">
        <f t="shared" si="8"/>
      </c>
      <c r="DM35" s="2928">
        <f t="shared" si="8"/>
      </c>
      <c r="DN35" s="2928">
        <f t="shared" si="8"/>
      </c>
      <c r="DO35" s="2928">
        <f t="shared" si="8"/>
      </c>
      <c r="DP35" s="2928">
        <f t="shared" si="8"/>
      </c>
      <c r="DQ35" s="2928">
        <f t="shared" si="8"/>
      </c>
      <c r="DR35" s="2928">
        <f t="shared" si="8"/>
      </c>
      <c r="DS35" s="2928">
        <f t="shared" si="8"/>
      </c>
      <c r="DT35" s="2928">
        <f t="shared" si="8"/>
      </c>
      <c r="DU35" s="2928">
        <f t="shared" si="8"/>
      </c>
      <c r="DV35" s="2928">
        <f t="shared" si="8"/>
      </c>
      <c r="DW35" s="2928">
        <f t="shared" si="8"/>
      </c>
      <c r="DX35" s="2928">
        <f t="shared" si="8"/>
      </c>
      <c r="DY35" s="2928">
        <f t="shared" si="8"/>
      </c>
      <c r="DZ35" s="2928">
        <f t="shared" si="8"/>
      </c>
      <c r="EA35" s="2928">
        <f t="shared" si="8"/>
      </c>
      <c r="EB35" s="2928">
        <f t="shared" si="8"/>
      </c>
      <c r="EC35" s="2928">
        <f t="shared" si="8"/>
      </c>
      <c r="ED35" s="2928">
        <f t="shared" si="8"/>
      </c>
      <c r="EE35" s="2928">
        <f t="shared" si="8"/>
      </c>
      <c r="EF35" s="2928">
        <f t="shared" si="8"/>
      </c>
      <c r="EG35" s="2928">
        <f t="shared" si="8"/>
      </c>
      <c r="EH35" s="2928">
        <f t="shared" si="8"/>
      </c>
      <c r="EI35" s="2928">
        <f t="shared" si="8"/>
      </c>
      <c r="EJ35" s="2928">
        <f t="shared" si="8"/>
      </c>
      <c r="EK35" s="2928">
        <f t="shared" si="8"/>
      </c>
      <c r="EL35" s="2928">
        <f t="shared" si="8"/>
      </c>
      <c r="EM35" s="2928">
        <f t="shared" si="8"/>
      </c>
      <c r="EN35" s="2928">
        <f t="shared" si="8"/>
      </c>
      <c r="EO35" s="2928">
        <f t="shared" si="8"/>
      </c>
      <c r="EP35" s="2928">
        <f t="shared" si="8"/>
      </c>
      <c r="EQ35" s="2928">
        <f t="shared" si="8"/>
      </c>
      <c r="ER35" s="2928">
        <f t="shared" si="8"/>
      </c>
      <c r="ES35" s="2928">
        <f t="shared" si="8"/>
      </c>
      <c r="ET35" s="2928">
        <f t="shared" si="8"/>
      </c>
      <c r="EU35" s="2928">
        <f t="shared" si="8"/>
      </c>
      <c r="EV35" s="2928">
        <f t="shared" si="8"/>
      </c>
      <c r="EW35" s="2928">
        <f t="shared" si="8"/>
      </c>
      <c r="EX35" s="2928">
        <f t="shared" si="8"/>
      </c>
      <c r="EY35" s="2928">
        <f t="shared" si="8"/>
      </c>
      <c r="EZ35" s="2928">
        <f t="shared" si="8"/>
      </c>
      <c r="FA35" s="2929" t="str">
        <f t="shared" si="12"/>
        <v>-</v>
      </c>
      <c r="FB35" s="2825">
        <f t="shared" si="13"/>
      </c>
      <c r="FC35" s="2930" cm="1">
        <f t="array" ref="FC35">_xlfn.LET(_xlpm.unit_type,$G35,_xlpm.market_rent_from_rent_roll,$E35,_xlpm.unit_type_list,RentRoll_InputArea_DesignatedUnitType,_xlpm.rent_by_unit_type,RentRoll_InputArea_MarketRent,_xlpm.use_rent_roll_market_rent,LEFT(RR_VacantUnitMktRentSource,9)="Rent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5" s="2930">
        <f t="shared" si="14"/>
        <v>1096</v>
      </c>
      <c r="FE35" s="2930">
        <f t="shared" si="15"/>
        <v>1096</v>
      </c>
      <c r="FF35" s="2930">
        <f t="shared" si="16"/>
        <v>1096</v>
      </c>
      <c r="FG35" s="2931"/>
      <c r="FH35" s="2932">
        <f t="shared" si="17"/>
      </c>
      <c r="FI35" s="2932">
        <f t="shared" si="18"/>
      </c>
      <c r="FJ35" s="2931"/>
      <c r="FK35" s="2933" cm="1">
        <f t="array" ref="FK35">IF(AND(LEN($D35)&gt;0,ISNA(MATCH(TRUE,EXACT($G35,RentRoll_InputArea_DesignatedUnitType),0))),1,0)</f>
        <v>0</v>
      </c>
      <c r="FL35" s="2931">
        <f t="shared" si="19"/>
        <v>12</v>
      </c>
      <c r="FM35" s="2931"/>
      <c r="FN35" s="2931"/>
      <c r="FO35" s="2931"/>
      <c r="FP35" s="2931"/>
      <c r="FQ35" s="2931"/>
      <c r="FR35" s="2931"/>
      <c r="FS35" s="2931"/>
      <c r="FT35" s="2931"/>
      <c r="FU35" s="2931"/>
      <c r="FV35" s="2931"/>
      <c r="FW35" s="2931"/>
      <c r="FX35" s="2931"/>
      <c r="FY35" s="2931"/>
      <c r="FZ35" s="2931"/>
      <c r="GA35" s="2931"/>
      <c r="GB35" s="2931"/>
      <c r="GC35" s="2931"/>
      <c r="GD35" s="2931"/>
      <c r="GE35" s="2931"/>
      <c r="GF35" s="2931"/>
      <c r="GG35" s="2931"/>
      <c r="GH35" s="2931"/>
      <c r="GI35" s="2931"/>
      <c r="GJ35" s="2931"/>
      <c r="GK35" s="2931"/>
      <c r="GL35" s="2931"/>
      <c r="GM35" s="2931"/>
      <c r="GN35" s="2931"/>
      <c r="GO35" s="2931"/>
      <c r="GP35" s="2931"/>
      <c r="GQ35" s="2931"/>
      <c r="GR35" s="2931"/>
      <c r="GS35" s="2931"/>
      <c r="GT35" s="2931"/>
      <c r="GU35" s="2931"/>
      <c r="GV35" s="2931"/>
      <c r="GW35" s="2931"/>
      <c r="GX35" s="2931"/>
      <c r="GY35" s="2931"/>
      <c r="GZ35" s="2931"/>
      <c r="HA35" s="2931"/>
      <c r="HB35" s="2931"/>
      <c r="HC35" s="2931"/>
      <c r="HD35" s="2931"/>
      <c r="HE35" s="2931"/>
      <c r="HF35" s="2931"/>
      <c r="HG35" s="2931"/>
      <c r="HH35" s="2931"/>
      <c r="HI35" s="2931"/>
      <c r="HJ35" s="2931"/>
      <c r="HK35" s="2931"/>
      <c r="HL35" s="2931"/>
      <c r="HM35" s="2931"/>
      <c r="HN35" s="2931"/>
      <c r="HO35" s="2931"/>
      <c r="HP35" s="2931"/>
      <c r="HQ35" s="2931"/>
      <c r="HR35" s="2931"/>
      <c r="HS35" s="2931"/>
      <c r="HT35" s="2931"/>
      <c r="HU35" s="2931"/>
      <c r="HV35" s="2931"/>
      <c r="HW35" s="2931"/>
      <c r="HX35" s="2931"/>
      <c r="HY35" s="2931"/>
      <c r="HZ35" s="2931"/>
      <c r="IA35" s="2931"/>
      <c r="IB35" s="2931"/>
      <c r="IC35" s="2931"/>
      <c r="ID35" s="2931"/>
      <c r="IE35" s="2931"/>
      <c r="IF35" s="2931"/>
      <c r="IG35" s="2931"/>
      <c r="IH35" s="2931"/>
      <c r="II35" s="2931"/>
      <c r="IJ35" s="2931"/>
      <c r="IK35" s="2931"/>
      <c r="IL35" s="2931"/>
      <c r="IM35" s="2931"/>
      <c r="IN35" s="2931"/>
      <c r="IO35" s="2931" cm="1">
        <f t="array" ref="IO35">IF(LEN($G35)=0,"Rent Roll is incomplete",_xlfn.XLOOKUP(TRUE,EXACT(RentRoll_InputArea_DesignatedUnitType,$G35),RentRoll_InputArea_Beds,"Not Found"))</f>
        <v>1</v>
      </c>
      <c r="IP35" s="2934"/>
      <c r="IQ35" s="2935" t="str">
        <f t="shared" si="20"/>
        <v>1 Bedroom Unit</v>
      </c>
      <c r="IR35" s="2926">
        <f t="shared" si="21"/>
        <v>1096</v>
      </c>
      <c r="IS35" s="2935"/>
      <c r="IT35" s="2931"/>
      <c r="IU35" s="2931"/>
      <c r="IV35" s="2931"/>
      <c r="IW35" s="2936" t="str">
        <f t="shared" si="22"/>
        <v>2-203</v>
      </c>
      <c r="IX35" s="2936"/>
      <c r="IY35" s="2936"/>
      <c r="IZ35" s="2936">
        <f t="shared" si="23"/>
        <v>1</v>
      </c>
      <c r="JA35" s="2936">
        <f t="shared" si="24"/>
        <v>1096</v>
      </c>
      <c r="JB35" s="2936"/>
      <c r="JC35" s="2936"/>
      <c r="JD35" s="2936"/>
      <c r="JE35" s="2936"/>
      <c r="JF35" s="2936"/>
      <c r="JG35" s="2936"/>
      <c r="JH35" s="2936">
        <f t="shared" si="25"/>
        <v>1159</v>
      </c>
      <c r="JI35" s="2936"/>
      <c r="JJ35" s="2936">
        <f t="shared" si="26"/>
      </c>
      <c r="JK35" s="2936"/>
      <c r="JL35" s="2936"/>
      <c r="JM35" s="2936"/>
      <c r="JN35" s="2936"/>
      <c r="JO35" s="2936"/>
      <c r="JP35" s="2936"/>
      <c r="JQ35" s="2936" t="str">
        <f t="shared" si="27"/>
        <v>Occupied</v>
      </c>
      <c r="JR35" s="2936" cm="1">
        <f t="array" ref="JR35">_xlfn.XLOOKUP(TRUE,EXACT(RentRoll_InputArea_DesignatedUnitType,$G35),RentRoll_InputArea_SquareFootage,"Not Found")</f>
        <v>704</v>
      </c>
      <c r="JS35" s="2936" t="str">
        <f t="shared" si="28"/>
        <v>Apartment</v>
      </c>
      <c r="JT35" s="2936">
        <f t="shared" si="29"/>
      </c>
      <c r="JU35" s="2936"/>
      <c r="JV35" s="2936"/>
      <c r="JW35" s="2936"/>
      <c r="JX35" s="2936"/>
      <c r="JY35" s="2936">
        <f t="shared" si="9"/>
        <v>43508</v>
      </c>
      <c r="JZ35" s="2936">
        <f t="shared" si="9"/>
        <v>43861</v>
      </c>
      <c r="KA35" s="2936"/>
      <c r="KB35" s="2936"/>
      <c r="KC35" s="2936"/>
      <c r="KD35" s="2936"/>
      <c r="KE35" s="2936"/>
      <c r="KF35" s="2936"/>
      <c r="KG35" s="2936"/>
      <c r="KH35" s="2936"/>
      <c r="KI35" s="2937"/>
      <c r="KJ35" s="2936"/>
      <c r="KK35" s="1353"/>
    </row>
    <row r="36" ht="15" customHeight="1">
      <c r="A36" s="2922">
        <f t="shared" si="10"/>
        <v>13</v>
      </c>
      <c r="B36" s="2865"/>
      <c r="C36" s="2873"/>
      <c r="D36" s="2873" t="s">
        <v>2768</v>
      </c>
      <c r="E36" s="2923">
        <v>1162</v>
      </c>
      <c r="F36" s="2924" t="s">
        <v>2769</v>
      </c>
      <c r="G36" s="2873" t="s">
        <v>2529</v>
      </c>
      <c r="H36" s="2923">
        <v>1109</v>
      </c>
      <c r="I36" s="2925" cm="1">
        <f t="array" ref="I36">_xlfn.LET(_xlpm.has_subsidy,$N36&gt;0,_xlpm.is_chap9_sbl,$FF$20,_xlpm.contract_rent,$H36,_xlpm.unit_type_mkt_rent,_xlfn.XLOOKUP(TRUE,EXACT($G36,RentRoll_InputArea_DesignatedUnitType),RentRoll_InputArea_MarketRent,"Not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6" s="2926">
        <f t="shared" si="11"/>
        <v>1109</v>
      </c>
      <c r="K36" s="2923"/>
      <c r="L36" s="2923"/>
      <c r="M36" s="2923"/>
      <c r="N36" s="2923"/>
      <c r="O36" s="2927">
        <v>43386</v>
      </c>
      <c r="P36" s="2927">
        <v>43677</v>
      </c>
      <c r="Q36" s="2928">
        <f t="shared" si="8"/>
        <v>1109</v>
      </c>
      <c r="R36" s="2928">
        <f t="shared" si="8"/>
      </c>
      <c r="S36" s="2928">
        <f t="shared" si="8"/>
      </c>
      <c r="T36" s="2928">
        <f t="shared" si="8"/>
      </c>
      <c r="U36" s="2928">
        <f t="shared" si="8"/>
      </c>
      <c r="V36" s="2928">
        <f t="shared" si="8"/>
      </c>
      <c r="W36" s="2928">
        <f t="shared" si="8"/>
      </c>
      <c r="X36" s="2928">
        <f t="shared" si="8"/>
      </c>
      <c r="Y36" s="2928">
        <f t="shared" si="8"/>
      </c>
      <c r="Z36" s="2928">
        <f t="shared" si="8"/>
      </c>
      <c r="AA36" s="2928">
        <f t="shared" si="8"/>
      </c>
      <c r="AB36" s="2928">
        <f t="shared" si="8"/>
      </c>
      <c r="AC36" s="2928">
        <f t="shared" si="8"/>
      </c>
      <c r="AD36" s="2928">
        <f t="shared" si="8"/>
      </c>
      <c r="AE36" s="2928">
        <f t="shared" si="8"/>
      </c>
      <c r="AF36" s="2928">
        <f t="shared" si="8"/>
      </c>
      <c r="AG36" s="2928">
        <f t="shared" si="8"/>
      </c>
      <c r="AH36" s="2928">
        <f t="shared" si="8"/>
      </c>
      <c r="AI36" s="2928">
        <f t="shared" si="8"/>
      </c>
      <c r="AJ36" s="2928">
        <f t="shared" si="8"/>
      </c>
      <c r="AK36" s="2928">
        <f t="shared" si="8"/>
      </c>
      <c r="AL36" s="2928">
        <f t="shared" si="8"/>
      </c>
      <c r="AM36" s="2928">
        <f t="shared" si="8"/>
      </c>
      <c r="AN36" s="2928">
        <f t="shared" si="8"/>
      </c>
      <c r="AO36" s="2928">
        <f t="shared" si="8"/>
      </c>
      <c r="AP36" s="2928">
        <f t="shared" si="8"/>
      </c>
      <c r="AQ36" s="2928">
        <f t="shared" si="8"/>
      </c>
      <c r="AR36" s="2928">
        <f t="shared" si="8"/>
      </c>
      <c r="AS36" s="2928">
        <f t="shared" si="8"/>
      </c>
      <c r="AT36" s="2928">
        <f t="shared" si="8"/>
      </c>
      <c r="AU36" s="2928">
        <f t="shared" si="8"/>
      </c>
      <c r="AV36" s="2928">
        <f t="shared" si="8"/>
      </c>
      <c r="AW36" s="2928">
        <f t="shared" si="8"/>
      </c>
      <c r="AX36" s="2928">
        <f t="shared" si="8"/>
      </c>
      <c r="AY36" s="2928">
        <f t="shared" si="8"/>
      </c>
      <c r="AZ36" s="2928">
        <f t="shared" si="8"/>
      </c>
      <c r="BA36" s="2928">
        <f t="shared" si="8"/>
      </c>
      <c r="BB36" s="2928">
        <f t="shared" si="8"/>
      </c>
      <c r="BC36" s="2928">
        <f t="shared" si="8"/>
      </c>
      <c r="BD36" s="2928">
        <f t="shared" si="8"/>
      </c>
      <c r="BE36" s="2928">
        <f t="shared" si="8"/>
      </c>
      <c r="BF36" s="2928">
        <f t="shared" si="8"/>
      </c>
      <c r="BG36" s="2928">
        <f t="shared" si="8"/>
      </c>
      <c r="BH36" s="2928">
        <f t="shared" si="8"/>
      </c>
      <c r="BI36" s="2928">
        <f t="shared" si="8"/>
      </c>
      <c r="BJ36" s="2928">
        <f t="shared" si="8"/>
      </c>
      <c r="BK36" s="2928">
        <f t="shared" si="8"/>
      </c>
      <c r="BL36" s="2928">
        <f t="shared" si="8"/>
      </c>
      <c r="BM36" s="2928">
        <f t="shared" si="8"/>
      </c>
      <c r="BN36" s="2928">
        <f t="shared" si="8"/>
      </c>
      <c r="BO36" s="2928">
        <f t="shared" si="8"/>
      </c>
      <c r="BP36" s="2928">
        <f t="shared" si="8"/>
      </c>
      <c r="BQ36" s="2928">
        <f t="shared" si="8"/>
      </c>
      <c r="BR36" s="2928">
        <f t="shared" si="8"/>
      </c>
      <c r="BS36" s="2928">
        <f t="shared" si="8"/>
      </c>
      <c r="BT36" s="2928">
        <f t="shared" si="8"/>
      </c>
      <c r="BU36" s="2928">
        <f t="shared" si="8"/>
      </c>
      <c r="BV36" s="2928">
        <f t="shared" si="8"/>
      </c>
      <c r="BW36" s="2928">
        <f t="shared" si="8"/>
      </c>
      <c r="BX36" s="2928">
        <f t="shared" si="8"/>
      </c>
      <c r="BY36" s="2928">
        <f t="shared" si="8"/>
      </c>
      <c r="BZ36" s="2928">
        <f t="shared" si="8"/>
      </c>
      <c r="CA36" s="2928">
        <f t="shared" si="8"/>
      </c>
      <c r="CB36" s="2928">
        <f t="shared" si="8"/>
      </c>
      <c r="CC36" s="2928">
        <f t="shared" si="8"/>
      </c>
      <c r="CD36" s="2928">
        <f t="shared" si="8"/>
      </c>
      <c r="CE36" s="2928">
        <f t="shared" si="8"/>
      </c>
      <c r="CF36" s="2928">
        <f t="shared" si="8"/>
      </c>
      <c r="CG36" s="2928">
        <f t="shared" si="8"/>
      </c>
      <c r="CH36" s="2928">
        <f t="shared" si="8"/>
      </c>
      <c r="CI36" s="2928">
        <f t="shared" si="8"/>
      </c>
      <c r="CJ36" s="2928">
        <f t="shared" si="8"/>
      </c>
      <c r="CK36" s="2928">
        <f t="shared" si="8"/>
      </c>
      <c r="CL36" s="2928">
        <f t="shared" si="8"/>
      </c>
      <c r="CM36" s="2928">
        <f t="shared" si="8"/>
      </c>
      <c r="CN36" s="2928">
        <f t="shared" si="8"/>
      </c>
      <c r="CO36" s="2928">
        <f t="shared" si="8"/>
      </c>
      <c r="CP36" s="2928">
        <f t="shared" si="8"/>
      </c>
      <c r="CQ36" s="2928">
        <f t="shared" si="8"/>
      </c>
      <c r="CR36" s="2928">
        <f t="shared" si="8"/>
      </c>
      <c r="CS36" s="2928">
        <f t="shared" si="8"/>
      </c>
      <c r="CT36" s="2928">
        <f t="shared" si="8"/>
      </c>
      <c r="CU36" s="2928">
        <f t="shared" si="8"/>
      </c>
      <c r="CV36" s="2928">
        <f t="shared" si="8"/>
      </c>
      <c r="CW36" s="2928">
        <f t="shared" si="8"/>
      </c>
      <c r="CX36" s="2928">
        <f t="shared" si="8"/>
      </c>
      <c r="CY36" s="2928">
        <f t="shared" si="8"/>
      </c>
      <c r="CZ36" s="2928">
        <f t="shared" si="8"/>
      </c>
      <c r="DA36" s="2928">
        <f t="shared" si="8"/>
      </c>
      <c r="DB36" s="2928">
        <f t="shared" si="8"/>
      </c>
      <c r="DC36" s="2928">
        <f t="shared" si="8"/>
      </c>
      <c r="DD36" s="2928">
        <f t="shared" si="8"/>
      </c>
      <c r="DE36" s="2928">
        <f t="shared" si="8"/>
      </c>
      <c r="DF36" s="2928">
        <f t="shared" si="8"/>
      </c>
      <c r="DG36" s="2928">
        <f t="shared" si="8"/>
      </c>
      <c r="DH36" s="2928">
        <f t="shared" si="8"/>
      </c>
      <c r="DI36" s="2928">
        <f t="shared" si="8"/>
      </c>
      <c r="DJ36" s="2928">
        <f t="shared" si="8"/>
      </c>
      <c r="DK36" s="2928">
        <f t="shared" si="8"/>
      </c>
      <c r="DL36" s="2928">
        <f t="shared" si="8"/>
      </c>
      <c r="DM36" s="2928">
        <f t="shared" si="8"/>
      </c>
      <c r="DN36" s="2928">
        <f t="shared" si="8"/>
      </c>
      <c r="DO36" s="2928">
        <f t="shared" si="8"/>
      </c>
      <c r="DP36" s="2928">
        <f t="shared" si="8"/>
      </c>
      <c r="DQ36" s="2928">
        <f t="shared" si="8"/>
      </c>
      <c r="DR36" s="2928">
        <f t="shared" si="8"/>
      </c>
      <c r="DS36" s="2928">
        <f t="shared" si="8"/>
      </c>
      <c r="DT36" s="2928">
        <f t="shared" si="8"/>
      </c>
      <c r="DU36" s="2928">
        <f t="shared" si="8"/>
      </c>
      <c r="DV36" s="2928">
        <f t="shared" si="8"/>
      </c>
      <c r="DW36" s="2928">
        <f t="shared" si="8"/>
      </c>
      <c r="DX36" s="2928">
        <f t="shared" si="8"/>
      </c>
      <c r="DY36" s="2928">
        <f t="shared" si="8"/>
      </c>
      <c r="DZ36" s="2928">
        <f t="shared" si="8"/>
      </c>
      <c r="EA36" s="2928">
        <f t="shared" si="8"/>
      </c>
      <c r="EB36" s="2928">
        <f t="shared" si="8"/>
      </c>
      <c r="EC36" s="2928">
        <f t="shared" si="8"/>
      </c>
      <c r="ED36" s="2928">
        <f t="shared" si="8"/>
      </c>
      <c r="EE36" s="2928">
        <f t="shared" si="8"/>
      </c>
      <c r="EF36" s="2928">
        <f t="shared" si="8"/>
      </c>
      <c r="EG36" s="2928">
        <f t="shared" si="8"/>
      </c>
      <c r="EH36" s="2928">
        <f t="shared" si="8"/>
      </c>
      <c r="EI36" s="2928">
        <f t="shared" si="8"/>
      </c>
      <c r="EJ36" s="2928">
        <f t="shared" si="8"/>
      </c>
      <c r="EK36" s="2928">
        <f t="shared" si="8"/>
      </c>
      <c r="EL36" s="2928">
        <f t="shared" si="8"/>
      </c>
      <c r="EM36" s="2928">
        <f t="shared" si="8"/>
      </c>
      <c r="EN36" s="2928">
        <f t="shared" si="8"/>
      </c>
      <c r="EO36" s="2928">
        <f t="shared" si="8"/>
      </c>
      <c r="EP36" s="2928">
        <f t="shared" si="8"/>
      </c>
      <c r="EQ36" s="2928">
        <f t="shared" si="8"/>
      </c>
      <c r="ER36" s="2928">
        <f t="shared" si="8"/>
      </c>
      <c r="ES36" s="2928">
        <f t="shared" si="8"/>
      </c>
      <c r="ET36" s="2928">
        <f t="shared" si="8"/>
      </c>
      <c r="EU36" s="2928">
        <f t="shared" si="8"/>
      </c>
      <c r="EV36" s="2928">
        <f t="shared" si="8"/>
      </c>
      <c r="EW36" s="2928">
        <f t="shared" si="8"/>
      </c>
      <c r="EX36" s="2928">
        <f t="shared" si="8"/>
      </c>
      <c r="EY36" s="2928">
        <f t="shared" si="8"/>
      </c>
      <c r="EZ36" s="2928">
        <f t="shared" si="8"/>
      </c>
      <c r="FA36" s="2929" t="str">
        <f t="shared" si="12"/>
        <v>-</v>
      </c>
      <c r="FB36" s="2825">
        <f t="shared" si="13"/>
      </c>
      <c r="FC36" s="2930" cm="1">
        <f t="array" ref="FC36">_xlfn.LET(_xlpm.unit_type,$G36,_xlpm.market_rent_from_rent_roll,$E36,_xlpm.unit_type_list,RentRoll_InputArea_DesignatedUnitType,_xlpm.rent_by_unit_type,RentRoll_InputArea_MarketRent,_xlpm.use_rent_roll_market_rent,LEFT(RR_VacantUnitMktRentSource,9)="Rent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6" s="2930">
        <f t="shared" si="14"/>
        <v>1109</v>
      </c>
      <c r="FE36" s="2930">
        <f t="shared" si="15"/>
        <v>1109</v>
      </c>
      <c r="FF36" s="2930">
        <f t="shared" si="16"/>
        <v>1109</v>
      </c>
      <c r="FG36" s="2931"/>
      <c r="FH36" s="2932">
        <f t="shared" si="17"/>
      </c>
      <c r="FI36" s="2932">
        <f t="shared" si="18"/>
      </c>
      <c r="FJ36" s="2931"/>
      <c r="FK36" s="2933" cm="1">
        <f t="array" ref="FK36">IF(AND(LEN($D36)&gt;0,ISNA(MATCH(TRUE,EXACT($G36,RentRoll_InputArea_DesignatedUnitType),0))),1,0)</f>
        <v>0</v>
      </c>
      <c r="FL36" s="2931">
        <f t="shared" si="19"/>
        <v>13</v>
      </c>
      <c r="FM36" s="2931"/>
      <c r="FN36" s="2931"/>
      <c r="FO36" s="2931"/>
      <c r="FP36" s="2931"/>
      <c r="FQ36" s="2931"/>
      <c r="FR36" s="2931"/>
      <c r="FS36" s="2931"/>
      <c r="FT36" s="2931"/>
      <c r="FU36" s="2931"/>
      <c r="FV36" s="2931"/>
      <c r="FW36" s="2931"/>
      <c r="FX36" s="2931"/>
      <c r="FY36" s="2931"/>
      <c r="FZ36" s="2931"/>
      <c r="GA36" s="2931"/>
      <c r="GB36" s="2931"/>
      <c r="GC36" s="2931"/>
      <c r="GD36" s="2931"/>
      <c r="GE36" s="2931"/>
      <c r="GF36" s="2931"/>
      <c r="GG36" s="2931"/>
      <c r="GH36" s="2931"/>
      <c r="GI36" s="2931"/>
      <c r="GJ36" s="2931"/>
      <c r="GK36" s="2931"/>
      <c r="GL36" s="2931"/>
      <c r="GM36" s="2931"/>
      <c r="GN36" s="2931"/>
      <c r="GO36" s="2931"/>
      <c r="GP36" s="2931"/>
      <c r="GQ36" s="2931"/>
      <c r="GR36" s="2931"/>
      <c r="GS36" s="2931"/>
      <c r="GT36" s="2931"/>
      <c r="GU36" s="2931"/>
      <c r="GV36" s="2931"/>
      <c r="GW36" s="2931"/>
      <c r="GX36" s="2931"/>
      <c r="GY36" s="2931"/>
      <c r="GZ36" s="2931"/>
      <c r="HA36" s="2931"/>
      <c r="HB36" s="2931"/>
      <c r="HC36" s="2931"/>
      <c r="HD36" s="2931"/>
      <c r="HE36" s="2931"/>
      <c r="HF36" s="2931"/>
      <c r="HG36" s="2931"/>
      <c r="HH36" s="2931"/>
      <c r="HI36" s="2931"/>
      <c r="HJ36" s="2931"/>
      <c r="HK36" s="2931"/>
      <c r="HL36" s="2931"/>
      <c r="HM36" s="2931"/>
      <c r="HN36" s="2931"/>
      <c r="HO36" s="2931"/>
      <c r="HP36" s="2931"/>
      <c r="HQ36" s="2931"/>
      <c r="HR36" s="2931"/>
      <c r="HS36" s="2931"/>
      <c r="HT36" s="2931"/>
      <c r="HU36" s="2931"/>
      <c r="HV36" s="2931"/>
      <c r="HW36" s="2931"/>
      <c r="HX36" s="2931"/>
      <c r="HY36" s="2931"/>
      <c r="HZ36" s="2931"/>
      <c r="IA36" s="2931"/>
      <c r="IB36" s="2931"/>
      <c r="IC36" s="2931"/>
      <c r="ID36" s="2931"/>
      <c r="IE36" s="2931"/>
      <c r="IF36" s="2931"/>
      <c r="IG36" s="2931"/>
      <c r="IH36" s="2931"/>
      <c r="II36" s="2931"/>
      <c r="IJ36" s="2931"/>
      <c r="IK36" s="2931"/>
      <c r="IL36" s="2931"/>
      <c r="IM36" s="2931"/>
      <c r="IN36" s="2931"/>
      <c r="IO36" s="2931" cm="1">
        <f t="array" ref="IO36">IF(LEN($G36)=0,"Rent Roll is incomplete",_xlfn.XLOOKUP(TRUE,EXACT(RentRoll_InputArea_DesignatedUnitType,$G36),RentRoll_InputArea_Beds,"Not Found"))</f>
        <v>1</v>
      </c>
      <c r="IP36" s="2934"/>
      <c r="IQ36" s="2935" t="str">
        <f t="shared" si="20"/>
        <v>1 Bedroom Unit</v>
      </c>
      <c r="IR36" s="2926">
        <f t="shared" si="21"/>
        <v>1109</v>
      </c>
      <c r="IS36" s="2935"/>
      <c r="IT36" s="2931"/>
      <c r="IU36" s="2931"/>
      <c r="IV36" s="2931"/>
      <c r="IW36" s="2936" t="str">
        <f t="shared" si="22"/>
        <v>2-204</v>
      </c>
      <c r="IX36" s="2936"/>
      <c r="IY36" s="2936"/>
      <c r="IZ36" s="2936">
        <f t="shared" si="23"/>
        <v>1</v>
      </c>
      <c r="JA36" s="2936">
        <f t="shared" si="24"/>
        <v>1109</v>
      </c>
      <c r="JB36" s="2936"/>
      <c r="JC36" s="2936"/>
      <c r="JD36" s="2936"/>
      <c r="JE36" s="2936"/>
      <c r="JF36" s="2936"/>
      <c r="JG36" s="2936"/>
      <c r="JH36" s="2936">
        <f t="shared" si="25"/>
        <v>1159</v>
      </c>
      <c r="JI36" s="2936"/>
      <c r="JJ36" s="2936">
        <f t="shared" si="26"/>
      </c>
      <c r="JK36" s="2936"/>
      <c r="JL36" s="2936"/>
      <c r="JM36" s="2936"/>
      <c r="JN36" s="2936"/>
      <c r="JO36" s="2936"/>
      <c r="JP36" s="2936"/>
      <c r="JQ36" s="2936" t="str">
        <f t="shared" si="27"/>
        <v>Occupied</v>
      </c>
      <c r="JR36" s="2936" cm="1">
        <f t="array" ref="JR36">_xlfn.XLOOKUP(TRUE,EXACT(RentRoll_InputArea_DesignatedUnitType,$G36),RentRoll_InputArea_SquareFootage,"Not Found")</f>
        <v>704</v>
      </c>
      <c r="JS36" s="2936" t="str">
        <f t="shared" si="28"/>
        <v>Apartment</v>
      </c>
      <c r="JT36" s="2936">
        <f t="shared" si="29"/>
      </c>
      <c r="JU36" s="2936"/>
      <c r="JV36" s="2936"/>
      <c r="JW36" s="2936"/>
      <c r="JX36" s="2936"/>
      <c r="JY36" s="2936">
        <f t="shared" si="9"/>
        <v>43386</v>
      </c>
      <c r="JZ36" s="2936">
        <f t="shared" si="9"/>
        <v>43677</v>
      </c>
      <c r="KA36" s="2936"/>
      <c r="KB36" s="2936"/>
      <c r="KC36" s="2936"/>
      <c r="KD36" s="2936"/>
      <c r="KE36" s="2936"/>
      <c r="KF36" s="2936"/>
      <c r="KG36" s="2936"/>
      <c r="KH36" s="2936"/>
      <c r="KI36" s="2937"/>
      <c r="KJ36" s="2936"/>
      <c r="KK36" s="1353"/>
    </row>
    <row r="37" ht="15" customHeight="1">
      <c r="A37" s="2922">
        <f t="shared" si="10"/>
        <v>14</v>
      </c>
      <c r="B37" s="2865"/>
      <c r="C37" s="2873"/>
      <c r="D37" s="2873" t="s">
        <v>2770</v>
      </c>
      <c r="E37" s="2923">
        <v>1197</v>
      </c>
      <c r="F37" s="2924" t="s">
        <v>2771</v>
      </c>
      <c r="G37" s="2873" t="s">
        <v>2529</v>
      </c>
      <c r="H37" s="2923">
        <v>1182</v>
      </c>
      <c r="I37" s="2925" cm="1">
        <f t="array" ref="I37">_xlfn.LET(_xlpm.has_subsidy,$N37&gt;0,_xlpm.is_chap9_sbl,$FF$20,_xlpm.contract_rent,$H37,_xlpm.unit_type_mkt_rent,_xlfn.XLOOKUP(TRUE,EXACT($G37,RentRoll_InputArea_DesignatedUnitType),RentRoll_InputArea_MarketRent,"Not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7" s="2926">
        <f t="shared" si="11"/>
        <v>1182</v>
      </c>
      <c r="K37" s="2923"/>
      <c r="L37" s="2923"/>
      <c r="M37" s="2923"/>
      <c r="N37" s="2923"/>
      <c r="O37" s="2927">
        <v>43556</v>
      </c>
      <c r="P37" s="2927">
        <v>43982</v>
      </c>
      <c r="Q37" s="2928">
        <f t="shared" si="8"/>
        <v>1182</v>
      </c>
      <c r="R37" s="2928">
        <f t="shared" si="8"/>
      </c>
      <c r="S37" s="2928">
        <f t="shared" si="8"/>
      </c>
      <c r="T37" s="2928">
        <f t="shared" si="8"/>
      </c>
      <c r="U37" s="2928">
        <f t="shared" si="8"/>
      </c>
      <c r="V37" s="2928">
        <f t="shared" si="8"/>
      </c>
      <c r="W37" s="2928">
        <f t="shared" si="8"/>
      </c>
      <c r="X37" s="2928">
        <f t="shared" si="8"/>
      </c>
      <c r="Y37" s="2928">
        <f t="shared" si="8"/>
      </c>
      <c r="Z37" s="2928">
        <f t="shared" si="8"/>
      </c>
      <c r="AA37" s="2928">
        <f t="shared" si="8"/>
      </c>
      <c r="AB37" s="2928">
        <f t="shared" si="8"/>
      </c>
      <c r="AC37" s="2928">
        <f t="shared" si="8"/>
      </c>
      <c r="AD37" s="2928">
        <f t="shared" si="8"/>
      </c>
      <c r="AE37" s="2928">
        <f t="shared" si="8"/>
      </c>
      <c r="AF37" s="2928">
        <f t="shared" si="8"/>
      </c>
      <c r="AG37" s="2928">
        <f t="shared" si="8"/>
      </c>
      <c r="AH37" s="2928">
        <f t="shared" si="8"/>
      </c>
      <c r="AI37" s="2928">
        <f t="shared" si="8"/>
      </c>
      <c r="AJ37" s="2928">
        <f t="shared" si="8"/>
      </c>
      <c r="AK37" s="2928">
        <f t="shared" si="8"/>
      </c>
      <c r="AL37" s="2928">
        <f t="shared" si="8"/>
      </c>
      <c r="AM37" s="2928">
        <f t="shared" si="8"/>
      </c>
      <c r="AN37" s="2928">
        <f t="shared" si="8"/>
      </c>
      <c r="AO37" s="2928">
        <f t="shared" si="8"/>
      </c>
      <c r="AP37" s="2928">
        <f t="shared" si="8"/>
      </c>
      <c r="AQ37" s="2928">
        <f t="shared" si="8"/>
      </c>
      <c r="AR37" s="2928">
        <f t="shared" si="8"/>
      </c>
      <c r="AS37" s="2928">
        <f t="shared" si="8"/>
      </c>
      <c r="AT37" s="2928">
        <f t="shared" si="8"/>
      </c>
      <c r="AU37" s="2928">
        <f t="shared" si="8"/>
      </c>
      <c r="AV37" s="2928">
        <f t="shared" si="8"/>
      </c>
      <c r="AW37" s="2928">
        <f t="shared" si="8"/>
      </c>
      <c r="AX37" s="2928">
        <f t="shared" si="8"/>
      </c>
      <c r="AY37" s="2928">
        <f t="shared" si="8"/>
      </c>
      <c r="AZ37" s="2928">
        <f t="shared" si="8"/>
      </c>
      <c r="BA37" s="2928">
        <f t="shared" si="8"/>
      </c>
      <c r="BB37" s="2928">
        <f t="shared" si="8"/>
      </c>
      <c r="BC37" s="2928">
        <f t="shared" si="8"/>
      </c>
      <c r="BD37" s="2928">
        <f t="shared" si="8"/>
      </c>
      <c r="BE37" s="2928">
        <f t="shared" si="8"/>
      </c>
      <c r="BF37" s="2928">
        <f t="shared" si="8"/>
      </c>
      <c r="BG37" s="2928">
        <f t="shared" si="8"/>
      </c>
      <c r="BH37" s="2928">
        <f t="shared" si="8"/>
      </c>
      <c r="BI37" s="2928">
        <f t="shared" si="8"/>
      </c>
      <c r="BJ37" s="2928">
        <f t="shared" si="8"/>
      </c>
      <c r="BK37" s="2928">
        <f t="shared" si="8"/>
      </c>
      <c r="BL37" s="2928">
        <f t="shared" si="8"/>
      </c>
      <c r="BM37" s="2928">
        <f t="shared" si="8"/>
      </c>
      <c r="BN37" s="2928">
        <f t="shared" si="8"/>
      </c>
      <c r="BO37" s="2928">
        <f t="shared" si="8"/>
      </c>
      <c r="BP37" s="2928">
        <f t="shared" si="8"/>
      </c>
      <c r="BQ37" s="2928">
        <f t="shared" si="8"/>
      </c>
      <c r="BR37" s="2928">
        <f t="shared" si="8"/>
      </c>
      <c r="BS37" s="2928">
        <f t="shared" si="8"/>
      </c>
      <c r="BT37" s="2928">
        <f t="shared" si="8"/>
      </c>
      <c r="BU37" s="2928">
        <f t="shared" si="8"/>
      </c>
      <c r="BV37" s="2928">
        <f t="shared" si="8"/>
      </c>
      <c r="BW37" s="2928">
        <f t="shared" si="8"/>
      </c>
      <c r="BX37" s="2928">
        <f t="shared" si="8"/>
      </c>
      <c r="BY37" s="2928">
        <f t="shared" si="8"/>
      </c>
      <c r="BZ37" s="2928">
        <f t="shared" si="8"/>
      </c>
      <c r="CA37" s="2928">
        <f t="shared" si="8"/>
      </c>
      <c r="CB37" s="2928">
        <f t="shared" si="8"/>
      </c>
      <c r="CC37" s="2928">
        <f t="shared" si="8"/>
      </c>
      <c r="CD37" s="2928">
        <f t="shared" si="8"/>
      </c>
      <c r="CE37" s="2928">
        <f t="shared" si="8"/>
      </c>
      <c r="CF37" s="2928">
        <f t="shared" si="8"/>
      </c>
      <c r="CG37" s="2928">
        <f t="shared" si="8"/>
      </c>
      <c r="CH37" s="2928">
        <f t="shared" si="8"/>
      </c>
      <c r="CI37" s="2928">
        <f t="shared" si="8"/>
      </c>
      <c r="CJ37" s="2928">
        <f t="shared" si="8"/>
      </c>
      <c r="CK37" s="2928">
        <f t="shared" si="8"/>
      </c>
      <c r="CL37" s="2928">
        <f t="shared" si="8"/>
      </c>
      <c r="CM37" s="2928">
        <f t="shared" si="8"/>
      </c>
      <c r="CN37" s="2928">
        <f t="shared" si="8"/>
      </c>
      <c r="CO37" s="2928">
        <f t="shared" si="8"/>
      </c>
      <c r="CP37" s="2928">
        <f t="shared" si="8"/>
      </c>
      <c r="CQ37" s="2928">
        <f t="shared" si="8"/>
      </c>
      <c r="CR37" s="2928">
        <f t="shared" si="8"/>
      </c>
      <c r="CS37" s="2928">
        <f t="shared" si="8"/>
      </c>
      <c r="CT37" s="2928">
        <f t="shared" si="8"/>
      </c>
      <c r="CU37" s="2928">
        <f t="shared" si="8"/>
      </c>
      <c r="CV37" s="2928">
        <f t="shared" si="8"/>
      </c>
      <c r="CW37" s="2928">
        <f t="shared" si="8"/>
      </c>
      <c r="CX37" s="2928">
        <f t="shared" si="8"/>
      </c>
      <c r="CY37" s="2928">
        <f t="shared" si="8"/>
      </c>
      <c r="CZ37" s="2928">
        <f t="shared" si="8"/>
      </c>
      <c r="DA37" s="2928">
        <f t="shared" si="8"/>
      </c>
      <c r="DB37" s="2928">
        <f t="shared" si="8"/>
      </c>
      <c r="DC37" s="2928">
        <f t="shared" si="8"/>
      </c>
      <c r="DD37" s="2928">
        <f t="shared" si="8"/>
      </c>
      <c r="DE37" s="2928">
        <f t="shared" si="8"/>
      </c>
      <c r="DF37" s="2928">
        <f t="shared" si="8"/>
      </c>
      <c r="DG37" s="2928">
        <f t="shared" si="8"/>
      </c>
      <c r="DH37" s="2928">
        <f t="shared" si="8"/>
      </c>
      <c r="DI37" s="2928">
        <f t="shared" si="8"/>
      </c>
      <c r="DJ37" s="2928">
        <f t="shared" si="8"/>
      </c>
      <c r="DK37" s="2928">
        <f t="shared" si="8"/>
      </c>
      <c r="DL37" s="2928">
        <f t="shared" si="8"/>
      </c>
      <c r="DM37" s="2928">
        <f t="shared" si="8"/>
      </c>
      <c r="DN37" s="2928">
        <f t="shared" si="8"/>
      </c>
      <c r="DO37" s="2928">
        <f t="shared" si="8"/>
      </c>
      <c r="DP37" s="2928">
        <f t="shared" si="8"/>
      </c>
      <c r="DQ37" s="2928">
        <f t="shared" si="8"/>
      </c>
      <c r="DR37" s="2928">
        <f t="shared" si="8"/>
      </c>
      <c r="DS37" s="2928">
        <f t="shared" si="8"/>
      </c>
      <c r="DT37" s="2928">
        <f t="shared" si="8"/>
      </c>
      <c r="DU37" s="2928">
        <f t="shared" si="8"/>
      </c>
      <c r="DV37" s="2928">
        <f t="shared" si="8"/>
      </c>
      <c r="DW37" s="2928">
        <f t="shared" si="8"/>
      </c>
      <c r="DX37" s="2928">
        <f t="shared" si="8"/>
      </c>
      <c r="DY37" s="2928">
        <f t="shared" si="8"/>
      </c>
      <c r="DZ37" s="2928">
        <f t="shared" si="8"/>
      </c>
      <c r="EA37" s="2928">
        <f t="shared" si="8"/>
      </c>
      <c r="EB37" s="2928">
        <f t="shared" si="8"/>
      </c>
      <c r="EC37" s="2928">
        <f t="shared" si="8"/>
      </c>
      <c r="ED37" s="2928">
        <f t="shared" si="8"/>
      </c>
      <c r="EE37" s="2928">
        <f t="shared" si="8"/>
      </c>
      <c r="EF37" s="2928">
        <f t="shared" si="8"/>
      </c>
      <c r="EG37" s="2928">
        <f t="shared" si="8"/>
      </c>
      <c r="EH37" s="2928">
        <f t="shared" si="8"/>
      </c>
      <c r="EI37" s="2928">
        <f t="shared" si="8"/>
      </c>
      <c r="EJ37" s="2928">
        <f t="shared" si="8"/>
      </c>
      <c r="EK37" s="2928">
        <f t="shared" si="8"/>
      </c>
      <c r="EL37" s="2928">
        <f t="shared" si="8"/>
      </c>
      <c r="EM37" s="2928">
        <f t="shared" si="8"/>
      </c>
      <c r="EN37" s="2928">
        <f t="shared" si="8"/>
      </c>
      <c r="EO37" s="2928">
        <f t="shared" si="8"/>
      </c>
      <c r="EP37" s="2928">
        <f t="shared" si="8"/>
      </c>
      <c r="EQ37" s="2928">
        <f t="shared" si="8"/>
      </c>
      <c r="ER37" s="2928">
        <f t="shared" si="8"/>
      </c>
      <c r="ES37" s="2928">
        <f t="shared" si="8"/>
      </c>
      <c r="ET37" s="2928">
        <f t="shared" si="8"/>
      </c>
      <c r="EU37" s="2928">
        <f t="shared" si="8"/>
      </c>
      <c r="EV37" s="2928">
        <f t="shared" si="8"/>
      </c>
      <c r="EW37" s="2928">
        <f t="shared" si="8"/>
      </c>
      <c r="EX37" s="2928">
        <f t="shared" si="8"/>
      </c>
      <c r="EY37" s="2928">
        <f t="shared" si="8"/>
      </c>
      <c r="EZ37" s="2928">
        <f t="shared" si="8"/>
      </c>
      <c r="FA37" s="2929" t="str">
        <f t="shared" si="12"/>
        <v>-</v>
      </c>
      <c r="FB37" s="2825">
        <f t="shared" si="13"/>
      </c>
      <c r="FC37" s="2930" cm="1">
        <f t="array" ref="FC37">_xlfn.LET(_xlpm.unit_type,$G37,_xlpm.market_rent_from_rent_roll,$E37,_xlpm.unit_type_list,RentRoll_InputArea_DesignatedUnitType,_xlpm.rent_by_unit_type,RentRoll_InputArea_MarketRent,_xlpm.use_rent_roll_market_rent,LEFT(RR_VacantUnitMktRentSource,9)="Rent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7" s="2930">
        <f t="shared" si="14"/>
        <v>1182</v>
      </c>
      <c r="FE37" s="2930">
        <f t="shared" si="15"/>
        <v>1182</v>
      </c>
      <c r="FF37" s="2930">
        <f t="shared" si="16"/>
        <v>1182</v>
      </c>
      <c r="FG37" s="2931"/>
      <c r="FH37" s="2932">
        <f t="shared" si="17"/>
      </c>
      <c r="FI37" s="2932">
        <f t="shared" si="18"/>
      </c>
      <c r="FJ37" s="2931"/>
      <c r="FK37" s="2933" cm="1">
        <f t="array" ref="FK37">IF(AND(LEN($D37)&gt;0,ISNA(MATCH(TRUE,EXACT($G37,RentRoll_InputArea_DesignatedUnitType),0))),1,0)</f>
        <v>0</v>
      </c>
      <c r="FL37" s="2931">
        <f t="shared" si="19"/>
        <v>14</v>
      </c>
      <c r="FM37" s="2931"/>
      <c r="FN37" s="2931"/>
      <c r="FO37" s="2931"/>
      <c r="FP37" s="2931"/>
      <c r="FQ37" s="2931"/>
      <c r="FR37" s="2931"/>
      <c r="FS37" s="2931"/>
      <c r="FT37" s="2931"/>
      <c r="FU37" s="2931"/>
      <c r="FV37" s="2931"/>
      <c r="FW37" s="2931"/>
      <c r="FX37" s="2931"/>
      <c r="FY37" s="2931"/>
      <c r="FZ37" s="2931"/>
      <c r="GA37" s="2931"/>
      <c r="GB37" s="2931"/>
      <c r="GC37" s="2931"/>
      <c r="GD37" s="2931"/>
      <c r="GE37" s="2931"/>
      <c r="GF37" s="2931"/>
      <c r="GG37" s="2931"/>
      <c r="GH37" s="2931"/>
      <c r="GI37" s="2931"/>
      <c r="GJ37" s="2931"/>
      <c r="GK37" s="2931"/>
      <c r="GL37" s="2931"/>
      <c r="GM37" s="2931"/>
      <c r="GN37" s="2931"/>
      <c r="GO37" s="2931"/>
      <c r="GP37" s="2931"/>
      <c r="GQ37" s="2931"/>
      <c r="GR37" s="2931"/>
      <c r="GS37" s="2931"/>
      <c r="GT37" s="2931"/>
      <c r="GU37" s="2931"/>
      <c r="GV37" s="2931"/>
      <c r="GW37" s="2931"/>
      <c r="GX37" s="2931"/>
      <c r="GY37" s="2931"/>
      <c r="GZ37" s="2931"/>
      <c r="HA37" s="2931"/>
      <c r="HB37" s="2931"/>
      <c r="HC37" s="2931"/>
      <c r="HD37" s="2931"/>
      <c r="HE37" s="2931"/>
      <c r="HF37" s="2931"/>
      <c r="HG37" s="2931"/>
      <c r="HH37" s="2931"/>
      <c r="HI37" s="2931"/>
      <c r="HJ37" s="2931"/>
      <c r="HK37" s="2931"/>
      <c r="HL37" s="2931"/>
      <c r="HM37" s="2931"/>
      <c r="HN37" s="2931"/>
      <c r="HO37" s="2931"/>
      <c r="HP37" s="2931"/>
      <c r="HQ37" s="2931"/>
      <c r="HR37" s="2931"/>
      <c r="HS37" s="2931"/>
      <c r="HT37" s="2931"/>
      <c r="HU37" s="2931"/>
      <c r="HV37" s="2931"/>
      <c r="HW37" s="2931"/>
      <c r="HX37" s="2931"/>
      <c r="HY37" s="2931"/>
      <c r="HZ37" s="2931"/>
      <c r="IA37" s="2931"/>
      <c r="IB37" s="2931"/>
      <c r="IC37" s="2931"/>
      <c r="ID37" s="2931"/>
      <c r="IE37" s="2931"/>
      <c r="IF37" s="2931"/>
      <c r="IG37" s="2931"/>
      <c r="IH37" s="2931"/>
      <c r="II37" s="2931"/>
      <c r="IJ37" s="2931"/>
      <c r="IK37" s="2931"/>
      <c r="IL37" s="2931"/>
      <c r="IM37" s="2931"/>
      <c r="IN37" s="2931"/>
      <c r="IO37" s="2931" cm="1">
        <f t="array" ref="IO37">IF(LEN($G37)=0,"Rent Roll is incomplete",_xlfn.XLOOKUP(TRUE,EXACT(RentRoll_InputArea_DesignatedUnitType,$G37),RentRoll_InputArea_Beds,"Not Found"))</f>
        <v>1</v>
      </c>
      <c r="IP37" s="2934"/>
      <c r="IQ37" s="2935" t="str">
        <f t="shared" si="20"/>
        <v>1 Bedroom Unit</v>
      </c>
      <c r="IR37" s="2926">
        <f t="shared" si="21"/>
        <v>1182</v>
      </c>
      <c r="IS37" s="2935"/>
      <c r="IT37" s="2931"/>
      <c r="IU37" s="2931"/>
      <c r="IV37" s="2931"/>
      <c r="IW37" s="2936" t="str">
        <f t="shared" si="22"/>
        <v>2-205</v>
      </c>
      <c r="IX37" s="2936"/>
      <c r="IY37" s="2936"/>
      <c r="IZ37" s="2936">
        <f t="shared" si="23"/>
        <v>1</v>
      </c>
      <c r="JA37" s="2936">
        <f t="shared" si="24"/>
        <v>1182</v>
      </c>
      <c r="JB37" s="2936"/>
      <c r="JC37" s="2936"/>
      <c r="JD37" s="2936"/>
      <c r="JE37" s="2936"/>
      <c r="JF37" s="2936"/>
      <c r="JG37" s="2936"/>
      <c r="JH37" s="2936">
        <f t="shared" si="25"/>
        <v>1159</v>
      </c>
      <c r="JI37" s="2936"/>
      <c r="JJ37" s="2936">
        <f t="shared" si="26"/>
      </c>
      <c r="JK37" s="2936"/>
      <c r="JL37" s="2936"/>
      <c r="JM37" s="2936"/>
      <c r="JN37" s="2936"/>
      <c r="JO37" s="2936"/>
      <c r="JP37" s="2936"/>
      <c r="JQ37" s="2936" t="str">
        <f t="shared" si="27"/>
        <v>Occupied</v>
      </c>
      <c r="JR37" s="2936" cm="1">
        <f t="array" ref="JR37">_xlfn.XLOOKUP(TRUE,EXACT(RentRoll_InputArea_DesignatedUnitType,$G37),RentRoll_InputArea_SquareFootage,"Not Found")</f>
        <v>704</v>
      </c>
      <c r="JS37" s="2936" t="str">
        <f t="shared" si="28"/>
        <v>Apartment</v>
      </c>
      <c r="JT37" s="2936">
        <f t="shared" si="29"/>
      </c>
      <c r="JU37" s="2936"/>
      <c r="JV37" s="2936"/>
      <c r="JW37" s="2936"/>
      <c r="JX37" s="2936"/>
      <c r="JY37" s="2936">
        <f t="shared" si="9"/>
        <v>43556</v>
      </c>
      <c r="JZ37" s="2936">
        <f t="shared" si="9"/>
        <v>43982</v>
      </c>
      <c r="KA37" s="2936"/>
      <c r="KB37" s="2936"/>
      <c r="KC37" s="2936"/>
      <c r="KD37" s="2936"/>
      <c r="KE37" s="2936"/>
      <c r="KF37" s="2936"/>
      <c r="KG37" s="2936"/>
      <c r="KH37" s="2936"/>
      <c r="KI37" s="2937"/>
      <c r="KJ37" s="2936"/>
      <c r="KK37" s="1353"/>
    </row>
    <row r="38" ht="15" customHeight="1">
      <c r="A38" s="2922">
        <f t="shared" si="10"/>
        <v>15</v>
      </c>
      <c r="B38" s="2865"/>
      <c r="C38" s="2873"/>
      <c r="D38" s="2873" t="s">
        <v>2772</v>
      </c>
      <c r="E38" s="2923">
        <v>1168</v>
      </c>
      <c r="F38" s="2924" t="s">
        <v>2773</v>
      </c>
      <c r="G38" s="2873" t="s">
        <v>2529</v>
      </c>
      <c r="H38" s="2923">
        <v>1110</v>
      </c>
      <c r="I38" s="2925" cm="1">
        <f t="array" ref="I38">_xlfn.LET(_xlpm.has_subsidy,$N38&gt;0,_xlpm.is_chap9_sbl,$FF$20,_xlpm.contract_rent,$H38,_xlpm.unit_type_mkt_rent,_xlfn.XLOOKUP(TRUE,EXACT($G38,RentRoll_InputArea_DesignatedUnitType),RentRoll_InputArea_MarketRent,"Not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8" s="2926">
        <f t="shared" si="11"/>
        <v>1110</v>
      </c>
      <c r="K38" s="2923"/>
      <c r="L38" s="2923"/>
      <c r="M38" s="2923"/>
      <c r="N38" s="2923"/>
      <c r="O38" s="2927">
        <v>43560</v>
      </c>
      <c r="P38" s="2927">
        <v>43738</v>
      </c>
      <c r="Q38" s="2928">
        <f t="shared" si="8"/>
        <v>1110</v>
      </c>
      <c r="R38" s="2928">
        <f t="shared" si="8"/>
      </c>
      <c r="S38" s="2928">
        <f t="shared" si="8"/>
      </c>
      <c r="T38" s="2928">
        <f t="shared" si="8"/>
      </c>
      <c r="U38" s="2928">
        <f t="shared" si="8"/>
      </c>
      <c r="V38" s="2928">
        <f t="shared" si="8"/>
      </c>
      <c r="W38" s="2928">
        <f t="shared" si="8"/>
      </c>
      <c r="X38" s="2928">
        <f t="shared" si="8"/>
      </c>
      <c r="Y38" s="2928">
        <f t="shared" si="8"/>
      </c>
      <c r="Z38" s="2928">
        <f t="shared" si="8"/>
      </c>
      <c r="AA38" s="2928">
        <f t="shared" si="8"/>
      </c>
      <c r="AB38" s="2928">
        <f t="shared" si="8"/>
      </c>
      <c r="AC38" s="2928">
        <f t="shared" si="8"/>
      </c>
      <c r="AD38" s="2928">
        <f t="shared" si="8"/>
      </c>
      <c r="AE38" s="2928">
        <f t="shared" si="8"/>
      </c>
      <c r="AF38" s="2928">
        <f t="shared" si="8"/>
      </c>
      <c r="AG38" s="2928">
        <f t="shared" si="8"/>
      </c>
      <c r="AH38" s="2928">
        <f t="shared" si="8"/>
      </c>
      <c r="AI38" s="2928">
        <f t="shared" si="8"/>
      </c>
      <c r="AJ38" s="2928">
        <f t="shared" si="8"/>
      </c>
      <c r="AK38" s="2928">
        <f t="shared" si="8"/>
      </c>
      <c r="AL38" s="2928">
        <f t="shared" si="8"/>
      </c>
      <c r="AM38" s="2928">
        <f t="shared" si="8"/>
      </c>
      <c r="AN38" s="2928">
        <f t="shared" si="8"/>
      </c>
      <c r="AO38" s="2928">
        <f t="shared" si="8"/>
      </c>
      <c r="AP38" s="2928">
        <f t="shared" si="8"/>
      </c>
      <c r="AQ38" s="2928">
        <f t="shared" si="8"/>
      </c>
      <c r="AR38" s="2928">
        <f t="shared" si="8"/>
      </c>
      <c r="AS38" s="2928">
        <f t="shared" si="8"/>
      </c>
      <c r="AT38" s="2928">
        <f t="shared" si="8"/>
      </c>
      <c r="AU38" s="2928">
        <f t="shared" si="8"/>
      </c>
      <c r="AV38" s="2928">
        <f t="shared" si="8"/>
      </c>
      <c r="AW38" s="2928">
        <f t="shared" si="8"/>
      </c>
      <c r="AX38" s="2928">
        <f t="shared" si="8"/>
      </c>
      <c r="AY38" s="2928">
        <f t="shared" si="8"/>
      </c>
      <c r="AZ38" s="2928">
        <f t="shared" si="8"/>
      </c>
      <c r="BA38" s="2928">
        <f t="shared" si="8"/>
      </c>
      <c r="BB38" s="2928">
        <f t="shared" si="8"/>
      </c>
      <c r="BC38" s="2928">
        <f t="shared" si="8"/>
      </c>
      <c r="BD38" s="2928">
        <f t="shared" si="8"/>
      </c>
      <c r="BE38" s="2928">
        <f t="shared" si="8"/>
      </c>
      <c r="BF38" s="2928">
        <f t="shared" si="8"/>
      </c>
      <c r="BG38" s="2928">
        <f t="shared" si="8"/>
      </c>
      <c r="BH38" s="2928">
        <f t="shared" si="8"/>
      </c>
      <c r="BI38" s="2928">
        <f t="shared" si="8"/>
      </c>
      <c r="BJ38" s="2928">
        <f t="shared" si="8"/>
      </c>
      <c r="BK38" s="2928">
        <f t="shared" si="8"/>
      </c>
      <c r="BL38" s="2928">
        <f t="shared" si="8"/>
      </c>
      <c r="BM38" s="2928">
        <f t="shared" si="8"/>
      </c>
      <c r="BN38" s="2928">
        <f t="shared" si="8"/>
      </c>
      <c r="BO38" s="2928">
        <f t="shared" si="8"/>
      </c>
      <c r="BP38" s="2928">
        <f t="shared" si="8"/>
      </c>
      <c r="BQ38" s="2928">
        <f t="shared" si="8"/>
      </c>
      <c r="BR38" s="2928">
        <f t="shared" si="8"/>
      </c>
      <c r="BS38" s="2928">
        <f t="shared" si="8"/>
      </c>
      <c r="BT38" s="2928">
        <f t="shared" si="8"/>
      </c>
      <c r="BU38" s="2928">
        <f t="shared" si="8"/>
      </c>
      <c r="BV38" s="2928">
        <f t="shared" si="8"/>
      </c>
      <c r="BW38" s="2928">
        <f t="shared" si="8"/>
      </c>
      <c r="BX38" s="2928">
        <f t="shared" si="8"/>
      </c>
      <c r="BY38" s="2928">
        <f t="shared" si="8"/>
      </c>
      <c r="BZ38" s="2928">
        <f t="shared" si="8"/>
      </c>
      <c r="CA38" s="2928">
        <f t="shared" si="8"/>
      </c>
      <c r="CB38" s="2928">
        <f t="shared" si="8"/>
      </c>
      <c r="CC38" s="2928">
        <f t="shared" si="8"/>
      </c>
      <c r="CD38" s="2928">
        <f t="shared" si="8"/>
      </c>
      <c r="CE38" s="2928">
        <f t="shared" si="8"/>
      </c>
      <c r="CF38" s="2928">
        <f t="shared" si="8"/>
      </c>
      <c r="CG38" s="2928">
        <f t="shared" si="8"/>
      </c>
      <c r="CH38" s="2928">
        <f t="shared" si="8"/>
      </c>
      <c r="CI38" s="2928">
        <f t="shared" si="8"/>
      </c>
      <c r="CJ38" s="2928">
        <f t="shared" si="8"/>
      </c>
      <c r="CK38" s="2928">
        <f t="shared" si="8"/>
      </c>
      <c r="CL38" s="2928">
        <f t="shared" si="8"/>
      </c>
      <c r="CM38" s="2928">
        <f t="shared" si="8"/>
      </c>
      <c r="CN38" s="2928">
        <f t="shared" si="8"/>
      </c>
      <c r="CO38" s="2928">
        <f t="shared" si="8"/>
      </c>
      <c r="CP38" s="2928">
        <f t="shared" si="8"/>
      </c>
      <c r="CQ38" s="2928">
        <f t="shared" si="8"/>
      </c>
      <c r="CR38" s="2928">
        <f t="shared" si="8"/>
      </c>
      <c r="CS38" s="2928">
        <f t="shared" si="8"/>
      </c>
      <c r="CT38" s="2928">
        <f t="shared" si="8"/>
      </c>
      <c r="CU38" s="2928">
        <f t="shared" si="8"/>
      </c>
      <c r="CV38" s="2928">
        <f t="shared" si="8"/>
      </c>
      <c r="CW38" s="2928">
        <f t="shared" si="8"/>
      </c>
      <c r="CX38" s="2928">
        <f t="shared" si="8"/>
      </c>
      <c r="CY38" s="2928">
        <f t="shared" si="8"/>
      </c>
      <c r="CZ38" s="2928">
        <f t="shared" si="8"/>
      </c>
      <c r="DA38" s="2928">
        <f t="shared" si="8"/>
      </c>
      <c r="DB38" s="2928">
        <f t="shared" si="8"/>
      </c>
      <c r="DC38" s="2928">
        <f t="shared" si="8"/>
      </c>
      <c r="DD38" s="2928">
        <f t="shared" si="8"/>
      </c>
      <c r="DE38" s="2928">
        <f t="shared" si="8"/>
      </c>
      <c r="DF38" s="2928">
        <f t="shared" si="8"/>
      </c>
      <c r="DG38" s="2928">
        <f t="shared" si="8"/>
      </c>
      <c r="DH38" s="2928">
        <f t="shared" si="8"/>
      </c>
      <c r="DI38" s="2928">
        <f t="shared" si="8"/>
      </c>
      <c r="DJ38" s="2928">
        <f t="shared" si="8"/>
      </c>
      <c r="DK38" s="2928">
        <f t="shared" si="8"/>
      </c>
      <c r="DL38" s="2928">
        <f t="shared" si="8"/>
      </c>
      <c r="DM38" s="2928">
        <f t="shared" si="8"/>
      </c>
      <c r="DN38" s="2928">
        <f t="shared" si="8"/>
      </c>
      <c r="DO38" s="2928">
        <f t="shared" si="8"/>
      </c>
      <c r="DP38" s="2928">
        <f t="shared" si="8"/>
      </c>
      <c r="DQ38" s="2928">
        <f t="shared" si="8"/>
      </c>
      <c r="DR38" s="2928">
        <f t="shared" si="8"/>
      </c>
      <c r="DS38" s="2928">
        <f t="shared" si="8"/>
      </c>
      <c r="DT38" s="2928">
        <f t="shared" si="8"/>
      </c>
      <c r="DU38" s="2928">
        <f t="shared" si="8"/>
      </c>
      <c r="DV38" s="2928">
        <f t="shared" si="8"/>
      </c>
      <c r="DW38" s="2928">
        <f t="shared" si="8"/>
      </c>
      <c r="DX38" s="2928">
        <f t="shared" si="8"/>
      </c>
      <c r="DY38" s="2928">
        <f t="shared" si="8"/>
      </c>
      <c r="DZ38" s="2928">
        <f t="shared" si="8"/>
      </c>
      <c r="EA38" s="2928">
        <f t="shared" si="8"/>
      </c>
      <c r="EB38" s="2928">
        <f t="shared" si="8"/>
      </c>
      <c r="EC38" s="2928">
        <f t="shared" si="8"/>
      </c>
      <c r="ED38" s="2928">
        <f t="shared" si="8"/>
      </c>
      <c r="EE38" s="2928">
        <f t="shared" si="8"/>
      </c>
      <c r="EF38" s="2928">
        <f t="shared" si="8"/>
      </c>
      <c r="EG38" s="2928">
        <f t="shared" si="8"/>
      </c>
      <c r="EH38" s="2928">
        <f t="shared" si="8"/>
      </c>
      <c r="EI38" s="2928">
        <f t="shared" si="8"/>
      </c>
      <c r="EJ38" s="2928">
        <f t="shared" si="8"/>
      </c>
      <c r="EK38" s="2928">
        <f t="shared" si="8"/>
      </c>
      <c r="EL38" s="2928">
        <f t="shared" si="8"/>
      </c>
      <c r="EM38" s="2928">
        <f t="shared" si="8"/>
      </c>
      <c r="EN38" s="2928">
        <f t="shared" si="8"/>
      </c>
      <c r="EO38" s="2928">
        <f t="shared" si="8"/>
      </c>
      <c r="EP38" s="2928">
        <f t="shared" si="8"/>
      </c>
      <c r="EQ38" s="2928">
        <f t="shared" si="8"/>
      </c>
      <c r="ER38" s="2928">
        <f t="shared" si="8"/>
      </c>
      <c r="ES38" s="2928">
        <f t="shared" si="8"/>
      </c>
      <c r="ET38" s="2928">
        <f t="shared" si="8"/>
      </c>
      <c r="EU38" s="2928">
        <f t="shared" si="8"/>
      </c>
      <c r="EV38" s="2928">
        <f t="shared" si="8"/>
      </c>
      <c r="EW38" s="2928">
        <f t="shared" si="8"/>
      </c>
      <c r="EX38" s="2928">
        <f t="shared" si="8"/>
      </c>
      <c r="EY38" s="2928">
        <f t="shared" si="8"/>
      </c>
      <c r="EZ38" s="2928">
        <f t="shared" si="8"/>
      </c>
      <c r="FA38" s="2929" t="str">
        <f t="shared" si="12"/>
        <v>-</v>
      </c>
      <c r="FB38" s="2825">
        <f t="shared" si="13"/>
      </c>
      <c r="FC38" s="2930" cm="1">
        <f t="array" ref="FC38">_xlfn.LET(_xlpm.unit_type,$G38,_xlpm.market_rent_from_rent_roll,$E38,_xlpm.unit_type_list,RentRoll_InputArea_DesignatedUnitType,_xlpm.rent_by_unit_type,RentRoll_InputArea_MarketRent,_xlpm.use_rent_roll_market_rent,LEFT(RR_VacantUnitMktRentSource,9)="Rent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8" s="2930">
        <f t="shared" si="14"/>
        <v>1110</v>
      </c>
      <c r="FE38" s="2930">
        <f t="shared" si="15"/>
        <v>1110</v>
      </c>
      <c r="FF38" s="2930">
        <f t="shared" si="16"/>
        <v>1110</v>
      </c>
      <c r="FG38" s="2931"/>
      <c r="FH38" s="2932">
        <f t="shared" si="17"/>
      </c>
      <c r="FI38" s="2932">
        <f t="shared" si="18"/>
      </c>
      <c r="FJ38" s="2931"/>
      <c r="FK38" s="2933" cm="1">
        <f t="array" ref="FK38">IF(AND(LEN($D38)&gt;0,ISNA(MATCH(TRUE,EXACT($G38,RentRoll_InputArea_DesignatedUnitType),0))),1,0)</f>
        <v>0</v>
      </c>
      <c r="FL38" s="2931">
        <f t="shared" si="19"/>
        <v>15</v>
      </c>
      <c r="FM38" s="2931"/>
      <c r="FN38" s="2931"/>
      <c r="FO38" s="2931"/>
      <c r="FP38" s="2931"/>
      <c r="FQ38" s="2931"/>
      <c r="FR38" s="2931"/>
      <c r="FS38" s="2931"/>
      <c r="FT38" s="2931"/>
      <c r="FU38" s="2931"/>
      <c r="FV38" s="2931"/>
      <c r="FW38" s="2931"/>
      <c r="FX38" s="2931"/>
      <c r="FY38" s="2931"/>
      <c r="FZ38" s="2931"/>
      <c r="GA38" s="2931"/>
      <c r="GB38" s="2931"/>
      <c r="GC38" s="2931"/>
      <c r="GD38" s="2931"/>
      <c r="GE38" s="2931"/>
      <c r="GF38" s="2931"/>
      <c r="GG38" s="2931"/>
      <c r="GH38" s="2931"/>
      <c r="GI38" s="2931"/>
      <c r="GJ38" s="2931"/>
      <c r="GK38" s="2931"/>
      <c r="GL38" s="2931"/>
      <c r="GM38" s="2931"/>
      <c r="GN38" s="2931"/>
      <c r="GO38" s="2931"/>
      <c r="GP38" s="2931"/>
      <c r="GQ38" s="2931"/>
      <c r="GR38" s="2931"/>
      <c r="GS38" s="2931"/>
      <c r="GT38" s="2931"/>
      <c r="GU38" s="2931"/>
      <c r="GV38" s="2931"/>
      <c r="GW38" s="2931"/>
      <c r="GX38" s="2931"/>
      <c r="GY38" s="2931"/>
      <c r="GZ38" s="2931"/>
      <c r="HA38" s="2931"/>
      <c r="HB38" s="2931"/>
      <c r="HC38" s="2931"/>
      <c r="HD38" s="2931"/>
      <c r="HE38" s="2931"/>
      <c r="HF38" s="2931"/>
      <c r="HG38" s="2931"/>
      <c r="HH38" s="2931"/>
      <c r="HI38" s="2931"/>
      <c r="HJ38" s="2931"/>
      <c r="HK38" s="2931"/>
      <c r="HL38" s="2931"/>
      <c r="HM38" s="2931"/>
      <c r="HN38" s="2931"/>
      <c r="HO38" s="2931"/>
      <c r="HP38" s="2931"/>
      <c r="HQ38" s="2931"/>
      <c r="HR38" s="2931"/>
      <c r="HS38" s="2931"/>
      <c r="HT38" s="2931"/>
      <c r="HU38" s="2931"/>
      <c r="HV38" s="2931"/>
      <c r="HW38" s="2931"/>
      <c r="HX38" s="2931"/>
      <c r="HY38" s="2931"/>
      <c r="HZ38" s="2931"/>
      <c r="IA38" s="2931"/>
      <c r="IB38" s="2931"/>
      <c r="IC38" s="2931"/>
      <c r="ID38" s="2931"/>
      <c r="IE38" s="2931"/>
      <c r="IF38" s="2931"/>
      <c r="IG38" s="2931"/>
      <c r="IH38" s="2931"/>
      <c r="II38" s="2931"/>
      <c r="IJ38" s="2931"/>
      <c r="IK38" s="2931"/>
      <c r="IL38" s="2931"/>
      <c r="IM38" s="2931"/>
      <c r="IN38" s="2931"/>
      <c r="IO38" s="2931" cm="1">
        <f t="array" ref="IO38">IF(LEN($G38)=0,"Rent Roll is incomplete",_xlfn.XLOOKUP(TRUE,EXACT(RentRoll_InputArea_DesignatedUnitType,$G38),RentRoll_InputArea_Beds,"Not Found"))</f>
        <v>1</v>
      </c>
      <c r="IP38" s="2934"/>
      <c r="IQ38" s="2935" t="str">
        <f t="shared" si="20"/>
        <v>1 Bedroom Unit</v>
      </c>
      <c r="IR38" s="2926">
        <f t="shared" si="21"/>
        <v>1110</v>
      </c>
      <c r="IS38" s="2935"/>
      <c r="IT38" s="2931"/>
      <c r="IU38" s="2931"/>
      <c r="IV38" s="2931"/>
      <c r="IW38" s="2936" t="str">
        <f t="shared" si="22"/>
        <v>2-206</v>
      </c>
      <c r="IX38" s="2936"/>
      <c r="IY38" s="2936"/>
      <c r="IZ38" s="2936">
        <f t="shared" si="23"/>
        <v>1</v>
      </c>
      <c r="JA38" s="2936">
        <f t="shared" si="24"/>
        <v>1110</v>
      </c>
      <c r="JB38" s="2936"/>
      <c r="JC38" s="2936"/>
      <c r="JD38" s="2936"/>
      <c r="JE38" s="2936"/>
      <c r="JF38" s="2936"/>
      <c r="JG38" s="2936"/>
      <c r="JH38" s="2936">
        <f t="shared" si="25"/>
        <v>1159</v>
      </c>
      <c r="JI38" s="2936"/>
      <c r="JJ38" s="2936">
        <f t="shared" si="26"/>
      </c>
      <c r="JK38" s="2936"/>
      <c r="JL38" s="2936"/>
      <c r="JM38" s="2936"/>
      <c r="JN38" s="2936"/>
      <c r="JO38" s="2936"/>
      <c r="JP38" s="2936"/>
      <c r="JQ38" s="2936" t="str">
        <f t="shared" si="27"/>
        <v>Occupied</v>
      </c>
      <c r="JR38" s="2936" cm="1">
        <f t="array" ref="JR38">_xlfn.XLOOKUP(TRUE,EXACT(RentRoll_InputArea_DesignatedUnitType,$G38),RentRoll_InputArea_SquareFootage,"Not Found")</f>
        <v>704</v>
      </c>
      <c r="JS38" s="2936" t="str">
        <f t="shared" si="28"/>
        <v>Apartment</v>
      </c>
      <c r="JT38" s="2936">
        <f t="shared" si="29"/>
      </c>
      <c r="JU38" s="2936"/>
      <c r="JV38" s="2936"/>
      <c r="JW38" s="2936"/>
      <c r="JX38" s="2936"/>
      <c r="JY38" s="2936">
        <f t="shared" si="9"/>
        <v>43560</v>
      </c>
      <c r="JZ38" s="2936">
        <f t="shared" si="9"/>
        <v>43738</v>
      </c>
      <c r="KA38" s="2936"/>
      <c r="KB38" s="2936"/>
      <c r="KC38" s="2936"/>
      <c r="KD38" s="2936"/>
      <c r="KE38" s="2936"/>
      <c r="KF38" s="2936"/>
      <c r="KG38" s="2936"/>
      <c r="KH38" s="2936"/>
      <c r="KI38" s="2937"/>
      <c r="KJ38" s="2936"/>
      <c r="KK38" s="1353"/>
    </row>
    <row r="39" ht="15" customHeight="1">
      <c r="A39" s="2922">
        <f t="shared" si="10"/>
        <v>16</v>
      </c>
      <c r="B39" s="2865"/>
      <c r="C39" s="2873"/>
      <c r="D39" s="2873" t="s">
        <v>2774</v>
      </c>
      <c r="E39" s="2923">
        <v>1103</v>
      </c>
      <c r="F39" s="2924" t="s">
        <v>2775</v>
      </c>
      <c r="G39" s="2873" t="s">
        <v>2529</v>
      </c>
      <c r="H39" s="2923">
        <v>1174</v>
      </c>
      <c r="I39" s="2925" cm="1">
        <f t="array" ref="I39">_xlfn.LET(_xlpm.has_subsidy,$N39&gt;0,_xlpm.is_chap9_sbl,$FF$20,_xlpm.contract_rent,$H39,_xlpm.unit_type_mkt_rent,_xlfn.XLOOKUP(TRUE,EXACT($G39,RentRoll_InputArea_DesignatedUnitType),RentRoll_InputArea_MarketRent,"Not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39" s="2926">
        <f t="shared" si="11"/>
        <v>1174</v>
      </c>
      <c r="K39" s="2923"/>
      <c r="L39" s="2923"/>
      <c r="M39" s="2923"/>
      <c r="N39" s="2923"/>
      <c r="O39" s="2927">
        <v>43505</v>
      </c>
      <c r="P39" s="2927">
        <v>43861</v>
      </c>
      <c r="Q39" s="2928">
        <f t="shared" si="8"/>
        <v>1174</v>
      </c>
      <c r="R39" s="2928">
        <f t="shared" si="8"/>
      </c>
      <c r="S39" s="2928">
        <f t="shared" si="8"/>
      </c>
      <c r="T39" s="2928">
        <f t="shared" si="8"/>
      </c>
      <c r="U39" s="2928">
        <f t="shared" si="8"/>
      </c>
      <c r="V39" s="2928">
        <f t="shared" si="8"/>
      </c>
      <c r="W39" s="2928">
        <f t="shared" si="8"/>
      </c>
      <c r="X39" s="2928">
        <f t="shared" si="8"/>
      </c>
      <c r="Y39" s="2928">
        <f t="shared" si="8"/>
      </c>
      <c r="Z39" s="2928">
        <f t="shared" si="8"/>
      </c>
      <c r="AA39" s="2928">
        <f t="shared" si="8"/>
      </c>
      <c r="AB39" s="2928">
        <f t="shared" si="8"/>
      </c>
      <c r="AC39" s="2928">
        <f t="shared" si="8"/>
      </c>
      <c r="AD39" s="2928">
        <f t="shared" si="8"/>
      </c>
      <c r="AE39" s="2928">
        <f t="shared" si="8"/>
      </c>
      <c r="AF39" s="2928">
        <f t="shared" si="8"/>
      </c>
      <c r="AG39" s="2928">
        <f t="shared" si="8"/>
      </c>
      <c r="AH39" s="2928">
        <f t="shared" si="8"/>
      </c>
      <c r="AI39" s="2928">
        <f t="shared" si="8"/>
      </c>
      <c r="AJ39" s="2928">
        <f t="shared" si="8"/>
      </c>
      <c r="AK39" s="2928">
        <f t="shared" si="8"/>
      </c>
      <c r="AL39" s="2928">
        <f t="shared" si="8"/>
      </c>
      <c r="AM39" s="2928">
        <f t="shared" si="8"/>
      </c>
      <c r="AN39" s="2928">
        <f t="shared" si="8"/>
      </c>
      <c r="AO39" s="2928">
        <f t="shared" si="8"/>
      </c>
      <c r="AP39" s="2928">
        <f t="shared" si="8"/>
      </c>
      <c r="AQ39" s="2928">
        <f t="shared" si="8"/>
      </c>
      <c r="AR39" s="2928">
        <f t="shared" si="8"/>
      </c>
      <c r="AS39" s="2928">
        <f t="shared" si="8"/>
      </c>
      <c r="AT39" s="2928">
        <f t="shared" si="8"/>
      </c>
      <c r="AU39" s="2928">
        <f t="shared" si="8"/>
      </c>
      <c r="AV39" s="2928">
        <f t="shared" si="8"/>
      </c>
      <c r="AW39" s="2928">
        <f t="shared" si="8"/>
      </c>
      <c r="AX39" s="2928">
        <f t="shared" si="8"/>
      </c>
      <c r="AY39" s="2928">
        <f t="shared" si="8"/>
      </c>
      <c r="AZ39" s="2928">
        <f t="shared" si="8"/>
      </c>
      <c r="BA39" s="2928">
        <f t="shared" si="8"/>
      </c>
      <c r="BB39" s="2928">
        <f t="shared" si="8"/>
      </c>
      <c r="BC39" s="2928">
        <f t="shared" si="8"/>
      </c>
      <c r="BD39" s="2928">
        <f t="shared" si="8"/>
      </c>
      <c r="BE39" s="2928">
        <f t="shared" si="8"/>
      </c>
      <c r="BF39" s="2928">
        <f t="shared" si="8"/>
      </c>
      <c r="BG39" s="2928">
        <f t="shared" si="8"/>
      </c>
      <c r="BH39" s="2928">
        <f t="shared" si="8"/>
      </c>
      <c r="BI39" s="2928">
        <f t="shared" si="8"/>
      </c>
      <c r="BJ39" s="2928">
        <f t="shared" si="8"/>
      </c>
      <c r="BK39" s="2928">
        <f t="shared" si="8"/>
      </c>
      <c r="BL39" s="2928">
        <f t="shared" si="8"/>
      </c>
      <c r="BM39" s="2928">
        <f t="shared" si="8"/>
      </c>
      <c r="BN39" s="2928">
        <f t="shared" si="8"/>
      </c>
      <c r="BO39" s="2928">
        <f t="shared" si="8"/>
      </c>
      <c r="BP39" s="2928">
        <f t="shared" si="8"/>
      </c>
      <c r="BQ39" s="2928">
        <f t="shared" si="8"/>
      </c>
      <c r="BR39" s="2928">
        <f t="shared" si="8"/>
      </c>
      <c r="BS39" s="2928">
        <f t="shared" si="8"/>
      </c>
      <c r="BT39" s="2928">
        <f t="shared" si="8"/>
      </c>
      <c r="BU39" s="2928">
        <f t="shared" si="8"/>
      </c>
      <c r="BV39" s="2928">
        <f t="shared" si="8"/>
      </c>
      <c r="BW39" s="2928">
        <f t="shared" si="8"/>
      </c>
      <c r="BX39" s="2928">
        <f t="shared" si="8"/>
      </c>
      <c r="BY39" s="2928">
        <f t="shared" si="8"/>
      </c>
      <c r="BZ39" s="2928">
        <f t="shared" si="8"/>
      </c>
      <c r="CA39" s="2928">
        <f t="shared" si="8"/>
      </c>
      <c r="CB39" s="2928">
        <f t="shared" si="8"/>
      </c>
      <c r="CC39" s="2928">
        <f t="shared" si="8"/>
      </c>
      <c r="CD39" s="2928">
        <f t="shared" si="8"/>
      </c>
      <c r="CE39" s="2928">
        <f t="shared" si="8"/>
      </c>
      <c r="CF39" s="2928">
        <f t="shared" si="8"/>
      </c>
      <c r="CG39" s="2928">
        <f t="shared" si="8"/>
      </c>
      <c r="CH39" s="2928">
        <f t="shared" si="8"/>
      </c>
      <c r="CI39" s="2928">
        <f t="shared" si="8"/>
      </c>
      <c r="CJ39" s="2928">
        <f t="shared" si="8"/>
      </c>
      <c r="CK39" s="2928">
        <f t="shared" si="8"/>
      </c>
      <c r="CL39" s="2928">
        <f t="shared" si="8"/>
      </c>
      <c r="CM39" s="2928">
        <f t="shared" si="8"/>
      </c>
      <c r="CN39" s="2928">
        <f t="shared" si="8"/>
      </c>
      <c r="CO39" s="2928">
        <f t="shared" si="8"/>
      </c>
      <c r="CP39" s="2928">
        <f t="shared" si="8"/>
      </c>
      <c r="CQ39" s="2928">
        <f t="shared" si="8"/>
      </c>
      <c r="CR39" s="2928">
        <f t="shared" si="8"/>
      </c>
      <c r="CS39" s="2928">
        <f t="shared" si="8"/>
      </c>
      <c r="CT39" s="2928">
        <f t="shared" si="8"/>
      </c>
      <c r="CU39" s="2928">
        <f t="shared" si="8"/>
      </c>
      <c r="CV39" s="2928">
        <f t="shared" si="8"/>
      </c>
      <c r="CW39" s="2928">
        <f t="shared" si="8"/>
      </c>
      <c r="CX39" s="2928">
        <f t="shared" si="8"/>
      </c>
      <c r="CY39" s="2928">
        <f t="shared" si="8"/>
      </c>
      <c r="CZ39" s="2928">
        <f t="shared" si="8"/>
      </c>
      <c r="DA39" s="2928">
        <f t="shared" si="8"/>
      </c>
      <c r="DB39" s="2928">
        <f t="shared" si="8"/>
      </c>
      <c r="DC39" s="2928">
        <f t="shared" si="8"/>
      </c>
      <c r="DD39" s="2928">
        <f t="shared" si="8"/>
      </c>
      <c r="DE39" s="2928">
        <f t="shared" si="8"/>
      </c>
      <c r="DF39" s="2928">
        <f t="shared" si="8"/>
      </c>
      <c r="DG39" s="2928">
        <f t="shared" si="8"/>
      </c>
      <c r="DH39" s="2928">
        <f t="shared" si="8"/>
      </c>
      <c r="DI39" s="2928">
        <f t="shared" si="8"/>
      </c>
      <c r="DJ39" s="2928">
        <f t="shared" si="8"/>
      </c>
      <c r="DK39" s="2928">
        <f t="shared" si="8"/>
      </c>
      <c r="DL39" s="2928">
        <f t="shared" si="8"/>
      </c>
      <c r="DM39" s="2928">
        <f t="shared" si="8"/>
      </c>
      <c r="DN39" s="2928">
        <f t="shared" si="8"/>
      </c>
      <c r="DO39" s="2928">
        <f t="shared" si="8"/>
      </c>
      <c r="DP39" s="2928">
        <f t="shared" si="8"/>
      </c>
      <c r="DQ39" s="2928">
        <f t="shared" si="8"/>
      </c>
      <c r="DR39" s="2928">
        <f t="shared" si="8"/>
      </c>
      <c r="DS39" s="2928">
        <f t="shared" si="8"/>
      </c>
      <c r="DT39" s="2928">
        <f t="shared" si="8"/>
      </c>
      <c r="DU39" s="2928">
        <f t="shared" si="8"/>
      </c>
      <c r="DV39" s="2928">
        <f t="shared" si="8"/>
      </c>
      <c r="DW39" s="2928">
        <f t="shared" si="8"/>
      </c>
      <c r="DX39" s="2928">
        <f t="shared" si="8"/>
      </c>
      <c r="DY39" s="2928">
        <f t="shared" si="8"/>
      </c>
      <c r="DZ39" s="2928">
        <f t="shared" si="8"/>
      </c>
      <c r="EA39" s="2928">
        <f t="shared" si="8"/>
      </c>
      <c r="EB39" s="2928">
        <f t="shared" si="8"/>
      </c>
      <c r="EC39" s="2928">
        <f t="shared" si="8"/>
      </c>
      <c r="ED39" s="2928">
        <f t="shared" si="8"/>
      </c>
      <c r="EE39" s="2928">
        <f t="shared" si="8"/>
      </c>
      <c r="EF39" s="2928">
        <f t="shared" si="8"/>
      </c>
      <c r="EG39" s="2928">
        <f t="shared" si="8"/>
      </c>
      <c r="EH39" s="2928">
        <f t="shared" si="8"/>
      </c>
      <c r="EI39" s="2928">
        <f t="shared" si="8"/>
      </c>
      <c r="EJ39" s="2928">
        <f t="shared" si="8"/>
      </c>
      <c r="EK39" s="2928">
        <f t="shared" si="8"/>
      </c>
      <c r="EL39" s="2928">
        <f t="shared" si="8"/>
      </c>
      <c r="EM39" s="2928">
        <f t="shared" si="8"/>
      </c>
      <c r="EN39" s="2928">
        <f t="shared" si="8"/>
      </c>
      <c r="EO39" s="2928">
        <f t="shared" si="8"/>
      </c>
      <c r="EP39" s="2928">
        <f t="shared" si="8"/>
      </c>
      <c r="EQ39" s="2928">
        <f t="shared" si="8"/>
      </c>
      <c r="ER39" s="2928">
        <f t="shared" si="8"/>
      </c>
      <c r="ES39" s="2928">
        <f t="shared" si="8"/>
      </c>
      <c r="ET39" s="2928">
        <f t="shared" si="8"/>
      </c>
      <c r="EU39" s="2928">
        <f t="shared" si="8"/>
      </c>
      <c r="EV39" s="2928">
        <f t="shared" si="8"/>
      </c>
      <c r="EW39" s="2928">
        <f t="shared" si="8"/>
      </c>
      <c r="EX39" s="2928">
        <f t="shared" si="8"/>
      </c>
      <c r="EY39" s="2928">
        <f t="shared" si="8"/>
      </c>
      <c r="EZ39" s="2928">
        <f t="shared" si="8"/>
      </c>
      <c r="FA39" s="2929" t="str">
        <f t="shared" si="12"/>
        <v>-</v>
      </c>
      <c r="FB39" s="2825">
        <f t="shared" si="13"/>
      </c>
      <c r="FC39" s="2930" cm="1">
        <f t="array" ref="FC39">_xlfn.LET(_xlpm.unit_type,$G39,_xlpm.market_rent_from_rent_roll,$E39,_xlpm.unit_type_list,RentRoll_InputArea_DesignatedUnitType,_xlpm.rent_by_unit_type,RentRoll_InputArea_MarketRent,_xlpm.use_rent_roll_market_rent,LEFT(RR_VacantUnitMktRentSource,9)="Rent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39" s="2930">
        <f t="shared" si="14"/>
        <v>1174</v>
      </c>
      <c r="FE39" s="2930">
        <f t="shared" si="15"/>
        <v>1174</v>
      </c>
      <c r="FF39" s="2930">
        <f t="shared" si="16"/>
        <v>1174</v>
      </c>
      <c r="FG39" s="2931"/>
      <c r="FH39" s="2932">
        <f t="shared" si="17"/>
      </c>
      <c r="FI39" s="2932">
        <f t="shared" si="18"/>
      </c>
      <c r="FJ39" s="2931"/>
      <c r="FK39" s="2933" cm="1">
        <f t="array" ref="FK39">IF(AND(LEN($D39)&gt;0,ISNA(MATCH(TRUE,EXACT($G39,RentRoll_InputArea_DesignatedUnitType),0))),1,0)</f>
        <v>0</v>
      </c>
      <c r="FL39" s="2931">
        <f t="shared" si="19"/>
        <v>16</v>
      </c>
      <c r="FM39" s="2931"/>
      <c r="FN39" s="2931"/>
      <c r="FO39" s="2931"/>
      <c r="FP39" s="2931"/>
      <c r="FQ39" s="2931"/>
      <c r="FR39" s="2931"/>
      <c r="FS39" s="2931"/>
      <c r="FT39" s="2931"/>
      <c r="FU39" s="2931"/>
      <c r="FV39" s="2931"/>
      <c r="FW39" s="2931"/>
      <c r="FX39" s="2931"/>
      <c r="FY39" s="2931"/>
      <c r="FZ39" s="2931"/>
      <c r="GA39" s="2931"/>
      <c r="GB39" s="2931"/>
      <c r="GC39" s="2931"/>
      <c r="GD39" s="2931"/>
      <c r="GE39" s="2931"/>
      <c r="GF39" s="2931"/>
      <c r="GG39" s="2931"/>
      <c r="GH39" s="2931"/>
      <c r="GI39" s="2931"/>
      <c r="GJ39" s="2931"/>
      <c r="GK39" s="2931"/>
      <c r="GL39" s="2931"/>
      <c r="GM39" s="2931"/>
      <c r="GN39" s="2931"/>
      <c r="GO39" s="2931"/>
      <c r="GP39" s="2931"/>
      <c r="GQ39" s="2931"/>
      <c r="GR39" s="2931"/>
      <c r="GS39" s="2931"/>
      <c r="GT39" s="2931"/>
      <c r="GU39" s="2931"/>
      <c r="GV39" s="2931"/>
      <c r="GW39" s="2931"/>
      <c r="GX39" s="2931"/>
      <c r="GY39" s="2931"/>
      <c r="GZ39" s="2931"/>
      <c r="HA39" s="2931"/>
      <c r="HB39" s="2931"/>
      <c r="HC39" s="2931"/>
      <c r="HD39" s="2931"/>
      <c r="HE39" s="2931"/>
      <c r="HF39" s="2931"/>
      <c r="HG39" s="2931"/>
      <c r="HH39" s="2931"/>
      <c r="HI39" s="2931"/>
      <c r="HJ39" s="2931"/>
      <c r="HK39" s="2931"/>
      <c r="HL39" s="2931"/>
      <c r="HM39" s="2931"/>
      <c r="HN39" s="2931"/>
      <c r="HO39" s="2931"/>
      <c r="HP39" s="2931"/>
      <c r="HQ39" s="2931"/>
      <c r="HR39" s="2931"/>
      <c r="HS39" s="2931"/>
      <c r="HT39" s="2931"/>
      <c r="HU39" s="2931"/>
      <c r="HV39" s="2931"/>
      <c r="HW39" s="2931"/>
      <c r="HX39" s="2931"/>
      <c r="HY39" s="2931"/>
      <c r="HZ39" s="2931"/>
      <c r="IA39" s="2931"/>
      <c r="IB39" s="2931"/>
      <c r="IC39" s="2931"/>
      <c r="ID39" s="2931"/>
      <c r="IE39" s="2931"/>
      <c r="IF39" s="2931"/>
      <c r="IG39" s="2931"/>
      <c r="IH39" s="2931"/>
      <c r="II39" s="2931"/>
      <c r="IJ39" s="2931"/>
      <c r="IK39" s="2931"/>
      <c r="IL39" s="2931"/>
      <c r="IM39" s="2931"/>
      <c r="IN39" s="2931"/>
      <c r="IO39" s="2931" cm="1">
        <f t="array" ref="IO39">IF(LEN($G39)=0,"Rent Roll is incomplete",_xlfn.XLOOKUP(TRUE,EXACT(RentRoll_InputArea_DesignatedUnitType,$G39),RentRoll_InputArea_Beds,"Not Found"))</f>
        <v>1</v>
      </c>
      <c r="IP39" s="2934"/>
      <c r="IQ39" s="2935" t="str">
        <f t="shared" si="20"/>
        <v>1 Bedroom Unit</v>
      </c>
      <c r="IR39" s="2926">
        <f t="shared" si="21"/>
        <v>1174</v>
      </c>
      <c r="IS39" s="2935"/>
      <c r="IT39" s="2931"/>
      <c r="IU39" s="2931"/>
      <c r="IV39" s="2931"/>
      <c r="IW39" s="2936" t="str">
        <f t="shared" si="22"/>
        <v>2-207</v>
      </c>
      <c r="IX39" s="2936"/>
      <c r="IY39" s="2936"/>
      <c r="IZ39" s="2936">
        <f t="shared" si="23"/>
        <v>1</v>
      </c>
      <c r="JA39" s="2936">
        <f t="shared" si="24"/>
        <v>1174</v>
      </c>
      <c r="JB39" s="2936"/>
      <c r="JC39" s="2936"/>
      <c r="JD39" s="2936"/>
      <c r="JE39" s="2936"/>
      <c r="JF39" s="2936"/>
      <c r="JG39" s="2936"/>
      <c r="JH39" s="2936">
        <f t="shared" si="25"/>
        <v>1159</v>
      </c>
      <c r="JI39" s="2936"/>
      <c r="JJ39" s="2936">
        <f t="shared" si="26"/>
      </c>
      <c r="JK39" s="2936"/>
      <c r="JL39" s="2936"/>
      <c r="JM39" s="2936"/>
      <c r="JN39" s="2936"/>
      <c r="JO39" s="2936"/>
      <c r="JP39" s="2936"/>
      <c r="JQ39" s="2936" t="str">
        <f t="shared" si="27"/>
        <v>Occupied</v>
      </c>
      <c r="JR39" s="2936" cm="1">
        <f t="array" ref="JR39">_xlfn.XLOOKUP(TRUE,EXACT(RentRoll_InputArea_DesignatedUnitType,$G39),RentRoll_InputArea_SquareFootage,"Not Found")</f>
        <v>704</v>
      </c>
      <c r="JS39" s="2936" t="str">
        <f t="shared" si="28"/>
        <v>Apartment</v>
      </c>
      <c r="JT39" s="2936">
        <f t="shared" si="29"/>
      </c>
      <c r="JU39" s="2936"/>
      <c r="JV39" s="2936"/>
      <c r="JW39" s="2936"/>
      <c r="JX39" s="2936"/>
      <c r="JY39" s="2936">
        <f t="shared" si="9"/>
        <v>43505</v>
      </c>
      <c r="JZ39" s="2936">
        <f t="shared" si="9"/>
        <v>43861</v>
      </c>
      <c r="KA39" s="2936"/>
      <c r="KB39" s="2936"/>
      <c r="KC39" s="2936"/>
      <c r="KD39" s="2936"/>
      <c r="KE39" s="2936"/>
      <c r="KF39" s="2936"/>
      <c r="KG39" s="2936"/>
      <c r="KH39" s="2936"/>
      <c r="KI39" s="2937"/>
      <c r="KJ39" s="2936"/>
      <c r="KK39" s="1353"/>
    </row>
    <row r="40" ht="15" customHeight="1">
      <c r="A40" s="2922">
        <f t="shared" si="10"/>
        <v>17</v>
      </c>
      <c r="B40" s="2865"/>
      <c r="C40" s="2873"/>
      <c r="D40" s="2873" t="s">
        <v>2776</v>
      </c>
      <c r="E40" s="2923">
        <v>1136</v>
      </c>
      <c r="F40" s="2924" t="s">
        <v>2777</v>
      </c>
      <c r="G40" s="2873" t="s">
        <v>2529</v>
      </c>
      <c r="H40" s="2923">
        <v>1145</v>
      </c>
      <c r="I40" s="2925" cm="1">
        <f t="array" ref="I40">_xlfn.LET(_xlpm.has_subsidy,$N40&gt;0,_xlpm.is_chap9_sbl,$FF$20,_xlpm.contract_rent,$H40,_xlpm.unit_type_mkt_rent,_xlfn.XLOOKUP(TRUE,EXACT($G40,RentRoll_InputArea_DesignatedUnitType),RentRoll_InputArea_MarketRent,"Not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0" s="2926">
        <f t="shared" si="11"/>
        <v>1145</v>
      </c>
      <c r="K40" s="2923"/>
      <c r="L40" s="2923"/>
      <c r="M40" s="2923"/>
      <c r="N40" s="2923"/>
      <c r="O40" s="2927">
        <v>43556</v>
      </c>
      <c r="P40" s="2927">
        <v>43921</v>
      </c>
      <c r="Q40" s="2928">
        <f t="shared" si="8"/>
        <v>1145</v>
      </c>
      <c r="R40" s="2928">
        <f t="shared" si="8"/>
      </c>
      <c r="S40" s="2928">
        <f t="shared" si="8"/>
      </c>
      <c r="T40" s="2928">
        <f t="shared" si="8"/>
      </c>
      <c r="U40" s="2928">
        <f t="shared" si="8"/>
      </c>
      <c r="V40" s="2928">
        <f t="shared" si="8"/>
      </c>
      <c r="W40" s="2928">
        <f t="shared" si="8"/>
      </c>
      <c r="X40" s="2928">
        <f t="shared" si="8"/>
      </c>
      <c r="Y40" s="2928">
        <f t="shared" si="8"/>
      </c>
      <c r="Z40" s="2928">
        <f t="shared" si="8"/>
      </c>
      <c r="AA40" s="2928">
        <f t="shared" si="8"/>
      </c>
      <c r="AB40" s="2928">
        <f t="shared" si="8"/>
      </c>
      <c r="AC40" s="2928">
        <f t="shared" si="8"/>
      </c>
      <c r="AD40" s="2928">
        <f t="shared" si="8"/>
      </c>
      <c r="AE40" s="2928">
        <f t="shared" si="8"/>
      </c>
      <c r="AF40" s="2928">
        <f t="shared" si="8"/>
      </c>
      <c r="AG40" s="2928">
        <f t="shared" si="8"/>
      </c>
      <c r="AH40" s="2928">
        <f t="shared" si="8"/>
      </c>
      <c r="AI40" s="2928">
        <f t="shared" si="8"/>
      </c>
      <c r="AJ40" s="2928">
        <f t="shared" si="8"/>
      </c>
      <c r="AK40" s="2928">
        <f t="shared" si="8"/>
      </c>
      <c r="AL40" s="2928">
        <f t="shared" si="8"/>
      </c>
      <c r="AM40" s="2928">
        <f t="shared" si="8"/>
      </c>
      <c r="AN40" s="2928">
        <f t="shared" si="8"/>
      </c>
      <c r="AO40" s="2928">
        <f t="shared" si="8"/>
      </c>
      <c r="AP40" s="2928">
        <f t="shared" si="8"/>
      </c>
      <c r="AQ40" s="2928">
        <f t="shared" si="8"/>
      </c>
      <c r="AR40" s="2928">
        <f t="shared" si="8"/>
      </c>
      <c r="AS40" s="2928">
        <f t="shared" si="8"/>
      </c>
      <c r="AT40" s="2928">
        <f t="shared" si="8"/>
      </c>
      <c r="AU40" s="2928">
        <f t="shared" si="8"/>
      </c>
      <c r="AV40" s="2928">
        <f t="shared" si="8"/>
      </c>
      <c r="AW40" s="2928">
        <f t="shared" si="8"/>
      </c>
      <c r="AX40" s="2928">
        <f t="shared" si="8"/>
      </c>
      <c r="AY40" s="2928">
        <f t="shared" si="8"/>
      </c>
      <c r="AZ40" s="2928">
        <f t="shared" si="8"/>
      </c>
      <c r="BA40" s="2928">
        <f t="shared" si="8"/>
      </c>
      <c r="BB40" s="2928">
        <f t="shared" si="8"/>
      </c>
      <c r="BC40" s="2928">
        <f t="shared" si="8"/>
      </c>
      <c r="BD40" s="2928">
        <f t="shared" si="8"/>
      </c>
      <c r="BE40" s="2928">
        <f t="shared" si="8"/>
      </c>
      <c r="BF40" s="2928">
        <f t="shared" si="8"/>
      </c>
      <c r="BG40" s="2928">
        <f t="shared" si="8"/>
      </c>
      <c r="BH40" s="2928">
        <f t="shared" si="8"/>
      </c>
      <c r="BI40" s="2928">
        <f t="shared" si="8"/>
      </c>
      <c r="BJ40" s="2928">
        <f t="shared" si="8"/>
      </c>
      <c r="BK40" s="2928">
        <f t="shared" si="8"/>
      </c>
      <c r="BL40" s="2928">
        <f t="shared" si="8"/>
      </c>
      <c r="BM40" s="2928">
        <f t="shared" si="8"/>
      </c>
      <c r="BN40" s="2928">
        <f t="shared" si="8"/>
      </c>
      <c r="BO40" s="2928">
        <f t="shared" si="8"/>
      </c>
      <c r="BP40" s="2928">
        <f t="shared" si="8"/>
      </c>
      <c r="BQ40" s="2928">
        <f t="shared" si="8"/>
      </c>
      <c r="BR40" s="2928">
        <f t="shared" si="8"/>
      </c>
      <c r="BS40" s="2928">
        <f t="shared" si="8"/>
      </c>
      <c r="BT40" s="2928">
        <f t="shared" si="8"/>
      </c>
      <c r="BU40" s="2928">
        <f t="shared" si="8"/>
      </c>
      <c r="BV40" s="2928">
        <f t="shared" si="8"/>
      </c>
      <c r="BW40" s="2928">
        <f t="shared" si="8"/>
      </c>
      <c r="BX40" s="2928">
        <f t="shared" si="8"/>
      </c>
      <c r="BY40" s="2928">
        <f t="shared" si="8"/>
      </c>
      <c r="BZ40" s="2928">
        <f t="shared" si="8"/>
      </c>
      <c r="CA40" s="2928">
        <f t="shared" si="8"/>
      </c>
      <c r="CB40" s="2928">
        <f t="shared" si="8"/>
      </c>
      <c r="CC40" s="2928">
        <f t="shared" si="8"/>
      </c>
      <c r="CD40" s="2928">
        <f t="shared" si="8"/>
      </c>
      <c r="CE40" s="2928">
        <f t="shared" si="8"/>
      </c>
      <c r="CF40" s="2928">
        <f t="shared" si="8"/>
      </c>
      <c r="CG40" s="2928">
        <f t="shared" si="8"/>
      </c>
      <c r="CH40" s="2928">
        <f t="shared" si="8"/>
      </c>
      <c r="CI40" s="2928">
        <f t="shared" si="8"/>
      </c>
      <c r="CJ40" s="2928">
        <f t="shared" si="8"/>
      </c>
      <c r="CK40" s="2928">
        <f t="shared" si="8"/>
      </c>
      <c r="CL40" s="2928">
        <f t="shared" si="8"/>
      </c>
      <c r="CM40" s="2928">
        <f t="shared" si="8"/>
      </c>
      <c r="CN40" s="2928">
        <f t="shared" si="8"/>
      </c>
      <c r="CO40" s="2928">
        <f t="shared" si="8"/>
      </c>
      <c r="CP40" s="2928">
        <f t="shared" si="8"/>
      </c>
      <c r="CQ40" s="2928">
        <f t="shared" si="8"/>
      </c>
      <c r="CR40" s="2928">
        <f t="shared" si="8"/>
      </c>
      <c r="CS40" s="2928">
        <f t="shared" si="8"/>
      </c>
      <c r="CT40" s="2928">
        <f t="shared" si="8"/>
      </c>
      <c r="CU40" s="2928">
        <f t="shared" si="8"/>
      </c>
      <c r="CV40" s="2928">
        <f t="shared" si="8"/>
      </c>
      <c r="CW40" s="2928">
        <f t="shared" si="8"/>
      </c>
      <c r="CX40" s="2928">
        <f t="shared" si="8"/>
      </c>
      <c r="CY40" s="2928">
        <f t="shared" si="8"/>
      </c>
      <c r="CZ40" s="2928">
        <f t="shared" si="8"/>
      </c>
      <c r="DA40" s="2928">
        <f t="shared" si="8"/>
      </c>
      <c r="DB40" s="2928">
        <f t="shared" si="8"/>
      </c>
      <c r="DC40" s="2928">
        <f t="shared" si="8"/>
      </c>
      <c r="DD40" s="2928">
        <f t="shared" si="8"/>
      </c>
      <c r="DE40" s="2928">
        <f t="shared" si="8"/>
      </c>
      <c r="DF40" s="2928">
        <f t="shared" si="8"/>
      </c>
      <c r="DG40" s="2928">
        <f t="shared" si="8"/>
      </c>
      <c r="DH40" s="2928">
        <f t="shared" si="8"/>
      </c>
      <c r="DI40" s="2928">
        <f t="shared" si="8"/>
      </c>
      <c r="DJ40" s="2928">
        <f t="shared" si="8"/>
      </c>
      <c r="DK40" s="2928">
        <f t="shared" si="8"/>
      </c>
      <c r="DL40" s="2928">
        <f t="shared" si="8"/>
      </c>
      <c r="DM40" s="2928">
        <f t="shared" si="8"/>
      </c>
      <c r="DN40" s="2928">
        <f t="shared" si="8"/>
      </c>
      <c r="DO40" s="2928">
        <f t="shared" si="8"/>
      </c>
      <c r="DP40" s="2928">
        <f t="shared" si="8"/>
      </c>
      <c r="DQ40" s="2928">
        <f t="shared" si="8"/>
      </c>
      <c r="DR40" s="2928">
        <f t="shared" si="8"/>
      </c>
      <c r="DS40" s="2928">
        <f t="shared" si="8"/>
      </c>
      <c r="DT40" s="2928">
        <f t="shared" si="8"/>
      </c>
      <c r="DU40" s="2928">
        <f t="shared" si="8"/>
      </c>
      <c r="DV40" s="2928">
        <f t="shared" si="8"/>
      </c>
      <c r="DW40" s="2928">
        <f t="shared" si="8"/>
      </c>
      <c r="DX40" s="2928">
        <f t="shared" si="8"/>
      </c>
      <c r="DY40" s="2928">
        <f t="shared" si="8"/>
      </c>
      <c r="DZ40" s="2928">
        <f t="shared" si="8"/>
      </c>
      <c r="EA40" s="2928">
        <f t="shared" si="8"/>
      </c>
      <c r="EB40" s="2928">
        <f t="shared" si="8"/>
      </c>
      <c r="EC40" s="2928">
        <f t="shared" si="8"/>
      </c>
      <c r="ED40" s="2928">
        <f t="shared" si="8"/>
      </c>
      <c r="EE40" s="2928">
        <f t="shared" si="8"/>
      </c>
      <c r="EF40" s="2928">
        <f t="shared" si="8"/>
      </c>
      <c r="EG40" s="2928">
        <f t="shared" si="8"/>
      </c>
      <c r="EH40" s="2928">
        <f t="shared" si="8"/>
      </c>
      <c r="EI40" s="2928">
        <f t="shared" si="8"/>
      </c>
      <c r="EJ40" s="2928">
        <f t="shared" si="8"/>
      </c>
      <c r="EK40" s="2928">
        <f t="shared" si="8"/>
      </c>
      <c r="EL40" s="2928">
        <f t="shared" si="8"/>
      </c>
      <c r="EM40" s="2928">
        <f t="shared" si="8"/>
      </c>
      <c r="EN40" s="2928">
        <f t="shared" si="8"/>
      </c>
      <c r="EO40" s="2928">
        <f t="shared" si="8"/>
      </c>
      <c r="EP40" s="2928">
        <f t="shared" si="8"/>
      </c>
      <c r="EQ40" s="2928">
        <f t="shared" si="8"/>
      </c>
      <c r="ER40" s="2928">
        <f t="shared" si="8"/>
      </c>
      <c r="ES40" s="2928">
        <f t="shared" si="8"/>
      </c>
      <c r="ET40" s="2928">
        <f t="shared" si="8"/>
      </c>
      <c r="EU40" s="2928">
        <f t="shared" si="8"/>
      </c>
      <c r="EV40" s="2928">
        <f t="shared" si="8"/>
      </c>
      <c r="EW40" s="2928">
        <f t="shared" si="8"/>
      </c>
      <c r="EX40" s="2928">
        <f t="shared" si="8"/>
      </c>
      <c r="EY40" s="2928">
        <f t="shared" si="8"/>
      </c>
      <c r="EZ40" s="2928">
        <f t="shared" si="8"/>
      </c>
      <c r="FA40" s="2929" t="str">
        <f t="shared" si="12"/>
        <v>-</v>
      </c>
      <c r="FB40" s="2825">
        <f t="shared" si="13"/>
      </c>
      <c r="FC40" s="2930" cm="1">
        <f t="array" ref="FC40">_xlfn.LET(_xlpm.unit_type,$G40,_xlpm.market_rent_from_rent_roll,$E40,_xlpm.unit_type_list,RentRoll_InputArea_DesignatedUnitType,_xlpm.rent_by_unit_type,RentRoll_InputArea_MarketRent,_xlpm.use_rent_roll_market_rent,LEFT(RR_VacantUnitMktRentSource,9)="Rent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0" s="2930">
        <f t="shared" si="14"/>
        <v>1145</v>
      </c>
      <c r="FE40" s="2930">
        <f t="shared" si="15"/>
        <v>1145</v>
      </c>
      <c r="FF40" s="2930">
        <f t="shared" si="16"/>
        <v>1145</v>
      </c>
      <c r="FG40" s="2931"/>
      <c r="FH40" s="2932">
        <f t="shared" si="17"/>
      </c>
      <c r="FI40" s="2932">
        <f t="shared" si="18"/>
      </c>
      <c r="FJ40" s="2931"/>
      <c r="FK40" s="2933" cm="1">
        <f t="array" ref="FK40">IF(AND(LEN($D40)&gt;0,ISNA(MATCH(TRUE,EXACT($G40,RentRoll_InputArea_DesignatedUnitType),0))),1,0)</f>
        <v>0</v>
      </c>
      <c r="FL40" s="2931">
        <f t="shared" si="19"/>
        <v>17</v>
      </c>
      <c r="FM40" s="2931"/>
      <c r="FN40" s="2931"/>
      <c r="FO40" s="2931"/>
      <c r="FP40" s="2931"/>
      <c r="FQ40" s="2931"/>
      <c r="FR40" s="2931"/>
      <c r="FS40" s="2931"/>
      <c r="FT40" s="2931"/>
      <c r="FU40" s="2931"/>
      <c r="FV40" s="2931"/>
      <c r="FW40" s="2931"/>
      <c r="FX40" s="2931"/>
      <c r="FY40" s="2931"/>
      <c r="FZ40" s="2931"/>
      <c r="GA40" s="2931"/>
      <c r="GB40" s="2931"/>
      <c r="GC40" s="2931"/>
      <c r="GD40" s="2931"/>
      <c r="GE40" s="2931"/>
      <c r="GF40" s="2931"/>
      <c r="GG40" s="2931"/>
      <c r="GH40" s="2931"/>
      <c r="GI40" s="2931"/>
      <c r="GJ40" s="2931"/>
      <c r="GK40" s="2931"/>
      <c r="GL40" s="2931"/>
      <c r="GM40" s="2931"/>
      <c r="GN40" s="2931"/>
      <c r="GO40" s="2931"/>
      <c r="GP40" s="2931"/>
      <c r="GQ40" s="2931"/>
      <c r="GR40" s="2931"/>
      <c r="GS40" s="2931"/>
      <c r="GT40" s="2931"/>
      <c r="GU40" s="2931"/>
      <c r="GV40" s="2931"/>
      <c r="GW40" s="2931"/>
      <c r="GX40" s="2931"/>
      <c r="GY40" s="2931"/>
      <c r="GZ40" s="2931"/>
      <c r="HA40" s="2931"/>
      <c r="HB40" s="2931"/>
      <c r="HC40" s="2931"/>
      <c r="HD40" s="2931"/>
      <c r="HE40" s="2931"/>
      <c r="HF40" s="2931"/>
      <c r="HG40" s="2931"/>
      <c r="HH40" s="2931"/>
      <c r="HI40" s="2931"/>
      <c r="HJ40" s="2931"/>
      <c r="HK40" s="2931"/>
      <c r="HL40" s="2931"/>
      <c r="HM40" s="2931"/>
      <c r="HN40" s="2931"/>
      <c r="HO40" s="2931"/>
      <c r="HP40" s="2931"/>
      <c r="HQ40" s="2931"/>
      <c r="HR40" s="2931"/>
      <c r="HS40" s="2931"/>
      <c r="HT40" s="2931"/>
      <c r="HU40" s="2931"/>
      <c r="HV40" s="2931"/>
      <c r="HW40" s="2931"/>
      <c r="HX40" s="2931"/>
      <c r="HY40" s="2931"/>
      <c r="HZ40" s="2931"/>
      <c r="IA40" s="2931"/>
      <c r="IB40" s="2931"/>
      <c r="IC40" s="2931"/>
      <c r="ID40" s="2931"/>
      <c r="IE40" s="2931"/>
      <c r="IF40" s="2931"/>
      <c r="IG40" s="2931"/>
      <c r="IH40" s="2931"/>
      <c r="II40" s="2931"/>
      <c r="IJ40" s="2931"/>
      <c r="IK40" s="2931"/>
      <c r="IL40" s="2931"/>
      <c r="IM40" s="2931"/>
      <c r="IN40" s="2931"/>
      <c r="IO40" s="2931" cm="1">
        <f t="array" ref="IO40">IF(LEN($G40)=0,"Rent Roll is incomplete",_xlfn.XLOOKUP(TRUE,EXACT(RentRoll_InputArea_DesignatedUnitType,$G40),RentRoll_InputArea_Beds,"Not Found"))</f>
        <v>1</v>
      </c>
      <c r="IP40" s="2934"/>
      <c r="IQ40" s="2935" t="str">
        <f t="shared" si="20"/>
        <v>1 Bedroom Unit</v>
      </c>
      <c r="IR40" s="2926">
        <f t="shared" si="21"/>
        <v>1145</v>
      </c>
      <c r="IS40" s="2935"/>
      <c r="IT40" s="2931"/>
      <c r="IU40" s="2931"/>
      <c r="IV40" s="2931"/>
      <c r="IW40" s="2936" t="str">
        <f t="shared" si="22"/>
        <v>2-208</v>
      </c>
      <c r="IX40" s="2936"/>
      <c r="IY40" s="2936"/>
      <c r="IZ40" s="2936">
        <f t="shared" si="23"/>
        <v>1</v>
      </c>
      <c r="JA40" s="2936">
        <f t="shared" si="24"/>
        <v>1145</v>
      </c>
      <c r="JB40" s="2936"/>
      <c r="JC40" s="2936"/>
      <c r="JD40" s="2936"/>
      <c r="JE40" s="2936"/>
      <c r="JF40" s="2936"/>
      <c r="JG40" s="2936"/>
      <c r="JH40" s="2936">
        <f t="shared" si="25"/>
        <v>1159</v>
      </c>
      <c r="JI40" s="2936"/>
      <c r="JJ40" s="2936">
        <f t="shared" si="26"/>
      </c>
      <c r="JK40" s="2936"/>
      <c r="JL40" s="2936"/>
      <c r="JM40" s="2936"/>
      <c r="JN40" s="2936"/>
      <c r="JO40" s="2936"/>
      <c r="JP40" s="2936"/>
      <c r="JQ40" s="2936" t="str">
        <f t="shared" si="27"/>
        <v>Occupied</v>
      </c>
      <c r="JR40" s="2936" cm="1">
        <f t="array" ref="JR40">_xlfn.XLOOKUP(TRUE,EXACT(RentRoll_InputArea_DesignatedUnitType,$G40),RentRoll_InputArea_SquareFootage,"Not Found")</f>
        <v>704</v>
      </c>
      <c r="JS40" s="2936" t="str">
        <f t="shared" si="28"/>
        <v>Apartment</v>
      </c>
      <c r="JT40" s="2936">
        <f t="shared" si="29"/>
      </c>
      <c r="JU40" s="2936"/>
      <c r="JV40" s="2936"/>
      <c r="JW40" s="2936"/>
      <c r="JX40" s="2936"/>
      <c r="JY40" s="2936">
        <f t="shared" si="9"/>
        <v>43556</v>
      </c>
      <c r="JZ40" s="2936">
        <f t="shared" si="9"/>
        <v>43921</v>
      </c>
      <c r="KA40" s="2936"/>
      <c r="KB40" s="2936"/>
      <c r="KC40" s="2936"/>
      <c r="KD40" s="2936"/>
      <c r="KE40" s="2936"/>
      <c r="KF40" s="2936"/>
      <c r="KG40" s="2936"/>
      <c r="KH40" s="2936"/>
      <c r="KI40" s="2937"/>
      <c r="KJ40" s="2936"/>
      <c r="KK40" s="1353"/>
    </row>
    <row r="41" ht="15" customHeight="1">
      <c r="A41" s="2922">
        <f t="shared" si="10"/>
        <v>18</v>
      </c>
      <c r="B41" s="2865"/>
      <c r="C41" s="2873"/>
      <c r="D41" s="2873" t="s">
        <v>2778</v>
      </c>
      <c r="E41" s="2923">
        <v>1118</v>
      </c>
      <c r="F41" s="2924" t="s">
        <v>2779</v>
      </c>
      <c r="G41" s="2873" t="s">
        <v>2529</v>
      </c>
      <c r="H41" s="2923">
        <v>1098</v>
      </c>
      <c r="I41" s="2925" cm="1">
        <f t="array" ref="I41">_xlfn.LET(_xlpm.has_subsidy,$N41&gt;0,_xlpm.is_chap9_sbl,$FF$20,_xlpm.contract_rent,$H41,_xlpm.unit_type_mkt_rent,_xlfn.XLOOKUP(TRUE,EXACT($G41,RentRoll_InputArea_DesignatedUnitType),RentRoll_InputArea_MarketRent,"Not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1" s="2926">
        <f t="shared" si="11"/>
        <v>1098</v>
      </c>
      <c r="K41" s="2923"/>
      <c r="L41" s="2923"/>
      <c r="M41" s="2923"/>
      <c r="N41" s="2923"/>
      <c r="O41" s="2927">
        <v>43519</v>
      </c>
      <c r="P41" s="2927">
        <v>43738</v>
      </c>
      <c r="Q41" s="2928">
        <f t="shared" si="8"/>
        <v>1098</v>
      </c>
      <c r="R41" s="2928">
        <f t="shared" si="8"/>
      </c>
      <c r="S41" s="2928">
        <f t="shared" si="8"/>
      </c>
      <c r="T41" s="2928">
        <f t="shared" si="8"/>
      </c>
      <c r="U41" s="2928">
        <f t="shared" si="8"/>
      </c>
      <c r="V41" s="2928">
        <f t="shared" si="8"/>
      </c>
      <c r="W41" s="2928">
        <f t="shared" si="8"/>
      </c>
      <c r="X41" s="2928">
        <f t="shared" si="8"/>
      </c>
      <c r="Y41" s="2928">
        <f t="shared" si="8"/>
      </c>
      <c r="Z41" s="2928">
        <f t="shared" si="8"/>
      </c>
      <c r="AA41" s="2928">
        <f t="shared" si="8"/>
      </c>
      <c r="AB41" s="2928">
        <f t="shared" si="8"/>
      </c>
      <c r="AC41" s="2928">
        <f t="shared" si="8"/>
      </c>
      <c r="AD41" s="2928">
        <f t="shared" si="8"/>
      </c>
      <c r="AE41" s="2928">
        <f t="shared" si="8"/>
      </c>
      <c r="AF41" s="2928">
        <f t="shared" si="8"/>
      </c>
      <c r="AG41" s="2928">
        <f t="shared" si="8"/>
      </c>
      <c r="AH41" s="2928">
        <f t="shared" si="8"/>
      </c>
      <c r="AI41" s="2928">
        <f t="shared" si="8"/>
      </c>
      <c r="AJ41" s="2928">
        <f t="shared" si="8"/>
      </c>
      <c r="AK41" s="2928">
        <f t="shared" si="8"/>
      </c>
      <c r="AL41" s="2928">
        <f t="shared" si="8"/>
      </c>
      <c r="AM41" s="2928">
        <f t="shared" si="8"/>
      </c>
      <c r="AN41" s="2928">
        <f t="shared" si="8"/>
      </c>
      <c r="AO41" s="2928">
        <f t="shared" si="8"/>
      </c>
      <c r="AP41" s="2928">
        <f t="shared" si="8"/>
      </c>
      <c r="AQ41" s="2928">
        <f t="shared" si="8"/>
      </c>
      <c r="AR41" s="2928">
        <f t="shared" si="8"/>
      </c>
      <c r="AS41" s="2928">
        <f t="shared" si="8"/>
      </c>
      <c r="AT41" s="2928">
        <f t="shared" si="8"/>
      </c>
      <c r="AU41" s="2928">
        <f t="shared" si="8"/>
      </c>
      <c r="AV41" s="2928">
        <f t="shared" si="8"/>
      </c>
      <c r="AW41" s="2928">
        <f t="shared" si="8"/>
      </c>
      <c r="AX41" s="2928">
        <f t="shared" si="8"/>
      </c>
      <c r="AY41" s="2928">
        <f t="shared" si="8"/>
      </c>
      <c r="AZ41" s="2928">
        <f t="shared" si="8"/>
      </c>
      <c r="BA41" s="2928">
        <f t="shared" si="8"/>
      </c>
      <c r="BB41" s="2928">
        <f t="shared" si="8"/>
      </c>
      <c r="BC41" s="2928">
        <f t="shared" si="8"/>
      </c>
      <c r="BD41" s="2928">
        <f t="shared" si="8"/>
      </c>
      <c r="BE41" s="2928">
        <f t="shared" si="8"/>
      </c>
      <c r="BF41" s="2928">
        <f t="shared" si="8"/>
      </c>
      <c r="BG41" s="2928">
        <f t="shared" si="8"/>
      </c>
      <c r="BH41" s="2928">
        <f t="shared" si="8"/>
      </c>
      <c r="BI41" s="2928">
        <f t="shared" si="8"/>
      </c>
      <c r="BJ41" s="2928">
        <f t="shared" si="8"/>
      </c>
      <c r="BK41" s="2928">
        <f t="shared" si="8"/>
      </c>
      <c r="BL41" s="2928">
        <f t="shared" si="8"/>
      </c>
      <c r="BM41" s="2928">
        <f t="shared" si="8"/>
      </c>
      <c r="BN41" s="2928">
        <f t="shared" si="8"/>
      </c>
      <c r="BO41" s="2928">
        <f t="shared" si="8"/>
      </c>
      <c r="BP41" s="2928">
        <f t="shared" si="8"/>
      </c>
      <c r="BQ41" s="2928">
        <f t="shared" si="8"/>
      </c>
      <c r="BR41" s="2928">
        <f t="shared" si="8"/>
      </c>
      <c r="BS41" s="2928">
        <f t="shared" si="8"/>
      </c>
      <c r="BT41" s="2928">
        <f t="shared" si="8"/>
      </c>
      <c r="BU41" s="2928">
        <f t="shared" si="8"/>
      </c>
      <c r="BV41" s="2928">
        <f t="shared" si="8"/>
      </c>
      <c r="BW41" s="2928">
        <f t="shared" si="8"/>
      </c>
      <c r="BX41" s="2928">
        <f t="shared" si="8"/>
      </c>
      <c r="BY41" s="2928">
        <f t="shared" si="8"/>
      </c>
      <c r="BZ41" s="2928">
        <f t="shared" si="8"/>
      </c>
      <c r="CA41" s="2928">
        <f t="shared" si="8"/>
      </c>
      <c r="CB41" s="2928">
        <f t="shared" si="8"/>
      </c>
      <c r="CC41" s="2928">
        <f t="shared" si="8"/>
      </c>
      <c r="CD41" s="2928">
        <f t="shared" si="8"/>
      </c>
      <c r="CE41" s="2928">
        <f t="shared" si="8"/>
      </c>
      <c r="CF41" s="2928">
        <f t="shared" si="8"/>
      </c>
      <c r="CG41" s="2928">
        <f t="shared" si="8"/>
      </c>
      <c r="CH41" s="2928">
        <f t="shared" si="8"/>
      </c>
      <c r="CI41" s="2928">
        <f t="shared" si="8"/>
      </c>
      <c r="CJ41" s="2928">
        <f t="shared" si="8"/>
      </c>
      <c r="CK41" s="2928">
        <f t="shared" si="8"/>
      </c>
      <c r="CL41" s="2928">
        <f t="shared" si="8"/>
      </c>
      <c r="CM41" s="2928">
        <f t="shared" si="8"/>
      </c>
      <c r="CN41" s="2928">
        <f t="shared" si="8"/>
      </c>
      <c r="CO41" s="2928">
        <f t="shared" si="8"/>
      </c>
      <c r="CP41" s="2928">
        <f t="shared" si="8"/>
      </c>
      <c r="CQ41" s="2928">
        <f t="shared" si="8"/>
      </c>
      <c r="CR41" s="2928">
        <f t="shared" si="8"/>
      </c>
      <c r="CS41" s="2928">
        <f t="shared" si="8"/>
      </c>
      <c r="CT41" s="2928">
        <f t="shared" si="8"/>
      </c>
      <c r="CU41" s="2928">
        <f t="shared" si="8"/>
      </c>
      <c r="CV41" s="2928">
        <f t="shared" si="8"/>
      </c>
      <c r="CW41" s="2928">
        <f t="shared" si="8"/>
      </c>
      <c r="CX41" s="2928">
        <f t="shared" si="8"/>
      </c>
      <c r="CY41" s="2928">
        <f t="shared" si="8"/>
      </c>
      <c r="CZ41" s="2928">
        <f t="shared" si="8"/>
      </c>
      <c r="DA41" s="2928">
        <f t="shared" si="8"/>
      </c>
      <c r="DB41" s="2928">
        <f t="shared" si="8"/>
      </c>
      <c r="DC41" s="2928">
        <f t="shared" si="8"/>
      </c>
      <c r="DD41" s="2928">
        <f t="shared" si="8"/>
      </c>
      <c r="DE41" s="2928">
        <f t="shared" si="8"/>
      </c>
      <c r="DF41" s="2928">
        <f t="shared" si="8"/>
      </c>
      <c r="DG41" s="2928">
        <f t="shared" si="8"/>
      </c>
      <c r="DH41" s="2928">
        <f t="shared" si="8"/>
      </c>
      <c r="DI41" s="2928">
        <f t="shared" si="8"/>
      </c>
      <c r="DJ41" s="2928">
        <f t="shared" si="8"/>
      </c>
      <c r="DK41" s="2928">
        <f t="shared" si="8"/>
      </c>
      <c r="DL41" s="2928">
        <f t="shared" si="8"/>
      </c>
      <c r="DM41" s="2928">
        <f t="shared" si="8"/>
      </c>
      <c r="DN41" s="2928">
        <f t="shared" si="8"/>
      </c>
      <c r="DO41" s="2928">
        <f t="shared" si="8"/>
      </c>
      <c r="DP41" s="2928">
        <f t="shared" si="8"/>
      </c>
      <c r="DQ41" s="2928">
        <f t="shared" si="8"/>
      </c>
      <c r="DR41" s="2928">
        <f t="shared" si="8"/>
      </c>
      <c r="DS41" s="2928">
        <f t="shared" si="8"/>
      </c>
      <c r="DT41" s="2928">
        <f t="shared" si="8"/>
      </c>
      <c r="DU41" s="2928">
        <f t="shared" si="8"/>
      </c>
      <c r="DV41" s="2928">
        <f t="shared" si="8"/>
      </c>
      <c r="DW41" s="2928">
        <f t="shared" si="8"/>
      </c>
      <c r="DX41" s="2928">
        <f t="shared" si="8"/>
      </c>
      <c r="DY41" s="2928">
        <f t="shared" si="8"/>
      </c>
      <c r="DZ41" s="2928">
        <f t="shared" si="8"/>
      </c>
      <c r="EA41" s="2928">
        <f t="shared" si="8"/>
      </c>
      <c r="EB41" s="2928">
        <f t="shared" si="8"/>
      </c>
      <c r="EC41" s="2928">
        <f t="shared" si="8"/>
      </c>
      <c r="ED41" s="2928">
        <f t="shared" si="8"/>
      </c>
      <c r="EE41" s="2928">
        <f t="shared" si="8"/>
      </c>
      <c r="EF41" s="2928">
        <f t="shared" si="8"/>
      </c>
      <c r="EG41" s="2928">
        <f t="shared" si="8"/>
      </c>
      <c r="EH41" s="2928">
        <f t="shared" si="8"/>
      </c>
      <c r="EI41" s="2928">
        <f t="shared" si="8"/>
      </c>
      <c r="EJ41" s="2928">
        <f t="shared" si="8"/>
      </c>
      <c r="EK41" s="2928">
        <f t="shared" si="8"/>
      </c>
      <c r="EL41" s="2928">
        <f t="shared" si="8"/>
      </c>
      <c r="EM41" s="2928">
        <f t="shared" si="8"/>
      </c>
      <c r="EN41" s="2928">
        <f t="shared" si="8"/>
      </c>
      <c r="EO41" s="2928">
        <f t="shared" si="8"/>
      </c>
      <c r="EP41" s="2928">
        <f t="shared" si="8"/>
      </c>
      <c r="EQ41" s="2928">
        <f t="shared" si="8"/>
      </c>
      <c r="ER41" s="2928">
        <f t="shared" si="8"/>
      </c>
      <c r="ES41" s="2928">
        <f t="shared" si="8"/>
      </c>
      <c r="ET41" s="2928">
        <f t="shared" si="8"/>
      </c>
      <c r="EU41" s="2928">
        <f t="shared" si="8"/>
      </c>
      <c r="EV41" s="2928">
        <f t="shared" si="8"/>
      </c>
      <c r="EW41" s="2928">
        <f t="shared" si="8"/>
      </c>
      <c r="EX41" s="2928">
        <f t="shared" si="8"/>
      </c>
      <c r="EY41" s="2928">
        <f t="shared" si="8"/>
      </c>
      <c r="EZ41" s="2928">
        <f t="shared" si="8"/>
      </c>
      <c r="FA41" s="2929" t="str">
        <f t="shared" si="12"/>
        <v>-</v>
      </c>
      <c r="FB41" s="2825">
        <f t="shared" si="13"/>
      </c>
      <c r="FC41" s="2930" cm="1">
        <f t="array" ref="FC41">_xlfn.LET(_xlpm.unit_type,$G41,_xlpm.market_rent_from_rent_roll,$E41,_xlpm.unit_type_list,RentRoll_InputArea_DesignatedUnitType,_xlpm.rent_by_unit_type,RentRoll_InputArea_MarketRent,_xlpm.use_rent_roll_market_rent,LEFT(RR_VacantUnitMktRentSource,9)="Rent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1" s="2930">
        <f t="shared" si="14"/>
        <v>1098</v>
      </c>
      <c r="FE41" s="2930">
        <f t="shared" si="15"/>
        <v>1098</v>
      </c>
      <c r="FF41" s="2930">
        <f t="shared" si="16"/>
        <v>1098</v>
      </c>
      <c r="FG41" s="2931"/>
      <c r="FH41" s="2932">
        <f t="shared" si="17"/>
      </c>
      <c r="FI41" s="2932">
        <f t="shared" si="18"/>
      </c>
      <c r="FJ41" s="2931"/>
      <c r="FK41" s="2933" cm="1">
        <f t="array" ref="FK41">IF(AND(LEN($D41)&gt;0,ISNA(MATCH(TRUE,EXACT($G41,RentRoll_InputArea_DesignatedUnitType),0))),1,0)</f>
        <v>0</v>
      </c>
      <c r="FL41" s="2931">
        <f t="shared" si="19"/>
        <v>18</v>
      </c>
      <c r="FM41" s="2931"/>
      <c r="FN41" s="2931"/>
      <c r="FO41" s="2931"/>
      <c r="FP41" s="2931"/>
      <c r="FQ41" s="2931"/>
      <c r="FR41" s="2931"/>
      <c r="FS41" s="2931"/>
      <c r="FT41" s="2931"/>
      <c r="FU41" s="2931"/>
      <c r="FV41" s="2931"/>
      <c r="FW41" s="2931"/>
      <c r="FX41" s="2931"/>
      <c r="FY41" s="2931"/>
      <c r="FZ41" s="2931"/>
      <c r="GA41" s="2931"/>
      <c r="GB41" s="2931"/>
      <c r="GC41" s="2931"/>
      <c r="GD41" s="2931"/>
      <c r="GE41" s="2931"/>
      <c r="GF41" s="2931"/>
      <c r="GG41" s="2931"/>
      <c r="GH41" s="2931"/>
      <c r="GI41" s="2931"/>
      <c r="GJ41" s="2931"/>
      <c r="GK41" s="2931"/>
      <c r="GL41" s="2931"/>
      <c r="GM41" s="2931"/>
      <c r="GN41" s="2931"/>
      <c r="GO41" s="2931"/>
      <c r="GP41" s="2931"/>
      <c r="GQ41" s="2931"/>
      <c r="GR41" s="2931"/>
      <c r="GS41" s="2931"/>
      <c r="GT41" s="2931"/>
      <c r="GU41" s="2931"/>
      <c r="GV41" s="2931"/>
      <c r="GW41" s="2931"/>
      <c r="GX41" s="2931"/>
      <c r="GY41" s="2931"/>
      <c r="GZ41" s="2931"/>
      <c r="HA41" s="2931"/>
      <c r="HB41" s="2931"/>
      <c r="HC41" s="2931"/>
      <c r="HD41" s="2931"/>
      <c r="HE41" s="2931"/>
      <c r="HF41" s="2931"/>
      <c r="HG41" s="2931"/>
      <c r="HH41" s="2931"/>
      <c r="HI41" s="2931"/>
      <c r="HJ41" s="2931"/>
      <c r="HK41" s="2931"/>
      <c r="HL41" s="2931"/>
      <c r="HM41" s="2931"/>
      <c r="HN41" s="2931"/>
      <c r="HO41" s="2931"/>
      <c r="HP41" s="2931"/>
      <c r="HQ41" s="2931"/>
      <c r="HR41" s="2931"/>
      <c r="HS41" s="2931"/>
      <c r="HT41" s="2931"/>
      <c r="HU41" s="2931"/>
      <c r="HV41" s="2931"/>
      <c r="HW41" s="2931"/>
      <c r="HX41" s="2931"/>
      <c r="HY41" s="2931"/>
      <c r="HZ41" s="2931"/>
      <c r="IA41" s="2931"/>
      <c r="IB41" s="2931"/>
      <c r="IC41" s="2931"/>
      <c r="ID41" s="2931"/>
      <c r="IE41" s="2931"/>
      <c r="IF41" s="2931"/>
      <c r="IG41" s="2931"/>
      <c r="IH41" s="2931"/>
      <c r="II41" s="2931"/>
      <c r="IJ41" s="2931"/>
      <c r="IK41" s="2931"/>
      <c r="IL41" s="2931"/>
      <c r="IM41" s="2931"/>
      <c r="IN41" s="2931"/>
      <c r="IO41" s="2931" cm="1">
        <f t="array" ref="IO41">IF(LEN($G41)=0,"Rent Roll is incomplete",_xlfn.XLOOKUP(TRUE,EXACT(RentRoll_InputArea_DesignatedUnitType,$G41),RentRoll_InputArea_Beds,"Not Found"))</f>
        <v>1</v>
      </c>
      <c r="IP41" s="2934"/>
      <c r="IQ41" s="2935" t="str">
        <f t="shared" si="20"/>
        <v>1 Bedroom Unit</v>
      </c>
      <c r="IR41" s="2926">
        <f t="shared" si="21"/>
        <v>1098</v>
      </c>
      <c r="IS41" s="2935"/>
      <c r="IT41" s="2931"/>
      <c r="IU41" s="2931"/>
      <c r="IV41" s="2931"/>
      <c r="IW41" s="2936" t="str">
        <f t="shared" si="22"/>
        <v>2-209</v>
      </c>
      <c r="IX41" s="2936"/>
      <c r="IY41" s="2936"/>
      <c r="IZ41" s="2936">
        <f t="shared" si="23"/>
        <v>1</v>
      </c>
      <c r="JA41" s="2936">
        <f t="shared" si="24"/>
        <v>1098</v>
      </c>
      <c r="JB41" s="2936"/>
      <c r="JC41" s="2936"/>
      <c r="JD41" s="2936"/>
      <c r="JE41" s="2936"/>
      <c r="JF41" s="2936"/>
      <c r="JG41" s="2936"/>
      <c r="JH41" s="2936">
        <f t="shared" si="25"/>
        <v>1159</v>
      </c>
      <c r="JI41" s="2936"/>
      <c r="JJ41" s="2936">
        <f t="shared" si="26"/>
      </c>
      <c r="JK41" s="2936"/>
      <c r="JL41" s="2936"/>
      <c r="JM41" s="2936"/>
      <c r="JN41" s="2936"/>
      <c r="JO41" s="2936"/>
      <c r="JP41" s="2936"/>
      <c r="JQ41" s="2936" t="str">
        <f t="shared" si="27"/>
        <v>Occupied</v>
      </c>
      <c r="JR41" s="2936" cm="1">
        <f t="array" ref="JR41">_xlfn.XLOOKUP(TRUE,EXACT(RentRoll_InputArea_DesignatedUnitType,$G41),RentRoll_InputArea_SquareFootage,"Not Found")</f>
        <v>704</v>
      </c>
      <c r="JS41" s="2936" t="str">
        <f t="shared" si="28"/>
        <v>Apartment</v>
      </c>
      <c r="JT41" s="2936">
        <f t="shared" si="29"/>
      </c>
      <c r="JU41" s="2936"/>
      <c r="JV41" s="2936"/>
      <c r="JW41" s="2936"/>
      <c r="JX41" s="2936"/>
      <c r="JY41" s="2936">
        <f t="shared" si="9"/>
        <v>43519</v>
      </c>
      <c r="JZ41" s="2936">
        <f t="shared" si="9"/>
        <v>43738</v>
      </c>
      <c r="KA41" s="2936"/>
      <c r="KB41" s="2936"/>
      <c r="KC41" s="2936"/>
      <c r="KD41" s="2936"/>
      <c r="KE41" s="2936"/>
      <c r="KF41" s="2936"/>
      <c r="KG41" s="2936"/>
      <c r="KH41" s="2936"/>
      <c r="KI41" s="2937"/>
      <c r="KJ41" s="2936"/>
      <c r="KK41" s="1353"/>
    </row>
    <row r="42" ht="15" customHeight="1">
      <c r="A42" s="2922">
        <f t="shared" si="10"/>
        <v>19</v>
      </c>
      <c r="B42" s="2865"/>
      <c r="C42" s="2873"/>
      <c r="D42" s="2873" t="s">
        <v>2780</v>
      </c>
      <c r="E42" s="2923">
        <v>1194</v>
      </c>
      <c r="F42" s="2924" t="s">
        <v>2781</v>
      </c>
      <c r="G42" s="2873" t="s">
        <v>2529</v>
      </c>
      <c r="H42" s="2923">
        <v>1198</v>
      </c>
      <c r="I42" s="2925" cm="1">
        <f t="array" ref="I42">_xlfn.LET(_xlpm.has_subsidy,$N42&gt;0,_xlpm.is_chap9_sbl,$FF$20,_xlpm.contract_rent,$H42,_xlpm.unit_type_mkt_rent,_xlfn.XLOOKUP(TRUE,EXACT($G42,RentRoll_InputArea_DesignatedUnitType),RentRoll_InputArea_MarketRent,"Not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2" s="2926">
        <f t="shared" si="11"/>
        <v>1198</v>
      </c>
      <c r="K42" s="2923"/>
      <c r="L42" s="2923"/>
      <c r="M42" s="2923"/>
      <c r="N42" s="2923"/>
      <c r="O42" s="2927">
        <v>43529</v>
      </c>
      <c r="P42" s="2927">
        <v>43890</v>
      </c>
      <c r="Q42" s="2928">
        <f t="shared" si="8"/>
        <v>1198</v>
      </c>
      <c r="R42" s="2928">
        <f t="shared" si="8"/>
      </c>
      <c r="S42" s="2928">
        <f t="shared" si="8"/>
      </c>
      <c r="T42" s="2928">
        <f t="shared" si="8"/>
      </c>
      <c r="U42" s="2928">
        <f t="shared" si="8"/>
      </c>
      <c r="V42" s="2928">
        <f t="shared" si="8"/>
      </c>
      <c r="W42" s="2928">
        <f t="shared" si="8"/>
      </c>
      <c r="X42" s="2928">
        <f t="shared" si="8"/>
      </c>
      <c r="Y42" s="2928">
        <f t="shared" si="8"/>
      </c>
      <c r="Z42" s="2928">
        <f t="shared" si="8"/>
      </c>
      <c r="AA42" s="2928">
        <f t="shared" si="8"/>
      </c>
      <c r="AB42" s="2928">
        <f t="shared" si="8"/>
      </c>
      <c r="AC42" s="2928">
        <f t="shared" si="8"/>
      </c>
      <c r="AD42" s="2928">
        <f t="shared" si="8"/>
      </c>
      <c r="AE42" s="2928">
        <f t="shared" si="8"/>
      </c>
      <c r="AF42" s="2928">
        <f t="shared" si="8"/>
      </c>
      <c r="AG42" s="2928">
        <f t="shared" si="8"/>
      </c>
      <c r="AH42" s="2928">
        <f t="shared" si="8"/>
      </c>
      <c r="AI42" s="2928">
        <f t="shared" si="8"/>
      </c>
      <c r="AJ42" s="2928">
        <f t="shared" si="8"/>
      </c>
      <c r="AK42" s="2928">
        <f t="shared" si="8"/>
      </c>
      <c r="AL42" s="2928">
        <f t="shared" si="8"/>
      </c>
      <c r="AM42" s="2928">
        <f t="shared" si="8"/>
      </c>
      <c r="AN42" s="2928">
        <f t="shared" si="8"/>
      </c>
      <c r="AO42" s="2928">
        <f t="shared" si="8"/>
      </c>
      <c r="AP42" s="2928">
        <f t="shared" si="8"/>
      </c>
      <c r="AQ42" s="2928">
        <f t="shared" si="8"/>
      </c>
      <c r="AR42" s="2928">
        <f t="shared" si="8"/>
      </c>
      <c r="AS42" s="2928">
        <f t="shared" si="8"/>
      </c>
      <c r="AT42" s="2928">
        <f t="shared" si="8"/>
      </c>
      <c r="AU42" s="2928">
        <f t="shared" si="8"/>
      </c>
      <c r="AV42" s="2928">
        <f t="shared" si="8"/>
      </c>
      <c r="AW42" s="2928">
        <f t="shared" si="8"/>
      </c>
      <c r="AX42" s="2928">
        <f t="shared" si="8"/>
      </c>
      <c r="AY42" s="2928">
        <f t="shared" si="8"/>
      </c>
      <c r="AZ42" s="2928">
        <f t="shared" si="8"/>
      </c>
      <c r="BA42" s="2928">
        <f t="shared" si="8"/>
      </c>
      <c r="BB42" s="2928">
        <f t="shared" si="8"/>
      </c>
      <c r="BC42" s="2928">
        <f t="shared" si="8"/>
      </c>
      <c r="BD42" s="2928">
        <f t="shared" si="8"/>
      </c>
      <c r="BE42" s="2928">
        <f t="shared" si="8"/>
      </c>
      <c r="BF42" s="2928">
        <f t="shared" si="8"/>
      </c>
      <c r="BG42" s="2928">
        <f t="shared" si="8"/>
      </c>
      <c r="BH42" s="2928">
        <f t="shared" si="8"/>
      </c>
      <c r="BI42" s="2928">
        <f t="shared" si="8"/>
      </c>
      <c r="BJ42" s="2928">
        <f t="shared" si="8"/>
      </c>
      <c r="BK42" s="2928">
        <f t="shared" si="8"/>
      </c>
      <c r="BL42" s="2928">
        <f t="shared" si="8"/>
      </c>
      <c r="BM42" s="2928">
        <f t="shared" si="8"/>
      </c>
      <c r="BN42" s="2928">
        <f t="shared" si="8"/>
      </c>
      <c r="BO42" s="2928">
        <f t="shared" si="8"/>
      </c>
      <c r="BP42" s="2928">
        <f t="shared" si="8"/>
      </c>
      <c r="BQ42" s="2928">
        <f t="shared" si="8"/>
      </c>
      <c r="BR42" s="2928">
        <f t="shared" si="8"/>
      </c>
      <c r="BS42" s="2928">
        <f t="shared" si="8"/>
      </c>
      <c r="BT42" s="2928">
        <f t="shared" si="8"/>
      </c>
      <c r="BU42" s="2928">
        <f t="shared" si="8"/>
      </c>
      <c r="BV42" s="2928">
        <f t="shared" si="8"/>
      </c>
      <c r="BW42" s="2928">
        <f t="shared" si="8"/>
      </c>
      <c r="BX42" s="2928">
        <f t="shared" si="8"/>
      </c>
      <c r="BY42" s="2928">
        <f t="shared" si="8"/>
      </c>
      <c r="BZ42" s="2928">
        <f t="shared" si="8"/>
      </c>
      <c r="CA42" s="2928">
        <f t="shared" si="8"/>
      </c>
      <c r="CB42" s="2928">
        <f t="shared" si="8"/>
      </c>
      <c r="CC42" s="2928">
        <f t="shared" si="8"/>
      </c>
      <c r="CD42" s="2928">
        <f t="shared" si="8"/>
      </c>
      <c r="CE42" s="2928">
        <f t="shared" si="8"/>
      </c>
      <c r="CF42" s="2928">
        <f t="shared" si="8"/>
      </c>
      <c r="CG42" s="2928">
        <f t="shared" si="8"/>
      </c>
      <c r="CH42" s="2928">
        <f t="shared" si="8"/>
      </c>
      <c r="CI42" s="2928">
        <f t="shared" si="8"/>
      </c>
      <c r="CJ42" s="2928">
        <f t="shared" si="8"/>
      </c>
      <c r="CK42" s="2928">
        <f t="shared" si="8"/>
      </c>
      <c r="CL42" s="2928">
        <f t="shared" si="8"/>
      </c>
      <c r="CM42" s="2928">
        <f t="shared" si="8"/>
      </c>
      <c r="CN42" s="2928">
        <f t="shared" si="8"/>
      </c>
      <c r="CO42" s="2928">
        <f t="shared" si="8"/>
      </c>
      <c r="CP42" s="2928">
        <f t="shared" si="8"/>
      </c>
      <c r="CQ42" s="2928">
        <f t="shared" si="8"/>
      </c>
      <c r="CR42" s="2928">
        <f t="shared" si="8"/>
      </c>
      <c r="CS42" s="2928">
        <f t="shared" si="8"/>
      </c>
      <c r="CT42" s="2928">
        <f t="shared" si="8"/>
      </c>
      <c r="CU42" s="2928">
        <f t="shared" si="8"/>
      </c>
      <c r="CV42" s="2928">
        <f t="shared" si="8"/>
      </c>
      <c r="CW42" s="2928">
        <f t="shared" si="8"/>
      </c>
      <c r="CX42" s="2928">
        <f t="shared" si="8"/>
      </c>
      <c r="CY42" s="2928">
        <f t="shared" si="8"/>
      </c>
      <c r="CZ42" s="2928">
        <f t="shared" si="8"/>
      </c>
      <c r="DA42" s="2928">
        <f t="shared" si="8"/>
      </c>
      <c r="DB42" s="2928">
        <f t="shared" si="8"/>
      </c>
      <c r="DC42" s="2928">
        <f t="shared" si="8"/>
      </c>
      <c r="DD42" s="2928">
        <f t="shared" si="8"/>
      </c>
      <c r="DE42" s="2928">
        <f t="shared" si="8"/>
      </c>
      <c r="DF42" s="2928">
        <f t="shared" si="8"/>
      </c>
      <c r="DG42" s="2928">
        <f t="shared" si="8"/>
      </c>
      <c r="DH42" s="2928">
        <f t="shared" si="8"/>
      </c>
      <c r="DI42" s="2928">
        <f t="shared" si="8"/>
      </c>
      <c r="DJ42" s="2928">
        <f t="shared" si="8"/>
      </c>
      <c r="DK42" s="2928">
        <f t="shared" si="8"/>
      </c>
      <c r="DL42" s="2928">
        <f t="shared" si="8"/>
      </c>
      <c r="DM42" s="2928">
        <f t="shared" si="8"/>
      </c>
      <c r="DN42" s="2928">
        <f t="shared" si="8"/>
      </c>
      <c r="DO42" s="2928">
        <f t="shared" si="8"/>
      </c>
      <c r="DP42" s="2928">
        <f t="shared" si="8"/>
      </c>
      <c r="DQ42" s="2928">
        <f t="shared" si="8"/>
      </c>
      <c r="DR42" s="2928">
        <f t="shared" si="8"/>
      </c>
      <c r="DS42" s="2928">
        <f t="shared" si="8"/>
      </c>
      <c r="DT42" s="2928">
        <f t="shared" si="8"/>
      </c>
      <c r="DU42" s="2928">
        <f t="shared" si="8"/>
      </c>
      <c r="DV42" s="2928">
        <f t="shared" si="8"/>
      </c>
      <c r="DW42" s="2928">
        <f t="shared" si="8"/>
      </c>
      <c r="DX42" s="2928">
        <f t="shared" si="8"/>
      </c>
      <c r="DY42" s="2928">
        <f t="shared" si="8"/>
      </c>
      <c r="DZ42" s="2928">
        <f t="shared" si="8"/>
      </c>
      <c r="EA42" s="2928">
        <f t="shared" si="8"/>
      </c>
      <c r="EB42" s="2928">
        <f t="shared" si="8"/>
      </c>
      <c r="EC42" s="2928">
        <f t="shared" si="8"/>
      </c>
      <c r="ED42" s="2928">
        <f t="shared" si="8"/>
      </c>
      <c r="EE42" s="2928">
        <f t="shared" si="8"/>
      </c>
      <c r="EF42" s="2928">
        <f t="shared" si="8"/>
      </c>
      <c r="EG42" s="2928">
        <f t="shared" si="8"/>
      </c>
      <c r="EH42" s="2928">
        <f t="shared" si="8"/>
      </c>
      <c r="EI42" s="2928">
        <f t="shared" si="8"/>
      </c>
      <c r="EJ42" s="2928">
        <f t="shared" si="8"/>
      </c>
      <c r="EK42" s="2928">
        <f t="shared" si="8"/>
      </c>
      <c r="EL42" s="2928">
        <f t="shared" si="8"/>
      </c>
      <c r="EM42" s="2928">
        <f t="shared" si="8"/>
      </c>
      <c r="EN42" s="2928">
        <f t="shared" si="8"/>
      </c>
      <c r="EO42" s="2928">
        <f t="shared" si="8"/>
      </c>
      <c r="EP42" s="2928">
        <f t="shared" si="8"/>
      </c>
      <c r="EQ42" s="2928">
        <f t="shared" si="8"/>
      </c>
      <c r="ER42" s="2928">
        <f t="shared" si="8"/>
      </c>
      <c r="ES42" s="2928">
        <f t="shared" si="8"/>
      </c>
      <c r="ET42" s="2928">
        <f t="shared" si="8"/>
      </c>
      <c r="EU42" s="2928">
        <f t="shared" si="8"/>
      </c>
      <c r="EV42" s="2928">
        <f t="shared" si="8"/>
      </c>
      <c r="EW42" s="2928">
        <f t="shared" si="8"/>
      </c>
      <c r="EX42" s="2928">
        <f t="shared" si="8"/>
      </c>
      <c r="EY42" s="2928">
        <f t="shared" si="8"/>
      </c>
      <c r="EZ42" s="2928">
        <f t="shared" si="8"/>
      </c>
      <c r="FA42" s="2929" t="str">
        <f t="shared" si="12"/>
        <v>-</v>
      </c>
      <c r="FB42" s="2825">
        <f t="shared" si="13"/>
      </c>
      <c r="FC42" s="2930" cm="1">
        <f t="array" ref="FC42">_xlfn.LET(_xlpm.unit_type,$G42,_xlpm.market_rent_from_rent_roll,$E42,_xlpm.unit_type_list,RentRoll_InputArea_DesignatedUnitType,_xlpm.rent_by_unit_type,RentRoll_InputArea_MarketRent,_xlpm.use_rent_roll_market_rent,LEFT(RR_VacantUnitMktRentSource,9)="Rent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2" s="2930">
        <f t="shared" si="14"/>
        <v>1198</v>
      </c>
      <c r="FE42" s="2930">
        <f t="shared" si="15"/>
        <v>1198</v>
      </c>
      <c r="FF42" s="2930">
        <f t="shared" si="16"/>
        <v>1198</v>
      </c>
      <c r="FG42" s="2931"/>
      <c r="FH42" s="2932">
        <f t="shared" si="17"/>
      </c>
      <c r="FI42" s="2932">
        <f t="shared" si="18"/>
      </c>
      <c r="FJ42" s="2931"/>
      <c r="FK42" s="2933" cm="1">
        <f t="array" ref="FK42">IF(AND(LEN($D42)&gt;0,ISNA(MATCH(TRUE,EXACT($G42,RentRoll_InputArea_DesignatedUnitType),0))),1,0)</f>
        <v>0</v>
      </c>
      <c r="FL42" s="2931">
        <f t="shared" si="19"/>
        <v>19</v>
      </c>
      <c r="FM42" s="2931"/>
      <c r="FN42" s="2931"/>
      <c r="FO42" s="2931"/>
      <c r="FP42" s="2931"/>
      <c r="FQ42" s="2931"/>
      <c r="FR42" s="2931"/>
      <c r="FS42" s="2931"/>
      <c r="FT42" s="2931"/>
      <c r="FU42" s="2931"/>
      <c r="FV42" s="2931"/>
      <c r="FW42" s="2931"/>
      <c r="FX42" s="2931"/>
      <c r="FY42" s="2931"/>
      <c r="FZ42" s="2931"/>
      <c r="GA42" s="2931"/>
      <c r="GB42" s="2931"/>
      <c r="GC42" s="2931"/>
      <c r="GD42" s="2931"/>
      <c r="GE42" s="2931"/>
      <c r="GF42" s="2931"/>
      <c r="GG42" s="2931"/>
      <c r="GH42" s="2931"/>
      <c r="GI42" s="2931"/>
      <c r="GJ42" s="2931"/>
      <c r="GK42" s="2931"/>
      <c r="GL42" s="2931"/>
      <c r="GM42" s="2931"/>
      <c r="GN42" s="2931"/>
      <c r="GO42" s="2931"/>
      <c r="GP42" s="2931"/>
      <c r="GQ42" s="2931"/>
      <c r="GR42" s="2931"/>
      <c r="GS42" s="2931"/>
      <c r="GT42" s="2931"/>
      <c r="GU42" s="2931"/>
      <c r="GV42" s="2931"/>
      <c r="GW42" s="2931"/>
      <c r="GX42" s="2931"/>
      <c r="GY42" s="2931"/>
      <c r="GZ42" s="2931"/>
      <c r="HA42" s="2931"/>
      <c r="HB42" s="2931"/>
      <c r="HC42" s="2931"/>
      <c r="HD42" s="2931"/>
      <c r="HE42" s="2931"/>
      <c r="HF42" s="2931"/>
      <c r="HG42" s="2931"/>
      <c r="HH42" s="2931"/>
      <c r="HI42" s="2931"/>
      <c r="HJ42" s="2931"/>
      <c r="HK42" s="2931"/>
      <c r="HL42" s="2931"/>
      <c r="HM42" s="2931"/>
      <c r="HN42" s="2931"/>
      <c r="HO42" s="2931"/>
      <c r="HP42" s="2931"/>
      <c r="HQ42" s="2931"/>
      <c r="HR42" s="2931"/>
      <c r="HS42" s="2931"/>
      <c r="HT42" s="2931"/>
      <c r="HU42" s="2931"/>
      <c r="HV42" s="2931"/>
      <c r="HW42" s="2931"/>
      <c r="HX42" s="2931"/>
      <c r="HY42" s="2931"/>
      <c r="HZ42" s="2931"/>
      <c r="IA42" s="2931"/>
      <c r="IB42" s="2931"/>
      <c r="IC42" s="2931"/>
      <c r="ID42" s="2931"/>
      <c r="IE42" s="2931"/>
      <c r="IF42" s="2931"/>
      <c r="IG42" s="2931"/>
      <c r="IH42" s="2931"/>
      <c r="II42" s="2931"/>
      <c r="IJ42" s="2931"/>
      <c r="IK42" s="2931"/>
      <c r="IL42" s="2931"/>
      <c r="IM42" s="2931"/>
      <c r="IN42" s="2931"/>
      <c r="IO42" s="2931" cm="1">
        <f t="array" ref="IO42">IF(LEN($G42)=0,"Rent Roll is incomplete",_xlfn.XLOOKUP(TRUE,EXACT(RentRoll_InputArea_DesignatedUnitType,$G42),RentRoll_InputArea_Beds,"Not Found"))</f>
        <v>1</v>
      </c>
      <c r="IP42" s="2934"/>
      <c r="IQ42" s="2935" t="str">
        <f t="shared" si="20"/>
        <v>1 Bedroom Unit</v>
      </c>
      <c r="IR42" s="2926">
        <f t="shared" si="21"/>
        <v>1198</v>
      </c>
      <c r="IS42" s="2935"/>
      <c r="IT42" s="2931"/>
      <c r="IU42" s="2931"/>
      <c r="IV42" s="2931"/>
      <c r="IW42" s="2936" t="str">
        <f t="shared" si="22"/>
        <v>2-210</v>
      </c>
      <c r="IX42" s="2936"/>
      <c r="IY42" s="2936"/>
      <c r="IZ42" s="2936">
        <f t="shared" si="23"/>
        <v>1</v>
      </c>
      <c r="JA42" s="2936">
        <f t="shared" si="24"/>
        <v>1198</v>
      </c>
      <c r="JB42" s="2936"/>
      <c r="JC42" s="2936"/>
      <c r="JD42" s="2936"/>
      <c r="JE42" s="2936"/>
      <c r="JF42" s="2936"/>
      <c r="JG42" s="2936"/>
      <c r="JH42" s="2936">
        <f t="shared" si="25"/>
        <v>1159</v>
      </c>
      <c r="JI42" s="2936"/>
      <c r="JJ42" s="2936">
        <f t="shared" si="26"/>
      </c>
      <c r="JK42" s="2936"/>
      <c r="JL42" s="2936"/>
      <c r="JM42" s="2936"/>
      <c r="JN42" s="2936"/>
      <c r="JO42" s="2936"/>
      <c r="JP42" s="2936"/>
      <c r="JQ42" s="2936" t="str">
        <f t="shared" si="27"/>
        <v>Occupied</v>
      </c>
      <c r="JR42" s="2936" cm="1">
        <f t="array" ref="JR42">_xlfn.XLOOKUP(TRUE,EXACT(RentRoll_InputArea_DesignatedUnitType,$G42),RentRoll_InputArea_SquareFootage,"Not Found")</f>
        <v>704</v>
      </c>
      <c r="JS42" s="2936" t="str">
        <f t="shared" si="28"/>
        <v>Apartment</v>
      </c>
      <c r="JT42" s="2936">
        <f t="shared" si="29"/>
      </c>
      <c r="JU42" s="2936"/>
      <c r="JV42" s="2936"/>
      <c r="JW42" s="2936"/>
      <c r="JX42" s="2936"/>
      <c r="JY42" s="2936">
        <f t="shared" si="9"/>
        <v>43529</v>
      </c>
      <c r="JZ42" s="2936">
        <f t="shared" si="9"/>
        <v>43890</v>
      </c>
      <c r="KA42" s="2936"/>
      <c r="KB42" s="2936"/>
      <c r="KC42" s="2936"/>
      <c r="KD42" s="2936"/>
      <c r="KE42" s="2936"/>
      <c r="KF42" s="2936"/>
      <c r="KG42" s="2936"/>
      <c r="KH42" s="2936"/>
      <c r="KI42" s="2937"/>
      <c r="KJ42" s="2936"/>
      <c r="KK42" s="1353"/>
    </row>
    <row r="43" ht="15" customHeight="1">
      <c r="A43" s="2922">
        <f t="shared" si="10"/>
        <v>20</v>
      </c>
      <c r="B43" s="2865"/>
      <c r="C43" s="2873"/>
      <c r="D43" s="2873" t="s">
        <v>2782</v>
      </c>
      <c r="E43" s="2923">
        <v>1204</v>
      </c>
      <c r="F43" s="2924" t="s">
        <v>2783</v>
      </c>
      <c r="G43" s="2873" t="s">
        <v>2529</v>
      </c>
      <c r="H43" s="2923">
        <v>1145</v>
      </c>
      <c r="I43" s="2925" cm="1">
        <f t="array" ref="I43">_xlfn.LET(_xlpm.has_subsidy,$N43&gt;0,_xlpm.is_chap9_sbl,$FF$20,_xlpm.contract_rent,$H43,_xlpm.unit_type_mkt_rent,_xlfn.XLOOKUP(TRUE,EXACT($G43,RentRoll_InputArea_DesignatedUnitType),RentRoll_InputArea_MarketRent,"Not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3" s="2926">
        <f t="shared" si="11"/>
        <v>1145</v>
      </c>
      <c r="K43" s="2923"/>
      <c r="L43" s="2923"/>
      <c r="M43" s="2923"/>
      <c r="N43" s="2923"/>
      <c r="O43" s="2927">
        <v>43323</v>
      </c>
      <c r="P43" s="2927">
        <v>43616</v>
      </c>
      <c r="Q43" s="2928">
        <f t="shared" si="8"/>
        <v>1145</v>
      </c>
      <c r="R43" s="2928">
        <f t="shared" si="8"/>
      </c>
      <c r="S43" s="2928">
        <f t="shared" si="8"/>
      </c>
      <c r="T43" s="2928">
        <f t="shared" si="8"/>
      </c>
      <c r="U43" s="2928">
        <f t="shared" si="8"/>
      </c>
      <c r="V43" s="2928">
        <f t="shared" si="8"/>
      </c>
      <c r="W43" s="2928">
        <f t="shared" si="8"/>
      </c>
      <c r="X43" s="2928">
        <f t="shared" si="8"/>
      </c>
      <c r="Y43" s="2928">
        <f t="shared" si="8"/>
      </c>
      <c r="Z43" s="2928">
        <f t="shared" si="8"/>
      </c>
      <c r="AA43" s="2928">
        <f t="shared" si="8"/>
      </c>
      <c r="AB43" s="2928">
        <f t="shared" si="8"/>
      </c>
      <c r="AC43" s="2928">
        <f t="shared" si="8"/>
      </c>
      <c r="AD43" s="2928">
        <f t="shared" si="8"/>
      </c>
      <c r="AE43" s="2928">
        <f t="shared" si="8"/>
      </c>
      <c r="AF43" s="2928">
        <f t="shared" si="8"/>
      </c>
      <c r="AG43" s="2928">
        <f t="shared" si="8"/>
      </c>
      <c r="AH43" s="2928">
        <f t="shared" si="8"/>
      </c>
      <c r="AI43" s="2928">
        <f t="shared" si="8"/>
      </c>
      <c r="AJ43" s="2928">
        <f t="shared" si="8"/>
      </c>
      <c r="AK43" s="2928">
        <f t="shared" si="8"/>
      </c>
      <c r="AL43" s="2928">
        <f t="shared" si="8"/>
      </c>
      <c r="AM43" s="2928">
        <f t="shared" si="8"/>
      </c>
      <c r="AN43" s="2928">
        <f t="shared" si="8"/>
      </c>
      <c r="AO43" s="2928">
        <f t="shared" si="8"/>
      </c>
      <c r="AP43" s="2928">
        <f t="shared" si="8"/>
      </c>
      <c r="AQ43" s="2928">
        <f t="shared" si="8"/>
      </c>
      <c r="AR43" s="2928">
        <f t="shared" si="8"/>
      </c>
      <c r="AS43" s="2928">
        <f t="shared" si="8"/>
      </c>
      <c r="AT43" s="2928">
        <f t="shared" si="8"/>
      </c>
      <c r="AU43" s="2928">
        <f t="shared" si="8"/>
      </c>
      <c r="AV43" s="2928">
        <f t="shared" si="8"/>
      </c>
      <c r="AW43" s="2928">
        <f t="shared" si="8"/>
      </c>
      <c r="AX43" s="2928">
        <f t="shared" si="8"/>
      </c>
      <c r="AY43" s="2928">
        <f t="shared" si="8"/>
      </c>
      <c r="AZ43" s="2928">
        <f t="shared" si="8"/>
      </c>
      <c r="BA43" s="2928">
        <f t="shared" si="8"/>
      </c>
      <c r="BB43" s="2928">
        <f t="shared" si="8"/>
      </c>
      <c r="BC43" s="2928">
        <f t="shared" si="8"/>
      </c>
      <c r="BD43" s="2928">
        <f t="shared" si="8"/>
      </c>
      <c r="BE43" s="2928">
        <f t="shared" si="8"/>
      </c>
      <c r="BF43" s="2928">
        <f t="shared" si="8"/>
      </c>
      <c r="BG43" s="2928">
        <f t="shared" si="8"/>
      </c>
      <c r="BH43" s="2928">
        <f t="shared" si="8"/>
      </c>
      <c r="BI43" s="2928">
        <f t="shared" si="8"/>
      </c>
      <c r="BJ43" s="2928">
        <f t="shared" si="8"/>
      </c>
      <c r="BK43" s="2928">
        <f t="shared" si="8"/>
      </c>
      <c r="BL43" s="2928">
        <f t="shared" si="8"/>
      </c>
      <c r="BM43" s="2928">
        <f t="shared" si="8"/>
      </c>
      <c r="BN43" s="2928">
        <f t="shared" si="8"/>
      </c>
      <c r="BO43" s="2928">
        <f t="shared" si="8"/>
      </c>
      <c r="BP43" s="2928">
        <f t="shared" si="8"/>
      </c>
      <c r="BQ43" s="2928">
        <f t="shared" si="8"/>
      </c>
      <c r="BR43" s="2928">
        <f t="shared" si="8"/>
      </c>
      <c r="BS43" s="2928">
        <f t="shared" si="8"/>
      </c>
      <c r="BT43" s="2928">
        <f t="shared" si="8"/>
      </c>
      <c r="BU43" s="2928">
        <f t="shared" si="8"/>
      </c>
      <c r="BV43" s="2928">
        <f t="shared" si="8"/>
      </c>
      <c r="BW43" s="2928">
        <f t="shared" si="8"/>
      </c>
      <c r="BX43" s="2928">
        <f t="shared" si="8"/>
      </c>
      <c r="BY43" s="2928">
        <f t="shared" si="8"/>
      </c>
      <c r="BZ43" s="2928">
        <f t="shared" si="8"/>
      </c>
      <c r="CA43" s="2928">
        <f t="shared" si="8"/>
      </c>
      <c r="CB43" s="2928">
        <f t="shared" si="8"/>
      </c>
      <c r="CC43" s="2928">
        <f t="shared" si="8"/>
      </c>
      <c r="CD43" s="2928">
        <f t="shared" si="8"/>
      </c>
      <c r="CE43" s="2928">
        <f t="shared" si="8"/>
      </c>
      <c r="CF43" s="2928">
        <f t="shared" si="8"/>
      </c>
      <c r="CG43" s="2928">
        <f t="shared" si="8"/>
      </c>
      <c r="CH43" s="2928">
        <f t="shared" si="8"/>
      </c>
      <c r="CI43" s="2928">
        <f t="shared" si="8"/>
      </c>
      <c r="CJ43" s="2928">
        <f t="shared" si="8"/>
      </c>
      <c r="CK43" s="2928">
        <f t="shared" si="8"/>
      </c>
      <c r="CL43" s="2928">
        <f t="shared" si="8"/>
      </c>
      <c r="CM43" s="2928">
        <f t="shared" si="8"/>
      </c>
      <c r="CN43" s="2928">
        <f t="shared" si="8"/>
      </c>
      <c r="CO43" s="2928">
        <f t="shared" si="8"/>
      </c>
      <c r="CP43" s="2928">
        <f t="shared" si="8"/>
      </c>
      <c r="CQ43" s="2928">
        <f t="shared" si="8"/>
      </c>
      <c r="CR43" s="2928">
        <f t="shared" si="8"/>
      </c>
      <c r="CS43" s="2928">
        <f t="shared" si="8"/>
      </c>
      <c r="CT43" s="2928">
        <f t="shared" si="8"/>
      </c>
      <c r="CU43" s="2928">
        <f t="shared" si="8"/>
      </c>
      <c r="CV43" s="2928">
        <f t="shared" si="8"/>
      </c>
      <c r="CW43" s="2928">
        <f t="shared" si="8"/>
      </c>
      <c r="CX43" s="2928">
        <f t="shared" si="8"/>
      </c>
      <c r="CY43" s="2928">
        <f t="shared" si="8"/>
      </c>
      <c r="CZ43" s="2928">
        <f t="shared" si="8"/>
      </c>
      <c r="DA43" s="2928">
        <f t="shared" si="8"/>
      </c>
      <c r="DB43" s="2928">
        <f t="shared" si="8"/>
      </c>
      <c r="DC43" s="2928">
        <f t="shared" si="8"/>
      </c>
      <c r="DD43" s="2928">
        <f t="shared" si="8"/>
      </c>
      <c r="DE43" s="2928">
        <f t="shared" si="8"/>
      </c>
      <c r="DF43" s="2928">
        <f t="shared" si="8"/>
      </c>
      <c r="DG43" s="2928">
        <f t="shared" si="8"/>
      </c>
      <c r="DH43" s="2928">
        <f t="shared" si="8"/>
      </c>
      <c r="DI43" s="2928">
        <f t="shared" si="8"/>
      </c>
      <c r="DJ43" s="2928">
        <f t="shared" si="8"/>
      </c>
      <c r="DK43" s="2928">
        <f t="shared" si="8"/>
      </c>
      <c r="DL43" s="2928">
        <f t="shared" si="8"/>
      </c>
      <c r="DM43" s="2928">
        <f t="shared" si="8"/>
      </c>
      <c r="DN43" s="2928">
        <f t="shared" si="8"/>
      </c>
      <c r="DO43" s="2928">
        <f t="shared" si="8"/>
      </c>
      <c r="DP43" s="2928">
        <f t="shared" si="8"/>
      </c>
      <c r="DQ43" s="2928">
        <f t="shared" si="8"/>
      </c>
      <c r="DR43" s="2928">
        <f t="shared" si="8"/>
      </c>
      <c r="DS43" s="2928">
        <f t="shared" si="8"/>
      </c>
      <c r="DT43" s="2928">
        <f t="shared" si="8"/>
      </c>
      <c r="DU43" s="2928">
        <f t="shared" si="8"/>
      </c>
      <c r="DV43" s="2928">
        <f t="shared" si="8"/>
      </c>
      <c r="DW43" s="2928">
        <f t="shared" si="8"/>
      </c>
      <c r="DX43" s="2928">
        <f t="shared" si="8"/>
      </c>
      <c r="DY43" s="2928">
        <f t="shared" si="8"/>
      </c>
      <c r="DZ43" s="2928">
        <f t="shared" si="8"/>
      </c>
      <c r="EA43" s="2928">
        <f t="shared" si="8"/>
      </c>
      <c r="EB43" s="2928">
        <f t="shared" si="8"/>
      </c>
      <c r="EC43" s="2928">
        <f t="shared" si="8"/>
      </c>
      <c r="ED43" s="2928">
        <f t="shared" si="8"/>
      </c>
      <c r="EE43" s="2928">
        <f t="shared" si="8"/>
      </c>
      <c r="EF43" s="2928">
        <f t="shared" si="8"/>
      </c>
      <c r="EG43" s="2928">
        <f t="shared" si="8"/>
      </c>
      <c r="EH43" s="2928">
        <f t="shared" si="8"/>
      </c>
      <c r="EI43" s="2928">
        <f t="shared" si="8"/>
      </c>
      <c r="EJ43" s="2928">
        <f t="shared" si="8"/>
      </c>
      <c r="EK43" s="2928">
        <f t="shared" si="8"/>
      </c>
      <c r="EL43" s="2928">
        <f t="shared" si="8"/>
      </c>
      <c r="EM43" s="2928">
        <f t="shared" si="8"/>
      </c>
      <c r="EN43" s="2928">
        <f t="shared" si="8"/>
      </c>
      <c r="EO43" s="2928">
        <f t="shared" si="8"/>
      </c>
      <c r="EP43" s="2928">
        <f t="shared" si="8"/>
      </c>
      <c r="EQ43" s="2928">
        <f t="shared" si="8"/>
      </c>
      <c r="ER43" s="2928">
        <f t="shared" si="8"/>
      </c>
      <c r="ES43" s="2928">
        <f t="shared" si="8"/>
      </c>
      <c r="ET43" s="2928">
        <f t="shared" si="8"/>
      </c>
      <c r="EU43" s="2928">
        <f t="shared" si="8"/>
      </c>
      <c r="EV43" s="2928">
        <f t="shared" si="8"/>
      </c>
      <c r="EW43" s="2928">
        <f t="shared" si="8"/>
      </c>
      <c r="EX43" s="2928">
        <f t="shared" si="8"/>
      </c>
      <c r="EY43" s="2928">
        <f t="shared" si="8"/>
      </c>
      <c r="EZ43" s="2928">
        <f t="shared" si="8"/>
      </c>
      <c r="FA43" s="2929" t="str">
        <f t="shared" si="12"/>
        <v>-</v>
      </c>
      <c r="FB43" s="2825">
        <f t="shared" si="13"/>
      </c>
      <c r="FC43" s="2930" cm="1">
        <f t="array" ref="FC43">_xlfn.LET(_xlpm.unit_type,$G43,_xlpm.market_rent_from_rent_roll,$E43,_xlpm.unit_type_list,RentRoll_InputArea_DesignatedUnitType,_xlpm.rent_by_unit_type,RentRoll_InputArea_MarketRent,_xlpm.use_rent_roll_market_rent,LEFT(RR_VacantUnitMktRentSource,9)="Rent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3" s="2930">
        <f t="shared" si="14"/>
        <v>1145</v>
      </c>
      <c r="FE43" s="2930">
        <f t="shared" si="15"/>
        <v>1145</v>
      </c>
      <c r="FF43" s="2930">
        <f t="shared" si="16"/>
        <v>1145</v>
      </c>
      <c r="FG43" s="2931"/>
      <c r="FH43" s="2932">
        <f t="shared" si="17"/>
      </c>
      <c r="FI43" s="2932">
        <f t="shared" si="18"/>
      </c>
      <c r="FJ43" s="2931"/>
      <c r="FK43" s="2933" cm="1">
        <f t="array" ref="FK43">IF(AND(LEN($D43)&gt;0,ISNA(MATCH(TRUE,EXACT($G43,RentRoll_InputArea_DesignatedUnitType),0))),1,0)</f>
        <v>0</v>
      </c>
      <c r="FL43" s="2931">
        <f t="shared" si="19"/>
        <v>20</v>
      </c>
      <c r="FM43" s="2931"/>
      <c r="FN43" s="2931"/>
      <c r="FO43" s="2931"/>
      <c r="FP43" s="2931"/>
      <c r="FQ43" s="2931"/>
      <c r="FR43" s="2931"/>
      <c r="FS43" s="2931"/>
      <c r="FT43" s="2931"/>
      <c r="FU43" s="2931"/>
      <c r="FV43" s="2931"/>
      <c r="FW43" s="2931"/>
      <c r="FX43" s="2931"/>
      <c r="FY43" s="2931"/>
      <c r="FZ43" s="2931"/>
      <c r="GA43" s="2931"/>
      <c r="GB43" s="2931"/>
      <c r="GC43" s="2931"/>
      <c r="GD43" s="2931"/>
      <c r="GE43" s="2931"/>
      <c r="GF43" s="2931"/>
      <c r="GG43" s="2931"/>
      <c r="GH43" s="2931"/>
      <c r="GI43" s="2931"/>
      <c r="GJ43" s="2931"/>
      <c r="GK43" s="2931"/>
      <c r="GL43" s="2931"/>
      <c r="GM43" s="2931"/>
      <c r="GN43" s="2931"/>
      <c r="GO43" s="2931"/>
      <c r="GP43" s="2931"/>
      <c r="GQ43" s="2931"/>
      <c r="GR43" s="2931"/>
      <c r="GS43" s="2931"/>
      <c r="GT43" s="2931"/>
      <c r="GU43" s="2931"/>
      <c r="GV43" s="2931"/>
      <c r="GW43" s="2931"/>
      <c r="GX43" s="2931"/>
      <c r="GY43" s="2931"/>
      <c r="GZ43" s="2931"/>
      <c r="HA43" s="2931"/>
      <c r="HB43" s="2931"/>
      <c r="HC43" s="2931"/>
      <c r="HD43" s="2931"/>
      <c r="HE43" s="2931"/>
      <c r="HF43" s="2931"/>
      <c r="HG43" s="2931"/>
      <c r="HH43" s="2931"/>
      <c r="HI43" s="2931"/>
      <c r="HJ43" s="2931"/>
      <c r="HK43" s="2931"/>
      <c r="HL43" s="2931"/>
      <c r="HM43" s="2931"/>
      <c r="HN43" s="2931"/>
      <c r="HO43" s="2931"/>
      <c r="HP43" s="2931"/>
      <c r="HQ43" s="2931"/>
      <c r="HR43" s="2931"/>
      <c r="HS43" s="2931"/>
      <c r="HT43" s="2931"/>
      <c r="HU43" s="2931"/>
      <c r="HV43" s="2931"/>
      <c r="HW43" s="2931"/>
      <c r="HX43" s="2931"/>
      <c r="HY43" s="2931"/>
      <c r="HZ43" s="2931"/>
      <c r="IA43" s="2931"/>
      <c r="IB43" s="2931"/>
      <c r="IC43" s="2931"/>
      <c r="ID43" s="2931"/>
      <c r="IE43" s="2931"/>
      <c r="IF43" s="2931"/>
      <c r="IG43" s="2931"/>
      <c r="IH43" s="2931"/>
      <c r="II43" s="2931"/>
      <c r="IJ43" s="2931"/>
      <c r="IK43" s="2931"/>
      <c r="IL43" s="2931"/>
      <c r="IM43" s="2931"/>
      <c r="IN43" s="2931"/>
      <c r="IO43" s="2931" cm="1">
        <f t="array" ref="IO43">IF(LEN($G43)=0,"Rent Roll is incomplete",_xlfn.XLOOKUP(TRUE,EXACT(RentRoll_InputArea_DesignatedUnitType,$G43),RentRoll_InputArea_Beds,"Not Found"))</f>
        <v>1</v>
      </c>
      <c r="IP43" s="2934"/>
      <c r="IQ43" s="2935" t="str">
        <f t="shared" si="20"/>
        <v>1 Bedroom Unit</v>
      </c>
      <c r="IR43" s="2926">
        <f t="shared" si="21"/>
        <v>1145</v>
      </c>
      <c r="IS43" s="2935"/>
      <c r="IT43" s="2931"/>
      <c r="IU43" s="2931"/>
      <c r="IV43" s="2931"/>
      <c r="IW43" s="2936" t="str">
        <f t="shared" si="22"/>
        <v>2-211</v>
      </c>
      <c r="IX43" s="2936"/>
      <c r="IY43" s="2936"/>
      <c r="IZ43" s="2936">
        <f t="shared" si="23"/>
        <v>1</v>
      </c>
      <c r="JA43" s="2936">
        <f t="shared" si="24"/>
        <v>1145</v>
      </c>
      <c r="JB43" s="2936"/>
      <c r="JC43" s="2936"/>
      <c r="JD43" s="2936"/>
      <c r="JE43" s="2936"/>
      <c r="JF43" s="2936"/>
      <c r="JG43" s="2936"/>
      <c r="JH43" s="2936">
        <f t="shared" si="25"/>
        <v>1159</v>
      </c>
      <c r="JI43" s="2936"/>
      <c r="JJ43" s="2936">
        <f t="shared" si="26"/>
      </c>
      <c r="JK43" s="2936"/>
      <c r="JL43" s="2936"/>
      <c r="JM43" s="2936"/>
      <c r="JN43" s="2936"/>
      <c r="JO43" s="2936"/>
      <c r="JP43" s="2936"/>
      <c r="JQ43" s="2936" t="str">
        <f t="shared" si="27"/>
        <v>Occupied</v>
      </c>
      <c r="JR43" s="2936" cm="1">
        <f t="array" ref="JR43">_xlfn.XLOOKUP(TRUE,EXACT(RentRoll_InputArea_DesignatedUnitType,$G43),RentRoll_InputArea_SquareFootage,"Not Found")</f>
        <v>704</v>
      </c>
      <c r="JS43" s="2936" t="str">
        <f t="shared" si="28"/>
        <v>Apartment</v>
      </c>
      <c r="JT43" s="2936">
        <f t="shared" si="29"/>
      </c>
      <c r="JU43" s="2936"/>
      <c r="JV43" s="2936"/>
      <c r="JW43" s="2936"/>
      <c r="JX43" s="2936"/>
      <c r="JY43" s="2936">
        <f t="shared" si="9"/>
        <v>43323</v>
      </c>
      <c r="JZ43" s="2936">
        <f t="shared" si="9"/>
        <v>43616</v>
      </c>
      <c r="KA43" s="2936"/>
      <c r="KB43" s="2936"/>
      <c r="KC43" s="2936"/>
      <c r="KD43" s="2936"/>
      <c r="KE43" s="2936"/>
      <c r="KF43" s="2936"/>
      <c r="KG43" s="2936"/>
      <c r="KH43" s="2936"/>
      <c r="KI43" s="2937"/>
      <c r="KJ43" s="2936"/>
      <c r="KK43" s="1353"/>
    </row>
    <row r="44" ht="15" customHeight="1">
      <c r="A44" s="2922">
        <f t="shared" si="10"/>
        <v>21</v>
      </c>
      <c r="B44" s="2865"/>
      <c r="C44" s="2873"/>
      <c r="D44" s="2873" t="s">
        <v>2784</v>
      </c>
      <c r="E44" s="2923">
        <v>1193</v>
      </c>
      <c r="F44" s="2924" t="s">
        <v>2785</v>
      </c>
      <c r="G44" s="2873" t="s">
        <v>2529</v>
      </c>
      <c r="H44" s="2923">
        <v>1164</v>
      </c>
      <c r="I44" s="2925" cm="1">
        <f t="array" ref="I44">_xlfn.LET(_xlpm.has_subsidy,$N44&gt;0,_xlpm.is_chap9_sbl,$FF$20,_xlpm.contract_rent,$H44,_xlpm.unit_type_mkt_rent,_xlfn.XLOOKUP(TRUE,EXACT($G44,RentRoll_InputArea_DesignatedUnitType),RentRoll_InputArea_MarketRent,"Not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4" s="2926">
        <f t="shared" si="11"/>
        <v>1164</v>
      </c>
      <c r="K44" s="2923"/>
      <c r="L44" s="2923"/>
      <c r="M44" s="2923"/>
      <c r="N44" s="2923"/>
      <c r="O44" s="2927">
        <v>43508</v>
      </c>
      <c r="P44" s="2927">
        <v>43861</v>
      </c>
      <c r="Q44" s="2928">
        <f t="shared" si="8"/>
        <v>1164</v>
      </c>
      <c r="R44" s="2928">
        <f t="shared" si="8"/>
      </c>
      <c r="S44" s="2928">
        <f t="shared" si="8"/>
      </c>
      <c r="T44" s="2928">
        <f t="shared" si="8"/>
      </c>
      <c r="U44" s="2928">
        <f t="shared" si="8"/>
      </c>
      <c r="V44" s="2928">
        <f t="shared" si="8"/>
      </c>
      <c r="W44" s="2928">
        <f t="shared" si="8"/>
      </c>
      <c r="X44" s="2928">
        <f t="shared" si="8"/>
      </c>
      <c r="Y44" s="2928">
        <f t="shared" si="8"/>
      </c>
      <c r="Z44" s="2928">
        <f t="shared" si="8"/>
      </c>
      <c r="AA44" s="2928">
        <f t="shared" si="8"/>
      </c>
      <c r="AB44" s="2928">
        <f t="shared" si="8"/>
      </c>
      <c r="AC44" s="2928">
        <f t="shared" si="8"/>
      </c>
      <c r="AD44" s="2928">
        <f t="shared" si="8"/>
      </c>
      <c r="AE44" s="2928">
        <f t="shared" si="8"/>
      </c>
      <c r="AF44" s="2928">
        <f t="shared" si="8"/>
      </c>
      <c r="AG44" s="2928">
        <f t="shared" si="8"/>
      </c>
      <c r="AH44" s="2928">
        <f t="shared" si="8"/>
      </c>
      <c r="AI44" s="2928">
        <f t="shared" si="8"/>
      </c>
      <c r="AJ44" s="2928">
        <f t="shared" si="8"/>
      </c>
      <c r="AK44" s="2928">
        <f t="shared" si="8"/>
      </c>
      <c r="AL44" s="2928">
        <f t="shared" si="8"/>
      </c>
      <c r="AM44" s="2928">
        <f t="shared" si="8"/>
      </c>
      <c r="AN44" s="2928">
        <f t="shared" si="8"/>
      </c>
      <c r="AO44" s="2928">
        <f t="shared" si="8"/>
      </c>
      <c r="AP44" s="2928">
        <f t="shared" si="8"/>
      </c>
      <c r="AQ44" s="2928">
        <f t="shared" si="8"/>
      </c>
      <c r="AR44" s="2928">
        <f t="shared" si="8"/>
      </c>
      <c r="AS44" s="2928">
        <f t="shared" si="8"/>
      </c>
      <c r="AT44" s="2928">
        <f t="shared" si="8"/>
      </c>
      <c r="AU44" s="2928">
        <f t="shared" si="8"/>
      </c>
      <c r="AV44" s="2928">
        <f t="shared" si="8"/>
      </c>
      <c r="AW44" s="2928">
        <f t="shared" si="8"/>
      </c>
      <c r="AX44" s="2928">
        <f t="shared" si="8"/>
      </c>
      <c r="AY44" s="2928">
        <f t="shared" si="8"/>
      </c>
      <c r="AZ44" s="2928">
        <f t="shared" si="8"/>
      </c>
      <c r="BA44" s="2928">
        <f t="shared" si="8"/>
      </c>
      <c r="BB44" s="2928">
        <f t="shared" si="8"/>
      </c>
      <c r="BC44" s="2928">
        <f t="shared" si="8"/>
      </c>
      <c r="BD44" s="2928">
        <f t="shared" si="8"/>
      </c>
      <c r="BE44" s="2928">
        <f t="shared" si="8"/>
      </c>
      <c r="BF44" s="2928">
        <f t="shared" si="8"/>
      </c>
      <c r="BG44" s="2928">
        <f t="shared" si="8"/>
      </c>
      <c r="BH44" s="2928">
        <f t="shared" si="8"/>
      </c>
      <c r="BI44" s="2928">
        <f t="shared" si="8"/>
      </c>
      <c r="BJ44" s="2928">
        <f t="shared" si="8"/>
      </c>
      <c r="BK44" s="2928">
        <f t="shared" si="8"/>
      </c>
      <c r="BL44" s="2928">
        <f t="shared" si="8"/>
      </c>
      <c r="BM44" s="2928">
        <f t="shared" si="8"/>
      </c>
      <c r="BN44" s="2928">
        <f t="shared" si="8"/>
      </c>
      <c r="BO44" s="2928">
        <f t="shared" si="8"/>
      </c>
      <c r="BP44" s="2928">
        <f t="shared" si="8"/>
      </c>
      <c r="BQ44" s="2928">
        <f t="shared" si="8"/>
      </c>
      <c r="BR44" s="2928">
        <f t="shared" si="8"/>
      </c>
      <c r="BS44" s="2928">
        <f t="shared" si="8"/>
      </c>
      <c r="BT44" s="2928">
        <f t="shared" si="8"/>
      </c>
      <c r="BU44" s="2928">
        <f t="shared" si="8"/>
      </c>
      <c r="BV44" s="2928">
        <f t="shared" si="8"/>
      </c>
      <c r="BW44" s="2928">
        <f t="shared" si="8"/>
      </c>
      <c r="BX44" s="2928">
        <f t="shared" si="8"/>
      </c>
      <c r="BY44" s="2928">
        <f t="shared" si="8"/>
      </c>
      <c r="BZ44" s="2928">
        <f t="shared" si="8"/>
      </c>
      <c r="CA44" s="2928">
        <f t="shared" si="8"/>
      </c>
      <c r="CB44" s="2928">
        <f t="shared" si="8"/>
      </c>
      <c r="CC44" s="2928">
        <f t="shared" si="8"/>
      </c>
      <c r="CD44" s="2928">
        <f t="shared" si="8"/>
      </c>
      <c r="CE44" s="2928">
        <f t="shared" si="8"/>
      </c>
      <c r="CF44" s="2928">
        <f t="shared" si="8"/>
      </c>
      <c r="CG44" s="2928">
        <f t="shared" si="8"/>
      </c>
      <c r="CH44" s="2928">
        <f t="shared" si="8"/>
      </c>
      <c r="CI44" s="2928">
        <f t="shared" si="8"/>
      </c>
      <c r="CJ44" s="2928">
        <f t="shared" si="8"/>
      </c>
      <c r="CK44" s="2928">
        <f t="shared" si="8"/>
      </c>
      <c r="CL44" s="2928">
        <f t="shared" si="8"/>
      </c>
      <c r="CM44" s="2928">
        <f t="shared" si="8"/>
      </c>
      <c r="CN44" s="2928">
        <f t="shared" si="8"/>
      </c>
      <c r="CO44" s="2928">
        <f t="shared" si="8"/>
      </c>
      <c r="CP44" s="2928">
        <f t="shared" si="8"/>
      </c>
      <c r="CQ44" s="2928">
        <f t="shared" si="8"/>
      </c>
      <c r="CR44" s="2928">
        <f t="shared" si="8"/>
      </c>
      <c r="CS44" s="2928">
        <f t="shared" si="8"/>
      </c>
      <c r="CT44" s="2928">
        <f t="shared" si="8"/>
      </c>
      <c r="CU44" s="2928">
        <f t="shared" si="8"/>
      </c>
      <c r="CV44" s="2928">
        <f t="shared" si="8"/>
      </c>
      <c r="CW44" s="2928">
        <f t="shared" si="8"/>
      </c>
      <c r="CX44" s="2928">
        <f t="shared" si="8"/>
      </c>
      <c r="CY44" s="2928">
        <f t="shared" si="8"/>
      </c>
      <c r="CZ44" s="2928">
        <f t="shared" si="8"/>
      </c>
      <c r="DA44" s="2928">
        <f t="shared" si="8"/>
      </c>
      <c r="DB44" s="2928">
        <f t="shared" si="8"/>
      </c>
      <c r="DC44" s="2928">
        <f t="shared" si="8"/>
      </c>
      <c r="DD44" s="2928">
        <f t="shared" si="8"/>
      </c>
      <c r="DE44" s="2928">
        <f t="shared" si="8"/>
      </c>
      <c r="DF44" s="2928">
        <f t="shared" si="8"/>
      </c>
      <c r="DG44" s="2928">
        <f t="shared" si="8"/>
      </c>
      <c r="DH44" s="2928">
        <f t="shared" si="8"/>
      </c>
      <c r="DI44" s="2928">
        <f t="shared" si="8"/>
      </c>
      <c r="DJ44" s="2928">
        <f t="shared" si="8"/>
      </c>
      <c r="DK44" s="2928">
        <f t="shared" si="8"/>
      </c>
      <c r="DL44" s="2928">
        <f t="shared" si="8"/>
      </c>
      <c r="DM44" s="2928">
        <f t="shared" si="8"/>
      </c>
      <c r="DN44" s="2928">
        <f t="shared" si="8"/>
      </c>
      <c r="DO44" s="2928">
        <f t="shared" si="8"/>
      </c>
      <c r="DP44" s="2928">
        <f t="shared" si="8"/>
      </c>
      <c r="DQ44" s="2928">
        <f t="shared" si="8"/>
      </c>
      <c r="DR44" s="2928">
        <f t="shared" si="8"/>
      </c>
      <c r="DS44" s="2928">
        <f t="shared" si="8"/>
      </c>
      <c r="DT44" s="2928">
        <f t="shared" si="8"/>
      </c>
      <c r="DU44" s="2928">
        <f t="shared" si="8"/>
      </c>
      <c r="DV44" s="2928">
        <f t="shared" si="8"/>
      </c>
      <c r="DW44" s="2928">
        <f t="shared" si="8"/>
      </c>
      <c r="DX44" s="2928">
        <f t="shared" si="8"/>
      </c>
      <c r="DY44" s="2928">
        <f t="shared" si="8"/>
      </c>
      <c r="DZ44" s="2928">
        <f t="shared" si="8"/>
      </c>
      <c r="EA44" s="2928">
        <f t="shared" si="8"/>
      </c>
      <c r="EB44" s="2928">
        <f t="shared" si="8"/>
      </c>
      <c r="EC44" s="2928">
        <f t="shared" si="8"/>
      </c>
      <c r="ED44" s="2928">
        <f t="shared" si="8"/>
      </c>
      <c r="EE44" s="2928">
        <f t="shared" si="8"/>
      </c>
      <c r="EF44" s="2928">
        <f t="shared" si="8"/>
      </c>
      <c r="EG44" s="2928">
        <f t="shared" si="8"/>
      </c>
      <c r="EH44" s="2928">
        <f t="shared" si="8"/>
      </c>
      <c r="EI44" s="2928">
        <f t="shared" si="8"/>
      </c>
      <c r="EJ44" s="2928">
        <f t="shared" si="8"/>
      </c>
      <c r="EK44" s="2928">
        <f t="shared" si="8"/>
      </c>
      <c r="EL44" s="2928">
        <f t="shared" si="8"/>
      </c>
      <c r="EM44" s="2928">
        <f t="shared" si="8"/>
      </c>
      <c r="EN44" s="2928">
        <f t="shared" si="8"/>
      </c>
      <c r="EO44" s="2928">
        <f t="shared" si="8"/>
      </c>
      <c r="EP44" s="2928">
        <f t="shared" si="8"/>
      </c>
      <c r="EQ44" s="2928">
        <f t="shared" si="8"/>
      </c>
      <c r="ER44" s="2928">
        <f t="shared" si="8"/>
      </c>
      <c r="ES44" s="2928">
        <f t="shared" si="8"/>
      </c>
      <c r="ET44" s="2928">
        <f t="shared" si="8"/>
      </c>
      <c r="EU44" s="2928">
        <f t="shared" si="8"/>
      </c>
      <c r="EV44" s="2928">
        <f t="shared" si="8"/>
      </c>
      <c r="EW44" s="2928">
        <f t="shared" si="8"/>
      </c>
      <c r="EX44" s="2928">
        <f t="shared" si="8"/>
      </c>
      <c r="EY44" s="2928">
        <f t="shared" si="8"/>
      </c>
      <c r="EZ44" s="2928">
        <f t="shared" si="8"/>
      </c>
      <c r="FA44" s="2929" t="str">
        <f t="shared" si="12"/>
        <v>-</v>
      </c>
      <c r="FB44" s="2825">
        <f t="shared" si="13"/>
      </c>
      <c r="FC44" s="2930" cm="1">
        <f t="array" ref="FC44">_xlfn.LET(_xlpm.unit_type,$G44,_xlpm.market_rent_from_rent_roll,$E44,_xlpm.unit_type_list,RentRoll_InputArea_DesignatedUnitType,_xlpm.rent_by_unit_type,RentRoll_InputArea_MarketRent,_xlpm.use_rent_roll_market_rent,LEFT(RR_VacantUnitMktRentSource,9)="Rent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4" s="2930">
        <f t="shared" si="14"/>
        <v>1164</v>
      </c>
      <c r="FE44" s="2930">
        <f t="shared" si="15"/>
        <v>1164</v>
      </c>
      <c r="FF44" s="2930">
        <f t="shared" si="16"/>
        <v>1164</v>
      </c>
      <c r="FG44" s="2931"/>
      <c r="FH44" s="2932">
        <f t="shared" si="17"/>
      </c>
      <c r="FI44" s="2932">
        <f t="shared" si="18"/>
      </c>
      <c r="FJ44" s="2931"/>
      <c r="FK44" s="2933" cm="1">
        <f t="array" ref="FK44">IF(AND(LEN($D44)&gt;0,ISNA(MATCH(TRUE,EXACT($G44,RentRoll_InputArea_DesignatedUnitType),0))),1,0)</f>
        <v>0</v>
      </c>
      <c r="FL44" s="2931">
        <f t="shared" si="19"/>
        <v>21</v>
      </c>
      <c r="FM44" s="2931"/>
      <c r="FN44" s="2931"/>
      <c r="FO44" s="2931"/>
      <c r="FP44" s="2931"/>
      <c r="FQ44" s="2931"/>
      <c r="FR44" s="2931"/>
      <c r="FS44" s="2931"/>
      <c r="FT44" s="2931"/>
      <c r="FU44" s="2931"/>
      <c r="FV44" s="2931"/>
      <c r="FW44" s="2931"/>
      <c r="FX44" s="2931"/>
      <c r="FY44" s="2931"/>
      <c r="FZ44" s="2931"/>
      <c r="GA44" s="2931"/>
      <c r="GB44" s="2931"/>
      <c r="GC44" s="2931"/>
      <c r="GD44" s="2931"/>
      <c r="GE44" s="2931"/>
      <c r="GF44" s="2931"/>
      <c r="GG44" s="2931"/>
      <c r="GH44" s="2931"/>
      <c r="GI44" s="2931"/>
      <c r="GJ44" s="2931"/>
      <c r="GK44" s="2931"/>
      <c r="GL44" s="2931"/>
      <c r="GM44" s="2931"/>
      <c r="GN44" s="2931"/>
      <c r="GO44" s="2931"/>
      <c r="GP44" s="2931"/>
      <c r="GQ44" s="2931"/>
      <c r="GR44" s="2931"/>
      <c r="GS44" s="2931"/>
      <c r="GT44" s="2931"/>
      <c r="GU44" s="2931"/>
      <c r="GV44" s="2931"/>
      <c r="GW44" s="2931"/>
      <c r="GX44" s="2931"/>
      <c r="GY44" s="2931"/>
      <c r="GZ44" s="2931"/>
      <c r="HA44" s="2931"/>
      <c r="HB44" s="2931"/>
      <c r="HC44" s="2931"/>
      <c r="HD44" s="2931"/>
      <c r="HE44" s="2931"/>
      <c r="HF44" s="2931"/>
      <c r="HG44" s="2931"/>
      <c r="HH44" s="2931"/>
      <c r="HI44" s="2931"/>
      <c r="HJ44" s="2931"/>
      <c r="HK44" s="2931"/>
      <c r="HL44" s="2931"/>
      <c r="HM44" s="2931"/>
      <c r="HN44" s="2931"/>
      <c r="HO44" s="2931"/>
      <c r="HP44" s="2931"/>
      <c r="HQ44" s="2931"/>
      <c r="HR44" s="2931"/>
      <c r="HS44" s="2931"/>
      <c r="HT44" s="2931"/>
      <c r="HU44" s="2931"/>
      <c r="HV44" s="2931"/>
      <c r="HW44" s="2931"/>
      <c r="HX44" s="2931"/>
      <c r="HY44" s="2931"/>
      <c r="HZ44" s="2931"/>
      <c r="IA44" s="2931"/>
      <c r="IB44" s="2931"/>
      <c r="IC44" s="2931"/>
      <c r="ID44" s="2931"/>
      <c r="IE44" s="2931"/>
      <c r="IF44" s="2931"/>
      <c r="IG44" s="2931"/>
      <c r="IH44" s="2931"/>
      <c r="II44" s="2931"/>
      <c r="IJ44" s="2931"/>
      <c r="IK44" s="2931"/>
      <c r="IL44" s="2931"/>
      <c r="IM44" s="2931"/>
      <c r="IN44" s="2931"/>
      <c r="IO44" s="2931" cm="1">
        <f t="array" ref="IO44">IF(LEN($G44)=0,"Rent Roll is incomplete",_xlfn.XLOOKUP(TRUE,EXACT(RentRoll_InputArea_DesignatedUnitType,$G44),RentRoll_InputArea_Beds,"Not Found"))</f>
        <v>1</v>
      </c>
      <c r="IP44" s="2934"/>
      <c r="IQ44" s="2935" t="str">
        <f t="shared" si="20"/>
        <v>1 Bedroom Unit</v>
      </c>
      <c r="IR44" s="2926">
        <f t="shared" si="21"/>
        <v>1164</v>
      </c>
      <c r="IS44" s="2935"/>
      <c r="IT44" s="2931"/>
      <c r="IU44" s="2931"/>
      <c r="IV44" s="2931"/>
      <c r="IW44" s="2936" t="str">
        <f t="shared" si="22"/>
        <v>2-212</v>
      </c>
      <c r="IX44" s="2936"/>
      <c r="IY44" s="2936"/>
      <c r="IZ44" s="2936">
        <f t="shared" si="23"/>
        <v>1</v>
      </c>
      <c r="JA44" s="2936">
        <f t="shared" si="24"/>
        <v>1164</v>
      </c>
      <c r="JB44" s="2936"/>
      <c r="JC44" s="2936"/>
      <c r="JD44" s="2936"/>
      <c r="JE44" s="2936"/>
      <c r="JF44" s="2936"/>
      <c r="JG44" s="2936"/>
      <c r="JH44" s="2936">
        <f t="shared" si="25"/>
        <v>1159</v>
      </c>
      <c r="JI44" s="2936"/>
      <c r="JJ44" s="2936">
        <f t="shared" si="26"/>
      </c>
      <c r="JK44" s="2936"/>
      <c r="JL44" s="2936"/>
      <c r="JM44" s="2936"/>
      <c r="JN44" s="2936"/>
      <c r="JO44" s="2936"/>
      <c r="JP44" s="2936"/>
      <c r="JQ44" s="2936" t="str">
        <f t="shared" si="27"/>
        <v>Occupied</v>
      </c>
      <c r="JR44" s="2936" cm="1">
        <f t="array" ref="JR44">_xlfn.XLOOKUP(TRUE,EXACT(RentRoll_InputArea_DesignatedUnitType,$G44),RentRoll_InputArea_SquareFootage,"Not Found")</f>
        <v>704</v>
      </c>
      <c r="JS44" s="2936" t="str">
        <f t="shared" si="28"/>
        <v>Apartment</v>
      </c>
      <c r="JT44" s="2936">
        <f t="shared" si="29"/>
      </c>
      <c r="JU44" s="2936"/>
      <c r="JV44" s="2936"/>
      <c r="JW44" s="2936"/>
      <c r="JX44" s="2936"/>
      <c r="JY44" s="2936">
        <f t="shared" si="9"/>
        <v>43508</v>
      </c>
      <c r="JZ44" s="2936">
        <f t="shared" si="9"/>
        <v>43861</v>
      </c>
      <c r="KA44" s="2936"/>
      <c r="KB44" s="2936"/>
      <c r="KC44" s="2936"/>
      <c r="KD44" s="2936"/>
      <c r="KE44" s="2936"/>
      <c r="KF44" s="2936"/>
      <c r="KG44" s="2936"/>
      <c r="KH44" s="2936"/>
      <c r="KI44" s="2937"/>
      <c r="KJ44" s="2936"/>
      <c r="KK44" s="1353"/>
    </row>
    <row r="45" ht="15" customHeight="1">
      <c r="A45" s="2922">
        <f t="shared" si="10"/>
        <v>22</v>
      </c>
      <c r="B45" s="2865"/>
      <c r="C45" s="2873"/>
      <c r="D45" s="2873" t="s">
        <v>2786</v>
      </c>
      <c r="E45" s="2923">
        <v>1160</v>
      </c>
      <c r="F45" s="2924" t="s">
        <v>2787</v>
      </c>
      <c r="G45" s="2873" t="s">
        <v>2529</v>
      </c>
      <c r="H45" s="2923">
        <v>932</v>
      </c>
      <c r="I45" s="2925" cm="1">
        <f t="array" ref="I45">_xlfn.LET(_xlpm.has_subsidy,$N45&gt;0,_xlpm.is_chap9_sbl,$FF$20,_xlpm.contract_rent,$H45,_xlpm.unit_type_mkt_rent,_xlfn.XLOOKUP(TRUE,EXACT($G45,RentRoll_InputArea_DesignatedUnitType),RentRoll_InputArea_MarketRent,"Not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5" s="2926">
        <f t="shared" si="11"/>
        <v>932</v>
      </c>
      <c r="K45" s="2923"/>
      <c r="L45" s="2923"/>
      <c r="M45" s="2923"/>
      <c r="N45" s="2923"/>
      <c r="O45" s="2927">
        <v>43435</v>
      </c>
      <c r="P45" s="2927">
        <v>43708</v>
      </c>
      <c r="Q45" s="2928">
        <f t="shared" si="8"/>
        <v>932</v>
      </c>
      <c r="R45" s="2928">
        <f t="shared" si="8"/>
      </c>
      <c r="S45" s="2928">
        <f t="shared" si="8"/>
      </c>
      <c r="T45" s="2928">
        <f t="shared" si="8"/>
      </c>
      <c r="U45" s="2928">
        <f t="shared" si="8"/>
      </c>
      <c r="V45" s="2928">
        <f t="shared" si="8"/>
      </c>
      <c r="W45" s="2928">
        <f t="shared" si="8"/>
      </c>
      <c r="X45" s="2928">
        <f t="shared" si="8"/>
      </c>
      <c r="Y45" s="2928">
        <f t="shared" si="8"/>
      </c>
      <c r="Z45" s="2928">
        <f t="shared" si="8"/>
      </c>
      <c r="AA45" s="2928">
        <f t="shared" si="8"/>
      </c>
      <c r="AB45" s="2928">
        <f t="shared" si="8"/>
      </c>
      <c r="AC45" s="2928">
        <f t="shared" si="8"/>
      </c>
      <c r="AD45" s="2928">
        <f t="shared" si="8"/>
      </c>
      <c r="AE45" s="2928">
        <f t="shared" si="8"/>
      </c>
      <c r="AF45" s="2928">
        <f t="shared" si="8"/>
      </c>
      <c r="AG45" s="2928">
        <f t="shared" si="8"/>
      </c>
      <c r="AH45" s="2928">
        <f t="shared" si="8"/>
      </c>
      <c r="AI45" s="2928">
        <f t="shared" si="8"/>
      </c>
      <c r="AJ45" s="2928">
        <f t="shared" si="8"/>
      </c>
      <c r="AK45" s="2928">
        <f t="shared" si="8"/>
      </c>
      <c r="AL45" s="2928">
        <f t="shared" si="8"/>
      </c>
      <c r="AM45" s="2928">
        <f t="shared" si="8"/>
      </c>
      <c r="AN45" s="2928">
        <f t="shared" si="8"/>
      </c>
      <c r="AO45" s="2928">
        <f t="shared" si="8"/>
      </c>
      <c r="AP45" s="2928">
        <f t="shared" si="8"/>
      </c>
      <c r="AQ45" s="2928">
        <f t="shared" si="8"/>
      </c>
      <c r="AR45" s="2928">
        <f t="shared" si="8"/>
      </c>
      <c r="AS45" s="2928">
        <f t="shared" si="8"/>
      </c>
      <c r="AT45" s="2928">
        <f t="shared" si="8"/>
      </c>
      <c r="AU45" s="2928">
        <f t="shared" si="8"/>
      </c>
      <c r="AV45" s="2928">
        <f t="shared" si="8"/>
      </c>
      <c r="AW45" s="2928">
        <f t="shared" si="8"/>
      </c>
      <c r="AX45" s="2928">
        <f t="shared" si="8"/>
      </c>
      <c r="AY45" s="2928">
        <f t="shared" si="8"/>
      </c>
      <c r="AZ45" s="2928">
        <f t="shared" si="8"/>
      </c>
      <c r="BA45" s="2928">
        <f t="shared" si="8"/>
      </c>
      <c r="BB45" s="2928">
        <f t="shared" si="8"/>
      </c>
      <c r="BC45" s="2928">
        <f t="shared" si="8"/>
      </c>
      <c r="BD45" s="2928">
        <f t="shared" si="8"/>
      </c>
      <c r="BE45" s="2928">
        <f t="shared" si="8"/>
      </c>
      <c r="BF45" s="2928">
        <f t="shared" si="8"/>
      </c>
      <c r="BG45" s="2928">
        <f t="shared" si="8"/>
      </c>
      <c r="BH45" s="2928">
        <f t="shared" si="8"/>
      </c>
      <c r="BI45" s="2928">
        <f t="shared" si="8"/>
      </c>
      <c r="BJ45" s="2928">
        <f t="shared" si="8"/>
      </c>
      <c r="BK45" s="2928">
        <f t="shared" si="8"/>
      </c>
      <c r="BL45" s="2928">
        <f t="shared" si="8"/>
      </c>
      <c r="BM45" s="2928">
        <f t="shared" si="8"/>
      </c>
      <c r="BN45" s="2928">
        <f t="shared" si="8"/>
      </c>
      <c r="BO45" s="2928">
        <f t="shared" si="8"/>
      </c>
      <c r="BP45" s="2928">
        <f t="shared" si="8"/>
      </c>
      <c r="BQ45" s="2928">
        <f t="shared" si="8"/>
      </c>
      <c r="BR45" s="2928">
        <f t="shared" si="8"/>
      </c>
      <c r="BS45" s="2928">
        <f t="shared" si="8"/>
      </c>
      <c r="BT45" s="2928">
        <f t="shared" si="8"/>
      </c>
      <c r="BU45" s="2928">
        <f t="shared" si="8"/>
      </c>
      <c r="BV45" s="2928">
        <f t="shared" si="8"/>
      </c>
      <c r="BW45" s="2928">
        <f t="shared" si="8"/>
      </c>
      <c r="BX45" s="2928">
        <f t="shared" si="8"/>
      </c>
      <c r="BY45" s="2928">
        <f t="shared" si="8"/>
      </c>
      <c r="BZ45" s="2928">
        <f t="shared" si="8"/>
      </c>
      <c r="CA45" s="2928">
        <f t="shared" si="8"/>
      </c>
      <c r="CB45" s="2928">
        <f t="shared" si="8"/>
      </c>
      <c r="CC45" s="2928">
        <f t="shared" si="8"/>
      </c>
      <c r="CD45" s="2928">
        <f t="shared" si="8"/>
      </c>
      <c r="CE45" s="2928">
        <f t="shared" si="8"/>
      </c>
      <c r="CF45" s="2928">
        <f t="shared" si="8"/>
      </c>
      <c r="CG45" s="2928">
        <f t="shared" si="8"/>
      </c>
      <c r="CH45" s="2928">
        <f t="shared" si="8"/>
      </c>
      <c r="CI45" s="2928">
        <f t="shared" si="8"/>
      </c>
      <c r="CJ45" s="2928">
        <f t="shared" si="8"/>
      </c>
      <c r="CK45" s="2928">
        <f t="shared" si="8"/>
      </c>
      <c r="CL45" s="2928">
        <f t="shared" si="8"/>
      </c>
      <c r="CM45" s="2928">
        <f t="shared" si="8"/>
      </c>
      <c r="CN45" s="2928">
        <f t="shared" si="8"/>
      </c>
      <c r="CO45" s="2928">
        <f t="shared" si="8"/>
      </c>
      <c r="CP45" s="2928">
        <f t="shared" si="8"/>
      </c>
      <c r="CQ45" s="2928">
        <f t="shared" si="8"/>
      </c>
      <c r="CR45" s="2928">
        <f t="shared" si="8"/>
      </c>
      <c r="CS45" s="2928">
        <f t="shared" si="8"/>
      </c>
      <c r="CT45" s="2928">
        <f t="shared" si="8"/>
      </c>
      <c r="CU45" s="2928">
        <f t="shared" si="8"/>
      </c>
      <c r="CV45" s="2928">
        <f t="shared" si="8"/>
      </c>
      <c r="CW45" s="2928">
        <f t="shared" si="8"/>
      </c>
      <c r="CX45" s="2928">
        <f t="shared" si="8"/>
      </c>
      <c r="CY45" s="2928">
        <f t="shared" si="8"/>
      </c>
      <c r="CZ45" s="2928">
        <f t="shared" si="8"/>
      </c>
      <c r="DA45" s="2928">
        <f t="shared" si="8"/>
      </c>
      <c r="DB45" s="2928">
        <f t="shared" si="8"/>
      </c>
      <c r="DC45" s="2928">
        <f t="shared" si="8"/>
      </c>
      <c r="DD45" s="2928">
        <f t="shared" si="8"/>
      </c>
      <c r="DE45" s="2928">
        <f t="shared" si="8"/>
      </c>
      <c r="DF45" s="2928">
        <f t="shared" si="8"/>
      </c>
      <c r="DG45" s="2928">
        <f t="shared" si="8"/>
      </c>
      <c r="DH45" s="2928">
        <f t="shared" si="8"/>
      </c>
      <c r="DI45" s="2928">
        <f t="shared" si="8"/>
      </c>
      <c r="DJ45" s="2928">
        <f t="shared" si="8"/>
      </c>
      <c r="DK45" s="2928">
        <f t="shared" si="8"/>
      </c>
      <c r="DL45" s="2928">
        <f t="shared" si="8"/>
      </c>
      <c r="DM45" s="2928">
        <f t="shared" si="8"/>
      </c>
      <c r="DN45" s="2928">
        <f t="shared" si="8"/>
      </c>
      <c r="DO45" s="2928">
        <f t="shared" si="8"/>
      </c>
      <c r="DP45" s="2928">
        <f t="shared" si="8"/>
      </c>
      <c r="DQ45" s="2928">
        <f t="shared" si="8"/>
      </c>
      <c r="DR45" s="2928">
        <f t="shared" si="8"/>
      </c>
      <c r="DS45" s="2928">
        <f t="shared" si="8"/>
      </c>
      <c r="DT45" s="2928">
        <f t="shared" si="8"/>
      </c>
      <c r="DU45" s="2928">
        <f t="shared" si="8"/>
      </c>
      <c r="DV45" s="2928">
        <f t="shared" si="8"/>
      </c>
      <c r="DW45" s="2928">
        <f t="shared" si="8"/>
      </c>
      <c r="DX45" s="2928">
        <f t="shared" si="8"/>
      </c>
      <c r="DY45" s="2928">
        <f t="shared" si="8"/>
      </c>
      <c r="DZ45" s="2928">
        <f t="shared" si="8"/>
      </c>
      <c r="EA45" s="2928">
        <f t="shared" si="8"/>
      </c>
      <c r="EB45" s="2928">
        <f t="shared" si="8"/>
      </c>
      <c r="EC45" s="2928">
        <f t="shared" si="8"/>
      </c>
      <c r="ED45" s="2928">
        <f t="shared" si="8"/>
      </c>
      <c r="EE45" s="2928">
        <f t="shared" si="8"/>
      </c>
      <c r="EF45" s="2928">
        <f t="shared" si="8"/>
      </c>
      <c r="EG45" s="2928">
        <f t="shared" si="8"/>
      </c>
      <c r="EH45" s="2928">
        <f t="shared" si="8"/>
      </c>
      <c r="EI45" s="2928">
        <f t="shared" si="8"/>
      </c>
      <c r="EJ45" s="2928">
        <f t="shared" si="8"/>
      </c>
      <c r="EK45" s="2928">
        <f t="shared" si="8"/>
      </c>
      <c r="EL45" s="2928">
        <f t="shared" si="8"/>
      </c>
      <c r="EM45" s="2928">
        <f t="shared" si="8"/>
      </c>
      <c r="EN45" s="2928">
        <f t="shared" si="8"/>
      </c>
      <c r="EO45" s="2928">
        <f t="shared" si="8"/>
      </c>
      <c r="EP45" s="2928">
        <f t="shared" si="8"/>
      </c>
      <c r="EQ45" s="2928">
        <f t="shared" si="8"/>
      </c>
      <c r="ER45" s="2928">
        <f t="shared" si="8"/>
      </c>
      <c r="ES45" s="2928">
        <f t="shared" si="8"/>
      </c>
      <c r="ET45" s="2928">
        <f t="shared" si="8"/>
      </c>
      <c r="EU45" s="2928">
        <f t="shared" si="8"/>
      </c>
      <c r="EV45" s="2928">
        <f t="shared" si="8"/>
      </c>
      <c r="EW45" s="2928">
        <f t="shared" si="8"/>
      </c>
      <c r="EX45" s="2928">
        <f t="shared" si="8"/>
      </c>
      <c r="EY45" s="2928">
        <f t="shared" si="8"/>
      </c>
      <c r="EZ45" s="2928">
        <f t="shared" si="8"/>
      </c>
      <c r="FA45" s="2929" t="str">
        <f t="shared" si="12"/>
        <v>-</v>
      </c>
      <c r="FB45" s="2825">
        <f t="shared" si="13"/>
      </c>
      <c r="FC45" s="2930" cm="1">
        <f t="array" ref="FC45">_xlfn.LET(_xlpm.unit_type,$G45,_xlpm.market_rent_from_rent_roll,$E45,_xlpm.unit_type_list,RentRoll_InputArea_DesignatedUnitType,_xlpm.rent_by_unit_type,RentRoll_InputArea_MarketRent,_xlpm.use_rent_roll_market_rent,LEFT(RR_VacantUnitMktRentSource,9)="Rent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5" s="2930">
        <f t="shared" si="14"/>
        <v>932</v>
      </c>
      <c r="FE45" s="2930">
        <f t="shared" si="15"/>
        <v>932</v>
      </c>
      <c r="FF45" s="2930">
        <f t="shared" si="16"/>
        <v>932</v>
      </c>
      <c r="FG45" s="2931"/>
      <c r="FH45" s="2932">
        <f t="shared" si="17"/>
      </c>
      <c r="FI45" s="2932">
        <f t="shared" si="18"/>
      </c>
      <c r="FJ45" s="2931"/>
      <c r="FK45" s="2933" cm="1">
        <f t="array" ref="FK45">IF(AND(LEN($D45)&gt;0,ISNA(MATCH(TRUE,EXACT($G45,RentRoll_InputArea_DesignatedUnitType),0))),1,0)</f>
        <v>0</v>
      </c>
      <c r="FL45" s="2931">
        <f t="shared" si="19"/>
        <v>22</v>
      </c>
      <c r="FM45" s="2931"/>
      <c r="FN45" s="2931"/>
      <c r="FO45" s="2931"/>
      <c r="FP45" s="2931"/>
      <c r="FQ45" s="2931"/>
      <c r="FR45" s="2931"/>
      <c r="FS45" s="2931"/>
      <c r="FT45" s="2931"/>
      <c r="FU45" s="2931"/>
      <c r="FV45" s="2931"/>
      <c r="FW45" s="2931"/>
      <c r="FX45" s="2931"/>
      <c r="FY45" s="2931"/>
      <c r="FZ45" s="2931"/>
      <c r="GA45" s="2931"/>
      <c r="GB45" s="2931"/>
      <c r="GC45" s="2931"/>
      <c r="GD45" s="2931"/>
      <c r="GE45" s="2931"/>
      <c r="GF45" s="2931"/>
      <c r="GG45" s="2931"/>
      <c r="GH45" s="2931"/>
      <c r="GI45" s="2931"/>
      <c r="GJ45" s="2931"/>
      <c r="GK45" s="2931"/>
      <c r="GL45" s="2931"/>
      <c r="GM45" s="2931"/>
      <c r="GN45" s="2931"/>
      <c r="GO45" s="2931"/>
      <c r="GP45" s="2931"/>
      <c r="GQ45" s="2931"/>
      <c r="GR45" s="2931"/>
      <c r="GS45" s="2931"/>
      <c r="GT45" s="2931"/>
      <c r="GU45" s="2931"/>
      <c r="GV45" s="2931"/>
      <c r="GW45" s="2931"/>
      <c r="GX45" s="2931"/>
      <c r="GY45" s="2931"/>
      <c r="GZ45" s="2931"/>
      <c r="HA45" s="2931"/>
      <c r="HB45" s="2931"/>
      <c r="HC45" s="2931"/>
      <c r="HD45" s="2931"/>
      <c r="HE45" s="2931"/>
      <c r="HF45" s="2931"/>
      <c r="HG45" s="2931"/>
      <c r="HH45" s="2931"/>
      <c r="HI45" s="2931"/>
      <c r="HJ45" s="2931"/>
      <c r="HK45" s="2931"/>
      <c r="HL45" s="2931"/>
      <c r="HM45" s="2931"/>
      <c r="HN45" s="2931"/>
      <c r="HO45" s="2931"/>
      <c r="HP45" s="2931"/>
      <c r="HQ45" s="2931"/>
      <c r="HR45" s="2931"/>
      <c r="HS45" s="2931"/>
      <c r="HT45" s="2931"/>
      <c r="HU45" s="2931"/>
      <c r="HV45" s="2931"/>
      <c r="HW45" s="2931"/>
      <c r="HX45" s="2931"/>
      <c r="HY45" s="2931"/>
      <c r="HZ45" s="2931"/>
      <c r="IA45" s="2931"/>
      <c r="IB45" s="2931"/>
      <c r="IC45" s="2931"/>
      <c r="ID45" s="2931"/>
      <c r="IE45" s="2931"/>
      <c r="IF45" s="2931"/>
      <c r="IG45" s="2931"/>
      <c r="IH45" s="2931"/>
      <c r="II45" s="2931"/>
      <c r="IJ45" s="2931"/>
      <c r="IK45" s="2931"/>
      <c r="IL45" s="2931"/>
      <c r="IM45" s="2931"/>
      <c r="IN45" s="2931"/>
      <c r="IO45" s="2931" cm="1">
        <f t="array" ref="IO45">IF(LEN($G45)=0,"Rent Roll is incomplete",_xlfn.XLOOKUP(TRUE,EXACT(RentRoll_InputArea_DesignatedUnitType,$G45),RentRoll_InputArea_Beds,"Not Found"))</f>
        <v>1</v>
      </c>
      <c r="IP45" s="2934"/>
      <c r="IQ45" s="2935" t="str">
        <f t="shared" si="20"/>
        <v>1 Bedroom Unit</v>
      </c>
      <c r="IR45" s="2926">
        <f t="shared" si="21"/>
        <v>932</v>
      </c>
      <c r="IS45" s="2935"/>
      <c r="IT45" s="2931"/>
      <c r="IU45" s="2931"/>
      <c r="IV45" s="2931"/>
      <c r="IW45" s="2936" t="str">
        <f t="shared" si="22"/>
        <v>2-213</v>
      </c>
      <c r="IX45" s="2936"/>
      <c r="IY45" s="2936"/>
      <c r="IZ45" s="2936">
        <f t="shared" si="23"/>
        <v>1</v>
      </c>
      <c r="JA45" s="2936">
        <f t="shared" si="24"/>
        <v>932</v>
      </c>
      <c r="JB45" s="2936"/>
      <c r="JC45" s="2936"/>
      <c r="JD45" s="2936"/>
      <c r="JE45" s="2936"/>
      <c r="JF45" s="2936"/>
      <c r="JG45" s="2936"/>
      <c r="JH45" s="2936">
        <f t="shared" si="25"/>
        <v>1159</v>
      </c>
      <c r="JI45" s="2936"/>
      <c r="JJ45" s="2936">
        <f t="shared" si="26"/>
      </c>
      <c r="JK45" s="2936"/>
      <c r="JL45" s="2936"/>
      <c r="JM45" s="2936"/>
      <c r="JN45" s="2936"/>
      <c r="JO45" s="2936"/>
      <c r="JP45" s="2936"/>
      <c r="JQ45" s="2936" t="str">
        <f t="shared" si="27"/>
        <v>Occupied</v>
      </c>
      <c r="JR45" s="2936" cm="1">
        <f t="array" ref="JR45">_xlfn.XLOOKUP(TRUE,EXACT(RentRoll_InputArea_DesignatedUnitType,$G45),RentRoll_InputArea_SquareFootage,"Not Found")</f>
        <v>704</v>
      </c>
      <c r="JS45" s="2936" t="str">
        <f t="shared" si="28"/>
        <v>Apartment</v>
      </c>
      <c r="JT45" s="2936">
        <f t="shared" si="29"/>
      </c>
      <c r="JU45" s="2936"/>
      <c r="JV45" s="2936"/>
      <c r="JW45" s="2936"/>
      <c r="JX45" s="2936"/>
      <c r="JY45" s="2936">
        <f t="shared" si="9"/>
        <v>43435</v>
      </c>
      <c r="JZ45" s="2936">
        <f t="shared" si="9"/>
        <v>43708</v>
      </c>
      <c r="KA45" s="2936"/>
      <c r="KB45" s="2936"/>
      <c r="KC45" s="2936"/>
      <c r="KD45" s="2936"/>
      <c r="KE45" s="2936"/>
      <c r="KF45" s="2936"/>
      <c r="KG45" s="2936"/>
      <c r="KH45" s="2936"/>
      <c r="KI45" s="2937"/>
      <c r="KJ45" s="2936"/>
      <c r="KK45" s="1353"/>
    </row>
    <row r="46" ht="15" customHeight="1">
      <c r="A46" s="2922">
        <f t="shared" si="10"/>
        <v>23</v>
      </c>
      <c r="B46" s="2865"/>
      <c r="C46" s="2873"/>
      <c r="D46" s="2873" t="s">
        <v>2788</v>
      </c>
      <c r="E46" s="2923">
        <v>1159</v>
      </c>
      <c r="F46" s="2924" t="s">
        <v>2789</v>
      </c>
      <c r="G46" s="2873" t="s">
        <v>2529</v>
      </c>
      <c r="H46" s="2923">
        <v>1097</v>
      </c>
      <c r="I46" s="2925" cm="1">
        <f t="array" ref="I46">_xlfn.LET(_xlpm.has_subsidy,$N46&gt;0,_xlpm.is_chap9_sbl,$FF$20,_xlpm.contract_rent,$H46,_xlpm.unit_type_mkt_rent,_xlfn.XLOOKUP(TRUE,EXACT($G46,RentRoll_InputArea_DesignatedUnitType),RentRoll_InputArea_MarketRent,"Not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6" s="2926">
        <f t="shared" si="11"/>
        <v>1097</v>
      </c>
      <c r="K46" s="2923"/>
      <c r="L46" s="2923"/>
      <c r="M46" s="2923"/>
      <c r="N46" s="2923"/>
      <c r="O46" s="2927">
        <v>43596</v>
      </c>
      <c r="P46" s="2927">
        <v>43951</v>
      </c>
      <c r="Q46" s="2928">
        <f t="shared" si="8"/>
        <v>1097</v>
      </c>
      <c r="R46" s="2928">
        <f t="shared" si="8"/>
      </c>
      <c r="S46" s="2928">
        <f t="shared" si="8"/>
      </c>
      <c r="T46" s="2928">
        <f t="shared" si="8"/>
      </c>
      <c r="U46" s="2928">
        <f t="shared" si="8"/>
      </c>
      <c r="V46" s="2928">
        <f t="shared" si="8"/>
      </c>
      <c r="W46" s="2928">
        <f t="shared" si="8"/>
      </c>
      <c r="X46" s="2928">
        <f t="shared" si="8"/>
      </c>
      <c r="Y46" s="2928">
        <f t="shared" si="8"/>
      </c>
      <c r="Z46" s="2928">
        <f t="shared" si="8"/>
      </c>
      <c r="AA46" s="2928">
        <f t="shared" si="8"/>
      </c>
      <c r="AB46" s="2928">
        <f t="shared" si="8"/>
      </c>
      <c r="AC46" s="2928">
        <f t="shared" si="8"/>
      </c>
      <c r="AD46" s="2928">
        <f t="shared" si="8"/>
      </c>
      <c r="AE46" s="2928">
        <f t="shared" si="8"/>
      </c>
      <c r="AF46" s="2928">
        <f t="shared" si="8"/>
      </c>
      <c r="AG46" s="2928">
        <f t="shared" si="8"/>
      </c>
      <c r="AH46" s="2928">
        <f t="shared" si="8"/>
      </c>
      <c r="AI46" s="2928">
        <f t="shared" si="8"/>
      </c>
      <c r="AJ46" s="2928">
        <f t="shared" si="8"/>
      </c>
      <c r="AK46" s="2928">
        <f t="shared" si="8"/>
      </c>
      <c r="AL46" s="2928">
        <f t="shared" si="8"/>
      </c>
      <c r="AM46" s="2928">
        <f t="shared" si="8"/>
      </c>
      <c r="AN46" s="2928">
        <f t="shared" si="8"/>
      </c>
      <c r="AO46" s="2928">
        <f t="shared" si="8"/>
      </c>
      <c r="AP46" s="2928">
        <f t="shared" si="8"/>
      </c>
      <c r="AQ46" s="2928">
        <f t="shared" si="8"/>
      </c>
      <c r="AR46" s="2928">
        <f t="shared" si="8"/>
      </c>
      <c r="AS46" s="2928">
        <f t="shared" si="8"/>
      </c>
      <c r="AT46" s="2928">
        <f t="shared" si="8"/>
      </c>
      <c r="AU46" s="2928">
        <f t="shared" si="8"/>
      </c>
      <c r="AV46" s="2928">
        <f t="shared" si="8"/>
      </c>
      <c r="AW46" s="2928">
        <f t="shared" si="8"/>
      </c>
      <c r="AX46" s="2928">
        <f t="shared" si="8"/>
      </c>
      <c r="AY46" s="2928">
        <f t="shared" si="8"/>
      </c>
      <c r="AZ46" s="2928">
        <f t="shared" si="8"/>
      </c>
      <c r="BA46" s="2928">
        <f t="shared" si="8"/>
      </c>
      <c r="BB46" s="2928">
        <f t="shared" si="8"/>
      </c>
      <c r="BC46" s="2928">
        <f t="shared" si="8"/>
      </c>
      <c r="BD46" s="2928">
        <f t="shared" si="8"/>
      </c>
      <c r="BE46" s="2928">
        <f t="shared" si="8"/>
      </c>
      <c r="BF46" s="2928">
        <f t="shared" si="8"/>
      </c>
      <c r="BG46" s="2928">
        <f t="shared" si="8"/>
      </c>
      <c r="BH46" s="2928">
        <f t="shared" si="8"/>
      </c>
      <c r="BI46" s="2928">
        <f t="shared" si="8"/>
      </c>
      <c r="BJ46" s="2928">
        <f t="shared" si="8"/>
      </c>
      <c r="BK46" s="2928">
        <f t="shared" si="8"/>
      </c>
      <c r="BL46" s="2928">
        <f t="shared" si="8"/>
      </c>
      <c r="BM46" s="2928">
        <f t="shared" si="8"/>
      </c>
      <c r="BN46" s="2928">
        <f t="shared" si="8"/>
      </c>
      <c r="BO46" s="2928">
        <f t="shared" si="8"/>
      </c>
      <c r="BP46" s="2928">
        <f t="shared" si="8"/>
      </c>
      <c r="BQ46" s="2928">
        <f t="shared" si="8"/>
      </c>
      <c r="BR46" s="2928">
        <f t="shared" si="8"/>
      </c>
      <c r="BS46" s="2928">
        <f t="shared" si="8"/>
      </c>
      <c r="BT46" s="2928">
        <f t="shared" si="8"/>
      </c>
      <c r="BU46" s="2928">
        <f t="shared" si="8"/>
      </c>
      <c r="BV46" s="2928">
        <f t="shared" si="8"/>
      </c>
      <c r="BW46" s="2928">
        <f t="shared" si="8"/>
      </c>
      <c r="BX46" s="2928">
        <f t="shared" si="8"/>
      </c>
      <c r="BY46" s="2928">
        <f t="shared" si="8"/>
      </c>
      <c r="BZ46" s="2928">
        <f t="shared" si="8"/>
      </c>
      <c r="CA46" s="2928">
        <f t="shared" si="8"/>
      </c>
      <c r="CB46" s="2928">
        <f t="shared" si="8"/>
      </c>
      <c r="CC46" s="2928">
        <f t="shared" si="8"/>
      </c>
      <c r="CD46" s="2928">
        <f t="shared" si="8"/>
      </c>
      <c r="CE46" s="2928">
        <f t="shared" si="8"/>
      </c>
      <c r="CF46" s="2928">
        <f t="shared" si="8"/>
      </c>
      <c r="CG46" s="2928">
        <f t="shared" si="8"/>
      </c>
      <c r="CH46" s="2928">
        <f t="shared" si="8"/>
      </c>
      <c r="CI46" s="2928">
        <f t="shared" si="8"/>
      </c>
      <c r="CJ46" s="2928">
        <f t="shared" si="8"/>
      </c>
      <c r="CK46" s="2928">
        <f t="shared" si="8"/>
      </c>
      <c r="CL46" s="2928">
        <f t="shared" si="8"/>
      </c>
      <c r="CM46" s="2928">
        <f t="shared" si="8"/>
      </c>
      <c r="CN46" s="2928">
        <f t="shared" si="8"/>
      </c>
      <c r="CO46" s="2928">
        <f t="shared" si="8"/>
      </c>
      <c r="CP46" s="2928">
        <f t="shared" si="8"/>
      </c>
      <c r="CQ46" s="2928">
        <f t="shared" si="8"/>
      </c>
      <c r="CR46" s="2928">
        <f t="shared" si="8"/>
      </c>
      <c r="CS46" s="2928">
        <f t="shared" si="8"/>
      </c>
      <c r="CT46" s="2928">
        <f t="shared" si="8"/>
      </c>
      <c r="CU46" s="2928">
        <f t="shared" si="8"/>
      </c>
      <c r="CV46" s="2928">
        <f t="shared" si="8"/>
      </c>
      <c r="CW46" s="2928">
        <f t="shared" si="8"/>
      </c>
      <c r="CX46" s="2928">
        <f t="shared" si="8"/>
      </c>
      <c r="CY46" s="2928">
        <f t="shared" si="8"/>
      </c>
      <c r="CZ46" s="2928">
        <f t="shared" si="8"/>
      </c>
      <c r="DA46" s="2928">
        <f t="shared" si="8"/>
      </c>
      <c r="DB46" s="2928">
        <f t="shared" si="8"/>
      </c>
      <c r="DC46" s="2928">
        <f t="shared" si="8"/>
      </c>
      <c r="DD46" s="2928">
        <f t="shared" si="8"/>
      </c>
      <c r="DE46" s="2928">
        <f t="shared" si="8"/>
      </c>
      <c r="DF46" s="2928">
        <f t="shared" si="8"/>
      </c>
      <c r="DG46" s="2928">
        <f t="shared" si="8"/>
      </c>
      <c r="DH46" s="2928">
        <f t="shared" si="8"/>
      </c>
      <c r="DI46" s="2928">
        <f t="shared" si="8"/>
      </c>
      <c r="DJ46" s="2928">
        <f t="shared" si="8"/>
      </c>
      <c r="DK46" s="2928">
        <f t="shared" si="8"/>
      </c>
      <c r="DL46" s="2928">
        <f t="shared" si="8"/>
      </c>
      <c r="DM46" s="2928">
        <f t="shared" si="8"/>
      </c>
      <c r="DN46" s="2928">
        <f t="shared" si="8"/>
      </c>
      <c r="DO46" s="2928">
        <f t="shared" si="8"/>
      </c>
      <c r="DP46" s="2928">
        <f t="shared" si="8"/>
      </c>
      <c r="DQ46" s="2928">
        <f t="shared" si="8"/>
      </c>
      <c r="DR46" s="2928">
        <f t="shared" si="8"/>
      </c>
      <c r="DS46" s="2928">
        <f t="shared" si="8"/>
      </c>
      <c r="DT46" s="2928">
        <f t="shared" si="8"/>
      </c>
      <c r="DU46" s="2928">
        <f t="shared" si="8"/>
      </c>
      <c r="DV46" s="2928">
        <f t="shared" si="8"/>
      </c>
      <c r="DW46" s="2928">
        <f t="shared" si="8"/>
      </c>
      <c r="DX46" s="2928">
        <f t="shared" si="8"/>
      </c>
      <c r="DY46" s="2928">
        <f t="shared" si="8"/>
      </c>
      <c r="DZ46" s="2928">
        <f t="shared" si="8"/>
      </c>
      <c r="EA46" s="2928">
        <f t="shared" si="8"/>
      </c>
      <c r="EB46" s="2928">
        <f t="shared" si="8"/>
      </c>
      <c r="EC46" s="2928">
        <f t="shared" si="8"/>
      </c>
      <c r="ED46" s="2928">
        <f t="shared" si="8"/>
      </c>
      <c r="EE46" s="2928">
        <f t="shared" si="8"/>
      </c>
      <c r="EF46" s="2928">
        <f t="shared" si="8"/>
      </c>
      <c r="EG46" s="2928">
        <f t="shared" si="8"/>
      </c>
      <c r="EH46" s="2928">
        <f t="shared" si="8"/>
      </c>
      <c r="EI46" s="2928">
        <f t="shared" si="8"/>
      </c>
      <c r="EJ46" s="2928">
        <f t="shared" si="8"/>
      </c>
      <c r="EK46" s="2928">
        <f t="shared" si="8"/>
      </c>
      <c r="EL46" s="2928">
        <f t="shared" si="8"/>
      </c>
      <c r="EM46" s="2928">
        <f t="shared" si="8"/>
      </c>
      <c r="EN46" s="2928">
        <f t="shared" si="8"/>
      </c>
      <c r="EO46" s="2928">
        <f t="shared" si="8"/>
      </c>
      <c r="EP46" s="2928">
        <f t="shared" si="8"/>
      </c>
      <c r="EQ46" s="2928">
        <f t="shared" si="8"/>
      </c>
      <c r="ER46" s="2928">
        <f t="shared" si="8"/>
      </c>
      <c r="ES46" s="2928">
        <f t="shared" si="8"/>
      </c>
      <c r="ET46" s="2928">
        <f t="shared" si="8"/>
      </c>
      <c r="EU46" s="2928">
        <f t="shared" si="8"/>
      </c>
      <c r="EV46" s="2928">
        <f t="shared" si="8"/>
      </c>
      <c r="EW46" s="2928">
        <f t="shared" si="8"/>
      </c>
      <c r="EX46" s="2928">
        <f t="shared" si="8"/>
      </c>
      <c r="EY46" s="2928">
        <f t="shared" si="8"/>
      </c>
      <c r="EZ46" s="2928">
        <f t="shared" si="8"/>
      </c>
      <c r="FA46" s="2929" t="str">
        <f t="shared" si="12"/>
        <v>-</v>
      </c>
      <c r="FB46" s="2825">
        <f t="shared" si="13"/>
      </c>
      <c r="FC46" s="2930" cm="1">
        <f t="array" ref="FC46">_xlfn.LET(_xlpm.unit_type,$G46,_xlpm.market_rent_from_rent_roll,$E46,_xlpm.unit_type_list,RentRoll_InputArea_DesignatedUnitType,_xlpm.rent_by_unit_type,RentRoll_InputArea_MarketRent,_xlpm.use_rent_roll_market_rent,LEFT(RR_VacantUnitMktRentSource,9)="Rent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6" s="2930">
        <f t="shared" si="14"/>
        <v>1097</v>
      </c>
      <c r="FE46" s="2930">
        <f t="shared" si="15"/>
        <v>1097</v>
      </c>
      <c r="FF46" s="2930">
        <f t="shared" si="16"/>
        <v>1097</v>
      </c>
      <c r="FG46" s="2931"/>
      <c r="FH46" s="2932">
        <f t="shared" si="17"/>
      </c>
      <c r="FI46" s="2932">
        <f t="shared" si="18"/>
      </c>
      <c r="FJ46" s="2931"/>
      <c r="FK46" s="2933" cm="1">
        <f t="array" ref="FK46">IF(AND(LEN($D46)&gt;0,ISNA(MATCH(TRUE,EXACT($G46,RentRoll_InputArea_DesignatedUnitType),0))),1,0)</f>
        <v>0</v>
      </c>
      <c r="FL46" s="2931">
        <f t="shared" si="19"/>
        <v>23</v>
      </c>
      <c r="FM46" s="2931"/>
      <c r="FN46" s="2931"/>
      <c r="FO46" s="2931"/>
      <c r="FP46" s="2931"/>
      <c r="FQ46" s="2931"/>
      <c r="FR46" s="2931"/>
      <c r="FS46" s="2931"/>
      <c r="FT46" s="2931"/>
      <c r="FU46" s="2931"/>
      <c r="FV46" s="2931"/>
      <c r="FW46" s="2931"/>
      <c r="FX46" s="2931"/>
      <c r="FY46" s="2931"/>
      <c r="FZ46" s="2931"/>
      <c r="GA46" s="2931"/>
      <c r="GB46" s="2931"/>
      <c r="GC46" s="2931"/>
      <c r="GD46" s="2931"/>
      <c r="GE46" s="2931"/>
      <c r="GF46" s="2931"/>
      <c r="GG46" s="2931"/>
      <c r="GH46" s="2931"/>
      <c r="GI46" s="2931"/>
      <c r="GJ46" s="2931"/>
      <c r="GK46" s="2931"/>
      <c r="GL46" s="2931"/>
      <c r="GM46" s="2931"/>
      <c r="GN46" s="2931"/>
      <c r="GO46" s="2931"/>
      <c r="GP46" s="2931"/>
      <c r="GQ46" s="2931"/>
      <c r="GR46" s="2931"/>
      <c r="GS46" s="2931"/>
      <c r="GT46" s="2931"/>
      <c r="GU46" s="2931"/>
      <c r="GV46" s="2931"/>
      <c r="GW46" s="2931"/>
      <c r="GX46" s="2931"/>
      <c r="GY46" s="2931"/>
      <c r="GZ46" s="2931"/>
      <c r="HA46" s="2931"/>
      <c r="HB46" s="2931"/>
      <c r="HC46" s="2931"/>
      <c r="HD46" s="2931"/>
      <c r="HE46" s="2931"/>
      <c r="HF46" s="2931"/>
      <c r="HG46" s="2931"/>
      <c r="HH46" s="2931"/>
      <c r="HI46" s="2931"/>
      <c r="HJ46" s="2931"/>
      <c r="HK46" s="2931"/>
      <c r="HL46" s="2931"/>
      <c r="HM46" s="2931"/>
      <c r="HN46" s="2931"/>
      <c r="HO46" s="2931"/>
      <c r="HP46" s="2931"/>
      <c r="HQ46" s="2931"/>
      <c r="HR46" s="2931"/>
      <c r="HS46" s="2931"/>
      <c r="HT46" s="2931"/>
      <c r="HU46" s="2931"/>
      <c r="HV46" s="2931"/>
      <c r="HW46" s="2931"/>
      <c r="HX46" s="2931"/>
      <c r="HY46" s="2931"/>
      <c r="HZ46" s="2931"/>
      <c r="IA46" s="2931"/>
      <c r="IB46" s="2931"/>
      <c r="IC46" s="2931"/>
      <c r="ID46" s="2931"/>
      <c r="IE46" s="2931"/>
      <c r="IF46" s="2931"/>
      <c r="IG46" s="2931"/>
      <c r="IH46" s="2931"/>
      <c r="II46" s="2931"/>
      <c r="IJ46" s="2931"/>
      <c r="IK46" s="2931"/>
      <c r="IL46" s="2931"/>
      <c r="IM46" s="2931"/>
      <c r="IN46" s="2931"/>
      <c r="IO46" s="2931" cm="1">
        <f t="array" ref="IO46">IF(LEN($G46)=0,"Rent Roll is incomplete",_xlfn.XLOOKUP(TRUE,EXACT(RentRoll_InputArea_DesignatedUnitType,$G46),RentRoll_InputArea_Beds,"Not Found"))</f>
        <v>1</v>
      </c>
      <c r="IP46" s="2934"/>
      <c r="IQ46" s="2935" t="str">
        <f t="shared" si="20"/>
        <v>1 Bedroom Unit</v>
      </c>
      <c r="IR46" s="2926">
        <f t="shared" si="21"/>
        <v>1097</v>
      </c>
      <c r="IS46" s="2935"/>
      <c r="IT46" s="2931"/>
      <c r="IU46" s="2931"/>
      <c r="IV46" s="2931"/>
      <c r="IW46" s="2936" t="str">
        <f t="shared" si="22"/>
        <v>2-214</v>
      </c>
      <c r="IX46" s="2936"/>
      <c r="IY46" s="2936"/>
      <c r="IZ46" s="2936">
        <f t="shared" si="23"/>
        <v>1</v>
      </c>
      <c r="JA46" s="2936">
        <f t="shared" si="24"/>
        <v>1097</v>
      </c>
      <c r="JB46" s="2936"/>
      <c r="JC46" s="2936"/>
      <c r="JD46" s="2936"/>
      <c r="JE46" s="2936"/>
      <c r="JF46" s="2936"/>
      <c r="JG46" s="2936"/>
      <c r="JH46" s="2936">
        <f t="shared" si="25"/>
        <v>1159</v>
      </c>
      <c r="JI46" s="2936"/>
      <c r="JJ46" s="2936">
        <f t="shared" si="26"/>
      </c>
      <c r="JK46" s="2936"/>
      <c r="JL46" s="2936"/>
      <c r="JM46" s="2936"/>
      <c r="JN46" s="2936"/>
      <c r="JO46" s="2936"/>
      <c r="JP46" s="2936"/>
      <c r="JQ46" s="2936" t="str">
        <f t="shared" si="27"/>
        <v>Occupied</v>
      </c>
      <c r="JR46" s="2936" cm="1">
        <f t="array" ref="JR46">_xlfn.XLOOKUP(TRUE,EXACT(RentRoll_InputArea_DesignatedUnitType,$G46),RentRoll_InputArea_SquareFootage,"Not Found")</f>
        <v>704</v>
      </c>
      <c r="JS46" s="2936" t="str">
        <f t="shared" si="28"/>
        <v>Apartment</v>
      </c>
      <c r="JT46" s="2936">
        <f t="shared" si="29"/>
      </c>
      <c r="JU46" s="2936"/>
      <c r="JV46" s="2936"/>
      <c r="JW46" s="2936"/>
      <c r="JX46" s="2936"/>
      <c r="JY46" s="2936">
        <f t="shared" si="9"/>
        <v>43596</v>
      </c>
      <c r="JZ46" s="2936">
        <f t="shared" si="9"/>
        <v>43951</v>
      </c>
      <c r="KA46" s="2936"/>
      <c r="KB46" s="2936"/>
      <c r="KC46" s="2936"/>
      <c r="KD46" s="2936"/>
      <c r="KE46" s="2936"/>
      <c r="KF46" s="2936"/>
      <c r="KG46" s="2936"/>
      <c r="KH46" s="2936"/>
      <c r="KI46" s="2937"/>
      <c r="KJ46" s="2936"/>
      <c r="KK46" s="1353"/>
    </row>
    <row r="47" ht="15" customHeight="1">
      <c r="A47" s="2922">
        <f t="shared" si="10"/>
        <v>24</v>
      </c>
      <c r="B47" s="2865"/>
      <c r="C47" s="2873"/>
      <c r="D47" s="2873" t="s">
        <v>2790</v>
      </c>
      <c r="E47" s="2923">
        <v>1197</v>
      </c>
      <c r="F47" s="2924" t="s">
        <v>2791</v>
      </c>
      <c r="G47" s="2873" t="s">
        <v>2529</v>
      </c>
      <c r="H47" s="2923">
        <v>1136</v>
      </c>
      <c r="I47" s="2925" cm="1">
        <f t="array" ref="I47">_xlfn.LET(_xlpm.has_subsidy,$N47&gt;0,_xlpm.is_chap9_sbl,$FF$20,_xlpm.contract_rent,$H47,_xlpm.unit_type_mkt_rent,_xlfn.XLOOKUP(TRUE,EXACT($G47,RentRoll_InputArea_DesignatedUnitType),RentRoll_InputArea_MarketRent,"Not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7" s="2926">
        <f t="shared" si="11"/>
        <v>1136</v>
      </c>
      <c r="K47" s="2923"/>
      <c r="L47" s="2923"/>
      <c r="M47" s="2923"/>
      <c r="N47" s="2923"/>
      <c r="O47" s="2927">
        <v>43556</v>
      </c>
      <c r="P47" s="2927">
        <v>43769</v>
      </c>
      <c r="Q47" s="2928">
        <f t="shared" si="8"/>
        <v>1136</v>
      </c>
      <c r="R47" s="2928">
        <f t="shared" si="8"/>
      </c>
      <c r="S47" s="2928">
        <f t="shared" si="8"/>
      </c>
      <c r="T47" s="2928">
        <f t="shared" si="8"/>
      </c>
      <c r="U47" s="2928">
        <f t="shared" si="8"/>
      </c>
      <c r="V47" s="2928">
        <f t="shared" si="8"/>
      </c>
      <c r="W47" s="2928">
        <f t="shared" si="8"/>
      </c>
      <c r="X47" s="2928">
        <f t="shared" si="8"/>
      </c>
      <c r="Y47" s="2928">
        <f t="shared" si="8"/>
      </c>
      <c r="Z47" s="2928">
        <f t="shared" si="8"/>
      </c>
      <c r="AA47" s="2928">
        <f t="shared" si="8"/>
      </c>
      <c r="AB47" s="2928">
        <f t="shared" si="8"/>
      </c>
      <c r="AC47" s="2928">
        <f t="shared" si="8"/>
      </c>
      <c r="AD47" s="2928">
        <f t="shared" si="8"/>
      </c>
      <c r="AE47" s="2928">
        <f t="shared" si="8"/>
      </c>
      <c r="AF47" s="2928">
        <f t="shared" si="8"/>
      </c>
      <c r="AG47" s="2928">
        <f t="shared" si="8"/>
      </c>
      <c r="AH47" s="2928">
        <f t="shared" si="8"/>
      </c>
      <c r="AI47" s="2928">
        <f t="shared" si="8"/>
      </c>
      <c r="AJ47" s="2928">
        <f t="shared" si="8"/>
      </c>
      <c r="AK47" s="2928">
        <f t="shared" si="8"/>
      </c>
      <c r="AL47" s="2928">
        <f t="shared" si="8"/>
      </c>
      <c r="AM47" s="2928">
        <f t="shared" si="8"/>
      </c>
      <c r="AN47" s="2928">
        <f t="shared" si="8"/>
      </c>
      <c r="AO47" s="2928">
        <f t="shared" si="8"/>
      </c>
      <c r="AP47" s="2928">
        <f t="shared" si="8"/>
      </c>
      <c r="AQ47" s="2928">
        <f t="shared" si="8"/>
      </c>
      <c r="AR47" s="2928">
        <f t="shared" si="8"/>
      </c>
      <c r="AS47" s="2928">
        <f t="shared" si="8"/>
      </c>
      <c r="AT47" s="2928">
        <f t="shared" si="8"/>
      </c>
      <c r="AU47" s="2928">
        <f t="shared" si="8"/>
      </c>
      <c r="AV47" s="2928">
        <f t="shared" si="8"/>
      </c>
      <c r="AW47" s="2928">
        <f t="shared" si="8"/>
      </c>
      <c r="AX47" s="2928">
        <f t="shared" si="8"/>
      </c>
      <c r="AY47" s="2928">
        <f t="shared" si="8"/>
      </c>
      <c r="AZ47" s="2928">
        <f t="shared" si="8"/>
      </c>
      <c r="BA47" s="2928">
        <f t="shared" si="8"/>
      </c>
      <c r="BB47" s="2928">
        <f t="shared" si="8"/>
      </c>
      <c r="BC47" s="2928">
        <f t="shared" si="8"/>
      </c>
      <c r="BD47" s="2928">
        <f t="shared" si="8"/>
      </c>
      <c r="BE47" s="2928">
        <f t="shared" si="8"/>
      </c>
      <c r="BF47" s="2928">
        <f t="shared" si="8"/>
      </c>
      <c r="BG47" s="2928">
        <f t="shared" si="8"/>
      </c>
      <c r="BH47" s="2928">
        <f t="shared" si="8"/>
      </c>
      <c r="BI47" s="2928">
        <f t="shared" si="8"/>
      </c>
      <c r="BJ47" s="2928">
        <f t="shared" si="8"/>
      </c>
      <c r="BK47" s="2928">
        <f t="shared" si="8"/>
      </c>
      <c r="BL47" s="2928">
        <f t="shared" si="8"/>
      </c>
      <c r="BM47" s="2928">
        <f t="shared" si="8"/>
      </c>
      <c r="BN47" s="2928">
        <f t="shared" si="8"/>
      </c>
      <c r="BO47" s="2928">
        <f t="shared" si="8"/>
      </c>
      <c r="BP47" s="2928">
        <f t="shared" si="8"/>
      </c>
      <c r="BQ47" s="2928">
        <f t="shared" si="8"/>
      </c>
      <c r="BR47" s="2928">
        <f t="shared" si="8"/>
      </c>
      <c r="BS47" s="2928">
        <f t="shared" si="8"/>
      </c>
      <c r="BT47" s="2928">
        <f t="shared" si="8"/>
      </c>
      <c r="BU47" s="2928">
        <f t="shared" si="8"/>
      </c>
      <c r="BV47" s="2928">
        <f t="shared" si="8"/>
      </c>
      <c r="BW47" s="2928">
        <f t="shared" si="8"/>
      </c>
      <c r="BX47" s="2928">
        <f t="shared" si="8"/>
      </c>
      <c r="BY47" s="2928">
        <f t="shared" si="8"/>
      </c>
      <c r="BZ47" s="2928">
        <f t="shared" si="8"/>
      </c>
      <c r="CA47" s="2928">
        <f t="shared" si="8"/>
      </c>
      <c r="CB47" s="2928">
        <f t="shared" si="8"/>
      </c>
      <c r="CC47" s="2928">
        <f t="shared" si="8"/>
      </c>
      <c r="CD47" s="2928">
        <f t="shared" si="8"/>
      </c>
      <c r="CE47" s="2928">
        <f t="shared" si="8"/>
      </c>
      <c r="CF47" s="2928">
        <f t="shared" si="8"/>
      </c>
      <c r="CG47" s="2928">
        <f t="shared" si="8"/>
      </c>
      <c r="CH47" s="2928">
        <f t="shared" si="8"/>
      </c>
      <c r="CI47" s="2928">
        <f t="shared" si="8"/>
      </c>
      <c r="CJ47" s="2928">
        <f t="shared" si="8"/>
      </c>
      <c r="CK47" s="2928">
        <f t="shared" si="8"/>
      </c>
      <c r="CL47" s="2928">
        <f t="shared" si="8"/>
      </c>
      <c r="CM47" s="2928">
        <f t="shared" si="8"/>
      </c>
      <c r="CN47" s="2928">
        <f t="shared" si="8"/>
      </c>
      <c r="CO47" s="2928">
        <f t="shared" si="8"/>
      </c>
      <c r="CP47" s="2928">
        <f t="shared" si="8"/>
      </c>
      <c r="CQ47" s="2928">
        <f t="shared" si="8"/>
      </c>
      <c r="CR47" s="2928">
        <f t="shared" si="8"/>
      </c>
      <c r="CS47" s="2928">
        <f t="shared" si="8"/>
      </c>
      <c r="CT47" s="2928">
        <f t="shared" si="8"/>
      </c>
      <c r="CU47" s="2928">
        <f t="shared" si="8"/>
      </c>
      <c r="CV47" s="2928">
        <f t="shared" si="8"/>
      </c>
      <c r="CW47" s="2928">
        <f t="shared" si="8"/>
      </c>
      <c r="CX47" s="2928">
        <f t="shared" si="8"/>
      </c>
      <c r="CY47" s="2928">
        <f t="shared" si="8"/>
      </c>
      <c r="CZ47" s="2928">
        <f t="shared" si="8"/>
      </c>
      <c r="DA47" s="2928">
        <f t="shared" si="8"/>
      </c>
      <c r="DB47" s="2928">
        <f t="shared" si="8"/>
      </c>
      <c r="DC47" s="2928">
        <f t="shared" si="8"/>
      </c>
      <c r="DD47" s="2928">
        <f t="shared" si="8"/>
      </c>
      <c r="DE47" s="2928">
        <f t="shared" si="8"/>
      </c>
      <c r="DF47" s="2928">
        <f t="shared" si="8"/>
      </c>
      <c r="DG47" s="2928">
        <f t="shared" si="8"/>
      </c>
      <c r="DH47" s="2928">
        <f t="shared" si="8"/>
      </c>
      <c r="DI47" s="2928">
        <f t="shared" si="8"/>
      </c>
      <c r="DJ47" s="2928">
        <f t="shared" si="8"/>
      </c>
      <c r="DK47" s="2928">
        <f t="shared" si="8"/>
      </c>
      <c r="DL47" s="2928">
        <f t="shared" si="8"/>
      </c>
      <c r="DM47" s="2928">
        <f t="shared" si="8"/>
      </c>
      <c r="DN47" s="2928">
        <f t="shared" si="8"/>
      </c>
      <c r="DO47" s="2928">
        <f t="shared" si="8"/>
      </c>
      <c r="DP47" s="2928">
        <f t="shared" si="8"/>
      </c>
      <c r="DQ47" s="2928">
        <f t="shared" si="8"/>
      </c>
      <c r="DR47" s="2928">
        <f t="shared" si="8"/>
      </c>
      <c r="DS47" s="2928">
        <f t="shared" si="8"/>
      </c>
      <c r="DT47" s="2928">
        <f t="shared" si="8"/>
      </c>
      <c r="DU47" s="2928">
        <f t="shared" si="8"/>
      </c>
      <c r="DV47" s="2928">
        <f t="shared" si="8"/>
      </c>
      <c r="DW47" s="2928">
        <f t="shared" si="8"/>
      </c>
      <c r="DX47" s="2928">
        <f t="shared" si="8"/>
      </c>
      <c r="DY47" s="2928">
        <f t="shared" si="8"/>
      </c>
      <c r="DZ47" s="2928">
        <f t="shared" si="8"/>
      </c>
      <c r="EA47" s="2928">
        <f t="shared" si="8"/>
      </c>
      <c r="EB47" s="2928">
        <f t="shared" si="8"/>
      </c>
      <c r="EC47" s="2928">
        <f t="shared" si="8"/>
      </c>
      <c r="ED47" s="2928">
        <f t="shared" si="8"/>
      </c>
      <c r="EE47" s="2928">
        <f t="shared" si="8"/>
      </c>
      <c r="EF47" s="2928">
        <f t="shared" si="8"/>
      </c>
      <c r="EG47" s="2928">
        <f t="shared" si="8"/>
      </c>
      <c r="EH47" s="2928">
        <f t="shared" si="8"/>
      </c>
      <c r="EI47" s="2928">
        <f t="shared" si="8"/>
      </c>
      <c r="EJ47" s="2928">
        <f t="shared" si="8"/>
      </c>
      <c r="EK47" s="2928">
        <f t="shared" si="8"/>
      </c>
      <c r="EL47" s="2928">
        <f t="shared" si="8"/>
      </c>
      <c r="EM47" s="2928">
        <f t="shared" si="8"/>
      </c>
      <c r="EN47" s="2928">
        <f t="shared" si="8"/>
      </c>
      <c r="EO47" s="2928">
        <f t="shared" si="8"/>
      </c>
      <c r="EP47" s="2928">
        <f t="shared" si="8"/>
      </c>
      <c r="EQ47" s="2928">
        <f t="shared" si="8"/>
      </c>
      <c r="ER47" s="2928">
        <f t="shared" si="8"/>
      </c>
      <c r="ES47" s="2928">
        <f t="shared" si="8"/>
      </c>
      <c r="ET47" s="2928">
        <f t="shared" si="8"/>
      </c>
      <c r="EU47" s="2928">
        <f t="shared" si="8"/>
      </c>
      <c r="EV47" s="2928">
        <f t="shared" si="8"/>
      </c>
      <c r="EW47" s="2928">
        <f t="shared" si="8"/>
      </c>
      <c r="EX47" s="2928">
        <f t="shared" si="8"/>
      </c>
      <c r="EY47" s="2928">
        <f t="shared" si="8"/>
      </c>
      <c r="EZ47" s="2928">
        <f t="shared" si="8"/>
      </c>
      <c r="FA47" s="2929" t="str">
        <f t="shared" si="12"/>
        <v>-</v>
      </c>
      <c r="FB47" s="2825">
        <f t="shared" si="13"/>
      </c>
      <c r="FC47" s="2930" cm="1">
        <f t="array" ref="FC47">_xlfn.LET(_xlpm.unit_type,$G47,_xlpm.market_rent_from_rent_roll,$E47,_xlpm.unit_type_list,RentRoll_InputArea_DesignatedUnitType,_xlpm.rent_by_unit_type,RentRoll_InputArea_MarketRent,_xlpm.use_rent_roll_market_rent,LEFT(RR_VacantUnitMktRentSource,9)="Rent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47" s="2930">
        <f t="shared" si="14"/>
        <v>1136</v>
      </c>
      <c r="FE47" s="2930">
        <f t="shared" si="15"/>
        <v>1136</v>
      </c>
      <c r="FF47" s="2930">
        <f t="shared" si="16"/>
        <v>1136</v>
      </c>
      <c r="FG47" s="2931"/>
      <c r="FH47" s="2932">
        <f t="shared" si="17"/>
      </c>
      <c r="FI47" s="2932">
        <f t="shared" si="18"/>
      </c>
      <c r="FJ47" s="2931"/>
      <c r="FK47" s="2933" cm="1">
        <f t="array" ref="FK47">IF(AND(LEN($D47)&gt;0,ISNA(MATCH(TRUE,EXACT($G47,RentRoll_InputArea_DesignatedUnitType),0))),1,0)</f>
        <v>0</v>
      </c>
      <c r="FL47" s="2931">
        <f t="shared" si="19"/>
        <v>24</v>
      </c>
      <c r="FM47" s="2931"/>
      <c r="FN47" s="2931"/>
      <c r="FO47" s="2931"/>
      <c r="FP47" s="2931"/>
      <c r="FQ47" s="2931"/>
      <c r="FR47" s="2931"/>
      <c r="FS47" s="2931"/>
      <c r="FT47" s="2931"/>
      <c r="FU47" s="2931"/>
      <c r="FV47" s="2931"/>
      <c r="FW47" s="2931"/>
      <c r="FX47" s="2931"/>
      <c r="FY47" s="2931"/>
      <c r="FZ47" s="2931"/>
      <c r="GA47" s="2931"/>
      <c r="GB47" s="2931"/>
      <c r="GC47" s="2931"/>
      <c r="GD47" s="2931"/>
      <c r="GE47" s="2931"/>
      <c r="GF47" s="2931"/>
      <c r="GG47" s="2931"/>
      <c r="GH47" s="2931"/>
      <c r="GI47" s="2931"/>
      <c r="GJ47" s="2931"/>
      <c r="GK47" s="2931"/>
      <c r="GL47" s="2931"/>
      <c r="GM47" s="2931"/>
      <c r="GN47" s="2931"/>
      <c r="GO47" s="2931"/>
      <c r="GP47" s="2931"/>
      <c r="GQ47" s="2931"/>
      <c r="GR47" s="2931"/>
      <c r="GS47" s="2931"/>
      <c r="GT47" s="2931"/>
      <c r="GU47" s="2931"/>
      <c r="GV47" s="2931"/>
      <c r="GW47" s="2931"/>
      <c r="GX47" s="2931"/>
      <c r="GY47" s="2931"/>
      <c r="GZ47" s="2931"/>
      <c r="HA47" s="2931"/>
      <c r="HB47" s="2931"/>
      <c r="HC47" s="2931"/>
      <c r="HD47" s="2931"/>
      <c r="HE47" s="2931"/>
      <c r="HF47" s="2931"/>
      <c r="HG47" s="2931"/>
      <c r="HH47" s="2931"/>
      <c r="HI47" s="2931"/>
      <c r="HJ47" s="2931"/>
      <c r="HK47" s="2931"/>
      <c r="HL47" s="2931"/>
      <c r="HM47" s="2931"/>
      <c r="HN47" s="2931"/>
      <c r="HO47" s="2931"/>
      <c r="HP47" s="2931"/>
      <c r="HQ47" s="2931"/>
      <c r="HR47" s="2931"/>
      <c r="HS47" s="2931"/>
      <c r="HT47" s="2931"/>
      <c r="HU47" s="2931"/>
      <c r="HV47" s="2931"/>
      <c r="HW47" s="2931"/>
      <c r="HX47" s="2931"/>
      <c r="HY47" s="2931"/>
      <c r="HZ47" s="2931"/>
      <c r="IA47" s="2931"/>
      <c r="IB47" s="2931"/>
      <c r="IC47" s="2931"/>
      <c r="ID47" s="2931"/>
      <c r="IE47" s="2931"/>
      <c r="IF47" s="2931"/>
      <c r="IG47" s="2931"/>
      <c r="IH47" s="2931"/>
      <c r="II47" s="2931"/>
      <c r="IJ47" s="2931"/>
      <c r="IK47" s="2931"/>
      <c r="IL47" s="2931"/>
      <c r="IM47" s="2931"/>
      <c r="IN47" s="2931"/>
      <c r="IO47" s="2931" cm="1">
        <f t="array" ref="IO47">IF(LEN($G47)=0,"Rent Roll is incomplete",_xlfn.XLOOKUP(TRUE,EXACT(RentRoll_InputArea_DesignatedUnitType,$G47),RentRoll_InputArea_Beds,"Not Found"))</f>
        <v>1</v>
      </c>
      <c r="IP47" s="2934"/>
      <c r="IQ47" s="2935" t="str">
        <f t="shared" si="20"/>
        <v>1 Bedroom Unit</v>
      </c>
      <c r="IR47" s="2926">
        <f t="shared" si="21"/>
        <v>1136</v>
      </c>
      <c r="IS47" s="2935"/>
      <c r="IT47" s="2931"/>
      <c r="IU47" s="2931"/>
      <c r="IV47" s="2931"/>
      <c r="IW47" s="2936" t="str">
        <f t="shared" si="22"/>
        <v>2-215</v>
      </c>
      <c r="IX47" s="2936"/>
      <c r="IY47" s="2936"/>
      <c r="IZ47" s="2936">
        <f t="shared" si="23"/>
        <v>1</v>
      </c>
      <c r="JA47" s="2936">
        <f t="shared" si="24"/>
        <v>1136</v>
      </c>
      <c r="JB47" s="2936"/>
      <c r="JC47" s="2936"/>
      <c r="JD47" s="2936"/>
      <c r="JE47" s="2936"/>
      <c r="JF47" s="2936"/>
      <c r="JG47" s="2936"/>
      <c r="JH47" s="2936">
        <f t="shared" si="25"/>
        <v>1159</v>
      </c>
      <c r="JI47" s="2936"/>
      <c r="JJ47" s="2936">
        <f t="shared" si="26"/>
      </c>
      <c r="JK47" s="2936"/>
      <c r="JL47" s="2936"/>
      <c r="JM47" s="2936"/>
      <c r="JN47" s="2936"/>
      <c r="JO47" s="2936"/>
      <c r="JP47" s="2936"/>
      <c r="JQ47" s="2936" t="str">
        <f t="shared" si="27"/>
        <v>Occupied</v>
      </c>
      <c r="JR47" s="2936" cm="1">
        <f t="array" ref="JR47">_xlfn.XLOOKUP(TRUE,EXACT(RentRoll_InputArea_DesignatedUnitType,$G47),RentRoll_InputArea_SquareFootage,"Not Found")</f>
        <v>704</v>
      </c>
      <c r="JS47" s="2936" t="str">
        <f t="shared" si="28"/>
        <v>Apartment</v>
      </c>
      <c r="JT47" s="2936">
        <f t="shared" si="29"/>
      </c>
      <c r="JU47" s="2936"/>
      <c r="JV47" s="2936"/>
      <c r="JW47" s="2936"/>
      <c r="JX47" s="2936"/>
      <c r="JY47" s="2936">
        <f t="shared" si="9"/>
        <v>43556</v>
      </c>
      <c r="JZ47" s="2936">
        <f t="shared" si="9"/>
        <v>43769</v>
      </c>
      <c r="KA47" s="2936"/>
      <c r="KB47" s="2936"/>
      <c r="KC47" s="2936"/>
      <c r="KD47" s="2936"/>
      <c r="KE47" s="2936"/>
      <c r="KF47" s="2936"/>
      <c r="KG47" s="2936"/>
      <c r="KH47" s="2936"/>
      <c r="KI47" s="2937"/>
      <c r="KJ47" s="2936"/>
      <c r="KK47" s="1353"/>
    </row>
    <row r="48" ht="15" customHeight="1">
      <c r="A48" s="2922">
        <f t="shared" si="10"/>
        <v>25</v>
      </c>
      <c r="B48" s="2865"/>
      <c r="C48" s="2873"/>
      <c r="D48" s="2873" t="s">
        <v>2792</v>
      </c>
      <c r="E48" s="2923">
        <v>1374</v>
      </c>
      <c r="F48" s="2924" t="s">
        <v>2793</v>
      </c>
      <c r="G48" s="2873" t="s">
        <v>2531</v>
      </c>
      <c r="H48" s="2923">
        <v>1424</v>
      </c>
      <c r="I48" s="2925" cm="1">
        <f t="array" ref="I48">_xlfn.LET(_xlpm.has_subsidy,$N48&gt;0,_xlpm.is_chap9_sbl,$FF$20,_xlpm.contract_rent,$H48,_xlpm.unit_type_mkt_rent,_xlfn.XLOOKUP(TRUE,EXACT($G48,RentRoll_InputArea_DesignatedUnitType),RentRoll_InputArea_MarketRent,"Not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8" s="2926">
        <f t="shared" si="11"/>
        <v>1424</v>
      </c>
      <c r="K48" s="2923"/>
      <c r="L48" s="2923"/>
      <c r="M48" s="2923"/>
      <c r="N48" s="2923"/>
      <c r="O48" s="2927">
        <v>43596</v>
      </c>
      <c r="P48" s="2927">
        <v>43890</v>
      </c>
      <c r="Q48" s="2928">
        <f t="shared" si="8"/>
      </c>
      <c r="R48" s="2928">
        <f t="shared" si="8"/>
      </c>
      <c r="S48" s="2928">
        <f t="shared" si="8"/>
        <v>1424</v>
      </c>
      <c r="T48" s="2928">
        <f t="shared" si="8"/>
      </c>
      <c r="U48" s="2928">
        <f t="shared" si="8"/>
      </c>
      <c r="V48" s="2928">
        <f t="shared" si="8"/>
      </c>
      <c r="W48" s="2928">
        <f t="shared" si="8"/>
      </c>
      <c r="X48" s="2928">
        <f t="shared" si="8"/>
      </c>
      <c r="Y48" s="2928">
        <f t="shared" si="8"/>
      </c>
      <c r="Z48" s="2928">
        <f t="shared" si="8"/>
      </c>
      <c r="AA48" s="2928">
        <f t="shared" si="8"/>
      </c>
      <c r="AB48" s="2928">
        <f t="shared" si="8"/>
      </c>
      <c r="AC48" s="2928">
        <f t="shared" si="8"/>
      </c>
      <c r="AD48" s="2928">
        <f t="shared" si="8"/>
      </c>
      <c r="AE48" s="2928">
        <f t="shared" si="8"/>
      </c>
      <c r="AF48" s="2928">
        <f t="shared" si="8"/>
      </c>
      <c r="AG48" s="2928">
        <f t="shared" si="8"/>
      </c>
      <c r="AH48" s="2928">
        <f t="shared" si="8"/>
      </c>
      <c r="AI48" s="2928">
        <f t="shared" si="8"/>
      </c>
      <c r="AJ48" s="2928">
        <f t="shared" si="8"/>
      </c>
      <c r="AK48" s="2928">
        <f t="shared" si="8"/>
      </c>
      <c r="AL48" s="2928">
        <f t="shared" si="8"/>
      </c>
      <c r="AM48" s="2928">
        <f t="shared" si="8"/>
      </c>
      <c r="AN48" s="2928">
        <f t="shared" si="8"/>
      </c>
      <c r="AO48" s="2928">
        <f t="shared" si="8"/>
      </c>
      <c r="AP48" s="2928">
        <f t="shared" si="8"/>
      </c>
      <c r="AQ48" s="2928">
        <f t="shared" si="8"/>
      </c>
      <c r="AR48" s="2928">
        <f t="shared" si="8"/>
      </c>
      <c r="AS48" s="2928">
        <f t="shared" si="8"/>
      </c>
      <c r="AT48" s="2928">
        <f t="shared" si="8"/>
      </c>
      <c r="AU48" s="2928">
        <f t="shared" si="8"/>
      </c>
      <c r="AV48" s="2928">
        <f t="shared" si="8"/>
      </c>
      <c r="AW48" s="2928">
        <f t="shared" si="8"/>
      </c>
      <c r="AX48" s="2928">
        <f t="shared" si="8"/>
      </c>
      <c r="AY48" s="2928">
        <f t="shared" si="8"/>
      </c>
      <c r="AZ48" s="2928">
        <f t="shared" si="8"/>
      </c>
      <c r="BA48" s="2928">
        <f t="shared" si="8"/>
      </c>
      <c r="BB48" s="2928">
        <f t="shared" si="8"/>
      </c>
      <c r="BC48" s="2928">
        <f t="shared" si="8"/>
      </c>
      <c r="BD48" s="2928">
        <f t="shared" si="8"/>
      </c>
      <c r="BE48" s="2928">
        <f t="shared" si="8"/>
      </c>
      <c r="BF48" s="2928">
        <f t="shared" si="8"/>
      </c>
      <c r="BG48" s="2928">
        <f t="shared" si="8"/>
      </c>
      <c r="BH48" s="2928">
        <f t="shared" si="8"/>
      </c>
      <c r="BI48" s="2928">
        <f t="shared" si="8"/>
      </c>
      <c r="BJ48" s="2928">
        <f t="shared" si="8"/>
      </c>
      <c r="BK48" s="2928">
        <f t="shared" si="8"/>
      </c>
      <c r="BL48" s="2928">
        <f t="shared" si="8"/>
      </c>
      <c r="BM48" s="2928">
        <f t="shared" si="8"/>
      </c>
      <c r="BN48" s="2928">
        <f t="shared" si="8"/>
      </c>
      <c r="BO48" s="2928">
        <f t="shared" si="8"/>
      </c>
      <c r="BP48" s="2928">
        <f t="shared" si="8"/>
      </c>
      <c r="BQ48" s="2928">
        <f t="shared" si="8"/>
      </c>
      <c r="BR48" s="2928">
        <f t="shared" si="8"/>
      </c>
      <c r="BS48" s="2928">
        <f t="shared" si="8"/>
      </c>
      <c r="BT48" s="2928">
        <f t="shared" si="8"/>
      </c>
      <c r="BU48" s="2928">
        <f t="shared" si="8"/>
      </c>
      <c r="BV48" s="2928">
        <f t="shared" si="8"/>
      </c>
      <c r="BW48" s="2928">
        <f t="shared" si="8"/>
      </c>
      <c r="BX48" s="2928">
        <f t="shared" si="8"/>
      </c>
      <c r="BY48" s="2928">
        <f t="shared" si="8"/>
      </c>
      <c r="BZ48" s="2928">
        <f t="shared" si="8"/>
      </c>
      <c r="CA48" s="2928">
        <f t="shared" si="8"/>
      </c>
      <c r="CB48" s="2928">
        <f t="shared" si="8"/>
      </c>
      <c r="CC48" s="2928">
        <f t="shared" si="8"/>
      </c>
      <c r="CD48" s="2928">
        <f t="shared" si="8"/>
      </c>
      <c r="CE48" s="2928">
        <f t="shared" si="8"/>
      </c>
      <c r="CF48" s="2928">
        <f t="shared" si="8"/>
      </c>
      <c r="CG48" s="2928">
        <f t="shared" si="8"/>
      </c>
      <c r="CH48" s="2928">
        <f t="shared" si="8"/>
      </c>
      <c r="CI48" s="2928">
        <f t="shared" si="8"/>
      </c>
      <c r="CJ48" s="2928">
        <f t="shared" si="8"/>
      </c>
      <c r="CK48" s="2928">
        <f t="shared" si="8"/>
      </c>
      <c r="CL48" s="2928">
        <f t="shared" si="8"/>
      </c>
      <c r="CM48" s="2928">
        <f t="shared" si="8"/>
      </c>
      <c r="CN48" s="2928">
        <f t="shared" si="8"/>
      </c>
      <c r="CO48" s="2928">
        <f t="shared" si="8"/>
      </c>
      <c r="CP48" s="2928">
        <f t="shared" si="8"/>
      </c>
      <c r="CQ48" s="2928">
        <f t="shared" si="8"/>
      </c>
      <c r="CR48" s="2928">
        <f t="shared" si="8"/>
      </c>
      <c r="CS48" s="2928">
        <f t="shared" si="8"/>
      </c>
      <c r="CT48" s="2928">
        <f t="shared" si="8"/>
      </c>
      <c r="CU48" s="2928">
        <f t="shared" si="8"/>
      </c>
      <c r="CV48" s="2928">
        <f t="shared" si="8"/>
      </c>
      <c r="CW48" s="2928">
        <f t="shared" si="8"/>
      </c>
      <c r="CX48" s="2928">
        <f t="shared" si="8"/>
      </c>
      <c r="CY48" s="2928">
        <f t="shared" si="8"/>
      </c>
      <c r="CZ48" s="2928">
        <f t="shared" si="8"/>
      </c>
      <c r="DA48" s="2928">
        <f t="shared" si="8"/>
      </c>
      <c r="DB48" s="2928">
        <f t="shared" si="8"/>
      </c>
      <c r="DC48" s="2928">
        <f t="shared" si="8"/>
      </c>
      <c r="DD48" s="2928">
        <f t="shared" si="8"/>
      </c>
      <c r="DE48" s="2928">
        <f t="shared" si="8"/>
      </c>
      <c r="DF48" s="2928">
        <f t="shared" si="8"/>
      </c>
      <c r="DG48" s="2928">
        <f t="shared" si="8"/>
      </c>
      <c r="DH48" s="2928">
        <f t="shared" si="8"/>
      </c>
      <c r="DI48" s="2928">
        <f t="shared" si="8"/>
      </c>
      <c r="DJ48" s="2928">
        <f t="shared" si="8"/>
      </c>
      <c r="DK48" s="2928">
        <f t="shared" si="8"/>
      </c>
      <c r="DL48" s="2928">
        <f t="shared" si="8"/>
      </c>
      <c r="DM48" s="2928">
        <f t="shared" si="8"/>
      </c>
      <c r="DN48" s="2928">
        <f t="shared" si="8"/>
      </c>
      <c r="DO48" s="2928">
        <f t="shared" si="8"/>
      </c>
      <c r="DP48" s="2928">
        <f t="shared" si="8"/>
      </c>
      <c r="DQ48" s="2928">
        <f t="shared" si="8"/>
      </c>
      <c r="DR48" s="2928">
        <f t="shared" si="8"/>
      </c>
      <c r="DS48" s="2928">
        <f t="shared" si="8"/>
      </c>
      <c r="DT48" s="2928">
        <f t="shared" si="8"/>
      </c>
      <c r="DU48" s="2928">
        <f t="shared" si="8"/>
      </c>
      <c r="DV48" s="2928">
        <f t="shared" si="8"/>
      </c>
      <c r="DW48" s="2928">
        <f t="shared" si="8"/>
      </c>
      <c r="DX48" s="2928">
        <f t="shared" si="8"/>
      </c>
      <c r="DY48" s="2928">
        <f t="shared" si="8"/>
      </c>
      <c r="DZ48" s="2928">
        <f t="shared" si="8"/>
      </c>
      <c r="EA48" s="2928">
        <f t="shared" si="8"/>
      </c>
      <c r="EB48" s="2928">
        <f t="shared" si="8"/>
      </c>
      <c r="EC48" s="2928">
        <f t="shared" si="8"/>
      </c>
      <c r="ED48" s="2928">
        <f t="shared" si="8"/>
      </c>
      <c r="EE48" s="2928">
        <f t="shared" si="8"/>
      </c>
      <c r="EF48" s="2928">
        <f t="shared" si="8"/>
      </c>
      <c r="EG48" s="2928">
        <f t="shared" si="8"/>
      </c>
      <c r="EH48" s="2928">
        <f t="shared" si="8"/>
      </c>
      <c r="EI48" s="2928">
        <f t="shared" si="8"/>
      </c>
      <c r="EJ48" s="2928">
        <f t="shared" si="8"/>
      </c>
      <c r="EK48" s="2928">
        <f t="shared" si="8"/>
      </c>
      <c r="EL48" s="2928">
        <f t="shared" si="8"/>
      </c>
      <c r="EM48" s="2928">
        <f t="shared" si="8"/>
      </c>
      <c r="EN48" s="2928">
        <f t="shared" si="8"/>
      </c>
      <c r="EO48" s="2928">
        <f t="shared" si="8"/>
      </c>
      <c r="EP48" s="2928">
        <f t="shared" si="8"/>
      </c>
      <c r="EQ48" s="2928">
        <f t="shared" si="8"/>
      </c>
      <c r="ER48" s="2928">
        <f t="shared" si="8"/>
      </c>
      <c r="ES48" s="2928">
        <f t="shared" si="8"/>
      </c>
      <c r="ET48" s="2928">
        <f t="shared" si="8"/>
      </c>
      <c r="EU48" s="2928">
        <f t="shared" si="8"/>
      </c>
      <c r="EV48" s="2928">
        <f t="shared" si="8"/>
      </c>
      <c r="EW48" s="2928">
        <f t="shared" si="8"/>
      </c>
      <c r="EX48" s="2928">
        <f t="shared" si="8"/>
      </c>
      <c r="EY48" s="2928">
        <f t="shared" si="8"/>
      </c>
      <c r="EZ48" s="2928">
        <f t="shared" si="8"/>
      </c>
      <c r="FA48" s="2929" t="str">
        <f t="shared" si="12"/>
        <v>-</v>
      </c>
      <c r="FB48" s="2825">
        <f t="shared" si="13"/>
      </c>
      <c r="FC48" s="2930" cm="1">
        <f t="array" ref="FC48">_xlfn.LET(_xlpm.unit_type,$G48,_xlpm.market_rent_from_rent_roll,$E48,_xlpm.unit_type_list,RentRoll_InputArea_DesignatedUnitType,_xlpm.rent_by_unit_type,RentRoll_InputArea_MarketRent,_xlpm.use_rent_roll_market_rent,LEFT(RR_VacantUnitMktRentSource,9)="Rent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48" s="2930">
        <f t="shared" si="14"/>
        <v>1424</v>
      </c>
      <c r="FE48" s="2930">
        <f t="shared" si="15"/>
        <v>1424</v>
      </c>
      <c r="FF48" s="2930">
        <f t="shared" si="16"/>
        <v>1424</v>
      </c>
      <c r="FG48" s="2931"/>
      <c r="FH48" s="2932">
        <f t="shared" si="17"/>
      </c>
      <c r="FI48" s="2932">
        <f t="shared" si="18"/>
      </c>
      <c r="FJ48" s="2931"/>
      <c r="FK48" s="2933" cm="1">
        <f t="array" ref="FK48">IF(AND(LEN($D48)&gt;0,ISNA(MATCH(TRUE,EXACT($G48,RentRoll_InputArea_DesignatedUnitType),0))),1,0)</f>
        <v>0</v>
      </c>
      <c r="FL48" s="2931">
        <f t="shared" si="19"/>
        <v>25</v>
      </c>
      <c r="FM48" s="2931"/>
      <c r="FN48" s="2931"/>
      <c r="FO48" s="2931"/>
      <c r="FP48" s="2931"/>
      <c r="FQ48" s="2931"/>
      <c r="FR48" s="2931"/>
      <c r="FS48" s="2931"/>
      <c r="FT48" s="2931"/>
      <c r="FU48" s="2931"/>
      <c r="FV48" s="2931"/>
      <c r="FW48" s="2931"/>
      <c r="FX48" s="2931"/>
      <c r="FY48" s="2931"/>
      <c r="FZ48" s="2931"/>
      <c r="GA48" s="2931"/>
      <c r="GB48" s="2931"/>
      <c r="GC48" s="2931"/>
      <c r="GD48" s="2931"/>
      <c r="GE48" s="2931"/>
      <c r="GF48" s="2931"/>
      <c r="GG48" s="2931"/>
      <c r="GH48" s="2931"/>
      <c r="GI48" s="2931"/>
      <c r="GJ48" s="2931"/>
      <c r="GK48" s="2931"/>
      <c r="GL48" s="2931"/>
      <c r="GM48" s="2931"/>
      <c r="GN48" s="2931"/>
      <c r="GO48" s="2931"/>
      <c r="GP48" s="2931"/>
      <c r="GQ48" s="2931"/>
      <c r="GR48" s="2931"/>
      <c r="GS48" s="2931"/>
      <c r="GT48" s="2931"/>
      <c r="GU48" s="2931"/>
      <c r="GV48" s="2931"/>
      <c r="GW48" s="2931"/>
      <c r="GX48" s="2931"/>
      <c r="GY48" s="2931"/>
      <c r="GZ48" s="2931"/>
      <c r="HA48" s="2931"/>
      <c r="HB48" s="2931"/>
      <c r="HC48" s="2931"/>
      <c r="HD48" s="2931"/>
      <c r="HE48" s="2931"/>
      <c r="HF48" s="2931"/>
      <c r="HG48" s="2931"/>
      <c r="HH48" s="2931"/>
      <c r="HI48" s="2931"/>
      <c r="HJ48" s="2931"/>
      <c r="HK48" s="2931"/>
      <c r="HL48" s="2931"/>
      <c r="HM48" s="2931"/>
      <c r="HN48" s="2931"/>
      <c r="HO48" s="2931"/>
      <c r="HP48" s="2931"/>
      <c r="HQ48" s="2931"/>
      <c r="HR48" s="2931"/>
      <c r="HS48" s="2931"/>
      <c r="HT48" s="2931"/>
      <c r="HU48" s="2931"/>
      <c r="HV48" s="2931"/>
      <c r="HW48" s="2931"/>
      <c r="HX48" s="2931"/>
      <c r="HY48" s="2931"/>
      <c r="HZ48" s="2931"/>
      <c r="IA48" s="2931"/>
      <c r="IB48" s="2931"/>
      <c r="IC48" s="2931"/>
      <c r="ID48" s="2931"/>
      <c r="IE48" s="2931"/>
      <c r="IF48" s="2931"/>
      <c r="IG48" s="2931"/>
      <c r="IH48" s="2931"/>
      <c r="II48" s="2931"/>
      <c r="IJ48" s="2931"/>
      <c r="IK48" s="2931"/>
      <c r="IL48" s="2931"/>
      <c r="IM48" s="2931"/>
      <c r="IN48" s="2931"/>
      <c r="IO48" s="2931" cm="1">
        <f t="array" ref="IO48">IF(LEN($G48)=0,"Rent Roll is incomplete",_xlfn.XLOOKUP(TRUE,EXACT(RentRoll_InputArea_DesignatedUnitType,$G48),RentRoll_InputArea_Beds,"Not Found"))</f>
        <v>2</v>
      </c>
      <c r="IP48" s="2934"/>
      <c r="IQ48" s="2935" t="str">
        <f t="shared" si="20"/>
        <v>2 Bedroom Unit</v>
      </c>
      <c r="IR48" s="2926">
        <f t="shared" si="21"/>
        <v>1424</v>
      </c>
      <c r="IS48" s="2935"/>
      <c r="IT48" s="2931"/>
      <c r="IU48" s="2931"/>
      <c r="IV48" s="2931"/>
      <c r="IW48" s="2936" t="str">
        <f t="shared" si="22"/>
        <v>3-300</v>
      </c>
      <c r="IX48" s="2936"/>
      <c r="IY48" s="2936"/>
      <c r="IZ48" s="2936">
        <f t="shared" si="23"/>
        <v>2</v>
      </c>
      <c r="JA48" s="2936">
        <f t="shared" si="24"/>
        <v>1424</v>
      </c>
      <c r="JB48" s="2936"/>
      <c r="JC48" s="2936"/>
      <c r="JD48" s="2936"/>
      <c r="JE48" s="2936"/>
      <c r="JF48" s="2936"/>
      <c r="JG48" s="2936"/>
      <c r="JH48" s="2936">
        <f t="shared" si="25"/>
        <v>1410</v>
      </c>
      <c r="JI48" s="2936"/>
      <c r="JJ48" s="2936">
        <f t="shared" si="26"/>
      </c>
      <c r="JK48" s="2936"/>
      <c r="JL48" s="2936"/>
      <c r="JM48" s="2936"/>
      <c r="JN48" s="2936"/>
      <c r="JO48" s="2936"/>
      <c r="JP48" s="2936"/>
      <c r="JQ48" s="2936" t="str">
        <f t="shared" si="27"/>
        <v>Occupied</v>
      </c>
      <c r="JR48" s="2936" cm="1">
        <f t="array" ref="JR48">_xlfn.XLOOKUP(TRUE,EXACT(RentRoll_InputArea_DesignatedUnitType,$G48),RentRoll_InputArea_SquareFootage,"Not Found")</f>
        <v>851</v>
      </c>
      <c r="JS48" s="2936" t="str">
        <f t="shared" si="28"/>
        <v>Apartment</v>
      </c>
      <c r="JT48" s="2936">
        <f t="shared" si="29"/>
      </c>
      <c r="JU48" s="2936"/>
      <c r="JV48" s="2936"/>
      <c r="JW48" s="2936"/>
      <c r="JX48" s="2936"/>
      <c r="JY48" s="2936">
        <f t="shared" si="9"/>
        <v>43596</v>
      </c>
      <c r="JZ48" s="2936">
        <f t="shared" si="9"/>
        <v>43890</v>
      </c>
      <c r="KA48" s="2936"/>
      <c r="KB48" s="2936"/>
      <c r="KC48" s="2936"/>
      <c r="KD48" s="2936"/>
      <c r="KE48" s="2936"/>
      <c r="KF48" s="2936"/>
      <c r="KG48" s="2936"/>
      <c r="KH48" s="2936"/>
      <c r="KI48" s="2937"/>
      <c r="KJ48" s="2936"/>
      <c r="KK48" s="1353"/>
    </row>
    <row r="49" ht="15" customHeight="1">
      <c r="A49" s="2922">
        <f t="shared" si="10"/>
        <v>26</v>
      </c>
      <c r="B49" s="2865"/>
      <c r="C49" s="2873"/>
      <c r="D49" s="2873" t="s">
        <v>2794</v>
      </c>
      <c r="E49" s="2923">
        <v>1373</v>
      </c>
      <c r="F49" s="2924" t="s">
        <v>2795</v>
      </c>
      <c r="G49" s="2873" t="s">
        <v>2531</v>
      </c>
      <c r="H49" s="2923">
        <v>1482</v>
      </c>
      <c r="I49" s="2925" cm="1">
        <f t="array" ref="I49">_xlfn.LET(_xlpm.has_subsidy,$N49&gt;0,_xlpm.is_chap9_sbl,$FF$20,_xlpm.contract_rent,$H49,_xlpm.unit_type_mkt_rent,_xlfn.XLOOKUP(TRUE,EXACT($G49,RentRoll_InputArea_DesignatedUnitType),RentRoll_InputArea_MarketRent,"Not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49" s="2926">
        <f t="shared" si="11"/>
        <v>1482</v>
      </c>
      <c r="K49" s="2923"/>
      <c r="L49" s="2923"/>
      <c r="M49" s="2923"/>
      <c r="N49" s="2923"/>
      <c r="O49" s="2927">
        <v>43601</v>
      </c>
      <c r="P49" s="2927">
        <v>43830</v>
      </c>
      <c r="Q49" s="2928">
        <f t="shared" si="8"/>
      </c>
      <c r="R49" s="2928">
        <f t="shared" si="8"/>
      </c>
      <c r="S49" s="2928">
        <f t="shared" si="8"/>
        <v>1482</v>
      </c>
      <c r="T49" s="2928">
        <f t="shared" si="8"/>
      </c>
      <c r="U49" s="2928">
        <f t="shared" si="8"/>
      </c>
      <c r="V49" s="2928">
        <f t="shared" si="8"/>
      </c>
      <c r="W49" s="2928">
        <f t="shared" si="8"/>
      </c>
      <c r="X49" s="2928">
        <f t="shared" si="8"/>
      </c>
      <c r="Y49" s="2928">
        <f t="shared" si="8"/>
      </c>
      <c r="Z49" s="2928">
        <f t="shared" si="8"/>
      </c>
      <c r="AA49" s="2928">
        <f t="shared" si="8"/>
      </c>
      <c r="AB49" s="2928">
        <f t="shared" si="8"/>
      </c>
      <c r="AC49" s="2928">
        <f t="shared" si="8"/>
      </c>
      <c r="AD49" s="2928">
        <f t="shared" si="8"/>
      </c>
      <c r="AE49" s="2928">
        <f t="shared" si="8"/>
      </c>
      <c r="AF49" s="2928">
        <f t="shared" si="8"/>
      </c>
      <c r="AG49" s="2928">
        <f t="shared" si="8"/>
      </c>
      <c r="AH49" s="2928">
        <f t="shared" si="8"/>
      </c>
      <c r="AI49" s="2928">
        <f t="shared" si="8"/>
      </c>
      <c r="AJ49" s="2928">
        <f t="shared" si="8"/>
      </c>
      <c r="AK49" s="2928">
        <f t="shared" si="8"/>
      </c>
      <c r="AL49" s="2928">
        <f t="shared" si="8"/>
      </c>
      <c r="AM49" s="2928">
        <f t="shared" si="8"/>
      </c>
      <c r="AN49" s="2928">
        <f t="shared" si="8"/>
      </c>
      <c r="AO49" s="2928">
        <f t="shared" si="8"/>
      </c>
      <c r="AP49" s="2928">
        <f t="shared" si="8"/>
      </c>
      <c r="AQ49" s="2928">
        <f t="shared" si="8"/>
      </c>
      <c r="AR49" s="2928">
        <f t="shared" si="8"/>
      </c>
      <c r="AS49" s="2928">
        <f t="shared" si="8"/>
      </c>
      <c r="AT49" s="2928">
        <f t="shared" si="8"/>
      </c>
      <c r="AU49" s="2928">
        <f t="shared" si="8"/>
      </c>
      <c r="AV49" s="2928">
        <f t="shared" si="8"/>
      </c>
      <c r="AW49" s="2928">
        <f t="shared" si="8"/>
      </c>
      <c r="AX49" s="2928">
        <f t="shared" si="8"/>
      </c>
      <c r="AY49" s="2928">
        <f t="shared" si="8"/>
      </c>
      <c r="AZ49" s="2928">
        <f t="shared" si="8"/>
      </c>
      <c r="BA49" s="2928">
        <f t="shared" si="8"/>
      </c>
      <c r="BB49" s="2928">
        <f t="shared" si="8"/>
      </c>
      <c r="BC49" s="2928">
        <f t="shared" si="8"/>
      </c>
      <c r="BD49" s="2928">
        <f t="shared" si="8"/>
      </c>
      <c r="BE49" s="2928">
        <f t="shared" si="8"/>
      </c>
      <c r="BF49" s="2928">
        <f t="shared" si="8"/>
      </c>
      <c r="BG49" s="2928">
        <f t="shared" si="8"/>
      </c>
      <c r="BH49" s="2928">
        <f t="shared" si="8"/>
      </c>
      <c r="BI49" s="2928">
        <f t="shared" si="8"/>
      </c>
      <c r="BJ49" s="2928">
        <f t="shared" si="8"/>
      </c>
      <c r="BK49" s="2928">
        <f t="shared" si="8"/>
      </c>
      <c r="BL49" s="2928">
        <f t="shared" si="8"/>
      </c>
      <c r="BM49" s="2928">
        <f t="shared" si="8"/>
      </c>
      <c r="BN49" s="2928">
        <f t="shared" si="8"/>
      </c>
      <c r="BO49" s="2928">
        <f t="shared" si="8"/>
      </c>
      <c r="BP49" s="2928">
        <f t="shared" si="8"/>
      </c>
      <c r="BQ49" s="2928">
        <f t="shared" si="8"/>
      </c>
      <c r="BR49" s="2928">
        <f t="shared" si="8"/>
      </c>
      <c r="BS49" s="2928">
        <f t="shared" si="8"/>
      </c>
      <c r="BT49" s="2928">
        <f t="shared" si="8"/>
      </c>
      <c r="BU49" s="2928">
        <f t="shared" si="8"/>
      </c>
      <c r="BV49" s="2928">
        <f t="shared" si="8"/>
      </c>
      <c r="BW49" s="2928">
        <f t="shared" si="8"/>
      </c>
      <c r="BX49" s="2928">
        <f t="shared" si="8"/>
      </c>
      <c r="BY49" s="2928">
        <f t="shared" si="8"/>
      </c>
      <c r="BZ49" s="2928">
        <f t="shared" si="8"/>
      </c>
      <c r="CA49" s="2928">
        <f t="shared" si="8"/>
      </c>
      <c r="CB49" s="2928">
        <f t="shared" si="8"/>
      </c>
      <c r="CC49" s="2928">
        <f t="shared" si="8"/>
      </c>
      <c r="CD49" s="2928">
        <f t="shared" si="8"/>
      </c>
      <c r="CE49" s="2928">
        <f t="shared" si="8"/>
      </c>
      <c r="CF49" s="2928">
        <f t="shared" si="8"/>
      </c>
      <c r="CG49" s="2928">
        <f t="shared" si="8"/>
      </c>
      <c r="CH49" s="2928">
        <f t="shared" si="8"/>
      </c>
      <c r="CI49" s="2928">
        <f t="shared" si="8"/>
      </c>
      <c r="CJ49" s="2928">
        <f t="shared" si="8"/>
      </c>
      <c r="CK49" s="2928">
        <f t="shared" si="8"/>
      </c>
      <c r="CL49" s="2928">
        <f t="shared" si="8"/>
      </c>
      <c r="CM49" s="2928">
        <f t="shared" si="8"/>
      </c>
      <c r="CN49" s="2928">
        <f t="shared" si="8"/>
      </c>
      <c r="CO49" s="2928">
        <f t="shared" si="8"/>
      </c>
      <c r="CP49" s="2928">
        <f t="shared" si="8"/>
      </c>
      <c r="CQ49" s="2928">
        <f t="shared" si="8"/>
      </c>
      <c r="CR49" s="2928">
        <f t="shared" si="8"/>
      </c>
      <c r="CS49" s="2928">
        <f t="shared" si="8"/>
      </c>
      <c r="CT49" s="2928">
        <f t="shared" si="8"/>
      </c>
      <c r="CU49" s="2928">
        <f t="shared" si="8"/>
      </c>
      <c r="CV49" s="2928">
        <f t="shared" si="8"/>
      </c>
      <c r="CW49" s="2928">
        <f t="shared" si="8"/>
      </c>
      <c r="CX49" s="2928">
        <f t="shared" si="8"/>
      </c>
      <c r="CY49" s="2928">
        <f t="shared" si="8"/>
      </c>
      <c r="CZ49" s="2928">
        <f t="shared" si="8"/>
      </c>
      <c r="DA49" s="2928">
        <f t="shared" si="8"/>
      </c>
      <c r="DB49" s="2928">
        <f t="shared" si="8"/>
      </c>
      <c r="DC49" s="2928">
        <f t="shared" si="8"/>
      </c>
      <c r="DD49" s="2928">
        <f t="shared" si="8"/>
      </c>
      <c r="DE49" s="2928">
        <f t="shared" si="8"/>
      </c>
      <c r="DF49" s="2928">
        <f t="shared" si="8"/>
      </c>
      <c r="DG49" s="2928">
        <f t="shared" si="8"/>
      </c>
      <c r="DH49" s="2928">
        <f t="shared" si="8"/>
      </c>
      <c r="DI49" s="2928">
        <f t="shared" si="8"/>
      </c>
      <c r="DJ49" s="2928">
        <f t="shared" si="8"/>
      </c>
      <c r="DK49" s="2928">
        <f t="shared" si="8"/>
      </c>
      <c r="DL49" s="2928">
        <f t="shared" si="8"/>
      </c>
      <c r="DM49" s="2928">
        <f t="shared" si="8"/>
      </c>
      <c r="DN49" s="2928">
        <f t="shared" si="8"/>
      </c>
      <c r="DO49" s="2928">
        <f t="shared" si="8"/>
      </c>
      <c r="DP49" s="2928">
        <f t="shared" si="8"/>
      </c>
      <c r="DQ49" s="2928">
        <f t="shared" si="8"/>
      </c>
      <c r="DR49" s="2928">
        <f t="shared" si="8"/>
      </c>
      <c r="DS49" s="2928">
        <f t="shared" si="8"/>
      </c>
      <c r="DT49" s="2928">
        <f t="shared" si="8"/>
      </c>
      <c r="DU49" s="2928">
        <f t="shared" si="8"/>
      </c>
      <c r="DV49" s="2928">
        <f t="shared" si="8"/>
      </c>
      <c r="DW49" s="2928">
        <f t="shared" si="8"/>
      </c>
      <c r="DX49" s="2928">
        <f t="shared" si="8"/>
      </c>
      <c r="DY49" s="2928">
        <f t="shared" si="8"/>
      </c>
      <c r="DZ49" s="2928">
        <f t="shared" si="8"/>
      </c>
      <c r="EA49" s="2928">
        <f t="shared" si="8"/>
      </c>
      <c r="EB49" s="2928">
        <f t="shared" si="8"/>
      </c>
      <c r="EC49" s="2928">
        <f t="shared" si="8"/>
      </c>
      <c r="ED49" s="2928">
        <f t="shared" si="8"/>
      </c>
      <c r="EE49" s="2928">
        <f t="shared" si="8"/>
      </c>
      <c r="EF49" s="2928">
        <f t="shared" si="8"/>
      </c>
      <c r="EG49" s="2928">
        <f t="shared" si="8"/>
      </c>
      <c r="EH49" s="2928">
        <f t="shared" si="8"/>
      </c>
      <c r="EI49" s="2928">
        <f t="shared" si="8"/>
      </c>
      <c r="EJ49" s="2928">
        <f t="shared" si="8"/>
      </c>
      <c r="EK49" s="2928">
        <f t="shared" si="8"/>
      </c>
      <c r="EL49" s="2928">
        <f t="shared" si="8"/>
      </c>
      <c r="EM49" s="2928">
        <f t="shared" si="8"/>
      </c>
      <c r="EN49" s="2928">
        <f t="shared" si="8"/>
      </c>
      <c r="EO49" s="2928">
        <f t="shared" si="8"/>
      </c>
      <c r="EP49" s="2928">
        <f t="shared" si="8"/>
      </c>
      <c r="EQ49" s="2928">
        <f t="shared" si="8"/>
      </c>
      <c r="ER49" s="2928">
        <f t="shared" si="8"/>
      </c>
      <c r="ES49" s="2928">
        <f t="shared" si="8"/>
      </c>
      <c r="ET49" s="2928">
        <f t="shared" si="8"/>
      </c>
      <c r="EU49" s="2928">
        <f t="shared" si="8"/>
      </c>
      <c r="EV49" s="2928">
        <f t="shared" si="8"/>
      </c>
      <c r="EW49" s="2928">
        <f t="shared" si="8"/>
      </c>
      <c r="EX49" s="2928">
        <f t="shared" si="8"/>
      </c>
      <c r="EY49" s="2928">
        <f t="shared" si="8"/>
      </c>
      <c r="EZ49" s="2928">
        <f t="shared" si="8"/>
      </c>
      <c r="FA49" s="2929" t="str">
        <f t="shared" si="12"/>
        <v>-</v>
      </c>
      <c r="FB49" s="2825">
        <f t="shared" si="13"/>
      </c>
      <c r="FC49" s="2930" cm="1">
        <f t="array" ref="FC49">_xlfn.LET(_xlpm.unit_type,$G49,_xlpm.market_rent_from_rent_roll,$E49,_xlpm.unit_type_list,RentRoll_InputArea_DesignatedUnitType,_xlpm.rent_by_unit_type,RentRoll_InputArea_MarketRent,_xlpm.use_rent_roll_market_rent,LEFT(RR_VacantUnitMktRentSource,9)="Rent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49" s="2930">
        <f t="shared" si="14"/>
        <v>1482</v>
      </c>
      <c r="FE49" s="2930">
        <f t="shared" si="15"/>
        <v>1482</v>
      </c>
      <c r="FF49" s="2930">
        <f t="shared" si="16"/>
        <v>1482</v>
      </c>
      <c r="FG49" s="2931"/>
      <c r="FH49" s="2932">
        <f t="shared" si="17"/>
      </c>
      <c r="FI49" s="2932">
        <f t="shared" si="18"/>
      </c>
      <c r="FJ49" s="2931"/>
      <c r="FK49" s="2933" cm="1">
        <f t="array" ref="FK49">IF(AND(LEN($D49)&gt;0,ISNA(MATCH(TRUE,EXACT($G49,RentRoll_InputArea_DesignatedUnitType),0))),1,0)</f>
        <v>0</v>
      </c>
      <c r="FL49" s="2931">
        <f t="shared" si="19"/>
        <v>26</v>
      </c>
      <c r="FM49" s="2931"/>
      <c r="FN49" s="2931"/>
      <c r="FO49" s="2931"/>
      <c r="FP49" s="2931"/>
      <c r="FQ49" s="2931"/>
      <c r="FR49" s="2931"/>
      <c r="FS49" s="2931"/>
      <c r="FT49" s="2931"/>
      <c r="FU49" s="2931"/>
      <c r="FV49" s="2931"/>
      <c r="FW49" s="2931"/>
      <c r="FX49" s="2931"/>
      <c r="FY49" s="2931"/>
      <c r="FZ49" s="2931"/>
      <c r="GA49" s="2931"/>
      <c r="GB49" s="2931"/>
      <c r="GC49" s="2931"/>
      <c r="GD49" s="2931"/>
      <c r="GE49" s="2931"/>
      <c r="GF49" s="2931"/>
      <c r="GG49" s="2931"/>
      <c r="GH49" s="2931"/>
      <c r="GI49" s="2931"/>
      <c r="GJ49" s="2931"/>
      <c r="GK49" s="2931"/>
      <c r="GL49" s="2931"/>
      <c r="GM49" s="2931"/>
      <c r="GN49" s="2931"/>
      <c r="GO49" s="2931"/>
      <c r="GP49" s="2931"/>
      <c r="GQ49" s="2931"/>
      <c r="GR49" s="2931"/>
      <c r="GS49" s="2931"/>
      <c r="GT49" s="2931"/>
      <c r="GU49" s="2931"/>
      <c r="GV49" s="2931"/>
      <c r="GW49" s="2931"/>
      <c r="GX49" s="2931"/>
      <c r="GY49" s="2931"/>
      <c r="GZ49" s="2931"/>
      <c r="HA49" s="2931"/>
      <c r="HB49" s="2931"/>
      <c r="HC49" s="2931"/>
      <c r="HD49" s="2931"/>
      <c r="HE49" s="2931"/>
      <c r="HF49" s="2931"/>
      <c r="HG49" s="2931"/>
      <c r="HH49" s="2931"/>
      <c r="HI49" s="2931"/>
      <c r="HJ49" s="2931"/>
      <c r="HK49" s="2931"/>
      <c r="HL49" s="2931"/>
      <c r="HM49" s="2931"/>
      <c r="HN49" s="2931"/>
      <c r="HO49" s="2931"/>
      <c r="HP49" s="2931"/>
      <c r="HQ49" s="2931"/>
      <c r="HR49" s="2931"/>
      <c r="HS49" s="2931"/>
      <c r="HT49" s="2931"/>
      <c r="HU49" s="2931"/>
      <c r="HV49" s="2931"/>
      <c r="HW49" s="2931"/>
      <c r="HX49" s="2931"/>
      <c r="HY49" s="2931"/>
      <c r="HZ49" s="2931"/>
      <c r="IA49" s="2931"/>
      <c r="IB49" s="2931"/>
      <c r="IC49" s="2931"/>
      <c r="ID49" s="2931"/>
      <c r="IE49" s="2931"/>
      <c r="IF49" s="2931"/>
      <c r="IG49" s="2931"/>
      <c r="IH49" s="2931"/>
      <c r="II49" s="2931"/>
      <c r="IJ49" s="2931"/>
      <c r="IK49" s="2931"/>
      <c r="IL49" s="2931"/>
      <c r="IM49" s="2931"/>
      <c r="IN49" s="2931"/>
      <c r="IO49" s="2931" cm="1">
        <f t="array" ref="IO49">IF(LEN($G49)=0,"Rent Roll is incomplete",_xlfn.XLOOKUP(TRUE,EXACT(RentRoll_InputArea_DesignatedUnitType,$G49),RentRoll_InputArea_Beds,"Not Found"))</f>
        <v>2</v>
      </c>
      <c r="IP49" s="2934"/>
      <c r="IQ49" s="2935" t="str">
        <f t="shared" si="20"/>
        <v>2 Bedroom Unit</v>
      </c>
      <c r="IR49" s="2926">
        <f t="shared" si="21"/>
        <v>1482</v>
      </c>
      <c r="IS49" s="2935"/>
      <c r="IT49" s="2931"/>
      <c r="IU49" s="2931"/>
      <c r="IV49" s="2931"/>
      <c r="IW49" s="2936" t="str">
        <f t="shared" si="22"/>
        <v>3-301</v>
      </c>
      <c r="IX49" s="2936"/>
      <c r="IY49" s="2936"/>
      <c r="IZ49" s="2936">
        <f t="shared" si="23"/>
        <v>2</v>
      </c>
      <c r="JA49" s="2936">
        <f t="shared" si="24"/>
        <v>1482</v>
      </c>
      <c r="JB49" s="2936"/>
      <c r="JC49" s="2936"/>
      <c r="JD49" s="2936"/>
      <c r="JE49" s="2936"/>
      <c r="JF49" s="2936"/>
      <c r="JG49" s="2936"/>
      <c r="JH49" s="2936">
        <f t="shared" si="25"/>
        <v>1410</v>
      </c>
      <c r="JI49" s="2936"/>
      <c r="JJ49" s="2936">
        <f t="shared" si="26"/>
      </c>
      <c r="JK49" s="2936"/>
      <c r="JL49" s="2936"/>
      <c r="JM49" s="2936"/>
      <c r="JN49" s="2936"/>
      <c r="JO49" s="2936"/>
      <c r="JP49" s="2936"/>
      <c r="JQ49" s="2936" t="str">
        <f t="shared" si="27"/>
        <v>Occupied</v>
      </c>
      <c r="JR49" s="2936" cm="1">
        <f t="array" ref="JR49">_xlfn.XLOOKUP(TRUE,EXACT(RentRoll_InputArea_DesignatedUnitType,$G49),RentRoll_InputArea_SquareFootage,"Not Found")</f>
        <v>851</v>
      </c>
      <c r="JS49" s="2936" t="str">
        <f t="shared" si="28"/>
        <v>Apartment</v>
      </c>
      <c r="JT49" s="2936">
        <f t="shared" si="29"/>
      </c>
      <c r="JU49" s="2936"/>
      <c r="JV49" s="2936"/>
      <c r="JW49" s="2936"/>
      <c r="JX49" s="2936"/>
      <c r="JY49" s="2936">
        <f t="shared" si="9"/>
        <v>43601</v>
      </c>
      <c r="JZ49" s="2936">
        <f t="shared" si="9"/>
        <v>43830</v>
      </c>
      <c r="KA49" s="2936"/>
      <c r="KB49" s="2936"/>
      <c r="KC49" s="2936"/>
      <c r="KD49" s="2936"/>
      <c r="KE49" s="2936"/>
      <c r="KF49" s="2936"/>
      <c r="KG49" s="2936"/>
      <c r="KH49" s="2936"/>
      <c r="KI49" s="2937"/>
      <c r="KJ49" s="2936"/>
      <c r="KK49" s="1353"/>
    </row>
    <row r="50" ht="15" customHeight="1">
      <c r="A50" s="2922">
        <f t="shared" si="10"/>
        <v>27</v>
      </c>
      <c r="B50" s="2865"/>
      <c r="C50" s="2873"/>
      <c r="D50" s="2873" t="s">
        <v>2796</v>
      </c>
      <c r="E50" s="2923">
        <v>1411</v>
      </c>
      <c r="F50" s="2924" t="s">
        <v>2797</v>
      </c>
      <c r="G50" s="2873" t="s">
        <v>2531</v>
      </c>
      <c r="H50" s="2923">
        <v>1303</v>
      </c>
      <c r="I50" s="2925" cm="1">
        <f t="array" ref="I50">_xlfn.LET(_xlpm.has_subsidy,$N50&gt;0,_xlpm.is_chap9_sbl,$FF$20,_xlpm.contract_rent,$H50,_xlpm.unit_type_mkt_rent,_xlfn.XLOOKUP(TRUE,EXACT($G50,RentRoll_InputArea_DesignatedUnitType),RentRoll_InputArea_MarketRent,"Not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0" s="2926">
        <f t="shared" si="11"/>
        <v>1303</v>
      </c>
      <c r="K50" s="2923"/>
      <c r="L50" s="2923"/>
      <c r="M50" s="2923"/>
      <c r="N50" s="2923"/>
      <c r="O50" s="2927">
        <v>43435</v>
      </c>
      <c r="P50" s="2927">
        <v>43708</v>
      </c>
      <c r="Q50" s="2928">
        <f t="shared" si="8"/>
      </c>
      <c r="R50" s="2928">
        <f t="shared" si="8"/>
      </c>
      <c r="S50" s="2928">
        <f t="shared" si="8"/>
        <v>1303</v>
      </c>
      <c r="T50" s="2928">
        <f t="shared" si="8"/>
      </c>
      <c r="U50" s="2928">
        <f t="shared" si="8"/>
      </c>
      <c r="V50" s="2928">
        <f t="shared" si="8"/>
      </c>
      <c r="W50" s="2928">
        <f t="shared" si="8"/>
      </c>
      <c r="X50" s="2928">
        <f t="shared" si="8"/>
      </c>
      <c r="Y50" s="2928">
        <f t="shared" si="8"/>
      </c>
      <c r="Z50" s="2928">
        <f t="shared" si="8"/>
      </c>
      <c r="AA50" s="2928">
        <f t="shared" si="8"/>
      </c>
      <c r="AB50" s="2928">
        <f t="shared" si="8"/>
      </c>
      <c r="AC50" s="2928">
        <f t="shared" si="8"/>
      </c>
      <c r="AD50" s="2928">
        <f t="shared" si="8"/>
      </c>
      <c r="AE50" s="2928">
        <f t="shared" si="8"/>
      </c>
      <c r="AF50" s="2928">
        <f t="shared" si="8"/>
      </c>
      <c r="AG50" s="2928">
        <f t="shared" si="8"/>
      </c>
      <c r="AH50" s="2928">
        <f t="shared" si="8"/>
      </c>
      <c r="AI50" s="2928">
        <f t="shared" si="8"/>
      </c>
      <c r="AJ50" s="2928">
        <f t="shared" si="8"/>
      </c>
      <c r="AK50" s="2928">
        <f t="shared" si="8"/>
      </c>
      <c r="AL50" s="2928">
        <f t="shared" si="8"/>
      </c>
      <c r="AM50" s="2928">
        <f t="shared" si="8"/>
      </c>
      <c r="AN50" s="2928">
        <f t="shared" si="8"/>
      </c>
      <c r="AO50" s="2928">
        <f t="shared" si="8"/>
      </c>
      <c r="AP50" s="2928">
        <f t="shared" si="8"/>
      </c>
      <c r="AQ50" s="2928">
        <f t="shared" si="8"/>
      </c>
      <c r="AR50" s="2928">
        <f t="shared" si="8"/>
      </c>
      <c r="AS50" s="2928">
        <f t="shared" si="8"/>
      </c>
      <c r="AT50" s="2928">
        <f t="shared" si="8"/>
      </c>
      <c r="AU50" s="2928">
        <f t="shared" si="8"/>
      </c>
      <c r="AV50" s="2928">
        <f t="shared" si="8"/>
      </c>
      <c r="AW50" s="2928">
        <f t="shared" si="8"/>
      </c>
      <c r="AX50" s="2928">
        <f t="shared" si="8"/>
      </c>
      <c r="AY50" s="2928">
        <f t="shared" si="8"/>
      </c>
      <c r="AZ50" s="2928">
        <f t="shared" si="8"/>
      </c>
      <c r="BA50" s="2928">
        <f t="shared" si="8"/>
      </c>
      <c r="BB50" s="2928">
        <f t="shared" si="8"/>
      </c>
      <c r="BC50" s="2928">
        <f t="shared" si="8"/>
      </c>
      <c r="BD50" s="2928">
        <f t="shared" si="8"/>
      </c>
      <c r="BE50" s="2928">
        <f t="shared" si="8"/>
      </c>
      <c r="BF50" s="2928">
        <f t="shared" si="8"/>
      </c>
      <c r="BG50" s="2928">
        <f t="shared" si="8"/>
      </c>
      <c r="BH50" s="2928">
        <f t="shared" si="8"/>
      </c>
      <c r="BI50" s="2928">
        <f t="shared" si="8"/>
      </c>
      <c r="BJ50" s="2928">
        <f t="shared" si="8"/>
      </c>
      <c r="BK50" s="2928">
        <f t="shared" si="8"/>
      </c>
      <c r="BL50" s="2928">
        <f t="shared" si="8"/>
      </c>
      <c r="BM50" s="2928">
        <f t="shared" si="8"/>
      </c>
      <c r="BN50" s="2928">
        <f t="shared" si="8"/>
      </c>
      <c r="BO50" s="2928">
        <f t="shared" si="8"/>
      </c>
      <c r="BP50" s="2928">
        <f t="shared" si="8"/>
      </c>
      <c r="BQ50" s="2928">
        <f t="shared" si="8"/>
      </c>
      <c r="BR50" s="2928">
        <f t="shared" si="8"/>
      </c>
      <c r="BS50" s="2928">
        <f t="shared" si="8"/>
      </c>
      <c r="BT50" s="2928">
        <f t="shared" si="8"/>
      </c>
      <c r="BU50" s="2928">
        <f t="shared" si="8"/>
      </c>
      <c r="BV50" s="2928">
        <f t="shared" si="8"/>
      </c>
      <c r="BW50" s="2928">
        <f t="shared" si="8"/>
      </c>
      <c r="BX50" s="2928">
        <f t="shared" si="8"/>
      </c>
      <c r="BY50" s="2928">
        <f t="shared" si="8"/>
      </c>
      <c r="BZ50" s="2928">
        <f t="shared" si="8"/>
      </c>
      <c r="CA50" s="2928">
        <f t="shared" si="8"/>
      </c>
      <c r="CB50" s="2928">
        <f t="shared" si="8"/>
      </c>
      <c r="CC50" s="2928">
        <f t="shared" si="8"/>
      </c>
      <c r="CD50" s="2928">
        <f t="shared" si="8"/>
      </c>
      <c r="CE50" s="2928">
        <f t="shared" si="8"/>
      </c>
      <c r="CF50" s="2928">
        <f t="shared" si="8"/>
      </c>
      <c r="CG50" s="2928">
        <f t="shared" si="8"/>
      </c>
      <c r="CH50" s="2928">
        <f t="shared" si="8"/>
      </c>
      <c r="CI50" s="2928">
        <f t="shared" si="8"/>
      </c>
      <c r="CJ50" s="2928">
        <f t="shared" si="8"/>
      </c>
      <c r="CK50" s="2928">
        <f t="shared" si="8"/>
      </c>
      <c r="CL50" s="2928">
        <f t="shared" si="8"/>
      </c>
      <c r="CM50" s="2928">
        <f t="shared" si="8"/>
      </c>
      <c r="CN50" s="2928">
        <f t="shared" si="8"/>
      </c>
      <c r="CO50" s="2928">
        <f t="shared" si="8"/>
      </c>
      <c r="CP50" s="2928">
        <f t="shared" si="8"/>
      </c>
      <c r="CQ50" s="2928">
        <f t="shared" si="8"/>
      </c>
      <c r="CR50" s="2928">
        <f t="shared" si="8"/>
      </c>
      <c r="CS50" s="2928">
        <f t="shared" si="8"/>
      </c>
      <c r="CT50" s="2928">
        <f t="shared" si="8"/>
      </c>
      <c r="CU50" s="2928">
        <f t="shared" si="8"/>
      </c>
      <c r="CV50" s="2928">
        <f t="shared" si="8"/>
      </c>
      <c r="CW50" s="2928">
        <f t="shared" si="8"/>
      </c>
      <c r="CX50" s="2928">
        <f t="shared" si="8"/>
      </c>
      <c r="CY50" s="2928">
        <f t="shared" si="8"/>
      </c>
      <c r="CZ50" s="2928">
        <f t="shared" si="8"/>
      </c>
      <c r="DA50" s="2928">
        <f t="shared" si="8"/>
      </c>
      <c r="DB50" s="2928">
        <f t="shared" si="8"/>
      </c>
      <c r="DC50" s="2928">
        <f t="shared" si="8"/>
      </c>
      <c r="DD50" s="2928">
        <f t="shared" si="8"/>
      </c>
      <c r="DE50" s="2928">
        <f t="shared" si="8"/>
      </c>
      <c r="DF50" s="2928">
        <f t="shared" si="8"/>
      </c>
      <c r="DG50" s="2928">
        <f t="shared" si="8"/>
      </c>
      <c r="DH50" s="2928">
        <f t="shared" si="8"/>
      </c>
      <c r="DI50" s="2928">
        <f t="shared" si="8"/>
      </c>
      <c r="DJ50" s="2928">
        <f t="shared" si="8"/>
      </c>
      <c r="DK50" s="2928">
        <f t="shared" si="8"/>
      </c>
      <c r="DL50" s="2928">
        <f t="shared" si="8"/>
      </c>
      <c r="DM50" s="2928">
        <f t="shared" si="8"/>
      </c>
      <c r="DN50" s="2928">
        <f t="shared" si="8"/>
      </c>
      <c r="DO50" s="2928">
        <f t="shared" si="8"/>
      </c>
      <c r="DP50" s="2928">
        <f t="shared" si="8"/>
      </c>
      <c r="DQ50" s="2928">
        <f t="shared" si="8"/>
      </c>
      <c r="DR50" s="2928">
        <f t="shared" si="8"/>
      </c>
      <c r="DS50" s="2928">
        <f t="shared" si="8"/>
      </c>
      <c r="DT50" s="2928">
        <f t="shared" si="8"/>
      </c>
      <c r="DU50" s="2928">
        <f t="shared" si="8"/>
      </c>
      <c r="DV50" s="2928">
        <f t="shared" si="8"/>
      </c>
      <c r="DW50" s="2928">
        <f t="shared" si="8"/>
      </c>
      <c r="DX50" s="2928">
        <f t="shared" si="8"/>
      </c>
      <c r="DY50" s="2928">
        <f t="shared" si="8"/>
      </c>
      <c r="DZ50" s="2928">
        <f t="shared" si="8"/>
      </c>
      <c r="EA50" s="2928">
        <f t="shared" si="8"/>
      </c>
      <c r="EB50" s="2928">
        <f t="shared" si="8"/>
      </c>
      <c r="EC50" s="2928">
        <f t="shared" si="8"/>
      </c>
      <c r="ED50" s="2928">
        <f t="shared" si="8"/>
      </c>
      <c r="EE50" s="2928">
        <f t="shared" si="8"/>
      </c>
      <c r="EF50" s="2928">
        <f t="shared" si="8"/>
      </c>
      <c r="EG50" s="2928">
        <f t="shared" si="8"/>
      </c>
      <c r="EH50" s="2928">
        <f t="shared" si="8"/>
      </c>
      <c r="EI50" s="2928">
        <f t="shared" si="8"/>
      </c>
      <c r="EJ50" s="2928">
        <f t="shared" si="8"/>
      </c>
      <c r="EK50" s="2928">
        <f t="shared" si="8"/>
      </c>
      <c r="EL50" s="2928">
        <f t="shared" si="8"/>
      </c>
      <c r="EM50" s="2928">
        <f t="shared" si="8"/>
      </c>
      <c r="EN50" s="2928">
        <f t="shared" si="8"/>
      </c>
      <c r="EO50" s="2928">
        <f t="shared" si="8"/>
      </c>
      <c r="EP50" s="2928">
        <f t="shared" si="8"/>
      </c>
      <c r="EQ50" s="2928">
        <f t="shared" si="8"/>
      </c>
      <c r="ER50" s="2928">
        <f t="shared" si="8"/>
      </c>
      <c r="ES50" s="2928">
        <f t="shared" si="8"/>
      </c>
      <c r="ET50" s="2928">
        <f t="shared" si="8"/>
      </c>
      <c r="EU50" s="2928">
        <f t="shared" si="8"/>
      </c>
      <c r="EV50" s="2928">
        <f t="shared" si="8"/>
      </c>
      <c r="EW50" s="2928">
        <f t="shared" si="8"/>
      </c>
      <c r="EX50" s="2928">
        <f t="shared" si="8"/>
      </c>
      <c r="EY50" s="2928">
        <f t="shared" si="8"/>
      </c>
      <c r="EZ50" s="2928">
        <f t="shared" si="8"/>
      </c>
      <c r="FA50" s="2929" t="str">
        <f t="shared" si="12"/>
        <v>-</v>
      </c>
      <c r="FB50" s="2825">
        <f t="shared" si="13"/>
      </c>
      <c r="FC50" s="2930" cm="1">
        <f t="array" ref="FC50">_xlfn.LET(_xlpm.unit_type,$G50,_xlpm.market_rent_from_rent_roll,$E50,_xlpm.unit_type_list,RentRoll_InputArea_DesignatedUnitType,_xlpm.rent_by_unit_type,RentRoll_InputArea_MarketRent,_xlpm.use_rent_roll_market_rent,LEFT(RR_VacantUnitMktRentSource,9)="Rent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0" s="2930">
        <f t="shared" si="14"/>
        <v>1303</v>
      </c>
      <c r="FE50" s="2930">
        <f t="shared" si="15"/>
        <v>1303</v>
      </c>
      <c r="FF50" s="2930">
        <f t="shared" si="16"/>
        <v>1303</v>
      </c>
      <c r="FG50" s="2931"/>
      <c r="FH50" s="2932">
        <f t="shared" si="17"/>
      </c>
      <c r="FI50" s="2932">
        <f t="shared" si="18"/>
      </c>
      <c r="FJ50" s="2931"/>
      <c r="FK50" s="2933" cm="1">
        <f t="array" ref="FK50">IF(AND(LEN($D50)&gt;0,ISNA(MATCH(TRUE,EXACT($G50,RentRoll_InputArea_DesignatedUnitType),0))),1,0)</f>
        <v>0</v>
      </c>
      <c r="FL50" s="2931">
        <f t="shared" si="19"/>
        <v>27</v>
      </c>
      <c r="FM50" s="2931"/>
      <c r="FN50" s="2931"/>
      <c r="FO50" s="2931"/>
      <c r="FP50" s="2931"/>
      <c r="FQ50" s="2931"/>
      <c r="FR50" s="2931"/>
      <c r="FS50" s="2931"/>
      <c r="FT50" s="2931"/>
      <c r="FU50" s="2931"/>
      <c r="FV50" s="2931"/>
      <c r="FW50" s="2931"/>
      <c r="FX50" s="2931"/>
      <c r="FY50" s="2931"/>
      <c r="FZ50" s="2931"/>
      <c r="GA50" s="2931"/>
      <c r="GB50" s="2931"/>
      <c r="GC50" s="2931"/>
      <c r="GD50" s="2931"/>
      <c r="GE50" s="2931"/>
      <c r="GF50" s="2931"/>
      <c r="GG50" s="2931"/>
      <c r="GH50" s="2931"/>
      <c r="GI50" s="2931"/>
      <c r="GJ50" s="2931"/>
      <c r="GK50" s="2931"/>
      <c r="GL50" s="2931"/>
      <c r="GM50" s="2931"/>
      <c r="GN50" s="2931"/>
      <c r="GO50" s="2931"/>
      <c r="GP50" s="2931"/>
      <c r="GQ50" s="2931"/>
      <c r="GR50" s="2931"/>
      <c r="GS50" s="2931"/>
      <c r="GT50" s="2931"/>
      <c r="GU50" s="2931"/>
      <c r="GV50" s="2931"/>
      <c r="GW50" s="2931"/>
      <c r="GX50" s="2931"/>
      <c r="GY50" s="2931"/>
      <c r="GZ50" s="2931"/>
      <c r="HA50" s="2931"/>
      <c r="HB50" s="2931"/>
      <c r="HC50" s="2931"/>
      <c r="HD50" s="2931"/>
      <c r="HE50" s="2931"/>
      <c r="HF50" s="2931"/>
      <c r="HG50" s="2931"/>
      <c r="HH50" s="2931"/>
      <c r="HI50" s="2931"/>
      <c r="HJ50" s="2931"/>
      <c r="HK50" s="2931"/>
      <c r="HL50" s="2931"/>
      <c r="HM50" s="2931"/>
      <c r="HN50" s="2931"/>
      <c r="HO50" s="2931"/>
      <c r="HP50" s="2931"/>
      <c r="HQ50" s="2931"/>
      <c r="HR50" s="2931"/>
      <c r="HS50" s="2931"/>
      <c r="HT50" s="2931"/>
      <c r="HU50" s="2931"/>
      <c r="HV50" s="2931"/>
      <c r="HW50" s="2931"/>
      <c r="HX50" s="2931"/>
      <c r="HY50" s="2931"/>
      <c r="HZ50" s="2931"/>
      <c r="IA50" s="2931"/>
      <c r="IB50" s="2931"/>
      <c r="IC50" s="2931"/>
      <c r="ID50" s="2931"/>
      <c r="IE50" s="2931"/>
      <c r="IF50" s="2931"/>
      <c r="IG50" s="2931"/>
      <c r="IH50" s="2931"/>
      <c r="II50" s="2931"/>
      <c r="IJ50" s="2931"/>
      <c r="IK50" s="2931"/>
      <c r="IL50" s="2931"/>
      <c r="IM50" s="2931"/>
      <c r="IN50" s="2931"/>
      <c r="IO50" s="2931" cm="1">
        <f t="array" ref="IO50">IF(LEN($G50)=0,"Rent Roll is incomplete",_xlfn.XLOOKUP(TRUE,EXACT(RentRoll_InputArea_DesignatedUnitType,$G50),RentRoll_InputArea_Beds,"Not Found"))</f>
        <v>2</v>
      </c>
      <c r="IP50" s="2934"/>
      <c r="IQ50" s="2935" t="str">
        <f t="shared" si="20"/>
        <v>2 Bedroom Unit</v>
      </c>
      <c r="IR50" s="2926">
        <f t="shared" si="21"/>
        <v>1303</v>
      </c>
      <c r="IS50" s="2935"/>
      <c r="IT50" s="2931"/>
      <c r="IU50" s="2931"/>
      <c r="IV50" s="2931"/>
      <c r="IW50" s="2936" t="str">
        <f t="shared" si="22"/>
        <v>3-302</v>
      </c>
      <c r="IX50" s="2936"/>
      <c r="IY50" s="2936"/>
      <c r="IZ50" s="2936">
        <f t="shared" si="23"/>
        <v>2</v>
      </c>
      <c r="JA50" s="2936">
        <f t="shared" si="24"/>
        <v>1303</v>
      </c>
      <c r="JB50" s="2936"/>
      <c r="JC50" s="2936"/>
      <c r="JD50" s="2936"/>
      <c r="JE50" s="2936"/>
      <c r="JF50" s="2936"/>
      <c r="JG50" s="2936"/>
      <c r="JH50" s="2936">
        <f t="shared" si="25"/>
        <v>1410</v>
      </c>
      <c r="JI50" s="2936"/>
      <c r="JJ50" s="2936">
        <f t="shared" si="26"/>
      </c>
      <c r="JK50" s="2936"/>
      <c r="JL50" s="2936"/>
      <c r="JM50" s="2936"/>
      <c r="JN50" s="2936"/>
      <c r="JO50" s="2936"/>
      <c r="JP50" s="2936"/>
      <c r="JQ50" s="2936" t="str">
        <f t="shared" si="27"/>
        <v>Occupied</v>
      </c>
      <c r="JR50" s="2936" cm="1">
        <f t="array" ref="JR50">_xlfn.XLOOKUP(TRUE,EXACT(RentRoll_InputArea_DesignatedUnitType,$G50),RentRoll_InputArea_SquareFootage,"Not Found")</f>
        <v>851</v>
      </c>
      <c r="JS50" s="2936" t="str">
        <f t="shared" si="28"/>
        <v>Apartment</v>
      </c>
      <c r="JT50" s="2936">
        <f t="shared" si="29"/>
      </c>
      <c r="JU50" s="2936"/>
      <c r="JV50" s="2936"/>
      <c r="JW50" s="2936"/>
      <c r="JX50" s="2936"/>
      <c r="JY50" s="2936">
        <f t="shared" si="9"/>
        <v>43435</v>
      </c>
      <c r="JZ50" s="2936">
        <f t="shared" si="9"/>
        <v>43708</v>
      </c>
      <c r="KA50" s="2936"/>
      <c r="KB50" s="2936"/>
      <c r="KC50" s="2936"/>
      <c r="KD50" s="2936"/>
      <c r="KE50" s="2936"/>
      <c r="KF50" s="2936"/>
      <c r="KG50" s="2936"/>
      <c r="KH50" s="2936"/>
      <c r="KI50" s="2937"/>
      <c r="KJ50" s="2936"/>
      <c r="KK50" s="1353"/>
    </row>
    <row r="51" ht="15" customHeight="1">
      <c r="A51" s="2922">
        <f t="shared" si="10"/>
        <v>28</v>
      </c>
      <c r="B51" s="2865"/>
      <c r="C51" s="2873"/>
      <c r="D51" s="2873" t="s">
        <v>2798</v>
      </c>
      <c r="E51" s="2923">
        <v>1453</v>
      </c>
      <c r="F51" s="2924" t="s">
        <v>2799</v>
      </c>
      <c r="G51" s="2873" t="s">
        <v>2531</v>
      </c>
      <c r="H51" s="2923">
        <v>1289</v>
      </c>
      <c r="I51" s="2925" cm="1">
        <f t="array" ref="I51">_xlfn.LET(_xlpm.has_subsidy,$N51&gt;0,_xlpm.is_chap9_sbl,$FF$20,_xlpm.contract_rent,$H51,_xlpm.unit_type_mkt_rent,_xlfn.XLOOKUP(TRUE,EXACT($G51,RentRoll_InputArea_DesignatedUnitType),RentRoll_InputArea_MarketRent,"Not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1" s="2926">
        <f t="shared" si="11"/>
        <v>1289</v>
      </c>
      <c r="K51" s="2923"/>
      <c r="L51" s="2923"/>
      <c r="M51" s="2923"/>
      <c r="N51" s="2923"/>
      <c r="O51" s="2927">
        <v>43466</v>
      </c>
      <c r="P51" s="2927">
        <v>43677</v>
      </c>
      <c r="Q51" s="2928">
        <f t="shared" si="8"/>
      </c>
      <c r="R51" s="2928">
        <f t="shared" si="8"/>
      </c>
      <c r="S51" s="2928">
        <f t="shared" si="8"/>
        <v>1289</v>
      </c>
      <c r="T51" s="2928">
        <f t="shared" si="8"/>
      </c>
      <c r="U51" s="2928">
        <f t="shared" si="8"/>
      </c>
      <c r="V51" s="2928">
        <f t="shared" si="8"/>
      </c>
      <c r="W51" s="2928">
        <f t="shared" si="8"/>
      </c>
      <c r="X51" s="2928">
        <f t="shared" si="8"/>
      </c>
      <c r="Y51" s="2928">
        <f t="shared" si="8"/>
      </c>
      <c r="Z51" s="2928">
        <f t="shared" si="8"/>
      </c>
      <c r="AA51" s="2928">
        <f t="shared" si="8"/>
      </c>
      <c r="AB51" s="2928">
        <f t="shared" si="8"/>
      </c>
      <c r="AC51" s="2928">
        <f t="shared" si="8"/>
      </c>
      <c r="AD51" s="2928">
        <f t="shared" si="8"/>
      </c>
      <c r="AE51" s="2928">
        <f t="shared" si="8"/>
      </c>
      <c r="AF51" s="2928">
        <f t="shared" si="8"/>
      </c>
      <c r="AG51" s="2928">
        <f t="shared" si="8"/>
      </c>
      <c r="AH51" s="2928">
        <f t="shared" si="8"/>
      </c>
      <c r="AI51" s="2928">
        <f t="shared" si="8"/>
      </c>
      <c r="AJ51" s="2928">
        <f t="shared" si="8"/>
      </c>
      <c r="AK51" s="2928">
        <f t="shared" si="8"/>
      </c>
      <c r="AL51" s="2928">
        <f t="shared" si="8"/>
      </c>
      <c r="AM51" s="2928">
        <f t="shared" si="8"/>
      </c>
      <c r="AN51" s="2928">
        <f t="shared" si="8"/>
      </c>
      <c r="AO51" s="2928">
        <f t="shared" si="8"/>
      </c>
      <c r="AP51" s="2928">
        <f t="shared" si="8"/>
      </c>
      <c r="AQ51" s="2928">
        <f t="shared" si="8"/>
      </c>
      <c r="AR51" s="2928">
        <f t="shared" si="8"/>
      </c>
      <c r="AS51" s="2928">
        <f t="shared" si="8"/>
      </c>
      <c r="AT51" s="2928">
        <f t="shared" si="8"/>
      </c>
      <c r="AU51" s="2928">
        <f t="shared" si="8"/>
      </c>
      <c r="AV51" s="2928">
        <f t="shared" si="8"/>
      </c>
      <c r="AW51" s="2928">
        <f t="shared" si="8"/>
      </c>
      <c r="AX51" s="2928">
        <f t="shared" si="8"/>
      </c>
      <c r="AY51" s="2928">
        <f t="shared" si="8"/>
      </c>
      <c r="AZ51" s="2928">
        <f t="shared" si="8"/>
      </c>
      <c r="BA51" s="2928">
        <f t="shared" si="8"/>
      </c>
      <c r="BB51" s="2928">
        <f t="shared" si="8"/>
      </c>
      <c r="BC51" s="2928">
        <f t="shared" si="8"/>
      </c>
      <c r="BD51" s="2928">
        <f t="shared" si="8"/>
      </c>
      <c r="BE51" s="2928">
        <f t="shared" si="8"/>
      </c>
      <c r="BF51" s="2928">
        <f t="shared" si="8"/>
      </c>
      <c r="BG51" s="2928">
        <f t="shared" si="8"/>
      </c>
      <c r="BH51" s="2928">
        <f t="shared" si="8"/>
      </c>
      <c r="BI51" s="2928">
        <f t="shared" si="8"/>
      </c>
      <c r="BJ51" s="2928">
        <f t="shared" si="8"/>
      </c>
      <c r="BK51" s="2928">
        <f t="shared" si="8"/>
      </c>
      <c r="BL51" s="2928">
        <f t="shared" si="8"/>
      </c>
      <c r="BM51" s="2928">
        <f t="shared" si="8"/>
      </c>
      <c r="BN51" s="2928">
        <f t="shared" si="8"/>
      </c>
      <c r="BO51" s="2928">
        <f t="shared" si="8"/>
      </c>
      <c r="BP51" s="2928">
        <f t="shared" si="8"/>
      </c>
      <c r="BQ51" s="2928">
        <f t="shared" si="8"/>
      </c>
      <c r="BR51" s="2928">
        <f t="shared" si="8"/>
      </c>
      <c r="BS51" s="2928">
        <f t="shared" si="8"/>
      </c>
      <c r="BT51" s="2928">
        <f t="shared" si="8"/>
      </c>
      <c r="BU51" s="2928">
        <f t="shared" si="8"/>
      </c>
      <c r="BV51" s="2928">
        <f t="shared" si="8"/>
      </c>
      <c r="BW51" s="2928">
        <f t="shared" si="8"/>
      </c>
      <c r="BX51" s="2928">
        <f t="shared" si="8"/>
      </c>
      <c r="BY51" s="2928">
        <f t="shared" si="8"/>
      </c>
      <c r="BZ51" s="2928">
        <f t="shared" si="8"/>
      </c>
      <c r="CA51" s="2928">
        <f t="shared" si="8"/>
      </c>
      <c r="CB51" s="2928">
        <f t="shared" si="8"/>
      </c>
      <c r="CC51" s="2928">
        <f t="shared" si="8"/>
      </c>
      <c r="CD51" s="2928">
        <f t="shared" si="8"/>
      </c>
      <c r="CE51" s="2928">
        <f t="shared" si="8"/>
      </c>
      <c r="CF51" s="2928">
        <f t="shared" si="8"/>
      </c>
      <c r="CG51" s="2928">
        <f t="shared" si="8"/>
      </c>
      <c r="CH51" s="2928">
        <f t="shared" si="8"/>
      </c>
      <c r="CI51" s="2928">
        <f t="shared" si="8"/>
      </c>
      <c r="CJ51" s="2928">
        <f t="shared" si="8"/>
      </c>
      <c r="CK51" s="2928">
        <f t="shared" si="8"/>
      </c>
      <c r="CL51" s="2928">
        <f t="shared" si="8"/>
      </c>
      <c r="CM51" s="2928">
        <f t="shared" si="8"/>
      </c>
      <c r="CN51" s="2928">
        <f t="shared" si="8"/>
      </c>
      <c r="CO51" s="2928">
        <f t="shared" si="8"/>
      </c>
      <c r="CP51" s="2928">
        <f t="shared" si="8"/>
      </c>
      <c r="CQ51" s="2928">
        <f t="shared" si="8"/>
      </c>
      <c r="CR51" s="2928">
        <f t="shared" si="8"/>
      </c>
      <c r="CS51" s="2928">
        <f t="shared" si="8"/>
      </c>
      <c r="CT51" s="2928">
        <f t="shared" si="8"/>
      </c>
      <c r="CU51" s="2928">
        <f t="shared" si="8"/>
      </c>
      <c r="CV51" s="2928">
        <f t="shared" si="8"/>
      </c>
      <c r="CW51" s="2928">
        <f t="shared" si="8"/>
      </c>
      <c r="CX51" s="2928">
        <f t="shared" si="8"/>
      </c>
      <c r="CY51" s="2928">
        <f t="shared" si="8"/>
      </c>
      <c r="CZ51" s="2928">
        <f t="shared" si="8"/>
      </c>
      <c r="DA51" s="2928">
        <f t="shared" si="8"/>
      </c>
      <c r="DB51" s="2928">
        <f t="shared" si="8"/>
      </c>
      <c r="DC51" s="2928">
        <f t="shared" si="8"/>
      </c>
      <c r="DD51" s="2928">
        <f t="shared" si="8"/>
      </c>
      <c r="DE51" s="2928">
        <f t="shared" si="8"/>
      </c>
      <c r="DF51" s="2928">
        <f t="shared" si="8"/>
      </c>
      <c r="DG51" s="2928">
        <f t="shared" si="8"/>
      </c>
      <c r="DH51" s="2928">
        <f t="shared" si="8"/>
      </c>
      <c r="DI51" s="2928">
        <f t="shared" si="8"/>
      </c>
      <c r="DJ51" s="2928">
        <f t="shared" si="8"/>
      </c>
      <c r="DK51" s="2928">
        <f t="shared" si="8"/>
      </c>
      <c r="DL51" s="2928">
        <f t="shared" si="8"/>
      </c>
      <c r="DM51" s="2928">
        <f t="shared" si="8"/>
      </c>
      <c r="DN51" s="2928">
        <f t="shared" si="8"/>
      </c>
      <c r="DO51" s="2928">
        <f t="shared" si="8"/>
      </c>
      <c r="DP51" s="2928">
        <f t="shared" si="8"/>
      </c>
      <c r="DQ51" s="2928">
        <f t="shared" si="8"/>
      </c>
      <c r="DR51" s="2928">
        <f t="shared" si="8"/>
      </c>
      <c r="DS51" s="2928">
        <f t="shared" si="8"/>
      </c>
      <c r="DT51" s="2928">
        <f t="shared" si="8"/>
      </c>
      <c r="DU51" s="2928">
        <f t="shared" si="8"/>
      </c>
      <c r="DV51" s="2928">
        <f t="shared" si="8"/>
      </c>
      <c r="DW51" s="2928">
        <f t="shared" si="8"/>
      </c>
      <c r="DX51" s="2928">
        <f t="shared" si="8"/>
      </c>
      <c r="DY51" s="2928">
        <f t="shared" si="8"/>
      </c>
      <c r="DZ51" s="2928">
        <f t="shared" si="8"/>
      </c>
      <c r="EA51" s="2928">
        <f t="shared" si="8"/>
      </c>
      <c r="EB51" s="2928">
        <f t="shared" si="8"/>
      </c>
      <c r="EC51" s="2928">
        <f t="shared" si="8"/>
      </c>
      <c r="ED51" s="2928">
        <f t="shared" si="8"/>
      </c>
      <c r="EE51" s="2928">
        <f t="shared" si="8"/>
      </c>
      <c r="EF51" s="2928">
        <f t="shared" si="8"/>
      </c>
      <c r="EG51" s="2928">
        <f t="shared" si="8"/>
      </c>
      <c r="EH51" s="2928">
        <f t="shared" si="8"/>
      </c>
      <c r="EI51" s="2928">
        <f t="shared" si="8"/>
      </c>
      <c r="EJ51" s="2928">
        <f t="shared" si="8"/>
      </c>
      <c r="EK51" s="2928">
        <f t="shared" si="8"/>
      </c>
      <c r="EL51" s="2928">
        <f t="shared" si="8"/>
      </c>
      <c r="EM51" s="2928">
        <f t="shared" si="8"/>
      </c>
      <c r="EN51" s="2928">
        <f t="shared" si="8"/>
      </c>
      <c r="EO51" s="2928">
        <f t="shared" si="8"/>
      </c>
      <c r="EP51" s="2928">
        <f t="shared" si="8"/>
      </c>
      <c r="EQ51" s="2928">
        <f t="shared" si="8"/>
      </c>
      <c r="ER51" s="2928">
        <f t="shared" si="8"/>
      </c>
      <c r="ES51" s="2928">
        <f t="shared" si="8"/>
      </c>
      <c r="ET51" s="2928">
        <f t="shared" si="8"/>
      </c>
      <c r="EU51" s="2928">
        <f t="shared" si="8"/>
      </c>
      <c r="EV51" s="2928">
        <f t="shared" si="8"/>
      </c>
      <c r="EW51" s="2928">
        <f t="shared" si="8"/>
      </c>
      <c r="EX51" s="2928">
        <f t="shared" si="8"/>
      </c>
      <c r="EY51" s="2928">
        <f t="shared" si="8"/>
      </c>
      <c r="EZ51" s="2928">
        <f t="shared" si="8"/>
      </c>
      <c r="FA51" s="2929" t="str">
        <f t="shared" si="12"/>
        <v>-</v>
      </c>
      <c r="FB51" s="2825">
        <f t="shared" si="13"/>
      </c>
      <c r="FC51" s="2930" cm="1">
        <f t="array" ref="FC51">_xlfn.LET(_xlpm.unit_type,$G51,_xlpm.market_rent_from_rent_roll,$E51,_xlpm.unit_type_list,RentRoll_InputArea_DesignatedUnitType,_xlpm.rent_by_unit_type,RentRoll_InputArea_MarketRent,_xlpm.use_rent_roll_market_rent,LEFT(RR_VacantUnitMktRentSource,9)="Rent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1" s="2930">
        <f t="shared" si="14"/>
        <v>1289</v>
      </c>
      <c r="FE51" s="2930">
        <f t="shared" si="15"/>
        <v>1289</v>
      </c>
      <c r="FF51" s="2930">
        <f t="shared" si="16"/>
        <v>1289</v>
      </c>
      <c r="FG51" s="2931"/>
      <c r="FH51" s="2932">
        <f t="shared" si="17"/>
      </c>
      <c r="FI51" s="2932">
        <f t="shared" si="18"/>
      </c>
      <c r="FJ51" s="2931"/>
      <c r="FK51" s="2933" cm="1">
        <f t="array" ref="FK51">IF(AND(LEN($D51)&gt;0,ISNA(MATCH(TRUE,EXACT($G51,RentRoll_InputArea_DesignatedUnitType),0))),1,0)</f>
        <v>0</v>
      </c>
      <c r="FL51" s="2931">
        <f t="shared" si="19"/>
        <v>28</v>
      </c>
      <c r="FM51" s="2931"/>
      <c r="FN51" s="2931"/>
      <c r="FO51" s="2931"/>
      <c r="FP51" s="2931"/>
      <c r="FQ51" s="2931"/>
      <c r="FR51" s="2931"/>
      <c r="FS51" s="2931"/>
      <c r="FT51" s="2931"/>
      <c r="FU51" s="2931"/>
      <c r="FV51" s="2931"/>
      <c r="FW51" s="2931"/>
      <c r="FX51" s="2931"/>
      <c r="FY51" s="2931"/>
      <c r="FZ51" s="2931"/>
      <c r="GA51" s="2931"/>
      <c r="GB51" s="2931"/>
      <c r="GC51" s="2931"/>
      <c r="GD51" s="2931"/>
      <c r="GE51" s="2931"/>
      <c r="GF51" s="2931"/>
      <c r="GG51" s="2931"/>
      <c r="GH51" s="2931"/>
      <c r="GI51" s="2931"/>
      <c r="GJ51" s="2931"/>
      <c r="GK51" s="2931"/>
      <c r="GL51" s="2931"/>
      <c r="GM51" s="2931"/>
      <c r="GN51" s="2931"/>
      <c r="GO51" s="2931"/>
      <c r="GP51" s="2931"/>
      <c r="GQ51" s="2931"/>
      <c r="GR51" s="2931"/>
      <c r="GS51" s="2931"/>
      <c r="GT51" s="2931"/>
      <c r="GU51" s="2931"/>
      <c r="GV51" s="2931"/>
      <c r="GW51" s="2931"/>
      <c r="GX51" s="2931"/>
      <c r="GY51" s="2931"/>
      <c r="GZ51" s="2931"/>
      <c r="HA51" s="2931"/>
      <c r="HB51" s="2931"/>
      <c r="HC51" s="2931"/>
      <c r="HD51" s="2931"/>
      <c r="HE51" s="2931"/>
      <c r="HF51" s="2931"/>
      <c r="HG51" s="2931"/>
      <c r="HH51" s="2931"/>
      <c r="HI51" s="2931"/>
      <c r="HJ51" s="2931"/>
      <c r="HK51" s="2931"/>
      <c r="HL51" s="2931"/>
      <c r="HM51" s="2931"/>
      <c r="HN51" s="2931"/>
      <c r="HO51" s="2931"/>
      <c r="HP51" s="2931"/>
      <c r="HQ51" s="2931"/>
      <c r="HR51" s="2931"/>
      <c r="HS51" s="2931"/>
      <c r="HT51" s="2931"/>
      <c r="HU51" s="2931"/>
      <c r="HV51" s="2931"/>
      <c r="HW51" s="2931"/>
      <c r="HX51" s="2931"/>
      <c r="HY51" s="2931"/>
      <c r="HZ51" s="2931"/>
      <c r="IA51" s="2931"/>
      <c r="IB51" s="2931"/>
      <c r="IC51" s="2931"/>
      <c r="ID51" s="2931"/>
      <c r="IE51" s="2931"/>
      <c r="IF51" s="2931"/>
      <c r="IG51" s="2931"/>
      <c r="IH51" s="2931"/>
      <c r="II51" s="2931"/>
      <c r="IJ51" s="2931"/>
      <c r="IK51" s="2931"/>
      <c r="IL51" s="2931"/>
      <c r="IM51" s="2931"/>
      <c r="IN51" s="2931"/>
      <c r="IO51" s="2931" cm="1">
        <f t="array" ref="IO51">IF(LEN($G51)=0,"Rent Roll is incomplete",_xlfn.XLOOKUP(TRUE,EXACT(RentRoll_InputArea_DesignatedUnitType,$G51),RentRoll_InputArea_Beds,"Not Found"))</f>
        <v>2</v>
      </c>
      <c r="IP51" s="2934"/>
      <c r="IQ51" s="2935" t="str">
        <f t="shared" si="20"/>
        <v>2 Bedroom Unit</v>
      </c>
      <c r="IR51" s="2926">
        <f t="shared" si="21"/>
        <v>1289</v>
      </c>
      <c r="IS51" s="2935"/>
      <c r="IT51" s="2931"/>
      <c r="IU51" s="2931"/>
      <c r="IV51" s="2931"/>
      <c r="IW51" s="2936" t="str">
        <f t="shared" si="22"/>
        <v>3-303</v>
      </c>
      <c r="IX51" s="2936"/>
      <c r="IY51" s="2936"/>
      <c r="IZ51" s="2936">
        <f t="shared" si="23"/>
        <v>2</v>
      </c>
      <c r="JA51" s="2936">
        <f t="shared" si="24"/>
        <v>1289</v>
      </c>
      <c r="JB51" s="2936"/>
      <c r="JC51" s="2936"/>
      <c r="JD51" s="2936"/>
      <c r="JE51" s="2936"/>
      <c r="JF51" s="2936"/>
      <c r="JG51" s="2936"/>
      <c r="JH51" s="2936">
        <f t="shared" si="25"/>
        <v>1410</v>
      </c>
      <c r="JI51" s="2936"/>
      <c r="JJ51" s="2936">
        <f t="shared" si="26"/>
      </c>
      <c r="JK51" s="2936"/>
      <c r="JL51" s="2936"/>
      <c r="JM51" s="2936"/>
      <c r="JN51" s="2936"/>
      <c r="JO51" s="2936"/>
      <c r="JP51" s="2936"/>
      <c r="JQ51" s="2936" t="str">
        <f t="shared" si="27"/>
        <v>Occupied</v>
      </c>
      <c r="JR51" s="2936" cm="1">
        <f t="array" ref="JR51">_xlfn.XLOOKUP(TRUE,EXACT(RentRoll_InputArea_DesignatedUnitType,$G51),RentRoll_InputArea_SquareFootage,"Not Found")</f>
        <v>851</v>
      </c>
      <c r="JS51" s="2936" t="str">
        <f t="shared" si="28"/>
        <v>Apartment</v>
      </c>
      <c r="JT51" s="2936">
        <f t="shared" si="29"/>
      </c>
      <c r="JU51" s="2936"/>
      <c r="JV51" s="2936"/>
      <c r="JW51" s="2936"/>
      <c r="JX51" s="2936"/>
      <c r="JY51" s="2936">
        <f t="shared" si="9"/>
        <v>43466</v>
      </c>
      <c r="JZ51" s="2936">
        <f t="shared" si="9"/>
        <v>43677</v>
      </c>
      <c r="KA51" s="2936"/>
      <c r="KB51" s="2936"/>
      <c r="KC51" s="2936"/>
      <c r="KD51" s="2936"/>
      <c r="KE51" s="2936"/>
      <c r="KF51" s="2936"/>
      <c r="KG51" s="2936"/>
      <c r="KH51" s="2936"/>
      <c r="KI51" s="2937"/>
      <c r="KJ51" s="2936"/>
      <c r="KK51" s="1353"/>
    </row>
    <row r="52" ht="15" customHeight="1">
      <c r="A52" s="2922">
        <f t="shared" si="10"/>
        <v>29</v>
      </c>
      <c r="B52" s="2865"/>
      <c r="C52" s="2873"/>
      <c r="D52" s="2873" t="s">
        <v>2800</v>
      </c>
      <c r="E52" s="2923">
        <v>1436</v>
      </c>
      <c r="F52" s="2924" t="s">
        <v>2801</v>
      </c>
      <c r="G52" s="2873" t="s">
        <v>2531</v>
      </c>
      <c r="H52" s="2923">
        <v>1396</v>
      </c>
      <c r="I52" s="2925" cm="1">
        <f t="array" ref="I52">_xlfn.LET(_xlpm.has_subsidy,$N52&gt;0,_xlpm.is_chap9_sbl,$FF$20,_xlpm.contract_rent,$H52,_xlpm.unit_type_mkt_rent,_xlfn.XLOOKUP(TRUE,EXACT($G52,RentRoll_InputArea_DesignatedUnitType),RentRoll_InputArea_MarketRent,"Not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2" s="2926">
        <f t="shared" si="11"/>
        <v>1396</v>
      </c>
      <c r="K52" s="2923"/>
      <c r="L52" s="2923"/>
      <c r="M52" s="2923"/>
      <c r="N52" s="2923"/>
      <c r="O52" s="2927">
        <v>43510</v>
      </c>
      <c r="P52" s="2927">
        <v>43708</v>
      </c>
      <c r="Q52" s="2928">
        <f t="shared" si="8"/>
      </c>
      <c r="R52" s="2928">
        <f t="shared" si="8"/>
      </c>
      <c r="S52" s="2928">
        <f t="shared" si="8"/>
        <v>1396</v>
      </c>
      <c r="T52" s="2928">
        <f t="shared" si="8"/>
      </c>
      <c r="U52" s="2928">
        <f t="shared" si="8"/>
      </c>
      <c r="V52" s="2928">
        <f t="shared" si="8"/>
      </c>
      <c r="W52" s="2928">
        <f t="shared" si="8"/>
      </c>
      <c r="X52" s="2928">
        <f t="shared" si="8"/>
      </c>
      <c r="Y52" s="2928">
        <f t="shared" si="8"/>
      </c>
      <c r="Z52" s="2928">
        <f t="shared" si="8"/>
      </c>
      <c r="AA52" s="2928">
        <f t="shared" si="8"/>
      </c>
      <c r="AB52" s="2928">
        <f t="shared" si="8"/>
      </c>
      <c r="AC52" s="2928">
        <f t="shared" si="8"/>
      </c>
      <c r="AD52" s="2928">
        <f t="shared" si="8"/>
      </c>
      <c r="AE52" s="2928">
        <f t="shared" si="8"/>
      </c>
      <c r="AF52" s="2928">
        <f t="shared" si="8"/>
      </c>
      <c r="AG52" s="2928">
        <f t="shared" si="8"/>
      </c>
      <c r="AH52" s="2928">
        <f t="shared" si="8"/>
      </c>
      <c r="AI52" s="2928">
        <f t="shared" si="8"/>
      </c>
      <c r="AJ52" s="2928">
        <f t="shared" si="8"/>
      </c>
      <c r="AK52" s="2928">
        <f t="shared" si="8"/>
      </c>
      <c r="AL52" s="2928">
        <f t="shared" si="8"/>
      </c>
      <c r="AM52" s="2928">
        <f t="shared" si="8"/>
      </c>
      <c r="AN52" s="2928">
        <f t="shared" si="8"/>
      </c>
      <c r="AO52" s="2928">
        <f t="shared" si="8"/>
      </c>
      <c r="AP52" s="2928">
        <f t="shared" si="8"/>
      </c>
      <c r="AQ52" s="2928">
        <f t="shared" si="8"/>
      </c>
      <c r="AR52" s="2928">
        <f t="shared" si="8"/>
      </c>
      <c r="AS52" s="2928">
        <f t="shared" si="8"/>
      </c>
      <c r="AT52" s="2928">
        <f t="shared" si="8"/>
      </c>
      <c r="AU52" s="2928">
        <f t="shared" si="8"/>
      </c>
      <c r="AV52" s="2928">
        <f t="shared" si="8"/>
      </c>
      <c r="AW52" s="2928">
        <f t="shared" si="8"/>
      </c>
      <c r="AX52" s="2928">
        <f t="shared" si="8"/>
      </c>
      <c r="AY52" s="2928">
        <f t="shared" si="8"/>
      </c>
      <c r="AZ52" s="2928">
        <f t="shared" si="8"/>
      </c>
      <c r="BA52" s="2928">
        <f t="shared" si="8"/>
      </c>
      <c r="BB52" s="2928">
        <f t="shared" si="8"/>
      </c>
      <c r="BC52" s="2928">
        <f t="shared" si="8"/>
      </c>
      <c r="BD52" s="2928">
        <f t="shared" si="8"/>
      </c>
      <c r="BE52" s="2928">
        <f t="shared" si="8"/>
      </c>
      <c r="BF52" s="2928">
        <f t="shared" si="8"/>
      </c>
      <c r="BG52" s="2928">
        <f t="shared" si="8"/>
      </c>
      <c r="BH52" s="2928">
        <f t="shared" si="8"/>
      </c>
      <c r="BI52" s="2928">
        <f t="shared" si="8"/>
      </c>
      <c r="BJ52" s="2928">
        <f t="shared" si="8"/>
      </c>
      <c r="BK52" s="2928">
        <f t="shared" si="8"/>
      </c>
      <c r="BL52" s="2928">
        <f t="shared" si="8"/>
      </c>
      <c r="BM52" s="2928">
        <f t="shared" si="8"/>
      </c>
      <c r="BN52" s="2928">
        <f t="shared" si="8"/>
      </c>
      <c r="BO52" s="2928">
        <f t="shared" si="8"/>
      </c>
      <c r="BP52" s="2928">
        <f t="shared" si="8"/>
      </c>
      <c r="BQ52" s="2928">
        <f t="shared" si="8"/>
      </c>
      <c r="BR52" s="2928">
        <f t="shared" si="8"/>
      </c>
      <c r="BS52" s="2928">
        <f t="shared" si="8"/>
      </c>
      <c r="BT52" s="2928">
        <f t="shared" si="8"/>
      </c>
      <c r="BU52" s="2928">
        <f t="shared" si="8"/>
      </c>
      <c r="BV52" s="2928">
        <f t="shared" si="8"/>
      </c>
      <c r="BW52" s="2928">
        <f t="shared" si="8"/>
      </c>
      <c r="BX52" s="2928">
        <f t="shared" si="8"/>
      </c>
      <c r="BY52" s="2928">
        <f t="shared" si="8"/>
      </c>
      <c r="BZ52" s="2928">
        <f t="shared" si="8"/>
      </c>
      <c r="CA52" s="2928">
        <f t="shared" si="8"/>
      </c>
      <c r="CB52" s="2928">
        <f t="shared" si="8"/>
      </c>
      <c r="CC52" s="2928">
        <f t="shared" si="8"/>
      </c>
      <c r="CD52" s="2928">
        <f t="shared" si="8"/>
      </c>
      <c r="CE52" s="2928">
        <f t="shared" si="8"/>
      </c>
      <c r="CF52" s="2928">
        <f t="shared" si="8"/>
      </c>
      <c r="CG52" s="2928">
        <f t="shared" si="8"/>
      </c>
      <c r="CH52" s="2928">
        <f t="shared" si="8"/>
      </c>
      <c r="CI52" s="2928">
        <f t="shared" si="8"/>
      </c>
      <c r="CJ52" s="2928">
        <f t="shared" si="8"/>
      </c>
      <c r="CK52" s="2928">
        <f t="shared" si="8"/>
      </c>
      <c r="CL52" s="2928">
        <f t="shared" si="8"/>
      </c>
      <c r="CM52" s="2928">
        <f t="shared" si="8"/>
      </c>
      <c r="CN52" s="2928">
        <f t="shared" si="8"/>
      </c>
      <c r="CO52" s="2928">
        <f t="shared" si="8"/>
      </c>
      <c r="CP52" s="2928">
        <f t="shared" si="8"/>
      </c>
      <c r="CQ52" s="2928">
        <f t="shared" si="8"/>
      </c>
      <c r="CR52" s="2928">
        <f t="shared" si="8"/>
      </c>
      <c r="CS52" s="2928">
        <f t="shared" si="8"/>
      </c>
      <c r="CT52" s="2928">
        <f t="shared" si="8"/>
      </c>
      <c r="CU52" s="2928">
        <f t="shared" si="8"/>
      </c>
      <c r="CV52" s="2928">
        <f t="shared" si="8"/>
      </c>
      <c r="CW52" s="2928">
        <f t="shared" si="8"/>
      </c>
      <c r="CX52" s="2928">
        <f t="shared" si="8"/>
      </c>
      <c r="CY52" s="2928">
        <f t="shared" si="8"/>
      </c>
      <c r="CZ52" s="2928">
        <f t="shared" si="8"/>
      </c>
      <c r="DA52" s="2928">
        <f t="shared" si="8"/>
      </c>
      <c r="DB52" s="2928">
        <f t="shared" si="8"/>
      </c>
      <c r="DC52" s="2928">
        <f t="shared" si="8"/>
      </c>
      <c r="DD52" s="2928">
        <f t="shared" si="8"/>
      </c>
      <c r="DE52" s="2928">
        <f t="shared" si="8"/>
      </c>
      <c r="DF52" s="2928">
        <f t="shared" si="8"/>
      </c>
      <c r="DG52" s="2928">
        <f t="shared" si="8"/>
      </c>
      <c r="DH52" s="2928">
        <f t="shared" si="8"/>
      </c>
      <c r="DI52" s="2928">
        <f t="shared" si="8"/>
      </c>
      <c r="DJ52" s="2928">
        <f t="shared" si="8"/>
      </c>
      <c r="DK52" s="2928">
        <f t="shared" si="8"/>
      </c>
      <c r="DL52" s="2928">
        <f t="shared" si="8"/>
      </c>
      <c r="DM52" s="2928">
        <f t="shared" si="8"/>
      </c>
      <c r="DN52" s="2928">
        <f t="shared" si="8"/>
      </c>
      <c r="DO52" s="2928">
        <f t="shared" si="8"/>
      </c>
      <c r="DP52" s="2928">
        <f t="shared" si="8"/>
      </c>
      <c r="DQ52" s="2928">
        <f t="shared" si="8"/>
      </c>
      <c r="DR52" s="2928">
        <f t="shared" si="8"/>
      </c>
      <c r="DS52" s="2928">
        <f t="shared" si="8"/>
      </c>
      <c r="DT52" s="2928">
        <f t="shared" si="8"/>
      </c>
      <c r="DU52" s="2928">
        <f t="shared" si="8"/>
      </c>
      <c r="DV52" s="2928">
        <f t="shared" si="8"/>
      </c>
      <c r="DW52" s="2928">
        <f t="shared" si="8"/>
      </c>
      <c r="DX52" s="2928">
        <f t="shared" si="8"/>
      </c>
      <c r="DY52" s="2928">
        <f t="shared" si="8"/>
      </c>
      <c r="DZ52" s="2928">
        <f t="shared" si="8"/>
      </c>
      <c r="EA52" s="2928">
        <f t="shared" si="8"/>
      </c>
      <c r="EB52" s="2928">
        <f t="shared" si="8"/>
      </c>
      <c r="EC52" s="2928">
        <f t="shared" si="8"/>
      </c>
      <c r="ED52" s="2928">
        <f t="shared" si="8"/>
      </c>
      <c r="EE52" s="2928">
        <f t="shared" si="8"/>
      </c>
      <c r="EF52" s="2928">
        <f t="shared" si="8"/>
      </c>
      <c r="EG52" s="2928">
        <f t="shared" si="8"/>
      </c>
      <c r="EH52" s="2928">
        <f t="shared" si="8"/>
      </c>
      <c r="EI52" s="2928">
        <f t="shared" si="8"/>
      </c>
      <c r="EJ52" s="2928">
        <f t="shared" si="8"/>
      </c>
      <c r="EK52" s="2928">
        <f t="shared" si="8"/>
      </c>
      <c r="EL52" s="2928">
        <f t="shared" si="8"/>
      </c>
      <c r="EM52" s="2928">
        <f t="shared" si="8"/>
      </c>
      <c r="EN52" s="2928">
        <f t="shared" si="8"/>
      </c>
      <c r="EO52" s="2928">
        <f t="shared" si="8"/>
      </c>
      <c r="EP52" s="2928">
        <f t="shared" si="8"/>
      </c>
      <c r="EQ52" s="2928">
        <f t="shared" si="8"/>
      </c>
      <c r="ER52" s="2928">
        <f t="shared" si="8"/>
      </c>
      <c r="ES52" s="2928">
        <f t="shared" si="8"/>
      </c>
      <c r="ET52" s="2928">
        <f t="shared" si="8"/>
      </c>
      <c r="EU52" s="2928">
        <f t="shared" si="8"/>
      </c>
      <c r="EV52" s="2928">
        <f t="shared" si="8"/>
      </c>
      <c r="EW52" s="2928">
        <f t="shared" si="8"/>
      </c>
      <c r="EX52" s="2928">
        <f t="shared" si="8"/>
      </c>
      <c r="EY52" s="2928">
        <f t="shared" si="8"/>
      </c>
      <c r="EZ52" s="2928">
        <f t="shared" si="8"/>
      </c>
      <c r="FA52" s="2929" t="str">
        <f t="shared" si="12"/>
        <v>-</v>
      </c>
      <c r="FB52" s="2825">
        <f t="shared" si="13"/>
      </c>
      <c r="FC52" s="2930" cm="1">
        <f t="array" ref="FC52">_xlfn.LET(_xlpm.unit_type,$G52,_xlpm.market_rent_from_rent_roll,$E52,_xlpm.unit_type_list,RentRoll_InputArea_DesignatedUnitType,_xlpm.rent_by_unit_type,RentRoll_InputArea_MarketRent,_xlpm.use_rent_roll_market_rent,LEFT(RR_VacantUnitMktRentSource,9)="Rent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2" s="2930">
        <f t="shared" si="14"/>
        <v>1396</v>
      </c>
      <c r="FE52" s="2930">
        <f t="shared" si="15"/>
        <v>1396</v>
      </c>
      <c r="FF52" s="2930">
        <f t="shared" si="16"/>
        <v>1396</v>
      </c>
      <c r="FG52" s="2931"/>
      <c r="FH52" s="2932">
        <f t="shared" si="17"/>
      </c>
      <c r="FI52" s="2932">
        <f t="shared" si="18"/>
      </c>
      <c r="FJ52" s="2931"/>
      <c r="FK52" s="2933" cm="1">
        <f t="array" ref="FK52">IF(AND(LEN($D52)&gt;0,ISNA(MATCH(TRUE,EXACT($G52,RentRoll_InputArea_DesignatedUnitType),0))),1,0)</f>
        <v>0</v>
      </c>
      <c r="FL52" s="2931">
        <f t="shared" si="19"/>
        <v>29</v>
      </c>
      <c r="FM52" s="2931"/>
      <c r="FN52" s="2931"/>
      <c r="FO52" s="2931"/>
      <c r="FP52" s="2931"/>
      <c r="FQ52" s="2931"/>
      <c r="FR52" s="2931"/>
      <c r="FS52" s="2931"/>
      <c r="FT52" s="2931"/>
      <c r="FU52" s="2931"/>
      <c r="FV52" s="2931"/>
      <c r="FW52" s="2931"/>
      <c r="FX52" s="2931"/>
      <c r="FY52" s="2931"/>
      <c r="FZ52" s="2931"/>
      <c r="GA52" s="2931"/>
      <c r="GB52" s="2931"/>
      <c r="GC52" s="2931"/>
      <c r="GD52" s="2931"/>
      <c r="GE52" s="2931"/>
      <c r="GF52" s="2931"/>
      <c r="GG52" s="2931"/>
      <c r="GH52" s="2931"/>
      <c r="GI52" s="2931"/>
      <c r="GJ52" s="2931"/>
      <c r="GK52" s="2931"/>
      <c r="GL52" s="2931"/>
      <c r="GM52" s="2931"/>
      <c r="GN52" s="2931"/>
      <c r="GO52" s="2931"/>
      <c r="GP52" s="2931"/>
      <c r="GQ52" s="2931"/>
      <c r="GR52" s="2931"/>
      <c r="GS52" s="2931"/>
      <c r="GT52" s="2931"/>
      <c r="GU52" s="2931"/>
      <c r="GV52" s="2931"/>
      <c r="GW52" s="2931"/>
      <c r="GX52" s="2931"/>
      <c r="GY52" s="2931"/>
      <c r="GZ52" s="2931"/>
      <c r="HA52" s="2931"/>
      <c r="HB52" s="2931"/>
      <c r="HC52" s="2931"/>
      <c r="HD52" s="2931"/>
      <c r="HE52" s="2931"/>
      <c r="HF52" s="2931"/>
      <c r="HG52" s="2931"/>
      <c r="HH52" s="2931"/>
      <c r="HI52" s="2931"/>
      <c r="HJ52" s="2931"/>
      <c r="HK52" s="2931"/>
      <c r="HL52" s="2931"/>
      <c r="HM52" s="2931"/>
      <c r="HN52" s="2931"/>
      <c r="HO52" s="2931"/>
      <c r="HP52" s="2931"/>
      <c r="HQ52" s="2931"/>
      <c r="HR52" s="2931"/>
      <c r="HS52" s="2931"/>
      <c r="HT52" s="2931"/>
      <c r="HU52" s="2931"/>
      <c r="HV52" s="2931"/>
      <c r="HW52" s="2931"/>
      <c r="HX52" s="2931"/>
      <c r="HY52" s="2931"/>
      <c r="HZ52" s="2931"/>
      <c r="IA52" s="2931"/>
      <c r="IB52" s="2931"/>
      <c r="IC52" s="2931"/>
      <c r="ID52" s="2931"/>
      <c r="IE52" s="2931"/>
      <c r="IF52" s="2931"/>
      <c r="IG52" s="2931"/>
      <c r="IH52" s="2931"/>
      <c r="II52" s="2931"/>
      <c r="IJ52" s="2931"/>
      <c r="IK52" s="2931"/>
      <c r="IL52" s="2931"/>
      <c r="IM52" s="2931"/>
      <c r="IN52" s="2931"/>
      <c r="IO52" s="2931" cm="1">
        <f t="array" ref="IO52">IF(LEN($G52)=0,"Rent Roll is incomplete",_xlfn.XLOOKUP(TRUE,EXACT(RentRoll_InputArea_DesignatedUnitType,$G52),RentRoll_InputArea_Beds,"Not Found"))</f>
        <v>2</v>
      </c>
      <c r="IP52" s="2934"/>
      <c r="IQ52" s="2935" t="str">
        <f t="shared" si="20"/>
        <v>2 Bedroom Unit</v>
      </c>
      <c r="IR52" s="2926">
        <f t="shared" si="21"/>
        <v>1396</v>
      </c>
      <c r="IS52" s="2935"/>
      <c r="IT52" s="2931"/>
      <c r="IU52" s="2931"/>
      <c r="IV52" s="2931"/>
      <c r="IW52" s="2936" t="str">
        <f t="shared" si="22"/>
        <v>3-304</v>
      </c>
      <c r="IX52" s="2936"/>
      <c r="IY52" s="2936"/>
      <c r="IZ52" s="2936">
        <f t="shared" si="23"/>
        <v>2</v>
      </c>
      <c r="JA52" s="2936">
        <f t="shared" si="24"/>
        <v>1396</v>
      </c>
      <c r="JB52" s="2936"/>
      <c r="JC52" s="2936"/>
      <c r="JD52" s="2936"/>
      <c r="JE52" s="2936"/>
      <c r="JF52" s="2936"/>
      <c r="JG52" s="2936"/>
      <c r="JH52" s="2936">
        <f t="shared" si="25"/>
        <v>1410</v>
      </c>
      <c r="JI52" s="2936"/>
      <c r="JJ52" s="2936">
        <f t="shared" si="26"/>
      </c>
      <c r="JK52" s="2936"/>
      <c r="JL52" s="2936"/>
      <c r="JM52" s="2936"/>
      <c r="JN52" s="2936"/>
      <c r="JO52" s="2936"/>
      <c r="JP52" s="2936"/>
      <c r="JQ52" s="2936" t="str">
        <f t="shared" si="27"/>
        <v>Occupied</v>
      </c>
      <c r="JR52" s="2936" cm="1">
        <f t="array" ref="JR52">_xlfn.XLOOKUP(TRUE,EXACT(RentRoll_InputArea_DesignatedUnitType,$G52),RentRoll_InputArea_SquareFootage,"Not Found")</f>
        <v>851</v>
      </c>
      <c r="JS52" s="2936" t="str">
        <f t="shared" si="28"/>
        <v>Apartment</v>
      </c>
      <c r="JT52" s="2936">
        <f t="shared" si="29"/>
      </c>
      <c r="JU52" s="2936"/>
      <c r="JV52" s="2936"/>
      <c r="JW52" s="2936"/>
      <c r="JX52" s="2936"/>
      <c r="JY52" s="2936">
        <f t="shared" si="9"/>
        <v>43510</v>
      </c>
      <c r="JZ52" s="2936">
        <f t="shared" si="9"/>
        <v>43708</v>
      </c>
      <c r="KA52" s="2936"/>
      <c r="KB52" s="2936"/>
      <c r="KC52" s="2936"/>
      <c r="KD52" s="2936"/>
      <c r="KE52" s="2936"/>
      <c r="KF52" s="2936"/>
      <c r="KG52" s="2936"/>
      <c r="KH52" s="2936"/>
      <c r="KI52" s="2937"/>
      <c r="KJ52" s="2936"/>
      <c r="KK52" s="1353"/>
    </row>
    <row r="53" ht="15" customHeight="1">
      <c r="A53" s="2922">
        <f t="shared" si="10"/>
        <v>30</v>
      </c>
      <c r="B53" s="2865" t="s">
        <v>2802</v>
      </c>
      <c r="C53" s="2873"/>
      <c r="D53" s="2873" t="s">
        <v>2803</v>
      </c>
      <c r="E53" s="2923">
        <v>1411</v>
      </c>
      <c r="F53" s="2924" t="s">
        <v>2804</v>
      </c>
      <c r="G53" s="2873" t="s">
        <v>2531</v>
      </c>
      <c r="H53" s="2923"/>
      <c r="I53" s="2925" cm="1">
        <f t="array" ref="I53">_xlfn.LET(_xlpm.has_subsidy,$N53&gt;0,_xlpm.is_chap9_sbl,$FF$20,_xlpm.contract_rent,$H53,_xlpm.unit_type_mkt_rent,_xlfn.XLOOKUP(TRUE,EXACT($G53,RentRoll_InputArea_DesignatedUnitType),RentRoll_InputArea_MarketRent,"Not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3" s="2926">
        <f t="shared" si="11"/>
      </c>
      <c r="K53" s="2923"/>
      <c r="L53" s="2923"/>
      <c r="M53" s="2923"/>
      <c r="N53" s="2923"/>
      <c r="O53" s="2927"/>
      <c r="P53" s="2927"/>
      <c r="Q53" s="2928">
        <f t="shared" si="8"/>
      </c>
      <c r="R53" s="2928">
        <f t="shared" si="8"/>
      </c>
      <c r="S53" s="2928">
        <f t="shared" si="8"/>
      </c>
      <c r="T53" s="2928">
        <f t="shared" si="8"/>
      </c>
      <c r="U53" s="2928">
        <f t="shared" si="8"/>
      </c>
      <c r="V53" s="2928">
        <f t="shared" si="8"/>
      </c>
      <c r="W53" s="2928">
        <f t="shared" si="8"/>
      </c>
      <c r="X53" s="2928">
        <f t="shared" si="8"/>
      </c>
      <c r="Y53" s="2928">
        <f t="shared" si="8"/>
      </c>
      <c r="Z53" s="2928">
        <f t="shared" si="8"/>
      </c>
      <c r="AA53" s="2928">
        <f t="shared" si="8"/>
      </c>
      <c r="AB53" s="2928">
        <f t="shared" si="8"/>
      </c>
      <c r="AC53" s="2928">
        <f t="shared" si="8"/>
      </c>
      <c r="AD53" s="2928">
        <f t="shared" si="8"/>
      </c>
      <c r="AE53" s="2928">
        <f t="shared" si="8"/>
      </c>
      <c r="AF53" s="2928">
        <f t="shared" si="8"/>
      </c>
      <c r="AG53" s="2928">
        <f t="shared" si="8"/>
      </c>
      <c r="AH53" s="2928">
        <f t="shared" si="8"/>
      </c>
      <c r="AI53" s="2928">
        <f t="shared" si="8"/>
      </c>
      <c r="AJ53" s="2928">
        <f t="shared" si="8"/>
      </c>
      <c r="AK53" s="2928">
        <f t="shared" si="8"/>
      </c>
      <c r="AL53" s="2928">
        <f t="shared" si="8"/>
      </c>
      <c r="AM53" s="2928">
        <f t="shared" si="8"/>
      </c>
      <c r="AN53" s="2928">
        <f t="shared" si="8"/>
      </c>
      <c r="AO53" s="2928">
        <f t="shared" si="8"/>
      </c>
      <c r="AP53" s="2928">
        <f t="shared" si="8"/>
      </c>
      <c r="AQ53" s="2928">
        <f t="shared" si="8"/>
      </c>
      <c r="AR53" s="2928">
        <f t="shared" si="8"/>
      </c>
      <c r="AS53" s="2928">
        <f t="shared" si="8"/>
      </c>
      <c r="AT53" s="2928">
        <f t="shared" si="8"/>
      </c>
      <c r="AU53" s="2928">
        <f t="shared" si="8"/>
      </c>
      <c r="AV53" s="2928">
        <f t="shared" si="8"/>
      </c>
      <c r="AW53" s="2928">
        <f t="shared" si="8"/>
      </c>
      <c r="AX53" s="2928">
        <f t="shared" si="8"/>
      </c>
      <c r="AY53" s="2928">
        <f t="shared" si="8"/>
      </c>
      <c r="AZ53" s="2928">
        <f t="shared" si="8"/>
      </c>
      <c r="BA53" s="2928">
        <f t="shared" si="8"/>
      </c>
      <c r="BB53" s="2928">
        <f t="shared" si="8"/>
      </c>
      <c r="BC53" s="2928">
        <f t="shared" si="8"/>
      </c>
      <c r="BD53" s="2928">
        <f t="shared" si="8"/>
      </c>
      <c r="BE53" s="2928">
        <f t="shared" si="8"/>
      </c>
      <c r="BF53" s="2928">
        <f t="shared" si="8"/>
      </c>
      <c r="BG53" s="2928">
        <f t="shared" si="8"/>
      </c>
      <c r="BH53" s="2928">
        <f t="shared" si="8"/>
      </c>
      <c r="BI53" s="2928">
        <f t="shared" si="8"/>
      </c>
      <c r="BJ53" s="2928">
        <f t="shared" si="8"/>
      </c>
      <c r="BK53" s="2928">
        <f t="shared" si="8"/>
      </c>
      <c r="BL53" s="2928">
        <f t="shared" si="8"/>
      </c>
      <c r="BM53" s="2928">
        <f t="shared" si="8"/>
      </c>
      <c r="BN53" s="2928">
        <f t="shared" si="8"/>
      </c>
      <c r="BO53" s="2928">
        <f t="shared" si="8"/>
      </c>
      <c r="BP53" s="2928">
        <f t="shared" si="8"/>
      </c>
      <c r="BQ53" s="2928">
        <f t="shared" si="8"/>
      </c>
      <c r="BR53" s="2928">
        <f t="shared" si="8"/>
      </c>
      <c r="BS53" s="2928">
        <f t="shared" si="8"/>
      </c>
      <c r="BT53" s="2928">
        <f t="shared" si="8"/>
      </c>
      <c r="BU53" s="2928">
        <f t="shared" si="8"/>
      </c>
      <c r="BV53" s="2928">
        <f t="shared" si="8"/>
      </c>
      <c r="BW53" s="2928">
        <f t="shared" si="8"/>
      </c>
      <c r="BX53" s="2928">
        <f t="shared" si="8"/>
      </c>
      <c r="BY53" s="2928">
        <f t="shared" si="8"/>
      </c>
      <c r="BZ53" s="2928">
        <f t="shared" si="8"/>
      </c>
      <c r="CA53" s="2928">
        <f t="shared" si="8"/>
      </c>
      <c r="CB53" s="2928">
        <f t="shared" si="8"/>
      </c>
      <c r="CC53" s="2928">
        <f t="shared" si="8"/>
      </c>
      <c r="CD53" s="2928">
        <f t="shared" si="8"/>
      </c>
      <c r="CE53" s="2928">
        <f t="shared" si="8"/>
      </c>
      <c r="CF53" s="2928">
        <f t="shared" si="8"/>
      </c>
      <c r="CG53" s="2928">
        <f t="shared" si="8"/>
      </c>
      <c r="CH53" s="2928">
        <f t="shared" si="8"/>
      </c>
      <c r="CI53" s="2928">
        <f t="shared" si="8"/>
      </c>
      <c r="CJ53" s="2928">
        <f t="shared" si="8"/>
      </c>
      <c r="CK53" s="2928">
        <f t="shared" si="8"/>
      </c>
      <c r="CL53" s="2928">
        <f t="shared" si="8"/>
      </c>
      <c r="CM53" s="2928">
        <f t="shared" si="8"/>
      </c>
      <c r="CN53" s="2928">
        <f t="shared" si="8"/>
      </c>
      <c r="CO53" s="2928">
        <f t="shared" si="8"/>
      </c>
      <c r="CP53" s="2928">
        <f t="shared" si="8"/>
      </c>
      <c r="CQ53" s="2928">
        <f t="shared" si="8"/>
      </c>
      <c r="CR53" s="2928">
        <f t="shared" si="8"/>
      </c>
      <c r="CS53" s="2928">
        <f t="shared" si="8"/>
      </c>
      <c r="CT53" s="2928">
        <f t="shared" si="8"/>
      </c>
      <c r="CU53" s="2928">
        <f t="shared" si="8"/>
      </c>
      <c r="CV53" s="2928">
        <f t="shared" si="8"/>
      </c>
      <c r="CW53" s="2928">
        <f t="shared" si="8"/>
      </c>
      <c r="CX53" s="2928">
        <f t="shared" si="8"/>
      </c>
      <c r="CY53" s="2928">
        <f t="shared" si="8"/>
      </c>
      <c r="CZ53" s="2928">
        <f t="shared" si="8"/>
      </c>
      <c r="DA53" s="2928">
        <f t="shared" si="8"/>
      </c>
      <c r="DB53" s="2928">
        <f t="shared" si="8"/>
      </c>
      <c r="DC53" s="2928">
        <f t="shared" si="8"/>
      </c>
      <c r="DD53" s="2928">
        <f t="shared" si="8"/>
      </c>
      <c r="DE53" s="2928">
        <f t="shared" si="8"/>
      </c>
      <c r="DF53" s="2928">
        <f t="shared" si="8"/>
      </c>
      <c r="DG53" s="2928">
        <f t="shared" si="8"/>
      </c>
      <c r="DH53" s="2928">
        <f t="shared" si="8"/>
      </c>
      <c r="DI53" s="2928">
        <f t="shared" si="8"/>
      </c>
      <c r="DJ53" s="2928">
        <f t="shared" si="8"/>
      </c>
      <c r="DK53" s="2928">
        <f t="shared" si="8"/>
      </c>
      <c r="DL53" s="2928">
        <f t="shared" si="8"/>
      </c>
      <c r="DM53" s="2928">
        <f t="shared" si="8"/>
      </c>
      <c r="DN53" s="2928">
        <f t="shared" si="8"/>
      </c>
      <c r="DO53" s="2928">
        <f t="shared" si="8"/>
      </c>
      <c r="DP53" s="2928">
        <f t="shared" si="8"/>
      </c>
      <c r="DQ53" s="2928">
        <f t="shared" si="8"/>
      </c>
      <c r="DR53" s="2928">
        <f t="shared" si="8"/>
      </c>
      <c r="DS53" s="2928">
        <f t="shared" si="8"/>
      </c>
      <c r="DT53" s="2928">
        <f t="shared" si="8"/>
      </c>
      <c r="DU53" s="2928">
        <f t="shared" si="8"/>
      </c>
      <c r="DV53" s="2928">
        <f t="shared" si="8"/>
      </c>
      <c r="DW53" s="2928">
        <f t="shared" si="8"/>
      </c>
      <c r="DX53" s="2928">
        <f t="shared" si="8"/>
      </c>
      <c r="DY53" s="2928">
        <f t="shared" si="8"/>
      </c>
      <c r="DZ53" s="2928">
        <f t="shared" si="8"/>
      </c>
      <c r="EA53" s="2928">
        <f t="shared" si="8"/>
      </c>
      <c r="EB53" s="2928">
        <f t="shared" si="8"/>
      </c>
      <c r="EC53" s="2928">
        <f t="shared" si="8"/>
      </c>
      <c r="ED53" s="2928">
        <f t="shared" si="8"/>
      </c>
      <c r="EE53" s="2928">
        <f t="shared" si="8"/>
      </c>
      <c r="EF53" s="2928">
        <f t="shared" si="8"/>
      </c>
      <c r="EG53" s="2928">
        <f t="shared" si="8"/>
      </c>
      <c r="EH53" s="2928">
        <f t="shared" si="8"/>
      </c>
      <c r="EI53" s="2928">
        <f t="shared" si="8"/>
      </c>
      <c r="EJ53" s="2928">
        <f t="shared" si="8"/>
      </c>
      <c r="EK53" s="2928">
        <f t="shared" si="8"/>
      </c>
      <c r="EL53" s="2928">
        <f t="shared" si="8"/>
      </c>
      <c r="EM53" s="2928">
        <f t="shared" si="8"/>
      </c>
      <c r="EN53" s="2928">
        <f t="shared" si="8"/>
      </c>
      <c r="EO53" s="2928">
        <f t="shared" si="8"/>
      </c>
      <c r="EP53" s="2928">
        <f t="shared" si="8"/>
      </c>
      <c r="EQ53" s="2928">
        <f t="shared" si="8"/>
      </c>
      <c r="ER53" s="2928">
        <f t="shared" si="8"/>
      </c>
      <c r="ES53" s="2928">
        <f t="shared" si="8"/>
      </c>
      <c r="ET53" s="2928">
        <f t="shared" si="8"/>
      </c>
      <c r="EU53" s="2928">
        <f t="shared" si="8"/>
      </c>
      <c r="EV53" s="2928">
        <f t="shared" si="8"/>
      </c>
      <c r="EW53" s="2928">
        <f t="shared" si="8"/>
      </c>
      <c r="EX53" s="2928">
        <f t="shared" si="8"/>
      </c>
      <c r="EY53" s="2928">
        <f t="shared" si="8"/>
      </c>
      <c r="EZ53" s="2928">
        <f t="shared" si="8"/>
      </c>
      <c r="FA53" s="2929">
        <f t="shared" si="12"/>
        <v>1410</v>
      </c>
      <c r="FB53" s="2825">
        <f t="shared" si="13"/>
      </c>
      <c r="FC53" s="2930" cm="1">
        <f t="array" ref="FC53">_xlfn.LET(_xlpm.unit_type,$G53,_xlpm.market_rent_from_rent_roll,$E53,_xlpm.unit_type_list,RentRoll_InputArea_DesignatedUnitType,_xlpm.rent_by_unit_type,RentRoll_InputArea_MarketRent,_xlpm.use_rent_roll_market_rent,LEFT(RR_VacantUnitMktRentSource,9)="Rent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3" s="2930">
        <f t="shared" si="14"/>
      </c>
      <c r="FE53" s="2930">
        <f t="shared" si="15"/>
        <v>1410</v>
      </c>
      <c r="FF53" s="2930">
        <f t="shared" si="16"/>
        <v>0</v>
      </c>
      <c r="FG53" s="2931"/>
      <c r="FH53" s="2932">
        <f t="shared" si="17"/>
      </c>
      <c r="FI53" s="2932">
        <f t="shared" si="18"/>
      </c>
      <c r="FJ53" s="2931"/>
      <c r="FK53" s="2933" cm="1">
        <f t="array" ref="FK53">IF(AND(LEN($D53)&gt;0,ISNA(MATCH(TRUE,EXACT($G53,RentRoll_InputArea_DesignatedUnitType),0))),1,0)</f>
        <v>0</v>
      </c>
      <c r="FL53" s="2931">
        <f t="shared" si="19"/>
        <v>30</v>
      </c>
      <c r="FM53" s="2931"/>
      <c r="FN53" s="2931"/>
      <c r="FO53" s="2931"/>
      <c r="FP53" s="2931"/>
      <c r="FQ53" s="2931"/>
      <c r="FR53" s="2931"/>
      <c r="FS53" s="2931"/>
      <c r="FT53" s="2931"/>
      <c r="FU53" s="2931"/>
      <c r="FV53" s="2931"/>
      <c r="FW53" s="2931"/>
      <c r="FX53" s="2931"/>
      <c r="FY53" s="2931"/>
      <c r="FZ53" s="2931"/>
      <c r="GA53" s="2931"/>
      <c r="GB53" s="2931"/>
      <c r="GC53" s="2931"/>
      <c r="GD53" s="2931"/>
      <c r="GE53" s="2931"/>
      <c r="GF53" s="2931"/>
      <c r="GG53" s="2931"/>
      <c r="GH53" s="2931"/>
      <c r="GI53" s="2931"/>
      <c r="GJ53" s="2931"/>
      <c r="GK53" s="2931"/>
      <c r="GL53" s="2931"/>
      <c r="GM53" s="2931"/>
      <c r="GN53" s="2931"/>
      <c r="GO53" s="2931"/>
      <c r="GP53" s="2931"/>
      <c r="GQ53" s="2931"/>
      <c r="GR53" s="2931"/>
      <c r="GS53" s="2931"/>
      <c r="GT53" s="2931"/>
      <c r="GU53" s="2931"/>
      <c r="GV53" s="2931"/>
      <c r="GW53" s="2931"/>
      <c r="GX53" s="2931"/>
      <c r="GY53" s="2931"/>
      <c r="GZ53" s="2931"/>
      <c r="HA53" s="2931"/>
      <c r="HB53" s="2931"/>
      <c r="HC53" s="2931"/>
      <c r="HD53" s="2931"/>
      <c r="HE53" s="2931"/>
      <c r="HF53" s="2931"/>
      <c r="HG53" s="2931"/>
      <c r="HH53" s="2931"/>
      <c r="HI53" s="2931"/>
      <c r="HJ53" s="2931"/>
      <c r="HK53" s="2931"/>
      <c r="HL53" s="2931"/>
      <c r="HM53" s="2931"/>
      <c r="HN53" s="2931"/>
      <c r="HO53" s="2931"/>
      <c r="HP53" s="2931"/>
      <c r="HQ53" s="2931"/>
      <c r="HR53" s="2931"/>
      <c r="HS53" s="2931"/>
      <c r="HT53" s="2931"/>
      <c r="HU53" s="2931"/>
      <c r="HV53" s="2931"/>
      <c r="HW53" s="2931"/>
      <c r="HX53" s="2931"/>
      <c r="HY53" s="2931"/>
      <c r="HZ53" s="2931"/>
      <c r="IA53" s="2931"/>
      <c r="IB53" s="2931"/>
      <c r="IC53" s="2931"/>
      <c r="ID53" s="2931"/>
      <c r="IE53" s="2931"/>
      <c r="IF53" s="2931"/>
      <c r="IG53" s="2931"/>
      <c r="IH53" s="2931"/>
      <c r="II53" s="2931"/>
      <c r="IJ53" s="2931"/>
      <c r="IK53" s="2931"/>
      <c r="IL53" s="2931"/>
      <c r="IM53" s="2931"/>
      <c r="IN53" s="2931"/>
      <c r="IO53" s="2931" cm="1">
        <f t="array" ref="IO53">IF(LEN($G53)=0,"Rent Roll is incomplete",_xlfn.XLOOKUP(TRUE,EXACT(RentRoll_InputArea_DesignatedUnitType,$G53),RentRoll_InputArea_Beds,"Not Found"))</f>
        <v>2</v>
      </c>
      <c r="IP53" s="2934"/>
      <c r="IQ53" s="2935" t="str">
        <f t="shared" si="20"/>
        <v>2 Bedroom Unit</v>
      </c>
      <c r="IR53" s="2926">
        <f t="shared" si="21"/>
        <v>1410</v>
      </c>
      <c r="IS53" s="2935"/>
      <c r="IT53" s="2931"/>
      <c r="IU53" s="2931"/>
      <c r="IV53" s="2931"/>
      <c r="IW53" s="2936" t="str">
        <f t="shared" si="22"/>
        <v>3-305</v>
      </c>
      <c r="IX53" s="2936"/>
      <c r="IY53" s="2936"/>
      <c r="IZ53" s="2936">
        <f t="shared" si="23"/>
        <v>2</v>
      </c>
      <c r="JA53" s="2936">
        <f t="shared" si="24"/>
        <v>0</v>
      </c>
      <c r="JB53" s="2936"/>
      <c r="JC53" s="2936"/>
      <c r="JD53" s="2936"/>
      <c r="JE53" s="2936"/>
      <c r="JF53" s="2936"/>
      <c r="JG53" s="2936"/>
      <c r="JH53" s="2936">
        <f t="shared" si="25"/>
        <v>1410</v>
      </c>
      <c r="JI53" s="2936"/>
      <c r="JJ53" s="2936">
        <f t="shared" si="26"/>
      </c>
      <c r="JK53" s="2936"/>
      <c r="JL53" s="2936"/>
      <c r="JM53" s="2936"/>
      <c r="JN53" s="2936"/>
      <c r="JO53" s="2936"/>
      <c r="JP53" s="2936"/>
      <c r="JQ53" s="2936" t="str">
        <f t="shared" si="27"/>
        <v>Vacant</v>
      </c>
      <c r="JR53" s="2936" cm="1">
        <f t="array" ref="JR53">_xlfn.XLOOKUP(TRUE,EXACT(RentRoll_InputArea_DesignatedUnitType,$G53),RentRoll_InputArea_SquareFootage,"Not Found")</f>
        <v>851</v>
      </c>
      <c r="JS53" s="2936" t="str">
        <f t="shared" si="28"/>
        <v>Apartment</v>
      </c>
      <c r="JT53" s="2936">
        <f t="shared" si="29"/>
      </c>
      <c r="JU53" s="2936"/>
      <c r="JV53" s="2936"/>
      <c r="JW53" s="2936"/>
      <c r="JX53" s="2936"/>
      <c r="JY53" s="2936">
        <f t="shared" si="9"/>
      </c>
      <c r="JZ53" s="2936">
        <f t="shared" si="9"/>
      </c>
      <c r="KA53" s="2936"/>
      <c r="KB53" s="2936"/>
      <c r="KC53" s="2936"/>
      <c r="KD53" s="2936"/>
      <c r="KE53" s="2936"/>
      <c r="KF53" s="2936"/>
      <c r="KG53" s="2936"/>
      <c r="KH53" s="2936"/>
      <c r="KI53" s="2937"/>
      <c r="KJ53" s="2936"/>
      <c r="KK53" s="1353"/>
    </row>
    <row r="54" ht="15" customHeight="1">
      <c r="A54" s="2922">
        <f t="shared" si="10"/>
        <v>31</v>
      </c>
      <c r="B54" s="2865"/>
      <c r="C54" s="2873"/>
      <c r="D54" s="2873" t="s">
        <v>2805</v>
      </c>
      <c r="E54" s="2923">
        <v>1433</v>
      </c>
      <c r="F54" s="2924" t="s">
        <v>2806</v>
      </c>
      <c r="G54" s="2873" t="s">
        <v>2531</v>
      </c>
      <c r="H54" s="2923">
        <v>1382</v>
      </c>
      <c r="I54" s="2925" cm="1">
        <f t="array" ref="I54">_xlfn.LET(_xlpm.has_subsidy,$N54&gt;0,_xlpm.is_chap9_sbl,$FF$20,_xlpm.contract_rent,$H54,_xlpm.unit_type_mkt_rent,_xlfn.XLOOKUP(TRUE,EXACT($G54,RentRoll_InputArea_DesignatedUnitType),RentRoll_InputArea_MarketRent,"Not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4" s="2926">
        <f t="shared" si="11"/>
        <v>1382</v>
      </c>
      <c r="K54" s="2923"/>
      <c r="L54" s="2923"/>
      <c r="M54" s="2923"/>
      <c r="N54" s="2923"/>
      <c r="O54" s="2927">
        <v>43316</v>
      </c>
      <c r="P54" s="2927">
        <v>43616</v>
      </c>
      <c r="Q54" s="2928">
        <f t="shared" si="8"/>
      </c>
      <c r="R54" s="2928">
        <f t="shared" si="8"/>
      </c>
      <c r="S54" s="2928">
        <f t="shared" si="8"/>
        <v>1382</v>
      </c>
      <c r="T54" s="2928">
        <f t="shared" si="8"/>
      </c>
      <c r="U54" s="2928">
        <f t="shared" si="8"/>
      </c>
      <c r="V54" s="2928">
        <f t="shared" si="8"/>
      </c>
      <c r="W54" s="2928">
        <f t="shared" si="8"/>
      </c>
      <c r="X54" s="2928">
        <f t="shared" si="8"/>
      </c>
      <c r="Y54" s="2928">
        <f t="shared" si="8"/>
      </c>
      <c r="Z54" s="2928">
        <f t="shared" si="8"/>
      </c>
      <c r="AA54" s="2928">
        <f t="shared" si="8"/>
      </c>
      <c r="AB54" s="2928">
        <f t="shared" si="8"/>
      </c>
      <c r="AC54" s="2928">
        <f t="shared" si="8"/>
      </c>
      <c r="AD54" s="2928">
        <f t="shared" si="8"/>
      </c>
      <c r="AE54" s="2928">
        <f t="shared" si="8"/>
      </c>
      <c r="AF54" s="2928">
        <f t="shared" si="8"/>
      </c>
      <c r="AG54" s="2928">
        <f t="shared" si="8"/>
      </c>
      <c r="AH54" s="2928">
        <f t="shared" si="8"/>
      </c>
      <c r="AI54" s="2928">
        <f t="shared" si="8"/>
      </c>
      <c r="AJ54" s="2928">
        <f t="shared" si="8"/>
      </c>
      <c r="AK54" s="2928">
        <f t="shared" si="8"/>
      </c>
      <c r="AL54" s="2928">
        <f t="shared" si="8"/>
      </c>
      <c r="AM54" s="2928">
        <f t="shared" si="8"/>
      </c>
      <c r="AN54" s="2928">
        <f t="shared" si="8"/>
      </c>
      <c r="AO54" s="2928">
        <f t="shared" si="8"/>
      </c>
      <c r="AP54" s="2928">
        <f t="shared" si="8"/>
      </c>
      <c r="AQ54" s="2928">
        <f t="shared" si="8"/>
      </c>
      <c r="AR54" s="2928">
        <f t="shared" si="8"/>
      </c>
      <c r="AS54" s="2928">
        <f t="shared" si="8"/>
      </c>
      <c r="AT54" s="2928">
        <f t="shared" si="8"/>
      </c>
      <c r="AU54" s="2928">
        <f t="shared" si="8"/>
      </c>
      <c r="AV54" s="2928">
        <f t="shared" si="8"/>
      </c>
      <c r="AW54" s="2928">
        <f t="shared" si="8"/>
      </c>
      <c r="AX54" s="2928">
        <f t="shared" si="8"/>
      </c>
      <c r="AY54" s="2928">
        <f t="shared" si="8"/>
      </c>
      <c r="AZ54" s="2928">
        <f t="shared" si="8"/>
      </c>
      <c r="BA54" s="2928">
        <f t="shared" si="8"/>
      </c>
      <c r="BB54" s="2928">
        <f t="shared" si="8"/>
      </c>
      <c r="BC54" s="2928">
        <f t="shared" si="8"/>
      </c>
      <c r="BD54" s="2928">
        <f t="shared" si="8"/>
      </c>
      <c r="BE54" s="2928">
        <f t="shared" si="8"/>
      </c>
      <c r="BF54" s="2928">
        <f t="shared" si="8"/>
      </c>
      <c r="BG54" s="2928">
        <f t="shared" si="8"/>
      </c>
      <c r="BH54" s="2928">
        <f t="shared" si="8"/>
      </c>
      <c r="BI54" s="2928">
        <f t="shared" si="8"/>
      </c>
      <c r="BJ54" s="2928">
        <f t="shared" si="8"/>
      </c>
      <c r="BK54" s="2928">
        <f t="shared" si="8"/>
      </c>
      <c r="BL54" s="2928">
        <f t="shared" si="8"/>
      </c>
      <c r="BM54" s="2928">
        <f t="shared" si="8"/>
      </c>
      <c r="BN54" s="2928">
        <f t="shared" si="8"/>
      </c>
      <c r="BO54" s="2928">
        <f t="shared" si="8"/>
      </c>
      <c r="BP54" s="2928">
        <f t="shared" si="8"/>
      </c>
      <c r="BQ54" s="2928">
        <f t="shared" si="8"/>
      </c>
      <c r="BR54" s="2928">
        <f t="shared" si="8"/>
      </c>
      <c r="BS54" s="2928">
        <f t="shared" si="8"/>
      </c>
      <c r="BT54" s="2928">
        <f t="shared" si="8"/>
      </c>
      <c r="BU54" s="2928">
        <f t="shared" si="8"/>
      </c>
      <c r="BV54" s="2928">
        <f t="shared" si="8"/>
      </c>
      <c r="BW54" s="2928">
        <f t="shared" si="8"/>
      </c>
      <c r="BX54" s="2928">
        <f t="shared" si="8"/>
      </c>
      <c r="BY54" s="2928">
        <f t="shared" si="8"/>
      </c>
      <c r="BZ54" s="2928">
        <f t="shared" si="8"/>
      </c>
      <c r="CA54" s="2928">
        <f t="shared" si="8"/>
      </c>
      <c r="CB54" s="2928">
        <f t="shared" si="8"/>
      </c>
      <c r="CC54" s="2928">
        <f t="shared" si="8"/>
      </c>
      <c r="CD54" s="2928">
        <f t="shared" si="8"/>
      </c>
      <c r="CE54" s="2928">
        <f t="shared" si="8"/>
      </c>
      <c r="CF54" s="2928">
        <f t="shared" si="8"/>
      </c>
      <c r="CG54" s="2928">
        <f t="shared" si="8"/>
      </c>
      <c r="CH54" s="2928">
        <f t="shared" si="8"/>
      </c>
      <c r="CI54" s="2928">
        <f t="shared" si="8"/>
      </c>
      <c r="CJ54" s="2928">
        <f t="shared" si="8"/>
      </c>
      <c r="CK54" s="2928">
        <f t="shared" si="8"/>
      </c>
      <c r="CL54" s="2928">
        <f t="shared" si="8"/>
      </c>
      <c r="CM54" s="2928">
        <f t="shared" si="8"/>
      </c>
      <c r="CN54" s="2928">
        <f t="shared" si="8"/>
      </c>
      <c r="CO54" s="2928">
        <f t="shared" si="8"/>
      </c>
      <c r="CP54" s="2928">
        <f t="shared" si="8"/>
      </c>
      <c r="CQ54" s="2928">
        <f t="shared" si="8"/>
      </c>
      <c r="CR54" s="2928">
        <f t="shared" si="8"/>
      </c>
      <c r="CS54" s="2928">
        <f t="shared" si="8"/>
      </c>
      <c r="CT54" s="2928">
        <f t="shared" si="8"/>
      </c>
      <c r="CU54" s="2928">
        <f t="shared" si="8"/>
      </c>
      <c r="CV54" s="2928">
        <f t="shared" si="8"/>
      </c>
      <c r="CW54" s="2928">
        <f t="shared" si="8"/>
      </c>
      <c r="CX54" s="2928">
        <f t="shared" si="8"/>
      </c>
      <c r="CY54" s="2928">
        <f t="shared" si="8"/>
      </c>
      <c r="CZ54" s="2928">
        <f t="shared" si="8"/>
      </c>
      <c r="DA54" s="2928">
        <f t="shared" si="8"/>
      </c>
      <c r="DB54" s="2928">
        <f t="shared" si="8"/>
      </c>
      <c r="DC54" s="2928">
        <f t="shared" si="8"/>
      </c>
      <c r="DD54" s="2928">
        <f t="shared" si="8"/>
      </c>
      <c r="DE54" s="2928">
        <f t="shared" si="8"/>
      </c>
      <c r="DF54" s="2928">
        <f t="shared" si="8"/>
      </c>
      <c r="DG54" s="2928">
        <f t="shared" si="8"/>
      </c>
      <c r="DH54" s="2928">
        <f t="shared" si="8"/>
      </c>
      <c r="DI54" s="2928">
        <f t="shared" si="8"/>
      </c>
      <c r="DJ54" s="2928">
        <f t="shared" si="8"/>
      </c>
      <c r="DK54" s="2928">
        <f t="shared" si="8"/>
      </c>
      <c r="DL54" s="2928">
        <f t="shared" si="8"/>
      </c>
      <c r="DM54" s="2928">
        <f t="shared" si="8"/>
      </c>
      <c r="DN54" s="2928">
        <f t="shared" si="8"/>
      </c>
      <c r="DO54" s="2928">
        <f t="shared" si="8"/>
      </c>
      <c r="DP54" s="2928">
        <f t="shared" si="8"/>
      </c>
      <c r="DQ54" s="2928">
        <f t="shared" si="8"/>
      </c>
      <c r="DR54" s="2928">
        <f t="shared" si="8"/>
      </c>
      <c r="DS54" s="2928">
        <f t="shared" si="8"/>
      </c>
      <c r="DT54" s="2928">
        <f t="shared" si="8"/>
      </c>
      <c r="DU54" s="2928">
        <f t="shared" si="8"/>
      </c>
      <c r="DV54" s="2928">
        <f t="shared" si="8"/>
      </c>
      <c r="DW54" s="2928">
        <f t="shared" si="8"/>
      </c>
      <c r="DX54" s="2928">
        <f t="shared" si="8"/>
      </c>
      <c r="DY54" s="2928">
        <f t="shared" si="8"/>
      </c>
      <c r="DZ54" s="2928">
        <f t="shared" si="8"/>
      </c>
      <c r="EA54" s="2928">
        <f t="shared" si="8"/>
      </c>
      <c r="EB54" s="2928">
        <f t="shared" si="8"/>
      </c>
      <c r="EC54" s="2928">
        <f t="shared" si="8"/>
      </c>
      <c r="ED54" s="2928">
        <f t="shared" si="8"/>
      </c>
      <c r="EE54" s="2928">
        <f t="shared" si="8"/>
      </c>
      <c r="EF54" s="2928">
        <f t="shared" si="8"/>
      </c>
      <c r="EG54" s="2928">
        <f t="shared" si="8"/>
      </c>
      <c r="EH54" s="2928">
        <f t="shared" si="8"/>
      </c>
      <c r="EI54" s="2928">
        <f t="shared" si="8"/>
      </c>
      <c r="EJ54" s="2928">
        <f t="shared" si="8"/>
      </c>
      <c r="EK54" s="2928">
        <f t="shared" si="8"/>
      </c>
      <c r="EL54" s="2928">
        <f t="shared" si="8"/>
      </c>
      <c r="EM54" s="2928">
        <f t="shared" si="8"/>
      </c>
      <c r="EN54" s="2928">
        <f t="shared" si="8"/>
      </c>
      <c r="EO54" s="2928">
        <f t="shared" si="8"/>
      </c>
      <c r="EP54" s="2928">
        <f t="shared" si="8"/>
      </c>
      <c r="EQ54" s="2928">
        <f t="shared" si="8"/>
      </c>
      <c r="ER54" s="2928">
        <f t="shared" si="8"/>
      </c>
      <c r="ES54" s="2928">
        <f t="shared" si="8"/>
      </c>
      <c r="ET54" s="2928">
        <f t="shared" si="8"/>
      </c>
      <c r="EU54" s="2928">
        <f t="shared" si="8"/>
      </c>
      <c r="EV54" s="2928">
        <f t="shared" si="8"/>
      </c>
      <c r="EW54" s="2928">
        <f t="shared" si="8"/>
      </c>
      <c r="EX54" s="2928">
        <f t="shared" si="8"/>
      </c>
      <c r="EY54" s="2928">
        <f t="shared" si="8"/>
      </c>
      <c r="EZ54" s="2928">
        <f t="shared" si="8"/>
      </c>
      <c r="FA54" s="2929" t="str">
        <f t="shared" si="12"/>
        <v>-</v>
      </c>
      <c r="FB54" s="2825">
        <f t="shared" si="13"/>
      </c>
      <c r="FC54" s="2930" cm="1">
        <f t="array" ref="FC54">_xlfn.LET(_xlpm.unit_type,$G54,_xlpm.market_rent_from_rent_roll,$E54,_xlpm.unit_type_list,RentRoll_InputArea_DesignatedUnitType,_xlpm.rent_by_unit_type,RentRoll_InputArea_MarketRent,_xlpm.use_rent_roll_market_rent,LEFT(RR_VacantUnitMktRentSource,9)="Rent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4" s="2930">
        <f t="shared" si="14"/>
        <v>1382</v>
      </c>
      <c r="FE54" s="2930">
        <f t="shared" si="15"/>
        <v>1382</v>
      </c>
      <c r="FF54" s="2930">
        <f t="shared" si="16"/>
        <v>1382</v>
      </c>
      <c r="FG54" s="2931"/>
      <c r="FH54" s="2932">
        <f t="shared" si="17"/>
      </c>
      <c r="FI54" s="2932">
        <f t="shared" si="18"/>
      </c>
      <c r="FJ54" s="2931"/>
      <c r="FK54" s="2933" cm="1">
        <f t="array" ref="FK54">IF(AND(LEN($D54)&gt;0,ISNA(MATCH(TRUE,EXACT($G54,RentRoll_InputArea_DesignatedUnitType),0))),1,0)</f>
        <v>0</v>
      </c>
      <c r="FL54" s="2931">
        <f t="shared" si="19"/>
        <v>31</v>
      </c>
      <c r="FM54" s="2931"/>
      <c r="FN54" s="2931"/>
      <c r="FO54" s="2931"/>
      <c r="FP54" s="2931"/>
      <c r="FQ54" s="2931"/>
      <c r="FR54" s="2931"/>
      <c r="FS54" s="2931"/>
      <c r="FT54" s="2931"/>
      <c r="FU54" s="2931"/>
      <c r="FV54" s="2931"/>
      <c r="FW54" s="2931"/>
      <c r="FX54" s="2931"/>
      <c r="FY54" s="2931"/>
      <c r="FZ54" s="2931"/>
      <c r="GA54" s="2931"/>
      <c r="GB54" s="2931"/>
      <c r="GC54" s="2931"/>
      <c r="GD54" s="2931"/>
      <c r="GE54" s="2931"/>
      <c r="GF54" s="2931"/>
      <c r="GG54" s="2931"/>
      <c r="GH54" s="2931"/>
      <c r="GI54" s="2931"/>
      <c r="GJ54" s="2931"/>
      <c r="GK54" s="2931"/>
      <c r="GL54" s="2931"/>
      <c r="GM54" s="2931"/>
      <c r="GN54" s="2931"/>
      <c r="GO54" s="2931"/>
      <c r="GP54" s="2931"/>
      <c r="GQ54" s="2931"/>
      <c r="GR54" s="2931"/>
      <c r="GS54" s="2931"/>
      <c r="GT54" s="2931"/>
      <c r="GU54" s="2931"/>
      <c r="GV54" s="2931"/>
      <c r="GW54" s="2931"/>
      <c r="GX54" s="2931"/>
      <c r="GY54" s="2931"/>
      <c r="GZ54" s="2931"/>
      <c r="HA54" s="2931"/>
      <c r="HB54" s="2931"/>
      <c r="HC54" s="2931"/>
      <c r="HD54" s="2931"/>
      <c r="HE54" s="2931"/>
      <c r="HF54" s="2931"/>
      <c r="HG54" s="2931"/>
      <c r="HH54" s="2931"/>
      <c r="HI54" s="2931"/>
      <c r="HJ54" s="2931"/>
      <c r="HK54" s="2931"/>
      <c r="HL54" s="2931"/>
      <c r="HM54" s="2931"/>
      <c r="HN54" s="2931"/>
      <c r="HO54" s="2931"/>
      <c r="HP54" s="2931"/>
      <c r="HQ54" s="2931"/>
      <c r="HR54" s="2931"/>
      <c r="HS54" s="2931"/>
      <c r="HT54" s="2931"/>
      <c r="HU54" s="2931"/>
      <c r="HV54" s="2931"/>
      <c r="HW54" s="2931"/>
      <c r="HX54" s="2931"/>
      <c r="HY54" s="2931"/>
      <c r="HZ54" s="2931"/>
      <c r="IA54" s="2931"/>
      <c r="IB54" s="2931"/>
      <c r="IC54" s="2931"/>
      <c r="ID54" s="2931"/>
      <c r="IE54" s="2931"/>
      <c r="IF54" s="2931"/>
      <c r="IG54" s="2931"/>
      <c r="IH54" s="2931"/>
      <c r="II54" s="2931"/>
      <c r="IJ54" s="2931"/>
      <c r="IK54" s="2931"/>
      <c r="IL54" s="2931"/>
      <c r="IM54" s="2931"/>
      <c r="IN54" s="2931"/>
      <c r="IO54" s="2931" cm="1">
        <f t="array" ref="IO54">IF(LEN($G54)=0,"Rent Roll is incomplete",_xlfn.XLOOKUP(TRUE,EXACT(RentRoll_InputArea_DesignatedUnitType,$G54),RentRoll_InputArea_Beds,"Not Found"))</f>
        <v>2</v>
      </c>
      <c r="IP54" s="2934"/>
      <c r="IQ54" s="2935" t="str">
        <f t="shared" si="20"/>
        <v>2 Bedroom Unit</v>
      </c>
      <c r="IR54" s="2926">
        <f t="shared" si="21"/>
        <v>1382</v>
      </c>
      <c r="IS54" s="2935"/>
      <c r="IT54" s="2931"/>
      <c r="IU54" s="2931"/>
      <c r="IV54" s="2931"/>
      <c r="IW54" s="2936" t="str">
        <f t="shared" si="22"/>
        <v>3-306</v>
      </c>
      <c r="IX54" s="2936"/>
      <c r="IY54" s="2936"/>
      <c r="IZ54" s="2936">
        <f t="shared" si="23"/>
        <v>2</v>
      </c>
      <c r="JA54" s="2936">
        <f t="shared" si="24"/>
        <v>1382</v>
      </c>
      <c r="JB54" s="2936"/>
      <c r="JC54" s="2936"/>
      <c r="JD54" s="2936"/>
      <c r="JE54" s="2936"/>
      <c r="JF54" s="2936"/>
      <c r="JG54" s="2936"/>
      <c r="JH54" s="2936">
        <f t="shared" si="25"/>
        <v>1410</v>
      </c>
      <c r="JI54" s="2936"/>
      <c r="JJ54" s="2936">
        <f t="shared" si="26"/>
      </c>
      <c r="JK54" s="2936"/>
      <c r="JL54" s="2936"/>
      <c r="JM54" s="2936"/>
      <c r="JN54" s="2936"/>
      <c r="JO54" s="2936"/>
      <c r="JP54" s="2936"/>
      <c r="JQ54" s="2936" t="str">
        <f t="shared" si="27"/>
        <v>Occupied</v>
      </c>
      <c r="JR54" s="2936" cm="1">
        <f t="array" ref="JR54">_xlfn.XLOOKUP(TRUE,EXACT(RentRoll_InputArea_DesignatedUnitType,$G54),RentRoll_InputArea_SquareFootage,"Not Found")</f>
        <v>851</v>
      </c>
      <c r="JS54" s="2936" t="str">
        <f t="shared" si="28"/>
        <v>Apartment</v>
      </c>
      <c r="JT54" s="2936">
        <f t="shared" si="29"/>
      </c>
      <c r="JU54" s="2936"/>
      <c r="JV54" s="2936"/>
      <c r="JW54" s="2936"/>
      <c r="JX54" s="2936"/>
      <c r="JY54" s="2936">
        <f t="shared" si="9"/>
        <v>43316</v>
      </c>
      <c r="JZ54" s="2936">
        <f t="shared" si="9"/>
        <v>43616</v>
      </c>
      <c r="KA54" s="2936"/>
      <c r="KB54" s="2936"/>
      <c r="KC54" s="2936"/>
      <c r="KD54" s="2936"/>
      <c r="KE54" s="2936"/>
      <c r="KF54" s="2936"/>
      <c r="KG54" s="2936"/>
      <c r="KH54" s="2936"/>
      <c r="KI54" s="2937"/>
      <c r="KJ54" s="2936"/>
      <c r="KK54" s="1353"/>
    </row>
    <row r="55" ht="15" customHeight="1">
      <c r="A55" s="2922">
        <f t="shared" si="10"/>
        <v>32</v>
      </c>
      <c r="B55" s="2865"/>
      <c r="C55" s="2873"/>
      <c r="D55" s="2873" t="s">
        <v>2807</v>
      </c>
      <c r="E55" s="2923">
        <v>1472</v>
      </c>
      <c r="F55" s="2924" t="s">
        <v>2808</v>
      </c>
      <c r="G55" s="2873" t="s">
        <v>2531</v>
      </c>
      <c r="H55" s="2923">
        <v>1333</v>
      </c>
      <c r="I55" s="2925" cm="1">
        <f t="array" ref="I55">_xlfn.LET(_xlpm.has_subsidy,$N55&gt;0,_xlpm.is_chap9_sbl,$FF$20,_xlpm.contract_rent,$H55,_xlpm.unit_type_mkt_rent,_xlfn.XLOOKUP(TRUE,EXACT($G55,RentRoll_InputArea_DesignatedUnitType),RentRoll_InputArea_MarketRent,"Not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5" s="2926">
        <f t="shared" si="11"/>
        <v>1333</v>
      </c>
      <c r="K55" s="2923"/>
      <c r="L55" s="2923"/>
      <c r="M55" s="2923"/>
      <c r="N55" s="2923"/>
      <c r="O55" s="2927">
        <v>43399</v>
      </c>
      <c r="P55" s="2927">
        <v>43677</v>
      </c>
      <c r="Q55" s="2928">
        <f t="shared" si="8"/>
      </c>
      <c r="R55" s="2928">
        <f t="shared" si="8"/>
      </c>
      <c r="S55" s="2928">
        <f t="shared" si="8"/>
        <v>1333</v>
      </c>
      <c r="T55" s="2928">
        <f t="shared" si="8"/>
      </c>
      <c r="U55" s="2928">
        <f t="shared" si="8"/>
      </c>
      <c r="V55" s="2928">
        <f t="shared" si="8"/>
      </c>
      <c r="W55" s="2928">
        <f t="shared" si="8"/>
      </c>
      <c r="X55" s="2928">
        <f t="shared" si="8"/>
      </c>
      <c r="Y55" s="2928">
        <f t="shared" si="8"/>
      </c>
      <c r="Z55" s="2928">
        <f t="shared" si="8"/>
      </c>
      <c r="AA55" s="2928">
        <f t="shared" si="8"/>
      </c>
      <c r="AB55" s="2928">
        <f t="shared" si="8"/>
      </c>
      <c r="AC55" s="2928">
        <f t="shared" si="8"/>
      </c>
      <c r="AD55" s="2928">
        <f t="shared" si="8"/>
      </c>
      <c r="AE55" s="2928">
        <f t="shared" si="8"/>
      </c>
      <c r="AF55" s="2928">
        <f t="shared" si="8"/>
      </c>
      <c r="AG55" s="2928">
        <f t="shared" si="8"/>
      </c>
      <c r="AH55" s="2928">
        <f t="shared" si="8"/>
      </c>
      <c r="AI55" s="2928">
        <f t="shared" si="8"/>
      </c>
      <c r="AJ55" s="2928">
        <f t="shared" si="8"/>
      </c>
      <c r="AK55" s="2928">
        <f t="shared" si="8"/>
      </c>
      <c r="AL55" s="2928">
        <f t="shared" si="8"/>
      </c>
      <c r="AM55" s="2928">
        <f t="shared" si="8"/>
      </c>
      <c r="AN55" s="2928">
        <f t="shared" si="8"/>
      </c>
      <c r="AO55" s="2928">
        <f t="shared" si="8"/>
      </c>
      <c r="AP55" s="2928">
        <f t="shared" si="8"/>
      </c>
      <c r="AQ55" s="2928">
        <f t="shared" si="8"/>
      </c>
      <c r="AR55" s="2928">
        <f t="shared" si="8"/>
      </c>
      <c r="AS55" s="2928">
        <f t="shared" si="8"/>
      </c>
      <c r="AT55" s="2928">
        <f t="shared" si="8"/>
      </c>
      <c r="AU55" s="2928">
        <f t="shared" si="8"/>
      </c>
      <c r="AV55" s="2928">
        <f t="shared" si="8"/>
      </c>
      <c r="AW55" s="2928">
        <f t="shared" si="8"/>
      </c>
      <c r="AX55" s="2928">
        <f t="shared" si="8"/>
      </c>
      <c r="AY55" s="2928">
        <f t="shared" si="8"/>
      </c>
      <c r="AZ55" s="2928">
        <f t="shared" si="8"/>
      </c>
      <c r="BA55" s="2928">
        <f t="shared" si="8"/>
      </c>
      <c r="BB55" s="2928">
        <f t="shared" si="8"/>
      </c>
      <c r="BC55" s="2928">
        <f t="shared" si="8"/>
      </c>
      <c r="BD55" s="2928">
        <f t="shared" si="8"/>
      </c>
      <c r="BE55" s="2928">
        <f t="shared" si="8"/>
      </c>
      <c r="BF55" s="2928">
        <f t="shared" si="8"/>
      </c>
      <c r="BG55" s="2928">
        <f t="shared" si="8"/>
      </c>
      <c r="BH55" s="2928">
        <f t="shared" si="8"/>
      </c>
      <c r="BI55" s="2928">
        <f t="shared" si="8"/>
      </c>
      <c r="BJ55" s="2928">
        <f t="shared" si="8"/>
      </c>
      <c r="BK55" s="2928">
        <f t="shared" si="8"/>
      </c>
      <c r="BL55" s="2928">
        <f t="shared" si="8"/>
      </c>
      <c r="BM55" s="2928">
        <f t="shared" si="8"/>
      </c>
      <c r="BN55" s="2928">
        <f t="shared" si="8"/>
      </c>
      <c r="BO55" s="2928">
        <f t="shared" si="8"/>
      </c>
      <c r="BP55" s="2928">
        <f t="shared" si="8"/>
      </c>
      <c r="BQ55" s="2928">
        <f t="shared" si="8"/>
      </c>
      <c r="BR55" s="2928">
        <f t="shared" si="8"/>
      </c>
      <c r="BS55" s="2928">
        <f t="shared" si="8"/>
      </c>
      <c r="BT55" s="2928">
        <f t="shared" si="8"/>
      </c>
      <c r="BU55" s="2928">
        <f t="shared" si="8"/>
      </c>
      <c r="BV55" s="2928">
        <f t="shared" si="8"/>
      </c>
      <c r="BW55" s="2928">
        <f t="shared" si="8"/>
      </c>
      <c r="BX55" s="2928">
        <f t="shared" si="8"/>
      </c>
      <c r="BY55" s="2928">
        <f t="shared" si="8"/>
      </c>
      <c r="BZ55" s="2928">
        <f t="shared" si="8"/>
      </c>
      <c r="CA55" s="2928">
        <f t="shared" si="8"/>
      </c>
      <c r="CB55" s="2928">
        <f t="shared" si="8"/>
      </c>
      <c r="CC55" s="2928">
        <f t="shared" si="8"/>
      </c>
      <c r="CD55" s="2928">
        <f t="shared" si="8"/>
      </c>
      <c r="CE55" s="2928">
        <f t="shared" si="8"/>
      </c>
      <c r="CF55" s="2928">
        <f t="shared" si="8"/>
      </c>
      <c r="CG55" s="2928">
        <f t="shared" si="8"/>
      </c>
      <c r="CH55" s="2928">
        <f t="shared" si="8"/>
      </c>
      <c r="CI55" s="2928">
        <f t="shared" si="8"/>
      </c>
      <c r="CJ55" s="2928">
        <f t="shared" si="8"/>
      </c>
      <c r="CK55" s="2928">
        <f t="shared" si="8"/>
      </c>
      <c r="CL55" s="2928">
        <f t="shared" si="8"/>
      </c>
      <c r="CM55" s="2928">
        <f t="shared" si="8"/>
      </c>
      <c r="CN55" s="2928">
        <f t="shared" si="8"/>
      </c>
      <c r="CO55" s="2928">
        <f t="shared" si="8"/>
      </c>
      <c r="CP55" s="2928">
        <f t="shared" si="8"/>
      </c>
      <c r="CQ55" s="2928">
        <f t="shared" si="8"/>
      </c>
      <c r="CR55" s="2928">
        <f t="shared" si="8"/>
      </c>
      <c r="CS55" s="2928">
        <f t="shared" si="8"/>
      </c>
      <c r="CT55" s="2928">
        <f t="shared" si="8"/>
      </c>
      <c r="CU55" s="2928">
        <f t="shared" si="8"/>
      </c>
      <c r="CV55" s="2928">
        <f t="shared" si="8"/>
      </c>
      <c r="CW55" s="2928">
        <f t="shared" si="8"/>
      </c>
      <c r="CX55" s="2928">
        <f t="shared" si="8"/>
      </c>
      <c r="CY55" s="2928">
        <f t="shared" si="8"/>
      </c>
      <c r="CZ55" s="2928">
        <f t="shared" si="8"/>
      </c>
      <c r="DA55" s="2928">
        <f t="shared" si="8"/>
      </c>
      <c r="DB55" s="2928">
        <f t="shared" si="8"/>
      </c>
      <c r="DC55" s="2928">
        <f t="shared" si="8"/>
      </c>
      <c r="DD55" s="2928">
        <f t="shared" si="8"/>
      </c>
      <c r="DE55" s="2928">
        <f t="shared" si="8"/>
      </c>
      <c r="DF55" s="2928">
        <f t="shared" si="8"/>
      </c>
      <c r="DG55" s="2928">
        <f t="shared" si="8"/>
      </c>
      <c r="DH55" s="2928">
        <f t="shared" si="8"/>
      </c>
      <c r="DI55" s="2928">
        <f t="shared" si="8"/>
      </c>
      <c r="DJ55" s="2928">
        <f t="shared" si="8"/>
      </c>
      <c r="DK55" s="2928">
        <f t="shared" si="8"/>
      </c>
      <c r="DL55" s="2928">
        <f t="shared" si="8"/>
      </c>
      <c r="DM55" s="2928">
        <f t="shared" si="8"/>
      </c>
      <c r="DN55" s="2928">
        <f t="shared" si="8"/>
      </c>
      <c r="DO55" s="2928">
        <f t="shared" si="8"/>
      </c>
      <c r="DP55" s="2928">
        <f t="shared" si="8"/>
      </c>
      <c r="DQ55" s="2928">
        <f t="shared" si="8"/>
      </c>
      <c r="DR55" s="2928">
        <f t="shared" si="8"/>
      </c>
      <c r="DS55" s="2928">
        <f t="shared" si="8"/>
      </c>
      <c r="DT55" s="2928">
        <f t="shared" si="8"/>
      </c>
      <c r="DU55" s="2928">
        <f t="shared" si="8"/>
      </c>
      <c r="DV55" s="2928">
        <f t="shared" si="8"/>
      </c>
      <c r="DW55" s="2928">
        <f t="shared" si="8"/>
      </c>
      <c r="DX55" s="2928">
        <f t="shared" si="8"/>
      </c>
      <c r="DY55" s="2928">
        <f t="shared" si="8"/>
      </c>
      <c r="DZ55" s="2928">
        <f t="shared" si="8"/>
      </c>
      <c r="EA55" s="2928">
        <f t="shared" si="8"/>
      </c>
      <c r="EB55" s="2928">
        <f t="shared" si="8"/>
      </c>
      <c r="EC55" s="2928">
        <f t="shared" si="8"/>
      </c>
      <c r="ED55" s="2928">
        <f t="shared" si="8"/>
      </c>
      <c r="EE55" s="2928">
        <f t="shared" si="8"/>
      </c>
      <c r="EF55" s="2928">
        <f t="shared" si="8"/>
      </c>
      <c r="EG55" s="2928">
        <f t="shared" si="8"/>
      </c>
      <c r="EH55" s="2928">
        <f t="shared" si="8"/>
      </c>
      <c r="EI55" s="2928">
        <f t="shared" si="8"/>
      </c>
      <c r="EJ55" s="2928">
        <f t="shared" si="8"/>
      </c>
      <c r="EK55" s="2928">
        <f t="shared" si="8"/>
      </c>
      <c r="EL55" s="2928">
        <f t="shared" si="8"/>
      </c>
      <c r="EM55" s="2928">
        <f t="shared" si="8"/>
      </c>
      <c r="EN55" s="2928">
        <f t="shared" si="8"/>
      </c>
      <c r="EO55" s="2928">
        <f t="shared" si="8"/>
      </c>
      <c r="EP55" s="2928">
        <f t="shared" si="8"/>
      </c>
      <c r="EQ55" s="2928">
        <f t="shared" si="8"/>
      </c>
      <c r="ER55" s="2928">
        <f t="shared" si="8"/>
      </c>
      <c r="ES55" s="2928">
        <f t="shared" si="8"/>
      </c>
      <c r="ET55" s="2928">
        <f t="shared" si="8"/>
      </c>
      <c r="EU55" s="2928">
        <f t="shared" si="8"/>
      </c>
      <c r="EV55" s="2928">
        <f t="shared" si="8"/>
      </c>
      <c r="EW55" s="2928">
        <f t="shared" si="8"/>
      </c>
      <c r="EX55" s="2928">
        <f t="shared" si="8"/>
      </c>
      <c r="EY55" s="2928">
        <f t="shared" si="8"/>
      </c>
      <c r="EZ55" s="2928">
        <f t="shared" si="8"/>
      </c>
      <c r="FA55" s="2929" t="str">
        <f t="shared" si="12"/>
        <v>-</v>
      </c>
      <c r="FB55" s="2825">
        <f t="shared" si="13"/>
      </c>
      <c r="FC55" s="2930" cm="1">
        <f t="array" ref="FC55">_xlfn.LET(_xlpm.unit_type,$G55,_xlpm.market_rent_from_rent_roll,$E55,_xlpm.unit_type_list,RentRoll_InputArea_DesignatedUnitType,_xlpm.rent_by_unit_type,RentRoll_InputArea_MarketRent,_xlpm.use_rent_roll_market_rent,LEFT(RR_VacantUnitMktRentSource,9)="Rent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1410</v>
      </c>
      <c r="FD55" s="2930">
        <f t="shared" si="14"/>
        <v>1333</v>
      </c>
      <c r="FE55" s="2930">
        <f t="shared" si="15"/>
        <v>1333</v>
      </c>
      <c r="FF55" s="2930">
        <f t="shared" si="16"/>
        <v>1333</v>
      </c>
      <c r="FG55" s="2931"/>
      <c r="FH55" s="2932">
        <f t="shared" si="17"/>
      </c>
      <c r="FI55" s="2932">
        <f t="shared" si="18"/>
      </c>
      <c r="FJ55" s="2931"/>
      <c r="FK55" s="2933" cm="1">
        <f t="array" ref="FK55">IF(AND(LEN($D55)&gt;0,ISNA(MATCH(TRUE,EXACT($G55,RentRoll_InputArea_DesignatedUnitType),0))),1,0)</f>
        <v>0</v>
      </c>
      <c r="FL55" s="2931">
        <f t="shared" si="19"/>
        <v>32</v>
      </c>
      <c r="FM55" s="2931"/>
      <c r="FN55" s="2931"/>
      <c r="FO55" s="2931"/>
      <c r="FP55" s="2931"/>
      <c r="FQ55" s="2931"/>
      <c r="FR55" s="2931"/>
      <c r="FS55" s="2931"/>
      <c r="FT55" s="2931"/>
      <c r="FU55" s="2931"/>
      <c r="FV55" s="2931"/>
      <c r="FW55" s="2931"/>
      <c r="FX55" s="2931"/>
      <c r="FY55" s="2931"/>
      <c r="FZ55" s="2931"/>
      <c r="GA55" s="2931"/>
      <c r="GB55" s="2931"/>
      <c r="GC55" s="2931"/>
      <c r="GD55" s="2931"/>
      <c r="GE55" s="2931"/>
      <c r="GF55" s="2931"/>
      <c r="GG55" s="2931"/>
      <c r="GH55" s="2931"/>
      <c r="GI55" s="2931"/>
      <c r="GJ55" s="2931"/>
      <c r="GK55" s="2931"/>
      <c r="GL55" s="2931"/>
      <c r="GM55" s="2931"/>
      <c r="GN55" s="2931"/>
      <c r="GO55" s="2931"/>
      <c r="GP55" s="2931"/>
      <c r="GQ55" s="2931"/>
      <c r="GR55" s="2931"/>
      <c r="GS55" s="2931"/>
      <c r="GT55" s="2931"/>
      <c r="GU55" s="2931"/>
      <c r="GV55" s="2931"/>
      <c r="GW55" s="2931"/>
      <c r="GX55" s="2931"/>
      <c r="GY55" s="2931"/>
      <c r="GZ55" s="2931"/>
      <c r="HA55" s="2931"/>
      <c r="HB55" s="2931"/>
      <c r="HC55" s="2931"/>
      <c r="HD55" s="2931"/>
      <c r="HE55" s="2931"/>
      <c r="HF55" s="2931"/>
      <c r="HG55" s="2931"/>
      <c r="HH55" s="2931"/>
      <c r="HI55" s="2931"/>
      <c r="HJ55" s="2931"/>
      <c r="HK55" s="2931"/>
      <c r="HL55" s="2931"/>
      <c r="HM55" s="2931"/>
      <c r="HN55" s="2931"/>
      <c r="HO55" s="2931"/>
      <c r="HP55" s="2931"/>
      <c r="HQ55" s="2931"/>
      <c r="HR55" s="2931"/>
      <c r="HS55" s="2931"/>
      <c r="HT55" s="2931"/>
      <c r="HU55" s="2931"/>
      <c r="HV55" s="2931"/>
      <c r="HW55" s="2931"/>
      <c r="HX55" s="2931"/>
      <c r="HY55" s="2931"/>
      <c r="HZ55" s="2931"/>
      <c r="IA55" s="2931"/>
      <c r="IB55" s="2931"/>
      <c r="IC55" s="2931"/>
      <c r="ID55" s="2931"/>
      <c r="IE55" s="2931"/>
      <c r="IF55" s="2931"/>
      <c r="IG55" s="2931"/>
      <c r="IH55" s="2931"/>
      <c r="II55" s="2931"/>
      <c r="IJ55" s="2931"/>
      <c r="IK55" s="2931"/>
      <c r="IL55" s="2931"/>
      <c r="IM55" s="2931"/>
      <c r="IN55" s="2931"/>
      <c r="IO55" s="2931" cm="1">
        <f t="array" ref="IO55">IF(LEN($G55)=0,"Rent Roll is incomplete",_xlfn.XLOOKUP(TRUE,EXACT(RentRoll_InputArea_DesignatedUnitType,$G55),RentRoll_InputArea_Beds,"Not Found"))</f>
        <v>2</v>
      </c>
      <c r="IP55" s="2934"/>
      <c r="IQ55" s="2935" t="str">
        <f t="shared" si="20"/>
        <v>2 Bedroom Unit</v>
      </c>
      <c r="IR55" s="2926">
        <f t="shared" si="21"/>
        <v>1333</v>
      </c>
      <c r="IS55" s="2935"/>
      <c r="IT55" s="2931"/>
      <c r="IU55" s="2931"/>
      <c r="IV55" s="2931"/>
      <c r="IW55" s="2936" t="str">
        <f t="shared" si="22"/>
        <v>3-307</v>
      </c>
      <c r="IX55" s="2936"/>
      <c r="IY55" s="2936"/>
      <c r="IZ55" s="2936">
        <f t="shared" si="23"/>
        <v>2</v>
      </c>
      <c r="JA55" s="2936">
        <f t="shared" si="24"/>
        <v>1333</v>
      </c>
      <c r="JB55" s="2936"/>
      <c r="JC55" s="2936"/>
      <c r="JD55" s="2936"/>
      <c r="JE55" s="2936"/>
      <c r="JF55" s="2936"/>
      <c r="JG55" s="2936"/>
      <c r="JH55" s="2936">
        <f t="shared" si="25"/>
        <v>1410</v>
      </c>
      <c r="JI55" s="2936"/>
      <c r="JJ55" s="2936">
        <f t="shared" si="26"/>
      </c>
      <c r="JK55" s="2936"/>
      <c r="JL55" s="2936"/>
      <c r="JM55" s="2936"/>
      <c r="JN55" s="2936"/>
      <c r="JO55" s="2936"/>
      <c r="JP55" s="2936"/>
      <c r="JQ55" s="2936" t="str">
        <f t="shared" si="27"/>
        <v>Occupied</v>
      </c>
      <c r="JR55" s="2936" cm="1">
        <f t="array" ref="JR55">_xlfn.XLOOKUP(TRUE,EXACT(RentRoll_InputArea_DesignatedUnitType,$G55),RentRoll_InputArea_SquareFootage,"Not Found")</f>
        <v>851</v>
      </c>
      <c r="JS55" s="2936" t="str">
        <f t="shared" si="28"/>
        <v>Apartment</v>
      </c>
      <c r="JT55" s="2936">
        <f t="shared" si="29"/>
      </c>
      <c r="JU55" s="2936"/>
      <c r="JV55" s="2936"/>
      <c r="JW55" s="2936"/>
      <c r="JX55" s="2936"/>
      <c r="JY55" s="2936">
        <f t="shared" si="9"/>
        <v>43399</v>
      </c>
      <c r="JZ55" s="2936">
        <f t="shared" si="9"/>
        <v>43677</v>
      </c>
      <c r="KA55" s="2936"/>
      <c r="KB55" s="2936"/>
      <c r="KC55" s="2936"/>
      <c r="KD55" s="2936"/>
      <c r="KE55" s="2936"/>
      <c r="KF55" s="2936"/>
      <c r="KG55" s="2936"/>
      <c r="KH55" s="2936"/>
      <c r="KI55" s="2937"/>
      <c r="KJ55" s="2936"/>
      <c r="KK55" s="1353"/>
    </row>
    <row r="56" ht="15" customHeight="1">
      <c r="A56" s="2922">
        <f t="shared" si="10"/>
        <v>33</v>
      </c>
      <c r="B56" s="2865"/>
      <c r="C56" s="2873"/>
      <c r="D56" s="2873" t="s">
        <v>2809</v>
      </c>
      <c r="E56" s="2923">
        <v>1474</v>
      </c>
      <c r="F56" s="2924" t="s">
        <v>2810</v>
      </c>
      <c r="G56" s="2873" t="s">
        <v>2532</v>
      </c>
      <c r="H56" s="2923">
        <v>1498</v>
      </c>
      <c r="I56" s="2925" cm="1">
        <f t="array" ref="I56">_xlfn.LET(_xlpm.has_subsidy,$N56&gt;0,_xlpm.is_chap9_sbl,$FF$20,_xlpm.contract_rent,$H56,_xlpm.unit_type_mkt_rent,_xlfn.XLOOKUP(TRUE,EXACT($G56,RentRoll_InputArea_DesignatedUnitType),RentRoll_InputArea_MarketRent,"Not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6" s="2926">
        <f t="shared" si="11"/>
        <v>1498</v>
      </c>
      <c r="K56" s="2923"/>
      <c r="L56" s="2923"/>
      <c r="M56" s="2923"/>
      <c r="N56" s="2923"/>
      <c r="O56" s="2927">
        <v>43374</v>
      </c>
      <c r="P56" s="2927">
        <v>43585</v>
      </c>
      <c r="Q56" s="2928">
        <f t="shared" si="8"/>
      </c>
      <c r="R56" s="2928">
        <f t="shared" si="8"/>
      </c>
      <c r="S56" s="2928">
        <f t="shared" si="8"/>
      </c>
      <c r="T56" s="2928">
        <f t="shared" si="8"/>
        <v>1498</v>
      </c>
      <c r="U56" s="2928">
        <f t="shared" si="8"/>
      </c>
      <c r="V56" s="2928">
        <f t="shared" si="8"/>
      </c>
      <c r="W56" s="2928">
        <f t="shared" si="8"/>
      </c>
      <c r="X56" s="2928">
        <f t="shared" si="8"/>
      </c>
      <c r="Y56" s="2928">
        <f t="shared" si="8"/>
      </c>
      <c r="Z56" s="2928">
        <f t="shared" si="8"/>
      </c>
      <c r="AA56" s="2928">
        <f t="shared" si="8"/>
      </c>
      <c r="AB56" s="2928">
        <f t="shared" si="8"/>
      </c>
      <c r="AC56" s="2928">
        <f t="shared" si="8"/>
      </c>
      <c r="AD56" s="2928">
        <f t="shared" si="8"/>
      </c>
      <c r="AE56" s="2928">
        <f t="shared" si="8"/>
      </c>
      <c r="AF56" s="2928">
        <f t="shared" si="8"/>
      </c>
      <c r="AG56" s="2928">
        <f t="shared" si="8"/>
      </c>
      <c r="AH56" s="2928">
        <f t="shared" si="8"/>
      </c>
      <c r="AI56" s="2928">
        <f t="shared" si="8"/>
      </c>
      <c r="AJ56" s="2928">
        <f t="shared" si="8"/>
      </c>
      <c r="AK56" s="2928">
        <f t="shared" si="8"/>
      </c>
      <c r="AL56" s="2928">
        <f t="shared" si="8"/>
      </c>
      <c r="AM56" s="2928">
        <f t="shared" si="8"/>
      </c>
      <c r="AN56" s="2928">
        <f t="shared" si="8"/>
      </c>
      <c r="AO56" s="2928">
        <f t="shared" si="8"/>
      </c>
      <c r="AP56" s="2928">
        <f t="shared" si="8"/>
      </c>
      <c r="AQ56" s="2928">
        <f t="shared" si="8"/>
      </c>
      <c r="AR56" s="2928">
        <f t="shared" si="8"/>
      </c>
      <c r="AS56" s="2928">
        <f t="shared" si="8"/>
      </c>
      <c r="AT56" s="2928">
        <f t="shared" si="8"/>
      </c>
      <c r="AU56" s="2928">
        <f t="shared" si="8"/>
      </c>
      <c r="AV56" s="2928">
        <f t="shared" si="8"/>
      </c>
      <c r="AW56" s="2928">
        <f t="shared" si="8"/>
      </c>
      <c r="AX56" s="2928">
        <f t="shared" si="8"/>
      </c>
      <c r="AY56" s="2928">
        <f t="shared" si="8"/>
      </c>
      <c r="AZ56" s="2928">
        <f t="shared" si="8"/>
      </c>
      <c r="BA56" s="2928">
        <f t="shared" si="8"/>
      </c>
      <c r="BB56" s="2928">
        <f t="shared" si="8"/>
      </c>
      <c r="BC56" s="2928">
        <f t="shared" si="8"/>
      </c>
      <c r="BD56" s="2928">
        <f t="shared" si="8"/>
      </c>
      <c r="BE56" s="2928">
        <f t="shared" si="8"/>
      </c>
      <c r="BF56" s="2928">
        <f t="shared" si="8"/>
      </c>
      <c r="BG56" s="2928">
        <f t="shared" si="8"/>
      </c>
      <c r="BH56" s="2928">
        <f t="shared" si="8"/>
      </c>
      <c r="BI56" s="2928">
        <f t="shared" si="8"/>
      </c>
      <c r="BJ56" s="2928">
        <f t="shared" si="8"/>
      </c>
      <c r="BK56" s="2928">
        <f t="shared" si="8"/>
      </c>
      <c r="BL56" s="2928">
        <f t="shared" si="8"/>
      </c>
      <c r="BM56" s="2928">
        <f t="shared" si="8"/>
      </c>
      <c r="BN56" s="2928">
        <f t="shared" si="8"/>
      </c>
      <c r="BO56" s="2928">
        <f t="shared" si="8"/>
      </c>
      <c r="BP56" s="2928">
        <f t="shared" si="8"/>
      </c>
      <c r="BQ56" s="2928">
        <f t="shared" si="8"/>
      </c>
      <c r="BR56" s="2928">
        <f t="shared" si="8"/>
      </c>
      <c r="BS56" s="2928">
        <f t="shared" si="8"/>
      </c>
      <c r="BT56" s="2928">
        <f t="shared" si="8"/>
      </c>
      <c r="BU56" s="2928">
        <f t="shared" si="8"/>
      </c>
      <c r="BV56" s="2928">
        <f t="shared" si="8"/>
      </c>
      <c r="BW56" s="2928">
        <f t="shared" si="8"/>
      </c>
      <c r="BX56" s="2928">
        <f t="shared" si="8"/>
      </c>
      <c r="BY56" s="2928">
        <f t="shared" si="8"/>
      </c>
      <c r="BZ56" s="2928">
        <f t="shared" si="8"/>
      </c>
      <c r="CA56" s="2928">
        <f t="shared" si="8"/>
      </c>
      <c r="CB56" s="2928">
        <f t="shared" si="8"/>
      </c>
      <c r="CC56" s="2928">
        <f t="shared" si="8"/>
      </c>
      <c r="CD56" s="2928">
        <f t="shared" si="8"/>
      </c>
      <c r="CE56" s="2928">
        <f t="shared" si="8"/>
      </c>
      <c r="CF56" s="2928">
        <f t="shared" si="8"/>
      </c>
      <c r="CG56" s="2928">
        <f t="shared" si="8"/>
      </c>
      <c r="CH56" s="2928">
        <f t="shared" si="8"/>
      </c>
      <c r="CI56" s="2928">
        <f t="shared" si="8"/>
      </c>
      <c r="CJ56" s="2928">
        <f t="shared" si="8"/>
      </c>
      <c r="CK56" s="2928">
        <f t="shared" si="8"/>
      </c>
      <c r="CL56" s="2928">
        <f t="shared" si="8"/>
      </c>
      <c r="CM56" s="2928">
        <f t="shared" si="8"/>
      </c>
      <c r="CN56" s="2928">
        <f t="shared" si="8"/>
      </c>
      <c r="CO56" s="2928">
        <f t="shared" si="8"/>
      </c>
      <c r="CP56" s="2928">
        <f t="shared" si="8"/>
      </c>
      <c r="CQ56" s="2928">
        <f t="shared" si="8"/>
      </c>
      <c r="CR56" s="2928">
        <f t="shared" si="8"/>
      </c>
      <c r="CS56" s="2928">
        <f t="shared" si="8"/>
      </c>
      <c r="CT56" s="2928">
        <f t="shared" si="8"/>
      </c>
      <c r="CU56" s="2928">
        <f t="shared" si="8"/>
      </c>
      <c r="CV56" s="2928">
        <f t="shared" si="8"/>
      </c>
      <c r="CW56" s="2928">
        <f t="shared" si="8"/>
      </c>
      <c r="CX56" s="2928">
        <f t="shared" si="8"/>
      </c>
      <c r="CY56" s="2928">
        <f t="shared" si="8"/>
      </c>
      <c r="CZ56" s="2928">
        <f t="shared" si="8"/>
      </c>
      <c r="DA56" s="2928">
        <f t="shared" si="8"/>
      </c>
      <c r="DB56" s="2928">
        <f t="shared" si="8"/>
      </c>
      <c r="DC56" s="2928">
        <f t="shared" si="8"/>
      </c>
      <c r="DD56" s="2928">
        <f t="shared" si="8"/>
      </c>
      <c r="DE56" s="2928">
        <f t="shared" si="8"/>
      </c>
      <c r="DF56" s="2928">
        <f t="shared" si="8"/>
      </c>
      <c r="DG56" s="2928">
        <f t="shared" si="8"/>
      </c>
      <c r="DH56" s="2928">
        <f t="shared" si="8"/>
      </c>
      <c r="DI56" s="2928">
        <f t="shared" si="8"/>
      </c>
      <c r="DJ56" s="2928">
        <f t="shared" si="8"/>
      </c>
      <c r="DK56" s="2928">
        <f t="shared" si="8"/>
      </c>
      <c r="DL56" s="2928">
        <f t="shared" si="8"/>
      </c>
      <c r="DM56" s="2928">
        <f t="shared" si="8"/>
      </c>
      <c r="DN56" s="2928">
        <f t="shared" si="8"/>
      </c>
      <c r="DO56" s="2928">
        <f t="shared" si="8"/>
      </c>
      <c r="DP56" s="2928">
        <f t="shared" si="8"/>
      </c>
      <c r="DQ56" s="2928">
        <f t="shared" si="8"/>
      </c>
      <c r="DR56" s="2928">
        <f t="shared" si="8"/>
      </c>
      <c r="DS56" s="2928">
        <f t="shared" si="8"/>
      </c>
      <c r="DT56" s="2928">
        <f t="shared" si="8"/>
      </c>
      <c r="DU56" s="2928">
        <f t="shared" si="8"/>
      </c>
      <c r="DV56" s="2928">
        <f t="shared" si="8"/>
      </c>
      <c r="DW56" s="2928">
        <f t="shared" si="8"/>
      </c>
      <c r="DX56" s="2928">
        <f t="shared" si="8"/>
      </c>
      <c r="DY56" s="2928">
        <f t="shared" si="8"/>
      </c>
      <c r="DZ56" s="2928">
        <f t="shared" si="8"/>
      </c>
      <c r="EA56" s="2928">
        <f t="shared" si="8"/>
      </c>
      <c r="EB56" s="2928">
        <f t="shared" si="8"/>
      </c>
      <c r="EC56" s="2928">
        <f t="shared" si="8"/>
      </c>
      <c r="ED56" s="2928">
        <f t="shared" si="8"/>
      </c>
      <c r="EE56" s="2928">
        <f t="shared" si="8"/>
      </c>
      <c r="EF56" s="2928">
        <f t="shared" si="8"/>
      </c>
      <c r="EG56" s="2928">
        <f t="shared" si="8"/>
      </c>
      <c r="EH56" s="2928">
        <f t="shared" si="8"/>
      </c>
      <c r="EI56" s="2928">
        <f t="shared" si="8"/>
      </c>
      <c r="EJ56" s="2928">
        <f t="shared" si="8"/>
      </c>
      <c r="EK56" s="2928">
        <f t="shared" si="8"/>
      </c>
      <c r="EL56" s="2928">
        <f t="shared" si="8"/>
      </c>
      <c r="EM56" s="2928">
        <f t="shared" si="8"/>
      </c>
      <c r="EN56" s="2928">
        <f t="shared" si="8"/>
      </c>
      <c r="EO56" s="2928">
        <f t="shared" si="8"/>
      </c>
      <c r="EP56" s="2928">
        <f t="shared" si="8"/>
      </c>
      <c r="EQ56" s="2928">
        <f t="shared" si="8"/>
      </c>
      <c r="ER56" s="2928">
        <f t="shared" si="8"/>
      </c>
      <c r="ES56" s="2928">
        <f t="shared" si="8"/>
      </c>
      <c r="ET56" s="2928">
        <f t="shared" si="8"/>
      </c>
      <c r="EU56" s="2928">
        <f t="shared" si="8"/>
      </c>
      <c r="EV56" s="2928">
        <f t="shared" si="8"/>
      </c>
      <c r="EW56" s="2928">
        <f t="shared" si="8"/>
      </c>
      <c r="EX56" s="2928">
        <f t="shared" si="8"/>
      </c>
      <c r="EY56" s="2928">
        <f t="shared" si="8"/>
      </c>
      <c r="EZ56" s="2928">
        <f t="shared" si="8"/>
      </c>
      <c r="FA56" s="2929" t="str">
        <f t="shared" si="12"/>
        <v>-</v>
      </c>
      <c r="FB56" s="2825">
        <f t="shared" si="13"/>
      </c>
      <c r="FC56" s="2930" cm="1">
        <f t="array" ref="FC56">_xlfn.LET(_xlpm.unit_type,$G56,_xlpm.market_rent_from_rent_roll,$E56,_xlpm.unit_type_list,RentRoll_InputArea_DesignatedUnitType,_xlpm.rent_by_unit_type,RentRoll_InputArea_MarketRent,_xlpm.use_rent_roll_market_rent,LEFT(RR_VacantUnitMktRentSource,9)="Rent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56" s="2930">
        <f t="shared" si="14"/>
        <v>1498</v>
      </c>
      <c r="FE56" s="2930">
        <f t="shared" si="15"/>
        <v>1498</v>
      </c>
      <c r="FF56" s="2930">
        <f t="shared" si="16"/>
        <v>1498</v>
      </c>
      <c r="FG56" s="2931"/>
      <c r="FH56" s="2932">
        <f t="shared" si="17"/>
      </c>
      <c r="FI56" s="2932">
        <f t="shared" si="18"/>
      </c>
      <c r="FJ56" s="2931"/>
      <c r="FK56" s="2933" cm="1">
        <f t="array" ref="FK56">IF(AND(LEN($D56)&gt;0,ISNA(MATCH(TRUE,EXACT($G56,RentRoll_InputArea_DesignatedUnitType),0))),1,0)</f>
        <v>0</v>
      </c>
      <c r="FL56" s="2931">
        <f t="shared" si="19"/>
        <v>33</v>
      </c>
      <c r="FM56" s="2931"/>
      <c r="FN56" s="2931"/>
      <c r="FO56" s="2931"/>
      <c r="FP56" s="2931"/>
      <c r="FQ56" s="2931"/>
      <c r="FR56" s="2931"/>
      <c r="FS56" s="2931"/>
      <c r="FT56" s="2931"/>
      <c r="FU56" s="2931"/>
      <c r="FV56" s="2931"/>
      <c r="FW56" s="2931"/>
      <c r="FX56" s="2931"/>
      <c r="FY56" s="2931"/>
      <c r="FZ56" s="2931"/>
      <c r="GA56" s="2931"/>
      <c r="GB56" s="2931"/>
      <c r="GC56" s="2931"/>
      <c r="GD56" s="2931"/>
      <c r="GE56" s="2931"/>
      <c r="GF56" s="2931"/>
      <c r="GG56" s="2931"/>
      <c r="GH56" s="2931"/>
      <c r="GI56" s="2931"/>
      <c r="GJ56" s="2931"/>
      <c r="GK56" s="2931"/>
      <c r="GL56" s="2931"/>
      <c r="GM56" s="2931"/>
      <c r="GN56" s="2931"/>
      <c r="GO56" s="2931"/>
      <c r="GP56" s="2931"/>
      <c r="GQ56" s="2931"/>
      <c r="GR56" s="2931"/>
      <c r="GS56" s="2931"/>
      <c r="GT56" s="2931"/>
      <c r="GU56" s="2931"/>
      <c r="GV56" s="2931"/>
      <c r="GW56" s="2931"/>
      <c r="GX56" s="2931"/>
      <c r="GY56" s="2931"/>
      <c r="GZ56" s="2931"/>
      <c r="HA56" s="2931"/>
      <c r="HB56" s="2931"/>
      <c r="HC56" s="2931"/>
      <c r="HD56" s="2931"/>
      <c r="HE56" s="2931"/>
      <c r="HF56" s="2931"/>
      <c r="HG56" s="2931"/>
      <c r="HH56" s="2931"/>
      <c r="HI56" s="2931"/>
      <c r="HJ56" s="2931"/>
      <c r="HK56" s="2931"/>
      <c r="HL56" s="2931"/>
      <c r="HM56" s="2931"/>
      <c r="HN56" s="2931"/>
      <c r="HO56" s="2931"/>
      <c r="HP56" s="2931"/>
      <c r="HQ56" s="2931"/>
      <c r="HR56" s="2931"/>
      <c r="HS56" s="2931"/>
      <c r="HT56" s="2931"/>
      <c r="HU56" s="2931"/>
      <c r="HV56" s="2931"/>
      <c r="HW56" s="2931"/>
      <c r="HX56" s="2931"/>
      <c r="HY56" s="2931"/>
      <c r="HZ56" s="2931"/>
      <c r="IA56" s="2931"/>
      <c r="IB56" s="2931"/>
      <c r="IC56" s="2931"/>
      <c r="ID56" s="2931"/>
      <c r="IE56" s="2931"/>
      <c r="IF56" s="2931"/>
      <c r="IG56" s="2931"/>
      <c r="IH56" s="2931"/>
      <c r="II56" s="2931"/>
      <c r="IJ56" s="2931"/>
      <c r="IK56" s="2931"/>
      <c r="IL56" s="2931"/>
      <c r="IM56" s="2931"/>
      <c r="IN56" s="2931"/>
      <c r="IO56" s="2931" cm="1">
        <f t="array" ref="IO56">IF(LEN($G56)=0,"Rent Roll is incomplete",_xlfn.XLOOKUP(TRUE,EXACT(RentRoll_InputArea_DesignatedUnitType,$G56),RentRoll_InputArea_Beds,"Not Found"))</f>
        <v>0</v>
      </c>
      <c r="IP56" s="2934"/>
      <c r="IQ56" s="2935" t="str">
        <f t="shared" si="20"/>
        <v>0 Bedroom Unit (Efficiency/Studio)</v>
      </c>
      <c r="IR56" s="2926">
        <f t="shared" si="21"/>
        <v>1498</v>
      </c>
      <c r="IS56" s="2935"/>
      <c r="IT56" s="2931"/>
      <c r="IU56" s="2931"/>
      <c r="IV56" s="2931"/>
      <c r="IW56" s="2936" t="str">
        <f t="shared" si="22"/>
        <v>4-400</v>
      </c>
      <c r="IX56" s="2936"/>
      <c r="IY56" s="2936"/>
      <c r="IZ56" s="2936">
        <f t="shared" si="23"/>
        <v>0</v>
      </c>
      <c r="JA56" s="2936">
        <f t="shared" si="24"/>
        <v>1498</v>
      </c>
      <c r="JB56" s="2936"/>
      <c r="JC56" s="2936"/>
      <c r="JD56" s="2936"/>
      <c r="JE56" s="2936"/>
      <c r="JF56" s="2936"/>
      <c r="JG56" s="2936"/>
      <c r="JH56" s="2936">
        <f t="shared" si="25"/>
        <v>1533</v>
      </c>
      <c r="JI56" s="2936"/>
      <c r="JJ56" s="2936">
        <f t="shared" si="26"/>
      </c>
      <c r="JK56" s="2936"/>
      <c r="JL56" s="2936"/>
      <c r="JM56" s="2936"/>
      <c r="JN56" s="2936"/>
      <c r="JO56" s="2936"/>
      <c r="JP56" s="2936"/>
      <c r="JQ56" s="2936" t="str">
        <f t="shared" si="27"/>
        <v>Occupied</v>
      </c>
      <c r="JR56" s="2936" cm="1">
        <f t="array" ref="JR56">_xlfn.XLOOKUP(TRUE,EXACT(RentRoll_InputArea_DesignatedUnitType,$G56),RentRoll_InputArea_SquareFootage,"Not Found")</f>
        <v>1050</v>
      </c>
      <c r="JS56" s="2936" t="str">
        <f t="shared" si="28"/>
        <v>Apartment</v>
      </c>
      <c r="JT56" s="2936">
        <f t="shared" si="29"/>
      </c>
      <c r="JU56" s="2936"/>
      <c r="JV56" s="2936"/>
      <c r="JW56" s="2936"/>
      <c r="JX56" s="2936"/>
      <c r="JY56" s="2936">
        <f t="shared" si="9"/>
        <v>43374</v>
      </c>
      <c r="JZ56" s="2936">
        <f t="shared" si="9"/>
        <v>43585</v>
      </c>
      <c r="KA56" s="2936"/>
      <c r="KB56" s="2936"/>
      <c r="KC56" s="2936"/>
      <c r="KD56" s="2936"/>
      <c r="KE56" s="2936"/>
      <c r="KF56" s="2936"/>
      <c r="KG56" s="2936"/>
      <c r="KH56" s="2936"/>
      <c r="KI56" s="2937"/>
      <c r="KJ56" s="2936"/>
      <c r="KK56" s="1353"/>
    </row>
    <row r="57" ht="15" customHeight="1">
      <c r="A57" s="2922">
        <f t="shared" si="10"/>
        <v>34</v>
      </c>
      <c r="B57" s="2865" t="s">
        <v>2802</v>
      </c>
      <c r="C57" s="2873"/>
      <c r="D57" s="2873" t="s">
        <v>2812</v>
      </c>
      <c r="E57" s="2923">
        <v>1547</v>
      </c>
      <c r="F57" s="2924" t="s">
        <v>2804</v>
      </c>
      <c r="G57" s="2873" t="s">
        <v>2532</v>
      </c>
      <c r="H57" s="2923"/>
      <c r="I57" s="2925" cm="1">
        <f t="array" ref="I57">_xlfn.LET(_xlpm.has_subsidy,$N57&gt;0,_xlpm.is_chap9_sbl,$FF$20,_xlpm.contract_rent,$H57,_xlpm.unit_type_mkt_rent,_xlfn.XLOOKUP(TRUE,EXACT($G57,RentRoll_InputArea_DesignatedUnitType),RentRoll_InputArea_MarketRent,"Not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7" s="2926">
        <f t="shared" si="11"/>
      </c>
      <c r="K57" s="2923"/>
      <c r="L57" s="2923"/>
      <c r="M57" s="2923"/>
      <c r="N57" s="2923"/>
      <c r="O57" s="2927"/>
      <c r="P57" s="2927"/>
      <c r="Q57" s="2928">
        <f t="shared" si="8"/>
      </c>
      <c r="R57" s="2928">
        <f t="shared" si="8"/>
      </c>
      <c r="S57" s="2928">
        <f t="shared" si="8"/>
      </c>
      <c r="T57" s="2928">
        <f t="shared" si="8"/>
      </c>
      <c r="U57" s="2928">
        <f t="shared" si="8"/>
      </c>
      <c r="V57" s="2928">
        <f t="shared" si="8"/>
      </c>
      <c r="W57" s="2928">
        <f t="shared" si="8"/>
      </c>
      <c r="X57" s="2928">
        <f t="shared" si="8"/>
      </c>
      <c r="Y57" s="2928">
        <f t="shared" si="8"/>
      </c>
      <c r="Z57" s="2928">
        <f t="shared" si="8"/>
      </c>
      <c r="AA57" s="2928">
        <f t="shared" si="8"/>
      </c>
      <c r="AB57" s="2928">
        <f t="shared" si="8"/>
      </c>
      <c r="AC57" s="2928">
        <f t="shared" si="8"/>
      </c>
      <c r="AD57" s="2928">
        <f t="shared" si="8"/>
      </c>
      <c r="AE57" s="2928">
        <f t="shared" si="8"/>
      </c>
      <c r="AF57" s="2928">
        <f t="shared" si="8"/>
      </c>
      <c r="AG57" s="2928">
        <f t="shared" si="8"/>
      </c>
      <c r="AH57" s="2928">
        <f t="shared" si="8"/>
      </c>
      <c r="AI57" s="2928">
        <f t="shared" si="8"/>
      </c>
      <c r="AJ57" s="2928">
        <f t="shared" si="8"/>
      </c>
      <c r="AK57" s="2928">
        <f t="shared" si="8"/>
      </c>
      <c r="AL57" s="2928">
        <f t="shared" si="8"/>
      </c>
      <c r="AM57" s="2928">
        <f t="shared" si="8"/>
      </c>
      <c r="AN57" s="2928">
        <f t="shared" si="8"/>
      </c>
      <c r="AO57" s="2928">
        <f t="shared" si="8"/>
      </c>
      <c r="AP57" s="2928">
        <f t="shared" si="8"/>
      </c>
      <c r="AQ57" s="2928">
        <f t="shared" si="8"/>
      </c>
      <c r="AR57" s="2928">
        <f t="shared" si="8"/>
      </c>
      <c r="AS57" s="2928">
        <f t="shared" si="8"/>
      </c>
      <c r="AT57" s="2928">
        <f t="shared" si="8"/>
      </c>
      <c r="AU57" s="2928">
        <f t="shared" si="8"/>
      </c>
      <c r="AV57" s="2928">
        <f t="shared" si="8"/>
      </c>
      <c r="AW57" s="2928">
        <f t="shared" si="8"/>
      </c>
      <c r="AX57" s="2928">
        <f t="shared" si="8"/>
      </c>
      <c r="AY57" s="2928">
        <f t="shared" si="8"/>
      </c>
      <c r="AZ57" s="2928">
        <f t="shared" si="8"/>
      </c>
      <c r="BA57" s="2928">
        <f t="shared" si="8"/>
      </c>
      <c r="BB57" s="2928">
        <f t="shared" si="8"/>
      </c>
      <c r="BC57" s="2928">
        <f t="shared" si="8"/>
      </c>
      <c r="BD57" s="2928">
        <f t="shared" si="8"/>
      </c>
      <c r="BE57" s="2928">
        <f t="shared" si="8"/>
      </c>
      <c r="BF57" s="2928">
        <f t="shared" si="8"/>
      </c>
      <c r="BG57" s="2928">
        <f t="shared" si="8"/>
      </c>
      <c r="BH57" s="2928">
        <f t="shared" si="8"/>
      </c>
      <c r="BI57" s="2928">
        <f t="shared" si="8"/>
      </c>
      <c r="BJ57" s="2928">
        <f t="shared" si="8"/>
      </c>
      <c r="BK57" s="2928">
        <f t="shared" si="8"/>
      </c>
      <c r="BL57" s="2928">
        <f t="shared" si="8"/>
      </c>
      <c r="BM57" s="2928">
        <f t="shared" si="8"/>
      </c>
      <c r="BN57" s="2928">
        <f t="shared" si="8"/>
      </c>
      <c r="BO57" s="2928">
        <f t="shared" si="8"/>
      </c>
      <c r="BP57" s="2928">
        <f t="shared" si="8"/>
      </c>
      <c r="BQ57" s="2928">
        <f t="shared" si="8"/>
      </c>
      <c r="BR57" s="2928">
        <f t="shared" si="8"/>
      </c>
      <c r="BS57" s="2928">
        <f t="shared" si="8"/>
      </c>
      <c r="BT57" s="2928">
        <f t="shared" si="8"/>
      </c>
      <c r="BU57" s="2928">
        <f t="shared" si="8"/>
      </c>
      <c r="BV57" s="2928">
        <f t="shared" si="8"/>
      </c>
      <c r="BW57" s="2928">
        <f t="shared" si="8"/>
      </c>
      <c r="BX57" s="2928">
        <f t="shared" si="8"/>
      </c>
      <c r="BY57" s="2928">
        <f t="shared" si="8"/>
      </c>
      <c r="BZ57" s="2928">
        <f t="shared" si="8"/>
      </c>
      <c r="CA57" s="2928">
        <f t="shared" si="8"/>
      </c>
      <c r="CB57" s="2928">
        <f t="shared" si="8"/>
      </c>
      <c r="CC57" s="2928">
        <f t="shared" si="8"/>
      </c>
      <c r="CD57" s="2928">
        <f t="shared" si="8"/>
      </c>
      <c r="CE57" s="2928">
        <f t="shared" si="8"/>
      </c>
      <c r="CF57" s="2928">
        <f t="shared" si="8"/>
      </c>
      <c r="CG57" s="2928">
        <f t="shared" si="8"/>
      </c>
      <c r="CH57" s="2928">
        <f t="shared" si="8"/>
      </c>
      <c r="CI57" s="2928">
        <f t="shared" si="8"/>
      </c>
      <c r="CJ57" s="2928">
        <f t="shared" si="8"/>
      </c>
      <c r="CK57" s="2928">
        <f t="shared" si="8"/>
      </c>
      <c r="CL57" s="2928">
        <f t="shared" si="8"/>
      </c>
      <c r="CM57" s="2928">
        <f t="shared" si="8"/>
      </c>
      <c r="CN57" s="2928">
        <f t="shared" si="8"/>
      </c>
      <c r="CO57" s="2928">
        <f t="shared" si="8"/>
      </c>
      <c r="CP57" s="2928">
        <f t="shared" si="8"/>
      </c>
      <c r="CQ57" s="2928">
        <f t="shared" si="8"/>
      </c>
      <c r="CR57" s="2928">
        <f t="shared" si="8"/>
      </c>
      <c r="CS57" s="2928">
        <f t="shared" si="8"/>
      </c>
      <c r="CT57" s="2928">
        <f t="shared" si="8"/>
      </c>
      <c r="CU57" s="2928">
        <f t="shared" si="8"/>
      </c>
      <c r="CV57" s="2928">
        <f t="shared" si="8"/>
      </c>
      <c r="CW57" s="2928">
        <f t="shared" si="8"/>
      </c>
      <c r="CX57" s="2928">
        <f t="shared" si="8"/>
      </c>
      <c r="CY57" s="2928">
        <f t="shared" si="8"/>
      </c>
      <c r="CZ57" s="2928">
        <f t="shared" si="8"/>
      </c>
      <c r="DA57" s="2928">
        <f t="shared" si="8"/>
      </c>
      <c r="DB57" s="2928">
        <f t="shared" si="8"/>
      </c>
      <c r="DC57" s="2928">
        <f t="shared" si="8"/>
      </c>
      <c r="DD57" s="2928">
        <f t="shared" si="8"/>
      </c>
      <c r="DE57" s="2928">
        <f t="shared" si="8"/>
      </c>
      <c r="DF57" s="2928">
        <f t="shared" si="8"/>
      </c>
      <c r="DG57" s="2928">
        <f t="shared" si="8"/>
      </c>
      <c r="DH57" s="2928">
        <f t="shared" si="8"/>
      </c>
      <c r="DI57" s="2928">
        <f t="shared" si="8"/>
      </c>
      <c r="DJ57" s="2928">
        <f t="shared" si="8"/>
      </c>
      <c r="DK57" s="2928">
        <f t="shared" si="8"/>
      </c>
      <c r="DL57" s="2928">
        <f t="shared" si="8"/>
      </c>
      <c r="DM57" s="2928">
        <f t="shared" si="8"/>
      </c>
      <c r="DN57" s="2928">
        <f t="shared" si="8"/>
      </c>
      <c r="DO57" s="2928">
        <f t="shared" si="8"/>
      </c>
      <c r="DP57" s="2928">
        <f t="shared" si="8"/>
      </c>
      <c r="DQ57" s="2928">
        <f t="shared" si="8"/>
      </c>
      <c r="DR57" s="2928">
        <f t="shared" si="8"/>
      </c>
      <c r="DS57" s="2928">
        <f t="shared" si="8"/>
      </c>
      <c r="DT57" s="2928">
        <f t="shared" si="8"/>
      </c>
      <c r="DU57" s="2928">
        <f t="shared" si="8"/>
      </c>
      <c r="DV57" s="2928">
        <f t="shared" si="8"/>
      </c>
      <c r="DW57" s="2928">
        <f t="shared" si="8"/>
      </c>
      <c r="DX57" s="2928">
        <f t="shared" si="8"/>
      </c>
      <c r="DY57" s="2928">
        <f t="shared" si="8"/>
      </c>
      <c r="DZ57" s="2928">
        <f t="shared" si="8"/>
      </c>
      <c r="EA57" s="2928">
        <f t="shared" si="8"/>
      </c>
      <c r="EB57" s="2928">
        <f t="shared" si="8"/>
      </c>
      <c r="EC57" s="2928">
        <f t="shared" si="8"/>
      </c>
      <c r="ED57" s="2928">
        <f t="shared" si="8"/>
      </c>
      <c r="EE57" s="2928">
        <f t="shared" si="8"/>
      </c>
      <c r="EF57" s="2928">
        <f t="shared" si="8"/>
      </c>
      <c r="EG57" s="2928">
        <f t="shared" si="8"/>
      </c>
      <c r="EH57" s="2928">
        <f t="shared" si="8"/>
      </c>
      <c r="EI57" s="2928">
        <f t="shared" si="8"/>
      </c>
      <c r="EJ57" s="2928">
        <f t="shared" si="8"/>
      </c>
      <c r="EK57" s="2928">
        <f t="shared" si="8"/>
      </c>
      <c r="EL57" s="2928">
        <f t="shared" si="8"/>
      </c>
      <c r="EM57" s="2928">
        <f t="shared" si="8"/>
      </c>
      <c r="EN57" s="2928">
        <f t="shared" si="8"/>
      </c>
      <c r="EO57" s="2928">
        <f t="shared" si="8"/>
      </c>
      <c r="EP57" s="2928">
        <f t="shared" si="8"/>
      </c>
      <c r="EQ57" s="2928">
        <f t="shared" si="8"/>
      </c>
      <c r="ER57" s="2928">
        <f t="shared" si="8"/>
      </c>
      <c r="ES57" s="2928">
        <f t="shared" si="8"/>
      </c>
      <c r="ET57" s="2928">
        <f t="shared" si="8"/>
      </c>
      <c r="EU57" s="2928">
        <f t="shared" si="8"/>
      </c>
      <c r="EV57" s="2928">
        <f t="shared" si="8"/>
      </c>
      <c r="EW57" s="2928">
        <f t="shared" si="8"/>
      </c>
      <c r="EX57" s="2928">
        <f t="shared" si="8"/>
      </c>
      <c r="EY57" s="2928">
        <f t="shared" si="8"/>
      </c>
      <c r="EZ57" s="2928">
        <f t="shared" si="8"/>
      </c>
      <c r="FA57" s="2929">
        <f t="shared" si="12"/>
        <v>1533</v>
      </c>
      <c r="FB57" s="2825">
        <f t="shared" si="13"/>
      </c>
      <c r="FC57" s="2930" cm="1">
        <f t="array" ref="FC57">_xlfn.LET(_xlpm.unit_type,$G57,_xlpm.market_rent_from_rent_roll,$E57,_xlpm.unit_type_list,RentRoll_InputArea_DesignatedUnitType,_xlpm.rent_by_unit_type,RentRoll_InputArea_MarketRent,_xlpm.use_rent_roll_market_rent,LEFT(RR_VacantUnitMktRentSource,9)="Rent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57" s="2930">
        <f t="shared" si="14"/>
      </c>
      <c r="FE57" s="2930">
        <f t="shared" si="15"/>
        <v>1533</v>
      </c>
      <c r="FF57" s="2930">
        <f t="shared" si="16"/>
        <v>0</v>
      </c>
      <c r="FG57" s="2931"/>
      <c r="FH57" s="2932">
        <f t="shared" si="17"/>
      </c>
      <c r="FI57" s="2932">
        <f t="shared" si="18"/>
      </c>
      <c r="FJ57" s="2931"/>
      <c r="FK57" s="2933" cm="1">
        <f t="array" ref="FK57">IF(AND(LEN($D57)&gt;0,ISNA(MATCH(TRUE,EXACT($G57,RentRoll_InputArea_DesignatedUnitType),0))),1,0)</f>
        <v>0</v>
      </c>
      <c r="FL57" s="2931">
        <f t="shared" si="19"/>
        <v>34</v>
      </c>
      <c r="FM57" s="2931"/>
      <c r="FN57" s="2931"/>
      <c r="FO57" s="2931"/>
      <c r="FP57" s="2931"/>
      <c r="FQ57" s="2931"/>
      <c r="FR57" s="2931"/>
      <c r="FS57" s="2931"/>
      <c r="FT57" s="2931"/>
      <c r="FU57" s="2931"/>
      <c r="FV57" s="2931"/>
      <c r="FW57" s="2931"/>
      <c r="FX57" s="2931"/>
      <c r="FY57" s="2931"/>
      <c r="FZ57" s="2931"/>
      <c r="GA57" s="2931"/>
      <c r="GB57" s="2931"/>
      <c r="GC57" s="2931"/>
      <c r="GD57" s="2931"/>
      <c r="GE57" s="2931"/>
      <c r="GF57" s="2931"/>
      <c r="GG57" s="2931"/>
      <c r="GH57" s="2931"/>
      <c r="GI57" s="2931"/>
      <c r="GJ57" s="2931"/>
      <c r="GK57" s="2931"/>
      <c r="GL57" s="2931"/>
      <c r="GM57" s="2931"/>
      <c r="GN57" s="2931"/>
      <c r="GO57" s="2931"/>
      <c r="GP57" s="2931"/>
      <c r="GQ57" s="2931"/>
      <c r="GR57" s="2931"/>
      <c r="GS57" s="2931"/>
      <c r="GT57" s="2931"/>
      <c r="GU57" s="2931"/>
      <c r="GV57" s="2931"/>
      <c r="GW57" s="2931"/>
      <c r="GX57" s="2931"/>
      <c r="GY57" s="2931"/>
      <c r="GZ57" s="2931"/>
      <c r="HA57" s="2931"/>
      <c r="HB57" s="2931"/>
      <c r="HC57" s="2931"/>
      <c r="HD57" s="2931"/>
      <c r="HE57" s="2931"/>
      <c r="HF57" s="2931"/>
      <c r="HG57" s="2931"/>
      <c r="HH57" s="2931"/>
      <c r="HI57" s="2931"/>
      <c r="HJ57" s="2931"/>
      <c r="HK57" s="2931"/>
      <c r="HL57" s="2931"/>
      <c r="HM57" s="2931"/>
      <c r="HN57" s="2931"/>
      <c r="HO57" s="2931"/>
      <c r="HP57" s="2931"/>
      <c r="HQ57" s="2931"/>
      <c r="HR57" s="2931"/>
      <c r="HS57" s="2931"/>
      <c r="HT57" s="2931"/>
      <c r="HU57" s="2931"/>
      <c r="HV57" s="2931"/>
      <c r="HW57" s="2931"/>
      <c r="HX57" s="2931"/>
      <c r="HY57" s="2931"/>
      <c r="HZ57" s="2931"/>
      <c r="IA57" s="2931"/>
      <c r="IB57" s="2931"/>
      <c r="IC57" s="2931"/>
      <c r="ID57" s="2931"/>
      <c r="IE57" s="2931"/>
      <c r="IF57" s="2931"/>
      <c r="IG57" s="2931"/>
      <c r="IH57" s="2931"/>
      <c r="II57" s="2931"/>
      <c r="IJ57" s="2931"/>
      <c r="IK57" s="2931"/>
      <c r="IL57" s="2931"/>
      <c r="IM57" s="2931"/>
      <c r="IN57" s="2931"/>
      <c r="IO57" s="2931" cm="1">
        <f t="array" ref="IO57">IF(LEN($G57)=0,"Rent Roll is incomplete",_xlfn.XLOOKUP(TRUE,EXACT(RentRoll_InputArea_DesignatedUnitType,$G57),RentRoll_InputArea_Beds,"Not Found"))</f>
        <v>0</v>
      </c>
      <c r="IP57" s="2934"/>
      <c r="IQ57" s="2935" t="str">
        <f t="shared" si="20"/>
        <v>0 Bedroom Unit (Efficiency/Studio)</v>
      </c>
      <c r="IR57" s="2926">
        <f t="shared" si="21"/>
        <v>1533</v>
      </c>
      <c r="IS57" s="2935"/>
      <c r="IT57" s="2931"/>
      <c r="IU57" s="2931"/>
      <c r="IV57" s="2931"/>
      <c r="IW57" s="2936" t="str">
        <f t="shared" si="22"/>
        <v>4-401</v>
      </c>
      <c r="IX57" s="2936"/>
      <c r="IY57" s="2936"/>
      <c r="IZ57" s="2936">
        <f t="shared" si="23"/>
        <v>0</v>
      </c>
      <c r="JA57" s="2936">
        <f t="shared" si="24"/>
        <v>0</v>
      </c>
      <c r="JB57" s="2936"/>
      <c r="JC57" s="2936"/>
      <c r="JD57" s="2936"/>
      <c r="JE57" s="2936"/>
      <c r="JF57" s="2936"/>
      <c r="JG57" s="2936"/>
      <c r="JH57" s="2936">
        <f t="shared" si="25"/>
        <v>1533</v>
      </c>
      <c r="JI57" s="2936"/>
      <c r="JJ57" s="2936">
        <f t="shared" si="26"/>
      </c>
      <c r="JK57" s="2936"/>
      <c r="JL57" s="2936"/>
      <c r="JM57" s="2936"/>
      <c r="JN57" s="2936"/>
      <c r="JO57" s="2936"/>
      <c r="JP57" s="2936"/>
      <c r="JQ57" s="2936" t="str">
        <f t="shared" si="27"/>
        <v>Vacant</v>
      </c>
      <c r="JR57" s="2936" cm="1">
        <f t="array" ref="JR57">_xlfn.XLOOKUP(TRUE,EXACT(RentRoll_InputArea_DesignatedUnitType,$G57),RentRoll_InputArea_SquareFootage,"Not Found")</f>
        <v>1050</v>
      </c>
      <c r="JS57" s="2936" t="str">
        <f t="shared" si="28"/>
        <v>Apartment</v>
      </c>
      <c r="JT57" s="2936">
        <f t="shared" si="29"/>
      </c>
      <c r="JU57" s="2936"/>
      <c r="JV57" s="2936"/>
      <c r="JW57" s="2936"/>
      <c r="JX57" s="2936"/>
      <c r="JY57" s="2936">
        <f t="shared" si="9"/>
      </c>
      <c r="JZ57" s="2936">
        <f t="shared" si="9"/>
      </c>
      <c r="KA57" s="2936"/>
      <c r="KB57" s="2936"/>
      <c r="KC57" s="2936"/>
      <c r="KD57" s="2936"/>
      <c r="KE57" s="2936"/>
      <c r="KF57" s="2936"/>
      <c r="KG57" s="2936"/>
      <c r="KH57" s="2936"/>
      <c r="KI57" s="2937"/>
      <c r="KJ57" s="2936"/>
      <c r="KK57" s="1353"/>
    </row>
    <row r="58" ht="15" customHeight="1">
      <c r="A58" s="2922">
        <f t="shared" si="10"/>
        <v>35</v>
      </c>
      <c r="B58" s="2865"/>
      <c r="C58" s="2873"/>
      <c r="D58" s="2873" t="s">
        <v>2813</v>
      </c>
      <c r="E58" s="2923">
        <v>1187</v>
      </c>
      <c r="F58" s="2924" t="s">
        <v>2814</v>
      </c>
      <c r="G58" s="2873" t="s">
        <v>2530</v>
      </c>
      <c r="H58" s="2923">
        <v>1221</v>
      </c>
      <c r="I58" s="2925" cm="1">
        <f t="array" ref="I58">_xlfn.LET(_xlpm.has_subsidy,$N58&gt;0,_xlpm.is_chap9_sbl,$FF$20,_xlpm.contract_rent,$H58,_xlpm.unit_type_mkt_rent,_xlfn.XLOOKUP(TRUE,EXACT($G58,RentRoll_InputArea_DesignatedUnitType),RentRoll_InputArea_MarketRent,"Not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8" s="2926">
        <f t="shared" si="11"/>
        <v>1221</v>
      </c>
      <c r="K58" s="2923"/>
      <c r="L58" s="2923"/>
      <c r="M58" s="2923"/>
      <c r="N58" s="2923"/>
      <c r="O58" s="2927">
        <v>43498</v>
      </c>
      <c r="P58" s="2927">
        <v>43799</v>
      </c>
      <c r="Q58" s="2928">
        <f t="shared" si="8"/>
      </c>
      <c r="R58" s="2928">
        <f t="shared" si="8"/>
        <v>1221</v>
      </c>
      <c r="S58" s="2928">
        <f t="shared" si="8"/>
      </c>
      <c r="T58" s="2928">
        <f t="shared" si="8"/>
      </c>
      <c r="U58" s="2928">
        <f t="shared" si="8"/>
      </c>
      <c r="V58" s="2928">
        <f t="shared" si="8"/>
      </c>
      <c r="W58" s="2928">
        <f t="shared" si="8"/>
      </c>
      <c r="X58" s="2928">
        <f t="shared" si="8"/>
      </c>
      <c r="Y58" s="2928">
        <f t="shared" si="8"/>
      </c>
      <c r="Z58" s="2928">
        <f t="shared" si="8"/>
      </c>
      <c r="AA58" s="2928">
        <f t="shared" si="8"/>
      </c>
      <c r="AB58" s="2928">
        <f t="shared" si="8"/>
      </c>
      <c r="AC58" s="2928">
        <f t="shared" si="8"/>
      </c>
      <c r="AD58" s="2928">
        <f t="shared" si="8"/>
      </c>
      <c r="AE58" s="2928">
        <f t="shared" si="8"/>
      </c>
      <c r="AF58" s="2928">
        <f t="shared" si="8"/>
      </c>
      <c r="AG58" s="2928">
        <f t="shared" si="8"/>
      </c>
      <c r="AH58" s="2928">
        <f t="shared" si="8"/>
      </c>
      <c r="AI58" s="2928">
        <f t="shared" si="8"/>
      </c>
      <c r="AJ58" s="2928">
        <f t="shared" si="8"/>
      </c>
      <c r="AK58" s="2928">
        <f t="shared" si="8"/>
      </c>
      <c r="AL58" s="2928">
        <f t="shared" si="8"/>
      </c>
      <c r="AM58" s="2928">
        <f t="shared" si="8"/>
      </c>
      <c r="AN58" s="2928">
        <f t="shared" si="8"/>
      </c>
      <c r="AO58" s="2928">
        <f t="shared" si="8"/>
      </c>
      <c r="AP58" s="2928">
        <f t="shared" si="8"/>
      </c>
      <c r="AQ58" s="2928">
        <f t="shared" si="8"/>
      </c>
      <c r="AR58" s="2928">
        <f t="shared" si="8"/>
      </c>
      <c r="AS58" s="2928">
        <f t="shared" si="8"/>
      </c>
      <c r="AT58" s="2928">
        <f t="shared" si="8"/>
      </c>
      <c r="AU58" s="2928">
        <f t="shared" si="8"/>
      </c>
      <c r="AV58" s="2928">
        <f t="shared" si="8"/>
      </c>
      <c r="AW58" s="2928">
        <f t="shared" si="8"/>
      </c>
      <c r="AX58" s="2928">
        <f t="shared" si="8"/>
      </c>
      <c r="AY58" s="2928">
        <f t="shared" si="8"/>
      </c>
      <c r="AZ58" s="2928">
        <f t="shared" si="8"/>
      </c>
      <c r="BA58" s="2928">
        <f t="shared" si="8"/>
      </c>
      <c r="BB58" s="2928">
        <f t="shared" si="8"/>
      </c>
      <c r="BC58" s="2928">
        <f t="shared" si="8"/>
      </c>
      <c r="BD58" s="2928">
        <f t="shared" si="8"/>
      </c>
      <c r="BE58" s="2928">
        <f t="shared" si="8"/>
      </c>
      <c r="BF58" s="2928">
        <f t="shared" si="8"/>
      </c>
      <c r="BG58" s="2928">
        <f t="shared" si="8"/>
      </c>
      <c r="BH58" s="2928">
        <f t="shared" si="8"/>
      </c>
      <c r="BI58" s="2928">
        <f t="shared" si="8"/>
      </c>
      <c r="BJ58" s="2928">
        <f t="shared" si="8"/>
      </c>
      <c r="BK58" s="2928">
        <f t="shared" si="8"/>
      </c>
      <c r="BL58" s="2928">
        <f t="shared" si="8"/>
      </c>
      <c r="BM58" s="2928">
        <f t="shared" si="8"/>
      </c>
      <c r="BN58" s="2928">
        <f t="shared" si="8"/>
      </c>
      <c r="BO58" s="2928">
        <f t="shared" si="8"/>
      </c>
      <c r="BP58" s="2928">
        <f t="shared" si="8"/>
      </c>
      <c r="BQ58" s="2928">
        <f t="shared" si="8"/>
      </c>
      <c r="BR58" s="2928">
        <f t="shared" si="8"/>
      </c>
      <c r="BS58" s="2928">
        <f t="shared" si="8"/>
      </c>
      <c r="BT58" s="2928">
        <f t="shared" si="8"/>
      </c>
      <c r="BU58" s="2928">
        <f t="shared" si="8"/>
      </c>
      <c r="BV58" s="2928">
        <f t="shared" si="8"/>
      </c>
      <c r="BW58" s="2928">
        <f t="shared" si="8"/>
      </c>
      <c r="BX58" s="2928">
        <f t="shared" si="8"/>
      </c>
      <c r="BY58" s="2928">
        <f t="shared" si="8"/>
      </c>
      <c r="BZ58" s="2928">
        <f t="shared" si="8"/>
      </c>
      <c r="CA58" s="2928">
        <f t="shared" si="8"/>
      </c>
      <c r="CB58" s="2928">
        <f t="shared" si="8"/>
      </c>
      <c r="CC58" s="2928">
        <f t="shared" si="8"/>
      </c>
      <c r="CD58" s="2928">
        <f t="shared" si="8"/>
      </c>
      <c r="CE58" s="2928">
        <f t="shared" si="8"/>
      </c>
      <c r="CF58" s="2928">
        <f t="shared" si="8"/>
      </c>
      <c r="CG58" s="2928">
        <f t="shared" si="8"/>
      </c>
      <c r="CH58" s="2928">
        <f t="shared" si="8"/>
      </c>
      <c r="CI58" s="2928">
        <f t="shared" si="8"/>
      </c>
      <c r="CJ58" s="2928">
        <f t="shared" si="8"/>
      </c>
      <c r="CK58" s="2928">
        <f t="shared" si="8"/>
      </c>
      <c r="CL58" s="2928">
        <f t="shared" si="8"/>
      </c>
      <c r="CM58" s="2928">
        <f t="shared" si="8"/>
      </c>
      <c r="CN58" s="2928">
        <f t="shared" si="8"/>
      </c>
      <c r="CO58" s="2928">
        <f t="shared" si="8"/>
      </c>
      <c r="CP58" s="2928">
        <f t="shared" si="8"/>
      </c>
      <c r="CQ58" s="2928">
        <f t="shared" si="8"/>
      </c>
      <c r="CR58" s="2928">
        <f t="shared" si="8"/>
      </c>
      <c r="CS58" s="2928">
        <f t="shared" si="8"/>
      </c>
      <c r="CT58" s="2928">
        <f t="shared" si="8"/>
      </c>
      <c r="CU58" s="2928">
        <f t="shared" si="8"/>
      </c>
      <c r="CV58" s="2928">
        <f t="shared" si="8"/>
      </c>
      <c r="CW58" s="2928">
        <f t="shared" si="8"/>
      </c>
      <c r="CX58" s="2928">
        <f t="shared" si="8"/>
      </c>
      <c r="CY58" s="2928">
        <f t="shared" si="8"/>
      </c>
      <c r="CZ58" s="2928">
        <f t="shared" si="8"/>
      </c>
      <c r="DA58" s="2928">
        <f t="shared" si="8"/>
      </c>
      <c r="DB58" s="2928">
        <f t="shared" si="8"/>
      </c>
      <c r="DC58" s="2928">
        <f t="shared" si="8"/>
      </c>
      <c r="DD58" s="2928">
        <f t="shared" si="8"/>
      </c>
      <c r="DE58" s="2928">
        <f t="shared" si="8"/>
      </c>
      <c r="DF58" s="2928">
        <f t="shared" si="8"/>
      </c>
      <c r="DG58" s="2928">
        <f t="shared" si="8"/>
      </c>
      <c r="DH58" s="2928">
        <f t="shared" si="8"/>
      </c>
      <c r="DI58" s="2928">
        <f t="shared" si="8"/>
      </c>
      <c r="DJ58" s="2928">
        <f t="shared" si="8"/>
      </c>
      <c r="DK58" s="2928">
        <f t="shared" si="8"/>
      </c>
      <c r="DL58" s="2928">
        <f t="shared" si="8"/>
      </c>
      <c r="DM58" s="2928">
        <f t="shared" si="8"/>
      </c>
      <c r="DN58" s="2928">
        <f t="shared" si="8"/>
      </c>
      <c r="DO58" s="2928">
        <f t="shared" si="8"/>
      </c>
      <c r="DP58" s="2928">
        <f t="shared" si="8"/>
      </c>
      <c r="DQ58" s="2928">
        <f t="shared" si="8"/>
      </c>
      <c r="DR58" s="2928">
        <f t="shared" si="8"/>
      </c>
      <c r="DS58" s="2928">
        <f t="shared" si="8"/>
      </c>
      <c r="DT58" s="2928">
        <f t="shared" si="8"/>
      </c>
      <c r="DU58" s="2928">
        <f t="shared" si="8"/>
      </c>
      <c r="DV58" s="2928">
        <f t="shared" si="8"/>
      </c>
      <c r="DW58" s="2928">
        <f t="shared" si="8"/>
      </c>
      <c r="DX58" s="2928">
        <f t="shared" si="8"/>
      </c>
      <c r="DY58" s="2928">
        <f t="shared" si="8"/>
      </c>
      <c r="DZ58" s="2928">
        <f t="shared" si="8"/>
      </c>
      <c r="EA58" s="2928">
        <f t="shared" si="8"/>
      </c>
      <c r="EB58" s="2928">
        <f t="shared" si="8"/>
      </c>
      <c r="EC58" s="2928">
        <f t="shared" si="8"/>
      </c>
      <c r="ED58" s="2928">
        <f t="shared" si="8"/>
      </c>
      <c r="EE58" s="2928">
        <f t="shared" si="8"/>
      </c>
      <c r="EF58" s="2928">
        <f t="shared" si="8"/>
      </c>
      <c r="EG58" s="2928">
        <f t="shared" si="8"/>
      </c>
      <c r="EH58" s="2928">
        <f t="shared" si="8"/>
      </c>
      <c r="EI58" s="2928">
        <f t="shared" si="8"/>
      </c>
      <c r="EJ58" s="2928">
        <f t="shared" si="8"/>
      </c>
      <c r="EK58" s="2928">
        <f t="shared" si="8"/>
      </c>
      <c r="EL58" s="2928">
        <f t="shared" si="8"/>
      </c>
      <c r="EM58" s="2928">
        <f t="shared" si="8"/>
      </c>
      <c r="EN58" s="2928">
        <f t="shared" si="8"/>
      </c>
      <c r="EO58" s="2928">
        <f t="shared" si="8"/>
      </c>
      <c r="EP58" s="2928">
        <f t="shared" si="8"/>
      </c>
      <c r="EQ58" s="2928">
        <f t="shared" si="8"/>
      </c>
      <c r="ER58" s="2928">
        <f t="shared" si="8"/>
      </c>
      <c r="ES58" s="2928">
        <f t="shared" si="8"/>
      </c>
      <c r="ET58" s="2928">
        <f t="shared" si="8"/>
      </c>
      <c r="EU58" s="2928">
        <f t="shared" si="8"/>
      </c>
      <c r="EV58" s="2928">
        <f t="shared" si="8"/>
      </c>
      <c r="EW58" s="2928">
        <f t="shared" si="8"/>
      </c>
      <c r="EX58" s="2928">
        <f t="shared" si="8"/>
      </c>
      <c r="EY58" s="2928">
        <f t="shared" si="8"/>
      </c>
      <c r="EZ58" s="2928">
        <f t="shared" si="8"/>
      </c>
      <c r="FA58" s="2929" t="str">
        <f t="shared" si="12"/>
        <v>-</v>
      </c>
      <c r="FB58" s="2825">
        <f t="shared" si="13"/>
      </c>
      <c r="FC58" s="2930" cm="1">
        <f t="array" ref="FC58">_xlfn.LET(_xlpm.unit_type,$G58,_xlpm.market_rent_from_rent_roll,$E58,_xlpm.unit_type_list,RentRoll_InputArea_DesignatedUnitType,_xlpm.rent_by_unit_type,RentRoll_InputArea_MarketRent,_xlpm.use_rent_roll_market_rent,LEFT(RR_VacantUnitMktRentSource,9)="Rent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58" s="2930">
        <f t="shared" si="14"/>
        <v>1221</v>
      </c>
      <c r="FE58" s="2930">
        <f t="shared" si="15"/>
        <v>1221</v>
      </c>
      <c r="FF58" s="2930">
        <f t="shared" si="16"/>
        <v>1221</v>
      </c>
      <c r="FG58" s="2931"/>
      <c r="FH58" s="2932">
        <f t="shared" si="17"/>
      </c>
      <c r="FI58" s="2932">
        <f t="shared" si="18"/>
      </c>
      <c r="FJ58" s="2931"/>
      <c r="FK58" s="2933" cm="1">
        <f t="array" ref="FK58">IF(AND(LEN($D58)&gt;0,ISNA(MATCH(TRUE,EXACT($G58,RentRoll_InputArea_DesignatedUnitType),0))),1,0)</f>
        <v>0</v>
      </c>
      <c r="FL58" s="2931">
        <f t="shared" si="19"/>
        <v>35</v>
      </c>
      <c r="FM58" s="2931"/>
      <c r="FN58" s="2931"/>
      <c r="FO58" s="2931"/>
      <c r="FP58" s="2931"/>
      <c r="FQ58" s="2931"/>
      <c r="FR58" s="2931"/>
      <c r="FS58" s="2931"/>
      <c r="FT58" s="2931"/>
      <c r="FU58" s="2931"/>
      <c r="FV58" s="2931"/>
      <c r="FW58" s="2931"/>
      <c r="FX58" s="2931"/>
      <c r="FY58" s="2931"/>
      <c r="FZ58" s="2931"/>
      <c r="GA58" s="2931"/>
      <c r="GB58" s="2931"/>
      <c r="GC58" s="2931"/>
      <c r="GD58" s="2931"/>
      <c r="GE58" s="2931"/>
      <c r="GF58" s="2931"/>
      <c r="GG58" s="2931"/>
      <c r="GH58" s="2931"/>
      <c r="GI58" s="2931"/>
      <c r="GJ58" s="2931"/>
      <c r="GK58" s="2931"/>
      <c r="GL58" s="2931"/>
      <c r="GM58" s="2931"/>
      <c r="GN58" s="2931"/>
      <c r="GO58" s="2931"/>
      <c r="GP58" s="2931"/>
      <c r="GQ58" s="2931"/>
      <c r="GR58" s="2931"/>
      <c r="GS58" s="2931"/>
      <c r="GT58" s="2931"/>
      <c r="GU58" s="2931"/>
      <c r="GV58" s="2931"/>
      <c r="GW58" s="2931"/>
      <c r="GX58" s="2931"/>
      <c r="GY58" s="2931"/>
      <c r="GZ58" s="2931"/>
      <c r="HA58" s="2931"/>
      <c r="HB58" s="2931"/>
      <c r="HC58" s="2931"/>
      <c r="HD58" s="2931"/>
      <c r="HE58" s="2931"/>
      <c r="HF58" s="2931"/>
      <c r="HG58" s="2931"/>
      <c r="HH58" s="2931"/>
      <c r="HI58" s="2931"/>
      <c r="HJ58" s="2931"/>
      <c r="HK58" s="2931"/>
      <c r="HL58" s="2931"/>
      <c r="HM58" s="2931"/>
      <c r="HN58" s="2931"/>
      <c r="HO58" s="2931"/>
      <c r="HP58" s="2931"/>
      <c r="HQ58" s="2931"/>
      <c r="HR58" s="2931"/>
      <c r="HS58" s="2931"/>
      <c r="HT58" s="2931"/>
      <c r="HU58" s="2931"/>
      <c r="HV58" s="2931"/>
      <c r="HW58" s="2931"/>
      <c r="HX58" s="2931"/>
      <c r="HY58" s="2931"/>
      <c r="HZ58" s="2931"/>
      <c r="IA58" s="2931"/>
      <c r="IB58" s="2931"/>
      <c r="IC58" s="2931"/>
      <c r="ID58" s="2931"/>
      <c r="IE58" s="2931"/>
      <c r="IF58" s="2931"/>
      <c r="IG58" s="2931"/>
      <c r="IH58" s="2931"/>
      <c r="II58" s="2931"/>
      <c r="IJ58" s="2931"/>
      <c r="IK58" s="2931"/>
      <c r="IL58" s="2931"/>
      <c r="IM58" s="2931"/>
      <c r="IN58" s="2931"/>
      <c r="IO58" s="2931" cm="1">
        <f t="array" ref="IO58">IF(LEN($G58)=0,"Rent Roll is incomplete",_xlfn.XLOOKUP(TRUE,EXACT(RentRoll_InputArea_DesignatedUnitType,$G58),RentRoll_InputArea_Beds,"Not Found"))</f>
        <v>0</v>
      </c>
      <c r="IP58" s="2934"/>
      <c r="IQ58" s="2935" t="str">
        <f t="shared" si="20"/>
        <v>0 Bedroom Unit (Efficiency/Studio)</v>
      </c>
      <c r="IR58" s="2926">
        <f t="shared" si="21"/>
        <v>1221</v>
      </c>
      <c r="IS58" s="2935"/>
      <c r="IT58" s="2931"/>
      <c r="IU58" s="2931"/>
      <c r="IV58" s="2931"/>
      <c r="IW58" s="2936" t="str">
        <f t="shared" si="22"/>
        <v>4-402</v>
      </c>
      <c r="IX58" s="2936"/>
      <c r="IY58" s="2936"/>
      <c r="IZ58" s="2936">
        <f t="shared" si="23"/>
        <v>0</v>
      </c>
      <c r="JA58" s="2936">
        <f t="shared" si="24"/>
        <v>1221</v>
      </c>
      <c r="JB58" s="2936"/>
      <c r="JC58" s="2936"/>
      <c r="JD58" s="2936"/>
      <c r="JE58" s="2936"/>
      <c r="JF58" s="2936"/>
      <c r="JG58" s="2936"/>
      <c r="JH58" s="2936">
        <f t="shared" si="25"/>
        <v>1217</v>
      </c>
      <c r="JI58" s="2936"/>
      <c r="JJ58" s="2936">
        <f t="shared" si="26"/>
      </c>
      <c r="JK58" s="2936"/>
      <c r="JL58" s="2936"/>
      <c r="JM58" s="2936"/>
      <c r="JN58" s="2936"/>
      <c r="JO58" s="2936"/>
      <c r="JP58" s="2936"/>
      <c r="JQ58" s="2936" t="str">
        <f t="shared" si="27"/>
        <v>Occupied</v>
      </c>
      <c r="JR58" s="2936" cm="1">
        <f t="array" ref="JR58">_xlfn.XLOOKUP(TRUE,EXACT(RentRoll_InputArea_DesignatedUnitType,$G58),RentRoll_InputArea_SquareFootage,"Not Found")</f>
        <v>800</v>
      </c>
      <c r="JS58" s="2936" t="str">
        <f t="shared" si="28"/>
        <v>Apartment</v>
      </c>
      <c r="JT58" s="2936">
        <f t="shared" si="29"/>
      </c>
      <c r="JU58" s="2936"/>
      <c r="JV58" s="2936"/>
      <c r="JW58" s="2936"/>
      <c r="JX58" s="2936"/>
      <c r="JY58" s="2936">
        <f t="shared" si="9"/>
        <v>43498</v>
      </c>
      <c r="JZ58" s="2936">
        <f t="shared" si="9"/>
        <v>43799</v>
      </c>
      <c r="KA58" s="2936"/>
      <c r="KB58" s="2936"/>
      <c r="KC58" s="2936"/>
      <c r="KD58" s="2936"/>
      <c r="KE58" s="2936"/>
      <c r="KF58" s="2936"/>
      <c r="KG58" s="2936"/>
      <c r="KH58" s="2936"/>
      <c r="KI58" s="2937"/>
      <c r="KJ58" s="2936"/>
      <c r="KK58" s="1353"/>
    </row>
    <row r="59" ht="15" customHeight="1">
      <c r="A59" s="2922">
        <f t="shared" si="10"/>
        <v>36</v>
      </c>
      <c r="B59" s="2865"/>
      <c r="C59" s="2873"/>
      <c r="D59" s="2873" t="s">
        <v>2815</v>
      </c>
      <c r="E59" s="2923">
        <v>1182</v>
      </c>
      <c r="F59" s="2924" t="s">
        <v>2816</v>
      </c>
      <c r="G59" s="2873" t="s">
        <v>2530</v>
      </c>
      <c r="H59" s="2923">
        <v>1180</v>
      </c>
      <c r="I59" s="2925" cm="1">
        <f t="array" ref="I59">_xlfn.LET(_xlpm.has_subsidy,$N59&gt;0,_xlpm.is_chap9_sbl,$FF$20,_xlpm.contract_rent,$H59,_xlpm.unit_type_mkt_rent,_xlfn.XLOOKUP(TRUE,EXACT($G59,RentRoll_InputArea_DesignatedUnitType),RentRoll_InputArea_MarketRent,"Not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59" s="2926">
        <f t="shared" si="11"/>
        <v>1180</v>
      </c>
      <c r="K59" s="2923"/>
      <c r="L59" s="2923"/>
      <c r="M59" s="2923"/>
      <c r="N59" s="2923"/>
      <c r="O59" s="2927">
        <v>43358</v>
      </c>
      <c r="P59" s="2927">
        <v>43646</v>
      </c>
      <c r="Q59" s="2928">
        <f t="shared" si="8"/>
      </c>
      <c r="R59" s="2928">
        <f t="shared" si="8"/>
        <v>1180</v>
      </c>
      <c r="S59" s="2928">
        <f t="shared" si="8"/>
      </c>
      <c r="T59" s="2928">
        <f t="shared" si="8"/>
      </c>
      <c r="U59" s="2928">
        <f t="shared" si="8"/>
      </c>
      <c r="V59" s="2928">
        <f t="shared" si="8"/>
      </c>
      <c r="W59" s="2928">
        <f t="shared" si="8"/>
      </c>
      <c r="X59" s="2928">
        <f t="shared" si="8"/>
      </c>
      <c r="Y59" s="2928">
        <f t="shared" si="8"/>
      </c>
      <c r="Z59" s="2928">
        <f t="shared" si="8"/>
      </c>
      <c r="AA59" s="2928">
        <f t="shared" si="8"/>
      </c>
      <c r="AB59" s="2928">
        <f t="shared" si="8"/>
      </c>
      <c r="AC59" s="2928">
        <f t="shared" si="8"/>
      </c>
      <c r="AD59" s="2928">
        <f t="shared" si="8"/>
      </c>
      <c r="AE59" s="2928">
        <f t="shared" si="8"/>
      </c>
      <c r="AF59" s="2928">
        <f t="shared" si="8"/>
      </c>
      <c r="AG59" s="2928">
        <f t="shared" si="8"/>
      </c>
      <c r="AH59" s="2928">
        <f t="shared" si="8"/>
      </c>
      <c r="AI59" s="2928">
        <f t="shared" si="8"/>
      </c>
      <c r="AJ59" s="2928">
        <f t="shared" si="8"/>
      </c>
      <c r="AK59" s="2928">
        <f t="shared" si="8"/>
      </c>
      <c r="AL59" s="2928">
        <f t="shared" si="8"/>
      </c>
      <c r="AM59" s="2928">
        <f t="shared" si="8"/>
      </c>
      <c r="AN59" s="2928">
        <f t="shared" si="8"/>
      </c>
      <c r="AO59" s="2928">
        <f t="shared" si="8"/>
      </c>
      <c r="AP59" s="2928">
        <f t="shared" si="8"/>
      </c>
      <c r="AQ59" s="2928">
        <f t="shared" si="8"/>
      </c>
      <c r="AR59" s="2928">
        <f t="shared" si="8"/>
      </c>
      <c r="AS59" s="2928">
        <f t="shared" si="8"/>
      </c>
      <c r="AT59" s="2928">
        <f t="shared" si="8"/>
      </c>
      <c r="AU59" s="2928">
        <f t="shared" si="8"/>
      </c>
      <c r="AV59" s="2928">
        <f t="shared" si="8"/>
      </c>
      <c r="AW59" s="2928">
        <f t="shared" si="8"/>
      </c>
      <c r="AX59" s="2928">
        <f t="shared" si="8"/>
      </c>
      <c r="AY59" s="2928">
        <f t="shared" si="8"/>
      </c>
      <c r="AZ59" s="2928">
        <f t="shared" si="8"/>
      </c>
      <c r="BA59" s="2928">
        <f t="shared" si="8"/>
      </c>
      <c r="BB59" s="2928">
        <f t="shared" si="8"/>
      </c>
      <c r="BC59" s="2928">
        <f t="shared" si="8"/>
      </c>
      <c r="BD59" s="2928">
        <f t="shared" si="8"/>
      </c>
      <c r="BE59" s="2928">
        <f t="shared" si="8"/>
      </c>
      <c r="BF59" s="2928">
        <f t="shared" si="8"/>
      </c>
      <c r="BG59" s="2928">
        <f t="shared" si="8"/>
      </c>
      <c r="BH59" s="2928">
        <f t="shared" si="8"/>
      </c>
      <c r="BI59" s="2928">
        <f t="shared" si="8"/>
      </c>
      <c r="BJ59" s="2928">
        <f t="shared" si="8"/>
      </c>
      <c r="BK59" s="2928">
        <f t="shared" si="8"/>
      </c>
      <c r="BL59" s="2928">
        <f t="shared" si="8"/>
      </c>
      <c r="BM59" s="2928">
        <f t="shared" si="8"/>
      </c>
      <c r="BN59" s="2928">
        <f t="shared" si="8"/>
      </c>
      <c r="BO59" s="2928">
        <f t="shared" si="8"/>
      </c>
      <c r="BP59" s="2928">
        <f t="shared" si="8"/>
      </c>
      <c r="BQ59" s="2928">
        <f t="shared" si="8"/>
      </c>
      <c r="BR59" s="2928">
        <f t="shared" si="8"/>
      </c>
      <c r="BS59" s="2928">
        <f t="shared" si="8"/>
      </c>
      <c r="BT59" s="2928">
        <f t="shared" si="8"/>
      </c>
      <c r="BU59" s="2928">
        <f t="shared" si="8"/>
      </c>
      <c r="BV59" s="2928">
        <f t="shared" si="8"/>
      </c>
      <c r="BW59" s="2928">
        <f t="shared" si="8"/>
      </c>
      <c r="BX59" s="2928">
        <f t="shared" si="8"/>
      </c>
      <c r="BY59" s="2928">
        <f t="shared" si="8"/>
      </c>
      <c r="BZ59" s="2928">
        <f t="shared" si="8"/>
      </c>
      <c r="CA59" s="2928">
        <f t="shared" si="8"/>
      </c>
      <c r="CB59" s="2928">
        <f t="shared" si="8"/>
      </c>
      <c r="CC59" s="2928">
        <f t="shared" si="8"/>
      </c>
      <c r="CD59" s="2928">
        <f t="shared" si="8"/>
      </c>
      <c r="CE59" s="2928">
        <f t="shared" si="8"/>
      </c>
      <c r="CF59" s="2928">
        <f t="shared" si="8"/>
      </c>
      <c r="CG59" s="2928">
        <f t="shared" si="8"/>
      </c>
      <c r="CH59" s="2928">
        <f t="shared" si="8"/>
      </c>
      <c r="CI59" s="2928">
        <f t="shared" si="8"/>
      </c>
      <c r="CJ59" s="2928">
        <f t="shared" si="8"/>
      </c>
      <c r="CK59" s="2928">
        <f t="shared" si="8"/>
      </c>
      <c r="CL59" s="2928">
        <f t="shared" si="8"/>
      </c>
      <c r="CM59" s="2928">
        <f t="shared" si="8"/>
      </c>
      <c r="CN59" s="2928">
        <f t="shared" si="8"/>
      </c>
      <c r="CO59" s="2928">
        <f t="shared" si="8"/>
      </c>
      <c r="CP59" s="2928">
        <f t="shared" si="8"/>
      </c>
      <c r="CQ59" s="2928">
        <f t="shared" si="8"/>
      </c>
      <c r="CR59" s="2928">
        <f t="shared" si="8"/>
      </c>
      <c r="CS59" s="2928">
        <f t="shared" si="8"/>
      </c>
      <c r="CT59" s="2928">
        <f t="shared" si="8"/>
      </c>
      <c r="CU59" s="2928">
        <f t="shared" si="8"/>
      </c>
      <c r="CV59" s="2928">
        <f t="shared" si="8"/>
      </c>
      <c r="CW59" s="2928">
        <f t="shared" si="8"/>
      </c>
      <c r="CX59" s="2928">
        <f t="shared" si="8"/>
      </c>
      <c r="CY59" s="2928">
        <f t="shared" si="8"/>
      </c>
      <c r="CZ59" s="2928">
        <f t="shared" si="8"/>
      </c>
      <c r="DA59" s="2928">
        <f t="shared" si="8"/>
      </c>
      <c r="DB59" s="2928">
        <f t="shared" si="8"/>
      </c>
      <c r="DC59" s="2928">
        <f t="shared" si="8"/>
      </c>
      <c r="DD59" s="2928">
        <f t="shared" si="8"/>
      </c>
      <c r="DE59" s="2928">
        <f t="shared" si="8"/>
      </c>
      <c r="DF59" s="2928">
        <f t="shared" si="8"/>
      </c>
      <c r="DG59" s="2928">
        <f t="shared" si="8"/>
      </c>
      <c r="DH59" s="2928">
        <f t="shared" si="8"/>
      </c>
      <c r="DI59" s="2928">
        <f t="shared" si="8"/>
      </c>
      <c r="DJ59" s="2928">
        <f t="shared" si="8"/>
      </c>
      <c r="DK59" s="2928">
        <f t="shared" si="8"/>
      </c>
      <c r="DL59" s="2928">
        <f t="shared" si="8"/>
      </c>
      <c r="DM59" s="2928">
        <f t="shared" si="8"/>
      </c>
      <c r="DN59" s="2928">
        <f t="shared" si="8"/>
      </c>
      <c r="DO59" s="2928">
        <f t="shared" si="8"/>
      </c>
      <c r="DP59" s="2928">
        <f t="shared" si="8"/>
      </c>
      <c r="DQ59" s="2928">
        <f t="shared" si="8"/>
      </c>
      <c r="DR59" s="2928">
        <f t="shared" si="8"/>
      </c>
      <c r="DS59" s="2928">
        <f t="shared" si="8"/>
      </c>
      <c r="DT59" s="2928">
        <f t="shared" si="8"/>
      </c>
      <c r="DU59" s="2928">
        <f t="shared" si="8"/>
      </c>
      <c r="DV59" s="2928">
        <f t="shared" si="8"/>
      </c>
      <c r="DW59" s="2928">
        <f t="shared" si="8"/>
      </c>
      <c r="DX59" s="2928">
        <f t="shared" si="8"/>
      </c>
      <c r="DY59" s="2928">
        <f t="shared" si="8"/>
      </c>
      <c r="DZ59" s="2928">
        <f t="shared" si="8"/>
      </c>
      <c r="EA59" s="2928">
        <f t="shared" si="8"/>
      </c>
      <c r="EB59" s="2928">
        <f t="shared" si="8"/>
      </c>
      <c r="EC59" s="2928">
        <f t="shared" si="8"/>
      </c>
      <c r="ED59" s="2928">
        <f t="shared" si="8"/>
      </c>
      <c r="EE59" s="2928">
        <f t="shared" si="8"/>
      </c>
      <c r="EF59" s="2928">
        <f t="shared" si="8"/>
      </c>
      <c r="EG59" s="2928">
        <f t="shared" si="8"/>
      </c>
      <c r="EH59" s="2928">
        <f t="shared" si="8"/>
      </c>
      <c r="EI59" s="2928">
        <f t="shared" si="8"/>
      </c>
      <c r="EJ59" s="2928">
        <f t="shared" si="8"/>
      </c>
      <c r="EK59" s="2928">
        <f t="shared" si="8"/>
      </c>
      <c r="EL59" s="2928">
        <f t="shared" si="8"/>
      </c>
      <c r="EM59" s="2928">
        <f t="shared" si="8"/>
      </c>
      <c r="EN59" s="2928">
        <f t="shared" si="8"/>
      </c>
      <c r="EO59" s="2928">
        <f t="shared" si="8"/>
      </c>
      <c r="EP59" s="2928">
        <f t="shared" si="8"/>
      </c>
      <c r="EQ59" s="2928">
        <f t="shared" si="8"/>
      </c>
      <c r="ER59" s="2928">
        <f t="shared" si="8"/>
      </c>
      <c r="ES59" s="2928">
        <f t="shared" si="8"/>
      </c>
      <c r="ET59" s="2928">
        <f t="shared" si="8"/>
      </c>
      <c r="EU59" s="2928">
        <f t="shared" si="8"/>
      </c>
      <c r="EV59" s="2928">
        <f t="shared" si="8"/>
      </c>
      <c r="EW59" s="2928">
        <f t="shared" si="8"/>
      </c>
      <c r="EX59" s="2928">
        <f t="shared" si="8"/>
      </c>
      <c r="EY59" s="2928">
        <f t="shared" si="8"/>
      </c>
      <c r="EZ59" s="2928">
        <f t="shared" si="8"/>
      </c>
      <c r="FA59" s="2929" t="str">
        <f t="shared" si="12"/>
        <v>-</v>
      </c>
      <c r="FB59" s="2825">
        <f t="shared" si="13"/>
      </c>
      <c r="FC59" s="2930" cm="1">
        <f t="array" ref="FC59">_xlfn.LET(_xlpm.unit_type,$G59,_xlpm.market_rent_from_rent_roll,$E59,_xlpm.unit_type_list,RentRoll_InputArea_DesignatedUnitType,_xlpm.rent_by_unit_type,RentRoll_InputArea_MarketRent,_xlpm.use_rent_roll_market_rent,LEFT(RR_VacantUnitMktRentSource,9)="Rent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59" s="2930">
        <f t="shared" si="14"/>
        <v>1180</v>
      </c>
      <c r="FE59" s="2930">
        <f t="shared" si="15"/>
        <v>1180</v>
      </c>
      <c r="FF59" s="2930">
        <f t="shared" si="16"/>
        <v>1180</v>
      </c>
      <c r="FG59" s="2931"/>
      <c r="FH59" s="2932">
        <f t="shared" si="17"/>
      </c>
      <c r="FI59" s="2932">
        <f t="shared" si="18"/>
      </c>
      <c r="FJ59" s="2931"/>
      <c r="FK59" s="2933" cm="1">
        <f t="array" ref="FK59">IF(AND(LEN($D59)&gt;0,ISNA(MATCH(TRUE,EXACT($G59,RentRoll_InputArea_DesignatedUnitType),0))),1,0)</f>
        <v>0</v>
      </c>
      <c r="FL59" s="2931">
        <f t="shared" si="19"/>
        <v>36</v>
      </c>
      <c r="FM59" s="2931"/>
      <c r="FN59" s="2931"/>
      <c r="FO59" s="2931"/>
      <c r="FP59" s="2931"/>
      <c r="FQ59" s="2931"/>
      <c r="FR59" s="2931"/>
      <c r="FS59" s="2931"/>
      <c r="FT59" s="2931"/>
      <c r="FU59" s="2931"/>
      <c r="FV59" s="2931"/>
      <c r="FW59" s="2931"/>
      <c r="FX59" s="2931"/>
      <c r="FY59" s="2931"/>
      <c r="FZ59" s="2931"/>
      <c r="GA59" s="2931"/>
      <c r="GB59" s="2931"/>
      <c r="GC59" s="2931"/>
      <c r="GD59" s="2931"/>
      <c r="GE59" s="2931"/>
      <c r="GF59" s="2931"/>
      <c r="GG59" s="2931"/>
      <c r="GH59" s="2931"/>
      <c r="GI59" s="2931"/>
      <c r="GJ59" s="2931"/>
      <c r="GK59" s="2931"/>
      <c r="GL59" s="2931"/>
      <c r="GM59" s="2931"/>
      <c r="GN59" s="2931"/>
      <c r="GO59" s="2931"/>
      <c r="GP59" s="2931"/>
      <c r="GQ59" s="2931"/>
      <c r="GR59" s="2931"/>
      <c r="GS59" s="2931"/>
      <c r="GT59" s="2931"/>
      <c r="GU59" s="2931"/>
      <c r="GV59" s="2931"/>
      <c r="GW59" s="2931"/>
      <c r="GX59" s="2931"/>
      <c r="GY59" s="2931"/>
      <c r="GZ59" s="2931"/>
      <c r="HA59" s="2931"/>
      <c r="HB59" s="2931"/>
      <c r="HC59" s="2931"/>
      <c r="HD59" s="2931"/>
      <c r="HE59" s="2931"/>
      <c r="HF59" s="2931"/>
      <c r="HG59" s="2931"/>
      <c r="HH59" s="2931"/>
      <c r="HI59" s="2931"/>
      <c r="HJ59" s="2931"/>
      <c r="HK59" s="2931"/>
      <c r="HL59" s="2931"/>
      <c r="HM59" s="2931"/>
      <c r="HN59" s="2931"/>
      <c r="HO59" s="2931"/>
      <c r="HP59" s="2931"/>
      <c r="HQ59" s="2931"/>
      <c r="HR59" s="2931"/>
      <c r="HS59" s="2931"/>
      <c r="HT59" s="2931"/>
      <c r="HU59" s="2931"/>
      <c r="HV59" s="2931"/>
      <c r="HW59" s="2931"/>
      <c r="HX59" s="2931"/>
      <c r="HY59" s="2931"/>
      <c r="HZ59" s="2931"/>
      <c r="IA59" s="2931"/>
      <c r="IB59" s="2931"/>
      <c r="IC59" s="2931"/>
      <c r="ID59" s="2931"/>
      <c r="IE59" s="2931"/>
      <c r="IF59" s="2931"/>
      <c r="IG59" s="2931"/>
      <c r="IH59" s="2931"/>
      <c r="II59" s="2931"/>
      <c r="IJ59" s="2931"/>
      <c r="IK59" s="2931"/>
      <c r="IL59" s="2931"/>
      <c r="IM59" s="2931"/>
      <c r="IN59" s="2931"/>
      <c r="IO59" s="2931" cm="1">
        <f t="array" ref="IO59">IF(LEN($G59)=0,"Rent Roll is incomplete",_xlfn.XLOOKUP(TRUE,EXACT(RentRoll_InputArea_DesignatedUnitType,$G59),RentRoll_InputArea_Beds,"Not Found"))</f>
        <v>0</v>
      </c>
      <c r="IP59" s="2934"/>
      <c r="IQ59" s="2935" t="str">
        <f t="shared" si="20"/>
        <v>0 Bedroom Unit (Efficiency/Studio)</v>
      </c>
      <c r="IR59" s="2926">
        <f t="shared" si="21"/>
        <v>1180</v>
      </c>
      <c r="IS59" s="2935"/>
      <c r="IT59" s="2931"/>
      <c r="IU59" s="2931"/>
      <c r="IV59" s="2931"/>
      <c r="IW59" s="2936" t="str">
        <f t="shared" si="22"/>
        <v>4-403</v>
      </c>
      <c r="IX59" s="2936"/>
      <c r="IY59" s="2936"/>
      <c r="IZ59" s="2936">
        <f t="shared" si="23"/>
        <v>0</v>
      </c>
      <c r="JA59" s="2936">
        <f t="shared" si="24"/>
        <v>1180</v>
      </c>
      <c r="JB59" s="2936"/>
      <c r="JC59" s="2936"/>
      <c r="JD59" s="2936"/>
      <c r="JE59" s="2936"/>
      <c r="JF59" s="2936"/>
      <c r="JG59" s="2936"/>
      <c r="JH59" s="2936">
        <f t="shared" si="25"/>
        <v>1217</v>
      </c>
      <c r="JI59" s="2936"/>
      <c r="JJ59" s="2936">
        <f t="shared" si="26"/>
      </c>
      <c r="JK59" s="2936"/>
      <c r="JL59" s="2936"/>
      <c r="JM59" s="2936"/>
      <c r="JN59" s="2936"/>
      <c r="JO59" s="2936"/>
      <c r="JP59" s="2936"/>
      <c r="JQ59" s="2936" t="str">
        <f t="shared" si="27"/>
        <v>Occupied</v>
      </c>
      <c r="JR59" s="2936" cm="1">
        <f t="array" ref="JR59">_xlfn.XLOOKUP(TRUE,EXACT(RentRoll_InputArea_DesignatedUnitType,$G59),RentRoll_InputArea_SquareFootage,"Not Found")</f>
        <v>800</v>
      </c>
      <c r="JS59" s="2936" t="str">
        <f t="shared" si="28"/>
        <v>Apartment</v>
      </c>
      <c r="JT59" s="2936">
        <f t="shared" si="29"/>
      </c>
      <c r="JU59" s="2936"/>
      <c r="JV59" s="2936"/>
      <c r="JW59" s="2936"/>
      <c r="JX59" s="2936"/>
      <c r="JY59" s="2936">
        <f t="shared" si="9"/>
        <v>43358</v>
      </c>
      <c r="JZ59" s="2936">
        <f t="shared" si="9"/>
        <v>43646</v>
      </c>
      <c r="KA59" s="2936"/>
      <c r="KB59" s="2936"/>
      <c r="KC59" s="2936"/>
      <c r="KD59" s="2936"/>
      <c r="KE59" s="2936"/>
      <c r="KF59" s="2936"/>
      <c r="KG59" s="2936"/>
      <c r="KH59" s="2936"/>
      <c r="KI59" s="2937"/>
      <c r="KJ59" s="2936"/>
      <c r="KK59" s="1353"/>
    </row>
    <row r="60" ht="15" customHeight="1">
      <c r="A60" s="2922">
        <f t="shared" si="10"/>
        <v>37</v>
      </c>
      <c r="B60" s="2865"/>
      <c r="C60" s="2873"/>
      <c r="D60" s="2873" t="s">
        <v>2817</v>
      </c>
      <c r="E60" s="2923">
        <v>1177</v>
      </c>
      <c r="F60" s="2924" t="s">
        <v>2818</v>
      </c>
      <c r="G60" s="2873" t="s">
        <v>2530</v>
      </c>
      <c r="H60" s="2923">
        <v>1238</v>
      </c>
      <c r="I60" s="2925" cm="1">
        <f t="array" ref="I60">_xlfn.LET(_xlpm.has_subsidy,$N60&gt;0,_xlpm.is_chap9_sbl,$FF$20,_xlpm.contract_rent,$H60,_xlpm.unit_type_mkt_rent,_xlfn.XLOOKUP(TRUE,EXACT($G60,RentRoll_InputArea_DesignatedUnitType),RentRoll_InputArea_MarketRent,"Not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0" s="2926">
        <f t="shared" si="11"/>
        <v>1238</v>
      </c>
      <c r="K60" s="2923"/>
      <c r="L60" s="2923"/>
      <c r="M60" s="2923"/>
      <c r="N60" s="2923"/>
      <c r="O60" s="2927">
        <v>43365</v>
      </c>
      <c r="P60" s="2927">
        <v>43646</v>
      </c>
      <c r="Q60" s="2928">
        <f t="shared" si="8"/>
      </c>
      <c r="R60" s="2928">
        <f t="shared" si="8"/>
        <v>1238</v>
      </c>
      <c r="S60" s="2928">
        <f t="shared" si="8"/>
      </c>
      <c r="T60" s="2928">
        <f t="shared" si="8"/>
      </c>
      <c r="U60" s="2928">
        <f t="shared" si="8"/>
      </c>
      <c r="V60" s="2928">
        <f t="shared" si="8"/>
      </c>
      <c r="W60" s="2928">
        <f t="shared" si="8"/>
      </c>
      <c r="X60" s="2928">
        <f t="shared" si="8"/>
      </c>
      <c r="Y60" s="2928">
        <f t="shared" si="8"/>
      </c>
      <c r="Z60" s="2928">
        <f t="shared" si="8"/>
      </c>
      <c r="AA60" s="2928">
        <f t="shared" si="8"/>
      </c>
      <c r="AB60" s="2928">
        <f t="shared" si="8"/>
      </c>
      <c r="AC60" s="2928">
        <f t="shared" si="8"/>
      </c>
      <c r="AD60" s="2928">
        <f t="shared" si="8"/>
      </c>
      <c r="AE60" s="2928">
        <f t="shared" si="8"/>
      </c>
      <c r="AF60" s="2928">
        <f t="shared" si="8"/>
      </c>
      <c r="AG60" s="2928">
        <f t="shared" si="8"/>
      </c>
      <c r="AH60" s="2928">
        <f t="shared" si="8"/>
      </c>
      <c r="AI60" s="2928">
        <f t="shared" si="8"/>
      </c>
      <c r="AJ60" s="2928">
        <f t="shared" si="8"/>
      </c>
      <c r="AK60" s="2928">
        <f t="shared" si="8"/>
      </c>
      <c r="AL60" s="2928">
        <f t="shared" si="8"/>
      </c>
      <c r="AM60" s="2928">
        <f t="shared" si="8"/>
      </c>
      <c r="AN60" s="2928">
        <f t="shared" si="8"/>
      </c>
      <c r="AO60" s="2928">
        <f t="shared" si="8"/>
      </c>
      <c r="AP60" s="2928">
        <f t="shared" si="8"/>
      </c>
      <c r="AQ60" s="2928">
        <f t="shared" si="8"/>
      </c>
      <c r="AR60" s="2928">
        <f t="shared" si="8"/>
      </c>
      <c r="AS60" s="2928">
        <f t="shared" si="8"/>
      </c>
      <c r="AT60" s="2928">
        <f t="shared" si="8"/>
      </c>
      <c r="AU60" s="2928">
        <f t="shared" si="8"/>
      </c>
      <c r="AV60" s="2928">
        <f t="shared" si="8"/>
      </c>
      <c r="AW60" s="2928">
        <f t="shared" si="8"/>
      </c>
      <c r="AX60" s="2928">
        <f t="shared" si="8"/>
      </c>
      <c r="AY60" s="2928">
        <f t="shared" si="8"/>
      </c>
      <c r="AZ60" s="2928">
        <f t="shared" si="8"/>
      </c>
      <c r="BA60" s="2928">
        <f t="shared" si="8"/>
      </c>
      <c r="BB60" s="2928">
        <f t="shared" si="8"/>
      </c>
      <c r="BC60" s="2928">
        <f t="shared" si="8"/>
      </c>
      <c r="BD60" s="2928">
        <f t="shared" si="8"/>
      </c>
      <c r="BE60" s="2928">
        <f t="shared" si="8"/>
      </c>
      <c r="BF60" s="2928">
        <f t="shared" si="8"/>
      </c>
      <c r="BG60" s="2928">
        <f t="shared" si="8"/>
      </c>
      <c r="BH60" s="2928">
        <f t="shared" si="8"/>
      </c>
      <c r="BI60" s="2928">
        <f t="shared" si="8"/>
      </c>
      <c r="BJ60" s="2928">
        <f t="shared" si="8"/>
      </c>
      <c r="BK60" s="2928">
        <f t="shared" si="8"/>
      </c>
      <c r="BL60" s="2928">
        <f t="shared" si="8"/>
      </c>
      <c r="BM60" s="2928">
        <f t="shared" si="8"/>
      </c>
      <c r="BN60" s="2928">
        <f t="shared" si="8"/>
      </c>
      <c r="BO60" s="2928">
        <f t="shared" si="8"/>
      </c>
      <c r="BP60" s="2928">
        <f t="shared" si="8"/>
      </c>
      <c r="BQ60" s="2928">
        <f t="shared" si="8"/>
      </c>
      <c r="BR60" s="2928">
        <f t="shared" si="8"/>
      </c>
      <c r="BS60" s="2928">
        <f t="shared" si="8"/>
      </c>
      <c r="BT60" s="2928">
        <f t="shared" si="8"/>
      </c>
      <c r="BU60" s="2928">
        <f t="shared" si="8"/>
      </c>
      <c r="BV60" s="2928">
        <f t="shared" si="8"/>
      </c>
      <c r="BW60" s="2928">
        <f t="shared" si="8"/>
      </c>
      <c r="BX60" s="2928">
        <f t="shared" si="8"/>
      </c>
      <c r="BY60" s="2928">
        <f t="shared" si="8"/>
      </c>
      <c r="BZ60" s="2928">
        <f t="shared" si="8"/>
      </c>
      <c r="CA60" s="2928">
        <f t="shared" si="8"/>
      </c>
      <c r="CB60" s="2928">
        <f t="shared" si="8"/>
      </c>
      <c r="CC60" s="2928">
        <f t="shared" si="8"/>
      </c>
      <c r="CD60" s="2928">
        <f t="shared" si="8"/>
      </c>
      <c r="CE60" s="2928">
        <f t="shared" si="8"/>
      </c>
      <c r="CF60" s="2928">
        <f t="shared" si="8"/>
      </c>
      <c r="CG60" s="2928">
        <f t="shared" si="8"/>
      </c>
      <c r="CH60" s="2928">
        <f t="shared" si="8"/>
      </c>
      <c r="CI60" s="2928">
        <f t="shared" si="8"/>
      </c>
      <c r="CJ60" s="2928">
        <f t="shared" si="8"/>
      </c>
      <c r="CK60" s="2928">
        <f t="shared" si="8"/>
      </c>
      <c r="CL60" s="2928">
        <f t="shared" si="8"/>
      </c>
      <c r="CM60" s="2928">
        <f t="shared" si="8"/>
      </c>
      <c r="CN60" s="2928">
        <f t="shared" si="8"/>
      </c>
      <c r="CO60" s="2928">
        <f t="shared" si="8"/>
      </c>
      <c r="CP60" s="2928">
        <f t="shared" si="8"/>
      </c>
      <c r="CQ60" s="2928">
        <f t="shared" si="8"/>
      </c>
      <c r="CR60" s="2928">
        <f t="shared" si="8"/>
      </c>
      <c r="CS60" s="2928">
        <f t="shared" si="8"/>
      </c>
      <c r="CT60" s="2928">
        <f t="shared" si="8"/>
      </c>
      <c r="CU60" s="2928">
        <f t="shared" si="8"/>
      </c>
      <c r="CV60" s="2928">
        <f t="shared" si="8"/>
      </c>
      <c r="CW60" s="2928">
        <f t="shared" si="8"/>
      </c>
      <c r="CX60" s="2928">
        <f t="shared" si="8"/>
      </c>
      <c r="CY60" s="2928">
        <f t="shared" si="8"/>
      </c>
      <c r="CZ60" s="2928">
        <f t="shared" si="8"/>
      </c>
      <c r="DA60" s="2928">
        <f t="shared" si="8"/>
      </c>
      <c r="DB60" s="2928">
        <f t="shared" si="8"/>
      </c>
      <c r="DC60" s="2928">
        <f t="shared" si="8"/>
      </c>
      <c r="DD60" s="2928">
        <f t="shared" si="8"/>
      </c>
      <c r="DE60" s="2928">
        <f t="shared" si="8"/>
      </c>
      <c r="DF60" s="2928">
        <f t="shared" si="8"/>
      </c>
      <c r="DG60" s="2928">
        <f t="shared" si="8"/>
      </c>
      <c r="DH60" s="2928">
        <f t="shared" si="8"/>
      </c>
      <c r="DI60" s="2928">
        <f t="shared" si="8"/>
      </c>
      <c r="DJ60" s="2928">
        <f t="shared" si="8"/>
      </c>
      <c r="DK60" s="2928">
        <f t="shared" si="8"/>
      </c>
      <c r="DL60" s="2928">
        <f t="shared" si="8"/>
      </c>
      <c r="DM60" s="2928">
        <f t="shared" si="8"/>
      </c>
      <c r="DN60" s="2928">
        <f t="shared" si="8"/>
      </c>
      <c r="DO60" s="2928">
        <f t="shared" si="8"/>
      </c>
      <c r="DP60" s="2928">
        <f t="shared" si="8"/>
      </c>
      <c r="DQ60" s="2928">
        <f t="shared" si="8"/>
      </c>
      <c r="DR60" s="2928">
        <f t="shared" si="8"/>
      </c>
      <c r="DS60" s="2928">
        <f t="shared" si="8"/>
      </c>
      <c r="DT60" s="2928">
        <f t="shared" si="8"/>
      </c>
      <c r="DU60" s="2928">
        <f t="shared" si="8"/>
      </c>
      <c r="DV60" s="2928">
        <f t="shared" si="8"/>
      </c>
      <c r="DW60" s="2928">
        <f t="shared" si="8"/>
      </c>
      <c r="DX60" s="2928">
        <f t="shared" si="8"/>
      </c>
      <c r="DY60" s="2928">
        <f t="shared" si="8"/>
      </c>
      <c r="DZ60" s="2928">
        <f t="shared" si="8"/>
      </c>
      <c r="EA60" s="2928">
        <f t="shared" si="8"/>
      </c>
      <c r="EB60" s="2928">
        <f t="shared" si="8"/>
      </c>
      <c r="EC60" s="2928">
        <f t="shared" si="8"/>
      </c>
      <c r="ED60" s="2928">
        <f t="shared" si="8"/>
      </c>
      <c r="EE60" s="2928">
        <f t="shared" si="8"/>
      </c>
      <c r="EF60" s="2928">
        <f t="shared" si="8"/>
      </c>
      <c r="EG60" s="2928">
        <f t="shared" si="8"/>
      </c>
      <c r="EH60" s="2928">
        <f t="shared" si="8"/>
      </c>
      <c r="EI60" s="2928">
        <f t="shared" si="8"/>
      </c>
      <c r="EJ60" s="2928">
        <f t="shared" si="8"/>
      </c>
      <c r="EK60" s="2928">
        <f t="shared" si="8"/>
      </c>
      <c r="EL60" s="2928">
        <f t="shared" si="8"/>
      </c>
      <c r="EM60" s="2928">
        <f t="shared" si="8"/>
      </c>
      <c r="EN60" s="2928">
        <f t="shared" si="8"/>
      </c>
      <c r="EO60" s="2928">
        <f t="shared" si="8"/>
      </c>
      <c r="EP60" s="2928">
        <f t="shared" si="8"/>
      </c>
      <c r="EQ60" s="2928">
        <f t="shared" si="8"/>
      </c>
      <c r="ER60" s="2928">
        <f t="shared" si="8"/>
      </c>
      <c r="ES60" s="2928">
        <f t="shared" si="8"/>
      </c>
      <c r="ET60" s="2928">
        <f t="shared" si="8"/>
      </c>
      <c r="EU60" s="2928">
        <f t="shared" si="8"/>
      </c>
      <c r="EV60" s="2928">
        <f t="shared" si="8"/>
      </c>
      <c r="EW60" s="2928">
        <f t="shared" si="8"/>
      </c>
      <c r="EX60" s="2928">
        <f t="shared" si="8"/>
      </c>
      <c r="EY60" s="2928">
        <f t="shared" si="8"/>
      </c>
      <c r="EZ60" s="2928">
        <f t="shared" si="8"/>
      </c>
      <c r="FA60" s="2929" t="str">
        <f t="shared" si="12"/>
        <v>-</v>
      </c>
      <c r="FB60" s="2825">
        <f t="shared" si="13"/>
      </c>
      <c r="FC60" s="2930" cm="1">
        <f t="array" ref="FC60">_xlfn.LET(_xlpm.unit_type,$G60,_xlpm.market_rent_from_rent_roll,$E60,_xlpm.unit_type_list,RentRoll_InputArea_DesignatedUnitType,_xlpm.rent_by_unit_type,RentRoll_InputArea_MarketRent,_xlpm.use_rent_roll_market_rent,LEFT(RR_VacantUnitMktRentSource,9)="Rent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0" s="2930">
        <f t="shared" si="14"/>
        <v>1238</v>
      </c>
      <c r="FE60" s="2930">
        <f t="shared" si="15"/>
        <v>1238</v>
      </c>
      <c r="FF60" s="2930">
        <f t="shared" si="16"/>
        <v>1238</v>
      </c>
      <c r="FG60" s="2931"/>
      <c r="FH60" s="2932">
        <f t="shared" si="17"/>
      </c>
      <c r="FI60" s="2932">
        <f t="shared" si="18"/>
      </c>
      <c r="FJ60" s="2931"/>
      <c r="FK60" s="2933" cm="1">
        <f t="array" ref="FK60">IF(AND(LEN($D60)&gt;0,ISNA(MATCH(TRUE,EXACT($G60,RentRoll_InputArea_DesignatedUnitType),0))),1,0)</f>
        <v>0</v>
      </c>
      <c r="FL60" s="2931">
        <f t="shared" si="19"/>
        <v>37</v>
      </c>
      <c r="FM60" s="2931"/>
      <c r="FN60" s="2931"/>
      <c r="FO60" s="2931"/>
      <c r="FP60" s="2931"/>
      <c r="FQ60" s="2931"/>
      <c r="FR60" s="2931"/>
      <c r="FS60" s="2931"/>
      <c r="FT60" s="2931"/>
      <c r="FU60" s="2931"/>
      <c r="FV60" s="2931"/>
      <c r="FW60" s="2931"/>
      <c r="FX60" s="2931"/>
      <c r="FY60" s="2931"/>
      <c r="FZ60" s="2931"/>
      <c r="GA60" s="2931"/>
      <c r="GB60" s="2931"/>
      <c r="GC60" s="2931"/>
      <c r="GD60" s="2931"/>
      <c r="GE60" s="2931"/>
      <c r="GF60" s="2931"/>
      <c r="GG60" s="2931"/>
      <c r="GH60" s="2931"/>
      <c r="GI60" s="2931"/>
      <c r="GJ60" s="2931"/>
      <c r="GK60" s="2931"/>
      <c r="GL60" s="2931"/>
      <c r="GM60" s="2931"/>
      <c r="GN60" s="2931"/>
      <c r="GO60" s="2931"/>
      <c r="GP60" s="2931"/>
      <c r="GQ60" s="2931"/>
      <c r="GR60" s="2931"/>
      <c r="GS60" s="2931"/>
      <c r="GT60" s="2931"/>
      <c r="GU60" s="2931"/>
      <c r="GV60" s="2931"/>
      <c r="GW60" s="2931"/>
      <c r="GX60" s="2931"/>
      <c r="GY60" s="2931"/>
      <c r="GZ60" s="2931"/>
      <c r="HA60" s="2931"/>
      <c r="HB60" s="2931"/>
      <c r="HC60" s="2931"/>
      <c r="HD60" s="2931"/>
      <c r="HE60" s="2931"/>
      <c r="HF60" s="2931"/>
      <c r="HG60" s="2931"/>
      <c r="HH60" s="2931"/>
      <c r="HI60" s="2931"/>
      <c r="HJ60" s="2931"/>
      <c r="HK60" s="2931"/>
      <c r="HL60" s="2931"/>
      <c r="HM60" s="2931"/>
      <c r="HN60" s="2931"/>
      <c r="HO60" s="2931"/>
      <c r="HP60" s="2931"/>
      <c r="HQ60" s="2931"/>
      <c r="HR60" s="2931"/>
      <c r="HS60" s="2931"/>
      <c r="HT60" s="2931"/>
      <c r="HU60" s="2931"/>
      <c r="HV60" s="2931"/>
      <c r="HW60" s="2931"/>
      <c r="HX60" s="2931"/>
      <c r="HY60" s="2931"/>
      <c r="HZ60" s="2931"/>
      <c r="IA60" s="2931"/>
      <c r="IB60" s="2931"/>
      <c r="IC60" s="2931"/>
      <c r="ID60" s="2931"/>
      <c r="IE60" s="2931"/>
      <c r="IF60" s="2931"/>
      <c r="IG60" s="2931"/>
      <c r="IH60" s="2931"/>
      <c r="II60" s="2931"/>
      <c r="IJ60" s="2931"/>
      <c r="IK60" s="2931"/>
      <c r="IL60" s="2931"/>
      <c r="IM60" s="2931"/>
      <c r="IN60" s="2931"/>
      <c r="IO60" s="2931" cm="1">
        <f t="array" ref="IO60">IF(LEN($G60)=0,"Rent Roll is incomplete",_xlfn.XLOOKUP(TRUE,EXACT(RentRoll_InputArea_DesignatedUnitType,$G60),RentRoll_InputArea_Beds,"Not Found"))</f>
        <v>0</v>
      </c>
      <c r="IP60" s="2934"/>
      <c r="IQ60" s="2935" t="str">
        <f t="shared" si="20"/>
        <v>0 Bedroom Unit (Efficiency/Studio)</v>
      </c>
      <c r="IR60" s="2926">
        <f t="shared" si="21"/>
        <v>1238</v>
      </c>
      <c r="IS60" s="2935"/>
      <c r="IT60" s="2931"/>
      <c r="IU60" s="2931"/>
      <c r="IV60" s="2931"/>
      <c r="IW60" s="2936" t="str">
        <f t="shared" si="22"/>
        <v>4-404</v>
      </c>
      <c r="IX60" s="2936"/>
      <c r="IY60" s="2936"/>
      <c r="IZ60" s="2936">
        <f t="shared" si="23"/>
        <v>0</v>
      </c>
      <c r="JA60" s="2936">
        <f t="shared" si="24"/>
        <v>1238</v>
      </c>
      <c r="JB60" s="2936"/>
      <c r="JC60" s="2936"/>
      <c r="JD60" s="2936"/>
      <c r="JE60" s="2936"/>
      <c r="JF60" s="2936"/>
      <c r="JG60" s="2936"/>
      <c r="JH60" s="2936">
        <f t="shared" si="25"/>
        <v>1217</v>
      </c>
      <c r="JI60" s="2936"/>
      <c r="JJ60" s="2936">
        <f t="shared" si="26"/>
      </c>
      <c r="JK60" s="2936"/>
      <c r="JL60" s="2936"/>
      <c r="JM60" s="2936"/>
      <c r="JN60" s="2936"/>
      <c r="JO60" s="2936"/>
      <c r="JP60" s="2936"/>
      <c r="JQ60" s="2936" t="str">
        <f t="shared" si="27"/>
        <v>Occupied</v>
      </c>
      <c r="JR60" s="2936" cm="1">
        <f t="array" ref="JR60">_xlfn.XLOOKUP(TRUE,EXACT(RentRoll_InputArea_DesignatedUnitType,$G60),RentRoll_InputArea_SquareFootage,"Not Found")</f>
        <v>800</v>
      </c>
      <c r="JS60" s="2936" t="str">
        <f t="shared" si="28"/>
        <v>Apartment</v>
      </c>
      <c r="JT60" s="2936">
        <f t="shared" si="29"/>
      </c>
      <c r="JU60" s="2936"/>
      <c r="JV60" s="2936"/>
      <c r="JW60" s="2936"/>
      <c r="JX60" s="2936"/>
      <c r="JY60" s="2936">
        <f t="shared" si="9"/>
        <v>43365</v>
      </c>
      <c r="JZ60" s="2936">
        <f t="shared" si="9"/>
        <v>43646</v>
      </c>
      <c r="KA60" s="2936"/>
      <c r="KB60" s="2936"/>
      <c r="KC60" s="2936"/>
      <c r="KD60" s="2936"/>
      <c r="KE60" s="2936"/>
      <c r="KF60" s="2936"/>
      <c r="KG60" s="2936"/>
      <c r="KH60" s="2936"/>
      <c r="KI60" s="2937"/>
      <c r="KJ60" s="2936"/>
      <c r="KK60" s="1353"/>
    </row>
    <row r="61" ht="15" customHeight="1">
      <c r="A61" s="2922">
        <f t="shared" si="10"/>
        <v>38</v>
      </c>
      <c r="B61" s="2865"/>
      <c r="C61" s="2873"/>
      <c r="D61" s="2873" t="s">
        <v>2819</v>
      </c>
      <c r="E61" s="2923">
        <v>1249</v>
      </c>
      <c r="F61" s="2924" t="s">
        <v>2820</v>
      </c>
      <c r="G61" s="2873" t="s">
        <v>2530</v>
      </c>
      <c r="H61" s="2923">
        <v>1219</v>
      </c>
      <c r="I61" s="2925" cm="1">
        <f t="array" ref="I61">_xlfn.LET(_xlpm.has_subsidy,$N61&gt;0,_xlpm.is_chap9_sbl,$FF$20,_xlpm.contract_rent,$H61,_xlpm.unit_type_mkt_rent,_xlfn.XLOOKUP(TRUE,EXACT($G61,RentRoll_InputArea_DesignatedUnitType),RentRoll_InputArea_MarketRent,"Not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1" s="2926">
        <f t="shared" si="11"/>
        <v>1219</v>
      </c>
      <c r="K61" s="2923"/>
      <c r="L61" s="2923"/>
      <c r="M61" s="2923"/>
      <c r="N61" s="2923"/>
      <c r="O61" s="2927">
        <v>43521</v>
      </c>
      <c r="P61" s="2927">
        <v>43890</v>
      </c>
      <c r="Q61" s="2928">
        <f t="shared" si="8"/>
      </c>
      <c r="R61" s="2928">
        <f t="shared" si="8"/>
        <v>1219</v>
      </c>
      <c r="S61" s="2928">
        <f t="shared" si="8"/>
      </c>
      <c r="T61" s="2928">
        <f t="shared" si="8"/>
      </c>
      <c r="U61" s="2928">
        <f t="shared" si="8"/>
      </c>
      <c r="V61" s="2928">
        <f t="shared" si="8"/>
      </c>
      <c r="W61" s="2928">
        <f t="shared" si="8"/>
      </c>
      <c r="X61" s="2928">
        <f t="shared" si="8"/>
      </c>
      <c r="Y61" s="2928">
        <f t="shared" si="8"/>
      </c>
      <c r="Z61" s="2928">
        <f t="shared" si="8"/>
      </c>
      <c r="AA61" s="2928">
        <f t="shared" si="8"/>
      </c>
      <c r="AB61" s="2928">
        <f t="shared" si="8"/>
      </c>
      <c r="AC61" s="2928">
        <f t="shared" si="8"/>
      </c>
      <c r="AD61" s="2928">
        <f t="shared" si="8"/>
      </c>
      <c r="AE61" s="2928">
        <f t="shared" si="8"/>
      </c>
      <c r="AF61" s="2928">
        <f t="shared" si="8"/>
      </c>
      <c r="AG61" s="2928">
        <f t="shared" si="8"/>
      </c>
      <c r="AH61" s="2928">
        <f t="shared" si="8"/>
      </c>
      <c r="AI61" s="2928">
        <f t="shared" si="8"/>
      </c>
      <c r="AJ61" s="2928">
        <f t="shared" si="8"/>
      </c>
      <c r="AK61" s="2928">
        <f t="shared" si="8"/>
      </c>
      <c r="AL61" s="2928">
        <f t="shared" si="8"/>
      </c>
      <c r="AM61" s="2928">
        <f t="shared" si="8"/>
      </c>
      <c r="AN61" s="2928">
        <f t="shared" si="8"/>
      </c>
      <c r="AO61" s="2928">
        <f t="shared" si="8"/>
      </c>
      <c r="AP61" s="2928">
        <f t="shared" si="8"/>
      </c>
      <c r="AQ61" s="2928">
        <f t="shared" si="8"/>
      </c>
      <c r="AR61" s="2928">
        <f t="shared" si="8"/>
      </c>
      <c r="AS61" s="2928">
        <f t="shared" si="8"/>
      </c>
      <c r="AT61" s="2928">
        <f t="shared" si="8"/>
      </c>
      <c r="AU61" s="2928">
        <f t="shared" si="8"/>
      </c>
      <c r="AV61" s="2928">
        <f t="shared" si="8"/>
      </c>
      <c r="AW61" s="2928">
        <f t="shared" si="8"/>
      </c>
      <c r="AX61" s="2928">
        <f t="shared" si="8"/>
      </c>
      <c r="AY61" s="2928">
        <f t="shared" si="8"/>
      </c>
      <c r="AZ61" s="2928">
        <f t="shared" si="8"/>
      </c>
      <c r="BA61" s="2928">
        <f t="shared" si="8"/>
      </c>
      <c r="BB61" s="2928">
        <f t="shared" si="8"/>
      </c>
      <c r="BC61" s="2928">
        <f t="shared" si="8"/>
      </c>
      <c r="BD61" s="2928">
        <f t="shared" si="8"/>
      </c>
      <c r="BE61" s="2928">
        <f t="shared" si="8"/>
      </c>
      <c r="BF61" s="2928">
        <f t="shared" si="8"/>
      </c>
      <c r="BG61" s="2928">
        <f t="shared" si="8"/>
      </c>
      <c r="BH61" s="2928">
        <f t="shared" si="8"/>
      </c>
      <c r="BI61" s="2928">
        <f t="shared" si="8"/>
      </c>
      <c r="BJ61" s="2928">
        <f t="shared" si="8"/>
      </c>
      <c r="BK61" s="2928">
        <f t="shared" si="8"/>
      </c>
      <c r="BL61" s="2928">
        <f t="shared" si="8"/>
      </c>
      <c r="BM61" s="2928">
        <f t="shared" si="8"/>
      </c>
      <c r="BN61" s="2928">
        <f t="shared" si="8"/>
      </c>
      <c r="BO61" s="2928">
        <f t="shared" si="8"/>
      </c>
      <c r="BP61" s="2928">
        <f t="shared" si="8"/>
      </c>
      <c r="BQ61" s="2928">
        <f t="shared" si="8"/>
      </c>
      <c r="BR61" s="2928">
        <f t="shared" si="8"/>
      </c>
      <c r="BS61" s="2928">
        <f t="shared" si="8"/>
      </c>
      <c r="BT61" s="2928">
        <f t="shared" si="8"/>
      </c>
      <c r="BU61" s="2928">
        <f t="shared" si="8"/>
      </c>
      <c r="BV61" s="2928">
        <f t="shared" si="8"/>
      </c>
      <c r="BW61" s="2928">
        <f t="shared" si="8"/>
      </c>
      <c r="BX61" s="2928">
        <f t="shared" si="8"/>
      </c>
      <c r="BY61" s="2928">
        <f t="shared" si="8"/>
      </c>
      <c r="BZ61" s="2928">
        <f t="shared" si="8"/>
      </c>
      <c r="CA61" s="2928">
        <f t="shared" si="8"/>
      </c>
      <c r="CB61" s="2928">
        <f t="shared" si="8"/>
      </c>
      <c r="CC61" s="2928">
        <f t="shared" si="8"/>
      </c>
      <c r="CD61" s="2928">
        <f t="shared" si="8"/>
      </c>
      <c r="CE61" s="2928">
        <f t="shared" si="8"/>
      </c>
      <c r="CF61" s="2928">
        <f t="shared" si="8"/>
      </c>
      <c r="CG61" s="2928">
        <f t="shared" si="8"/>
      </c>
      <c r="CH61" s="2928">
        <f t="shared" si="8"/>
      </c>
      <c r="CI61" s="2928">
        <f t="shared" si="8"/>
      </c>
      <c r="CJ61" s="2928">
        <f t="shared" si="8"/>
      </c>
      <c r="CK61" s="2928">
        <f t="shared" si="8"/>
      </c>
      <c r="CL61" s="2928">
        <f t="shared" si="8"/>
      </c>
      <c r="CM61" s="2928">
        <f t="shared" si="8"/>
      </c>
      <c r="CN61" s="2928">
        <f t="shared" si="8"/>
      </c>
      <c r="CO61" s="2928">
        <f t="shared" si="8"/>
      </c>
      <c r="CP61" s="2928">
        <f t="shared" si="8"/>
      </c>
      <c r="CQ61" s="2928">
        <f t="shared" si="8"/>
      </c>
      <c r="CR61" s="2928">
        <f t="shared" si="8"/>
      </c>
      <c r="CS61" s="2928">
        <f t="shared" si="8"/>
      </c>
      <c r="CT61" s="2928">
        <f t="shared" si="8"/>
      </c>
      <c r="CU61" s="2928">
        <f t="shared" si="8"/>
      </c>
      <c r="CV61" s="2928">
        <f t="shared" si="8"/>
      </c>
      <c r="CW61" s="2928">
        <f t="shared" si="8"/>
      </c>
      <c r="CX61" s="2928">
        <f t="shared" si="8"/>
      </c>
      <c r="CY61" s="2928">
        <f t="shared" si="8"/>
      </c>
      <c r="CZ61" s="2928">
        <f t="shared" si="8"/>
      </c>
      <c r="DA61" s="2928">
        <f t="shared" si="8"/>
      </c>
      <c r="DB61" s="2928">
        <f t="shared" si="8"/>
      </c>
      <c r="DC61" s="2928">
        <f t="shared" si="8"/>
      </c>
      <c r="DD61" s="2928">
        <f t="shared" si="8"/>
      </c>
      <c r="DE61" s="2928">
        <f t="shared" si="8"/>
      </c>
      <c r="DF61" s="2928">
        <f t="shared" si="8"/>
      </c>
      <c r="DG61" s="2928">
        <f t="shared" si="8"/>
      </c>
      <c r="DH61" s="2928">
        <f t="shared" si="8"/>
      </c>
      <c r="DI61" s="2928">
        <f t="shared" si="8"/>
      </c>
      <c r="DJ61" s="2928">
        <f t="shared" si="8"/>
      </c>
      <c r="DK61" s="2928">
        <f t="shared" si="8"/>
      </c>
      <c r="DL61" s="2928">
        <f t="shared" si="8"/>
      </c>
      <c r="DM61" s="2928">
        <f t="shared" si="8"/>
      </c>
      <c r="DN61" s="2928">
        <f t="shared" si="8"/>
      </c>
      <c r="DO61" s="2928">
        <f t="shared" si="8"/>
      </c>
      <c r="DP61" s="2928">
        <f t="shared" si="8"/>
      </c>
      <c r="DQ61" s="2928">
        <f t="shared" si="8"/>
      </c>
      <c r="DR61" s="2928">
        <f t="shared" si="8"/>
      </c>
      <c r="DS61" s="2928">
        <f t="shared" si="8"/>
      </c>
      <c r="DT61" s="2928">
        <f t="shared" si="8"/>
      </c>
      <c r="DU61" s="2928">
        <f t="shared" si="8"/>
      </c>
      <c r="DV61" s="2928">
        <f t="shared" si="8"/>
      </c>
      <c r="DW61" s="2928">
        <f t="shared" si="8"/>
      </c>
      <c r="DX61" s="2928">
        <f t="shared" si="8"/>
      </c>
      <c r="DY61" s="2928">
        <f t="shared" si="8"/>
      </c>
      <c r="DZ61" s="2928">
        <f t="shared" si="8"/>
      </c>
      <c r="EA61" s="2928">
        <f t="shared" si="8"/>
      </c>
      <c r="EB61" s="2928">
        <f t="shared" si="8"/>
      </c>
      <c r="EC61" s="2928">
        <f t="shared" si="8"/>
      </c>
      <c r="ED61" s="2928">
        <f t="shared" si="8"/>
      </c>
      <c r="EE61" s="2928">
        <f t="shared" si="8"/>
      </c>
      <c r="EF61" s="2928">
        <f t="shared" si="8"/>
      </c>
      <c r="EG61" s="2928">
        <f t="shared" si="8"/>
      </c>
      <c r="EH61" s="2928">
        <f t="shared" si="8"/>
      </c>
      <c r="EI61" s="2928">
        <f t="shared" si="8"/>
      </c>
      <c r="EJ61" s="2928">
        <f t="shared" si="8"/>
      </c>
      <c r="EK61" s="2928">
        <f t="shared" si="8"/>
      </c>
      <c r="EL61" s="2928">
        <f t="shared" si="8"/>
      </c>
      <c r="EM61" s="2928">
        <f t="shared" si="8"/>
      </c>
      <c r="EN61" s="2928">
        <f t="shared" si="8"/>
      </c>
      <c r="EO61" s="2928">
        <f t="shared" si="8"/>
      </c>
      <c r="EP61" s="2928">
        <f t="shared" si="8"/>
      </c>
      <c r="EQ61" s="2928">
        <f t="shared" si="8"/>
      </c>
      <c r="ER61" s="2928">
        <f t="shared" si="8"/>
      </c>
      <c r="ES61" s="2928">
        <f t="shared" si="8"/>
      </c>
      <c r="ET61" s="2928">
        <f t="shared" si="8"/>
      </c>
      <c r="EU61" s="2928">
        <f t="shared" si="8"/>
      </c>
      <c r="EV61" s="2928">
        <f t="shared" si="8"/>
      </c>
      <c r="EW61" s="2928">
        <f t="shared" si="8"/>
      </c>
      <c r="EX61" s="2928">
        <f t="shared" si="8"/>
      </c>
      <c r="EY61" s="2928">
        <f t="shared" si="8"/>
      </c>
      <c r="EZ61" s="2928">
        <f t="shared" si="8"/>
      </c>
      <c r="FA61" s="2929" t="str">
        <f t="shared" si="12"/>
        <v>-</v>
      </c>
      <c r="FB61" s="2825">
        <f t="shared" si="13"/>
      </c>
      <c r="FC61" s="2930" cm="1">
        <f t="array" ref="FC61">_xlfn.LET(_xlpm.unit_type,$G61,_xlpm.market_rent_from_rent_roll,$E61,_xlpm.unit_type_list,RentRoll_InputArea_DesignatedUnitType,_xlpm.rent_by_unit_type,RentRoll_InputArea_MarketRent,_xlpm.use_rent_roll_market_rent,LEFT(RR_VacantUnitMktRentSource,9)="Rent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1" s="2930">
        <f t="shared" si="14"/>
        <v>1219</v>
      </c>
      <c r="FE61" s="2930">
        <f t="shared" si="15"/>
        <v>1219</v>
      </c>
      <c r="FF61" s="2930">
        <f t="shared" si="16"/>
        <v>1219</v>
      </c>
      <c r="FG61" s="2931"/>
      <c r="FH61" s="2932">
        <f t="shared" si="17"/>
      </c>
      <c r="FI61" s="2932">
        <f t="shared" si="18"/>
      </c>
      <c r="FJ61" s="2931"/>
      <c r="FK61" s="2933" cm="1">
        <f t="array" ref="FK61">IF(AND(LEN($D61)&gt;0,ISNA(MATCH(TRUE,EXACT($G61,RentRoll_InputArea_DesignatedUnitType),0))),1,0)</f>
        <v>0</v>
      </c>
      <c r="FL61" s="2931">
        <f t="shared" si="19"/>
        <v>38</v>
      </c>
      <c r="FM61" s="2931"/>
      <c r="FN61" s="2931"/>
      <c r="FO61" s="2931"/>
      <c r="FP61" s="2931"/>
      <c r="FQ61" s="2931"/>
      <c r="FR61" s="2931"/>
      <c r="FS61" s="2931"/>
      <c r="FT61" s="2931"/>
      <c r="FU61" s="2931"/>
      <c r="FV61" s="2931"/>
      <c r="FW61" s="2931"/>
      <c r="FX61" s="2931"/>
      <c r="FY61" s="2931"/>
      <c r="FZ61" s="2931"/>
      <c r="GA61" s="2931"/>
      <c r="GB61" s="2931"/>
      <c r="GC61" s="2931"/>
      <c r="GD61" s="2931"/>
      <c r="GE61" s="2931"/>
      <c r="GF61" s="2931"/>
      <c r="GG61" s="2931"/>
      <c r="GH61" s="2931"/>
      <c r="GI61" s="2931"/>
      <c r="GJ61" s="2931"/>
      <c r="GK61" s="2931"/>
      <c r="GL61" s="2931"/>
      <c r="GM61" s="2931"/>
      <c r="GN61" s="2931"/>
      <c r="GO61" s="2931"/>
      <c r="GP61" s="2931"/>
      <c r="GQ61" s="2931"/>
      <c r="GR61" s="2931"/>
      <c r="GS61" s="2931"/>
      <c r="GT61" s="2931"/>
      <c r="GU61" s="2931"/>
      <c r="GV61" s="2931"/>
      <c r="GW61" s="2931"/>
      <c r="GX61" s="2931"/>
      <c r="GY61" s="2931"/>
      <c r="GZ61" s="2931"/>
      <c r="HA61" s="2931"/>
      <c r="HB61" s="2931"/>
      <c r="HC61" s="2931"/>
      <c r="HD61" s="2931"/>
      <c r="HE61" s="2931"/>
      <c r="HF61" s="2931"/>
      <c r="HG61" s="2931"/>
      <c r="HH61" s="2931"/>
      <c r="HI61" s="2931"/>
      <c r="HJ61" s="2931"/>
      <c r="HK61" s="2931"/>
      <c r="HL61" s="2931"/>
      <c r="HM61" s="2931"/>
      <c r="HN61" s="2931"/>
      <c r="HO61" s="2931"/>
      <c r="HP61" s="2931"/>
      <c r="HQ61" s="2931"/>
      <c r="HR61" s="2931"/>
      <c r="HS61" s="2931"/>
      <c r="HT61" s="2931"/>
      <c r="HU61" s="2931"/>
      <c r="HV61" s="2931"/>
      <c r="HW61" s="2931"/>
      <c r="HX61" s="2931"/>
      <c r="HY61" s="2931"/>
      <c r="HZ61" s="2931"/>
      <c r="IA61" s="2931"/>
      <c r="IB61" s="2931"/>
      <c r="IC61" s="2931"/>
      <c r="ID61" s="2931"/>
      <c r="IE61" s="2931"/>
      <c r="IF61" s="2931"/>
      <c r="IG61" s="2931"/>
      <c r="IH61" s="2931"/>
      <c r="II61" s="2931"/>
      <c r="IJ61" s="2931"/>
      <c r="IK61" s="2931"/>
      <c r="IL61" s="2931"/>
      <c r="IM61" s="2931"/>
      <c r="IN61" s="2931"/>
      <c r="IO61" s="2931" cm="1">
        <f t="array" ref="IO61">IF(LEN($G61)=0,"Rent Roll is incomplete",_xlfn.XLOOKUP(TRUE,EXACT(RentRoll_InputArea_DesignatedUnitType,$G61),RentRoll_InputArea_Beds,"Not Found"))</f>
        <v>0</v>
      </c>
      <c r="IP61" s="2934"/>
      <c r="IQ61" s="2935" t="str">
        <f t="shared" si="20"/>
        <v>0 Bedroom Unit (Efficiency/Studio)</v>
      </c>
      <c r="IR61" s="2926">
        <f t="shared" si="21"/>
        <v>1219</v>
      </c>
      <c r="IS61" s="2935"/>
      <c r="IT61" s="2931"/>
      <c r="IU61" s="2931"/>
      <c r="IV61" s="2931"/>
      <c r="IW61" s="2936" t="str">
        <f t="shared" si="22"/>
        <v>4-405</v>
      </c>
      <c r="IX61" s="2936"/>
      <c r="IY61" s="2936"/>
      <c r="IZ61" s="2936">
        <f t="shared" si="23"/>
        <v>0</v>
      </c>
      <c r="JA61" s="2936">
        <f t="shared" si="24"/>
        <v>1219</v>
      </c>
      <c r="JB61" s="2936"/>
      <c r="JC61" s="2936"/>
      <c r="JD61" s="2936"/>
      <c r="JE61" s="2936"/>
      <c r="JF61" s="2936"/>
      <c r="JG61" s="2936"/>
      <c r="JH61" s="2936">
        <f t="shared" si="25"/>
        <v>1217</v>
      </c>
      <c r="JI61" s="2936"/>
      <c r="JJ61" s="2936">
        <f t="shared" si="26"/>
      </c>
      <c r="JK61" s="2936"/>
      <c r="JL61" s="2936"/>
      <c r="JM61" s="2936"/>
      <c r="JN61" s="2936"/>
      <c r="JO61" s="2936"/>
      <c r="JP61" s="2936"/>
      <c r="JQ61" s="2936" t="str">
        <f t="shared" si="27"/>
        <v>Occupied</v>
      </c>
      <c r="JR61" s="2936" cm="1">
        <f t="array" ref="JR61">_xlfn.XLOOKUP(TRUE,EXACT(RentRoll_InputArea_DesignatedUnitType,$G61),RentRoll_InputArea_SquareFootage,"Not Found")</f>
        <v>800</v>
      </c>
      <c r="JS61" s="2936" t="str">
        <f t="shared" si="28"/>
        <v>Apartment</v>
      </c>
      <c r="JT61" s="2936">
        <f t="shared" si="29"/>
      </c>
      <c r="JU61" s="2936"/>
      <c r="JV61" s="2936"/>
      <c r="JW61" s="2936"/>
      <c r="JX61" s="2936"/>
      <c r="JY61" s="2936">
        <f t="shared" si="9"/>
        <v>43521</v>
      </c>
      <c r="JZ61" s="2936">
        <f t="shared" si="9"/>
        <v>43890</v>
      </c>
      <c r="KA61" s="2936"/>
      <c r="KB61" s="2936"/>
      <c r="KC61" s="2936"/>
      <c r="KD61" s="2936"/>
      <c r="KE61" s="2936"/>
      <c r="KF61" s="2936"/>
      <c r="KG61" s="2936"/>
      <c r="KH61" s="2936"/>
      <c r="KI61" s="2937"/>
      <c r="KJ61" s="2936"/>
      <c r="KK61" s="1353"/>
    </row>
    <row r="62" ht="15" customHeight="1">
      <c r="A62" s="2922">
        <f t="shared" si="10"/>
        <v>39</v>
      </c>
      <c r="B62" s="2865" t="s">
        <v>2802</v>
      </c>
      <c r="C62" s="2873"/>
      <c r="D62" s="2873" t="s">
        <v>2821</v>
      </c>
      <c r="E62" s="2923">
        <v>1559</v>
      </c>
      <c r="F62" s="2924" t="s">
        <v>2804</v>
      </c>
      <c r="G62" s="2873" t="s">
        <v>2532</v>
      </c>
      <c r="H62" s="2923"/>
      <c r="I62" s="2925" cm="1">
        <f t="array" ref="I62">_xlfn.LET(_xlpm.has_subsidy,$N62&gt;0,_xlpm.is_chap9_sbl,$FF$20,_xlpm.contract_rent,$H62,_xlpm.unit_type_mkt_rent,_xlfn.XLOOKUP(TRUE,EXACT($G62,RentRoll_InputArea_DesignatedUnitType),RentRoll_InputArea_MarketRent,"Not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2" s="2926">
        <f t="shared" si="11"/>
      </c>
      <c r="K62" s="2923"/>
      <c r="L62" s="2923"/>
      <c r="M62" s="2923"/>
      <c r="N62" s="2923"/>
      <c r="O62" s="2927"/>
      <c r="P62" s="2927"/>
      <c r="Q62" s="2928">
        <f t="shared" si="8"/>
      </c>
      <c r="R62" s="2928">
        <f t="shared" si="8"/>
      </c>
      <c r="S62" s="2928">
        <f t="shared" si="8"/>
      </c>
      <c r="T62" s="2928">
        <f t="shared" si="8"/>
      </c>
      <c r="U62" s="2928">
        <f t="shared" si="8"/>
      </c>
      <c r="V62" s="2928">
        <f t="shared" si="8"/>
      </c>
      <c r="W62" s="2928">
        <f t="shared" si="8"/>
      </c>
      <c r="X62" s="2928">
        <f t="shared" si="8"/>
      </c>
      <c r="Y62" s="2928">
        <f t="shared" si="8"/>
      </c>
      <c r="Z62" s="2928">
        <f t="shared" si="8"/>
      </c>
      <c r="AA62" s="2928">
        <f t="shared" si="8"/>
      </c>
      <c r="AB62" s="2928">
        <f t="shared" si="8"/>
      </c>
      <c r="AC62" s="2928">
        <f t="shared" si="8"/>
      </c>
      <c r="AD62" s="2928">
        <f t="shared" si="8"/>
      </c>
      <c r="AE62" s="2928">
        <f t="shared" si="8"/>
      </c>
      <c r="AF62" s="2928">
        <f t="shared" si="8"/>
      </c>
      <c r="AG62" s="2928">
        <f t="shared" si="8"/>
      </c>
      <c r="AH62" s="2928">
        <f t="shared" si="8"/>
      </c>
      <c r="AI62" s="2928">
        <f t="shared" si="8"/>
      </c>
      <c r="AJ62" s="2928">
        <f t="shared" si="8"/>
      </c>
      <c r="AK62" s="2928">
        <f t="shared" si="8"/>
      </c>
      <c r="AL62" s="2928">
        <f t="shared" si="8"/>
      </c>
      <c r="AM62" s="2928">
        <f t="shared" si="8"/>
      </c>
      <c r="AN62" s="2928">
        <f t="shared" si="8"/>
      </c>
      <c r="AO62" s="2928">
        <f t="shared" si="8"/>
      </c>
      <c r="AP62" s="2928">
        <f t="shared" si="8"/>
      </c>
      <c r="AQ62" s="2928">
        <f t="shared" si="8"/>
      </c>
      <c r="AR62" s="2928">
        <f t="shared" si="8"/>
      </c>
      <c r="AS62" s="2928">
        <f t="shared" si="8"/>
      </c>
      <c r="AT62" s="2928">
        <f t="shared" si="8"/>
      </c>
      <c r="AU62" s="2928">
        <f t="shared" si="8"/>
      </c>
      <c r="AV62" s="2928">
        <f t="shared" si="8"/>
      </c>
      <c r="AW62" s="2928">
        <f t="shared" si="8"/>
      </c>
      <c r="AX62" s="2928">
        <f t="shared" si="8"/>
      </c>
      <c r="AY62" s="2928">
        <f t="shared" si="8"/>
      </c>
      <c r="AZ62" s="2928">
        <f t="shared" si="8"/>
      </c>
      <c r="BA62" s="2928">
        <f t="shared" si="8"/>
      </c>
      <c r="BB62" s="2928">
        <f t="shared" si="8"/>
      </c>
      <c r="BC62" s="2928">
        <f t="shared" si="8"/>
      </c>
      <c r="BD62" s="2928">
        <f t="shared" si="8"/>
      </c>
      <c r="BE62" s="2928">
        <f t="shared" si="8"/>
      </c>
      <c r="BF62" s="2928">
        <f t="shared" si="8"/>
      </c>
      <c r="BG62" s="2928">
        <f t="shared" si="8"/>
      </c>
      <c r="BH62" s="2928">
        <f t="shared" si="8"/>
      </c>
      <c r="BI62" s="2928">
        <f t="shared" si="8"/>
      </c>
      <c r="BJ62" s="2928">
        <f t="shared" si="8"/>
      </c>
      <c r="BK62" s="2928">
        <f t="shared" si="8"/>
      </c>
      <c r="BL62" s="2928">
        <f t="shared" si="8"/>
      </c>
      <c r="BM62" s="2928">
        <f t="shared" si="8"/>
      </c>
      <c r="BN62" s="2928">
        <f t="shared" si="8"/>
      </c>
      <c r="BO62" s="2928">
        <f t="shared" si="8"/>
      </c>
      <c r="BP62" s="2928">
        <f t="shared" si="8"/>
      </c>
      <c r="BQ62" s="2928">
        <f t="shared" si="8"/>
      </c>
      <c r="BR62" s="2928">
        <f t="shared" si="8"/>
      </c>
      <c r="BS62" s="2928">
        <f t="shared" si="8"/>
      </c>
      <c r="BT62" s="2928">
        <f t="shared" si="8"/>
      </c>
      <c r="BU62" s="2928">
        <f t="shared" si="8"/>
      </c>
      <c r="BV62" s="2928">
        <f t="shared" si="8"/>
      </c>
      <c r="BW62" s="2928">
        <f t="shared" si="8"/>
      </c>
      <c r="BX62" s="2928">
        <f t="shared" si="8"/>
      </c>
      <c r="BY62" s="2928">
        <f t="shared" si="8"/>
      </c>
      <c r="BZ62" s="2928">
        <f t="shared" si="8"/>
      </c>
      <c r="CA62" s="2928">
        <f t="shared" si="8"/>
      </c>
      <c r="CB62" s="2928">
        <f t="shared" si="8"/>
      </c>
      <c r="CC62" s="2928">
        <f t="shared" si="8"/>
      </c>
      <c r="CD62" s="2928">
        <f t="shared" si="8"/>
      </c>
      <c r="CE62" s="2928">
        <f t="shared" si="8"/>
      </c>
      <c r="CF62" s="2928">
        <f t="shared" si="8"/>
      </c>
      <c r="CG62" s="2928">
        <f t="shared" si="8"/>
      </c>
      <c r="CH62" s="2928">
        <f t="shared" si="8"/>
      </c>
      <c r="CI62" s="2928">
        <f t="shared" si="8"/>
      </c>
      <c r="CJ62" s="2928">
        <f t="shared" si="8"/>
      </c>
      <c r="CK62" s="2928">
        <f t="shared" si="8"/>
      </c>
      <c r="CL62" s="2928">
        <f t="shared" si="8"/>
      </c>
      <c r="CM62" s="2928">
        <f t="shared" si="8"/>
      </c>
      <c r="CN62" s="2928">
        <f t="shared" si="8"/>
      </c>
      <c r="CO62" s="2928">
        <f t="shared" si="8"/>
      </c>
      <c r="CP62" s="2928">
        <f t="shared" si="8"/>
      </c>
      <c r="CQ62" s="2928">
        <f t="shared" si="8"/>
      </c>
      <c r="CR62" s="2928">
        <f t="shared" si="8"/>
      </c>
      <c r="CS62" s="2928">
        <f t="shared" si="8"/>
      </c>
      <c r="CT62" s="2928">
        <f t="shared" si="8"/>
      </c>
      <c r="CU62" s="2928">
        <f t="shared" si="8"/>
      </c>
      <c r="CV62" s="2928">
        <f t="shared" si="8"/>
      </c>
      <c r="CW62" s="2928">
        <f t="shared" si="8"/>
      </c>
      <c r="CX62" s="2928">
        <f t="shared" si="8"/>
      </c>
      <c r="CY62" s="2928">
        <f t="shared" si="8"/>
      </c>
      <c r="CZ62" s="2928">
        <f t="shared" si="8"/>
      </c>
      <c r="DA62" s="2928">
        <f t="shared" si="8"/>
      </c>
      <c r="DB62" s="2928">
        <f t="shared" si="8"/>
      </c>
      <c r="DC62" s="2928">
        <f t="shared" si="8"/>
      </c>
      <c r="DD62" s="2928">
        <f t="shared" si="8"/>
      </c>
      <c r="DE62" s="2928">
        <f t="shared" si="8"/>
      </c>
      <c r="DF62" s="2928">
        <f t="shared" si="8"/>
      </c>
      <c r="DG62" s="2928">
        <f t="shared" si="8"/>
      </c>
      <c r="DH62" s="2928">
        <f t="shared" si="8"/>
      </c>
      <c r="DI62" s="2928">
        <f t="shared" si="8"/>
      </c>
      <c r="DJ62" s="2928">
        <f t="shared" si="8"/>
      </c>
      <c r="DK62" s="2928">
        <f t="shared" si="8"/>
      </c>
      <c r="DL62" s="2928">
        <f t="shared" si="8"/>
      </c>
      <c r="DM62" s="2928">
        <f t="shared" si="8"/>
      </c>
      <c r="DN62" s="2928">
        <f t="shared" si="8"/>
      </c>
      <c r="DO62" s="2928">
        <f t="shared" si="8"/>
      </c>
      <c r="DP62" s="2928">
        <f t="shared" si="8"/>
      </c>
      <c r="DQ62" s="2928">
        <f t="shared" si="8"/>
      </c>
      <c r="DR62" s="2928">
        <f t="shared" si="8"/>
      </c>
      <c r="DS62" s="2928">
        <f t="shared" si="8"/>
      </c>
      <c r="DT62" s="2928">
        <f t="shared" si="8"/>
      </c>
      <c r="DU62" s="2928">
        <f t="shared" si="8"/>
      </c>
      <c r="DV62" s="2928">
        <f t="shared" si="8"/>
      </c>
      <c r="DW62" s="2928">
        <f t="shared" si="8"/>
      </c>
      <c r="DX62" s="2928">
        <f t="shared" si="8"/>
      </c>
      <c r="DY62" s="2928">
        <f t="shared" si="8"/>
      </c>
      <c r="DZ62" s="2928">
        <f t="shared" si="8"/>
      </c>
      <c r="EA62" s="2928">
        <f t="shared" si="8"/>
      </c>
      <c r="EB62" s="2928">
        <f t="shared" si="8"/>
      </c>
      <c r="EC62" s="2928">
        <f t="shared" si="8"/>
      </c>
      <c r="ED62" s="2928">
        <f t="shared" si="8"/>
      </c>
      <c r="EE62" s="2928">
        <f t="shared" si="8"/>
      </c>
      <c r="EF62" s="2928">
        <f t="shared" si="8"/>
      </c>
      <c r="EG62" s="2928">
        <f t="shared" si="8"/>
      </c>
      <c r="EH62" s="2928">
        <f t="shared" si="8"/>
      </c>
      <c r="EI62" s="2928">
        <f t="shared" si="8"/>
      </c>
      <c r="EJ62" s="2928">
        <f t="shared" si="8"/>
      </c>
      <c r="EK62" s="2928">
        <f t="shared" si="8"/>
      </c>
      <c r="EL62" s="2928">
        <f t="shared" si="8"/>
      </c>
      <c r="EM62" s="2928">
        <f t="shared" si="8"/>
      </c>
      <c r="EN62" s="2928">
        <f t="shared" si="8"/>
      </c>
      <c r="EO62" s="2928">
        <f t="shared" si="8"/>
      </c>
      <c r="EP62" s="2928">
        <f t="shared" si="8"/>
      </c>
      <c r="EQ62" s="2928">
        <f t="shared" si="8"/>
      </c>
      <c r="ER62" s="2928">
        <f t="shared" si="8"/>
      </c>
      <c r="ES62" s="2928">
        <f t="shared" si="8"/>
      </c>
      <c r="ET62" s="2928">
        <f t="shared" si="8"/>
      </c>
      <c r="EU62" s="2928">
        <f t="shared" si="8"/>
      </c>
      <c r="EV62" s="2928">
        <f t="shared" si="8"/>
      </c>
      <c r="EW62" s="2928">
        <f t="shared" si="8"/>
      </c>
      <c r="EX62" s="2928">
        <f t="shared" si="8"/>
      </c>
      <c r="EY62" s="2928">
        <f t="shared" si="8"/>
      </c>
      <c r="EZ62" s="2928">
        <f t="shared" si="8"/>
      </c>
      <c r="FA62" s="2929">
        <f t="shared" si="12"/>
        <v>1533</v>
      </c>
      <c r="FB62" s="2825">
        <f t="shared" si="13"/>
      </c>
      <c r="FC62" s="2930" cm="1">
        <f t="array" ref="FC62">_xlfn.LET(_xlpm.unit_type,$G62,_xlpm.market_rent_from_rent_roll,$E62,_xlpm.unit_type_list,RentRoll_InputArea_DesignatedUnitType,_xlpm.rent_by_unit_type,RentRoll_InputArea_MarketRent,_xlpm.use_rent_roll_market_rent,LEFT(RR_VacantUnitMktRentSource,9)="Rent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62" s="2930">
        <f t="shared" si="14"/>
      </c>
      <c r="FE62" s="2930">
        <f t="shared" si="15"/>
        <v>1533</v>
      </c>
      <c r="FF62" s="2930">
        <f t="shared" si="16"/>
        <v>0</v>
      </c>
      <c r="FG62" s="2931"/>
      <c r="FH62" s="2932">
        <f t="shared" si="17"/>
      </c>
      <c r="FI62" s="2932">
        <f t="shared" si="18"/>
      </c>
      <c r="FJ62" s="2931"/>
      <c r="FK62" s="2933" cm="1">
        <f t="array" ref="FK62">IF(AND(LEN($D62)&gt;0,ISNA(MATCH(TRUE,EXACT($G62,RentRoll_InputArea_DesignatedUnitType),0))),1,0)</f>
        <v>0</v>
      </c>
      <c r="FL62" s="2931">
        <f t="shared" si="19"/>
        <v>39</v>
      </c>
      <c r="FM62" s="2931"/>
      <c r="FN62" s="2931"/>
      <c r="FO62" s="2931"/>
      <c r="FP62" s="2931"/>
      <c r="FQ62" s="2931"/>
      <c r="FR62" s="2931"/>
      <c r="FS62" s="2931"/>
      <c r="FT62" s="2931"/>
      <c r="FU62" s="2931"/>
      <c r="FV62" s="2931"/>
      <c r="FW62" s="2931"/>
      <c r="FX62" s="2931"/>
      <c r="FY62" s="2931"/>
      <c r="FZ62" s="2931"/>
      <c r="GA62" s="2931"/>
      <c r="GB62" s="2931"/>
      <c r="GC62" s="2931"/>
      <c r="GD62" s="2931"/>
      <c r="GE62" s="2931"/>
      <c r="GF62" s="2931"/>
      <c r="GG62" s="2931"/>
      <c r="GH62" s="2931"/>
      <c r="GI62" s="2931"/>
      <c r="GJ62" s="2931"/>
      <c r="GK62" s="2931"/>
      <c r="GL62" s="2931"/>
      <c r="GM62" s="2931"/>
      <c r="GN62" s="2931"/>
      <c r="GO62" s="2931"/>
      <c r="GP62" s="2931"/>
      <c r="GQ62" s="2931"/>
      <c r="GR62" s="2931"/>
      <c r="GS62" s="2931"/>
      <c r="GT62" s="2931"/>
      <c r="GU62" s="2931"/>
      <c r="GV62" s="2931"/>
      <c r="GW62" s="2931"/>
      <c r="GX62" s="2931"/>
      <c r="GY62" s="2931"/>
      <c r="GZ62" s="2931"/>
      <c r="HA62" s="2931"/>
      <c r="HB62" s="2931"/>
      <c r="HC62" s="2931"/>
      <c r="HD62" s="2931"/>
      <c r="HE62" s="2931"/>
      <c r="HF62" s="2931"/>
      <c r="HG62" s="2931"/>
      <c r="HH62" s="2931"/>
      <c r="HI62" s="2931"/>
      <c r="HJ62" s="2931"/>
      <c r="HK62" s="2931"/>
      <c r="HL62" s="2931"/>
      <c r="HM62" s="2931"/>
      <c r="HN62" s="2931"/>
      <c r="HO62" s="2931"/>
      <c r="HP62" s="2931"/>
      <c r="HQ62" s="2931"/>
      <c r="HR62" s="2931"/>
      <c r="HS62" s="2931"/>
      <c r="HT62" s="2931"/>
      <c r="HU62" s="2931"/>
      <c r="HV62" s="2931"/>
      <c r="HW62" s="2931"/>
      <c r="HX62" s="2931"/>
      <c r="HY62" s="2931"/>
      <c r="HZ62" s="2931"/>
      <c r="IA62" s="2931"/>
      <c r="IB62" s="2931"/>
      <c r="IC62" s="2931"/>
      <c r="ID62" s="2931"/>
      <c r="IE62" s="2931"/>
      <c r="IF62" s="2931"/>
      <c r="IG62" s="2931"/>
      <c r="IH62" s="2931"/>
      <c r="II62" s="2931"/>
      <c r="IJ62" s="2931"/>
      <c r="IK62" s="2931"/>
      <c r="IL62" s="2931"/>
      <c r="IM62" s="2931"/>
      <c r="IN62" s="2931"/>
      <c r="IO62" s="2931" cm="1">
        <f t="array" ref="IO62">IF(LEN($G62)=0,"Rent Roll is incomplete",_xlfn.XLOOKUP(TRUE,EXACT(RentRoll_InputArea_DesignatedUnitType,$G62),RentRoll_InputArea_Beds,"Not Found"))</f>
        <v>0</v>
      </c>
      <c r="IP62" s="2934"/>
      <c r="IQ62" s="2935" t="str">
        <f t="shared" si="20"/>
        <v>0 Bedroom Unit (Efficiency/Studio)</v>
      </c>
      <c r="IR62" s="2926">
        <f t="shared" si="21"/>
        <v>1533</v>
      </c>
      <c r="IS62" s="2935"/>
      <c r="IT62" s="2931"/>
      <c r="IU62" s="2931"/>
      <c r="IV62" s="2931"/>
      <c r="IW62" s="2936" t="str">
        <f t="shared" si="22"/>
        <v>4-406</v>
      </c>
      <c r="IX62" s="2936"/>
      <c r="IY62" s="2936"/>
      <c r="IZ62" s="2936">
        <f t="shared" si="23"/>
        <v>0</v>
      </c>
      <c r="JA62" s="2936">
        <f t="shared" si="24"/>
        <v>0</v>
      </c>
      <c r="JB62" s="2936"/>
      <c r="JC62" s="2936"/>
      <c r="JD62" s="2936"/>
      <c r="JE62" s="2936"/>
      <c r="JF62" s="2936"/>
      <c r="JG62" s="2936"/>
      <c r="JH62" s="2936">
        <f t="shared" si="25"/>
        <v>1533</v>
      </c>
      <c r="JI62" s="2936"/>
      <c r="JJ62" s="2936">
        <f t="shared" si="26"/>
      </c>
      <c r="JK62" s="2936"/>
      <c r="JL62" s="2936"/>
      <c r="JM62" s="2936"/>
      <c r="JN62" s="2936"/>
      <c r="JO62" s="2936"/>
      <c r="JP62" s="2936"/>
      <c r="JQ62" s="2936" t="str">
        <f t="shared" si="27"/>
        <v>Vacant</v>
      </c>
      <c r="JR62" s="2936" cm="1">
        <f t="array" ref="JR62">_xlfn.XLOOKUP(TRUE,EXACT(RentRoll_InputArea_DesignatedUnitType,$G62),RentRoll_InputArea_SquareFootage,"Not Found")</f>
        <v>1050</v>
      </c>
      <c r="JS62" s="2936" t="str">
        <f t="shared" si="28"/>
        <v>Apartment</v>
      </c>
      <c r="JT62" s="2936">
        <f t="shared" si="29"/>
      </c>
      <c r="JU62" s="2936"/>
      <c r="JV62" s="2936"/>
      <c r="JW62" s="2936"/>
      <c r="JX62" s="2936"/>
      <c r="JY62" s="2936">
        <f t="shared" si="9"/>
      </c>
      <c r="JZ62" s="2936">
        <f t="shared" si="9"/>
      </c>
      <c r="KA62" s="2936"/>
      <c r="KB62" s="2936"/>
      <c r="KC62" s="2936"/>
      <c r="KD62" s="2936"/>
      <c r="KE62" s="2936"/>
      <c r="KF62" s="2936"/>
      <c r="KG62" s="2936"/>
      <c r="KH62" s="2936"/>
      <c r="KI62" s="2937"/>
      <c r="KJ62" s="2936"/>
      <c r="KK62" s="1353"/>
    </row>
    <row r="63" ht="15" customHeight="1">
      <c r="A63" s="2922">
        <f t="shared" si="10"/>
        <v>40</v>
      </c>
      <c r="B63" s="2865"/>
      <c r="C63" s="2873"/>
      <c r="D63" s="2873" t="s">
        <v>2822</v>
      </c>
      <c r="E63" s="2923">
        <v>1478</v>
      </c>
      <c r="F63" s="2924" t="s">
        <v>2823</v>
      </c>
      <c r="G63" s="2873" t="s">
        <v>2532</v>
      </c>
      <c r="H63" s="2923">
        <v>1477</v>
      </c>
      <c r="I63" s="2925" cm="1">
        <f t="array" ref="I63">_xlfn.LET(_xlpm.has_subsidy,$N63&gt;0,_xlpm.is_chap9_sbl,$FF$20,_xlpm.contract_rent,$H63,_xlpm.unit_type_mkt_rent,_xlfn.XLOOKUP(TRUE,EXACT($G63,RentRoll_InputArea_DesignatedUnitType),RentRoll_InputArea_MarketRent,"Not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3" s="2926">
        <f t="shared" si="11"/>
        <v>1477</v>
      </c>
      <c r="K63" s="2923"/>
      <c r="L63" s="2923"/>
      <c r="M63" s="2923"/>
      <c r="N63" s="2923"/>
      <c r="O63" s="2927">
        <v>43316</v>
      </c>
      <c r="P63" s="2927">
        <v>43616</v>
      </c>
      <c r="Q63" s="2928">
        <f t="shared" si="8"/>
      </c>
      <c r="R63" s="2928">
        <f t="shared" si="8"/>
      </c>
      <c r="S63" s="2928">
        <f t="shared" si="8"/>
      </c>
      <c r="T63" s="2928">
        <f t="shared" si="8"/>
        <v>1477</v>
      </c>
      <c r="U63" s="2928">
        <f t="shared" si="8"/>
      </c>
      <c r="V63" s="2928">
        <f t="shared" si="8"/>
      </c>
      <c r="W63" s="2928">
        <f t="shared" si="8"/>
      </c>
      <c r="X63" s="2928">
        <f t="shared" si="8"/>
      </c>
      <c r="Y63" s="2928">
        <f t="shared" si="8"/>
      </c>
      <c r="Z63" s="2928">
        <f t="shared" si="8"/>
      </c>
      <c r="AA63" s="2928">
        <f t="shared" si="8"/>
      </c>
      <c r="AB63" s="2928">
        <f t="shared" si="8"/>
      </c>
      <c r="AC63" s="2928">
        <f t="shared" si="8"/>
      </c>
      <c r="AD63" s="2928">
        <f t="shared" si="8"/>
      </c>
      <c r="AE63" s="2928">
        <f t="shared" si="8"/>
      </c>
      <c r="AF63" s="2928">
        <f t="shared" si="8"/>
      </c>
      <c r="AG63" s="2928">
        <f t="shared" si="8"/>
      </c>
      <c r="AH63" s="2928">
        <f t="shared" si="8"/>
      </c>
      <c r="AI63" s="2928">
        <f t="shared" si="8"/>
      </c>
      <c r="AJ63" s="2928">
        <f t="shared" si="8"/>
      </c>
      <c r="AK63" s="2928">
        <f t="shared" si="8"/>
      </c>
      <c r="AL63" s="2928">
        <f t="shared" si="8"/>
      </c>
      <c r="AM63" s="2928">
        <f t="shared" si="8"/>
      </c>
      <c r="AN63" s="2928">
        <f t="shared" si="8"/>
      </c>
      <c r="AO63" s="2928">
        <f t="shared" si="8"/>
      </c>
      <c r="AP63" s="2928">
        <f t="shared" si="8"/>
      </c>
      <c r="AQ63" s="2928">
        <f t="shared" si="8"/>
      </c>
      <c r="AR63" s="2928">
        <f t="shared" si="8"/>
      </c>
      <c r="AS63" s="2928">
        <f t="shared" si="8"/>
      </c>
      <c r="AT63" s="2928">
        <f t="shared" si="8"/>
      </c>
      <c r="AU63" s="2928">
        <f t="shared" si="8"/>
      </c>
      <c r="AV63" s="2928">
        <f t="shared" si="8"/>
      </c>
      <c r="AW63" s="2928">
        <f t="shared" si="8"/>
      </c>
      <c r="AX63" s="2928">
        <f t="shared" si="8"/>
      </c>
      <c r="AY63" s="2928">
        <f t="shared" si="8"/>
      </c>
      <c r="AZ63" s="2928">
        <f t="shared" si="8"/>
      </c>
      <c r="BA63" s="2928">
        <f t="shared" si="8"/>
      </c>
      <c r="BB63" s="2928">
        <f t="shared" si="8"/>
      </c>
      <c r="BC63" s="2928">
        <f t="shared" si="8"/>
      </c>
      <c r="BD63" s="2928">
        <f t="shared" si="8"/>
      </c>
      <c r="BE63" s="2928">
        <f t="shared" si="8"/>
      </c>
      <c r="BF63" s="2928">
        <f t="shared" si="8"/>
      </c>
      <c r="BG63" s="2928">
        <f t="shared" si="8"/>
      </c>
      <c r="BH63" s="2928">
        <f t="shared" si="8"/>
      </c>
      <c r="BI63" s="2928">
        <f t="shared" si="8"/>
      </c>
      <c r="BJ63" s="2928">
        <f t="shared" si="8"/>
      </c>
      <c r="BK63" s="2928">
        <f t="shared" si="8"/>
      </c>
      <c r="BL63" s="2928">
        <f t="shared" si="8"/>
      </c>
      <c r="BM63" s="2928">
        <f t="shared" si="8"/>
      </c>
      <c r="BN63" s="2928">
        <f t="shared" si="8"/>
      </c>
      <c r="BO63" s="2928">
        <f t="shared" si="8"/>
      </c>
      <c r="BP63" s="2928">
        <f t="shared" si="8"/>
      </c>
      <c r="BQ63" s="2928">
        <f t="shared" si="8"/>
      </c>
      <c r="BR63" s="2928">
        <f t="shared" si="8"/>
      </c>
      <c r="BS63" s="2928">
        <f t="shared" si="8"/>
      </c>
      <c r="BT63" s="2928">
        <f t="shared" si="8"/>
      </c>
      <c r="BU63" s="2928">
        <f t="shared" si="8"/>
      </c>
      <c r="BV63" s="2928">
        <f t="shared" si="8"/>
      </c>
      <c r="BW63" s="2928">
        <f t="shared" si="8"/>
      </c>
      <c r="BX63" s="2928">
        <f t="shared" si="8"/>
      </c>
      <c r="BY63" s="2928">
        <f t="shared" si="8"/>
      </c>
      <c r="BZ63" s="2928">
        <f t="shared" si="8"/>
      </c>
      <c r="CA63" s="2928">
        <f t="shared" si="8"/>
      </c>
      <c r="CB63" s="2928">
        <f t="shared" si="8"/>
      </c>
      <c r="CC63" s="2928">
        <f t="shared" si="8"/>
      </c>
      <c r="CD63" s="2928">
        <f t="shared" si="8"/>
      </c>
      <c r="CE63" s="2928">
        <f t="shared" si="8"/>
      </c>
      <c r="CF63" s="2928">
        <f t="shared" si="8"/>
      </c>
      <c r="CG63" s="2928">
        <f t="shared" si="8"/>
      </c>
      <c r="CH63" s="2928">
        <f t="shared" si="8"/>
      </c>
      <c r="CI63" s="2928">
        <f t="shared" si="8"/>
      </c>
      <c r="CJ63" s="2928">
        <f t="shared" si="8"/>
      </c>
      <c r="CK63" s="2928">
        <f t="shared" si="8"/>
      </c>
      <c r="CL63" s="2928">
        <f t="shared" si="8"/>
      </c>
      <c r="CM63" s="2928">
        <f t="shared" si="8"/>
      </c>
      <c r="CN63" s="2928">
        <f t="shared" si="8"/>
      </c>
      <c r="CO63" s="2928">
        <f t="shared" si="8"/>
      </c>
      <c r="CP63" s="2928">
        <f t="shared" si="8"/>
      </c>
      <c r="CQ63" s="2928">
        <f t="shared" si="8"/>
      </c>
      <c r="CR63" s="2928">
        <f t="shared" si="8"/>
      </c>
      <c r="CS63" s="2928">
        <f t="shared" si="8"/>
      </c>
      <c r="CT63" s="2928">
        <f t="shared" si="8"/>
      </c>
      <c r="CU63" s="2928">
        <f t="shared" si="8"/>
      </c>
      <c r="CV63" s="2928">
        <f t="shared" si="8"/>
      </c>
      <c r="CW63" s="2928">
        <f t="shared" si="8"/>
      </c>
      <c r="CX63" s="2928">
        <f t="shared" si="8"/>
      </c>
      <c r="CY63" s="2928">
        <f t="shared" si="8"/>
      </c>
      <c r="CZ63" s="2928">
        <f t="shared" si="8"/>
      </c>
      <c r="DA63" s="2928">
        <f t="shared" si="8"/>
      </c>
      <c r="DB63" s="2928">
        <f t="shared" si="8"/>
      </c>
      <c r="DC63" s="2928">
        <f t="shared" si="8"/>
      </c>
      <c r="DD63" s="2928">
        <f t="shared" si="8"/>
      </c>
      <c r="DE63" s="2928">
        <f t="shared" si="8"/>
      </c>
      <c r="DF63" s="2928">
        <f t="shared" si="8"/>
      </c>
      <c r="DG63" s="2928">
        <f t="shared" si="8"/>
      </c>
      <c r="DH63" s="2928">
        <f t="shared" si="8"/>
      </c>
      <c r="DI63" s="2928">
        <f t="shared" si="8"/>
      </c>
      <c r="DJ63" s="2928">
        <f t="shared" si="8"/>
      </c>
      <c r="DK63" s="2928">
        <f t="shared" si="8"/>
      </c>
      <c r="DL63" s="2928">
        <f t="shared" si="8"/>
      </c>
      <c r="DM63" s="2928">
        <f t="shared" si="8"/>
      </c>
      <c r="DN63" s="2928">
        <f t="shared" si="8"/>
      </c>
      <c r="DO63" s="2928">
        <f t="shared" si="8"/>
      </c>
      <c r="DP63" s="2928">
        <f t="shared" si="8"/>
      </c>
      <c r="DQ63" s="2928">
        <f t="shared" si="8"/>
      </c>
      <c r="DR63" s="2928">
        <f t="shared" si="8"/>
      </c>
      <c r="DS63" s="2928">
        <f t="shared" si="8"/>
      </c>
      <c r="DT63" s="2928">
        <f t="shared" si="8"/>
      </c>
      <c r="DU63" s="2928">
        <f t="shared" si="8"/>
      </c>
      <c r="DV63" s="2928">
        <f t="shared" si="8"/>
      </c>
      <c r="DW63" s="2928">
        <f t="shared" si="8"/>
      </c>
      <c r="DX63" s="2928">
        <f t="shared" si="8"/>
      </c>
      <c r="DY63" s="2928">
        <f t="shared" si="8"/>
      </c>
      <c r="DZ63" s="2928">
        <f t="shared" si="8"/>
      </c>
      <c r="EA63" s="2928">
        <f t="shared" si="8"/>
      </c>
      <c r="EB63" s="2928">
        <f t="shared" si="8"/>
      </c>
      <c r="EC63" s="2928">
        <f t="shared" si="8"/>
      </c>
      <c r="ED63" s="2928">
        <f t="shared" si="8"/>
      </c>
      <c r="EE63" s="2928">
        <f t="shared" si="8"/>
      </c>
      <c r="EF63" s="2928">
        <f t="shared" si="8"/>
      </c>
      <c r="EG63" s="2928">
        <f t="shared" si="8"/>
      </c>
      <c r="EH63" s="2928">
        <f t="shared" si="8"/>
      </c>
      <c r="EI63" s="2928">
        <f t="shared" si="8"/>
      </c>
      <c r="EJ63" s="2928">
        <f t="shared" si="8"/>
      </c>
      <c r="EK63" s="2928">
        <f t="shared" si="8"/>
      </c>
      <c r="EL63" s="2928">
        <f t="shared" si="8"/>
      </c>
      <c r="EM63" s="2928">
        <f t="shared" si="8"/>
      </c>
      <c r="EN63" s="2928">
        <f t="shared" si="8"/>
      </c>
      <c r="EO63" s="2928">
        <f t="shared" si="8"/>
      </c>
      <c r="EP63" s="2928">
        <f t="shared" si="8"/>
      </c>
      <c r="EQ63" s="2928">
        <f t="shared" si="8"/>
      </c>
      <c r="ER63" s="2928">
        <f t="shared" si="8"/>
      </c>
      <c r="ES63" s="2928">
        <f t="shared" si="8"/>
      </c>
      <c r="ET63" s="2928">
        <f t="shared" si="8"/>
      </c>
      <c r="EU63" s="2928">
        <f t="shared" si="8"/>
      </c>
      <c r="EV63" s="2928">
        <f t="shared" si="8"/>
      </c>
      <c r="EW63" s="2928">
        <f t="shared" si="8"/>
      </c>
      <c r="EX63" s="2928">
        <f t="shared" si="8"/>
      </c>
      <c r="EY63" s="2928">
        <f t="shared" si="8"/>
      </c>
      <c r="EZ63" s="2928">
        <f t="shared" si="8"/>
      </c>
      <c r="FA63" s="2929" t="str">
        <f t="shared" si="12"/>
        <v>-</v>
      </c>
      <c r="FB63" s="2825">
        <f t="shared" si="13"/>
      </c>
      <c r="FC63" s="2930" cm="1">
        <f t="array" ref="FC63">_xlfn.LET(_xlpm.unit_type,$G63,_xlpm.market_rent_from_rent_roll,$E63,_xlpm.unit_type_list,RentRoll_InputArea_DesignatedUnitType,_xlpm.rent_by_unit_type,RentRoll_InputArea_MarketRent,_xlpm.use_rent_roll_market_rent,LEFT(RR_VacantUnitMktRentSource,9)="Rent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63" s="2930">
        <f t="shared" si="14"/>
        <v>1477</v>
      </c>
      <c r="FE63" s="2930">
        <f t="shared" si="15"/>
        <v>1477</v>
      </c>
      <c r="FF63" s="2930">
        <f t="shared" si="16"/>
        <v>1477</v>
      </c>
      <c r="FG63" s="2931"/>
      <c r="FH63" s="2932">
        <f t="shared" si="17"/>
      </c>
      <c r="FI63" s="2932">
        <f t="shared" si="18"/>
      </c>
      <c r="FJ63" s="2931"/>
      <c r="FK63" s="2933" cm="1">
        <f t="array" ref="FK63">IF(AND(LEN($D63)&gt;0,ISNA(MATCH(TRUE,EXACT($G63,RentRoll_InputArea_DesignatedUnitType),0))),1,0)</f>
        <v>0</v>
      </c>
      <c r="FL63" s="2931">
        <f t="shared" si="19"/>
        <v>40</v>
      </c>
      <c r="FM63" s="2931"/>
      <c r="FN63" s="2931"/>
      <c r="FO63" s="2931"/>
      <c r="FP63" s="2931"/>
      <c r="FQ63" s="2931"/>
      <c r="FR63" s="2931"/>
      <c r="FS63" s="2931"/>
      <c r="FT63" s="2931"/>
      <c r="FU63" s="2931"/>
      <c r="FV63" s="2931"/>
      <c r="FW63" s="2931"/>
      <c r="FX63" s="2931"/>
      <c r="FY63" s="2931"/>
      <c r="FZ63" s="2931"/>
      <c r="GA63" s="2931"/>
      <c r="GB63" s="2931"/>
      <c r="GC63" s="2931"/>
      <c r="GD63" s="2931"/>
      <c r="GE63" s="2931"/>
      <c r="GF63" s="2931"/>
      <c r="GG63" s="2931"/>
      <c r="GH63" s="2931"/>
      <c r="GI63" s="2931"/>
      <c r="GJ63" s="2931"/>
      <c r="GK63" s="2931"/>
      <c r="GL63" s="2931"/>
      <c r="GM63" s="2931"/>
      <c r="GN63" s="2931"/>
      <c r="GO63" s="2931"/>
      <c r="GP63" s="2931"/>
      <c r="GQ63" s="2931"/>
      <c r="GR63" s="2931"/>
      <c r="GS63" s="2931"/>
      <c r="GT63" s="2931"/>
      <c r="GU63" s="2931"/>
      <c r="GV63" s="2931"/>
      <c r="GW63" s="2931"/>
      <c r="GX63" s="2931"/>
      <c r="GY63" s="2931"/>
      <c r="GZ63" s="2931"/>
      <c r="HA63" s="2931"/>
      <c r="HB63" s="2931"/>
      <c r="HC63" s="2931"/>
      <c r="HD63" s="2931"/>
      <c r="HE63" s="2931"/>
      <c r="HF63" s="2931"/>
      <c r="HG63" s="2931"/>
      <c r="HH63" s="2931"/>
      <c r="HI63" s="2931"/>
      <c r="HJ63" s="2931"/>
      <c r="HK63" s="2931"/>
      <c r="HL63" s="2931"/>
      <c r="HM63" s="2931"/>
      <c r="HN63" s="2931"/>
      <c r="HO63" s="2931"/>
      <c r="HP63" s="2931"/>
      <c r="HQ63" s="2931"/>
      <c r="HR63" s="2931"/>
      <c r="HS63" s="2931"/>
      <c r="HT63" s="2931"/>
      <c r="HU63" s="2931"/>
      <c r="HV63" s="2931"/>
      <c r="HW63" s="2931"/>
      <c r="HX63" s="2931"/>
      <c r="HY63" s="2931"/>
      <c r="HZ63" s="2931"/>
      <c r="IA63" s="2931"/>
      <c r="IB63" s="2931"/>
      <c r="IC63" s="2931"/>
      <c r="ID63" s="2931"/>
      <c r="IE63" s="2931"/>
      <c r="IF63" s="2931"/>
      <c r="IG63" s="2931"/>
      <c r="IH63" s="2931"/>
      <c r="II63" s="2931"/>
      <c r="IJ63" s="2931"/>
      <c r="IK63" s="2931"/>
      <c r="IL63" s="2931"/>
      <c r="IM63" s="2931"/>
      <c r="IN63" s="2931"/>
      <c r="IO63" s="2931" cm="1">
        <f t="array" ref="IO63">IF(LEN($G63)=0,"Rent Roll is incomplete",_xlfn.XLOOKUP(TRUE,EXACT(RentRoll_InputArea_DesignatedUnitType,$G63),RentRoll_InputArea_Beds,"Not Found"))</f>
        <v>0</v>
      </c>
      <c r="IP63" s="2934"/>
      <c r="IQ63" s="2935" t="str">
        <f t="shared" si="20"/>
        <v>0 Bedroom Unit (Efficiency/Studio)</v>
      </c>
      <c r="IR63" s="2926">
        <f t="shared" si="21"/>
        <v>1477</v>
      </c>
      <c r="IS63" s="2935"/>
      <c r="IT63" s="2931"/>
      <c r="IU63" s="2931"/>
      <c r="IV63" s="2931"/>
      <c r="IW63" s="2936" t="str">
        <f t="shared" si="22"/>
        <v>4-407</v>
      </c>
      <c r="IX63" s="2936"/>
      <c r="IY63" s="2936"/>
      <c r="IZ63" s="2936">
        <f t="shared" si="23"/>
        <v>0</v>
      </c>
      <c r="JA63" s="2936">
        <f t="shared" si="24"/>
        <v>1477</v>
      </c>
      <c r="JB63" s="2936"/>
      <c r="JC63" s="2936"/>
      <c r="JD63" s="2936"/>
      <c r="JE63" s="2936"/>
      <c r="JF63" s="2936"/>
      <c r="JG63" s="2936"/>
      <c r="JH63" s="2936">
        <f t="shared" si="25"/>
        <v>1533</v>
      </c>
      <c r="JI63" s="2936"/>
      <c r="JJ63" s="2936">
        <f t="shared" si="26"/>
      </c>
      <c r="JK63" s="2936"/>
      <c r="JL63" s="2936"/>
      <c r="JM63" s="2936"/>
      <c r="JN63" s="2936"/>
      <c r="JO63" s="2936"/>
      <c r="JP63" s="2936"/>
      <c r="JQ63" s="2936" t="str">
        <f t="shared" si="27"/>
        <v>Occupied</v>
      </c>
      <c r="JR63" s="2936" cm="1">
        <f t="array" ref="JR63">_xlfn.XLOOKUP(TRUE,EXACT(RentRoll_InputArea_DesignatedUnitType,$G63),RentRoll_InputArea_SquareFootage,"Not Found")</f>
        <v>1050</v>
      </c>
      <c r="JS63" s="2936" t="str">
        <f t="shared" si="28"/>
        <v>Apartment</v>
      </c>
      <c r="JT63" s="2936">
        <f t="shared" si="29"/>
      </c>
      <c r="JU63" s="2936"/>
      <c r="JV63" s="2936"/>
      <c r="JW63" s="2936"/>
      <c r="JX63" s="2936"/>
      <c r="JY63" s="2936">
        <f t="shared" si="9"/>
        <v>43316</v>
      </c>
      <c r="JZ63" s="2936">
        <f t="shared" si="9"/>
        <v>43616</v>
      </c>
      <c r="KA63" s="2936"/>
      <c r="KB63" s="2936"/>
      <c r="KC63" s="2936"/>
      <c r="KD63" s="2936"/>
      <c r="KE63" s="2936"/>
      <c r="KF63" s="2936"/>
      <c r="KG63" s="2936"/>
      <c r="KH63" s="2936"/>
      <c r="KI63" s="2937"/>
      <c r="KJ63" s="2936"/>
      <c r="KK63" s="1353"/>
    </row>
    <row r="64" ht="15" customHeight="1">
      <c r="A64" s="2922">
        <f t="shared" si="10"/>
        <v>41</v>
      </c>
      <c r="B64" s="2865"/>
      <c r="C64" s="2873"/>
      <c r="D64" s="2873" t="s">
        <v>2824</v>
      </c>
      <c r="E64" s="2923">
        <v>1528</v>
      </c>
      <c r="F64" s="2924" t="s">
        <v>2825</v>
      </c>
      <c r="G64" s="2873" t="s">
        <v>2532</v>
      </c>
      <c r="H64" s="2923">
        <v>1612</v>
      </c>
      <c r="I64" s="2925" cm="1">
        <f t="array" ref="I64">_xlfn.LET(_xlpm.has_subsidy,$N64&gt;0,_xlpm.is_chap9_sbl,$FF$20,_xlpm.contract_rent,$H64,_xlpm.unit_type_mkt_rent,_xlfn.XLOOKUP(TRUE,EXACT($G64,RentRoll_InputArea_DesignatedUnitType),RentRoll_InputArea_MarketRent,"Not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4" s="2926">
        <f t="shared" si="11"/>
        <v>1612</v>
      </c>
      <c r="K64" s="2923"/>
      <c r="L64" s="2923"/>
      <c r="M64" s="2923"/>
      <c r="N64" s="2923"/>
      <c r="O64" s="2927">
        <v>43405</v>
      </c>
      <c r="P64" s="2927">
        <v>43616</v>
      </c>
      <c r="Q64" s="2928">
        <f t="shared" si="8"/>
      </c>
      <c r="R64" s="2928">
        <f t="shared" si="8"/>
      </c>
      <c r="S64" s="2928">
        <f t="shared" si="8"/>
      </c>
      <c r="T64" s="2928">
        <f t="shared" si="8"/>
        <v>1612</v>
      </c>
      <c r="U64" s="2928">
        <f t="shared" si="8"/>
      </c>
      <c r="V64" s="2928">
        <f t="shared" si="8"/>
      </c>
      <c r="W64" s="2928">
        <f t="shared" si="8"/>
      </c>
      <c r="X64" s="2928">
        <f t="shared" si="8"/>
      </c>
      <c r="Y64" s="2928">
        <f t="shared" si="8"/>
      </c>
      <c r="Z64" s="2928">
        <f t="shared" si="8"/>
      </c>
      <c r="AA64" s="2928">
        <f t="shared" si="8"/>
      </c>
      <c r="AB64" s="2928">
        <f t="shared" si="8"/>
      </c>
      <c r="AC64" s="2928">
        <f t="shared" si="8"/>
      </c>
      <c r="AD64" s="2928">
        <f t="shared" si="8"/>
      </c>
      <c r="AE64" s="2928">
        <f t="shared" si="8"/>
      </c>
      <c r="AF64" s="2928">
        <f t="shared" si="8"/>
      </c>
      <c r="AG64" s="2928">
        <f t="shared" si="8"/>
      </c>
      <c r="AH64" s="2928">
        <f t="shared" si="8"/>
      </c>
      <c r="AI64" s="2928">
        <f t="shared" si="8"/>
      </c>
      <c r="AJ64" s="2928">
        <f t="shared" si="8"/>
      </c>
      <c r="AK64" s="2928">
        <f t="shared" si="8"/>
      </c>
      <c r="AL64" s="2928">
        <f t="shared" si="8"/>
      </c>
      <c r="AM64" s="2928">
        <f t="shared" si="8"/>
      </c>
      <c r="AN64" s="2928">
        <f t="shared" si="8"/>
      </c>
      <c r="AO64" s="2928">
        <f t="shared" si="8"/>
      </c>
      <c r="AP64" s="2928">
        <f t="shared" si="8"/>
      </c>
      <c r="AQ64" s="2928">
        <f t="shared" si="8"/>
      </c>
      <c r="AR64" s="2928">
        <f t="shared" si="8"/>
      </c>
      <c r="AS64" s="2928">
        <f t="shared" si="8"/>
      </c>
      <c r="AT64" s="2928">
        <f t="shared" si="8"/>
      </c>
      <c r="AU64" s="2928">
        <f t="shared" si="8"/>
      </c>
      <c r="AV64" s="2928">
        <f t="shared" si="8"/>
      </c>
      <c r="AW64" s="2928">
        <f t="shared" si="8"/>
      </c>
      <c r="AX64" s="2928">
        <f t="shared" si="8"/>
      </c>
      <c r="AY64" s="2928">
        <f t="shared" si="8"/>
      </c>
      <c r="AZ64" s="2928">
        <f t="shared" si="8"/>
      </c>
      <c r="BA64" s="2928">
        <f t="shared" si="8"/>
      </c>
      <c r="BB64" s="2928">
        <f t="shared" si="8"/>
      </c>
      <c r="BC64" s="2928">
        <f t="shared" si="8"/>
      </c>
      <c r="BD64" s="2928">
        <f t="shared" si="8"/>
      </c>
      <c r="BE64" s="2928">
        <f t="shared" si="8"/>
      </c>
      <c r="BF64" s="2928">
        <f t="shared" si="8"/>
      </c>
      <c r="BG64" s="2928">
        <f t="shared" si="8"/>
      </c>
      <c r="BH64" s="2928">
        <f t="shared" si="8"/>
      </c>
      <c r="BI64" s="2928">
        <f t="shared" si="8"/>
      </c>
      <c r="BJ64" s="2928">
        <f t="shared" si="8"/>
      </c>
      <c r="BK64" s="2928">
        <f t="shared" si="8"/>
      </c>
      <c r="BL64" s="2928">
        <f t="shared" si="8"/>
      </c>
      <c r="BM64" s="2928">
        <f t="shared" si="8"/>
      </c>
      <c r="BN64" s="2928">
        <f t="shared" si="8"/>
      </c>
      <c r="BO64" s="2928">
        <f t="shared" si="8"/>
      </c>
      <c r="BP64" s="2928">
        <f t="shared" si="8"/>
      </c>
      <c r="BQ64" s="2928">
        <f t="shared" si="8"/>
      </c>
      <c r="BR64" s="2928">
        <f t="shared" si="8"/>
      </c>
      <c r="BS64" s="2928">
        <f t="shared" si="8"/>
      </c>
      <c r="BT64" s="2928">
        <f t="shared" si="8"/>
      </c>
      <c r="BU64" s="2928">
        <f t="shared" si="8"/>
      </c>
      <c r="BV64" s="2928">
        <f t="shared" si="8"/>
      </c>
      <c r="BW64" s="2928">
        <f t="shared" si="8"/>
      </c>
      <c r="BX64" s="2928">
        <f t="shared" si="8"/>
      </c>
      <c r="BY64" s="2928">
        <f t="shared" si="8"/>
      </c>
      <c r="BZ64" s="2928">
        <f t="shared" si="8"/>
      </c>
      <c r="CA64" s="2928">
        <f t="shared" si="8"/>
      </c>
      <c r="CB64" s="2928">
        <f t="shared" si="8"/>
      </c>
      <c r="CC64" s="2928">
        <f t="shared" si="8"/>
      </c>
      <c r="CD64" s="2928">
        <f t="shared" si="8"/>
      </c>
      <c r="CE64" s="2928">
        <f t="shared" si="8"/>
      </c>
      <c r="CF64" s="2928">
        <f t="shared" si="8"/>
      </c>
      <c r="CG64" s="2928">
        <f t="shared" si="8"/>
      </c>
      <c r="CH64" s="2928">
        <f t="shared" si="8"/>
      </c>
      <c r="CI64" s="2928">
        <f t="shared" si="8"/>
      </c>
      <c r="CJ64" s="2928">
        <f t="shared" si="8"/>
      </c>
      <c r="CK64" s="2928">
        <f t="shared" si="8"/>
      </c>
      <c r="CL64" s="2928">
        <f t="shared" si="8"/>
      </c>
      <c r="CM64" s="2928">
        <f t="shared" si="8"/>
      </c>
      <c r="CN64" s="2928">
        <f t="shared" si="8"/>
      </c>
      <c r="CO64" s="2928">
        <f t="shared" si="8"/>
      </c>
      <c r="CP64" s="2928">
        <f t="shared" si="8"/>
      </c>
      <c r="CQ64" s="2928">
        <f t="shared" si="8"/>
      </c>
      <c r="CR64" s="2928">
        <f t="shared" si="8"/>
      </c>
      <c r="CS64" s="2928">
        <f t="shared" si="8"/>
      </c>
      <c r="CT64" s="2928">
        <f t="shared" si="8"/>
      </c>
      <c r="CU64" s="2928">
        <f t="shared" si="8"/>
      </c>
      <c r="CV64" s="2928">
        <f t="shared" si="8"/>
      </c>
      <c r="CW64" s="2928">
        <f t="shared" si="8"/>
      </c>
      <c r="CX64" s="2928">
        <f t="shared" si="8"/>
      </c>
      <c r="CY64" s="2928">
        <f t="shared" si="8"/>
      </c>
      <c r="CZ64" s="2928">
        <f t="shared" si="8"/>
      </c>
      <c r="DA64" s="2928">
        <f t="shared" si="8"/>
      </c>
      <c r="DB64" s="2928">
        <f t="shared" si="8"/>
      </c>
      <c r="DC64" s="2928">
        <f t="shared" si="8"/>
      </c>
      <c r="DD64" s="2928">
        <f t="shared" si="8"/>
      </c>
      <c r="DE64" s="2928">
        <f t="shared" si="8"/>
      </c>
      <c r="DF64" s="2928">
        <f t="shared" si="8"/>
      </c>
      <c r="DG64" s="2928">
        <f t="shared" si="8"/>
      </c>
      <c r="DH64" s="2928">
        <f t="shared" si="8"/>
      </c>
      <c r="DI64" s="2928">
        <f t="shared" si="8"/>
      </c>
      <c r="DJ64" s="2928">
        <f t="shared" si="8"/>
      </c>
      <c r="DK64" s="2928">
        <f t="shared" si="8"/>
      </c>
      <c r="DL64" s="2928">
        <f t="shared" si="8"/>
      </c>
      <c r="DM64" s="2928">
        <f t="shared" si="8"/>
      </c>
      <c r="DN64" s="2928">
        <f t="shared" si="8"/>
      </c>
      <c r="DO64" s="2928">
        <f t="shared" si="8"/>
      </c>
      <c r="DP64" s="2928">
        <f t="shared" si="8"/>
      </c>
      <c r="DQ64" s="2928">
        <f t="shared" si="8"/>
      </c>
      <c r="DR64" s="2928">
        <f t="shared" si="8"/>
      </c>
      <c r="DS64" s="2928">
        <f t="shared" si="8"/>
      </c>
      <c r="DT64" s="2928">
        <f t="shared" si="8"/>
      </c>
      <c r="DU64" s="2928">
        <f t="shared" si="8"/>
      </c>
      <c r="DV64" s="2928">
        <f t="shared" si="8"/>
      </c>
      <c r="DW64" s="2928">
        <f t="shared" si="8"/>
      </c>
      <c r="DX64" s="2928">
        <f t="shared" si="8"/>
      </c>
      <c r="DY64" s="2928">
        <f t="shared" si="8"/>
      </c>
      <c r="DZ64" s="2928">
        <f t="shared" si="8"/>
      </c>
      <c r="EA64" s="2928">
        <f t="shared" si="8"/>
      </c>
      <c r="EB64" s="2928">
        <f t="shared" si="8"/>
      </c>
      <c r="EC64" s="2928">
        <f t="shared" si="8"/>
      </c>
      <c r="ED64" s="2928">
        <f t="shared" si="8"/>
      </c>
      <c r="EE64" s="2928">
        <f t="shared" si="8"/>
      </c>
      <c r="EF64" s="2928">
        <f t="shared" si="8"/>
      </c>
      <c r="EG64" s="2928">
        <f t="shared" si="8"/>
      </c>
      <c r="EH64" s="2928">
        <f t="shared" si="8"/>
      </c>
      <c r="EI64" s="2928">
        <f t="shared" si="8"/>
      </c>
      <c r="EJ64" s="2928">
        <f t="shared" si="8"/>
      </c>
      <c r="EK64" s="2928">
        <f t="shared" si="8"/>
      </c>
      <c r="EL64" s="2928">
        <f t="shared" si="8"/>
      </c>
      <c r="EM64" s="2928">
        <f t="shared" si="8"/>
      </c>
      <c r="EN64" s="2928">
        <f t="shared" si="8"/>
      </c>
      <c r="EO64" s="2928">
        <f t="shared" si="8"/>
      </c>
      <c r="EP64" s="2928">
        <f t="shared" si="8"/>
      </c>
      <c r="EQ64" s="2928">
        <f t="shared" si="8"/>
      </c>
      <c r="ER64" s="2928">
        <f t="shared" si="8"/>
      </c>
      <c r="ES64" s="2928">
        <f t="shared" si="8"/>
      </c>
      <c r="ET64" s="2928">
        <f t="shared" si="8"/>
      </c>
      <c r="EU64" s="2928">
        <f t="shared" si="8"/>
      </c>
      <c r="EV64" s="2928">
        <f t="shared" si="8"/>
      </c>
      <c r="EW64" s="2928">
        <f t="shared" si="8"/>
      </c>
      <c r="EX64" s="2928">
        <f t="shared" si="8"/>
      </c>
      <c r="EY64" s="2928">
        <f t="shared" si="8"/>
      </c>
      <c r="EZ64" s="2928">
        <f t="shared" si="8"/>
      </c>
      <c r="FA64" s="2929" t="str">
        <f t="shared" si="12"/>
        <v>-</v>
      </c>
      <c r="FB64" s="2825">
        <f t="shared" si="13"/>
      </c>
      <c r="FC64" s="2930" cm="1">
        <f t="array" ref="FC64">_xlfn.LET(_xlpm.unit_type,$G64,_xlpm.market_rent_from_rent_roll,$E64,_xlpm.unit_type_list,RentRoll_InputArea_DesignatedUnitType,_xlpm.rent_by_unit_type,RentRoll_InputArea_MarketRent,_xlpm.use_rent_roll_market_rent,LEFT(RR_VacantUnitMktRentSource,9)="Rent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64" s="2930">
        <f t="shared" si="14"/>
        <v>1612</v>
      </c>
      <c r="FE64" s="2930">
        <f t="shared" si="15"/>
        <v>1612</v>
      </c>
      <c r="FF64" s="2930">
        <f t="shared" si="16"/>
        <v>1612</v>
      </c>
      <c r="FG64" s="2931"/>
      <c r="FH64" s="2932">
        <f t="shared" si="17"/>
      </c>
      <c r="FI64" s="2932">
        <f t="shared" si="18"/>
      </c>
      <c r="FJ64" s="2931"/>
      <c r="FK64" s="2933" cm="1">
        <f t="array" ref="FK64">IF(AND(LEN($D64)&gt;0,ISNA(MATCH(TRUE,EXACT($G64,RentRoll_InputArea_DesignatedUnitType),0))),1,0)</f>
        <v>0</v>
      </c>
      <c r="FL64" s="2931">
        <f t="shared" si="19"/>
        <v>41</v>
      </c>
      <c r="FM64" s="2931"/>
      <c r="FN64" s="2931"/>
      <c r="FO64" s="2931"/>
      <c r="FP64" s="2931"/>
      <c r="FQ64" s="2931"/>
      <c r="FR64" s="2931"/>
      <c r="FS64" s="2931"/>
      <c r="FT64" s="2931"/>
      <c r="FU64" s="2931"/>
      <c r="FV64" s="2931"/>
      <c r="FW64" s="2931"/>
      <c r="FX64" s="2931"/>
      <c r="FY64" s="2931"/>
      <c r="FZ64" s="2931"/>
      <c r="GA64" s="2931"/>
      <c r="GB64" s="2931"/>
      <c r="GC64" s="2931"/>
      <c r="GD64" s="2931"/>
      <c r="GE64" s="2931"/>
      <c r="GF64" s="2931"/>
      <c r="GG64" s="2931"/>
      <c r="GH64" s="2931"/>
      <c r="GI64" s="2931"/>
      <c r="GJ64" s="2931"/>
      <c r="GK64" s="2931"/>
      <c r="GL64" s="2931"/>
      <c r="GM64" s="2931"/>
      <c r="GN64" s="2931"/>
      <c r="GO64" s="2931"/>
      <c r="GP64" s="2931"/>
      <c r="GQ64" s="2931"/>
      <c r="GR64" s="2931"/>
      <c r="GS64" s="2931"/>
      <c r="GT64" s="2931"/>
      <c r="GU64" s="2931"/>
      <c r="GV64" s="2931"/>
      <c r="GW64" s="2931"/>
      <c r="GX64" s="2931"/>
      <c r="GY64" s="2931"/>
      <c r="GZ64" s="2931"/>
      <c r="HA64" s="2931"/>
      <c r="HB64" s="2931"/>
      <c r="HC64" s="2931"/>
      <c r="HD64" s="2931"/>
      <c r="HE64" s="2931"/>
      <c r="HF64" s="2931"/>
      <c r="HG64" s="2931"/>
      <c r="HH64" s="2931"/>
      <c r="HI64" s="2931"/>
      <c r="HJ64" s="2931"/>
      <c r="HK64" s="2931"/>
      <c r="HL64" s="2931"/>
      <c r="HM64" s="2931"/>
      <c r="HN64" s="2931"/>
      <c r="HO64" s="2931"/>
      <c r="HP64" s="2931"/>
      <c r="HQ64" s="2931"/>
      <c r="HR64" s="2931"/>
      <c r="HS64" s="2931"/>
      <c r="HT64" s="2931"/>
      <c r="HU64" s="2931"/>
      <c r="HV64" s="2931"/>
      <c r="HW64" s="2931"/>
      <c r="HX64" s="2931"/>
      <c r="HY64" s="2931"/>
      <c r="HZ64" s="2931"/>
      <c r="IA64" s="2931"/>
      <c r="IB64" s="2931"/>
      <c r="IC64" s="2931"/>
      <c r="ID64" s="2931"/>
      <c r="IE64" s="2931"/>
      <c r="IF64" s="2931"/>
      <c r="IG64" s="2931"/>
      <c r="IH64" s="2931"/>
      <c r="II64" s="2931"/>
      <c r="IJ64" s="2931"/>
      <c r="IK64" s="2931"/>
      <c r="IL64" s="2931"/>
      <c r="IM64" s="2931"/>
      <c r="IN64" s="2931"/>
      <c r="IO64" s="2931" cm="1">
        <f t="array" ref="IO64">IF(LEN($G64)=0,"Rent Roll is incomplete",_xlfn.XLOOKUP(TRUE,EXACT(RentRoll_InputArea_DesignatedUnitType,$G64),RentRoll_InputArea_Beds,"Not Found"))</f>
        <v>0</v>
      </c>
      <c r="IP64" s="2934"/>
      <c r="IQ64" s="2935" t="str">
        <f t="shared" si="20"/>
        <v>0 Bedroom Unit (Efficiency/Studio)</v>
      </c>
      <c r="IR64" s="2926">
        <f t="shared" si="21"/>
        <v>1612</v>
      </c>
      <c r="IS64" s="2935"/>
      <c r="IT64" s="2931"/>
      <c r="IU64" s="2931"/>
      <c r="IV64" s="2931"/>
      <c r="IW64" s="2936" t="str">
        <f t="shared" si="22"/>
        <v>4-408</v>
      </c>
      <c r="IX64" s="2936"/>
      <c r="IY64" s="2936"/>
      <c r="IZ64" s="2936">
        <f t="shared" si="23"/>
        <v>0</v>
      </c>
      <c r="JA64" s="2936">
        <f t="shared" si="24"/>
        <v>1612</v>
      </c>
      <c r="JB64" s="2936"/>
      <c r="JC64" s="2936"/>
      <c r="JD64" s="2936"/>
      <c r="JE64" s="2936"/>
      <c r="JF64" s="2936"/>
      <c r="JG64" s="2936"/>
      <c r="JH64" s="2936">
        <f t="shared" si="25"/>
        <v>1533</v>
      </c>
      <c r="JI64" s="2936"/>
      <c r="JJ64" s="2936">
        <f t="shared" si="26"/>
      </c>
      <c r="JK64" s="2936"/>
      <c r="JL64" s="2936"/>
      <c r="JM64" s="2936"/>
      <c r="JN64" s="2936"/>
      <c r="JO64" s="2936"/>
      <c r="JP64" s="2936"/>
      <c r="JQ64" s="2936" t="str">
        <f t="shared" si="27"/>
        <v>Occupied</v>
      </c>
      <c r="JR64" s="2936" cm="1">
        <f t="array" ref="JR64">_xlfn.XLOOKUP(TRUE,EXACT(RentRoll_InputArea_DesignatedUnitType,$G64),RentRoll_InputArea_SquareFootage,"Not Found")</f>
        <v>1050</v>
      </c>
      <c r="JS64" s="2936" t="str">
        <f t="shared" si="28"/>
        <v>Apartment</v>
      </c>
      <c r="JT64" s="2936">
        <f t="shared" si="29"/>
      </c>
      <c r="JU64" s="2936"/>
      <c r="JV64" s="2936"/>
      <c r="JW64" s="2936"/>
      <c r="JX64" s="2936"/>
      <c r="JY64" s="2936">
        <f t="shared" si="9"/>
        <v>43405</v>
      </c>
      <c r="JZ64" s="2936">
        <f t="shared" si="9"/>
        <v>43616</v>
      </c>
      <c r="KA64" s="2936"/>
      <c r="KB64" s="2936"/>
      <c r="KC64" s="2936"/>
      <c r="KD64" s="2936"/>
      <c r="KE64" s="2936"/>
      <c r="KF64" s="2936"/>
      <c r="KG64" s="2936"/>
      <c r="KH64" s="2936"/>
      <c r="KI64" s="2937"/>
      <c r="KJ64" s="2936"/>
      <c r="KK64" s="1353"/>
    </row>
    <row r="65" ht="15" customHeight="1">
      <c r="A65" s="2922">
        <f t="shared" si="10"/>
        <v>42</v>
      </c>
      <c r="B65" s="2865"/>
      <c r="C65" s="2873"/>
      <c r="D65" s="2873" t="s">
        <v>2826</v>
      </c>
      <c r="E65" s="2923">
        <v>1556</v>
      </c>
      <c r="F65" s="2924" t="s">
        <v>2827</v>
      </c>
      <c r="G65" s="2873" t="s">
        <v>2532</v>
      </c>
      <c r="H65" s="2923">
        <v>1527</v>
      </c>
      <c r="I65" s="2925" cm="1">
        <f t="array" ref="I65">_xlfn.LET(_xlpm.has_subsidy,$N65&gt;0,_xlpm.is_chap9_sbl,$FF$20,_xlpm.contract_rent,$H65,_xlpm.unit_type_mkt_rent,_xlfn.XLOOKUP(TRUE,EXACT($G65,RentRoll_InputArea_DesignatedUnitType),RentRoll_InputArea_MarketRent,"Not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5" s="2926">
        <f t="shared" si="11"/>
        <v>1527</v>
      </c>
      <c r="K65" s="2923"/>
      <c r="L65" s="2923"/>
      <c r="M65" s="2923"/>
      <c r="N65" s="2923"/>
      <c r="O65" s="2927">
        <v>43484</v>
      </c>
      <c r="P65" s="2927">
        <v>43769</v>
      </c>
      <c r="Q65" s="2928">
        <f t="shared" si="8"/>
      </c>
      <c r="R65" s="2928">
        <f t="shared" si="8"/>
      </c>
      <c r="S65" s="2928">
        <f t="shared" si="8"/>
      </c>
      <c r="T65" s="2928">
        <f t="shared" si="8"/>
        <v>1527</v>
      </c>
      <c r="U65" s="2928">
        <f t="shared" si="8"/>
      </c>
      <c r="V65" s="2928">
        <f t="shared" si="8"/>
      </c>
      <c r="W65" s="2928">
        <f t="shared" si="8"/>
      </c>
      <c r="X65" s="2928">
        <f t="shared" si="8"/>
      </c>
      <c r="Y65" s="2928">
        <f t="shared" si="8"/>
      </c>
      <c r="Z65" s="2928">
        <f t="shared" si="8"/>
      </c>
      <c r="AA65" s="2928">
        <f t="shared" si="8"/>
      </c>
      <c r="AB65" s="2928">
        <f t="shared" si="8"/>
      </c>
      <c r="AC65" s="2928">
        <f t="shared" si="8"/>
      </c>
      <c r="AD65" s="2928">
        <f t="shared" si="8"/>
      </c>
      <c r="AE65" s="2928">
        <f t="shared" si="8"/>
      </c>
      <c r="AF65" s="2928">
        <f t="shared" si="8"/>
      </c>
      <c r="AG65" s="2928">
        <f t="shared" si="8"/>
      </c>
      <c r="AH65" s="2928">
        <f t="shared" si="8"/>
      </c>
      <c r="AI65" s="2928">
        <f t="shared" si="8"/>
      </c>
      <c r="AJ65" s="2928">
        <f t="shared" si="8"/>
      </c>
      <c r="AK65" s="2928">
        <f t="shared" si="8"/>
      </c>
      <c r="AL65" s="2928">
        <f t="shared" si="8"/>
      </c>
      <c r="AM65" s="2928">
        <f t="shared" si="8"/>
      </c>
      <c r="AN65" s="2928">
        <f t="shared" si="8"/>
      </c>
      <c r="AO65" s="2928">
        <f t="shared" si="8"/>
      </c>
      <c r="AP65" s="2928">
        <f t="shared" si="8"/>
      </c>
      <c r="AQ65" s="2928">
        <f t="shared" si="8"/>
      </c>
      <c r="AR65" s="2928">
        <f t="shared" si="8"/>
      </c>
      <c r="AS65" s="2928">
        <f t="shared" si="8"/>
      </c>
      <c r="AT65" s="2928">
        <f t="shared" si="8"/>
      </c>
      <c r="AU65" s="2928">
        <f t="shared" si="8"/>
      </c>
      <c r="AV65" s="2928">
        <f t="shared" si="8"/>
      </c>
      <c r="AW65" s="2928">
        <f t="shared" si="8"/>
      </c>
      <c r="AX65" s="2928">
        <f t="shared" si="8"/>
      </c>
      <c r="AY65" s="2928">
        <f t="shared" si="8"/>
      </c>
      <c r="AZ65" s="2928">
        <f t="shared" si="8"/>
      </c>
      <c r="BA65" s="2928">
        <f t="shared" si="8"/>
      </c>
      <c r="BB65" s="2928">
        <f t="shared" si="8"/>
      </c>
      <c r="BC65" s="2928">
        <f t="shared" si="8"/>
      </c>
      <c r="BD65" s="2928">
        <f t="shared" si="8"/>
      </c>
      <c r="BE65" s="2928">
        <f t="shared" si="8"/>
      </c>
      <c r="BF65" s="2928">
        <f t="shared" si="8"/>
      </c>
      <c r="BG65" s="2928">
        <f t="shared" si="8"/>
      </c>
      <c r="BH65" s="2928">
        <f t="shared" si="8"/>
      </c>
      <c r="BI65" s="2928">
        <f t="shared" si="8"/>
      </c>
      <c r="BJ65" s="2928">
        <f t="shared" si="8"/>
      </c>
      <c r="BK65" s="2928">
        <f t="shared" si="8"/>
      </c>
      <c r="BL65" s="2928">
        <f t="shared" si="8"/>
      </c>
      <c r="BM65" s="2928">
        <f t="shared" si="8"/>
      </c>
      <c r="BN65" s="2928">
        <f t="shared" si="8"/>
      </c>
      <c r="BO65" s="2928">
        <f t="shared" si="8"/>
      </c>
      <c r="BP65" s="2928">
        <f t="shared" si="8"/>
      </c>
      <c r="BQ65" s="2928">
        <f t="shared" si="8"/>
      </c>
      <c r="BR65" s="2928">
        <f t="shared" si="8"/>
      </c>
      <c r="BS65" s="2928">
        <f t="shared" si="8"/>
      </c>
      <c r="BT65" s="2928">
        <f t="shared" si="8"/>
      </c>
      <c r="BU65" s="2928">
        <f t="shared" si="8"/>
      </c>
      <c r="BV65" s="2928">
        <f t="shared" si="8"/>
      </c>
      <c r="BW65" s="2928">
        <f t="shared" si="8"/>
      </c>
      <c r="BX65" s="2928">
        <f t="shared" si="8"/>
      </c>
      <c r="BY65" s="2928">
        <f t="shared" si="8"/>
      </c>
      <c r="BZ65" s="2928">
        <f t="shared" si="8"/>
      </c>
      <c r="CA65" s="2928">
        <f t="shared" si="8"/>
      </c>
      <c r="CB65" s="2928">
        <f t="shared" si="8"/>
      </c>
      <c r="CC65" s="2928">
        <f t="shared" si="8"/>
      </c>
      <c r="CD65" s="2928">
        <f t="shared" si="8"/>
      </c>
      <c r="CE65" s="2928">
        <f t="shared" si="8"/>
      </c>
      <c r="CF65" s="2928">
        <f t="shared" si="8"/>
      </c>
      <c r="CG65" s="2928">
        <f t="shared" si="8"/>
      </c>
      <c r="CH65" s="2928">
        <f t="shared" si="8"/>
      </c>
      <c r="CI65" s="2928">
        <f t="shared" si="8"/>
      </c>
      <c r="CJ65" s="2928">
        <f t="shared" si="8"/>
      </c>
      <c r="CK65" s="2928">
        <f t="shared" si="8"/>
      </c>
      <c r="CL65" s="2928">
        <f t="shared" si="8"/>
      </c>
      <c r="CM65" s="2928">
        <f t="shared" si="8"/>
      </c>
      <c r="CN65" s="2928">
        <f t="shared" si="8"/>
      </c>
      <c r="CO65" s="2928">
        <f t="shared" si="8"/>
      </c>
      <c r="CP65" s="2928">
        <f t="shared" si="8"/>
      </c>
      <c r="CQ65" s="2928">
        <f t="shared" si="8"/>
      </c>
      <c r="CR65" s="2928">
        <f t="shared" si="8"/>
      </c>
      <c r="CS65" s="2928">
        <f t="shared" si="8"/>
      </c>
      <c r="CT65" s="2928">
        <f t="shared" si="8"/>
      </c>
      <c r="CU65" s="2928">
        <f t="shared" si="8"/>
      </c>
      <c r="CV65" s="2928">
        <f t="shared" si="8"/>
      </c>
      <c r="CW65" s="2928">
        <f t="shared" si="8"/>
      </c>
      <c r="CX65" s="2928">
        <f t="shared" si="8"/>
      </c>
      <c r="CY65" s="2928">
        <f t="shared" si="8"/>
      </c>
      <c r="CZ65" s="2928">
        <f t="shared" si="8"/>
      </c>
      <c r="DA65" s="2928">
        <f t="shared" si="8"/>
      </c>
      <c r="DB65" s="2928">
        <f t="shared" si="8"/>
      </c>
      <c r="DC65" s="2928">
        <f t="shared" si="8"/>
      </c>
      <c r="DD65" s="2928">
        <f t="shared" si="8"/>
      </c>
      <c r="DE65" s="2928">
        <f t="shared" si="8"/>
      </c>
      <c r="DF65" s="2928">
        <f t="shared" si="8"/>
      </c>
      <c r="DG65" s="2928">
        <f t="shared" si="8"/>
      </c>
      <c r="DH65" s="2928">
        <f t="shared" si="8"/>
      </c>
      <c r="DI65" s="2928">
        <f t="shared" si="8"/>
      </c>
      <c r="DJ65" s="2928">
        <f t="shared" si="8"/>
      </c>
      <c r="DK65" s="2928">
        <f t="shared" si="8"/>
      </c>
      <c r="DL65" s="2928">
        <f t="shared" si="8"/>
      </c>
      <c r="DM65" s="2928">
        <f t="shared" si="8"/>
      </c>
      <c r="DN65" s="2928">
        <f t="shared" si="8"/>
      </c>
      <c r="DO65" s="2928">
        <f t="shared" si="8"/>
      </c>
      <c r="DP65" s="2928">
        <f t="shared" si="8"/>
      </c>
      <c r="DQ65" s="2928">
        <f t="shared" si="8"/>
      </c>
      <c r="DR65" s="2928">
        <f t="shared" si="8"/>
      </c>
      <c r="DS65" s="2928">
        <f t="shared" si="8"/>
      </c>
      <c r="DT65" s="2928">
        <f t="shared" si="8"/>
      </c>
      <c r="DU65" s="2928">
        <f t="shared" si="8"/>
      </c>
      <c r="DV65" s="2928">
        <f t="shared" si="8"/>
      </c>
      <c r="DW65" s="2928">
        <f t="shared" si="8"/>
      </c>
      <c r="DX65" s="2928">
        <f t="shared" si="8"/>
      </c>
      <c r="DY65" s="2928">
        <f t="shared" si="8"/>
      </c>
      <c r="DZ65" s="2928">
        <f t="shared" si="8"/>
      </c>
      <c r="EA65" s="2928">
        <f t="shared" si="8"/>
      </c>
      <c r="EB65" s="2928">
        <f t="shared" si="8"/>
      </c>
      <c r="EC65" s="2928">
        <f t="shared" si="8"/>
      </c>
      <c r="ED65" s="2928">
        <f t="shared" si="8"/>
      </c>
      <c r="EE65" s="2928">
        <f t="shared" si="8"/>
      </c>
      <c r="EF65" s="2928">
        <f t="shared" si="8"/>
      </c>
      <c r="EG65" s="2928">
        <f t="shared" si="8"/>
      </c>
      <c r="EH65" s="2928">
        <f t="shared" si="8"/>
      </c>
      <c r="EI65" s="2928">
        <f t="shared" si="8"/>
      </c>
      <c r="EJ65" s="2928">
        <f t="shared" si="8"/>
      </c>
      <c r="EK65" s="2928">
        <f t="shared" si="8"/>
      </c>
      <c r="EL65" s="2928">
        <f t="shared" si="8"/>
      </c>
      <c r="EM65" s="2928">
        <f t="shared" si="8"/>
      </c>
      <c r="EN65" s="2928">
        <f t="shared" si="8"/>
      </c>
      <c r="EO65" s="2928">
        <f t="shared" si="8"/>
      </c>
      <c r="EP65" s="2928">
        <f t="shared" si="8"/>
      </c>
      <c r="EQ65" s="2928">
        <f t="shared" si="8"/>
      </c>
      <c r="ER65" s="2928">
        <f t="shared" si="8"/>
      </c>
      <c r="ES65" s="2928">
        <f t="shared" si="8"/>
      </c>
      <c r="ET65" s="2928">
        <f t="shared" si="8"/>
      </c>
      <c r="EU65" s="2928">
        <f t="shared" si="8"/>
      </c>
      <c r="EV65" s="2928">
        <f t="shared" si="8"/>
      </c>
      <c r="EW65" s="2928">
        <f t="shared" si="8"/>
      </c>
      <c r="EX65" s="2928">
        <f t="shared" si="8"/>
      </c>
      <c r="EY65" s="2928">
        <f t="shared" si="8"/>
      </c>
      <c r="EZ65" s="2928">
        <f t="shared" si="8"/>
      </c>
      <c r="FA65" s="2929" t="str">
        <f t="shared" si="12"/>
        <v>-</v>
      </c>
      <c r="FB65" s="2825">
        <f t="shared" si="13"/>
      </c>
      <c r="FC65" s="2930" cm="1">
        <f t="array" ref="FC65">_xlfn.LET(_xlpm.unit_type,$G65,_xlpm.market_rent_from_rent_roll,$E65,_xlpm.unit_type_list,RentRoll_InputArea_DesignatedUnitType,_xlpm.rent_by_unit_type,RentRoll_InputArea_MarketRent,_xlpm.use_rent_roll_market_rent,LEFT(RR_VacantUnitMktRentSource,9)="Rent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65" s="2930">
        <f t="shared" si="14"/>
        <v>1527</v>
      </c>
      <c r="FE65" s="2930">
        <f t="shared" si="15"/>
        <v>1527</v>
      </c>
      <c r="FF65" s="2930">
        <f t="shared" si="16"/>
        <v>1527</v>
      </c>
      <c r="FG65" s="2931"/>
      <c r="FH65" s="2932">
        <f t="shared" si="17"/>
      </c>
      <c r="FI65" s="2932">
        <f t="shared" si="18"/>
      </c>
      <c r="FJ65" s="2931"/>
      <c r="FK65" s="2933" cm="1">
        <f t="array" ref="FK65">IF(AND(LEN($D65)&gt;0,ISNA(MATCH(TRUE,EXACT($G65,RentRoll_InputArea_DesignatedUnitType),0))),1,0)</f>
        <v>0</v>
      </c>
      <c r="FL65" s="2931">
        <f t="shared" si="19"/>
        <v>42</v>
      </c>
      <c r="FM65" s="2931"/>
      <c r="FN65" s="2931"/>
      <c r="FO65" s="2931"/>
      <c r="FP65" s="2931"/>
      <c r="FQ65" s="2931"/>
      <c r="FR65" s="2931"/>
      <c r="FS65" s="2931"/>
      <c r="FT65" s="2931"/>
      <c r="FU65" s="2931"/>
      <c r="FV65" s="2931"/>
      <c r="FW65" s="2931"/>
      <c r="FX65" s="2931"/>
      <c r="FY65" s="2931"/>
      <c r="FZ65" s="2931"/>
      <c r="GA65" s="2931"/>
      <c r="GB65" s="2931"/>
      <c r="GC65" s="2931"/>
      <c r="GD65" s="2931"/>
      <c r="GE65" s="2931"/>
      <c r="GF65" s="2931"/>
      <c r="GG65" s="2931"/>
      <c r="GH65" s="2931"/>
      <c r="GI65" s="2931"/>
      <c r="GJ65" s="2931"/>
      <c r="GK65" s="2931"/>
      <c r="GL65" s="2931"/>
      <c r="GM65" s="2931"/>
      <c r="GN65" s="2931"/>
      <c r="GO65" s="2931"/>
      <c r="GP65" s="2931"/>
      <c r="GQ65" s="2931"/>
      <c r="GR65" s="2931"/>
      <c r="GS65" s="2931"/>
      <c r="GT65" s="2931"/>
      <c r="GU65" s="2931"/>
      <c r="GV65" s="2931"/>
      <c r="GW65" s="2931"/>
      <c r="GX65" s="2931"/>
      <c r="GY65" s="2931"/>
      <c r="GZ65" s="2931"/>
      <c r="HA65" s="2931"/>
      <c r="HB65" s="2931"/>
      <c r="HC65" s="2931"/>
      <c r="HD65" s="2931"/>
      <c r="HE65" s="2931"/>
      <c r="HF65" s="2931"/>
      <c r="HG65" s="2931"/>
      <c r="HH65" s="2931"/>
      <c r="HI65" s="2931"/>
      <c r="HJ65" s="2931"/>
      <c r="HK65" s="2931"/>
      <c r="HL65" s="2931"/>
      <c r="HM65" s="2931"/>
      <c r="HN65" s="2931"/>
      <c r="HO65" s="2931"/>
      <c r="HP65" s="2931"/>
      <c r="HQ65" s="2931"/>
      <c r="HR65" s="2931"/>
      <c r="HS65" s="2931"/>
      <c r="HT65" s="2931"/>
      <c r="HU65" s="2931"/>
      <c r="HV65" s="2931"/>
      <c r="HW65" s="2931"/>
      <c r="HX65" s="2931"/>
      <c r="HY65" s="2931"/>
      <c r="HZ65" s="2931"/>
      <c r="IA65" s="2931"/>
      <c r="IB65" s="2931"/>
      <c r="IC65" s="2931"/>
      <c r="ID65" s="2931"/>
      <c r="IE65" s="2931"/>
      <c r="IF65" s="2931"/>
      <c r="IG65" s="2931"/>
      <c r="IH65" s="2931"/>
      <c r="II65" s="2931"/>
      <c r="IJ65" s="2931"/>
      <c r="IK65" s="2931"/>
      <c r="IL65" s="2931"/>
      <c r="IM65" s="2931"/>
      <c r="IN65" s="2931"/>
      <c r="IO65" s="2931" cm="1">
        <f t="array" ref="IO65">IF(LEN($G65)=0,"Rent Roll is incomplete",_xlfn.XLOOKUP(TRUE,EXACT(RentRoll_InputArea_DesignatedUnitType,$G65),RentRoll_InputArea_Beds,"Not Found"))</f>
        <v>0</v>
      </c>
      <c r="IP65" s="2934"/>
      <c r="IQ65" s="2935" t="str">
        <f t="shared" si="20"/>
        <v>0 Bedroom Unit (Efficiency/Studio)</v>
      </c>
      <c r="IR65" s="2926">
        <f t="shared" si="21"/>
        <v>1527</v>
      </c>
      <c r="IS65" s="2935"/>
      <c r="IT65" s="2931"/>
      <c r="IU65" s="2931"/>
      <c r="IV65" s="2931"/>
      <c r="IW65" s="2936" t="str">
        <f t="shared" si="22"/>
        <v>4-409</v>
      </c>
      <c r="IX65" s="2936"/>
      <c r="IY65" s="2936"/>
      <c r="IZ65" s="2936">
        <f t="shared" si="23"/>
        <v>0</v>
      </c>
      <c r="JA65" s="2936">
        <f t="shared" si="24"/>
        <v>1527</v>
      </c>
      <c r="JB65" s="2936"/>
      <c r="JC65" s="2936"/>
      <c r="JD65" s="2936"/>
      <c r="JE65" s="2936"/>
      <c r="JF65" s="2936"/>
      <c r="JG65" s="2936"/>
      <c r="JH65" s="2936">
        <f t="shared" si="25"/>
        <v>1533</v>
      </c>
      <c r="JI65" s="2936"/>
      <c r="JJ65" s="2936">
        <f t="shared" si="26"/>
      </c>
      <c r="JK65" s="2936"/>
      <c r="JL65" s="2936"/>
      <c r="JM65" s="2936"/>
      <c r="JN65" s="2936"/>
      <c r="JO65" s="2936"/>
      <c r="JP65" s="2936"/>
      <c r="JQ65" s="2936" t="str">
        <f t="shared" si="27"/>
        <v>Occupied</v>
      </c>
      <c r="JR65" s="2936" cm="1">
        <f t="array" ref="JR65">_xlfn.XLOOKUP(TRUE,EXACT(RentRoll_InputArea_DesignatedUnitType,$G65),RentRoll_InputArea_SquareFootage,"Not Found")</f>
        <v>1050</v>
      </c>
      <c r="JS65" s="2936" t="str">
        <f t="shared" si="28"/>
        <v>Apartment</v>
      </c>
      <c r="JT65" s="2936">
        <f t="shared" si="29"/>
      </c>
      <c r="JU65" s="2936"/>
      <c r="JV65" s="2936"/>
      <c r="JW65" s="2936"/>
      <c r="JX65" s="2936"/>
      <c r="JY65" s="2936">
        <f t="shared" si="9"/>
        <v>43484</v>
      </c>
      <c r="JZ65" s="2936">
        <f t="shared" si="9"/>
        <v>43769</v>
      </c>
      <c r="KA65" s="2936"/>
      <c r="KB65" s="2936"/>
      <c r="KC65" s="2936"/>
      <c r="KD65" s="2936"/>
      <c r="KE65" s="2936"/>
      <c r="KF65" s="2936"/>
      <c r="KG65" s="2936"/>
      <c r="KH65" s="2936"/>
      <c r="KI65" s="2937"/>
      <c r="KJ65" s="2936"/>
      <c r="KK65" s="1353"/>
    </row>
    <row r="66" ht="15" customHeight="1">
      <c r="A66" s="2922">
        <f t="shared" si="10"/>
        <v>43</v>
      </c>
      <c r="B66" s="2865"/>
      <c r="C66" s="2873"/>
      <c r="D66" s="2873" t="s">
        <v>2828</v>
      </c>
      <c r="E66" s="2923">
        <v>1265</v>
      </c>
      <c r="F66" s="2924" t="s">
        <v>2829</v>
      </c>
      <c r="G66" s="2873" t="s">
        <v>2530</v>
      </c>
      <c r="H66" s="2923">
        <v>1231</v>
      </c>
      <c r="I66" s="2925" cm="1">
        <f t="array" ref="I66">_xlfn.LET(_xlpm.has_subsidy,$N66&gt;0,_xlpm.is_chap9_sbl,$FF$20,_xlpm.contract_rent,$H66,_xlpm.unit_type_mkt_rent,_xlfn.XLOOKUP(TRUE,EXACT($G66,RentRoll_InputArea_DesignatedUnitType),RentRoll_InputArea_MarketRent,"Not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6" s="2926">
        <f t="shared" si="11"/>
        <v>1231</v>
      </c>
      <c r="K66" s="2923"/>
      <c r="L66" s="2923"/>
      <c r="M66" s="2923"/>
      <c r="N66" s="2923"/>
      <c r="O66" s="2927">
        <v>43575</v>
      </c>
      <c r="P66" s="2927">
        <v>43951</v>
      </c>
      <c r="Q66" s="2928">
        <f t="shared" si="8"/>
      </c>
      <c r="R66" s="2928">
        <f t="shared" si="8"/>
        <v>1231</v>
      </c>
      <c r="S66" s="2928">
        <f t="shared" si="8"/>
      </c>
      <c r="T66" s="2928">
        <f t="shared" si="8"/>
      </c>
      <c r="U66" s="2928">
        <f t="shared" si="8"/>
      </c>
      <c r="V66" s="2928">
        <f t="shared" si="8"/>
      </c>
      <c r="W66" s="2928">
        <f t="shared" si="8"/>
      </c>
      <c r="X66" s="2928">
        <f t="shared" si="8"/>
      </c>
      <c r="Y66" s="2928">
        <f t="shared" si="8"/>
      </c>
      <c r="Z66" s="2928">
        <f t="shared" si="8"/>
      </c>
      <c r="AA66" s="2928">
        <f t="shared" si="8"/>
      </c>
      <c r="AB66" s="2928">
        <f t="shared" si="8"/>
      </c>
      <c r="AC66" s="2928">
        <f t="shared" si="8"/>
      </c>
      <c r="AD66" s="2928">
        <f t="shared" si="8"/>
      </c>
      <c r="AE66" s="2928">
        <f t="shared" si="8"/>
      </c>
      <c r="AF66" s="2928">
        <f t="shared" si="8"/>
      </c>
      <c r="AG66" s="2928">
        <f t="shared" si="8"/>
      </c>
      <c r="AH66" s="2928">
        <f t="shared" si="8"/>
      </c>
      <c r="AI66" s="2928">
        <f t="shared" si="8"/>
      </c>
      <c r="AJ66" s="2928">
        <f t="shared" si="8"/>
      </c>
      <c r="AK66" s="2928">
        <f t="shared" si="8"/>
      </c>
      <c r="AL66" s="2928">
        <f t="shared" si="8"/>
      </c>
      <c r="AM66" s="2928">
        <f t="shared" si="8"/>
      </c>
      <c r="AN66" s="2928">
        <f t="shared" si="8"/>
      </c>
      <c r="AO66" s="2928">
        <f t="shared" si="8"/>
      </c>
      <c r="AP66" s="2928">
        <f t="shared" si="8"/>
      </c>
      <c r="AQ66" s="2928">
        <f t="shared" si="8"/>
      </c>
      <c r="AR66" s="2928">
        <f t="shared" si="8"/>
      </c>
      <c r="AS66" s="2928">
        <f t="shared" si="8"/>
      </c>
      <c r="AT66" s="2928">
        <f t="shared" si="8"/>
      </c>
      <c r="AU66" s="2928">
        <f t="shared" si="8"/>
      </c>
      <c r="AV66" s="2928">
        <f t="shared" si="8"/>
      </c>
      <c r="AW66" s="2928">
        <f t="shared" si="8"/>
      </c>
      <c r="AX66" s="2928">
        <f t="shared" si="8"/>
      </c>
      <c r="AY66" s="2928">
        <f t="shared" si="8"/>
      </c>
      <c r="AZ66" s="2928">
        <f t="shared" si="8"/>
      </c>
      <c r="BA66" s="2928">
        <f t="shared" si="8"/>
      </c>
      <c r="BB66" s="2928">
        <f t="shared" si="8"/>
      </c>
      <c r="BC66" s="2928">
        <f t="shared" si="8"/>
      </c>
      <c r="BD66" s="2928">
        <f t="shared" si="8"/>
      </c>
      <c r="BE66" s="2928">
        <f t="shared" si="8"/>
      </c>
      <c r="BF66" s="2928">
        <f t="shared" si="8"/>
      </c>
      <c r="BG66" s="2928">
        <f t="shared" si="8"/>
      </c>
      <c r="BH66" s="2928">
        <f t="shared" si="8"/>
      </c>
      <c r="BI66" s="2928">
        <f t="shared" si="8"/>
      </c>
      <c r="BJ66" s="2928">
        <f t="shared" si="8"/>
      </c>
      <c r="BK66" s="2928">
        <f t="shared" si="8"/>
      </c>
      <c r="BL66" s="2928">
        <f t="shared" si="8"/>
      </c>
      <c r="BM66" s="2928">
        <f t="shared" si="8"/>
      </c>
      <c r="BN66" s="2928">
        <f t="shared" si="8"/>
      </c>
      <c r="BO66" s="2928">
        <f t="shared" si="8"/>
      </c>
      <c r="BP66" s="2928">
        <f t="shared" si="8"/>
      </c>
      <c r="BQ66" s="2928">
        <f t="shared" si="8"/>
      </c>
      <c r="BR66" s="2928">
        <f t="shared" si="8"/>
      </c>
      <c r="BS66" s="2928">
        <f t="shared" si="8"/>
      </c>
      <c r="BT66" s="2928">
        <f t="shared" si="8"/>
      </c>
      <c r="BU66" s="2928">
        <f t="shared" si="8"/>
      </c>
      <c r="BV66" s="2928">
        <f t="shared" si="8"/>
      </c>
      <c r="BW66" s="2928">
        <f t="shared" si="8"/>
      </c>
      <c r="BX66" s="2928">
        <f t="shared" si="8"/>
      </c>
      <c r="BY66" s="2928">
        <f t="shared" si="8"/>
      </c>
      <c r="BZ66" s="2928">
        <f t="shared" si="8"/>
      </c>
      <c r="CA66" s="2928">
        <f t="shared" si="8"/>
      </c>
      <c r="CB66" s="2928">
        <f t="shared" si="8"/>
      </c>
      <c r="CC66" s="2928">
        <f t="shared" si="8"/>
      </c>
      <c r="CD66" s="2928">
        <f t="shared" si="8"/>
      </c>
      <c r="CE66" s="2928">
        <f t="shared" si="8"/>
      </c>
      <c r="CF66" s="2928">
        <f t="shared" si="8"/>
      </c>
      <c r="CG66" s="2928">
        <f t="shared" si="8"/>
      </c>
      <c r="CH66" s="2928">
        <f t="shared" si="8"/>
      </c>
      <c r="CI66" s="2928">
        <f t="shared" si="8"/>
      </c>
      <c r="CJ66" s="2928">
        <f t="shared" si="8"/>
      </c>
      <c r="CK66" s="2928">
        <f t="shared" si="8"/>
      </c>
      <c r="CL66" s="2928">
        <f t="shared" si="8"/>
      </c>
      <c r="CM66" s="2928">
        <f t="shared" si="8"/>
      </c>
      <c r="CN66" s="2928">
        <f t="shared" si="8"/>
      </c>
      <c r="CO66" s="2928">
        <f t="shared" si="8"/>
      </c>
      <c r="CP66" s="2928">
        <f t="shared" si="8"/>
      </c>
      <c r="CQ66" s="2928">
        <f t="shared" si="8"/>
      </c>
      <c r="CR66" s="2928">
        <f t="shared" si="8"/>
      </c>
      <c r="CS66" s="2928">
        <f t="shared" si="8"/>
      </c>
      <c r="CT66" s="2928">
        <f t="shared" si="8"/>
      </c>
      <c r="CU66" s="2928">
        <f t="shared" si="8"/>
      </c>
      <c r="CV66" s="2928">
        <f t="shared" si="8"/>
      </c>
      <c r="CW66" s="2928">
        <f t="shared" si="8"/>
      </c>
      <c r="CX66" s="2928">
        <f t="shared" si="8"/>
      </c>
      <c r="CY66" s="2928">
        <f t="shared" si="8"/>
      </c>
      <c r="CZ66" s="2928">
        <f t="shared" si="8"/>
      </c>
      <c r="DA66" s="2928">
        <f t="shared" si="8"/>
      </c>
      <c r="DB66" s="2928">
        <f t="shared" si="8"/>
      </c>
      <c r="DC66" s="2928">
        <f t="shared" si="8"/>
      </c>
      <c r="DD66" s="2928">
        <f t="shared" si="8"/>
      </c>
      <c r="DE66" s="2928">
        <f t="shared" si="8"/>
      </c>
      <c r="DF66" s="2928">
        <f t="shared" si="8"/>
      </c>
      <c r="DG66" s="2928">
        <f t="shared" si="8"/>
      </c>
      <c r="DH66" s="2928">
        <f t="shared" si="8"/>
      </c>
      <c r="DI66" s="2928">
        <f t="shared" si="8"/>
      </c>
      <c r="DJ66" s="2928">
        <f t="shared" si="8"/>
      </c>
      <c r="DK66" s="2928">
        <f t="shared" si="8"/>
      </c>
      <c r="DL66" s="2928">
        <f t="shared" si="8"/>
      </c>
      <c r="DM66" s="2928">
        <f t="shared" si="8"/>
      </c>
      <c r="DN66" s="2928">
        <f t="shared" si="8"/>
      </c>
      <c r="DO66" s="2928">
        <f t="shared" si="8"/>
      </c>
      <c r="DP66" s="2928">
        <f t="shared" si="8"/>
      </c>
      <c r="DQ66" s="2928">
        <f t="shared" si="8"/>
      </c>
      <c r="DR66" s="2928">
        <f t="shared" si="8"/>
      </c>
      <c r="DS66" s="2928">
        <f t="shared" si="8"/>
      </c>
      <c r="DT66" s="2928">
        <f t="shared" si="8"/>
      </c>
      <c r="DU66" s="2928">
        <f t="shared" si="8"/>
      </c>
      <c r="DV66" s="2928">
        <f t="shared" si="8"/>
      </c>
      <c r="DW66" s="2928">
        <f t="shared" si="8"/>
      </c>
      <c r="DX66" s="2928">
        <f t="shared" si="8"/>
      </c>
      <c r="DY66" s="2928">
        <f t="shared" si="8"/>
      </c>
      <c r="DZ66" s="2928">
        <f t="shared" si="8"/>
      </c>
      <c r="EA66" s="2928">
        <f t="shared" si="8"/>
      </c>
      <c r="EB66" s="2928">
        <f t="shared" si="8"/>
      </c>
      <c r="EC66" s="2928">
        <f t="shared" si="8"/>
      </c>
      <c r="ED66" s="2928">
        <f t="shared" si="8"/>
      </c>
      <c r="EE66" s="2928">
        <f t="shared" si="8"/>
      </c>
      <c r="EF66" s="2928">
        <f t="shared" si="8"/>
      </c>
      <c r="EG66" s="2928">
        <f t="shared" si="8"/>
      </c>
      <c r="EH66" s="2928">
        <f t="shared" si="8"/>
      </c>
      <c r="EI66" s="2928">
        <f t="shared" si="8"/>
      </c>
      <c r="EJ66" s="2928">
        <f t="shared" si="8"/>
      </c>
      <c r="EK66" s="2928">
        <f t="shared" si="8"/>
      </c>
      <c r="EL66" s="2928">
        <f t="shared" si="8"/>
      </c>
      <c r="EM66" s="2928">
        <f t="shared" si="8"/>
      </c>
      <c r="EN66" s="2928">
        <f t="shared" si="8"/>
      </c>
      <c r="EO66" s="2928">
        <f t="shared" si="8"/>
      </c>
      <c r="EP66" s="2928">
        <f t="shared" si="8"/>
      </c>
      <c r="EQ66" s="2928">
        <f t="shared" si="8"/>
      </c>
      <c r="ER66" s="2928">
        <f t="shared" si="8"/>
      </c>
      <c r="ES66" s="2928">
        <f t="shared" si="8"/>
      </c>
      <c r="ET66" s="2928">
        <f t="shared" si="8"/>
      </c>
      <c r="EU66" s="2928">
        <f t="shared" si="8"/>
      </c>
      <c r="EV66" s="2928">
        <f t="shared" si="8"/>
      </c>
      <c r="EW66" s="2928">
        <f t="shared" si="8"/>
      </c>
      <c r="EX66" s="2928">
        <f t="shared" si="8"/>
      </c>
      <c r="EY66" s="2928">
        <f t="shared" si="8"/>
      </c>
      <c r="EZ66" s="2928">
        <f t="shared" si="8"/>
      </c>
      <c r="FA66" s="2929" t="str">
        <f t="shared" si="12"/>
        <v>-</v>
      </c>
      <c r="FB66" s="2825">
        <f t="shared" si="13"/>
      </c>
      <c r="FC66" s="2930" cm="1">
        <f t="array" ref="FC66">_xlfn.LET(_xlpm.unit_type,$G66,_xlpm.market_rent_from_rent_roll,$E66,_xlpm.unit_type_list,RentRoll_InputArea_DesignatedUnitType,_xlpm.rent_by_unit_type,RentRoll_InputArea_MarketRent,_xlpm.use_rent_roll_market_rent,LEFT(RR_VacantUnitMktRentSource,9)="Rent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6" s="2930">
        <f t="shared" si="14"/>
        <v>1231</v>
      </c>
      <c r="FE66" s="2930">
        <f t="shared" si="15"/>
        <v>1231</v>
      </c>
      <c r="FF66" s="2930">
        <f t="shared" si="16"/>
        <v>1231</v>
      </c>
      <c r="FG66" s="2931"/>
      <c r="FH66" s="2932">
        <f t="shared" si="17"/>
      </c>
      <c r="FI66" s="2932">
        <f t="shared" si="18"/>
      </c>
      <c r="FJ66" s="2931"/>
      <c r="FK66" s="2933" cm="1">
        <f t="array" ref="FK66">IF(AND(LEN($D66)&gt;0,ISNA(MATCH(TRUE,EXACT($G66,RentRoll_InputArea_DesignatedUnitType),0))),1,0)</f>
        <v>0</v>
      </c>
      <c r="FL66" s="2931">
        <f t="shared" si="19"/>
        <v>43</v>
      </c>
      <c r="FM66" s="2931"/>
      <c r="FN66" s="2931"/>
      <c r="FO66" s="2931"/>
      <c r="FP66" s="2931"/>
      <c r="FQ66" s="2931"/>
      <c r="FR66" s="2931"/>
      <c r="FS66" s="2931"/>
      <c r="FT66" s="2931"/>
      <c r="FU66" s="2931"/>
      <c r="FV66" s="2931"/>
      <c r="FW66" s="2931"/>
      <c r="FX66" s="2931"/>
      <c r="FY66" s="2931"/>
      <c r="FZ66" s="2931"/>
      <c r="GA66" s="2931"/>
      <c r="GB66" s="2931"/>
      <c r="GC66" s="2931"/>
      <c r="GD66" s="2931"/>
      <c r="GE66" s="2931"/>
      <c r="GF66" s="2931"/>
      <c r="GG66" s="2931"/>
      <c r="GH66" s="2931"/>
      <c r="GI66" s="2931"/>
      <c r="GJ66" s="2931"/>
      <c r="GK66" s="2931"/>
      <c r="GL66" s="2931"/>
      <c r="GM66" s="2931"/>
      <c r="GN66" s="2931"/>
      <c r="GO66" s="2931"/>
      <c r="GP66" s="2931"/>
      <c r="GQ66" s="2931"/>
      <c r="GR66" s="2931"/>
      <c r="GS66" s="2931"/>
      <c r="GT66" s="2931"/>
      <c r="GU66" s="2931"/>
      <c r="GV66" s="2931"/>
      <c r="GW66" s="2931"/>
      <c r="GX66" s="2931"/>
      <c r="GY66" s="2931"/>
      <c r="GZ66" s="2931"/>
      <c r="HA66" s="2931"/>
      <c r="HB66" s="2931"/>
      <c r="HC66" s="2931"/>
      <c r="HD66" s="2931"/>
      <c r="HE66" s="2931"/>
      <c r="HF66" s="2931"/>
      <c r="HG66" s="2931"/>
      <c r="HH66" s="2931"/>
      <c r="HI66" s="2931"/>
      <c r="HJ66" s="2931"/>
      <c r="HK66" s="2931"/>
      <c r="HL66" s="2931"/>
      <c r="HM66" s="2931"/>
      <c r="HN66" s="2931"/>
      <c r="HO66" s="2931"/>
      <c r="HP66" s="2931"/>
      <c r="HQ66" s="2931"/>
      <c r="HR66" s="2931"/>
      <c r="HS66" s="2931"/>
      <c r="HT66" s="2931"/>
      <c r="HU66" s="2931"/>
      <c r="HV66" s="2931"/>
      <c r="HW66" s="2931"/>
      <c r="HX66" s="2931"/>
      <c r="HY66" s="2931"/>
      <c r="HZ66" s="2931"/>
      <c r="IA66" s="2931"/>
      <c r="IB66" s="2931"/>
      <c r="IC66" s="2931"/>
      <c r="ID66" s="2931"/>
      <c r="IE66" s="2931"/>
      <c r="IF66" s="2931"/>
      <c r="IG66" s="2931"/>
      <c r="IH66" s="2931"/>
      <c r="II66" s="2931"/>
      <c r="IJ66" s="2931"/>
      <c r="IK66" s="2931"/>
      <c r="IL66" s="2931"/>
      <c r="IM66" s="2931"/>
      <c r="IN66" s="2931"/>
      <c r="IO66" s="2931" cm="1">
        <f t="array" ref="IO66">IF(LEN($G66)=0,"Rent Roll is incomplete",_xlfn.XLOOKUP(TRUE,EXACT(RentRoll_InputArea_DesignatedUnitType,$G66),RentRoll_InputArea_Beds,"Not Found"))</f>
        <v>0</v>
      </c>
      <c r="IP66" s="2934"/>
      <c r="IQ66" s="2935" t="str">
        <f t="shared" si="20"/>
        <v>0 Bedroom Unit (Efficiency/Studio)</v>
      </c>
      <c r="IR66" s="2926">
        <f t="shared" si="21"/>
        <v>1231</v>
      </c>
      <c r="IS66" s="2935"/>
      <c r="IT66" s="2931"/>
      <c r="IU66" s="2931"/>
      <c r="IV66" s="2931"/>
      <c r="IW66" s="2936" t="str">
        <f t="shared" si="22"/>
        <v>4-410</v>
      </c>
      <c r="IX66" s="2936"/>
      <c r="IY66" s="2936"/>
      <c r="IZ66" s="2936">
        <f t="shared" si="23"/>
        <v>0</v>
      </c>
      <c r="JA66" s="2936">
        <f t="shared" si="24"/>
        <v>1231</v>
      </c>
      <c r="JB66" s="2936"/>
      <c r="JC66" s="2936"/>
      <c r="JD66" s="2936"/>
      <c r="JE66" s="2936"/>
      <c r="JF66" s="2936"/>
      <c r="JG66" s="2936"/>
      <c r="JH66" s="2936">
        <f t="shared" si="25"/>
        <v>1217</v>
      </c>
      <c r="JI66" s="2936"/>
      <c r="JJ66" s="2936">
        <f t="shared" si="26"/>
      </c>
      <c r="JK66" s="2936"/>
      <c r="JL66" s="2936"/>
      <c r="JM66" s="2936"/>
      <c r="JN66" s="2936"/>
      <c r="JO66" s="2936"/>
      <c r="JP66" s="2936"/>
      <c r="JQ66" s="2936" t="str">
        <f t="shared" si="27"/>
        <v>Occupied</v>
      </c>
      <c r="JR66" s="2936" cm="1">
        <f t="array" ref="JR66">_xlfn.XLOOKUP(TRUE,EXACT(RentRoll_InputArea_DesignatedUnitType,$G66),RentRoll_InputArea_SquareFootage,"Not Found")</f>
        <v>800</v>
      </c>
      <c r="JS66" s="2936" t="str">
        <f t="shared" si="28"/>
        <v>Apartment</v>
      </c>
      <c r="JT66" s="2936">
        <f t="shared" si="29"/>
      </c>
      <c r="JU66" s="2936"/>
      <c r="JV66" s="2936"/>
      <c r="JW66" s="2936"/>
      <c r="JX66" s="2936"/>
      <c r="JY66" s="2936">
        <f t="shared" si="9"/>
        <v>43575</v>
      </c>
      <c r="JZ66" s="2936">
        <f t="shared" si="9"/>
        <v>43951</v>
      </c>
      <c r="KA66" s="2936"/>
      <c r="KB66" s="2936"/>
      <c r="KC66" s="2936"/>
      <c r="KD66" s="2936"/>
      <c r="KE66" s="2936"/>
      <c r="KF66" s="2936"/>
      <c r="KG66" s="2936"/>
      <c r="KH66" s="2936"/>
      <c r="KI66" s="2937"/>
      <c r="KJ66" s="2936"/>
      <c r="KK66" s="1353"/>
    </row>
    <row r="67" ht="15" customHeight="1">
      <c r="A67" s="2922">
        <f t="shared" si="10"/>
        <v>44</v>
      </c>
      <c r="B67" s="2865"/>
      <c r="C67" s="2873"/>
      <c r="D67" s="2873" t="s">
        <v>2830</v>
      </c>
      <c r="E67" s="2923">
        <v>1159</v>
      </c>
      <c r="F67" s="2924" t="s">
        <v>2831</v>
      </c>
      <c r="G67" s="2873" t="s">
        <v>2530</v>
      </c>
      <c r="H67" s="2923">
        <v>1165</v>
      </c>
      <c r="I67" s="2925" cm="1">
        <f t="array" ref="I67">_xlfn.LET(_xlpm.has_subsidy,$N67&gt;0,_xlpm.is_chap9_sbl,$FF$20,_xlpm.contract_rent,$H67,_xlpm.unit_type_mkt_rent,_xlfn.XLOOKUP(TRUE,EXACT($G67,RentRoll_InputArea_DesignatedUnitType),RentRoll_InputArea_MarketRent,"Not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7" s="2926">
        <f t="shared" si="11"/>
        <v>1165</v>
      </c>
      <c r="K67" s="2923"/>
      <c r="L67" s="2923"/>
      <c r="M67" s="2923"/>
      <c r="N67" s="2923"/>
      <c r="O67" s="2927">
        <v>43470</v>
      </c>
      <c r="P67" s="2927">
        <v>43708</v>
      </c>
      <c r="Q67" s="2928">
        <f t="shared" si="8"/>
      </c>
      <c r="R67" s="2928">
        <f t="shared" si="8"/>
        <v>1165</v>
      </c>
      <c r="S67" s="2928">
        <f t="shared" si="8"/>
      </c>
      <c r="T67" s="2928">
        <f t="shared" si="8"/>
      </c>
      <c r="U67" s="2928">
        <f t="shared" si="8"/>
      </c>
      <c r="V67" s="2928">
        <f t="shared" si="8"/>
      </c>
      <c r="W67" s="2928">
        <f t="shared" si="8"/>
      </c>
      <c r="X67" s="2928">
        <f t="shared" si="8"/>
      </c>
      <c r="Y67" s="2928">
        <f t="shared" si="8"/>
      </c>
      <c r="Z67" s="2928">
        <f t="shared" si="8"/>
      </c>
      <c r="AA67" s="2928">
        <f t="shared" si="8"/>
      </c>
      <c r="AB67" s="2928">
        <f t="shared" si="8"/>
      </c>
      <c r="AC67" s="2928">
        <f t="shared" si="8"/>
      </c>
      <c r="AD67" s="2928">
        <f t="shared" si="8"/>
      </c>
      <c r="AE67" s="2928">
        <f t="shared" si="8"/>
      </c>
      <c r="AF67" s="2928">
        <f t="shared" si="8"/>
      </c>
      <c r="AG67" s="2928">
        <f t="shared" si="8"/>
      </c>
      <c r="AH67" s="2928">
        <f t="shared" si="8"/>
      </c>
      <c r="AI67" s="2928">
        <f t="shared" si="8"/>
      </c>
      <c r="AJ67" s="2928">
        <f t="shared" si="8"/>
      </c>
      <c r="AK67" s="2928">
        <f t="shared" si="8"/>
      </c>
      <c r="AL67" s="2928">
        <f t="shared" si="8"/>
      </c>
      <c r="AM67" s="2928">
        <f t="shared" si="8"/>
      </c>
      <c r="AN67" s="2928">
        <f t="shared" si="8"/>
      </c>
      <c r="AO67" s="2928">
        <f t="shared" si="8"/>
      </c>
      <c r="AP67" s="2928">
        <f t="shared" si="8"/>
      </c>
      <c r="AQ67" s="2928">
        <f t="shared" si="8"/>
      </c>
      <c r="AR67" s="2928">
        <f t="shared" si="8"/>
      </c>
      <c r="AS67" s="2928">
        <f t="shared" si="8"/>
      </c>
      <c r="AT67" s="2928">
        <f t="shared" si="8"/>
      </c>
      <c r="AU67" s="2928">
        <f t="shared" si="8"/>
      </c>
      <c r="AV67" s="2928">
        <f t="shared" si="8"/>
      </c>
      <c r="AW67" s="2928">
        <f t="shared" si="8"/>
      </c>
      <c r="AX67" s="2928">
        <f t="shared" si="8"/>
      </c>
      <c r="AY67" s="2928">
        <f t="shared" si="8"/>
      </c>
      <c r="AZ67" s="2928">
        <f t="shared" si="8"/>
      </c>
      <c r="BA67" s="2928">
        <f t="shared" si="8"/>
      </c>
      <c r="BB67" s="2928">
        <f t="shared" si="8"/>
      </c>
      <c r="BC67" s="2928">
        <f t="shared" si="8"/>
      </c>
      <c r="BD67" s="2928">
        <f t="shared" si="8"/>
      </c>
      <c r="BE67" s="2928">
        <f t="shared" si="8"/>
      </c>
      <c r="BF67" s="2928">
        <f t="shared" si="8"/>
      </c>
      <c r="BG67" s="2928">
        <f t="shared" si="8"/>
      </c>
      <c r="BH67" s="2928">
        <f t="shared" si="8"/>
      </c>
      <c r="BI67" s="2928">
        <f t="shared" si="8"/>
      </c>
      <c r="BJ67" s="2928">
        <f t="shared" si="8"/>
      </c>
      <c r="BK67" s="2928">
        <f t="shared" si="8"/>
      </c>
      <c r="BL67" s="2928">
        <f t="shared" si="8"/>
      </c>
      <c r="BM67" s="2928">
        <f t="shared" si="8"/>
      </c>
      <c r="BN67" s="2928">
        <f t="shared" si="8"/>
      </c>
      <c r="BO67" s="2928">
        <f t="shared" si="8"/>
      </c>
      <c r="BP67" s="2928">
        <f t="shared" si="8"/>
      </c>
      <c r="BQ67" s="2928">
        <f t="shared" si="8"/>
      </c>
      <c r="BR67" s="2928">
        <f t="shared" si="8"/>
      </c>
      <c r="BS67" s="2928">
        <f t="shared" si="8"/>
      </c>
      <c r="BT67" s="2928">
        <f t="shared" si="8"/>
      </c>
      <c r="BU67" s="2928">
        <f t="shared" si="8"/>
      </c>
      <c r="BV67" s="2928">
        <f t="shared" si="8"/>
      </c>
      <c r="BW67" s="2928">
        <f t="shared" si="8"/>
      </c>
      <c r="BX67" s="2928">
        <f t="shared" si="8"/>
      </c>
      <c r="BY67" s="2928">
        <f t="shared" si="8"/>
      </c>
      <c r="BZ67" s="2928">
        <f t="shared" si="8"/>
      </c>
      <c r="CA67" s="2928">
        <f t="shared" si="8"/>
      </c>
      <c r="CB67" s="2928">
        <f t="shared" si="8"/>
      </c>
      <c r="CC67" s="2928">
        <f t="shared" si="8"/>
      </c>
      <c r="CD67" s="2928">
        <f t="shared" si="8"/>
      </c>
      <c r="CE67" s="2928">
        <f t="shared" si="8"/>
      </c>
      <c r="CF67" s="2928">
        <f t="shared" si="8"/>
      </c>
      <c r="CG67" s="2928">
        <f t="shared" si="8"/>
      </c>
      <c r="CH67" s="2928">
        <f t="shared" si="8"/>
      </c>
      <c r="CI67" s="2928">
        <f t="shared" si="8"/>
      </c>
      <c r="CJ67" s="2928">
        <f t="shared" si="8"/>
      </c>
      <c r="CK67" s="2928">
        <f t="shared" si="8"/>
      </c>
      <c r="CL67" s="2928">
        <f t="shared" si="8"/>
      </c>
      <c r="CM67" s="2928">
        <f t="shared" si="8"/>
      </c>
      <c r="CN67" s="2928">
        <f t="shared" si="8"/>
      </c>
      <c r="CO67" s="2928">
        <f t="shared" si="8"/>
      </c>
      <c r="CP67" s="2928">
        <f t="shared" si="8"/>
      </c>
      <c r="CQ67" s="2928">
        <f t="shared" si="8"/>
      </c>
      <c r="CR67" s="2928">
        <f t="shared" si="8"/>
      </c>
      <c r="CS67" s="2928">
        <f t="shared" si="8"/>
      </c>
      <c r="CT67" s="2928">
        <f t="shared" si="8"/>
      </c>
      <c r="CU67" s="2928">
        <f t="shared" si="8"/>
      </c>
      <c r="CV67" s="2928">
        <f t="shared" si="8"/>
      </c>
      <c r="CW67" s="2928">
        <f t="shared" si="8"/>
      </c>
      <c r="CX67" s="2928">
        <f t="shared" si="8"/>
      </c>
      <c r="CY67" s="2928">
        <f t="shared" si="8"/>
      </c>
      <c r="CZ67" s="2928">
        <f t="shared" si="8"/>
      </c>
      <c r="DA67" s="2928">
        <f t="shared" si="8"/>
      </c>
      <c r="DB67" s="2928">
        <f t="shared" si="8"/>
      </c>
      <c r="DC67" s="2928">
        <f t="shared" si="8"/>
      </c>
      <c r="DD67" s="2928">
        <f t="shared" si="8"/>
      </c>
      <c r="DE67" s="2928">
        <f t="shared" si="8"/>
      </c>
      <c r="DF67" s="2928">
        <f t="shared" si="8"/>
      </c>
      <c r="DG67" s="2928">
        <f t="shared" si="8"/>
      </c>
      <c r="DH67" s="2928">
        <f t="shared" si="8"/>
      </c>
      <c r="DI67" s="2928">
        <f t="shared" si="8"/>
      </c>
      <c r="DJ67" s="2928">
        <f t="shared" si="8"/>
      </c>
      <c r="DK67" s="2928">
        <f t="shared" si="8"/>
      </c>
      <c r="DL67" s="2928">
        <f t="shared" si="8"/>
      </c>
      <c r="DM67" s="2928">
        <f t="shared" si="8"/>
      </c>
      <c r="DN67" s="2928">
        <f t="shared" si="8"/>
      </c>
      <c r="DO67" s="2928">
        <f t="shared" si="8"/>
      </c>
      <c r="DP67" s="2928">
        <f t="shared" si="8"/>
      </c>
      <c r="DQ67" s="2928">
        <f t="shared" si="8"/>
      </c>
      <c r="DR67" s="2928">
        <f t="shared" si="8"/>
      </c>
      <c r="DS67" s="2928">
        <f t="shared" si="8"/>
      </c>
      <c r="DT67" s="2928">
        <f t="shared" si="8"/>
      </c>
      <c r="DU67" s="2928">
        <f t="shared" si="8"/>
      </c>
      <c r="DV67" s="2928">
        <f t="shared" si="8"/>
      </c>
      <c r="DW67" s="2928">
        <f t="shared" si="8"/>
      </c>
      <c r="DX67" s="2928">
        <f t="shared" si="8"/>
      </c>
      <c r="DY67" s="2928">
        <f t="shared" si="8"/>
      </c>
      <c r="DZ67" s="2928">
        <f t="shared" si="8"/>
      </c>
      <c r="EA67" s="2928">
        <f t="shared" si="8"/>
      </c>
      <c r="EB67" s="2928">
        <f t="shared" si="8"/>
      </c>
      <c r="EC67" s="2928">
        <f t="shared" si="8"/>
      </c>
      <c r="ED67" s="2928">
        <f t="shared" si="8"/>
      </c>
      <c r="EE67" s="2928">
        <f t="shared" si="8"/>
      </c>
      <c r="EF67" s="2928">
        <f t="shared" si="8"/>
      </c>
      <c r="EG67" s="2928">
        <f t="shared" si="8"/>
      </c>
      <c r="EH67" s="2928">
        <f t="shared" si="8"/>
      </c>
      <c r="EI67" s="2928">
        <f t="shared" si="8"/>
      </c>
      <c r="EJ67" s="2928">
        <f t="shared" si="8"/>
      </c>
      <c r="EK67" s="2928">
        <f t="shared" si="8"/>
      </c>
      <c r="EL67" s="2928">
        <f t="shared" si="8"/>
      </c>
      <c r="EM67" s="2928">
        <f t="shared" si="8"/>
      </c>
      <c r="EN67" s="2928">
        <f t="shared" si="8"/>
      </c>
      <c r="EO67" s="2928">
        <f t="shared" si="8"/>
      </c>
      <c r="EP67" s="2928">
        <f t="shared" si="8"/>
      </c>
      <c r="EQ67" s="2928">
        <f t="shared" si="8"/>
      </c>
      <c r="ER67" s="2928">
        <f t="shared" si="8"/>
      </c>
      <c r="ES67" s="2928">
        <f t="shared" si="8"/>
      </c>
      <c r="ET67" s="2928">
        <f t="shared" si="8"/>
      </c>
      <c r="EU67" s="2928">
        <f t="shared" si="8"/>
      </c>
      <c r="EV67" s="2928">
        <f t="shared" si="8"/>
      </c>
      <c r="EW67" s="2928">
        <f t="shared" si="8"/>
      </c>
      <c r="EX67" s="2928">
        <f t="shared" si="8"/>
      </c>
      <c r="EY67" s="2928">
        <f t="shared" si="8"/>
      </c>
      <c r="EZ67" s="2928">
        <f t="shared" si="8"/>
      </c>
      <c r="FA67" s="2929" t="str">
        <f t="shared" si="12"/>
        <v>-</v>
      </c>
      <c r="FB67" s="2825">
        <f t="shared" si="13"/>
      </c>
      <c r="FC67" s="2930" cm="1">
        <f t="array" ref="FC67">_xlfn.LET(_xlpm.unit_type,$G67,_xlpm.market_rent_from_rent_roll,$E67,_xlpm.unit_type_list,RentRoll_InputArea_DesignatedUnitType,_xlpm.rent_by_unit_type,RentRoll_InputArea_MarketRent,_xlpm.use_rent_roll_market_rent,LEFT(RR_VacantUnitMktRentSource,9)="Rent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7" s="2930">
        <f t="shared" si="14"/>
        <v>1165</v>
      </c>
      <c r="FE67" s="2930">
        <f t="shared" si="15"/>
        <v>1165</v>
      </c>
      <c r="FF67" s="2930">
        <f t="shared" si="16"/>
        <v>1165</v>
      </c>
      <c r="FG67" s="2931"/>
      <c r="FH67" s="2932">
        <f t="shared" si="17"/>
      </c>
      <c r="FI67" s="2932">
        <f t="shared" si="18"/>
      </c>
      <c r="FJ67" s="2931"/>
      <c r="FK67" s="2933" cm="1">
        <f t="array" ref="FK67">IF(AND(LEN($D67)&gt;0,ISNA(MATCH(TRUE,EXACT($G67,RentRoll_InputArea_DesignatedUnitType),0))),1,0)</f>
        <v>0</v>
      </c>
      <c r="FL67" s="2931">
        <f t="shared" si="19"/>
        <v>44</v>
      </c>
      <c r="FM67" s="2931"/>
      <c r="FN67" s="2931"/>
      <c r="FO67" s="2931"/>
      <c r="FP67" s="2931"/>
      <c r="FQ67" s="2931"/>
      <c r="FR67" s="2931"/>
      <c r="FS67" s="2931"/>
      <c r="FT67" s="2931"/>
      <c r="FU67" s="2931"/>
      <c r="FV67" s="2931"/>
      <c r="FW67" s="2931"/>
      <c r="FX67" s="2931"/>
      <c r="FY67" s="2931"/>
      <c r="FZ67" s="2931"/>
      <c r="GA67" s="2931"/>
      <c r="GB67" s="2931"/>
      <c r="GC67" s="2931"/>
      <c r="GD67" s="2931"/>
      <c r="GE67" s="2931"/>
      <c r="GF67" s="2931"/>
      <c r="GG67" s="2931"/>
      <c r="GH67" s="2931"/>
      <c r="GI67" s="2931"/>
      <c r="GJ67" s="2931"/>
      <c r="GK67" s="2931"/>
      <c r="GL67" s="2931"/>
      <c r="GM67" s="2931"/>
      <c r="GN67" s="2931"/>
      <c r="GO67" s="2931"/>
      <c r="GP67" s="2931"/>
      <c r="GQ67" s="2931"/>
      <c r="GR67" s="2931"/>
      <c r="GS67" s="2931"/>
      <c r="GT67" s="2931"/>
      <c r="GU67" s="2931"/>
      <c r="GV67" s="2931"/>
      <c r="GW67" s="2931"/>
      <c r="GX67" s="2931"/>
      <c r="GY67" s="2931"/>
      <c r="GZ67" s="2931"/>
      <c r="HA67" s="2931"/>
      <c r="HB67" s="2931"/>
      <c r="HC67" s="2931"/>
      <c r="HD67" s="2931"/>
      <c r="HE67" s="2931"/>
      <c r="HF67" s="2931"/>
      <c r="HG67" s="2931"/>
      <c r="HH67" s="2931"/>
      <c r="HI67" s="2931"/>
      <c r="HJ67" s="2931"/>
      <c r="HK67" s="2931"/>
      <c r="HL67" s="2931"/>
      <c r="HM67" s="2931"/>
      <c r="HN67" s="2931"/>
      <c r="HO67" s="2931"/>
      <c r="HP67" s="2931"/>
      <c r="HQ67" s="2931"/>
      <c r="HR67" s="2931"/>
      <c r="HS67" s="2931"/>
      <c r="HT67" s="2931"/>
      <c r="HU67" s="2931"/>
      <c r="HV67" s="2931"/>
      <c r="HW67" s="2931"/>
      <c r="HX67" s="2931"/>
      <c r="HY67" s="2931"/>
      <c r="HZ67" s="2931"/>
      <c r="IA67" s="2931"/>
      <c r="IB67" s="2931"/>
      <c r="IC67" s="2931"/>
      <c r="ID67" s="2931"/>
      <c r="IE67" s="2931"/>
      <c r="IF67" s="2931"/>
      <c r="IG67" s="2931"/>
      <c r="IH67" s="2931"/>
      <c r="II67" s="2931"/>
      <c r="IJ67" s="2931"/>
      <c r="IK67" s="2931"/>
      <c r="IL67" s="2931"/>
      <c r="IM67" s="2931"/>
      <c r="IN67" s="2931"/>
      <c r="IO67" s="2931" cm="1">
        <f t="array" ref="IO67">IF(LEN($G67)=0,"Rent Roll is incomplete",_xlfn.XLOOKUP(TRUE,EXACT(RentRoll_InputArea_DesignatedUnitType,$G67),RentRoll_InputArea_Beds,"Not Found"))</f>
        <v>0</v>
      </c>
      <c r="IP67" s="2934"/>
      <c r="IQ67" s="2935" t="str">
        <f t="shared" si="20"/>
        <v>0 Bedroom Unit (Efficiency/Studio)</v>
      </c>
      <c r="IR67" s="2926">
        <f t="shared" si="21"/>
        <v>1165</v>
      </c>
      <c r="IS67" s="2935"/>
      <c r="IT67" s="2931"/>
      <c r="IU67" s="2931"/>
      <c r="IV67" s="2931"/>
      <c r="IW67" s="2936" t="str">
        <f t="shared" si="22"/>
        <v>4-411</v>
      </c>
      <c r="IX67" s="2936"/>
      <c r="IY67" s="2936"/>
      <c r="IZ67" s="2936">
        <f t="shared" si="23"/>
        <v>0</v>
      </c>
      <c r="JA67" s="2936">
        <f t="shared" si="24"/>
        <v>1165</v>
      </c>
      <c r="JB67" s="2936"/>
      <c r="JC67" s="2936"/>
      <c r="JD67" s="2936"/>
      <c r="JE67" s="2936"/>
      <c r="JF67" s="2936"/>
      <c r="JG67" s="2936"/>
      <c r="JH67" s="2936">
        <f t="shared" si="25"/>
        <v>1217</v>
      </c>
      <c r="JI67" s="2936"/>
      <c r="JJ67" s="2936">
        <f t="shared" si="26"/>
      </c>
      <c r="JK67" s="2936"/>
      <c r="JL67" s="2936"/>
      <c r="JM67" s="2936"/>
      <c r="JN67" s="2936"/>
      <c r="JO67" s="2936"/>
      <c r="JP67" s="2936"/>
      <c r="JQ67" s="2936" t="str">
        <f t="shared" si="27"/>
        <v>Occupied</v>
      </c>
      <c r="JR67" s="2936" cm="1">
        <f t="array" ref="JR67">_xlfn.XLOOKUP(TRUE,EXACT(RentRoll_InputArea_DesignatedUnitType,$G67),RentRoll_InputArea_SquareFootage,"Not Found")</f>
        <v>800</v>
      </c>
      <c r="JS67" s="2936" t="str">
        <f t="shared" si="28"/>
        <v>Apartment</v>
      </c>
      <c r="JT67" s="2936">
        <f t="shared" si="29"/>
      </c>
      <c r="JU67" s="2936"/>
      <c r="JV67" s="2936"/>
      <c r="JW67" s="2936"/>
      <c r="JX67" s="2936"/>
      <c r="JY67" s="2936">
        <f t="shared" si="9"/>
        <v>43470</v>
      </c>
      <c r="JZ67" s="2936">
        <f t="shared" si="9"/>
        <v>43708</v>
      </c>
      <c r="KA67" s="2936"/>
      <c r="KB67" s="2936"/>
      <c r="KC67" s="2936"/>
      <c r="KD67" s="2936"/>
      <c r="KE67" s="2936"/>
      <c r="KF67" s="2936"/>
      <c r="KG67" s="2936"/>
      <c r="KH67" s="2936"/>
      <c r="KI67" s="2937"/>
      <c r="KJ67" s="2936"/>
      <c r="KK67" s="1353"/>
    </row>
    <row r="68" ht="15" customHeight="1">
      <c r="A68" s="2922">
        <f t="shared" si="10"/>
        <v>45</v>
      </c>
      <c r="B68" s="2865"/>
      <c r="C68" s="2873"/>
      <c r="D68" s="2873" t="s">
        <v>2832</v>
      </c>
      <c r="E68" s="2923">
        <v>1196</v>
      </c>
      <c r="F68" s="2924" t="s">
        <v>2833</v>
      </c>
      <c r="G68" s="2873" t="s">
        <v>2530</v>
      </c>
      <c r="H68" s="2923">
        <v>1113</v>
      </c>
      <c r="I68" s="2925" cm="1">
        <f t="array" ref="I68">_xlfn.LET(_xlpm.has_subsidy,$N68&gt;0,_xlpm.is_chap9_sbl,$FF$20,_xlpm.contract_rent,$H68,_xlpm.unit_type_mkt_rent,_xlfn.XLOOKUP(TRUE,EXACT($G68,RentRoll_InputArea_DesignatedUnitType),RentRoll_InputArea_MarketRent,"Not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8" s="2926">
        <f t="shared" si="11"/>
        <v>1113</v>
      </c>
      <c r="K68" s="2923"/>
      <c r="L68" s="2923"/>
      <c r="M68" s="2923"/>
      <c r="N68" s="2923"/>
      <c r="O68" s="2927">
        <v>43497</v>
      </c>
      <c r="P68" s="2927">
        <v>43708</v>
      </c>
      <c r="Q68" s="2928">
        <f t="shared" si="8"/>
      </c>
      <c r="R68" s="2928">
        <f t="shared" si="8"/>
        <v>1113</v>
      </c>
      <c r="S68" s="2928">
        <f t="shared" si="8"/>
      </c>
      <c r="T68" s="2928">
        <f t="shared" si="8"/>
      </c>
      <c r="U68" s="2928">
        <f t="shared" si="8"/>
      </c>
      <c r="V68" s="2928">
        <f t="shared" si="8"/>
      </c>
      <c r="W68" s="2928">
        <f t="shared" si="8"/>
      </c>
      <c r="X68" s="2928">
        <f t="shared" si="8"/>
      </c>
      <c r="Y68" s="2928">
        <f t="shared" si="8"/>
      </c>
      <c r="Z68" s="2928">
        <f t="shared" si="8"/>
      </c>
      <c r="AA68" s="2928">
        <f t="shared" si="8"/>
      </c>
      <c r="AB68" s="2928">
        <f t="shared" si="8"/>
      </c>
      <c r="AC68" s="2928">
        <f t="shared" si="8"/>
      </c>
      <c r="AD68" s="2928">
        <f t="shared" si="8"/>
      </c>
      <c r="AE68" s="2928">
        <f t="shared" si="8"/>
      </c>
      <c r="AF68" s="2928">
        <f t="shared" si="8"/>
      </c>
      <c r="AG68" s="2928">
        <f t="shared" si="8"/>
      </c>
      <c r="AH68" s="2928">
        <f t="shared" si="8"/>
      </c>
      <c r="AI68" s="2928">
        <f t="shared" si="8"/>
      </c>
      <c r="AJ68" s="2928">
        <f t="shared" si="8"/>
      </c>
      <c r="AK68" s="2928">
        <f t="shared" si="8"/>
      </c>
      <c r="AL68" s="2928">
        <f t="shared" si="8"/>
      </c>
      <c r="AM68" s="2928">
        <f t="shared" si="8"/>
      </c>
      <c r="AN68" s="2928">
        <f t="shared" si="8"/>
      </c>
      <c r="AO68" s="2928">
        <f t="shared" si="8"/>
      </c>
      <c r="AP68" s="2928">
        <f t="shared" si="8"/>
      </c>
      <c r="AQ68" s="2928">
        <f t="shared" si="8"/>
      </c>
      <c r="AR68" s="2928">
        <f t="shared" si="8"/>
      </c>
      <c r="AS68" s="2928">
        <f t="shared" si="8"/>
      </c>
      <c r="AT68" s="2928">
        <f t="shared" si="8"/>
      </c>
      <c r="AU68" s="2928">
        <f t="shared" si="8"/>
      </c>
      <c r="AV68" s="2928">
        <f t="shared" si="8"/>
      </c>
      <c r="AW68" s="2928">
        <f t="shared" si="8"/>
      </c>
      <c r="AX68" s="2928">
        <f t="shared" si="8"/>
      </c>
      <c r="AY68" s="2928">
        <f t="shared" si="8"/>
      </c>
      <c r="AZ68" s="2928">
        <f t="shared" si="8"/>
      </c>
      <c r="BA68" s="2928">
        <f t="shared" si="8"/>
      </c>
      <c r="BB68" s="2928">
        <f t="shared" si="8"/>
      </c>
      <c r="BC68" s="2928">
        <f t="shared" si="8"/>
      </c>
      <c r="BD68" s="2928">
        <f t="shared" si="8"/>
      </c>
      <c r="BE68" s="2928">
        <f t="shared" si="8"/>
      </c>
      <c r="BF68" s="2928">
        <f t="shared" si="8"/>
      </c>
      <c r="BG68" s="2928">
        <f t="shared" si="8"/>
      </c>
      <c r="BH68" s="2928">
        <f t="shared" si="8"/>
      </c>
      <c r="BI68" s="2928">
        <f t="shared" si="8"/>
      </c>
      <c r="BJ68" s="2928">
        <f t="shared" si="8"/>
      </c>
      <c r="BK68" s="2928">
        <f t="shared" si="8"/>
      </c>
      <c r="BL68" s="2928">
        <f t="shared" si="8"/>
      </c>
      <c r="BM68" s="2928">
        <f t="shared" si="8"/>
      </c>
      <c r="BN68" s="2928">
        <f t="shared" si="8"/>
      </c>
      <c r="BO68" s="2928">
        <f t="shared" si="8"/>
      </c>
      <c r="BP68" s="2928">
        <f t="shared" si="8"/>
      </c>
      <c r="BQ68" s="2928">
        <f t="shared" si="8"/>
      </c>
      <c r="BR68" s="2928">
        <f t="shared" si="8"/>
      </c>
      <c r="BS68" s="2928">
        <f t="shared" si="8"/>
      </c>
      <c r="BT68" s="2928">
        <f t="shared" si="8"/>
      </c>
      <c r="BU68" s="2928">
        <f t="shared" si="8"/>
      </c>
      <c r="BV68" s="2928">
        <f t="shared" si="8"/>
      </c>
      <c r="BW68" s="2928">
        <f t="shared" si="8"/>
      </c>
      <c r="BX68" s="2928">
        <f t="shared" si="8"/>
      </c>
      <c r="BY68" s="2928">
        <f t="shared" si="8"/>
      </c>
      <c r="BZ68" s="2928">
        <f t="shared" si="8"/>
      </c>
      <c r="CA68" s="2928">
        <f t="shared" si="8"/>
      </c>
      <c r="CB68" s="2928">
        <f t="shared" si="8"/>
      </c>
      <c r="CC68" s="2928">
        <f t="shared" si="8"/>
      </c>
      <c r="CD68" s="2928">
        <f t="shared" si="8"/>
      </c>
      <c r="CE68" s="2928">
        <f t="shared" si="8"/>
      </c>
      <c r="CF68" s="2928">
        <f t="shared" si="8"/>
      </c>
      <c r="CG68" s="2928">
        <f t="shared" si="8"/>
      </c>
      <c r="CH68" s="2928">
        <f t="shared" si="8"/>
      </c>
      <c r="CI68" s="2928">
        <f t="shared" si="8"/>
      </c>
      <c r="CJ68" s="2928">
        <f t="shared" si="8"/>
      </c>
      <c r="CK68" s="2928">
        <f t="shared" si="8"/>
      </c>
      <c r="CL68" s="2928">
        <f t="shared" si="8"/>
      </c>
      <c r="CM68" s="2928">
        <f t="shared" si="8"/>
      </c>
      <c r="CN68" s="2928">
        <f t="shared" si="8"/>
      </c>
      <c r="CO68" s="2928">
        <f t="shared" si="8"/>
      </c>
      <c r="CP68" s="2928">
        <f t="shared" si="8"/>
      </c>
      <c r="CQ68" s="2928">
        <f t="shared" si="8"/>
      </c>
      <c r="CR68" s="2928">
        <f t="shared" si="8"/>
      </c>
      <c r="CS68" s="2928">
        <f t="shared" si="8"/>
      </c>
      <c r="CT68" s="2928">
        <f t="shared" si="8"/>
      </c>
      <c r="CU68" s="2928">
        <f t="shared" si="8"/>
      </c>
      <c r="CV68" s="2928">
        <f t="shared" si="8"/>
      </c>
      <c r="CW68" s="2928">
        <f t="shared" si="8"/>
      </c>
      <c r="CX68" s="2928">
        <f t="shared" si="8"/>
      </c>
      <c r="CY68" s="2928">
        <f t="shared" si="8"/>
      </c>
      <c r="CZ68" s="2928">
        <f t="shared" si="8"/>
      </c>
      <c r="DA68" s="2928">
        <f t="shared" si="8"/>
      </c>
      <c r="DB68" s="2928">
        <f t="shared" si="8"/>
      </c>
      <c r="DC68" s="2928">
        <f t="shared" si="8"/>
      </c>
      <c r="DD68" s="2928">
        <f t="shared" si="8"/>
      </c>
      <c r="DE68" s="2928">
        <f t="shared" si="8"/>
      </c>
      <c r="DF68" s="2928">
        <f t="shared" si="8"/>
      </c>
      <c r="DG68" s="2928">
        <f t="shared" si="8"/>
      </c>
      <c r="DH68" s="2928">
        <f t="shared" si="8"/>
      </c>
      <c r="DI68" s="2928">
        <f t="shared" si="8"/>
      </c>
      <c r="DJ68" s="2928">
        <f t="shared" si="8"/>
      </c>
      <c r="DK68" s="2928">
        <f t="shared" si="8"/>
      </c>
      <c r="DL68" s="2928">
        <f t="shared" si="8"/>
      </c>
      <c r="DM68" s="2928">
        <f t="shared" si="8"/>
      </c>
      <c r="DN68" s="2928">
        <f t="shared" si="8"/>
      </c>
      <c r="DO68" s="2928">
        <f t="shared" si="8"/>
      </c>
      <c r="DP68" s="2928">
        <f t="shared" si="8"/>
      </c>
      <c r="DQ68" s="2928">
        <f t="shared" si="8"/>
      </c>
      <c r="DR68" s="2928">
        <f t="shared" si="8"/>
      </c>
      <c r="DS68" s="2928">
        <f t="shared" si="8"/>
      </c>
      <c r="DT68" s="2928">
        <f t="shared" si="8"/>
      </c>
      <c r="DU68" s="2928">
        <f t="shared" si="8"/>
      </c>
      <c r="DV68" s="2928">
        <f t="shared" si="8"/>
      </c>
      <c r="DW68" s="2928">
        <f t="shared" si="8"/>
      </c>
      <c r="DX68" s="2928">
        <f t="shared" si="8"/>
      </c>
      <c r="DY68" s="2928">
        <f t="shared" si="8"/>
      </c>
      <c r="DZ68" s="2928">
        <f t="shared" si="8"/>
      </c>
      <c r="EA68" s="2928">
        <f t="shared" si="8"/>
      </c>
      <c r="EB68" s="2928">
        <f t="shared" si="8"/>
      </c>
      <c r="EC68" s="2928">
        <f t="shared" si="8"/>
      </c>
      <c r="ED68" s="2928">
        <f t="shared" si="8"/>
      </c>
      <c r="EE68" s="2928">
        <f t="shared" si="8"/>
      </c>
      <c r="EF68" s="2928">
        <f t="shared" si="8"/>
      </c>
      <c r="EG68" s="2928">
        <f t="shared" si="8"/>
      </c>
      <c r="EH68" s="2928">
        <f t="shared" si="8"/>
      </c>
      <c r="EI68" s="2928">
        <f t="shared" si="8"/>
      </c>
      <c r="EJ68" s="2928">
        <f t="shared" si="8"/>
      </c>
      <c r="EK68" s="2928">
        <f t="shared" si="8"/>
      </c>
      <c r="EL68" s="2928">
        <f t="shared" si="8"/>
      </c>
      <c r="EM68" s="2928">
        <f t="shared" si="8"/>
      </c>
      <c r="EN68" s="2928">
        <f t="shared" si="8"/>
      </c>
      <c r="EO68" s="2928">
        <f t="shared" si="8"/>
      </c>
      <c r="EP68" s="2928">
        <f t="shared" si="8"/>
      </c>
      <c r="EQ68" s="2928">
        <f t="shared" si="8"/>
      </c>
      <c r="ER68" s="2928">
        <f t="shared" si="8"/>
      </c>
      <c r="ES68" s="2928">
        <f t="shared" si="8"/>
      </c>
      <c r="ET68" s="2928">
        <f t="shared" si="8"/>
      </c>
      <c r="EU68" s="2928">
        <f t="shared" si="8"/>
      </c>
      <c r="EV68" s="2928">
        <f t="shared" si="8"/>
      </c>
      <c r="EW68" s="2928">
        <f t="shared" si="8"/>
      </c>
      <c r="EX68" s="2928">
        <f t="shared" si="8"/>
      </c>
      <c r="EY68" s="2928">
        <f t="shared" si="8"/>
      </c>
      <c r="EZ68" s="2928">
        <f t="shared" si="8"/>
      </c>
      <c r="FA68" s="2929" t="str">
        <f t="shared" si="12"/>
        <v>-</v>
      </c>
      <c r="FB68" s="2825">
        <f t="shared" si="13"/>
      </c>
      <c r="FC68" s="2930" cm="1">
        <f t="array" ref="FC68">_xlfn.LET(_xlpm.unit_type,$G68,_xlpm.market_rent_from_rent_roll,$E68,_xlpm.unit_type_list,RentRoll_InputArea_DesignatedUnitType,_xlpm.rent_by_unit_type,RentRoll_InputArea_MarketRent,_xlpm.use_rent_roll_market_rent,LEFT(RR_VacantUnitMktRentSource,9)="Rent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8" s="2930">
        <f t="shared" si="14"/>
        <v>1113</v>
      </c>
      <c r="FE68" s="2930">
        <f t="shared" si="15"/>
        <v>1113</v>
      </c>
      <c r="FF68" s="2930">
        <f t="shared" si="16"/>
        <v>1113</v>
      </c>
      <c r="FG68" s="2931"/>
      <c r="FH68" s="2932">
        <f t="shared" si="17"/>
      </c>
      <c r="FI68" s="2932">
        <f t="shared" si="18"/>
      </c>
      <c r="FJ68" s="2931"/>
      <c r="FK68" s="2933" cm="1">
        <f t="array" ref="FK68">IF(AND(LEN($D68)&gt;0,ISNA(MATCH(TRUE,EXACT($G68,RentRoll_InputArea_DesignatedUnitType),0))),1,0)</f>
        <v>0</v>
      </c>
      <c r="FL68" s="2931">
        <f t="shared" si="19"/>
        <v>45</v>
      </c>
      <c r="FM68" s="2931"/>
      <c r="FN68" s="2931"/>
      <c r="FO68" s="2931"/>
      <c r="FP68" s="2931"/>
      <c r="FQ68" s="2931"/>
      <c r="FR68" s="2931"/>
      <c r="FS68" s="2931"/>
      <c r="FT68" s="2931"/>
      <c r="FU68" s="2931"/>
      <c r="FV68" s="2931"/>
      <c r="FW68" s="2931"/>
      <c r="FX68" s="2931"/>
      <c r="FY68" s="2931"/>
      <c r="FZ68" s="2931"/>
      <c r="GA68" s="2931"/>
      <c r="GB68" s="2931"/>
      <c r="GC68" s="2931"/>
      <c r="GD68" s="2931"/>
      <c r="GE68" s="2931"/>
      <c r="GF68" s="2931"/>
      <c r="GG68" s="2931"/>
      <c r="GH68" s="2931"/>
      <c r="GI68" s="2931"/>
      <c r="GJ68" s="2931"/>
      <c r="GK68" s="2931"/>
      <c r="GL68" s="2931"/>
      <c r="GM68" s="2931"/>
      <c r="GN68" s="2931"/>
      <c r="GO68" s="2931"/>
      <c r="GP68" s="2931"/>
      <c r="GQ68" s="2931"/>
      <c r="GR68" s="2931"/>
      <c r="GS68" s="2931"/>
      <c r="GT68" s="2931"/>
      <c r="GU68" s="2931"/>
      <c r="GV68" s="2931"/>
      <c r="GW68" s="2931"/>
      <c r="GX68" s="2931"/>
      <c r="GY68" s="2931"/>
      <c r="GZ68" s="2931"/>
      <c r="HA68" s="2931"/>
      <c r="HB68" s="2931"/>
      <c r="HC68" s="2931"/>
      <c r="HD68" s="2931"/>
      <c r="HE68" s="2931"/>
      <c r="HF68" s="2931"/>
      <c r="HG68" s="2931"/>
      <c r="HH68" s="2931"/>
      <c r="HI68" s="2931"/>
      <c r="HJ68" s="2931"/>
      <c r="HK68" s="2931"/>
      <c r="HL68" s="2931"/>
      <c r="HM68" s="2931"/>
      <c r="HN68" s="2931"/>
      <c r="HO68" s="2931"/>
      <c r="HP68" s="2931"/>
      <c r="HQ68" s="2931"/>
      <c r="HR68" s="2931"/>
      <c r="HS68" s="2931"/>
      <c r="HT68" s="2931"/>
      <c r="HU68" s="2931"/>
      <c r="HV68" s="2931"/>
      <c r="HW68" s="2931"/>
      <c r="HX68" s="2931"/>
      <c r="HY68" s="2931"/>
      <c r="HZ68" s="2931"/>
      <c r="IA68" s="2931"/>
      <c r="IB68" s="2931"/>
      <c r="IC68" s="2931"/>
      <c r="ID68" s="2931"/>
      <c r="IE68" s="2931"/>
      <c r="IF68" s="2931"/>
      <c r="IG68" s="2931"/>
      <c r="IH68" s="2931"/>
      <c r="II68" s="2931"/>
      <c r="IJ68" s="2931"/>
      <c r="IK68" s="2931"/>
      <c r="IL68" s="2931"/>
      <c r="IM68" s="2931"/>
      <c r="IN68" s="2931"/>
      <c r="IO68" s="2931" cm="1">
        <f t="array" ref="IO68">IF(LEN($G68)=0,"Rent Roll is incomplete",_xlfn.XLOOKUP(TRUE,EXACT(RentRoll_InputArea_DesignatedUnitType,$G68),RentRoll_InputArea_Beds,"Not Found"))</f>
        <v>0</v>
      </c>
      <c r="IP68" s="2934"/>
      <c r="IQ68" s="2935" t="str">
        <f t="shared" si="20"/>
        <v>0 Bedroom Unit (Efficiency/Studio)</v>
      </c>
      <c r="IR68" s="2926">
        <f t="shared" si="21"/>
        <v>1113</v>
      </c>
      <c r="IS68" s="2935"/>
      <c r="IT68" s="2931"/>
      <c r="IU68" s="2931"/>
      <c r="IV68" s="2931"/>
      <c r="IW68" s="2936" t="str">
        <f t="shared" si="22"/>
        <v>5-500</v>
      </c>
      <c r="IX68" s="2936"/>
      <c r="IY68" s="2936"/>
      <c r="IZ68" s="2936">
        <f t="shared" si="23"/>
        <v>0</v>
      </c>
      <c r="JA68" s="2936">
        <f t="shared" si="24"/>
        <v>1113</v>
      </c>
      <c r="JB68" s="2936"/>
      <c r="JC68" s="2936"/>
      <c r="JD68" s="2936"/>
      <c r="JE68" s="2936"/>
      <c r="JF68" s="2936"/>
      <c r="JG68" s="2936"/>
      <c r="JH68" s="2936">
        <f t="shared" si="25"/>
        <v>1217</v>
      </c>
      <c r="JI68" s="2936"/>
      <c r="JJ68" s="2936">
        <f t="shared" si="26"/>
      </c>
      <c r="JK68" s="2936"/>
      <c r="JL68" s="2936"/>
      <c r="JM68" s="2936"/>
      <c r="JN68" s="2936"/>
      <c r="JO68" s="2936"/>
      <c r="JP68" s="2936"/>
      <c r="JQ68" s="2936" t="str">
        <f t="shared" si="27"/>
        <v>Occupied</v>
      </c>
      <c r="JR68" s="2936" cm="1">
        <f t="array" ref="JR68">_xlfn.XLOOKUP(TRUE,EXACT(RentRoll_InputArea_DesignatedUnitType,$G68),RentRoll_InputArea_SquareFootage,"Not Found")</f>
        <v>800</v>
      </c>
      <c r="JS68" s="2936" t="str">
        <f t="shared" si="28"/>
        <v>Apartment</v>
      </c>
      <c r="JT68" s="2936">
        <f t="shared" si="29"/>
      </c>
      <c r="JU68" s="2936"/>
      <c r="JV68" s="2936"/>
      <c r="JW68" s="2936"/>
      <c r="JX68" s="2936"/>
      <c r="JY68" s="2936">
        <f t="shared" si="9"/>
        <v>43497</v>
      </c>
      <c r="JZ68" s="2936">
        <f t="shared" si="9"/>
        <v>43708</v>
      </c>
      <c r="KA68" s="2936"/>
      <c r="KB68" s="2936"/>
      <c r="KC68" s="2936"/>
      <c r="KD68" s="2936"/>
      <c r="KE68" s="2936"/>
      <c r="KF68" s="2936"/>
      <c r="KG68" s="2936"/>
      <c r="KH68" s="2936"/>
      <c r="KI68" s="2937"/>
      <c r="KJ68" s="2936"/>
      <c r="KK68" s="1353"/>
    </row>
    <row r="69" ht="15" customHeight="1">
      <c r="A69" s="2922">
        <f t="shared" si="10"/>
        <v>46</v>
      </c>
      <c r="B69" s="2865"/>
      <c r="C69" s="2873"/>
      <c r="D69" s="2873" t="s">
        <v>2834</v>
      </c>
      <c r="E69" s="2923">
        <v>1245</v>
      </c>
      <c r="F69" s="2924" t="s">
        <v>2835</v>
      </c>
      <c r="G69" s="2873" t="s">
        <v>2530</v>
      </c>
      <c r="H69" s="2923">
        <v>1237</v>
      </c>
      <c r="I69" s="2925" cm="1">
        <f t="array" ref="I69">_xlfn.LET(_xlpm.has_subsidy,$N69&gt;0,_xlpm.is_chap9_sbl,$FF$20,_xlpm.contract_rent,$H69,_xlpm.unit_type_mkt_rent,_xlfn.XLOOKUP(TRUE,EXACT($G69,RentRoll_InputArea_DesignatedUnitType),RentRoll_InputArea_MarketRent,"Not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69" s="2926">
        <f t="shared" si="11"/>
        <v>1237</v>
      </c>
      <c r="K69" s="2923"/>
      <c r="L69" s="2923"/>
      <c r="M69" s="2923"/>
      <c r="N69" s="2923"/>
      <c r="O69" s="2927">
        <v>43497</v>
      </c>
      <c r="P69" s="2927">
        <v>43769</v>
      </c>
      <c r="Q69" s="2928">
        <f t="shared" si="8"/>
      </c>
      <c r="R69" s="2928">
        <f t="shared" si="8"/>
        <v>1237</v>
      </c>
      <c r="S69" s="2928">
        <f t="shared" si="8"/>
      </c>
      <c r="T69" s="2928">
        <f t="shared" si="8"/>
      </c>
      <c r="U69" s="2928">
        <f t="shared" si="8"/>
      </c>
      <c r="V69" s="2928">
        <f t="shared" si="8"/>
      </c>
      <c r="W69" s="2928">
        <f t="shared" si="8"/>
      </c>
      <c r="X69" s="2928">
        <f t="shared" si="8"/>
      </c>
      <c r="Y69" s="2928">
        <f t="shared" si="8"/>
      </c>
      <c r="Z69" s="2928">
        <f t="shared" si="8"/>
      </c>
      <c r="AA69" s="2928">
        <f t="shared" si="8"/>
      </c>
      <c r="AB69" s="2928">
        <f t="shared" si="8"/>
      </c>
      <c r="AC69" s="2928">
        <f t="shared" si="8"/>
      </c>
      <c r="AD69" s="2928">
        <f t="shared" si="8"/>
      </c>
      <c r="AE69" s="2928">
        <f t="shared" si="8"/>
      </c>
      <c r="AF69" s="2928">
        <f t="shared" si="8"/>
      </c>
      <c r="AG69" s="2928">
        <f t="shared" si="8"/>
      </c>
      <c r="AH69" s="2928">
        <f t="shared" si="8"/>
      </c>
      <c r="AI69" s="2928">
        <f t="shared" si="8"/>
      </c>
      <c r="AJ69" s="2928">
        <f t="shared" si="8"/>
      </c>
      <c r="AK69" s="2928">
        <f t="shared" si="8"/>
      </c>
      <c r="AL69" s="2928">
        <f t="shared" si="8"/>
      </c>
      <c r="AM69" s="2928">
        <f t="shared" si="8"/>
      </c>
      <c r="AN69" s="2928">
        <f t="shared" si="8"/>
      </c>
      <c r="AO69" s="2928">
        <f t="shared" si="8"/>
      </c>
      <c r="AP69" s="2928">
        <f t="shared" si="8"/>
      </c>
      <c r="AQ69" s="2928">
        <f t="shared" si="8"/>
      </c>
      <c r="AR69" s="2928">
        <f t="shared" si="8"/>
      </c>
      <c r="AS69" s="2928">
        <f t="shared" si="8"/>
      </c>
      <c r="AT69" s="2928">
        <f t="shared" si="8"/>
      </c>
      <c r="AU69" s="2928">
        <f t="shared" si="8"/>
      </c>
      <c r="AV69" s="2928">
        <f t="shared" si="8"/>
      </c>
      <c r="AW69" s="2928">
        <f t="shared" si="8"/>
      </c>
      <c r="AX69" s="2928">
        <f t="shared" si="8"/>
      </c>
      <c r="AY69" s="2928">
        <f t="shared" si="8"/>
      </c>
      <c r="AZ69" s="2928">
        <f t="shared" si="8"/>
      </c>
      <c r="BA69" s="2928">
        <f t="shared" si="8"/>
      </c>
      <c r="BB69" s="2928">
        <f t="shared" si="8"/>
      </c>
      <c r="BC69" s="2928">
        <f t="shared" si="8"/>
      </c>
      <c r="BD69" s="2928">
        <f t="shared" si="8"/>
      </c>
      <c r="BE69" s="2928">
        <f t="shared" si="8"/>
      </c>
      <c r="BF69" s="2928">
        <f t="shared" si="8"/>
      </c>
      <c r="BG69" s="2928">
        <f t="shared" si="8"/>
      </c>
      <c r="BH69" s="2928">
        <f t="shared" si="8"/>
      </c>
      <c r="BI69" s="2928">
        <f t="shared" si="8"/>
      </c>
      <c r="BJ69" s="2928">
        <f t="shared" si="8"/>
      </c>
      <c r="BK69" s="2928">
        <f t="shared" si="8"/>
      </c>
      <c r="BL69" s="2928">
        <f t="shared" si="8"/>
      </c>
      <c r="BM69" s="2928">
        <f t="shared" si="8"/>
      </c>
      <c r="BN69" s="2928">
        <f t="shared" si="8"/>
      </c>
      <c r="BO69" s="2928">
        <f t="shared" si="8"/>
      </c>
      <c r="BP69" s="2928">
        <f t="shared" si="8"/>
      </c>
      <c r="BQ69" s="2928">
        <f t="shared" si="8"/>
      </c>
      <c r="BR69" s="2928">
        <f t="shared" si="8"/>
      </c>
      <c r="BS69" s="2928">
        <f t="shared" si="8"/>
      </c>
      <c r="BT69" s="2928">
        <f t="shared" si="8"/>
      </c>
      <c r="BU69" s="2928">
        <f t="shared" si="8"/>
      </c>
      <c r="BV69" s="2928">
        <f t="shared" si="8"/>
      </c>
      <c r="BW69" s="2928">
        <f t="shared" si="8"/>
      </c>
      <c r="BX69" s="2928">
        <f t="shared" si="8"/>
      </c>
      <c r="BY69" s="2928">
        <f t="shared" si="8"/>
      </c>
      <c r="BZ69" s="2928">
        <f t="shared" si="8"/>
      </c>
      <c r="CA69" s="2928">
        <f t="shared" si="8"/>
      </c>
      <c r="CB69" s="2928">
        <f t="shared" si="8"/>
      </c>
      <c r="CC69" s="2928">
        <f t="shared" si="8"/>
      </c>
      <c r="CD69" s="2928">
        <f t="shared" si="8"/>
      </c>
      <c r="CE69" s="2928">
        <f t="shared" si="8"/>
      </c>
      <c r="CF69" s="2928">
        <f t="shared" si="8"/>
      </c>
      <c r="CG69" s="2928">
        <f t="shared" si="8"/>
      </c>
      <c r="CH69" s="2928">
        <f t="shared" si="8"/>
      </c>
      <c r="CI69" s="2928">
        <f t="shared" si="8"/>
      </c>
      <c r="CJ69" s="2928">
        <f t="shared" si="8"/>
      </c>
      <c r="CK69" s="2928">
        <f t="shared" si="8"/>
      </c>
      <c r="CL69" s="2928">
        <f t="shared" si="8"/>
      </c>
      <c r="CM69" s="2928">
        <f t="shared" si="8"/>
      </c>
      <c r="CN69" s="2928">
        <f t="shared" si="8"/>
      </c>
      <c r="CO69" s="2928">
        <f t="shared" si="8"/>
      </c>
      <c r="CP69" s="2928">
        <f t="shared" si="8"/>
      </c>
      <c r="CQ69" s="2928">
        <f t="shared" si="8"/>
      </c>
      <c r="CR69" s="2928">
        <f t="shared" si="8"/>
      </c>
      <c r="CS69" s="2928">
        <f t="shared" si="8"/>
      </c>
      <c r="CT69" s="2928">
        <f t="shared" si="8"/>
      </c>
      <c r="CU69" s="2928">
        <f t="shared" si="8"/>
      </c>
      <c r="CV69" s="2928">
        <f t="shared" si="8"/>
      </c>
      <c r="CW69" s="2928">
        <f t="shared" si="8"/>
      </c>
      <c r="CX69" s="2928">
        <f t="shared" si="8"/>
      </c>
      <c r="CY69" s="2928">
        <f t="shared" si="8"/>
      </c>
      <c r="CZ69" s="2928">
        <f t="shared" si="8"/>
      </c>
      <c r="DA69" s="2928">
        <f t="shared" si="8"/>
      </c>
      <c r="DB69" s="2928">
        <f t="shared" si="8"/>
      </c>
      <c r="DC69" s="2928">
        <f t="shared" si="8"/>
      </c>
      <c r="DD69" s="2928">
        <f t="shared" si="8"/>
      </c>
      <c r="DE69" s="2928">
        <f t="shared" si="8"/>
      </c>
      <c r="DF69" s="2928">
        <f t="shared" si="8"/>
      </c>
      <c r="DG69" s="2928">
        <f t="shared" si="8"/>
      </c>
      <c r="DH69" s="2928">
        <f t="shared" si="8"/>
      </c>
      <c r="DI69" s="2928">
        <f t="shared" si="8"/>
      </c>
      <c r="DJ69" s="2928">
        <f t="shared" si="8"/>
      </c>
      <c r="DK69" s="2928">
        <f t="shared" si="8"/>
      </c>
      <c r="DL69" s="2928">
        <f t="shared" si="8"/>
      </c>
      <c r="DM69" s="2928">
        <f t="shared" si="8"/>
      </c>
      <c r="DN69" s="2928">
        <f t="shared" si="8"/>
      </c>
      <c r="DO69" s="2928">
        <f t="shared" si="8"/>
      </c>
      <c r="DP69" s="2928">
        <f t="shared" si="8"/>
      </c>
      <c r="DQ69" s="2928">
        <f t="shared" si="8"/>
      </c>
      <c r="DR69" s="2928">
        <f t="shared" si="8"/>
      </c>
      <c r="DS69" s="2928">
        <f t="shared" si="8"/>
      </c>
      <c r="DT69" s="2928">
        <f t="shared" si="8"/>
      </c>
      <c r="DU69" s="2928">
        <f t="shared" si="8"/>
      </c>
      <c r="DV69" s="2928">
        <f t="shared" si="8"/>
      </c>
      <c r="DW69" s="2928">
        <f t="shared" si="8"/>
      </c>
      <c r="DX69" s="2928">
        <f t="shared" si="8"/>
      </c>
      <c r="DY69" s="2928">
        <f t="shared" si="8"/>
      </c>
      <c r="DZ69" s="2928">
        <f t="shared" si="8"/>
      </c>
      <c r="EA69" s="2928">
        <f t="shared" si="8"/>
      </c>
      <c r="EB69" s="2928">
        <f t="shared" si="8"/>
      </c>
      <c r="EC69" s="2928">
        <f t="shared" si="8"/>
      </c>
      <c r="ED69" s="2928">
        <f t="shared" si="8"/>
      </c>
      <c r="EE69" s="2928">
        <f t="shared" si="8"/>
      </c>
      <c r="EF69" s="2928">
        <f t="shared" si="8"/>
      </c>
      <c r="EG69" s="2928">
        <f t="shared" si="8"/>
      </c>
      <c r="EH69" s="2928">
        <f t="shared" si="8"/>
      </c>
      <c r="EI69" s="2928">
        <f t="shared" si="8"/>
      </c>
      <c r="EJ69" s="2928">
        <f t="shared" si="8"/>
      </c>
      <c r="EK69" s="2928">
        <f t="shared" si="8"/>
      </c>
      <c r="EL69" s="2928">
        <f t="shared" si="8"/>
      </c>
      <c r="EM69" s="2928">
        <f t="shared" si="8"/>
      </c>
      <c r="EN69" s="2928">
        <f t="shared" si="8"/>
      </c>
      <c r="EO69" s="2928">
        <f t="shared" si="8"/>
      </c>
      <c r="EP69" s="2928">
        <f t="shared" si="8"/>
      </c>
      <c r="EQ69" s="2928">
        <f t="shared" si="8"/>
      </c>
      <c r="ER69" s="2928">
        <f t="shared" si="8"/>
      </c>
      <c r="ES69" s="2928">
        <f t="shared" si="8"/>
      </c>
      <c r="ET69" s="2928">
        <f t="shared" si="8"/>
      </c>
      <c r="EU69" s="2928">
        <f t="shared" si="8"/>
      </c>
      <c r="EV69" s="2928">
        <f t="shared" si="8"/>
      </c>
      <c r="EW69" s="2928">
        <f t="shared" si="8"/>
      </c>
      <c r="EX69" s="2928">
        <f t="shared" si="8"/>
      </c>
      <c r="EY69" s="2928">
        <f t="shared" si="8"/>
      </c>
      <c r="EZ69" s="2928">
        <f t="shared" si="8"/>
      </c>
      <c r="FA69" s="2929" t="str">
        <f t="shared" si="12"/>
        <v>-</v>
      </c>
      <c r="FB69" s="2825">
        <f t="shared" si="13"/>
      </c>
      <c r="FC69" s="2930" cm="1">
        <f t="array" ref="FC69">_xlfn.LET(_xlpm.unit_type,$G69,_xlpm.market_rent_from_rent_roll,$E69,_xlpm.unit_type_list,RentRoll_InputArea_DesignatedUnitType,_xlpm.rent_by_unit_type,RentRoll_InputArea_MarketRent,_xlpm.use_rent_roll_market_rent,LEFT(RR_VacantUnitMktRentSource,9)="Rent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69" s="2930">
        <f t="shared" si="14"/>
        <v>1237</v>
      </c>
      <c r="FE69" s="2930">
        <f t="shared" si="15"/>
        <v>1237</v>
      </c>
      <c r="FF69" s="2930">
        <f t="shared" si="16"/>
        <v>1237</v>
      </c>
      <c r="FG69" s="2931"/>
      <c r="FH69" s="2932">
        <f t="shared" si="17"/>
      </c>
      <c r="FI69" s="2932">
        <f t="shared" si="18"/>
      </c>
      <c r="FJ69" s="2931"/>
      <c r="FK69" s="2933" cm="1">
        <f t="array" ref="FK69">IF(AND(LEN($D69)&gt;0,ISNA(MATCH(TRUE,EXACT($G69,RentRoll_InputArea_DesignatedUnitType),0))),1,0)</f>
        <v>0</v>
      </c>
      <c r="FL69" s="2931">
        <f t="shared" si="19"/>
        <v>46</v>
      </c>
      <c r="FM69" s="2931"/>
      <c r="FN69" s="2931"/>
      <c r="FO69" s="2931"/>
      <c r="FP69" s="2931"/>
      <c r="FQ69" s="2931"/>
      <c r="FR69" s="2931"/>
      <c r="FS69" s="2931"/>
      <c r="FT69" s="2931"/>
      <c r="FU69" s="2931"/>
      <c r="FV69" s="2931"/>
      <c r="FW69" s="2931"/>
      <c r="FX69" s="2931"/>
      <c r="FY69" s="2931"/>
      <c r="FZ69" s="2931"/>
      <c r="GA69" s="2931"/>
      <c r="GB69" s="2931"/>
      <c r="GC69" s="2931"/>
      <c r="GD69" s="2931"/>
      <c r="GE69" s="2931"/>
      <c r="GF69" s="2931"/>
      <c r="GG69" s="2931"/>
      <c r="GH69" s="2931"/>
      <c r="GI69" s="2931"/>
      <c r="GJ69" s="2931"/>
      <c r="GK69" s="2931"/>
      <c r="GL69" s="2931"/>
      <c r="GM69" s="2931"/>
      <c r="GN69" s="2931"/>
      <c r="GO69" s="2931"/>
      <c r="GP69" s="2931"/>
      <c r="GQ69" s="2931"/>
      <c r="GR69" s="2931"/>
      <c r="GS69" s="2931"/>
      <c r="GT69" s="2931"/>
      <c r="GU69" s="2931"/>
      <c r="GV69" s="2931"/>
      <c r="GW69" s="2931"/>
      <c r="GX69" s="2931"/>
      <c r="GY69" s="2931"/>
      <c r="GZ69" s="2931"/>
      <c r="HA69" s="2931"/>
      <c r="HB69" s="2931"/>
      <c r="HC69" s="2931"/>
      <c r="HD69" s="2931"/>
      <c r="HE69" s="2931"/>
      <c r="HF69" s="2931"/>
      <c r="HG69" s="2931"/>
      <c r="HH69" s="2931"/>
      <c r="HI69" s="2931"/>
      <c r="HJ69" s="2931"/>
      <c r="HK69" s="2931"/>
      <c r="HL69" s="2931"/>
      <c r="HM69" s="2931"/>
      <c r="HN69" s="2931"/>
      <c r="HO69" s="2931"/>
      <c r="HP69" s="2931"/>
      <c r="HQ69" s="2931"/>
      <c r="HR69" s="2931"/>
      <c r="HS69" s="2931"/>
      <c r="HT69" s="2931"/>
      <c r="HU69" s="2931"/>
      <c r="HV69" s="2931"/>
      <c r="HW69" s="2931"/>
      <c r="HX69" s="2931"/>
      <c r="HY69" s="2931"/>
      <c r="HZ69" s="2931"/>
      <c r="IA69" s="2931"/>
      <c r="IB69" s="2931"/>
      <c r="IC69" s="2931"/>
      <c r="ID69" s="2931"/>
      <c r="IE69" s="2931"/>
      <c r="IF69" s="2931"/>
      <c r="IG69" s="2931"/>
      <c r="IH69" s="2931"/>
      <c r="II69" s="2931"/>
      <c r="IJ69" s="2931"/>
      <c r="IK69" s="2931"/>
      <c r="IL69" s="2931"/>
      <c r="IM69" s="2931"/>
      <c r="IN69" s="2931"/>
      <c r="IO69" s="2931" cm="1">
        <f t="array" ref="IO69">IF(LEN($G69)=0,"Rent Roll is incomplete",_xlfn.XLOOKUP(TRUE,EXACT(RentRoll_InputArea_DesignatedUnitType,$G69),RentRoll_InputArea_Beds,"Not Found"))</f>
        <v>0</v>
      </c>
      <c r="IP69" s="2934"/>
      <c r="IQ69" s="2935" t="str">
        <f t="shared" si="20"/>
        <v>0 Bedroom Unit (Efficiency/Studio)</v>
      </c>
      <c r="IR69" s="2926">
        <f t="shared" si="21"/>
        <v>1237</v>
      </c>
      <c r="IS69" s="2935"/>
      <c r="IT69" s="2931"/>
      <c r="IU69" s="2931"/>
      <c r="IV69" s="2931"/>
      <c r="IW69" s="2936" t="str">
        <f t="shared" si="22"/>
        <v>5-501</v>
      </c>
      <c r="IX69" s="2936"/>
      <c r="IY69" s="2936"/>
      <c r="IZ69" s="2936">
        <f t="shared" si="23"/>
        <v>0</v>
      </c>
      <c r="JA69" s="2936">
        <f t="shared" si="24"/>
        <v>1237</v>
      </c>
      <c r="JB69" s="2936"/>
      <c r="JC69" s="2936"/>
      <c r="JD69" s="2936"/>
      <c r="JE69" s="2936"/>
      <c r="JF69" s="2936"/>
      <c r="JG69" s="2936"/>
      <c r="JH69" s="2936">
        <f t="shared" si="25"/>
        <v>1217</v>
      </c>
      <c r="JI69" s="2936"/>
      <c r="JJ69" s="2936">
        <f t="shared" si="26"/>
      </c>
      <c r="JK69" s="2936"/>
      <c r="JL69" s="2936"/>
      <c r="JM69" s="2936"/>
      <c r="JN69" s="2936"/>
      <c r="JO69" s="2936"/>
      <c r="JP69" s="2936"/>
      <c r="JQ69" s="2936" t="str">
        <f t="shared" si="27"/>
        <v>Occupied</v>
      </c>
      <c r="JR69" s="2936" cm="1">
        <f t="array" ref="JR69">_xlfn.XLOOKUP(TRUE,EXACT(RentRoll_InputArea_DesignatedUnitType,$G69),RentRoll_InputArea_SquareFootage,"Not Found")</f>
        <v>800</v>
      </c>
      <c r="JS69" s="2936" t="str">
        <f t="shared" si="28"/>
        <v>Apartment</v>
      </c>
      <c r="JT69" s="2936">
        <f t="shared" si="29"/>
      </c>
      <c r="JU69" s="2936"/>
      <c r="JV69" s="2936"/>
      <c r="JW69" s="2936"/>
      <c r="JX69" s="2936"/>
      <c r="JY69" s="2936">
        <f t="shared" si="9"/>
        <v>43497</v>
      </c>
      <c r="JZ69" s="2936">
        <f t="shared" si="9"/>
        <v>43769</v>
      </c>
      <c r="KA69" s="2936"/>
      <c r="KB69" s="2936"/>
      <c r="KC69" s="2936"/>
      <c r="KD69" s="2936"/>
      <c r="KE69" s="2936"/>
      <c r="KF69" s="2936"/>
      <c r="KG69" s="2936"/>
      <c r="KH69" s="2936"/>
      <c r="KI69" s="2937"/>
      <c r="KJ69" s="2936"/>
      <c r="KK69" s="1353"/>
    </row>
    <row r="70" ht="15" customHeight="1">
      <c r="A70" s="2922">
        <f t="shared" si="10"/>
        <v>47</v>
      </c>
      <c r="B70" s="2865"/>
      <c r="C70" s="2873"/>
      <c r="D70" s="2873" t="s">
        <v>2836</v>
      </c>
      <c r="E70" s="2923">
        <v>1159</v>
      </c>
      <c r="F70" s="2924" t="s">
        <v>2837</v>
      </c>
      <c r="G70" s="2873" t="s">
        <v>2530</v>
      </c>
      <c r="H70" s="2923">
        <v>1268</v>
      </c>
      <c r="I70" s="2925" cm="1">
        <f t="array" ref="I70">_xlfn.LET(_xlpm.has_subsidy,$N70&gt;0,_xlpm.is_chap9_sbl,$FF$20,_xlpm.contract_rent,$H70,_xlpm.unit_type_mkt_rent,_xlfn.XLOOKUP(TRUE,EXACT($G70,RentRoll_InputArea_DesignatedUnitType),RentRoll_InputArea_MarketRent,"Not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0" s="2926">
        <f t="shared" si="11"/>
        <v>1268</v>
      </c>
      <c r="K70" s="2923"/>
      <c r="L70" s="2923"/>
      <c r="M70" s="2923"/>
      <c r="N70" s="2923"/>
      <c r="O70" s="2927">
        <v>43556</v>
      </c>
      <c r="P70" s="2927">
        <v>43769</v>
      </c>
      <c r="Q70" s="2928">
        <f t="shared" si="8"/>
      </c>
      <c r="R70" s="2928">
        <f t="shared" si="8"/>
        <v>1268</v>
      </c>
      <c r="S70" s="2928">
        <f t="shared" si="8"/>
      </c>
      <c r="T70" s="2928">
        <f t="shared" si="8"/>
      </c>
      <c r="U70" s="2928">
        <f t="shared" si="8"/>
      </c>
      <c r="V70" s="2928">
        <f t="shared" si="8"/>
      </c>
      <c r="W70" s="2928">
        <f t="shared" si="8"/>
      </c>
      <c r="X70" s="2928">
        <f t="shared" si="8"/>
      </c>
      <c r="Y70" s="2928">
        <f t="shared" si="8"/>
      </c>
      <c r="Z70" s="2928">
        <f t="shared" si="8"/>
      </c>
      <c r="AA70" s="2928">
        <f t="shared" si="8"/>
      </c>
      <c r="AB70" s="2928">
        <f t="shared" si="8"/>
      </c>
      <c r="AC70" s="2928">
        <f t="shared" si="8"/>
      </c>
      <c r="AD70" s="2928">
        <f t="shared" si="8"/>
      </c>
      <c r="AE70" s="2928">
        <f t="shared" si="8"/>
      </c>
      <c r="AF70" s="2928">
        <f t="shared" si="8"/>
      </c>
      <c r="AG70" s="2928">
        <f t="shared" si="8"/>
      </c>
      <c r="AH70" s="2928">
        <f t="shared" si="8"/>
      </c>
      <c r="AI70" s="2928">
        <f t="shared" si="8"/>
      </c>
      <c r="AJ70" s="2928">
        <f t="shared" si="8"/>
      </c>
      <c r="AK70" s="2928">
        <f t="shared" si="8"/>
      </c>
      <c r="AL70" s="2928">
        <f t="shared" si="8"/>
      </c>
      <c r="AM70" s="2928">
        <f t="shared" si="8"/>
      </c>
      <c r="AN70" s="2928">
        <f t="shared" si="8"/>
      </c>
      <c r="AO70" s="2928">
        <f t="shared" si="8"/>
      </c>
      <c r="AP70" s="2928">
        <f t="shared" si="8"/>
      </c>
      <c r="AQ70" s="2928">
        <f t="shared" si="8"/>
      </c>
      <c r="AR70" s="2928">
        <f t="shared" si="8"/>
      </c>
      <c r="AS70" s="2928">
        <f t="shared" si="8"/>
      </c>
      <c r="AT70" s="2928">
        <f t="shared" si="8"/>
      </c>
      <c r="AU70" s="2928">
        <f t="shared" si="8"/>
      </c>
      <c r="AV70" s="2928">
        <f t="shared" si="8"/>
      </c>
      <c r="AW70" s="2928">
        <f t="shared" si="8"/>
      </c>
      <c r="AX70" s="2928">
        <f t="shared" si="8"/>
      </c>
      <c r="AY70" s="2928">
        <f t="shared" si="8"/>
      </c>
      <c r="AZ70" s="2928">
        <f t="shared" si="8"/>
      </c>
      <c r="BA70" s="2928">
        <f t="shared" si="8"/>
      </c>
      <c r="BB70" s="2928">
        <f t="shared" si="8"/>
      </c>
      <c r="BC70" s="2928">
        <f t="shared" si="8"/>
      </c>
      <c r="BD70" s="2928">
        <f t="shared" si="8"/>
      </c>
      <c r="BE70" s="2928">
        <f t="shared" si="8"/>
      </c>
      <c r="BF70" s="2928">
        <f t="shared" si="8"/>
      </c>
      <c r="BG70" s="2928">
        <f t="shared" si="8"/>
      </c>
      <c r="BH70" s="2928">
        <f t="shared" si="8"/>
      </c>
      <c r="BI70" s="2928">
        <f t="shared" si="8"/>
      </c>
      <c r="BJ70" s="2928">
        <f t="shared" si="8"/>
      </c>
      <c r="BK70" s="2928">
        <f t="shared" si="8"/>
      </c>
      <c r="BL70" s="2928">
        <f t="shared" si="8"/>
      </c>
      <c r="BM70" s="2928">
        <f t="shared" si="8"/>
      </c>
      <c r="BN70" s="2928">
        <f t="shared" si="8"/>
      </c>
      <c r="BO70" s="2928">
        <f t="shared" si="8"/>
      </c>
      <c r="BP70" s="2928">
        <f t="shared" si="8"/>
      </c>
      <c r="BQ70" s="2928">
        <f t="shared" si="8"/>
      </c>
      <c r="BR70" s="2928">
        <f t="shared" si="8"/>
      </c>
      <c r="BS70" s="2928">
        <f t="shared" si="8"/>
      </c>
      <c r="BT70" s="2928">
        <f t="shared" si="8"/>
      </c>
      <c r="BU70" s="2928">
        <f t="shared" si="8"/>
      </c>
      <c r="BV70" s="2928">
        <f t="shared" si="8"/>
      </c>
      <c r="BW70" s="2928">
        <f t="shared" si="8"/>
      </c>
      <c r="BX70" s="2928">
        <f t="shared" si="8"/>
      </c>
      <c r="BY70" s="2928">
        <f t="shared" si="8"/>
      </c>
      <c r="BZ70" s="2928">
        <f t="shared" si="8"/>
      </c>
      <c r="CA70" s="2928">
        <f t="shared" si="8"/>
      </c>
      <c r="CB70" s="2928">
        <f t="shared" si="8"/>
      </c>
      <c r="CC70" s="2928">
        <f t="shared" si="8"/>
      </c>
      <c r="CD70" s="2928">
        <f t="shared" si="8"/>
      </c>
      <c r="CE70" s="2928">
        <f t="shared" si="8"/>
      </c>
      <c r="CF70" s="2928">
        <f t="shared" si="8"/>
      </c>
      <c r="CG70" s="2928">
        <f t="shared" si="8"/>
      </c>
      <c r="CH70" s="2928">
        <f t="shared" si="8"/>
      </c>
      <c r="CI70" s="2928">
        <f t="shared" si="8"/>
      </c>
      <c r="CJ70" s="2928">
        <f t="shared" si="8"/>
      </c>
      <c r="CK70" s="2928">
        <f t="shared" si="8"/>
      </c>
      <c r="CL70" s="2928">
        <f t="shared" si="8"/>
      </c>
      <c r="CM70" s="2928">
        <f t="shared" si="8"/>
      </c>
      <c r="CN70" s="2928">
        <f t="shared" si="8"/>
      </c>
      <c r="CO70" s="2928">
        <f t="shared" si="8"/>
      </c>
      <c r="CP70" s="2928">
        <f t="shared" si="8"/>
      </c>
      <c r="CQ70" s="2928">
        <f t="shared" si="8"/>
      </c>
      <c r="CR70" s="2928">
        <f t="shared" si="8"/>
      </c>
      <c r="CS70" s="2928">
        <f t="shared" si="8"/>
      </c>
      <c r="CT70" s="2928">
        <f t="shared" si="8"/>
      </c>
      <c r="CU70" s="2928">
        <f t="shared" si="8"/>
      </c>
      <c r="CV70" s="2928">
        <f t="shared" si="8"/>
      </c>
      <c r="CW70" s="2928">
        <f t="shared" si="8"/>
      </c>
      <c r="CX70" s="2928">
        <f t="shared" si="8"/>
      </c>
      <c r="CY70" s="2928">
        <f t="shared" si="8"/>
      </c>
      <c r="CZ70" s="2928">
        <f t="shared" si="8"/>
      </c>
      <c r="DA70" s="2928">
        <f t="shared" si="8"/>
      </c>
      <c r="DB70" s="2928">
        <f t="shared" si="8"/>
      </c>
      <c r="DC70" s="2928">
        <f t="shared" si="8"/>
      </c>
      <c r="DD70" s="2928">
        <f t="shared" si="8"/>
      </c>
      <c r="DE70" s="2928">
        <f t="shared" si="8"/>
      </c>
      <c r="DF70" s="2928">
        <f t="shared" si="8"/>
      </c>
      <c r="DG70" s="2928">
        <f t="shared" si="8"/>
      </c>
      <c r="DH70" s="2928">
        <f t="shared" si="8"/>
      </c>
      <c r="DI70" s="2928">
        <f t="shared" si="8"/>
      </c>
      <c r="DJ70" s="2928">
        <f t="shared" si="8"/>
      </c>
      <c r="DK70" s="2928">
        <f t="shared" si="8"/>
      </c>
      <c r="DL70" s="2928">
        <f t="shared" si="8"/>
      </c>
      <c r="DM70" s="2928">
        <f t="shared" si="8"/>
      </c>
      <c r="DN70" s="2928">
        <f t="shared" si="8"/>
      </c>
      <c r="DO70" s="2928">
        <f t="shared" si="8"/>
      </c>
      <c r="DP70" s="2928">
        <f t="shared" si="8"/>
      </c>
      <c r="DQ70" s="2928">
        <f t="shared" si="8"/>
      </c>
      <c r="DR70" s="2928">
        <f t="shared" si="8"/>
      </c>
      <c r="DS70" s="2928">
        <f t="shared" si="8"/>
      </c>
      <c r="DT70" s="2928">
        <f t="shared" si="8"/>
      </c>
      <c r="DU70" s="2928">
        <f t="shared" si="8"/>
      </c>
      <c r="DV70" s="2928">
        <f t="shared" si="8"/>
      </c>
      <c r="DW70" s="2928">
        <f t="shared" si="8"/>
      </c>
      <c r="DX70" s="2928">
        <f t="shared" si="8"/>
      </c>
      <c r="DY70" s="2928">
        <f t="shared" si="8"/>
      </c>
      <c r="DZ70" s="2928">
        <f t="shared" si="8"/>
      </c>
      <c r="EA70" s="2928">
        <f t="shared" si="8"/>
      </c>
      <c r="EB70" s="2928">
        <f t="shared" si="8"/>
      </c>
      <c r="EC70" s="2928">
        <f t="shared" si="8"/>
      </c>
      <c r="ED70" s="2928">
        <f t="shared" si="8"/>
      </c>
      <c r="EE70" s="2928">
        <f t="shared" si="8"/>
      </c>
      <c r="EF70" s="2928">
        <f t="shared" si="8"/>
      </c>
      <c r="EG70" s="2928">
        <f t="shared" si="8"/>
      </c>
      <c r="EH70" s="2928">
        <f t="shared" si="8"/>
      </c>
      <c r="EI70" s="2928">
        <f t="shared" si="8"/>
      </c>
      <c r="EJ70" s="2928">
        <f t="shared" si="8"/>
      </c>
      <c r="EK70" s="2928">
        <f t="shared" si="8"/>
      </c>
      <c r="EL70" s="2928">
        <f t="shared" si="8"/>
      </c>
      <c r="EM70" s="2928">
        <f t="shared" si="8"/>
      </c>
      <c r="EN70" s="2928">
        <f t="shared" si="8"/>
      </c>
      <c r="EO70" s="2928">
        <f t="shared" si="8"/>
      </c>
      <c r="EP70" s="2928">
        <f t="shared" si="8"/>
      </c>
      <c r="EQ70" s="2928">
        <f t="shared" si="8"/>
      </c>
      <c r="ER70" s="2928">
        <f t="shared" si="8"/>
      </c>
      <c r="ES70" s="2928">
        <f t="shared" si="8"/>
      </c>
      <c r="ET70" s="2928">
        <f t="shared" si="8"/>
      </c>
      <c r="EU70" s="2928">
        <f t="shared" si="8"/>
      </c>
      <c r="EV70" s="2928">
        <f t="shared" si="8"/>
      </c>
      <c r="EW70" s="2928">
        <f t="shared" si="8"/>
      </c>
      <c r="EX70" s="2928">
        <f t="shared" si="8"/>
      </c>
      <c r="EY70" s="2928">
        <f t="shared" si="8"/>
      </c>
      <c r="EZ70" s="2928">
        <f t="shared" si="8"/>
      </c>
      <c r="FA70" s="2929" t="str">
        <f t="shared" si="12"/>
        <v>-</v>
      </c>
      <c r="FB70" s="2825">
        <f t="shared" si="13"/>
      </c>
      <c r="FC70" s="2930" cm="1">
        <f t="array" ref="FC70">_xlfn.LET(_xlpm.unit_type,$G70,_xlpm.market_rent_from_rent_roll,$E70,_xlpm.unit_type_list,RentRoll_InputArea_DesignatedUnitType,_xlpm.rent_by_unit_type,RentRoll_InputArea_MarketRent,_xlpm.use_rent_roll_market_rent,LEFT(RR_VacantUnitMktRentSource,9)="Rent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0" s="2930">
        <f t="shared" si="14"/>
        <v>1268</v>
      </c>
      <c r="FE70" s="2930">
        <f t="shared" si="15"/>
        <v>1268</v>
      </c>
      <c r="FF70" s="2930">
        <f t="shared" si="16"/>
        <v>1268</v>
      </c>
      <c r="FG70" s="2931"/>
      <c r="FH70" s="2932">
        <f t="shared" si="17"/>
      </c>
      <c r="FI70" s="2932">
        <f t="shared" si="18"/>
      </c>
      <c r="FJ70" s="2931"/>
      <c r="FK70" s="2933" cm="1">
        <f t="array" ref="FK70">IF(AND(LEN($D70)&gt;0,ISNA(MATCH(TRUE,EXACT($G70,RentRoll_InputArea_DesignatedUnitType),0))),1,0)</f>
        <v>0</v>
      </c>
      <c r="FL70" s="2931">
        <f t="shared" si="19"/>
        <v>47</v>
      </c>
      <c r="FM70" s="2931"/>
      <c r="FN70" s="2931"/>
      <c r="FO70" s="2931"/>
      <c r="FP70" s="2931"/>
      <c r="FQ70" s="2931"/>
      <c r="FR70" s="2931"/>
      <c r="FS70" s="2931"/>
      <c r="FT70" s="2931"/>
      <c r="FU70" s="2931"/>
      <c r="FV70" s="2931"/>
      <c r="FW70" s="2931"/>
      <c r="FX70" s="2931"/>
      <c r="FY70" s="2931"/>
      <c r="FZ70" s="2931"/>
      <c r="GA70" s="2931"/>
      <c r="GB70" s="2931"/>
      <c r="GC70" s="2931"/>
      <c r="GD70" s="2931"/>
      <c r="GE70" s="2931"/>
      <c r="GF70" s="2931"/>
      <c r="GG70" s="2931"/>
      <c r="GH70" s="2931"/>
      <c r="GI70" s="2931"/>
      <c r="GJ70" s="2931"/>
      <c r="GK70" s="2931"/>
      <c r="GL70" s="2931"/>
      <c r="GM70" s="2931"/>
      <c r="GN70" s="2931"/>
      <c r="GO70" s="2931"/>
      <c r="GP70" s="2931"/>
      <c r="GQ70" s="2931"/>
      <c r="GR70" s="2931"/>
      <c r="GS70" s="2931"/>
      <c r="GT70" s="2931"/>
      <c r="GU70" s="2931"/>
      <c r="GV70" s="2931"/>
      <c r="GW70" s="2931"/>
      <c r="GX70" s="2931"/>
      <c r="GY70" s="2931"/>
      <c r="GZ70" s="2931"/>
      <c r="HA70" s="2931"/>
      <c r="HB70" s="2931"/>
      <c r="HC70" s="2931"/>
      <c r="HD70" s="2931"/>
      <c r="HE70" s="2931"/>
      <c r="HF70" s="2931"/>
      <c r="HG70" s="2931"/>
      <c r="HH70" s="2931"/>
      <c r="HI70" s="2931"/>
      <c r="HJ70" s="2931"/>
      <c r="HK70" s="2931"/>
      <c r="HL70" s="2931"/>
      <c r="HM70" s="2931"/>
      <c r="HN70" s="2931"/>
      <c r="HO70" s="2931"/>
      <c r="HP70" s="2931"/>
      <c r="HQ70" s="2931"/>
      <c r="HR70" s="2931"/>
      <c r="HS70" s="2931"/>
      <c r="HT70" s="2931"/>
      <c r="HU70" s="2931"/>
      <c r="HV70" s="2931"/>
      <c r="HW70" s="2931"/>
      <c r="HX70" s="2931"/>
      <c r="HY70" s="2931"/>
      <c r="HZ70" s="2931"/>
      <c r="IA70" s="2931"/>
      <c r="IB70" s="2931"/>
      <c r="IC70" s="2931"/>
      <c r="ID70" s="2931"/>
      <c r="IE70" s="2931"/>
      <c r="IF70" s="2931"/>
      <c r="IG70" s="2931"/>
      <c r="IH70" s="2931"/>
      <c r="II70" s="2931"/>
      <c r="IJ70" s="2931"/>
      <c r="IK70" s="2931"/>
      <c r="IL70" s="2931"/>
      <c r="IM70" s="2931"/>
      <c r="IN70" s="2931"/>
      <c r="IO70" s="2931" cm="1">
        <f t="array" ref="IO70">IF(LEN($G70)=0,"Rent Roll is incomplete",_xlfn.XLOOKUP(TRUE,EXACT(RentRoll_InputArea_DesignatedUnitType,$G70),RentRoll_InputArea_Beds,"Not Found"))</f>
        <v>0</v>
      </c>
      <c r="IP70" s="2934"/>
      <c r="IQ70" s="2935" t="str">
        <f t="shared" si="20"/>
        <v>0 Bedroom Unit (Efficiency/Studio)</v>
      </c>
      <c r="IR70" s="2926">
        <f t="shared" si="21"/>
        <v>1268</v>
      </c>
      <c r="IS70" s="2935"/>
      <c r="IT70" s="2931"/>
      <c r="IU70" s="2931"/>
      <c r="IV70" s="2931"/>
      <c r="IW70" s="2936" t="str">
        <f t="shared" si="22"/>
        <v>5-502</v>
      </c>
      <c r="IX70" s="2936"/>
      <c r="IY70" s="2936"/>
      <c r="IZ70" s="2936">
        <f t="shared" si="23"/>
        <v>0</v>
      </c>
      <c r="JA70" s="2936">
        <f t="shared" si="24"/>
        <v>1268</v>
      </c>
      <c r="JB70" s="2936"/>
      <c r="JC70" s="2936"/>
      <c r="JD70" s="2936"/>
      <c r="JE70" s="2936"/>
      <c r="JF70" s="2936"/>
      <c r="JG70" s="2936"/>
      <c r="JH70" s="2936">
        <f t="shared" si="25"/>
        <v>1217</v>
      </c>
      <c r="JI70" s="2936"/>
      <c r="JJ70" s="2936">
        <f t="shared" si="26"/>
      </c>
      <c r="JK70" s="2936"/>
      <c r="JL70" s="2936"/>
      <c r="JM70" s="2936"/>
      <c r="JN70" s="2936"/>
      <c r="JO70" s="2936"/>
      <c r="JP70" s="2936"/>
      <c r="JQ70" s="2936" t="str">
        <f t="shared" si="27"/>
        <v>Occupied</v>
      </c>
      <c r="JR70" s="2936" cm="1">
        <f t="array" ref="JR70">_xlfn.XLOOKUP(TRUE,EXACT(RentRoll_InputArea_DesignatedUnitType,$G70),RentRoll_InputArea_SquareFootage,"Not Found")</f>
        <v>800</v>
      </c>
      <c r="JS70" s="2936" t="str">
        <f t="shared" si="28"/>
        <v>Apartment</v>
      </c>
      <c r="JT70" s="2936">
        <f t="shared" si="29"/>
      </c>
      <c r="JU70" s="2936"/>
      <c r="JV70" s="2936"/>
      <c r="JW70" s="2936"/>
      <c r="JX70" s="2936"/>
      <c r="JY70" s="2936">
        <f t="shared" si="9"/>
        <v>43556</v>
      </c>
      <c r="JZ70" s="2936">
        <f t="shared" si="9"/>
        <v>43769</v>
      </c>
      <c r="KA70" s="2936"/>
      <c r="KB70" s="2936"/>
      <c r="KC70" s="2936"/>
      <c r="KD70" s="2936"/>
      <c r="KE70" s="2936"/>
      <c r="KF70" s="2936"/>
      <c r="KG70" s="2936"/>
      <c r="KH70" s="2936"/>
      <c r="KI70" s="2937"/>
      <c r="KJ70" s="2936"/>
      <c r="KK70" s="1353"/>
    </row>
    <row r="71" ht="15" customHeight="1">
      <c r="A71" s="2922">
        <f t="shared" si="10"/>
        <v>48</v>
      </c>
      <c r="B71" s="2865"/>
      <c r="C71" s="2873"/>
      <c r="D71" s="2873" t="s">
        <v>2838</v>
      </c>
      <c r="E71" s="2923">
        <v>1244</v>
      </c>
      <c r="F71" s="2924" t="s">
        <v>2839</v>
      </c>
      <c r="G71" s="2873" t="s">
        <v>2530</v>
      </c>
      <c r="H71" s="2923">
        <v>1270</v>
      </c>
      <c r="I71" s="2925" cm="1">
        <f t="array" ref="I71">_xlfn.LET(_xlpm.has_subsidy,$N71&gt;0,_xlpm.is_chap9_sbl,$FF$20,_xlpm.contract_rent,$H71,_xlpm.unit_type_mkt_rent,_xlfn.XLOOKUP(TRUE,EXACT($G71,RentRoll_InputArea_DesignatedUnitType),RentRoll_InputArea_MarketRent,"Not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1" s="2926">
        <f t="shared" si="11"/>
        <v>1270</v>
      </c>
      <c r="K71" s="2923"/>
      <c r="L71" s="2923"/>
      <c r="M71" s="2923"/>
      <c r="N71" s="2923"/>
      <c r="O71" s="2927">
        <v>43457</v>
      </c>
      <c r="P71" s="2927">
        <v>43677</v>
      </c>
      <c r="Q71" s="2928">
        <f t="shared" si="8"/>
      </c>
      <c r="R71" s="2928">
        <f t="shared" si="8"/>
        <v>1270</v>
      </c>
      <c r="S71" s="2928">
        <f t="shared" si="8"/>
      </c>
      <c r="T71" s="2928">
        <f t="shared" si="8"/>
      </c>
      <c r="U71" s="2928">
        <f t="shared" si="8"/>
      </c>
      <c r="V71" s="2928">
        <f t="shared" si="8"/>
      </c>
      <c r="W71" s="2928">
        <f t="shared" si="8"/>
      </c>
      <c r="X71" s="2928">
        <f t="shared" si="8"/>
      </c>
      <c r="Y71" s="2928">
        <f t="shared" si="8"/>
      </c>
      <c r="Z71" s="2928">
        <f t="shared" si="8"/>
      </c>
      <c r="AA71" s="2928">
        <f t="shared" si="8"/>
      </c>
      <c r="AB71" s="2928">
        <f t="shared" si="8"/>
      </c>
      <c r="AC71" s="2928">
        <f t="shared" si="8"/>
      </c>
      <c r="AD71" s="2928">
        <f t="shared" si="8"/>
      </c>
      <c r="AE71" s="2928">
        <f t="shared" si="8"/>
      </c>
      <c r="AF71" s="2928">
        <f t="shared" si="8"/>
      </c>
      <c r="AG71" s="2928">
        <f t="shared" si="8"/>
      </c>
      <c r="AH71" s="2928">
        <f t="shared" si="8"/>
      </c>
      <c r="AI71" s="2928">
        <f t="shared" si="8"/>
      </c>
      <c r="AJ71" s="2928">
        <f t="shared" si="8"/>
      </c>
      <c r="AK71" s="2928">
        <f t="shared" si="8"/>
      </c>
      <c r="AL71" s="2928">
        <f t="shared" si="8"/>
      </c>
      <c r="AM71" s="2928">
        <f t="shared" si="8"/>
      </c>
      <c r="AN71" s="2928">
        <f t="shared" si="8"/>
      </c>
      <c r="AO71" s="2928">
        <f t="shared" si="8"/>
      </c>
      <c r="AP71" s="2928">
        <f t="shared" si="8"/>
      </c>
      <c r="AQ71" s="2928">
        <f t="shared" si="8"/>
      </c>
      <c r="AR71" s="2928">
        <f t="shared" si="8"/>
      </c>
      <c r="AS71" s="2928">
        <f t="shared" si="8"/>
      </c>
      <c r="AT71" s="2928">
        <f t="shared" si="8"/>
      </c>
      <c r="AU71" s="2928">
        <f t="shared" si="8"/>
      </c>
      <c r="AV71" s="2928">
        <f t="shared" si="8"/>
      </c>
      <c r="AW71" s="2928">
        <f t="shared" si="8"/>
      </c>
      <c r="AX71" s="2928">
        <f t="shared" si="8"/>
      </c>
      <c r="AY71" s="2928">
        <f t="shared" si="8"/>
      </c>
      <c r="AZ71" s="2928">
        <f t="shared" si="8"/>
      </c>
      <c r="BA71" s="2928">
        <f t="shared" si="8"/>
      </c>
      <c r="BB71" s="2928">
        <f t="shared" si="8"/>
      </c>
      <c r="BC71" s="2928">
        <f t="shared" si="8"/>
      </c>
      <c r="BD71" s="2928">
        <f t="shared" si="8"/>
      </c>
      <c r="BE71" s="2928">
        <f t="shared" si="8"/>
      </c>
      <c r="BF71" s="2928">
        <f t="shared" si="8"/>
      </c>
      <c r="BG71" s="2928">
        <f t="shared" si="8"/>
      </c>
      <c r="BH71" s="2928">
        <f t="shared" si="8"/>
      </c>
      <c r="BI71" s="2928">
        <f t="shared" si="8"/>
      </c>
      <c r="BJ71" s="2928">
        <f t="shared" si="8"/>
      </c>
      <c r="BK71" s="2928">
        <f t="shared" si="8"/>
      </c>
      <c r="BL71" s="2928">
        <f t="shared" si="8"/>
      </c>
      <c r="BM71" s="2928">
        <f t="shared" si="8"/>
      </c>
      <c r="BN71" s="2928">
        <f t="shared" si="8"/>
      </c>
      <c r="BO71" s="2928">
        <f t="shared" si="8"/>
      </c>
      <c r="BP71" s="2928">
        <f t="shared" si="8"/>
      </c>
      <c r="BQ71" s="2928">
        <f t="shared" si="8"/>
      </c>
      <c r="BR71" s="2928">
        <f t="shared" si="8"/>
      </c>
      <c r="BS71" s="2928">
        <f t="shared" si="8"/>
      </c>
      <c r="BT71" s="2928">
        <f t="shared" si="8"/>
      </c>
      <c r="BU71" s="2928">
        <f t="shared" si="8"/>
      </c>
      <c r="BV71" s="2928">
        <f t="shared" si="8"/>
      </c>
      <c r="BW71" s="2928">
        <f t="shared" si="8"/>
      </c>
      <c r="BX71" s="2928">
        <f t="shared" si="8"/>
      </c>
      <c r="BY71" s="2928">
        <f t="shared" si="8"/>
      </c>
      <c r="BZ71" s="2928">
        <f t="shared" si="8"/>
      </c>
      <c r="CA71" s="2928">
        <f t="shared" si="8"/>
      </c>
      <c r="CB71" s="2928">
        <f t="shared" si="8"/>
      </c>
      <c r="CC71" s="2928">
        <f t="shared" si="8"/>
      </c>
      <c r="CD71" s="2928">
        <f t="shared" si="8"/>
      </c>
      <c r="CE71" s="2928">
        <f t="shared" si="8"/>
      </c>
      <c r="CF71" s="2928">
        <f t="shared" si="8"/>
      </c>
      <c r="CG71" s="2928">
        <f t="shared" si="8"/>
      </c>
      <c r="CH71" s="2928">
        <f t="shared" si="8"/>
      </c>
      <c r="CI71" s="2928">
        <f t="shared" si="8"/>
      </c>
      <c r="CJ71" s="2928">
        <f t="shared" si="8"/>
      </c>
      <c r="CK71" s="2928">
        <f t="shared" si="8"/>
      </c>
      <c r="CL71" s="2928">
        <f t="shared" si="8"/>
      </c>
      <c r="CM71" s="2928">
        <f t="shared" si="8"/>
      </c>
      <c r="CN71" s="2928">
        <f t="shared" si="8"/>
      </c>
      <c r="CO71" s="2928">
        <f t="shared" si="8"/>
      </c>
      <c r="CP71" s="2928">
        <f t="shared" si="8"/>
      </c>
      <c r="CQ71" s="2928">
        <f t="shared" si="8"/>
      </c>
      <c r="CR71" s="2928">
        <f t="shared" si="8"/>
      </c>
      <c r="CS71" s="2928">
        <f t="shared" si="8"/>
      </c>
      <c r="CT71" s="2928">
        <f t="shared" si="8"/>
      </c>
      <c r="CU71" s="2928">
        <f t="shared" si="8"/>
      </c>
      <c r="CV71" s="2928">
        <f t="shared" si="8"/>
      </c>
      <c r="CW71" s="2928">
        <f t="shared" si="8"/>
      </c>
      <c r="CX71" s="2928">
        <f t="shared" si="8"/>
      </c>
      <c r="CY71" s="2928">
        <f t="shared" si="8"/>
      </c>
      <c r="CZ71" s="2928">
        <f t="shared" si="8"/>
      </c>
      <c r="DA71" s="2928">
        <f t="shared" si="8"/>
      </c>
      <c r="DB71" s="2928">
        <f t="shared" si="8"/>
      </c>
      <c r="DC71" s="2928">
        <f t="shared" si="8"/>
      </c>
      <c r="DD71" s="2928">
        <f t="shared" si="8"/>
      </c>
      <c r="DE71" s="2928">
        <f t="shared" si="8"/>
      </c>
      <c r="DF71" s="2928">
        <f t="shared" si="8"/>
      </c>
      <c r="DG71" s="2928">
        <f t="shared" si="8"/>
      </c>
      <c r="DH71" s="2928">
        <f t="shared" si="8"/>
      </c>
      <c r="DI71" s="2928">
        <f t="shared" si="8"/>
      </c>
      <c r="DJ71" s="2928">
        <f t="shared" si="8"/>
      </c>
      <c r="DK71" s="2928">
        <f t="shared" si="8"/>
      </c>
      <c r="DL71" s="2928">
        <f t="shared" si="8"/>
      </c>
      <c r="DM71" s="2928">
        <f t="shared" si="8"/>
      </c>
      <c r="DN71" s="2928">
        <f t="shared" si="8"/>
      </c>
      <c r="DO71" s="2928">
        <f t="shared" si="8"/>
      </c>
      <c r="DP71" s="2928">
        <f t="shared" si="8"/>
      </c>
      <c r="DQ71" s="2928">
        <f t="shared" si="8"/>
      </c>
      <c r="DR71" s="2928">
        <f t="shared" si="8"/>
      </c>
      <c r="DS71" s="2928">
        <f t="shared" si="8"/>
      </c>
      <c r="DT71" s="2928">
        <f t="shared" si="8"/>
      </c>
      <c r="DU71" s="2928">
        <f t="shared" si="8"/>
      </c>
      <c r="DV71" s="2928">
        <f t="shared" si="8"/>
      </c>
      <c r="DW71" s="2928">
        <f t="shared" si="8"/>
      </c>
      <c r="DX71" s="2928">
        <f t="shared" si="8"/>
      </c>
      <c r="DY71" s="2928">
        <f t="shared" si="8"/>
      </c>
      <c r="DZ71" s="2928">
        <f t="shared" si="8"/>
      </c>
      <c r="EA71" s="2928">
        <f t="shared" si="8"/>
      </c>
      <c r="EB71" s="2928">
        <f t="shared" si="8"/>
      </c>
      <c r="EC71" s="2928">
        <f t="shared" si="8"/>
      </c>
      <c r="ED71" s="2928">
        <f t="shared" si="8"/>
      </c>
      <c r="EE71" s="2928">
        <f t="shared" si="8"/>
      </c>
      <c r="EF71" s="2928">
        <f t="shared" si="8"/>
      </c>
      <c r="EG71" s="2928">
        <f t="shared" si="8"/>
      </c>
      <c r="EH71" s="2928">
        <f t="shared" si="8"/>
      </c>
      <c r="EI71" s="2928">
        <f t="shared" si="8"/>
      </c>
      <c r="EJ71" s="2928">
        <f t="shared" si="8"/>
      </c>
      <c r="EK71" s="2928">
        <f t="shared" si="8"/>
      </c>
      <c r="EL71" s="2928">
        <f t="shared" si="8"/>
      </c>
      <c r="EM71" s="2928">
        <f t="shared" si="8"/>
      </c>
      <c r="EN71" s="2928">
        <f t="shared" si="8"/>
      </c>
      <c r="EO71" s="2928">
        <f t="shared" si="8"/>
      </c>
      <c r="EP71" s="2928">
        <f t="shared" si="8"/>
      </c>
      <c r="EQ71" s="2928">
        <f t="shared" si="8"/>
      </c>
      <c r="ER71" s="2928">
        <f t="shared" si="8"/>
      </c>
      <c r="ES71" s="2928">
        <f t="shared" si="8"/>
      </c>
      <c r="ET71" s="2928">
        <f t="shared" si="8"/>
      </c>
      <c r="EU71" s="2928">
        <f t="shared" si="8"/>
      </c>
      <c r="EV71" s="2928">
        <f t="shared" si="8"/>
      </c>
      <c r="EW71" s="2928">
        <f t="shared" si="8"/>
      </c>
      <c r="EX71" s="2928">
        <f t="shared" si="8"/>
      </c>
      <c r="EY71" s="2928">
        <f t="shared" si="8"/>
      </c>
      <c r="EZ71" s="2928">
        <f t="shared" si="8"/>
      </c>
      <c r="FA71" s="2929" t="str">
        <f t="shared" si="12"/>
        <v>-</v>
      </c>
      <c r="FB71" s="2825">
        <f t="shared" si="13"/>
      </c>
      <c r="FC71" s="2930" cm="1">
        <f t="array" ref="FC71">_xlfn.LET(_xlpm.unit_type,$G71,_xlpm.market_rent_from_rent_roll,$E71,_xlpm.unit_type_list,RentRoll_InputArea_DesignatedUnitType,_xlpm.rent_by_unit_type,RentRoll_InputArea_MarketRent,_xlpm.use_rent_roll_market_rent,LEFT(RR_VacantUnitMktRentSource,9)="Rent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1" s="2930">
        <f t="shared" si="14"/>
        <v>1270</v>
      </c>
      <c r="FE71" s="2930">
        <f t="shared" si="15"/>
        <v>1270</v>
      </c>
      <c r="FF71" s="2930">
        <f t="shared" si="16"/>
        <v>1270</v>
      </c>
      <c r="FG71" s="2931"/>
      <c r="FH71" s="2932">
        <f t="shared" si="17"/>
      </c>
      <c r="FI71" s="2932">
        <f t="shared" si="18"/>
      </c>
      <c r="FJ71" s="2931"/>
      <c r="FK71" s="2933" cm="1">
        <f t="array" ref="FK71">IF(AND(LEN($D71)&gt;0,ISNA(MATCH(TRUE,EXACT($G71,RentRoll_InputArea_DesignatedUnitType),0))),1,0)</f>
        <v>0</v>
      </c>
      <c r="FL71" s="2931">
        <f t="shared" si="19"/>
        <v>48</v>
      </c>
      <c r="FM71" s="2931"/>
      <c r="FN71" s="2931"/>
      <c r="FO71" s="2931"/>
      <c r="FP71" s="2931"/>
      <c r="FQ71" s="2931"/>
      <c r="FR71" s="2931"/>
      <c r="FS71" s="2931"/>
      <c r="FT71" s="2931"/>
      <c r="FU71" s="2931"/>
      <c r="FV71" s="2931"/>
      <c r="FW71" s="2931"/>
      <c r="FX71" s="2931"/>
      <c r="FY71" s="2931"/>
      <c r="FZ71" s="2931"/>
      <c r="GA71" s="2931"/>
      <c r="GB71" s="2931"/>
      <c r="GC71" s="2931"/>
      <c r="GD71" s="2931"/>
      <c r="GE71" s="2931"/>
      <c r="GF71" s="2931"/>
      <c r="GG71" s="2931"/>
      <c r="GH71" s="2931"/>
      <c r="GI71" s="2931"/>
      <c r="GJ71" s="2931"/>
      <c r="GK71" s="2931"/>
      <c r="GL71" s="2931"/>
      <c r="GM71" s="2931"/>
      <c r="GN71" s="2931"/>
      <c r="GO71" s="2931"/>
      <c r="GP71" s="2931"/>
      <c r="GQ71" s="2931"/>
      <c r="GR71" s="2931"/>
      <c r="GS71" s="2931"/>
      <c r="GT71" s="2931"/>
      <c r="GU71" s="2931"/>
      <c r="GV71" s="2931"/>
      <c r="GW71" s="2931"/>
      <c r="GX71" s="2931"/>
      <c r="GY71" s="2931"/>
      <c r="GZ71" s="2931"/>
      <c r="HA71" s="2931"/>
      <c r="HB71" s="2931"/>
      <c r="HC71" s="2931"/>
      <c r="HD71" s="2931"/>
      <c r="HE71" s="2931"/>
      <c r="HF71" s="2931"/>
      <c r="HG71" s="2931"/>
      <c r="HH71" s="2931"/>
      <c r="HI71" s="2931"/>
      <c r="HJ71" s="2931"/>
      <c r="HK71" s="2931"/>
      <c r="HL71" s="2931"/>
      <c r="HM71" s="2931"/>
      <c r="HN71" s="2931"/>
      <c r="HO71" s="2931"/>
      <c r="HP71" s="2931"/>
      <c r="HQ71" s="2931"/>
      <c r="HR71" s="2931"/>
      <c r="HS71" s="2931"/>
      <c r="HT71" s="2931"/>
      <c r="HU71" s="2931"/>
      <c r="HV71" s="2931"/>
      <c r="HW71" s="2931"/>
      <c r="HX71" s="2931"/>
      <c r="HY71" s="2931"/>
      <c r="HZ71" s="2931"/>
      <c r="IA71" s="2931"/>
      <c r="IB71" s="2931"/>
      <c r="IC71" s="2931"/>
      <c r="ID71" s="2931"/>
      <c r="IE71" s="2931"/>
      <c r="IF71" s="2931"/>
      <c r="IG71" s="2931"/>
      <c r="IH71" s="2931"/>
      <c r="II71" s="2931"/>
      <c r="IJ71" s="2931"/>
      <c r="IK71" s="2931"/>
      <c r="IL71" s="2931"/>
      <c r="IM71" s="2931"/>
      <c r="IN71" s="2931"/>
      <c r="IO71" s="2931" cm="1">
        <f t="array" ref="IO71">IF(LEN($G71)=0,"Rent Roll is incomplete",_xlfn.XLOOKUP(TRUE,EXACT(RentRoll_InputArea_DesignatedUnitType,$G71),RentRoll_InputArea_Beds,"Not Found"))</f>
        <v>0</v>
      </c>
      <c r="IP71" s="2934"/>
      <c r="IQ71" s="2935" t="str">
        <f t="shared" si="20"/>
        <v>0 Bedroom Unit (Efficiency/Studio)</v>
      </c>
      <c r="IR71" s="2926">
        <f t="shared" si="21"/>
        <v>1270</v>
      </c>
      <c r="IS71" s="2935"/>
      <c r="IT71" s="2931"/>
      <c r="IU71" s="2931"/>
      <c r="IV71" s="2931"/>
      <c r="IW71" s="2936" t="str">
        <f t="shared" si="22"/>
        <v>5-503</v>
      </c>
      <c r="IX71" s="2936"/>
      <c r="IY71" s="2936"/>
      <c r="IZ71" s="2936">
        <f t="shared" si="23"/>
        <v>0</v>
      </c>
      <c r="JA71" s="2936">
        <f t="shared" si="24"/>
        <v>1270</v>
      </c>
      <c r="JB71" s="2936"/>
      <c r="JC71" s="2936"/>
      <c r="JD71" s="2936"/>
      <c r="JE71" s="2936"/>
      <c r="JF71" s="2936"/>
      <c r="JG71" s="2936"/>
      <c r="JH71" s="2936">
        <f t="shared" si="25"/>
        <v>1217</v>
      </c>
      <c r="JI71" s="2936"/>
      <c r="JJ71" s="2936">
        <f t="shared" si="26"/>
      </c>
      <c r="JK71" s="2936"/>
      <c r="JL71" s="2936"/>
      <c r="JM71" s="2936"/>
      <c r="JN71" s="2936"/>
      <c r="JO71" s="2936"/>
      <c r="JP71" s="2936"/>
      <c r="JQ71" s="2936" t="str">
        <f t="shared" si="27"/>
        <v>Occupied</v>
      </c>
      <c r="JR71" s="2936" cm="1">
        <f t="array" ref="JR71">_xlfn.XLOOKUP(TRUE,EXACT(RentRoll_InputArea_DesignatedUnitType,$G71),RentRoll_InputArea_SquareFootage,"Not Found")</f>
        <v>800</v>
      </c>
      <c r="JS71" s="2936" t="str">
        <f t="shared" si="28"/>
        <v>Apartment</v>
      </c>
      <c r="JT71" s="2936">
        <f t="shared" si="29"/>
      </c>
      <c r="JU71" s="2936"/>
      <c r="JV71" s="2936"/>
      <c r="JW71" s="2936"/>
      <c r="JX71" s="2936"/>
      <c r="JY71" s="2936">
        <f t="shared" si="9"/>
        <v>43457</v>
      </c>
      <c r="JZ71" s="2936">
        <f t="shared" si="9"/>
        <v>43677</v>
      </c>
      <c r="KA71" s="2936"/>
      <c r="KB71" s="2936"/>
      <c r="KC71" s="2936"/>
      <c r="KD71" s="2936"/>
      <c r="KE71" s="2936"/>
      <c r="KF71" s="2936"/>
      <c r="KG71" s="2936"/>
      <c r="KH71" s="2936"/>
      <c r="KI71" s="2937"/>
      <c r="KJ71" s="2936"/>
      <c r="KK71" s="1353"/>
    </row>
    <row r="72" ht="15" customHeight="1">
      <c r="A72" s="2922">
        <f t="shared" si="10"/>
        <v>49</v>
      </c>
      <c r="B72" s="2865"/>
      <c r="C72" s="2873"/>
      <c r="D72" s="2873" t="s">
        <v>2840</v>
      </c>
      <c r="E72" s="2923">
        <v>1582</v>
      </c>
      <c r="F72" s="2924" t="s">
        <v>2841</v>
      </c>
      <c r="G72" s="2873" t="s">
        <v>2532</v>
      </c>
      <c r="H72" s="2923">
        <v>1607</v>
      </c>
      <c r="I72" s="2925" cm="1">
        <f t="array" ref="I72">_xlfn.LET(_xlpm.has_subsidy,$N72&gt;0,_xlpm.is_chap9_sbl,$FF$20,_xlpm.contract_rent,$H72,_xlpm.unit_type_mkt_rent,_xlfn.XLOOKUP(TRUE,EXACT($G72,RentRoll_InputArea_DesignatedUnitType),RentRoll_InputArea_MarketRent,"Not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2" s="2926">
        <f t="shared" si="11"/>
        <v>1607</v>
      </c>
      <c r="K72" s="2923"/>
      <c r="L72" s="2923"/>
      <c r="M72" s="2923"/>
      <c r="N72" s="2923"/>
      <c r="O72" s="2927">
        <v>43337</v>
      </c>
      <c r="P72" s="2927">
        <v>43616</v>
      </c>
      <c r="Q72" s="2928">
        <f t="shared" si="8"/>
      </c>
      <c r="R72" s="2928">
        <f t="shared" si="8"/>
      </c>
      <c r="S72" s="2928">
        <f t="shared" si="8"/>
      </c>
      <c r="T72" s="2928">
        <f t="shared" si="8"/>
        <v>1607</v>
      </c>
      <c r="U72" s="2928">
        <f t="shared" si="8"/>
      </c>
      <c r="V72" s="2928">
        <f t="shared" si="8"/>
      </c>
      <c r="W72" s="2928">
        <f t="shared" si="8"/>
      </c>
      <c r="X72" s="2928">
        <f t="shared" si="8"/>
      </c>
      <c r="Y72" s="2928">
        <f t="shared" si="8"/>
      </c>
      <c r="Z72" s="2928">
        <f t="shared" si="8"/>
      </c>
      <c r="AA72" s="2928">
        <f t="shared" si="8"/>
      </c>
      <c r="AB72" s="2928">
        <f t="shared" si="8"/>
      </c>
      <c r="AC72" s="2928">
        <f t="shared" si="8"/>
      </c>
      <c r="AD72" s="2928">
        <f t="shared" si="8"/>
      </c>
      <c r="AE72" s="2928">
        <f t="shared" si="8"/>
      </c>
      <c r="AF72" s="2928">
        <f t="shared" si="8"/>
      </c>
      <c r="AG72" s="2928">
        <f t="shared" si="8"/>
      </c>
      <c r="AH72" s="2928">
        <f t="shared" si="8"/>
      </c>
      <c r="AI72" s="2928">
        <f t="shared" si="8"/>
      </c>
      <c r="AJ72" s="2928">
        <f t="shared" si="8"/>
      </c>
      <c r="AK72" s="2928">
        <f t="shared" si="8"/>
      </c>
      <c r="AL72" s="2928">
        <f t="shared" si="8"/>
      </c>
      <c r="AM72" s="2928">
        <f t="shared" si="8"/>
      </c>
      <c r="AN72" s="2928">
        <f t="shared" si="8"/>
      </c>
      <c r="AO72" s="2928">
        <f t="shared" si="8"/>
      </c>
      <c r="AP72" s="2928">
        <f t="shared" si="8"/>
      </c>
      <c r="AQ72" s="2928">
        <f t="shared" si="8"/>
      </c>
      <c r="AR72" s="2928">
        <f t="shared" si="8"/>
      </c>
      <c r="AS72" s="2928">
        <f t="shared" si="8"/>
      </c>
      <c r="AT72" s="2928">
        <f t="shared" si="8"/>
      </c>
      <c r="AU72" s="2928">
        <f t="shared" si="8"/>
      </c>
      <c r="AV72" s="2928">
        <f t="shared" si="8"/>
      </c>
      <c r="AW72" s="2928">
        <f t="shared" si="8"/>
      </c>
      <c r="AX72" s="2928">
        <f t="shared" si="8"/>
      </c>
      <c r="AY72" s="2928">
        <f t="shared" si="8"/>
      </c>
      <c r="AZ72" s="2928">
        <f t="shared" si="8"/>
      </c>
      <c r="BA72" s="2928">
        <f t="shared" si="8"/>
      </c>
      <c r="BB72" s="2928">
        <f t="shared" si="8"/>
      </c>
      <c r="BC72" s="2928">
        <f t="shared" si="8"/>
      </c>
      <c r="BD72" s="2928">
        <f t="shared" si="8"/>
      </c>
      <c r="BE72" s="2928">
        <f t="shared" si="8"/>
      </c>
      <c r="BF72" s="2928">
        <f t="shared" si="8"/>
      </c>
      <c r="BG72" s="2928">
        <f t="shared" si="8"/>
      </c>
      <c r="BH72" s="2928">
        <f t="shared" si="8"/>
      </c>
      <c r="BI72" s="2928">
        <f t="shared" si="8"/>
      </c>
      <c r="BJ72" s="2928">
        <f t="shared" si="8"/>
      </c>
      <c r="BK72" s="2928">
        <f t="shared" si="8"/>
      </c>
      <c r="BL72" s="2928">
        <f t="shared" si="8"/>
      </c>
      <c r="BM72" s="2928">
        <f t="shared" si="8"/>
      </c>
      <c r="BN72" s="2928">
        <f t="shared" si="8"/>
      </c>
      <c r="BO72" s="2928">
        <f t="shared" si="8"/>
      </c>
      <c r="BP72" s="2928">
        <f t="shared" si="8"/>
      </c>
      <c r="BQ72" s="2928">
        <f t="shared" si="8"/>
      </c>
      <c r="BR72" s="2928">
        <f t="shared" si="8"/>
      </c>
      <c r="BS72" s="2928">
        <f t="shared" si="8"/>
      </c>
      <c r="BT72" s="2928">
        <f t="shared" si="8"/>
      </c>
      <c r="BU72" s="2928">
        <f t="shared" si="8"/>
      </c>
      <c r="BV72" s="2928">
        <f t="shared" si="8"/>
      </c>
      <c r="BW72" s="2928">
        <f t="shared" si="8"/>
      </c>
      <c r="BX72" s="2928">
        <f t="shared" si="8"/>
      </c>
      <c r="BY72" s="2928">
        <f t="shared" si="8"/>
      </c>
      <c r="BZ72" s="2928">
        <f t="shared" si="8"/>
      </c>
      <c r="CA72" s="2928">
        <f t="shared" si="8"/>
      </c>
      <c r="CB72" s="2928">
        <f t="shared" si="8"/>
      </c>
      <c r="CC72" s="2928">
        <f t="shared" si="8"/>
      </c>
      <c r="CD72" s="2928">
        <f t="shared" si="8"/>
      </c>
      <c r="CE72" s="2928">
        <f t="shared" si="8"/>
      </c>
      <c r="CF72" s="2928">
        <f t="shared" si="8"/>
      </c>
      <c r="CG72" s="2928">
        <f t="shared" si="8"/>
      </c>
      <c r="CH72" s="2928">
        <f t="shared" si="8"/>
      </c>
      <c r="CI72" s="2928">
        <f t="shared" si="8"/>
      </c>
      <c r="CJ72" s="2928">
        <f t="shared" si="8"/>
      </c>
      <c r="CK72" s="2928">
        <f t="shared" si="8"/>
      </c>
      <c r="CL72" s="2928">
        <f t="shared" si="8"/>
      </c>
      <c r="CM72" s="2928">
        <f t="shared" si="8"/>
      </c>
      <c r="CN72" s="2928">
        <f t="shared" si="8"/>
      </c>
      <c r="CO72" s="2928">
        <f t="shared" si="8"/>
      </c>
      <c r="CP72" s="2928">
        <f t="shared" si="8"/>
      </c>
      <c r="CQ72" s="2928">
        <f t="shared" si="8"/>
      </c>
      <c r="CR72" s="2928">
        <f t="shared" si="8"/>
      </c>
      <c r="CS72" s="2928">
        <f t="shared" si="8"/>
      </c>
      <c r="CT72" s="2928">
        <f t="shared" si="8"/>
      </c>
      <c r="CU72" s="2928">
        <f t="shared" si="8"/>
      </c>
      <c r="CV72" s="2928">
        <f t="shared" si="8"/>
      </c>
      <c r="CW72" s="2928">
        <f t="shared" si="8"/>
      </c>
      <c r="CX72" s="2928">
        <f t="shared" si="8"/>
      </c>
      <c r="CY72" s="2928">
        <f t="shared" si="8"/>
      </c>
      <c r="CZ72" s="2928">
        <f t="shared" si="8"/>
      </c>
      <c r="DA72" s="2928">
        <f t="shared" si="8"/>
      </c>
      <c r="DB72" s="2928">
        <f t="shared" si="8"/>
      </c>
      <c r="DC72" s="2928">
        <f t="shared" si="8"/>
      </c>
      <c r="DD72" s="2928">
        <f t="shared" si="8"/>
      </c>
      <c r="DE72" s="2928">
        <f t="shared" si="8"/>
      </c>
      <c r="DF72" s="2928">
        <f t="shared" si="8"/>
      </c>
      <c r="DG72" s="2928">
        <f t="shared" si="8"/>
      </c>
      <c r="DH72" s="2928">
        <f t="shared" si="8"/>
      </c>
      <c r="DI72" s="2928">
        <f t="shared" si="8"/>
      </c>
      <c r="DJ72" s="2928">
        <f t="shared" si="8"/>
      </c>
      <c r="DK72" s="2928">
        <f t="shared" si="8"/>
      </c>
      <c r="DL72" s="2928">
        <f t="shared" si="8"/>
      </c>
      <c r="DM72" s="2928">
        <f t="shared" si="8"/>
      </c>
      <c r="DN72" s="2928">
        <f t="shared" si="8"/>
      </c>
      <c r="DO72" s="2928">
        <f t="shared" si="8"/>
      </c>
      <c r="DP72" s="2928">
        <f t="shared" si="8"/>
      </c>
      <c r="DQ72" s="2928">
        <f t="shared" si="8"/>
      </c>
      <c r="DR72" s="2928">
        <f t="shared" si="8"/>
      </c>
      <c r="DS72" s="2928">
        <f t="shared" si="8"/>
      </c>
      <c r="DT72" s="2928">
        <f t="shared" si="8"/>
      </c>
      <c r="DU72" s="2928">
        <f t="shared" si="8"/>
      </c>
      <c r="DV72" s="2928">
        <f t="shared" si="8"/>
      </c>
      <c r="DW72" s="2928">
        <f t="shared" si="8"/>
      </c>
      <c r="DX72" s="2928">
        <f t="shared" si="8"/>
      </c>
      <c r="DY72" s="2928">
        <f t="shared" si="8"/>
      </c>
      <c r="DZ72" s="2928">
        <f t="shared" si="8"/>
      </c>
      <c r="EA72" s="2928">
        <f t="shared" si="8"/>
      </c>
      <c r="EB72" s="2928">
        <f t="shared" si="8"/>
      </c>
      <c r="EC72" s="2928">
        <f t="shared" si="8"/>
      </c>
      <c r="ED72" s="2928">
        <f t="shared" si="8"/>
      </c>
      <c r="EE72" s="2928">
        <f t="shared" si="8"/>
      </c>
      <c r="EF72" s="2928">
        <f t="shared" si="8"/>
      </c>
      <c r="EG72" s="2928">
        <f t="shared" si="8"/>
      </c>
      <c r="EH72" s="2928">
        <f t="shared" si="8"/>
      </c>
      <c r="EI72" s="2928">
        <f t="shared" si="8"/>
      </c>
      <c r="EJ72" s="2928">
        <f t="shared" si="8"/>
      </c>
      <c r="EK72" s="2928">
        <f t="shared" si="8"/>
      </c>
      <c r="EL72" s="2928">
        <f t="shared" si="8"/>
      </c>
      <c r="EM72" s="2928">
        <f t="shared" si="8"/>
      </c>
      <c r="EN72" s="2928">
        <f t="shared" si="8"/>
      </c>
      <c r="EO72" s="2928">
        <f t="shared" si="8"/>
      </c>
      <c r="EP72" s="2928">
        <f t="shared" si="8"/>
      </c>
      <c r="EQ72" s="2928">
        <f t="shared" si="8"/>
      </c>
      <c r="ER72" s="2928">
        <f t="shared" si="8"/>
      </c>
      <c r="ES72" s="2928">
        <f t="shared" si="8"/>
      </c>
      <c r="ET72" s="2928">
        <f t="shared" si="8"/>
      </c>
      <c r="EU72" s="2928">
        <f t="shared" si="8"/>
      </c>
      <c r="EV72" s="2928">
        <f t="shared" si="8"/>
      </c>
      <c r="EW72" s="2928">
        <f t="shared" si="8"/>
      </c>
      <c r="EX72" s="2928">
        <f t="shared" si="8"/>
      </c>
      <c r="EY72" s="2928">
        <f t="shared" si="8"/>
      </c>
      <c r="EZ72" s="2928">
        <f t="shared" si="8"/>
      </c>
      <c r="FA72" s="2929" t="str">
        <f t="shared" si="12"/>
        <v>-</v>
      </c>
      <c r="FB72" s="2825">
        <f t="shared" si="13"/>
      </c>
      <c r="FC72" s="2930" cm="1">
        <f t="array" ref="FC72">_xlfn.LET(_xlpm.unit_type,$G72,_xlpm.market_rent_from_rent_roll,$E72,_xlpm.unit_type_list,RentRoll_InputArea_DesignatedUnitType,_xlpm.rent_by_unit_type,RentRoll_InputArea_MarketRent,_xlpm.use_rent_roll_market_rent,LEFT(RR_VacantUnitMktRentSource,9)="Rent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72" s="2930">
        <f t="shared" si="14"/>
        <v>1607</v>
      </c>
      <c r="FE72" s="2930">
        <f t="shared" si="15"/>
        <v>1607</v>
      </c>
      <c r="FF72" s="2930">
        <f t="shared" si="16"/>
        <v>1607</v>
      </c>
      <c r="FG72" s="2931"/>
      <c r="FH72" s="2932">
        <f t="shared" si="17"/>
      </c>
      <c r="FI72" s="2932">
        <f t="shared" si="18"/>
      </c>
      <c r="FJ72" s="2931"/>
      <c r="FK72" s="2933" cm="1">
        <f t="array" ref="FK72">IF(AND(LEN($D72)&gt;0,ISNA(MATCH(TRUE,EXACT($G72,RentRoll_InputArea_DesignatedUnitType),0))),1,0)</f>
        <v>0</v>
      </c>
      <c r="FL72" s="2931">
        <f t="shared" si="19"/>
        <v>49</v>
      </c>
      <c r="FM72" s="2931"/>
      <c r="FN72" s="2931"/>
      <c r="FO72" s="2931"/>
      <c r="FP72" s="2931"/>
      <c r="FQ72" s="2931"/>
      <c r="FR72" s="2931"/>
      <c r="FS72" s="2931"/>
      <c r="FT72" s="2931"/>
      <c r="FU72" s="2931"/>
      <c r="FV72" s="2931"/>
      <c r="FW72" s="2931"/>
      <c r="FX72" s="2931"/>
      <c r="FY72" s="2931"/>
      <c r="FZ72" s="2931"/>
      <c r="GA72" s="2931"/>
      <c r="GB72" s="2931"/>
      <c r="GC72" s="2931"/>
      <c r="GD72" s="2931"/>
      <c r="GE72" s="2931"/>
      <c r="GF72" s="2931"/>
      <c r="GG72" s="2931"/>
      <c r="GH72" s="2931"/>
      <c r="GI72" s="2931"/>
      <c r="GJ72" s="2931"/>
      <c r="GK72" s="2931"/>
      <c r="GL72" s="2931"/>
      <c r="GM72" s="2931"/>
      <c r="GN72" s="2931"/>
      <c r="GO72" s="2931"/>
      <c r="GP72" s="2931"/>
      <c r="GQ72" s="2931"/>
      <c r="GR72" s="2931"/>
      <c r="GS72" s="2931"/>
      <c r="GT72" s="2931"/>
      <c r="GU72" s="2931"/>
      <c r="GV72" s="2931"/>
      <c r="GW72" s="2931"/>
      <c r="GX72" s="2931"/>
      <c r="GY72" s="2931"/>
      <c r="GZ72" s="2931"/>
      <c r="HA72" s="2931"/>
      <c r="HB72" s="2931"/>
      <c r="HC72" s="2931"/>
      <c r="HD72" s="2931"/>
      <c r="HE72" s="2931"/>
      <c r="HF72" s="2931"/>
      <c r="HG72" s="2931"/>
      <c r="HH72" s="2931"/>
      <c r="HI72" s="2931"/>
      <c r="HJ72" s="2931"/>
      <c r="HK72" s="2931"/>
      <c r="HL72" s="2931"/>
      <c r="HM72" s="2931"/>
      <c r="HN72" s="2931"/>
      <c r="HO72" s="2931"/>
      <c r="HP72" s="2931"/>
      <c r="HQ72" s="2931"/>
      <c r="HR72" s="2931"/>
      <c r="HS72" s="2931"/>
      <c r="HT72" s="2931"/>
      <c r="HU72" s="2931"/>
      <c r="HV72" s="2931"/>
      <c r="HW72" s="2931"/>
      <c r="HX72" s="2931"/>
      <c r="HY72" s="2931"/>
      <c r="HZ72" s="2931"/>
      <c r="IA72" s="2931"/>
      <c r="IB72" s="2931"/>
      <c r="IC72" s="2931"/>
      <c r="ID72" s="2931"/>
      <c r="IE72" s="2931"/>
      <c r="IF72" s="2931"/>
      <c r="IG72" s="2931"/>
      <c r="IH72" s="2931"/>
      <c r="II72" s="2931"/>
      <c r="IJ72" s="2931"/>
      <c r="IK72" s="2931"/>
      <c r="IL72" s="2931"/>
      <c r="IM72" s="2931"/>
      <c r="IN72" s="2931"/>
      <c r="IO72" s="2931" cm="1">
        <f t="array" ref="IO72">IF(LEN($G72)=0,"Rent Roll is incomplete",_xlfn.XLOOKUP(TRUE,EXACT(RentRoll_InputArea_DesignatedUnitType,$G72),RentRoll_InputArea_Beds,"Not Found"))</f>
        <v>0</v>
      </c>
      <c r="IP72" s="2934"/>
      <c r="IQ72" s="2935" t="str">
        <f t="shared" si="20"/>
        <v>0 Bedroom Unit (Efficiency/Studio)</v>
      </c>
      <c r="IR72" s="2926">
        <f t="shared" si="21"/>
        <v>1607</v>
      </c>
      <c r="IS72" s="2935"/>
      <c r="IT72" s="2931"/>
      <c r="IU72" s="2931"/>
      <c r="IV72" s="2931"/>
      <c r="IW72" s="2936" t="str">
        <f t="shared" si="22"/>
        <v>5-504</v>
      </c>
      <c r="IX72" s="2936"/>
      <c r="IY72" s="2936"/>
      <c r="IZ72" s="2936">
        <f t="shared" si="23"/>
        <v>0</v>
      </c>
      <c r="JA72" s="2936">
        <f t="shared" si="24"/>
        <v>1607</v>
      </c>
      <c r="JB72" s="2936"/>
      <c r="JC72" s="2936"/>
      <c r="JD72" s="2936"/>
      <c r="JE72" s="2936"/>
      <c r="JF72" s="2936"/>
      <c r="JG72" s="2936"/>
      <c r="JH72" s="2936">
        <f t="shared" si="25"/>
        <v>1533</v>
      </c>
      <c r="JI72" s="2936"/>
      <c r="JJ72" s="2936">
        <f t="shared" si="26"/>
      </c>
      <c r="JK72" s="2936"/>
      <c r="JL72" s="2936"/>
      <c r="JM72" s="2936"/>
      <c r="JN72" s="2936"/>
      <c r="JO72" s="2936"/>
      <c r="JP72" s="2936"/>
      <c r="JQ72" s="2936" t="str">
        <f t="shared" si="27"/>
        <v>Occupied</v>
      </c>
      <c r="JR72" s="2936" cm="1">
        <f t="array" ref="JR72">_xlfn.XLOOKUP(TRUE,EXACT(RentRoll_InputArea_DesignatedUnitType,$G72),RentRoll_InputArea_SquareFootage,"Not Found")</f>
        <v>1050</v>
      </c>
      <c r="JS72" s="2936" t="str">
        <f t="shared" si="28"/>
        <v>Apartment</v>
      </c>
      <c r="JT72" s="2936">
        <f t="shared" si="29"/>
      </c>
      <c r="JU72" s="2936"/>
      <c r="JV72" s="2936"/>
      <c r="JW72" s="2936"/>
      <c r="JX72" s="2936"/>
      <c r="JY72" s="2936">
        <f t="shared" si="9"/>
        <v>43337</v>
      </c>
      <c r="JZ72" s="2936">
        <f t="shared" si="9"/>
        <v>43616</v>
      </c>
      <c r="KA72" s="2936"/>
      <c r="KB72" s="2936"/>
      <c r="KC72" s="2936"/>
      <c r="KD72" s="2936"/>
      <c r="KE72" s="2936"/>
      <c r="KF72" s="2936"/>
      <c r="KG72" s="2936"/>
      <c r="KH72" s="2936"/>
      <c r="KI72" s="2937"/>
      <c r="KJ72" s="2936"/>
      <c r="KK72" s="1353"/>
    </row>
    <row r="73" ht="15" customHeight="1">
      <c r="A73" s="2922">
        <f t="shared" si="10"/>
        <v>50</v>
      </c>
      <c r="B73" s="2865"/>
      <c r="C73" s="2873"/>
      <c r="D73" s="2873" t="s">
        <v>2842</v>
      </c>
      <c r="E73" s="2923">
        <v>1590</v>
      </c>
      <c r="F73" s="2924" t="s">
        <v>2843</v>
      </c>
      <c r="G73" s="2873" t="s">
        <v>2532</v>
      </c>
      <c r="H73" s="2923">
        <v>1618</v>
      </c>
      <c r="I73" s="2925" cm="1">
        <f t="array" ref="I73">_xlfn.LET(_xlpm.has_subsidy,$N73&gt;0,_xlpm.is_chap9_sbl,$FF$20,_xlpm.contract_rent,$H73,_xlpm.unit_type_mkt_rent,_xlfn.XLOOKUP(TRUE,EXACT($G73,RentRoll_InputArea_DesignatedUnitType),RentRoll_InputArea_MarketRent,"Not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3" s="2926">
        <f t="shared" si="11"/>
        <v>1618</v>
      </c>
      <c r="K73" s="2923"/>
      <c r="L73" s="2923"/>
      <c r="M73" s="2923"/>
      <c r="N73" s="2923"/>
      <c r="O73" s="2927">
        <v>43586</v>
      </c>
      <c r="P73" s="2927">
        <v>43951</v>
      </c>
      <c r="Q73" s="2928">
        <f t="shared" si="8"/>
      </c>
      <c r="R73" s="2928">
        <f t="shared" si="8"/>
      </c>
      <c r="S73" s="2928">
        <f t="shared" si="8"/>
      </c>
      <c r="T73" s="2928">
        <f t="shared" si="8"/>
        <v>1618</v>
      </c>
      <c r="U73" s="2928">
        <f t="shared" si="8"/>
      </c>
      <c r="V73" s="2928">
        <f t="shared" si="8"/>
      </c>
      <c r="W73" s="2928">
        <f t="shared" si="8"/>
      </c>
      <c r="X73" s="2928">
        <f t="shared" si="8"/>
      </c>
      <c r="Y73" s="2928">
        <f t="shared" si="8"/>
      </c>
      <c r="Z73" s="2928">
        <f t="shared" si="8"/>
      </c>
      <c r="AA73" s="2928">
        <f t="shared" si="8"/>
      </c>
      <c r="AB73" s="2928">
        <f t="shared" si="8"/>
      </c>
      <c r="AC73" s="2928">
        <f t="shared" si="8"/>
      </c>
      <c r="AD73" s="2928">
        <f t="shared" si="8"/>
      </c>
      <c r="AE73" s="2928">
        <f t="shared" si="8"/>
      </c>
      <c r="AF73" s="2928">
        <f t="shared" si="8"/>
      </c>
      <c r="AG73" s="2928">
        <f t="shared" si="8"/>
      </c>
      <c r="AH73" s="2928">
        <f t="shared" si="8"/>
      </c>
      <c r="AI73" s="2928">
        <f t="shared" si="8"/>
      </c>
      <c r="AJ73" s="2928">
        <f t="shared" si="8"/>
      </c>
      <c r="AK73" s="2928">
        <f t="shared" si="8"/>
      </c>
      <c r="AL73" s="2928">
        <f t="shared" si="8"/>
      </c>
      <c r="AM73" s="2928">
        <f t="shared" si="8"/>
      </c>
      <c r="AN73" s="2928">
        <f t="shared" si="8"/>
      </c>
      <c r="AO73" s="2928">
        <f t="shared" si="8"/>
      </c>
      <c r="AP73" s="2928">
        <f t="shared" si="8"/>
      </c>
      <c r="AQ73" s="2928">
        <f t="shared" si="8"/>
      </c>
      <c r="AR73" s="2928">
        <f t="shared" si="8"/>
      </c>
      <c r="AS73" s="2928">
        <f t="shared" si="8"/>
      </c>
      <c r="AT73" s="2928">
        <f t="shared" si="8"/>
      </c>
      <c r="AU73" s="2928">
        <f t="shared" si="8"/>
      </c>
      <c r="AV73" s="2928">
        <f t="shared" si="8"/>
      </c>
      <c r="AW73" s="2928">
        <f t="shared" si="8"/>
      </c>
      <c r="AX73" s="2928">
        <f t="shared" si="8"/>
      </c>
      <c r="AY73" s="2928">
        <f t="shared" si="8"/>
      </c>
      <c r="AZ73" s="2928">
        <f t="shared" si="8"/>
      </c>
      <c r="BA73" s="2928">
        <f t="shared" si="8"/>
      </c>
      <c r="BB73" s="2928">
        <f t="shared" si="8"/>
      </c>
      <c r="BC73" s="2928">
        <f t="shared" si="8"/>
      </c>
      <c r="BD73" s="2928">
        <f t="shared" si="8"/>
      </c>
      <c r="BE73" s="2928">
        <f t="shared" si="8"/>
      </c>
      <c r="BF73" s="2928">
        <f t="shared" si="8"/>
      </c>
      <c r="BG73" s="2928">
        <f t="shared" si="8"/>
      </c>
      <c r="BH73" s="2928">
        <f t="shared" si="8"/>
      </c>
      <c r="BI73" s="2928">
        <f t="shared" si="8"/>
      </c>
      <c r="BJ73" s="2928">
        <f t="shared" si="8"/>
      </c>
      <c r="BK73" s="2928">
        <f t="shared" si="8"/>
      </c>
      <c r="BL73" s="2928">
        <f t="shared" si="8"/>
      </c>
      <c r="BM73" s="2928">
        <f t="shared" si="8"/>
      </c>
      <c r="BN73" s="2928">
        <f t="shared" si="8"/>
      </c>
      <c r="BO73" s="2928">
        <f t="shared" si="8"/>
      </c>
      <c r="BP73" s="2928">
        <f t="shared" si="8"/>
      </c>
      <c r="BQ73" s="2928">
        <f t="shared" si="8"/>
      </c>
      <c r="BR73" s="2928">
        <f t="shared" si="8"/>
      </c>
      <c r="BS73" s="2928">
        <f t="shared" si="8"/>
      </c>
      <c r="BT73" s="2928">
        <f t="shared" si="8"/>
      </c>
      <c r="BU73" s="2928">
        <f t="shared" si="8"/>
      </c>
      <c r="BV73" s="2928">
        <f t="shared" si="8"/>
      </c>
      <c r="BW73" s="2928">
        <f t="shared" si="8"/>
      </c>
      <c r="BX73" s="2928">
        <f t="shared" si="8"/>
      </c>
      <c r="BY73" s="2928">
        <f t="shared" si="8"/>
      </c>
      <c r="BZ73" s="2928">
        <f t="shared" si="8"/>
      </c>
      <c r="CA73" s="2928">
        <f t="shared" si="8"/>
      </c>
      <c r="CB73" s="2928">
        <f t="shared" si="8"/>
      </c>
      <c r="CC73" s="2928">
        <f t="shared" si="8"/>
      </c>
      <c r="CD73" s="2928">
        <f t="shared" si="8"/>
      </c>
      <c r="CE73" s="2928">
        <f t="shared" si="8"/>
      </c>
      <c r="CF73" s="2928">
        <f t="shared" si="8"/>
      </c>
      <c r="CG73" s="2928">
        <f t="shared" si="8"/>
      </c>
      <c r="CH73" s="2928">
        <f t="shared" si="8"/>
      </c>
      <c r="CI73" s="2928">
        <f t="shared" si="8"/>
      </c>
      <c r="CJ73" s="2928">
        <f t="shared" si="8"/>
      </c>
      <c r="CK73" s="2928">
        <f t="shared" si="8"/>
      </c>
      <c r="CL73" s="2928">
        <f t="shared" si="8"/>
      </c>
      <c r="CM73" s="2928">
        <f t="shared" si="8"/>
      </c>
      <c r="CN73" s="2928">
        <f t="shared" si="8"/>
      </c>
      <c r="CO73" s="2928">
        <f t="shared" si="8"/>
      </c>
      <c r="CP73" s="2928">
        <f t="shared" si="8"/>
      </c>
      <c r="CQ73" s="2928">
        <f t="shared" si="8"/>
      </c>
      <c r="CR73" s="2928">
        <f t="shared" si="8"/>
      </c>
      <c r="CS73" s="2928">
        <f t="shared" si="8"/>
      </c>
      <c r="CT73" s="2928">
        <f t="shared" si="8"/>
      </c>
      <c r="CU73" s="2928">
        <f t="shared" si="8"/>
      </c>
      <c r="CV73" s="2928">
        <f t="shared" si="8"/>
      </c>
      <c r="CW73" s="2928">
        <f t="shared" si="8"/>
      </c>
      <c r="CX73" s="2928">
        <f t="shared" si="8"/>
      </c>
      <c r="CY73" s="2928">
        <f t="shared" si="8"/>
      </c>
      <c r="CZ73" s="2928">
        <f t="shared" si="8"/>
      </c>
      <c r="DA73" s="2928">
        <f t="shared" si="8"/>
      </c>
      <c r="DB73" s="2928">
        <f t="shared" si="8"/>
      </c>
      <c r="DC73" s="2928">
        <f t="shared" si="8"/>
      </c>
      <c r="DD73" s="2928">
        <f t="shared" si="8"/>
      </c>
      <c r="DE73" s="2928">
        <f t="shared" si="8"/>
      </c>
      <c r="DF73" s="2928">
        <f t="shared" si="8"/>
      </c>
      <c r="DG73" s="2928">
        <f t="shared" si="8"/>
      </c>
      <c r="DH73" s="2928">
        <f t="shared" si="8"/>
      </c>
      <c r="DI73" s="2928">
        <f t="shared" si="8"/>
      </c>
      <c r="DJ73" s="2928">
        <f t="shared" si="8"/>
      </c>
      <c r="DK73" s="2928">
        <f t="shared" si="8"/>
      </c>
      <c r="DL73" s="2928">
        <f t="shared" si="8"/>
      </c>
      <c r="DM73" s="2928">
        <f t="shared" si="8"/>
      </c>
      <c r="DN73" s="2928">
        <f t="shared" si="8"/>
      </c>
      <c r="DO73" s="2928">
        <f t="shared" si="8"/>
      </c>
      <c r="DP73" s="2928">
        <f t="shared" si="8"/>
      </c>
      <c r="DQ73" s="2928">
        <f t="shared" si="8"/>
      </c>
      <c r="DR73" s="2928">
        <f t="shared" si="8"/>
      </c>
      <c r="DS73" s="2928">
        <f t="shared" si="8"/>
      </c>
      <c r="DT73" s="2928">
        <f t="shared" si="8"/>
      </c>
      <c r="DU73" s="2928">
        <f t="shared" si="8"/>
      </c>
      <c r="DV73" s="2928">
        <f t="shared" si="8"/>
      </c>
      <c r="DW73" s="2928">
        <f t="shared" si="8"/>
      </c>
      <c r="DX73" s="2928">
        <f t="shared" si="8"/>
      </c>
      <c r="DY73" s="2928">
        <f t="shared" si="8"/>
      </c>
      <c r="DZ73" s="2928">
        <f t="shared" si="8"/>
      </c>
      <c r="EA73" s="2928">
        <f t="shared" si="8"/>
      </c>
      <c r="EB73" s="2928">
        <f t="shared" si="8"/>
      </c>
      <c r="EC73" s="2928">
        <f t="shared" si="8"/>
      </c>
      <c r="ED73" s="2928">
        <f t="shared" si="8"/>
      </c>
      <c r="EE73" s="2928">
        <f t="shared" si="8"/>
      </c>
      <c r="EF73" s="2928">
        <f t="shared" si="8"/>
      </c>
      <c r="EG73" s="2928">
        <f t="shared" si="8"/>
      </c>
      <c r="EH73" s="2928">
        <f t="shared" si="8"/>
      </c>
      <c r="EI73" s="2928">
        <f t="shared" si="8"/>
      </c>
      <c r="EJ73" s="2928">
        <f t="shared" si="8"/>
      </c>
      <c r="EK73" s="2928">
        <f t="shared" si="8"/>
      </c>
      <c r="EL73" s="2928">
        <f t="shared" si="8"/>
      </c>
      <c r="EM73" s="2928">
        <f t="shared" si="8"/>
      </c>
      <c r="EN73" s="2928">
        <f t="shared" si="8"/>
      </c>
      <c r="EO73" s="2928">
        <f t="shared" si="8"/>
      </c>
      <c r="EP73" s="2928">
        <f t="shared" si="8"/>
      </c>
      <c r="EQ73" s="2928">
        <f t="shared" si="8"/>
      </c>
      <c r="ER73" s="2928">
        <f t="shared" si="8"/>
      </c>
      <c r="ES73" s="2928">
        <f t="shared" si="8"/>
      </c>
      <c r="ET73" s="2928">
        <f t="shared" si="8"/>
      </c>
      <c r="EU73" s="2928">
        <f t="shared" si="8"/>
      </c>
      <c r="EV73" s="2928">
        <f t="shared" si="8"/>
      </c>
      <c r="EW73" s="2928">
        <f t="shared" si="8"/>
      </c>
      <c r="EX73" s="2928">
        <f t="shared" si="8"/>
      </c>
      <c r="EY73" s="2928">
        <f t="shared" si="8"/>
      </c>
      <c r="EZ73" s="2928">
        <f t="shared" si="8"/>
      </c>
      <c r="FA73" s="2929" t="str">
        <f t="shared" si="12"/>
        <v>-</v>
      </c>
      <c r="FB73" s="2825">
        <f t="shared" si="13"/>
      </c>
      <c r="FC73" s="2930" cm="1">
        <f t="array" ref="FC73">_xlfn.LET(_xlpm.unit_type,$G73,_xlpm.market_rent_from_rent_roll,$E73,_xlpm.unit_type_list,RentRoll_InputArea_DesignatedUnitType,_xlpm.rent_by_unit_type,RentRoll_InputArea_MarketRent,_xlpm.use_rent_roll_market_rent,LEFT(RR_VacantUnitMktRentSource,9)="Rent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73" s="2930">
        <f t="shared" si="14"/>
        <v>1618</v>
      </c>
      <c r="FE73" s="2930">
        <f t="shared" si="15"/>
        <v>1618</v>
      </c>
      <c r="FF73" s="2930">
        <f t="shared" si="16"/>
        <v>1618</v>
      </c>
      <c r="FG73" s="2931"/>
      <c r="FH73" s="2932">
        <f t="shared" si="17"/>
      </c>
      <c r="FI73" s="2932">
        <f t="shared" si="18"/>
      </c>
      <c r="FJ73" s="2931"/>
      <c r="FK73" s="2933" cm="1">
        <f t="array" ref="FK73">IF(AND(LEN($D73)&gt;0,ISNA(MATCH(TRUE,EXACT($G73,RentRoll_InputArea_DesignatedUnitType),0))),1,0)</f>
        <v>0</v>
      </c>
      <c r="FL73" s="2931">
        <f t="shared" si="19"/>
        <v>50</v>
      </c>
      <c r="FM73" s="2931"/>
      <c r="FN73" s="2931"/>
      <c r="FO73" s="2931"/>
      <c r="FP73" s="2931"/>
      <c r="FQ73" s="2931"/>
      <c r="FR73" s="2931"/>
      <c r="FS73" s="2931"/>
      <c r="FT73" s="2931"/>
      <c r="FU73" s="2931"/>
      <c r="FV73" s="2931"/>
      <c r="FW73" s="2931"/>
      <c r="FX73" s="2931"/>
      <c r="FY73" s="2931"/>
      <c r="FZ73" s="2931"/>
      <c r="GA73" s="2931"/>
      <c r="GB73" s="2931"/>
      <c r="GC73" s="2931"/>
      <c r="GD73" s="2931"/>
      <c r="GE73" s="2931"/>
      <c r="GF73" s="2931"/>
      <c r="GG73" s="2931"/>
      <c r="GH73" s="2931"/>
      <c r="GI73" s="2931"/>
      <c r="GJ73" s="2931"/>
      <c r="GK73" s="2931"/>
      <c r="GL73" s="2931"/>
      <c r="GM73" s="2931"/>
      <c r="GN73" s="2931"/>
      <c r="GO73" s="2931"/>
      <c r="GP73" s="2931"/>
      <c r="GQ73" s="2931"/>
      <c r="GR73" s="2931"/>
      <c r="GS73" s="2931"/>
      <c r="GT73" s="2931"/>
      <c r="GU73" s="2931"/>
      <c r="GV73" s="2931"/>
      <c r="GW73" s="2931"/>
      <c r="GX73" s="2931"/>
      <c r="GY73" s="2931"/>
      <c r="GZ73" s="2931"/>
      <c r="HA73" s="2931"/>
      <c r="HB73" s="2931"/>
      <c r="HC73" s="2931"/>
      <c r="HD73" s="2931"/>
      <c r="HE73" s="2931"/>
      <c r="HF73" s="2931"/>
      <c r="HG73" s="2931"/>
      <c r="HH73" s="2931"/>
      <c r="HI73" s="2931"/>
      <c r="HJ73" s="2931"/>
      <c r="HK73" s="2931"/>
      <c r="HL73" s="2931"/>
      <c r="HM73" s="2931"/>
      <c r="HN73" s="2931"/>
      <c r="HO73" s="2931"/>
      <c r="HP73" s="2931"/>
      <c r="HQ73" s="2931"/>
      <c r="HR73" s="2931"/>
      <c r="HS73" s="2931"/>
      <c r="HT73" s="2931"/>
      <c r="HU73" s="2931"/>
      <c r="HV73" s="2931"/>
      <c r="HW73" s="2931"/>
      <c r="HX73" s="2931"/>
      <c r="HY73" s="2931"/>
      <c r="HZ73" s="2931"/>
      <c r="IA73" s="2931"/>
      <c r="IB73" s="2931"/>
      <c r="IC73" s="2931"/>
      <c r="ID73" s="2931"/>
      <c r="IE73" s="2931"/>
      <c r="IF73" s="2931"/>
      <c r="IG73" s="2931"/>
      <c r="IH73" s="2931"/>
      <c r="II73" s="2931"/>
      <c r="IJ73" s="2931"/>
      <c r="IK73" s="2931"/>
      <c r="IL73" s="2931"/>
      <c r="IM73" s="2931"/>
      <c r="IN73" s="2931"/>
      <c r="IO73" s="2931" cm="1">
        <f t="array" ref="IO73">IF(LEN($G73)=0,"Rent Roll is incomplete",_xlfn.XLOOKUP(TRUE,EXACT(RentRoll_InputArea_DesignatedUnitType,$G73),RentRoll_InputArea_Beds,"Not Found"))</f>
        <v>0</v>
      </c>
      <c r="IP73" s="2934"/>
      <c r="IQ73" s="2935" t="str">
        <f t="shared" si="20"/>
        <v>0 Bedroom Unit (Efficiency/Studio)</v>
      </c>
      <c r="IR73" s="2926">
        <f t="shared" si="21"/>
        <v>1618</v>
      </c>
      <c r="IS73" s="2935"/>
      <c r="IT73" s="2931"/>
      <c r="IU73" s="2931"/>
      <c r="IV73" s="2931"/>
      <c r="IW73" s="2936" t="str">
        <f t="shared" si="22"/>
        <v>5-505</v>
      </c>
      <c r="IX73" s="2936"/>
      <c r="IY73" s="2936"/>
      <c r="IZ73" s="2936">
        <f t="shared" si="23"/>
        <v>0</v>
      </c>
      <c r="JA73" s="2936">
        <f t="shared" si="24"/>
        <v>1618</v>
      </c>
      <c r="JB73" s="2936"/>
      <c r="JC73" s="2936"/>
      <c r="JD73" s="2936"/>
      <c r="JE73" s="2936"/>
      <c r="JF73" s="2936"/>
      <c r="JG73" s="2936"/>
      <c r="JH73" s="2936">
        <f t="shared" si="25"/>
        <v>1533</v>
      </c>
      <c r="JI73" s="2936"/>
      <c r="JJ73" s="2936">
        <f t="shared" si="26"/>
      </c>
      <c r="JK73" s="2936"/>
      <c r="JL73" s="2936"/>
      <c r="JM73" s="2936"/>
      <c r="JN73" s="2936"/>
      <c r="JO73" s="2936"/>
      <c r="JP73" s="2936"/>
      <c r="JQ73" s="2936" t="str">
        <f t="shared" si="27"/>
        <v>Occupied</v>
      </c>
      <c r="JR73" s="2936" cm="1">
        <f t="array" ref="JR73">_xlfn.XLOOKUP(TRUE,EXACT(RentRoll_InputArea_DesignatedUnitType,$G73),RentRoll_InputArea_SquareFootage,"Not Found")</f>
        <v>1050</v>
      </c>
      <c r="JS73" s="2936" t="str">
        <f t="shared" si="28"/>
        <v>Apartment</v>
      </c>
      <c r="JT73" s="2936">
        <f t="shared" si="29"/>
      </c>
      <c r="JU73" s="2936"/>
      <c r="JV73" s="2936"/>
      <c r="JW73" s="2936"/>
      <c r="JX73" s="2936"/>
      <c r="JY73" s="2936">
        <f t="shared" si="9"/>
        <v>43586</v>
      </c>
      <c r="JZ73" s="2936">
        <f t="shared" si="9"/>
        <v>43951</v>
      </c>
      <c r="KA73" s="2936"/>
      <c r="KB73" s="2936"/>
      <c r="KC73" s="2936"/>
      <c r="KD73" s="2936"/>
      <c r="KE73" s="2936"/>
      <c r="KF73" s="2936"/>
      <c r="KG73" s="2936"/>
      <c r="KH73" s="2936"/>
      <c r="KI73" s="2937"/>
      <c r="KJ73" s="2936"/>
      <c r="KK73" s="1353"/>
    </row>
    <row r="74" ht="15" customHeight="1">
      <c r="A74" s="2922">
        <f t="shared" si="10"/>
        <v>51</v>
      </c>
      <c r="B74" s="2865"/>
      <c r="C74" s="2873"/>
      <c r="D74" s="2873" t="s">
        <v>2844</v>
      </c>
      <c r="E74" s="2923">
        <v>1518</v>
      </c>
      <c r="F74" s="2924" t="s">
        <v>2845</v>
      </c>
      <c r="G74" s="2873" t="s">
        <v>2532</v>
      </c>
      <c r="H74" s="2923">
        <v>1481</v>
      </c>
      <c r="I74" s="2925" cm="1">
        <f t="array" ref="I74">_xlfn.LET(_xlpm.has_subsidy,$N74&gt;0,_xlpm.is_chap9_sbl,$FF$20,_xlpm.contract_rent,$H74,_xlpm.unit_type_mkt_rent,_xlfn.XLOOKUP(TRUE,EXACT($G74,RentRoll_InputArea_DesignatedUnitType),RentRoll_InputArea_MarketRent,"Not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4" s="2926">
        <f t="shared" si="11"/>
        <v>1481</v>
      </c>
      <c r="K74" s="2923"/>
      <c r="L74" s="2923"/>
      <c r="M74" s="2923"/>
      <c r="N74" s="2923"/>
      <c r="O74" s="2927">
        <v>43440</v>
      </c>
      <c r="P74" s="2927">
        <v>43738</v>
      </c>
      <c r="Q74" s="2928">
        <f t="shared" si="8"/>
      </c>
      <c r="R74" s="2928">
        <f t="shared" si="8"/>
      </c>
      <c r="S74" s="2928">
        <f t="shared" si="8"/>
      </c>
      <c r="T74" s="2928">
        <f t="shared" si="8"/>
        <v>1481</v>
      </c>
      <c r="U74" s="2928">
        <f t="shared" si="8"/>
      </c>
      <c r="V74" s="2928">
        <f t="shared" si="8"/>
      </c>
      <c r="W74" s="2928">
        <f t="shared" si="8"/>
      </c>
      <c r="X74" s="2928">
        <f t="shared" si="8"/>
      </c>
      <c r="Y74" s="2928">
        <f t="shared" si="8"/>
      </c>
      <c r="Z74" s="2928">
        <f t="shared" si="8"/>
      </c>
      <c r="AA74" s="2928">
        <f t="shared" si="8"/>
      </c>
      <c r="AB74" s="2928">
        <f t="shared" si="8"/>
      </c>
      <c r="AC74" s="2928">
        <f t="shared" si="8"/>
      </c>
      <c r="AD74" s="2928">
        <f t="shared" si="8"/>
      </c>
      <c r="AE74" s="2928">
        <f t="shared" si="8"/>
      </c>
      <c r="AF74" s="2928">
        <f t="shared" si="8"/>
      </c>
      <c r="AG74" s="2928">
        <f t="shared" si="8"/>
      </c>
      <c r="AH74" s="2928">
        <f t="shared" si="8"/>
      </c>
      <c r="AI74" s="2928">
        <f t="shared" si="8"/>
      </c>
      <c r="AJ74" s="2928">
        <f t="shared" si="8"/>
      </c>
      <c r="AK74" s="2928">
        <f t="shared" si="8"/>
      </c>
      <c r="AL74" s="2928">
        <f t="shared" si="8"/>
      </c>
      <c r="AM74" s="2928">
        <f t="shared" si="8"/>
      </c>
      <c r="AN74" s="2928">
        <f t="shared" si="8"/>
      </c>
      <c r="AO74" s="2928">
        <f t="shared" si="8"/>
      </c>
      <c r="AP74" s="2928">
        <f t="shared" si="8"/>
      </c>
      <c r="AQ74" s="2928">
        <f t="shared" si="8"/>
      </c>
      <c r="AR74" s="2928">
        <f t="shared" si="8"/>
      </c>
      <c r="AS74" s="2928">
        <f t="shared" si="8"/>
      </c>
      <c r="AT74" s="2928">
        <f t="shared" si="8"/>
      </c>
      <c r="AU74" s="2928">
        <f t="shared" si="8"/>
      </c>
      <c r="AV74" s="2928">
        <f t="shared" si="8"/>
      </c>
      <c r="AW74" s="2928">
        <f t="shared" si="8"/>
      </c>
      <c r="AX74" s="2928">
        <f t="shared" si="8"/>
      </c>
      <c r="AY74" s="2928">
        <f t="shared" si="8"/>
      </c>
      <c r="AZ74" s="2928">
        <f t="shared" si="8"/>
      </c>
      <c r="BA74" s="2928">
        <f t="shared" si="8"/>
      </c>
      <c r="BB74" s="2928">
        <f t="shared" si="8"/>
      </c>
      <c r="BC74" s="2928">
        <f t="shared" si="8"/>
      </c>
      <c r="BD74" s="2928">
        <f t="shared" si="8"/>
      </c>
      <c r="BE74" s="2928">
        <f t="shared" si="8"/>
      </c>
      <c r="BF74" s="2928">
        <f t="shared" si="8"/>
      </c>
      <c r="BG74" s="2928">
        <f t="shared" si="8"/>
      </c>
      <c r="BH74" s="2928">
        <f t="shared" si="8"/>
      </c>
      <c r="BI74" s="2928">
        <f t="shared" si="8"/>
      </c>
      <c r="BJ74" s="2928">
        <f t="shared" si="8"/>
      </c>
      <c r="BK74" s="2928">
        <f t="shared" si="8"/>
      </c>
      <c r="BL74" s="2928">
        <f t="shared" si="8"/>
      </c>
      <c r="BM74" s="2928">
        <f t="shared" si="8"/>
      </c>
      <c r="BN74" s="2928">
        <f t="shared" si="8"/>
      </c>
      <c r="BO74" s="2928">
        <f t="shared" si="8"/>
      </c>
      <c r="BP74" s="2928">
        <f t="shared" si="8"/>
      </c>
      <c r="BQ74" s="2928">
        <f t="shared" si="8"/>
      </c>
      <c r="BR74" s="2928">
        <f t="shared" si="8"/>
      </c>
      <c r="BS74" s="2928">
        <f t="shared" si="8"/>
      </c>
      <c r="BT74" s="2928">
        <f t="shared" si="8"/>
      </c>
      <c r="BU74" s="2928">
        <f t="shared" si="8"/>
      </c>
      <c r="BV74" s="2928">
        <f t="shared" si="8"/>
      </c>
      <c r="BW74" s="2928">
        <f t="shared" si="8"/>
      </c>
      <c r="BX74" s="2928">
        <f t="shared" si="8"/>
      </c>
      <c r="BY74" s="2928">
        <f t="shared" si="8"/>
      </c>
      <c r="BZ74" s="2928">
        <f t="shared" si="8"/>
      </c>
      <c r="CA74" s="2928">
        <f t="shared" si="8"/>
      </c>
      <c r="CB74" s="2928">
        <f t="shared" si="8"/>
      </c>
      <c r="CC74" s="2928">
        <f t="shared" si="8"/>
      </c>
      <c r="CD74" s="2928">
        <f t="shared" si="8"/>
      </c>
      <c r="CE74" s="2928">
        <f t="shared" si="8"/>
      </c>
      <c r="CF74" s="2928">
        <f t="shared" si="8"/>
      </c>
      <c r="CG74" s="2928">
        <f t="shared" si="8"/>
      </c>
      <c r="CH74" s="2928">
        <f t="shared" si="8"/>
      </c>
      <c r="CI74" s="2928">
        <f t="shared" si="8"/>
      </c>
      <c r="CJ74" s="2928">
        <f t="shared" si="8"/>
      </c>
      <c r="CK74" s="2928">
        <f t="shared" si="8"/>
      </c>
      <c r="CL74" s="2928">
        <f t="shared" si="8"/>
      </c>
      <c r="CM74" s="2928">
        <f t="shared" si="8"/>
      </c>
      <c r="CN74" s="2928">
        <f t="shared" si="8"/>
      </c>
      <c r="CO74" s="2928">
        <f t="shared" si="8"/>
      </c>
      <c r="CP74" s="2928">
        <f t="shared" si="8"/>
      </c>
      <c r="CQ74" s="2928">
        <f t="shared" si="8"/>
      </c>
      <c r="CR74" s="2928">
        <f t="shared" si="8"/>
      </c>
      <c r="CS74" s="2928">
        <f t="shared" si="8"/>
      </c>
      <c r="CT74" s="2928">
        <f t="shared" si="8"/>
      </c>
      <c r="CU74" s="2928">
        <f t="shared" si="8"/>
      </c>
      <c r="CV74" s="2928">
        <f t="shared" si="8"/>
      </c>
      <c r="CW74" s="2928">
        <f t="shared" si="8"/>
      </c>
      <c r="CX74" s="2928">
        <f t="shared" si="8"/>
      </c>
      <c r="CY74" s="2928">
        <f t="shared" si="8"/>
      </c>
      <c r="CZ74" s="2928">
        <f t="shared" si="8"/>
      </c>
      <c r="DA74" s="2928">
        <f t="shared" si="8"/>
      </c>
      <c r="DB74" s="2928">
        <f t="shared" si="8"/>
      </c>
      <c r="DC74" s="2928">
        <f t="shared" si="8"/>
      </c>
      <c r="DD74" s="2928">
        <f t="shared" si="8"/>
      </c>
      <c r="DE74" s="2928">
        <f t="shared" si="8"/>
      </c>
      <c r="DF74" s="2928">
        <f t="shared" si="8"/>
      </c>
      <c r="DG74" s="2928">
        <f t="shared" si="8"/>
      </c>
      <c r="DH74" s="2928">
        <f t="shared" si="8"/>
      </c>
      <c r="DI74" s="2928">
        <f t="shared" si="8"/>
      </c>
      <c r="DJ74" s="2928">
        <f t="shared" si="8"/>
      </c>
      <c r="DK74" s="2928">
        <f t="shared" si="8"/>
      </c>
      <c r="DL74" s="2928">
        <f t="shared" si="8"/>
      </c>
      <c r="DM74" s="2928">
        <f t="shared" si="8"/>
      </c>
      <c r="DN74" s="2928">
        <f t="shared" si="8"/>
      </c>
      <c r="DO74" s="2928">
        <f t="shared" si="8"/>
      </c>
      <c r="DP74" s="2928">
        <f t="shared" si="8"/>
      </c>
      <c r="DQ74" s="2928">
        <f t="shared" si="8"/>
      </c>
      <c r="DR74" s="2928">
        <f t="shared" si="8"/>
      </c>
      <c r="DS74" s="2928">
        <f t="shared" si="8"/>
      </c>
      <c r="DT74" s="2928">
        <f t="shared" si="8"/>
      </c>
      <c r="DU74" s="2928">
        <f t="shared" si="8"/>
      </c>
      <c r="DV74" s="2928">
        <f t="shared" si="8"/>
      </c>
      <c r="DW74" s="2928">
        <f t="shared" si="8"/>
      </c>
      <c r="DX74" s="2928">
        <f t="shared" si="8"/>
      </c>
      <c r="DY74" s="2928">
        <f t="shared" si="8"/>
      </c>
      <c r="DZ74" s="2928">
        <f t="shared" si="8"/>
      </c>
      <c r="EA74" s="2928">
        <f t="shared" si="8"/>
      </c>
      <c r="EB74" s="2928">
        <f t="shared" si="8"/>
      </c>
      <c r="EC74" s="2928">
        <f t="shared" si="8"/>
      </c>
      <c r="ED74" s="2928">
        <f t="shared" si="8"/>
      </c>
      <c r="EE74" s="2928">
        <f t="shared" si="8"/>
      </c>
      <c r="EF74" s="2928">
        <f t="shared" si="8"/>
      </c>
      <c r="EG74" s="2928">
        <f t="shared" si="8"/>
      </c>
      <c r="EH74" s="2928">
        <f t="shared" si="8"/>
      </c>
      <c r="EI74" s="2928">
        <f t="shared" si="8"/>
      </c>
      <c r="EJ74" s="2928">
        <f t="shared" si="8"/>
      </c>
      <c r="EK74" s="2928">
        <f t="shared" si="8"/>
      </c>
      <c r="EL74" s="2928">
        <f t="shared" si="8"/>
      </c>
      <c r="EM74" s="2928">
        <f t="shared" si="8"/>
      </c>
      <c r="EN74" s="2928">
        <f t="shared" si="8"/>
      </c>
      <c r="EO74" s="2928">
        <f t="shared" si="8"/>
      </c>
      <c r="EP74" s="2928">
        <f t="shared" si="8"/>
      </c>
      <c r="EQ74" s="2928">
        <f t="shared" si="8"/>
      </c>
      <c r="ER74" s="2928">
        <f t="shared" si="8"/>
      </c>
      <c r="ES74" s="2928">
        <f t="shared" si="8"/>
      </c>
      <c r="ET74" s="2928">
        <f t="shared" si="8"/>
      </c>
      <c r="EU74" s="2928">
        <f t="shared" si="8"/>
      </c>
      <c r="EV74" s="2928">
        <f t="shared" si="8"/>
      </c>
      <c r="EW74" s="2928">
        <f t="shared" si="8"/>
      </c>
      <c r="EX74" s="2928">
        <f t="shared" si="8"/>
      </c>
      <c r="EY74" s="2928">
        <f t="shared" si="8"/>
      </c>
      <c r="EZ74" s="2928">
        <f t="shared" si="8"/>
      </c>
      <c r="FA74" s="2929" t="str">
        <f t="shared" si="12"/>
        <v>-</v>
      </c>
      <c r="FB74" s="2825">
        <f t="shared" si="13"/>
      </c>
      <c r="FC74" s="2930" cm="1">
        <f t="array" ref="FC74">_xlfn.LET(_xlpm.unit_type,$G74,_xlpm.market_rent_from_rent_roll,$E74,_xlpm.unit_type_list,RentRoll_InputArea_DesignatedUnitType,_xlpm.rent_by_unit_type,RentRoll_InputArea_MarketRent,_xlpm.use_rent_roll_market_rent,LEFT(RR_VacantUnitMktRentSource,9)="Rent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74" s="2930">
        <f t="shared" si="14"/>
        <v>1481</v>
      </c>
      <c r="FE74" s="2930">
        <f t="shared" si="15"/>
        <v>1481</v>
      </c>
      <c r="FF74" s="2930">
        <f t="shared" si="16"/>
        <v>1481</v>
      </c>
      <c r="FG74" s="2931"/>
      <c r="FH74" s="2932">
        <f t="shared" si="17"/>
      </c>
      <c r="FI74" s="2932">
        <f t="shared" si="18"/>
      </c>
      <c r="FJ74" s="2931"/>
      <c r="FK74" s="2933" cm="1">
        <f t="array" ref="FK74">IF(AND(LEN($D74)&gt;0,ISNA(MATCH(TRUE,EXACT($G74,RentRoll_InputArea_DesignatedUnitType),0))),1,0)</f>
        <v>0</v>
      </c>
      <c r="FL74" s="2931">
        <f t="shared" si="19"/>
        <v>51</v>
      </c>
      <c r="FM74" s="2931"/>
      <c r="FN74" s="2931"/>
      <c r="FO74" s="2931"/>
      <c r="FP74" s="2931"/>
      <c r="FQ74" s="2931"/>
      <c r="FR74" s="2931"/>
      <c r="FS74" s="2931"/>
      <c r="FT74" s="2931"/>
      <c r="FU74" s="2931"/>
      <c r="FV74" s="2931"/>
      <c r="FW74" s="2931"/>
      <c r="FX74" s="2931"/>
      <c r="FY74" s="2931"/>
      <c r="FZ74" s="2931"/>
      <c r="GA74" s="2931"/>
      <c r="GB74" s="2931"/>
      <c r="GC74" s="2931"/>
      <c r="GD74" s="2931"/>
      <c r="GE74" s="2931"/>
      <c r="GF74" s="2931"/>
      <c r="GG74" s="2931"/>
      <c r="GH74" s="2931"/>
      <c r="GI74" s="2931"/>
      <c r="GJ74" s="2931"/>
      <c r="GK74" s="2931"/>
      <c r="GL74" s="2931"/>
      <c r="GM74" s="2931"/>
      <c r="GN74" s="2931"/>
      <c r="GO74" s="2931"/>
      <c r="GP74" s="2931"/>
      <c r="GQ74" s="2931"/>
      <c r="GR74" s="2931"/>
      <c r="GS74" s="2931"/>
      <c r="GT74" s="2931"/>
      <c r="GU74" s="2931"/>
      <c r="GV74" s="2931"/>
      <c r="GW74" s="2931"/>
      <c r="GX74" s="2931"/>
      <c r="GY74" s="2931"/>
      <c r="GZ74" s="2931"/>
      <c r="HA74" s="2931"/>
      <c r="HB74" s="2931"/>
      <c r="HC74" s="2931"/>
      <c r="HD74" s="2931"/>
      <c r="HE74" s="2931"/>
      <c r="HF74" s="2931"/>
      <c r="HG74" s="2931"/>
      <c r="HH74" s="2931"/>
      <c r="HI74" s="2931"/>
      <c r="HJ74" s="2931"/>
      <c r="HK74" s="2931"/>
      <c r="HL74" s="2931"/>
      <c r="HM74" s="2931"/>
      <c r="HN74" s="2931"/>
      <c r="HO74" s="2931"/>
      <c r="HP74" s="2931"/>
      <c r="HQ74" s="2931"/>
      <c r="HR74" s="2931"/>
      <c r="HS74" s="2931"/>
      <c r="HT74" s="2931"/>
      <c r="HU74" s="2931"/>
      <c r="HV74" s="2931"/>
      <c r="HW74" s="2931"/>
      <c r="HX74" s="2931"/>
      <c r="HY74" s="2931"/>
      <c r="HZ74" s="2931"/>
      <c r="IA74" s="2931"/>
      <c r="IB74" s="2931"/>
      <c r="IC74" s="2931"/>
      <c r="ID74" s="2931"/>
      <c r="IE74" s="2931"/>
      <c r="IF74" s="2931"/>
      <c r="IG74" s="2931"/>
      <c r="IH74" s="2931"/>
      <c r="II74" s="2931"/>
      <c r="IJ74" s="2931"/>
      <c r="IK74" s="2931"/>
      <c r="IL74" s="2931"/>
      <c r="IM74" s="2931"/>
      <c r="IN74" s="2931"/>
      <c r="IO74" s="2931" cm="1">
        <f t="array" ref="IO74">IF(LEN($G74)=0,"Rent Roll is incomplete",_xlfn.XLOOKUP(TRUE,EXACT(RentRoll_InputArea_DesignatedUnitType,$G74),RentRoll_InputArea_Beds,"Not Found"))</f>
        <v>0</v>
      </c>
      <c r="IP74" s="2934"/>
      <c r="IQ74" s="2935" t="str">
        <f t="shared" si="20"/>
        <v>0 Bedroom Unit (Efficiency/Studio)</v>
      </c>
      <c r="IR74" s="2926">
        <f t="shared" si="21"/>
        <v>1481</v>
      </c>
      <c r="IS74" s="2935"/>
      <c r="IT74" s="2931"/>
      <c r="IU74" s="2931"/>
      <c r="IV74" s="2931"/>
      <c r="IW74" s="2936" t="str">
        <f t="shared" si="22"/>
        <v>5-506</v>
      </c>
      <c r="IX74" s="2936"/>
      <c r="IY74" s="2936"/>
      <c r="IZ74" s="2936">
        <f t="shared" si="23"/>
        <v>0</v>
      </c>
      <c r="JA74" s="2936">
        <f t="shared" si="24"/>
        <v>1481</v>
      </c>
      <c r="JB74" s="2936"/>
      <c r="JC74" s="2936"/>
      <c r="JD74" s="2936"/>
      <c r="JE74" s="2936"/>
      <c r="JF74" s="2936"/>
      <c r="JG74" s="2936"/>
      <c r="JH74" s="2936">
        <f t="shared" si="25"/>
        <v>1533</v>
      </c>
      <c r="JI74" s="2936"/>
      <c r="JJ74" s="2936">
        <f t="shared" si="26"/>
      </c>
      <c r="JK74" s="2936"/>
      <c r="JL74" s="2936"/>
      <c r="JM74" s="2936"/>
      <c r="JN74" s="2936"/>
      <c r="JO74" s="2936"/>
      <c r="JP74" s="2936"/>
      <c r="JQ74" s="2936" t="str">
        <f t="shared" si="27"/>
        <v>Occupied</v>
      </c>
      <c r="JR74" s="2936" cm="1">
        <f t="array" ref="JR74">_xlfn.XLOOKUP(TRUE,EXACT(RentRoll_InputArea_DesignatedUnitType,$G74),RentRoll_InputArea_SquareFootage,"Not Found")</f>
        <v>1050</v>
      </c>
      <c r="JS74" s="2936" t="str">
        <f t="shared" si="28"/>
        <v>Apartment</v>
      </c>
      <c r="JT74" s="2936">
        <f t="shared" si="29"/>
      </c>
      <c r="JU74" s="2936"/>
      <c r="JV74" s="2936"/>
      <c r="JW74" s="2936"/>
      <c r="JX74" s="2936"/>
      <c r="JY74" s="2936">
        <f t="shared" si="9"/>
        <v>43440</v>
      </c>
      <c r="JZ74" s="2936">
        <f t="shared" si="9"/>
        <v>43738</v>
      </c>
      <c r="KA74" s="2936"/>
      <c r="KB74" s="2936"/>
      <c r="KC74" s="2936"/>
      <c r="KD74" s="2936"/>
      <c r="KE74" s="2936"/>
      <c r="KF74" s="2936"/>
      <c r="KG74" s="2936"/>
      <c r="KH74" s="2936"/>
      <c r="KI74" s="2937"/>
      <c r="KJ74" s="2936"/>
      <c r="KK74" s="1353"/>
    </row>
    <row r="75" ht="15" customHeight="1">
      <c r="A75" s="2922">
        <f t="shared" si="10"/>
        <v>52</v>
      </c>
      <c r="B75" s="2865"/>
      <c r="C75" s="2873"/>
      <c r="D75" s="2873" t="s">
        <v>2846</v>
      </c>
      <c r="E75" s="2923">
        <v>1570</v>
      </c>
      <c r="F75" s="2924" t="s">
        <v>2847</v>
      </c>
      <c r="G75" s="2873" t="s">
        <v>2532</v>
      </c>
      <c r="H75" s="2923">
        <v>1513</v>
      </c>
      <c r="I75" s="2925" cm="1">
        <f t="array" ref="I75">_xlfn.LET(_xlpm.has_subsidy,$N75&gt;0,_xlpm.is_chap9_sbl,$FF$20,_xlpm.contract_rent,$H75,_xlpm.unit_type_mkt_rent,_xlfn.XLOOKUP(TRUE,EXACT($G75,RentRoll_InputArea_DesignatedUnitType),RentRoll_InputArea_MarketRent,"Not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5" s="2926">
        <f t="shared" si="11"/>
        <v>1513</v>
      </c>
      <c r="K75" s="2923"/>
      <c r="L75" s="2923"/>
      <c r="M75" s="2923"/>
      <c r="N75" s="2923"/>
      <c r="O75" s="2927">
        <v>43317</v>
      </c>
      <c r="P75" s="2927">
        <v>43616</v>
      </c>
      <c r="Q75" s="2928">
        <f t="shared" si="8"/>
      </c>
      <c r="R75" s="2928">
        <f t="shared" si="8"/>
      </c>
      <c r="S75" s="2928">
        <f t="shared" si="8"/>
      </c>
      <c r="T75" s="2928">
        <f t="shared" si="8"/>
        <v>1513</v>
      </c>
      <c r="U75" s="2928">
        <f t="shared" si="8"/>
      </c>
      <c r="V75" s="2928">
        <f t="shared" si="8"/>
      </c>
      <c r="W75" s="2928">
        <f t="shared" si="8"/>
      </c>
      <c r="X75" s="2928">
        <f t="shared" si="8"/>
      </c>
      <c r="Y75" s="2928">
        <f t="shared" si="8"/>
      </c>
      <c r="Z75" s="2928">
        <f t="shared" si="8"/>
      </c>
      <c r="AA75" s="2928">
        <f t="shared" si="8"/>
      </c>
      <c r="AB75" s="2928">
        <f t="shared" si="8"/>
      </c>
      <c r="AC75" s="2928">
        <f t="shared" si="8"/>
      </c>
      <c r="AD75" s="2928">
        <f t="shared" si="8"/>
      </c>
      <c r="AE75" s="2928">
        <f t="shared" si="8"/>
      </c>
      <c r="AF75" s="2928">
        <f t="shared" si="8"/>
      </c>
      <c r="AG75" s="2928">
        <f t="shared" si="8"/>
      </c>
      <c r="AH75" s="2928">
        <f t="shared" si="8"/>
      </c>
      <c r="AI75" s="2928">
        <f t="shared" si="8"/>
      </c>
      <c r="AJ75" s="2928">
        <f t="shared" si="8"/>
      </c>
      <c r="AK75" s="2928">
        <f t="shared" si="8"/>
      </c>
      <c r="AL75" s="2928">
        <f t="shared" si="8"/>
      </c>
      <c r="AM75" s="2928">
        <f t="shared" si="8"/>
      </c>
      <c r="AN75" s="2928">
        <f t="shared" si="8"/>
      </c>
      <c r="AO75" s="2928">
        <f t="shared" si="8"/>
      </c>
      <c r="AP75" s="2928">
        <f t="shared" si="8"/>
      </c>
      <c r="AQ75" s="2928">
        <f t="shared" si="8"/>
      </c>
      <c r="AR75" s="2928">
        <f t="shared" si="8"/>
      </c>
      <c r="AS75" s="2928">
        <f t="shared" si="8"/>
      </c>
      <c r="AT75" s="2928">
        <f t="shared" si="8"/>
      </c>
      <c r="AU75" s="2928">
        <f t="shared" si="8"/>
      </c>
      <c r="AV75" s="2928">
        <f t="shared" si="8"/>
      </c>
      <c r="AW75" s="2928">
        <f t="shared" si="8"/>
      </c>
      <c r="AX75" s="2928">
        <f t="shared" si="8"/>
      </c>
      <c r="AY75" s="2928">
        <f t="shared" si="8"/>
      </c>
      <c r="AZ75" s="2928">
        <f t="shared" si="8"/>
      </c>
      <c r="BA75" s="2928">
        <f t="shared" si="8"/>
      </c>
      <c r="BB75" s="2928">
        <f t="shared" si="8"/>
      </c>
      <c r="BC75" s="2928">
        <f t="shared" si="8"/>
      </c>
      <c r="BD75" s="2928">
        <f t="shared" si="8"/>
      </c>
      <c r="BE75" s="2928">
        <f t="shared" si="8"/>
      </c>
      <c r="BF75" s="2928">
        <f t="shared" si="8"/>
      </c>
      <c r="BG75" s="2928">
        <f t="shared" si="8"/>
      </c>
      <c r="BH75" s="2928">
        <f t="shared" si="8"/>
      </c>
      <c r="BI75" s="2928">
        <f t="shared" si="8"/>
      </c>
      <c r="BJ75" s="2928">
        <f t="shared" si="8"/>
      </c>
      <c r="BK75" s="2928">
        <f t="shared" si="8"/>
      </c>
      <c r="BL75" s="2928">
        <f t="shared" si="8"/>
      </c>
      <c r="BM75" s="2928">
        <f t="shared" si="8"/>
      </c>
      <c r="BN75" s="2928">
        <f t="shared" si="8"/>
      </c>
      <c r="BO75" s="2928">
        <f t="shared" si="8"/>
      </c>
      <c r="BP75" s="2928">
        <f t="shared" si="8"/>
      </c>
      <c r="BQ75" s="2928">
        <f t="shared" si="8"/>
      </c>
      <c r="BR75" s="2928">
        <f t="shared" si="8"/>
      </c>
      <c r="BS75" s="2928">
        <f t="shared" si="8"/>
      </c>
      <c r="BT75" s="2928">
        <f t="shared" si="8"/>
      </c>
      <c r="BU75" s="2928">
        <f t="shared" si="8"/>
      </c>
      <c r="BV75" s="2928">
        <f t="shared" si="8"/>
      </c>
      <c r="BW75" s="2928">
        <f t="shared" si="8"/>
      </c>
      <c r="BX75" s="2928">
        <f t="shared" si="8"/>
      </c>
      <c r="BY75" s="2928">
        <f t="shared" si="8"/>
      </c>
      <c r="BZ75" s="2928">
        <f t="shared" si="8"/>
      </c>
      <c r="CA75" s="2928">
        <f t="shared" si="8"/>
      </c>
      <c r="CB75" s="2928">
        <f t="shared" si="8"/>
      </c>
      <c r="CC75" s="2928">
        <f t="shared" si="8"/>
      </c>
      <c r="CD75" s="2928">
        <f t="shared" si="8"/>
      </c>
      <c r="CE75" s="2928">
        <f t="shared" si="8"/>
      </c>
      <c r="CF75" s="2928">
        <f t="shared" si="8"/>
      </c>
      <c r="CG75" s="2928">
        <f t="shared" si="8"/>
      </c>
      <c r="CH75" s="2928">
        <f t="shared" si="8"/>
      </c>
      <c r="CI75" s="2928">
        <f t="shared" si="8"/>
      </c>
      <c r="CJ75" s="2928">
        <f t="shared" si="8"/>
      </c>
      <c r="CK75" s="2928">
        <f t="shared" si="8"/>
      </c>
      <c r="CL75" s="2928">
        <f t="shared" si="8"/>
      </c>
      <c r="CM75" s="2928">
        <f t="shared" si="8"/>
      </c>
      <c r="CN75" s="2928">
        <f t="shared" si="8"/>
      </c>
      <c r="CO75" s="2928">
        <f t="shared" si="8"/>
      </c>
      <c r="CP75" s="2928">
        <f t="shared" si="8"/>
      </c>
      <c r="CQ75" s="2928">
        <f t="shared" si="8"/>
      </c>
      <c r="CR75" s="2928">
        <f t="shared" si="8"/>
      </c>
      <c r="CS75" s="2928">
        <f t="shared" si="8"/>
      </c>
      <c r="CT75" s="2928">
        <f t="shared" si="8"/>
      </c>
      <c r="CU75" s="2928">
        <f t="shared" si="8"/>
      </c>
      <c r="CV75" s="2928">
        <f t="shared" si="8"/>
      </c>
      <c r="CW75" s="2928">
        <f t="shared" si="8"/>
      </c>
      <c r="CX75" s="2928">
        <f t="shared" si="8"/>
      </c>
      <c r="CY75" s="2928">
        <f t="shared" si="8"/>
      </c>
      <c r="CZ75" s="2928">
        <f t="shared" si="8"/>
      </c>
      <c r="DA75" s="2928">
        <f t="shared" si="8"/>
      </c>
      <c r="DB75" s="2928">
        <f t="shared" si="8"/>
      </c>
      <c r="DC75" s="2928">
        <f t="shared" si="8"/>
      </c>
      <c r="DD75" s="2928">
        <f t="shared" si="8"/>
      </c>
      <c r="DE75" s="2928">
        <f t="shared" si="8"/>
      </c>
      <c r="DF75" s="2928">
        <f t="shared" si="8"/>
      </c>
      <c r="DG75" s="2928">
        <f t="shared" si="8"/>
      </c>
      <c r="DH75" s="2928">
        <f t="shared" si="8"/>
      </c>
      <c r="DI75" s="2928">
        <f t="shared" si="8"/>
      </c>
      <c r="DJ75" s="2928">
        <f t="shared" si="8"/>
      </c>
      <c r="DK75" s="2928">
        <f t="shared" si="8"/>
      </c>
      <c r="DL75" s="2928">
        <f t="shared" si="8"/>
      </c>
      <c r="DM75" s="2928">
        <f t="shared" si="8"/>
      </c>
      <c r="DN75" s="2928">
        <f t="shared" si="8"/>
      </c>
      <c r="DO75" s="2928">
        <f t="shared" si="8"/>
      </c>
      <c r="DP75" s="2928">
        <f t="shared" si="8"/>
      </c>
      <c r="DQ75" s="2928">
        <f t="shared" si="8"/>
      </c>
      <c r="DR75" s="2928">
        <f t="shared" si="8"/>
      </c>
      <c r="DS75" s="2928">
        <f t="shared" si="8"/>
      </c>
      <c r="DT75" s="2928">
        <f t="shared" si="8"/>
      </c>
      <c r="DU75" s="2928">
        <f t="shared" si="8"/>
      </c>
      <c r="DV75" s="2928">
        <f t="shared" si="8"/>
      </c>
      <c r="DW75" s="2928">
        <f t="shared" si="8"/>
      </c>
      <c r="DX75" s="2928">
        <f t="shared" si="8"/>
      </c>
      <c r="DY75" s="2928">
        <f t="shared" si="8"/>
      </c>
      <c r="DZ75" s="2928">
        <f t="shared" si="8"/>
      </c>
      <c r="EA75" s="2928">
        <f t="shared" si="8"/>
      </c>
      <c r="EB75" s="2928">
        <f t="shared" si="8"/>
      </c>
      <c r="EC75" s="2928">
        <f t="shared" si="8"/>
      </c>
      <c r="ED75" s="2928">
        <f t="shared" si="8"/>
      </c>
      <c r="EE75" s="2928">
        <f t="shared" si="8"/>
      </c>
      <c r="EF75" s="2928">
        <f t="shared" si="8"/>
      </c>
      <c r="EG75" s="2928">
        <f t="shared" si="8"/>
      </c>
      <c r="EH75" s="2928">
        <f t="shared" si="8"/>
      </c>
      <c r="EI75" s="2928">
        <f t="shared" si="8"/>
      </c>
      <c r="EJ75" s="2928">
        <f t="shared" si="8"/>
      </c>
      <c r="EK75" s="2928">
        <f t="shared" si="8"/>
      </c>
      <c r="EL75" s="2928">
        <f t="shared" si="8"/>
      </c>
      <c r="EM75" s="2928">
        <f t="shared" si="8"/>
      </c>
      <c r="EN75" s="2928">
        <f t="shared" si="8"/>
      </c>
      <c r="EO75" s="2928">
        <f t="shared" si="8"/>
      </c>
      <c r="EP75" s="2928">
        <f t="shared" si="8"/>
      </c>
      <c r="EQ75" s="2928">
        <f t="shared" si="8"/>
      </c>
      <c r="ER75" s="2928">
        <f t="shared" si="8"/>
      </c>
      <c r="ES75" s="2928">
        <f t="shared" si="8"/>
      </c>
      <c r="ET75" s="2928">
        <f t="shared" si="8"/>
      </c>
      <c r="EU75" s="2928">
        <f t="shared" si="8"/>
      </c>
      <c r="EV75" s="2928">
        <f t="shared" si="8"/>
      </c>
      <c r="EW75" s="2928">
        <f t="shared" si="8"/>
      </c>
      <c r="EX75" s="2928">
        <f t="shared" si="8"/>
      </c>
      <c r="EY75" s="2928">
        <f t="shared" si="8"/>
      </c>
      <c r="EZ75" s="2928">
        <f t="shared" si="8"/>
      </c>
      <c r="FA75" s="2929" t="str">
        <f t="shared" si="12"/>
        <v>-</v>
      </c>
      <c r="FB75" s="2825">
        <f t="shared" si="13"/>
      </c>
      <c r="FC75" s="2930" cm="1">
        <f t="array" ref="FC75">_xlfn.LET(_xlpm.unit_type,$G75,_xlpm.market_rent_from_rent_roll,$E75,_xlpm.unit_type_list,RentRoll_InputArea_DesignatedUnitType,_xlpm.rent_by_unit_type,RentRoll_InputArea_MarketRent,_xlpm.use_rent_roll_market_rent,LEFT(RR_VacantUnitMktRentSource,9)="Rent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75" s="2930">
        <f t="shared" si="14"/>
        <v>1513</v>
      </c>
      <c r="FE75" s="2930">
        <f t="shared" si="15"/>
        <v>1513</v>
      </c>
      <c r="FF75" s="2930">
        <f t="shared" si="16"/>
        <v>1513</v>
      </c>
      <c r="FG75" s="2931"/>
      <c r="FH75" s="2932">
        <f t="shared" si="17"/>
      </c>
      <c r="FI75" s="2932">
        <f t="shared" si="18"/>
      </c>
      <c r="FJ75" s="2931"/>
      <c r="FK75" s="2933" cm="1">
        <f t="array" ref="FK75">IF(AND(LEN($D75)&gt;0,ISNA(MATCH(TRUE,EXACT($G75,RentRoll_InputArea_DesignatedUnitType),0))),1,0)</f>
        <v>0</v>
      </c>
      <c r="FL75" s="2931">
        <f t="shared" si="19"/>
        <v>52</v>
      </c>
      <c r="FM75" s="2931"/>
      <c r="FN75" s="2931"/>
      <c r="FO75" s="2931"/>
      <c r="FP75" s="2931"/>
      <c r="FQ75" s="2931"/>
      <c r="FR75" s="2931"/>
      <c r="FS75" s="2931"/>
      <c r="FT75" s="2931"/>
      <c r="FU75" s="2931"/>
      <c r="FV75" s="2931"/>
      <c r="FW75" s="2931"/>
      <c r="FX75" s="2931"/>
      <c r="FY75" s="2931"/>
      <c r="FZ75" s="2931"/>
      <c r="GA75" s="2931"/>
      <c r="GB75" s="2931"/>
      <c r="GC75" s="2931"/>
      <c r="GD75" s="2931"/>
      <c r="GE75" s="2931"/>
      <c r="GF75" s="2931"/>
      <c r="GG75" s="2931"/>
      <c r="GH75" s="2931"/>
      <c r="GI75" s="2931"/>
      <c r="GJ75" s="2931"/>
      <c r="GK75" s="2931"/>
      <c r="GL75" s="2931"/>
      <c r="GM75" s="2931"/>
      <c r="GN75" s="2931"/>
      <c r="GO75" s="2931"/>
      <c r="GP75" s="2931"/>
      <c r="GQ75" s="2931"/>
      <c r="GR75" s="2931"/>
      <c r="GS75" s="2931"/>
      <c r="GT75" s="2931"/>
      <c r="GU75" s="2931"/>
      <c r="GV75" s="2931"/>
      <c r="GW75" s="2931"/>
      <c r="GX75" s="2931"/>
      <c r="GY75" s="2931"/>
      <c r="GZ75" s="2931"/>
      <c r="HA75" s="2931"/>
      <c r="HB75" s="2931"/>
      <c r="HC75" s="2931"/>
      <c r="HD75" s="2931"/>
      <c r="HE75" s="2931"/>
      <c r="HF75" s="2931"/>
      <c r="HG75" s="2931"/>
      <c r="HH75" s="2931"/>
      <c r="HI75" s="2931"/>
      <c r="HJ75" s="2931"/>
      <c r="HK75" s="2931"/>
      <c r="HL75" s="2931"/>
      <c r="HM75" s="2931"/>
      <c r="HN75" s="2931"/>
      <c r="HO75" s="2931"/>
      <c r="HP75" s="2931"/>
      <c r="HQ75" s="2931"/>
      <c r="HR75" s="2931"/>
      <c r="HS75" s="2931"/>
      <c r="HT75" s="2931"/>
      <c r="HU75" s="2931"/>
      <c r="HV75" s="2931"/>
      <c r="HW75" s="2931"/>
      <c r="HX75" s="2931"/>
      <c r="HY75" s="2931"/>
      <c r="HZ75" s="2931"/>
      <c r="IA75" s="2931"/>
      <c r="IB75" s="2931"/>
      <c r="IC75" s="2931"/>
      <c r="ID75" s="2931"/>
      <c r="IE75" s="2931"/>
      <c r="IF75" s="2931"/>
      <c r="IG75" s="2931"/>
      <c r="IH75" s="2931"/>
      <c r="II75" s="2931"/>
      <c r="IJ75" s="2931"/>
      <c r="IK75" s="2931"/>
      <c r="IL75" s="2931"/>
      <c r="IM75" s="2931"/>
      <c r="IN75" s="2931"/>
      <c r="IO75" s="2931" cm="1">
        <f t="array" ref="IO75">IF(LEN($G75)=0,"Rent Roll is incomplete",_xlfn.XLOOKUP(TRUE,EXACT(RentRoll_InputArea_DesignatedUnitType,$G75),RentRoll_InputArea_Beds,"Not Found"))</f>
        <v>0</v>
      </c>
      <c r="IP75" s="2934"/>
      <c r="IQ75" s="2935" t="str">
        <f t="shared" si="20"/>
        <v>0 Bedroom Unit (Efficiency/Studio)</v>
      </c>
      <c r="IR75" s="2926">
        <f t="shared" si="21"/>
        <v>1513</v>
      </c>
      <c r="IS75" s="2935"/>
      <c r="IT75" s="2931"/>
      <c r="IU75" s="2931"/>
      <c r="IV75" s="2931"/>
      <c r="IW75" s="2936" t="str">
        <f t="shared" si="22"/>
        <v>5-507</v>
      </c>
      <c r="IX75" s="2936"/>
      <c r="IY75" s="2936"/>
      <c r="IZ75" s="2936">
        <f t="shared" si="23"/>
        <v>0</v>
      </c>
      <c r="JA75" s="2936">
        <f t="shared" si="24"/>
        <v>1513</v>
      </c>
      <c r="JB75" s="2936"/>
      <c r="JC75" s="2936"/>
      <c r="JD75" s="2936"/>
      <c r="JE75" s="2936"/>
      <c r="JF75" s="2936"/>
      <c r="JG75" s="2936"/>
      <c r="JH75" s="2936">
        <f t="shared" si="25"/>
        <v>1533</v>
      </c>
      <c r="JI75" s="2936"/>
      <c r="JJ75" s="2936">
        <f t="shared" si="26"/>
      </c>
      <c r="JK75" s="2936"/>
      <c r="JL75" s="2936"/>
      <c r="JM75" s="2936"/>
      <c r="JN75" s="2936"/>
      <c r="JO75" s="2936"/>
      <c r="JP75" s="2936"/>
      <c r="JQ75" s="2936" t="str">
        <f t="shared" si="27"/>
        <v>Occupied</v>
      </c>
      <c r="JR75" s="2936" cm="1">
        <f t="array" ref="JR75">_xlfn.XLOOKUP(TRUE,EXACT(RentRoll_InputArea_DesignatedUnitType,$G75),RentRoll_InputArea_SquareFootage,"Not Found")</f>
        <v>1050</v>
      </c>
      <c r="JS75" s="2936" t="str">
        <f t="shared" si="28"/>
        <v>Apartment</v>
      </c>
      <c r="JT75" s="2936">
        <f t="shared" si="29"/>
      </c>
      <c r="JU75" s="2936"/>
      <c r="JV75" s="2936"/>
      <c r="JW75" s="2936"/>
      <c r="JX75" s="2936"/>
      <c r="JY75" s="2936">
        <f t="shared" si="9"/>
        <v>43317</v>
      </c>
      <c r="JZ75" s="2936">
        <f t="shared" si="9"/>
        <v>43616</v>
      </c>
      <c r="KA75" s="2936"/>
      <c r="KB75" s="2936"/>
      <c r="KC75" s="2936"/>
      <c r="KD75" s="2936"/>
      <c r="KE75" s="2936"/>
      <c r="KF75" s="2936"/>
      <c r="KG75" s="2936"/>
      <c r="KH75" s="2936"/>
      <c r="KI75" s="2937"/>
      <c r="KJ75" s="2936"/>
      <c r="KK75" s="1353"/>
    </row>
    <row r="76" ht="15" customHeight="1">
      <c r="A76" s="2922">
        <f t="shared" si="10"/>
        <v>53</v>
      </c>
      <c r="B76" s="2865"/>
      <c r="C76" s="2873"/>
      <c r="D76" s="2873" t="s">
        <v>2848</v>
      </c>
      <c r="E76" s="2923">
        <v>1200</v>
      </c>
      <c r="F76" s="2924" t="s">
        <v>2849</v>
      </c>
      <c r="G76" s="2873" t="s">
        <v>2530</v>
      </c>
      <c r="H76" s="2923">
        <v>1231</v>
      </c>
      <c r="I76" s="2925" cm="1">
        <f t="array" ref="I76">_xlfn.LET(_xlpm.has_subsidy,$N76&gt;0,_xlpm.is_chap9_sbl,$FF$20,_xlpm.contract_rent,$H76,_xlpm.unit_type_mkt_rent,_xlfn.XLOOKUP(TRUE,EXACT($G76,RentRoll_InputArea_DesignatedUnitType),RentRoll_InputArea_MarketRent,"Not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6" s="2926">
        <f t="shared" si="11"/>
        <v>1231</v>
      </c>
      <c r="K76" s="2923"/>
      <c r="L76" s="2923"/>
      <c r="M76" s="2923"/>
      <c r="N76" s="2923"/>
      <c r="O76" s="2927">
        <v>43540</v>
      </c>
      <c r="P76" s="2927">
        <v>43921</v>
      </c>
      <c r="Q76" s="2928">
        <f t="shared" si="8"/>
      </c>
      <c r="R76" s="2928">
        <f t="shared" si="8"/>
        <v>1231</v>
      </c>
      <c r="S76" s="2928">
        <f t="shared" si="8"/>
      </c>
      <c r="T76" s="2928">
        <f t="shared" si="8"/>
      </c>
      <c r="U76" s="2928">
        <f t="shared" si="8"/>
      </c>
      <c r="V76" s="2928">
        <f t="shared" si="8"/>
      </c>
      <c r="W76" s="2928">
        <f t="shared" si="8"/>
      </c>
      <c r="X76" s="2928">
        <f t="shared" si="8"/>
      </c>
      <c r="Y76" s="2928">
        <f t="shared" si="8"/>
      </c>
      <c r="Z76" s="2928">
        <f t="shared" si="8"/>
      </c>
      <c r="AA76" s="2928">
        <f t="shared" si="8"/>
      </c>
      <c r="AB76" s="2928">
        <f t="shared" si="8"/>
      </c>
      <c r="AC76" s="2928">
        <f t="shared" si="8"/>
      </c>
      <c r="AD76" s="2928">
        <f t="shared" si="8"/>
      </c>
      <c r="AE76" s="2928">
        <f t="shared" si="8"/>
      </c>
      <c r="AF76" s="2928">
        <f t="shared" si="8"/>
      </c>
      <c r="AG76" s="2928">
        <f t="shared" si="8"/>
      </c>
      <c r="AH76" s="2928">
        <f t="shared" si="8"/>
      </c>
      <c r="AI76" s="2928">
        <f t="shared" si="8"/>
      </c>
      <c r="AJ76" s="2928">
        <f t="shared" si="8"/>
      </c>
      <c r="AK76" s="2928">
        <f t="shared" si="8"/>
      </c>
      <c r="AL76" s="2928">
        <f t="shared" si="8"/>
      </c>
      <c r="AM76" s="2928">
        <f t="shared" si="8"/>
      </c>
      <c r="AN76" s="2928">
        <f t="shared" si="8"/>
      </c>
      <c r="AO76" s="2928">
        <f t="shared" si="8"/>
      </c>
      <c r="AP76" s="2928">
        <f t="shared" si="8"/>
      </c>
      <c r="AQ76" s="2928">
        <f t="shared" si="8"/>
      </c>
      <c r="AR76" s="2928">
        <f t="shared" si="8"/>
      </c>
      <c r="AS76" s="2928">
        <f t="shared" si="8"/>
      </c>
      <c r="AT76" s="2928">
        <f t="shared" si="8"/>
      </c>
      <c r="AU76" s="2928">
        <f t="shared" si="8"/>
      </c>
      <c r="AV76" s="2928">
        <f t="shared" si="8"/>
      </c>
      <c r="AW76" s="2928">
        <f t="shared" si="8"/>
      </c>
      <c r="AX76" s="2928">
        <f t="shared" si="8"/>
      </c>
      <c r="AY76" s="2928">
        <f t="shared" si="8"/>
      </c>
      <c r="AZ76" s="2928">
        <f t="shared" si="8"/>
      </c>
      <c r="BA76" s="2928">
        <f t="shared" si="8"/>
      </c>
      <c r="BB76" s="2928">
        <f t="shared" si="8"/>
      </c>
      <c r="BC76" s="2928">
        <f t="shared" si="8"/>
      </c>
      <c r="BD76" s="2928">
        <f t="shared" si="8"/>
      </c>
      <c r="BE76" s="2928">
        <f t="shared" si="8"/>
      </c>
      <c r="BF76" s="2928">
        <f t="shared" si="8"/>
      </c>
      <c r="BG76" s="2928">
        <f t="shared" si="8"/>
      </c>
      <c r="BH76" s="2928">
        <f t="shared" si="8"/>
      </c>
      <c r="BI76" s="2928">
        <f t="shared" si="8"/>
      </c>
      <c r="BJ76" s="2928">
        <f t="shared" si="8"/>
      </c>
      <c r="BK76" s="2928">
        <f t="shared" si="8"/>
      </c>
      <c r="BL76" s="2928">
        <f t="shared" si="8"/>
      </c>
      <c r="BM76" s="2928">
        <f t="shared" si="8"/>
      </c>
      <c r="BN76" s="2928">
        <f t="shared" si="8"/>
      </c>
      <c r="BO76" s="2928">
        <f t="shared" si="8"/>
      </c>
      <c r="BP76" s="2928">
        <f t="shared" si="8"/>
      </c>
      <c r="BQ76" s="2928">
        <f t="shared" si="8"/>
      </c>
      <c r="BR76" s="2928">
        <f t="shared" si="8"/>
      </c>
      <c r="BS76" s="2928">
        <f t="shared" si="8"/>
      </c>
      <c r="BT76" s="2928">
        <f t="shared" si="8"/>
      </c>
      <c r="BU76" s="2928">
        <f t="shared" si="8"/>
      </c>
      <c r="BV76" s="2928">
        <f t="shared" si="8"/>
      </c>
      <c r="BW76" s="2928">
        <f t="shared" si="8"/>
      </c>
      <c r="BX76" s="2928">
        <f t="shared" si="8"/>
      </c>
      <c r="BY76" s="2928">
        <f t="shared" si="8"/>
      </c>
      <c r="BZ76" s="2928">
        <f t="shared" si="8"/>
      </c>
      <c r="CA76" s="2928">
        <f t="shared" si="8"/>
      </c>
      <c r="CB76" s="2928">
        <f t="shared" si="8"/>
      </c>
      <c r="CC76" s="2928">
        <f t="shared" si="8"/>
      </c>
      <c r="CD76" s="2928">
        <f t="shared" si="8"/>
      </c>
      <c r="CE76" s="2928">
        <f t="shared" si="8"/>
      </c>
      <c r="CF76" s="2928">
        <f t="shared" si="8"/>
      </c>
      <c r="CG76" s="2928">
        <f t="shared" si="8"/>
      </c>
      <c r="CH76" s="2928">
        <f t="shared" si="8"/>
      </c>
      <c r="CI76" s="2928">
        <f t="shared" si="8"/>
      </c>
      <c r="CJ76" s="2928">
        <f t="shared" si="8"/>
      </c>
      <c r="CK76" s="2928">
        <f t="shared" si="8"/>
      </c>
      <c r="CL76" s="2928">
        <f t="shared" si="8"/>
      </c>
      <c r="CM76" s="2928">
        <f t="shared" si="8"/>
      </c>
      <c r="CN76" s="2928">
        <f t="shared" si="8"/>
      </c>
      <c r="CO76" s="2928">
        <f t="shared" si="8"/>
      </c>
      <c r="CP76" s="2928">
        <f t="shared" si="8"/>
      </c>
      <c r="CQ76" s="2928">
        <f t="shared" si="8"/>
      </c>
      <c r="CR76" s="2928">
        <f t="shared" si="8"/>
      </c>
      <c r="CS76" s="2928">
        <f t="shared" si="8"/>
      </c>
      <c r="CT76" s="2928">
        <f t="shared" si="8"/>
      </c>
      <c r="CU76" s="2928">
        <f t="shared" si="8"/>
      </c>
      <c r="CV76" s="2928">
        <f t="shared" si="8"/>
      </c>
      <c r="CW76" s="2928">
        <f t="shared" si="8"/>
      </c>
      <c r="CX76" s="2928">
        <f t="shared" si="8"/>
      </c>
      <c r="CY76" s="2928">
        <f t="shared" si="8"/>
      </c>
      <c r="CZ76" s="2928">
        <f t="shared" si="8"/>
      </c>
      <c r="DA76" s="2928">
        <f t="shared" si="8"/>
      </c>
      <c r="DB76" s="2928">
        <f t="shared" si="8"/>
      </c>
      <c r="DC76" s="2928">
        <f t="shared" si="8"/>
      </c>
      <c r="DD76" s="2928">
        <f t="shared" si="8"/>
      </c>
      <c r="DE76" s="2928">
        <f t="shared" si="8"/>
      </c>
      <c r="DF76" s="2928">
        <f t="shared" si="8"/>
      </c>
      <c r="DG76" s="2928">
        <f t="shared" si="8"/>
      </c>
      <c r="DH76" s="2928">
        <f t="shared" si="8"/>
      </c>
      <c r="DI76" s="2928">
        <f t="shared" si="8"/>
      </c>
      <c r="DJ76" s="2928">
        <f t="shared" si="8"/>
      </c>
      <c r="DK76" s="2928">
        <f t="shared" si="8"/>
      </c>
      <c r="DL76" s="2928">
        <f t="shared" si="8"/>
      </c>
      <c r="DM76" s="2928">
        <f t="shared" si="8"/>
      </c>
      <c r="DN76" s="2928">
        <f t="shared" si="8"/>
      </c>
      <c r="DO76" s="2928">
        <f t="shared" si="8"/>
      </c>
      <c r="DP76" s="2928">
        <f t="shared" si="8"/>
      </c>
      <c r="DQ76" s="2928">
        <f t="shared" si="8"/>
      </c>
      <c r="DR76" s="2928">
        <f t="shared" si="8"/>
      </c>
      <c r="DS76" s="2928">
        <f t="shared" si="8"/>
      </c>
      <c r="DT76" s="2928">
        <f t="shared" si="8"/>
      </c>
      <c r="DU76" s="2928">
        <f t="shared" si="8"/>
      </c>
      <c r="DV76" s="2928">
        <f t="shared" si="8"/>
      </c>
      <c r="DW76" s="2928">
        <f t="shared" si="8"/>
      </c>
      <c r="DX76" s="2928">
        <f t="shared" si="8"/>
      </c>
      <c r="DY76" s="2928">
        <f t="shared" si="8"/>
      </c>
      <c r="DZ76" s="2928">
        <f t="shared" si="8"/>
      </c>
      <c r="EA76" s="2928">
        <f t="shared" si="8"/>
      </c>
      <c r="EB76" s="2928">
        <f t="shared" si="8"/>
      </c>
      <c r="EC76" s="2928">
        <f t="shared" si="8"/>
      </c>
      <c r="ED76" s="2928">
        <f t="shared" si="8"/>
      </c>
      <c r="EE76" s="2928">
        <f t="shared" si="8"/>
      </c>
      <c r="EF76" s="2928">
        <f t="shared" si="8"/>
      </c>
      <c r="EG76" s="2928">
        <f t="shared" si="8"/>
      </c>
      <c r="EH76" s="2928">
        <f t="shared" si="8"/>
      </c>
      <c r="EI76" s="2928">
        <f t="shared" si="8"/>
      </c>
      <c r="EJ76" s="2928">
        <f t="shared" si="8"/>
      </c>
      <c r="EK76" s="2928">
        <f t="shared" si="8"/>
      </c>
      <c r="EL76" s="2928">
        <f t="shared" si="8"/>
      </c>
      <c r="EM76" s="2928">
        <f t="shared" si="8"/>
      </c>
      <c r="EN76" s="2928">
        <f t="shared" si="8"/>
      </c>
      <c r="EO76" s="2928">
        <f t="shared" si="8"/>
      </c>
      <c r="EP76" s="2928">
        <f t="shared" si="8"/>
      </c>
      <c r="EQ76" s="2928">
        <f t="shared" si="8"/>
      </c>
      <c r="ER76" s="2928">
        <f t="shared" si="8"/>
      </c>
      <c r="ES76" s="2928">
        <f t="shared" si="8"/>
      </c>
      <c r="ET76" s="2928">
        <f t="shared" si="8"/>
      </c>
      <c r="EU76" s="2928">
        <f t="shared" si="8"/>
      </c>
      <c r="EV76" s="2928">
        <f t="shared" si="8"/>
      </c>
      <c r="EW76" s="2928">
        <f t="shared" si="8"/>
      </c>
      <c r="EX76" s="2928">
        <f t="shared" si="8"/>
      </c>
      <c r="EY76" s="2928">
        <f t="shared" si="8"/>
      </c>
      <c r="EZ76" s="2928">
        <f t="shared" si="8"/>
      </c>
      <c r="FA76" s="2929" t="str">
        <f t="shared" si="12"/>
        <v>-</v>
      </c>
      <c r="FB76" s="2825">
        <f t="shared" si="13"/>
      </c>
      <c r="FC76" s="2930" cm="1">
        <f t="array" ref="FC76">_xlfn.LET(_xlpm.unit_type,$G76,_xlpm.market_rent_from_rent_roll,$E76,_xlpm.unit_type_list,RentRoll_InputArea_DesignatedUnitType,_xlpm.rent_by_unit_type,RentRoll_InputArea_MarketRent,_xlpm.use_rent_roll_market_rent,LEFT(RR_VacantUnitMktRentSource,9)="Rent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6" s="2930">
        <f t="shared" si="14"/>
        <v>1231</v>
      </c>
      <c r="FE76" s="2930">
        <f t="shared" si="15"/>
        <v>1231</v>
      </c>
      <c r="FF76" s="2930">
        <f t="shared" si="16"/>
        <v>1231</v>
      </c>
      <c r="FG76" s="2931"/>
      <c r="FH76" s="2932">
        <f t="shared" si="17"/>
      </c>
      <c r="FI76" s="2932">
        <f t="shared" si="18"/>
      </c>
      <c r="FJ76" s="2931"/>
      <c r="FK76" s="2933" cm="1">
        <f t="array" ref="FK76">IF(AND(LEN($D76)&gt;0,ISNA(MATCH(TRUE,EXACT($G76,RentRoll_InputArea_DesignatedUnitType),0))),1,0)</f>
        <v>0</v>
      </c>
      <c r="FL76" s="2931">
        <f t="shared" si="19"/>
        <v>53</v>
      </c>
      <c r="FM76" s="2931"/>
      <c r="FN76" s="2931"/>
      <c r="FO76" s="2931"/>
      <c r="FP76" s="2931"/>
      <c r="FQ76" s="2931"/>
      <c r="FR76" s="2931"/>
      <c r="FS76" s="2931"/>
      <c r="FT76" s="2931"/>
      <c r="FU76" s="2931"/>
      <c r="FV76" s="2931"/>
      <c r="FW76" s="2931"/>
      <c r="FX76" s="2931"/>
      <c r="FY76" s="2931"/>
      <c r="FZ76" s="2931"/>
      <c r="GA76" s="2931"/>
      <c r="GB76" s="2931"/>
      <c r="GC76" s="2931"/>
      <c r="GD76" s="2931"/>
      <c r="GE76" s="2931"/>
      <c r="GF76" s="2931"/>
      <c r="GG76" s="2931"/>
      <c r="GH76" s="2931"/>
      <c r="GI76" s="2931"/>
      <c r="GJ76" s="2931"/>
      <c r="GK76" s="2931"/>
      <c r="GL76" s="2931"/>
      <c r="GM76" s="2931"/>
      <c r="GN76" s="2931"/>
      <c r="GO76" s="2931"/>
      <c r="GP76" s="2931"/>
      <c r="GQ76" s="2931"/>
      <c r="GR76" s="2931"/>
      <c r="GS76" s="2931"/>
      <c r="GT76" s="2931"/>
      <c r="GU76" s="2931"/>
      <c r="GV76" s="2931"/>
      <c r="GW76" s="2931"/>
      <c r="GX76" s="2931"/>
      <c r="GY76" s="2931"/>
      <c r="GZ76" s="2931"/>
      <c r="HA76" s="2931"/>
      <c r="HB76" s="2931"/>
      <c r="HC76" s="2931"/>
      <c r="HD76" s="2931"/>
      <c r="HE76" s="2931"/>
      <c r="HF76" s="2931"/>
      <c r="HG76" s="2931"/>
      <c r="HH76" s="2931"/>
      <c r="HI76" s="2931"/>
      <c r="HJ76" s="2931"/>
      <c r="HK76" s="2931"/>
      <c r="HL76" s="2931"/>
      <c r="HM76" s="2931"/>
      <c r="HN76" s="2931"/>
      <c r="HO76" s="2931"/>
      <c r="HP76" s="2931"/>
      <c r="HQ76" s="2931"/>
      <c r="HR76" s="2931"/>
      <c r="HS76" s="2931"/>
      <c r="HT76" s="2931"/>
      <c r="HU76" s="2931"/>
      <c r="HV76" s="2931"/>
      <c r="HW76" s="2931"/>
      <c r="HX76" s="2931"/>
      <c r="HY76" s="2931"/>
      <c r="HZ76" s="2931"/>
      <c r="IA76" s="2931"/>
      <c r="IB76" s="2931"/>
      <c r="IC76" s="2931"/>
      <c r="ID76" s="2931"/>
      <c r="IE76" s="2931"/>
      <c r="IF76" s="2931"/>
      <c r="IG76" s="2931"/>
      <c r="IH76" s="2931"/>
      <c r="II76" s="2931"/>
      <c r="IJ76" s="2931"/>
      <c r="IK76" s="2931"/>
      <c r="IL76" s="2931"/>
      <c r="IM76" s="2931"/>
      <c r="IN76" s="2931"/>
      <c r="IO76" s="2931" cm="1">
        <f t="array" ref="IO76">IF(LEN($G76)=0,"Rent Roll is incomplete",_xlfn.XLOOKUP(TRUE,EXACT(RentRoll_InputArea_DesignatedUnitType,$G76),RentRoll_InputArea_Beds,"Not Found"))</f>
        <v>0</v>
      </c>
      <c r="IP76" s="2934"/>
      <c r="IQ76" s="2935" t="str">
        <f t="shared" si="20"/>
        <v>0 Bedroom Unit (Efficiency/Studio)</v>
      </c>
      <c r="IR76" s="2926">
        <f t="shared" si="21"/>
        <v>1231</v>
      </c>
      <c r="IS76" s="2935"/>
      <c r="IT76" s="2931"/>
      <c r="IU76" s="2931"/>
      <c r="IV76" s="2931"/>
      <c r="IW76" s="2936" t="str">
        <f t="shared" si="22"/>
        <v>5-508</v>
      </c>
      <c r="IX76" s="2936"/>
      <c r="IY76" s="2936"/>
      <c r="IZ76" s="2936">
        <f t="shared" si="23"/>
        <v>0</v>
      </c>
      <c r="JA76" s="2936">
        <f t="shared" si="24"/>
        <v>1231</v>
      </c>
      <c r="JB76" s="2936"/>
      <c r="JC76" s="2936"/>
      <c r="JD76" s="2936"/>
      <c r="JE76" s="2936"/>
      <c r="JF76" s="2936"/>
      <c r="JG76" s="2936"/>
      <c r="JH76" s="2936">
        <f t="shared" si="25"/>
        <v>1217</v>
      </c>
      <c r="JI76" s="2936"/>
      <c r="JJ76" s="2936">
        <f t="shared" si="26"/>
      </c>
      <c r="JK76" s="2936"/>
      <c r="JL76" s="2936"/>
      <c r="JM76" s="2936"/>
      <c r="JN76" s="2936"/>
      <c r="JO76" s="2936"/>
      <c r="JP76" s="2936"/>
      <c r="JQ76" s="2936" t="str">
        <f t="shared" si="27"/>
        <v>Occupied</v>
      </c>
      <c r="JR76" s="2936" cm="1">
        <f t="array" ref="JR76">_xlfn.XLOOKUP(TRUE,EXACT(RentRoll_InputArea_DesignatedUnitType,$G76),RentRoll_InputArea_SquareFootage,"Not Found")</f>
        <v>800</v>
      </c>
      <c r="JS76" s="2936" t="str">
        <f t="shared" si="28"/>
        <v>Apartment</v>
      </c>
      <c r="JT76" s="2936">
        <f t="shared" si="29"/>
      </c>
      <c r="JU76" s="2936"/>
      <c r="JV76" s="2936"/>
      <c r="JW76" s="2936"/>
      <c r="JX76" s="2936"/>
      <c r="JY76" s="2936">
        <f t="shared" si="9"/>
        <v>43540</v>
      </c>
      <c r="JZ76" s="2936">
        <f t="shared" si="9"/>
        <v>43921</v>
      </c>
      <c r="KA76" s="2936"/>
      <c r="KB76" s="2936"/>
      <c r="KC76" s="2936"/>
      <c r="KD76" s="2936"/>
      <c r="KE76" s="2936"/>
      <c r="KF76" s="2936"/>
      <c r="KG76" s="2936"/>
      <c r="KH76" s="2936"/>
      <c r="KI76" s="2937"/>
      <c r="KJ76" s="2936"/>
      <c r="KK76" s="1353"/>
    </row>
    <row r="77" ht="15" customHeight="1">
      <c r="A77" s="2922">
        <f t="shared" si="10"/>
        <v>54</v>
      </c>
      <c r="B77" s="2865"/>
      <c r="C77" s="2873"/>
      <c r="D77" s="2873" t="s">
        <v>2850</v>
      </c>
      <c r="E77" s="2923">
        <v>1241</v>
      </c>
      <c r="F77" s="2924" t="s">
        <v>2851</v>
      </c>
      <c r="G77" s="2873" t="s">
        <v>2530</v>
      </c>
      <c r="H77" s="2923">
        <v>1214</v>
      </c>
      <c r="I77" s="2925" cm="1">
        <f t="array" ref="I77">_xlfn.LET(_xlpm.has_subsidy,$N77&gt;0,_xlpm.is_chap9_sbl,$FF$20,_xlpm.contract_rent,$H77,_xlpm.unit_type_mkt_rent,_xlfn.XLOOKUP(TRUE,EXACT($G77,RentRoll_InputArea_DesignatedUnitType),RentRoll_InputArea_MarketRent,"Not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7" s="2926">
        <f t="shared" si="11"/>
        <v>1214</v>
      </c>
      <c r="K77" s="2923"/>
      <c r="L77" s="2923"/>
      <c r="M77" s="2923"/>
      <c r="N77" s="2923"/>
      <c r="O77" s="2927">
        <v>43561</v>
      </c>
      <c r="P77" s="2927">
        <v>43921</v>
      </c>
      <c r="Q77" s="2928">
        <f t="shared" si="8"/>
      </c>
      <c r="R77" s="2928">
        <f t="shared" si="8"/>
        <v>1214</v>
      </c>
      <c r="S77" s="2928">
        <f t="shared" si="8"/>
      </c>
      <c r="T77" s="2928">
        <f t="shared" si="8"/>
      </c>
      <c r="U77" s="2928">
        <f t="shared" si="8"/>
      </c>
      <c r="V77" s="2928">
        <f t="shared" si="8"/>
      </c>
      <c r="W77" s="2928">
        <f t="shared" si="8"/>
      </c>
      <c r="X77" s="2928">
        <f t="shared" si="8"/>
      </c>
      <c r="Y77" s="2928">
        <f t="shared" si="8"/>
      </c>
      <c r="Z77" s="2928">
        <f t="shared" si="8"/>
      </c>
      <c r="AA77" s="2928">
        <f t="shared" si="8"/>
      </c>
      <c r="AB77" s="2928">
        <f t="shared" si="8"/>
      </c>
      <c r="AC77" s="2928">
        <f t="shared" si="8"/>
      </c>
      <c r="AD77" s="2928">
        <f t="shared" si="8"/>
      </c>
      <c r="AE77" s="2928">
        <f t="shared" si="8"/>
      </c>
      <c r="AF77" s="2928">
        <f t="shared" si="8"/>
      </c>
      <c r="AG77" s="2928">
        <f t="shared" si="8"/>
      </c>
      <c r="AH77" s="2928">
        <f t="shared" si="8"/>
      </c>
      <c r="AI77" s="2928">
        <f t="shared" si="8"/>
      </c>
      <c r="AJ77" s="2928">
        <f t="shared" si="8"/>
      </c>
      <c r="AK77" s="2928">
        <f t="shared" si="8"/>
      </c>
      <c r="AL77" s="2928">
        <f t="shared" si="8"/>
      </c>
      <c r="AM77" s="2928">
        <f t="shared" si="8"/>
      </c>
      <c r="AN77" s="2928">
        <f t="shared" si="8"/>
      </c>
      <c r="AO77" s="2928">
        <f t="shared" si="8"/>
      </c>
      <c r="AP77" s="2928">
        <f t="shared" si="8"/>
      </c>
      <c r="AQ77" s="2928">
        <f t="shared" si="8"/>
      </c>
      <c r="AR77" s="2928">
        <f t="shared" si="8"/>
      </c>
      <c r="AS77" s="2928">
        <f t="shared" si="8"/>
      </c>
      <c r="AT77" s="2928">
        <f t="shared" si="8"/>
      </c>
      <c r="AU77" s="2928">
        <f t="shared" si="8"/>
      </c>
      <c r="AV77" s="2928">
        <f t="shared" si="8"/>
      </c>
      <c r="AW77" s="2928">
        <f t="shared" si="8"/>
      </c>
      <c r="AX77" s="2928">
        <f t="shared" si="8"/>
      </c>
      <c r="AY77" s="2928">
        <f t="shared" si="8"/>
      </c>
      <c r="AZ77" s="2928">
        <f t="shared" si="8"/>
      </c>
      <c r="BA77" s="2928">
        <f t="shared" si="8"/>
      </c>
      <c r="BB77" s="2928">
        <f t="shared" si="8"/>
      </c>
      <c r="BC77" s="2928">
        <f t="shared" si="8"/>
      </c>
      <c r="BD77" s="2928">
        <f t="shared" si="8"/>
      </c>
      <c r="BE77" s="2928">
        <f t="shared" si="8"/>
      </c>
      <c r="BF77" s="2928">
        <f t="shared" si="8"/>
      </c>
      <c r="BG77" s="2928">
        <f t="shared" si="8"/>
      </c>
      <c r="BH77" s="2928">
        <f t="shared" si="8"/>
      </c>
      <c r="BI77" s="2928">
        <f t="shared" si="8"/>
      </c>
      <c r="BJ77" s="2928">
        <f t="shared" si="8"/>
      </c>
      <c r="BK77" s="2928">
        <f t="shared" si="8"/>
      </c>
      <c r="BL77" s="2928">
        <f t="shared" si="8"/>
      </c>
      <c r="BM77" s="2928">
        <f t="shared" si="8"/>
      </c>
      <c r="BN77" s="2928">
        <f t="shared" si="8"/>
      </c>
      <c r="BO77" s="2928">
        <f t="shared" si="8"/>
      </c>
      <c r="BP77" s="2928">
        <f t="shared" si="8"/>
      </c>
      <c r="BQ77" s="2928">
        <f t="shared" si="8"/>
      </c>
      <c r="BR77" s="2928">
        <f t="shared" si="8"/>
      </c>
      <c r="BS77" s="2928">
        <f t="shared" si="8"/>
      </c>
      <c r="BT77" s="2928">
        <f t="shared" si="8"/>
      </c>
      <c r="BU77" s="2928">
        <f t="shared" si="8"/>
      </c>
      <c r="BV77" s="2928">
        <f t="shared" si="8"/>
      </c>
      <c r="BW77" s="2928">
        <f t="shared" si="8"/>
      </c>
      <c r="BX77" s="2928">
        <f t="shared" si="8"/>
      </c>
      <c r="BY77" s="2928">
        <f t="shared" si="8"/>
      </c>
      <c r="BZ77" s="2928">
        <f t="shared" si="8"/>
      </c>
      <c r="CA77" s="2928">
        <f t="shared" si="8"/>
      </c>
      <c r="CB77" s="2928">
        <f t="shared" si="8"/>
      </c>
      <c r="CC77" s="2928">
        <f t="shared" si="8"/>
      </c>
      <c r="CD77" s="2928">
        <f t="shared" si="8"/>
      </c>
      <c r="CE77" s="2928">
        <f t="shared" si="8"/>
      </c>
      <c r="CF77" s="2928">
        <f t="shared" si="8"/>
      </c>
      <c r="CG77" s="2928">
        <f t="shared" si="8"/>
      </c>
      <c r="CH77" s="2928">
        <f t="shared" si="8"/>
      </c>
      <c r="CI77" s="2928">
        <f t="shared" si="8"/>
      </c>
      <c r="CJ77" s="2928">
        <f t="shared" si="8"/>
      </c>
      <c r="CK77" s="2928">
        <f t="shared" si="8"/>
      </c>
      <c r="CL77" s="2928">
        <f t="shared" si="8"/>
      </c>
      <c r="CM77" s="2928">
        <f t="shared" si="8"/>
      </c>
      <c r="CN77" s="2928">
        <f t="shared" si="8"/>
      </c>
      <c r="CO77" s="2928">
        <f t="shared" si="8"/>
      </c>
      <c r="CP77" s="2928">
        <f t="shared" si="8"/>
      </c>
      <c r="CQ77" s="2928">
        <f t="shared" si="8"/>
      </c>
      <c r="CR77" s="2928">
        <f t="shared" si="8"/>
      </c>
      <c r="CS77" s="2928">
        <f t="shared" si="8"/>
      </c>
      <c r="CT77" s="2928">
        <f t="shared" si="8"/>
      </c>
      <c r="CU77" s="2928">
        <f t="shared" si="8"/>
      </c>
      <c r="CV77" s="2928">
        <f t="shared" si="8"/>
      </c>
      <c r="CW77" s="2928">
        <f t="shared" si="8"/>
      </c>
      <c r="CX77" s="2928">
        <f t="shared" si="8"/>
      </c>
      <c r="CY77" s="2928">
        <f t="shared" si="8"/>
      </c>
      <c r="CZ77" s="2928">
        <f t="shared" si="8"/>
      </c>
      <c r="DA77" s="2928">
        <f t="shared" si="8"/>
      </c>
      <c r="DB77" s="2928">
        <f t="shared" si="8"/>
      </c>
      <c r="DC77" s="2928">
        <f t="shared" si="8"/>
      </c>
      <c r="DD77" s="2928">
        <f t="shared" si="8"/>
      </c>
      <c r="DE77" s="2928">
        <f t="shared" si="8"/>
      </c>
      <c r="DF77" s="2928">
        <f t="shared" si="8"/>
      </c>
      <c r="DG77" s="2928">
        <f t="shared" si="8"/>
      </c>
      <c r="DH77" s="2928">
        <f t="shared" si="8"/>
      </c>
      <c r="DI77" s="2928">
        <f t="shared" si="8"/>
      </c>
      <c r="DJ77" s="2928">
        <f t="shared" si="8"/>
      </c>
      <c r="DK77" s="2928">
        <f t="shared" si="8"/>
      </c>
      <c r="DL77" s="2928">
        <f t="shared" si="8"/>
      </c>
      <c r="DM77" s="2928">
        <f t="shared" si="8"/>
      </c>
      <c r="DN77" s="2928">
        <f t="shared" si="8"/>
      </c>
      <c r="DO77" s="2928">
        <f t="shared" si="8"/>
      </c>
      <c r="DP77" s="2928">
        <f t="shared" si="8"/>
      </c>
      <c r="DQ77" s="2928">
        <f t="shared" si="8"/>
      </c>
      <c r="DR77" s="2928">
        <f t="shared" si="8"/>
      </c>
      <c r="DS77" s="2928">
        <f t="shared" si="8"/>
      </c>
      <c r="DT77" s="2928">
        <f t="shared" si="8"/>
      </c>
      <c r="DU77" s="2928">
        <f t="shared" si="8"/>
      </c>
      <c r="DV77" s="2928">
        <f t="shared" si="8"/>
      </c>
      <c r="DW77" s="2928">
        <f t="shared" si="8"/>
      </c>
      <c r="DX77" s="2928">
        <f t="shared" si="8"/>
      </c>
      <c r="DY77" s="2928">
        <f t="shared" si="8"/>
      </c>
      <c r="DZ77" s="2928">
        <f t="shared" si="8"/>
      </c>
      <c r="EA77" s="2928">
        <f t="shared" si="8"/>
      </c>
      <c r="EB77" s="2928">
        <f t="shared" si="8"/>
      </c>
      <c r="EC77" s="2928">
        <f t="shared" si="8"/>
      </c>
      <c r="ED77" s="2928">
        <f t="shared" si="8"/>
      </c>
      <c r="EE77" s="2928">
        <f t="shared" si="8"/>
      </c>
      <c r="EF77" s="2928">
        <f t="shared" si="8"/>
      </c>
      <c r="EG77" s="2928">
        <f t="shared" si="8"/>
      </c>
      <c r="EH77" s="2928">
        <f t="shared" si="8"/>
      </c>
      <c r="EI77" s="2928">
        <f t="shared" si="8"/>
      </c>
      <c r="EJ77" s="2928">
        <f t="shared" si="8"/>
      </c>
      <c r="EK77" s="2928">
        <f t="shared" si="8"/>
      </c>
      <c r="EL77" s="2928">
        <f t="shared" si="8"/>
      </c>
      <c r="EM77" s="2928">
        <f t="shared" si="8"/>
      </c>
      <c r="EN77" s="2928">
        <f t="shared" si="8"/>
      </c>
      <c r="EO77" s="2928">
        <f t="shared" si="8"/>
      </c>
      <c r="EP77" s="2928">
        <f t="shared" si="8"/>
      </c>
      <c r="EQ77" s="2928">
        <f t="shared" si="8"/>
      </c>
      <c r="ER77" s="2928">
        <f t="shared" si="8"/>
      </c>
      <c r="ES77" s="2928">
        <f t="shared" si="8"/>
      </c>
      <c r="ET77" s="2928">
        <f t="shared" si="8"/>
      </c>
      <c r="EU77" s="2928">
        <f t="shared" si="8"/>
      </c>
      <c r="EV77" s="2928">
        <f t="shared" si="8"/>
      </c>
      <c r="EW77" s="2928">
        <f t="shared" si="8"/>
      </c>
      <c r="EX77" s="2928">
        <f t="shared" si="8"/>
      </c>
      <c r="EY77" s="2928">
        <f t="shared" si="8"/>
      </c>
      <c r="EZ77" s="2928">
        <f t="shared" si="8"/>
      </c>
      <c r="FA77" s="2929" t="str">
        <f t="shared" si="12"/>
        <v>-</v>
      </c>
      <c r="FB77" s="2825">
        <f t="shared" si="13"/>
      </c>
      <c r="FC77" s="2930" cm="1">
        <f t="array" ref="FC77">_xlfn.LET(_xlpm.unit_type,$G77,_xlpm.market_rent_from_rent_roll,$E77,_xlpm.unit_type_list,RentRoll_InputArea_DesignatedUnitType,_xlpm.rent_by_unit_type,RentRoll_InputArea_MarketRent,_xlpm.use_rent_roll_market_rent,LEFT(RR_VacantUnitMktRentSource,9)="Rent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7" s="2930">
        <f t="shared" si="14"/>
        <v>1214</v>
      </c>
      <c r="FE77" s="2930">
        <f t="shared" si="15"/>
        <v>1214</v>
      </c>
      <c r="FF77" s="2930">
        <f t="shared" si="16"/>
        <v>1214</v>
      </c>
      <c r="FG77" s="2931"/>
      <c r="FH77" s="2932">
        <f t="shared" si="17"/>
      </c>
      <c r="FI77" s="2932">
        <f t="shared" si="18"/>
      </c>
      <c r="FJ77" s="2931"/>
      <c r="FK77" s="2933" cm="1">
        <f t="array" ref="FK77">IF(AND(LEN($D77)&gt;0,ISNA(MATCH(TRUE,EXACT($G77,RentRoll_InputArea_DesignatedUnitType),0))),1,0)</f>
        <v>0</v>
      </c>
      <c r="FL77" s="2931">
        <f t="shared" si="19"/>
        <v>54</v>
      </c>
      <c r="FM77" s="2931"/>
      <c r="FN77" s="2931"/>
      <c r="FO77" s="2931"/>
      <c r="FP77" s="2931"/>
      <c r="FQ77" s="2931"/>
      <c r="FR77" s="2931"/>
      <c r="FS77" s="2931"/>
      <c r="FT77" s="2931"/>
      <c r="FU77" s="2931"/>
      <c r="FV77" s="2931"/>
      <c r="FW77" s="2931"/>
      <c r="FX77" s="2931"/>
      <c r="FY77" s="2931"/>
      <c r="FZ77" s="2931"/>
      <c r="GA77" s="2931"/>
      <c r="GB77" s="2931"/>
      <c r="GC77" s="2931"/>
      <c r="GD77" s="2931"/>
      <c r="GE77" s="2931"/>
      <c r="GF77" s="2931"/>
      <c r="GG77" s="2931"/>
      <c r="GH77" s="2931"/>
      <c r="GI77" s="2931"/>
      <c r="GJ77" s="2931"/>
      <c r="GK77" s="2931"/>
      <c r="GL77" s="2931"/>
      <c r="GM77" s="2931"/>
      <c r="GN77" s="2931"/>
      <c r="GO77" s="2931"/>
      <c r="GP77" s="2931"/>
      <c r="GQ77" s="2931"/>
      <c r="GR77" s="2931"/>
      <c r="GS77" s="2931"/>
      <c r="GT77" s="2931"/>
      <c r="GU77" s="2931"/>
      <c r="GV77" s="2931"/>
      <c r="GW77" s="2931"/>
      <c r="GX77" s="2931"/>
      <c r="GY77" s="2931"/>
      <c r="GZ77" s="2931"/>
      <c r="HA77" s="2931"/>
      <c r="HB77" s="2931"/>
      <c r="HC77" s="2931"/>
      <c r="HD77" s="2931"/>
      <c r="HE77" s="2931"/>
      <c r="HF77" s="2931"/>
      <c r="HG77" s="2931"/>
      <c r="HH77" s="2931"/>
      <c r="HI77" s="2931"/>
      <c r="HJ77" s="2931"/>
      <c r="HK77" s="2931"/>
      <c r="HL77" s="2931"/>
      <c r="HM77" s="2931"/>
      <c r="HN77" s="2931"/>
      <c r="HO77" s="2931"/>
      <c r="HP77" s="2931"/>
      <c r="HQ77" s="2931"/>
      <c r="HR77" s="2931"/>
      <c r="HS77" s="2931"/>
      <c r="HT77" s="2931"/>
      <c r="HU77" s="2931"/>
      <c r="HV77" s="2931"/>
      <c r="HW77" s="2931"/>
      <c r="HX77" s="2931"/>
      <c r="HY77" s="2931"/>
      <c r="HZ77" s="2931"/>
      <c r="IA77" s="2931"/>
      <c r="IB77" s="2931"/>
      <c r="IC77" s="2931"/>
      <c r="ID77" s="2931"/>
      <c r="IE77" s="2931"/>
      <c r="IF77" s="2931"/>
      <c r="IG77" s="2931"/>
      <c r="IH77" s="2931"/>
      <c r="II77" s="2931"/>
      <c r="IJ77" s="2931"/>
      <c r="IK77" s="2931"/>
      <c r="IL77" s="2931"/>
      <c r="IM77" s="2931"/>
      <c r="IN77" s="2931"/>
      <c r="IO77" s="2931" cm="1">
        <f t="array" ref="IO77">IF(LEN($G77)=0,"Rent Roll is incomplete",_xlfn.XLOOKUP(TRUE,EXACT(RentRoll_InputArea_DesignatedUnitType,$G77),RentRoll_InputArea_Beds,"Not Found"))</f>
        <v>0</v>
      </c>
      <c r="IP77" s="2934"/>
      <c r="IQ77" s="2935" t="str">
        <f t="shared" si="20"/>
        <v>0 Bedroom Unit (Efficiency/Studio)</v>
      </c>
      <c r="IR77" s="2926">
        <f t="shared" si="21"/>
        <v>1214</v>
      </c>
      <c r="IS77" s="2935"/>
      <c r="IT77" s="2931"/>
      <c r="IU77" s="2931"/>
      <c r="IV77" s="2931"/>
      <c r="IW77" s="2936" t="str">
        <f t="shared" si="22"/>
        <v>5-509</v>
      </c>
      <c r="IX77" s="2936"/>
      <c r="IY77" s="2936"/>
      <c r="IZ77" s="2936">
        <f t="shared" si="23"/>
        <v>0</v>
      </c>
      <c r="JA77" s="2936">
        <f t="shared" si="24"/>
        <v>1214</v>
      </c>
      <c r="JB77" s="2936"/>
      <c r="JC77" s="2936"/>
      <c r="JD77" s="2936"/>
      <c r="JE77" s="2936"/>
      <c r="JF77" s="2936"/>
      <c r="JG77" s="2936"/>
      <c r="JH77" s="2936">
        <f t="shared" si="25"/>
        <v>1217</v>
      </c>
      <c r="JI77" s="2936"/>
      <c r="JJ77" s="2936">
        <f t="shared" si="26"/>
      </c>
      <c r="JK77" s="2936"/>
      <c r="JL77" s="2936"/>
      <c r="JM77" s="2936"/>
      <c r="JN77" s="2936"/>
      <c r="JO77" s="2936"/>
      <c r="JP77" s="2936"/>
      <c r="JQ77" s="2936" t="str">
        <f t="shared" si="27"/>
        <v>Occupied</v>
      </c>
      <c r="JR77" s="2936" cm="1">
        <f t="array" ref="JR77">_xlfn.XLOOKUP(TRUE,EXACT(RentRoll_InputArea_DesignatedUnitType,$G77),RentRoll_InputArea_SquareFootage,"Not Found")</f>
        <v>800</v>
      </c>
      <c r="JS77" s="2936" t="str">
        <f t="shared" si="28"/>
        <v>Apartment</v>
      </c>
      <c r="JT77" s="2936">
        <f t="shared" si="29"/>
      </c>
      <c r="JU77" s="2936"/>
      <c r="JV77" s="2936"/>
      <c r="JW77" s="2936"/>
      <c r="JX77" s="2936"/>
      <c r="JY77" s="2936">
        <f t="shared" si="9"/>
        <v>43561</v>
      </c>
      <c r="JZ77" s="2936">
        <f t="shared" si="9"/>
        <v>43921</v>
      </c>
      <c r="KA77" s="2936"/>
      <c r="KB77" s="2936"/>
      <c r="KC77" s="2936"/>
      <c r="KD77" s="2936"/>
      <c r="KE77" s="2936"/>
      <c r="KF77" s="2936"/>
      <c r="KG77" s="2936"/>
      <c r="KH77" s="2936"/>
      <c r="KI77" s="2937"/>
      <c r="KJ77" s="2936"/>
      <c r="KK77" s="1353"/>
    </row>
    <row r="78" ht="15" customHeight="1">
      <c r="A78" s="2922">
        <f t="shared" si="10"/>
        <v>55</v>
      </c>
      <c r="B78" s="2865"/>
      <c r="C78" s="2873"/>
      <c r="D78" s="2873" t="s">
        <v>2852</v>
      </c>
      <c r="E78" s="2923">
        <v>1195</v>
      </c>
      <c r="F78" s="2924" t="s">
        <v>2853</v>
      </c>
      <c r="G78" s="2873" t="s">
        <v>2530</v>
      </c>
      <c r="H78" s="2923">
        <v>1200</v>
      </c>
      <c r="I78" s="2925" cm="1">
        <f t="array" ref="I78">_xlfn.LET(_xlpm.has_subsidy,$N78&gt;0,_xlpm.is_chap9_sbl,$FF$20,_xlpm.contract_rent,$H78,_xlpm.unit_type_mkt_rent,_xlfn.XLOOKUP(TRUE,EXACT($G78,RentRoll_InputArea_DesignatedUnitType),RentRoll_InputArea_MarketRent,"Not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8" s="2926">
        <f t="shared" si="11"/>
        <v>1200</v>
      </c>
      <c r="K78" s="2923"/>
      <c r="L78" s="2923"/>
      <c r="M78" s="2923"/>
      <c r="N78" s="2923"/>
      <c r="O78" s="2927">
        <v>43422</v>
      </c>
      <c r="P78" s="2927">
        <v>43708</v>
      </c>
      <c r="Q78" s="2928">
        <f t="shared" si="8"/>
      </c>
      <c r="R78" s="2928">
        <f t="shared" si="8"/>
        <v>1200</v>
      </c>
      <c r="S78" s="2928">
        <f t="shared" si="8"/>
      </c>
      <c r="T78" s="2928">
        <f t="shared" si="8"/>
      </c>
      <c r="U78" s="2928">
        <f t="shared" si="8"/>
      </c>
      <c r="V78" s="2928">
        <f t="shared" si="8"/>
      </c>
      <c r="W78" s="2928">
        <f t="shared" si="8"/>
      </c>
      <c r="X78" s="2928">
        <f t="shared" si="8"/>
      </c>
      <c r="Y78" s="2928">
        <f t="shared" si="8"/>
      </c>
      <c r="Z78" s="2928">
        <f t="shared" si="8"/>
      </c>
      <c r="AA78" s="2928">
        <f t="shared" si="8"/>
      </c>
      <c r="AB78" s="2928">
        <f t="shared" si="8"/>
      </c>
      <c r="AC78" s="2928">
        <f t="shared" si="8"/>
      </c>
      <c r="AD78" s="2928">
        <f t="shared" si="8"/>
      </c>
      <c r="AE78" s="2928">
        <f t="shared" si="8"/>
      </c>
      <c r="AF78" s="2928">
        <f t="shared" si="8"/>
      </c>
      <c r="AG78" s="2928">
        <f t="shared" si="8"/>
      </c>
      <c r="AH78" s="2928">
        <f t="shared" si="8"/>
      </c>
      <c r="AI78" s="2928">
        <f t="shared" si="8"/>
      </c>
      <c r="AJ78" s="2928">
        <f t="shared" si="8"/>
      </c>
      <c r="AK78" s="2928">
        <f t="shared" si="8"/>
      </c>
      <c r="AL78" s="2928">
        <f t="shared" si="8"/>
      </c>
      <c r="AM78" s="2928">
        <f t="shared" si="8"/>
      </c>
      <c r="AN78" s="2928">
        <f t="shared" si="8"/>
      </c>
      <c r="AO78" s="2928">
        <f t="shared" si="8"/>
      </c>
      <c r="AP78" s="2928">
        <f t="shared" si="8"/>
      </c>
      <c r="AQ78" s="2928">
        <f t="shared" si="8"/>
      </c>
      <c r="AR78" s="2928">
        <f t="shared" si="8"/>
      </c>
      <c r="AS78" s="2928">
        <f t="shared" si="8"/>
      </c>
      <c r="AT78" s="2928">
        <f t="shared" si="8"/>
      </c>
      <c r="AU78" s="2928">
        <f t="shared" si="8"/>
      </c>
      <c r="AV78" s="2928">
        <f t="shared" si="8"/>
      </c>
      <c r="AW78" s="2928">
        <f t="shared" si="8"/>
      </c>
      <c r="AX78" s="2928">
        <f t="shared" si="8"/>
      </c>
      <c r="AY78" s="2928">
        <f t="shared" si="8"/>
      </c>
      <c r="AZ78" s="2928">
        <f t="shared" si="8"/>
      </c>
      <c r="BA78" s="2928">
        <f t="shared" si="8"/>
      </c>
      <c r="BB78" s="2928">
        <f t="shared" si="8"/>
      </c>
      <c r="BC78" s="2928">
        <f t="shared" si="8"/>
      </c>
      <c r="BD78" s="2928">
        <f t="shared" si="8"/>
      </c>
      <c r="BE78" s="2928">
        <f t="shared" si="8"/>
      </c>
      <c r="BF78" s="2928">
        <f t="shared" si="8"/>
      </c>
      <c r="BG78" s="2928">
        <f t="shared" si="8"/>
      </c>
      <c r="BH78" s="2928">
        <f t="shared" si="8"/>
      </c>
      <c r="BI78" s="2928">
        <f t="shared" si="8"/>
      </c>
      <c r="BJ78" s="2928">
        <f t="shared" si="8"/>
      </c>
      <c r="BK78" s="2928">
        <f t="shared" si="8"/>
      </c>
      <c r="BL78" s="2928">
        <f t="shared" si="8"/>
      </c>
      <c r="BM78" s="2928">
        <f t="shared" si="8"/>
      </c>
      <c r="BN78" s="2928">
        <f t="shared" si="8"/>
      </c>
      <c r="BO78" s="2928">
        <f t="shared" si="8"/>
      </c>
      <c r="BP78" s="2928">
        <f t="shared" si="8"/>
      </c>
      <c r="BQ78" s="2928">
        <f t="shared" si="8"/>
      </c>
      <c r="BR78" s="2928">
        <f t="shared" si="8"/>
      </c>
      <c r="BS78" s="2928">
        <f t="shared" si="8"/>
      </c>
      <c r="BT78" s="2928">
        <f t="shared" si="8"/>
      </c>
      <c r="BU78" s="2928">
        <f t="shared" si="8"/>
      </c>
      <c r="BV78" s="2928">
        <f t="shared" si="8"/>
      </c>
      <c r="BW78" s="2928">
        <f t="shared" si="8"/>
      </c>
      <c r="BX78" s="2928">
        <f t="shared" si="8"/>
      </c>
      <c r="BY78" s="2928">
        <f t="shared" si="8"/>
      </c>
      <c r="BZ78" s="2928">
        <f t="shared" si="8"/>
      </c>
      <c r="CA78" s="2928">
        <f t="shared" si="8"/>
      </c>
      <c r="CB78" s="2928">
        <f t="shared" si="8"/>
      </c>
      <c r="CC78" s="2928">
        <f t="shared" si="8"/>
      </c>
      <c r="CD78" s="2928">
        <f t="shared" si="8"/>
      </c>
      <c r="CE78" s="2928">
        <f t="shared" si="8"/>
      </c>
      <c r="CF78" s="2928">
        <f t="shared" si="8"/>
      </c>
      <c r="CG78" s="2928">
        <f t="shared" si="8"/>
      </c>
      <c r="CH78" s="2928">
        <f t="shared" si="8"/>
      </c>
      <c r="CI78" s="2928">
        <f t="shared" si="8"/>
      </c>
      <c r="CJ78" s="2928">
        <f t="shared" si="8"/>
      </c>
      <c r="CK78" s="2928">
        <f t="shared" si="8"/>
      </c>
      <c r="CL78" s="2928">
        <f t="shared" si="8"/>
      </c>
      <c r="CM78" s="2928">
        <f t="shared" si="8"/>
      </c>
      <c r="CN78" s="2928">
        <f t="shared" si="8"/>
      </c>
      <c r="CO78" s="2928">
        <f t="shared" si="8"/>
      </c>
      <c r="CP78" s="2928">
        <f t="shared" si="8"/>
      </c>
      <c r="CQ78" s="2928">
        <f t="shared" si="8"/>
      </c>
      <c r="CR78" s="2928">
        <f t="shared" si="8"/>
      </c>
      <c r="CS78" s="2928">
        <f t="shared" si="8"/>
      </c>
      <c r="CT78" s="2928">
        <f t="shared" si="8"/>
      </c>
      <c r="CU78" s="2928">
        <f t="shared" si="8"/>
      </c>
      <c r="CV78" s="2928">
        <f t="shared" si="8"/>
      </c>
      <c r="CW78" s="2928">
        <f t="shared" si="8"/>
      </c>
      <c r="CX78" s="2928">
        <f t="shared" si="8"/>
      </c>
      <c r="CY78" s="2928">
        <f t="shared" si="8"/>
      </c>
      <c r="CZ78" s="2928">
        <f t="shared" si="8"/>
      </c>
      <c r="DA78" s="2928">
        <f t="shared" si="8"/>
      </c>
      <c r="DB78" s="2928">
        <f t="shared" si="8"/>
      </c>
      <c r="DC78" s="2928">
        <f t="shared" si="8"/>
      </c>
      <c r="DD78" s="2928">
        <f t="shared" si="8"/>
      </c>
      <c r="DE78" s="2928">
        <f t="shared" si="8"/>
      </c>
      <c r="DF78" s="2928">
        <f t="shared" si="8"/>
      </c>
      <c r="DG78" s="2928">
        <f t="shared" si="8"/>
      </c>
      <c r="DH78" s="2928">
        <f t="shared" si="8"/>
      </c>
      <c r="DI78" s="2928">
        <f t="shared" si="8"/>
      </c>
      <c r="DJ78" s="2928">
        <f t="shared" si="8"/>
      </c>
      <c r="DK78" s="2928">
        <f t="shared" si="8"/>
      </c>
      <c r="DL78" s="2928">
        <f t="shared" si="8"/>
      </c>
      <c r="DM78" s="2928">
        <f t="shared" si="8"/>
      </c>
      <c r="DN78" s="2928">
        <f t="shared" si="8"/>
      </c>
      <c r="DO78" s="2928">
        <f t="shared" si="8"/>
      </c>
      <c r="DP78" s="2928">
        <f t="shared" si="8"/>
      </c>
      <c r="DQ78" s="2928">
        <f t="shared" si="8"/>
      </c>
      <c r="DR78" s="2928">
        <f t="shared" si="8"/>
      </c>
      <c r="DS78" s="2928">
        <f t="shared" si="8"/>
      </c>
      <c r="DT78" s="2928">
        <f t="shared" si="8"/>
      </c>
      <c r="DU78" s="2928">
        <f t="shared" si="8"/>
      </c>
      <c r="DV78" s="2928">
        <f t="shared" si="8"/>
      </c>
      <c r="DW78" s="2928">
        <f t="shared" si="8"/>
      </c>
      <c r="DX78" s="2928">
        <f t="shared" si="8"/>
      </c>
      <c r="DY78" s="2928">
        <f t="shared" si="8"/>
      </c>
      <c r="DZ78" s="2928">
        <f t="shared" si="8"/>
      </c>
      <c r="EA78" s="2928">
        <f t="shared" si="8"/>
      </c>
      <c r="EB78" s="2928">
        <f t="shared" si="8"/>
      </c>
      <c r="EC78" s="2928">
        <f t="shared" si="8"/>
      </c>
      <c r="ED78" s="2928">
        <f t="shared" si="8"/>
      </c>
      <c r="EE78" s="2928">
        <f t="shared" si="8"/>
      </c>
      <c r="EF78" s="2928">
        <f t="shared" si="8"/>
      </c>
      <c r="EG78" s="2928">
        <f t="shared" si="8"/>
      </c>
      <c r="EH78" s="2928">
        <f t="shared" si="8"/>
      </c>
      <c r="EI78" s="2928">
        <f t="shared" si="8"/>
      </c>
      <c r="EJ78" s="2928">
        <f t="shared" si="8"/>
      </c>
      <c r="EK78" s="2928">
        <f t="shared" si="8"/>
      </c>
      <c r="EL78" s="2928">
        <f t="shared" si="8"/>
      </c>
      <c r="EM78" s="2928">
        <f t="shared" si="8"/>
      </c>
      <c r="EN78" s="2928">
        <f t="shared" si="8"/>
      </c>
      <c r="EO78" s="2928">
        <f t="shared" si="8"/>
      </c>
      <c r="EP78" s="2928">
        <f t="shared" si="8"/>
      </c>
      <c r="EQ78" s="2928">
        <f t="shared" si="8"/>
      </c>
      <c r="ER78" s="2928">
        <f t="shared" si="8"/>
      </c>
      <c r="ES78" s="2928">
        <f t="shared" si="8"/>
      </c>
      <c r="ET78" s="2928">
        <f t="shared" si="8"/>
      </c>
      <c r="EU78" s="2928">
        <f t="shared" si="8"/>
      </c>
      <c r="EV78" s="2928">
        <f t="shared" si="8"/>
      </c>
      <c r="EW78" s="2928">
        <f t="shared" si="8"/>
      </c>
      <c r="EX78" s="2928">
        <f t="shared" si="8"/>
      </c>
      <c r="EY78" s="2928">
        <f t="shared" si="8"/>
      </c>
      <c r="EZ78" s="2928">
        <f t="shared" si="8"/>
      </c>
      <c r="FA78" s="2929" t="str">
        <f t="shared" si="12"/>
        <v>-</v>
      </c>
      <c r="FB78" s="2825">
        <f t="shared" si="13"/>
      </c>
      <c r="FC78" s="2930" cm="1">
        <f t="array" ref="FC78">_xlfn.LET(_xlpm.unit_type,$G78,_xlpm.market_rent_from_rent_roll,$E78,_xlpm.unit_type_list,RentRoll_InputArea_DesignatedUnitType,_xlpm.rent_by_unit_type,RentRoll_InputArea_MarketRent,_xlpm.use_rent_roll_market_rent,LEFT(RR_VacantUnitMktRentSource,9)="Rent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8" s="2930">
        <f t="shared" si="14"/>
        <v>1200</v>
      </c>
      <c r="FE78" s="2930">
        <f t="shared" si="15"/>
        <v>1200</v>
      </c>
      <c r="FF78" s="2930">
        <f t="shared" si="16"/>
        <v>1200</v>
      </c>
      <c r="FG78" s="2931"/>
      <c r="FH78" s="2932">
        <f t="shared" si="17"/>
      </c>
      <c r="FI78" s="2932">
        <f t="shared" si="18"/>
      </c>
      <c r="FJ78" s="2931"/>
      <c r="FK78" s="2933" cm="1">
        <f t="array" ref="FK78">IF(AND(LEN($D78)&gt;0,ISNA(MATCH(TRUE,EXACT($G78,RentRoll_InputArea_DesignatedUnitType),0))),1,0)</f>
        <v>0</v>
      </c>
      <c r="FL78" s="2931">
        <f t="shared" si="19"/>
        <v>55</v>
      </c>
      <c r="FM78" s="2931"/>
      <c r="FN78" s="2931"/>
      <c r="FO78" s="2931"/>
      <c r="FP78" s="2931"/>
      <c r="FQ78" s="2931"/>
      <c r="FR78" s="2931"/>
      <c r="FS78" s="2931"/>
      <c r="FT78" s="2931"/>
      <c r="FU78" s="2931"/>
      <c r="FV78" s="2931"/>
      <c r="FW78" s="2931"/>
      <c r="FX78" s="2931"/>
      <c r="FY78" s="2931"/>
      <c r="FZ78" s="2931"/>
      <c r="GA78" s="2931"/>
      <c r="GB78" s="2931"/>
      <c r="GC78" s="2931"/>
      <c r="GD78" s="2931"/>
      <c r="GE78" s="2931"/>
      <c r="GF78" s="2931"/>
      <c r="GG78" s="2931"/>
      <c r="GH78" s="2931"/>
      <c r="GI78" s="2931"/>
      <c r="GJ78" s="2931"/>
      <c r="GK78" s="2931"/>
      <c r="GL78" s="2931"/>
      <c r="GM78" s="2931"/>
      <c r="GN78" s="2931"/>
      <c r="GO78" s="2931"/>
      <c r="GP78" s="2931"/>
      <c r="GQ78" s="2931"/>
      <c r="GR78" s="2931"/>
      <c r="GS78" s="2931"/>
      <c r="GT78" s="2931"/>
      <c r="GU78" s="2931"/>
      <c r="GV78" s="2931"/>
      <c r="GW78" s="2931"/>
      <c r="GX78" s="2931"/>
      <c r="GY78" s="2931"/>
      <c r="GZ78" s="2931"/>
      <c r="HA78" s="2931"/>
      <c r="HB78" s="2931"/>
      <c r="HC78" s="2931"/>
      <c r="HD78" s="2931"/>
      <c r="HE78" s="2931"/>
      <c r="HF78" s="2931"/>
      <c r="HG78" s="2931"/>
      <c r="HH78" s="2931"/>
      <c r="HI78" s="2931"/>
      <c r="HJ78" s="2931"/>
      <c r="HK78" s="2931"/>
      <c r="HL78" s="2931"/>
      <c r="HM78" s="2931"/>
      <c r="HN78" s="2931"/>
      <c r="HO78" s="2931"/>
      <c r="HP78" s="2931"/>
      <c r="HQ78" s="2931"/>
      <c r="HR78" s="2931"/>
      <c r="HS78" s="2931"/>
      <c r="HT78" s="2931"/>
      <c r="HU78" s="2931"/>
      <c r="HV78" s="2931"/>
      <c r="HW78" s="2931"/>
      <c r="HX78" s="2931"/>
      <c r="HY78" s="2931"/>
      <c r="HZ78" s="2931"/>
      <c r="IA78" s="2931"/>
      <c r="IB78" s="2931"/>
      <c r="IC78" s="2931"/>
      <c r="ID78" s="2931"/>
      <c r="IE78" s="2931"/>
      <c r="IF78" s="2931"/>
      <c r="IG78" s="2931"/>
      <c r="IH78" s="2931"/>
      <c r="II78" s="2931"/>
      <c r="IJ78" s="2931"/>
      <c r="IK78" s="2931"/>
      <c r="IL78" s="2931"/>
      <c r="IM78" s="2931"/>
      <c r="IN78" s="2931"/>
      <c r="IO78" s="2931" cm="1">
        <f t="array" ref="IO78">IF(LEN($G78)=0,"Rent Roll is incomplete",_xlfn.XLOOKUP(TRUE,EXACT(RentRoll_InputArea_DesignatedUnitType,$G78),RentRoll_InputArea_Beds,"Not Found"))</f>
        <v>0</v>
      </c>
      <c r="IP78" s="2934"/>
      <c r="IQ78" s="2935" t="str">
        <f t="shared" si="20"/>
        <v>0 Bedroom Unit (Efficiency/Studio)</v>
      </c>
      <c r="IR78" s="2926">
        <f t="shared" si="21"/>
        <v>1200</v>
      </c>
      <c r="IS78" s="2935"/>
      <c r="IT78" s="2931"/>
      <c r="IU78" s="2931"/>
      <c r="IV78" s="2931"/>
      <c r="IW78" s="2936" t="str">
        <f t="shared" si="22"/>
        <v>5-510</v>
      </c>
      <c r="IX78" s="2936"/>
      <c r="IY78" s="2936"/>
      <c r="IZ78" s="2936">
        <f t="shared" si="23"/>
        <v>0</v>
      </c>
      <c r="JA78" s="2936">
        <f t="shared" si="24"/>
        <v>1200</v>
      </c>
      <c r="JB78" s="2936"/>
      <c r="JC78" s="2936"/>
      <c r="JD78" s="2936"/>
      <c r="JE78" s="2936"/>
      <c r="JF78" s="2936"/>
      <c r="JG78" s="2936"/>
      <c r="JH78" s="2936">
        <f t="shared" si="25"/>
        <v>1217</v>
      </c>
      <c r="JI78" s="2936"/>
      <c r="JJ78" s="2936">
        <f t="shared" si="26"/>
      </c>
      <c r="JK78" s="2936"/>
      <c r="JL78" s="2936"/>
      <c r="JM78" s="2936"/>
      <c r="JN78" s="2936"/>
      <c r="JO78" s="2936"/>
      <c r="JP78" s="2936"/>
      <c r="JQ78" s="2936" t="str">
        <f t="shared" si="27"/>
        <v>Occupied</v>
      </c>
      <c r="JR78" s="2936" cm="1">
        <f t="array" ref="JR78">_xlfn.XLOOKUP(TRUE,EXACT(RentRoll_InputArea_DesignatedUnitType,$G78),RentRoll_InputArea_SquareFootage,"Not Found")</f>
        <v>800</v>
      </c>
      <c r="JS78" s="2936" t="str">
        <f t="shared" si="28"/>
        <v>Apartment</v>
      </c>
      <c r="JT78" s="2936">
        <f t="shared" si="29"/>
      </c>
      <c r="JU78" s="2936"/>
      <c r="JV78" s="2936"/>
      <c r="JW78" s="2936"/>
      <c r="JX78" s="2936"/>
      <c r="JY78" s="2936">
        <f t="shared" si="9"/>
        <v>43422</v>
      </c>
      <c r="JZ78" s="2936">
        <f t="shared" si="9"/>
        <v>43708</v>
      </c>
      <c r="KA78" s="2936"/>
      <c r="KB78" s="2936"/>
      <c r="KC78" s="2936"/>
      <c r="KD78" s="2936"/>
      <c r="KE78" s="2936"/>
      <c r="KF78" s="2936"/>
      <c r="KG78" s="2936"/>
      <c r="KH78" s="2936"/>
      <c r="KI78" s="2937"/>
      <c r="KJ78" s="2936"/>
      <c r="KK78" s="1353"/>
    </row>
    <row r="79" ht="15" customHeight="1">
      <c r="A79" s="2922">
        <f t="shared" si="10"/>
        <v>56</v>
      </c>
      <c r="B79" s="2865"/>
      <c r="C79" s="2873"/>
      <c r="D79" s="2873" t="s">
        <v>2854</v>
      </c>
      <c r="E79" s="2923">
        <v>1169</v>
      </c>
      <c r="F79" s="2924" t="s">
        <v>2855</v>
      </c>
      <c r="G79" s="2873" t="s">
        <v>2530</v>
      </c>
      <c r="H79" s="2923">
        <v>1217</v>
      </c>
      <c r="I79" s="2925" cm="1">
        <f t="array" ref="I79">_xlfn.LET(_xlpm.has_subsidy,$N79&gt;0,_xlpm.is_chap9_sbl,$FF$20,_xlpm.contract_rent,$H79,_xlpm.unit_type_mkt_rent,_xlfn.XLOOKUP(TRUE,EXACT($G79,RentRoll_InputArea_DesignatedUnitType),RentRoll_InputArea_MarketRent,"Not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79" s="2926">
        <f t="shared" si="11"/>
        <v>1217</v>
      </c>
      <c r="K79" s="2923"/>
      <c r="L79" s="2923"/>
      <c r="M79" s="2923"/>
      <c r="N79" s="2923"/>
      <c r="O79" s="2927">
        <v>43316</v>
      </c>
      <c r="P79" s="2927">
        <v>43616</v>
      </c>
      <c r="Q79" s="2928">
        <f t="shared" si="8"/>
      </c>
      <c r="R79" s="2928">
        <f t="shared" si="8"/>
        <v>1217</v>
      </c>
      <c r="S79" s="2928">
        <f t="shared" si="8"/>
      </c>
      <c r="T79" s="2928">
        <f t="shared" si="8"/>
      </c>
      <c r="U79" s="2928">
        <f t="shared" si="8"/>
      </c>
      <c r="V79" s="2928">
        <f t="shared" si="8"/>
      </c>
      <c r="W79" s="2928">
        <f t="shared" si="8"/>
      </c>
      <c r="X79" s="2928">
        <f t="shared" si="8"/>
      </c>
      <c r="Y79" s="2928">
        <f t="shared" si="8"/>
      </c>
      <c r="Z79" s="2928">
        <f t="shared" si="8"/>
      </c>
      <c r="AA79" s="2928">
        <f t="shared" si="8"/>
      </c>
      <c r="AB79" s="2928">
        <f t="shared" si="8"/>
      </c>
      <c r="AC79" s="2928">
        <f t="shared" si="8"/>
      </c>
      <c r="AD79" s="2928">
        <f t="shared" si="8"/>
      </c>
      <c r="AE79" s="2928">
        <f t="shared" si="8"/>
      </c>
      <c r="AF79" s="2928">
        <f t="shared" si="8"/>
      </c>
      <c r="AG79" s="2928">
        <f t="shared" si="8"/>
      </c>
      <c r="AH79" s="2928">
        <f t="shared" si="8"/>
      </c>
      <c r="AI79" s="2928">
        <f t="shared" si="8"/>
      </c>
      <c r="AJ79" s="2928">
        <f t="shared" si="8"/>
      </c>
      <c r="AK79" s="2928">
        <f t="shared" si="8"/>
      </c>
      <c r="AL79" s="2928">
        <f t="shared" si="8"/>
      </c>
      <c r="AM79" s="2928">
        <f t="shared" si="8"/>
      </c>
      <c r="AN79" s="2928">
        <f t="shared" si="8"/>
      </c>
      <c r="AO79" s="2928">
        <f t="shared" si="8"/>
      </c>
      <c r="AP79" s="2928">
        <f t="shared" si="8"/>
      </c>
      <c r="AQ79" s="2928">
        <f t="shared" si="8"/>
      </c>
      <c r="AR79" s="2928">
        <f t="shared" si="8"/>
      </c>
      <c r="AS79" s="2928">
        <f t="shared" si="8"/>
      </c>
      <c r="AT79" s="2928">
        <f t="shared" si="8"/>
      </c>
      <c r="AU79" s="2928">
        <f t="shared" si="8"/>
      </c>
      <c r="AV79" s="2928">
        <f t="shared" si="8"/>
      </c>
      <c r="AW79" s="2928">
        <f t="shared" si="8"/>
      </c>
      <c r="AX79" s="2928">
        <f t="shared" si="8"/>
      </c>
      <c r="AY79" s="2928">
        <f t="shared" si="8"/>
      </c>
      <c r="AZ79" s="2928">
        <f t="shared" si="8"/>
      </c>
      <c r="BA79" s="2928">
        <f t="shared" si="8"/>
      </c>
      <c r="BB79" s="2928">
        <f t="shared" si="8"/>
      </c>
      <c r="BC79" s="2928">
        <f t="shared" si="8"/>
      </c>
      <c r="BD79" s="2928">
        <f t="shared" si="8"/>
      </c>
      <c r="BE79" s="2928">
        <f t="shared" si="8"/>
      </c>
      <c r="BF79" s="2928">
        <f t="shared" si="8"/>
      </c>
      <c r="BG79" s="2928">
        <f t="shared" si="8"/>
      </c>
      <c r="BH79" s="2928">
        <f t="shared" si="8"/>
      </c>
      <c r="BI79" s="2928">
        <f t="shared" si="8"/>
      </c>
      <c r="BJ79" s="2928">
        <f t="shared" si="8"/>
      </c>
      <c r="BK79" s="2928">
        <f t="shared" si="8"/>
      </c>
      <c r="BL79" s="2928">
        <f t="shared" si="8"/>
      </c>
      <c r="BM79" s="2928">
        <f t="shared" si="8"/>
      </c>
      <c r="BN79" s="2928">
        <f t="shared" si="8"/>
      </c>
      <c r="BO79" s="2928">
        <f t="shared" si="8"/>
      </c>
      <c r="BP79" s="2928">
        <f t="shared" si="8"/>
      </c>
      <c r="BQ79" s="2928">
        <f t="shared" si="8"/>
      </c>
      <c r="BR79" s="2928">
        <f t="shared" si="8"/>
      </c>
      <c r="BS79" s="2928">
        <f t="shared" si="8"/>
      </c>
      <c r="BT79" s="2928">
        <f t="shared" si="8"/>
      </c>
      <c r="BU79" s="2928">
        <f t="shared" si="8"/>
      </c>
      <c r="BV79" s="2928">
        <f t="shared" si="8"/>
      </c>
      <c r="BW79" s="2928">
        <f t="shared" si="8"/>
      </c>
      <c r="BX79" s="2928">
        <f t="shared" si="8"/>
      </c>
      <c r="BY79" s="2928">
        <f t="shared" si="8"/>
      </c>
      <c r="BZ79" s="2928">
        <f t="shared" si="8"/>
      </c>
      <c r="CA79" s="2928">
        <f t="shared" si="8"/>
      </c>
      <c r="CB79" s="2928">
        <f t="shared" si="8"/>
      </c>
      <c r="CC79" s="2928">
        <f t="shared" si="8"/>
      </c>
      <c r="CD79" s="2928">
        <f t="shared" si="8"/>
      </c>
      <c r="CE79" s="2928">
        <f t="shared" si="8"/>
      </c>
      <c r="CF79" s="2928">
        <f t="shared" si="8"/>
      </c>
      <c r="CG79" s="2928">
        <f t="shared" si="8"/>
      </c>
      <c r="CH79" s="2928">
        <f t="shared" si="8"/>
      </c>
      <c r="CI79" s="2928">
        <f t="shared" si="8"/>
      </c>
      <c r="CJ79" s="2928">
        <f t="shared" si="8"/>
      </c>
      <c r="CK79" s="2928">
        <f t="shared" si="8"/>
      </c>
      <c r="CL79" s="2928">
        <f t="shared" si="8"/>
      </c>
      <c r="CM79" s="2928">
        <f t="shared" si="8"/>
      </c>
      <c r="CN79" s="2928">
        <f t="shared" si="8"/>
      </c>
      <c r="CO79" s="2928">
        <f t="shared" si="8"/>
      </c>
      <c r="CP79" s="2928">
        <f t="shared" si="8"/>
      </c>
      <c r="CQ79" s="2928">
        <f t="shared" si="8"/>
      </c>
      <c r="CR79" s="2928">
        <f t="shared" si="8"/>
      </c>
      <c r="CS79" s="2928">
        <f t="shared" si="8"/>
      </c>
      <c r="CT79" s="2928">
        <f t="shared" si="8"/>
      </c>
      <c r="CU79" s="2928">
        <f t="shared" si="8"/>
      </c>
      <c r="CV79" s="2928">
        <f t="shared" si="8"/>
      </c>
      <c r="CW79" s="2928">
        <f t="shared" si="8"/>
      </c>
      <c r="CX79" s="2928">
        <f t="shared" si="8"/>
      </c>
      <c r="CY79" s="2928">
        <f t="shared" si="8"/>
      </c>
      <c r="CZ79" s="2928">
        <f t="shared" si="8"/>
      </c>
      <c r="DA79" s="2928">
        <f t="shared" si="8"/>
      </c>
      <c r="DB79" s="2928">
        <f t="shared" si="8"/>
      </c>
      <c r="DC79" s="2928">
        <f t="shared" si="8"/>
      </c>
      <c r="DD79" s="2928">
        <f t="shared" si="8"/>
      </c>
      <c r="DE79" s="2928">
        <f t="shared" si="8"/>
      </c>
      <c r="DF79" s="2928">
        <f t="shared" si="8"/>
      </c>
      <c r="DG79" s="2928">
        <f t="shared" si="8"/>
      </c>
      <c r="DH79" s="2928">
        <f t="shared" si="8"/>
      </c>
      <c r="DI79" s="2928">
        <f t="shared" si="8"/>
      </c>
      <c r="DJ79" s="2928">
        <f t="shared" si="8"/>
      </c>
      <c r="DK79" s="2928">
        <f t="shared" si="8"/>
      </c>
      <c r="DL79" s="2928">
        <f t="shared" si="8"/>
      </c>
      <c r="DM79" s="2928">
        <f t="shared" si="8"/>
      </c>
      <c r="DN79" s="2928">
        <f t="shared" si="8"/>
      </c>
      <c r="DO79" s="2928">
        <f t="shared" si="8"/>
      </c>
      <c r="DP79" s="2928">
        <f t="shared" si="8"/>
      </c>
      <c r="DQ79" s="2928">
        <f t="shared" si="8"/>
      </c>
      <c r="DR79" s="2928">
        <f t="shared" si="8"/>
      </c>
      <c r="DS79" s="2928">
        <f t="shared" si="8"/>
      </c>
      <c r="DT79" s="2928">
        <f t="shared" si="8"/>
      </c>
      <c r="DU79" s="2928">
        <f t="shared" si="8"/>
      </c>
      <c r="DV79" s="2928">
        <f t="shared" si="8"/>
      </c>
      <c r="DW79" s="2928">
        <f t="shared" si="8"/>
      </c>
      <c r="DX79" s="2928">
        <f t="shared" si="8"/>
      </c>
      <c r="DY79" s="2928">
        <f t="shared" si="8"/>
      </c>
      <c r="DZ79" s="2928">
        <f t="shared" si="8"/>
      </c>
      <c r="EA79" s="2928">
        <f t="shared" si="8"/>
      </c>
      <c r="EB79" s="2928">
        <f t="shared" si="8"/>
      </c>
      <c r="EC79" s="2928">
        <f t="shared" si="8"/>
      </c>
      <c r="ED79" s="2928">
        <f t="shared" si="8"/>
      </c>
      <c r="EE79" s="2928">
        <f t="shared" si="8"/>
      </c>
      <c r="EF79" s="2928">
        <f t="shared" si="8"/>
      </c>
      <c r="EG79" s="2928">
        <f t="shared" si="8"/>
      </c>
      <c r="EH79" s="2928">
        <f t="shared" si="8"/>
      </c>
      <c r="EI79" s="2928">
        <f t="shared" si="8"/>
      </c>
      <c r="EJ79" s="2928">
        <f t="shared" si="8"/>
      </c>
      <c r="EK79" s="2928">
        <f t="shared" si="8"/>
      </c>
      <c r="EL79" s="2928">
        <f t="shared" si="8"/>
      </c>
      <c r="EM79" s="2928">
        <f t="shared" si="8"/>
      </c>
      <c r="EN79" s="2928">
        <f t="shared" si="8"/>
      </c>
      <c r="EO79" s="2928">
        <f t="shared" si="8"/>
      </c>
      <c r="EP79" s="2928">
        <f t="shared" si="8"/>
      </c>
      <c r="EQ79" s="2928">
        <f t="shared" si="8"/>
      </c>
      <c r="ER79" s="2928">
        <f t="shared" si="8"/>
      </c>
      <c r="ES79" s="2928">
        <f t="shared" si="8"/>
      </c>
      <c r="ET79" s="2928">
        <f t="shared" si="8"/>
      </c>
      <c r="EU79" s="2928">
        <f t="shared" si="8"/>
      </c>
      <c r="EV79" s="2928">
        <f t="shared" si="8"/>
      </c>
      <c r="EW79" s="2928">
        <f t="shared" si="8"/>
      </c>
      <c r="EX79" s="2928">
        <f t="shared" si="8"/>
      </c>
      <c r="EY79" s="2928">
        <f t="shared" si="8"/>
      </c>
      <c r="EZ79" s="2928">
        <f t="shared" si="8"/>
      </c>
      <c r="FA79" s="2929" t="str">
        <f t="shared" si="12"/>
        <v>-</v>
      </c>
      <c r="FB79" s="2825">
        <f t="shared" si="13"/>
      </c>
      <c r="FC79" s="2930" cm="1">
        <f t="array" ref="FC79">_xlfn.LET(_xlpm.unit_type,$G79,_xlpm.market_rent_from_rent_roll,$E79,_xlpm.unit_type_list,RentRoll_InputArea_DesignatedUnitType,_xlpm.rent_by_unit_type,RentRoll_InputArea_MarketRent,_xlpm.use_rent_roll_market_rent,LEFT(RR_VacantUnitMktRentSource,9)="Rent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79" s="2930">
        <f t="shared" si="14"/>
        <v>1217</v>
      </c>
      <c r="FE79" s="2930">
        <f t="shared" si="15"/>
        <v>1217</v>
      </c>
      <c r="FF79" s="2930">
        <f t="shared" si="16"/>
        <v>1217</v>
      </c>
      <c r="FG79" s="2931"/>
      <c r="FH79" s="2932">
        <f t="shared" si="17"/>
      </c>
      <c r="FI79" s="2932">
        <f t="shared" si="18"/>
      </c>
      <c r="FJ79" s="2931"/>
      <c r="FK79" s="2933" cm="1">
        <f t="array" ref="FK79">IF(AND(LEN($D79)&gt;0,ISNA(MATCH(TRUE,EXACT($G79,RentRoll_InputArea_DesignatedUnitType),0))),1,0)</f>
        <v>0</v>
      </c>
      <c r="FL79" s="2931">
        <f t="shared" si="19"/>
        <v>56</v>
      </c>
      <c r="FM79" s="2931"/>
      <c r="FN79" s="2931"/>
      <c r="FO79" s="2931"/>
      <c r="FP79" s="2931"/>
      <c r="FQ79" s="2931"/>
      <c r="FR79" s="2931"/>
      <c r="FS79" s="2931"/>
      <c r="FT79" s="2931"/>
      <c r="FU79" s="2931"/>
      <c r="FV79" s="2931"/>
      <c r="FW79" s="2931"/>
      <c r="FX79" s="2931"/>
      <c r="FY79" s="2931"/>
      <c r="FZ79" s="2931"/>
      <c r="GA79" s="2931"/>
      <c r="GB79" s="2931"/>
      <c r="GC79" s="2931"/>
      <c r="GD79" s="2931"/>
      <c r="GE79" s="2931"/>
      <c r="GF79" s="2931"/>
      <c r="GG79" s="2931"/>
      <c r="GH79" s="2931"/>
      <c r="GI79" s="2931"/>
      <c r="GJ79" s="2931"/>
      <c r="GK79" s="2931"/>
      <c r="GL79" s="2931"/>
      <c r="GM79" s="2931"/>
      <c r="GN79" s="2931"/>
      <c r="GO79" s="2931"/>
      <c r="GP79" s="2931"/>
      <c r="GQ79" s="2931"/>
      <c r="GR79" s="2931"/>
      <c r="GS79" s="2931"/>
      <c r="GT79" s="2931"/>
      <c r="GU79" s="2931"/>
      <c r="GV79" s="2931"/>
      <c r="GW79" s="2931"/>
      <c r="GX79" s="2931"/>
      <c r="GY79" s="2931"/>
      <c r="GZ79" s="2931"/>
      <c r="HA79" s="2931"/>
      <c r="HB79" s="2931"/>
      <c r="HC79" s="2931"/>
      <c r="HD79" s="2931"/>
      <c r="HE79" s="2931"/>
      <c r="HF79" s="2931"/>
      <c r="HG79" s="2931"/>
      <c r="HH79" s="2931"/>
      <c r="HI79" s="2931"/>
      <c r="HJ79" s="2931"/>
      <c r="HK79" s="2931"/>
      <c r="HL79" s="2931"/>
      <c r="HM79" s="2931"/>
      <c r="HN79" s="2931"/>
      <c r="HO79" s="2931"/>
      <c r="HP79" s="2931"/>
      <c r="HQ79" s="2931"/>
      <c r="HR79" s="2931"/>
      <c r="HS79" s="2931"/>
      <c r="HT79" s="2931"/>
      <c r="HU79" s="2931"/>
      <c r="HV79" s="2931"/>
      <c r="HW79" s="2931"/>
      <c r="HX79" s="2931"/>
      <c r="HY79" s="2931"/>
      <c r="HZ79" s="2931"/>
      <c r="IA79" s="2931"/>
      <c r="IB79" s="2931"/>
      <c r="IC79" s="2931"/>
      <c r="ID79" s="2931"/>
      <c r="IE79" s="2931"/>
      <c r="IF79" s="2931"/>
      <c r="IG79" s="2931"/>
      <c r="IH79" s="2931"/>
      <c r="II79" s="2931"/>
      <c r="IJ79" s="2931"/>
      <c r="IK79" s="2931"/>
      <c r="IL79" s="2931"/>
      <c r="IM79" s="2931"/>
      <c r="IN79" s="2931"/>
      <c r="IO79" s="2931" cm="1">
        <f t="array" ref="IO79">IF(LEN($G79)=0,"Rent Roll is incomplete",_xlfn.XLOOKUP(TRUE,EXACT(RentRoll_InputArea_DesignatedUnitType,$G79),RentRoll_InputArea_Beds,"Not Found"))</f>
        <v>0</v>
      </c>
      <c r="IP79" s="2934"/>
      <c r="IQ79" s="2935" t="str">
        <f t="shared" si="20"/>
        <v>0 Bedroom Unit (Efficiency/Studio)</v>
      </c>
      <c r="IR79" s="2926">
        <f t="shared" si="21"/>
        <v>1217</v>
      </c>
      <c r="IS79" s="2935"/>
      <c r="IT79" s="2931"/>
      <c r="IU79" s="2931"/>
      <c r="IV79" s="2931"/>
      <c r="IW79" s="2936" t="str">
        <f t="shared" si="22"/>
        <v>5-511</v>
      </c>
      <c r="IX79" s="2936"/>
      <c r="IY79" s="2936"/>
      <c r="IZ79" s="2936">
        <f t="shared" si="23"/>
        <v>0</v>
      </c>
      <c r="JA79" s="2936">
        <f t="shared" si="24"/>
        <v>1217</v>
      </c>
      <c r="JB79" s="2936"/>
      <c r="JC79" s="2936"/>
      <c r="JD79" s="2936"/>
      <c r="JE79" s="2936"/>
      <c r="JF79" s="2936"/>
      <c r="JG79" s="2936"/>
      <c r="JH79" s="2936">
        <f t="shared" si="25"/>
        <v>1217</v>
      </c>
      <c r="JI79" s="2936"/>
      <c r="JJ79" s="2936">
        <f t="shared" si="26"/>
      </c>
      <c r="JK79" s="2936"/>
      <c r="JL79" s="2936"/>
      <c r="JM79" s="2936"/>
      <c r="JN79" s="2936"/>
      <c r="JO79" s="2936"/>
      <c r="JP79" s="2936"/>
      <c r="JQ79" s="2936" t="str">
        <f t="shared" si="27"/>
        <v>Occupied</v>
      </c>
      <c r="JR79" s="2936" cm="1">
        <f t="array" ref="JR79">_xlfn.XLOOKUP(TRUE,EXACT(RentRoll_InputArea_DesignatedUnitType,$G79),RentRoll_InputArea_SquareFootage,"Not Found")</f>
        <v>800</v>
      </c>
      <c r="JS79" s="2936" t="str">
        <f t="shared" si="28"/>
        <v>Apartment</v>
      </c>
      <c r="JT79" s="2936">
        <f t="shared" si="29"/>
      </c>
      <c r="JU79" s="2936"/>
      <c r="JV79" s="2936"/>
      <c r="JW79" s="2936"/>
      <c r="JX79" s="2936"/>
      <c r="JY79" s="2936">
        <f t="shared" si="9"/>
        <v>43316</v>
      </c>
      <c r="JZ79" s="2936">
        <f t="shared" si="9"/>
        <v>43616</v>
      </c>
      <c r="KA79" s="2936"/>
      <c r="KB79" s="2936"/>
      <c r="KC79" s="2936"/>
      <c r="KD79" s="2936"/>
      <c r="KE79" s="2936"/>
      <c r="KF79" s="2936"/>
      <c r="KG79" s="2936"/>
      <c r="KH79" s="2936"/>
      <c r="KI79" s="2937"/>
      <c r="KJ79" s="2936"/>
      <c r="KK79" s="1353"/>
    </row>
    <row r="80" ht="15" customHeight="1">
      <c r="A80" s="2922">
        <f t="shared" si="10"/>
        <v>57</v>
      </c>
      <c r="B80" s="2865"/>
      <c r="C80" s="2873"/>
      <c r="D80" s="2873" t="s">
        <v>2856</v>
      </c>
      <c r="E80" s="2923">
        <v>1582</v>
      </c>
      <c r="F80" s="2924" t="s">
        <v>2857</v>
      </c>
      <c r="G80" s="2873" t="s">
        <v>2532</v>
      </c>
      <c r="H80" s="2923">
        <v>1483</v>
      </c>
      <c r="I80" s="2925" cm="1">
        <f t="array" ref="I80">_xlfn.LET(_xlpm.has_subsidy,$N80&gt;0,_xlpm.is_chap9_sbl,$FF$20,_xlpm.contract_rent,$H80,_xlpm.unit_type_mkt_rent,_xlfn.XLOOKUP(TRUE,EXACT($G80,RentRoll_InputArea_DesignatedUnitType),RentRoll_InputArea_MarketRent,"Not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0" s="2926">
        <f t="shared" si="11"/>
        <v>1483</v>
      </c>
      <c r="K80" s="2923"/>
      <c r="L80" s="2923"/>
      <c r="M80" s="2923"/>
      <c r="N80" s="2923"/>
      <c r="O80" s="2927">
        <v>43437</v>
      </c>
      <c r="P80" s="2927">
        <v>43708</v>
      </c>
      <c r="Q80" s="2928">
        <f t="shared" si="8"/>
      </c>
      <c r="R80" s="2928">
        <f t="shared" si="8"/>
      </c>
      <c r="S80" s="2928">
        <f t="shared" si="8"/>
      </c>
      <c r="T80" s="2928">
        <f t="shared" si="8"/>
        <v>1483</v>
      </c>
      <c r="U80" s="2928">
        <f t="shared" si="8"/>
      </c>
      <c r="V80" s="2928">
        <f t="shared" si="8"/>
      </c>
      <c r="W80" s="2928">
        <f t="shared" si="8"/>
      </c>
      <c r="X80" s="2928">
        <f t="shared" si="8"/>
      </c>
      <c r="Y80" s="2928">
        <f t="shared" si="8"/>
      </c>
      <c r="Z80" s="2928">
        <f t="shared" si="8"/>
      </c>
      <c r="AA80" s="2928">
        <f t="shared" si="8"/>
      </c>
      <c r="AB80" s="2928">
        <f t="shared" si="8"/>
      </c>
      <c r="AC80" s="2928">
        <f t="shared" si="8"/>
      </c>
      <c r="AD80" s="2928">
        <f t="shared" si="8"/>
      </c>
      <c r="AE80" s="2928">
        <f t="shared" si="8"/>
      </c>
      <c r="AF80" s="2928">
        <f t="shared" si="8"/>
      </c>
      <c r="AG80" s="2928">
        <f t="shared" si="8"/>
      </c>
      <c r="AH80" s="2928">
        <f t="shared" si="8"/>
      </c>
      <c r="AI80" s="2928">
        <f t="shared" si="8"/>
      </c>
      <c r="AJ80" s="2928">
        <f t="shared" si="8"/>
      </c>
      <c r="AK80" s="2928">
        <f t="shared" si="8"/>
      </c>
      <c r="AL80" s="2928">
        <f t="shared" si="8"/>
      </c>
      <c r="AM80" s="2928">
        <f t="shared" si="8"/>
      </c>
      <c r="AN80" s="2928">
        <f t="shared" si="8"/>
      </c>
      <c r="AO80" s="2928">
        <f t="shared" si="8"/>
      </c>
      <c r="AP80" s="2928">
        <f t="shared" si="8"/>
      </c>
      <c r="AQ80" s="2928">
        <f t="shared" si="8"/>
      </c>
      <c r="AR80" s="2928">
        <f t="shared" si="8"/>
      </c>
      <c r="AS80" s="2928">
        <f t="shared" si="8"/>
      </c>
      <c r="AT80" s="2928">
        <f t="shared" si="8"/>
      </c>
      <c r="AU80" s="2928">
        <f t="shared" si="8"/>
      </c>
      <c r="AV80" s="2928">
        <f t="shared" si="8"/>
      </c>
      <c r="AW80" s="2928">
        <f t="shared" si="8"/>
      </c>
      <c r="AX80" s="2928">
        <f t="shared" si="8"/>
      </c>
      <c r="AY80" s="2928">
        <f t="shared" si="8"/>
      </c>
      <c r="AZ80" s="2928">
        <f t="shared" si="8"/>
      </c>
      <c r="BA80" s="2928">
        <f t="shared" si="8"/>
      </c>
      <c r="BB80" s="2928">
        <f t="shared" si="8"/>
      </c>
      <c r="BC80" s="2928">
        <f t="shared" si="8"/>
      </c>
      <c r="BD80" s="2928">
        <f t="shared" si="8"/>
      </c>
      <c r="BE80" s="2928">
        <f t="shared" si="8"/>
      </c>
      <c r="BF80" s="2928">
        <f t="shared" si="8"/>
      </c>
      <c r="BG80" s="2928">
        <f t="shared" si="8"/>
      </c>
      <c r="BH80" s="2928">
        <f t="shared" si="8"/>
      </c>
      <c r="BI80" s="2928">
        <f t="shared" si="8"/>
      </c>
      <c r="BJ80" s="2928">
        <f t="shared" si="8"/>
      </c>
      <c r="BK80" s="2928">
        <f t="shared" si="8"/>
      </c>
      <c r="BL80" s="2928">
        <f t="shared" si="8"/>
      </c>
      <c r="BM80" s="2928">
        <f t="shared" si="8"/>
      </c>
      <c r="BN80" s="2928">
        <f t="shared" si="8"/>
      </c>
      <c r="BO80" s="2928">
        <f t="shared" si="8"/>
      </c>
      <c r="BP80" s="2928">
        <f t="shared" si="8"/>
      </c>
      <c r="BQ80" s="2928">
        <f t="shared" si="8"/>
      </c>
      <c r="BR80" s="2928">
        <f t="shared" si="8"/>
      </c>
      <c r="BS80" s="2928">
        <f t="shared" si="8"/>
      </c>
      <c r="BT80" s="2928">
        <f t="shared" si="8"/>
      </c>
      <c r="BU80" s="2928">
        <f t="shared" si="8"/>
      </c>
      <c r="BV80" s="2928">
        <f t="shared" si="8"/>
      </c>
      <c r="BW80" s="2928">
        <f t="shared" si="8"/>
      </c>
      <c r="BX80" s="2928">
        <f t="shared" si="8"/>
      </c>
      <c r="BY80" s="2928">
        <f t="shared" si="8"/>
      </c>
      <c r="BZ80" s="2928">
        <f t="shared" si="8"/>
      </c>
      <c r="CA80" s="2928">
        <f t="shared" si="8"/>
      </c>
      <c r="CB80" s="2928">
        <f t="shared" si="8"/>
      </c>
      <c r="CC80" s="2928">
        <f t="shared" si="8"/>
      </c>
      <c r="CD80" s="2928">
        <f t="shared" si="8"/>
      </c>
      <c r="CE80" s="2928">
        <f t="shared" si="8"/>
      </c>
      <c r="CF80" s="2928">
        <f t="shared" si="8"/>
      </c>
      <c r="CG80" s="2928">
        <f t="shared" si="8"/>
      </c>
      <c r="CH80" s="2928">
        <f t="shared" si="8"/>
      </c>
      <c r="CI80" s="2928">
        <f t="shared" si="8"/>
      </c>
      <c r="CJ80" s="2928">
        <f t="shared" si="8"/>
      </c>
      <c r="CK80" s="2928">
        <f t="shared" si="8"/>
      </c>
      <c r="CL80" s="2928">
        <f t="shared" si="8"/>
      </c>
      <c r="CM80" s="2928">
        <f t="shared" si="8"/>
      </c>
      <c r="CN80" s="2928">
        <f t="shared" si="8"/>
      </c>
      <c r="CO80" s="2928">
        <f t="shared" si="8"/>
      </c>
      <c r="CP80" s="2928">
        <f t="shared" si="8"/>
      </c>
      <c r="CQ80" s="2928">
        <f t="shared" si="8"/>
      </c>
      <c r="CR80" s="2928">
        <f t="shared" si="8"/>
      </c>
      <c r="CS80" s="2928">
        <f t="shared" si="8"/>
      </c>
      <c r="CT80" s="2928">
        <f t="shared" si="8"/>
      </c>
      <c r="CU80" s="2928">
        <f t="shared" si="8"/>
      </c>
      <c r="CV80" s="2928">
        <f t="shared" si="8"/>
      </c>
      <c r="CW80" s="2928">
        <f t="shared" si="8"/>
      </c>
      <c r="CX80" s="2928">
        <f t="shared" si="8"/>
      </c>
      <c r="CY80" s="2928">
        <f t="shared" si="8"/>
      </c>
      <c r="CZ80" s="2928">
        <f t="shared" si="8"/>
      </c>
      <c r="DA80" s="2928">
        <f t="shared" si="8"/>
      </c>
      <c r="DB80" s="2928">
        <f t="shared" si="8"/>
      </c>
      <c r="DC80" s="2928">
        <f t="shared" si="8"/>
      </c>
      <c r="DD80" s="2928">
        <f t="shared" si="8"/>
      </c>
      <c r="DE80" s="2928">
        <f t="shared" si="8"/>
      </c>
      <c r="DF80" s="2928">
        <f t="shared" si="8"/>
      </c>
      <c r="DG80" s="2928">
        <f t="shared" si="8"/>
      </c>
      <c r="DH80" s="2928">
        <f t="shared" si="8"/>
      </c>
      <c r="DI80" s="2928">
        <f t="shared" si="8"/>
      </c>
      <c r="DJ80" s="2928">
        <f t="shared" si="8"/>
      </c>
      <c r="DK80" s="2928">
        <f t="shared" si="8"/>
      </c>
      <c r="DL80" s="2928">
        <f t="shared" si="8"/>
      </c>
      <c r="DM80" s="2928">
        <f t="shared" si="8"/>
      </c>
      <c r="DN80" s="2928">
        <f t="shared" si="8"/>
      </c>
      <c r="DO80" s="2928">
        <f t="shared" si="8"/>
      </c>
      <c r="DP80" s="2928">
        <f t="shared" si="8"/>
      </c>
      <c r="DQ80" s="2928">
        <f t="shared" si="8"/>
      </c>
      <c r="DR80" s="2928">
        <f t="shared" si="8"/>
      </c>
      <c r="DS80" s="2928">
        <f t="shared" si="8"/>
      </c>
      <c r="DT80" s="2928">
        <f t="shared" si="8"/>
      </c>
      <c r="DU80" s="2928">
        <f t="shared" si="8"/>
      </c>
      <c r="DV80" s="2928">
        <f t="shared" si="8"/>
      </c>
      <c r="DW80" s="2928">
        <f t="shared" si="8"/>
      </c>
      <c r="DX80" s="2928">
        <f t="shared" si="8"/>
      </c>
      <c r="DY80" s="2928">
        <f t="shared" si="8"/>
      </c>
      <c r="DZ80" s="2928">
        <f t="shared" si="8"/>
      </c>
      <c r="EA80" s="2928">
        <f t="shared" si="8"/>
      </c>
      <c r="EB80" s="2928">
        <f t="shared" si="8"/>
      </c>
      <c r="EC80" s="2928">
        <f t="shared" si="8"/>
      </c>
      <c r="ED80" s="2928">
        <f t="shared" si="8"/>
      </c>
      <c r="EE80" s="2928">
        <f t="shared" si="8"/>
      </c>
      <c r="EF80" s="2928">
        <f t="shared" si="8"/>
      </c>
      <c r="EG80" s="2928">
        <f t="shared" si="8"/>
      </c>
      <c r="EH80" s="2928">
        <f t="shared" si="8"/>
      </c>
      <c r="EI80" s="2928">
        <f t="shared" si="8"/>
      </c>
      <c r="EJ80" s="2928">
        <f t="shared" si="8"/>
      </c>
      <c r="EK80" s="2928">
        <f t="shared" si="8"/>
      </c>
      <c r="EL80" s="2928">
        <f t="shared" si="8"/>
      </c>
      <c r="EM80" s="2928">
        <f t="shared" si="8"/>
      </c>
      <c r="EN80" s="2928">
        <f t="shared" si="8"/>
      </c>
      <c r="EO80" s="2928">
        <f t="shared" si="8"/>
      </c>
      <c r="EP80" s="2928">
        <f t="shared" si="8"/>
      </c>
      <c r="EQ80" s="2928">
        <f t="shared" si="8"/>
      </c>
      <c r="ER80" s="2928">
        <f t="shared" si="8"/>
      </c>
      <c r="ES80" s="2928">
        <f t="shared" si="8"/>
      </c>
      <c r="ET80" s="2928">
        <f t="shared" si="8"/>
      </c>
      <c r="EU80" s="2928">
        <f t="shared" si="8"/>
      </c>
      <c r="EV80" s="2928">
        <f t="shared" si="8"/>
      </c>
      <c r="EW80" s="2928">
        <f t="shared" si="8"/>
      </c>
      <c r="EX80" s="2928">
        <f t="shared" si="8"/>
      </c>
      <c r="EY80" s="2928">
        <f t="shared" si="8"/>
      </c>
      <c r="EZ80" s="2928">
        <f t="shared" si="8"/>
      </c>
      <c r="FA80" s="2929" t="str">
        <f t="shared" si="12"/>
        <v>-</v>
      </c>
      <c r="FB80" s="2825">
        <f t="shared" si="13"/>
      </c>
      <c r="FC80" s="2930" cm="1">
        <f t="array" ref="FC80">_xlfn.LET(_xlpm.unit_type,$G80,_xlpm.market_rent_from_rent_roll,$E80,_xlpm.unit_type_list,RentRoll_InputArea_DesignatedUnitType,_xlpm.rent_by_unit_type,RentRoll_InputArea_MarketRent,_xlpm.use_rent_roll_market_rent,LEFT(RR_VacantUnitMktRentSource,9)="Rent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80" s="2930">
        <f t="shared" si="14"/>
        <v>1483</v>
      </c>
      <c r="FE80" s="2930">
        <f t="shared" si="15"/>
        <v>1483</v>
      </c>
      <c r="FF80" s="2930">
        <f t="shared" si="16"/>
        <v>1483</v>
      </c>
      <c r="FG80" s="2931"/>
      <c r="FH80" s="2932">
        <f t="shared" si="17"/>
      </c>
      <c r="FI80" s="2932">
        <f t="shared" si="18"/>
      </c>
      <c r="FJ80" s="2931"/>
      <c r="FK80" s="2933" cm="1">
        <f t="array" ref="FK80">IF(AND(LEN($D80)&gt;0,ISNA(MATCH(TRUE,EXACT($G80,RentRoll_InputArea_DesignatedUnitType),0))),1,0)</f>
        <v>0</v>
      </c>
      <c r="FL80" s="2931">
        <f t="shared" si="19"/>
        <v>57</v>
      </c>
      <c r="FM80" s="2931"/>
      <c r="FN80" s="2931"/>
      <c r="FO80" s="2931"/>
      <c r="FP80" s="2931"/>
      <c r="FQ80" s="2931"/>
      <c r="FR80" s="2931"/>
      <c r="FS80" s="2931"/>
      <c r="FT80" s="2931"/>
      <c r="FU80" s="2931"/>
      <c r="FV80" s="2931"/>
      <c r="FW80" s="2931"/>
      <c r="FX80" s="2931"/>
      <c r="FY80" s="2931"/>
      <c r="FZ80" s="2931"/>
      <c r="GA80" s="2931"/>
      <c r="GB80" s="2931"/>
      <c r="GC80" s="2931"/>
      <c r="GD80" s="2931"/>
      <c r="GE80" s="2931"/>
      <c r="GF80" s="2931"/>
      <c r="GG80" s="2931"/>
      <c r="GH80" s="2931"/>
      <c r="GI80" s="2931"/>
      <c r="GJ80" s="2931"/>
      <c r="GK80" s="2931"/>
      <c r="GL80" s="2931"/>
      <c r="GM80" s="2931"/>
      <c r="GN80" s="2931"/>
      <c r="GO80" s="2931"/>
      <c r="GP80" s="2931"/>
      <c r="GQ80" s="2931"/>
      <c r="GR80" s="2931"/>
      <c r="GS80" s="2931"/>
      <c r="GT80" s="2931"/>
      <c r="GU80" s="2931"/>
      <c r="GV80" s="2931"/>
      <c r="GW80" s="2931"/>
      <c r="GX80" s="2931"/>
      <c r="GY80" s="2931"/>
      <c r="GZ80" s="2931"/>
      <c r="HA80" s="2931"/>
      <c r="HB80" s="2931"/>
      <c r="HC80" s="2931"/>
      <c r="HD80" s="2931"/>
      <c r="HE80" s="2931"/>
      <c r="HF80" s="2931"/>
      <c r="HG80" s="2931"/>
      <c r="HH80" s="2931"/>
      <c r="HI80" s="2931"/>
      <c r="HJ80" s="2931"/>
      <c r="HK80" s="2931"/>
      <c r="HL80" s="2931"/>
      <c r="HM80" s="2931"/>
      <c r="HN80" s="2931"/>
      <c r="HO80" s="2931"/>
      <c r="HP80" s="2931"/>
      <c r="HQ80" s="2931"/>
      <c r="HR80" s="2931"/>
      <c r="HS80" s="2931"/>
      <c r="HT80" s="2931"/>
      <c r="HU80" s="2931"/>
      <c r="HV80" s="2931"/>
      <c r="HW80" s="2931"/>
      <c r="HX80" s="2931"/>
      <c r="HY80" s="2931"/>
      <c r="HZ80" s="2931"/>
      <c r="IA80" s="2931"/>
      <c r="IB80" s="2931"/>
      <c r="IC80" s="2931"/>
      <c r="ID80" s="2931"/>
      <c r="IE80" s="2931"/>
      <c r="IF80" s="2931"/>
      <c r="IG80" s="2931"/>
      <c r="IH80" s="2931"/>
      <c r="II80" s="2931"/>
      <c r="IJ80" s="2931"/>
      <c r="IK80" s="2931"/>
      <c r="IL80" s="2931"/>
      <c r="IM80" s="2931"/>
      <c r="IN80" s="2931"/>
      <c r="IO80" s="2931" cm="1">
        <f t="array" ref="IO80">IF(LEN($G80)=0,"Rent Roll is incomplete",_xlfn.XLOOKUP(TRUE,EXACT(RentRoll_InputArea_DesignatedUnitType,$G80),RentRoll_InputArea_Beds,"Not Found"))</f>
        <v>0</v>
      </c>
      <c r="IP80" s="2934"/>
      <c r="IQ80" s="2935" t="str">
        <f t="shared" si="20"/>
        <v>0 Bedroom Unit (Efficiency/Studio)</v>
      </c>
      <c r="IR80" s="2926">
        <f t="shared" si="21"/>
        <v>1483</v>
      </c>
      <c r="IS80" s="2935"/>
      <c r="IT80" s="2931"/>
      <c r="IU80" s="2931"/>
      <c r="IV80" s="2931"/>
      <c r="IW80" s="2936" t="str">
        <f t="shared" si="22"/>
        <v>5-512</v>
      </c>
      <c r="IX80" s="2936"/>
      <c r="IY80" s="2936"/>
      <c r="IZ80" s="2936">
        <f t="shared" si="23"/>
        <v>0</v>
      </c>
      <c r="JA80" s="2936">
        <f t="shared" si="24"/>
        <v>1483</v>
      </c>
      <c r="JB80" s="2936"/>
      <c r="JC80" s="2936"/>
      <c r="JD80" s="2936"/>
      <c r="JE80" s="2936"/>
      <c r="JF80" s="2936"/>
      <c r="JG80" s="2936"/>
      <c r="JH80" s="2936">
        <f t="shared" si="25"/>
        <v>1533</v>
      </c>
      <c r="JI80" s="2936"/>
      <c r="JJ80" s="2936">
        <f t="shared" si="26"/>
      </c>
      <c r="JK80" s="2936"/>
      <c r="JL80" s="2936"/>
      <c r="JM80" s="2936"/>
      <c r="JN80" s="2936"/>
      <c r="JO80" s="2936"/>
      <c r="JP80" s="2936"/>
      <c r="JQ80" s="2936" t="str">
        <f t="shared" si="27"/>
        <v>Occupied</v>
      </c>
      <c r="JR80" s="2936" cm="1">
        <f t="array" ref="JR80">_xlfn.XLOOKUP(TRUE,EXACT(RentRoll_InputArea_DesignatedUnitType,$G80),RentRoll_InputArea_SquareFootage,"Not Found")</f>
        <v>1050</v>
      </c>
      <c r="JS80" s="2936" t="str">
        <f t="shared" si="28"/>
        <v>Apartment</v>
      </c>
      <c r="JT80" s="2936">
        <f t="shared" si="29"/>
      </c>
      <c r="JU80" s="2936"/>
      <c r="JV80" s="2936"/>
      <c r="JW80" s="2936"/>
      <c r="JX80" s="2936"/>
      <c r="JY80" s="2936">
        <f t="shared" si="9"/>
        <v>43437</v>
      </c>
      <c r="JZ80" s="2936">
        <f t="shared" si="9"/>
        <v>43708</v>
      </c>
      <c r="KA80" s="2936"/>
      <c r="KB80" s="2936"/>
      <c r="KC80" s="2936"/>
      <c r="KD80" s="2936"/>
      <c r="KE80" s="2936"/>
      <c r="KF80" s="2936"/>
      <c r="KG80" s="2936"/>
      <c r="KH80" s="2936"/>
      <c r="KI80" s="2937"/>
      <c r="KJ80" s="2936"/>
      <c r="KK80" s="1353"/>
    </row>
    <row r="81" ht="15" customHeight="1">
      <c r="A81" s="2922">
        <f t="shared" si="10"/>
        <v>58</v>
      </c>
      <c r="B81" s="2865"/>
      <c r="C81" s="2873"/>
      <c r="D81" s="2873" t="s">
        <v>2858</v>
      </c>
      <c r="E81" s="2923">
        <v>1614</v>
      </c>
      <c r="F81" s="2924" t="s">
        <v>2859</v>
      </c>
      <c r="G81" s="2873" t="s">
        <v>2532</v>
      </c>
      <c r="H81" s="2923">
        <v>1585</v>
      </c>
      <c r="I81" s="2925" cm="1">
        <f t="array" ref="I81">_xlfn.LET(_xlpm.has_subsidy,$N81&gt;0,_xlpm.is_chap9_sbl,$FF$20,_xlpm.contract_rent,$H81,_xlpm.unit_type_mkt_rent,_xlfn.XLOOKUP(TRUE,EXACT($G81,RentRoll_InputArea_DesignatedUnitType),RentRoll_InputArea_MarketRent,"Not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1" s="2926">
        <f t="shared" si="11"/>
        <v>1585</v>
      </c>
      <c r="K81" s="2923"/>
      <c r="L81" s="2923"/>
      <c r="M81" s="2923"/>
      <c r="N81" s="2923"/>
      <c r="O81" s="2927">
        <v>43528</v>
      </c>
      <c r="P81" s="2927">
        <v>43921</v>
      </c>
      <c r="Q81" s="2928">
        <f t="shared" si="8"/>
      </c>
      <c r="R81" s="2928">
        <f t="shared" si="8"/>
      </c>
      <c r="S81" s="2928">
        <f t="shared" si="8"/>
      </c>
      <c r="T81" s="2928">
        <f t="shared" si="8"/>
        <v>1585</v>
      </c>
      <c r="U81" s="2928">
        <f t="shared" si="8"/>
      </c>
      <c r="V81" s="2928">
        <f t="shared" si="8"/>
      </c>
      <c r="W81" s="2928">
        <f t="shared" si="8"/>
      </c>
      <c r="X81" s="2928">
        <f t="shared" si="8"/>
      </c>
      <c r="Y81" s="2928">
        <f t="shared" si="8"/>
      </c>
      <c r="Z81" s="2928">
        <f t="shared" si="8"/>
      </c>
      <c r="AA81" s="2928">
        <f t="shared" si="8"/>
      </c>
      <c r="AB81" s="2928">
        <f t="shared" si="8"/>
      </c>
      <c r="AC81" s="2928">
        <f t="shared" si="8"/>
      </c>
      <c r="AD81" s="2928">
        <f t="shared" si="8"/>
      </c>
      <c r="AE81" s="2928">
        <f t="shared" si="8"/>
      </c>
      <c r="AF81" s="2928">
        <f t="shared" si="8"/>
      </c>
      <c r="AG81" s="2928">
        <f t="shared" si="8"/>
      </c>
      <c r="AH81" s="2928">
        <f t="shared" si="8"/>
      </c>
      <c r="AI81" s="2928">
        <f t="shared" si="8"/>
      </c>
      <c r="AJ81" s="2928">
        <f t="shared" si="8"/>
      </c>
      <c r="AK81" s="2928">
        <f t="shared" si="8"/>
      </c>
      <c r="AL81" s="2928">
        <f t="shared" si="8"/>
      </c>
      <c r="AM81" s="2928">
        <f t="shared" si="8"/>
      </c>
      <c r="AN81" s="2928">
        <f t="shared" si="8"/>
      </c>
      <c r="AO81" s="2928">
        <f t="shared" si="8"/>
      </c>
      <c r="AP81" s="2928">
        <f t="shared" si="8"/>
      </c>
      <c r="AQ81" s="2928">
        <f t="shared" si="8"/>
      </c>
      <c r="AR81" s="2928">
        <f t="shared" si="8"/>
      </c>
      <c r="AS81" s="2928">
        <f t="shared" si="8"/>
      </c>
      <c r="AT81" s="2928">
        <f t="shared" si="8"/>
      </c>
      <c r="AU81" s="2928">
        <f t="shared" si="8"/>
      </c>
      <c r="AV81" s="2928">
        <f t="shared" si="8"/>
      </c>
      <c r="AW81" s="2928">
        <f t="shared" si="8"/>
      </c>
      <c r="AX81" s="2928">
        <f t="shared" si="8"/>
      </c>
      <c r="AY81" s="2928">
        <f t="shared" si="8"/>
      </c>
      <c r="AZ81" s="2928">
        <f t="shared" si="8"/>
      </c>
      <c r="BA81" s="2928">
        <f t="shared" si="8"/>
      </c>
      <c r="BB81" s="2928">
        <f t="shared" si="8"/>
      </c>
      <c r="BC81" s="2928">
        <f t="shared" si="8"/>
      </c>
      <c r="BD81" s="2928">
        <f t="shared" si="8"/>
      </c>
      <c r="BE81" s="2928">
        <f t="shared" si="8"/>
      </c>
      <c r="BF81" s="2928">
        <f t="shared" si="8"/>
      </c>
      <c r="BG81" s="2928">
        <f t="shared" si="8"/>
      </c>
      <c r="BH81" s="2928">
        <f t="shared" si="8"/>
      </c>
      <c r="BI81" s="2928">
        <f t="shared" si="8"/>
      </c>
      <c r="BJ81" s="2928">
        <f t="shared" si="8"/>
      </c>
      <c r="BK81" s="2928">
        <f t="shared" si="8"/>
      </c>
      <c r="BL81" s="2928">
        <f t="shared" si="8"/>
      </c>
      <c r="BM81" s="2928">
        <f t="shared" si="8"/>
      </c>
      <c r="BN81" s="2928">
        <f t="shared" si="8"/>
      </c>
      <c r="BO81" s="2928">
        <f t="shared" si="8"/>
      </c>
      <c r="BP81" s="2928">
        <f t="shared" si="8"/>
      </c>
      <c r="BQ81" s="2928">
        <f t="shared" si="8"/>
      </c>
      <c r="BR81" s="2928">
        <f t="shared" si="8"/>
      </c>
      <c r="BS81" s="2928">
        <f t="shared" si="8"/>
      </c>
      <c r="BT81" s="2928">
        <f t="shared" si="8"/>
      </c>
      <c r="BU81" s="2928">
        <f t="shared" si="8"/>
      </c>
      <c r="BV81" s="2928">
        <f t="shared" si="8"/>
      </c>
      <c r="BW81" s="2928">
        <f t="shared" si="8"/>
      </c>
      <c r="BX81" s="2928">
        <f t="shared" si="8"/>
      </c>
      <c r="BY81" s="2928">
        <f t="shared" si="8"/>
      </c>
      <c r="BZ81" s="2928">
        <f t="shared" si="8"/>
      </c>
      <c r="CA81" s="2928">
        <f t="shared" si="8"/>
      </c>
      <c r="CB81" s="2928">
        <f t="shared" si="8"/>
      </c>
      <c r="CC81" s="2928">
        <f t="shared" si="8"/>
      </c>
      <c r="CD81" s="2928">
        <f t="shared" si="8"/>
      </c>
      <c r="CE81" s="2928">
        <f t="shared" si="8"/>
      </c>
      <c r="CF81" s="2928">
        <f t="shared" si="8"/>
      </c>
      <c r="CG81" s="2928">
        <f t="shared" si="8"/>
      </c>
      <c r="CH81" s="2928">
        <f t="shared" si="8"/>
      </c>
      <c r="CI81" s="2928">
        <f t="shared" si="8"/>
      </c>
      <c r="CJ81" s="2928">
        <f t="shared" si="8"/>
      </c>
      <c r="CK81" s="2928">
        <f t="shared" si="8"/>
      </c>
      <c r="CL81" s="2928">
        <f t="shared" si="8"/>
      </c>
      <c r="CM81" s="2928">
        <f t="shared" si="8"/>
      </c>
      <c r="CN81" s="2928">
        <f t="shared" si="8"/>
      </c>
      <c r="CO81" s="2928">
        <f t="shared" si="8"/>
      </c>
      <c r="CP81" s="2928">
        <f t="shared" si="8"/>
      </c>
      <c r="CQ81" s="2928">
        <f t="shared" si="8"/>
      </c>
      <c r="CR81" s="2928">
        <f t="shared" si="8"/>
      </c>
      <c r="CS81" s="2928">
        <f t="shared" si="8"/>
      </c>
      <c r="CT81" s="2928">
        <f t="shared" si="8"/>
      </c>
      <c r="CU81" s="2928">
        <f t="shared" si="8"/>
      </c>
      <c r="CV81" s="2928">
        <f t="shared" si="8"/>
      </c>
      <c r="CW81" s="2928">
        <f t="shared" si="8"/>
      </c>
      <c r="CX81" s="2928">
        <f t="shared" si="8"/>
      </c>
      <c r="CY81" s="2928">
        <f t="shared" si="8"/>
      </c>
      <c r="CZ81" s="2928">
        <f t="shared" si="8"/>
      </c>
      <c r="DA81" s="2928">
        <f t="shared" si="8"/>
      </c>
      <c r="DB81" s="2928">
        <f t="shared" si="8"/>
      </c>
      <c r="DC81" s="2928">
        <f t="shared" si="8"/>
      </c>
      <c r="DD81" s="2928">
        <f t="shared" si="8"/>
      </c>
      <c r="DE81" s="2928">
        <f t="shared" si="8"/>
      </c>
      <c r="DF81" s="2928">
        <f t="shared" si="8"/>
      </c>
      <c r="DG81" s="2928">
        <f t="shared" si="8"/>
      </c>
      <c r="DH81" s="2928">
        <f t="shared" si="8"/>
      </c>
      <c r="DI81" s="2928">
        <f t="shared" si="8"/>
      </c>
      <c r="DJ81" s="2928">
        <f t="shared" si="8"/>
      </c>
      <c r="DK81" s="2928">
        <f t="shared" si="8"/>
      </c>
      <c r="DL81" s="2928">
        <f t="shared" si="8"/>
      </c>
      <c r="DM81" s="2928">
        <f t="shared" si="8"/>
      </c>
      <c r="DN81" s="2928">
        <f t="shared" si="8"/>
      </c>
      <c r="DO81" s="2928">
        <f t="shared" si="8"/>
      </c>
      <c r="DP81" s="2928">
        <f t="shared" si="8"/>
      </c>
      <c r="DQ81" s="2928">
        <f t="shared" si="8"/>
      </c>
      <c r="DR81" s="2928">
        <f t="shared" si="8"/>
      </c>
      <c r="DS81" s="2928">
        <f t="shared" si="8"/>
      </c>
      <c r="DT81" s="2928">
        <f t="shared" si="8"/>
      </c>
      <c r="DU81" s="2928">
        <f t="shared" si="8"/>
      </c>
      <c r="DV81" s="2928">
        <f t="shared" si="8"/>
      </c>
      <c r="DW81" s="2928">
        <f t="shared" si="8"/>
      </c>
      <c r="DX81" s="2928">
        <f t="shared" si="8"/>
      </c>
      <c r="DY81" s="2928">
        <f t="shared" si="8"/>
      </c>
      <c r="DZ81" s="2928">
        <f t="shared" si="8"/>
      </c>
      <c r="EA81" s="2928">
        <f t="shared" si="8"/>
      </c>
      <c r="EB81" s="2928">
        <f t="shared" si="8"/>
      </c>
      <c r="EC81" s="2928">
        <f t="shared" si="8"/>
      </c>
      <c r="ED81" s="2928">
        <f t="shared" si="8"/>
      </c>
      <c r="EE81" s="2928">
        <f t="shared" si="8"/>
      </c>
      <c r="EF81" s="2928">
        <f t="shared" si="8"/>
      </c>
      <c r="EG81" s="2928">
        <f t="shared" si="8"/>
      </c>
      <c r="EH81" s="2928">
        <f t="shared" si="8"/>
      </c>
      <c r="EI81" s="2928">
        <f t="shared" si="8"/>
      </c>
      <c r="EJ81" s="2928">
        <f t="shared" si="8"/>
      </c>
      <c r="EK81" s="2928">
        <f t="shared" si="8"/>
      </c>
      <c r="EL81" s="2928">
        <f t="shared" si="8"/>
      </c>
      <c r="EM81" s="2928">
        <f t="shared" si="8"/>
      </c>
      <c r="EN81" s="2928">
        <f t="shared" si="8"/>
      </c>
      <c r="EO81" s="2928">
        <f t="shared" si="8"/>
      </c>
      <c r="EP81" s="2928">
        <f t="shared" si="8"/>
      </c>
      <c r="EQ81" s="2928">
        <f t="shared" si="8"/>
      </c>
      <c r="ER81" s="2928">
        <f t="shared" si="8"/>
      </c>
      <c r="ES81" s="2928">
        <f t="shared" si="8"/>
      </c>
      <c r="ET81" s="2928">
        <f t="shared" si="8"/>
      </c>
      <c r="EU81" s="2928">
        <f t="shared" si="8"/>
      </c>
      <c r="EV81" s="2928">
        <f t="shared" si="8"/>
      </c>
      <c r="EW81" s="2928">
        <f t="shared" si="8"/>
      </c>
      <c r="EX81" s="2928">
        <f t="shared" si="8"/>
      </c>
      <c r="EY81" s="2928">
        <f t="shared" si="8"/>
      </c>
      <c r="EZ81" s="2928">
        <f t="shared" si="8"/>
      </c>
      <c r="FA81" s="2929" t="str">
        <f t="shared" si="12"/>
        <v>-</v>
      </c>
      <c r="FB81" s="2825">
        <f t="shared" si="13"/>
      </c>
      <c r="FC81" s="2930" cm="1">
        <f t="array" ref="FC81">_xlfn.LET(_xlpm.unit_type,$G81,_xlpm.market_rent_from_rent_roll,$E81,_xlpm.unit_type_list,RentRoll_InputArea_DesignatedUnitType,_xlpm.rent_by_unit_type,RentRoll_InputArea_MarketRent,_xlpm.use_rent_roll_market_rent,LEFT(RR_VacantUnitMktRentSource,9)="Rent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81" s="2930">
        <f t="shared" si="14"/>
        <v>1585</v>
      </c>
      <c r="FE81" s="2930">
        <f t="shared" si="15"/>
        <v>1585</v>
      </c>
      <c r="FF81" s="2930">
        <f t="shared" si="16"/>
        <v>1585</v>
      </c>
      <c r="FG81" s="2931"/>
      <c r="FH81" s="2932">
        <f t="shared" si="17"/>
      </c>
      <c r="FI81" s="2932">
        <f t="shared" si="18"/>
      </c>
      <c r="FJ81" s="2931"/>
      <c r="FK81" s="2933" cm="1">
        <f t="array" ref="FK81">IF(AND(LEN($D81)&gt;0,ISNA(MATCH(TRUE,EXACT($G81,RentRoll_InputArea_DesignatedUnitType),0))),1,0)</f>
        <v>0</v>
      </c>
      <c r="FL81" s="2931">
        <f t="shared" si="19"/>
        <v>58</v>
      </c>
      <c r="FM81" s="2931"/>
      <c r="FN81" s="2931"/>
      <c r="FO81" s="2931"/>
      <c r="FP81" s="2931"/>
      <c r="FQ81" s="2931"/>
      <c r="FR81" s="2931"/>
      <c r="FS81" s="2931"/>
      <c r="FT81" s="2931"/>
      <c r="FU81" s="2931"/>
      <c r="FV81" s="2931"/>
      <c r="FW81" s="2931"/>
      <c r="FX81" s="2931"/>
      <c r="FY81" s="2931"/>
      <c r="FZ81" s="2931"/>
      <c r="GA81" s="2931"/>
      <c r="GB81" s="2931"/>
      <c r="GC81" s="2931"/>
      <c r="GD81" s="2931"/>
      <c r="GE81" s="2931"/>
      <c r="GF81" s="2931"/>
      <c r="GG81" s="2931"/>
      <c r="GH81" s="2931"/>
      <c r="GI81" s="2931"/>
      <c r="GJ81" s="2931"/>
      <c r="GK81" s="2931"/>
      <c r="GL81" s="2931"/>
      <c r="GM81" s="2931"/>
      <c r="GN81" s="2931"/>
      <c r="GO81" s="2931"/>
      <c r="GP81" s="2931"/>
      <c r="GQ81" s="2931"/>
      <c r="GR81" s="2931"/>
      <c r="GS81" s="2931"/>
      <c r="GT81" s="2931"/>
      <c r="GU81" s="2931"/>
      <c r="GV81" s="2931"/>
      <c r="GW81" s="2931"/>
      <c r="GX81" s="2931"/>
      <c r="GY81" s="2931"/>
      <c r="GZ81" s="2931"/>
      <c r="HA81" s="2931"/>
      <c r="HB81" s="2931"/>
      <c r="HC81" s="2931"/>
      <c r="HD81" s="2931"/>
      <c r="HE81" s="2931"/>
      <c r="HF81" s="2931"/>
      <c r="HG81" s="2931"/>
      <c r="HH81" s="2931"/>
      <c r="HI81" s="2931"/>
      <c r="HJ81" s="2931"/>
      <c r="HK81" s="2931"/>
      <c r="HL81" s="2931"/>
      <c r="HM81" s="2931"/>
      <c r="HN81" s="2931"/>
      <c r="HO81" s="2931"/>
      <c r="HP81" s="2931"/>
      <c r="HQ81" s="2931"/>
      <c r="HR81" s="2931"/>
      <c r="HS81" s="2931"/>
      <c r="HT81" s="2931"/>
      <c r="HU81" s="2931"/>
      <c r="HV81" s="2931"/>
      <c r="HW81" s="2931"/>
      <c r="HX81" s="2931"/>
      <c r="HY81" s="2931"/>
      <c r="HZ81" s="2931"/>
      <c r="IA81" s="2931"/>
      <c r="IB81" s="2931"/>
      <c r="IC81" s="2931"/>
      <c r="ID81" s="2931"/>
      <c r="IE81" s="2931"/>
      <c r="IF81" s="2931"/>
      <c r="IG81" s="2931"/>
      <c r="IH81" s="2931"/>
      <c r="II81" s="2931"/>
      <c r="IJ81" s="2931"/>
      <c r="IK81" s="2931"/>
      <c r="IL81" s="2931"/>
      <c r="IM81" s="2931"/>
      <c r="IN81" s="2931"/>
      <c r="IO81" s="2931" cm="1">
        <f t="array" ref="IO81">IF(LEN($G81)=0,"Rent Roll is incomplete",_xlfn.XLOOKUP(TRUE,EXACT(RentRoll_InputArea_DesignatedUnitType,$G81),RentRoll_InputArea_Beds,"Not Found"))</f>
        <v>0</v>
      </c>
      <c r="IP81" s="2934"/>
      <c r="IQ81" s="2935" t="str">
        <f t="shared" si="20"/>
        <v>0 Bedroom Unit (Efficiency/Studio)</v>
      </c>
      <c r="IR81" s="2926">
        <f t="shared" si="21"/>
        <v>1585</v>
      </c>
      <c r="IS81" s="2935"/>
      <c r="IT81" s="2931"/>
      <c r="IU81" s="2931"/>
      <c r="IV81" s="2931"/>
      <c r="IW81" s="2936" t="str">
        <f t="shared" si="22"/>
        <v>5-513</v>
      </c>
      <c r="IX81" s="2936"/>
      <c r="IY81" s="2936"/>
      <c r="IZ81" s="2936">
        <f t="shared" si="23"/>
        <v>0</v>
      </c>
      <c r="JA81" s="2936">
        <f t="shared" si="24"/>
        <v>1585</v>
      </c>
      <c r="JB81" s="2936"/>
      <c r="JC81" s="2936"/>
      <c r="JD81" s="2936"/>
      <c r="JE81" s="2936"/>
      <c r="JF81" s="2936"/>
      <c r="JG81" s="2936"/>
      <c r="JH81" s="2936">
        <f t="shared" si="25"/>
        <v>1533</v>
      </c>
      <c r="JI81" s="2936"/>
      <c r="JJ81" s="2936">
        <f t="shared" si="26"/>
      </c>
      <c r="JK81" s="2936"/>
      <c r="JL81" s="2936"/>
      <c r="JM81" s="2936"/>
      <c r="JN81" s="2936"/>
      <c r="JO81" s="2936"/>
      <c r="JP81" s="2936"/>
      <c r="JQ81" s="2936" t="str">
        <f t="shared" si="27"/>
        <v>Occupied</v>
      </c>
      <c r="JR81" s="2936" cm="1">
        <f t="array" ref="JR81">_xlfn.XLOOKUP(TRUE,EXACT(RentRoll_InputArea_DesignatedUnitType,$G81),RentRoll_InputArea_SquareFootage,"Not Found")</f>
        <v>1050</v>
      </c>
      <c r="JS81" s="2936" t="str">
        <f t="shared" si="28"/>
        <v>Apartment</v>
      </c>
      <c r="JT81" s="2936">
        <f t="shared" si="29"/>
      </c>
      <c r="JU81" s="2936"/>
      <c r="JV81" s="2936"/>
      <c r="JW81" s="2936"/>
      <c r="JX81" s="2936"/>
      <c r="JY81" s="2936">
        <f t="shared" si="9"/>
        <v>43528</v>
      </c>
      <c r="JZ81" s="2936">
        <f t="shared" si="9"/>
        <v>43921</v>
      </c>
      <c r="KA81" s="2936"/>
      <c r="KB81" s="2936"/>
      <c r="KC81" s="2936"/>
      <c r="KD81" s="2936"/>
      <c r="KE81" s="2936"/>
      <c r="KF81" s="2936"/>
      <c r="KG81" s="2936"/>
      <c r="KH81" s="2936"/>
      <c r="KI81" s="2937"/>
      <c r="KJ81" s="2936"/>
      <c r="KK81" s="1353"/>
    </row>
    <row r="82" ht="15" customHeight="1">
      <c r="A82" s="2922">
        <f t="shared" si="10"/>
        <v>59</v>
      </c>
      <c r="B82" s="2865"/>
      <c r="C82" s="2873"/>
      <c r="D82" s="2873" t="s">
        <v>2860</v>
      </c>
      <c r="E82" s="2923">
        <v>1195</v>
      </c>
      <c r="F82" s="2924" t="s">
        <v>2861</v>
      </c>
      <c r="G82" s="2873" t="s">
        <v>2529</v>
      </c>
      <c r="H82" s="2923">
        <v>1101</v>
      </c>
      <c r="I82" s="2925" cm="1">
        <f t="array" ref="I82">_xlfn.LET(_xlpm.has_subsidy,$N82&gt;0,_xlpm.is_chap9_sbl,$FF$20,_xlpm.contract_rent,$H82,_xlpm.unit_type_mkt_rent,_xlfn.XLOOKUP(TRUE,EXACT($G82,RentRoll_InputArea_DesignatedUnitType),RentRoll_InputArea_MarketRent,"Not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2" s="2926">
        <f t="shared" si="11"/>
        <v>1101</v>
      </c>
      <c r="K82" s="2923"/>
      <c r="L82" s="2923"/>
      <c r="M82" s="2923"/>
      <c r="N82" s="2923"/>
      <c r="O82" s="2927">
        <v>43586</v>
      </c>
      <c r="P82" s="2927">
        <v>43951</v>
      </c>
      <c r="Q82" s="2928">
        <f t="shared" si="8"/>
        <v>1101</v>
      </c>
      <c r="R82" s="2928">
        <f t="shared" si="8"/>
      </c>
      <c r="S82" s="2928">
        <f t="shared" si="8"/>
      </c>
      <c r="T82" s="2928">
        <f t="shared" si="8"/>
      </c>
      <c r="U82" s="2928">
        <f t="shared" si="8"/>
      </c>
      <c r="V82" s="2928">
        <f t="shared" si="8"/>
      </c>
      <c r="W82" s="2928">
        <f t="shared" si="8"/>
      </c>
      <c r="X82" s="2928">
        <f t="shared" si="8"/>
      </c>
      <c r="Y82" s="2928">
        <f t="shared" si="8"/>
      </c>
      <c r="Z82" s="2928">
        <f t="shared" si="8"/>
      </c>
      <c r="AA82" s="2928">
        <f t="shared" si="8"/>
      </c>
      <c r="AB82" s="2928">
        <f t="shared" si="8"/>
      </c>
      <c r="AC82" s="2928">
        <f t="shared" si="8"/>
      </c>
      <c r="AD82" s="2928">
        <f t="shared" si="8"/>
      </c>
      <c r="AE82" s="2928">
        <f t="shared" si="8"/>
      </c>
      <c r="AF82" s="2928">
        <f t="shared" si="8"/>
      </c>
      <c r="AG82" s="2928">
        <f t="shared" si="8"/>
      </c>
      <c r="AH82" s="2928">
        <f t="shared" si="8"/>
      </c>
      <c r="AI82" s="2928">
        <f t="shared" si="8"/>
      </c>
      <c r="AJ82" s="2928">
        <f t="shared" si="8"/>
      </c>
      <c r="AK82" s="2928">
        <f t="shared" si="8"/>
      </c>
      <c r="AL82" s="2928">
        <f t="shared" si="8"/>
      </c>
      <c r="AM82" s="2928">
        <f t="shared" si="8"/>
      </c>
      <c r="AN82" s="2928">
        <f t="shared" si="8"/>
      </c>
      <c r="AO82" s="2928">
        <f t="shared" si="8"/>
      </c>
      <c r="AP82" s="2928">
        <f t="shared" si="8"/>
      </c>
      <c r="AQ82" s="2928">
        <f t="shared" si="8"/>
      </c>
      <c r="AR82" s="2928">
        <f t="shared" si="8"/>
      </c>
      <c r="AS82" s="2928">
        <f t="shared" si="8"/>
      </c>
      <c r="AT82" s="2928">
        <f t="shared" si="8"/>
      </c>
      <c r="AU82" s="2928">
        <f t="shared" si="8"/>
      </c>
      <c r="AV82" s="2928">
        <f t="shared" si="8"/>
      </c>
      <c r="AW82" s="2928">
        <f t="shared" si="8"/>
      </c>
      <c r="AX82" s="2928">
        <f t="shared" si="8"/>
      </c>
      <c r="AY82" s="2928">
        <f t="shared" si="8"/>
      </c>
      <c r="AZ82" s="2928">
        <f t="shared" si="8"/>
      </c>
      <c r="BA82" s="2928">
        <f t="shared" si="8"/>
      </c>
      <c r="BB82" s="2928">
        <f t="shared" si="8"/>
      </c>
      <c r="BC82" s="2928">
        <f t="shared" si="8"/>
      </c>
      <c r="BD82" s="2928">
        <f t="shared" si="8"/>
      </c>
      <c r="BE82" s="2928">
        <f t="shared" si="8"/>
      </c>
      <c r="BF82" s="2928">
        <f t="shared" si="8"/>
      </c>
      <c r="BG82" s="2928">
        <f t="shared" si="8"/>
      </c>
      <c r="BH82" s="2928">
        <f t="shared" si="8"/>
      </c>
      <c r="BI82" s="2928">
        <f t="shared" si="8"/>
      </c>
      <c r="BJ82" s="2928">
        <f t="shared" si="8"/>
      </c>
      <c r="BK82" s="2928">
        <f t="shared" si="8"/>
      </c>
      <c r="BL82" s="2928">
        <f t="shared" si="8"/>
      </c>
      <c r="BM82" s="2928">
        <f t="shared" si="8"/>
      </c>
      <c r="BN82" s="2928">
        <f t="shared" si="8"/>
      </c>
      <c r="BO82" s="2928">
        <f t="shared" si="8"/>
      </c>
      <c r="BP82" s="2928">
        <f t="shared" si="8"/>
      </c>
      <c r="BQ82" s="2928">
        <f t="shared" si="8"/>
      </c>
      <c r="BR82" s="2928">
        <f t="shared" si="8"/>
      </c>
      <c r="BS82" s="2928">
        <f t="shared" si="8"/>
      </c>
      <c r="BT82" s="2928">
        <f t="shared" si="8"/>
      </c>
      <c r="BU82" s="2928">
        <f t="shared" si="8"/>
      </c>
      <c r="BV82" s="2928">
        <f t="shared" si="8"/>
      </c>
      <c r="BW82" s="2928">
        <f t="shared" si="8"/>
      </c>
      <c r="BX82" s="2928">
        <f t="shared" si="8"/>
      </c>
      <c r="BY82" s="2928">
        <f t="shared" si="8"/>
      </c>
      <c r="BZ82" s="2928">
        <f t="shared" si="8"/>
      </c>
      <c r="CA82" s="2928">
        <f t="shared" si="8"/>
      </c>
      <c r="CB82" s="2928">
        <f t="shared" si="8"/>
      </c>
      <c r="CC82" s="2928">
        <f t="shared" si="8"/>
      </c>
      <c r="CD82" s="2928">
        <f t="shared" si="8"/>
      </c>
      <c r="CE82" s="2928">
        <f t="shared" si="8"/>
      </c>
      <c r="CF82" s="2928">
        <f t="shared" si="8"/>
      </c>
      <c r="CG82" s="2928">
        <f t="shared" si="8"/>
      </c>
      <c r="CH82" s="2928">
        <f t="shared" si="8"/>
      </c>
      <c r="CI82" s="2928">
        <f t="shared" si="8"/>
      </c>
      <c r="CJ82" s="2928">
        <f t="shared" si="8"/>
      </c>
      <c r="CK82" s="2928">
        <f t="shared" si="8"/>
      </c>
      <c r="CL82" s="2928">
        <f t="shared" si="8"/>
      </c>
      <c r="CM82" s="2928">
        <f t="shared" si="8"/>
      </c>
      <c r="CN82" s="2928">
        <f t="shared" si="8"/>
      </c>
      <c r="CO82" s="2928">
        <f t="shared" si="8"/>
      </c>
      <c r="CP82" s="2928">
        <f t="shared" si="8"/>
      </c>
      <c r="CQ82" s="2928">
        <f t="shared" si="8"/>
      </c>
      <c r="CR82" s="2928">
        <f t="shared" si="8"/>
      </c>
      <c r="CS82" s="2928">
        <f t="shared" si="8"/>
      </c>
      <c r="CT82" s="2928">
        <f t="shared" si="8"/>
      </c>
      <c r="CU82" s="2928">
        <f t="shared" si="8"/>
      </c>
      <c r="CV82" s="2928">
        <f t="shared" si="8"/>
      </c>
      <c r="CW82" s="2928">
        <f t="shared" si="8"/>
      </c>
      <c r="CX82" s="2928">
        <f t="shared" si="8"/>
      </c>
      <c r="CY82" s="2928">
        <f t="shared" si="8"/>
      </c>
      <c r="CZ82" s="2928">
        <f t="shared" si="8"/>
      </c>
      <c r="DA82" s="2928">
        <f t="shared" si="8"/>
      </c>
      <c r="DB82" s="2928">
        <f t="shared" si="8"/>
      </c>
      <c r="DC82" s="2928">
        <f t="shared" si="8"/>
      </c>
      <c r="DD82" s="2928">
        <f t="shared" si="8"/>
      </c>
      <c r="DE82" s="2928">
        <f t="shared" si="8"/>
      </c>
      <c r="DF82" s="2928">
        <f t="shared" si="8"/>
      </c>
      <c r="DG82" s="2928">
        <f t="shared" si="8"/>
      </c>
      <c r="DH82" s="2928">
        <f t="shared" si="8"/>
      </c>
      <c r="DI82" s="2928">
        <f t="shared" si="8"/>
      </c>
      <c r="DJ82" s="2928">
        <f t="shared" si="8"/>
      </c>
      <c r="DK82" s="2928">
        <f t="shared" si="8"/>
      </c>
      <c r="DL82" s="2928">
        <f t="shared" si="8"/>
      </c>
      <c r="DM82" s="2928">
        <f t="shared" si="8"/>
      </c>
      <c r="DN82" s="2928">
        <f t="shared" si="8"/>
      </c>
      <c r="DO82" s="2928">
        <f t="shared" si="8"/>
      </c>
      <c r="DP82" s="2928">
        <f t="shared" si="8"/>
      </c>
      <c r="DQ82" s="2928">
        <f t="shared" si="8"/>
      </c>
      <c r="DR82" s="2928">
        <f t="shared" si="8"/>
      </c>
      <c r="DS82" s="2928">
        <f t="shared" si="8"/>
      </c>
      <c r="DT82" s="2928">
        <f t="shared" si="8"/>
      </c>
      <c r="DU82" s="2928">
        <f t="shared" si="8"/>
      </c>
      <c r="DV82" s="2928">
        <f t="shared" si="8"/>
      </c>
      <c r="DW82" s="2928">
        <f t="shared" si="8"/>
      </c>
      <c r="DX82" s="2928">
        <f t="shared" si="8"/>
      </c>
      <c r="DY82" s="2928">
        <f t="shared" si="8"/>
      </c>
      <c r="DZ82" s="2928">
        <f t="shared" si="8"/>
      </c>
      <c r="EA82" s="2928">
        <f t="shared" si="8"/>
      </c>
      <c r="EB82" s="2928">
        <f t="shared" si="8"/>
      </c>
      <c r="EC82" s="2928">
        <f t="shared" si="8"/>
      </c>
      <c r="ED82" s="2928">
        <f t="shared" si="8"/>
      </c>
      <c r="EE82" s="2928">
        <f t="shared" si="8"/>
      </c>
      <c r="EF82" s="2928">
        <f t="shared" si="8"/>
      </c>
      <c r="EG82" s="2928">
        <f t="shared" si="8"/>
      </c>
      <c r="EH82" s="2928">
        <f t="shared" si="8"/>
      </c>
      <c r="EI82" s="2928">
        <f t="shared" si="8"/>
      </c>
      <c r="EJ82" s="2928">
        <f t="shared" si="8"/>
      </c>
      <c r="EK82" s="2928">
        <f t="shared" si="8"/>
      </c>
      <c r="EL82" s="2928">
        <f t="shared" si="8"/>
      </c>
      <c r="EM82" s="2928">
        <f t="shared" si="8"/>
      </c>
      <c r="EN82" s="2928">
        <f t="shared" si="8"/>
      </c>
      <c r="EO82" s="2928">
        <f t="shared" si="8"/>
      </c>
      <c r="EP82" s="2928">
        <f t="shared" si="8"/>
      </c>
      <c r="EQ82" s="2928">
        <f t="shared" si="8"/>
      </c>
      <c r="ER82" s="2928">
        <f t="shared" si="8"/>
      </c>
      <c r="ES82" s="2928">
        <f t="shared" si="8"/>
      </c>
      <c r="ET82" s="2928">
        <f t="shared" si="8"/>
      </c>
      <c r="EU82" s="2928">
        <f t="shared" si="8"/>
      </c>
      <c r="EV82" s="2928">
        <f t="shared" si="8"/>
      </c>
      <c r="EW82" s="2928">
        <f t="shared" si="8"/>
      </c>
      <c r="EX82" s="2928">
        <f t="shared" si="8"/>
      </c>
      <c r="EY82" s="2928">
        <f t="shared" si="8"/>
      </c>
      <c r="EZ82" s="2928">
        <f t="shared" si="8"/>
      </c>
      <c r="FA82" s="2929" t="str">
        <f t="shared" si="12"/>
        <v>-</v>
      </c>
      <c r="FB82" s="2825">
        <f t="shared" si="13"/>
      </c>
      <c r="FC82" s="2930" cm="1">
        <f t="array" ref="FC82">_xlfn.LET(_xlpm.unit_type,$G82,_xlpm.market_rent_from_rent_roll,$E82,_xlpm.unit_type_list,RentRoll_InputArea_DesignatedUnitType,_xlpm.rent_by_unit_type,RentRoll_InputArea_MarketRent,_xlpm.use_rent_roll_market_rent,LEFT(RR_VacantUnitMktRentSource,9)="Rent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2" s="2930">
        <f t="shared" si="14"/>
        <v>1101</v>
      </c>
      <c r="FE82" s="2930">
        <f t="shared" si="15"/>
        <v>1101</v>
      </c>
      <c r="FF82" s="2930">
        <f t="shared" si="16"/>
        <v>1101</v>
      </c>
      <c r="FG82" s="2931"/>
      <c r="FH82" s="2932">
        <f t="shared" si="17"/>
      </c>
      <c r="FI82" s="2932">
        <f t="shared" si="18"/>
      </c>
      <c r="FJ82" s="2931"/>
      <c r="FK82" s="2933" cm="1">
        <f t="array" ref="FK82">IF(AND(LEN($D82)&gt;0,ISNA(MATCH(TRUE,EXACT($G82,RentRoll_InputArea_DesignatedUnitType),0))),1,0)</f>
        <v>0</v>
      </c>
      <c r="FL82" s="2931">
        <f t="shared" si="19"/>
        <v>59</v>
      </c>
      <c r="FM82" s="2931"/>
      <c r="FN82" s="2931"/>
      <c r="FO82" s="2931"/>
      <c r="FP82" s="2931"/>
      <c r="FQ82" s="2931"/>
      <c r="FR82" s="2931"/>
      <c r="FS82" s="2931"/>
      <c r="FT82" s="2931"/>
      <c r="FU82" s="2931"/>
      <c r="FV82" s="2931"/>
      <c r="FW82" s="2931"/>
      <c r="FX82" s="2931"/>
      <c r="FY82" s="2931"/>
      <c r="FZ82" s="2931"/>
      <c r="GA82" s="2931"/>
      <c r="GB82" s="2931"/>
      <c r="GC82" s="2931"/>
      <c r="GD82" s="2931"/>
      <c r="GE82" s="2931"/>
      <c r="GF82" s="2931"/>
      <c r="GG82" s="2931"/>
      <c r="GH82" s="2931"/>
      <c r="GI82" s="2931"/>
      <c r="GJ82" s="2931"/>
      <c r="GK82" s="2931"/>
      <c r="GL82" s="2931"/>
      <c r="GM82" s="2931"/>
      <c r="GN82" s="2931"/>
      <c r="GO82" s="2931"/>
      <c r="GP82" s="2931"/>
      <c r="GQ82" s="2931"/>
      <c r="GR82" s="2931"/>
      <c r="GS82" s="2931"/>
      <c r="GT82" s="2931"/>
      <c r="GU82" s="2931"/>
      <c r="GV82" s="2931"/>
      <c r="GW82" s="2931"/>
      <c r="GX82" s="2931"/>
      <c r="GY82" s="2931"/>
      <c r="GZ82" s="2931"/>
      <c r="HA82" s="2931"/>
      <c r="HB82" s="2931"/>
      <c r="HC82" s="2931"/>
      <c r="HD82" s="2931"/>
      <c r="HE82" s="2931"/>
      <c r="HF82" s="2931"/>
      <c r="HG82" s="2931"/>
      <c r="HH82" s="2931"/>
      <c r="HI82" s="2931"/>
      <c r="HJ82" s="2931"/>
      <c r="HK82" s="2931"/>
      <c r="HL82" s="2931"/>
      <c r="HM82" s="2931"/>
      <c r="HN82" s="2931"/>
      <c r="HO82" s="2931"/>
      <c r="HP82" s="2931"/>
      <c r="HQ82" s="2931"/>
      <c r="HR82" s="2931"/>
      <c r="HS82" s="2931"/>
      <c r="HT82" s="2931"/>
      <c r="HU82" s="2931"/>
      <c r="HV82" s="2931"/>
      <c r="HW82" s="2931"/>
      <c r="HX82" s="2931"/>
      <c r="HY82" s="2931"/>
      <c r="HZ82" s="2931"/>
      <c r="IA82" s="2931"/>
      <c r="IB82" s="2931"/>
      <c r="IC82" s="2931"/>
      <c r="ID82" s="2931"/>
      <c r="IE82" s="2931"/>
      <c r="IF82" s="2931"/>
      <c r="IG82" s="2931"/>
      <c r="IH82" s="2931"/>
      <c r="II82" s="2931"/>
      <c r="IJ82" s="2931"/>
      <c r="IK82" s="2931"/>
      <c r="IL82" s="2931"/>
      <c r="IM82" s="2931"/>
      <c r="IN82" s="2931"/>
      <c r="IO82" s="2931" cm="1">
        <f t="array" ref="IO82">IF(LEN($G82)=0,"Rent Roll is incomplete",_xlfn.XLOOKUP(TRUE,EXACT(RentRoll_InputArea_DesignatedUnitType,$G82),RentRoll_InputArea_Beds,"Not Found"))</f>
        <v>1</v>
      </c>
      <c r="IP82" s="2934"/>
      <c r="IQ82" s="2935" t="str">
        <f t="shared" si="20"/>
        <v>1 Bedroom Unit</v>
      </c>
      <c r="IR82" s="2926">
        <f t="shared" si="21"/>
        <v>1101</v>
      </c>
      <c r="IS82" s="2935"/>
      <c r="IT82" s="2931"/>
      <c r="IU82" s="2931"/>
      <c r="IV82" s="2931"/>
      <c r="IW82" s="2936" t="str">
        <f t="shared" si="22"/>
        <v>6-600</v>
      </c>
      <c r="IX82" s="2936"/>
      <c r="IY82" s="2936"/>
      <c r="IZ82" s="2936">
        <f t="shared" si="23"/>
        <v>1</v>
      </c>
      <c r="JA82" s="2936">
        <f t="shared" si="24"/>
        <v>1101</v>
      </c>
      <c r="JB82" s="2936"/>
      <c r="JC82" s="2936"/>
      <c r="JD82" s="2936"/>
      <c r="JE82" s="2936"/>
      <c r="JF82" s="2936"/>
      <c r="JG82" s="2936"/>
      <c r="JH82" s="2936">
        <f t="shared" si="25"/>
        <v>1159</v>
      </c>
      <c r="JI82" s="2936"/>
      <c r="JJ82" s="2936">
        <f t="shared" si="26"/>
      </c>
      <c r="JK82" s="2936"/>
      <c r="JL82" s="2936"/>
      <c r="JM82" s="2936"/>
      <c r="JN82" s="2936"/>
      <c r="JO82" s="2936"/>
      <c r="JP82" s="2936"/>
      <c r="JQ82" s="2936" t="str">
        <f t="shared" si="27"/>
        <v>Occupied</v>
      </c>
      <c r="JR82" s="2936" cm="1">
        <f t="array" ref="JR82">_xlfn.XLOOKUP(TRUE,EXACT(RentRoll_InputArea_DesignatedUnitType,$G82),RentRoll_InputArea_SquareFootage,"Not Found")</f>
        <v>704</v>
      </c>
      <c r="JS82" s="2936" t="str">
        <f t="shared" si="28"/>
        <v>Apartment</v>
      </c>
      <c r="JT82" s="2936">
        <f t="shared" si="29"/>
      </c>
      <c r="JU82" s="2936"/>
      <c r="JV82" s="2936"/>
      <c r="JW82" s="2936"/>
      <c r="JX82" s="2936"/>
      <c r="JY82" s="2936">
        <f t="shared" si="9"/>
        <v>43586</v>
      </c>
      <c r="JZ82" s="2936">
        <f t="shared" si="9"/>
        <v>43951</v>
      </c>
      <c r="KA82" s="2936"/>
      <c r="KB82" s="2936"/>
      <c r="KC82" s="2936"/>
      <c r="KD82" s="2936"/>
      <c r="KE82" s="2936"/>
      <c r="KF82" s="2936"/>
      <c r="KG82" s="2936"/>
      <c r="KH82" s="2936"/>
      <c r="KI82" s="2937"/>
      <c r="KJ82" s="2936"/>
      <c r="KK82" s="1353"/>
    </row>
    <row r="83" ht="15" customHeight="1">
      <c r="A83" s="2922">
        <f t="shared" si="10"/>
        <v>60</v>
      </c>
      <c r="B83" s="2865"/>
      <c r="C83" s="2873"/>
      <c r="D83" s="2873" t="s">
        <v>2862</v>
      </c>
      <c r="E83" s="2923">
        <v>1135</v>
      </c>
      <c r="F83" s="2924" t="s">
        <v>2863</v>
      </c>
      <c r="G83" s="2873" t="s">
        <v>2529</v>
      </c>
      <c r="H83" s="2923">
        <v>1201</v>
      </c>
      <c r="I83" s="2925" cm="1">
        <f t="array" ref="I83">_xlfn.LET(_xlpm.has_subsidy,$N83&gt;0,_xlpm.is_chap9_sbl,$FF$20,_xlpm.contract_rent,$H83,_xlpm.unit_type_mkt_rent,_xlfn.XLOOKUP(TRUE,EXACT($G83,RentRoll_InputArea_DesignatedUnitType),RentRoll_InputArea_MarketRent,"Not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3" s="2926">
        <f t="shared" si="11"/>
        <v>1201</v>
      </c>
      <c r="K83" s="2923"/>
      <c r="L83" s="2923"/>
      <c r="M83" s="2923"/>
      <c r="N83" s="2923"/>
      <c r="O83" s="2927">
        <v>43592</v>
      </c>
      <c r="P83" s="2927">
        <v>43799</v>
      </c>
      <c r="Q83" s="2928">
        <f t="shared" si="8"/>
        <v>1201</v>
      </c>
      <c r="R83" s="2928">
        <f t="shared" si="8"/>
      </c>
      <c r="S83" s="2928">
        <f t="shared" si="8"/>
      </c>
      <c r="T83" s="2928">
        <f t="shared" si="8"/>
      </c>
      <c r="U83" s="2928">
        <f t="shared" si="8"/>
      </c>
      <c r="V83" s="2928">
        <f t="shared" si="8"/>
      </c>
      <c r="W83" s="2928">
        <f t="shared" si="8"/>
      </c>
      <c r="X83" s="2928">
        <f t="shared" si="8"/>
      </c>
      <c r="Y83" s="2928">
        <f t="shared" si="8"/>
      </c>
      <c r="Z83" s="2928">
        <f t="shared" si="8"/>
      </c>
      <c r="AA83" s="2928">
        <f t="shared" si="8"/>
      </c>
      <c r="AB83" s="2928">
        <f t="shared" si="8"/>
      </c>
      <c r="AC83" s="2928">
        <f t="shared" si="8"/>
      </c>
      <c r="AD83" s="2928">
        <f t="shared" si="8"/>
      </c>
      <c r="AE83" s="2928">
        <f t="shared" si="8"/>
      </c>
      <c r="AF83" s="2928">
        <f t="shared" si="8"/>
      </c>
      <c r="AG83" s="2928">
        <f t="shared" si="8"/>
      </c>
      <c r="AH83" s="2928">
        <f t="shared" si="8"/>
      </c>
      <c r="AI83" s="2928">
        <f t="shared" si="8"/>
      </c>
      <c r="AJ83" s="2928">
        <f t="shared" si="8"/>
      </c>
      <c r="AK83" s="2928">
        <f t="shared" si="8"/>
      </c>
      <c r="AL83" s="2928">
        <f t="shared" si="8"/>
      </c>
      <c r="AM83" s="2928">
        <f t="shared" si="8"/>
      </c>
      <c r="AN83" s="2928">
        <f t="shared" si="8"/>
      </c>
      <c r="AO83" s="2928">
        <f t="shared" si="8"/>
      </c>
      <c r="AP83" s="2928">
        <f t="shared" si="8"/>
      </c>
      <c r="AQ83" s="2928">
        <f t="shared" si="8"/>
      </c>
      <c r="AR83" s="2928">
        <f t="shared" si="8"/>
      </c>
      <c r="AS83" s="2928">
        <f t="shared" si="8"/>
      </c>
      <c r="AT83" s="2928">
        <f t="shared" si="8"/>
      </c>
      <c r="AU83" s="2928">
        <f t="shared" si="8"/>
      </c>
      <c r="AV83" s="2928">
        <f t="shared" si="8"/>
      </c>
      <c r="AW83" s="2928">
        <f t="shared" si="8"/>
      </c>
      <c r="AX83" s="2928">
        <f t="shared" si="8"/>
      </c>
      <c r="AY83" s="2928">
        <f t="shared" si="8"/>
      </c>
      <c r="AZ83" s="2928">
        <f t="shared" si="8"/>
      </c>
      <c r="BA83" s="2928">
        <f t="shared" si="8"/>
      </c>
      <c r="BB83" s="2928">
        <f t="shared" si="8"/>
      </c>
      <c r="BC83" s="2928">
        <f t="shared" si="8"/>
      </c>
      <c r="BD83" s="2928">
        <f t="shared" si="8"/>
      </c>
      <c r="BE83" s="2928">
        <f t="shared" si="8"/>
      </c>
      <c r="BF83" s="2928">
        <f t="shared" si="8"/>
      </c>
      <c r="BG83" s="2928">
        <f t="shared" si="8"/>
      </c>
      <c r="BH83" s="2928">
        <f t="shared" si="8"/>
      </c>
      <c r="BI83" s="2928">
        <f t="shared" si="8"/>
      </c>
      <c r="BJ83" s="2928">
        <f t="shared" si="8"/>
      </c>
      <c r="BK83" s="2928">
        <f t="shared" si="8"/>
      </c>
      <c r="BL83" s="2928">
        <f t="shared" si="8"/>
      </c>
      <c r="BM83" s="2928">
        <f t="shared" si="8"/>
      </c>
      <c r="BN83" s="2928">
        <f t="shared" si="8"/>
      </c>
      <c r="BO83" s="2928">
        <f t="shared" si="8"/>
      </c>
      <c r="BP83" s="2928">
        <f t="shared" si="8"/>
      </c>
      <c r="BQ83" s="2928">
        <f t="shared" si="8"/>
      </c>
      <c r="BR83" s="2928">
        <f t="shared" si="8"/>
      </c>
      <c r="BS83" s="2928">
        <f t="shared" si="8"/>
      </c>
      <c r="BT83" s="2928">
        <f t="shared" si="8"/>
      </c>
      <c r="BU83" s="2928">
        <f t="shared" si="8"/>
      </c>
      <c r="BV83" s="2928">
        <f t="shared" si="8"/>
      </c>
      <c r="BW83" s="2928">
        <f t="shared" si="8"/>
      </c>
      <c r="BX83" s="2928">
        <f t="shared" si="8"/>
      </c>
      <c r="BY83" s="2928">
        <f t="shared" si="8"/>
      </c>
      <c r="BZ83" s="2928">
        <f t="shared" si="8"/>
      </c>
      <c r="CA83" s="2928">
        <f t="shared" si="8"/>
      </c>
      <c r="CB83" s="2928">
        <f t="shared" si="8"/>
      </c>
      <c r="CC83" s="2928">
        <f t="shared" si="8"/>
      </c>
      <c r="CD83" s="2928">
        <f t="shared" si="8"/>
      </c>
      <c r="CE83" s="2928">
        <f t="shared" si="8"/>
      </c>
      <c r="CF83" s="2928">
        <f t="shared" si="8"/>
      </c>
      <c r="CG83" s="2928">
        <f t="shared" si="8"/>
      </c>
      <c r="CH83" s="2928">
        <f t="shared" si="8"/>
      </c>
      <c r="CI83" s="2928">
        <f t="shared" si="8"/>
      </c>
      <c r="CJ83" s="2928">
        <f t="shared" si="8"/>
      </c>
      <c r="CK83" s="2928">
        <f t="shared" si="8"/>
      </c>
      <c r="CL83" s="2928">
        <f t="shared" si="8"/>
      </c>
      <c r="CM83" s="2928">
        <f t="shared" si="8"/>
      </c>
      <c r="CN83" s="2928">
        <f t="shared" si="8"/>
      </c>
      <c r="CO83" s="2928">
        <f t="shared" si="8"/>
      </c>
      <c r="CP83" s="2928">
        <f t="shared" si="8"/>
      </c>
      <c r="CQ83" s="2928">
        <f t="shared" si="8"/>
      </c>
      <c r="CR83" s="2928">
        <f t="shared" si="8"/>
      </c>
      <c r="CS83" s="2928">
        <f t="shared" si="8"/>
      </c>
      <c r="CT83" s="2928">
        <f t="shared" si="8"/>
      </c>
      <c r="CU83" s="2928">
        <f t="shared" si="8"/>
      </c>
      <c r="CV83" s="2928">
        <f t="shared" si="8"/>
      </c>
      <c r="CW83" s="2928">
        <f t="shared" si="8"/>
      </c>
      <c r="CX83" s="2928">
        <f t="shared" si="8"/>
      </c>
      <c r="CY83" s="2928">
        <f t="shared" si="8"/>
      </c>
      <c r="CZ83" s="2928">
        <f t="shared" si="8"/>
      </c>
      <c r="DA83" s="2928">
        <f t="shared" si="8"/>
      </c>
      <c r="DB83" s="2928">
        <f t="shared" si="8"/>
      </c>
      <c r="DC83" s="2928">
        <f t="shared" si="8"/>
      </c>
      <c r="DD83" s="2928">
        <f t="shared" si="8"/>
      </c>
      <c r="DE83" s="2928">
        <f t="shared" si="8"/>
      </c>
      <c r="DF83" s="2928">
        <f t="shared" si="8"/>
      </c>
      <c r="DG83" s="2928">
        <f t="shared" si="8"/>
      </c>
      <c r="DH83" s="2928">
        <f t="shared" si="8"/>
      </c>
      <c r="DI83" s="2928">
        <f t="shared" si="8"/>
      </c>
      <c r="DJ83" s="2928">
        <f t="shared" si="8"/>
      </c>
      <c r="DK83" s="2928">
        <f t="shared" si="8"/>
      </c>
      <c r="DL83" s="2928">
        <f t="shared" si="8"/>
      </c>
      <c r="DM83" s="2928">
        <f t="shared" si="8"/>
      </c>
      <c r="DN83" s="2928">
        <f t="shared" si="8"/>
      </c>
      <c r="DO83" s="2928">
        <f t="shared" si="8"/>
      </c>
      <c r="DP83" s="2928">
        <f t="shared" si="8"/>
      </c>
      <c r="DQ83" s="2928">
        <f t="shared" si="8"/>
      </c>
      <c r="DR83" s="2928">
        <f t="shared" si="8"/>
      </c>
      <c r="DS83" s="2928">
        <f t="shared" si="8"/>
      </c>
      <c r="DT83" s="2928">
        <f t="shared" si="8"/>
      </c>
      <c r="DU83" s="2928">
        <f t="shared" si="8"/>
      </c>
      <c r="DV83" s="2928">
        <f t="shared" si="8"/>
      </c>
      <c r="DW83" s="2928">
        <f t="shared" si="8"/>
      </c>
      <c r="DX83" s="2928">
        <f t="shared" si="8"/>
      </c>
      <c r="DY83" s="2928">
        <f t="shared" si="8"/>
      </c>
      <c r="DZ83" s="2928">
        <f t="shared" si="8"/>
      </c>
      <c r="EA83" s="2928">
        <f t="shared" si="8"/>
      </c>
      <c r="EB83" s="2928">
        <f t="shared" si="8"/>
      </c>
      <c r="EC83" s="2928">
        <f t="shared" si="8"/>
      </c>
      <c r="ED83" s="2928">
        <f t="shared" si="8"/>
      </c>
      <c r="EE83" s="2928">
        <f t="shared" si="8"/>
      </c>
      <c r="EF83" s="2928">
        <f t="shared" si="8"/>
      </c>
      <c r="EG83" s="2928">
        <f t="shared" si="8"/>
      </c>
      <c r="EH83" s="2928">
        <f t="shared" si="8"/>
      </c>
      <c r="EI83" s="2928">
        <f t="shared" si="8"/>
      </c>
      <c r="EJ83" s="2928">
        <f t="shared" si="8"/>
      </c>
      <c r="EK83" s="2928">
        <f t="shared" si="8"/>
      </c>
      <c r="EL83" s="2928">
        <f t="shared" si="8"/>
      </c>
      <c r="EM83" s="2928">
        <f t="shared" si="8"/>
      </c>
      <c r="EN83" s="2928">
        <f t="shared" si="8"/>
      </c>
      <c r="EO83" s="2928">
        <f t="shared" si="8"/>
      </c>
      <c r="EP83" s="2928">
        <f t="shared" si="8"/>
      </c>
      <c r="EQ83" s="2928">
        <f t="shared" si="8"/>
      </c>
      <c r="ER83" s="2928">
        <f t="shared" si="8"/>
      </c>
      <c r="ES83" s="2928">
        <f t="shared" si="8"/>
      </c>
      <c r="ET83" s="2928">
        <f t="shared" si="8"/>
      </c>
      <c r="EU83" s="2928">
        <f t="shared" si="8"/>
      </c>
      <c r="EV83" s="2928">
        <f t="shared" si="8"/>
      </c>
      <c r="EW83" s="2928">
        <f t="shared" si="8"/>
      </c>
      <c r="EX83" s="2928">
        <f t="shared" si="8"/>
      </c>
      <c r="EY83" s="2928">
        <f t="shared" si="8"/>
      </c>
      <c r="EZ83" s="2928">
        <f t="shared" si="8"/>
      </c>
      <c r="FA83" s="2929" t="str">
        <f t="shared" si="12"/>
        <v>-</v>
      </c>
      <c r="FB83" s="2825">
        <f t="shared" si="13"/>
      </c>
      <c r="FC83" s="2930" cm="1">
        <f t="array" ref="FC83">_xlfn.LET(_xlpm.unit_type,$G83,_xlpm.market_rent_from_rent_roll,$E83,_xlpm.unit_type_list,RentRoll_InputArea_DesignatedUnitType,_xlpm.rent_by_unit_type,RentRoll_InputArea_MarketRent,_xlpm.use_rent_roll_market_rent,LEFT(RR_VacantUnitMktRentSource,9)="Rent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3" s="2930">
        <f t="shared" si="14"/>
        <v>1201</v>
      </c>
      <c r="FE83" s="2930">
        <f t="shared" si="15"/>
        <v>1201</v>
      </c>
      <c r="FF83" s="2930">
        <f t="shared" si="16"/>
        <v>1201</v>
      </c>
      <c r="FG83" s="2931"/>
      <c r="FH83" s="2932">
        <f t="shared" si="17"/>
      </c>
      <c r="FI83" s="2932">
        <f t="shared" si="18"/>
      </c>
      <c r="FJ83" s="2931"/>
      <c r="FK83" s="2933" cm="1">
        <f t="array" ref="FK83">IF(AND(LEN($D83)&gt;0,ISNA(MATCH(TRUE,EXACT($G83,RentRoll_InputArea_DesignatedUnitType),0))),1,0)</f>
        <v>0</v>
      </c>
      <c r="FL83" s="2931">
        <f t="shared" si="19"/>
        <v>60</v>
      </c>
      <c r="FM83" s="2931"/>
      <c r="FN83" s="2931"/>
      <c r="FO83" s="2931"/>
      <c r="FP83" s="2931"/>
      <c r="FQ83" s="2931"/>
      <c r="FR83" s="2931"/>
      <c r="FS83" s="2931"/>
      <c r="FT83" s="2931"/>
      <c r="FU83" s="2931"/>
      <c r="FV83" s="2931"/>
      <c r="FW83" s="2931"/>
      <c r="FX83" s="2931"/>
      <c r="FY83" s="2931"/>
      <c r="FZ83" s="2931"/>
      <c r="GA83" s="2931"/>
      <c r="GB83" s="2931"/>
      <c r="GC83" s="2931"/>
      <c r="GD83" s="2931"/>
      <c r="GE83" s="2931"/>
      <c r="GF83" s="2931"/>
      <c r="GG83" s="2931"/>
      <c r="GH83" s="2931"/>
      <c r="GI83" s="2931"/>
      <c r="GJ83" s="2931"/>
      <c r="GK83" s="2931"/>
      <c r="GL83" s="2931"/>
      <c r="GM83" s="2931"/>
      <c r="GN83" s="2931"/>
      <c r="GO83" s="2931"/>
      <c r="GP83" s="2931"/>
      <c r="GQ83" s="2931"/>
      <c r="GR83" s="2931"/>
      <c r="GS83" s="2931"/>
      <c r="GT83" s="2931"/>
      <c r="GU83" s="2931"/>
      <c r="GV83" s="2931"/>
      <c r="GW83" s="2931"/>
      <c r="GX83" s="2931"/>
      <c r="GY83" s="2931"/>
      <c r="GZ83" s="2931"/>
      <c r="HA83" s="2931"/>
      <c r="HB83" s="2931"/>
      <c r="HC83" s="2931"/>
      <c r="HD83" s="2931"/>
      <c r="HE83" s="2931"/>
      <c r="HF83" s="2931"/>
      <c r="HG83" s="2931"/>
      <c r="HH83" s="2931"/>
      <c r="HI83" s="2931"/>
      <c r="HJ83" s="2931"/>
      <c r="HK83" s="2931"/>
      <c r="HL83" s="2931"/>
      <c r="HM83" s="2931"/>
      <c r="HN83" s="2931"/>
      <c r="HO83" s="2931"/>
      <c r="HP83" s="2931"/>
      <c r="HQ83" s="2931"/>
      <c r="HR83" s="2931"/>
      <c r="HS83" s="2931"/>
      <c r="HT83" s="2931"/>
      <c r="HU83" s="2931"/>
      <c r="HV83" s="2931"/>
      <c r="HW83" s="2931"/>
      <c r="HX83" s="2931"/>
      <c r="HY83" s="2931"/>
      <c r="HZ83" s="2931"/>
      <c r="IA83" s="2931"/>
      <c r="IB83" s="2931"/>
      <c r="IC83" s="2931"/>
      <c r="ID83" s="2931"/>
      <c r="IE83" s="2931"/>
      <c r="IF83" s="2931"/>
      <c r="IG83" s="2931"/>
      <c r="IH83" s="2931"/>
      <c r="II83" s="2931"/>
      <c r="IJ83" s="2931"/>
      <c r="IK83" s="2931"/>
      <c r="IL83" s="2931"/>
      <c r="IM83" s="2931"/>
      <c r="IN83" s="2931"/>
      <c r="IO83" s="2931" cm="1">
        <f t="array" ref="IO83">IF(LEN($G83)=0,"Rent Roll is incomplete",_xlfn.XLOOKUP(TRUE,EXACT(RentRoll_InputArea_DesignatedUnitType,$G83),RentRoll_InputArea_Beds,"Not Found"))</f>
        <v>1</v>
      </c>
      <c r="IP83" s="2934"/>
      <c r="IQ83" s="2935" t="str">
        <f t="shared" si="20"/>
        <v>1 Bedroom Unit</v>
      </c>
      <c r="IR83" s="2926">
        <f t="shared" si="21"/>
        <v>1201</v>
      </c>
      <c r="IS83" s="2935"/>
      <c r="IT83" s="2931"/>
      <c r="IU83" s="2931"/>
      <c r="IV83" s="2931"/>
      <c r="IW83" s="2936" t="str">
        <f t="shared" si="22"/>
        <v>6-601</v>
      </c>
      <c r="IX83" s="2936"/>
      <c r="IY83" s="2936"/>
      <c r="IZ83" s="2936">
        <f t="shared" si="23"/>
        <v>1</v>
      </c>
      <c r="JA83" s="2936">
        <f t="shared" si="24"/>
        <v>1201</v>
      </c>
      <c r="JB83" s="2936"/>
      <c r="JC83" s="2936"/>
      <c r="JD83" s="2936"/>
      <c r="JE83" s="2936"/>
      <c r="JF83" s="2936"/>
      <c r="JG83" s="2936"/>
      <c r="JH83" s="2936">
        <f t="shared" si="25"/>
        <v>1159</v>
      </c>
      <c r="JI83" s="2936"/>
      <c r="JJ83" s="2936">
        <f t="shared" si="26"/>
      </c>
      <c r="JK83" s="2936"/>
      <c r="JL83" s="2936"/>
      <c r="JM83" s="2936"/>
      <c r="JN83" s="2936"/>
      <c r="JO83" s="2936"/>
      <c r="JP83" s="2936"/>
      <c r="JQ83" s="2936" t="str">
        <f t="shared" si="27"/>
        <v>Occupied</v>
      </c>
      <c r="JR83" s="2936" cm="1">
        <f t="array" ref="JR83">_xlfn.XLOOKUP(TRUE,EXACT(RentRoll_InputArea_DesignatedUnitType,$G83),RentRoll_InputArea_SquareFootage,"Not Found")</f>
        <v>704</v>
      </c>
      <c r="JS83" s="2936" t="str">
        <f t="shared" si="28"/>
        <v>Apartment</v>
      </c>
      <c r="JT83" s="2936">
        <f t="shared" si="29"/>
      </c>
      <c r="JU83" s="2936"/>
      <c r="JV83" s="2936"/>
      <c r="JW83" s="2936"/>
      <c r="JX83" s="2936"/>
      <c r="JY83" s="2936">
        <f t="shared" si="9"/>
        <v>43592</v>
      </c>
      <c r="JZ83" s="2936">
        <f t="shared" si="9"/>
        <v>43799</v>
      </c>
      <c r="KA83" s="2936"/>
      <c r="KB83" s="2936"/>
      <c r="KC83" s="2936"/>
      <c r="KD83" s="2936"/>
      <c r="KE83" s="2936"/>
      <c r="KF83" s="2936"/>
      <c r="KG83" s="2936"/>
      <c r="KH83" s="2936"/>
      <c r="KI83" s="2937"/>
      <c r="KJ83" s="2936"/>
      <c r="KK83" s="1353"/>
    </row>
    <row r="84" ht="15" customHeight="1">
      <c r="A84" s="2922">
        <f t="shared" si="10"/>
        <v>61</v>
      </c>
      <c r="B84" s="2865"/>
      <c r="C84" s="2873"/>
      <c r="D84" s="2873" t="s">
        <v>2864</v>
      </c>
      <c r="E84" s="2923">
        <v>1143</v>
      </c>
      <c r="F84" s="2924" t="s">
        <v>2865</v>
      </c>
      <c r="G84" s="2873" t="s">
        <v>2529</v>
      </c>
      <c r="H84" s="2923">
        <v>1199</v>
      </c>
      <c r="I84" s="2925" cm="1">
        <f t="array" ref="I84">_xlfn.LET(_xlpm.has_subsidy,$N84&gt;0,_xlpm.is_chap9_sbl,$FF$20,_xlpm.contract_rent,$H84,_xlpm.unit_type_mkt_rent,_xlfn.XLOOKUP(TRUE,EXACT($G84,RentRoll_InputArea_DesignatedUnitType),RentRoll_InputArea_MarketRent,"Not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4" s="2926">
        <f t="shared" si="11"/>
        <v>1199</v>
      </c>
      <c r="K84" s="2923"/>
      <c r="L84" s="2923"/>
      <c r="M84" s="2923"/>
      <c r="N84" s="2923"/>
      <c r="O84" s="2927">
        <v>43352</v>
      </c>
      <c r="P84" s="2927">
        <v>43616</v>
      </c>
      <c r="Q84" s="2928">
        <f t="shared" si="8"/>
        <v>1199</v>
      </c>
      <c r="R84" s="2928">
        <f t="shared" si="8"/>
      </c>
      <c r="S84" s="2928">
        <f t="shared" si="8"/>
      </c>
      <c r="T84" s="2928">
        <f t="shared" si="8"/>
      </c>
      <c r="U84" s="2928">
        <f t="shared" si="8"/>
      </c>
      <c r="V84" s="2928">
        <f t="shared" si="8"/>
      </c>
      <c r="W84" s="2928">
        <f t="shared" si="8"/>
      </c>
      <c r="X84" s="2928">
        <f t="shared" si="8"/>
      </c>
      <c r="Y84" s="2928">
        <f t="shared" si="8"/>
      </c>
      <c r="Z84" s="2928">
        <f t="shared" si="8"/>
      </c>
      <c r="AA84" s="2928">
        <f t="shared" si="8"/>
      </c>
      <c r="AB84" s="2928">
        <f t="shared" si="8"/>
      </c>
      <c r="AC84" s="2928">
        <f t="shared" si="8"/>
      </c>
      <c r="AD84" s="2928">
        <f t="shared" si="8"/>
      </c>
      <c r="AE84" s="2928">
        <f t="shared" si="8"/>
      </c>
      <c r="AF84" s="2928">
        <f t="shared" si="8"/>
      </c>
      <c r="AG84" s="2928">
        <f t="shared" si="8"/>
      </c>
      <c r="AH84" s="2928">
        <f t="shared" si="8"/>
      </c>
      <c r="AI84" s="2928">
        <f t="shared" si="8"/>
      </c>
      <c r="AJ84" s="2928">
        <f t="shared" si="8"/>
      </c>
      <c r="AK84" s="2928">
        <f t="shared" si="8"/>
      </c>
      <c r="AL84" s="2928">
        <f t="shared" si="8"/>
      </c>
      <c r="AM84" s="2928">
        <f t="shared" si="8"/>
      </c>
      <c r="AN84" s="2928">
        <f t="shared" si="8"/>
      </c>
      <c r="AO84" s="2928">
        <f t="shared" si="8"/>
      </c>
      <c r="AP84" s="2928">
        <f t="shared" si="8"/>
      </c>
      <c r="AQ84" s="2928">
        <f t="shared" si="8"/>
      </c>
      <c r="AR84" s="2928">
        <f t="shared" si="8"/>
      </c>
      <c r="AS84" s="2928">
        <f t="shared" si="8"/>
      </c>
      <c r="AT84" s="2928">
        <f t="shared" si="8"/>
      </c>
      <c r="AU84" s="2928">
        <f t="shared" si="8"/>
      </c>
      <c r="AV84" s="2928">
        <f t="shared" si="8"/>
      </c>
      <c r="AW84" s="2928">
        <f t="shared" si="8"/>
      </c>
      <c r="AX84" s="2928">
        <f t="shared" si="8"/>
      </c>
      <c r="AY84" s="2928">
        <f t="shared" si="8"/>
      </c>
      <c r="AZ84" s="2928">
        <f t="shared" si="8"/>
      </c>
      <c r="BA84" s="2928">
        <f t="shared" si="8"/>
      </c>
      <c r="BB84" s="2928">
        <f t="shared" si="8"/>
      </c>
      <c r="BC84" s="2928">
        <f t="shared" si="8"/>
      </c>
      <c r="BD84" s="2928">
        <f t="shared" si="8"/>
      </c>
      <c r="BE84" s="2928">
        <f t="shared" si="8"/>
      </c>
      <c r="BF84" s="2928">
        <f t="shared" si="8"/>
      </c>
      <c r="BG84" s="2928">
        <f t="shared" si="8"/>
      </c>
      <c r="BH84" s="2928">
        <f t="shared" si="8"/>
      </c>
      <c r="BI84" s="2928">
        <f t="shared" si="8"/>
      </c>
      <c r="BJ84" s="2928">
        <f t="shared" si="8"/>
      </c>
      <c r="BK84" s="2928">
        <f t="shared" si="8"/>
      </c>
      <c r="BL84" s="2928">
        <f t="shared" si="8"/>
      </c>
      <c r="BM84" s="2928">
        <f t="shared" si="8"/>
      </c>
      <c r="BN84" s="2928">
        <f t="shared" si="8"/>
      </c>
      <c r="BO84" s="2928">
        <f t="shared" si="8"/>
      </c>
      <c r="BP84" s="2928">
        <f t="shared" si="8"/>
      </c>
      <c r="BQ84" s="2928">
        <f t="shared" si="8"/>
      </c>
      <c r="BR84" s="2928">
        <f t="shared" si="8"/>
      </c>
      <c r="BS84" s="2928">
        <f t="shared" si="8"/>
      </c>
      <c r="BT84" s="2928">
        <f t="shared" si="8"/>
      </c>
      <c r="BU84" s="2928">
        <f t="shared" si="8"/>
      </c>
      <c r="BV84" s="2928">
        <f t="shared" si="8"/>
      </c>
      <c r="BW84" s="2928">
        <f t="shared" si="8"/>
      </c>
      <c r="BX84" s="2928">
        <f t="shared" si="8"/>
      </c>
      <c r="BY84" s="2928">
        <f t="shared" si="8"/>
      </c>
      <c r="BZ84" s="2928">
        <f t="shared" si="8"/>
      </c>
      <c r="CA84" s="2928">
        <f t="shared" si="8"/>
      </c>
      <c r="CB84" s="2928">
        <f t="shared" si="8"/>
      </c>
      <c r="CC84" s="2928">
        <f t="shared" si="8"/>
      </c>
      <c r="CD84" s="2928">
        <f t="shared" si="8"/>
      </c>
      <c r="CE84" s="2928">
        <f t="shared" si="8"/>
      </c>
      <c r="CF84" s="2928">
        <f t="shared" si="8"/>
      </c>
      <c r="CG84" s="2928">
        <f t="shared" si="8"/>
      </c>
      <c r="CH84" s="2928">
        <f t="shared" si="8"/>
      </c>
      <c r="CI84" s="2928">
        <f t="shared" si="8"/>
      </c>
      <c r="CJ84" s="2928">
        <f t="shared" si="8"/>
      </c>
      <c r="CK84" s="2928">
        <f t="shared" si="8"/>
      </c>
      <c r="CL84" s="2928">
        <f t="shared" si="8"/>
      </c>
      <c r="CM84" s="2928">
        <f t="shared" si="8"/>
      </c>
      <c r="CN84" s="2928">
        <f t="shared" si="8"/>
      </c>
      <c r="CO84" s="2928">
        <f t="shared" si="8"/>
      </c>
      <c r="CP84" s="2928">
        <f t="shared" si="8"/>
      </c>
      <c r="CQ84" s="2928">
        <f t="shared" si="8"/>
      </c>
      <c r="CR84" s="2928">
        <f t="shared" si="8"/>
      </c>
      <c r="CS84" s="2928">
        <f t="shared" si="8"/>
      </c>
      <c r="CT84" s="2928">
        <f t="shared" si="8"/>
      </c>
      <c r="CU84" s="2928">
        <f t="shared" si="8"/>
      </c>
      <c r="CV84" s="2928">
        <f t="shared" si="8"/>
      </c>
      <c r="CW84" s="2928">
        <f t="shared" si="8"/>
      </c>
      <c r="CX84" s="2928">
        <f t="shared" si="8"/>
      </c>
      <c r="CY84" s="2928">
        <f t="shared" si="8"/>
      </c>
      <c r="CZ84" s="2928">
        <f t="shared" si="8"/>
      </c>
      <c r="DA84" s="2928">
        <f t="shared" si="8"/>
      </c>
      <c r="DB84" s="2928">
        <f t="shared" si="8"/>
      </c>
      <c r="DC84" s="2928">
        <f t="shared" si="8"/>
      </c>
      <c r="DD84" s="2928">
        <f t="shared" si="8"/>
      </c>
      <c r="DE84" s="2928">
        <f t="shared" si="8"/>
      </c>
      <c r="DF84" s="2928">
        <f t="shared" si="8"/>
      </c>
      <c r="DG84" s="2928">
        <f t="shared" si="8"/>
      </c>
      <c r="DH84" s="2928">
        <f t="shared" si="8"/>
      </c>
      <c r="DI84" s="2928">
        <f t="shared" si="8"/>
      </c>
      <c r="DJ84" s="2928">
        <f t="shared" si="8"/>
      </c>
      <c r="DK84" s="2928">
        <f t="shared" si="8"/>
      </c>
      <c r="DL84" s="2928">
        <f t="shared" si="8"/>
      </c>
      <c r="DM84" s="2928">
        <f t="shared" si="8"/>
      </c>
      <c r="DN84" s="2928">
        <f t="shared" si="8"/>
      </c>
      <c r="DO84" s="2928">
        <f t="shared" si="8"/>
      </c>
      <c r="DP84" s="2928">
        <f t="shared" si="8"/>
      </c>
      <c r="DQ84" s="2928">
        <f t="shared" si="8"/>
      </c>
      <c r="DR84" s="2928">
        <f t="shared" si="8"/>
      </c>
      <c r="DS84" s="2928">
        <f t="shared" si="8"/>
      </c>
      <c r="DT84" s="2928">
        <f t="shared" si="8"/>
      </c>
      <c r="DU84" s="2928">
        <f t="shared" si="8"/>
      </c>
      <c r="DV84" s="2928">
        <f t="shared" si="8"/>
      </c>
      <c r="DW84" s="2928">
        <f t="shared" si="8"/>
      </c>
      <c r="DX84" s="2928">
        <f t="shared" si="8"/>
      </c>
      <c r="DY84" s="2928">
        <f t="shared" si="8"/>
      </c>
      <c r="DZ84" s="2928">
        <f t="shared" si="8"/>
      </c>
      <c r="EA84" s="2928">
        <f t="shared" si="8"/>
      </c>
      <c r="EB84" s="2928">
        <f t="shared" si="8"/>
      </c>
      <c r="EC84" s="2928">
        <f t="shared" si="8"/>
      </c>
      <c r="ED84" s="2928">
        <f t="shared" si="8"/>
      </c>
      <c r="EE84" s="2928">
        <f t="shared" si="8"/>
      </c>
      <c r="EF84" s="2928">
        <f t="shared" si="8"/>
      </c>
      <c r="EG84" s="2928">
        <f t="shared" si="8"/>
      </c>
      <c r="EH84" s="2928">
        <f t="shared" si="8"/>
      </c>
      <c r="EI84" s="2928">
        <f t="shared" si="8"/>
      </c>
      <c r="EJ84" s="2928">
        <f t="shared" si="8"/>
      </c>
      <c r="EK84" s="2928">
        <f t="shared" si="8"/>
      </c>
      <c r="EL84" s="2928">
        <f t="shared" si="8"/>
      </c>
      <c r="EM84" s="2928">
        <f t="shared" si="8"/>
      </c>
      <c r="EN84" s="2928">
        <f t="shared" si="8"/>
      </c>
      <c r="EO84" s="2928">
        <f t="shared" si="8"/>
      </c>
      <c r="EP84" s="2928">
        <f t="shared" si="8"/>
      </c>
      <c r="EQ84" s="2928">
        <f t="shared" si="8"/>
      </c>
      <c r="ER84" s="2928">
        <f t="shared" si="8"/>
      </c>
      <c r="ES84" s="2928">
        <f t="shared" si="8"/>
      </c>
      <c r="ET84" s="2928">
        <f t="shared" si="8"/>
      </c>
      <c r="EU84" s="2928">
        <f t="shared" si="8"/>
      </c>
      <c r="EV84" s="2928">
        <f t="shared" si="8"/>
      </c>
      <c r="EW84" s="2928">
        <f t="shared" si="8"/>
      </c>
      <c r="EX84" s="2928">
        <f t="shared" si="8"/>
      </c>
      <c r="EY84" s="2928">
        <f t="shared" si="8"/>
      </c>
      <c r="EZ84" s="2928">
        <f t="shared" si="8"/>
      </c>
      <c r="FA84" s="2929" t="str">
        <f t="shared" si="12"/>
        <v>-</v>
      </c>
      <c r="FB84" s="2825">
        <f t="shared" si="13"/>
      </c>
      <c r="FC84" s="2930" cm="1">
        <f t="array" ref="FC84">_xlfn.LET(_xlpm.unit_type,$G84,_xlpm.market_rent_from_rent_roll,$E84,_xlpm.unit_type_list,RentRoll_InputArea_DesignatedUnitType,_xlpm.rent_by_unit_type,RentRoll_InputArea_MarketRent,_xlpm.use_rent_roll_market_rent,LEFT(RR_VacantUnitMktRentSource,9)="Rent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4" s="2930">
        <f t="shared" si="14"/>
        <v>1199</v>
      </c>
      <c r="FE84" s="2930">
        <f t="shared" si="15"/>
        <v>1199</v>
      </c>
      <c r="FF84" s="2930">
        <f t="shared" si="16"/>
        <v>1199</v>
      </c>
      <c r="FG84" s="2931"/>
      <c r="FH84" s="2932">
        <f t="shared" si="17"/>
      </c>
      <c r="FI84" s="2932">
        <f t="shared" si="18"/>
      </c>
      <c r="FJ84" s="2931"/>
      <c r="FK84" s="2933" cm="1">
        <f t="array" ref="FK84">IF(AND(LEN($D84)&gt;0,ISNA(MATCH(TRUE,EXACT($G84,RentRoll_InputArea_DesignatedUnitType),0))),1,0)</f>
        <v>0</v>
      </c>
      <c r="FL84" s="2931">
        <f t="shared" si="19"/>
        <v>61</v>
      </c>
      <c r="FM84" s="2931"/>
      <c r="FN84" s="2931"/>
      <c r="FO84" s="2931"/>
      <c r="FP84" s="2931"/>
      <c r="FQ84" s="2931"/>
      <c r="FR84" s="2931"/>
      <c r="FS84" s="2931"/>
      <c r="FT84" s="2931"/>
      <c r="FU84" s="2931"/>
      <c r="FV84" s="2931"/>
      <c r="FW84" s="2931"/>
      <c r="FX84" s="2931"/>
      <c r="FY84" s="2931"/>
      <c r="FZ84" s="2931"/>
      <c r="GA84" s="2931"/>
      <c r="GB84" s="2931"/>
      <c r="GC84" s="2931"/>
      <c r="GD84" s="2931"/>
      <c r="GE84" s="2931"/>
      <c r="GF84" s="2931"/>
      <c r="GG84" s="2931"/>
      <c r="GH84" s="2931"/>
      <c r="GI84" s="2931"/>
      <c r="GJ84" s="2931"/>
      <c r="GK84" s="2931"/>
      <c r="GL84" s="2931"/>
      <c r="GM84" s="2931"/>
      <c r="GN84" s="2931"/>
      <c r="GO84" s="2931"/>
      <c r="GP84" s="2931"/>
      <c r="GQ84" s="2931"/>
      <c r="GR84" s="2931"/>
      <c r="GS84" s="2931"/>
      <c r="GT84" s="2931"/>
      <c r="GU84" s="2931"/>
      <c r="GV84" s="2931"/>
      <c r="GW84" s="2931"/>
      <c r="GX84" s="2931"/>
      <c r="GY84" s="2931"/>
      <c r="GZ84" s="2931"/>
      <c r="HA84" s="2931"/>
      <c r="HB84" s="2931"/>
      <c r="HC84" s="2931"/>
      <c r="HD84" s="2931"/>
      <c r="HE84" s="2931"/>
      <c r="HF84" s="2931"/>
      <c r="HG84" s="2931"/>
      <c r="HH84" s="2931"/>
      <c r="HI84" s="2931"/>
      <c r="HJ84" s="2931"/>
      <c r="HK84" s="2931"/>
      <c r="HL84" s="2931"/>
      <c r="HM84" s="2931"/>
      <c r="HN84" s="2931"/>
      <c r="HO84" s="2931"/>
      <c r="HP84" s="2931"/>
      <c r="HQ84" s="2931"/>
      <c r="HR84" s="2931"/>
      <c r="HS84" s="2931"/>
      <c r="HT84" s="2931"/>
      <c r="HU84" s="2931"/>
      <c r="HV84" s="2931"/>
      <c r="HW84" s="2931"/>
      <c r="HX84" s="2931"/>
      <c r="HY84" s="2931"/>
      <c r="HZ84" s="2931"/>
      <c r="IA84" s="2931"/>
      <c r="IB84" s="2931"/>
      <c r="IC84" s="2931"/>
      <c r="ID84" s="2931"/>
      <c r="IE84" s="2931"/>
      <c r="IF84" s="2931"/>
      <c r="IG84" s="2931"/>
      <c r="IH84" s="2931"/>
      <c r="II84" s="2931"/>
      <c r="IJ84" s="2931"/>
      <c r="IK84" s="2931"/>
      <c r="IL84" s="2931"/>
      <c r="IM84" s="2931"/>
      <c r="IN84" s="2931"/>
      <c r="IO84" s="2931" cm="1">
        <f t="array" ref="IO84">IF(LEN($G84)=0,"Rent Roll is incomplete",_xlfn.XLOOKUP(TRUE,EXACT(RentRoll_InputArea_DesignatedUnitType,$G84),RentRoll_InputArea_Beds,"Not Found"))</f>
        <v>1</v>
      </c>
      <c r="IP84" s="2934"/>
      <c r="IQ84" s="2935" t="str">
        <f t="shared" si="20"/>
        <v>1 Bedroom Unit</v>
      </c>
      <c r="IR84" s="2926">
        <f t="shared" si="21"/>
        <v>1199</v>
      </c>
      <c r="IS84" s="2935"/>
      <c r="IT84" s="2931"/>
      <c r="IU84" s="2931"/>
      <c r="IV84" s="2931"/>
      <c r="IW84" s="2936" t="str">
        <f t="shared" si="22"/>
        <v>6-602</v>
      </c>
      <c r="IX84" s="2936"/>
      <c r="IY84" s="2936"/>
      <c r="IZ84" s="2936">
        <f t="shared" si="23"/>
        <v>1</v>
      </c>
      <c r="JA84" s="2936">
        <f t="shared" si="24"/>
        <v>1199</v>
      </c>
      <c r="JB84" s="2936"/>
      <c r="JC84" s="2936"/>
      <c r="JD84" s="2936"/>
      <c r="JE84" s="2936"/>
      <c r="JF84" s="2936"/>
      <c r="JG84" s="2936"/>
      <c r="JH84" s="2936">
        <f t="shared" si="25"/>
        <v>1159</v>
      </c>
      <c r="JI84" s="2936"/>
      <c r="JJ84" s="2936">
        <f t="shared" si="26"/>
      </c>
      <c r="JK84" s="2936"/>
      <c r="JL84" s="2936"/>
      <c r="JM84" s="2936"/>
      <c r="JN84" s="2936"/>
      <c r="JO84" s="2936"/>
      <c r="JP84" s="2936"/>
      <c r="JQ84" s="2936" t="str">
        <f t="shared" si="27"/>
        <v>Occupied</v>
      </c>
      <c r="JR84" s="2936" cm="1">
        <f t="array" ref="JR84">_xlfn.XLOOKUP(TRUE,EXACT(RentRoll_InputArea_DesignatedUnitType,$G84),RentRoll_InputArea_SquareFootage,"Not Found")</f>
        <v>704</v>
      </c>
      <c r="JS84" s="2936" t="str">
        <f t="shared" si="28"/>
        <v>Apartment</v>
      </c>
      <c r="JT84" s="2936">
        <f t="shared" si="29"/>
      </c>
      <c r="JU84" s="2936"/>
      <c r="JV84" s="2936"/>
      <c r="JW84" s="2936"/>
      <c r="JX84" s="2936"/>
      <c r="JY84" s="2936">
        <f t="shared" si="9"/>
        <v>43352</v>
      </c>
      <c r="JZ84" s="2936">
        <f t="shared" si="9"/>
        <v>43616</v>
      </c>
      <c r="KA84" s="2936"/>
      <c r="KB84" s="2936"/>
      <c r="KC84" s="2936"/>
      <c r="KD84" s="2936"/>
      <c r="KE84" s="2936"/>
      <c r="KF84" s="2936"/>
      <c r="KG84" s="2936"/>
      <c r="KH84" s="2936"/>
      <c r="KI84" s="2937"/>
      <c r="KJ84" s="2936"/>
      <c r="KK84" s="1353"/>
    </row>
    <row r="85" ht="15" customHeight="1">
      <c r="A85" s="2922">
        <f t="shared" si="10"/>
        <v>62</v>
      </c>
      <c r="B85" s="2865"/>
      <c r="C85" s="2873"/>
      <c r="D85" s="2873" t="s">
        <v>2866</v>
      </c>
      <c r="E85" s="2923">
        <v>1164</v>
      </c>
      <c r="F85" s="2924" t="s">
        <v>2867</v>
      </c>
      <c r="G85" s="2873" t="s">
        <v>2529</v>
      </c>
      <c r="H85" s="2923">
        <v>1185</v>
      </c>
      <c r="I85" s="2925" cm="1">
        <f t="array" ref="I85">_xlfn.LET(_xlpm.has_subsidy,$N85&gt;0,_xlpm.is_chap9_sbl,$FF$20,_xlpm.contract_rent,$H85,_xlpm.unit_type_mkt_rent,_xlfn.XLOOKUP(TRUE,EXACT($G85,RentRoll_InputArea_DesignatedUnitType),RentRoll_InputArea_MarketRent,"Not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5" s="2926">
        <f t="shared" si="11"/>
        <v>1185</v>
      </c>
      <c r="K85" s="2923"/>
      <c r="L85" s="2923"/>
      <c r="M85" s="2923"/>
      <c r="N85" s="2923"/>
      <c r="O85" s="2927">
        <v>43557</v>
      </c>
      <c r="P85" s="2927">
        <v>43769</v>
      </c>
      <c r="Q85" s="2928">
        <f t="shared" si="8"/>
        <v>1185</v>
      </c>
      <c r="R85" s="2928">
        <f t="shared" si="8"/>
      </c>
      <c r="S85" s="2928">
        <f t="shared" si="8"/>
      </c>
      <c r="T85" s="2928">
        <f t="shared" si="8"/>
      </c>
      <c r="U85" s="2928">
        <f t="shared" si="8"/>
      </c>
      <c r="V85" s="2928">
        <f t="shared" si="8"/>
      </c>
      <c r="W85" s="2928">
        <f t="shared" si="8"/>
      </c>
      <c r="X85" s="2928">
        <f t="shared" si="8"/>
      </c>
      <c r="Y85" s="2928">
        <f t="shared" si="8"/>
      </c>
      <c r="Z85" s="2928">
        <f t="shared" si="8"/>
      </c>
      <c r="AA85" s="2928">
        <f t="shared" si="8"/>
      </c>
      <c r="AB85" s="2928">
        <f t="shared" si="8"/>
      </c>
      <c r="AC85" s="2928">
        <f t="shared" si="8"/>
      </c>
      <c r="AD85" s="2928">
        <f t="shared" si="8"/>
      </c>
      <c r="AE85" s="2928">
        <f t="shared" si="8"/>
      </c>
      <c r="AF85" s="2928">
        <f t="shared" si="8"/>
      </c>
      <c r="AG85" s="2928">
        <f t="shared" si="8"/>
      </c>
      <c r="AH85" s="2928">
        <f t="shared" si="8"/>
      </c>
      <c r="AI85" s="2928">
        <f t="shared" si="8"/>
      </c>
      <c r="AJ85" s="2928">
        <f t="shared" si="8"/>
      </c>
      <c r="AK85" s="2928">
        <f t="shared" si="8"/>
      </c>
      <c r="AL85" s="2928">
        <f t="shared" si="8"/>
      </c>
      <c r="AM85" s="2928">
        <f t="shared" si="8"/>
      </c>
      <c r="AN85" s="2928">
        <f t="shared" si="8"/>
      </c>
      <c r="AO85" s="2928">
        <f t="shared" si="8"/>
      </c>
      <c r="AP85" s="2928">
        <f t="shared" si="8"/>
      </c>
      <c r="AQ85" s="2928">
        <f t="shared" si="8"/>
      </c>
      <c r="AR85" s="2928">
        <f t="shared" si="8"/>
      </c>
      <c r="AS85" s="2928">
        <f t="shared" si="8"/>
      </c>
      <c r="AT85" s="2928">
        <f t="shared" si="8"/>
      </c>
      <c r="AU85" s="2928">
        <f t="shared" si="8"/>
      </c>
      <c r="AV85" s="2928">
        <f t="shared" si="8"/>
      </c>
      <c r="AW85" s="2928">
        <f t="shared" si="8"/>
      </c>
      <c r="AX85" s="2928">
        <f t="shared" si="8"/>
      </c>
      <c r="AY85" s="2928">
        <f t="shared" si="8"/>
      </c>
      <c r="AZ85" s="2928">
        <f t="shared" si="8"/>
      </c>
      <c r="BA85" s="2928">
        <f t="shared" si="8"/>
      </c>
      <c r="BB85" s="2928">
        <f t="shared" si="8"/>
      </c>
      <c r="BC85" s="2928">
        <f t="shared" si="8"/>
      </c>
      <c r="BD85" s="2928">
        <f t="shared" si="8"/>
      </c>
      <c r="BE85" s="2928">
        <f t="shared" si="8"/>
      </c>
      <c r="BF85" s="2928">
        <f t="shared" si="8"/>
      </c>
      <c r="BG85" s="2928">
        <f t="shared" si="8"/>
      </c>
      <c r="BH85" s="2928">
        <f t="shared" si="8"/>
      </c>
      <c r="BI85" s="2928">
        <f t="shared" si="8"/>
      </c>
      <c r="BJ85" s="2928">
        <f t="shared" si="8"/>
      </c>
      <c r="BK85" s="2928">
        <f t="shared" si="8"/>
      </c>
      <c r="BL85" s="2928">
        <f t="shared" si="8"/>
      </c>
      <c r="BM85" s="2928">
        <f t="shared" si="8"/>
      </c>
      <c r="BN85" s="2928">
        <f t="shared" si="8"/>
      </c>
      <c r="BO85" s="2928">
        <f t="shared" si="8"/>
      </c>
      <c r="BP85" s="2928">
        <f t="shared" si="8"/>
      </c>
      <c r="BQ85" s="2928">
        <f t="shared" si="8"/>
      </c>
      <c r="BR85" s="2928">
        <f t="shared" si="8"/>
      </c>
      <c r="BS85" s="2928">
        <f t="shared" si="8"/>
      </c>
      <c r="BT85" s="2928">
        <f t="shared" si="8"/>
      </c>
      <c r="BU85" s="2928">
        <f t="shared" si="8"/>
      </c>
      <c r="BV85" s="2928">
        <f t="shared" si="8"/>
      </c>
      <c r="BW85" s="2928">
        <f t="shared" si="8"/>
      </c>
      <c r="BX85" s="2928">
        <f t="shared" si="8"/>
      </c>
      <c r="BY85" s="2928">
        <f t="shared" si="8"/>
      </c>
      <c r="BZ85" s="2928">
        <f t="shared" si="8"/>
      </c>
      <c r="CA85" s="2928">
        <f t="shared" si="8"/>
      </c>
      <c r="CB85" s="2928">
        <f t="shared" si="8"/>
      </c>
      <c r="CC85" s="2928">
        <f t="shared" si="8"/>
      </c>
      <c r="CD85" s="2928">
        <f t="shared" si="8"/>
      </c>
      <c r="CE85" s="2928">
        <f t="shared" si="8"/>
      </c>
      <c r="CF85" s="2928">
        <f t="shared" si="8"/>
      </c>
      <c r="CG85" s="2928">
        <f t="shared" si="8"/>
      </c>
      <c r="CH85" s="2928">
        <f t="shared" si="8"/>
      </c>
      <c r="CI85" s="2928">
        <f t="shared" si="8"/>
      </c>
      <c r="CJ85" s="2928">
        <f t="shared" si="8"/>
      </c>
      <c r="CK85" s="2928">
        <f t="shared" si="8"/>
      </c>
      <c r="CL85" s="2928">
        <f t="shared" si="8"/>
      </c>
      <c r="CM85" s="2928">
        <f t="shared" si="8"/>
      </c>
      <c r="CN85" s="2928">
        <f t="shared" si="8"/>
      </c>
      <c r="CO85" s="2928">
        <f t="shared" si="8"/>
      </c>
      <c r="CP85" s="2928">
        <f t="shared" si="8"/>
      </c>
      <c r="CQ85" s="2928">
        <f t="shared" si="8"/>
      </c>
      <c r="CR85" s="2928">
        <f t="shared" si="8"/>
      </c>
      <c r="CS85" s="2928">
        <f t="shared" si="8"/>
      </c>
      <c r="CT85" s="2928">
        <f t="shared" si="8"/>
      </c>
      <c r="CU85" s="2928">
        <f t="shared" si="8"/>
      </c>
      <c r="CV85" s="2928">
        <f t="shared" si="8"/>
      </c>
      <c r="CW85" s="2928">
        <f t="shared" si="8"/>
      </c>
      <c r="CX85" s="2928">
        <f t="shared" si="8"/>
      </c>
      <c r="CY85" s="2928">
        <f t="shared" si="8"/>
      </c>
      <c r="CZ85" s="2928">
        <f t="shared" si="8"/>
      </c>
      <c r="DA85" s="2928">
        <f t="shared" si="8"/>
      </c>
      <c r="DB85" s="2928">
        <f t="shared" si="8"/>
      </c>
      <c r="DC85" s="2928">
        <f t="shared" si="8"/>
      </c>
      <c r="DD85" s="2928">
        <f t="shared" si="8"/>
      </c>
      <c r="DE85" s="2928">
        <f t="shared" si="8"/>
      </c>
      <c r="DF85" s="2928">
        <f t="shared" si="8"/>
      </c>
      <c r="DG85" s="2928">
        <f t="shared" si="8"/>
      </c>
      <c r="DH85" s="2928">
        <f t="shared" si="8"/>
      </c>
      <c r="DI85" s="2928">
        <f t="shared" si="8"/>
      </c>
      <c r="DJ85" s="2928">
        <f t="shared" si="8"/>
      </c>
      <c r="DK85" s="2928">
        <f t="shared" si="8"/>
      </c>
      <c r="DL85" s="2928">
        <f t="shared" si="8"/>
      </c>
      <c r="DM85" s="2928">
        <f t="shared" si="8"/>
      </c>
      <c r="DN85" s="2928">
        <f t="shared" si="8"/>
      </c>
      <c r="DO85" s="2928">
        <f t="shared" si="8"/>
      </c>
      <c r="DP85" s="2928">
        <f t="shared" si="8"/>
      </c>
      <c r="DQ85" s="2928">
        <f t="shared" si="8"/>
      </c>
      <c r="DR85" s="2928">
        <f t="shared" si="8"/>
      </c>
      <c r="DS85" s="2928">
        <f t="shared" si="8"/>
      </c>
      <c r="DT85" s="2928">
        <f t="shared" si="8"/>
      </c>
      <c r="DU85" s="2928">
        <f t="shared" si="8"/>
      </c>
      <c r="DV85" s="2928">
        <f t="shared" si="8"/>
      </c>
      <c r="DW85" s="2928">
        <f t="shared" si="8"/>
      </c>
      <c r="DX85" s="2928">
        <f t="shared" si="8"/>
      </c>
      <c r="DY85" s="2928">
        <f t="shared" si="8"/>
      </c>
      <c r="DZ85" s="2928">
        <f t="shared" si="8"/>
      </c>
      <c r="EA85" s="2928">
        <f t="shared" si="8"/>
      </c>
      <c r="EB85" s="2928">
        <f t="shared" si="8"/>
      </c>
      <c r="EC85" s="2928">
        <f t="shared" si="8"/>
      </c>
      <c r="ED85" s="2928">
        <f t="shared" si="8"/>
      </c>
      <c r="EE85" s="2928">
        <f t="shared" si="8"/>
      </c>
      <c r="EF85" s="2928">
        <f t="shared" si="8"/>
      </c>
      <c r="EG85" s="2928">
        <f t="shared" si="8"/>
      </c>
      <c r="EH85" s="2928">
        <f t="shared" si="8"/>
      </c>
      <c r="EI85" s="2928">
        <f t="shared" si="8"/>
      </c>
      <c r="EJ85" s="2928">
        <f t="shared" si="8"/>
      </c>
      <c r="EK85" s="2928">
        <f t="shared" si="8"/>
      </c>
      <c r="EL85" s="2928">
        <f t="shared" si="8"/>
      </c>
      <c r="EM85" s="2928">
        <f t="shared" si="8"/>
      </c>
      <c r="EN85" s="2928">
        <f t="shared" si="8"/>
      </c>
      <c r="EO85" s="2928">
        <f t="shared" si="8"/>
      </c>
      <c r="EP85" s="2928">
        <f t="shared" si="8"/>
      </c>
      <c r="EQ85" s="2928">
        <f t="shared" si="8"/>
      </c>
      <c r="ER85" s="2928">
        <f t="shared" si="8"/>
      </c>
      <c r="ES85" s="2928">
        <f t="shared" si="8"/>
      </c>
      <c r="ET85" s="2928">
        <f t="shared" si="8"/>
      </c>
      <c r="EU85" s="2928">
        <f t="shared" si="8"/>
      </c>
      <c r="EV85" s="2928">
        <f t="shared" si="8"/>
      </c>
      <c r="EW85" s="2928">
        <f t="shared" si="8"/>
      </c>
      <c r="EX85" s="2928">
        <f t="shared" si="8"/>
      </c>
      <c r="EY85" s="2928">
        <f t="shared" si="8"/>
      </c>
      <c r="EZ85" s="2928">
        <f t="shared" si="8"/>
      </c>
      <c r="FA85" s="2929" t="str">
        <f t="shared" si="12"/>
        <v>-</v>
      </c>
      <c r="FB85" s="2825">
        <f t="shared" si="13"/>
      </c>
      <c r="FC85" s="2930" cm="1">
        <f t="array" ref="FC85">_xlfn.LET(_xlpm.unit_type,$G85,_xlpm.market_rent_from_rent_roll,$E85,_xlpm.unit_type_list,RentRoll_InputArea_DesignatedUnitType,_xlpm.rent_by_unit_type,RentRoll_InputArea_MarketRent,_xlpm.use_rent_roll_market_rent,LEFT(RR_VacantUnitMktRentSource,9)="Rent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5" s="2930">
        <f t="shared" si="14"/>
        <v>1185</v>
      </c>
      <c r="FE85" s="2930">
        <f t="shared" si="15"/>
        <v>1185</v>
      </c>
      <c r="FF85" s="2930">
        <f t="shared" si="16"/>
        <v>1185</v>
      </c>
      <c r="FG85" s="2931"/>
      <c r="FH85" s="2932">
        <f t="shared" si="17"/>
      </c>
      <c r="FI85" s="2932">
        <f t="shared" si="18"/>
      </c>
      <c r="FJ85" s="2931"/>
      <c r="FK85" s="2933" cm="1">
        <f t="array" ref="FK85">IF(AND(LEN($D85)&gt;0,ISNA(MATCH(TRUE,EXACT($G85,RentRoll_InputArea_DesignatedUnitType),0))),1,0)</f>
        <v>0</v>
      </c>
      <c r="FL85" s="2931">
        <f t="shared" si="19"/>
        <v>62</v>
      </c>
      <c r="FM85" s="2931"/>
      <c r="FN85" s="2931"/>
      <c r="FO85" s="2931"/>
      <c r="FP85" s="2931"/>
      <c r="FQ85" s="2931"/>
      <c r="FR85" s="2931"/>
      <c r="FS85" s="2931"/>
      <c r="FT85" s="2931"/>
      <c r="FU85" s="2931"/>
      <c r="FV85" s="2931"/>
      <c r="FW85" s="2931"/>
      <c r="FX85" s="2931"/>
      <c r="FY85" s="2931"/>
      <c r="FZ85" s="2931"/>
      <c r="GA85" s="2931"/>
      <c r="GB85" s="2931"/>
      <c r="GC85" s="2931"/>
      <c r="GD85" s="2931"/>
      <c r="GE85" s="2931"/>
      <c r="GF85" s="2931"/>
      <c r="GG85" s="2931"/>
      <c r="GH85" s="2931"/>
      <c r="GI85" s="2931"/>
      <c r="GJ85" s="2931"/>
      <c r="GK85" s="2931"/>
      <c r="GL85" s="2931"/>
      <c r="GM85" s="2931"/>
      <c r="GN85" s="2931"/>
      <c r="GO85" s="2931"/>
      <c r="GP85" s="2931"/>
      <c r="GQ85" s="2931"/>
      <c r="GR85" s="2931"/>
      <c r="GS85" s="2931"/>
      <c r="GT85" s="2931"/>
      <c r="GU85" s="2931"/>
      <c r="GV85" s="2931"/>
      <c r="GW85" s="2931"/>
      <c r="GX85" s="2931"/>
      <c r="GY85" s="2931"/>
      <c r="GZ85" s="2931"/>
      <c r="HA85" s="2931"/>
      <c r="HB85" s="2931"/>
      <c r="HC85" s="2931"/>
      <c r="HD85" s="2931"/>
      <c r="HE85" s="2931"/>
      <c r="HF85" s="2931"/>
      <c r="HG85" s="2931"/>
      <c r="HH85" s="2931"/>
      <c r="HI85" s="2931"/>
      <c r="HJ85" s="2931"/>
      <c r="HK85" s="2931"/>
      <c r="HL85" s="2931"/>
      <c r="HM85" s="2931"/>
      <c r="HN85" s="2931"/>
      <c r="HO85" s="2931"/>
      <c r="HP85" s="2931"/>
      <c r="HQ85" s="2931"/>
      <c r="HR85" s="2931"/>
      <c r="HS85" s="2931"/>
      <c r="HT85" s="2931"/>
      <c r="HU85" s="2931"/>
      <c r="HV85" s="2931"/>
      <c r="HW85" s="2931"/>
      <c r="HX85" s="2931"/>
      <c r="HY85" s="2931"/>
      <c r="HZ85" s="2931"/>
      <c r="IA85" s="2931"/>
      <c r="IB85" s="2931"/>
      <c r="IC85" s="2931"/>
      <c r="ID85" s="2931"/>
      <c r="IE85" s="2931"/>
      <c r="IF85" s="2931"/>
      <c r="IG85" s="2931"/>
      <c r="IH85" s="2931"/>
      <c r="II85" s="2931"/>
      <c r="IJ85" s="2931"/>
      <c r="IK85" s="2931"/>
      <c r="IL85" s="2931"/>
      <c r="IM85" s="2931"/>
      <c r="IN85" s="2931"/>
      <c r="IO85" s="2931" cm="1">
        <f t="array" ref="IO85">IF(LEN($G85)=0,"Rent Roll is incomplete",_xlfn.XLOOKUP(TRUE,EXACT(RentRoll_InputArea_DesignatedUnitType,$G85),RentRoll_InputArea_Beds,"Not Found"))</f>
        <v>1</v>
      </c>
      <c r="IP85" s="2934"/>
      <c r="IQ85" s="2935" t="str">
        <f t="shared" si="20"/>
        <v>1 Bedroom Unit</v>
      </c>
      <c r="IR85" s="2926">
        <f t="shared" si="21"/>
        <v>1185</v>
      </c>
      <c r="IS85" s="2935"/>
      <c r="IT85" s="2931"/>
      <c r="IU85" s="2931"/>
      <c r="IV85" s="2931"/>
      <c r="IW85" s="2936" t="str">
        <f t="shared" si="22"/>
        <v>6-603</v>
      </c>
      <c r="IX85" s="2936"/>
      <c r="IY85" s="2936"/>
      <c r="IZ85" s="2936">
        <f t="shared" si="23"/>
        <v>1</v>
      </c>
      <c r="JA85" s="2936">
        <f t="shared" si="24"/>
        <v>1185</v>
      </c>
      <c r="JB85" s="2936"/>
      <c r="JC85" s="2936"/>
      <c r="JD85" s="2936"/>
      <c r="JE85" s="2936"/>
      <c r="JF85" s="2936"/>
      <c r="JG85" s="2936"/>
      <c r="JH85" s="2936">
        <f t="shared" si="25"/>
        <v>1159</v>
      </c>
      <c r="JI85" s="2936"/>
      <c r="JJ85" s="2936">
        <f t="shared" si="26"/>
      </c>
      <c r="JK85" s="2936"/>
      <c r="JL85" s="2936"/>
      <c r="JM85" s="2936"/>
      <c r="JN85" s="2936"/>
      <c r="JO85" s="2936"/>
      <c r="JP85" s="2936"/>
      <c r="JQ85" s="2936" t="str">
        <f t="shared" si="27"/>
        <v>Occupied</v>
      </c>
      <c r="JR85" s="2936" cm="1">
        <f t="array" ref="JR85">_xlfn.XLOOKUP(TRUE,EXACT(RentRoll_InputArea_DesignatedUnitType,$G85),RentRoll_InputArea_SquareFootage,"Not Found")</f>
        <v>704</v>
      </c>
      <c r="JS85" s="2936" t="str">
        <f t="shared" si="28"/>
        <v>Apartment</v>
      </c>
      <c r="JT85" s="2936">
        <f t="shared" si="29"/>
      </c>
      <c r="JU85" s="2936"/>
      <c r="JV85" s="2936"/>
      <c r="JW85" s="2936"/>
      <c r="JX85" s="2936"/>
      <c r="JY85" s="2936">
        <f t="shared" si="9"/>
        <v>43557</v>
      </c>
      <c r="JZ85" s="2936">
        <f t="shared" si="9"/>
        <v>43769</v>
      </c>
      <c r="KA85" s="2936"/>
      <c r="KB85" s="2936"/>
      <c r="KC85" s="2936"/>
      <c r="KD85" s="2936"/>
      <c r="KE85" s="2936"/>
      <c r="KF85" s="2936"/>
      <c r="KG85" s="2936"/>
      <c r="KH85" s="2936"/>
      <c r="KI85" s="2937"/>
      <c r="KJ85" s="2936"/>
      <c r="KK85" s="1353"/>
    </row>
    <row r="86" ht="15" customHeight="1">
      <c r="A86" s="2922">
        <f t="shared" si="10"/>
        <v>63</v>
      </c>
      <c r="B86" s="2865"/>
      <c r="C86" s="2873"/>
      <c r="D86" s="2873" t="s">
        <v>2868</v>
      </c>
      <c r="E86" s="2923">
        <v>1183</v>
      </c>
      <c r="F86" s="2924" t="s">
        <v>2869</v>
      </c>
      <c r="G86" s="2873" t="s">
        <v>2529</v>
      </c>
      <c r="H86" s="2923">
        <v>1165</v>
      </c>
      <c r="I86" s="2925" cm="1">
        <f t="array" ref="I86">_xlfn.LET(_xlpm.has_subsidy,$N86&gt;0,_xlpm.is_chap9_sbl,$FF$20,_xlpm.contract_rent,$H86,_xlpm.unit_type_mkt_rent,_xlfn.XLOOKUP(TRUE,EXACT($G86,RentRoll_InputArea_DesignatedUnitType),RentRoll_InputArea_MarketRent,"Not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6" s="2926">
        <f t="shared" si="11"/>
        <v>1165</v>
      </c>
      <c r="K86" s="2923"/>
      <c r="L86" s="2923"/>
      <c r="M86" s="2923"/>
      <c r="N86" s="2923"/>
      <c r="O86" s="2927">
        <v>43367</v>
      </c>
      <c r="P86" s="2927">
        <v>43646</v>
      </c>
      <c r="Q86" s="2928">
        <f t="shared" si="8"/>
        <v>1165</v>
      </c>
      <c r="R86" s="2928">
        <f t="shared" si="8"/>
      </c>
      <c r="S86" s="2928">
        <f t="shared" si="8"/>
      </c>
      <c r="T86" s="2928">
        <f t="shared" si="8"/>
      </c>
      <c r="U86" s="2928">
        <f t="shared" si="8"/>
      </c>
      <c r="V86" s="2928">
        <f t="shared" si="8"/>
      </c>
      <c r="W86" s="2928">
        <f t="shared" si="8"/>
      </c>
      <c r="X86" s="2928">
        <f t="shared" si="8"/>
      </c>
      <c r="Y86" s="2928">
        <f t="shared" si="8"/>
      </c>
      <c r="Z86" s="2928">
        <f t="shared" si="8"/>
      </c>
      <c r="AA86" s="2928">
        <f t="shared" si="8"/>
      </c>
      <c r="AB86" s="2928">
        <f t="shared" si="8"/>
      </c>
      <c r="AC86" s="2928">
        <f t="shared" si="8"/>
      </c>
      <c r="AD86" s="2928">
        <f t="shared" si="8"/>
      </c>
      <c r="AE86" s="2928">
        <f t="shared" si="8"/>
      </c>
      <c r="AF86" s="2928">
        <f t="shared" si="8"/>
      </c>
      <c r="AG86" s="2928">
        <f t="shared" si="8"/>
      </c>
      <c r="AH86" s="2928">
        <f t="shared" si="8"/>
      </c>
      <c r="AI86" s="2928">
        <f t="shared" si="8"/>
      </c>
      <c r="AJ86" s="2928">
        <f t="shared" si="8"/>
      </c>
      <c r="AK86" s="2928">
        <f t="shared" si="8"/>
      </c>
      <c r="AL86" s="2928">
        <f t="shared" si="8"/>
      </c>
      <c r="AM86" s="2928">
        <f t="shared" si="8"/>
      </c>
      <c r="AN86" s="2928">
        <f t="shared" si="8"/>
      </c>
      <c r="AO86" s="2928">
        <f t="shared" si="8"/>
      </c>
      <c r="AP86" s="2928">
        <f t="shared" si="8"/>
      </c>
      <c r="AQ86" s="2928">
        <f t="shared" si="8"/>
      </c>
      <c r="AR86" s="2928">
        <f t="shared" si="8"/>
      </c>
      <c r="AS86" s="2928">
        <f t="shared" si="8"/>
      </c>
      <c r="AT86" s="2928">
        <f t="shared" si="8"/>
      </c>
      <c r="AU86" s="2928">
        <f t="shared" si="8"/>
      </c>
      <c r="AV86" s="2928">
        <f t="shared" si="8"/>
      </c>
      <c r="AW86" s="2928">
        <f t="shared" si="8"/>
      </c>
      <c r="AX86" s="2928">
        <f t="shared" si="8"/>
      </c>
      <c r="AY86" s="2928">
        <f t="shared" si="8"/>
      </c>
      <c r="AZ86" s="2928">
        <f t="shared" si="8"/>
      </c>
      <c r="BA86" s="2928">
        <f t="shared" si="8"/>
      </c>
      <c r="BB86" s="2928">
        <f t="shared" si="8"/>
      </c>
      <c r="BC86" s="2928">
        <f t="shared" si="8"/>
      </c>
      <c r="BD86" s="2928">
        <f t="shared" si="8"/>
      </c>
      <c r="BE86" s="2928">
        <f t="shared" si="8"/>
      </c>
      <c r="BF86" s="2928">
        <f t="shared" si="8"/>
      </c>
      <c r="BG86" s="2928">
        <f t="shared" si="8"/>
      </c>
      <c r="BH86" s="2928">
        <f t="shared" si="8"/>
      </c>
      <c r="BI86" s="2928">
        <f t="shared" si="8"/>
      </c>
      <c r="BJ86" s="2928">
        <f t="shared" si="8"/>
      </c>
      <c r="BK86" s="2928">
        <f t="shared" si="8"/>
      </c>
      <c r="BL86" s="2928">
        <f t="shared" si="8"/>
      </c>
      <c r="BM86" s="2928">
        <f t="shared" si="8"/>
      </c>
      <c r="BN86" s="2928">
        <f t="shared" si="8"/>
      </c>
      <c r="BO86" s="2928">
        <f t="shared" si="8"/>
      </c>
      <c r="BP86" s="2928">
        <f t="shared" si="8"/>
      </c>
      <c r="BQ86" s="2928">
        <f t="shared" si="8"/>
      </c>
      <c r="BR86" s="2928">
        <f t="shared" si="8"/>
      </c>
      <c r="BS86" s="2928">
        <f t="shared" si="8"/>
      </c>
      <c r="BT86" s="2928">
        <f t="shared" si="8"/>
      </c>
      <c r="BU86" s="2928">
        <f t="shared" si="8"/>
      </c>
      <c r="BV86" s="2928">
        <f t="shared" si="8"/>
      </c>
      <c r="BW86" s="2928">
        <f t="shared" si="8"/>
      </c>
      <c r="BX86" s="2928">
        <f t="shared" si="8"/>
      </c>
      <c r="BY86" s="2928">
        <f t="shared" si="8"/>
      </c>
      <c r="BZ86" s="2928">
        <f t="shared" si="8"/>
      </c>
      <c r="CA86" s="2928">
        <f t="shared" si="8"/>
      </c>
      <c r="CB86" s="2928">
        <f t="shared" si="8"/>
      </c>
      <c r="CC86" s="2928">
        <f t="shared" si="8"/>
      </c>
      <c r="CD86" s="2928">
        <f t="shared" si="8"/>
      </c>
      <c r="CE86" s="2928">
        <f t="shared" si="8"/>
      </c>
      <c r="CF86" s="2928">
        <f t="shared" si="8"/>
      </c>
      <c r="CG86" s="2928">
        <f t="shared" si="8"/>
      </c>
      <c r="CH86" s="2928">
        <f t="shared" si="8"/>
      </c>
      <c r="CI86" s="2928">
        <f t="shared" si="8"/>
      </c>
      <c r="CJ86" s="2928">
        <f t="shared" si="8"/>
      </c>
      <c r="CK86" s="2928">
        <f t="shared" si="8"/>
      </c>
      <c r="CL86" s="2928">
        <f t="shared" si="8"/>
      </c>
      <c r="CM86" s="2928">
        <f t="shared" si="8"/>
      </c>
      <c r="CN86" s="2928">
        <f t="shared" si="8"/>
      </c>
      <c r="CO86" s="2928">
        <f t="shared" si="8"/>
      </c>
      <c r="CP86" s="2928">
        <f t="shared" si="8"/>
      </c>
      <c r="CQ86" s="2928">
        <f t="shared" si="8"/>
      </c>
      <c r="CR86" s="2928">
        <f t="shared" si="8"/>
      </c>
      <c r="CS86" s="2928">
        <f t="shared" si="8"/>
      </c>
      <c r="CT86" s="2928">
        <f t="shared" si="8"/>
      </c>
      <c r="CU86" s="2928">
        <f t="shared" si="8"/>
      </c>
      <c r="CV86" s="2928">
        <f t="shared" si="8"/>
      </c>
      <c r="CW86" s="2928">
        <f t="shared" si="8"/>
      </c>
      <c r="CX86" s="2928">
        <f t="shared" si="8"/>
      </c>
      <c r="CY86" s="2928">
        <f t="shared" si="8"/>
      </c>
      <c r="CZ86" s="2928">
        <f t="shared" si="8"/>
      </c>
      <c r="DA86" s="2928">
        <f t="shared" si="8"/>
      </c>
      <c r="DB86" s="2928">
        <f t="shared" si="8"/>
      </c>
      <c r="DC86" s="2928">
        <f t="shared" si="8"/>
      </c>
      <c r="DD86" s="2928">
        <f t="shared" si="8"/>
      </c>
      <c r="DE86" s="2928">
        <f t="shared" si="8"/>
      </c>
      <c r="DF86" s="2928">
        <f t="shared" si="8"/>
      </c>
      <c r="DG86" s="2928">
        <f t="shared" si="8"/>
      </c>
      <c r="DH86" s="2928">
        <f t="shared" si="8"/>
      </c>
      <c r="DI86" s="2928">
        <f t="shared" si="8"/>
      </c>
      <c r="DJ86" s="2928">
        <f t="shared" si="8"/>
      </c>
      <c r="DK86" s="2928">
        <f t="shared" si="8"/>
      </c>
      <c r="DL86" s="2928">
        <f t="shared" si="8"/>
      </c>
      <c r="DM86" s="2928">
        <f t="shared" si="8"/>
      </c>
      <c r="DN86" s="2928">
        <f t="shared" si="8"/>
      </c>
      <c r="DO86" s="2928">
        <f t="shared" si="8"/>
      </c>
      <c r="DP86" s="2928">
        <f t="shared" si="8"/>
      </c>
      <c r="DQ86" s="2928">
        <f t="shared" si="8"/>
      </c>
      <c r="DR86" s="2928">
        <f t="shared" si="8"/>
      </c>
      <c r="DS86" s="2928">
        <f t="shared" si="8"/>
      </c>
      <c r="DT86" s="2928">
        <f t="shared" si="8"/>
      </c>
      <c r="DU86" s="2928">
        <f t="shared" si="8"/>
      </c>
      <c r="DV86" s="2928">
        <f t="shared" si="8"/>
      </c>
      <c r="DW86" s="2928">
        <f t="shared" si="8"/>
      </c>
      <c r="DX86" s="2928">
        <f t="shared" si="8"/>
      </c>
      <c r="DY86" s="2928">
        <f t="shared" si="8"/>
      </c>
      <c r="DZ86" s="2928">
        <f t="shared" si="8"/>
      </c>
      <c r="EA86" s="2928">
        <f t="shared" si="8"/>
      </c>
      <c r="EB86" s="2928">
        <f t="shared" si="8"/>
      </c>
      <c r="EC86" s="2928">
        <f t="shared" si="8"/>
      </c>
      <c r="ED86" s="2928">
        <f t="shared" si="8"/>
      </c>
      <c r="EE86" s="2928">
        <f t="shared" si="8"/>
      </c>
      <c r="EF86" s="2928">
        <f t="shared" si="8"/>
      </c>
      <c r="EG86" s="2928">
        <f t="shared" si="8"/>
      </c>
      <c r="EH86" s="2928">
        <f t="shared" si="8"/>
      </c>
      <c r="EI86" s="2928">
        <f t="shared" si="8"/>
      </c>
      <c r="EJ86" s="2928">
        <f t="shared" si="8"/>
      </c>
      <c r="EK86" s="2928">
        <f t="shared" si="8"/>
      </c>
      <c r="EL86" s="2928">
        <f t="shared" si="8"/>
      </c>
      <c r="EM86" s="2928">
        <f t="shared" si="8"/>
      </c>
      <c r="EN86" s="2928">
        <f t="shared" si="8"/>
      </c>
      <c r="EO86" s="2928">
        <f t="shared" si="8"/>
      </c>
      <c r="EP86" s="2928">
        <f t="shared" si="8"/>
      </c>
      <c r="EQ86" s="2928">
        <f t="shared" si="8"/>
      </c>
      <c r="ER86" s="2928">
        <f t="shared" si="8"/>
      </c>
      <c r="ES86" s="2928">
        <f t="shared" si="8"/>
      </c>
      <c r="ET86" s="2928">
        <f t="shared" si="8"/>
      </c>
      <c r="EU86" s="2928">
        <f t="shared" si="8"/>
      </c>
      <c r="EV86" s="2928">
        <f t="shared" si="8"/>
      </c>
      <c r="EW86" s="2928">
        <f t="shared" si="8"/>
      </c>
      <c r="EX86" s="2928">
        <f t="shared" si="8"/>
      </c>
      <c r="EY86" s="2928">
        <f t="shared" si="8"/>
      </c>
      <c r="EZ86" s="2928">
        <f t="shared" si="8"/>
      </c>
      <c r="FA86" s="2929" t="str">
        <f t="shared" si="12"/>
        <v>-</v>
      </c>
      <c r="FB86" s="2825">
        <f t="shared" si="13"/>
      </c>
      <c r="FC86" s="2930" cm="1">
        <f t="array" ref="FC86">_xlfn.LET(_xlpm.unit_type,$G86,_xlpm.market_rent_from_rent_roll,$E86,_xlpm.unit_type_list,RentRoll_InputArea_DesignatedUnitType,_xlpm.rent_by_unit_type,RentRoll_InputArea_MarketRent,_xlpm.use_rent_roll_market_rent,LEFT(RR_VacantUnitMktRentSource,9)="Rent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6" s="2930">
        <f t="shared" si="14"/>
        <v>1165</v>
      </c>
      <c r="FE86" s="2930">
        <f t="shared" si="15"/>
        <v>1165</v>
      </c>
      <c r="FF86" s="2930">
        <f t="shared" si="16"/>
        <v>1165</v>
      </c>
      <c r="FG86" s="2931"/>
      <c r="FH86" s="2932">
        <f t="shared" si="17"/>
      </c>
      <c r="FI86" s="2932">
        <f t="shared" si="18"/>
      </c>
      <c r="FJ86" s="2931"/>
      <c r="FK86" s="2933" cm="1">
        <f t="array" ref="FK86">IF(AND(LEN($D86)&gt;0,ISNA(MATCH(TRUE,EXACT($G86,RentRoll_InputArea_DesignatedUnitType),0))),1,0)</f>
        <v>0</v>
      </c>
      <c r="FL86" s="2931">
        <f t="shared" si="19"/>
        <v>63</v>
      </c>
      <c r="FM86" s="2931"/>
      <c r="FN86" s="2931"/>
      <c r="FO86" s="2931"/>
      <c r="FP86" s="2931"/>
      <c r="FQ86" s="2931"/>
      <c r="FR86" s="2931"/>
      <c r="FS86" s="2931"/>
      <c r="FT86" s="2931"/>
      <c r="FU86" s="2931"/>
      <c r="FV86" s="2931"/>
      <c r="FW86" s="2931"/>
      <c r="FX86" s="2931"/>
      <c r="FY86" s="2931"/>
      <c r="FZ86" s="2931"/>
      <c r="GA86" s="2931"/>
      <c r="GB86" s="2931"/>
      <c r="GC86" s="2931"/>
      <c r="GD86" s="2931"/>
      <c r="GE86" s="2931"/>
      <c r="GF86" s="2931"/>
      <c r="GG86" s="2931"/>
      <c r="GH86" s="2931"/>
      <c r="GI86" s="2931"/>
      <c r="GJ86" s="2931"/>
      <c r="GK86" s="2931"/>
      <c r="GL86" s="2931"/>
      <c r="GM86" s="2931"/>
      <c r="GN86" s="2931"/>
      <c r="GO86" s="2931"/>
      <c r="GP86" s="2931"/>
      <c r="GQ86" s="2931"/>
      <c r="GR86" s="2931"/>
      <c r="GS86" s="2931"/>
      <c r="GT86" s="2931"/>
      <c r="GU86" s="2931"/>
      <c r="GV86" s="2931"/>
      <c r="GW86" s="2931"/>
      <c r="GX86" s="2931"/>
      <c r="GY86" s="2931"/>
      <c r="GZ86" s="2931"/>
      <c r="HA86" s="2931"/>
      <c r="HB86" s="2931"/>
      <c r="HC86" s="2931"/>
      <c r="HD86" s="2931"/>
      <c r="HE86" s="2931"/>
      <c r="HF86" s="2931"/>
      <c r="HG86" s="2931"/>
      <c r="HH86" s="2931"/>
      <c r="HI86" s="2931"/>
      <c r="HJ86" s="2931"/>
      <c r="HK86" s="2931"/>
      <c r="HL86" s="2931"/>
      <c r="HM86" s="2931"/>
      <c r="HN86" s="2931"/>
      <c r="HO86" s="2931"/>
      <c r="HP86" s="2931"/>
      <c r="HQ86" s="2931"/>
      <c r="HR86" s="2931"/>
      <c r="HS86" s="2931"/>
      <c r="HT86" s="2931"/>
      <c r="HU86" s="2931"/>
      <c r="HV86" s="2931"/>
      <c r="HW86" s="2931"/>
      <c r="HX86" s="2931"/>
      <c r="HY86" s="2931"/>
      <c r="HZ86" s="2931"/>
      <c r="IA86" s="2931"/>
      <c r="IB86" s="2931"/>
      <c r="IC86" s="2931"/>
      <c r="ID86" s="2931"/>
      <c r="IE86" s="2931"/>
      <c r="IF86" s="2931"/>
      <c r="IG86" s="2931"/>
      <c r="IH86" s="2931"/>
      <c r="II86" s="2931"/>
      <c r="IJ86" s="2931"/>
      <c r="IK86" s="2931"/>
      <c r="IL86" s="2931"/>
      <c r="IM86" s="2931"/>
      <c r="IN86" s="2931"/>
      <c r="IO86" s="2931" cm="1">
        <f t="array" ref="IO86">IF(LEN($G86)=0,"Rent Roll is incomplete",_xlfn.XLOOKUP(TRUE,EXACT(RentRoll_InputArea_DesignatedUnitType,$G86),RentRoll_InputArea_Beds,"Not Found"))</f>
        <v>1</v>
      </c>
      <c r="IP86" s="2934"/>
      <c r="IQ86" s="2935" t="str">
        <f t="shared" si="20"/>
        <v>1 Bedroom Unit</v>
      </c>
      <c r="IR86" s="2926">
        <f t="shared" si="21"/>
        <v>1165</v>
      </c>
      <c r="IS86" s="2935"/>
      <c r="IT86" s="2931"/>
      <c r="IU86" s="2931"/>
      <c r="IV86" s="2931"/>
      <c r="IW86" s="2936" t="str">
        <f t="shared" si="22"/>
        <v>6-604</v>
      </c>
      <c r="IX86" s="2936"/>
      <c r="IY86" s="2936"/>
      <c r="IZ86" s="2936">
        <f t="shared" si="23"/>
        <v>1</v>
      </c>
      <c r="JA86" s="2936">
        <f t="shared" si="24"/>
        <v>1165</v>
      </c>
      <c r="JB86" s="2936"/>
      <c r="JC86" s="2936"/>
      <c r="JD86" s="2936"/>
      <c r="JE86" s="2936"/>
      <c r="JF86" s="2936"/>
      <c r="JG86" s="2936"/>
      <c r="JH86" s="2936">
        <f t="shared" si="25"/>
        <v>1159</v>
      </c>
      <c r="JI86" s="2936"/>
      <c r="JJ86" s="2936">
        <f t="shared" si="26"/>
      </c>
      <c r="JK86" s="2936"/>
      <c r="JL86" s="2936"/>
      <c r="JM86" s="2936"/>
      <c r="JN86" s="2936"/>
      <c r="JO86" s="2936"/>
      <c r="JP86" s="2936"/>
      <c r="JQ86" s="2936" t="str">
        <f t="shared" si="27"/>
        <v>Occupied</v>
      </c>
      <c r="JR86" s="2936" cm="1">
        <f t="array" ref="JR86">_xlfn.XLOOKUP(TRUE,EXACT(RentRoll_InputArea_DesignatedUnitType,$G86),RentRoll_InputArea_SquareFootage,"Not Found")</f>
        <v>704</v>
      </c>
      <c r="JS86" s="2936" t="str">
        <f t="shared" si="28"/>
        <v>Apartment</v>
      </c>
      <c r="JT86" s="2936">
        <f t="shared" si="29"/>
      </c>
      <c r="JU86" s="2936"/>
      <c r="JV86" s="2936"/>
      <c r="JW86" s="2936"/>
      <c r="JX86" s="2936"/>
      <c r="JY86" s="2936">
        <f t="shared" si="9"/>
        <v>43367</v>
      </c>
      <c r="JZ86" s="2936">
        <f t="shared" si="9"/>
        <v>43646</v>
      </c>
      <c r="KA86" s="2936"/>
      <c r="KB86" s="2936"/>
      <c r="KC86" s="2936"/>
      <c r="KD86" s="2936"/>
      <c r="KE86" s="2936"/>
      <c r="KF86" s="2936"/>
      <c r="KG86" s="2936"/>
      <c r="KH86" s="2936"/>
      <c r="KI86" s="2937"/>
      <c r="KJ86" s="2936"/>
      <c r="KK86" s="1353"/>
    </row>
    <row r="87" ht="15" customHeight="1">
      <c r="A87" s="2922">
        <f t="shared" si="10"/>
        <v>64</v>
      </c>
      <c r="B87" s="2865"/>
      <c r="C87" s="2873"/>
      <c r="D87" s="2873" t="s">
        <v>2870</v>
      </c>
      <c r="E87" s="2923">
        <v>1120</v>
      </c>
      <c r="F87" s="2924" t="s">
        <v>2871</v>
      </c>
      <c r="G87" s="2873" t="s">
        <v>2529</v>
      </c>
      <c r="H87" s="2923">
        <v>1129</v>
      </c>
      <c r="I87" s="2925" cm="1">
        <f t="array" ref="I87">_xlfn.LET(_xlpm.has_subsidy,$N87&gt;0,_xlpm.is_chap9_sbl,$FF$20,_xlpm.contract_rent,$H87,_xlpm.unit_type_mkt_rent,_xlfn.XLOOKUP(TRUE,EXACT($G87,RentRoll_InputArea_DesignatedUnitType),RentRoll_InputArea_MarketRent,"Not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7" s="2926">
        <f t="shared" si="11"/>
        <v>1129</v>
      </c>
      <c r="K87" s="2923"/>
      <c r="L87" s="2923"/>
      <c r="M87" s="2923"/>
      <c r="N87" s="2923"/>
      <c r="O87" s="2927">
        <v>43561</v>
      </c>
      <c r="P87" s="2927">
        <v>43738</v>
      </c>
      <c r="Q87" s="2928">
        <f t="shared" si="8"/>
        <v>1129</v>
      </c>
      <c r="R87" s="2928">
        <f t="shared" si="8"/>
      </c>
      <c r="S87" s="2928">
        <f t="shared" si="8"/>
      </c>
      <c r="T87" s="2928">
        <f t="shared" si="8"/>
      </c>
      <c r="U87" s="2928">
        <f t="shared" si="8"/>
      </c>
      <c r="V87" s="2928">
        <f t="shared" si="8"/>
      </c>
      <c r="W87" s="2928">
        <f t="shared" si="8"/>
      </c>
      <c r="X87" s="2928">
        <f t="shared" si="8"/>
      </c>
      <c r="Y87" s="2928">
        <f t="shared" si="8"/>
      </c>
      <c r="Z87" s="2928">
        <f t="shared" si="8"/>
      </c>
      <c r="AA87" s="2928">
        <f t="shared" si="8"/>
      </c>
      <c r="AB87" s="2928">
        <f t="shared" si="8"/>
      </c>
      <c r="AC87" s="2928">
        <f t="shared" si="8"/>
      </c>
      <c r="AD87" s="2928">
        <f t="shared" si="8"/>
      </c>
      <c r="AE87" s="2928">
        <f t="shared" si="8"/>
      </c>
      <c r="AF87" s="2928">
        <f t="shared" si="8"/>
      </c>
      <c r="AG87" s="2928">
        <f t="shared" si="8"/>
      </c>
      <c r="AH87" s="2928">
        <f t="shared" si="8"/>
      </c>
      <c r="AI87" s="2928">
        <f t="shared" si="8"/>
      </c>
      <c r="AJ87" s="2928">
        <f t="shared" si="8"/>
      </c>
      <c r="AK87" s="2928">
        <f t="shared" si="8"/>
      </c>
      <c r="AL87" s="2928">
        <f t="shared" si="8"/>
      </c>
      <c r="AM87" s="2928">
        <f t="shared" si="8"/>
      </c>
      <c r="AN87" s="2928">
        <f t="shared" si="8"/>
      </c>
      <c r="AO87" s="2928">
        <f t="shared" si="8"/>
      </c>
      <c r="AP87" s="2928">
        <f t="shared" si="8"/>
      </c>
      <c r="AQ87" s="2928">
        <f t="shared" si="8"/>
      </c>
      <c r="AR87" s="2928">
        <f t="shared" si="8"/>
      </c>
      <c r="AS87" s="2928">
        <f t="shared" si="8"/>
      </c>
      <c r="AT87" s="2928">
        <f t="shared" si="8"/>
      </c>
      <c r="AU87" s="2928">
        <f t="shared" si="8"/>
      </c>
      <c r="AV87" s="2928">
        <f t="shared" si="8"/>
      </c>
      <c r="AW87" s="2928">
        <f t="shared" si="8"/>
      </c>
      <c r="AX87" s="2928">
        <f t="shared" si="8"/>
      </c>
      <c r="AY87" s="2928">
        <f t="shared" si="8"/>
      </c>
      <c r="AZ87" s="2928">
        <f t="shared" si="8"/>
      </c>
      <c r="BA87" s="2928">
        <f t="shared" si="8"/>
      </c>
      <c r="BB87" s="2928">
        <f t="shared" si="8"/>
      </c>
      <c r="BC87" s="2928">
        <f t="shared" si="8"/>
      </c>
      <c r="BD87" s="2928">
        <f t="shared" si="8"/>
      </c>
      <c r="BE87" s="2928">
        <f t="shared" si="8"/>
      </c>
      <c r="BF87" s="2928">
        <f t="shared" si="8"/>
      </c>
      <c r="BG87" s="2928">
        <f t="shared" si="8"/>
      </c>
      <c r="BH87" s="2928">
        <f t="shared" si="8"/>
      </c>
      <c r="BI87" s="2928">
        <f t="shared" si="8"/>
      </c>
      <c r="BJ87" s="2928">
        <f t="shared" si="8"/>
      </c>
      <c r="BK87" s="2928">
        <f t="shared" si="8"/>
      </c>
      <c r="BL87" s="2928">
        <f t="shared" si="8"/>
      </c>
      <c r="BM87" s="2928">
        <f t="shared" si="8"/>
      </c>
      <c r="BN87" s="2928">
        <f t="shared" si="8"/>
      </c>
      <c r="BO87" s="2928">
        <f t="shared" si="8"/>
      </c>
      <c r="BP87" s="2928">
        <f t="shared" si="8"/>
      </c>
      <c r="BQ87" s="2928">
        <f t="shared" si="8"/>
      </c>
      <c r="BR87" s="2928">
        <f t="shared" si="8"/>
      </c>
      <c r="BS87" s="2928">
        <f t="shared" si="8"/>
      </c>
      <c r="BT87" s="2928">
        <f t="shared" si="8"/>
      </c>
      <c r="BU87" s="2928">
        <f t="shared" si="8"/>
      </c>
      <c r="BV87" s="2928">
        <f t="shared" si="8"/>
      </c>
      <c r="BW87" s="2928">
        <f t="shared" si="8"/>
      </c>
      <c r="BX87" s="2928">
        <f t="shared" si="8"/>
      </c>
      <c r="BY87" s="2928">
        <f t="shared" si="8"/>
      </c>
      <c r="BZ87" s="2928">
        <f t="shared" si="8"/>
      </c>
      <c r="CA87" s="2928">
        <f t="shared" si="8"/>
      </c>
      <c r="CB87" s="2928">
        <f t="shared" si="8"/>
      </c>
      <c r="CC87" s="2928">
        <f t="shared" si="8"/>
      </c>
      <c r="CD87" s="2928">
        <f t="shared" si="8"/>
      </c>
      <c r="CE87" s="2928">
        <f t="shared" si="8"/>
      </c>
      <c r="CF87" s="2928">
        <f t="shared" si="8"/>
      </c>
      <c r="CG87" s="2928">
        <f t="shared" si="8"/>
      </c>
      <c r="CH87" s="2928">
        <f t="shared" si="8"/>
      </c>
      <c r="CI87" s="2928">
        <f t="shared" si="8"/>
      </c>
      <c r="CJ87" s="2928">
        <f t="shared" si="8"/>
      </c>
      <c r="CK87" s="2928">
        <f t="shared" si="8"/>
      </c>
      <c r="CL87" s="2928">
        <f t="shared" si="8"/>
      </c>
      <c r="CM87" s="2928">
        <f t="shared" si="8"/>
      </c>
      <c r="CN87" s="2928">
        <f t="shared" si="8"/>
      </c>
      <c r="CO87" s="2928">
        <f t="shared" si="8"/>
      </c>
      <c r="CP87" s="2928">
        <f t="shared" si="8"/>
      </c>
      <c r="CQ87" s="2928">
        <f t="shared" si="8"/>
      </c>
      <c r="CR87" s="2928">
        <f t="shared" si="8"/>
      </c>
      <c r="CS87" s="2928">
        <f t="shared" si="8"/>
      </c>
      <c r="CT87" s="2928">
        <f t="shared" si="8"/>
      </c>
      <c r="CU87" s="2928">
        <f t="shared" si="8"/>
      </c>
      <c r="CV87" s="2928">
        <f t="shared" si="8"/>
      </c>
      <c r="CW87" s="2928">
        <f t="shared" si="8"/>
      </c>
      <c r="CX87" s="2928">
        <f t="shared" si="8"/>
      </c>
      <c r="CY87" s="2928">
        <f t="shared" si="8"/>
      </c>
      <c r="CZ87" s="2928">
        <f t="shared" si="8"/>
      </c>
      <c r="DA87" s="2928">
        <f t="shared" si="8"/>
      </c>
      <c r="DB87" s="2928">
        <f t="shared" si="8"/>
      </c>
      <c r="DC87" s="2928">
        <f t="shared" si="8"/>
      </c>
      <c r="DD87" s="2928">
        <f t="shared" si="8"/>
      </c>
      <c r="DE87" s="2928">
        <f t="shared" si="8"/>
      </c>
      <c r="DF87" s="2928">
        <f t="shared" si="8"/>
      </c>
      <c r="DG87" s="2928">
        <f t="shared" si="8"/>
      </c>
      <c r="DH87" s="2928">
        <f t="shared" si="8"/>
      </c>
      <c r="DI87" s="2928">
        <f t="shared" si="8"/>
      </c>
      <c r="DJ87" s="2928">
        <f t="shared" si="8"/>
      </c>
      <c r="DK87" s="2928">
        <f t="shared" si="8"/>
      </c>
      <c r="DL87" s="2928">
        <f t="shared" si="8"/>
      </c>
      <c r="DM87" s="2928">
        <f t="shared" si="8"/>
      </c>
      <c r="DN87" s="2928">
        <f t="shared" si="8"/>
      </c>
      <c r="DO87" s="2928">
        <f t="shared" si="8"/>
      </c>
      <c r="DP87" s="2928">
        <f t="shared" si="8"/>
      </c>
      <c r="DQ87" s="2928">
        <f t="shared" si="8"/>
      </c>
      <c r="DR87" s="2928">
        <f t="shared" si="8"/>
      </c>
      <c r="DS87" s="2928">
        <f t="shared" si="8"/>
      </c>
      <c r="DT87" s="2928">
        <f t="shared" si="8"/>
      </c>
      <c r="DU87" s="2928">
        <f t="shared" si="8"/>
      </c>
      <c r="DV87" s="2928">
        <f t="shared" si="8"/>
      </c>
      <c r="DW87" s="2928">
        <f t="shared" si="8"/>
      </c>
      <c r="DX87" s="2928">
        <f t="shared" si="8"/>
      </c>
      <c r="DY87" s="2928">
        <f t="shared" si="8"/>
      </c>
      <c r="DZ87" s="2928">
        <f t="shared" si="8"/>
      </c>
      <c r="EA87" s="2928">
        <f t="shared" si="8"/>
      </c>
      <c r="EB87" s="2928">
        <f t="shared" si="8"/>
      </c>
      <c r="EC87" s="2928">
        <f t="shared" si="8"/>
      </c>
      <c r="ED87" s="2928">
        <f t="shared" si="8"/>
      </c>
      <c r="EE87" s="2928">
        <f t="shared" si="8"/>
      </c>
      <c r="EF87" s="2928">
        <f t="shared" si="8"/>
      </c>
      <c r="EG87" s="2928">
        <f t="shared" si="8"/>
      </c>
      <c r="EH87" s="2928">
        <f t="shared" si="8"/>
      </c>
      <c r="EI87" s="2928">
        <f t="shared" si="8"/>
      </c>
      <c r="EJ87" s="2928">
        <f t="shared" si="8"/>
      </c>
      <c r="EK87" s="2928">
        <f t="shared" si="8"/>
      </c>
      <c r="EL87" s="2928">
        <f t="shared" si="8"/>
      </c>
      <c r="EM87" s="2928">
        <f t="shared" si="8"/>
      </c>
      <c r="EN87" s="2928">
        <f t="shared" si="8"/>
      </c>
      <c r="EO87" s="2928">
        <f t="shared" si="8"/>
      </c>
      <c r="EP87" s="2928">
        <f t="shared" si="8"/>
      </c>
      <c r="EQ87" s="2928">
        <f t="shared" si="8"/>
      </c>
      <c r="ER87" s="2928">
        <f t="shared" si="8"/>
      </c>
      <c r="ES87" s="2928">
        <f t="shared" si="8"/>
      </c>
      <c r="ET87" s="2928">
        <f t="shared" si="8"/>
      </c>
      <c r="EU87" s="2928">
        <f t="shared" si="8"/>
      </c>
      <c r="EV87" s="2928">
        <f t="shared" si="8"/>
      </c>
      <c r="EW87" s="2928">
        <f t="shared" si="8"/>
      </c>
      <c r="EX87" s="2928">
        <f t="shared" si="8"/>
      </c>
      <c r="EY87" s="2928">
        <f t="shared" si="8"/>
      </c>
      <c r="EZ87" s="2928">
        <f t="shared" si="8"/>
      </c>
      <c r="FA87" s="2929" t="str">
        <f t="shared" si="12"/>
        <v>-</v>
      </c>
      <c r="FB87" s="2825">
        <f t="shared" si="13"/>
      </c>
      <c r="FC87" s="2930" cm="1">
        <f t="array" ref="FC87">_xlfn.LET(_xlpm.unit_type,$G87,_xlpm.market_rent_from_rent_roll,$E87,_xlpm.unit_type_list,RentRoll_InputArea_DesignatedUnitType,_xlpm.rent_by_unit_type,RentRoll_InputArea_MarketRent,_xlpm.use_rent_roll_market_rent,LEFT(RR_VacantUnitMktRentSource,9)="Rent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7" s="2930">
        <f t="shared" si="14"/>
        <v>1129</v>
      </c>
      <c r="FE87" s="2930">
        <f t="shared" si="15"/>
        <v>1129</v>
      </c>
      <c r="FF87" s="2930">
        <f t="shared" si="16"/>
        <v>1129</v>
      </c>
      <c r="FG87" s="2931"/>
      <c r="FH87" s="2932">
        <f t="shared" si="17"/>
      </c>
      <c r="FI87" s="2932">
        <f t="shared" si="18"/>
      </c>
      <c r="FJ87" s="2931"/>
      <c r="FK87" s="2933" cm="1">
        <f t="array" ref="FK87">IF(AND(LEN($D87)&gt;0,ISNA(MATCH(TRUE,EXACT($G87,RentRoll_InputArea_DesignatedUnitType),0))),1,0)</f>
        <v>0</v>
      </c>
      <c r="FL87" s="2931">
        <f t="shared" si="19"/>
        <v>64</v>
      </c>
      <c r="FM87" s="2931"/>
      <c r="FN87" s="2931"/>
      <c r="FO87" s="2931"/>
      <c r="FP87" s="2931"/>
      <c r="FQ87" s="2931"/>
      <c r="FR87" s="2931"/>
      <c r="FS87" s="2931"/>
      <c r="FT87" s="2931"/>
      <c r="FU87" s="2931"/>
      <c r="FV87" s="2931"/>
      <c r="FW87" s="2931"/>
      <c r="FX87" s="2931"/>
      <c r="FY87" s="2931"/>
      <c r="FZ87" s="2931"/>
      <c r="GA87" s="2931"/>
      <c r="GB87" s="2931"/>
      <c r="GC87" s="2931"/>
      <c r="GD87" s="2931"/>
      <c r="GE87" s="2931"/>
      <c r="GF87" s="2931"/>
      <c r="GG87" s="2931"/>
      <c r="GH87" s="2931"/>
      <c r="GI87" s="2931"/>
      <c r="GJ87" s="2931"/>
      <c r="GK87" s="2931"/>
      <c r="GL87" s="2931"/>
      <c r="GM87" s="2931"/>
      <c r="GN87" s="2931"/>
      <c r="GO87" s="2931"/>
      <c r="GP87" s="2931"/>
      <c r="GQ87" s="2931"/>
      <c r="GR87" s="2931"/>
      <c r="GS87" s="2931"/>
      <c r="GT87" s="2931"/>
      <c r="GU87" s="2931"/>
      <c r="GV87" s="2931"/>
      <c r="GW87" s="2931"/>
      <c r="GX87" s="2931"/>
      <c r="GY87" s="2931"/>
      <c r="GZ87" s="2931"/>
      <c r="HA87" s="2931"/>
      <c r="HB87" s="2931"/>
      <c r="HC87" s="2931"/>
      <c r="HD87" s="2931"/>
      <c r="HE87" s="2931"/>
      <c r="HF87" s="2931"/>
      <c r="HG87" s="2931"/>
      <c r="HH87" s="2931"/>
      <c r="HI87" s="2931"/>
      <c r="HJ87" s="2931"/>
      <c r="HK87" s="2931"/>
      <c r="HL87" s="2931"/>
      <c r="HM87" s="2931"/>
      <c r="HN87" s="2931"/>
      <c r="HO87" s="2931"/>
      <c r="HP87" s="2931"/>
      <c r="HQ87" s="2931"/>
      <c r="HR87" s="2931"/>
      <c r="HS87" s="2931"/>
      <c r="HT87" s="2931"/>
      <c r="HU87" s="2931"/>
      <c r="HV87" s="2931"/>
      <c r="HW87" s="2931"/>
      <c r="HX87" s="2931"/>
      <c r="HY87" s="2931"/>
      <c r="HZ87" s="2931"/>
      <c r="IA87" s="2931"/>
      <c r="IB87" s="2931"/>
      <c r="IC87" s="2931"/>
      <c r="ID87" s="2931"/>
      <c r="IE87" s="2931"/>
      <c r="IF87" s="2931"/>
      <c r="IG87" s="2931"/>
      <c r="IH87" s="2931"/>
      <c r="II87" s="2931"/>
      <c r="IJ87" s="2931"/>
      <c r="IK87" s="2931"/>
      <c r="IL87" s="2931"/>
      <c r="IM87" s="2931"/>
      <c r="IN87" s="2931"/>
      <c r="IO87" s="2931" cm="1">
        <f t="array" ref="IO87">IF(LEN($G87)=0,"Rent Roll is incomplete",_xlfn.XLOOKUP(TRUE,EXACT(RentRoll_InputArea_DesignatedUnitType,$G87),RentRoll_InputArea_Beds,"Not Found"))</f>
        <v>1</v>
      </c>
      <c r="IP87" s="2934"/>
      <c r="IQ87" s="2935" t="str">
        <f t="shared" si="20"/>
        <v>1 Bedroom Unit</v>
      </c>
      <c r="IR87" s="2926">
        <f t="shared" si="21"/>
        <v>1129</v>
      </c>
      <c r="IS87" s="2935"/>
      <c r="IT87" s="2931"/>
      <c r="IU87" s="2931"/>
      <c r="IV87" s="2931"/>
      <c r="IW87" s="2936" t="str">
        <f t="shared" si="22"/>
        <v>6-605</v>
      </c>
      <c r="IX87" s="2936"/>
      <c r="IY87" s="2936"/>
      <c r="IZ87" s="2936">
        <f t="shared" si="23"/>
        <v>1</v>
      </c>
      <c r="JA87" s="2936">
        <f t="shared" si="24"/>
        <v>1129</v>
      </c>
      <c r="JB87" s="2936"/>
      <c r="JC87" s="2936"/>
      <c r="JD87" s="2936"/>
      <c r="JE87" s="2936"/>
      <c r="JF87" s="2936"/>
      <c r="JG87" s="2936"/>
      <c r="JH87" s="2936">
        <f t="shared" si="25"/>
        <v>1159</v>
      </c>
      <c r="JI87" s="2936"/>
      <c r="JJ87" s="2936">
        <f t="shared" si="26"/>
      </c>
      <c r="JK87" s="2936"/>
      <c r="JL87" s="2936"/>
      <c r="JM87" s="2936"/>
      <c r="JN87" s="2936"/>
      <c r="JO87" s="2936"/>
      <c r="JP87" s="2936"/>
      <c r="JQ87" s="2936" t="str">
        <f t="shared" si="27"/>
        <v>Occupied</v>
      </c>
      <c r="JR87" s="2936" cm="1">
        <f t="array" ref="JR87">_xlfn.XLOOKUP(TRUE,EXACT(RentRoll_InputArea_DesignatedUnitType,$G87),RentRoll_InputArea_SquareFootage,"Not Found")</f>
        <v>704</v>
      </c>
      <c r="JS87" s="2936" t="str">
        <f t="shared" si="28"/>
        <v>Apartment</v>
      </c>
      <c r="JT87" s="2936">
        <f t="shared" si="29"/>
      </c>
      <c r="JU87" s="2936"/>
      <c r="JV87" s="2936"/>
      <c r="JW87" s="2936"/>
      <c r="JX87" s="2936"/>
      <c r="JY87" s="2936">
        <f t="shared" si="9"/>
        <v>43561</v>
      </c>
      <c r="JZ87" s="2936">
        <f t="shared" si="9"/>
        <v>43738</v>
      </c>
      <c r="KA87" s="2936"/>
      <c r="KB87" s="2936"/>
      <c r="KC87" s="2936"/>
      <c r="KD87" s="2936"/>
      <c r="KE87" s="2936"/>
      <c r="KF87" s="2936"/>
      <c r="KG87" s="2936"/>
      <c r="KH87" s="2936"/>
      <c r="KI87" s="2937"/>
      <c r="KJ87" s="2936"/>
      <c r="KK87" s="1353"/>
    </row>
    <row r="88" ht="15" customHeight="1">
      <c r="A88" s="2922">
        <f t="shared" si="10"/>
        <v>65</v>
      </c>
      <c r="B88" s="2865"/>
      <c r="C88" s="2873"/>
      <c r="D88" s="2873" t="s">
        <v>2872</v>
      </c>
      <c r="E88" s="2923">
        <v>1190</v>
      </c>
      <c r="F88" s="2924" t="s">
        <v>2873</v>
      </c>
      <c r="G88" s="2873" t="s">
        <v>2529</v>
      </c>
      <c r="H88" s="2923">
        <v>1099</v>
      </c>
      <c r="I88" s="2925" cm="1">
        <f t="array" ref="I88">_xlfn.LET(_xlpm.has_subsidy,$N88&gt;0,_xlpm.is_chap9_sbl,$FF$20,_xlpm.contract_rent,$H88,_xlpm.unit_type_mkt_rent,_xlfn.XLOOKUP(TRUE,EXACT($G88,RentRoll_InputArea_DesignatedUnitType),RentRoll_InputArea_MarketRent,"Not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8" s="2926">
        <f t="shared" si="11"/>
        <v>1099</v>
      </c>
      <c r="K88" s="2923"/>
      <c r="L88" s="2923"/>
      <c r="M88" s="2923"/>
      <c r="N88" s="2923"/>
      <c r="O88" s="2927">
        <v>43586</v>
      </c>
      <c r="P88" s="2927">
        <v>43951</v>
      </c>
      <c r="Q88" s="2928">
        <f t="shared" si="8"/>
        <v>1099</v>
      </c>
      <c r="R88" s="2928">
        <f t="shared" si="8"/>
      </c>
      <c r="S88" s="2928">
        <f t="shared" si="8"/>
      </c>
      <c r="T88" s="2928">
        <f t="shared" si="8"/>
      </c>
      <c r="U88" s="2928">
        <f t="shared" si="8"/>
      </c>
      <c r="V88" s="2928">
        <f t="shared" si="8"/>
      </c>
      <c r="W88" s="2928">
        <f t="shared" si="8"/>
      </c>
      <c r="X88" s="2928">
        <f t="shared" si="8"/>
      </c>
      <c r="Y88" s="2928">
        <f t="shared" si="8"/>
      </c>
      <c r="Z88" s="2928">
        <f t="shared" si="8"/>
      </c>
      <c r="AA88" s="2928">
        <f t="shared" si="8"/>
      </c>
      <c r="AB88" s="2928">
        <f t="shared" si="8"/>
      </c>
      <c r="AC88" s="2928">
        <f t="shared" si="8"/>
      </c>
      <c r="AD88" s="2928">
        <f t="shared" si="8"/>
      </c>
      <c r="AE88" s="2928">
        <f t="shared" si="8"/>
      </c>
      <c r="AF88" s="2928">
        <f t="shared" si="8"/>
      </c>
      <c r="AG88" s="2928">
        <f t="shared" si="8"/>
      </c>
      <c r="AH88" s="2928">
        <f t="shared" si="8"/>
      </c>
      <c r="AI88" s="2928">
        <f t="shared" si="8"/>
      </c>
      <c r="AJ88" s="2928">
        <f t="shared" si="8"/>
      </c>
      <c r="AK88" s="2928">
        <f t="shared" si="8"/>
      </c>
      <c r="AL88" s="2928">
        <f t="shared" si="8"/>
      </c>
      <c r="AM88" s="2928">
        <f t="shared" si="8"/>
      </c>
      <c r="AN88" s="2928">
        <f t="shared" si="8"/>
      </c>
      <c r="AO88" s="2928">
        <f t="shared" si="8"/>
      </c>
      <c r="AP88" s="2928">
        <f t="shared" si="8"/>
      </c>
      <c r="AQ88" s="2928">
        <f t="shared" si="8"/>
      </c>
      <c r="AR88" s="2928">
        <f t="shared" si="8"/>
      </c>
      <c r="AS88" s="2928">
        <f t="shared" si="8"/>
      </c>
      <c r="AT88" s="2928">
        <f t="shared" si="8"/>
      </c>
      <c r="AU88" s="2928">
        <f t="shared" si="8"/>
      </c>
      <c r="AV88" s="2928">
        <f t="shared" si="8"/>
      </c>
      <c r="AW88" s="2928">
        <f t="shared" si="8"/>
      </c>
      <c r="AX88" s="2928">
        <f t="shared" si="8"/>
      </c>
      <c r="AY88" s="2928">
        <f t="shared" si="8"/>
      </c>
      <c r="AZ88" s="2928">
        <f t="shared" si="8"/>
      </c>
      <c r="BA88" s="2928">
        <f t="shared" si="8"/>
      </c>
      <c r="BB88" s="2928">
        <f t="shared" si="8"/>
      </c>
      <c r="BC88" s="2928">
        <f t="shared" si="8"/>
      </c>
      <c r="BD88" s="2928">
        <f t="shared" si="8"/>
      </c>
      <c r="BE88" s="2928">
        <f t="shared" si="8"/>
      </c>
      <c r="BF88" s="2928">
        <f t="shared" si="8"/>
      </c>
      <c r="BG88" s="2928">
        <f t="shared" si="8"/>
      </c>
      <c r="BH88" s="2928">
        <f t="shared" si="8"/>
      </c>
      <c r="BI88" s="2928">
        <f t="shared" si="8"/>
      </c>
      <c r="BJ88" s="2928">
        <f t="shared" si="8"/>
      </c>
      <c r="BK88" s="2928">
        <f t="shared" si="8"/>
      </c>
      <c r="BL88" s="2928">
        <f t="shared" si="8"/>
      </c>
      <c r="BM88" s="2928">
        <f t="shared" si="8"/>
      </c>
      <c r="BN88" s="2928">
        <f t="shared" si="8"/>
      </c>
      <c r="BO88" s="2928">
        <f t="shared" si="8"/>
      </c>
      <c r="BP88" s="2928">
        <f t="shared" si="8"/>
      </c>
      <c r="BQ88" s="2928">
        <f t="shared" si="8"/>
      </c>
      <c r="BR88" s="2928">
        <f t="shared" si="8"/>
      </c>
      <c r="BS88" s="2928">
        <f t="shared" si="8"/>
      </c>
      <c r="BT88" s="2928">
        <f t="shared" si="8"/>
      </c>
      <c r="BU88" s="2928">
        <f t="shared" si="8"/>
      </c>
      <c r="BV88" s="2928">
        <f t="shared" si="8"/>
      </c>
      <c r="BW88" s="2928">
        <f t="shared" si="8"/>
      </c>
      <c r="BX88" s="2928">
        <f t="shared" si="8"/>
      </c>
      <c r="BY88" s="2928">
        <f t="shared" si="8"/>
      </c>
      <c r="BZ88" s="2928">
        <f t="shared" si="8"/>
      </c>
      <c r="CA88" s="2928">
        <f t="shared" si="8"/>
      </c>
      <c r="CB88" s="2928">
        <f t="shared" si="8"/>
      </c>
      <c r="CC88" s="2928">
        <f t="shared" si="8"/>
      </c>
      <c r="CD88" s="2928">
        <f t="shared" si="8"/>
      </c>
      <c r="CE88" s="2928">
        <f t="shared" si="8"/>
      </c>
      <c r="CF88" s="2928">
        <f t="shared" si="8"/>
      </c>
      <c r="CG88" s="2928">
        <f t="shared" si="8"/>
      </c>
      <c r="CH88" s="2928">
        <f t="shared" si="8"/>
      </c>
      <c r="CI88" s="2928">
        <f t="shared" si="8"/>
      </c>
      <c r="CJ88" s="2928">
        <f t="shared" si="8"/>
      </c>
      <c r="CK88" s="2928">
        <f t="shared" si="8"/>
      </c>
      <c r="CL88" s="2928">
        <f t="shared" si="8"/>
      </c>
      <c r="CM88" s="2928">
        <f t="shared" si="8"/>
      </c>
      <c r="CN88" s="2928">
        <f t="shared" si="8"/>
      </c>
      <c r="CO88" s="2928">
        <f t="shared" si="8"/>
      </c>
      <c r="CP88" s="2928">
        <f t="shared" si="8"/>
      </c>
      <c r="CQ88" s="2928">
        <f t="shared" si="8"/>
      </c>
      <c r="CR88" s="2928">
        <f t="shared" si="8"/>
      </c>
      <c r="CS88" s="2928">
        <f t="shared" si="8"/>
      </c>
      <c r="CT88" s="2928">
        <f t="shared" si="8"/>
      </c>
      <c r="CU88" s="2928">
        <f t="shared" si="8"/>
      </c>
      <c r="CV88" s="2928">
        <f t="shared" si="8"/>
      </c>
      <c r="CW88" s="2928">
        <f t="shared" si="8"/>
      </c>
      <c r="CX88" s="2928">
        <f t="shared" si="8"/>
      </c>
      <c r="CY88" s="2928">
        <f t="shared" si="8"/>
      </c>
      <c r="CZ88" s="2928">
        <f t="shared" si="8"/>
      </c>
      <c r="DA88" s="2928">
        <f t="shared" si="8"/>
      </c>
      <c r="DB88" s="2928">
        <f t="shared" si="8"/>
      </c>
      <c r="DC88" s="2928">
        <f t="shared" si="8"/>
      </c>
      <c r="DD88" s="2928">
        <f t="shared" si="8"/>
      </c>
      <c r="DE88" s="2928">
        <f t="shared" si="8"/>
      </c>
      <c r="DF88" s="2928">
        <f t="shared" si="8"/>
      </c>
      <c r="DG88" s="2928">
        <f t="shared" si="8"/>
      </c>
      <c r="DH88" s="2928">
        <f t="shared" si="8"/>
      </c>
      <c r="DI88" s="2928">
        <f t="shared" si="8"/>
      </c>
      <c r="DJ88" s="2928">
        <f t="shared" si="8"/>
      </c>
      <c r="DK88" s="2928">
        <f t="shared" si="8"/>
      </c>
      <c r="DL88" s="2928">
        <f t="shared" si="8"/>
      </c>
      <c r="DM88" s="2928">
        <f t="shared" si="8"/>
      </c>
      <c r="DN88" s="2928">
        <f t="shared" si="8"/>
      </c>
      <c r="DO88" s="2928">
        <f t="shared" si="8"/>
      </c>
      <c r="DP88" s="2928">
        <f t="shared" si="8"/>
      </c>
      <c r="DQ88" s="2928">
        <f t="shared" si="8"/>
      </c>
      <c r="DR88" s="2928">
        <f t="shared" si="8"/>
      </c>
      <c r="DS88" s="2928">
        <f t="shared" si="8"/>
      </c>
      <c r="DT88" s="2928">
        <f t="shared" si="8"/>
      </c>
      <c r="DU88" s="2928">
        <f t="shared" si="8"/>
      </c>
      <c r="DV88" s="2928">
        <f t="shared" si="8"/>
      </c>
      <c r="DW88" s="2928">
        <f t="shared" si="8"/>
      </c>
      <c r="DX88" s="2928">
        <f t="shared" si="8"/>
      </c>
      <c r="DY88" s="2928">
        <f t="shared" si="8"/>
      </c>
      <c r="DZ88" s="2928">
        <f t="shared" si="8"/>
      </c>
      <c r="EA88" s="2928">
        <f t="shared" si="8"/>
      </c>
      <c r="EB88" s="2928">
        <f t="shared" si="8"/>
      </c>
      <c r="EC88" s="2928">
        <f t="shared" si="8"/>
      </c>
      <c r="ED88" s="2928">
        <f t="shared" si="8"/>
      </c>
      <c r="EE88" s="2928">
        <f t="shared" si="8"/>
      </c>
      <c r="EF88" s="2928">
        <f t="shared" si="8"/>
      </c>
      <c r="EG88" s="2928">
        <f t="shared" si="8"/>
      </c>
      <c r="EH88" s="2928">
        <f t="shared" si="8"/>
      </c>
      <c r="EI88" s="2928">
        <f t="shared" si="8"/>
      </c>
      <c r="EJ88" s="2928">
        <f t="shared" si="8"/>
      </c>
      <c r="EK88" s="2928">
        <f t="shared" si="8"/>
      </c>
      <c r="EL88" s="2928">
        <f t="shared" si="8"/>
      </c>
      <c r="EM88" s="2928">
        <f t="shared" si="8"/>
      </c>
      <c r="EN88" s="2928">
        <f t="shared" si="8"/>
      </c>
      <c r="EO88" s="2928">
        <f t="shared" si="8"/>
      </c>
      <c r="EP88" s="2928">
        <f t="shared" si="8"/>
      </c>
      <c r="EQ88" s="2928">
        <f t="shared" si="8"/>
      </c>
      <c r="ER88" s="2928">
        <f t="shared" si="8"/>
      </c>
      <c r="ES88" s="2928">
        <f t="shared" si="8"/>
      </c>
      <c r="ET88" s="2928">
        <f t="shared" si="8"/>
      </c>
      <c r="EU88" s="2928">
        <f t="shared" si="8"/>
      </c>
      <c r="EV88" s="2928">
        <f t="shared" si="8"/>
      </c>
      <c r="EW88" s="2928">
        <f t="shared" si="8"/>
      </c>
      <c r="EX88" s="2928">
        <f t="shared" si="8"/>
      </c>
      <c r="EY88" s="2928">
        <f t="shared" si="8"/>
      </c>
      <c r="EZ88" s="2928">
        <f t="shared" si="8"/>
      </c>
      <c r="FA88" s="2929" t="str">
        <f t="shared" si="12"/>
        <v>-</v>
      </c>
      <c r="FB88" s="2825">
        <f t="shared" si="13"/>
      </c>
      <c r="FC88" s="2930" cm="1">
        <f t="array" ref="FC88">_xlfn.LET(_xlpm.unit_type,$G88,_xlpm.market_rent_from_rent_roll,$E88,_xlpm.unit_type_list,RentRoll_InputArea_DesignatedUnitType,_xlpm.rent_by_unit_type,RentRoll_InputArea_MarketRent,_xlpm.use_rent_roll_market_rent,LEFT(RR_VacantUnitMktRentSource,9)="Rent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8" s="2930">
        <f t="shared" si="14"/>
        <v>1099</v>
      </c>
      <c r="FE88" s="2930">
        <f t="shared" si="15"/>
        <v>1099</v>
      </c>
      <c r="FF88" s="2930">
        <f t="shared" si="16"/>
        <v>1099</v>
      </c>
      <c r="FG88" s="2931"/>
      <c r="FH88" s="2932">
        <f t="shared" si="17"/>
      </c>
      <c r="FI88" s="2932">
        <f t="shared" si="18"/>
      </c>
      <c r="FJ88" s="2931"/>
      <c r="FK88" s="2933" cm="1">
        <f t="array" ref="FK88">IF(AND(LEN($D88)&gt;0,ISNA(MATCH(TRUE,EXACT($G88,RentRoll_InputArea_DesignatedUnitType),0))),1,0)</f>
        <v>0</v>
      </c>
      <c r="FL88" s="2931">
        <f t="shared" si="19"/>
        <v>65</v>
      </c>
      <c r="FM88" s="2931"/>
      <c r="FN88" s="2931"/>
      <c r="FO88" s="2931"/>
      <c r="FP88" s="2931"/>
      <c r="FQ88" s="2931"/>
      <c r="FR88" s="2931"/>
      <c r="FS88" s="2931"/>
      <c r="FT88" s="2931"/>
      <c r="FU88" s="2931"/>
      <c r="FV88" s="2931"/>
      <c r="FW88" s="2931"/>
      <c r="FX88" s="2931"/>
      <c r="FY88" s="2931"/>
      <c r="FZ88" s="2931"/>
      <c r="GA88" s="2931"/>
      <c r="GB88" s="2931"/>
      <c r="GC88" s="2931"/>
      <c r="GD88" s="2931"/>
      <c r="GE88" s="2931"/>
      <c r="GF88" s="2931"/>
      <c r="GG88" s="2931"/>
      <c r="GH88" s="2931"/>
      <c r="GI88" s="2931"/>
      <c r="GJ88" s="2931"/>
      <c r="GK88" s="2931"/>
      <c r="GL88" s="2931"/>
      <c r="GM88" s="2931"/>
      <c r="GN88" s="2931"/>
      <c r="GO88" s="2931"/>
      <c r="GP88" s="2931"/>
      <c r="GQ88" s="2931"/>
      <c r="GR88" s="2931"/>
      <c r="GS88" s="2931"/>
      <c r="GT88" s="2931"/>
      <c r="GU88" s="2931"/>
      <c r="GV88" s="2931"/>
      <c r="GW88" s="2931"/>
      <c r="GX88" s="2931"/>
      <c r="GY88" s="2931"/>
      <c r="GZ88" s="2931"/>
      <c r="HA88" s="2931"/>
      <c r="HB88" s="2931"/>
      <c r="HC88" s="2931"/>
      <c r="HD88" s="2931"/>
      <c r="HE88" s="2931"/>
      <c r="HF88" s="2931"/>
      <c r="HG88" s="2931"/>
      <c r="HH88" s="2931"/>
      <c r="HI88" s="2931"/>
      <c r="HJ88" s="2931"/>
      <c r="HK88" s="2931"/>
      <c r="HL88" s="2931"/>
      <c r="HM88" s="2931"/>
      <c r="HN88" s="2931"/>
      <c r="HO88" s="2931"/>
      <c r="HP88" s="2931"/>
      <c r="HQ88" s="2931"/>
      <c r="HR88" s="2931"/>
      <c r="HS88" s="2931"/>
      <c r="HT88" s="2931"/>
      <c r="HU88" s="2931"/>
      <c r="HV88" s="2931"/>
      <c r="HW88" s="2931"/>
      <c r="HX88" s="2931"/>
      <c r="HY88" s="2931"/>
      <c r="HZ88" s="2931"/>
      <c r="IA88" s="2931"/>
      <c r="IB88" s="2931"/>
      <c r="IC88" s="2931"/>
      <c r="ID88" s="2931"/>
      <c r="IE88" s="2931"/>
      <c r="IF88" s="2931"/>
      <c r="IG88" s="2931"/>
      <c r="IH88" s="2931"/>
      <c r="II88" s="2931"/>
      <c r="IJ88" s="2931"/>
      <c r="IK88" s="2931"/>
      <c r="IL88" s="2931"/>
      <c r="IM88" s="2931"/>
      <c r="IN88" s="2931"/>
      <c r="IO88" s="2931" cm="1">
        <f t="array" ref="IO88">IF(LEN($G88)=0,"Rent Roll is incomplete",_xlfn.XLOOKUP(TRUE,EXACT(RentRoll_InputArea_DesignatedUnitType,$G88),RentRoll_InputArea_Beds,"Not Found"))</f>
        <v>1</v>
      </c>
      <c r="IP88" s="2934"/>
      <c r="IQ88" s="2935" t="str">
        <f t="shared" si="20"/>
        <v>1 Bedroom Unit</v>
      </c>
      <c r="IR88" s="2926">
        <f t="shared" si="21"/>
        <v>1099</v>
      </c>
      <c r="IS88" s="2935"/>
      <c r="IT88" s="2931"/>
      <c r="IU88" s="2931"/>
      <c r="IV88" s="2931"/>
      <c r="IW88" s="2936" t="str">
        <f t="shared" si="22"/>
        <v>6-606</v>
      </c>
      <c r="IX88" s="2936"/>
      <c r="IY88" s="2936"/>
      <c r="IZ88" s="2936">
        <f t="shared" si="23"/>
        <v>1</v>
      </c>
      <c r="JA88" s="2936">
        <f t="shared" si="24"/>
        <v>1099</v>
      </c>
      <c r="JB88" s="2936"/>
      <c r="JC88" s="2936"/>
      <c r="JD88" s="2936"/>
      <c r="JE88" s="2936"/>
      <c r="JF88" s="2936"/>
      <c r="JG88" s="2936"/>
      <c r="JH88" s="2936">
        <f t="shared" si="25"/>
        <v>1159</v>
      </c>
      <c r="JI88" s="2936"/>
      <c r="JJ88" s="2936">
        <f t="shared" si="26"/>
      </c>
      <c r="JK88" s="2936"/>
      <c r="JL88" s="2936"/>
      <c r="JM88" s="2936"/>
      <c r="JN88" s="2936"/>
      <c r="JO88" s="2936"/>
      <c r="JP88" s="2936"/>
      <c r="JQ88" s="2936" t="str">
        <f t="shared" si="27"/>
        <v>Occupied</v>
      </c>
      <c r="JR88" s="2936" cm="1">
        <f t="array" ref="JR88">_xlfn.XLOOKUP(TRUE,EXACT(RentRoll_InputArea_DesignatedUnitType,$G88),RentRoll_InputArea_SquareFootage,"Not Found")</f>
        <v>704</v>
      </c>
      <c r="JS88" s="2936" t="str">
        <f t="shared" si="28"/>
        <v>Apartment</v>
      </c>
      <c r="JT88" s="2936">
        <f t="shared" si="29"/>
      </c>
      <c r="JU88" s="2936"/>
      <c r="JV88" s="2936"/>
      <c r="JW88" s="2936"/>
      <c r="JX88" s="2936"/>
      <c r="JY88" s="2936">
        <f t="shared" si="9"/>
        <v>43586</v>
      </c>
      <c r="JZ88" s="2936">
        <f t="shared" si="9"/>
        <v>43951</v>
      </c>
      <c r="KA88" s="2936"/>
      <c r="KB88" s="2936"/>
      <c r="KC88" s="2936"/>
      <c r="KD88" s="2936"/>
      <c r="KE88" s="2936"/>
      <c r="KF88" s="2936"/>
      <c r="KG88" s="2936"/>
      <c r="KH88" s="2936"/>
      <c r="KI88" s="2937"/>
      <c r="KJ88" s="2936"/>
      <c r="KK88" s="1353"/>
    </row>
    <row r="89" ht="15" customHeight="1">
      <c r="A89" s="2922">
        <f t="shared" si="10"/>
        <v>66</v>
      </c>
      <c r="B89" s="2865"/>
      <c r="C89" s="2873"/>
      <c r="D89" s="2873" t="s">
        <v>2874</v>
      </c>
      <c r="E89" s="2923">
        <v>1181</v>
      </c>
      <c r="F89" s="2924" t="s">
        <v>2875</v>
      </c>
      <c r="G89" s="2873" t="s">
        <v>2529</v>
      </c>
      <c r="H89" s="2923">
        <v>1114</v>
      </c>
      <c r="I89" s="2925" cm="1">
        <f t="array" ref="I89">_xlfn.LET(_xlpm.has_subsidy,$N89&gt;0,_xlpm.is_chap9_sbl,$FF$20,_xlpm.contract_rent,$H89,_xlpm.unit_type_mkt_rent,_xlfn.XLOOKUP(TRUE,EXACT($G89,RentRoll_InputArea_DesignatedUnitType),RentRoll_InputArea_MarketRent,"Not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89" s="2926">
        <f t="shared" si="11"/>
        <v>1114</v>
      </c>
      <c r="K89" s="2923"/>
      <c r="L89" s="2923"/>
      <c r="M89" s="2923"/>
      <c r="N89" s="2923"/>
      <c r="O89" s="2927">
        <v>43344</v>
      </c>
      <c r="P89" s="2927">
        <v>43616</v>
      </c>
      <c r="Q89" s="2928">
        <f t="shared" si="8"/>
        <v>1114</v>
      </c>
      <c r="R89" s="2928">
        <f t="shared" si="8"/>
      </c>
      <c r="S89" s="2928">
        <f t="shared" si="8"/>
      </c>
      <c r="T89" s="2928">
        <f t="shared" si="8"/>
      </c>
      <c r="U89" s="2928">
        <f t="shared" si="8"/>
      </c>
      <c r="V89" s="2928">
        <f t="shared" si="8"/>
      </c>
      <c r="W89" s="2928">
        <f t="shared" si="8"/>
      </c>
      <c r="X89" s="2928">
        <f t="shared" si="8"/>
      </c>
      <c r="Y89" s="2928">
        <f t="shared" si="8"/>
      </c>
      <c r="Z89" s="2928">
        <f t="shared" si="8"/>
      </c>
      <c r="AA89" s="2928">
        <f t="shared" si="8"/>
      </c>
      <c r="AB89" s="2928">
        <f t="shared" si="8"/>
      </c>
      <c r="AC89" s="2928">
        <f t="shared" si="8"/>
      </c>
      <c r="AD89" s="2928">
        <f t="shared" si="8"/>
      </c>
      <c r="AE89" s="2928">
        <f t="shared" si="8"/>
      </c>
      <c r="AF89" s="2928">
        <f t="shared" si="8"/>
      </c>
      <c r="AG89" s="2928">
        <f t="shared" si="8"/>
      </c>
      <c r="AH89" s="2928">
        <f t="shared" si="8"/>
      </c>
      <c r="AI89" s="2928">
        <f t="shared" si="8"/>
      </c>
      <c r="AJ89" s="2928">
        <f t="shared" si="8"/>
      </c>
      <c r="AK89" s="2928">
        <f t="shared" si="8"/>
      </c>
      <c r="AL89" s="2928">
        <f t="shared" si="8"/>
      </c>
      <c r="AM89" s="2928">
        <f t="shared" si="8"/>
      </c>
      <c r="AN89" s="2928">
        <f t="shared" si="8"/>
      </c>
      <c r="AO89" s="2928">
        <f t="shared" si="8"/>
      </c>
      <c r="AP89" s="2928">
        <f t="shared" si="8"/>
      </c>
      <c r="AQ89" s="2928">
        <f t="shared" si="8"/>
      </c>
      <c r="AR89" s="2928">
        <f t="shared" si="8"/>
      </c>
      <c r="AS89" s="2928">
        <f t="shared" si="8"/>
      </c>
      <c r="AT89" s="2928">
        <f t="shared" si="8"/>
      </c>
      <c r="AU89" s="2928">
        <f t="shared" si="8"/>
      </c>
      <c r="AV89" s="2928">
        <f t="shared" si="8"/>
      </c>
      <c r="AW89" s="2928">
        <f t="shared" si="8"/>
      </c>
      <c r="AX89" s="2928">
        <f t="shared" si="8"/>
      </c>
      <c r="AY89" s="2928">
        <f t="shared" si="8"/>
      </c>
      <c r="AZ89" s="2928">
        <f t="shared" si="8"/>
      </c>
      <c r="BA89" s="2928">
        <f t="shared" si="8"/>
      </c>
      <c r="BB89" s="2928">
        <f t="shared" si="8"/>
      </c>
      <c r="BC89" s="2928">
        <f t="shared" si="8"/>
      </c>
      <c r="BD89" s="2928">
        <f t="shared" si="8"/>
      </c>
      <c r="BE89" s="2928">
        <f t="shared" si="8"/>
      </c>
      <c r="BF89" s="2928">
        <f t="shared" si="8"/>
      </c>
      <c r="BG89" s="2928">
        <f t="shared" si="8"/>
      </c>
      <c r="BH89" s="2928">
        <f t="shared" si="8"/>
      </c>
      <c r="BI89" s="2928">
        <f t="shared" si="8"/>
      </c>
      <c r="BJ89" s="2928">
        <f t="shared" si="8"/>
      </c>
      <c r="BK89" s="2928">
        <f t="shared" si="8"/>
      </c>
      <c r="BL89" s="2928">
        <f t="shared" si="8"/>
      </c>
      <c r="BM89" s="2928">
        <f t="shared" si="8"/>
      </c>
      <c r="BN89" s="2928">
        <f t="shared" si="8"/>
      </c>
      <c r="BO89" s="2928">
        <f t="shared" si="8"/>
      </c>
      <c r="BP89" s="2928">
        <f t="shared" si="8"/>
      </c>
      <c r="BQ89" s="2928">
        <f t="shared" si="8"/>
      </c>
      <c r="BR89" s="2928">
        <f t="shared" si="8"/>
      </c>
      <c r="BS89" s="2928">
        <f t="shared" si="8"/>
      </c>
      <c r="BT89" s="2928">
        <f t="shared" si="8"/>
      </c>
      <c r="BU89" s="2928">
        <f t="shared" si="8"/>
      </c>
      <c r="BV89" s="2928">
        <f t="shared" si="8"/>
      </c>
      <c r="BW89" s="2928">
        <f t="shared" si="8"/>
      </c>
      <c r="BX89" s="2928">
        <f t="shared" si="8"/>
      </c>
      <c r="BY89" s="2928">
        <f t="shared" si="8"/>
      </c>
      <c r="BZ89" s="2928">
        <f t="shared" si="8"/>
      </c>
      <c r="CA89" s="2928">
        <f t="shared" si="8"/>
      </c>
      <c r="CB89" s="2928">
        <f t="shared" si="8"/>
      </c>
      <c r="CC89" s="2928">
        <f t="shared" si="8"/>
      </c>
      <c r="CD89" s="2928">
        <f t="shared" si="8"/>
      </c>
      <c r="CE89" s="2928">
        <f t="shared" si="8"/>
      </c>
      <c r="CF89" s="2928">
        <f t="shared" si="8"/>
      </c>
      <c r="CG89" s="2928">
        <f t="shared" si="8"/>
      </c>
      <c r="CH89" s="2928">
        <f t="shared" si="8"/>
      </c>
      <c r="CI89" s="2928">
        <f t="shared" si="8"/>
      </c>
      <c r="CJ89" s="2928">
        <f t="shared" si="8"/>
      </c>
      <c r="CK89" s="2928">
        <f t="shared" si="8"/>
      </c>
      <c r="CL89" s="2928">
        <f t="shared" si="8"/>
      </c>
      <c r="CM89" s="2928">
        <f t="shared" si="8"/>
      </c>
      <c r="CN89" s="2928">
        <f t="shared" si="8"/>
      </c>
      <c r="CO89" s="2928">
        <f t="shared" si="8"/>
      </c>
      <c r="CP89" s="2928">
        <f t="shared" si="8"/>
      </c>
      <c r="CQ89" s="2928">
        <f t="shared" si="8"/>
      </c>
      <c r="CR89" s="2928">
        <f t="shared" si="8"/>
      </c>
      <c r="CS89" s="2928">
        <f t="shared" si="8"/>
      </c>
      <c r="CT89" s="2928">
        <f t="shared" si="8"/>
      </c>
      <c r="CU89" s="2928">
        <f t="shared" si="8"/>
      </c>
      <c r="CV89" s="2928">
        <f t="shared" si="8"/>
      </c>
      <c r="CW89" s="2928">
        <f t="shared" si="8"/>
      </c>
      <c r="CX89" s="2928">
        <f t="shared" si="8"/>
      </c>
      <c r="CY89" s="2928">
        <f t="shared" si="8"/>
      </c>
      <c r="CZ89" s="2928">
        <f t="shared" si="8"/>
      </c>
      <c r="DA89" s="2928">
        <f t="shared" si="8"/>
      </c>
      <c r="DB89" s="2928">
        <f t="shared" si="8"/>
      </c>
      <c r="DC89" s="2928">
        <f t="shared" si="8"/>
      </c>
      <c r="DD89" s="2928">
        <f t="shared" si="8"/>
      </c>
      <c r="DE89" s="2928">
        <f t="shared" si="8"/>
      </c>
      <c r="DF89" s="2928">
        <f t="shared" si="8"/>
      </c>
      <c r="DG89" s="2928">
        <f t="shared" si="8"/>
      </c>
      <c r="DH89" s="2928">
        <f t="shared" si="8"/>
      </c>
      <c r="DI89" s="2928">
        <f t="shared" si="8"/>
      </c>
      <c r="DJ89" s="2928">
        <f t="shared" si="8"/>
      </c>
      <c r="DK89" s="2928">
        <f t="shared" si="8"/>
      </c>
      <c r="DL89" s="2928">
        <f t="shared" si="8"/>
      </c>
      <c r="DM89" s="2928">
        <f t="shared" si="8"/>
      </c>
      <c r="DN89" s="2928">
        <f t="shared" si="8"/>
      </c>
      <c r="DO89" s="2928">
        <f t="shared" si="8"/>
      </c>
      <c r="DP89" s="2928">
        <f t="shared" si="8"/>
      </c>
      <c r="DQ89" s="2928">
        <f t="shared" si="8"/>
      </c>
      <c r="DR89" s="2928">
        <f t="shared" si="8"/>
      </c>
      <c r="DS89" s="2928">
        <f t="shared" si="8"/>
      </c>
      <c r="DT89" s="2928">
        <f t="shared" si="8"/>
      </c>
      <c r="DU89" s="2928">
        <f t="shared" si="8"/>
      </c>
      <c r="DV89" s="2928">
        <f t="shared" si="8"/>
      </c>
      <c r="DW89" s="2928">
        <f t="shared" si="8"/>
      </c>
      <c r="DX89" s="2928">
        <f t="shared" si="8"/>
      </c>
      <c r="DY89" s="2928">
        <f t="shared" si="8"/>
      </c>
      <c r="DZ89" s="2928">
        <f t="shared" si="8"/>
      </c>
      <c r="EA89" s="2928">
        <f t="shared" si="8"/>
      </c>
      <c r="EB89" s="2928">
        <f t="shared" si="8"/>
      </c>
      <c r="EC89" s="2928">
        <f t="shared" si="8"/>
      </c>
      <c r="ED89" s="2928">
        <f t="shared" si="8"/>
      </c>
      <c r="EE89" s="2928">
        <f t="shared" si="8"/>
      </c>
      <c r="EF89" s="2928">
        <f t="shared" si="8"/>
      </c>
      <c r="EG89" s="2928">
        <f t="shared" si="8"/>
      </c>
      <c r="EH89" s="2928">
        <f t="shared" si="8"/>
      </c>
      <c r="EI89" s="2928">
        <f t="shared" si="8"/>
      </c>
      <c r="EJ89" s="2928">
        <f t="shared" si="8"/>
      </c>
      <c r="EK89" s="2928">
        <f t="shared" si="8"/>
      </c>
      <c r="EL89" s="2928">
        <f t="shared" si="8"/>
      </c>
      <c r="EM89" s="2928">
        <f t="shared" si="8"/>
      </c>
      <c r="EN89" s="2928">
        <f t="shared" si="8"/>
      </c>
      <c r="EO89" s="2928">
        <f t="shared" si="8"/>
      </c>
      <c r="EP89" s="2928">
        <f t="shared" si="8"/>
      </c>
      <c r="EQ89" s="2928">
        <f t="shared" si="8"/>
      </c>
      <c r="ER89" s="2928">
        <f t="shared" si="8"/>
      </c>
      <c r="ES89" s="2928">
        <f t="shared" si="8"/>
      </c>
      <c r="ET89" s="2928">
        <f t="shared" si="8"/>
      </c>
      <c r="EU89" s="2928">
        <f t="shared" si="8"/>
      </c>
      <c r="EV89" s="2928">
        <f t="shared" si="8"/>
      </c>
      <c r="EW89" s="2928">
        <f t="shared" si="8"/>
      </c>
      <c r="EX89" s="2928">
        <f t="shared" si="8"/>
      </c>
      <c r="EY89" s="2928">
        <f t="shared" si="8"/>
      </c>
      <c r="EZ89" s="2928">
        <f t="shared" si="8"/>
      </c>
      <c r="FA89" s="2929" t="str">
        <f t="shared" si="12"/>
        <v>-</v>
      </c>
      <c r="FB89" s="2825">
        <f t="shared" si="13"/>
      </c>
      <c r="FC89" s="2930" cm="1">
        <f t="array" ref="FC89">_xlfn.LET(_xlpm.unit_type,$G89,_xlpm.market_rent_from_rent_roll,$E89,_xlpm.unit_type_list,RentRoll_InputArea_DesignatedUnitType,_xlpm.rent_by_unit_type,RentRoll_InputArea_MarketRent,_xlpm.use_rent_roll_market_rent,LEFT(RR_VacantUnitMktRentSource,9)="Rent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89" s="2930">
        <f t="shared" si="14"/>
        <v>1114</v>
      </c>
      <c r="FE89" s="2930">
        <f t="shared" si="15"/>
        <v>1114</v>
      </c>
      <c r="FF89" s="2930">
        <f t="shared" si="16"/>
        <v>1114</v>
      </c>
      <c r="FG89" s="2931"/>
      <c r="FH89" s="2932">
        <f t="shared" si="17"/>
      </c>
      <c r="FI89" s="2932">
        <f t="shared" si="18"/>
      </c>
      <c r="FJ89" s="2931"/>
      <c r="FK89" s="2933" cm="1">
        <f t="array" ref="FK89">IF(AND(LEN($D89)&gt;0,ISNA(MATCH(TRUE,EXACT($G89,RentRoll_InputArea_DesignatedUnitType),0))),1,0)</f>
        <v>0</v>
      </c>
      <c r="FL89" s="2931">
        <f t="shared" si="19"/>
        <v>66</v>
      </c>
      <c r="FM89" s="2931"/>
      <c r="FN89" s="2931"/>
      <c r="FO89" s="2931"/>
      <c r="FP89" s="2931"/>
      <c r="FQ89" s="2931"/>
      <c r="FR89" s="2931"/>
      <c r="FS89" s="2931"/>
      <c r="FT89" s="2931"/>
      <c r="FU89" s="2931"/>
      <c r="FV89" s="2931"/>
      <c r="FW89" s="2931"/>
      <c r="FX89" s="2931"/>
      <c r="FY89" s="2931"/>
      <c r="FZ89" s="2931"/>
      <c r="GA89" s="2931"/>
      <c r="GB89" s="2931"/>
      <c r="GC89" s="2931"/>
      <c r="GD89" s="2931"/>
      <c r="GE89" s="2931"/>
      <c r="GF89" s="2931"/>
      <c r="GG89" s="2931"/>
      <c r="GH89" s="2931"/>
      <c r="GI89" s="2931"/>
      <c r="GJ89" s="2931"/>
      <c r="GK89" s="2931"/>
      <c r="GL89" s="2931"/>
      <c r="GM89" s="2931"/>
      <c r="GN89" s="2931"/>
      <c r="GO89" s="2931"/>
      <c r="GP89" s="2931"/>
      <c r="GQ89" s="2931"/>
      <c r="GR89" s="2931"/>
      <c r="GS89" s="2931"/>
      <c r="GT89" s="2931"/>
      <c r="GU89" s="2931"/>
      <c r="GV89" s="2931"/>
      <c r="GW89" s="2931"/>
      <c r="GX89" s="2931"/>
      <c r="GY89" s="2931"/>
      <c r="GZ89" s="2931"/>
      <c r="HA89" s="2931"/>
      <c r="HB89" s="2931"/>
      <c r="HC89" s="2931"/>
      <c r="HD89" s="2931"/>
      <c r="HE89" s="2931"/>
      <c r="HF89" s="2931"/>
      <c r="HG89" s="2931"/>
      <c r="HH89" s="2931"/>
      <c r="HI89" s="2931"/>
      <c r="HJ89" s="2931"/>
      <c r="HK89" s="2931"/>
      <c r="HL89" s="2931"/>
      <c r="HM89" s="2931"/>
      <c r="HN89" s="2931"/>
      <c r="HO89" s="2931"/>
      <c r="HP89" s="2931"/>
      <c r="HQ89" s="2931"/>
      <c r="HR89" s="2931"/>
      <c r="HS89" s="2931"/>
      <c r="HT89" s="2931"/>
      <c r="HU89" s="2931"/>
      <c r="HV89" s="2931"/>
      <c r="HW89" s="2931"/>
      <c r="HX89" s="2931"/>
      <c r="HY89" s="2931"/>
      <c r="HZ89" s="2931"/>
      <c r="IA89" s="2931"/>
      <c r="IB89" s="2931"/>
      <c r="IC89" s="2931"/>
      <c r="ID89" s="2931"/>
      <c r="IE89" s="2931"/>
      <c r="IF89" s="2931"/>
      <c r="IG89" s="2931"/>
      <c r="IH89" s="2931"/>
      <c r="II89" s="2931"/>
      <c r="IJ89" s="2931"/>
      <c r="IK89" s="2931"/>
      <c r="IL89" s="2931"/>
      <c r="IM89" s="2931"/>
      <c r="IN89" s="2931"/>
      <c r="IO89" s="2931" cm="1">
        <f t="array" ref="IO89">IF(LEN($G89)=0,"Rent Roll is incomplete",_xlfn.XLOOKUP(TRUE,EXACT(RentRoll_InputArea_DesignatedUnitType,$G89),RentRoll_InputArea_Beds,"Not Found"))</f>
        <v>1</v>
      </c>
      <c r="IP89" s="2934"/>
      <c r="IQ89" s="2935" t="str">
        <f t="shared" si="20"/>
        <v>1 Bedroom Unit</v>
      </c>
      <c r="IR89" s="2926">
        <f t="shared" si="21"/>
        <v>1114</v>
      </c>
      <c r="IS89" s="2935"/>
      <c r="IT89" s="2931"/>
      <c r="IU89" s="2931"/>
      <c r="IV89" s="2931"/>
      <c r="IW89" s="2936" t="str">
        <f t="shared" si="22"/>
        <v>6-607</v>
      </c>
      <c r="IX89" s="2936"/>
      <c r="IY89" s="2936"/>
      <c r="IZ89" s="2936">
        <f t="shared" si="23"/>
        <v>1</v>
      </c>
      <c r="JA89" s="2936">
        <f t="shared" si="24"/>
        <v>1114</v>
      </c>
      <c r="JB89" s="2936"/>
      <c r="JC89" s="2936"/>
      <c r="JD89" s="2936"/>
      <c r="JE89" s="2936"/>
      <c r="JF89" s="2936"/>
      <c r="JG89" s="2936"/>
      <c r="JH89" s="2936">
        <f t="shared" si="25"/>
        <v>1159</v>
      </c>
      <c r="JI89" s="2936"/>
      <c r="JJ89" s="2936">
        <f t="shared" si="26"/>
      </c>
      <c r="JK89" s="2936"/>
      <c r="JL89" s="2936"/>
      <c r="JM89" s="2936"/>
      <c r="JN89" s="2936"/>
      <c r="JO89" s="2936"/>
      <c r="JP89" s="2936"/>
      <c r="JQ89" s="2936" t="str">
        <f t="shared" si="27"/>
        <v>Occupied</v>
      </c>
      <c r="JR89" s="2936" cm="1">
        <f t="array" ref="JR89">_xlfn.XLOOKUP(TRUE,EXACT(RentRoll_InputArea_DesignatedUnitType,$G89),RentRoll_InputArea_SquareFootage,"Not Found")</f>
        <v>704</v>
      </c>
      <c r="JS89" s="2936" t="str">
        <f t="shared" si="28"/>
        <v>Apartment</v>
      </c>
      <c r="JT89" s="2936">
        <f t="shared" si="29"/>
      </c>
      <c r="JU89" s="2936"/>
      <c r="JV89" s="2936"/>
      <c r="JW89" s="2936"/>
      <c r="JX89" s="2936"/>
      <c r="JY89" s="2936">
        <f t="shared" si="9"/>
        <v>43344</v>
      </c>
      <c r="JZ89" s="2936">
        <f t="shared" si="9"/>
        <v>43616</v>
      </c>
      <c r="KA89" s="2936"/>
      <c r="KB89" s="2936"/>
      <c r="KC89" s="2936"/>
      <c r="KD89" s="2936"/>
      <c r="KE89" s="2936"/>
      <c r="KF89" s="2936"/>
      <c r="KG89" s="2936"/>
      <c r="KH89" s="2936"/>
      <c r="KI89" s="2937"/>
      <c r="KJ89" s="2936"/>
      <c r="KK89" s="1353"/>
    </row>
    <row r="90" ht="15" customHeight="1">
      <c r="A90" s="2922">
        <f t="shared" si="10"/>
        <v>67</v>
      </c>
      <c r="B90" s="2865"/>
      <c r="C90" s="2873"/>
      <c r="D90" s="2873" t="s">
        <v>2876</v>
      </c>
      <c r="E90" s="2923">
        <v>1099</v>
      </c>
      <c r="F90" s="2924" t="s">
        <v>2877</v>
      </c>
      <c r="G90" s="2873" t="s">
        <v>2529</v>
      </c>
      <c r="H90" s="2923">
        <v>1145</v>
      </c>
      <c r="I90" s="2925" cm="1">
        <f t="array" ref="I90">_xlfn.LET(_xlpm.has_subsidy,$N90&gt;0,_xlpm.is_chap9_sbl,$FF$20,_xlpm.contract_rent,$H90,_xlpm.unit_type_mkt_rent,_xlfn.XLOOKUP(TRUE,EXACT($G90,RentRoll_InputArea_DesignatedUnitType),RentRoll_InputArea_MarketRent,"Not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0" s="2926">
        <f t="shared" si="11"/>
        <v>1145</v>
      </c>
      <c r="K90" s="2923"/>
      <c r="L90" s="2923"/>
      <c r="M90" s="2923"/>
      <c r="N90" s="2923"/>
      <c r="O90" s="2927">
        <v>43497</v>
      </c>
      <c r="P90" s="2927">
        <v>43769</v>
      </c>
      <c r="Q90" s="2928">
        <f t="shared" si="8"/>
        <v>1145</v>
      </c>
      <c r="R90" s="2928">
        <f t="shared" si="8"/>
      </c>
      <c r="S90" s="2928">
        <f t="shared" si="8"/>
      </c>
      <c r="T90" s="2928">
        <f t="shared" si="8"/>
      </c>
      <c r="U90" s="2928">
        <f t="shared" si="8"/>
      </c>
      <c r="V90" s="2928">
        <f t="shared" si="8"/>
      </c>
      <c r="W90" s="2928">
        <f t="shared" si="8"/>
      </c>
      <c r="X90" s="2928">
        <f t="shared" si="8"/>
      </c>
      <c r="Y90" s="2928">
        <f t="shared" si="8"/>
      </c>
      <c r="Z90" s="2928">
        <f t="shared" si="8"/>
      </c>
      <c r="AA90" s="2928">
        <f t="shared" si="8"/>
      </c>
      <c r="AB90" s="2928">
        <f t="shared" si="8"/>
      </c>
      <c r="AC90" s="2928">
        <f t="shared" si="8"/>
      </c>
      <c r="AD90" s="2928">
        <f t="shared" si="8"/>
      </c>
      <c r="AE90" s="2928">
        <f t="shared" si="8"/>
      </c>
      <c r="AF90" s="2928">
        <f t="shared" si="8"/>
      </c>
      <c r="AG90" s="2928">
        <f t="shared" si="8"/>
      </c>
      <c r="AH90" s="2928">
        <f t="shared" si="8"/>
      </c>
      <c r="AI90" s="2928">
        <f t="shared" si="8"/>
      </c>
      <c r="AJ90" s="2928">
        <f t="shared" si="8"/>
      </c>
      <c r="AK90" s="2928">
        <f t="shared" si="8"/>
      </c>
      <c r="AL90" s="2928">
        <f t="shared" si="8"/>
      </c>
      <c r="AM90" s="2928">
        <f t="shared" si="8"/>
      </c>
      <c r="AN90" s="2928">
        <f t="shared" si="8"/>
      </c>
      <c r="AO90" s="2928">
        <f t="shared" si="8"/>
      </c>
      <c r="AP90" s="2928">
        <f t="shared" si="8"/>
      </c>
      <c r="AQ90" s="2928">
        <f t="shared" si="8"/>
      </c>
      <c r="AR90" s="2928">
        <f t="shared" si="8"/>
      </c>
      <c r="AS90" s="2928">
        <f t="shared" si="8"/>
      </c>
      <c r="AT90" s="2928">
        <f t="shared" si="8"/>
      </c>
      <c r="AU90" s="2928">
        <f t="shared" si="8"/>
      </c>
      <c r="AV90" s="2928">
        <f t="shared" si="8"/>
      </c>
      <c r="AW90" s="2928">
        <f t="shared" si="8"/>
      </c>
      <c r="AX90" s="2928">
        <f t="shared" si="8"/>
      </c>
      <c r="AY90" s="2928">
        <f t="shared" si="8"/>
      </c>
      <c r="AZ90" s="2928">
        <f t="shared" si="8"/>
      </c>
      <c r="BA90" s="2928">
        <f t="shared" si="8"/>
      </c>
      <c r="BB90" s="2928">
        <f t="shared" si="8"/>
      </c>
      <c r="BC90" s="2928">
        <f t="shared" si="8"/>
      </c>
      <c r="BD90" s="2928">
        <f t="shared" si="8"/>
      </c>
      <c r="BE90" s="2928">
        <f t="shared" si="8"/>
      </c>
      <c r="BF90" s="2928">
        <f t="shared" si="8"/>
      </c>
      <c r="BG90" s="2928">
        <f t="shared" si="8"/>
      </c>
      <c r="BH90" s="2928">
        <f t="shared" si="8"/>
      </c>
      <c r="BI90" s="2928">
        <f t="shared" si="8"/>
      </c>
      <c r="BJ90" s="2928">
        <f t="shared" si="8"/>
      </c>
      <c r="BK90" s="2928">
        <f t="shared" si="8"/>
      </c>
      <c r="BL90" s="2928">
        <f t="shared" si="8"/>
      </c>
      <c r="BM90" s="2928">
        <f t="shared" si="8"/>
      </c>
      <c r="BN90" s="2928">
        <f t="shared" si="8"/>
      </c>
      <c r="BO90" s="2928">
        <f t="shared" si="8"/>
      </c>
      <c r="BP90" s="2928">
        <f t="shared" si="8"/>
      </c>
      <c r="BQ90" s="2928">
        <f t="shared" si="8"/>
      </c>
      <c r="BR90" s="2928">
        <f t="shared" si="8"/>
      </c>
      <c r="BS90" s="2928">
        <f t="shared" si="8"/>
      </c>
      <c r="BT90" s="2928">
        <f t="shared" si="8"/>
      </c>
      <c r="BU90" s="2928">
        <f t="shared" si="8"/>
      </c>
      <c r="BV90" s="2928">
        <f t="shared" si="8"/>
      </c>
      <c r="BW90" s="2928">
        <f t="shared" si="8"/>
      </c>
      <c r="BX90" s="2928">
        <f t="shared" si="8"/>
      </c>
      <c r="BY90" s="2928">
        <f t="shared" si="8"/>
      </c>
      <c r="BZ90" s="2928">
        <f t="shared" si="8"/>
      </c>
      <c r="CA90" s="2928">
        <f t="shared" si="8"/>
      </c>
      <c r="CB90" s="2928">
        <f t="shared" si="8"/>
      </c>
      <c r="CC90" s="2928">
        <f t="shared" si="8"/>
      </c>
      <c r="CD90" s="2928">
        <f t="shared" si="8"/>
      </c>
      <c r="CE90" s="2928">
        <f t="shared" si="8"/>
      </c>
      <c r="CF90" s="2928">
        <f t="shared" si="8"/>
      </c>
      <c r="CG90" s="2928">
        <f t="shared" si="8"/>
      </c>
      <c r="CH90" s="2928">
        <f t="shared" si="8"/>
      </c>
      <c r="CI90" s="2928">
        <f t="shared" si="8"/>
      </c>
      <c r="CJ90" s="2928">
        <f t="shared" si="8"/>
      </c>
      <c r="CK90" s="2928">
        <f t="shared" si="8"/>
      </c>
      <c r="CL90" s="2928">
        <f t="shared" si="8"/>
      </c>
      <c r="CM90" s="2928">
        <f t="shared" si="8"/>
      </c>
      <c r="CN90" s="2928">
        <f t="shared" si="8"/>
      </c>
      <c r="CO90" s="2928">
        <f t="shared" si="8"/>
      </c>
      <c r="CP90" s="2928">
        <f t="shared" si="8"/>
      </c>
      <c r="CQ90" s="2928">
        <f t="shared" si="8"/>
      </c>
      <c r="CR90" s="2928">
        <f t="shared" si="8"/>
      </c>
      <c r="CS90" s="2928">
        <f t="shared" si="8"/>
      </c>
      <c r="CT90" s="2928">
        <f t="shared" si="8"/>
      </c>
      <c r="CU90" s="2928">
        <f t="shared" si="8"/>
      </c>
      <c r="CV90" s="2928">
        <f t="shared" si="8"/>
      </c>
      <c r="CW90" s="2928">
        <f t="shared" si="8"/>
      </c>
      <c r="CX90" s="2928">
        <f t="shared" si="8"/>
      </c>
      <c r="CY90" s="2928">
        <f t="shared" si="8"/>
      </c>
      <c r="CZ90" s="2928">
        <f t="shared" si="8"/>
      </c>
      <c r="DA90" s="2928">
        <f t="shared" si="8"/>
      </c>
      <c r="DB90" s="2928">
        <f t="shared" si="8"/>
      </c>
      <c r="DC90" s="2928">
        <f t="shared" si="8"/>
      </c>
      <c r="DD90" s="2928">
        <f t="shared" si="8"/>
      </c>
      <c r="DE90" s="2928">
        <f t="shared" si="8"/>
      </c>
      <c r="DF90" s="2928">
        <f t="shared" si="8"/>
      </c>
      <c r="DG90" s="2928">
        <f t="shared" si="8"/>
      </c>
      <c r="DH90" s="2928">
        <f t="shared" si="8"/>
      </c>
      <c r="DI90" s="2928">
        <f t="shared" si="8"/>
      </c>
      <c r="DJ90" s="2928">
        <f t="shared" si="8"/>
      </c>
      <c r="DK90" s="2928">
        <f t="shared" si="8"/>
      </c>
      <c r="DL90" s="2928">
        <f t="shared" si="8"/>
      </c>
      <c r="DM90" s="2928">
        <f t="shared" si="8"/>
      </c>
      <c r="DN90" s="2928">
        <f t="shared" si="8"/>
      </c>
      <c r="DO90" s="2928">
        <f t="shared" si="8"/>
      </c>
      <c r="DP90" s="2928">
        <f t="shared" si="8"/>
      </c>
      <c r="DQ90" s="2928">
        <f t="shared" si="8"/>
      </c>
      <c r="DR90" s="2928">
        <f t="shared" si="8"/>
      </c>
      <c r="DS90" s="2928">
        <f t="shared" si="8"/>
      </c>
      <c r="DT90" s="2928">
        <f t="shared" si="8"/>
      </c>
      <c r="DU90" s="2928">
        <f t="shared" si="8"/>
      </c>
      <c r="DV90" s="2928">
        <f t="shared" si="8"/>
      </c>
      <c r="DW90" s="2928">
        <f t="shared" si="8"/>
      </c>
      <c r="DX90" s="2928">
        <f t="shared" si="8"/>
      </c>
      <c r="DY90" s="2928">
        <f t="shared" si="8"/>
      </c>
      <c r="DZ90" s="2928">
        <f t="shared" si="8"/>
      </c>
      <c r="EA90" s="2928">
        <f t="shared" si="8"/>
      </c>
      <c r="EB90" s="2928">
        <f t="shared" si="8"/>
      </c>
      <c r="EC90" s="2928">
        <f t="shared" si="8"/>
      </c>
      <c r="ED90" s="2928">
        <f t="shared" si="8"/>
      </c>
      <c r="EE90" s="2928">
        <f t="shared" si="8"/>
      </c>
      <c r="EF90" s="2928">
        <f t="shared" si="8"/>
      </c>
      <c r="EG90" s="2928">
        <f t="shared" si="8"/>
      </c>
      <c r="EH90" s="2928">
        <f t="shared" si="8"/>
      </c>
      <c r="EI90" s="2928">
        <f t="shared" si="8"/>
      </c>
      <c r="EJ90" s="2928">
        <f t="shared" si="8"/>
      </c>
      <c r="EK90" s="2928">
        <f t="shared" si="8"/>
      </c>
      <c r="EL90" s="2928">
        <f t="shared" si="8"/>
      </c>
      <c r="EM90" s="2928">
        <f t="shared" si="8"/>
      </c>
      <c r="EN90" s="2928">
        <f t="shared" si="8"/>
      </c>
      <c r="EO90" s="2928">
        <f t="shared" si="8"/>
      </c>
      <c r="EP90" s="2928">
        <f t="shared" si="8"/>
      </c>
      <c r="EQ90" s="2928">
        <f t="shared" si="8"/>
      </c>
      <c r="ER90" s="2928">
        <f t="shared" si="8"/>
      </c>
      <c r="ES90" s="2928">
        <f t="shared" si="8"/>
      </c>
      <c r="ET90" s="2928">
        <f t="shared" si="8"/>
      </c>
      <c r="EU90" s="2928">
        <f t="shared" si="8"/>
      </c>
      <c r="EV90" s="2928">
        <f t="shared" si="8"/>
      </c>
      <c r="EW90" s="2928">
        <f t="shared" si="8"/>
      </c>
      <c r="EX90" s="2928">
        <f t="shared" si="8"/>
      </c>
      <c r="EY90" s="2928">
        <f t="shared" si="8"/>
      </c>
      <c r="EZ90" s="2928">
        <f t="shared" si="8"/>
      </c>
      <c r="FA90" s="2929" t="str">
        <f t="shared" si="12"/>
        <v>-</v>
      </c>
      <c r="FB90" s="2825">
        <f t="shared" si="13"/>
      </c>
      <c r="FC90" s="2930" cm="1">
        <f t="array" ref="FC90">_xlfn.LET(_xlpm.unit_type,$G90,_xlpm.market_rent_from_rent_roll,$E90,_xlpm.unit_type_list,RentRoll_InputArea_DesignatedUnitType,_xlpm.rent_by_unit_type,RentRoll_InputArea_MarketRent,_xlpm.use_rent_roll_market_rent,LEFT(RR_VacantUnitMktRentSource,9)="Rent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0" s="2930">
        <f t="shared" si="14"/>
        <v>1145</v>
      </c>
      <c r="FE90" s="2930">
        <f t="shared" si="15"/>
        <v>1145</v>
      </c>
      <c r="FF90" s="2930">
        <f t="shared" si="16"/>
        <v>1145</v>
      </c>
      <c r="FG90" s="2931"/>
      <c r="FH90" s="2932">
        <f t="shared" si="17"/>
      </c>
      <c r="FI90" s="2932">
        <f t="shared" si="18"/>
      </c>
      <c r="FJ90" s="2931"/>
      <c r="FK90" s="2933" cm="1">
        <f t="array" ref="FK90">IF(AND(LEN($D90)&gt;0,ISNA(MATCH(TRUE,EXACT($G90,RentRoll_InputArea_DesignatedUnitType),0))),1,0)</f>
        <v>0</v>
      </c>
      <c r="FL90" s="2931">
        <f t="shared" si="19"/>
        <v>67</v>
      </c>
      <c r="FM90" s="2931"/>
      <c r="FN90" s="2931"/>
      <c r="FO90" s="2931"/>
      <c r="FP90" s="2931"/>
      <c r="FQ90" s="2931"/>
      <c r="FR90" s="2931"/>
      <c r="FS90" s="2931"/>
      <c r="FT90" s="2931"/>
      <c r="FU90" s="2931"/>
      <c r="FV90" s="2931"/>
      <c r="FW90" s="2931"/>
      <c r="FX90" s="2931"/>
      <c r="FY90" s="2931"/>
      <c r="FZ90" s="2931"/>
      <c r="GA90" s="2931"/>
      <c r="GB90" s="2931"/>
      <c r="GC90" s="2931"/>
      <c r="GD90" s="2931"/>
      <c r="GE90" s="2931"/>
      <c r="GF90" s="2931"/>
      <c r="GG90" s="2931"/>
      <c r="GH90" s="2931"/>
      <c r="GI90" s="2931"/>
      <c r="GJ90" s="2931"/>
      <c r="GK90" s="2931"/>
      <c r="GL90" s="2931"/>
      <c r="GM90" s="2931"/>
      <c r="GN90" s="2931"/>
      <c r="GO90" s="2931"/>
      <c r="GP90" s="2931"/>
      <c r="GQ90" s="2931"/>
      <c r="GR90" s="2931"/>
      <c r="GS90" s="2931"/>
      <c r="GT90" s="2931"/>
      <c r="GU90" s="2931"/>
      <c r="GV90" s="2931"/>
      <c r="GW90" s="2931"/>
      <c r="GX90" s="2931"/>
      <c r="GY90" s="2931"/>
      <c r="GZ90" s="2931"/>
      <c r="HA90" s="2931"/>
      <c r="HB90" s="2931"/>
      <c r="HC90" s="2931"/>
      <c r="HD90" s="2931"/>
      <c r="HE90" s="2931"/>
      <c r="HF90" s="2931"/>
      <c r="HG90" s="2931"/>
      <c r="HH90" s="2931"/>
      <c r="HI90" s="2931"/>
      <c r="HJ90" s="2931"/>
      <c r="HK90" s="2931"/>
      <c r="HL90" s="2931"/>
      <c r="HM90" s="2931"/>
      <c r="HN90" s="2931"/>
      <c r="HO90" s="2931"/>
      <c r="HP90" s="2931"/>
      <c r="HQ90" s="2931"/>
      <c r="HR90" s="2931"/>
      <c r="HS90" s="2931"/>
      <c r="HT90" s="2931"/>
      <c r="HU90" s="2931"/>
      <c r="HV90" s="2931"/>
      <c r="HW90" s="2931"/>
      <c r="HX90" s="2931"/>
      <c r="HY90" s="2931"/>
      <c r="HZ90" s="2931"/>
      <c r="IA90" s="2931"/>
      <c r="IB90" s="2931"/>
      <c r="IC90" s="2931"/>
      <c r="ID90" s="2931"/>
      <c r="IE90" s="2931"/>
      <c r="IF90" s="2931"/>
      <c r="IG90" s="2931"/>
      <c r="IH90" s="2931"/>
      <c r="II90" s="2931"/>
      <c r="IJ90" s="2931"/>
      <c r="IK90" s="2931"/>
      <c r="IL90" s="2931"/>
      <c r="IM90" s="2931"/>
      <c r="IN90" s="2931"/>
      <c r="IO90" s="2931" cm="1">
        <f t="array" ref="IO90">IF(LEN($G90)=0,"Rent Roll is incomplete",_xlfn.XLOOKUP(TRUE,EXACT(RentRoll_InputArea_DesignatedUnitType,$G90),RentRoll_InputArea_Beds,"Not Found"))</f>
        <v>1</v>
      </c>
      <c r="IP90" s="2934"/>
      <c r="IQ90" s="2935" t="str">
        <f t="shared" si="20"/>
        <v>1 Bedroom Unit</v>
      </c>
      <c r="IR90" s="2926">
        <f t="shared" si="21"/>
        <v>1145</v>
      </c>
      <c r="IS90" s="2935"/>
      <c r="IT90" s="2931"/>
      <c r="IU90" s="2931"/>
      <c r="IV90" s="2931"/>
      <c r="IW90" s="2936" t="str">
        <f t="shared" si="22"/>
        <v>6-608</v>
      </c>
      <c r="IX90" s="2936"/>
      <c r="IY90" s="2936"/>
      <c r="IZ90" s="2936">
        <f t="shared" si="23"/>
        <v>1</v>
      </c>
      <c r="JA90" s="2936">
        <f t="shared" si="24"/>
        <v>1145</v>
      </c>
      <c r="JB90" s="2936"/>
      <c r="JC90" s="2936"/>
      <c r="JD90" s="2936"/>
      <c r="JE90" s="2936"/>
      <c r="JF90" s="2936"/>
      <c r="JG90" s="2936"/>
      <c r="JH90" s="2936">
        <f t="shared" si="25"/>
        <v>1159</v>
      </c>
      <c r="JI90" s="2936"/>
      <c r="JJ90" s="2936">
        <f t="shared" si="26"/>
      </c>
      <c r="JK90" s="2936"/>
      <c r="JL90" s="2936"/>
      <c r="JM90" s="2936"/>
      <c r="JN90" s="2936"/>
      <c r="JO90" s="2936"/>
      <c r="JP90" s="2936"/>
      <c r="JQ90" s="2936" t="str">
        <f t="shared" si="27"/>
        <v>Occupied</v>
      </c>
      <c r="JR90" s="2936" cm="1">
        <f t="array" ref="JR90">_xlfn.XLOOKUP(TRUE,EXACT(RentRoll_InputArea_DesignatedUnitType,$G90),RentRoll_InputArea_SquareFootage,"Not Found")</f>
        <v>704</v>
      </c>
      <c r="JS90" s="2936" t="str">
        <f t="shared" si="28"/>
        <v>Apartment</v>
      </c>
      <c r="JT90" s="2936">
        <f t="shared" si="29"/>
      </c>
      <c r="JU90" s="2936"/>
      <c r="JV90" s="2936"/>
      <c r="JW90" s="2936"/>
      <c r="JX90" s="2936"/>
      <c r="JY90" s="2936">
        <f t="shared" si="9"/>
        <v>43497</v>
      </c>
      <c r="JZ90" s="2936">
        <f t="shared" si="9"/>
        <v>43769</v>
      </c>
      <c r="KA90" s="2936"/>
      <c r="KB90" s="2936"/>
      <c r="KC90" s="2936"/>
      <c r="KD90" s="2936"/>
      <c r="KE90" s="2936"/>
      <c r="KF90" s="2936"/>
      <c r="KG90" s="2936"/>
      <c r="KH90" s="2936"/>
      <c r="KI90" s="2937"/>
      <c r="KJ90" s="2936"/>
      <c r="KK90" s="1353"/>
    </row>
    <row r="91" ht="15" customHeight="1">
      <c r="A91" s="2922">
        <f t="shared" si="10"/>
        <v>68</v>
      </c>
      <c r="B91" s="2865"/>
      <c r="C91" s="2873"/>
      <c r="D91" s="2873" t="s">
        <v>2878</v>
      </c>
      <c r="E91" s="2923">
        <v>1116</v>
      </c>
      <c r="F91" s="2924" t="s">
        <v>2879</v>
      </c>
      <c r="G91" s="2873" t="s">
        <v>2529</v>
      </c>
      <c r="H91" s="2923">
        <v>1097</v>
      </c>
      <c r="I91" s="2925" cm="1">
        <f t="array" ref="I91">_xlfn.LET(_xlpm.has_subsidy,$N91&gt;0,_xlpm.is_chap9_sbl,$FF$20,_xlpm.contract_rent,$H91,_xlpm.unit_type_mkt_rent,_xlfn.XLOOKUP(TRUE,EXACT($G91,RentRoll_InputArea_DesignatedUnitType),RentRoll_InputArea_MarketRent,"Not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1" s="2926">
        <f t="shared" si="11"/>
        <v>1097</v>
      </c>
      <c r="K91" s="2923"/>
      <c r="L91" s="2923"/>
      <c r="M91" s="2923"/>
      <c r="N91" s="2923"/>
      <c r="O91" s="2927">
        <v>43586</v>
      </c>
      <c r="P91" s="2927">
        <v>43799</v>
      </c>
      <c r="Q91" s="2928">
        <f t="shared" si="8"/>
        <v>1097</v>
      </c>
      <c r="R91" s="2928">
        <f t="shared" si="8"/>
      </c>
      <c r="S91" s="2928">
        <f t="shared" si="8"/>
      </c>
      <c r="T91" s="2928">
        <f t="shared" si="8"/>
      </c>
      <c r="U91" s="2928">
        <f t="shared" si="8"/>
      </c>
      <c r="V91" s="2928">
        <f t="shared" si="8"/>
      </c>
      <c r="W91" s="2928">
        <f t="shared" si="8"/>
      </c>
      <c r="X91" s="2928">
        <f t="shared" si="8"/>
      </c>
      <c r="Y91" s="2928">
        <f t="shared" si="8"/>
      </c>
      <c r="Z91" s="2928">
        <f t="shared" si="8"/>
      </c>
      <c r="AA91" s="2928">
        <f t="shared" si="8"/>
      </c>
      <c r="AB91" s="2928">
        <f t="shared" si="8"/>
      </c>
      <c r="AC91" s="2928">
        <f t="shared" si="8"/>
      </c>
      <c r="AD91" s="2928">
        <f t="shared" si="8"/>
      </c>
      <c r="AE91" s="2928">
        <f t="shared" si="8"/>
      </c>
      <c r="AF91" s="2928">
        <f t="shared" si="8"/>
      </c>
      <c r="AG91" s="2928">
        <f t="shared" si="8"/>
      </c>
      <c r="AH91" s="2928">
        <f t="shared" si="8"/>
      </c>
      <c r="AI91" s="2928">
        <f t="shared" si="8"/>
      </c>
      <c r="AJ91" s="2928">
        <f t="shared" si="8"/>
      </c>
      <c r="AK91" s="2928">
        <f t="shared" si="8"/>
      </c>
      <c r="AL91" s="2928">
        <f t="shared" si="8"/>
      </c>
      <c r="AM91" s="2928">
        <f t="shared" si="8"/>
      </c>
      <c r="AN91" s="2928">
        <f t="shared" si="8"/>
      </c>
      <c r="AO91" s="2928">
        <f t="shared" si="8"/>
      </c>
      <c r="AP91" s="2928">
        <f t="shared" si="8"/>
      </c>
      <c r="AQ91" s="2928">
        <f t="shared" si="8"/>
      </c>
      <c r="AR91" s="2928">
        <f t="shared" si="8"/>
      </c>
      <c r="AS91" s="2928">
        <f t="shared" si="8"/>
      </c>
      <c r="AT91" s="2928">
        <f t="shared" si="8"/>
      </c>
      <c r="AU91" s="2928">
        <f t="shared" si="8"/>
      </c>
      <c r="AV91" s="2928">
        <f t="shared" si="8"/>
      </c>
      <c r="AW91" s="2928">
        <f t="shared" si="8"/>
      </c>
      <c r="AX91" s="2928">
        <f t="shared" si="8"/>
      </c>
      <c r="AY91" s="2928">
        <f t="shared" si="8"/>
      </c>
      <c r="AZ91" s="2928">
        <f t="shared" si="8"/>
      </c>
      <c r="BA91" s="2928">
        <f t="shared" si="8"/>
      </c>
      <c r="BB91" s="2928">
        <f t="shared" si="8"/>
      </c>
      <c r="BC91" s="2928">
        <f t="shared" si="8"/>
      </c>
      <c r="BD91" s="2928">
        <f t="shared" si="8"/>
      </c>
      <c r="BE91" s="2928">
        <f t="shared" si="8"/>
      </c>
      <c r="BF91" s="2928">
        <f t="shared" si="8"/>
      </c>
      <c r="BG91" s="2928">
        <f t="shared" si="8"/>
      </c>
      <c r="BH91" s="2928">
        <f t="shared" si="8"/>
      </c>
      <c r="BI91" s="2928">
        <f t="shared" si="8"/>
      </c>
      <c r="BJ91" s="2928">
        <f t="shared" si="8"/>
      </c>
      <c r="BK91" s="2928">
        <f t="shared" si="8"/>
      </c>
      <c r="BL91" s="2928">
        <f t="shared" si="8"/>
      </c>
      <c r="BM91" s="2928">
        <f t="shared" si="8"/>
      </c>
      <c r="BN91" s="2928">
        <f t="shared" si="8"/>
      </c>
      <c r="BO91" s="2928">
        <f t="shared" si="8"/>
      </c>
      <c r="BP91" s="2928">
        <f t="shared" si="8"/>
      </c>
      <c r="BQ91" s="2928">
        <f t="shared" si="8"/>
      </c>
      <c r="BR91" s="2928">
        <f t="shared" si="8"/>
      </c>
      <c r="BS91" s="2928">
        <f t="shared" si="8"/>
      </c>
      <c r="BT91" s="2928">
        <f t="shared" si="8"/>
      </c>
      <c r="BU91" s="2928">
        <f t="shared" si="8"/>
      </c>
      <c r="BV91" s="2928">
        <f t="shared" si="8"/>
      </c>
      <c r="BW91" s="2928">
        <f t="shared" si="8"/>
      </c>
      <c r="BX91" s="2928">
        <f t="shared" si="8"/>
      </c>
      <c r="BY91" s="2928">
        <f t="shared" si="8"/>
      </c>
      <c r="BZ91" s="2928">
        <f t="shared" si="8"/>
      </c>
      <c r="CA91" s="2928">
        <f t="shared" si="8"/>
      </c>
      <c r="CB91" s="2928">
        <f t="shared" si="8"/>
      </c>
      <c r="CC91" s="2928">
        <f t="shared" si="8"/>
      </c>
      <c r="CD91" s="2928">
        <f t="shared" si="8"/>
      </c>
      <c r="CE91" s="2928">
        <f t="shared" si="8"/>
      </c>
      <c r="CF91" s="2928">
        <f t="shared" si="8"/>
      </c>
      <c r="CG91" s="2928">
        <f t="shared" si="8"/>
      </c>
      <c r="CH91" s="2928">
        <f t="shared" si="8"/>
      </c>
      <c r="CI91" s="2928">
        <f t="shared" si="8"/>
      </c>
      <c r="CJ91" s="2928">
        <f t="shared" si="8"/>
      </c>
      <c r="CK91" s="2928">
        <f t="shared" si="8"/>
      </c>
      <c r="CL91" s="2928">
        <f t="shared" si="8"/>
      </c>
      <c r="CM91" s="2928">
        <f t="shared" si="8"/>
      </c>
      <c r="CN91" s="2928">
        <f t="shared" si="8"/>
      </c>
      <c r="CO91" s="2928">
        <f t="shared" si="8"/>
      </c>
      <c r="CP91" s="2928">
        <f t="shared" si="8"/>
      </c>
      <c r="CQ91" s="2928">
        <f t="shared" si="8"/>
      </c>
      <c r="CR91" s="2928">
        <f t="shared" si="8"/>
      </c>
      <c r="CS91" s="2928">
        <f t="shared" si="8"/>
      </c>
      <c r="CT91" s="2928">
        <f t="shared" si="8"/>
      </c>
      <c r="CU91" s="2928">
        <f t="shared" si="8"/>
      </c>
      <c r="CV91" s="2928">
        <f t="shared" si="8"/>
      </c>
      <c r="CW91" s="2928">
        <f t="shared" si="8"/>
      </c>
      <c r="CX91" s="2928">
        <f t="shared" si="8"/>
      </c>
      <c r="CY91" s="2928">
        <f t="shared" si="8"/>
      </c>
      <c r="CZ91" s="2928">
        <f t="shared" si="8"/>
      </c>
      <c r="DA91" s="2928">
        <f t="shared" si="8"/>
      </c>
      <c r="DB91" s="2928">
        <f t="shared" si="8"/>
      </c>
      <c r="DC91" s="2928">
        <f t="shared" si="8"/>
      </c>
      <c r="DD91" s="2928">
        <f t="shared" si="8"/>
      </c>
      <c r="DE91" s="2928">
        <f t="shared" si="8"/>
      </c>
      <c r="DF91" s="2928">
        <f t="shared" si="8"/>
      </c>
      <c r="DG91" s="2928">
        <f t="shared" si="8"/>
      </c>
      <c r="DH91" s="2928">
        <f t="shared" si="8"/>
      </c>
      <c r="DI91" s="2928">
        <f t="shared" si="8"/>
      </c>
      <c r="DJ91" s="2928">
        <f t="shared" si="8"/>
      </c>
      <c r="DK91" s="2928">
        <f t="shared" si="8"/>
      </c>
      <c r="DL91" s="2928">
        <f t="shared" si="8"/>
      </c>
      <c r="DM91" s="2928">
        <f t="shared" si="8"/>
      </c>
      <c r="DN91" s="2928">
        <f t="shared" si="8"/>
      </c>
      <c r="DO91" s="2928">
        <f t="shared" si="8"/>
      </c>
      <c r="DP91" s="2928">
        <f t="shared" si="8"/>
      </c>
      <c r="DQ91" s="2928">
        <f t="shared" si="8"/>
      </c>
      <c r="DR91" s="2928">
        <f t="shared" si="8"/>
      </c>
      <c r="DS91" s="2928">
        <f t="shared" si="8"/>
      </c>
      <c r="DT91" s="2928">
        <f t="shared" si="8"/>
      </c>
      <c r="DU91" s="2928">
        <f t="shared" si="8"/>
      </c>
      <c r="DV91" s="2928">
        <f t="shared" si="8"/>
      </c>
      <c r="DW91" s="2928">
        <f t="shared" si="8"/>
      </c>
      <c r="DX91" s="2928">
        <f t="shared" si="8"/>
      </c>
      <c r="DY91" s="2928">
        <f t="shared" si="8"/>
      </c>
      <c r="DZ91" s="2928">
        <f t="shared" si="8"/>
      </c>
      <c r="EA91" s="2928">
        <f t="shared" si="8"/>
      </c>
      <c r="EB91" s="2928">
        <f t="shared" si="8"/>
      </c>
      <c r="EC91" s="2928">
        <f t="shared" si="8"/>
      </c>
      <c r="ED91" s="2928">
        <f t="shared" si="8"/>
      </c>
      <c r="EE91" s="2928">
        <f t="shared" si="8"/>
      </c>
      <c r="EF91" s="2928">
        <f t="shared" si="8"/>
      </c>
      <c r="EG91" s="2928">
        <f t="shared" si="8"/>
      </c>
      <c r="EH91" s="2928">
        <f t="shared" si="8"/>
      </c>
      <c r="EI91" s="2928">
        <f t="shared" si="8"/>
      </c>
      <c r="EJ91" s="2928">
        <f t="shared" si="8"/>
      </c>
      <c r="EK91" s="2928">
        <f t="shared" si="8"/>
      </c>
      <c r="EL91" s="2928">
        <f t="shared" si="8"/>
      </c>
      <c r="EM91" s="2928">
        <f t="shared" si="8"/>
      </c>
      <c r="EN91" s="2928">
        <f t="shared" si="8"/>
      </c>
      <c r="EO91" s="2928">
        <f t="shared" si="8"/>
      </c>
      <c r="EP91" s="2928">
        <f t="shared" si="8"/>
      </c>
      <c r="EQ91" s="2928">
        <f t="shared" si="8"/>
      </c>
      <c r="ER91" s="2928">
        <f t="shared" si="8"/>
      </c>
      <c r="ES91" s="2928">
        <f t="shared" si="8"/>
      </c>
      <c r="ET91" s="2928">
        <f t="shared" si="8"/>
      </c>
      <c r="EU91" s="2928">
        <f t="shared" si="8"/>
      </c>
      <c r="EV91" s="2928">
        <f t="shared" si="8"/>
      </c>
      <c r="EW91" s="2928">
        <f t="shared" si="8"/>
      </c>
      <c r="EX91" s="2928">
        <f t="shared" si="8"/>
      </c>
      <c r="EY91" s="2928">
        <f t="shared" si="8"/>
      </c>
      <c r="EZ91" s="2928">
        <f t="shared" si="8"/>
      </c>
      <c r="FA91" s="2929" t="str">
        <f t="shared" si="12"/>
        <v>-</v>
      </c>
      <c r="FB91" s="2825">
        <f t="shared" si="13"/>
      </c>
      <c r="FC91" s="2930" cm="1">
        <f t="array" ref="FC91">_xlfn.LET(_xlpm.unit_type,$G91,_xlpm.market_rent_from_rent_roll,$E91,_xlpm.unit_type_list,RentRoll_InputArea_DesignatedUnitType,_xlpm.rent_by_unit_type,RentRoll_InputArea_MarketRent,_xlpm.use_rent_roll_market_rent,LEFT(RR_VacantUnitMktRentSource,9)="Rent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1" s="2930">
        <f t="shared" si="14"/>
        <v>1097</v>
      </c>
      <c r="FE91" s="2930">
        <f t="shared" si="15"/>
        <v>1097</v>
      </c>
      <c r="FF91" s="2930">
        <f t="shared" si="16"/>
        <v>1097</v>
      </c>
      <c r="FG91" s="2931"/>
      <c r="FH91" s="2932">
        <f t="shared" si="17"/>
      </c>
      <c r="FI91" s="2932">
        <f t="shared" si="18"/>
      </c>
      <c r="FJ91" s="2931"/>
      <c r="FK91" s="2933" cm="1">
        <f t="array" ref="FK91">IF(AND(LEN($D91)&gt;0,ISNA(MATCH(TRUE,EXACT($G91,RentRoll_InputArea_DesignatedUnitType),0))),1,0)</f>
        <v>0</v>
      </c>
      <c r="FL91" s="2931">
        <f t="shared" si="19"/>
        <v>68</v>
      </c>
      <c r="FM91" s="2931"/>
      <c r="FN91" s="2931"/>
      <c r="FO91" s="2931"/>
      <c r="FP91" s="2931"/>
      <c r="FQ91" s="2931"/>
      <c r="FR91" s="2931"/>
      <c r="FS91" s="2931"/>
      <c r="FT91" s="2931"/>
      <c r="FU91" s="2931"/>
      <c r="FV91" s="2931"/>
      <c r="FW91" s="2931"/>
      <c r="FX91" s="2931"/>
      <c r="FY91" s="2931"/>
      <c r="FZ91" s="2931"/>
      <c r="GA91" s="2931"/>
      <c r="GB91" s="2931"/>
      <c r="GC91" s="2931"/>
      <c r="GD91" s="2931"/>
      <c r="GE91" s="2931"/>
      <c r="GF91" s="2931"/>
      <c r="GG91" s="2931"/>
      <c r="GH91" s="2931"/>
      <c r="GI91" s="2931"/>
      <c r="GJ91" s="2931"/>
      <c r="GK91" s="2931"/>
      <c r="GL91" s="2931"/>
      <c r="GM91" s="2931"/>
      <c r="GN91" s="2931"/>
      <c r="GO91" s="2931"/>
      <c r="GP91" s="2931"/>
      <c r="GQ91" s="2931"/>
      <c r="GR91" s="2931"/>
      <c r="GS91" s="2931"/>
      <c r="GT91" s="2931"/>
      <c r="GU91" s="2931"/>
      <c r="GV91" s="2931"/>
      <c r="GW91" s="2931"/>
      <c r="GX91" s="2931"/>
      <c r="GY91" s="2931"/>
      <c r="GZ91" s="2931"/>
      <c r="HA91" s="2931"/>
      <c r="HB91" s="2931"/>
      <c r="HC91" s="2931"/>
      <c r="HD91" s="2931"/>
      <c r="HE91" s="2931"/>
      <c r="HF91" s="2931"/>
      <c r="HG91" s="2931"/>
      <c r="HH91" s="2931"/>
      <c r="HI91" s="2931"/>
      <c r="HJ91" s="2931"/>
      <c r="HK91" s="2931"/>
      <c r="HL91" s="2931"/>
      <c r="HM91" s="2931"/>
      <c r="HN91" s="2931"/>
      <c r="HO91" s="2931"/>
      <c r="HP91" s="2931"/>
      <c r="HQ91" s="2931"/>
      <c r="HR91" s="2931"/>
      <c r="HS91" s="2931"/>
      <c r="HT91" s="2931"/>
      <c r="HU91" s="2931"/>
      <c r="HV91" s="2931"/>
      <c r="HW91" s="2931"/>
      <c r="HX91" s="2931"/>
      <c r="HY91" s="2931"/>
      <c r="HZ91" s="2931"/>
      <c r="IA91" s="2931"/>
      <c r="IB91" s="2931"/>
      <c r="IC91" s="2931"/>
      <c r="ID91" s="2931"/>
      <c r="IE91" s="2931"/>
      <c r="IF91" s="2931"/>
      <c r="IG91" s="2931"/>
      <c r="IH91" s="2931"/>
      <c r="II91" s="2931"/>
      <c r="IJ91" s="2931"/>
      <c r="IK91" s="2931"/>
      <c r="IL91" s="2931"/>
      <c r="IM91" s="2931"/>
      <c r="IN91" s="2931"/>
      <c r="IO91" s="2931" cm="1">
        <f t="array" ref="IO91">IF(LEN($G91)=0,"Rent Roll is incomplete",_xlfn.XLOOKUP(TRUE,EXACT(RentRoll_InputArea_DesignatedUnitType,$G91),RentRoll_InputArea_Beds,"Not Found"))</f>
        <v>1</v>
      </c>
      <c r="IP91" s="2934"/>
      <c r="IQ91" s="2935" t="str">
        <f t="shared" si="20"/>
        <v>1 Bedroom Unit</v>
      </c>
      <c r="IR91" s="2926">
        <f t="shared" si="21"/>
        <v>1097</v>
      </c>
      <c r="IS91" s="2935"/>
      <c r="IT91" s="2931"/>
      <c r="IU91" s="2931"/>
      <c r="IV91" s="2931"/>
      <c r="IW91" s="2936" t="str">
        <f t="shared" si="22"/>
        <v>6-609</v>
      </c>
      <c r="IX91" s="2936"/>
      <c r="IY91" s="2936"/>
      <c r="IZ91" s="2936">
        <f t="shared" si="23"/>
        <v>1</v>
      </c>
      <c r="JA91" s="2936">
        <f t="shared" si="24"/>
        <v>1097</v>
      </c>
      <c r="JB91" s="2936"/>
      <c r="JC91" s="2936"/>
      <c r="JD91" s="2936"/>
      <c r="JE91" s="2936"/>
      <c r="JF91" s="2936"/>
      <c r="JG91" s="2936"/>
      <c r="JH91" s="2936">
        <f t="shared" si="25"/>
        <v>1159</v>
      </c>
      <c r="JI91" s="2936"/>
      <c r="JJ91" s="2936">
        <f t="shared" si="26"/>
      </c>
      <c r="JK91" s="2936"/>
      <c r="JL91" s="2936"/>
      <c r="JM91" s="2936"/>
      <c r="JN91" s="2936"/>
      <c r="JO91" s="2936"/>
      <c r="JP91" s="2936"/>
      <c r="JQ91" s="2936" t="str">
        <f t="shared" si="27"/>
        <v>Occupied</v>
      </c>
      <c r="JR91" s="2936" cm="1">
        <f t="array" ref="JR91">_xlfn.XLOOKUP(TRUE,EXACT(RentRoll_InputArea_DesignatedUnitType,$G91),RentRoll_InputArea_SquareFootage,"Not Found")</f>
        <v>704</v>
      </c>
      <c r="JS91" s="2936" t="str">
        <f t="shared" si="28"/>
        <v>Apartment</v>
      </c>
      <c r="JT91" s="2936">
        <f t="shared" si="29"/>
      </c>
      <c r="JU91" s="2936"/>
      <c r="JV91" s="2936"/>
      <c r="JW91" s="2936"/>
      <c r="JX91" s="2936"/>
      <c r="JY91" s="2936">
        <f t="shared" si="9"/>
        <v>43586</v>
      </c>
      <c r="JZ91" s="2936">
        <f t="shared" si="9"/>
        <v>43799</v>
      </c>
      <c r="KA91" s="2936"/>
      <c r="KB91" s="2936"/>
      <c r="KC91" s="2936"/>
      <c r="KD91" s="2936"/>
      <c r="KE91" s="2936"/>
      <c r="KF91" s="2936"/>
      <c r="KG91" s="2936"/>
      <c r="KH91" s="2936"/>
      <c r="KI91" s="2937"/>
      <c r="KJ91" s="2936"/>
      <c r="KK91" s="1353"/>
    </row>
    <row r="92" ht="15" customHeight="1">
      <c r="A92" s="2922">
        <f t="shared" si="10"/>
        <v>69</v>
      </c>
      <c r="B92" s="2865"/>
      <c r="C92" s="2873"/>
      <c r="D92" s="2873" t="s">
        <v>2880</v>
      </c>
      <c r="E92" s="2923">
        <v>1207</v>
      </c>
      <c r="F92" s="2924" t="s">
        <v>2881</v>
      </c>
      <c r="G92" s="2873" t="s">
        <v>2529</v>
      </c>
      <c r="H92" s="2923">
        <v>1084</v>
      </c>
      <c r="I92" s="2925" cm="1">
        <f t="array" ref="I92">_xlfn.LET(_xlpm.has_subsidy,$N92&gt;0,_xlpm.is_chap9_sbl,$FF$20,_xlpm.contract_rent,$H92,_xlpm.unit_type_mkt_rent,_xlfn.XLOOKUP(TRUE,EXACT($G92,RentRoll_InputArea_DesignatedUnitType),RentRoll_InputArea_MarketRent,"Not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2" s="2926">
        <f t="shared" si="11"/>
        <v>1084</v>
      </c>
      <c r="K92" s="2923"/>
      <c r="L92" s="2923"/>
      <c r="M92" s="2923"/>
      <c r="N92" s="2923"/>
      <c r="O92" s="2927">
        <v>43424</v>
      </c>
      <c r="P92" s="2927">
        <v>43646</v>
      </c>
      <c r="Q92" s="2928">
        <f t="shared" si="8"/>
        <v>1084</v>
      </c>
      <c r="R92" s="2928">
        <f t="shared" si="8"/>
      </c>
      <c r="S92" s="2928">
        <f t="shared" si="8"/>
      </c>
      <c r="T92" s="2928">
        <f t="shared" si="8"/>
      </c>
      <c r="U92" s="2928">
        <f t="shared" si="8"/>
      </c>
      <c r="V92" s="2928">
        <f t="shared" si="8"/>
      </c>
      <c r="W92" s="2928">
        <f t="shared" si="8"/>
      </c>
      <c r="X92" s="2928">
        <f t="shared" si="8"/>
      </c>
      <c r="Y92" s="2928">
        <f t="shared" si="8"/>
      </c>
      <c r="Z92" s="2928">
        <f t="shared" si="8"/>
      </c>
      <c r="AA92" s="2928">
        <f t="shared" si="8"/>
      </c>
      <c r="AB92" s="2928">
        <f t="shared" si="8"/>
      </c>
      <c r="AC92" s="2928">
        <f t="shared" si="8"/>
      </c>
      <c r="AD92" s="2928">
        <f t="shared" si="8"/>
      </c>
      <c r="AE92" s="2928">
        <f t="shared" si="8"/>
      </c>
      <c r="AF92" s="2928">
        <f t="shared" si="8"/>
      </c>
      <c r="AG92" s="2928">
        <f t="shared" si="8"/>
      </c>
      <c r="AH92" s="2928">
        <f t="shared" si="8"/>
      </c>
      <c r="AI92" s="2928">
        <f t="shared" si="8"/>
      </c>
      <c r="AJ92" s="2928">
        <f t="shared" si="8"/>
      </c>
      <c r="AK92" s="2928">
        <f t="shared" si="8"/>
      </c>
      <c r="AL92" s="2928">
        <f t="shared" si="8"/>
      </c>
      <c r="AM92" s="2928">
        <f t="shared" si="8"/>
      </c>
      <c r="AN92" s="2928">
        <f t="shared" si="8"/>
      </c>
      <c r="AO92" s="2928">
        <f t="shared" si="8"/>
      </c>
      <c r="AP92" s="2928">
        <f t="shared" si="8"/>
      </c>
      <c r="AQ92" s="2928">
        <f t="shared" si="8"/>
      </c>
      <c r="AR92" s="2928">
        <f t="shared" si="8"/>
      </c>
      <c r="AS92" s="2928">
        <f t="shared" si="8"/>
      </c>
      <c r="AT92" s="2928">
        <f t="shared" si="8"/>
      </c>
      <c r="AU92" s="2928">
        <f t="shared" si="8"/>
      </c>
      <c r="AV92" s="2928">
        <f t="shared" si="8"/>
      </c>
      <c r="AW92" s="2928">
        <f t="shared" si="8"/>
      </c>
      <c r="AX92" s="2928">
        <f t="shared" si="8"/>
      </c>
      <c r="AY92" s="2928">
        <f t="shared" si="8"/>
      </c>
      <c r="AZ92" s="2928">
        <f t="shared" si="8"/>
      </c>
      <c r="BA92" s="2928">
        <f t="shared" si="8"/>
      </c>
      <c r="BB92" s="2928">
        <f t="shared" si="8"/>
      </c>
      <c r="BC92" s="2928">
        <f t="shared" si="8"/>
      </c>
      <c r="BD92" s="2928">
        <f t="shared" si="8"/>
      </c>
      <c r="BE92" s="2928">
        <f t="shared" si="8"/>
      </c>
      <c r="BF92" s="2928">
        <f t="shared" si="8"/>
      </c>
      <c r="BG92" s="2928">
        <f t="shared" si="8"/>
      </c>
      <c r="BH92" s="2928">
        <f t="shared" si="8"/>
      </c>
      <c r="BI92" s="2928">
        <f t="shared" si="8"/>
      </c>
      <c r="BJ92" s="2928">
        <f t="shared" si="8"/>
      </c>
      <c r="BK92" s="2928">
        <f t="shared" si="8"/>
      </c>
      <c r="BL92" s="2928">
        <f t="shared" si="8"/>
      </c>
      <c r="BM92" s="2928">
        <f t="shared" si="8"/>
      </c>
      <c r="BN92" s="2928">
        <f t="shared" si="8"/>
      </c>
      <c r="BO92" s="2928">
        <f t="shared" si="8"/>
      </c>
      <c r="BP92" s="2928">
        <f t="shared" si="8"/>
      </c>
      <c r="BQ92" s="2928">
        <f t="shared" si="8"/>
      </c>
      <c r="BR92" s="2928">
        <f t="shared" si="8"/>
      </c>
      <c r="BS92" s="2928">
        <f t="shared" si="8"/>
      </c>
      <c r="BT92" s="2928">
        <f t="shared" si="8"/>
      </c>
      <c r="BU92" s="2928">
        <f t="shared" si="8"/>
      </c>
      <c r="BV92" s="2928">
        <f t="shared" si="8"/>
      </c>
      <c r="BW92" s="2928">
        <f t="shared" si="8"/>
      </c>
      <c r="BX92" s="2928">
        <f t="shared" si="8"/>
      </c>
      <c r="BY92" s="2928">
        <f t="shared" si="8"/>
      </c>
      <c r="BZ92" s="2928">
        <f t="shared" si="8"/>
      </c>
      <c r="CA92" s="2928">
        <f t="shared" si="8"/>
      </c>
      <c r="CB92" s="2928">
        <f t="shared" si="8"/>
      </c>
      <c r="CC92" s="2928">
        <f t="shared" si="8"/>
      </c>
      <c r="CD92" s="2928">
        <f t="shared" si="8"/>
      </c>
      <c r="CE92" s="2928">
        <f t="shared" si="8"/>
      </c>
      <c r="CF92" s="2928">
        <f t="shared" si="8"/>
      </c>
      <c r="CG92" s="2928">
        <f t="shared" si="8"/>
      </c>
      <c r="CH92" s="2928">
        <f t="shared" si="8"/>
      </c>
      <c r="CI92" s="2928">
        <f t="shared" si="8"/>
      </c>
      <c r="CJ92" s="2928">
        <f t="shared" si="8"/>
      </c>
      <c r="CK92" s="2928">
        <f t="shared" si="8"/>
      </c>
      <c r="CL92" s="2928">
        <f t="shared" si="8"/>
      </c>
      <c r="CM92" s="2928">
        <f t="shared" si="8"/>
      </c>
      <c r="CN92" s="2928">
        <f t="shared" si="8"/>
      </c>
      <c r="CO92" s="2928">
        <f t="shared" si="8"/>
      </c>
      <c r="CP92" s="2928">
        <f t="shared" si="8"/>
      </c>
      <c r="CQ92" s="2928">
        <f t="shared" si="8"/>
      </c>
      <c r="CR92" s="2928">
        <f t="shared" si="8"/>
      </c>
      <c r="CS92" s="2928">
        <f t="shared" si="8"/>
      </c>
      <c r="CT92" s="2928">
        <f t="shared" si="8"/>
      </c>
      <c r="CU92" s="2928">
        <f t="shared" si="8"/>
      </c>
      <c r="CV92" s="2928">
        <f t="shared" si="8"/>
      </c>
      <c r="CW92" s="2928">
        <f t="shared" si="8"/>
      </c>
      <c r="CX92" s="2928">
        <f t="shared" si="8"/>
      </c>
      <c r="CY92" s="2928">
        <f t="shared" si="8"/>
      </c>
      <c r="CZ92" s="2928">
        <f t="shared" si="8"/>
      </c>
      <c r="DA92" s="2928">
        <f t="shared" si="8"/>
      </c>
      <c r="DB92" s="2928">
        <f t="shared" si="8"/>
      </c>
      <c r="DC92" s="2928">
        <f t="shared" si="8"/>
      </c>
      <c r="DD92" s="2928">
        <f t="shared" si="8"/>
      </c>
      <c r="DE92" s="2928">
        <f t="shared" si="8"/>
      </c>
      <c r="DF92" s="2928">
        <f t="shared" si="8"/>
      </c>
      <c r="DG92" s="2928">
        <f t="shared" si="8"/>
      </c>
      <c r="DH92" s="2928">
        <f t="shared" si="8"/>
      </c>
      <c r="DI92" s="2928">
        <f t="shared" si="8"/>
      </c>
      <c r="DJ92" s="2928">
        <f t="shared" si="8"/>
      </c>
      <c r="DK92" s="2928">
        <f t="shared" si="8"/>
      </c>
      <c r="DL92" s="2928">
        <f t="shared" si="8"/>
      </c>
      <c r="DM92" s="2928">
        <f t="shared" si="8"/>
      </c>
      <c r="DN92" s="2928">
        <f t="shared" si="8"/>
      </c>
      <c r="DO92" s="2928">
        <f t="shared" si="8"/>
      </c>
      <c r="DP92" s="2928">
        <f t="shared" si="8"/>
      </c>
      <c r="DQ92" s="2928">
        <f t="shared" si="8"/>
      </c>
      <c r="DR92" s="2928">
        <f t="shared" si="8"/>
      </c>
      <c r="DS92" s="2928">
        <f t="shared" si="8"/>
      </c>
      <c r="DT92" s="2928">
        <f t="shared" si="8"/>
      </c>
      <c r="DU92" s="2928">
        <f t="shared" si="8"/>
      </c>
      <c r="DV92" s="2928">
        <f t="shared" si="8"/>
      </c>
      <c r="DW92" s="2928">
        <f t="shared" si="8"/>
      </c>
      <c r="DX92" s="2928">
        <f t="shared" si="8"/>
      </c>
      <c r="DY92" s="2928">
        <f t="shared" si="8"/>
      </c>
      <c r="DZ92" s="2928">
        <f t="shared" si="8"/>
      </c>
      <c r="EA92" s="2928">
        <f t="shared" si="8"/>
      </c>
      <c r="EB92" s="2928">
        <f t="shared" si="8"/>
      </c>
      <c r="EC92" s="2928">
        <f t="shared" si="8"/>
      </c>
      <c r="ED92" s="2928">
        <f t="shared" si="8"/>
      </c>
      <c r="EE92" s="2928">
        <f t="shared" si="8"/>
      </c>
      <c r="EF92" s="2928">
        <f t="shared" si="8"/>
      </c>
      <c r="EG92" s="2928">
        <f t="shared" si="8"/>
      </c>
      <c r="EH92" s="2928">
        <f t="shared" si="8"/>
      </c>
      <c r="EI92" s="2928">
        <f t="shared" si="8"/>
      </c>
      <c r="EJ92" s="2928">
        <f t="shared" si="8"/>
      </c>
      <c r="EK92" s="2928">
        <f t="shared" si="8"/>
      </c>
      <c r="EL92" s="2928">
        <f t="shared" si="8"/>
      </c>
      <c r="EM92" s="2928">
        <f t="shared" si="8"/>
      </c>
      <c r="EN92" s="2928">
        <f t="shared" si="8"/>
      </c>
      <c r="EO92" s="2928">
        <f t="shared" si="8"/>
      </c>
      <c r="EP92" s="2928">
        <f t="shared" si="8"/>
      </c>
      <c r="EQ92" s="2928">
        <f t="shared" si="8"/>
      </c>
      <c r="ER92" s="2928">
        <f t="shared" si="8"/>
      </c>
      <c r="ES92" s="2928">
        <f t="shared" si="8"/>
      </c>
      <c r="ET92" s="2928">
        <f t="shared" si="8"/>
      </c>
      <c r="EU92" s="2928">
        <f t="shared" si="8"/>
      </c>
      <c r="EV92" s="2928">
        <f t="shared" si="8"/>
      </c>
      <c r="EW92" s="2928">
        <f t="shared" si="8"/>
      </c>
      <c r="EX92" s="2928">
        <f t="shared" si="8"/>
      </c>
      <c r="EY92" s="2928">
        <f t="shared" si="8"/>
      </c>
      <c r="EZ92" s="2928">
        <f t="shared" si="8"/>
      </c>
      <c r="FA92" s="2929" t="str">
        <f t="shared" si="12"/>
        <v>-</v>
      </c>
      <c r="FB92" s="2825">
        <f t="shared" si="13"/>
      </c>
      <c r="FC92" s="2930" cm="1">
        <f t="array" ref="FC92">_xlfn.LET(_xlpm.unit_type,$G92,_xlpm.market_rent_from_rent_roll,$E92,_xlpm.unit_type_list,RentRoll_InputArea_DesignatedUnitType,_xlpm.rent_by_unit_type,RentRoll_InputArea_MarketRent,_xlpm.use_rent_roll_market_rent,LEFT(RR_VacantUnitMktRentSource,9)="Rent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2" s="2930">
        <f t="shared" si="14"/>
        <v>1084</v>
      </c>
      <c r="FE92" s="2930">
        <f t="shared" si="15"/>
        <v>1084</v>
      </c>
      <c r="FF92" s="2930">
        <f t="shared" si="16"/>
        <v>1084</v>
      </c>
      <c r="FG92" s="2931"/>
      <c r="FH92" s="2932">
        <f t="shared" si="17"/>
      </c>
      <c r="FI92" s="2932">
        <f t="shared" si="18"/>
      </c>
      <c r="FJ92" s="2931"/>
      <c r="FK92" s="2933" cm="1">
        <f t="array" ref="FK92">IF(AND(LEN($D92)&gt;0,ISNA(MATCH(TRUE,EXACT($G92,RentRoll_InputArea_DesignatedUnitType),0))),1,0)</f>
        <v>0</v>
      </c>
      <c r="FL92" s="2931">
        <f t="shared" si="19"/>
        <v>69</v>
      </c>
      <c r="FM92" s="2931"/>
      <c r="FN92" s="2931"/>
      <c r="FO92" s="2931"/>
      <c r="FP92" s="2931"/>
      <c r="FQ92" s="2931"/>
      <c r="FR92" s="2931"/>
      <c r="FS92" s="2931"/>
      <c r="FT92" s="2931"/>
      <c r="FU92" s="2931"/>
      <c r="FV92" s="2931"/>
      <c r="FW92" s="2931"/>
      <c r="FX92" s="2931"/>
      <c r="FY92" s="2931"/>
      <c r="FZ92" s="2931"/>
      <c r="GA92" s="2931"/>
      <c r="GB92" s="2931"/>
      <c r="GC92" s="2931"/>
      <c r="GD92" s="2931"/>
      <c r="GE92" s="2931"/>
      <c r="GF92" s="2931"/>
      <c r="GG92" s="2931"/>
      <c r="GH92" s="2931"/>
      <c r="GI92" s="2931"/>
      <c r="GJ92" s="2931"/>
      <c r="GK92" s="2931"/>
      <c r="GL92" s="2931"/>
      <c r="GM92" s="2931"/>
      <c r="GN92" s="2931"/>
      <c r="GO92" s="2931"/>
      <c r="GP92" s="2931"/>
      <c r="GQ92" s="2931"/>
      <c r="GR92" s="2931"/>
      <c r="GS92" s="2931"/>
      <c r="GT92" s="2931"/>
      <c r="GU92" s="2931"/>
      <c r="GV92" s="2931"/>
      <c r="GW92" s="2931"/>
      <c r="GX92" s="2931"/>
      <c r="GY92" s="2931"/>
      <c r="GZ92" s="2931"/>
      <c r="HA92" s="2931"/>
      <c r="HB92" s="2931"/>
      <c r="HC92" s="2931"/>
      <c r="HD92" s="2931"/>
      <c r="HE92" s="2931"/>
      <c r="HF92" s="2931"/>
      <c r="HG92" s="2931"/>
      <c r="HH92" s="2931"/>
      <c r="HI92" s="2931"/>
      <c r="HJ92" s="2931"/>
      <c r="HK92" s="2931"/>
      <c r="HL92" s="2931"/>
      <c r="HM92" s="2931"/>
      <c r="HN92" s="2931"/>
      <c r="HO92" s="2931"/>
      <c r="HP92" s="2931"/>
      <c r="HQ92" s="2931"/>
      <c r="HR92" s="2931"/>
      <c r="HS92" s="2931"/>
      <c r="HT92" s="2931"/>
      <c r="HU92" s="2931"/>
      <c r="HV92" s="2931"/>
      <c r="HW92" s="2931"/>
      <c r="HX92" s="2931"/>
      <c r="HY92" s="2931"/>
      <c r="HZ92" s="2931"/>
      <c r="IA92" s="2931"/>
      <c r="IB92" s="2931"/>
      <c r="IC92" s="2931"/>
      <c r="ID92" s="2931"/>
      <c r="IE92" s="2931"/>
      <c r="IF92" s="2931"/>
      <c r="IG92" s="2931"/>
      <c r="IH92" s="2931"/>
      <c r="II92" s="2931"/>
      <c r="IJ92" s="2931"/>
      <c r="IK92" s="2931"/>
      <c r="IL92" s="2931"/>
      <c r="IM92" s="2931"/>
      <c r="IN92" s="2931"/>
      <c r="IO92" s="2931" cm="1">
        <f t="array" ref="IO92">IF(LEN($G92)=0,"Rent Roll is incomplete",_xlfn.XLOOKUP(TRUE,EXACT(RentRoll_InputArea_DesignatedUnitType,$G92),RentRoll_InputArea_Beds,"Not Found"))</f>
        <v>1</v>
      </c>
      <c r="IP92" s="2934"/>
      <c r="IQ92" s="2935" t="str">
        <f t="shared" si="20"/>
        <v>1 Bedroom Unit</v>
      </c>
      <c r="IR92" s="2926">
        <f t="shared" si="21"/>
        <v>1084</v>
      </c>
      <c r="IS92" s="2935"/>
      <c r="IT92" s="2931"/>
      <c r="IU92" s="2931"/>
      <c r="IV92" s="2931"/>
      <c r="IW92" s="2936" t="str">
        <f t="shared" si="22"/>
        <v>6-610</v>
      </c>
      <c r="IX92" s="2936"/>
      <c r="IY92" s="2936"/>
      <c r="IZ92" s="2936">
        <f t="shared" si="23"/>
        <v>1</v>
      </c>
      <c r="JA92" s="2936">
        <f t="shared" si="24"/>
        <v>1084</v>
      </c>
      <c r="JB92" s="2936"/>
      <c r="JC92" s="2936"/>
      <c r="JD92" s="2936"/>
      <c r="JE92" s="2936"/>
      <c r="JF92" s="2936"/>
      <c r="JG92" s="2936"/>
      <c r="JH92" s="2936">
        <f t="shared" si="25"/>
        <v>1159</v>
      </c>
      <c r="JI92" s="2936"/>
      <c r="JJ92" s="2936">
        <f t="shared" si="26"/>
      </c>
      <c r="JK92" s="2936"/>
      <c r="JL92" s="2936"/>
      <c r="JM92" s="2936"/>
      <c r="JN92" s="2936"/>
      <c r="JO92" s="2936"/>
      <c r="JP92" s="2936"/>
      <c r="JQ92" s="2936" t="str">
        <f t="shared" si="27"/>
        <v>Occupied</v>
      </c>
      <c r="JR92" s="2936" cm="1">
        <f t="array" ref="JR92">_xlfn.XLOOKUP(TRUE,EXACT(RentRoll_InputArea_DesignatedUnitType,$G92),RentRoll_InputArea_SquareFootage,"Not Found")</f>
        <v>704</v>
      </c>
      <c r="JS92" s="2936" t="str">
        <f t="shared" si="28"/>
        <v>Apartment</v>
      </c>
      <c r="JT92" s="2936">
        <f t="shared" si="29"/>
      </c>
      <c r="JU92" s="2936"/>
      <c r="JV92" s="2936"/>
      <c r="JW92" s="2936"/>
      <c r="JX92" s="2936"/>
      <c r="JY92" s="2936">
        <f t="shared" si="9"/>
        <v>43424</v>
      </c>
      <c r="JZ92" s="2936">
        <f t="shared" si="9"/>
        <v>43646</v>
      </c>
      <c r="KA92" s="2936"/>
      <c r="KB92" s="2936"/>
      <c r="KC92" s="2936"/>
      <c r="KD92" s="2936"/>
      <c r="KE92" s="2936"/>
      <c r="KF92" s="2936"/>
      <c r="KG92" s="2936"/>
      <c r="KH92" s="2936"/>
      <c r="KI92" s="2937"/>
      <c r="KJ92" s="2936"/>
      <c r="KK92" s="1353"/>
    </row>
    <row r="93" ht="15" customHeight="1">
      <c r="A93" s="2922">
        <f t="shared" si="10"/>
        <v>70</v>
      </c>
      <c r="B93" s="2865"/>
      <c r="C93" s="2873"/>
      <c r="D93" s="2873" t="s">
        <v>2882</v>
      </c>
      <c r="E93" s="2923">
        <v>1165</v>
      </c>
      <c r="F93" s="2924" t="s">
        <v>2883</v>
      </c>
      <c r="G93" s="2873" t="s">
        <v>2529</v>
      </c>
      <c r="H93" s="2923">
        <v>1175</v>
      </c>
      <c r="I93" s="2925" cm="1">
        <f t="array" ref="I93">_xlfn.LET(_xlpm.has_subsidy,$N93&gt;0,_xlpm.is_chap9_sbl,$FF$20,_xlpm.contract_rent,$H93,_xlpm.unit_type_mkt_rent,_xlfn.XLOOKUP(TRUE,EXACT($G93,RentRoll_InputArea_DesignatedUnitType),RentRoll_InputArea_MarketRent,"Not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3" s="2926">
        <f t="shared" si="11"/>
        <v>1175</v>
      </c>
      <c r="K93" s="2923"/>
      <c r="L93" s="2923"/>
      <c r="M93" s="2923"/>
      <c r="N93" s="2923"/>
      <c r="O93" s="2927">
        <v>43586</v>
      </c>
      <c r="P93" s="2927">
        <v>43799</v>
      </c>
      <c r="Q93" s="2928">
        <f t="shared" si="8"/>
        <v>1175</v>
      </c>
      <c r="R93" s="2928">
        <f t="shared" si="8"/>
      </c>
      <c r="S93" s="2928">
        <f t="shared" si="8"/>
      </c>
      <c r="T93" s="2928">
        <f t="shared" si="8"/>
      </c>
      <c r="U93" s="2928">
        <f t="shared" si="8"/>
      </c>
      <c r="V93" s="2928">
        <f t="shared" si="8"/>
      </c>
      <c r="W93" s="2928">
        <f t="shared" si="8"/>
      </c>
      <c r="X93" s="2928">
        <f t="shared" si="8"/>
      </c>
      <c r="Y93" s="2928">
        <f t="shared" si="8"/>
      </c>
      <c r="Z93" s="2928">
        <f t="shared" si="8"/>
      </c>
      <c r="AA93" s="2928">
        <f t="shared" si="8"/>
      </c>
      <c r="AB93" s="2928">
        <f t="shared" si="8"/>
      </c>
      <c r="AC93" s="2928">
        <f t="shared" si="8"/>
      </c>
      <c r="AD93" s="2928">
        <f t="shared" si="8"/>
      </c>
      <c r="AE93" s="2928">
        <f t="shared" si="8"/>
      </c>
      <c r="AF93" s="2928">
        <f t="shared" si="8"/>
      </c>
      <c r="AG93" s="2928">
        <f t="shared" si="8"/>
      </c>
      <c r="AH93" s="2928">
        <f t="shared" si="8"/>
      </c>
      <c r="AI93" s="2928">
        <f t="shared" si="8"/>
      </c>
      <c r="AJ93" s="2928">
        <f t="shared" si="8"/>
      </c>
      <c r="AK93" s="2928">
        <f t="shared" si="8"/>
      </c>
      <c r="AL93" s="2928">
        <f t="shared" si="8"/>
      </c>
      <c r="AM93" s="2928">
        <f t="shared" si="8"/>
      </c>
      <c r="AN93" s="2928">
        <f t="shared" si="8"/>
      </c>
      <c r="AO93" s="2928">
        <f t="shared" si="8"/>
      </c>
      <c r="AP93" s="2928">
        <f t="shared" si="8"/>
      </c>
      <c r="AQ93" s="2928">
        <f t="shared" si="8"/>
      </c>
      <c r="AR93" s="2928">
        <f t="shared" si="8"/>
      </c>
      <c r="AS93" s="2928">
        <f t="shared" si="8"/>
      </c>
      <c r="AT93" s="2928">
        <f t="shared" si="8"/>
      </c>
      <c r="AU93" s="2928">
        <f t="shared" si="8"/>
      </c>
      <c r="AV93" s="2928">
        <f t="shared" si="8"/>
      </c>
      <c r="AW93" s="2928">
        <f t="shared" si="8"/>
      </c>
      <c r="AX93" s="2928">
        <f t="shared" si="8"/>
      </c>
      <c r="AY93" s="2928">
        <f t="shared" si="8"/>
      </c>
      <c r="AZ93" s="2928">
        <f t="shared" si="8"/>
      </c>
      <c r="BA93" s="2928">
        <f t="shared" si="8"/>
      </c>
      <c r="BB93" s="2928">
        <f t="shared" si="8"/>
      </c>
      <c r="BC93" s="2928">
        <f t="shared" si="8"/>
      </c>
      <c r="BD93" s="2928">
        <f t="shared" si="8"/>
      </c>
      <c r="BE93" s="2928">
        <f t="shared" si="8"/>
      </c>
      <c r="BF93" s="2928">
        <f t="shared" si="8"/>
      </c>
      <c r="BG93" s="2928">
        <f t="shared" si="8"/>
      </c>
      <c r="BH93" s="2928">
        <f t="shared" si="8"/>
      </c>
      <c r="BI93" s="2928">
        <f t="shared" si="8"/>
      </c>
      <c r="BJ93" s="2928">
        <f t="shared" si="8"/>
      </c>
      <c r="BK93" s="2928">
        <f t="shared" si="8"/>
      </c>
      <c r="BL93" s="2928">
        <f t="shared" si="8"/>
      </c>
      <c r="BM93" s="2928">
        <f t="shared" si="8"/>
      </c>
      <c r="BN93" s="2928">
        <f t="shared" si="8"/>
      </c>
      <c r="BO93" s="2928">
        <f t="shared" si="8"/>
      </c>
      <c r="BP93" s="2928">
        <f t="shared" si="8"/>
      </c>
      <c r="BQ93" s="2928">
        <f t="shared" si="8"/>
      </c>
      <c r="BR93" s="2928">
        <f t="shared" si="8"/>
      </c>
      <c r="BS93" s="2928">
        <f t="shared" si="8"/>
      </c>
      <c r="BT93" s="2928">
        <f t="shared" si="8"/>
      </c>
      <c r="BU93" s="2928">
        <f t="shared" si="8"/>
      </c>
      <c r="BV93" s="2928">
        <f t="shared" si="8"/>
      </c>
      <c r="BW93" s="2928">
        <f t="shared" si="8"/>
      </c>
      <c r="BX93" s="2928">
        <f t="shared" si="8"/>
      </c>
      <c r="BY93" s="2928">
        <f t="shared" si="8"/>
      </c>
      <c r="BZ93" s="2928">
        <f t="shared" si="8"/>
      </c>
      <c r="CA93" s="2928">
        <f t="shared" si="8"/>
      </c>
      <c r="CB93" s="2928">
        <f t="shared" si="8"/>
      </c>
      <c r="CC93" s="2928">
        <f t="shared" si="8"/>
      </c>
      <c r="CD93" s="2928">
        <f t="shared" si="8"/>
      </c>
      <c r="CE93" s="2928">
        <f t="shared" si="8"/>
      </c>
      <c r="CF93" s="2928">
        <f t="shared" si="8"/>
      </c>
      <c r="CG93" s="2928">
        <f t="shared" si="8"/>
      </c>
      <c r="CH93" s="2928">
        <f t="shared" si="8"/>
      </c>
      <c r="CI93" s="2928">
        <f t="shared" si="8"/>
      </c>
      <c r="CJ93" s="2928">
        <f t="shared" si="8"/>
      </c>
      <c r="CK93" s="2928">
        <f t="shared" si="8"/>
      </c>
      <c r="CL93" s="2928">
        <f t="shared" si="8"/>
      </c>
      <c r="CM93" s="2928">
        <f t="shared" si="8"/>
      </c>
      <c r="CN93" s="2928">
        <f t="shared" si="8"/>
      </c>
      <c r="CO93" s="2928">
        <f t="shared" si="8"/>
      </c>
      <c r="CP93" s="2928">
        <f t="shared" si="8"/>
      </c>
      <c r="CQ93" s="2928">
        <f t="shared" si="8"/>
      </c>
      <c r="CR93" s="2928">
        <f t="shared" si="8"/>
      </c>
      <c r="CS93" s="2928">
        <f t="shared" si="8"/>
      </c>
      <c r="CT93" s="2928">
        <f t="shared" si="8"/>
      </c>
      <c r="CU93" s="2928">
        <f t="shared" si="8"/>
      </c>
      <c r="CV93" s="2928">
        <f t="shared" si="8"/>
      </c>
      <c r="CW93" s="2928">
        <f t="shared" si="8"/>
      </c>
      <c r="CX93" s="2928">
        <f t="shared" si="8"/>
      </c>
      <c r="CY93" s="2928">
        <f t="shared" si="8"/>
      </c>
      <c r="CZ93" s="2928">
        <f t="shared" si="8"/>
      </c>
      <c r="DA93" s="2928">
        <f t="shared" si="8"/>
      </c>
      <c r="DB93" s="2928">
        <f t="shared" si="8"/>
      </c>
      <c r="DC93" s="2928">
        <f t="shared" si="8"/>
      </c>
      <c r="DD93" s="2928">
        <f t="shared" si="8"/>
      </c>
      <c r="DE93" s="2928">
        <f t="shared" si="8"/>
      </c>
      <c r="DF93" s="2928">
        <f t="shared" si="8"/>
      </c>
      <c r="DG93" s="2928">
        <f t="shared" si="8"/>
      </c>
      <c r="DH93" s="2928">
        <f t="shared" si="8"/>
      </c>
      <c r="DI93" s="2928">
        <f t="shared" si="8"/>
      </c>
      <c r="DJ93" s="2928">
        <f t="shared" si="8"/>
      </c>
      <c r="DK93" s="2928">
        <f t="shared" si="8"/>
      </c>
      <c r="DL93" s="2928">
        <f t="shared" si="8"/>
      </c>
      <c r="DM93" s="2928">
        <f t="shared" si="8"/>
      </c>
      <c r="DN93" s="2928">
        <f t="shared" si="8"/>
      </c>
      <c r="DO93" s="2928">
        <f t="shared" si="8"/>
      </c>
      <c r="DP93" s="2928">
        <f t="shared" si="8"/>
      </c>
      <c r="DQ93" s="2928">
        <f t="shared" si="8"/>
      </c>
      <c r="DR93" s="2928">
        <f t="shared" si="8"/>
      </c>
      <c r="DS93" s="2928">
        <f t="shared" si="8"/>
      </c>
      <c r="DT93" s="2928">
        <f t="shared" si="8"/>
      </c>
      <c r="DU93" s="2928">
        <f t="shared" si="8"/>
      </c>
      <c r="DV93" s="2928">
        <f t="shared" si="8"/>
      </c>
      <c r="DW93" s="2928">
        <f t="shared" si="8"/>
      </c>
      <c r="DX93" s="2928">
        <f t="shared" si="8"/>
      </c>
      <c r="DY93" s="2928">
        <f t="shared" si="8"/>
      </c>
      <c r="DZ93" s="2928">
        <f t="shared" si="8"/>
      </c>
      <c r="EA93" s="2928">
        <f t="shared" si="8"/>
      </c>
      <c r="EB93" s="2928">
        <f t="shared" si="8"/>
      </c>
      <c r="EC93" s="2928">
        <f t="shared" si="8"/>
      </c>
      <c r="ED93" s="2928">
        <f t="shared" si="8"/>
      </c>
      <c r="EE93" s="2928">
        <f t="shared" si="8"/>
      </c>
      <c r="EF93" s="2928">
        <f t="shared" si="8"/>
      </c>
      <c r="EG93" s="2928">
        <f t="shared" si="8"/>
      </c>
      <c r="EH93" s="2928">
        <f t="shared" si="8"/>
      </c>
      <c r="EI93" s="2928">
        <f t="shared" si="8"/>
      </c>
      <c r="EJ93" s="2928">
        <f t="shared" si="8"/>
      </c>
      <c r="EK93" s="2928">
        <f t="shared" si="8"/>
      </c>
      <c r="EL93" s="2928">
        <f t="shared" si="8"/>
      </c>
      <c r="EM93" s="2928">
        <f t="shared" si="8"/>
      </c>
      <c r="EN93" s="2928">
        <f t="shared" si="8"/>
      </c>
      <c r="EO93" s="2928">
        <f t="shared" si="8"/>
      </c>
      <c r="EP93" s="2928">
        <f t="shared" si="8"/>
      </c>
      <c r="EQ93" s="2928">
        <f t="shared" si="8"/>
      </c>
      <c r="ER93" s="2928">
        <f t="shared" si="8"/>
      </c>
      <c r="ES93" s="2928">
        <f t="shared" si="8"/>
      </c>
      <c r="ET93" s="2928">
        <f t="shared" si="8"/>
      </c>
      <c r="EU93" s="2928">
        <f t="shared" si="8"/>
      </c>
      <c r="EV93" s="2928">
        <f t="shared" si="8"/>
      </c>
      <c r="EW93" s="2928">
        <f t="shared" si="8"/>
      </c>
      <c r="EX93" s="2928">
        <f t="shared" si="8"/>
      </c>
      <c r="EY93" s="2928">
        <f t="shared" si="8"/>
      </c>
      <c r="EZ93" s="2928">
        <f t="shared" si="8"/>
      </c>
      <c r="FA93" s="2929" t="str">
        <f t="shared" si="12"/>
        <v>-</v>
      </c>
      <c r="FB93" s="2825">
        <f t="shared" si="13"/>
      </c>
      <c r="FC93" s="2930" cm="1">
        <f t="array" ref="FC93">_xlfn.LET(_xlpm.unit_type,$G93,_xlpm.market_rent_from_rent_roll,$E93,_xlpm.unit_type_list,RentRoll_InputArea_DesignatedUnitType,_xlpm.rent_by_unit_type,RentRoll_InputArea_MarketRent,_xlpm.use_rent_roll_market_rent,LEFT(RR_VacantUnitMktRentSource,9)="Rent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3" s="2930">
        <f t="shared" si="14"/>
        <v>1175</v>
      </c>
      <c r="FE93" s="2930">
        <f t="shared" si="15"/>
        <v>1175</v>
      </c>
      <c r="FF93" s="2930">
        <f t="shared" si="16"/>
        <v>1175</v>
      </c>
      <c r="FG93" s="2931"/>
      <c r="FH93" s="2932">
        <f t="shared" si="17"/>
      </c>
      <c r="FI93" s="2932">
        <f t="shared" si="18"/>
      </c>
      <c r="FJ93" s="2931"/>
      <c r="FK93" s="2933" cm="1">
        <f t="array" ref="FK93">IF(AND(LEN($D93)&gt;0,ISNA(MATCH(TRUE,EXACT($G93,RentRoll_InputArea_DesignatedUnitType),0))),1,0)</f>
        <v>0</v>
      </c>
      <c r="FL93" s="2931">
        <f t="shared" si="19"/>
        <v>70</v>
      </c>
      <c r="FM93" s="2931"/>
      <c r="FN93" s="2931"/>
      <c r="FO93" s="2931"/>
      <c r="FP93" s="2931"/>
      <c r="FQ93" s="2931"/>
      <c r="FR93" s="2931"/>
      <c r="FS93" s="2931"/>
      <c r="FT93" s="2931"/>
      <c r="FU93" s="2931"/>
      <c r="FV93" s="2931"/>
      <c r="FW93" s="2931"/>
      <c r="FX93" s="2931"/>
      <c r="FY93" s="2931"/>
      <c r="FZ93" s="2931"/>
      <c r="GA93" s="2931"/>
      <c r="GB93" s="2931"/>
      <c r="GC93" s="2931"/>
      <c r="GD93" s="2931"/>
      <c r="GE93" s="2931"/>
      <c r="GF93" s="2931"/>
      <c r="GG93" s="2931"/>
      <c r="GH93" s="2931"/>
      <c r="GI93" s="2931"/>
      <c r="GJ93" s="2931"/>
      <c r="GK93" s="2931"/>
      <c r="GL93" s="2931"/>
      <c r="GM93" s="2931"/>
      <c r="GN93" s="2931"/>
      <c r="GO93" s="2931"/>
      <c r="GP93" s="2931"/>
      <c r="GQ93" s="2931"/>
      <c r="GR93" s="2931"/>
      <c r="GS93" s="2931"/>
      <c r="GT93" s="2931"/>
      <c r="GU93" s="2931"/>
      <c r="GV93" s="2931"/>
      <c r="GW93" s="2931"/>
      <c r="GX93" s="2931"/>
      <c r="GY93" s="2931"/>
      <c r="GZ93" s="2931"/>
      <c r="HA93" s="2931"/>
      <c r="HB93" s="2931"/>
      <c r="HC93" s="2931"/>
      <c r="HD93" s="2931"/>
      <c r="HE93" s="2931"/>
      <c r="HF93" s="2931"/>
      <c r="HG93" s="2931"/>
      <c r="HH93" s="2931"/>
      <c r="HI93" s="2931"/>
      <c r="HJ93" s="2931"/>
      <c r="HK93" s="2931"/>
      <c r="HL93" s="2931"/>
      <c r="HM93" s="2931"/>
      <c r="HN93" s="2931"/>
      <c r="HO93" s="2931"/>
      <c r="HP93" s="2931"/>
      <c r="HQ93" s="2931"/>
      <c r="HR93" s="2931"/>
      <c r="HS93" s="2931"/>
      <c r="HT93" s="2931"/>
      <c r="HU93" s="2931"/>
      <c r="HV93" s="2931"/>
      <c r="HW93" s="2931"/>
      <c r="HX93" s="2931"/>
      <c r="HY93" s="2931"/>
      <c r="HZ93" s="2931"/>
      <c r="IA93" s="2931"/>
      <c r="IB93" s="2931"/>
      <c r="IC93" s="2931"/>
      <c r="ID93" s="2931"/>
      <c r="IE93" s="2931"/>
      <c r="IF93" s="2931"/>
      <c r="IG93" s="2931"/>
      <c r="IH93" s="2931"/>
      <c r="II93" s="2931"/>
      <c r="IJ93" s="2931"/>
      <c r="IK93" s="2931"/>
      <c r="IL93" s="2931"/>
      <c r="IM93" s="2931"/>
      <c r="IN93" s="2931"/>
      <c r="IO93" s="2931" cm="1">
        <f t="array" ref="IO93">IF(LEN($G93)=0,"Rent Roll is incomplete",_xlfn.XLOOKUP(TRUE,EXACT(RentRoll_InputArea_DesignatedUnitType,$G93),RentRoll_InputArea_Beds,"Not Found"))</f>
        <v>1</v>
      </c>
      <c r="IP93" s="2934"/>
      <c r="IQ93" s="2935" t="str">
        <f t="shared" si="20"/>
        <v>1 Bedroom Unit</v>
      </c>
      <c r="IR93" s="2926">
        <f t="shared" si="21"/>
        <v>1175</v>
      </c>
      <c r="IS93" s="2935"/>
      <c r="IT93" s="2931"/>
      <c r="IU93" s="2931"/>
      <c r="IV93" s="2931"/>
      <c r="IW93" s="2936" t="str">
        <f t="shared" si="22"/>
        <v>6-611</v>
      </c>
      <c r="IX93" s="2936"/>
      <c r="IY93" s="2936"/>
      <c r="IZ93" s="2936">
        <f t="shared" si="23"/>
        <v>1</v>
      </c>
      <c r="JA93" s="2936">
        <f t="shared" si="24"/>
        <v>1175</v>
      </c>
      <c r="JB93" s="2936"/>
      <c r="JC93" s="2936"/>
      <c r="JD93" s="2936"/>
      <c r="JE93" s="2936"/>
      <c r="JF93" s="2936"/>
      <c r="JG93" s="2936"/>
      <c r="JH93" s="2936">
        <f t="shared" si="25"/>
        <v>1159</v>
      </c>
      <c r="JI93" s="2936"/>
      <c r="JJ93" s="2936">
        <f t="shared" si="26"/>
      </c>
      <c r="JK93" s="2936"/>
      <c r="JL93" s="2936"/>
      <c r="JM93" s="2936"/>
      <c r="JN93" s="2936"/>
      <c r="JO93" s="2936"/>
      <c r="JP93" s="2936"/>
      <c r="JQ93" s="2936" t="str">
        <f t="shared" si="27"/>
        <v>Occupied</v>
      </c>
      <c r="JR93" s="2936" cm="1">
        <f t="array" ref="JR93">_xlfn.XLOOKUP(TRUE,EXACT(RentRoll_InputArea_DesignatedUnitType,$G93),RentRoll_InputArea_SquareFootage,"Not Found")</f>
        <v>704</v>
      </c>
      <c r="JS93" s="2936" t="str">
        <f t="shared" si="28"/>
        <v>Apartment</v>
      </c>
      <c r="JT93" s="2936">
        <f t="shared" si="29"/>
      </c>
      <c r="JU93" s="2936"/>
      <c r="JV93" s="2936"/>
      <c r="JW93" s="2936"/>
      <c r="JX93" s="2936"/>
      <c r="JY93" s="2936">
        <f t="shared" si="9"/>
        <v>43586</v>
      </c>
      <c r="JZ93" s="2936">
        <f t="shared" si="9"/>
        <v>43799</v>
      </c>
      <c r="KA93" s="2936"/>
      <c r="KB93" s="2936"/>
      <c r="KC93" s="2936"/>
      <c r="KD93" s="2936"/>
      <c r="KE93" s="2936"/>
      <c r="KF93" s="2936"/>
      <c r="KG93" s="2936"/>
      <c r="KH93" s="2936"/>
      <c r="KI93" s="2937"/>
      <c r="KJ93" s="2936"/>
      <c r="KK93" s="1353"/>
    </row>
    <row r="94" ht="15" customHeight="1">
      <c r="A94" s="2922">
        <f t="shared" si="10"/>
        <v>71</v>
      </c>
      <c r="B94" s="2865"/>
      <c r="C94" s="2873"/>
      <c r="D94" s="2873" t="s">
        <v>2884</v>
      </c>
      <c r="E94" s="2923">
        <v>1159</v>
      </c>
      <c r="F94" s="2924" t="s">
        <v>2885</v>
      </c>
      <c r="G94" s="2873" t="s">
        <v>2529</v>
      </c>
      <c r="H94" s="2923">
        <v>1150</v>
      </c>
      <c r="I94" s="2925" cm="1">
        <f t="array" ref="I94">_xlfn.LET(_xlpm.has_subsidy,$N94&gt;0,_xlpm.is_chap9_sbl,$FF$20,_xlpm.contract_rent,$H94,_xlpm.unit_type_mkt_rent,_xlfn.XLOOKUP(TRUE,EXACT($G94,RentRoll_InputArea_DesignatedUnitType),RentRoll_InputArea_MarketRent,"Not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4" s="2926">
        <f t="shared" si="11"/>
        <v>1150</v>
      </c>
      <c r="K94" s="2923"/>
      <c r="L94" s="2923"/>
      <c r="M94" s="2923"/>
      <c r="N94" s="2923"/>
      <c r="O94" s="2927">
        <v>43421</v>
      </c>
      <c r="P94" s="2927">
        <v>43646</v>
      </c>
      <c r="Q94" s="2928">
        <f t="shared" si="8"/>
        <v>1150</v>
      </c>
      <c r="R94" s="2928">
        <f t="shared" si="8"/>
      </c>
      <c r="S94" s="2928">
        <f t="shared" si="8"/>
      </c>
      <c r="T94" s="2928">
        <f t="shared" si="8"/>
      </c>
      <c r="U94" s="2928">
        <f t="shared" si="8"/>
      </c>
      <c r="V94" s="2928">
        <f t="shared" si="8"/>
      </c>
      <c r="W94" s="2928">
        <f t="shared" si="8"/>
      </c>
      <c r="X94" s="2928">
        <f t="shared" si="8"/>
      </c>
      <c r="Y94" s="2928">
        <f t="shared" si="8"/>
      </c>
      <c r="Z94" s="2928">
        <f t="shared" si="8"/>
      </c>
      <c r="AA94" s="2928">
        <f t="shared" si="8"/>
      </c>
      <c r="AB94" s="2928">
        <f t="shared" si="8"/>
      </c>
      <c r="AC94" s="2928">
        <f t="shared" si="8"/>
      </c>
      <c r="AD94" s="2928">
        <f t="shared" si="8"/>
      </c>
      <c r="AE94" s="2928">
        <f t="shared" si="8"/>
      </c>
      <c r="AF94" s="2928">
        <f t="shared" si="8"/>
      </c>
      <c r="AG94" s="2928">
        <f t="shared" si="8"/>
      </c>
      <c r="AH94" s="2928">
        <f t="shared" si="8"/>
      </c>
      <c r="AI94" s="2928">
        <f t="shared" si="8"/>
      </c>
      <c r="AJ94" s="2928">
        <f t="shared" si="8"/>
      </c>
      <c r="AK94" s="2928">
        <f t="shared" si="8"/>
      </c>
      <c r="AL94" s="2928">
        <f t="shared" si="8"/>
      </c>
      <c r="AM94" s="2928">
        <f t="shared" si="8"/>
      </c>
      <c r="AN94" s="2928">
        <f t="shared" si="8"/>
      </c>
      <c r="AO94" s="2928">
        <f t="shared" si="8"/>
      </c>
      <c r="AP94" s="2928">
        <f t="shared" si="8"/>
      </c>
      <c r="AQ94" s="2928">
        <f t="shared" si="8"/>
      </c>
      <c r="AR94" s="2928">
        <f t="shared" si="8"/>
      </c>
      <c r="AS94" s="2928">
        <f t="shared" si="8"/>
      </c>
      <c r="AT94" s="2928">
        <f t="shared" si="8"/>
      </c>
      <c r="AU94" s="2928">
        <f t="shared" si="8"/>
      </c>
      <c r="AV94" s="2928">
        <f t="shared" si="8"/>
      </c>
      <c r="AW94" s="2928">
        <f t="shared" si="8"/>
      </c>
      <c r="AX94" s="2928">
        <f t="shared" si="8"/>
      </c>
      <c r="AY94" s="2928">
        <f t="shared" si="8"/>
      </c>
      <c r="AZ94" s="2928">
        <f t="shared" si="8"/>
      </c>
      <c r="BA94" s="2928">
        <f t="shared" si="8"/>
      </c>
      <c r="BB94" s="2928">
        <f t="shared" si="8"/>
      </c>
      <c r="BC94" s="2928">
        <f t="shared" si="8"/>
      </c>
      <c r="BD94" s="2928">
        <f t="shared" si="8"/>
      </c>
      <c r="BE94" s="2928">
        <f t="shared" si="8"/>
      </c>
      <c r="BF94" s="2928">
        <f t="shared" si="8"/>
      </c>
      <c r="BG94" s="2928">
        <f t="shared" si="8"/>
      </c>
      <c r="BH94" s="2928">
        <f t="shared" si="8"/>
      </c>
      <c r="BI94" s="2928">
        <f t="shared" si="8"/>
      </c>
      <c r="BJ94" s="2928">
        <f t="shared" si="8"/>
      </c>
      <c r="BK94" s="2928">
        <f t="shared" si="8"/>
      </c>
      <c r="BL94" s="2928">
        <f t="shared" si="8"/>
      </c>
      <c r="BM94" s="2928">
        <f t="shared" si="8"/>
      </c>
      <c r="BN94" s="2928">
        <f t="shared" si="8"/>
      </c>
      <c r="BO94" s="2928">
        <f t="shared" si="8"/>
      </c>
      <c r="BP94" s="2928">
        <f t="shared" si="8"/>
      </c>
      <c r="BQ94" s="2928">
        <f t="shared" si="8"/>
      </c>
      <c r="BR94" s="2928">
        <f t="shared" si="8"/>
      </c>
      <c r="BS94" s="2928">
        <f t="shared" si="8"/>
      </c>
      <c r="BT94" s="2928">
        <f t="shared" si="8"/>
      </c>
      <c r="BU94" s="2928">
        <f t="shared" si="8"/>
      </c>
      <c r="BV94" s="2928">
        <f t="shared" si="8"/>
      </c>
      <c r="BW94" s="2928">
        <f t="shared" si="8"/>
      </c>
      <c r="BX94" s="2928">
        <f t="shared" si="8"/>
      </c>
      <c r="BY94" s="2928">
        <f t="shared" si="8"/>
      </c>
      <c r="BZ94" s="2928">
        <f t="shared" si="8"/>
      </c>
      <c r="CA94" s="2928">
        <f t="shared" si="8"/>
      </c>
      <c r="CB94" s="2928">
        <f t="shared" si="8"/>
      </c>
      <c r="CC94" s="2928">
        <f t="shared" si="8"/>
      </c>
      <c r="CD94" s="2928">
        <f t="shared" si="8"/>
      </c>
      <c r="CE94" s="2928">
        <f t="shared" si="8"/>
      </c>
      <c r="CF94" s="2928">
        <f t="shared" si="8"/>
      </c>
      <c r="CG94" s="2928">
        <f t="shared" si="8"/>
      </c>
      <c r="CH94" s="2928">
        <f t="shared" si="8"/>
      </c>
      <c r="CI94" s="2928">
        <f t="shared" si="8"/>
      </c>
      <c r="CJ94" s="2928">
        <f t="shared" si="8"/>
      </c>
      <c r="CK94" s="2928">
        <f t="shared" si="8"/>
      </c>
      <c r="CL94" s="2928">
        <f t="shared" si="8"/>
      </c>
      <c r="CM94" s="2928">
        <f t="shared" si="8"/>
      </c>
      <c r="CN94" s="2928">
        <f t="shared" si="8"/>
      </c>
      <c r="CO94" s="2928">
        <f t="shared" si="8"/>
      </c>
      <c r="CP94" s="2928">
        <f t="shared" si="8"/>
      </c>
      <c r="CQ94" s="2928">
        <f t="shared" si="8"/>
      </c>
      <c r="CR94" s="2928">
        <f t="shared" si="8"/>
      </c>
      <c r="CS94" s="2928">
        <f t="shared" si="8"/>
      </c>
      <c r="CT94" s="2928">
        <f t="shared" si="8"/>
      </c>
      <c r="CU94" s="2928">
        <f t="shared" si="8"/>
      </c>
      <c r="CV94" s="2928">
        <f t="shared" si="8"/>
      </c>
      <c r="CW94" s="2928">
        <f t="shared" si="8"/>
      </c>
      <c r="CX94" s="2928">
        <f t="shared" si="8"/>
      </c>
      <c r="CY94" s="2928">
        <f t="shared" si="8"/>
      </c>
      <c r="CZ94" s="2928">
        <f t="shared" si="8"/>
      </c>
      <c r="DA94" s="2928">
        <f t="shared" si="8"/>
      </c>
      <c r="DB94" s="2928">
        <f t="shared" si="8"/>
      </c>
      <c r="DC94" s="2928">
        <f t="shared" si="8"/>
      </c>
      <c r="DD94" s="2928">
        <f t="shared" si="8"/>
      </c>
      <c r="DE94" s="2928">
        <f t="shared" si="8"/>
      </c>
      <c r="DF94" s="2928">
        <f t="shared" si="8"/>
      </c>
      <c r="DG94" s="2928">
        <f t="shared" si="8"/>
      </c>
      <c r="DH94" s="2928">
        <f t="shared" si="8"/>
      </c>
      <c r="DI94" s="2928">
        <f t="shared" si="8"/>
      </c>
      <c r="DJ94" s="2928">
        <f t="shared" si="8"/>
      </c>
      <c r="DK94" s="2928">
        <f t="shared" si="8"/>
      </c>
      <c r="DL94" s="2928">
        <f t="shared" si="8"/>
      </c>
      <c r="DM94" s="2928">
        <f t="shared" si="8"/>
      </c>
      <c r="DN94" s="2928">
        <f t="shared" si="8"/>
      </c>
      <c r="DO94" s="2928">
        <f t="shared" si="8"/>
      </c>
      <c r="DP94" s="2928">
        <f t="shared" si="8"/>
      </c>
      <c r="DQ94" s="2928">
        <f t="shared" si="8"/>
      </c>
      <c r="DR94" s="2928">
        <f t="shared" si="8"/>
      </c>
      <c r="DS94" s="2928">
        <f t="shared" si="8"/>
      </c>
      <c r="DT94" s="2928">
        <f t="shared" si="8"/>
      </c>
      <c r="DU94" s="2928">
        <f t="shared" si="8"/>
      </c>
      <c r="DV94" s="2928">
        <f t="shared" si="8"/>
      </c>
      <c r="DW94" s="2928">
        <f t="shared" si="8"/>
      </c>
      <c r="DX94" s="2928">
        <f t="shared" si="8"/>
      </c>
      <c r="DY94" s="2928">
        <f t="shared" si="8"/>
      </c>
      <c r="DZ94" s="2928">
        <f t="shared" si="8"/>
      </c>
      <c r="EA94" s="2928">
        <f t="shared" si="8"/>
      </c>
      <c r="EB94" s="2928">
        <f t="shared" si="8"/>
      </c>
      <c r="EC94" s="2928">
        <f t="shared" si="8"/>
      </c>
      <c r="ED94" s="2928">
        <f t="shared" si="8"/>
      </c>
      <c r="EE94" s="2928">
        <f t="shared" si="8"/>
      </c>
      <c r="EF94" s="2928">
        <f t="shared" si="8"/>
      </c>
      <c r="EG94" s="2928">
        <f t="shared" si="8"/>
      </c>
      <c r="EH94" s="2928">
        <f t="shared" si="8"/>
      </c>
      <c r="EI94" s="2928">
        <f t="shared" si="8"/>
      </c>
      <c r="EJ94" s="2928">
        <f t="shared" si="8"/>
      </c>
      <c r="EK94" s="2928">
        <f t="shared" si="8"/>
      </c>
      <c r="EL94" s="2928">
        <f t="shared" si="8"/>
      </c>
      <c r="EM94" s="2928">
        <f t="shared" si="8"/>
      </c>
      <c r="EN94" s="2928">
        <f t="shared" si="8"/>
      </c>
      <c r="EO94" s="2928">
        <f t="shared" si="8"/>
      </c>
      <c r="EP94" s="2928">
        <f t="shared" si="8"/>
      </c>
      <c r="EQ94" s="2928">
        <f t="shared" si="8"/>
      </c>
      <c r="ER94" s="2928">
        <f t="shared" si="8"/>
      </c>
      <c r="ES94" s="2928">
        <f t="shared" si="8"/>
      </c>
      <c r="ET94" s="2928">
        <f t="shared" si="8"/>
      </c>
      <c r="EU94" s="2928">
        <f t="shared" si="8"/>
      </c>
      <c r="EV94" s="2928">
        <f t="shared" si="8"/>
      </c>
      <c r="EW94" s="2928">
        <f t="shared" si="8"/>
      </c>
      <c r="EX94" s="2928">
        <f t="shared" si="8"/>
      </c>
      <c r="EY94" s="2928">
        <f t="shared" si="8"/>
      </c>
      <c r="EZ94" s="2928">
        <f t="shared" si="8"/>
      </c>
      <c r="FA94" s="2929" t="str">
        <f t="shared" si="12"/>
        <v>-</v>
      </c>
      <c r="FB94" s="2825">
        <f t="shared" si="13"/>
      </c>
      <c r="FC94" s="2930" cm="1">
        <f t="array" ref="FC94">_xlfn.LET(_xlpm.unit_type,$G94,_xlpm.market_rent_from_rent_roll,$E94,_xlpm.unit_type_list,RentRoll_InputArea_DesignatedUnitType,_xlpm.rent_by_unit_type,RentRoll_InputArea_MarketRent,_xlpm.use_rent_roll_market_rent,LEFT(RR_VacantUnitMktRentSource,9)="Rent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4" s="2930">
        <f t="shared" si="14"/>
        <v>1150</v>
      </c>
      <c r="FE94" s="2930">
        <f t="shared" si="15"/>
        <v>1150</v>
      </c>
      <c r="FF94" s="2930">
        <f t="shared" si="16"/>
        <v>1150</v>
      </c>
      <c r="FG94" s="2931"/>
      <c r="FH94" s="2932">
        <f t="shared" si="17"/>
      </c>
      <c r="FI94" s="2932">
        <f t="shared" si="18"/>
      </c>
      <c r="FJ94" s="2931"/>
      <c r="FK94" s="2933" cm="1">
        <f t="array" ref="FK94">IF(AND(LEN($D94)&gt;0,ISNA(MATCH(TRUE,EXACT($G94,RentRoll_InputArea_DesignatedUnitType),0))),1,0)</f>
        <v>0</v>
      </c>
      <c r="FL94" s="2931">
        <f t="shared" si="19"/>
        <v>71</v>
      </c>
      <c r="FM94" s="2931"/>
      <c r="FN94" s="2931"/>
      <c r="FO94" s="2931"/>
      <c r="FP94" s="2931"/>
      <c r="FQ94" s="2931"/>
      <c r="FR94" s="2931"/>
      <c r="FS94" s="2931"/>
      <c r="FT94" s="2931"/>
      <c r="FU94" s="2931"/>
      <c r="FV94" s="2931"/>
      <c r="FW94" s="2931"/>
      <c r="FX94" s="2931"/>
      <c r="FY94" s="2931"/>
      <c r="FZ94" s="2931"/>
      <c r="GA94" s="2931"/>
      <c r="GB94" s="2931"/>
      <c r="GC94" s="2931"/>
      <c r="GD94" s="2931"/>
      <c r="GE94" s="2931"/>
      <c r="GF94" s="2931"/>
      <c r="GG94" s="2931"/>
      <c r="GH94" s="2931"/>
      <c r="GI94" s="2931"/>
      <c r="GJ94" s="2931"/>
      <c r="GK94" s="2931"/>
      <c r="GL94" s="2931"/>
      <c r="GM94" s="2931"/>
      <c r="GN94" s="2931"/>
      <c r="GO94" s="2931"/>
      <c r="GP94" s="2931"/>
      <c r="GQ94" s="2931"/>
      <c r="GR94" s="2931"/>
      <c r="GS94" s="2931"/>
      <c r="GT94" s="2931"/>
      <c r="GU94" s="2931"/>
      <c r="GV94" s="2931"/>
      <c r="GW94" s="2931"/>
      <c r="GX94" s="2931"/>
      <c r="GY94" s="2931"/>
      <c r="GZ94" s="2931"/>
      <c r="HA94" s="2931"/>
      <c r="HB94" s="2931"/>
      <c r="HC94" s="2931"/>
      <c r="HD94" s="2931"/>
      <c r="HE94" s="2931"/>
      <c r="HF94" s="2931"/>
      <c r="HG94" s="2931"/>
      <c r="HH94" s="2931"/>
      <c r="HI94" s="2931"/>
      <c r="HJ94" s="2931"/>
      <c r="HK94" s="2931"/>
      <c r="HL94" s="2931"/>
      <c r="HM94" s="2931"/>
      <c r="HN94" s="2931"/>
      <c r="HO94" s="2931"/>
      <c r="HP94" s="2931"/>
      <c r="HQ94" s="2931"/>
      <c r="HR94" s="2931"/>
      <c r="HS94" s="2931"/>
      <c r="HT94" s="2931"/>
      <c r="HU94" s="2931"/>
      <c r="HV94" s="2931"/>
      <c r="HW94" s="2931"/>
      <c r="HX94" s="2931"/>
      <c r="HY94" s="2931"/>
      <c r="HZ94" s="2931"/>
      <c r="IA94" s="2931"/>
      <c r="IB94" s="2931"/>
      <c r="IC94" s="2931"/>
      <c r="ID94" s="2931"/>
      <c r="IE94" s="2931"/>
      <c r="IF94" s="2931"/>
      <c r="IG94" s="2931"/>
      <c r="IH94" s="2931"/>
      <c r="II94" s="2931"/>
      <c r="IJ94" s="2931"/>
      <c r="IK94" s="2931"/>
      <c r="IL94" s="2931"/>
      <c r="IM94" s="2931"/>
      <c r="IN94" s="2931"/>
      <c r="IO94" s="2931" cm="1">
        <f t="array" ref="IO94">IF(LEN($G94)=0,"Rent Roll is incomplete",_xlfn.XLOOKUP(TRUE,EXACT(RentRoll_InputArea_DesignatedUnitType,$G94),RentRoll_InputArea_Beds,"Not Found"))</f>
        <v>1</v>
      </c>
      <c r="IP94" s="2934"/>
      <c r="IQ94" s="2935" t="str">
        <f t="shared" si="20"/>
        <v>1 Bedroom Unit</v>
      </c>
      <c r="IR94" s="2926">
        <f t="shared" si="21"/>
        <v>1150</v>
      </c>
      <c r="IS94" s="2935"/>
      <c r="IT94" s="2931"/>
      <c r="IU94" s="2931"/>
      <c r="IV94" s="2931"/>
      <c r="IW94" s="2936" t="str">
        <f t="shared" si="22"/>
        <v>6-612</v>
      </c>
      <c r="IX94" s="2936"/>
      <c r="IY94" s="2936"/>
      <c r="IZ94" s="2936">
        <f t="shared" si="23"/>
        <v>1</v>
      </c>
      <c r="JA94" s="2936">
        <f t="shared" si="24"/>
        <v>1150</v>
      </c>
      <c r="JB94" s="2936"/>
      <c r="JC94" s="2936"/>
      <c r="JD94" s="2936"/>
      <c r="JE94" s="2936"/>
      <c r="JF94" s="2936"/>
      <c r="JG94" s="2936"/>
      <c r="JH94" s="2936">
        <f t="shared" si="25"/>
        <v>1159</v>
      </c>
      <c r="JI94" s="2936"/>
      <c r="JJ94" s="2936">
        <f t="shared" si="26"/>
      </c>
      <c r="JK94" s="2936"/>
      <c r="JL94" s="2936"/>
      <c r="JM94" s="2936"/>
      <c r="JN94" s="2936"/>
      <c r="JO94" s="2936"/>
      <c r="JP94" s="2936"/>
      <c r="JQ94" s="2936" t="str">
        <f t="shared" si="27"/>
        <v>Occupied</v>
      </c>
      <c r="JR94" s="2936" cm="1">
        <f t="array" ref="JR94">_xlfn.XLOOKUP(TRUE,EXACT(RentRoll_InputArea_DesignatedUnitType,$G94),RentRoll_InputArea_SquareFootage,"Not Found")</f>
        <v>704</v>
      </c>
      <c r="JS94" s="2936" t="str">
        <f t="shared" si="28"/>
        <v>Apartment</v>
      </c>
      <c r="JT94" s="2936">
        <f t="shared" si="29"/>
      </c>
      <c r="JU94" s="2936"/>
      <c r="JV94" s="2936"/>
      <c r="JW94" s="2936"/>
      <c r="JX94" s="2936"/>
      <c r="JY94" s="2936">
        <f t="shared" si="9"/>
        <v>43421</v>
      </c>
      <c r="JZ94" s="2936">
        <f t="shared" si="9"/>
        <v>43646</v>
      </c>
      <c r="KA94" s="2936"/>
      <c r="KB94" s="2936"/>
      <c r="KC94" s="2936"/>
      <c r="KD94" s="2936"/>
      <c r="KE94" s="2936"/>
      <c r="KF94" s="2936"/>
      <c r="KG94" s="2936"/>
      <c r="KH94" s="2936"/>
      <c r="KI94" s="2937"/>
      <c r="KJ94" s="2936"/>
      <c r="KK94" s="1353"/>
    </row>
    <row r="95" ht="15" customHeight="1">
      <c r="A95" s="2922">
        <f t="shared" si="10"/>
        <v>72</v>
      </c>
      <c r="B95" s="2865"/>
      <c r="C95" s="2873"/>
      <c r="D95" s="2873" t="s">
        <v>2886</v>
      </c>
      <c r="E95" s="2923">
        <v>1155</v>
      </c>
      <c r="F95" s="2924" t="s">
        <v>2887</v>
      </c>
      <c r="G95" s="2873" t="s">
        <v>2529</v>
      </c>
      <c r="H95" s="2923">
        <v>1130</v>
      </c>
      <c r="I95" s="2925" cm="1">
        <f t="array" ref="I95">_xlfn.LET(_xlpm.has_subsidy,$N95&gt;0,_xlpm.is_chap9_sbl,$FF$20,_xlpm.contract_rent,$H95,_xlpm.unit_type_mkt_rent,_xlfn.XLOOKUP(TRUE,EXACT($G95,RentRoll_InputArea_DesignatedUnitType),RentRoll_InputArea_MarketRent,"Not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5" s="2926">
        <f t="shared" si="11"/>
        <v>1130</v>
      </c>
      <c r="K95" s="2923"/>
      <c r="L95" s="2923"/>
      <c r="M95" s="2923"/>
      <c r="N95" s="2923"/>
      <c r="O95" s="2927">
        <v>43568</v>
      </c>
      <c r="P95" s="2927">
        <v>43921</v>
      </c>
      <c r="Q95" s="2928">
        <f t="shared" si="8"/>
        <v>1130</v>
      </c>
      <c r="R95" s="2928">
        <f t="shared" si="8"/>
      </c>
      <c r="S95" s="2928">
        <f t="shared" si="8"/>
      </c>
      <c r="T95" s="2928">
        <f t="shared" si="8"/>
      </c>
      <c r="U95" s="2928">
        <f t="shared" si="8"/>
      </c>
      <c r="V95" s="2928">
        <f t="shared" si="8"/>
      </c>
      <c r="W95" s="2928">
        <f t="shared" si="8"/>
      </c>
      <c r="X95" s="2928">
        <f t="shared" si="8"/>
      </c>
      <c r="Y95" s="2928">
        <f t="shared" si="8"/>
      </c>
      <c r="Z95" s="2928">
        <f t="shared" si="8"/>
      </c>
      <c r="AA95" s="2928">
        <f t="shared" si="8"/>
      </c>
      <c r="AB95" s="2928">
        <f t="shared" si="8"/>
      </c>
      <c r="AC95" s="2928">
        <f t="shared" si="8"/>
      </c>
      <c r="AD95" s="2928">
        <f t="shared" si="8"/>
      </c>
      <c r="AE95" s="2928">
        <f t="shared" si="8"/>
      </c>
      <c r="AF95" s="2928">
        <f t="shared" si="8"/>
      </c>
      <c r="AG95" s="2928">
        <f t="shared" si="8"/>
      </c>
      <c r="AH95" s="2928">
        <f t="shared" si="8"/>
      </c>
      <c r="AI95" s="2928">
        <f t="shared" si="8"/>
      </c>
      <c r="AJ95" s="2928">
        <f t="shared" si="8"/>
      </c>
      <c r="AK95" s="2928">
        <f t="shared" si="8"/>
      </c>
      <c r="AL95" s="2928">
        <f t="shared" si="8"/>
      </c>
      <c r="AM95" s="2928">
        <f t="shared" si="8"/>
      </c>
      <c r="AN95" s="2928">
        <f t="shared" si="8"/>
      </c>
      <c r="AO95" s="2928">
        <f t="shared" si="8"/>
      </c>
      <c r="AP95" s="2928">
        <f t="shared" si="8"/>
      </c>
      <c r="AQ95" s="2928">
        <f t="shared" si="8"/>
      </c>
      <c r="AR95" s="2928">
        <f t="shared" si="8"/>
      </c>
      <c r="AS95" s="2928">
        <f t="shared" si="8"/>
      </c>
      <c r="AT95" s="2928">
        <f t="shared" si="8"/>
      </c>
      <c r="AU95" s="2928">
        <f t="shared" si="8"/>
      </c>
      <c r="AV95" s="2928">
        <f t="shared" si="8"/>
      </c>
      <c r="AW95" s="2928">
        <f t="shared" si="8"/>
      </c>
      <c r="AX95" s="2928">
        <f t="shared" si="8"/>
      </c>
      <c r="AY95" s="2928">
        <f t="shared" si="8"/>
      </c>
      <c r="AZ95" s="2928">
        <f t="shared" si="8"/>
      </c>
      <c r="BA95" s="2928">
        <f t="shared" si="8"/>
      </c>
      <c r="BB95" s="2928">
        <f t="shared" si="8"/>
      </c>
      <c r="BC95" s="2928">
        <f t="shared" si="8"/>
      </c>
      <c r="BD95" s="2928">
        <f t="shared" si="8"/>
      </c>
      <c r="BE95" s="2928">
        <f t="shared" si="8"/>
      </c>
      <c r="BF95" s="2928">
        <f t="shared" si="8"/>
      </c>
      <c r="BG95" s="2928">
        <f t="shared" si="8"/>
      </c>
      <c r="BH95" s="2928">
        <f t="shared" si="8"/>
      </c>
      <c r="BI95" s="2928">
        <f t="shared" si="8"/>
      </c>
      <c r="BJ95" s="2928">
        <f t="shared" si="8"/>
      </c>
      <c r="BK95" s="2928">
        <f t="shared" si="8"/>
      </c>
      <c r="BL95" s="2928">
        <f t="shared" si="8"/>
      </c>
      <c r="BM95" s="2928">
        <f t="shared" si="8"/>
      </c>
      <c r="BN95" s="2928">
        <f t="shared" si="8"/>
      </c>
      <c r="BO95" s="2928">
        <f t="shared" si="8"/>
      </c>
      <c r="BP95" s="2928">
        <f t="shared" si="8"/>
      </c>
      <c r="BQ95" s="2928">
        <f t="shared" si="8"/>
      </c>
      <c r="BR95" s="2928">
        <f t="shared" si="8"/>
      </c>
      <c r="BS95" s="2928">
        <f t="shared" si="8"/>
      </c>
      <c r="BT95" s="2928">
        <f t="shared" si="8"/>
      </c>
      <c r="BU95" s="2928">
        <f t="shared" si="8"/>
      </c>
      <c r="BV95" s="2928">
        <f t="shared" si="8"/>
      </c>
      <c r="BW95" s="2928">
        <f t="shared" si="8"/>
      </c>
      <c r="BX95" s="2928">
        <f t="shared" si="8"/>
      </c>
      <c r="BY95" s="2928">
        <f t="shared" si="8"/>
      </c>
      <c r="BZ95" s="2928">
        <f t="shared" si="8"/>
      </c>
      <c r="CA95" s="2928">
        <f t="shared" si="8"/>
      </c>
      <c r="CB95" s="2928">
        <f t="shared" si="8"/>
      </c>
      <c r="CC95" s="2928">
        <f t="shared" si="8"/>
      </c>
      <c r="CD95" s="2928">
        <f t="shared" si="8"/>
      </c>
      <c r="CE95" s="2928">
        <f t="shared" si="8"/>
      </c>
      <c r="CF95" s="2928">
        <f t="shared" si="8"/>
      </c>
      <c r="CG95" s="2928">
        <f t="shared" si="8"/>
      </c>
      <c r="CH95" s="2928">
        <f t="shared" si="8"/>
      </c>
      <c r="CI95" s="2928">
        <f t="shared" si="8"/>
      </c>
      <c r="CJ95" s="2928">
        <f t="shared" si="8"/>
      </c>
      <c r="CK95" s="2928">
        <f t="shared" si="8"/>
      </c>
      <c r="CL95" s="2928">
        <f t="shared" si="8"/>
      </c>
      <c r="CM95" s="2928">
        <f t="shared" si="8"/>
      </c>
      <c r="CN95" s="2928">
        <f t="shared" si="8"/>
      </c>
      <c r="CO95" s="2928">
        <f t="shared" si="8"/>
      </c>
      <c r="CP95" s="2928">
        <f t="shared" si="8"/>
      </c>
      <c r="CQ95" s="2928">
        <f t="shared" si="8"/>
      </c>
      <c r="CR95" s="2928">
        <f t="shared" si="8"/>
      </c>
      <c r="CS95" s="2928">
        <f t="shared" si="8"/>
      </c>
      <c r="CT95" s="2928">
        <f t="shared" si="8"/>
      </c>
      <c r="CU95" s="2928">
        <f t="shared" si="8"/>
      </c>
      <c r="CV95" s="2928">
        <f t="shared" si="8"/>
      </c>
      <c r="CW95" s="2928">
        <f t="shared" si="8"/>
      </c>
      <c r="CX95" s="2928">
        <f t="shared" si="8"/>
      </c>
      <c r="CY95" s="2928">
        <f t="shared" si="8"/>
      </c>
      <c r="CZ95" s="2928">
        <f t="shared" si="8"/>
      </c>
      <c r="DA95" s="2928">
        <f t="shared" si="8"/>
      </c>
      <c r="DB95" s="2928">
        <f t="shared" si="8"/>
      </c>
      <c r="DC95" s="2928">
        <f t="shared" si="8"/>
      </c>
      <c r="DD95" s="2928">
        <f t="shared" si="8"/>
      </c>
      <c r="DE95" s="2928">
        <f t="shared" si="8"/>
      </c>
      <c r="DF95" s="2928">
        <f t="shared" si="8"/>
      </c>
      <c r="DG95" s="2928">
        <f t="shared" si="8"/>
      </c>
      <c r="DH95" s="2928">
        <f t="shared" si="8"/>
      </c>
      <c r="DI95" s="2928">
        <f t="shared" si="8"/>
      </c>
      <c r="DJ95" s="2928">
        <f t="shared" si="8"/>
      </c>
      <c r="DK95" s="2928">
        <f t="shared" si="8"/>
      </c>
      <c r="DL95" s="2928">
        <f t="shared" si="8"/>
      </c>
      <c r="DM95" s="2928">
        <f t="shared" si="8"/>
      </c>
      <c r="DN95" s="2928">
        <f t="shared" si="8"/>
      </c>
      <c r="DO95" s="2928">
        <f t="shared" si="8"/>
      </c>
      <c r="DP95" s="2928">
        <f t="shared" si="8"/>
      </c>
      <c r="DQ95" s="2928">
        <f t="shared" si="8"/>
      </c>
      <c r="DR95" s="2928">
        <f t="shared" si="8"/>
      </c>
      <c r="DS95" s="2928">
        <f t="shared" si="8"/>
      </c>
      <c r="DT95" s="2928">
        <f t="shared" si="8"/>
      </c>
      <c r="DU95" s="2928">
        <f t="shared" si="8"/>
      </c>
      <c r="DV95" s="2928">
        <f t="shared" si="8"/>
      </c>
      <c r="DW95" s="2928">
        <f t="shared" si="8"/>
      </c>
      <c r="DX95" s="2928">
        <f t="shared" si="8"/>
      </c>
      <c r="DY95" s="2928">
        <f t="shared" si="8"/>
      </c>
      <c r="DZ95" s="2928">
        <f t="shared" si="8"/>
      </c>
      <c r="EA95" s="2928">
        <f t="shared" si="8"/>
      </c>
      <c r="EB95" s="2928">
        <f t="shared" si="8"/>
      </c>
      <c r="EC95" s="2928">
        <f t="shared" si="8"/>
      </c>
      <c r="ED95" s="2928">
        <f t="shared" si="8"/>
      </c>
      <c r="EE95" s="2928">
        <f t="shared" si="8"/>
      </c>
      <c r="EF95" s="2928">
        <f t="shared" si="8"/>
      </c>
      <c r="EG95" s="2928">
        <f t="shared" si="8"/>
      </c>
      <c r="EH95" s="2928">
        <f t="shared" si="8"/>
      </c>
      <c r="EI95" s="2928">
        <f t="shared" si="8"/>
      </c>
      <c r="EJ95" s="2928">
        <f t="shared" si="8"/>
      </c>
      <c r="EK95" s="2928">
        <f t="shared" si="8"/>
      </c>
      <c r="EL95" s="2928">
        <f t="shared" si="8"/>
      </c>
      <c r="EM95" s="2928">
        <f t="shared" si="8"/>
      </c>
      <c r="EN95" s="2928">
        <f t="shared" si="8"/>
      </c>
      <c r="EO95" s="2928">
        <f t="shared" si="8"/>
      </c>
      <c r="EP95" s="2928">
        <f t="shared" si="8"/>
      </c>
      <c r="EQ95" s="2928">
        <f t="shared" si="8"/>
      </c>
      <c r="ER95" s="2928">
        <f t="shared" si="8"/>
      </c>
      <c r="ES95" s="2928">
        <f t="shared" si="8"/>
      </c>
      <c r="ET95" s="2928">
        <f t="shared" si="8"/>
      </c>
      <c r="EU95" s="2928">
        <f t="shared" si="8"/>
      </c>
      <c r="EV95" s="2928">
        <f t="shared" si="8"/>
      </c>
      <c r="EW95" s="2928">
        <f t="shared" si="8"/>
      </c>
      <c r="EX95" s="2928">
        <f t="shared" si="8"/>
      </c>
      <c r="EY95" s="2928">
        <f t="shared" si="8"/>
      </c>
      <c r="EZ95" s="2928">
        <f t="shared" si="8"/>
      </c>
      <c r="FA95" s="2929" t="str">
        <f t="shared" si="12"/>
        <v>-</v>
      </c>
      <c r="FB95" s="2825">
        <f t="shared" si="13"/>
      </c>
      <c r="FC95" s="2930" cm="1">
        <f t="array" ref="FC95">_xlfn.LET(_xlpm.unit_type,$G95,_xlpm.market_rent_from_rent_roll,$E95,_xlpm.unit_type_list,RentRoll_InputArea_DesignatedUnitType,_xlpm.rent_by_unit_type,RentRoll_InputArea_MarketRent,_xlpm.use_rent_roll_market_rent,LEFT(RR_VacantUnitMktRentSource,9)="Rent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5" s="2930">
        <f t="shared" si="14"/>
        <v>1130</v>
      </c>
      <c r="FE95" s="2930">
        <f t="shared" si="15"/>
        <v>1130</v>
      </c>
      <c r="FF95" s="2930">
        <f t="shared" si="16"/>
        <v>1130</v>
      </c>
      <c r="FG95" s="2931"/>
      <c r="FH95" s="2932">
        <f t="shared" si="17"/>
      </c>
      <c r="FI95" s="2932">
        <f t="shared" si="18"/>
      </c>
      <c r="FJ95" s="2931"/>
      <c r="FK95" s="2933" cm="1">
        <f t="array" ref="FK95">IF(AND(LEN($D95)&gt;0,ISNA(MATCH(TRUE,EXACT($G95,RentRoll_InputArea_DesignatedUnitType),0))),1,0)</f>
        <v>0</v>
      </c>
      <c r="FL95" s="2931">
        <f t="shared" si="19"/>
        <v>72</v>
      </c>
      <c r="FM95" s="2931"/>
      <c r="FN95" s="2931"/>
      <c r="FO95" s="2931"/>
      <c r="FP95" s="2931"/>
      <c r="FQ95" s="2931"/>
      <c r="FR95" s="2931"/>
      <c r="FS95" s="2931"/>
      <c r="FT95" s="2931"/>
      <c r="FU95" s="2931"/>
      <c r="FV95" s="2931"/>
      <c r="FW95" s="2931"/>
      <c r="FX95" s="2931"/>
      <c r="FY95" s="2931"/>
      <c r="FZ95" s="2931"/>
      <c r="GA95" s="2931"/>
      <c r="GB95" s="2931"/>
      <c r="GC95" s="2931"/>
      <c r="GD95" s="2931"/>
      <c r="GE95" s="2931"/>
      <c r="GF95" s="2931"/>
      <c r="GG95" s="2931"/>
      <c r="GH95" s="2931"/>
      <c r="GI95" s="2931"/>
      <c r="GJ95" s="2931"/>
      <c r="GK95" s="2931"/>
      <c r="GL95" s="2931"/>
      <c r="GM95" s="2931"/>
      <c r="GN95" s="2931"/>
      <c r="GO95" s="2931"/>
      <c r="GP95" s="2931"/>
      <c r="GQ95" s="2931"/>
      <c r="GR95" s="2931"/>
      <c r="GS95" s="2931"/>
      <c r="GT95" s="2931"/>
      <c r="GU95" s="2931"/>
      <c r="GV95" s="2931"/>
      <c r="GW95" s="2931"/>
      <c r="GX95" s="2931"/>
      <c r="GY95" s="2931"/>
      <c r="GZ95" s="2931"/>
      <c r="HA95" s="2931"/>
      <c r="HB95" s="2931"/>
      <c r="HC95" s="2931"/>
      <c r="HD95" s="2931"/>
      <c r="HE95" s="2931"/>
      <c r="HF95" s="2931"/>
      <c r="HG95" s="2931"/>
      <c r="HH95" s="2931"/>
      <c r="HI95" s="2931"/>
      <c r="HJ95" s="2931"/>
      <c r="HK95" s="2931"/>
      <c r="HL95" s="2931"/>
      <c r="HM95" s="2931"/>
      <c r="HN95" s="2931"/>
      <c r="HO95" s="2931"/>
      <c r="HP95" s="2931"/>
      <c r="HQ95" s="2931"/>
      <c r="HR95" s="2931"/>
      <c r="HS95" s="2931"/>
      <c r="HT95" s="2931"/>
      <c r="HU95" s="2931"/>
      <c r="HV95" s="2931"/>
      <c r="HW95" s="2931"/>
      <c r="HX95" s="2931"/>
      <c r="HY95" s="2931"/>
      <c r="HZ95" s="2931"/>
      <c r="IA95" s="2931"/>
      <c r="IB95" s="2931"/>
      <c r="IC95" s="2931"/>
      <c r="ID95" s="2931"/>
      <c r="IE95" s="2931"/>
      <c r="IF95" s="2931"/>
      <c r="IG95" s="2931"/>
      <c r="IH95" s="2931"/>
      <c r="II95" s="2931"/>
      <c r="IJ95" s="2931"/>
      <c r="IK95" s="2931"/>
      <c r="IL95" s="2931"/>
      <c r="IM95" s="2931"/>
      <c r="IN95" s="2931"/>
      <c r="IO95" s="2931" cm="1">
        <f t="array" ref="IO95">IF(LEN($G95)=0,"Rent Roll is incomplete",_xlfn.XLOOKUP(TRUE,EXACT(RentRoll_InputArea_DesignatedUnitType,$G95),RentRoll_InputArea_Beds,"Not Found"))</f>
        <v>1</v>
      </c>
      <c r="IP95" s="2934"/>
      <c r="IQ95" s="2935" t="str">
        <f t="shared" si="20"/>
        <v>1 Bedroom Unit</v>
      </c>
      <c r="IR95" s="2926">
        <f t="shared" si="21"/>
        <v>1130</v>
      </c>
      <c r="IS95" s="2935"/>
      <c r="IT95" s="2931"/>
      <c r="IU95" s="2931"/>
      <c r="IV95" s="2931"/>
      <c r="IW95" s="2936" t="str">
        <f t="shared" si="22"/>
        <v>6-613</v>
      </c>
      <c r="IX95" s="2936"/>
      <c r="IY95" s="2936"/>
      <c r="IZ95" s="2936">
        <f t="shared" si="23"/>
        <v>1</v>
      </c>
      <c r="JA95" s="2936">
        <f t="shared" si="24"/>
        <v>1130</v>
      </c>
      <c r="JB95" s="2936"/>
      <c r="JC95" s="2936"/>
      <c r="JD95" s="2936"/>
      <c r="JE95" s="2936"/>
      <c r="JF95" s="2936"/>
      <c r="JG95" s="2936"/>
      <c r="JH95" s="2936">
        <f t="shared" si="25"/>
        <v>1159</v>
      </c>
      <c r="JI95" s="2936"/>
      <c r="JJ95" s="2936">
        <f t="shared" si="26"/>
      </c>
      <c r="JK95" s="2936"/>
      <c r="JL95" s="2936"/>
      <c r="JM95" s="2936"/>
      <c r="JN95" s="2936"/>
      <c r="JO95" s="2936"/>
      <c r="JP95" s="2936"/>
      <c r="JQ95" s="2936" t="str">
        <f t="shared" si="27"/>
        <v>Occupied</v>
      </c>
      <c r="JR95" s="2936" cm="1">
        <f t="array" ref="JR95">_xlfn.XLOOKUP(TRUE,EXACT(RentRoll_InputArea_DesignatedUnitType,$G95),RentRoll_InputArea_SquareFootage,"Not Found")</f>
        <v>704</v>
      </c>
      <c r="JS95" s="2936" t="str">
        <f t="shared" si="28"/>
        <v>Apartment</v>
      </c>
      <c r="JT95" s="2936">
        <f t="shared" si="29"/>
      </c>
      <c r="JU95" s="2936"/>
      <c r="JV95" s="2936"/>
      <c r="JW95" s="2936"/>
      <c r="JX95" s="2936"/>
      <c r="JY95" s="2936">
        <f t="shared" si="9"/>
        <v>43568</v>
      </c>
      <c r="JZ95" s="2936">
        <f t="shared" si="9"/>
        <v>43921</v>
      </c>
      <c r="KA95" s="2936"/>
      <c r="KB95" s="2936"/>
      <c r="KC95" s="2936"/>
      <c r="KD95" s="2936"/>
      <c r="KE95" s="2936"/>
      <c r="KF95" s="2936"/>
      <c r="KG95" s="2936"/>
      <c r="KH95" s="2936"/>
      <c r="KI95" s="2937"/>
      <c r="KJ95" s="2936"/>
      <c r="KK95" s="1353"/>
    </row>
    <row r="96" ht="15" customHeight="1">
      <c r="A96" s="2922">
        <f t="shared" si="10"/>
        <v>73</v>
      </c>
      <c r="B96" s="2865"/>
      <c r="C96" s="2873"/>
      <c r="D96" s="2873" t="s">
        <v>2888</v>
      </c>
      <c r="E96" s="2923">
        <v>1110</v>
      </c>
      <c r="F96" s="2924" t="s">
        <v>2889</v>
      </c>
      <c r="G96" s="2873" t="s">
        <v>2529</v>
      </c>
      <c r="H96" s="2923">
        <v>1180</v>
      </c>
      <c r="I96" s="2925" cm="1">
        <f t="array" ref="I96">_xlfn.LET(_xlpm.has_subsidy,$N96&gt;0,_xlpm.is_chap9_sbl,$FF$20,_xlpm.contract_rent,$H96,_xlpm.unit_type_mkt_rent,_xlfn.XLOOKUP(TRUE,EXACT($G96,RentRoll_InputArea_DesignatedUnitType),RentRoll_InputArea_MarketRent,"Not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6" s="2926">
        <f t="shared" si="11"/>
        <v>1180</v>
      </c>
      <c r="K96" s="2923"/>
      <c r="L96" s="2923"/>
      <c r="M96" s="2923"/>
      <c r="N96" s="2923"/>
      <c r="O96" s="2927">
        <v>43533</v>
      </c>
      <c r="P96" s="2927">
        <v>43890</v>
      </c>
      <c r="Q96" s="2928">
        <f t="shared" si="8"/>
        <v>1180</v>
      </c>
      <c r="R96" s="2928">
        <f t="shared" si="8"/>
      </c>
      <c r="S96" s="2928">
        <f t="shared" si="8"/>
      </c>
      <c r="T96" s="2928">
        <f t="shared" si="8"/>
      </c>
      <c r="U96" s="2928">
        <f t="shared" si="8"/>
      </c>
      <c r="V96" s="2928">
        <f t="shared" si="8"/>
      </c>
      <c r="W96" s="2928">
        <f t="shared" si="8"/>
      </c>
      <c r="X96" s="2928">
        <f t="shared" si="8"/>
      </c>
      <c r="Y96" s="2928">
        <f t="shared" si="8"/>
      </c>
      <c r="Z96" s="2928">
        <f t="shared" si="8"/>
      </c>
      <c r="AA96" s="2928">
        <f t="shared" si="8"/>
      </c>
      <c r="AB96" s="2928">
        <f t="shared" si="8"/>
      </c>
      <c r="AC96" s="2928">
        <f t="shared" si="8"/>
      </c>
      <c r="AD96" s="2928">
        <f t="shared" si="8"/>
      </c>
      <c r="AE96" s="2928">
        <f t="shared" si="8"/>
      </c>
      <c r="AF96" s="2928">
        <f t="shared" si="8"/>
      </c>
      <c r="AG96" s="2928">
        <f t="shared" si="8"/>
      </c>
      <c r="AH96" s="2928">
        <f t="shared" si="8"/>
      </c>
      <c r="AI96" s="2928">
        <f t="shared" si="8"/>
      </c>
      <c r="AJ96" s="2928">
        <f t="shared" si="8"/>
      </c>
      <c r="AK96" s="2928">
        <f t="shared" si="8"/>
      </c>
      <c r="AL96" s="2928">
        <f t="shared" si="8"/>
      </c>
      <c r="AM96" s="2928">
        <f t="shared" si="8"/>
      </c>
      <c r="AN96" s="2928">
        <f t="shared" si="8"/>
      </c>
      <c r="AO96" s="2928">
        <f t="shared" si="8"/>
      </c>
      <c r="AP96" s="2928">
        <f t="shared" si="8"/>
      </c>
      <c r="AQ96" s="2928">
        <f t="shared" si="8"/>
      </c>
      <c r="AR96" s="2928">
        <f t="shared" si="8"/>
      </c>
      <c r="AS96" s="2928">
        <f t="shared" si="8"/>
      </c>
      <c r="AT96" s="2928">
        <f t="shared" si="8"/>
      </c>
      <c r="AU96" s="2928">
        <f t="shared" si="8"/>
      </c>
      <c r="AV96" s="2928">
        <f t="shared" si="8"/>
      </c>
      <c r="AW96" s="2928">
        <f t="shared" si="8"/>
      </c>
      <c r="AX96" s="2928">
        <f t="shared" si="8"/>
      </c>
      <c r="AY96" s="2928">
        <f t="shared" si="8"/>
      </c>
      <c r="AZ96" s="2928">
        <f t="shared" si="8"/>
      </c>
      <c r="BA96" s="2928">
        <f t="shared" si="8"/>
      </c>
      <c r="BB96" s="2928">
        <f t="shared" si="8"/>
      </c>
      <c r="BC96" s="2928">
        <f t="shared" si="8"/>
      </c>
      <c r="BD96" s="2928">
        <f t="shared" si="8"/>
      </c>
      <c r="BE96" s="2928">
        <f t="shared" si="8"/>
      </c>
      <c r="BF96" s="2928">
        <f t="shared" si="8"/>
      </c>
      <c r="BG96" s="2928">
        <f t="shared" si="8"/>
      </c>
      <c r="BH96" s="2928">
        <f t="shared" si="8"/>
      </c>
      <c r="BI96" s="2928">
        <f t="shared" si="8"/>
      </c>
      <c r="BJ96" s="2928">
        <f t="shared" si="8"/>
      </c>
      <c r="BK96" s="2928">
        <f t="shared" si="8"/>
      </c>
      <c r="BL96" s="2928">
        <f t="shared" si="8"/>
      </c>
      <c r="BM96" s="2928">
        <f t="shared" si="8"/>
      </c>
      <c r="BN96" s="2928">
        <f t="shared" si="8"/>
      </c>
      <c r="BO96" s="2928">
        <f t="shared" si="8"/>
      </c>
      <c r="BP96" s="2928">
        <f t="shared" si="8"/>
      </c>
      <c r="BQ96" s="2928">
        <f t="shared" si="8"/>
      </c>
      <c r="BR96" s="2928">
        <f t="shared" si="8"/>
      </c>
      <c r="BS96" s="2928">
        <f t="shared" si="8"/>
      </c>
      <c r="BT96" s="2928">
        <f t="shared" si="8"/>
      </c>
      <c r="BU96" s="2928">
        <f t="shared" si="8"/>
      </c>
      <c r="BV96" s="2928">
        <f t="shared" si="8"/>
      </c>
      <c r="BW96" s="2928">
        <f t="shared" si="8"/>
      </c>
      <c r="BX96" s="2928">
        <f t="shared" si="8"/>
      </c>
      <c r="BY96" s="2928">
        <f t="shared" si="8"/>
      </c>
      <c r="BZ96" s="2928">
        <f t="shared" si="8"/>
      </c>
      <c r="CA96" s="2928">
        <f t="shared" si="8"/>
      </c>
      <c r="CB96" s="2928">
        <f t="shared" si="8"/>
      </c>
      <c r="CC96" s="2928">
        <f t="shared" si="8"/>
      </c>
      <c r="CD96" s="2928">
        <f t="shared" si="8"/>
      </c>
      <c r="CE96" s="2928">
        <f t="shared" si="8"/>
      </c>
      <c r="CF96" s="2928">
        <f t="shared" si="8"/>
      </c>
      <c r="CG96" s="2928">
        <f t="shared" si="8"/>
      </c>
      <c r="CH96" s="2928">
        <f t="shared" si="8"/>
      </c>
      <c r="CI96" s="2928">
        <f t="shared" si="8"/>
      </c>
      <c r="CJ96" s="2928">
        <f t="shared" si="8"/>
      </c>
      <c r="CK96" s="2928">
        <f t="shared" si="8"/>
      </c>
      <c r="CL96" s="2928">
        <f t="shared" si="8"/>
      </c>
      <c r="CM96" s="2928">
        <f t="shared" si="8"/>
      </c>
      <c r="CN96" s="2928">
        <f t="shared" si="8"/>
      </c>
      <c r="CO96" s="2928">
        <f t="shared" si="8"/>
      </c>
      <c r="CP96" s="2928">
        <f t="shared" si="8"/>
      </c>
      <c r="CQ96" s="2928">
        <f t="shared" si="8"/>
      </c>
      <c r="CR96" s="2928">
        <f t="shared" si="8"/>
      </c>
      <c r="CS96" s="2928">
        <f t="shared" si="8"/>
      </c>
      <c r="CT96" s="2928">
        <f t="shared" si="8"/>
      </c>
      <c r="CU96" s="2928">
        <f t="shared" si="8"/>
      </c>
      <c r="CV96" s="2928">
        <f t="shared" si="8"/>
      </c>
      <c r="CW96" s="2928">
        <f t="shared" si="8"/>
      </c>
      <c r="CX96" s="2928">
        <f t="shared" si="8"/>
      </c>
      <c r="CY96" s="2928">
        <f t="shared" si="8"/>
      </c>
      <c r="CZ96" s="2928">
        <f t="shared" si="8"/>
      </c>
      <c r="DA96" s="2928">
        <f t="shared" si="8"/>
      </c>
      <c r="DB96" s="2928">
        <f t="shared" si="8"/>
      </c>
      <c r="DC96" s="2928">
        <f t="shared" si="8"/>
      </c>
      <c r="DD96" s="2928">
        <f t="shared" si="8"/>
      </c>
      <c r="DE96" s="2928">
        <f t="shared" si="8"/>
      </c>
      <c r="DF96" s="2928">
        <f t="shared" si="8"/>
      </c>
      <c r="DG96" s="2928">
        <f t="shared" si="8"/>
      </c>
      <c r="DH96" s="2928">
        <f t="shared" si="8"/>
      </c>
      <c r="DI96" s="2928">
        <f t="shared" si="8"/>
      </c>
      <c r="DJ96" s="2928">
        <f t="shared" si="8"/>
      </c>
      <c r="DK96" s="2928">
        <f t="shared" si="8"/>
      </c>
      <c r="DL96" s="2928">
        <f t="shared" si="8"/>
      </c>
      <c r="DM96" s="2928">
        <f t="shared" si="8"/>
      </c>
      <c r="DN96" s="2928">
        <f t="shared" si="8"/>
      </c>
      <c r="DO96" s="2928">
        <f t="shared" si="8"/>
      </c>
      <c r="DP96" s="2928">
        <f t="shared" si="8"/>
      </c>
      <c r="DQ96" s="2928">
        <f t="shared" si="8"/>
      </c>
      <c r="DR96" s="2928">
        <f t="shared" si="8"/>
      </c>
      <c r="DS96" s="2928">
        <f t="shared" si="8"/>
      </c>
      <c r="DT96" s="2928">
        <f t="shared" si="8"/>
      </c>
      <c r="DU96" s="2928">
        <f t="shared" si="8"/>
      </c>
      <c r="DV96" s="2928">
        <f t="shared" si="8"/>
      </c>
      <c r="DW96" s="2928">
        <f t="shared" si="8"/>
      </c>
      <c r="DX96" s="2928">
        <f t="shared" si="8"/>
      </c>
      <c r="DY96" s="2928">
        <f t="shared" si="8"/>
      </c>
      <c r="DZ96" s="2928">
        <f t="shared" si="8"/>
      </c>
      <c r="EA96" s="2928">
        <f t="shared" si="8"/>
      </c>
      <c r="EB96" s="2928">
        <f t="shared" si="8"/>
      </c>
      <c r="EC96" s="2928">
        <f t="shared" si="8"/>
      </c>
      <c r="ED96" s="2928">
        <f t="shared" si="8"/>
      </c>
      <c r="EE96" s="2928">
        <f t="shared" si="8"/>
      </c>
      <c r="EF96" s="2928">
        <f t="shared" si="8"/>
      </c>
      <c r="EG96" s="2928">
        <f t="shared" si="8"/>
      </c>
      <c r="EH96" s="2928">
        <f t="shared" si="8"/>
      </c>
      <c r="EI96" s="2928">
        <f t="shared" si="8"/>
      </c>
      <c r="EJ96" s="2928">
        <f t="shared" si="8"/>
      </c>
      <c r="EK96" s="2928">
        <f t="shared" si="8"/>
      </c>
      <c r="EL96" s="2928">
        <f t="shared" si="8"/>
      </c>
      <c r="EM96" s="2928">
        <f t="shared" si="8"/>
      </c>
      <c r="EN96" s="2928">
        <f t="shared" si="8"/>
      </c>
      <c r="EO96" s="2928">
        <f t="shared" si="8"/>
      </c>
      <c r="EP96" s="2928">
        <f t="shared" si="8"/>
      </c>
      <c r="EQ96" s="2928">
        <f t="shared" si="8"/>
      </c>
      <c r="ER96" s="2928">
        <f t="shared" si="8"/>
      </c>
      <c r="ES96" s="2928">
        <f t="shared" si="8"/>
      </c>
      <c r="ET96" s="2928">
        <f t="shared" si="8"/>
      </c>
      <c r="EU96" s="2928">
        <f t="shared" si="8"/>
      </c>
      <c r="EV96" s="2928">
        <f t="shared" si="8"/>
      </c>
      <c r="EW96" s="2928">
        <f t="shared" si="8"/>
      </c>
      <c r="EX96" s="2928">
        <f t="shared" si="8"/>
      </c>
      <c r="EY96" s="2928">
        <f t="shared" si="8"/>
      </c>
      <c r="EZ96" s="2928">
        <f t="shared" si="8"/>
      </c>
      <c r="FA96" s="2929" t="str">
        <f t="shared" si="12"/>
        <v>-</v>
      </c>
      <c r="FB96" s="2825">
        <f t="shared" si="13"/>
      </c>
      <c r="FC96" s="2930" cm="1">
        <f t="array" ref="FC96">_xlfn.LET(_xlpm.unit_type,$G96,_xlpm.market_rent_from_rent_roll,$E96,_xlpm.unit_type_list,RentRoll_InputArea_DesignatedUnitType,_xlpm.rent_by_unit_type,RentRoll_InputArea_MarketRent,_xlpm.use_rent_roll_market_rent,LEFT(RR_VacantUnitMktRentSource,9)="Rent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6" s="2930">
        <f t="shared" si="14"/>
        <v>1180</v>
      </c>
      <c r="FE96" s="2930">
        <f t="shared" si="15"/>
        <v>1180</v>
      </c>
      <c r="FF96" s="2930">
        <f t="shared" si="16"/>
        <v>1180</v>
      </c>
      <c r="FG96" s="2931"/>
      <c r="FH96" s="2932">
        <f t="shared" si="17"/>
      </c>
      <c r="FI96" s="2932">
        <f t="shared" si="18"/>
      </c>
      <c r="FJ96" s="2931"/>
      <c r="FK96" s="2933" cm="1">
        <f t="array" ref="FK96">IF(AND(LEN($D96)&gt;0,ISNA(MATCH(TRUE,EXACT($G96,RentRoll_InputArea_DesignatedUnitType),0))),1,0)</f>
        <v>0</v>
      </c>
      <c r="FL96" s="2931">
        <f t="shared" si="19"/>
        <v>73</v>
      </c>
      <c r="FM96" s="2931"/>
      <c r="FN96" s="2931"/>
      <c r="FO96" s="2931"/>
      <c r="FP96" s="2931"/>
      <c r="FQ96" s="2931"/>
      <c r="FR96" s="2931"/>
      <c r="FS96" s="2931"/>
      <c r="FT96" s="2931"/>
      <c r="FU96" s="2931"/>
      <c r="FV96" s="2931"/>
      <c r="FW96" s="2931"/>
      <c r="FX96" s="2931"/>
      <c r="FY96" s="2931"/>
      <c r="FZ96" s="2931"/>
      <c r="GA96" s="2931"/>
      <c r="GB96" s="2931"/>
      <c r="GC96" s="2931"/>
      <c r="GD96" s="2931"/>
      <c r="GE96" s="2931"/>
      <c r="GF96" s="2931"/>
      <c r="GG96" s="2931"/>
      <c r="GH96" s="2931"/>
      <c r="GI96" s="2931"/>
      <c r="GJ96" s="2931"/>
      <c r="GK96" s="2931"/>
      <c r="GL96" s="2931"/>
      <c r="GM96" s="2931"/>
      <c r="GN96" s="2931"/>
      <c r="GO96" s="2931"/>
      <c r="GP96" s="2931"/>
      <c r="GQ96" s="2931"/>
      <c r="GR96" s="2931"/>
      <c r="GS96" s="2931"/>
      <c r="GT96" s="2931"/>
      <c r="GU96" s="2931"/>
      <c r="GV96" s="2931"/>
      <c r="GW96" s="2931"/>
      <c r="GX96" s="2931"/>
      <c r="GY96" s="2931"/>
      <c r="GZ96" s="2931"/>
      <c r="HA96" s="2931"/>
      <c r="HB96" s="2931"/>
      <c r="HC96" s="2931"/>
      <c r="HD96" s="2931"/>
      <c r="HE96" s="2931"/>
      <c r="HF96" s="2931"/>
      <c r="HG96" s="2931"/>
      <c r="HH96" s="2931"/>
      <c r="HI96" s="2931"/>
      <c r="HJ96" s="2931"/>
      <c r="HK96" s="2931"/>
      <c r="HL96" s="2931"/>
      <c r="HM96" s="2931"/>
      <c r="HN96" s="2931"/>
      <c r="HO96" s="2931"/>
      <c r="HP96" s="2931"/>
      <c r="HQ96" s="2931"/>
      <c r="HR96" s="2931"/>
      <c r="HS96" s="2931"/>
      <c r="HT96" s="2931"/>
      <c r="HU96" s="2931"/>
      <c r="HV96" s="2931"/>
      <c r="HW96" s="2931"/>
      <c r="HX96" s="2931"/>
      <c r="HY96" s="2931"/>
      <c r="HZ96" s="2931"/>
      <c r="IA96" s="2931"/>
      <c r="IB96" s="2931"/>
      <c r="IC96" s="2931"/>
      <c r="ID96" s="2931"/>
      <c r="IE96" s="2931"/>
      <c r="IF96" s="2931"/>
      <c r="IG96" s="2931"/>
      <c r="IH96" s="2931"/>
      <c r="II96" s="2931"/>
      <c r="IJ96" s="2931"/>
      <c r="IK96" s="2931"/>
      <c r="IL96" s="2931"/>
      <c r="IM96" s="2931"/>
      <c r="IN96" s="2931"/>
      <c r="IO96" s="2931" cm="1">
        <f t="array" ref="IO96">IF(LEN($G96)=0,"Rent Roll is incomplete",_xlfn.XLOOKUP(TRUE,EXACT(RentRoll_InputArea_DesignatedUnitType,$G96),RentRoll_InputArea_Beds,"Not Found"))</f>
        <v>1</v>
      </c>
      <c r="IP96" s="2934"/>
      <c r="IQ96" s="2935" t="str">
        <f t="shared" si="20"/>
        <v>1 Bedroom Unit</v>
      </c>
      <c r="IR96" s="2926">
        <f t="shared" si="21"/>
        <v>1180</v>
      </c>
      <c r="IS96" s="2935"/>
      <c r="IT96" s="2931"/>
      <c r="IU96" s="2931"/>
      <c r="IV96" s="2931"/>
      <c r="IW96" s="2936" t="str">
        <f t="shared" si="22"/>
        <v>6-614</v>
      </c>
      <c r="IX96" s="2936"/>
      <c r="IY96" s="2936"/>
      <c r="IZ96" s="2936">
        <f t="shared" si="23"/>
        <v>1</v>
      </c>
      <c r="JA96" s="2936">
        <f t="shared" si="24"/>
        <v>1180</v>
      </c>
      <c r="JB96" s="2936"/>
      <c r="JC96" s="2936"/>
      <c r="JD96" s="2936"/>
      <c r="JE96" s="2936"/>
      <c r="JF96" s="2936"/>
      <c r="JG96" s="2936"/>
      <c r="JH96" s="2936">
        <f t="shared" si="25"/>
        <v>1159</v>
      </c>
      <c r="JI96" s="2936"/>
      <c r="JJ96" s="2936">
        <f t="shared" si="26"/>
      </c>
      <c r="JK96" s="2936"/>
      <c r="JL96" s="2936"/>
      <c r="JM96" s="2936"/>
      <c r="JN96" s="2936"/>
      <c r="JO96" s="2936"/>
      <c r="JP96" s="2936"/>
      <c r="JQ96" s="2936" t="str">
        <f t="shared" si="27"/>
        <v>Occupied</v>
      </c>
      <c r="JR96" s="2936" cm="1">
        <f t="array" ref="JR96">_xlfn.XLOOKUP(TRUE,EXACT(RentRoll_InputArea_DesignatedUnitType,$G96),RentRoll_InputArea_SquareFootage,"Not Found")</f>
        <v>704</v>
      </c>
      <c r="JS96" s="2936" t="str">
        <f t="shared" si="28"/>
        <v>Apartment</v>
      </c>
      <c r="JT96" s="2936">
        <f t="shared" si="29"/>
      </c>
      <c r="JU96" s="2936"/>
      <c r="JV96" s="2936"/>
      <c r="JW96" s="2936"/>
      <c r="JX96" s="2936"/>
      <c r="JY96" s="2936">
        <f t="shared" si="9"/>
        <v>43533</v>
      </c>
      <c r="JZ96" s="2936">
        <f t="shared" si="9"/>
        <v>43890</v>
      </c>
      <c r="KA96" s="2936"/>
      <c r="KB96" s="2936"/>
      <c r="KC96" s="2936"/>
      <c r="KD96" s="2936"/>
      <c r="KE96" s="2936"/>
      <c r="KF96" s="2936"/>
      <c r="KG96" s="2936"/>
      <c r="KH96" s="2936"/>
      <c r="KI96" s="2937"/>
      <c r="KJ96" s="2936"/>
      <c r="KK96" s="1353"/>
    </row>
    <row r="97" ht="15" customHeight="1">
      <c r="A97" s="2922">
        <f t="shared" si="10"/>
        <v>74</v>
      </c>
      <c r="B97" s="2865"/>
      <c r="C97" s="2873"/>
      <c r="D97" s="2873" t="s">
        <v>2890</v>
      </c>
      <c r="E97" s="2923">
        <v>1139</v>
      </c>
      <c r="F97" s="2924" t="s">
        <v>2891</v>
      </c>
      <c r="G97" s="2873" t="s">
        <v>2529</v>
      </c>
      <c r="H97" s="2923">
        <v>1197</v>
      </c>
      <c r="I97" s="2925" cm="1">
        <f t="array" ref="I97">_xlfn.LET(_xlpm.has_subsidy,$N97&gt;0,_xlpm.is_chap9_sbl,$FF$20,_xlpm.contract_rent,$H97,_xlpm.unit_type_mkt_rent,_xlfn.XLOOKUP(TRUE,EXACT($G97,RentRoll_InputArea_DesignatedUnitType),RentRoll_InputArea_MarketRent,"Not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7" s="2926">
        <f t="shared" si="11"/>
        <v>1197</v>
      </c>
      <c r="K97" s="2923"/>
      <c r="L97" s="2923"/>
      <c r="M97" s="2923"/>
      <c r="N97" s="2923"/>
      <c r="O97" s="2927">
        <v>43476</v>
      </c>
      <c r="P97" s="2927">
        <v>43677</v>
      </c>
      <c r="Q97" s="2928">
        <f t="shared" si="8"/>
        <v>1197</v>
      </c>
      <c r="R97" s="2928">
        <f t="shared" si="8"/>
      </c>
      <c r="S97" s="2928">
        <f t="shared" si="8"/>
      </c>
      <c r="T97" s="2928">
        <f t="shared" si="8"/>
      </c>
      <c r="U97" s="2928">
        <f t="shared" si="8"/>
      </c>
      <c r="V97" s="2928">
        <f t="shared" si="8"/>
      </c>
      <c r="W97" s="2928">
        <f t="shared" si="8"/>
      </c>
      <c r="X97" s="2928">
        <f t="shared" si="8"/>
      </c>
      <c r="Y97" s="2928">
        <f t="shared" si="8"/>
      </c>
      <c r="Z97" s="2928">
        <f t="shared" si="8"/>
      </c>
      <c r="AA97" s="2928">
        <f t="shared" si="8"/>
      </c>
      <c r="AB97" s="2928">
        <f t="shared" si="8"/>
      </c>
      <c r="AC97" s="2928">
        <f t="shared" si="8"/>
      </c>
      <c r="AD97" s="2928">
        <f t="shared" si="8"/>
      </c>
      <c r="AE97" s="2928">
        <f t="shared" si="8"/>
      </c>
      <c r="AF97" s="2928">
        <f t="shared" si="8"/>
      </c>
      <c r="AG97" s="2928">
        <f t="shared" si="8"/>
      </c>
      <c r="AH97" s="2928">
        <f t="shared" si="8"/>
      </c>
      <c r="AI97" s="2928">
        <f t="shared" si="8"/>
      </c>
      <c r="AJ97" s="2928">
        <f t="shared" si="8"/>
      </c>
      <c r="AK97" s="2928">
        <f t="shared" si="8"/>
      </c>
      <c r="AL97" s="2928">
        <f t="shared" si="8"/>
      </c>
      <c r="AM97" s="2928">
        <f t="shared" si="8"/>
      </c>
      <c r="AN97" s="2928">
        <f t="shared" si="8"/>
      </c>
      <c r="AO97" s="2928">
        <f t="shared" si="8"/>
      </c>
      <c r="AP97" s="2928">
        <f t="shared" si="8"/>
      </c>
      <c r="AQ97" s="2928">
        <f t="shared" si="8"/>
      </c>
      <c r="AR97" s="2928">
        <f t="shared" si="8"/>
      </c>
      <c r="AS97" s="2928">
        <f t="shared" si="8"/>
      </c>
      <c r="AT97" s="2928">
        <f t="shared" si="8"/>
      </c>
      <c r="AU97" s="2928">
        <f t="shared" si="8"/>
      </c>
      <c r="AV97" s="2928">
        <f t="shared" si="8"/>
      </c>
      <c r="AW97" s="2928">
        <f t="shared" si="8"/>
      </c>
      <c r="AX97" s="2928">
        <f t="shared" si="8"/>
      </c>
      <c r="AY97" s="2928">
        <f t="shared" si="8"/>
      </c>
      <c r="AZ97" s="2928">
        <f t="shared" si="8"/>
      </c>
      <c r="BA97" s="2928">
        <f t="shared" si="8"/>
      </c>
      <c r="BB97" s="2928">
        <f t="shared" si="8"/>
      </c>
      <c r="BC97" s="2928">
        <f t="shared" si="8"/>
      </c>
      <c r="BD97" s="2928">
        <f t="shared" si="8"/>
      </c>
      <c r="BE97" s="2928">
        <f t="shared" si="8"/>
      </c>
      <c r="BF97" s="2928">
        <f t="shared" si="8"/>
      </c>
      <c r="BG97" s="2928">
        <f t="shared" si="8"/>
      </c>
      <c r="BH97" s="2928">
        <f t="shared" si="8"/>
      </c>
      <c r="BI97" s="2928">
        <f t="shared" si="8"/>
      </c>
      <c r="BJ97" s="2928">
        <f t="shared" si="8"/>
      </c>
      <c r="BK97" s="2928">
        <f t="shared" si="8"/>
      </c>
      <c r="BL97" s="2928">
        <f t="shared" si="8"/>
      </c>
      <c r="BM97" s="2928">
        <f t="shared" si="8"/>
      </c>
      <c r="BN97" s="2928">
        <f t="shared" si="8"/>
      </c>
      <c r="BO97" s="2928">
        <f t="shared" si="8"/>
      </c>
      <c r="BP97" s="2928">
        <f t="shared" si="8"/>
      </c>
      <c r="BQ97" s="2928">
        <f t="shared" si="8"/>
      </c>
      <c r="BR97" s="2928">
        <f t="shared" si="8"/>
      </c>
      <c r="BS97" s="2928">
        <f t="shared" si="8"/>
      </c>
      <c r="BT97" s="2928">
        <f t="shared" si="8"/>
      </c>
      <c r="BU97" s="2928">
        <f t="shared" si="8"/>
      </c>
      <c r="BV97" s="2928">
        <f t="shared" si="8"/>
      </c>
      <c r="BW97" s="2928">
        <f t="shared" si="8"/>
      </c>
      <c r="BX97" s="2928">
        <f t="shared" si="8"/>
      </c>
      <c r="BY97" s="2928">
        <f t="shared" si="8"/>
      </c>
      <c r="BZ97" s="2928">
        <f t="shared" si="8"/>
      </c>
      <c r="CA97" s="2928">
        <f t="shared" si="8"/>
      </c>
      <c r="CB97" s="2928">
        <f t="shared" si="8"/>
      </c>
      <c r="CC97" s="2928">
        <f t="shared" si="8"/>
      </c>
      <c r="CD97" s="2928">
        <f t="shared" si="8"/>
      </c>
      <c r="CE97" s="2928">
        <f t="shared" si="8"/>
      </c>
      <c r="CF97" s="2928">
        <f t="shared" si="8"/>
      </c>
      <c r="CG97" s="2928">
        <f t="shared" si="8"/>
      </c>
      <c r="CH97" s="2928">
        <f t="shared" si="8"/>
      </c>
      <c r="CI97" s="2928">
        <f t="shared" si="8"/>
      </c>
      <c r="CJ97" s="2928">
        <f t="shared" si="8"/>
      </c>
      <c r="CK97" s="2928">
        <f t="shared" si="8"/>
      </c>
      <c r="CL97" s="2928">
        <f t="shared" si="8"/>
      </c>
      <c r="CM97" s="2928">
        <f t="shared" si="8"/>
      </c>
      <c r="CN97" s="2928">
        <f t="shared" si="8"/>
      </c>
      <c r="CO97" s="2928">
        <f t="shared" si="8"/>
      </c>
      <c r="CP97" s="2928">
        <f t="shared" si="8"/>
      </c>
      <c r="CQ97" s="2928">
        <f t="shared" si="8"/>
      </c>
      <c r="CR97" s="2928">
        <f t="shared" si="8"/>
      </c>
      <c r="CS97" s="2928">
        <f t="shared" si="8"/>
      </c>
      <c r="CT97" s="2928">
        <f t="shared" si="8"/>
      </c>
      <c r="CU97" s="2928">
        <f t="shared" si="8"/>
      </c>
      <c r="CV97" s="2928">
        <f t="shared" si="8"/>
      </c>
      <c r="CW97" s="2928">
        <f t="shared" si="8"/>
      </c>
      <c r="CX97" s="2928">
        <f t="shared" si="8"/>
      </c>
      <c r="CY97" s="2928">
        <f t="shared" si="8"/>
      </c>
      <c r="CZ97" s="2928">
        <f t="shared" si="8"/>
      </c>
      <c r="DA97" s="2928">
        <f t="shared" si="8"/>
      </c>
      <c r="DB97" s="2928">
        <f t="shared" si="8"/>
      </c>
      <c r="DC97" s="2928">
        <f t="shared" si="8"/>
      </c>
      <c r="DD97" s="2928">
        <f t="shared" si="8"/>
      </c>
      <c r="DE97" s="2928">
        <f t="shared" si="8"/>
      </c>
      <c r="DF97" s="2928">
        <f t="shared" si="8"/>
      </c>
      <c r="DG97" s="2928">
        <f t="shared" si="8"/>
      </c>
      <c r="DH97" s="2928">
        <f t="shared" si="8"/>
      </c>
      <c r="DI97" s="2928">
        <f t="shared" si="8"/>
      </c>
      <c r="DJ97" s="2928">
        <f t="shared" si="8"/>
      </c>
      <c r="DK97" s="2928">
        <f t="shared" si="8"/>
      </c>
      <c r="DL97" s="2928">
        <f t="shared" si="8"/>
      </c>
      <c r="DM97" s="2928">
        <f t="shared" si="8"/>
      </c>
      <c r="DN97" s="2928">
        <f t="shared" si="8"/>
      </c>
      <c r="DO97" s="2928">
        <f t="shared" si="8"/>
      </c>
      <c r="DP97" s="2928">
        <f t="shared" si="8"/>
      </c>
      <c r="DQ97" s="2928">
        <f t="shared" si="8"/>
      </c>
      <c r="DR97" s="2928">
        <f t="shared" si="8"/>
      </c>
      <c r="DS97" s="2928">
        <f t="shared" si="8"/>
      </c>
      <c r="DT97" s="2928">
        <f t="shared" si="8"/>
      </c>
      <c r="DU97" s="2928">
        <f t="shared" si="8"/>
      </c>
      <c r="DV97" s="2928">
        <f t="shared" si="8"/>
      </c>
      <c r="DW97" s="2928">
        <f t="shared" si="8"/>
      </c>
      <c r="DX97" s="2928">
        <f t="shared" si="8"/>
      </c>
      <c r="DY97" s="2928">
        <f t="shared" si="8"/>
      </c>
      <c r="DZ97" s="2928">
        <f t="shared" si="8"/>
      </c>
      <c r="EA97" s="2928">
        <f t="shared" si="8"/>
      </c>
      <c r="EB97" s="2928">
        <f t="shared" si="8"/>
      </c>
      <c r="EC97" s="2928">
        <f t="shared" si="8"/>
      </c>
      <c r="ED97" s="2928">
        <f t="shared" si="8"/>
      </c>
      <c r="EE97" s="2928">
        <f t="shared" si="8"/>
      </c>
      <c r="EF97" s="2928">
        <f t="shared" si="8"/>
      </c>
      <c r="EG97" s="2928">
        <f t="shared" si="8"/>
      </c>
      <c r="EH97" s="2928">
        <f t="shared" si="8"/>
      </c>
      <c r="EI97" s="2928">
        <f t="shared" si="8"/>
      </c>
      <c r="EJ97" s="2928">
        <f t="shared" si="8"/>
      </c>
      <c r="EK97" s="2928">
        <f t="shared" si="8"/>
      </c>
      <c r="EL97" s="2928">
        <f t="shared" si="8"/>
      </c>
      <c r="EM97" s="2928">
        <f t="shared" si="8"/>
      </c>
      <c r="EN97" s="2928">
        <f t="shared" si="8"/>
      </c>
      <c r="EO97" s="2928">
        <f t="shared" si="8"/>
      </c>
      <c r="EP97" s="2928">
        <f t="shared" si="8"/>
      </c>
      <c r="EQ97" s="2928">
        <f t="shared" si="8"/>
      </c>
      <c r="ER97" s="2928">
        <f t="shared" si="8"/>
      </c>
      <c r="ES97" s="2928">
        <f t="shared" si="8"/>
      </c>
      <c r="ET97" s="2928">
        <f t="shared" si="8"/>
      </c>
      <c r="EU97" s="2928">
        <f t="shared" si="8"/>
      </c>
      <c r="EV97" s="2928">
        <f t="shared" si="8"/>
      </c>
      <c r="EW97" s="2928">
        <f t="shared" si="8"/>
      </c>
      <c r="EX97" s="2928">
        <f t="shared" si="8"/>
      </c>
      <c r="EY97" s="2928">
        <f t="shared" si="8"/>
      </c>
      <c r="EZ97" s="2928">
        <f t="shared" si="8"/>
      </c>
      <c r="FA97" s="2929" t="str">
        <f t="shared" si="12"/>
        <v>-</v>
      </c>
      <c r="FB97" s="2825">
        <f t="shared" si="13"/>
      </c>
      <c r="FC97" s="2930" cm="1">
        <f t="array" ref="FC97">_xlfn.LET(_xlpm.unit_type,$G97,_xlpm.market_rent_from_rent_roll,$E97,_xlpm.unit_type_list,RentRoll_InputArea_DesignatedUnitType,_xlpm.rent_by_unit_type,RentRoll_InputArea_MarketRent,_xlpm.use_rent_roll_market_rent,LEFT(RR_VacantUnitMktRentSource,9)="Rent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1159</v>
      </c>
      <c r="FD97" s="2930">
        <f t="shared" si="14"/>
        <v>1197</v>
      </c>
      <c r="FE97" s="2930">
        <f t="shared" si="15"/>
        <v>1197</v>
      </c>
      <c r="FF97" s="2930">
        <f t="shared" si="16"/>
        <v>1197</v>
      </c>
      <c r="FG97" s="2931"/>
      <c r="FH97" s="2932">
        <f t="shared" si="17"/>
      </c>
      <c r="FI97" s="2932">
        <f t="shared" si="18"/>
      </c>
      <c r="FJ97" s="2931"/>
      <c r="FK97" s="2933" cm="1">
        <f t="array" ref="FK97">IF(AND(LEN($D97)&gt;0,ISNA(MATCH(TRUE,EXACT($G97,RentRoll_InputArea_DesignatedUnitType),0))),1,0)</f>
        <v>0</v>
      </c>
      <c r="FL97" s="2931">
        <f t="shared" si="19"/>
        <v>74</v>
      </c>
      <c r="FM97" s="2931"/>
      <c r="FN97" s="2931"/>
      <c r="FO97" s="2931"/>
      <c r="FP97" s="2931"/>
      <c r="FQ97" s="2931"/>
      <c r="FR97" s="2931"/>
      <c r="FS97" s="2931"/>
      <c r="FT97" s="2931"/>
      <c r="FU97" s="2931"/>
      <c r="FV97" s="2931"/>
      <c r="FW97" s="2931"/>
      <c r="FX97" s="2931"/>
      <c r="FY97" s="2931"/>
      <c r="FZ97" s="2931"/>
      <c r="GA97" s="2931"/>
      <c r="GB97" s="2931"/>
      <c r="GC97" s="2931"/>
      <c r="GD97" s="2931"/>
      <c r="GE97" s="2931"/>
      <c r="GF97" s="2931"/>
      <c r="GG97" s="2931"/>
      <c r="GH97" s="2931"/>
      <c r="GI97" s="2931"/>
      <c r="GJ97" s="2931"/>
      <c r="GK97" s="2931"/>
      <c r="GL97" s="2931"/>
      <c r="GM97" s="2931"/>
      <c r="GN97" s="2931"/>
      <c r="GO97" s="2931"/>
      <c r="GP97" s="2931"/>
      <c r="GQ97" s="2931"/>
      <c r="GR97" s="2931"/>
      <c r="GS97" s="2931"/>
      <c r="GT97" s="2931"/>
      <c r="GU97" s="2931"/>
      <c r="GV97" s="2931"/>
      <c r="GW97" s="2931"/>
      <c r="GX97" s="2931"/>
      <c r="GY97" s="2931"/>
      <c r="GZ97" s="2931"/>
      <c r="HA97" s="2931"/>
      <c r="HB97" s="2931"/>
      <c r="HC97" s="2931"/>
      <c r="HD97" s="2931"/>
      <c r="HE97" s="2931"/>
      <c r="HF97" s="2931"/>
      <c r="HG97" s="2931"/>
      <c r="HH97" s="2931"/>
      <c r="HI97" s="2931"/>
      <c r="HJ97" s="2931"/>
      <c r="HK97" s="2931"/>
      <c r="HL97" s="2931"/>
      <c r="HM97" s="2931"/>
      <c r="HN97" s="2931"/>
      <c r="HO97" s="2931"/>
      <c r="HP97" s="2931"/>
      <c r="HQ97" s="2931"/>
      <c r="HR97" s="2931"/>
      <c r="HS97" s="2931"/>
      <c r="HT97" s="2931"/>
      <c r="HU97" s="2931"/>
      <c r="HV97" s="2931"/>
      <c r="HW97" s="2931"/>
      <c r="HX97" s="2931"/>
      <c r="HY97" s="2931"/>
      <c r="HZ97" s="2931"/>
      <c r="IA97" s="2931"/>
      <c r="IB97" s="2931"/>
      <c r="IC97" s="2931"/>
      <c r="ID97" s="2931"/>
      <c r="IE97" s="2931"/>
      <c r="IF97" s="2931"/>
      <c r="IG97" s="2931"/>
      <c r="IH97" s="2931"/>
      <c r="II97" s="2931"/>
      <c r="IJ97" s="2931"/>
      <c r="IK97" s="2931"/>
      <c r="IL97" s="2931"/>
      <c r="IM97" s="2931"/>
      <c r="IN97" s="2931"/>
      <c r="IO97" s="2931" cm="1">
        <f t="array" ref="IO97">IF(LEN($G97)=0,"Rent Roll is incomplete",_xlfn.XLOOKUP(TRUE,EXACT(RentRoll_InputArea_DesignatedUnitType,$G97),RentRoll_InputArea_Beds,"Not Found"))</f>
        <v>1</v>
      </c>
      <c r="IP97" s="2934"/>
      <c r="IQ97" s="2935" t="str">
        <f t="shared" si="20"/>
        <v>1 Bedroom Unit</v>
      </c>
      <c r="IR97" s="2926">
        <f t="shared" si="21"/>
        <v>1197</v>
      </c>
      <c r="IS97" s="2935"/>
      <c r="IT97" s="2931"/>
      <c r="IU97" s="2931"/>
      <c r="IV97" s="2931"/>
      <c r="IW97" s="2936" t="str">
        <f t="shared" si="22"/>
        <v>6-615</v>
      </c>
      <c r="IX97" s="2936"/>
      <c r="IY97" s="2936"/>
      <c r="IZ97" s="2936">
        <f t="shared" si="23"/>
        <v>1</v>
      </c>
      <c r="JA97" s="2936">
        <f t="shared" si="24"/>
        <v>1197</v>
      </c>
      <c r="JB97" s="2936"/>
      <c r="JC97" s="2936"/>
      <c r="JD97" s="2936"/>
      <c r="JE97" s="2936"/>
      <c r="JF97" s="2936"/>
      <c r="JG97" s="2936"/>
      <c r="JH97" s="2936">
        <f t="shared" si="25"/>
        <v>1159</v>
      </c>
      <c r="JI97" s="2936"/>
      <c r="JJ97" s="2936">
        <f t="shared" si="26"/>
      </c>
      <c r="JK97" s="2936"/>
      <c r="JL97" s="2936"/>
      <c r="JM97" s="2936"/>
      <c r="JN97" s="2936"/>
      <c r="JO97" s="2936"/>
      <c r="JP97" s="2936"/>
      <c r="JQ97" s="2936" t="str">
        <f t="shared" si="27"/>
        <v>Occupied</v>
      </c>
      <c r="JR97" s="2936" cm="1">
        <f t="array" ref="JR97">_xlfn.XLOOKUP(TRUE,EXACT(RentRoll_InputArea_DesignatedUnitType,$G97),RentRoll_InputArea_SquareFootage,"Not Found")</f>
        <v>704</v>
      </c>
      <c r="JS97" s="2936" t="str">
        <f t="shared" si="28"/>
        <v>Apartment</v>
      </c>
      <c r="JT97" s="2936">
        <f t="shared" si="29"/>
      </c>
      <c r="JU97" s="2936"/>
      <c r="JV97" s="2936"/>
      <c r="JW97" s="2936"/>
      <c r="JX97" s="2936"/>
      <c r="JY97" s="2936">
        <f t="shared" si="9"/>
        <v>43476</v>
      </c>
      <c r="JZ97" s="2936">
        <f t="shared" si="9"/>
        <v>43677</v>
      </c>
      <c r="KA97" s="2936"/>
      <c r="KB97" s="2936"/>
      <c r="KC97" s="2936"/>
      <c r="KD97" s="2936"/>
      <c r="KE97" s="2936"/>
      <c r="KF97" s="2936"/>
      <c r="KG97" s="2936"/>
      <c r="KH97" s="2936"/>
      <c r="KI97" s="2937"/>
      <c r="KJ97" s="2936"/>
      <c r="KK97" s="1353"/>
    </row>
    <row r="98" ht="15" customHeight="1">
      <c r="A98" s="2922">
        <f t="shared" si="10"/>
        <v>75</v>
      </c>
      <c r="B98" s="2865"/>
      <c r="C98" s="2873"/>
      <c r="D98" s="2873" t="s">
        <v>2892</v>
      </c>
      <c r="E98" s="2923">
        <v>1164</v>
      </c>
      <c r="F98" s="2924" t="s">
        <v>2893</v>
      </c>
      <c r="G98" s="2873" t="s">
        <v>2530</v>
      </c>
      <c r="H98" s="2923">
        <v>1127</v>
      </c>
      <c r="I98" s="2925" cm="1">
        <f t="array" ref="I98">_xlfn.LET(_xlpm.has_subsidy,$N98&gt;0,_xlpm.is_chap9_sbl,$FF$20,_xlpm.contract_rent,$H98,_xlpm.unit_type_mkt_rent,_xlfn.XLOOKUP(TRUE,EXACT($G98,RentRoll_InputArea_DesignatedUnitType),RentRoll_InputArea_MarketRent,"Not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8" s="2926">
        <f t="shared" si="11"/>
        <v>1127</v>
      </c>
      <c r="K98" s="2923"/>
      <c r="L98" s="2923"/>
      <c r="M98" s="2923"/>
      <c r="N98" s="2923"/>
      <c r="O98" s="2927">
        <v>43497</v>
      </c>
      <c r="P98" s="2927">
        <v>43890</v>
      </c>
      <c r="Q98" s="2928">
        <f t="shared" si="8"/>
      </c>
      <c r="R98" s="2928">
        <f t="shared" si="8"/>
        <v>1127</v>
      </c>
      <c r="S98" s="2928">
        <f t="shared" si="8"/>
      </c>
      <c r="T98" s="2928">
        <f t="shared" si="8"/>
      </c>
      <c r="U98" s="2928">
        <f t="shared" si="8"/>
      </c>
      <c r="V98" s="2928">
        <f t="shared" si="8"/>
      </c>
      <c r="W98" s="2928">
        <f t="shared" si="8"/>
      </c>
      <c r="X98" s="2928">
        <f t="shared" si="8"/>
      </c>
      <c r="Y98" s="2928">
        <f t="shared" si="8"/>
      </c>
      <c r="Z98" s="2928">
        <f t="shared" si="8"/>
      </c>
      <c r="AA98" s="2928">
        <f t="shared" si="8"/>
      </c>
      <c r="AB98" s="2928">
        <f t="shared" si="8"/>
      </c>
      <c r="AC98" s="2928">
        <f t="shared" si="8"/>
      </c>
      <c r="AD98" s="2928">
        <f t="shared" si="8"/>
      </c>
      <c r="AE98" s="2928">
        <f t="shared" si="8"/>
      </c>
      <c r="AF98" s="2928">
        <f t="shared" si="8"/>
      </c>
      <c r="AG98" s="2928">
        <f t="shared" si="8"/>
      </c>
      <c r="AH98" s="2928">
        <f t="shared" si="8"/>
      </c>
      <c r="AI98" s="2928">
        <f t="shared" si="8"/>
      </c>
      <c r="AJ98" s="2928">
        <f t="shared" si="8"/>
      </c>
      <c r="AK98" s="2928">
        <f t="shared" si="8"/>
      </c>
      <c r="AL98" s="2928">
        <f t="shared" si="8"/>
      </c>
      <c r="AM98" s="2928">
        <f t="shared" si="8"/>
      </c>
      <c r="AN98" s="2928">
        <f t="shared" si="8"/>
      </c>
      <c r="AO98" s="2928">
        <f t="shared" si="8"/>
      </c>
      <c r="AP98" s="2928">
        <f t="shared" si="8"/>
      </c>
      <c r="AQ98" s="2928">
        <f t="shared" si="8"/>
      </c>
      <c r="AR98" s="2928">
        <f t="shared" si="8"/>
      </c>
      <c r="AS98" s="2928">
        <f t="shared" si="8"/>
      </c>
      <c r="AT98" s="2928">
        <f t="shared" si="8"/>
      </c>
      <c r="AU98" s="2928">
        <f t="shared" si="8"/>
      </c>
      <c r="AV98" s="2928">
        <f t="shared" si="8"/>
      </c>
      <c r="AW98" s="2928">
        <f t="shared" si="8"/>
      </c>
      <c r="AX98" s="2928">
        <f t="shared" si="8"/>
      </c>
      <c r="AY98" s="2928">
        <f t="shared" si="8"/>
      </c>
      <c r="AZ98" s="2928">
        <f t="shared" si="8"/>
      </c>
      <c r="BA98" s="2928">
        <f t="shared" si="8"/>
      </c>
      <c r="BB98" s="2928">
        <f t="shared" si="8"/>
      </c>
      <c r="BC98" s="2928">
        <f t="shared" si="8"/>
      </c>
      <c r="BD98" s="2928">
        <f t="shared" si="8"/>
      </c>
      <c r="BE98" s="2928">
        <f t="shared" si="8"/>
      </c>
      <c r="BF98" s="2928">
        <f t="shared" si="8"/>
      </c>
      <c r="BG98" s="2928">
        <f t="shared" si="8"/>
      </c>
      <c r="BH98" s="2928">
        <f t="shared" si="8"/>
      </c>
      <c r="BI98" s="2928">
        <f t="shared" si="8"/>
      </c>
      <c r="BJ98" s="2928">
        <f t="shared" si="8"/>
      </c>
      <c r="BK98" s="2928">
        <f t="shared" si="8"/>
      </c>
      <c r="BL98" s="2928">
        <f t="shared" si="8"/>
      </c>
      <c r="BM98" s="2928">
        <f t="shared" si="8"/>
      </c>
      <c r="BN98" s="2928">
        <f t="shared" si="8"/>
      </c>
      <c r="BO98" s="2928">
        <f t="shared" si="8"/>
      </c>
      <c r="BP98" s="2928">
        <f t="shared" si="8"/>
      </c>
      <c r="BQ98" s="2928">
        <f t="shared" si="8"/>
      </c>
      <c r="BR98" s="2928">
        <f t="shared" si="8"/>
      </c>
      <c r="BS98" s="2928">
        <f t="shared" si="8"/>
      </c>
      <c r="BT98" s="2928">
        <f t="shared" si="8"/>
      </c>
      <c r="BU98" s="2928">
        <f t="shared" si="8"/>
      </c>
      <c r="BV98" s="2928">
        <f t="shared" si="8"/>
      </c>
      <c r="BW98" s="2928">
        <f t="shared" si="8"/>
      </c>
      <c r="BX98" s="2928">
        <f t="shared" si="8"/>
      </c>
      <c r="BY98" s="2928">
        <f t="shared" si="8"/>
      </c>
      <c r="BZ98" s="2928">
        <f t="shared" si="8"/>
      </c>
      <c r="CA98" s="2928">
        <f t="shared" si="8"/>
      </c>
      <c r="CB98" s="2928">
        <f t="shared" si="8"/>
      </c>
      <c r="CC98" s="2928">
        <f t="shared" si="8"/>
      </c>
      <c r="CD98" s="2928">
        <f t="shared" si="8"/>
      </c>
      <c r="CE98" s="2928">
        <f t="shared" si="8"/>
      </c>
      <c r="CF98" s="2928">
        <f t="shared" si="8"/>
      </c>
      <c r="CG98" s="2928">
        <f t="shared" si="8"/>
      </c>
      <c r="CH98" s="2928">
        <f t="shared" si="8"/>
      </c>
      <c r="CI98" s="2928">
        <f t="shared" si="8"/>
      </c>
      <c r="CJ98" s="2928">
        <f t="shared" si="8"/>
      </c>
      <c r="CK98" s="2928">
        <f t="shared" si="8"/>
      </c>
      <c r="CL98" s="2928">
        <f t="shared" si="8"/>
      </c>
      <c r="CM98" s="2928">
        <f t="shared" si="8"/>
      </c>
      <c r="CN98" s="2928">
        <f t="shared" si="8"/>
      </c>
      <c r="CO98" s="2928">
        <f t="shared" si="8"/>
      </c>
      <c r="CP98" s="2928">
        <f t="shared" si="8"/>
      </c>
      <c r="CQ98" s="2928">
        <f t="shared" si="8"/>
      </c>
      <c r="CR98" s="2928">
        <f t="shared" si="8"/>
      </c>
      <c r="CS98" s="2928">
        <f t="shared" si="8"/>
      </c>
      <c r="CT98" s="2928">
        <f t="shared" si="8"/>
      </c>
      <c r="CU98" s="2928">
        <f t="shared" si="8"/>
      </c>
      <c r="CV98" s="2928">
        <f t="shared" si="8"/>
      </c>
      <c r="CW98" s="2928">
        <f t="shared" si="8"/>
      </c>
      <c r="CX98" s="2928">
        <f t="shared" si="8"/>
      </c>
      <c r="CY98" s="2928">
        <f t="shared" si="8"/>
      </c>
      <c r="CZ98" s="2928">
        <f t="shared" si="8"/>
      </c>
      <c r="DA98" s="2928">
        <f t="shared" si="8"/>
      </c>
      <c r="DB98" s="2928">
        <f t="shared" si="8"/>
      </c>
      <c r="DC98" s="2928">
        <f t="shared" si="8"/>
      </c>
      <c r="DD98" s="2928">
        <f t="shared" si="8"/>
      </c>
      <c r="DE98" s="2928">
        <f t="shared" si="8"/>
      </c>
      <c r="DF98" s="2928">
        <f t="shared" si="8"/>
      </c>
      <c r="DG98" s="2928">
        <f t="shared" si="8"/>
      </c>
      <c r="DH98" s="2928">
        <f t="shared" si="8"/>
      </c>
      <c r="DI98" s="2928">
        <f t="shared" si="8"/>
      </c>
      <c r="DJ98" s="2928">
        <f t="shared" si="8"/>
      </c>
      <c r="DK98" s="2928">
        <f t="shared" si="8"/>
      </c>
      <c r="DL98" s="2928">
        <f t="shared" si="8"/>
      </c>
      <c r="DM98" s="2928">
        <f t="shared" si="8"/>
      </c>
      <c r="DN98" s="2928">
        <f t="shared" si="8"/>
      </c>
      <c r="DO98" s="2928">
        <f t="shared" si="8"/>
      </c>
      <c r="DP98" s="2928">
        <f t="shared" si="8"/>
      </c>
      <c r="DQ98" s="2928">
        <f t="shared" si="8"/>
      </c>
      <c r="DR98" s="2928">
        <f t="shared" si="8"/>
      </c>
      <c r="DS98" s="2928">
        <f t="shared" si="8"/>
      </c>
      <c r="DT98" s="2928">
        <f t="shared" si="8"/>
      </c>
      <c r="DU98" s="2928">
        <f t="shared" si="8"/>
      </c>
      <c r="DV98" s="2928">
        <f t="shared" si="8"/>
      </c>
      <c r="DW98" s="2928">
        <f t="shared" si="8"/>
      </c>
      <c r="DX98" s="2928">
        <f t="shared" si="8"/>
      </c>
      <c r="DY98" s="2928">
        <f t="shared" si="8"/>
      </c>
      <c r="DZ98" s="2928">
        <f t="shared" si="8"/>
      </c>
      <c r="EA98" s="2928">
        <f t="shared" si="8"/>
      </c>
      <c r="EB98" s="2928">
        <f t="shared" si="8"/>
      </c>
      <c r="EC98" s="2928">
        <f t="shared" si="8"/>
      </c>
      <c r="ED98" s="2928">
        <f t="shared" si="8"/>
      </c>
      <c r="EE98" s="2928">
        <f t="shared" si="8"/>
      </c>
      <c r="EF98" s="2928">
        <f t="shared" si="8"/>
      </c>
      <c r="EG98" s="2928">
        <f t="shared" si="8"/>
      </c>
      <c r="EH98" s="2928">
        <f t="shared" si="8"/>
      </c>
      <c r="EI98" s="2928">
        <f t="shared" si="8"/>
      </c>
      <c r="EJ98" s="2928">
        <f t="shared" si="8"/>
      </c>
      <c r="EK98" s="2928">
        <f t="shared" si="8"/>
      </c>
      <c r="EL98" s="2928">
        <f t="shared" si="8"/>
      </c>
      <c r="EM98" s="2928">
        <f t="shared" si="8"/>
      </c>
      <c r="EN98" s="2928">
        <f t="shared" si="8"/>
      </c>
      <c r="EO98" s="2928">
        <f t="shared" si="8"/>
      </c>
      <c r="EP98" s="2928">
        <f t="shared" si="8"/>
      </c>
      <c r="EQ98" s="2928">
        <f t="shared" si="8"/>
      </c>
      <c r="ER98" s="2928">
        <f t="shared" si="8"/>
      </c>
      <c r="ES98" s="2928">
        <f t="shared" si="8"/>
      </c>
      <c r="ET98" s="2928">
        <f t="shared" si="8"/>
      </c>
      <c r="EU98" s="2928">
        <f t="shared" si="8"/>
      </c>
      <c r="EV98" s="2928">
        <f t="shared" si="8"/>
      </c>
      <c r="EW98" s="2928">
        <f t="shared" si="8"/>
      </c>
      <c r="EX98" s="2928">
        <f t="shared" si="8"/>
      </c>
      <c r="EY98" s="2928">
        <f t="shared" si="8"/>
      </c>
      <c r="EZ98" s="2928">
        <f t="shared" si="8"/>
      </c>
      <c r="FA98" s="2929" t="str">
        <f t="shared" si="12"/>
        <v>-</v>
      </c>
      <c r="FB98" s="2825">
        <f t="shared" si="13"/>
      </c>
      <c r="FC98" s="2930" cm="1">
        <f t="array" ref="FC98">_xlfn.LET(_xlpm.unit_type,$G98,_xlpm.market_rent_from_rent_roll,$E98,_xlpm.unit_type_list,RentRoll_InputArea_DesignatedUnitType,_xlpm.rent_by_unit_type,RentRoll_InputArea_MarketRent,_xlpm.use_rent_roll_market_rent,LEFT(RR_VacantUnitMktRentSource,9)="Rent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98" s="2930">
        <f t="shared" si="14"/>
        <v>1127</v>
      </c>
      <c r="FE98" s="2930">
        <f t="shared" si="15"/>
        <v>1127</v>
      </c>
      <c r="FF98" s="2930">
        <f t="shared" si="16"/>
        <v>1127</v>
      </c>
      <c r="FG98" s="2931"/>
      <c r="FH98" s="2932">
        <f t="shared" si="17"/>
      </c>
      <c r="FI98" s="2932">
        <f t="shared" si="18"/>
      </c>
      <c r="FJ98" s="2931"/>
      <c r="FK98" s="2933" cm="1">
        <f t="array" ref="FK98">IF(AND(LEN($D98)&gt;0,ISNA(MATCH(TRUE,EXACT($G98,RentRoll_InputArea_DesignatedUnitType),0))),1,0)</f>
        <v>0</v>
      </c>
      <c r="FL98" s="2931">
        <f t="shared" si="19"/>
        <v>75</v>
      </c>
      <c r="FM98" s="2931"/>
      <c r="FN98" s="2931"/>
      <c r="FO98" s="2931"/>
      <c r="FP98" s="2931"/>
      <c r="FQ98" s="2931"/>
      <c r="FR98" s="2931"/>
      <c r="FS98" s="2931"/>
      <c r="FT98" s="2931"/>
      <c r="FU98" s="2931"/>
      <c r="FV98" s="2931"/>
      <c r="FW98" s="2931"/>
      <c r="FX98" s="2931"/>
      <c r="FY98" s="2931"/>
      <c r="FZ98" s="2931"/>
      <c r="GA98" s="2931"/>
      <c r="GB98" s="2931"/>
      <c r="GC98" s="2931"/>
      <c r="GD98" s="2931"/>
      <c r="GE98" s="2931"/>
      <c r="GF98" s="2931"/>
      <c r="GG98" s="2931"/>
      <c r="GH98" s="2931"/>
      <c r="GI98" s="2931"/>
      <c r="GJ98" s="2931"/>
      <c r="GK98" s="2931"/>
      <c r="GL98" s="2931"/>
      <c r="GM98" s="2931"/>
      <c r="GN98" s="2931"/>
      <c r="GO98" s="2931"/>
      <c r="GP98" s="2931"/>
      <c r="GQ98" s="2931"/>
      <c r="GR98" s="2931"/>
      <c r="GS98" s="2931"/>
      <c r="GT98" s="2931"/>
      <c r="GU98" s="2931"/>
      <c r="GV98" s="2931"/>
      <c r="GW98" s="2931"/>
      <c r="GX98" s="2931"/>
      <c r="GY98" s="2931"/>
      <c r="GZ98" s="2931"/>
      <c r="HA98" s="2931"/>
      <c r="HB98" s="2931"/>
      <c r="HC98" s="2931"/>
      <c r="HD98" s="2931"/>
      <c r="HE98" s="2931"/>
      <c r="HF98" s="2931"/>
      <c r="HG98" s="2931"/>
      <c r="HH98" s="2931"/>
      <c r="HI98" s="2931"/>
      <c r="HJ98" s="2931"/>
      <c r="HK98" s="2931"/>
      <c r="HL98" s="2931"/>
      <c r="HM98" s="2931"/>
      <c r="HN98" s="2931"/>
      <c r="HO98" s="2931"/>
      <c r="HP98" s="2931"/>
      <c r="HQ98" s="2931"/>
      <c r="HR98" s="2931"/>
      <c r="HS98" s="2931"/>
      <c r="HT98" s="2931"/>
      <c r="HU98" s="2931"/>
      <c r="HV98" s="2931"/>
      <c r="HW98" s="2931"/>
      <c r="HX98" s="2931"/>
      <c r="HY98" s="2931"/>
      <c r="HZ98" s="2931"/>
      <c r="IA98" s="2931"/>
      <c r="IB98" s="2931"/>
      <c r="IC98" s="2931"/>
      <c r="ID98" s="2931"/>
      <c r="IE98" s="2931"/>
      <c r="IF98" s="2931"/>
      <c r="IG98" s="2931"/>
      <c r="IH98" s="2931"/>
      <c r="II98" s="2931"/>
      <c r="IJ98" s="2931"/>
      <c r="IK98" s="2931"/>
      <c r="IL98" s="2931"/>
      <c r="IM98" s="2931"/>
      <c r="IN98" s="2931"/>
      <c r="IO98" s="2931" cm="1">
        <f t="array" ref="IO98">IF(LEN($G98)=0,"Rent Roll is incomplete",_xlfn.XLOOKUP(TRUE,EXACT(RentRoll_InputArea_DesignatedUnitType,$G98),RentRoll_InputArea_Beds,"Not Found"))</f>
        <v>0</v>
      </c>
      <c r="IP98" s="2934"/>
      <c r="IQ98" s="2935" t="str">
        <f t="shared" si="20"/>
        <v>0 Bedroom Unit (Efficiency/Studio)</v>
      </c>
      <c r="IR98" s="2926">
        <f t="shared" si="21"/>
        <v>1127</v>
      </c>
      <c r="IS98" s="2935"/>
      <c r="IT98" s="2931"/>
      <c r="IU98" s="2931"/>
      <c r="IV98" s="2931"/>
      <c r="IW98" s="2936" t="str">
        <f t="shared" si="22"/>
        <v>7-700</v>
      </c>
      <c r="IX98" s="2936"/>
      <c r="IY98" s="2936"/>
      <c r="IZ98" s="2936">
        <f t="shared" si="23"/>
        <v>0</v>
      </c>
      <c r="JA98" s="2936">
        <f t="shared" si="24"/>
        <v>1127</v>
      </c>
      <c r="JB98" s="2936"/>
      <c r="JC98" s="2936"/>
      <c r="JD98" s="2936"/>
      <c r="JE98" s="2936"/>
      <c r="JF98" s="2936"/>
      <c r="JG98" s="2936"/>
      <c r="JH98" s="2936">
        <f t="shared" si="25"/>
        <v>1217</v>
      </c>
      <c r="JI98" s="2936"/>
      <c r="JJ98" s="2936">
        <f t="shared" si="26"/>
      </c>
      <c r="JK98" s="2936"/>
      <c r="JL98" s="2936"/>
      <c r="JM98" s="2936"/>
      <c r="JN98" s="2936"/>
      <c r="JO98" s="2936"/>
      <c r="JP98" s="2936"/>
      <c r="JQ98" s="2936" t="str">
        <f t="shared" si="27"/>
        <v>Occupied</v>
      </c>
      <c r="JR98" s="2936" cm="1">
        <f t="array" ref="JR98">_xlfn.XLOOKUP(TRUE,EXACT(RentRoll_InputArea_DesignatedUnitType,$G98),RentRoll_InputArea_SquareFootage,"Not Found")</f>
        <v>800</v>
      </c>
      <c r="JS98" s="2936" t="str">
        <f t="shared" si="28"/>
        <v>Apartment</v>
      </c>
      <c r="JT98" s="2936">
        <f t="shared" si="29"/>
      </c>
      <c r="JU98" s="2936"/>
      <c r="JV98" s="2936"/>
      <c r="JW98" s="2936"/>
      <c r="JX98" s="2936"/>
      <c r="JY98" s="2936">
        <f t="shared" si="9"/>
        <v>43497</v>
      </c>
      <c r="JZ98" s="2936">
        <f t="shared" si="9"/>
        <v>43890</v>
      </c>
      <c r="KA98" s="2936"/>
      <c r="KB98" s="2936"/>
      <c r="KC98" s="2936"/>
      <c r="KD98" s="2936"/>
      <c r="KE98" s="2936"/>
      <c r="KF98" s="2936"/>
      <c r="KG98" s="2936"/>
      <c r="KH98" s="2936"/>
      <c r="KI98" s="2937"/>
      <c r="KJ98" s="2936"/>
      <c r="KK98" s="1353"/>
    </row>
    <row r="99" ht="15" customHeight="1">
      <c r="A99" s="2922">
        <f t="shared" si="10"/>
        <v>76</v>
      </c>
      <c r="B99" s="2865"/>
      <c r="C99" s="2873"/>
      <c r="D99" s="2873" t="s">
        <v>2894</v>
      </c>
      <c r="E99" s="2923">
        <v>1264</v>
      </c>
      <c r="F99" s="2924" t="s">
        <v>2895</v>
      </c>
      <c r="G99" s="2873" t="s">
        <v>2530</v>
      </c>
      <c r="H99" s="2923">
        <v>1252</v>
      </c>
      <c r="I99" s="2925" cm="1">
        <f t="array" ref="I99">_xlfn.LET(_xlpm.has_subsidy,$N99&gt;0,_xlpm.is_chap9_sbl,$FF$20,_xlpm.contract_rent,$H99,_xlpm.unit_type_mkt_rent,_xlfn.XLOOKUP(TRUE,EXACT($G99,RentRoll_InputArea_DesignatedUnitType),RentRoll_InputArea_MarketRent,"Not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99" s="2926">
        <f t="shared" si="11"/>
        <v>1252</v>
      </c>
      <c r="K99" s="2923"/>
      <c r="L99" s="2923"/>
      <c r="M99" s="2923"/>
      <c r="N99" s="2923"/>
      <c r="O99" s="2927">
        <v>43529</v>
      </c>
      <c r="P99" s="2927">
        <v>43890</v>
      </c>
      <c r="Q99" s="2928">
        <f t="shared" si="8"/>
      </c>
      <c r="R99" s="2928">
        <f t="shared" si="8"/>
        <v>1252</v>
      </c>
      <c r="S99" s="2928">
        <f t="shared" si="8"/>
      </c>
      <c r="T99" s="2928">
        <f t="shared" si="8"/>
      </c>
      <c r="U99" s="2928">
        <f t="shared" si="8"/>
      </c>
      <c r="V99" s="2928">
        <f t="shared" si="8"/>
      </c>
      <c r="W99" s="2928">
        <f t="shared" si="8"/>
      </c>
      <c r="X99" s="2928">
        <f t="shared" si="8"/>
      </c>
      <c r="Y99" s="2928">
        <f t="shared" si="8"/>
      </c>
      <c r="Z99" s="2928">
        <f t="shared" si="8"/>
      </c>
      <c r="AA99" s="2928">
        <f t="shared" si="8"/>
      </c>
      <c r="AB99" s="2928">
        <f t="shared" si="8"/>
      </c>
      <c r="AC99" s="2928">
        <f t="shared" si="8"/>
      </c>
      <c r="AD99" s="2928">
        <f t="shared" si="8"/>
      </c>
      <c r="AE99" s="2928">
        <f t="shared" si="8"/>
      </c>
      <c r="AF99" s="2928">
        <f t="shared" si="8"/>
      </c>
      <c r="AG99" s="2928">
        <f t="shared" si="8"/>
      </c>
      <c r="AH99" s="2928">
        <f t="shared" si="8"/>
      </c>
      <c r="AI99" s="2928">
        <f t="shared" si="8"/>
      </c>
      <c r="AJ99" s="2928">
        <f t="shared" si="8"/>
      </c>
      <c r="AK99" s="2928">
        <f t="shared" si="8"/>
      </c>
      <c r="AL99" s="2928">
        <f t="shared" si="8"/>
      </c>
      <c r="AM99" s="2928">
        <f t="shared" si="8"/>
      </c>
      <c r="AN99" s="2928">
        <f t="shared" si="8"/>
      </c>
      <c r="AO99" s="2928">
        <f t="shared" si="8"/>
      </c>
      <c r="AP99" s="2928">
        <f t="shared" si="8"/>
      </c>
      <c r="AQ99" s="2928">
        <f t="shared" si="8"/>
      </c>
      <c r="AR99" s="2928">
        <f t="shared" si="8"/>
      </c>
      <c r="AS99" s="2928">
        <f t="shared" si="8"/>
      </c>
      <c r="AT99" s="2928">
        <f t="shared" si="8"/>
      </c>
      <c r="AU99" s="2928">
        <f t="shared" si="8"/>
      </c>
      <c r="AV99" s="2928">
        <f t="shared" si="8"/>
      </c>
      <c r="AW99" s="2928">
        <f t="shared" si="8"/>
      </c>
      <c r="AX99" s="2928">
        <f t="shared" si="8"/>
      </c>
      <c r="AY99" s="2928">
        <f t="shared" si="8"/>
      </c>
      <c r="AZ99" s="2928">
        <f t="shared" si="8"/>
      </c>
      <c r="BA99" s="2928">
        <f t="shared" si="8"/>
      </c>
      <c r="BB99" s="2928">
        <f t="shared" si="8"/>
      </c>
      <c r="BC99" s="2928">
        <f t="shared" si="8"/>
      </c>
      <c r="BD99" s="2928">
        <f t="shared" si="8"/>
      </c>
      <c r="BE99" s="2928">
        <f t="shared" si="8"/>
      </c>
      <c r="BF99" s="2928">
        <f t="shared" si="8"/>
      </c>
      <c r="BG99" s="2928">
        <f t="shared" si="8"/>
      </c>
      <c r="BH99" s="2928">
        <f t="shared" si="8"/>
      </c>
      <c r="BI99" s="2928">
        <f t="shared" si="8"/>
      </c>
      <c r="BJ99" s="2928">
        <f t="shared" si="8"/>
      </c>
      <c r="BK99" s="2928">
        <f t="shared" si="8"/>
      </c>
      <c r="BL99" s="2928">
        <f t="shared" si="8"/>
      </c>
      <c r="BM99" s="2928">
        <f t="shared" si="8"/>
      </c>
      <c r="BN99" s="2928">
        <f t="shared" si="8"/>
      </c>
      <c r="BO99" s="2928">
        <f t="shared" si="8"/>
      </c>
      <c r="BP99" s="2928">
        <f t="shared" si="8"/>
      </c>
      <c r="BQ99" s="2928">
        <f t="shared" si="8"/>
      </c>
      <c r="BR99" s="2928">
        <f t="shared" si="8"/>
      </c>
      <c r="BS99" s="2928">
        <f t="shared" si="8"/>
      </c>
      <c r="BT99" s="2928">
        <f t="shared" si="8"/>
      </c>
      <c r="BU99" s="2928">
        <f t="shared" si="8"/>
      </c>
      <c r="BV99" s="2928">
        <f t="shared" si="8"/>
      </c>
      <c r="BW99" s="2928">
        <f t="shared" si="8"/>
      </c>
      <c r="BX99" s="2928">
        <f t="shared" si="8"/>
      </c>
      <c r="BY99" s="2928">
        <f t="shared" si="8"/>
      </c>
      <c r="BZ99" s="2928">
        <f t="shared" si="8"/>
      </c>
      <c r="CA99" s="2928">
        <f t="shared" si="8"/>
      </c>
      <c r="CB99" s="2928">
        <f t="shared" si="8"/>
      </c>
      <c r="CC99" s="2928">
        <f t="shared" si="8"/>
      </c>
      <c r="CD99" s="2928">
        <f t="shared" si="8"/>
      </c>
      <c r="CE99" s="2928">
        <f t="shared" si="8"/>
      </c>
      <c r="CF99" s="2928">
        <f t="shared" si="8"/>
      </c>
      <c r="CG99" s="2928">
        <f t="shared" si="8"/>
      </c>
      <c r="CH99" s="2928">
        <f t="shared" si="8"/>
      </c>
      <c r="CI99" s="2928">
        <f t="shared" si="8"/>
      </c>
      <c r="CJ99" s="2928">
        <f t="shared" si="8"/>
      </c>
      <c r="CK99" s="2928">
        <f t="shared" si="8"/>
      </c>
      <c r="CL99" s="2928">
        <f t="shared" si="8"/>
      </c>
      <c r="CM99" s="2928">
        <f t="shared" si="8"/>
      </c>
      <c r="CN99" s="2928">
        <f t="shared" si="8"/>
      </c>
      <c r="CO99" s="2928">
        <f t="shared" si="8"/>
      </c>
      <c r="CP99" s="2928">
        <f t="shared" si="8"/>
      </c>
      <c r="CQ99" s="2928">
        <f t="shared" si="8"/>
      </c>
      <c r="CR99" s="2928">
        <f t="shared" si="8"/>
      </c>
      <c r="CS99" s="2928">
        <f t="shared" si="8"/>
      </c>
      <c r="CT99" s="2928">
        <f t="shared" si="8"/>
      </c>
      <c r="CU99" s="2928">
        <f t="shared" si="8"/>
      </c>
      <c r="CV99" s="2928">
        <f t="shared" si="8"/>
      </c>
      <c r="CW99" s="2928">
        <f t="shared" si="8"/>
      </c>
      <c r="CX99" s="2928">
        <f t="shared" si="8"/>
      </c>
      <c r="CY99" s="2928">
        <f t="shared" si="8"/>
      </c>
      <c r="CZ99" s="2928">
        <f t="shared" si="8"/>
      </c>
      <c r="DA99" s="2928">
        <f t="shared" si="8"/>
      </c>
      <c r="DB99" s="2928">
        <f t="shared" si="8"/>
      </c>
      <c r="DC99" s="2928">
        <f t="shared" si="8"/>
      </c>
      <c r="DD99" s="2928">
        <f t="shared" si="8"/>
      </c>
      <c r="DE99" s="2928">
        <f t="shared" si="8"/>
      </c>
      <c r="DF99" s="2928">
        <f t="shared" si="8"/>
      </c>
      <c r="DG99" s="2928">
        <f t="shared" si="8"/>
      </c>
      <c r="DH99" s="2928">
        <f t="shared" si="8"/>
      </c>
      <c r="DI99" s="2928">
        <f t="shared" si="8"/>
      </c>
      <c r="DJ99" s="2928">
        <f t="shared" si="8"/>
      </c>
      <c r="DK99" s="2928">
        <f t="shared" si="8"/>
      </c>
      <c r="DL99" s="2928">
        <f t="shared" si="8"/>
      </c>
      <c r="DM99" s="2928">
        <f t="shared" si="8"/>
      </c>
      <c r="DN99" s="2928">
        <f t="shared" si="8"/>
      </c>
      <c r="DO99" s="2928">
        <f t="shared" si="8"/>
      </c>
      <c r="DP99" s="2928">
        <f t="shared" si="8"/>
      </c>
      <c r="DQ99" s="2928">
        <f t="shared" si="8"/>
      </c>
      <c r="DR99" s="2928">
        <f t="shared" si="8"/>
      </c>
      <c r="DS99" s="2928">
        <f t="shared" si="8"/>
      </c>
      <c r="DT99" s="2928">
        <f t="shared" si="8"/>
      </c>
      <c r="DU99" s="2928">
        <f t="shared" si="8"/>
      </c>
      <c r="DV99" s="2928">
        <f t="shared" si="8"/>
      </c>
      <c r="DW99" s="2928">
        <f t="shared" si="8"/>
      </c>
      <c r="DX99" s="2928">
        <f t="shared" si="8"/>
      </c>
      <c r="DY99" s="2928">
        <f t="shared" si="8"/>
      </c>
      <c r="DZ99" s="2928">
        <f t="shared" si="8"/>
      </c>
      <c r="EA99" s="2928">
        <f t="shared" si="8"/>
      </c>
      <c r="EB99" s="2928">
        <f t="shared" si="8"/>
      </c>
      <c r="EC99" s="2928">
        <f t="shared" si="8"/>
      </c>
      <c r="ED99" s="2928">
        <f t="shared" si="8"/>
      </c>
      <c r="EE99" s="2928">
        <f t="shared" si="8"/>
      </c>
      <c r="EF99" s="2928">
        <f t="shared" si="8"/>
      </c>
      <c r="EG99" s="2928">
        <f t="shared" si="8"/>
      </c>
      <c r="EH99" s="2928">
        <f t="shared" si="8"/>
      </c>
      <c r="EI99" s="2928">
        <f t="shared" si="8"/>
      </c>
      <c r="EJ99" s="2928">
        <f t="shared" si="8"/>
      </c>
      <c r="EK99" s="2928">
        <f t="shared" si="8"/>
      </c>
      <c r="EL99" s="2928">
        <f t="shared" si="8"/>
      </c>
      <c r="EM99" s="2928">
        <f t="shared" si="8"/>
      </c>
      <c r="EN99" s="2928">
        <f t="shared" si="8"/>
      </c>
      <c r="EO99" s="2928">
        <f t="shared" si="8"/>
      </c>
      <c r="EP99" s="2928">
        <f t="shared" si="8"/>
      </c>
      <c r="EQ99" s="2928">
        <f t="shared" si="8"/>
      </c>
      <c r="ER99" s="2928">
        <f t="shared" si="8"/>
      </c>
      <c r="ES99" s="2928">
        <f t="shared" si="8"/>
      </c>
      <c r="ET99" s="2928">
        <f t="shared" si="8"/>
      </c>
      <c r="EU99" s="2928">
        <f t="shared" si="8"/>
      </c>
      <c r="EV99" s="2928">
        <f t="shared" si="8"/>
      </c>
      <c r="EW99" s="2928">
        <f t="shared" si="8"/>
      </c>
      <c r="EX99" s="2928">
        <f t="shared" si="8"/>
      </c>
      <c r="EY99" s="2928">
        <f t="shared" si="8"/>
      </c>
      <c r="EZ99" s="2928">
        <f t="shared" si="8"/>
      </c>
      <c r="FA99" s="2929" t="str">
        <f t="shared" si="12"/>
        <v>-</v>
      </c>
      <c r="FB99" s="2825">
        <f t="shared" si="13"/>
      </c>
      <c r="FC99" s="2930" cm="1">
        <f t="array" ref="FC99">_xlfn.LET(_xlpm.unit_type,$G99,_xlpm.market_rent_from_rent_roll,$E99,_xlpm.unit_type_list,RentRoll_InputArea_DesignatedUnitType,_xlpm.rent_by_unit_type,RentRoll_InputArea_MarketRent,_xlpm.use_rent_roll_market_rent,LEFT(RR_VacantUnitMktRentSource,9)="Rent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99" s="2930">
        <f t="shared" si="14"/>
        <v>1252</v>
      </c>
      <c r="FE99" s="2930">
        <f t="shared" si="15"/>
        <v>1252</v>
      </c>
      <c r="FF99" s="2930">
        <f t="shared" si="16"/>
        <v>1252</v>
      </c>
      <c r="FG99" s="2931"/>
      <c r="FH99" s="2932">
        <f t="shared" si="17"/>
      </c>
      <c r="FI99" s="2932">
        <f t="shared" si="18"/>
      </c>
      <c r="FJ99" s="2931"/>
      <c r="FK99" s="2933" cm="1">
        <f t="array" ref="FK99">IF(AND(LEN($D99)&gt;0,ISNA(MATCH(TRUE,EXACT($G99,RentRoll_InputArea_DesignatedUnitType),0))),1,0)</f>
        <v>0</v>
      </c>
      <c r="FL99" s="2931">
        <f t="shared" si="19"/>
        <v>76</v>
      </c>
      <c r="FM99" s="2931"/>
      <c r="FN99" s="2931"/>
      <c r="FO99" s="2931"/>
      <c r="FP99" s="2931"/>
      <c r="FQ99" s="2931"/>
      <c r="FR99" s="2931"/>
      <c r="FS99" s="2931"/>
      <c r="FT99" s="2931"/>
      <c r="FU99" s="2931"/>
      <c r="FV99" s="2931"/>
      <c r="FW99" s="2931"/>
      <c r="FX99" s="2931"/>
      <c r="FY99" s="2931"/>
      <c r="FZ99" s="2931"/>
      <c r="GA99" s="2931"/>
      <c r="GB99" s="2931"/>
      <c r="GC99" s="2931"/>
      <c r="GD99" s="2931"/>
      <c r="GE99" s="2931"/>
      <c r="GF99" s="2931"/>
      <c r="GG99" s="2931"/>
      <c r="GH99" s="2931"/>
      <c r="GI99" s="2931"/>
      <c r="GJ99" s="2931"/>
      <c r="GK99" s="2931"/>
      <c r="GL99" s="2931"/>
      <c r="GM99" s="2931"/>
      <c r="GN99" s="2931"/>
      <c r="GO99" s="2931"/>
      <c r="GP99" s="2931"/>
      <c r="GQ99" s="2931"/>
      <c r="GR99" s="2931"/>
      <c r="GS99" s="2931"/>
      <c r="GT99" s="2931"/>
      <c r="GU99" s="2931"/>
      <c r="GV99" s="2931"/>
      <c r="GW99" s="2931"/>
      <c r="GX99" s="2931"/>
      <c r="GY99" s="2931"/>
      <c r="GZ99" s="2931"/>
      <c r="HA99" s="2931"/>
      <c r="HB99" s="2931"/>
      <c r="HC99" s="2931"/>
      <c r="HD99" s="2931"/>
      <c r="HE99" s="2931"/>
      <c r="HF99" s="2931"/>
      <c r="HG99" s="2931"/>
      <c r="HH99" s="2931"/>
      <c r="HI99" s="2931"/>
      <c r="HJ99" s="2931"/>
      <c r="HK99" s="2931"/>
      <c r="HL99" s="2931"/>
      <c r="HM99" s="2931"/>
      <c r="HN99" s="2931"/>
      <c r="HO99" s="2931"/>
      <c r="HP99" s="2931"/>
      <c r="HQ99" s="2931"/>
      <c r="HR99" s="2931"/>
      <c r="HS99" s="2931"/>
      <c r="HT99" s="2931"/>
      <c r="HU99" s="2931"/>
      <c r="HV99" s="2931"/>
      <c r="HW99" s="2931"/>
      <c r="HX99" s="2931"/>
      <c r="HY99" s="2931"/>
      <c r="HZ99" s="2931"/>
      <c r="IA99" s="2931"/>
      <c r="IB99" s="2931"/>
      <c r="IC99" s="2931"/>
      <c r="ID99" s="2931"/>
      <c r="IE99" s="2931"/>
      <c r="IF99" s="2931"/>
      <c r="IG99" s="2931"/>
      <c r="IH99" s="2931"/>
      <c r="II99" s="2931"/>
      <c r="IJ99" s="2931"/>
      <c r="IK99" s="2931"/>
      <c r="IL99" s="2931"/>
      <c r="IM99" s="2931"/>
      <c r="IN99" s="2931"/>
      <c r="IO99" s="2931" cm="1">
        <f t="array" ref="IO99">IF(LEN($G99)=0,"Rent Roll is incomplete",_xlfn.XLOOKUP(TRUE,EXACT(RentRoll_InputArea_DesignatedUnitType,$G99),RentRoll_InputArea_Beds,"Not Found"))</f>
        <v>0</v>
      </c>
      <c r="IP99" s="2934"/>
      <c r="IQ99" s="2935" t="str">
        <f t="shared" si="20"/>
        <v>0 Bedroom Unit (Efficiency/Studio)</v>
      </c>
      <c r="IR99" s="2926">
        <f t="shared" si="21"/>
        <v>1252</v>
      </c>
      <c r="IS99" s="2935"/>
      <c r="IT99" s="2931"/>
      <c r="IU99" s="2931"/>
      <c r="IV99" s="2931"/>
      <c r="IW99" s="2936" t="str">
        <f t="shared" si="22"/>
        <v>7-701</v>
      </c>
      <c r="IX99" s="2936"/>
      <c r="IY99" s="2936"/>
      <c r="IZ99" s="2936">
        <f t="shared" si="23"/>
        <v>0</v>
      </c>
      <c r="JA99" s="2936">
        <f t="shared" si="24"/>
        <v>1252</v>
      </c>
      <c r="JB99" s="2936"/>
      <c r="JC99" s="2936"/>
      <c r="JD99" s="2936"/>
      <c r="JE99" s="2936"/>
      <c r="JF99" s="2936"/>
      <c r="JG99" s="2936"/>
      <c r="JH99" s="2936">
        <f t="shared" si="25"/>
        <v>1217</v>
      </c>
      <c r="JI99" s="2936"/>
      <c r="JJ99" s="2936">
        <f t="shared" si="26"/>
      </c>
      <c r="JK99" s="2936"/>
      <c r="JL99" s="2936"/>
      <c r="JM99" s="2936"/>
      <c r="JN99" s="2936"/>
      <c r="JO99" s="2936"/>
      <c r="JP99" s="2936"/>
      <c r="JQ99" s="2936" t="str">
        <f t="shared" si="27"/>
        <v>Occupied</v>
      </c>
      <c r="JR99" s="2936" cm="1">
        <f t="array" ref="JR99">_xlfn.XLOOKUP(TRUE,EXACT(RentRoll_InputArea_DesignatedUnitType,$G99),RentRoll_InputArea_SquareFootage,"Not Found")</f>
        <v>800</v>
      </c>
      <c r="JS99" s="2936" t="str">
        <f t="shared" si="28"/>
        <v>Apartment</v>
      </c>
      <c r="JT99" s="2936">
        <f t="shared" si="29"/>
      </c>
      <c r="JU99" s="2936"/>
      <c r="JV99" s="2936"/>
      <c r="JW99" s="2936"/>
      <c r="JX99" s="2936"/>
      <c r="JY99" s="2936">
        <f t="shared" si="9"/>
        <v>43529</v>
      </c>
      <c r="JZ99" s="2936">
        <f t="shared" si="9"/>
        <v>43890</v>
      </c>
      <c r="KA99" s="2936"/>
      <c r="KB99" s="2936"/>
      <c r="KC99" s="2936"/>
      <c r="KD99" s="2936"/>
      <c r="KE99" s="2936"/>
      <c r="KF99" s="2936"/>
      <c r="KG99" s="2936"/>
      <c r="KH99" s="2936"/>
      <c r="KI99" s="2937"/>
      <c r="KJ99" s="2936"/>
      <c r="KK99" s="1353"/>
    </row>
    <row r="100" ht="15" customHeight="1">
      <c r="A100" s="2922">
        <f t="shared" si="10"/>
        <v>77</v>
      </c>
      <c r="B100" s="2865"/>
      <c r="C100" s="2873"/>
      <c r="D100" s="2873" t="s">
        <v>2896</v>
      </c>
      <c r="E100" s="2923">
        <v>1234</v>
      </c>
      <c r="F100" s="2924" t="s">
        <v>2897</v>
      </c>
      <c r="G100" s="2873" t="s">
        <v>2530</v>
      </c>
      <c r="H100" s="2923">
        <v>1171</v>
      </c>
      <c r="I100" s="2925" cm="1">
        <f t="array" ref="I100">_xlfn.LET(_xlpm.has_subsidy,$N100&gt;0,_xlpm.is_chap9_sbl,$FF$20,_xlpm.contract_rent,$H100,_xlpm.unit_type_mkt_rent,_xlfn.XLOOKUP(TRUE,EXACT($G100,RentRoll_InputArea_DesignatedUnitType),RentRoll_InputArea_MarketRent,"Not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0" s="2926">
        <f t="shared" si="11"/>
        <v>1171</v>
      </c>
      <c r="K100" s="2923"/>
      <c r="L100" s="2923"/>
      <c r="M100" s="2923"/>
      <c r="N100" s="2923"/>
      <c r="O100" s="2927">
        <v>43477</v>
      </c>
      <c r="P100" s="2927">
        <v>43769</v>
      </c>
      <c r="Q100" s="2928">
        <f t="shared" si="8"/>
      </c>
      <c r="R100" s="2928">
        <f t="shared" si="8"/>
        <v>1171</v>
      </c>
      <c r="S100" s="2928">
        <f t="shared" si="8"/>
      </c>
      <c r="T100" s="2928">
        <f t="shared" si="8"/>
      </c>
      <c r="U100" s="2928">
        <f t="shared" si="8"/>
      </c>
      <c r="V100" s="2928">
        <f t="shared" si="8"/>
      </c>
      <c r="W100" s="2928">
        <f t="shared" si="8"/>
      </c>
      <c r="X100" s="2928">
        <f t="shared" si="8"/>
      </c>
      <c r="Y100" s="2928">
        <f t="shared" si="8"/>
      </c>
      <c r="Z100" s="2928">
        <f t="shared" si="8"/>
      </c>
      <c r="AA100" s="2928">
        <f t="shared" si="8"/>
      </c>
      <c r="AB100" s="2928">
        <f t="shared" si="8"/>
      </c>
      <c r="AC100" s="2928">
        <f t="shared" si="8"/>
      </c>
      <c r="AD100" s="2928">
        <f t="shared" si="8"/>
      </c>
      <c r="AE100" s="2928">
        <f t="shared" si="8"/>
      </c>
      <c r="AF100" s="2928">
        <f t="shared" si="8"/>
      </c>
      <c r="AG100" s="2928">
        <f t="shared" si="8"/>
      </c>
      <c r="AH100" s="2928">
        <f t="shared" si="8"/>
      </c>
      <c r="AI100" s="2928">
        <f t="shared" si="8"/>
      </c>
      <c r="AJ100" s="2928">
        <f t="shared" si="8"/>
      </c>
      <c r="AK100" s="2928">
        <f t="shared" si="8"/>
      </c>
      <c r="AL100" s="2928">
        <f t="shared" si="8"/>
      </c>
      <c r="AM100" s="2928">
        <f t="shared" si="8"/>
      </c>
      <c r="AN100" s="2928">
        <f t="shared" si="8"/>
      </c>
      <c r="AO100" s="2928">
        <f t="shared" si="8"/>
      </c>
      <c r="AP100" s="2928">
        <f t="shared" si="8"/>
      </c>
      <c r="AQ100" s="2928">
        <f t="shared" si="8"/>
      </c>
      <c r="AR100" s="2928">
        <f t="shared" si="8"/>
      </c>
      <c r="AS100" s="2928">
        <f t="shared" si="8"/>
      </c>
      <c r="AT100" s="2928">
        <f t="shared" si="8"/>
      </c>
      <c r="AU100" s="2928">
        <f t="shared" si="8"/>
      </c>
      <c r="AV100" s="2928">
        <f t="shared" si="8"/>
      </c>
      <c r="AW100" s="2928">
        <f t="shared" si="8"/>
      </c>
      <c r="AX100" s="2928">
        <f t="shared" si="8"/>
      </c>
      <c r="AY100" s="2928">
        <f t="shared" si="8"/>
      </c>
      <c r="AZ100" s="2928">
        <f t="shared" si="8"/>
      </c>
      <c r="BA100" s="2928">
        <f t="shared" si="8"/>
      </c>
      <c r="BB100" s="2928">
        <f t="shared" si="8"/>
      </c>
      <c r="BC100" s="2928">
        <f t="shared" si="8"/>
      </c>
      <c r="BD100" s="2928">
        <f t="shared" si="8"/>
      </c>
      <c r="BE100" s="2928">
        <f t="shared" si="8"/>
      </c>
      <c r="BF100" s="2928">
        <f t="shared" si="8"/>
      </c>
      <c r="BG100" s="2928">
        <f t="shared" si="8"/>
      </c>
      <c r="BH100" s="2928">
        <f t="shared" si="8"/>
      </c>
      <c r="BI100" s="2928">
        <f t="shared" si="8"/>
      </c>
      <c r="BJ100" s="2928">
        <f t="shared" si="8"/>
      </c>
      <c r="BK100" s="2928">
        <f t="shared" si="8"/>
      </c>
      <c r="BL100" s="2928">
        <f t="shared" si="8"/>
      </c>
      <c r="BM100" s="2928">
        <f t="shared" si="8"/>
      </c>
      <c r="BN100" s="2928">
        <f t="shared" si="8"/>
      </c>
      <c r="BO100" s="2928">
        <f t="shared" si="8"/>
      </c>
      <c r="BP100" s="2928">
        <f t="shared" si="8"/>
      </c>
      <c r="BQ100" s="2928">
        <f t="shared" si="8"/>
      </c>
      <c r="BR100" s="2928">
        <f t="shared" si="8"/>
      </c>
      <c r="BS100" s="2928">
        <f t="shared" si="8"/>
      </c>
      <c r="BT100" s="2928">
        <f t="shared" si="8"/>
      </c>
      <c r="BU100" s="2928">
        <f t="shared" si="8"/>
      </c>
      <c r="BV100" s="2928">
        <f t="shared" si="8"/>
      </c>
      <c r="BW100" s="2928">
        <f t="shared" si="8"/>
      </c>
      <c r="BX100" s="2928">
        <f t="shared" si="8"/>
      </c>
      <c r="BY100" s="2928">
        <f t="shared" si="8"/>
      </c>
      <c r="BZ100" s="2928">
        <f t="shared" si="8"/>
      </c>
      <c r="CA100" s="2928">
        <f t="shared" si="8"/>
      </c>
      <c r="CB100" s="2928">
        <f t="shared" si="8"/>
      </c>
      <c r="CC100" s="2928">
        <f t="shared" si="8"/>
      </c>
      <c r="CD100" s="2928">
        <f t="shared" si="8"/>
      </c>
      <c r="CE100" s="2928">
        <f t="shared" si="8"/>
      </c>
      <c r="CF100" s="2928">
        <f t="shared" si="8"/>
      </c>
      <c r="CG100" s="2928">
        <f t="shared" si="8"/>
      </c>
      <c r="CH100" s="2928">
        <f t="shared" si="8"/>
      </c>
      <c r="CI100" s="2928">
        <f t="shared" si="8"/>
      </c>
      <c r="CJ100" s="2928">
        <f t="shared" si="8"/>
      </c>
      <c r="CK100" s="2928">
        <f t="shared" si="8"/>
      </c>
      <c r="CL100" s="2928">
        <f t="shared" si="8"/>
      </c>
      <c r="CM100" s="2928">
        <f t="shared" si="8"/>
      </c>
      <c r="CN100" s="2928">
        <f t="shared" si="8"/>
      </c>
      <c r="CO100" s="2928">
        <f t="shared" si="8"/>
      </c>
      <c r="CP100" s="2928">
        <f t="shared" si="8"/>
      </c>
      <c r="CQ100" s="2928">
        <f t="shared" si="8"/>
      </c>
      <c r="CR100" s="2928">
        <f t="shared" si="8"/>
      </c>
      <c r="CS100" s="2928">
        <f t="shared" si="8"/>
      </c>
      <c r="CT100" s="2928">
        <f t="shared" si="8"/>
      </c>
      <c r="CU100" s="2928">
        <f t="shared" si="8"/>
      </c>
      <c r="CV100" s="2928">
        <f t="shared" si="8"/>
      </c>
      <c r="CW100" s="2928">
        <f t="shared" si="8"/>
      </c>
      <c r="CX100" s="2928">
        <f t="shared" si="8"/>
      </c>
      <c r="CY100" s="2928">
        <f t="shared" si="8"/>
      </c>
      <c r="CZ100" s="2928">
        <f t="shared" si="8"/>
      </c>
      <c r="DA100" s="2928">
        <f t="shared" si="8"/>
      </c>
      <c r="DB100" s="2928">
        <f t="shared" si="8"/>
      </c>
      <c r="DC100" s="2928">
        <f t="shared" si="8"/>
      </c>
      <c r="DD100" s="2928">
        <f t="shared" si="8"/>
      </c>
      <c r="DE100" s="2928">
        <f t="shared" si="8"/>
      </c>
      <c r="DF100" s="2928">
        <f t="shared" si="8"/>
      </c>
      <c r="DG100" s="2928">
        <f t="shared" si="8"/>
      </c>
      <c r="DH100" s="2928">
        <f t="shared" si="8"/>
      </c>
      <c r="DI100" s="2928">
        <f t="shared" si="8"/>
      </c>
      <c r="DJ100" s="2928">
        <f t="shared" si="8"/>
      </c>
      <c r="DK100" s="2928">
        <f t="shared" si="8"/>
      </c>
      <c r="DL100" s="2928">
        <f t="shared" si="8"/>
      </c>
      <c r="DM100" s="2928">
        <f t="shared" si="8"/>
      </c>
      <c r="DN100" s="2928">
        <f t="shared" si="8"/>
      </c>
      <c r="DO100" s="2928">
        <f t="shared" si="8"/>
      </c>
      <c r="DP100" s="2928">
        <f t="shared" si="8"/>
      </c>
      <c r="DQ100" s="2928">
        <f t="shared" si="8"/>
      </c>
      <c r="DR100" s="2928">
        <f t="shared" si="8"/>
      </c>
      <c r="DS100" s="2928">
        <f t="shared" si="8"/>
      </c>
      <c r="DT100" s="2928">
        <f t="shared" si="8"/>
      </c>
      <c r="DU100" s="2928">
        <f t="shared" si="8"/>
      </c>
      <c r="DV100" s="2928">
        <f t="shared" si="8"/>
      </c>
      <c r="DW100" s="2928">
        <f t="shared" si="8"/>
      </c>
      <c r="DX100" s="2928">
        <f t="shared" si="8"/>
      </c>
      <c r="DY100" s="2928">
        <f t="shared" si="8"/>
      </c>
      <c r="DZ100" s="2928">
        <f t="shared" si="8"/>
      </c>
      <c r="EA100" s="2928">
        <f t="shared" si="8"/>
      </c>
      <c r="EB100" s="2928">
        <f t="shared" si="8"/>
      </c>
      <c r="EC100" s="2928">
        <f t="shared" si="8"/>
      </c>
      <c r="ED100" s="2928">
        <f t="shared" si="8"/>
      </c>
      <c r="EE100" s="2928">
        <f t="shared" si="8"/>
      </c>
      <c r="EF100" s="2928">
        <f t="shared" si="8"/>
      </c>
      <c r="EG100" s="2928">
        <f t="shared" si="8"/>
      </c>
      <c r="EH100" s="2928">
        <f t="shared" si="8"/>
      </c>
      <c r="EI100" s="2928">
        <f t="shared" si="8"/>
      </c>
      <c r="EJ100" s="2928">
        <f t="shared" si="8"/>
      </c>
      <c r="EK100" s="2928">
        <f t="shared" si="8"/>
      </c>
      <c r="EL100" s="2928">
        <f t="shared" si="8"/>
      </c>
      <c r="EM100" s="2928">
        <f t="shared" si="8"/>
      </c>
      <c r="EN100" s="2928">
        <f t="shared" si="8"/>
      </c>
      <c r="EO100" s="2928">
        <f t="shared" si="8"/>
      </c>
      <c r="EP100" s="2928">
        <f t="shared" si="8"/>
      </c>
      <c r="EQ100" s="2928">
        <f t="shared" si="8"/>
      </c>
      <c r="ER100" s="2928">
        <f t="shared" si="8"/>
      </c>
      <c r="ES100" s="2928">
        <f t="shared" si="8"/>
      </c>
      <c r="ET100" s="2928">
        <f t="shared" si="8"/>
      </c>
      <c r="EU100" s="2928">
        <f t="shared" si="8"/>
      </c>
      <c r="EV100" s="2928">
        <f t="shared" si="8"/>
      </c>
      <c r="EW100" s="2928">
        <f t="shared" si="8"/>
      </c>
      <c r="EX100" s="2928">
        <f t="shared" si="8"/>
      </c>
      <c r="EY100" s="2928">
        <f t="shared" si="8"/>
      </c>
      <c r="EZ100" s="2928">
        <f t="shared" si="8"/>
      </c>
      <c r="FA100" s="2929" t="str">
        <f t="shared" si="12"/>
        <v>-</v>
      </c>
      <c r="FB100" s="2825">
        <f t="shared" si="13"/>
      </c>
      <c r="FC100" s="2930" cm="1">
        <f t="array" ref="FC100">_xlfn.LET(_xlpm.unit_type,$G100,_xlpm.market_rent_from_rent_roll,$E100,_xlpm.unit_type_list,RentRoll_InputArea_DesignatedUnitType,_xlpm.rent_by_unit_type,RentRoll_InputArea_MarketRent,_xlpm.use_rent_roll_market_rent,LEFT(RR_VacantUnitMktRentSource,9)="Rent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0" s="2930">
        <f t="shared" si="14"/>
        <v>1171</v>
      </c>
      <c r="FE100" s="2930">
        <f t="shared" si="15"/>
        <v>1171</v>
      </c>
      <c r="FF100" s="2930">
        <f t="shared" si="16"/>
        <v>1171</v>
      </c>
      <c r="FG100" s="2931"/>
      <c r="FH100" s="2932">
        <f t="shared" si="17"/>
      </c>
      <c r="FI100" s="2932">
        <f t="shared" si="18"/>
      </c>
      <c r="FJ100" s="2931"/>
      <c r="FK100" s="2933" cm="1">
        <f t="array" ref="FK100">IF(AND(LEN($D100)&gt;0,ISNA(MATCH(TRUE,EXACT($G100,RentRoll_InputArea_DesignatedUnitType),0))),1,0)</f>
        <v>0</v>
      </c>
      <c r="FL100" s="2931">
        <f t="shared" si="19"/>
        <v>77</v>
      </c>
      <c r="FM100" s="2931"/>
      <c r="FN100" s="2931"/>
      <c r="FO100" s="2931"/>
      <c r="FP100" s="2931"/>
      <c r="FQ100" s="2931"/>
      <c r="FR100" s="2931"/>
      <c r="FS100" s="2931"/>
      <c r="FT100" s="2931"/>
      <c r="FU100" s="2931"/>
      <c r="FV100" s="2931"/>
      <c r="FW100" s="2931"/>
      <c r="FX100" s="2931"/>
      <c r="FY100" s="2931"/>
      <c r="FZ100" s="2931"/>
      <c r="GA100" s="2931"/>
      <c r="GB100" s="2931"/>
      <c r="GC100" s="2931"/>
      <c r="GD100" s="2931"/>
      <c r="GE100" s="2931"/>
      <c r="GF100" s="2931"/>
      <c r="GG100" s="2931"/>
      <c r="GH100" s="2931"/>
      <c r="GI100" s="2931"/>
      <c r="GJ100" s="2931"/>
      <c r="GK100" s="2931"/>
      <c r="GL100" s="2931"/>
      <c r="GM100" s="2931"/>
      <c r="GN100" s="2931"/>
      <c r="GO100" s="2931"/>
      <c r="GP100" s="2931"/>
      <c r="GQ100" s="2931"/>
      <c r="GR100" s="2931"/>
      <c r="GS100" s="2931"/>
      <c r="GT100" s="2931"/>
      <c r="GU100" s="2931"/>
      <c r="GV100" s="2931"/>
      <c r="GW100" s="2931"/>
      <c r="GX100" s="2931"/>
      <c r="GY100" s="2931"/>
      <c r="GZ100" s="2931"/>
      <c r="HA100" s="2931"/>
      <c r="HB100" s="2931"/>
      <c r="HC100" s="2931"/>
      <c r="HD100" s="2931"/>
      <c r="HE100" s="2931"/>
      <c r="HF100" s="2931"/>
      <c r="HG100" s="2931"/>
      <c r="HH100" s="2931"/>
      <c r="HI100" s="2931"/>
      <c r="HJ100" s="2931"/>
      <c r="HK100" s="2931"/>
      <c r="HL100" s="2931"/>
      <c r="HM100" s="2931"/>
      <c r="HN100" s="2931"/>
      <c r="HO100" s="2931"/>
      <c r="HP100" s="2931"/>
      <c r="HQ100" s="2931"/>
      <c r="HR100" s="2931"/>
      <c r="HS100" s="2931"/>
      <c r="HT100" s="2931"/>
      <c r="HU100" s="2931"/>
      <c r="HV100" s="2931"/>
      <c r="HW100" s="2931"/>
      <c r="HX100" s="2931"/>
      <c r="HY100" s="2931"/>
      <c r="HZ100" s="2931"/>
      <c r="IA100" s="2931"/>
      <c r="IB100" s="2931"/>
      <c r="IC100" s="2931"/>
      <c r="ID100" s="2931"/>
      <c r="IE100" s="2931"/>
      <c r="IF100" s="2931"/>
      <c r="IG100" s="2931"/>
      <c r="IH100" s="2931"/>
      <c r="II100" s="2931"/>
      <c r="IJ100" s="2931"/>
      <c r="IK100" s="2931"/>
      <c r="IL100" s="2931"/>
      <c r="IM100" s="2931"/>
      <c r="IN100" s="2931"/>
      <c r="IO100" s="2931" cm="1">
        <f t="array" ref="IO100">IF(LEN($G100)=0,"Rent Roll is incomplete",_xlfn.XLOOKUP(TRUE,EXACT(RentRoll_InputArea_DesignatedUnitType,$G100),RentRoll_InputArea_Beds,"Not Found"))</f>
        <v>0</v>
      </c>
      <c r="IP100" s="2934"/>
      <c r="IQ100" s="2935" t="str">
        <f t="shared" si="20"/>
        <v>0 Bedroom Unit (Efficiency/Studio)</v>
      </c>
      <c r="IR100" s="2926">
        <f t="shared" si="21"/>
        <v>1171</v>
      </c>
      <c r="IS100" s="2935"/>
      <c r="IT100" s="2931"/>
      <c r="IU100" s="2931"/>
      <c r="IV100" s="2931"/>
      <c r="IW100" s="2936" t="str">
        <f t="shared" si="22"/>
        <v>7-702</v>
      </c>
      <c r="IX100" s="2936"/>
      <c r="IY100" s="2936"/>
      <c r="IZ100" s="2936">
        <f t="shared" si="23"/>
        <v>0</v>
      </c>
      <c r="JA100" s="2936">
        <f t="shared" si="24"/>
        <v>1171</v>
      </c>
      <c r="JB100" s="2936"/>
      <c r="JC100" s="2936"/>
      <c r="JD100" s="2936"/>
      <c r="JE100" s="2936"/>
      <c r="JF100" s="2936"/>
      <c r="JG100" s="2936"/>
      <c r="JH100" s="2936">
        <f t="shared" si="25"/>
        <v>1217</v>
      </c>
      <c r="JI100" s="2936"/>
      <c r="JJ100" s="2936">
        <f t="shared" si="26"/>
      </c>
      <c r="JK100" s="2936"/>
      <c r="JL100" s="2936"/>
      <c r="JM100" s="2936"/>
      <c r="JN100" s="2936"/>
      <c r="JO100" s="2936"/>
      <c r="JP100" s="2936"/>
      <c r="JQ100" s="2936" t="str">
        <f t="shared" si="27"/>
        <v>Occupied</v>
      </c>
      <c r="JR100" s="2936" cm="1">
        <f t="array" ref="JR100">_xlfn.XLOOKUP(TRUE,EXACT(RentRoll_InputArea_DesignatedUnitType,$G100),RentRoll_InputArea_SquareFootage,"Not Found")</f>
        <v>800</v>
      </c>
      <c r="JS100" s="2936" t="str">
        <f t="shared" si="28"/>
        <v>Apartment</v>
      </c>
      <c r="JT100" s="2936">
        <f t="shared" si="29"/>
      </c>
      <c r="JU100" s="2936"/>
      <c r="JV100" s="2936"/>
      <c r="JW100" s="2936"/>
      <c r="JX100" s="2936"/>
      <c r="JY100" s="2936">
        <f t="shared" si="9"/>
        <v>43477</v>
      </c>
      <c r="JZ100" s="2936">
        <f t="shared" si="9"/>
        <v>43769</v>
      </c>
      <c r="KA100" s="2936"/>
      <c r="KB100" s="2936"/>
      <c r="KC100" s="2936"/>
      <c r="KD100" s="2936"/>
      <c r="KE100" s="2936"/>
      <c r="KF100" s="2936"/>
      <c r="KG100" s="2936"/>
      <c r="KH100" s="2936"/>
      <c r="KI100" s="2937"/>
      <c r="KJ100" s="2936"/>
      <c r="KK100" s="1353"/>
    </row>
    <row r="101" ht="15" customHeight="1">
      <c r="A101" s="2922">
        <f t="shared" si="10"/>
        <v>78</v>
      </c>
      <c r="B101" s="2865"/>
      <c r="C101" s="2873"/>
      <c r="D101" s="2873" t="s">
        <v>2898</v>
      </c>
      <c r="E101" s="2923">
        <v>1216</v>
      </c>
      <c r="F101" s="2924" t="s">
        <v>2899</v>
      </c>
      <c r="G101" s="2873" t="s">
        <v>2530</v>
      </c>
      <c r="H101" s="2923">
        <v>1170</v>
      </c>
      <c r="I101" s="2925" cm="1">
        <f t="array" ref="I101">_xlfn.LET(_xlpm.has_subsidy,$N101&gt;0,_xlpm.is_chap9_sbl,$FF$20,_xlpm.contract_rent,$H101,_xlpm.unit_type_mkt_rent,_xlfn.XLOOKUP(TRUE,EXACT($G101,RentRoll_InputArea_DesignatedUnitType),RentRoll_InputArea_MarketRent,"Not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1" s="2926">
        <f t="shared" si="11"/>
        <v>1170</v>
      </c>
      <c r="K101" s="2923"/>
      <c r="L101" s="2923"/>
      <c r="M101" s="2923"/>
      <c r="N101" s="2923"/>
      <c r="O101" s="2927">
        <v>43386</v>
      </c>
      <c r="P101" s="2927">
        <v>43677</v>
      </c>
      <c r="Q101" s="2928">
        <f t="shared" si="8"/>
      </c>
      <c r="R101" s="2928">
        <f t="shared" si="8"/>
        <v>1170</v>
      </c>
      <c r="S101" s="2928">
        <f t="shared" si="8"/>
      </c>
      <c r="T101" s="2928">
        <f t="shared" si="8"/>
      </c>
      <c r="U101" s="2928">
        <f t="shared" si="8"/>
      </c>
      <c r="V101" s="2928">
        <f t="shared" si="8"/>
      </c>
      <c r="W101" s="2928">
        <f t="shared" si="8"/>
      </c>
      <c r="X101" s="2928">
        <f t="shared" si="8"/>
      </c>
      <c r="Y101" s="2928">
        <f t="shared" si="8"/>
      </c>
      <c r="Z101" s="2928">
        <f t="shared" si="8"/>
      </c>
      <c r="AA101" s="2928">
        <f t="shared" si="8"/>
      </c>
      <c r="AB101" s="2928">
        <f t="shared" si="8"/>
      </c>
      <c r="AC101" s="2928">
        <f t="shared" si="8"/>
      </c>
      <c r="AD101" s="2928">
        <f t="shared" si="8"/>
      </c>
      <c r="AE101" s="2928">
        <f t="shared" si="8"/>
      </c>
      <c r="AF101" s="2928">
        <f t="shared" si="8"/>
      </c>
      <c r="AG101" s="2928">
        <f t="shared" si="8"/>
      </c>
      <c r="AH101" s="2928">
        <f t="shared" si="8"/>
      </c>
      <c r="AI101" s="2928">
        <f t="shared" si="8"/>
      </c>
      <c r="AJ101" s="2928">
        <f t="shared" si="8"/>
      </c>
      <c r="AK101" s="2928">
        <f t="shared" si="8"/>
      </c>
      <c r="AL101" s="2928">
        <f t="shared" si="8"/>
      </c>
      <c r="AM101" s="2928">
        <f t="shared" si="8"/>
      </c>
      <c r="AN101" s="2928">
        <f t="shared" si="8"/>
      </c>
      <c r="AO101" s="2928">
        <f t="shared" si="8"/>
      </c>
      <c r="AP101" s="2928">
        <f t="shared" si="8"/>
      </c>
      <c r="AQ101" s="2928">
        <f t="shared" si="8"/>
      </c>
      <c r="AR101" s="2928">
        <f t="shared" si="8"/>
      </c>
      <c r="AS101" s="2928">
        <f t="shared" si="8"/>
      </c>
      <c r="AT101" s="2928">
        <f t="shared" si="8"/>
      </c>
      <c r="AU101" s="2928">
        <f t="shared" si="8"/>
      </c>
      <c r="AV101" s="2928">
        <f t="shared" si="8"/>
      </c>
      <c r="AW101" s="2928">
        <f t="shared" si="8"/>
      </c>
      <c r="AX101" s="2928">
        <f t="shared" si="8"/>
      </c>
      <c r="AY101" s="2928">
        <f t="shared" si="8"/>
      </c>
      <c r="AZ101" s="2928">
        <f t="shared" si="8"/>
      </c>
      <c r="BA101" s="2928">
        <f t="shared" si="8"/>
      </c>
      <c r="BB101" s="2928">
        <f t="shared" si="8"/>
      </c>
      <c r="BC101" s="2928">
        <f t="shared" si="8"/>
      </c>
      <c r="BD101" s="2928">
        <f t="shared" si="8"/>
      </c>
      <c r="BE101" s="2928">
        <f t="shared" si="8"/>
      </c>
      <c r="BF101" s="2928">
        <f t="shared" si="8"/>
      </c>
      <c r="BG101" s="2928">
        <f t="shared" si="8"/>
      </c>
      <c r="BH101" s="2928">
        <f t="shared" si="8"/>
      </c>
      <c r="BI101" s="2928">
        <f t="shared" si="8"/>
      </c>
      <c r="BJ101" s="2928">
        <f t="shared" si="8"/>
      </c>
      <c r="BK101" s="2928">
        <f t="shared" si="8"/>
      </c>
      <c r="BL101" s="2928">
        <f t="shared" si="8"/>
      </c>
      <c r="BM101" s="2928">
        <f t="shared" si="8"/>
      </c>
      <c r="BN101" s="2928">
        <f t="shared" si="8"/>
      </c>
      <c r="BO101" s="2928">
        <f t="shared" si="8"/>
      </c>
      <c r="BP101" s="2928">
        <f t="shared" si="8"/>
      </c>
      <c r="BQ101" s="2928">
        <f t="shared" si="8"/>
      </c>
      <c r="BR101" s="2928">
        <f t="shared" si="8"/>
      </c>
      <c r="BS101" s="2928">
        <f t="shared" si="8"/>
      </c>
      <c r="BT101" s="2928">
        <f t="shared" si="8"/>
      </c>
      <c r="BU101" s="2928">
        <f t="shared" si="8"/>
      </c>
      <c r="BV101" s="2928">
        <f t="shared" si="8"/>
      </c>
      <c r="BW101" s="2928">
        <f t="shared" si="8"/>
      </c>
      <c r="BX101" s="2928">
        <f t="shared" si="8"/>
      </c>
      <c r="BY101" s="2928">
        <f t="shared" si="8"/>
      </c>
      <c r="BZ101" s="2928">
        <f t="shared" si="8"/>
      </c>
      <c r="CA101" s="2928">
        <f t="shared" si="8"/>
      </c>
      <c r="CB101" s="2928">
        <f t="shared" si="8"/>
      </c>
      <c r="CC101" s="2928">
        <f t="shared" si="8"/>
      </c>
      <c r="CD101" s="2928">
        <f t="shared" si="8"/>
      </c>
      <c r="CE101" s="2928">
        <f t="shared" si="8"/>
      </c>
      <c r="CF101" s="2928">
        <f t="shared" si="8"/>
      </c>
      <c r="CG101" s="2928">
        <f t="shared" si="8"/>
      </c>
      <c r="CH101" s="2928">
        <f t="shared" si="8"/>
      </c>
      <c r="CI101" s="2928">
        <f t="shared" si="8"/>
      </c>
      <c r="CJ101" s="2928">
        <f t="shared" si="8"/>
      </c>
      <c r="CK101" s="2928">
        <f t="shared" si="8"/>
      </c>
      <c r="CL101" s="2928">
        <f t="shared" si="8"/>
      </c>
      <c r="CM101" s="2928">
        <f t="shared" si="8"/>
      </c>
      <c r="CN101" s="2928">
        <f t="shared" si="8"/>
      </c>
      <c r="CO101" s="2928">
        <f t="shared" si="8"/>
      </c>
      <c r="CP101" s="2928">
        <f t="shared" si="8"/>
      </c>
      <c r="CQ101" s="2928">
        <f t="shared" si="8"/>
      </c>
      <c r="CR101" s="2928">
        <f t="shared" si="8"/>
      </c>
      <c r="CS101" s="2928">
        <f t="shared" si="8"/>
      </c>
      <c r="CT101" s="2928">
        <f t="shared" si="8"/>
      </c>
      <c r="CU101" s="2928">
        <f t="shared" si="8"/>
      </c>
      <c r="CV101" s="2928">
        <f t="shared" si="8"/>
      </c>
      <c r="CW101" s="2928">
        <f t="shared" si="8"/>
      </c>
      <c r="CX101" s="2928">
        <f t="shared" si="8"/>
      </c>
      <c r="CY101" s="2928">
        <f t="shared" si="8"/>
      </c>
      <c r="CZ101" s="2928">
        <f t="shared" si="8"/>
      </c>
      <c r="DA101" s="2928">
        <f t="shared" si="8"/>
      </c>
      <c r="DB101" s="2928">
        <f t="shared" si="8"/>
      </c>
      <c r="DC101" s="2928">
        <f t="shared" si="8"/>
      </c>
      <c r="DD101" s="2928">
        <f t="shared" si="8"/>
      </c>
      <c r="DE101" s="2928">
        <f t="shared" si="8"/>
      </c>
      <c r="DF101" s="2928">
        <f t="shared" si="8"/>
      </c>
      <c r="DG101" s="2928">
        <f t="shared" si="8"/>
      </c>
      <c r="DH101" s="2928">
        <f t="shared" si="8"/>
      </c>
      <c r="DI101" s="2928">
        <f t="shared" si="8"/>
      </c>
      <c r="DJ101" s="2928">
        <f t="shared" si="8"/>
      </c>
      <c r="DK101" s="2928">
        <f t="shared" si="8"/>
      </c>
      <c r="DL101" s="2928">
        <f t="shared" si="8"/>
      </c>
      <c r="DM101" s="2928">
        <f t="shared" si="8"/>
      </c>
      <c r="DN101" s="2928">
        <f t="shared" si="8"/>
      </c>
      <c r="DO101" s="2928">
        <f t="shared" si="8"/>
      </c>
      <c r="DP101" s="2928">
        <f t="shared" si="8"/>
      </c>
      <c r="DQ101" s="2928">
        <f t="shared" si="8"/>
      </c>
      <c r="DR101" s="2928">
        <f t="shared" si="8"/>
      </c>
      <c r="DS101" s="2928">
        <f t="shared" si="8"/>
      </c>
      <c r="DT101" s="2928">
        <f t="shared" si="8"/>
      </c>
      <c r="DU101" s="2928">
        <f t="shared" si="8"/>
      </c>
      <c r="DV101" s="2928">
        <f t="shared" si="8"/>
      </c>
      <c r="DW101" s="2928">
        <f t="shared" si="8"/>
      </c>
      <c r="DX101" s="2928">
        <f t="shared" si="8"/>
      </c>
      <c r="DY101" s="2928">
        <f t="shared" si="8"/>
      </c>
      <c r="DZ101" s="2928">
        <f t="shared" si="8"/>
      </c>
      <c r="EA101" s="2928">
        <f t="shared" si="8"/>
      </c>
      <c r="EB101" s="2928">
        <f t="shared" si="8"/>
      </c>
      <c r="EC101" s="2928">
        <f t="shared" si="8"/>
      </c>
      <c r="ED101" s="2928">
        <f t="shared" si="8"/>
      </c>
      <c r="EE101" s="2928">
        <f t="shared" si="8"/>
      </c>
      <c r="EF101" s="2928">
        <f t="shared" si="8"/>
      </c>
      <c r="EG101" s="2928">
        <f t="shared" si="8"/>
      </c>
      <c r="EH101" s="2928">
        <f t="shared" si="8"/>
      </c>
      <c r="EI101" s="2928">
        <f t="shared" si="8"/>
      </c>
      <c r="EJ101" s="2928">
        <f t="shared" si="8"/>
      </c>
      <c r="EK101" s="2928">
        <f t="shared" si="8"/>
      </c>
      <c r="EL101" s="2928">
        <f t="shared" si="8"/>
      </c>
      <c r="EM101" s="2928">
        <f t="shared" si="8"/>
      </c>
      <c r="EN101" s="2928">
        <f t="shared" si="8"/>
      </c>
      <c r="EO101" s="2928">
        <f t="shared" si="8"/>
      </c>
      <c r="EP101" s="2928">
        <f t="shared" si="8"/>
      </c>
      <c r="EQ101" s="2928">
        <f t="shared" si="8"/>
      </c>
      <c r="ER101" s="2928">
        <f t="shared" si="8"/>
      </c>
      <c r="ES101" s="2928">
        <f t="shared" si="8"/>
      </c>
      <c r="ET101" s="2928">
        <f t="shared" si="8"/>
      </c>
      <c r="EU101" s="2928">
        <f t="shared" si="8"/>
      </c>
      <c r="EV101" s="2928">
        <f t="shared" si="8"/>
      </c>
      <c r="EW101" s="2928">
        <f t="shared" si="8"/>
      </c>
      <c r="EX101" s="2928">
        <f t="shared" si="8"/>
      </c>
      <c r="EY101" s="2928">
        <f t="shared" si="8"/>
      </c>
      <c r="EZ101" s="2928">
        <f t="shared" si="8"/>
      </c>
      <c r="FA101" s="2929" t="str">
        <f t="shared" si="12"/>
        <v>-</v>
      </c>
      <c r="FB101" s="2825">
        <f t="shared" si="13"/>
      </c>
      <c r="FC101" s="2930" cm="1">
        <f t="array" ref="FC101">_xlfn.LET(_xlpm.unit_type,$G101,_xlpm.market_rent_from_rent_roll,$E101,_xlpm.unit_type_list,RentRoll_InputArea_DesignatedUnitType,_xlpm.rent_by_unit_type,RentRoll_InputArea_MarketRent,_xlpm.use_rent_roll_market_rent,LEFT(RR_VacantUnitMktRentSource,9)="Rent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1" s="2930">
        <f t="shared" si="14"/>
        <v>1170</v>
      </c>
      <c r="FE101" s="2930">
        <f t="shared" si="15"/>
        <v>1170</v>
      </c>
      <c r="FF101" s="2930">
        <f t="shared" si="16"/>
        <v>1170</v>
      </c>
      <c r="FG101" s="2931"/>
      <c r="FH101" s="2932">
        <f t="shared" si="17"/>
      </c>
      <c r="FI101" s="2932">
        <f t="shared" si="18"/>
      </c>
      <c r="FJ101" s="2931"/>
      <c r="FK101" s="2933" cm="1">
        <f t="array" ref="FK101">IF(AND(LEN($D101)&gt;0,ISNA(MATCH(TRUE,EXACT($G101,RentRoll_InputArea_DesignatedUnitType),0))),1,0)</f>
        <v>0</v>
      </c>
      <c r="FL101" s="2931">
        <f t="shared" si="19"/>
        <v>78</v>
      </c>
      <c r="FM101" s="2931"/>
      <c r="FN101" s="2931"/>
      <c r="FO101" s="2931"/>
      <c r="FP101" s="2931"/>
      <c r="FQ101" s="2931"/>
      <c r="FR101" s="2931"/>
      <c r="FS101" s="2931"/>
      <c r="FT101" s="2931"/>
      <c r="FU101" s="2931"/>
      <c r="FV101" s="2931"/>
      <c r="FW101" s="2931"/>
      <c r="FX101" s="2931"/>
      <c r="FY101" s="2931"/>
      <c r="FZ101" s="2931"/>
      <c r="GA101" s="2931"/>
      <c r="GB101" s="2931"/>
      <c r="GC101" s="2931"/>
      <c r="GD101" s="2931"/>
      <c r="GE101" s="2931"/>
      <c r="GF101" s="2931"/>
      <c r="GG101" s="2931"/>
      <c r="GH101" s="2931"/>
      <c r="GI101" s="2931"/>
      <c r="GJ101" s="2931"/>
      <c r="GK101" s="2931"/>
      <c r="GL101" s="2931"/>
      <c r="GM101" s="2931"/>
      <c r="GN101" s="2931"/>
      <c r="GO101" s="2931"/>
      <c r="GP101" s="2931"/>
      <c r="GQ101" s="2931"/>
      <c r="GR101" s="2931"/>
      <c r="GS101" s="2931"/>
      <c r="GT101" s="2931"/>
      <c r="GU101" s="2931"/>
      <c r="GV101" s="2931"/>
      <c r="GW101" s="2931"/>
      <c r="GX101" s="2931"/>
      <c r="GY101" s="2931"/>
      <c r="GZ101" s="2931"/>
      <c r="HA101" s="2931"/>
      <c r="HB101" s="2931"/>
      <c r="HC101" s="2931"/>
      <c r="HD101" s="2931"/>
      <c r="HE101" s="2931"/>
      <c r="HF101" s="2931"/>
      <c r="HG101" s="2931"/>
      <c r="HH101" s="2931"/>
      <c r="HI101" s="2931"/>
      <c r="HJ101" s="2931"/>
      <c r="HK101" s="2931"/>
      <c r="HL101" s="2931"/>
      <c r="HM101" s="2931"/>
      <c r="HN101" s="2931"/>
      <c r="HO101" s="2931"/>
      <c r="HP101" s="2931"/>
      <c r="HQ101" s="2931"/>
      <c r="HR101" s="2931"/>
      <c r="HS101" s="2931"/>
      <c r="HT101" s="2931"/>
      <c r="HU101" s="2931"/>
      <c r="HV101" s="2931"/>
      <c r="HW101" s="2931"/>
      <c r="HX101" s="2931"/>
      <c r="HY101" s="2931"/>
      <c r="HZ101" s="2931"/>
      <c r="IA101" s="2931"/>
      <c r="IB101" s="2931"/>
      <c r="IC101" s="2931"/>
      <c r="ID101" s="2931"/>
      <c r="IE101" s="2931"/>
      <c r="IF101" s="2931"/>
      <c r="IG101" s="2931"/>
      <c r="IH101" s="2931"/>
      <c r="II101" s="2931"/>
      <c r="IJ101" s="2931"/>
      <c r="IK101" s="2931"/>
      <c r="IL101" s="2931"/>
      <c r="IM101" s="2931"/>
      <c r="IN101" s="2931"/>
      <c r="IO101" s="2931" cm="1">
        <f t="array" ref="IO101">IF(LEN($G101)=0,"Rent Roll is incomplete",_xlfn.XLOOKUP(TRUE,EXACT(RentRoll_InputArea_DesignatedUnitType,$G101),RentRoll_InputArea_Beds,"Not Found"))</f>
        <v>0</v>
      </c>
      <c r="IP101" s="2934"/>
      <c r="IQ101" s="2935" t="str">
        <f t="shared" si="20"/>
        <v>0 Bedroom Unit (Efficiency/Studio)</v>
      </c>
      <c r="IR101" s="2926">
        <f t="shared" si="21"/>
        <v>1170</v>
      </c>
      <c r="IS101" s="2935"/>
      <c r="IT101" s="2931"/>
      <c r="IU101" s="2931"/>
      <c r="IV101" s="2931"/>
      <c r="IW101" s="2936" t="str">
        <f t="shared" si="22"/>
        <v>7-703</v>
      </c>
      <c r="IX101" s="2936"/>
      <c r="IY101" s="2936"/>
      <c r="IZ101" s="2936">
        <f t="shared" si="23"/>
        <v>0</v>
      </c>
      <c r="JA101" s="2936">
        <f t="shared" si="24"/>
        <v>1170</v>
      </c>
      <c r="JB101" s="2936"/>
      <c r="JC101" s="2936"/>
      <c r="JD101" s="2936"/>
      <c r="JE101" s="2936"/>
      <c r="JF101" s="2936"/>
      <c r="JG101" s="2936"/>
      <c r="JH101" s="2936">
        <f t="shared" si="25"/>
        <v>1217</v>
      </c>
      <c r="JI101" s="2936"/>
      <c r="JJ101" s="2936">
        <f t="shared" si="26"/>
      </c>
      <c r="JK101" s="2936"/>
      <c r="JL101" s="2936"/>
      <c r="JM101" s="2936"/>
      <c r="JN101" s="2936"/>
      <c r="JO101" s="2936"/>
      <c r="JP101" s="2936"/>
      <c r="JQ101" s="2936" t="str">
        <f t="shared" si="27"/>
        <v>Occupied</v>
      </c>
      <c r="JR101" s="2936" cm="1">
        <f t="array" ref="JR101">_xlfn.XLOOKUP(TRUE,EXACT(RentRoll_InputArea_DesignatedUnitType,$G101),RentRoll_InputArea_SquareFootage,"Not Found")</f>
        <v>800</v>
      </c>
      <c r="JS101" s="2936" t="str">
        <f t="shared" si="28"/>
        <v>Apartment</v>
      </c>
      <c r="JT101" s="2936">
        <f t="shared" si="29"/>
      </c>
      <c r="JU101" s="2936"/>
      <c r="JV101" s="2936"/>
      <c r="JW101" s="2936"/>
      <c r="JX101" s="2936"/>
      <c r="JY101" s="2936">
        <f t="shared" si="9"/>
        <v>43386</v>
      </c>
      <c r="JZ101" s="2936">
        <f t="shared" si="9"/>
        <v>43677</v>
      </c>
      <c r="KA101" s="2936"/>
      <c r="KB101" s="2936"/>
      <c r="KC101" s="2936"/>
      <c r="KD101" s="2936"/>
      <c r="KE101" s="2936"/>
      <c r="KF101" s="2936"/>
      <c r="KG101" s="2936"/>
      <c r="KH101" s="2936"/>
      <c r="KI101" s="2937"/>
      <c r="KJ101" s="2936"/>
      <c r="KK101" s="1353"/>
    </row>
    <row r="102" ht="15" customHeight="1">
      <c r="A102" s="2922">
        <f t="shared" si="10"/>
        <v>79</v>
      </c>
      <c r="B102" s="2865"/>
      <c r="C102" s="2873"/>
      <c r="D102" s="2873" t="s">
        <v>2900</v>
      </c>
      <c r="E102" s="2923">
        <v>1479</v>
      </c>
      <c r="F102" s="2924" t="s">
        <v>2901</v>
      </c>
      <c r="G102" s="2873" t="s">
        <v>2532</v>
      </c>
      <c r="H102" s="2923">
        <v>1525</v>
      </c>
      <c r="I102" s="2925" cm="1">
        <f t="array" ref="I102">_xlfn.LET(_xlpm.has_subsidy,$N102&gt;0,_xlpm.is_chap9_sbl,$FF$20,_xlpm.contract_rent,$H102,_xlpm.unit_type_mkt_rent,_xlfn.XLOOKUP(TRUE,EXACT($G102,RentRoll_InputArea_DesignatedUnitType),RentRoll_InputArea_MarketRent,"Not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2" s="2926">
        <f t="shared" si="11"/>
        <v>1525</v>
      </c>
      <c r="K102" s="2923"/>
      <c r="L102" s="2923"/>
      <c r="M102" s="2923"/>
      <c r="N102" s="2923"/>
      <c r="O102" s="2927">
        <v>43577</v>
      </c>
      <c r="P102" s="2927">
        <v>43951</v>
      </c>
      <c r="Q102" s="2928">
        <f t="shared" si="8"/>
      </c>
      <c r="R102" s="2928">
        <f t="shared" si="8"/>
      </c>
      <c r="S102" s="2928">
        <f t="shared" si="8"/>
      </c>
      <c r="T102" s="2928">
        <f t="shared" si="8"/>
        <v>1525</v>
      </c>
      <c r="U102" s="2928">
        <f t="shared" si="8"/>
      </c>
      <c r="V102" s="2928">
        <f t="shared" si="8"/>
      </c>
      <c r="W102" s="2928">
        <f t="shared" si="8"/>
      </c>
      <c r="X102" s="2928">
        <f t="shared" si="8"/>
      </c>
      <c r="Y102" s="2928">
        <f t="shared" si="8"/>
      </c>
      <c r="Z102" s="2928">
        <f t="shared" si="8"/>
      </c>
      <c r="AA102" s="2928">
        <f t="shared" si="8"/>
      </c>
      <c r="AB102" s="2928">
        <f t="shared" si="8"/>
      </c>
      <c r="AC102" s="2928">
        <f t="shared" si="8"/>
      </c>
      <c r="AD102" s="2928">
        <f t="shared" si="8"/>
      </c>
      <c r="AE102" s="2928">
        <f t="shared" si="8"/>
      </c>
      <c r="AF102" s="2928">
        <f t="shared" si="8"/>
      </c>
      <c r="AG102" s="2928">
        <f t="shared" si="8"/>
      </c>
      <c r="AH102" s="2928">
        <f t="shared" si="8"/>
      </c>
      <c r="AI102" s="2928">
        <f t="shared" si="8"/>
      </c>
      <c r="AJ102" s="2928">
        <f t="shared" si="8"/>
      </c>
      <c r="AK102" s="2928">
        <f t="shared" si="8"/>
      </c>
      <c r="AL102" s="2928">
        <f t="shared" si="8"/>
      </c>
      <c r="AM102" s="2928">
        <f t="shared" si="8"/>
      </c>
      <c r="AN102" s="2928">
        <f t="shared" si="8"/>
      </c>
      <c r="AO102" s="2928">
        <f t="shared" si="8"/>
      </c>
      <c r="AP102" s="2928">
        <f t="shared" si="8"/>
      </c>
      <c r="AQ102" s="2928">
        <f t="shared" si="8"/>
      </c>
      <c r="AR102" s="2928">
        <f t="shared" si="8"/>
      </c>
      <c r="AS102" s="2928">
        <f t="shared" si="8"/>
      </c>
      <c r="AT102" s="2928">
        <f t="shared" si="8"/>
      </c>
      <c r="AU102" s="2928">
        <f t="shared" si="8"/>
      </c>
      <c r="AV102" s="2928">
        <f t="shared" si="8"/>
      </c>
      <c r="AW102" s="2928">
        <f t="shared" si="8"/>
      </c>
      <c r="AX102" s="2928">
        <f t="shared" si="8"/>
      </c>
      <c r="AY102" s="2928">
        <f t="shared" si="8"/>
      </c>
      <c r="AZ102" s="2928">
        <f t="shared" si="8"/>
      </c>
      <c r="BA102" s="2928">
        <f t="shared" si="8"/>
      </c>
      <c r="BB102" s="2928">
        <f t="shared" si="8"/>
      </c>
      <c r="BC102" s="2928">
        <f t="shared" si="8"/>
      </c>
      <c r="BD102" s="2928">
        <f t="shared" si="8"/>
      </c>
      <c r="BE102" s="2928">
        <f t="shared" si="8"/>
      </c>
      <c r="BF102" s="2928">
        <f t="shared" si="8"/>
      </c>
      <c r="BG102" s="2928">
        <f t="shared" si="8"/>
      </c>
      <c r="BH102" s="2928">
        <f t="shared" si="8"/>
      </c>
      <c r="BI102" s="2928">
        <f t="shared" si="8"/>
      </c>
      <c r="BJ102" s="2928">
        <f t="shared" si="8"/>
      </c>
      <c r="BK102" s="2928">
        <f t="shared" si="8"/>
      </c>
      <c r="BL102" s="2928">
        <f t="shared" si="8"/>
      </c>
      <c r="BM102" s="2928">
        <f t="shared" si="8"/>
      </c>
      <c r="BN102" s="2928">
        <f t="shared" si="8"/>
      </c>
      <c r="BO102" s="2928">
        <f t="shared" si="8"/>
      </c>
      <c r="BP102" s="2928">
        <f t="shared" si="8"/>
      </c>
      <c r="BQ102" s="2928">
        <f t="shared" si="8"/>
      </c>
      <c r="BR102" s="2928">
        <f t="shared" si="8"/>
      </c>
      <c r="BS102" s="2928">
        <f t="shared" si="8"/>
      </c>
      <c r="BT102" s="2928">
        <f t="shared" si="8"/>
      </c>
      <c r="BU102" s="2928">
        <f t="shared" si="8"/>
      </c>
      <c r="BV102" s="2928">
        <f t="shared" si="8"/>
      </c>
      <c r="BW102" s="2928">
        <f t="shared" si="8"/>
      </c>
      <c r="BX102" s="2928">
        <f t="shared" si="8"/>
      </c>
      <c r="BY102" s="2928">
        <f t="shared" si="8"/>
      </c>
      <c r="BZ102" s="2928">
        <f t="shared" si="8"/>
      </c>
      <c r="CA102" s="2928">
        <f t="shared" si="8"/>
      </c>
      <c r="CB102" s="2928">
        <f t="shared" si="8"/>
      </c>
      <c r="CC102" s="2928">
        <f t="shared" si="8"/>
      </c>
      <c r="CD102" s="2928">
        <f t="shared" si="8"/>
      </c>
      <c r="CE102" s="2928">
        <f t="shared" si="8"/>
      </c>
      <c r="CF102" s="2928">
        <f t="shared" si="8"/>
      </c>
      <c r="CG102" s="2928">
        <f t="shared" si="8"/>
      </c>
      <c r="CH102" s="2928">
        <f t="shared" si="8"/>
      </c>
      <c r="CI102" s="2928">
        <f t="shared" si="8"/>
      </c>
      <c r="CJ102" s="2928">
        <f t="shared" si="8"/>
      </c>
      <c r="CK102" s="2928">
        <f t="shared" si="8"/>
      </c>
      <c r="CL102" s="2928">
        <f t="shared" si="8"/>
      </c>
      <c r="CM102" s="2928">
        <f t="shared" si="8"/>
      </c>
      <c r="CN102" s="2928">
        <f t="shared" si="8"/>
      </c>
      <c r="CO102" s="2928">
        <f t="shared" si="8"/>
      </c>
      <c r="CP102" s="2928">
        <f t="shared" si="8"/>
      </c>
      <c r="CQ102" s="2928">
        <f t="shared" si="8"/>
      </c>
      <c r="CR102" s="2928">
        <f t="shared" si="8"/>
      </c>
      <c r="CS102" s="2928">
        <f t="shared" si="8"/>
      </c>
      <c r="CT102" s="2928">
        <f t="shared" si="8"/>
      </c>
      <c r="CU102" s="2928">
        <f t="shared" si="8"/>
      </c>
      <c r="CV102" s="2928">
        <f t="shared" si="8"/>
      </c>
      <c r="CW102" s="2928">
        <f t="shared" si="8"/>
      </c>
      <c r="CX102" s="2928">
        <f t="shared" si="8"/>
      </c>
      <c r="CY102" s="2928">
        <f t="shared" si="8"/>
      </c>
      <c r="CZ102" s="2928">
        <f t="shared" si="8"/>
      </c>
      <c r="DA102" s="2928">
        <f t="shared" si="8"/>
      </c>
      <c r="DB102" s="2928">
        <f t="shared" si="8"/>
      </c>
      <c r="DC102" s="2928">
        <f t="shared" si="8"/>
      </c>
      <c r="DD102" s="2928">
        <f t="shared" si="8"/>
      </c>
      <c r="DE102" s="2928">
        <f t="shared" si="8"/>
      </c>
      <c r="DF102" s="2928">
        <f t="shared" si="8"/>
      </c>
      <c r="DG102" s="2928">
        <f t="shared" si="8"/>
      </c>
      <c r="DH102" s="2928">
        <f t="shared" si="8"/>
      </c>
      <c r="DI102" s="2928">
        <f t="shared" si="8"/>
      </c>
      <c r="DJ102" s="2928">
        <f t="shared" si="8"/>
      </c>
      <c r="DK102" s="2928">
        <f t="shared" si="8"/>
      </c>
      <c r="DL102" s="2928">
        <f t="shared" si="8"/>
      </c>
      <c r="DM102" s="2928">
        <f t="shared" si="8"/>
      </c>
      <c r="DN102" s="2928">
        <f t="shared" si="8"/>
      </c>
      <c r="DO102" s="2928">
        <f t="shared" si="8"/>
      </c>
      <c r="DP102" s="2928">
        <f t="shared" si="8"/>
      </c>
      <c r="DQ102" s="2928">
        <f t="shared" si="8"/>
      </c>
      <c r="DR102" s="2928">
        <f t="shared" si="8"/>
      </c>
      <c r="DS102" s="2928">
        <f t="shared" si="8"/>
      </c>
      <c r="DT102" s="2928">
        <f t="shared" si="8"/>
      </c>
      <c r="DU102" s="2928">
        <f t="shared" si="8"/>
      </c>
      <c r="DV102" s="2928">
        <f t="shared" si="8"/>
      </c>
      <c r="DW102" s="2928">
        <f t="shared" si="8"/>
      </c>
      <c r="DX102" s="2928">
        <f t="shared" si="8"/>
      </c>
      <c r="DY102" s="2928">
        <f t="shared" si="8"/>
      </c>
      <c r="DZ102" s="2928">
        <f t="shared" si="8"/>
      </c>
      <c r="EA102" s="2928">
        <f t="shared" si="8"/>
      </c>
      <c r="EB102" s="2928">
        <f t="shared" si="8"/>
      </c>
      <c r="EC102" s="2928">
        <f t="shared" si="8"/>
      </c>
      <c r="ED102" s="2928">
        <f t="shared" si="8"/>
      </c>
      <c r="EE102" s="2928">
        <f t="shared" si="8"/>
      </c>
      <c r="EF102" s="2928">
        <f t="shared" si="8"/>
      </c>
      <c r="EG102" s="2928">
        <f t="shared" si="8"/>
      </c>
      <c r="EH102" s="2928">
        <f t="shared" si="8"/>
      </c>
      <c r="EI102" s="2928">
        <f t="shared" si="8"/>
      </c>
      <c r="EJ102" s="2928">
        <f t="shared" si="8"/>
      </c>
      <c r="EK102" s="2928">
        <f t="shared" si="8"/>
      </c>
      <c r="EL102" s="2928">
        <f t="shared" si="8"/>
      </c>
      <c r="EM102" s="2928">
        <f t="shared" si="8"/>
      </c>
      <c r="EN102" s="2928">
        <f t="shared" si="8"/>
      </c>
      <c r="EO102" s="2928">
        <f t="shared" si="8"/>
      </c>
      <c r="EP102" s="2928">
        <f t="shared" si="8"/>
      </c>
      <c r="EQ102" s="2928">
        <f t="shared" si="8"/>
      </c>
      <c r="ER102" s="2928">
        <f t="shared" si="8"/>
      </c>
      <c r="ES102" s="2928">
        <f t="shared" si="8"/>
      </c>
      <c r="ET102" s="2928">
        <f t="shared" si="8"/>
      </c>
      <c r="EU102" s="2928">
        <f t="shared" si="8"/>
      </c>
      <c r="EV102" s="2928">
        <f t="shared" si="8"/>
      </c>
      <c r="EW102" s="2928">
        <f t="shared" si="8"/>
      </c>
      <c r="EX102" s="2928">
        <f t="shared" si="8"/>
      </c>
      <c r="EY102" s="2928">
        <f t="shared" si="8"/>
      </c>
      <c r="EZ102" s="2928">
        <f t="shared" si="8"/>
      </c>
      <c r="FA102" s="2929" t="str">
        <f t="shared" si="12"/>
        <v>-</v>
      </c>
      <c r="FB102" s="2825">
        <f t="shared" si="13"/>
      </c>
      <c r="FC102" s="2930" cm="1">
        <f t="array" ref="FC102">_xlfn.LET(_xlpm.unit_type,$G102,_xlpm.market_rent_from_rent_roll,$E102,_xlpm.unit_type_list,RentRoll_InputArea_DesignatedUnitType,_xlpm.rent_by_unit_type,RentRoll_InputArea_MarketRent,_xlpm.use_rent_roll_market_rent,LEFT(RR_VacantUnitMktRentSource,9)="Rent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02" s="2930">
        <f t="shared" si="14"/>
        <v>1525</v>
      </c>
      <c r="FE102" s="2930">
        <f t="shared" si="15"/>
        <v>1525</v>
      </c>
      <c r="FF102" s="2930">
        <f t="shared" si="16"/>
        <v>1525</v>
      </c>
      <c r="FG102" s="2931"/>
      <c r="FH102" s="2932">
        <f t="shared" si="17"/>
      </c>
      <c r="FI102" s="2932">
        <f t="shared" si="18"/>
      </c>
      <c r="FJ102" s="2931"/>
      <c r="FK102" s="2933" cm="1">
        <f t="array" ref="FK102">IF(AND(LEN($D102)&gt;0,ISNA(MATCH(TRUE,EXACT($G102,RentRoll_InputArea_DesignatedUnitType),0))),1,0)</f>
        <v>0</v>
      </c>
      <c r="FL102" s="2931">
        <f t="shared" si="19"/>
        <v>79</v>
      </c>
      <c r="FM102" s="2931"/>
      <c r="FN102" s="2931"/>
      <c r="FO102" s="2931"/>
      <c r="FP102" s="2931"/>
      <c r="FQ102" s="2931"/>
      <c r="FR102" s="2931"/>
      <c r="FS102" s="2931"/>
      <c r="FT102" s="2931"/>
      <c r="FU102" s="2931"/>
      <c r="FV102" s="2931"/>
      <c r="FW102" s="2931"/>
      <c r="FX102" s="2931"/>
      <c r="FY102" s="2931"/>
      <c r="FZ102" s="2931"/>
      <c r="GA102" s="2931"/>
      <c r="GB102" s="2931"/>
      <c r="GC102" s="2931"/>
      <c r="GD102" s="2931"/>
      <c r="GE102" s="2931"/>
      <c r="GF102" s="2931"/>
      <c r="GG102" s="2931"/>
      <c r="GH102" s="2931"/>
      <c r="GI102" s="2931"/>
      <c r="GJ102" s="2931"/>
      <c r="GK102" s="2931"/>
      <c r="GL102" s="2931"/>
      <c r="GM102" s="2931"/>
      <c r="GN102" s="2931"/>
      <c r="GO102" s="2931"/>
      <c r="GP102" s="2931"/>
      <c r="GQ102" s="2931"/>
      <c r="GR102" s="2931"/>
      <c r="GS102" s="2931"/>
      <c r="GT102" s="2931"/>
      <c r="GU102" s="2931"/>
      <c r="GV102" s="2931"/>
      <c r="GW102" s="2931"/>
      <c r="GX102" s="2931"/>
      <c r="GY102" s="2931"/>
      <c r="GZ102" s="2931"/>
      <c r="HA102" s="2931"/>
      <c r="HB102" s="2931"/>
      <c r="HC102" s="2931"/>
      <c r="HD102" s="2931"/>
      <c r="HE102" s="2931"/>
      <c r="HF102" s="2931"/>
      <c r="HG102" s="2931"/>
      <c r="HH102" s="2931"/>
      <c r="HI102" s="2931"/>
      <c r="HJ102" s="2931"/>
      <c r="HK102" s="2931"/>
      <c r="HL102" s="2931"/>
      <c r="HM102" s="2931"/>
      <c r="HN102" s="2931"/>
      <c r="HO102" s="2931"/>
      <c r="HP102" s="2931"/>
      <c r="HQ102" s="2931"/>
      <c r="HR102" s="2931"/>
      <c r="HS102" s="2931"/>
      <c r="HT102" s="2931"/>
      <c r="HU102" s="2931"/>
      <c r="HV102" s="2931"/>
      <c r="HW102" s="2931"/>
      <c r="HX102" s="2931"/>
      <c r="HY102" s="2931"/>
      <c r="HZ102" s="2931"/>
      <c r="IA102" s="2931"/>
      <c r="IB102" s="2931"/>
      <c r="IC102" s="2931"/>
      <c r="ID102" s="2931"/>
      <c r="IE102" s="2931"/>
      <c r="IF102" s="2931"/>
      <c r="IG102" s="2931"/>
      <c r="IH102" s="2931"/>
      <c r="II102" s="2931"/>
      <c r="IJ102" s="2931"/>
      <c r="IK102" s="2931"/>
      <c r="IL102" s="2931"/>
      <c r="IM102" s="2931"/>
      <c r="IN102" s="2931"/>
      <c r="IO102" s="2931" cm="1">
        <f t="array" ref="IO102">IF(LEN($G102)=0,"Rent Roll is incomplete",_xlfn.XLOOKUP(TRUE,EXACT(RentRoll_InputArea_DesignatedUnitType,$G102),RentRoll_InputArea_Beds,"Not Found"))</f>
        <v>0</v>
      </c>
      <c r="IP102" s="2934"/>
      <c r="IQ102" s="2935" t="str">
        <f t="shared" si="20"/>
        <v>0 Bedroom Unit (Efficiency/Studio)</v>
      </c>
      <c r="IR102" s="2926">
        <f t="shared" si="21"/>
        <v>1525</v>
      </c>
      <c r="IS102" s="2935"/>
      <c r="IT102" s="2931"/>
      <c r="IU102" s="2931"/>
      <c r="IV102" s="2931"/>
      <c r="IW102" s="2936" t="str">
        <f t="shared" si="22"/>
        <v>7-704</v>
      </c>
      <c r="IX102" s="2936"/>
      <c r="IY102" s="2936"/>
      <c r="IZ102" s="2936">
        <f t="shared" si="23"/>
        <v>0</v>
      </c>
      <c r="JA102" s="2936">
        <f t="shared" si="24"/>
        <v>1525</v>
      </c>
      <c r="JB102" s="2936"/>
      <c r="JC102" s="2936"/>
      <c r="JD102" s="2936"/>
      <c r="JE102" s="2936"/>
      <c r="JF102" s="2936"/>
      <c r="JG102" s="2936"/>
      <c r="JH102" s="2936">
        <f t="shared" si="25"/>
        <v>1533</v>
      </c>
      <c r="JI102" s="2936"/>
      <c r="JJ102" s="2936">
        <f t="shared" si="26"/>
      </c>
      <c r="JK102" s="2936"/>
      <c r="JL102" s="2936"/>
      <c r="JM102" s="2936"/>
      <c r="JN102" s="2936"/>
      <c r="JO102" s="2936"/>
      <c r="JP102" s="2936"/>
      <c r="JQ102" s="2936" t="str">
        <f t="shared" si="27"/>
        <v>Occupied</v>
      </c>
      <c r="JR102" s="2936" cm="1">
        <f t="array" ref="JR102">_xlfn.XLOOKUP(TRUE,EXACT(RentRoll_InputArea_DesignatedUnitType,$G102),RentRoll_InputArea_SquareFootage,"Not Found")</f>
        <v>1050</v>
      </c>
      <c r="JS102" s="2936" t="str">
        <f t="shared" si="28"/>
        <v>Apartment</v>
      </c>
      <c r="JT102" s="2936">
        <f t="shared" si="29"/>
      </c>
      <c r="JU102" s="2936"/>
      <c r="JV102" s="2936"/>
      <c r="JW102" s="2936"/>
      <c r="JX102" s="2936"/>
      <c r="JY102" s="2936">
        <f t="shared" si="9"/>
        <v>43577</v>
      </c>
      <c r="JZ102" s="2936">
        <f t="shared" si="9"/>
        <v>43951</v>
      </c>
      <c r="KA102" s="2936"/>
      <c r="KB102" s="2936"/>
      <c r="KC102" s="2936"/>
      <c r="KD102" s="2936"/>
      <c r="KE102" s="2936"/>
      <c r="KF102" s="2936"/>
      <c r="KG102" s="2936"/>
      <c r="KH102" s="2936"/>
      <c r="KI102" s="2937"/>
      <c r="KJ102" s="2936"/>
      <c r="KK102" s="1353"/>
    </row>
    <row r="103" ht="15" customHeight="1">
      <c r="A103" s="2922">
        <f t="shared" si="10"/>
        <v>80</v>
      </c>
      <c r="B103" s="2865" t="s">
        <v>2802</v>
      </c>
      <c r="C103" s="2873"/>
      <c r="D103" s="2873" t="s">
        <v>2902</v>
      </c>
      <c r="E103" s="2923">
        <v>1588</v>
      </c>
      <c r="F103" s="2924" t="s">
        <v>2804</v>
      </c>
      <c r="G103" s="2873" t="s">
        <v>2532</v>
      </c>
      <c r="H103" s="2923"/>
      <c r="I103" s="2925" cm="1">
        <f t="array" ref="I103">_xlfn.LET(_xlpm.has_subsidy,$N103&gt;0,_xlpm.is_chap9_sbl,$FF$20,_xlpm.contract_rent,$H103,_xlpm.unit_type_mkt_rent,_xlfn.XLOOKUP(TRUE,EXACT($G103,RentRoll_InputArea_DesignatedUnitType),RentRoll_InputArea_MarketRent,"Not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3" s="2926">
        <f t="shared" si="11"/>
      </c>
      <c r="K103" s="2923"/>
      <c r="L103" s="2923"/>
      <c r="M103" s="2923"/>
      <c r="N103" s="2923"/>
      <c r="O103" s="2927"/>
      <c r="P103" s="2927"/>
      <c r="Q103" s="2928">
        <f t="shared" si="8"/>
      </c>
      <c r="R103" s="2928">
        <f t="shared" si="8"/>
      </c>
      <c r="S103" s="2928">
        <f t="shared" si="8"/>
      </c>
      <c r="T103" s="2928">
        <f t="shared" si="8"/>
      </c>
      <c r="U103" s="2928">
        <f t="shared" si="8"/>
      </c>
      <c r="V103" s="2928">
        <f t="shared" si="8"/>
      </c>
      <c r="W103" s="2928">
        <f t="shared" si="8"/>
      </c>
      <c r="X103" s="2928">
        <f t="shared" si="8"/>
      </c>
      <c r="Y103" s="2928">
        <f t="shared" si="8"/>
      </c>
      <c r="Z103" s="2928">
        <f t="shared" si="8"/>
      </c>
      <c r="AA103" s="2928">
        <f t="shared" si="8"/>
      </c>
      <c r="AB103" s="2928">
        <f t="shared" si="8"/>
      </c>
      <c r="AC103" s="2928">
        <f t="shared" si="8"/>
      </c>
      <c r="AD103" s="2928">
        <f t="shared" si="8"/>
      </c>
      <c r="AE103" s="2928">
        <f t="shared" si="8"/>
      </c>
      <c r="AF103" s="2928">
        <f t="shared" si="8"/>
      </c>
      <c r="AG103" s="2928">
        <f t="shared" si="8"/>
      </c>
      <c r="AH103" s="2928">
        <f t="shared" si="8"/>
      </c>
      <c r="AI103" s="2928">
        <f t="shared" si="8"/>
      </c>
      <c r="AJ103" s="2928">
        <f t="shared" si="8"/>
      </c>
      <c r="AK103" s="2928">
        <f t="shared" si="8"/>
      </c>
      <c r="AL103" s="2928">
        <f t="shared" si="8"/>
      </c>
      <c r="AM103" s="2928">
        <f t="shared" si="8"/>
      </c>
      <c r="AN103" s="2928">
        <f t="shared" si="8"/>
      </c>
      <c r="AO103" s="2928">
        <f t="shared" si="8"/>
      </c>
      <c r="AP103" s="2928">
        <f t="shared" si="8"/>
      </c>
      <c r="AQ103" s="2928">
        <f t="shared" si="8"/>
      </c>
      <c r="AR103" s="2928">
        <f t="shared" si="8"/>
      </c>
      <c r="AS103" s="2928">
        <f t="shared" si="8"/>
      </c>
      <c r="AT103" s="2928">
        <f t="shared" si="8"/>
      </c>
      <c r="AU103" s="2928">
        <f t="shared" si="8"/>
      </c>
      <c r="AV103" s="2928">
        <f t="shared" si="8"/>
      </c>
      <c r="AW103" s="2928">
        <f t="shared" si="8"/>
      </c>
      <c r="AX103" s="2928">
        <f t="shared" si="8"/>
      </c>
      <c r="AY103" s="2928">
        <f t="shared" si="8"/>
      </c>
      <c r="AZ103" s="2928">
        <f t="shared" si="8"/>
      </c>
      <c r="BA103" s="2928">
        <f t="shared" si="8"/>
      </c>
      <c r="BB103" s="2928">
        <f t="shared" si="8"/>
      </c>
      <c r="BC103" s="2928">
        <f t="shared" si="8"/>
      </c>
      <c r="BD103" s="2928">
        <f t="shared" si="8"/>
      </c>
      <c r="BE103" s="2928">
        <f t="shared" si="8"/>
      </c>
      <c r="BF103" s="2928">
        <f t="shared" si="8"/>
      </c>
      <c r="BG103" s="2928">
        <f t="shared" si="8"/>
      </c>
      <c r="BH103" s="2928">
        <f t="shared" si="8"/>
      </c>
      <c r="BI103" s="2928">
        <f t="shared" si="8"/>
      </c>
      <c r="BJ103" s="2928">
        <f t="shared" si="8"/>
      </c>
      <c r="BK103" s="2928">
        <f t="shared" si="8"/>
      </c>
      <c r="BL103" s="2928">
        <f t="shared" si="8"/>
      </c>
      <c r="BM103" s="2928">
        <f t="shared" si="8"/>
      </c>
      <c r="BN103" s="2928">
        <f t="shared" si="8"/>
      </c>
      <c r="BO103" s="2928">
        <f t="shared" si="8"/>
      </c>
      <c r="BP103" s="2928">
        <f t="shared" si="8"/>
      </c>
      <c r="BQ103" s="2928">
        <f t="shared" si="8"/>
      </c>
      <c r="BR103" s="2928">
        <f t="shared" si="8"/>
      </c>
      <c r="BS103" s="2928">
        <f t="shared" si="8"/>
      </c>
      <c r="BT103" s="2928">
        <f t="shared" si="8"/>
      </c>
      <c r="BU103" s="2928">
        <f t="shared" si="8"/>
      </c>
      <c r="BV103" s="2928">
        <f t="shared" si="8"/>
      </c>
      <c r="BW103" s="2928">
        <f t="shared" si="8"/>
      </c>
      <c r="BX103" s="2928">
        <f t="shared" si="8"/>
      </c>
      <c r="BY103" s="2928">
        <f t="shared" si="8"/>
      </c>
      <c r="BZ103" s="2928">
        <f t="shared" si="8"/>
      </c>
      <c r="CA103" s="2928">
        <f t="shared" si="8"/>
      </c>
      <c r="CB103" s="2928">
        <f t="shared" si="8"/>
      </c>
      <c r="CC103" s="2928">
        <f t="shared" si="8"/>
      </c>
      <c r="CD103" s="2928">
        <f t="shared" si="8"/>
      </c>
      <c r="CE103" s="2928">
        <f t="shared" si="8"/>
      </c>
      <c r="CF103" s="2928">
        <f t="shared" si="8"/>
      </c>
      <c r="CG103" s="2928">
        <f t="shared" si="8"/>
      </c>
      <c r="CH103" s="2928">
        <f t="shared" si="8"/>
      </c>
      <c r="CI103" s="2928">
        <f t="shared" si="8"/>
      </c>
      <c r="CJ103" s="2928">
        <f t="shared" si="8"/>
      </c>
      <c r="CK103" s="2928">
        <f t="shared" si="8"/>
      </c>
      <c r="CL103" s="2928">
        <f t="shared" si="8"/>
      </c>
      <c r="CM103" s="2928">
        <f t="shared" si="8"/>
      </c>
      <c r="CN103" s="2928">
        <f t="shared" si="8"/>
      </c>
      <c r="CO103" s="2928">
        <f t="shared" si="8"/>
      </c>
      <c r="CP103" s="2928">
        <f t="shared" si="8"/>
      </c>
      <c r="CQ103" s="2928">
        <f t="shared" si="8"/>
      </c>
      <c r="CR103" s="2928">
        <f t="shared" si="8"/>
      </c>
      <c r="CS103" s="2928">
        <f t="shared" si="8"/>
      </c>
      <c r="CT103" s="2928">
        <f t="shared" si="8"/>
      </c>
      <c r="CU103" s="2928">
        <f t="shared" si="8"/>
      </c>
      <c r="CV103" s="2928">
        <f t="shared" si="8"/>
      </c>
      <c r="CW103" s="2928">
        <f t="shared" si="8"/>
      </c>
      <c r="CX103" s="2928">
        <f t="shared" si="8"/>
      </c>
      <c r="CY103" s="2928">
        <f t="shared" si="8"/>
      </c>
      <c r="CZ103" s="2928">
        <f t="shared" si="8"/>
      </c>
      <c r="DA103" s="2928">
        <f t="shared" si="8"/>
      </c>
      <c r="DB103" s="2928">
        <f t="shared" si="8"/>
      </c>
      <c r="DC103" s="2928">
        <f t="shared" si="8"/>
      </c>
      <c r="DD103" s="2928">
        <f t="shared" si="8"/>
      </c>
      <c r="DE103" s="2928">
        <f t="shared" si="8"/>
      </c>
      <c r="DF103" s="2928">
        <f t="shared" si="8"/>
      </c>
      <c r="DG103" s="2928">
        <f t="shared" si="8"/>
      </c>
      <c r="DH103" s="2928">
        <f t="shared" si="8"/>
      </c>
      <c r="DI103" s="2928">
        <f t="shared" si="8"/>
      </c>
      <c r="DJ103" s="2928">
        <f t="shared" si="8"/>
      </c>
      <c r="DK103" s="2928">
        <f t="shared" si="8"/>
      </c>
      <c r="DL103" s="2928">
        <f t="shared" si="8"/>
      </c>
      <c r="DM103" s="2928">
        <f t="shared" si="8"/>
      </c>
      <c r="DN103" s="2928">
        <f t="shared" si="8"/>
      </c>
      <c r="DO103" s="2928">
        <f t="shared" si="8"/>
      </c>
      <c r="DP103" s="2928">
        <f t="shared" si="8"/>
      </c>
      <c r="DQ103" s="2928">
        <f t="shared" si="8"/>
      </c>
      <c r="DR103" s="2928">
        <f t="shared" si="8"/>
      </c>
      <c r="DS103" s="2928">
        <f t="shared" si="8"/>
      </c>
      <c r="DT103" s="2928">
        <f t="shared" si="8"/>
      </c>
      <c r="DU103" s="2928">
        <f t="shared" si="8"/>
      </c>
      <c r="DV103" s="2928">
        <f t="shared" si="8"/>
      </c>
      <c r="DW103" s="2928">
        <f t="shared" si="8"/>
      </c>
      <c r="DX103" s="2928">
        <f t="shared" si="8"/>
      </c>
      <c r="DY103" s="2928">
        <f t="shared" si="8"/>
      </c>
      <c r="DZ103" s="2928">
        <f t="shared" si="8"/>
      </c>
      <c r="EA103" s="2928">
        <f t="shared" si="8"/>
      </c>
      <c r="EB103" s="2928">
        <f t="shared" si="8"/>
      </c>
      <c r="EC103" s="2928">
        <f t="shared" si="8"/>
      </c>
      <c r="ED103" s="2928">
        <f t="shared" si="8"/>
      </c>
      <c r="EE103" s="2928">
        <f t="shared" si="8"/>
      </c>
      <c r="EF103" s="2928">
        <f t="shared" si="8"/>
      </c>
      <c r="EG103" s="2928">
        <f t="shared" si="8"/>
      </c>
      <c r="EH103" s="2928">
        <f t="shared" si="8"/>
      </c>
      <c r="EI103" s="2928">
        <f t="shared" si="8"/>
      </c>
      <c r="EJ103" s="2928">
        <f t="shared" si="8"/>
      </c>
      <c r="EK103" s="2928">
        <f t="shared" si="8"/>
      </c>
      <c r="EL103" s="2928">
        <f t="shared" si="8"/>
      </c>
      <c r="EM103" s="2928">
        <f t="shared" si="8"/>
      </c>
      <c r="EN103" s="2928">
        <f t="shared" si="8"/>
      </c>
      <c r="EO103" s="2928">
        <f t="shared" si="8"/>
      </c>
      <c r="EP103" s="2928">
        <f t="shared" si="8"/>
      </c>
      <c r="EQ103" s="2928">
        <f t="shared" si="8"/>
      </c>
      <c r="ER103" s="2928">
        <f t="shared" si="8"/>
      </c>
      <c r="ES103" s="2928">
        <f t="shared" si="8"/>
      </c>
      <c r="ET103" s="2928">
        <f t="shared" si="8"/>
      </c>
      <c r="EU103" s="2928">
        <f t="shared" si="8"/>
      </c>
      <c r="EV103" s="2928">
        <f t="shared" si="8"/>
      </c>
      <c r="EW103" s="2928">
        <f t="shared" si="8"/>
      </c>
      <c r="EX103" s="2928">
        <f t="shared" si="8"/>
      </c>
      <c r="EY103" s="2928">
        <f t="shared" si="8"/>
      </c>
      <c r="EZ103" s="2928">
        <f t="shared" si="8"/>
      </c>
      <c r="FA103" s="2929">
        <f t="shared" si="12"/>
        <v>1533</v>
      </c>
      <c r="FB103" s="2825">
        <f t="shared" si="13"/>
      </c>
      <c r="FC103" s="2930" cm="1">
        <f t="array" ref="FC103">_xlfn.LET(_xlpm.unit_type,$G103,_xlpm.market_rent_from_rent_roll,$E103,_xlpm.unit_type_list,RentRoll_InputArea_DesignatedUnitType,_xlpm.rent_by_unit_type,RentRoll_InputArea_MarketRent,_xlpm.use_rent_roll_market_rent,LEFT(RR_VacantUnitMktRentSource,9)="Rent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03" s="2930">
        <f t="shared" si="14"/>
      </c>
      <c r="FE103" s="2930">
        <f t="shared" si="15"/>
        <v>1533</v>
      </c>
      <c r="FF103" s="2930">
        <f t="shared" si="16"/>
        <v>0</v>
      </c>
      <c r="FG103" s="2931"/>
      <c r="FH103" s="2932">
        <f t="shared" si="17"/>
      </c>
      <c r="FI103" s="2932">
        <f t="shared" si="18"/>
      </c>
      <c r="FJ103" s="2931"/>
      <c r="FK103" s="2933" cm="1">
        <f t="array" ref="FK103">IF(AND(LEN($D103)&gt;0,ISNA(MATCH(TRUE,EXACT($G103,RentRoll_InputArea_DesignatedUnitType),0))),1,0)</f>
        <v>0</v>
      </c>
      <c r="FL103" s="2931">
        <f t="shared" si="19"/>
        <v>80</v>
      </c>
      <c r="FM103" s="2931"/>
      <c r="FN103" s="2931"/>
      <c r="FO103" s="2931"/>
      <c r="FP103" s="2931"/>
      <c r="FQ103" s="2931"/>
      <c r="FR103" s="2931"/>
      <c r="FS103" s="2931"/>
      <c r="FT103" s="2931"/>
      <c r="FU103" s="2931"/>
      <c r="FV103" s="2931"/>
      <c r="FW103" s="2931"/>
      <c r="FX103" s="2931"/>
      <c r="FY103" s="2931"/>
      <c r="FZ103" s="2931"/>
      <c r="GA103" s="2931"/>
      <c r="GB103" s="2931"/>
      <c r="GC103" s="2931"/>
      <c r="GD103" s="2931"/>
      <c r="GE103" s="2931"/>
      <c r="GF103" s="2931"/>
      <c r="GG103" s="2931"/>
      <c r="GH103" s="2931"/>
      <c r="GI103" s="2931"/>
      <c r="GJ103" s="2931"/>
      <c r="GK103" s="2931"/>
      <c r="GL103" s="2931"/>
      <c r="GM103" s="2931"/>
      <c r="GN103" s="2931"/>
      <c r="GO103" s="2931"/>
      <c r="GP103" s="2931"/>
      <c r="GQ103" s="2931"/>
      <c r="GR103" s="2931"/>
      <c r="GS103" s="2931"/>
      <c r="GT103" s="2931"/>
      <c r="GU103" s="2931"/>
      <c r="GV103" s="2931"/>
      <c r="GW103" s="2931"/>
      <c r="GX103" s="2931"/>
      <c r="GY103" s="2931"/>
      <c r="GZ103" s="2931"/>
      <c r="HA103" s="2931"/>
      <c r="HB103" s="2931"/>
      <c r="HC103" s="2931"/>
      <c r="HD103" s="2931"/>
      <c r="HE103" s="2931"/>
      <c r="HF103" s="2931"/>
      <c r="HG103" s="2931"/>
      <c r="HH103" s="2931"/>
      <c r="HI103" s="2931"/>
      <c r="HJ103" s="2931"/>
      <c r="HK103" s="2931"/>
      <c r="HL103" s="2931"/>
      <c r="HM103" s="2931"/>
      <c r="HN103" s="2931"/>
      <c r="HO103" s="2931"/>
      <c r="HP103" s="2931"/>
      <c r="HQ103" s="2931"/>
      <c r="HR103" s="2931"/>
      <c r="HS103" s="2931"/>
      <c r="HT103" s="2931"/>
      <c r="HU103" s="2931"/>
      <c r="HV103" s="2931"/>
      <c r="HW103" s="2931"/>
      <c r="HX103" s="2931"/>
      <c r="HY103" s="2931"/>
      <c r="HZ103" s="2931"/>
      <c r="IA103" s="2931"/>
      <c r="IB103" s="2931"/>
      <c r="IC103" s="2931"/>
      <c r="ID103" s="2931"/>
      <c r="IE103" s="2931"/>
      <c r="IF103" s="2931"/>
      <c r="IG103" s="2931"/>
      <c r="IH103" s="2931"/>
      <c r="II103" s="2931"/>
      <c r="IJ103" s="2931"/>
      <c r="IK103" s="2931"/>
      <c r="IL103" s="2931"/>
      <c r="IM103" s="2931"/>
      <c r="IN103" s="2931"/>
      <c r="IO103" s="2931" cm="1">
        <f t="array" ref="IO103">IF(LEN($G103)=0,"Rent Roll is incomplete",_xlfn.XLOOKUP(TRUE,EXACT(RentRoll_InputArea_DesignatedUnitType,$G103),RentRoll_InputArea_Beds,"Not Found"))</f>
        <v>0</v>
      </c>
      <c r="IP103" s="2934"/>
      <c r="IQ103" s="2935" t="str">
        <f t="shared" si="20"/>
        <v>0 Bedroom Unit (Efficiency/Studio)</v>
      </c>
      <c r="IR103" s="2926">
        <f t="shared" si="21"/>
        <v>1533</v>
      </c>
      <c r="IS103" s="2935"/>
      <c r="IT103" s="2931"/>
      <c r="IU103" s="2931"/>
      <c r="IV103" s="2931"/>
      <c r="IW103" s="2936" t="str">
        <f t="shared" si="22"/>
        <v>7-705</v>
      </c>
      <c r="IX103" s="2936"/>
      <c r="IY103" s="2936"/>
      <c r="IZ103" s="2936">
        <f t="shared" si="23"/>
        <v>0</v>
      </c>
      <c r="JA103" s="2936">
        <f t="shared" si="24"/>
        <v>0</v>
      </c>
      <c r="JB103" s="2936"/>
      <c r="JC103" s="2936"/>
      <c r="JD103" s="2936"/>
      <c r="JE103" s="2936"/>
      <c r="JF103" s="2936"/>
      <c r="JG103" s="2936"/>
      <c r="JH103" s="2936">
        <f t="shared" si="25"/>
        <v>1533</v>
      </c>
      <c r="JI103" s="2936"/>
      <c r="JJ103" s="2936">
        <f t="shared" si="26"/>
      </c>
      <c r="JK103" s="2936"/>
      <c r="JL103" s="2936"/>
      <c r="JM103" s="2936"/>
      <c r="JN103" s="2936"/>
      <c r="JO103" s="2936"/>
      <c r="JP103" s="2936"/>
      <c r="JQ103" s="2936" t="str">
        <f t="shared" si="27"/>
        <v>Vacant</v>
      </c>
      <c r="JR103" s="2936" cm="1">
        <f t="array" ref="JR103">_xlfn.XLOOKUP(TRUE,EXACT(RentRoll_InputArea_DesignatedUnitType,$G103),RentRoll_InputArea_SquareFootage,"Not Found")</f>
        <v>1050</v>
      </c>
      <c r="JS103" s="2936" t="str">
        <f t="shared" si="28"/>
        <v>Apartment</v>
      </c>
      <c r="JT103" s="2936">
        <f t="shared" si="29"/>
      </c>
      <c r="JU103" s="2936"/>
      <c r="JV103" s="2936"/>
      <c r="JW103" s="2936"/>
      <c r="JX103" s="2936"/>
      <c r="JY103" s="2936">
        <f t="shared" si="9"/>
      </c>
      <c r="JZ103" s="2936">
        <f t="shared" si="9"/>
      </c>
      <c r="KA103" s="2936"/>
      <c r="KB103" s="2936"/>
      <c r="KC103" s="2936"/>
      <c r="KD103" s="2936"/>
      <c r="KE103" s="2936"/>
      <c r="KF103" s="2936"/>
      <c r="KG103" s="2936"/>
      <c r="KH103" s="2936"/>
      <c r="KI103" s="2937"/>
      <c r="KJ103" s="2936"/>
      <c r="KK103" s="1353"/>
    </row>
    <row r="104" ht="15" customHeight="1">
      <c r="A104" s="2922">
        <f t="shared" si="10"/>
        <v>81</v>
      </c>
      <c r="B104" s="2865"/>
      <c r="C104" s="2873"/>
      <c r="D104" s="2873" t="s">
        <v>2903</v>
      </c>
      <c r="E104" s="2923">
        <v>1541</v>
      </c>
      <c r="F104" s="2924" t="s">
        <v>2904</v>
      </c>
      <c r="G104" s="2873" t="s">
        <v>2532</v>
      </c>
      <c r="H104" s="2923">
        <v>1401</v>
      </c>
      <c r="I104" s="2925" cm="1">
        <f t="array" ref="I104">_xlfn.LET(_xlpm.has_subsidy,$N104&gt;0,_xlpm.is_chap9_sbl,$FF$20,_xlpm.contract_rent,$H104,_xlpm.unit_type_mkt_rent,_xlfn.XLOOKUP(TRUE,EXACT($G104,RentRoll_InputArea_DesignatedUnitType),RentRoll_InputArea_MarketRent,"Not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4" s="2926">
        <f t="shared" si="11"/>
        <v>1401</v>
      </c>
      <c r="K104" s="2923"/>
      <c r="L104" s="2923"/>
      <c r="M104" s="2923"/>
      <c r="N104" s="2923"/>
      <c r="O104" s="2927">
        <v>43478</v>
      </c>
      <c r="P104" s="2927">
        <v>43738</v>
      </c>
      <c r="Q104" s="2928">
        <f t="shared" si="8"/>
      </c>
      <c r="R104" s="2928">
        <f t="shared" si="8"/>
      </c>
      <c r="S104" s="2928">
        <f t="shared" si="8"/>
      </c>
      <c r="T104" s="2928">
        <f t="shared" si="8"/>
        <v>1401</v>
      </c>
      <c r="U104" s="2928">
        <f t="shared" si="8"/>
      </c>
      <c r="V104" s="2928">
        <f t="shared" si="8"/>
      </c>
      <c r="W104" s="2928">
        <f t="shared" si="8"/>
      </c>
      <c r="X104" s="2928">
        <f t="shared" si="8"/>
      </c>
      <c r="Y104" s="2928">
        <f t="shared" si="8"/>
      </c>
      <c r="Z104" s="2928">
        <f t="shared" si="8"/>
      </c>
      <c r="AA104" s="2928">
        <f t="shared" si="8"/>
      </c>
      <c r="AB104" s="2928">
        <f t="shared" si="8"/>
      </c>
      <c r="AC104" s="2928">
        <f t="shared" si="8"/>
      </c>
      <c r="AD104" s="2928">
        <f t="shared" si="8"/>
      </c>
      <c r="AE104" s="2928">
        <f t="shared" si="8"/>
      </c>
      <c r="AF104" s="2928">
        <f t="shared" si="8"/>
      </c>
      <c r="AG104" s="2928">
        <f t="shared" si="8"/>
      </c>
      <c r="AH104" s="2928">
        <f t="shared" si="8"/>
      </c>
      <c r="AI104" s="2928">
        <f t="shared" si="8"/>
      </c>
      <c r="AJ104" s="2928">
        <f t="shared" si="8"/>
      </c>
      <c r="AK104" s="2928">
        <f t="shared" si="8"/>
      </c>
      <c r="AL104" s="2928">
        <f t="shared" si="8"/>
      </c>
      <c r="AM104" s="2928">
        <f t="shared" si="8"/>
      </c>
      <c r="AN104" s="2928">
        <f t="shared" si="8"/>
      </c>
      <c r="AO104" s="2928">
        <f t="shared" si="8"/>
      </c>
      <c r="AP104" s="2928">
        <f t="shared" si="8"/>
      </c>
      <c r="AQ104" s="2928">
        <f t="shared" si="8"/>
      </c>
      <c r="AR104" s="2928">
        <f t="shared" si="8"/>
      </c>
      <c r="AS104" s="2928">
        <f t="shared" si="8"/>
      </c>
      <c r="AT104" s="2928">
        <f t="shared" si="8"/>
      </c>
      <c r="AU104" s="2928">
        <f t="shared" si="8"/>
      </c>
      <c r="AV104" s="2928">
        <f t="shared" si="8"/>
      </c>
      <c r="AW104" s="2928">
        <f t="shared" si="8"/>
      </c>
      <c r="AX104" s="2928">
        <f t="shared" si="8"/>
      </c>
      <c r="AY104" s="2928">
        <f t="shared" si="8"/>
      </c>
      <c r="AZ104" s="2928">
        <f t="shared" si="8"/>
      </c>
      <c r="BA104" s="2928">
        <f t="shared" si="8"/>
      </c>
      <c r="BB104" s="2928">
        <f t="shared" si="8"/>
      </c>
      <c r="BC104" s="2928">
        <f t="shared" si="8"/>
      </c>
      <c r="BD104" s="2928">
        <f t="shared" si="8"/>
      </c>
      <c r="BE104" s="2928">
        <f t="shared" si="8"/>
      </c>
      <c r="BF104" s="2928">
        <f t="shared" si="8"/>
      </c>
      <c r="BG104" s="2928">
        <f t="shared" si="8"/>
      </c>
      <c r="BH104" s="2928">
        <f t="shared" si="8"/>
      </c>
      <c r="BI104" s="2928">
        <f t="shared" si="8"/>
      </c>
      <c r="BJ104" s="2928">
        <f t="shared" si="8"/>
      </c>
      <c r="BK104" s="2928">
        <f t="shared" si="8"/>
      </c>
      <c r="BL104" s="2928">
        <f t="shared" si="8"/>
      </c>
      <c r="BM104" s="2928">
        <f t="shared" si="8"/>
      </c>
      <c r="BN104" s="2928">
        <f t="shared" si="8"/>
      </c>
      <c r="BO104" s="2928">
        <f t="shared" si="8"/>
      </c>
      <c r="BP104" s="2928">
        <f t="shared" si="8"/>
      </c>
      <c r="BQ104" s="2928">
        <f t="shared" si="8"/>
      </c>
      <c r="BR104" s="2928">
        <f t="shared" si="8"/>
      </c>
      <c r="BS104" s="2928">
        <f t="shared" si="8"/>
      </c>
      <c r="BT104" s="2928">
        <f t="shared" si="8"/>
      </c>
      <c r="BU104" s="2928">
        <f t="shared" si="8"/>
      </c>
      <c r="BV104" s="2928">
        <f t="shared" si="8"/>
      </c>
      <c r="BW104" s="2928">
        <f t="shared" si="8"/>
      </c>
      <c r="BX104" s="2928">
        <f t="shared" si="8"/>
      </c>
      <c r="BY104" s="2928">
        <f t="shared" si="8"/>
      </c>
      <c r="BZ104" s="2928">
        <f t="shared" si="8"/>
      </c>
      <c r="CA104" s="2928">
        <f t="shared" si="8"/>
      </c>
      <c r="CB104" s="2928">
        <f t="shared" si="8"/>
      </c>
      <c r="CC104" s="2928">
        <f t="shared" si="8"/>
      </c>
      <c r="CD104" s="2928">
        <f t="shared" si="8"/>
      </c>
      <c r="CE104" s="2928">
        <f t="shared" si="8"/>
      </c>
      <c r="CF104" s="2928">
        <f t="shared" si="8"/>
      </c>
      <c r="CG104" s="2928">
        <f t="shared" si="8"/>
      </c>
      <c r="CH104" s="2928">
        <f t="shared" si="8"/>
      </c>
      <c r="CI104" s="2928">
        <f t="shared" si="8"/>
      </c>
      <c r="CJ104" s="2928">
        <f t="shared" si="8"/>
      </c>
      <c r="CK104" s="2928">
        <f t="shared" si="8"/>
      </c>
      <c r="CL104" s="2928">
        <f t="shared" si="8"/>
      </c>
      <c r="CM104" s="2928">
        <f t="shared" si="8"/>
      </c>
      <c r="CN104" s="2928">
        <f t="shared" si="8"/>
      </c>
      <c r="CO104" s="2928">
        <f t="shared" si="8"/>
      </c>
      <c r="CP104" s="2928">
        <f t="shared" si="8"/>
      </c>
      <c r="CQ104" s="2928">
        <f t="shared" si="8"/>
      </c>
      <c r="CR104" s="2928">
        <f t="shared" si="8"/>
      </c>
      <c r="CS104" s="2928">
        <f t="shared" si="8"/>
      </c>
      <c r="CT104" s="2928">
        <f t="shared" si="8"/>
      </c>
      <c r="CU104" s="2928">
        <f t="shared" si="8"/>
      </c>
      <c r="CV104" s="2928">
        <f t="shared" si="8"/>
      </c>
      <c r="CW104" s="2928">
        <f t="shared" si="8"/>
      </c>
      <c r="CX104" s="2928">
        <f t="shared" si="8"/>
      </c>
      <c r="CY104" s="2928">
        <f t="shared" si="8"/>
      </c>
      <c r="CZ104" s="2928">
        <f t="shared" si="8"/>
      </c>
      <c r="DA104" s="2928">
        <f t="shared" si="8"/>
      </c>
      <c r="DB104" s="2928">
        <f t="shared" si="8"/>
      </c>
      <c r="DC104" s="2928">
        <f t="shared" si="8"/>
      </c>
      <c r="DD104" s="2928">
        <f t="shared" si="8"/>
      </c>
      <c r="DE104" s="2928">
        <f t="shared" si="8"/>
      </c>
      <c r="DF104" s="2928">
        <f t="shared" si="8"/>
      </c>
      <c r="DG104" s="2928">
        <f t="shared" si="8"/>
      </c>
      <c r="DH104" s="2928">
        <f t="shared" si="8"/>
      </c>
      <c r="DI104" s="2928">
        <f t="shared" si="8"/>
      </c>
      <c r="DJ104" s="2928">
        <f t="shared" si="8"/>
      </c>
      <c r="DK104" s="2928">
        <f t="shared" si="8"/>
      </c>
      <c r="DL104" s="2928">
        <f t="shared" si="8"/>
      </c>
      <c r="DM104" s="2928">
        <f t="shared" si="8"/>
      </c>
      <c r="DN104" s="2928">
        <f t="shared" si="8"/>
      </c>
      <c r="DO104" s="2928">
        <f t="shared" si="8"/>
      </c>
      <c r="DP104" s="2928">
        <f t="shared" si="8"/>
      </c>
      <c r="DQ104" s="2928">
        <f t="shared" si="8"/>
      </c>
      <c r="DR104" s="2928">
        <f t="shared" si="8"/>
      </c>
      <c r="DS104" s="2928">
        <f t="shared" si="8"/>
      </c>
      <c r="DT104" s="2928">
        <f t="shared" si="8"/>
      </c>
      <c r="DU104" s="2928">
        <f t="shared" si="8"/>
      </c>
      <c r="DV104" s="2928">
        <f t="shared" si="8"/>
      </c>
      <c r="DW104" s="2928">
        <f t="shared" si="8"/>
      </c>
      <c r="DX104" s="2928">
        <f t="shared" si="8"/>
      </c>
      <c r="DY104" s="2928">
        <f t="shared" si="8"/>
      </c>
      <c r="DZ104" s="2928">
        <f t="shared" si="8"/>
      </c>
      <c r="EA104" s="2928">
        <f t="shared" si="8"/>
      </c>
      <c r="EB104" s="2928">
        <f t="shared" si="8"/>
      </c>
      <c r="EC104" s="2928">
        <f t="shared" si="8"/>
      </c>
      <c r="ED104" s="2928">
        <f t="shared" si="8"/>
      </c>
      <c r="EE104" s="2928">
        <f t="shared" si="8"/>
      </c>
      <c r="EF104" s="2928">
        <f t="shared" si="8"/>
      </c>
      <c r="EG104" s="2928">
        <f t="shared" si="8"/>
      </c>
      <c r="EH104" s="2928">
        <f t="shared" si="8"/>
      </c>
      <c r="EI104" s="2928">
        <f t="shared" si="8"/>
      </c>
      <c r="EJ104" s="2928">
        <f t="shared" si="8"/>
      </c>
      <c r="EK104" s="2928">
        <f t="shared" si="8"/>
      </c>
      <c r="EL104" s="2928">
        <f t="shared" si="8"/>
      </c>
      <c r="EM104" s="2928">
        <f t="shared" si="8"/>
      </c>
      <c r="EN104" s="2928">
        <f t="shared" si="8"/>
      </c>
      <c r="EO104" s="2928">
        <f t="shared" si="8"/>
      </c>
      <c r="EP104" s="2928">
        <f t="shared" si="8"/>
      </c>
      <c r="EQ104" s="2928">
        <f t="shared" si="8"/>
      </c>
      <c r="ER104" s="2928">
        <f t="shared" si="8"/>
      </c>
      <c r="ES104" s="2928">
        <f t="shared" si="8"/>
      </c>
      <c r="ET104" s="2928">
        <f t="shared" si="8"/>
      </c>
      <c r="EU104" s="2928">
        <f t="shared" si="8"/>
      </c>
      <c r="EV104" s="2928">
        <f t="shared" si="8"/>
      </c>
      <c r="EW104" s="2928">
        <f t="shared" si="8"/>
      </c>
      <c r="EX104" s="2928">
        <f t="shared" si="8"/>
      </c>
      <c r="EY104" s="2928">
        <f t="shared" si="8"/>
      </c>
      <c r="EZ104" s="2928">
        <f t="shared" si="8"/>
      </c>
      <c r="FA104" s="2929" t="str">
        <f t="shared" si="12"/>
        <v>-</v>
      </c>
      <c r="FB104" s="2825">
        <f t="shared" si="13"/>
      </c>
      <c r="FC104" s="2930" cm="1">
        <f t="array" ref="FC104">_xlfn.LET(_xlpm.unit_type,$G104,_xlpm.market_rent_from_rent_roll,$E104,_xlpm.unit_type_list,RentRoll_InputArea_DesignatedUnitType,_xlpm.rent_by_unit_type,RentRoll_InputArea_MarketRent,_xlpm.use_rent_roll_market_rent,LEFT(RR_VacantUnitMktRentSource,9)="Rent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04" s="2930">
        <f t="shared" si="14"/>
        <v>1401</v>
      </c>
      <c r="FE104" s="2930">
        <f t="shared" si="15"/>
        <v>1401</v>
      </c>
      <c r="FF104" s="2930">
        <f t="shared" si="16"/>
        <v>1401</v>
      </c>
      <c r="FG104" s="2931"/>
      <c r="FH104" s="2932">
        <f t="shared" si="17"/>
      </c>
      <c r="FI104" s="2932">
        <f t="shared" si="18"/>
      </c>
      <c r="FJ104" s="2931"/>
      <c r="FK104" s="2933" cm="1">
        <f t="array" ref="FK104">IF(AND(LEN($D104)&gt;0,ISNA(MATCH(TRUE,EXACT($G104,RentRoll_InputArea_DesignatedUnitType),0))),1,0)</f>
        <v>0</v>
      </c>
      <c r="FL104" s="2931">
        <f t="shared" si="19"/>
        <v>81</v>
      </c>
      <c r="FM104" s="2931"/>
      <c r="FN104" s="2931"/>
      <c r="FO104" s="2931"/>
      <c r="FP104" s="2931"/>
      <c r="FQ104" s="2931"/>
      <c r="FR104" s="2931"/>
      <c r="FS104" s="2931"/>
      <c r="FT104" s="2931"/>
      <c r="FU104" s="2931"/>
      <c r="FV104" s="2931"/>
      <c r="FW104" s="2931"/>
      <c r="FX104" s="2931"/>
      <c r="FY104" s="2931"/>
      <c r="FZ104" s="2931"/>
      <c r="GA104" s="2931"/>
      <c r="GB104" s="2931"/>
      <c r="GC104" s="2931"/>
      <c r="GD104" s="2931"/>
      <c r="GE104" s="2931"/>
      <c r="GF104" s="2931"/>
      <c r="GG104" s="2931"/>
      <c r="GH104" s="2931"/>
      <c r="GI104" s="2931"/>
      <c r="GJ104" s="2931"/>
      <c r="GK104" s="2931"/>
      <c r="GL104" s="2931"/>
      <c r="GM104" s="2931"/>
      <c r="GN104" s="2931"/>
      <c r="GO104" s="2931"/>
      <c r="GP104" s="2931"/>
      <c r="GQ104" s="2931"/>
      <c r="GR104" s="2931"/>
      <c r="GS104" s="2931"/>
      <c r="GT104" s="2931"/>
      <c r="GU104" s="2931"/>
      <c r="GV104" s="2931"/>
      <c r="GW104" s="2931"/>
      <c r="GX104" s="2931"/>
      <c r="GY104" s="2931"/>
      <c r="GZ104" s="2931"/>
      <c r="HA104" s="2931"/>
      <c r="HB104" s="2931"/>
      <c r="HC104" s="2931"/>
      <c r="HD104" s="2931"/>
      <c r="HE104" s="2931"/>
      <c r="HF104" s="2931"/>
      <c r="HG104" s="2931"/>
      <c r="HH104" s="2931"/>
      <c r="HI104" s="2931"/>
      <c r="HJ104" s="2931"/>
      <c r="HK104" s="2931"/>
      <c r="HL104" s="2931"/>
      <c r="HM104" s="2931"/>
      <c r="HN104" s="2931"/>
      <c r="HO104" s="2931"/>
      <c r="HP104" s="2931"/>
      <c r="HQ104" s="2931"/>
      <c r="HR104" s="2931"/>
      <c r="HS104" s="2931"/>
      <c r="HT104" s="2931"/>
      <c r="HU104" s="2931"/>
      <c r="HV104" s="2931"/>
      <c r="HW104" s="2931"/>
      <c r="HX104" s="2931"/>
      <c r="HY104" s="2931"/>
      <c r="HZ104" s="2931"/>
      <c r="IA104" s="2931"/>
      <c r="IB104" s="2931"/>
      <c r="IC104" s="2931"/>
      <c r="ID104" s="2931"/>
      <c r="IE104" s="2931"/>
      <c r="IF104" s="2931"/>
      <c r="IG104" s="2931"/>
      <c r="IH104" s="2931"/>
      <c r="II104" s="2931"/>
      <c r="IJ104" s="2931"/>
      <c r="IK104" s="2931"/>
      <c r="IL104" s="2931"/>
      <c r="IM104" s="2931"/>
      <c r="IN104" s="2931"/>
      <c r="IO104" s="2931" cm="1">
        <f t="array" ref="IO104">IF(LEN($G104)=0,"Rent Roll is incomplete",_xlfn.XLOOKUP(TRUE,EXACT(RentRoll_InputArea_DesignatedUnitType,$G104),RentRoll_InputArea_Beds,"Not Found"))</f>
        <v>0</v>
      </c>
      <c r="IP104" s="2934"/>
      <c r="IQ104" s="2935" t="str">
        <f t="shared" si="20"/>
        <v>0 Bedroom Unit (Efficiency/Studio)</v>
      </c>
      <c r="IR104" s="2926">
        <f t="shared" si="21"/>
        <v>1401</v>
      </c>
      <c r="IS104" s="2935"/>
      <c r="IT104" s="2931"/>
      <c r="IU104" s="2931"/>
      <c r="IV104" s="2931"/>
      <c r="IW104" s="2936" t="str">
        <f t="shared" si="22"/>
        <v>7-706</v>
      </c>
      <c r="IX104" s="2936"/>
      <c r="IY104" s="2936"/>
      <c r="IZ104" s="2936">
        <f t="shared" si="23"/>
        <v>0</v>
      </c>
      <c r="JA104" s="2936">
        <f t="shared" si="24"/>
        <v>1401</v>
      </c>
      <c r="JB104" s="2936"/>
      <c r="JC104" s="2936"/>
      <c r="JD104" s="2936"/>
      <c r="JE104" s="2936"/>
      <c r="JF104" s="2936"/>
      <c r="JG104" s="2936"/>
      <c r="JH104" s="2936">
        <f t="shared" si="25"/>
        <v>1533</v>
      </c>
      <c r="JI104" s="2936"/>
      <c r="JJ104" s="2936">
        <f t="shared" si="26"/>
      </c>
      <c r="JK104" s="2936"/>
      <c r="JL104" s="2936"/>
      <c r="JM104" s="2936"/>
      <c r="JN104" s="2936"/>
      <c r="JO104" s="2936"/>
      <c r="JP104" s="2936"/>
      <c r="JQ104" s="2936" t="str">
        <f t="shared" si="27"/>
        <v>Occupied</v>
      </c>
      <c r="JR104" s="2936" cm="1">
        <f t="array" ref="JR104">_xlfn.XLOOKUP(TRUE,EXACT(RentRoll_InputArea_DesignatedUnitType,$G104),RentRoll_InputArea_SquareFootage,"Not Found")</f>
        <v>1050</v>
      </c>
      <c r="JS104" s="2936" t="str">
        <f t="shared" si="28"/>
        <v>Apartment</v>
      </c>
      <c r="JT104" s="2936">
        <f t="shared" si="29"/>
      </c>
      <c r="JU104" s="2936"/>
      <c r="JV104" s="2936"/>
      <c r="JW104" s="2936"/>
      <c r="JX104" s="2936"/>
      <c r="JY104" s="2936">
        <f t="shared" si="9"/>
        <v>43478</v>
      </c>
      <c r="JZ104" s="2936">
        <f t="shared" si="9"/>
        <v>43738</v>
      </c>
      <c r="KA104" s="2936"/>
      <c r="KB104" s="2936"/>
      <c r="KC104" s="2936"/>
      <c r="KD104" s="2936"/>
      <c r="KE104" s="2936"/>
      <c r="KF104" s="2936"/>
      <c r="KG104" s="2936"/>
      <c r="KH104" s="2936"/>
      <c r="KI104" s="2937"/>
      <c r="KJ104" s="2936"/>
      <c r="KK104" s="1353"/>
    </row>
    <row r="105" ht="15" customHeight="1">
      <c r="A105" s="2922">
        <f t="shared" si="10"/>
        <v>82</v>
      </c>
      <c r="B105" s="2865"/>
      <c r="C105" s="2873"/>
      <c r="D105" s="2873" t="s">
        <v>2905</v>
      </c>
      <c r="E105" s="2923">
        <v>1481</v>
      </c>
      <c r="F105" s="2924" t="s">
        <v>2906</v>
      </c>
      <c r="G105" s="2873" t="s">
        <v>2532</v>
      </c>
      <c r="H105" s="2923">
        <v>1550</v>
      </c>
      <c r="I105" s="2925" cm="1">
        <f t="array" ref="I105">_xlfn.LET(_xlpm.has_subsidy,$N105&gt;0,_xlpm.is_chap9_sbl,$FF$20,_xlpm.contract_rent,$H105,_xlpm.unit_type_mkt_rent,_xlfn.XLOOKUP(TRUE,EXACT($G105,RentRoll_InputArea_DesignatedUnitType),RentRoll_InputArea_MarketRent,"Not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5" s="2926">
        <f t="shared" si="11"/>
        <v>1550</v>
      </c>
      <c r="K105" s="2923"/>
      <c r="L105" s="2923"/>
      <c r="M105" s="2923"/>
      <c r="N105" s="2923"/>
      <c r="O105" s="2927">
        <v>43577</v>
      </c>
      <c r="P105" s="2927">
        <v>43951</v>
      </c>
      <c r="Q105" s="2928">
        <f t="shared" si="8"/>
      </c>
      <c r="R105" s="2928">
        <f t="shared" si="8"/>
      </c>
      <c r="S105" s="2928">
        <f t="shared" si="8"/>
      </c>
      <c r="T105" s="2928">
        <f t="shared" si="8"/>
        <v>1550</v>
      </c>
      <c r="U105" s="2928">
        <f t="shared" si="8"/>
      </c>
      <c r="V105" s="2928">
        <f t="shared" si="8"/>
      </c>
      <c r="W105" s="2928">
        <f t="shared" si="8"/>
      </c>
      <c r="X105" s="2928">
        <f t="shared" si="8"/>
      </c>
      <c r="Y105" s="2928">
        <f t="shared" si="8"/>
      </c>
      <c r="Z105" s="2928">
        <f t="shared" si="8"/>
      </c>
      <c r="AA105" s="2928">
        <f t="shared" si="8"/>
      </c>
      <c r="AB105" s="2928">
        <f t="shared" si="8"/>
      </c>
      <c r="AC105" s="2928">
        <f t="shared" si="8"/>
      </c>
      <c r="AD105" s="2928">
        <f t="shared" si="8"/>
      </c>
      <c r="AE105" s="2928">
        <f t="shared" si="8"/>
      </c>
      <c r="AF105" s="2928">
        <f t="shared" si="8"/>
      </c>
      <c r="AG105" s="2928">
        <f t="shared" si="8"/>
      </c>
      <c r="AH105" s="2928">
        <f t="shared" si="8"/>
      </c>
      <c r="AI105" s="2928">
        <f t="shared" si="8"/>
      </c>
      <c r="AJ105" s="2928">
        <f t="shared" si="8"/>
      </c>
      <c r="AK105" s="2928">
        <f t="shared" si="8"/>
      </c>
      <c r="AL105" s="2928">
        <f t="shared" si="8"/>
      </c>
      <c r="AM105" s="2928">
        <f t="shared" si="8"/>
      </c>
      <c r="AN105" s="2928">
        <f t="shared" si="8"/>
      </c>
      <c r="AO105" s="2928">
        <f t="shared" si="8"/>
      </c>
      <c r="AP105" s="2928">
        <f t="shared" si="8"/>
      </c>
      <c r="AQ105" s="2928">
        <f t="shared" si="8"/>
      </c>
      <c r="AR105" s="2928">
        <f t="shared" si="8"/>
      </c>
      <c r="AS105" s="2928">
        <f t="shared" si="8"/>
      </c>
      <c r="AT105" s="2928">
        <f t="shared" si="8"/>
      </c>
      <c r="AU105" s="2928">
        <f t="shared" si="8"/>
      </c>
      <c r="AV105" s="2928">
        <f t="shared" si="8"/>
      </c>
      <c r="AW105" s="2928">
        <f t="shared" si="8"/>
      </c>
      <c r="AX105" s="2928">
        <f t="shared" si="8"/>
      </c>
      <c r="AY105" s="2928">
        <f t="shared" si="8"/>
      </c>
      <c r="AZ105" s="2928">
        <f t="shared" si="8"/>
      </c>
      <c r="BA105" s="2928">
        <f t="shared" si="8"/>
      </c>
      <c r="BB105" s="2928">
        <f t="shared" si="8"/>
      </c>
      <c r="BC105" s="2928">
        <f t="shared" si="8"/>
      </c>
      <c r="BD105" s="2928">
        <f t="shared" si="8"/>
      </c>
      <c r="BE105" s="2928">
        <f t="shared" si="8"/>
      </c>
      <c r="BF105" s="2928">
        <f t="shared" si="8"/>
      </c>
      <c r="BG105" s="2928">
        <f t="shared" si="8"/>
      </c>
      <c r="BH105" s="2928">
        <f t="shared" si="8"/>
      </c>
      <c r="BI105" s="2928">
        <f t="shared" si="8"/>
      </c>
      <c r="BJ105" s="2928">
        <f t="shared" si="8"/>
      </c>
      <c r="BK105" s="2928">
        <f t="shared" si="8"/>
      </c>
      <c r="BL105" s="2928">
        <f t="shared" si="8"/>
      </c>
      <c r="BM105" s="2928">
        <f t="shared" si="8"/>
      </c>
      <c r="BN105" s="2928">
        <f t="shared" si="8"/>
      </c>
      <c r="BO105" s="2928">
        <f t="shared" si="8"/>
      </c>
      <c r="BP105" s="2928">
        <f t="shared" si="8"/>
      </c>
      <c r="BQ105" s="2928">
        <f t="shared" si="8"/>
      </c>
      <c r="BR105" s="2928">
        <f t="shared" si="8"/>
      </c>
      <c r="BS105" s="2928">
        <f t="shared" si="8"/>
      </c>
      <c r="BT105" s="2928">
        <f t="shared" si="8"/>
      </c>
      <c r="BU105" s="2928">
        <f t="shared" si="8"/>
      </c>
      <c r="BV105" s="2928">
        <f t="shared" si="8"/>
      </c>
      <c r="BW105" s="2928">
        <f t="shared" si="8"/>
      </c>
      <c r="BX105" s="2928">
        <f t="shared" si="8"/>
      </c>
      <c r="BY105" s="2928">
        <f t="shared" si="8"/>
      </c>
      <c r="BZ105" s="2928">
        <f t="shared" si="8"/>
      </c>
      <c r="CA105" s="2928">
        <f t="shared" si="8"/>
      </c>
      <c r="CB105" s="2928">
        <f t="shared" si="8"/>
      </c>
      <c r="CC105" s="2928">
        <f t="shared" si="8"/>
      </c>
      <c r="CD105" s="2928">
        <f t="shared" si="8"/>
      </c>
      <c r="CE105" s="2928">
        <f t="shared" si="8"/>
      </c>
      <c r="CF105" s="2928">
        <f t="shared" si="8"/>
      </c>
      <c r="CG105" s="2928">
        <f t="shared" si="8"/>
      </c>
      <c r="CH105" s="2928">
        <f t="shared" si="8"/>
      </c>
      <c r="CI105" s="2928">
        <f t="shared" si="8"/>
      </c>
      <c r="CJ105" s="2928">
        <f t="shared" si="8"/>
      </c>
      <c r="CK105" s="2928">
        <f t="shared" si="8"/>
      </c>
      <c r="CL105" s="2928">
        <f t="shared" si="8"/>
      </c>
      <c r="CM105" s="2928">
        <f t="shared" si="8"/>
      </c>
      <c r="CN105" s="2928">
        <f t="shared" si="8"/>
      </c>
      <c r="CO105" s="2928">
        <f t="shared" si="8"/>
      </c>
      <c r="CP105" s="2928">
        <f t="shared" si="8"/>
      </c>
      <c r="CQ105" s="2928">
        <f t="shared" si="8"/>
      </c>
      <c r="CR105" s="2928">
        <f t="shared" si="8"/>
      </c>
      <c r="CS105" s="2928">
        <f t="shared" si="8"/>
      </c>
      <c r="CT105" s="2928">
        <f t="shared" si="8"/>
      </c>
      <c r="CU105" s="2928">
        <f t="shared" si="8"/>
      </c>
      <c r="CV105" s="2928">
        <f t="shared" si="8"/>
      </c>
      <c r="CW105" s="2928">
        <f t="shared" si="8"/>
      </c>
      <c r="CX105" s="2928">
        <f t="shared" si="8"/>
      </c>
      <c r="CY105" s="2928">
        <f t="shared" si="8"/>
      </c>
      <c r="CZ105" s="2928">
        <f t="shared" si="8"/>
      </c>
      <c r="DA105" s="2928">
        <f t="shared" si="8"/>
      </c>
      <c r="DB105" s="2928">
        <f t="shared" si="8"/>
      </c>
      <c r="DC105" s="2928">
        <f t="shared" si="8"/>
      </c>
      <c r="DD105" s="2928">
        <f t="shared" si="8"/>
      </c>
      <c r="DE105" s="2928">
        <f t="shared" si="8"/>
      </c>
      <c r="DF105" s="2928">
        <f t="shared" si="8"/>
      </c>
      <c r="DG105" s="2928">
        <f t="shared" si="8"/>
      </c>
      <c r="DH105" s="2928">
        <f t="shared" si="8"/>
      </c>
      <c r="DI105" s="2928">
        <f t="shared" si="8"/>
      </c>
      <c r="DJ105" s="2928">
        <f t="shared" si="8"/>
      </c>
      <c r="DK105" s="2928">
        <f t="shared" si="8"/>
      </c>
      <c r="DL105" s="2928">
        <f t="shared" si="8"/>
      </c>
      <c r="DM105" s="2928">
        <f t="shared" si="8"/>
      </c>
      <c r="DN105" s="2928">
        <f t="shared" si="8"/>
      </c>
      <c r="DO105" s="2928">
        <f t="shared" si="8"/>
      </c>
      <c r="DP105" s="2928">
        <f t="shared" si="8"/>
      </c>
      <c r="DQ105" s="2928">
        <f t="shared" si="8"/>
      </c>
      <c r="DR105" s="2928">
        <f t="shared" si="8"/>
      </c>
      <c r="DS105" s="2928">
        <f t="shared" si="8"/>
      </c>
      <c r="DT105" s="2928">
        <f t="shared" si="8"/>
      </c>
      <c r="DU105" s="2928">
        <f t="shared" si="8"/>
      </c>
      <c r="DV105" s="2928">
        <f t="shared" si="8"/>
      </c>
      <c r="DW105" s="2928">
        <f t="shared" si="8"/>
      </c>
      <c r="DX105" s="2928">
        <f t="shared" si="8"/>
      </c>
      <c r="DY105" s="2928">
        <f t="shared" si="8"/>
      </c>
      <c r="DZ105" s="2928">
        <f t="shared" si="8"/>
      </c>
      <c r="EA105" s="2928">
        <f t="shared" si="8"/>
      </c>
      <c r="EB105" s="2928">
        <f t="shared" si="8"/>
      </c>
      <c r="EC105" s="2928">
        <f t="shared" si="8"/>
      </c>
      <c r="ED105" s="2928">
        <f t="shared" si="8"/>
      </c>
      <c r="EE105" s="2928">
        <f t="shared" si="8"/>
      </c>
      <c r="EF105" s="2928">
        <f t="shared" si="8"/>
      </c>
      <c r="EG105" s="2928">
        <f t="shared" si="8"/>
      </c>
      <c r="EH105" s="2928">
        <f t="shared" si="8"/>
      </c>
      <c r="EI105" s="2928">
        <f t="shared" si="8"/>
      </c>
      <c r="EJ105" s="2928">
        <f t="shared" si="8"/>
      </c>
      <c r="EK105" s="2928">
        <f t="shared" si="8"/>
      </c>
      <c r="EL105" s="2928">
        <f t="shared" si="8"/>
      </c>
      <c r="EM105" s="2928">
        <f t="shared" si="8"/>
      </c>
      <c r="EN105" s="2928">
        <f t="shared" si="8"/>
      </c>
      <c r="EO105" s="2928">
        <f t="shared" si="8"/>
      </c>
      <c r="EP105" s="2928">
        <f t="shared" si="8"/>
      </c>
      <c r="EQ105" s="2928">
        <f t="shared" si="8"/>
      </c>
      <c r="ER105" s="2928">
        <f t="shared" si="8"/>
      </c>
      <c r="ES105" s="2928">
        <f t="shared" si="8"/>
      </c>
      <c r="ET105" s="2928">
        <f t="shared" si="8"/>
      </c>
      <c r="EU105" s="2928">
        <f t="shared" si="8"/>
      </c>
      <c r="EV105" s="2928">
        <f t="shared" si="8"/>
      </c>
      <c r="EW105" s="2928">
        <f t="shared" si="8"/>
      </c>
      <c r="EX105" s="2928">
        <f t="shared" si="8"/>
      </c>
      <c r="EY105" s="2928">
        <f t="shared" si="8"/>
      </c>
      <c r="EZ105" s="2928">
        <f t="shared" si="8"/>
      </c>
      <c r="FA105" s="2929" t="str">
        <f t="shared" si="12"/>
        <v>-</v>
      </c>
      <c r="FB105" s="2825">
        <f t="shared" si="13"/>
      </c>
      <c r="FC105" s="2930" cm="1">
        <f t="array" ref="FC105">_xlfn.LET(_xlpm.unit_type,$G105,_xlpm.market_rent_from_rent_roll,$E105,_xlpm.unit_type_list,RentRoll_InputArea_DesignatedUnitType,_xlpm.rent_by_unit_type,RentRoll_InputArea_MarketRent,_xlpm.use_rent_roll_market_rent,LEFT(RR_VacantUnitMktRentSource,9)="Rent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05" s="2930">
        <f t="shared" si="14"/>
        <v>1550</v>
      </c>
      <c r="FE105" s="2930">
        <f t="shared" si="15"/>
        <v>1550</v>
      </c>
      <c r="FF105" s="2930">
        <f t="shared" si="16"/>
        <v>1550</v>
      </c>
      <c r="FG105" s="2931"/>
      <c r="FH105" s="2932">
        <f t="shared" si="17"/>
      </c>
      <c r="FI105" s="2932">
        <f t="shared" si="18"/>
      </c>
      <c r="FJ105" s="2931"/>
      <c r="FK105" s="2933" cm="1">
        <f t="array" ref="FK105">IF(AND(LEN($D105)&gt;0,ISNA(MATCH(TRUE,EXACT($G105,RentRoll_InputArea_DesignatedUnitType),0))),1,0)</f>
        <v>0</v>
      </c>
      <c r="FL105" s="2931">
        <f t="shared" si="19"/>
        <v>82</v>
      </c>
      <c r="FM105" s="2931"/>
      <c r="FN105" s="2931"/>
      <c r="FO105" s="2931"/>
      <c r="FP105" s="2931"/>
      <c r="FQ105" s="2931"/>
      <c r="FR105" s="2931"/>
      <c r="FS105" s="2931"/>
      <c r="FT105" s="2931"/>
      <c r="FU105" s="2931"/>
      <c r="FV105" s="2931"/>
      <c r="FW105" s="2931"/>
      <c r="FX105" s="2931"/>
      <c r="FY105" s="2931"/>
      <c r="FZ105" s="2931"/>
      <c r="GA105" s="2931"/>
      <c r="GB105" s="2931"/>
      <c r="GC105" s="2931"/>
      <c r="GD105" s="2931"/>
      <c r="GE105" s="2931"/>
      <c r="GF105" s="2931"/>
      <c r="GG105" s="2931"/>
      <c r="GH105" s="2931"/>
      <c r="GI105" s="2931"/>
      <c r="GJ105" s="2931"/>
      <c r="GK105" s="2931"/>
      <c r="GL105" s="2931"/>
      <c r="GM105" s="2931"/>
      <c r="GN105" s="2931"/>
      <c r="GO105" s="2931"/>
      <c r="GP105" s="2931"/>
      <c r="GQ105" s="2931"/>
      <c r="GR105" s="2931"/>
      <c r="GS105" s="2931"/>
      <c r="GT105" s="2931"/>
      <c r="GU105" s="2931"/>
      <c r="GV105" s="2931"/>
      <c r="GW105" s="2931"/>
      <c r="GX105" s="2931"/>
      <c r="GY105" s="2931"/>
      <c r="GZ105" s="2931"/>
      <c r="HA105" s="2931"/>
      <c r="HB105" s="2931"/>
      <c r="HC105" s="2931"/>
      <c r="HD105" s="2931"/>
      <c r="HE105" s="2931"/>
      <c r="HF105" s="2931"/>
      <c r="HG105" s="2931"/>
      <c r="HH105" s="2931"/>
      <c r="HI105" s="2931"/>
      <c r="HJ105" s="2931"/>
      <c r="HK105" s="2931"/>
      <c r="HL105" s="2931"/>
      <c r="HM105" s="2931"/>
      <c r="HN105" s="2931"/>
      <c r="HO105" s="2931"/>
      <c r="HP105" s="2931"/>
      <c r="HQ105" s="2931"/>
      <c r="HR105" s="2931"/>
      <c r="HS105" s="2931"/>
      <c r="HT105" s="2931"/>
      <c r="HU105" s="2931"/>
      <c r="HV105" s="2931"/>
      <c r="HW105" s="2931"/>
      <c r="HX105" s="2931"/>
      <c r="HY105" s="2931"/>
      <c r="HZ105" s="2931"/>
      <c r="IA105" s="2931"/>
      <c r="IB105" s="2931"/>
      <c r="IC105" s="2931"/>
      <c r="ID105" s="2931"/>
      <c r="IE105" s="2931"/>
      <c r="IF105" s="2931"/>
      <c r="IG105" s="2931"/>
      <c r="IH105" s="2931"/>
      <c r="II105" s="2931"/>
      <c r="IJ105" s="2931"/>
      <c r="IK105" s="2931"/>
      <c r="IL105" s="2931"/>
      <c r="IM105" s="2931"/>
      <c r="IN105" s="2931"/>
      <c r="IO105" s="2931" cm="1">
        <f t="array" ref="IO105">IF(LEN($G105)=0,"Rent Roll is incomplete",_xlfn.XLOOKUP(TRUE,EXACT(RentRoll_InputArea_DesignatedUnitType,$G105),RentRoll_InputArea_Beds,"Not Found"))</f>
        <v>0</v>
      </c>
      <c r="IP105" s="2934"/>
      <c r="IQ105" s="2935" t="str">
        <f t="shared" si="20"/>
        <v>0 Bedroom Unit (Efficiency/Studio)</v>
      </c>
      <c r="IR105" s="2926">
        <f t="shared" si="21"/>
        <v>1550</v>
      </c>
      <c r="IS105" s="2935"/>
      <c r="IT105" s="2931"/>
      <c r="IU105" s="2931"/>
      <c r="IV105" s="2931"/>
      <c r="IW105" s="2936" t="str">
        <f t="shared" si="22"/>
        <v>7-707</v>
      </c>
      <c r="IX105" s="2936"/>
      <c r="IY105" s="2936"/>
      <c r="IZ105" s="2936">
        <f t="shared" si="23"/>
        <v>0</v>
      </c>
      <c r="JA105" s="2936">
        <f t="shared" si="24"/>
        <v>1550</v>
      </c>
      <c r="JB105" s="2936"/>
      <c r="JC105" s="2936"/>
      <c r="JD105" s="2936"/>
      <c r="JE105" s="2936"/>
      <c r="JF105" s="2936"/>
      <c r="JG105" s="2936"/>
      <c r="JH105" s="2936">
        <f t="shared" si="25"/>
        <v>1533</v>
      </c>
      <c r="JI105" s="2936"/>
      <c r="JJ105" s="2936">
        <f t="shared" si="26"/>
      </c>
      <c r="JK105" s="2936"/>
      <c r="JL105" s="2936"/>
      <c r="JM105" s="2936"/>
      <c r="JN105" s="2936"/>
      <c r="JO105" s="2936"/>
      <c r="JP105" s="2936"/>
      <c r="JQ105" s="2936" t="str">
        <f t="shared" si="27"/>
        <v>Occupied</v>
      </c>
      <c r="JR105" s="2936" cm="1">
        <f t="array" ref="JR105">_xlfn.XLOOKUP(TRUE,EXACT(RentRoll_InputArea_DesignatedUnitType,$G105),RentRoll_InputArea_SquareFootage,"Not Found")</f>
        <v>1050</v>
      </c>
      <c r="JS105" s="2936" t="str">
        <f t="shared" si="28"/>
        <v>Apartment</v>
      </c>
      <c r="JT105" s="2936">
        <f t="shared" si="29"/>
      </c>
      <c r="JU105" s="2936"/>
      <c r="JV105" s="2936"/>
      <c r="JW105" s="2936"/>
      <c r="JX105" s="2936"/>
      <c r="JY105" s="2936">
        <f t="shared" si="9"/>
        <v>43577</v>
      </c>
      <c r="JZ105" s="2936">
        <f t="shared" si="9"/>
        <v>43951</v>
      </c>
      <c r="KA105" s="2936"/>
      <c r="KB105" s="2936"/>
      <c r="KC105" s="2936"/>
      <c r="KD105" s="2936"/>
      <c r="KE105" s="2936"/>
      <c r="KF105" s="2936"/>
      <c r="KG105" s="2936"/>
      <c r="KH105" s="2936"/>
      <c r="KI105" s="2937"/>
      <c r="KJ105" s="2936"/>
      <c r="KK105" s="1353"/>
    </row>
    <row r="106" ht="15" customHeight="1">
      <c r="A106" s="2922">
        <f t="shared" si="10"/>
        <v>83</v>
      </c>
      <c r="B106" s="2865"/>
      <c r="C106" s="2873"/>
      <c r="D106" s="2873" t="s">
        <v>2907</v>
      </c>
      <c r="E106" s="2923">
        <v>1225</v>
      </c>
      <c r="F106" s="2924" t="s">
        <v>2908</v>
      </c>
      <c r="G106" s="2873" t="s">
        <v>2530</v>
      </c>
      <c r="H106" s="2923">
        <v>1154</v>
      </c>
      <c r="I106" s="2925" cm="1">
        <f t="array" ref="I106">_xlfn.LET(_xlpm.has_subsidy,$N106&gt;0,_xlpm.is_chap9_sbl,$FF$20,_xlpm.contract_rent,$H106,_xlpm.unit_type_mkt_rent,_xlfn.XLOOKUP(TRUE,EXACT($G106,RentRoll_InputArea_DesignatedUnitType),RentRoll_InputArea_MarketRent,"Not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6" s="2926">
        <f t="shared" si="11"/>
        <v>1154</v>
      </c>
      <c r="K106" s="2923"/>
      <c r="L106" s="2923"/>
      <c r="M106" s="2923"/>
      <c r="N106" s="2923"/>
      <c r="O106" s="2927">
        <v>43427</v>
      </c>
      <c r="P106" s="2927">
        <v>43708</v>
      </c>
      <c r="Q106" s="2928">
        <f t="shared" si="8"/>
      </c>
      <c r="R106" s="2928">
        <f t="shared" si="8"/>
        <v>1154</v>
      </c>
      <c r="S106" s="2928">
        <f t="shared" si="8"/>
      </c>
      <c r="T106" s="2928">
        <f t="shared" si="8"/>
      </c>
      <c r="U106" s="2928">
        <f t="shared" si="8"/>
      </c>
      <c r="V106" s="2928">
        <f t="shared" si="8"/>
      </c>
      <c r="W106" s="2928">
        <f t="shared" si="8"/>
      </c>
      <c r="X106" s="2928">
        <f t="shared" si="8"/>
      </c>
      <c r="Y106" s="2928">
        <f t="shared" si="8"/>
      </c>
      <c r="Z106" s="2928">
        <f t="shared" si="8"/>
      </c>
      <c r="AA106" s="2928">
        <f t="shared" si="8"/>
      </c>
      <c r="AB106" s="2928">
        <f t="shared" si="8"/>
      </c>
      <c r="AC106" s="2928">
        <f t="shared" si="8"/>
      </c>
      <c r="AD106" s="2928">
        <f t="shared" si="8"/>
      </c>
      <c r="AE106" s="2928">
        <f t="shared" si="8"/>
      </c>
      <c r="AF106" s="2928">
        <f t="shared" si="8"/>
      </c>
      <c r="AG106" s="2928">
        <f t="shared" si="8"/>
      </c>
      <c r="AH106" s="2928">
        <f t="shared" si="8"/>
      </c>
      <c r="AI106" s="2928">
        <f t="shared" si="8"/>
      </c>
      <c r="AJ106" s="2928">
        <f t="shared" si="8"/>
      </c>
      <c r="AK106" s="2928">
        <f t="shared" si="8"/>
      </c>
      <c r="AL106" s="2928">
        <f t="shared" si="8"/>
      </c>
      <c r="AM106" s="2928">
        <f t="shared" si="8"/>
      </c>
      <c r="AN106" s="2928">
        <f t="shared" si="8"/>
      </c>
      <c r="AO106" s="2928">
        <f t="shared" si="8"/>
      </c>
      <c r="AP106" s="2928">
        <f t="shared" si="8"/>
      </c>
      <c r="AQ106" s="2928">
        <f t="shared" si="8"/>
      </c>
      <c r="AR106" s="2928">
        <f t="shared" si="8"/>
      </c>
      <c r="AS106" s="2928">
        <f t="shared" si="8"/>
      </c>
      <c r="AT106" s="2928">
        <f t="shared" si="8"/>
      </c>
      <c r="AU106" s="2928">
        <f t="shared" si="8"/>
      </c>
      <c r="AV106" s="2928">
        <f t="shared" si="8"/>
      </c>
      <c r="AW106" s="2928">
        <f t="shared" si="8"/>
      </c>
      <c r="AX106" s="2928">
        <f t="shared" si="8"/>
      </c>
      <c r="AY106" s="2928">
        <f t="shared" si="8"/>
      </c>
      <c r="AZ106" s="2928">
        <f t="shared" si="8"/>
      </c>
      <c r="BA106" s="2928">
        <f t="shared" si="8"/>
      </c>
      <c r="BB106" s="2928">
        <f t="shared" si="8"/>
      </c>
      <c r="BC106" s="2928">
        <f t="shared" si="8"/>
      </c>
      <c r="BD106" s="2928">
        <f t="shared" si="8"/>
      </c>
      <c r="BE106" s="2928">
        <f t="shared" si="8"/>
      </c>
      <c r="BF106" s="2928">
        <f t="shared" si="8"/>
      </c>
      <c r="BG106" s="2928">
        <f t="shared" si="8"/>
      </c>
      <c r="BH106" s="2928">
        <f t="shared" si="8"/>
      </c>
      <c r="BI106" s="2928">
        <f t="shared" si="8"/>
      </c>
      <c r="BJ106" s="2928">
        <f t="shared" si="8"/>
      </c>
      <c r="BK106" s="2928">
        <f t="shared" si="8"/>
      </c>
      <c r="BL106" s="2928">
        <f t="shared" si="8"/>
      </c>
      <c r="BM106" s="2928">
        <f t="shared" si="8"/>
      </c>
      <c r="BN106" s="2928">
        <f t="shared" si="8"/>
      </c>
      <c r="BO106" s="2928">
        <f t="shared" si="8"/>
      </c>
      <c r="BP106" s="2928">
        <f t="shared" si="8"/>
      </c>
      <c r="BQ106" s="2928">
        <f t="shared" si="8"/>
      </c>
      <c r="BR106" s="2928">
        <f t="shared" si="8"/>
      </c>
      <c r="BS106" s="2928">
        <f t="shared" si="8"/>
      </c>
      <c r="BT106" s="2928">
        <f t="shared" si="8"/>
      </c>
      <c r="BU106" s="2928">
        <f t="shared" si="8"/>
      </c>
      <c r="BV106" s="2928">
        <f t="shared" si="8"/>
      </c>
      <c r="BW106" s="2928">
        <f t="shared" si="8"/>
      </c>
      <c r="BX106" s="2928">
        <f t="shared" si="8"/>
      </c>
      <c r="BY106" s="2928">
        <f t="shared" si="8"/>
      </c>
      <c r="BZ106" s="2928">
        <f t="shared" si="8"/>
      </c>
      <c r="CA106" s="2928">
        <f t="shared" si="8"/>
      </c>
      <c r="CB106" s="2928">
        <f t="shared" si="8"/>
      </c>
      <c r="CC106" s="2928">
        <f t="shared" si="8"/>
      </c>
      <c r="CD106" s="2928">
        <f t="shared" si="8"/>
      </c>
      <c r="CE106" s="2928">
        <f t="shared" si="8"/>
      </c>
      <c r="CF106" s="2928">
        <f t="shared" si="8"/>
      </c>
      <c r="CG106" s="2928">
        <f t="shared" si="8"/>
      </c>
      <c r="CH106" s="2928">
        <f t="shared" si="8"/>
      </c>
      <c r="CI106" s="2928">
        <f t="shared" si="8"/>
      </c>
      <c r="CJ106" s="2928">
        <f t="shared" si="8"/>
      </c>
      <c r="CK106" s="2928">
        <f t="shared" si="8"/>
      </c>
      <c r="CL106" s="2928">
        <f t="shared" si="8"/>
      </c>
      <c r="CM106" s="2928">
        <f t="shared" si="8"/>
      </c>
      <c r="CN106" s="2928">
        <f t="shared" si="8"/>
      </c>
      <c r="CO106" s="2928">
        <f t="shared" si="8"/>
      </c>
      <c r="CP106" s="2928">
        <f t="shared" si="8"/>
      </c>
      <c r="CQ106" s="2928">
        <f t="shared" si="8"/>
      </c>
      <c r="CR106" s="2928">
        <f t="shared" si="8"/>
      </c>
      <c r="CS106" s="2928">
        <f t="shared" si="8"/>
      </c>
      <c r="CT106" s="2928">
        <f t="shared" si="8"/>
      </c>
      <c r="CU106" s="2928">
        <f t="shared" si="8"/>
      </c>
      <c r="CV106" s="2928">
        <f t="shared" si="8"/>
      </c>
      <c r="CW106" s="2928">
        <f t="shared" si="8"/>
      </c>
      <c r="CX106" s="2928">
        <f t="shared" si="8"/>
      </c>
      <c r="CY106" s="2928">
        <f t="shared" si="8"/>
      </c>
      <c r="CZ106" s="2928">
        <f t="shared" si="8"/>
      </c>
      <c r="DA106" s="2928">
        <f t="shared" si="8"/>
      </c>
      <c r="DB106" s="2928">
        <f t="shared" si="8"/>
      </c>
      <c r="DC106" s="2928">
        <f t="shared" si="8"/>
      </c>
      <c r="DD106" s="2928">
        <f t="shared" si="8"/>
      </c>
      <c r="DE106" s="2928">
        <f t="shared" si="8"/>
      </c>
      <c r="DF106" s="2928">
        <f t="shared" si="8"/>
      </c>
      <c r="DG106" s="2928">
        <f t="shared" si="8"/>
      </c>
      <c r="DH106" s="2928">
        <f t="shared" si="8"/>
      </c>
      <c r="DI106" s="2928">
        <f t="shared" si="8"/>
      </c>
      <c r="DJ106" s="2928">
        <f t="shared" si="8"/>
      </c>
      <c r="DK106" s="2928">
        <f t="shared" si="8"/>
      </c>
      <c r="DL106" s="2928">
        <f t="shared" si="8"/>
      </c>
      <c r="DM106" s="2928">
        <f t="shared" si="8"/>
      </c>
      <c r="DN106" s="2928">
        <f t="shared" si="8"/>
      </c>
      <c r="DO106" s="2928">
        <f t="shared" si="8"/>
      </c>
      <c r="DP106" s="2928">
        <f t="shared" si="8"/>
      </c>
      <c r="DQ106" s="2928">
        <f t="shared" si="8"/>
      </c>
      <c r="DR106" s="2928">
        <f t="shared" si="8"/>
      </c>
      <c r="DS106" s="2928">
        <f t="shared" si="8"/>
      </c>
      <c r="DT106" s="2928">
        <f t="shared" si="8"/>
      </c>
      <c r="DU106" s="2928">
        <f t="shared" si="8"/>
      </c>
      <c r="DV106" s="2928">
        <f t="shared" si="8"/>
      </c>
      <c r="DW106" s="2928">
        <f t="shared" si="8"/>
      </c>
      <c r="DX106" s="2928">
        <f t="shared" si="8"/>
      </c>
      <c r="DY106" s="2928">
        <f t="shared" si="8"/>
      </c>
      <c r="DZ106" s="2928">
        <f t="shared" si="8"/>
      </c>
      <c r="EA106" s="2928">
        <f t="shared" si="8"/>
      </c>
      <c r="EB106" s="2928">
        <f t="shared" si="8"/>
      </c>
      <c r="EC106" s="2928">
        <f t="shared" si="8"/>
      </c>
      <c r="ED106" s="2928">
        <f t="shared" si="8"/>
      </c>
      <c r="EE106" s="2928">
        <f t="shared" si="8"/>
      </c>
      <c r="EF106" s="2928">
        <f t="shared" si="8"/>
      </c>
      <c r="EG106" s="2928">
        <f t="shared" si="8"/>
      </c>
      <c r="EH106" s="2928">
        <f t="shared" si="8"/>
      </c>
      <c r="EI106" s="2928">
        <f t="shared" si="8"/>
      </c>
      <c r="EJ106" s="2928">
        <f t="shared" si="8"/>
      </c>
      <c r="EK106" s="2928">
        <f t="shared" si="8"/>
      </c>
      <c r="EL106" s="2928">
        <f t="shared" si="8"/>
      </c>
      <c r="EM106" s="2928">
        <f t="shared" si="8"/>
      </c>
      <c r="EN106" s="2928">
        <f t="shared" si="8"/>
      </c>
      <c r="EO106" s="2928">
        <f t="shared" si="8"/>
      </c>
      <c r="EP106" s="2928">
        <f t="shared" si="8"/>
      </c>
      <c r="EQ106" s="2928">
        <f t="shared" si="8"/>
      </c>
      <c r="ER106" s="2928">
        <f t="shared" si="8"/>
      </c>
      <c r="ES106" s="2928">
        <f t="shared" si="8"/>
      </c>
      <c r="ET106" s="2928">
        <f t="shared" si="8"/>
      </c>
      <c r="EU106" s="2928">
        <f t="shared" si="8"/>
      </c>
      <c r="EV106" s="2928">
        <f t="shared" si="8"/>
      </c>
      <c r="EW106" s="2928">
        <f t="shared" si="8"/>
      </c>
      <c r="EX106" s="2928">
        <f t="shared" si="8"/>
      </c>
      <c r="EY106" s="2928">
        <f t="shared" si="8"/>
      </c>
      <c r="EZ106" s="2928">
        <f t="shared" si="8"/>
      </c>
      <c r="FA106" s="2929" t="str">
        <f t="shared" si="12"/>
        <v>-</v>
      </c>
      <c r="FB106" s="2825">
        <f t="shared" si="13"/>
      </c>
      <c r="FC106" s="2930" cm="1">
        <f t="array" ref="FC106">_xlfn.LET(_xlpm.unit_type,$G106,_xlpm.market_rent_from_rent_roll,$E106,_xlpm.unit_type_list,RentRoll_InputArea_DesignatedUnitType,_xlpm.rent_by_unit_type,RentRoll_InputArea_MarketRent,_xlpm.use_rent_roll_market_rent,LEFT(RR_VacantUnitMktRentSource,9)="Rent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6" s="2930">
        <f t="shared" si="14"/>
        <v>1154</v>
      </c>
      <c r="FE106" s="2930">
        <f t="shared" si="15"/>
        <v>1154</v>
      </c>
      <c r="FF106" s="2930">
        <f t="shared" si="16"/>
        <v>1154</v>
      </c>
      <c r="FG106" s="2931"/>
      <c r="FH106" s="2932">
        <f t="shared" si="17"/>
      </c>
      <c r="FI106" s="2932">
        <f t="shared" si="18"/>
      </c>
      <c r="FJ106" s="2931"/>
      <c r="FK106" s="2933" cm="1">
        <f t="array" ref="FK106">IF(AND(LEN($D106)&gt;0,ISNA(MATCH(TRUE,EXACT($G106,RentRoll_InputArea_DesignatedUnitType),0))),1,0)</f>
        <v>0</v>
      </c>
      <c r="FL106" s="2931">
        <f t="shared" si="19"/>
        <v>83</v>
      </c>
      <c r="FM106" s="2931"/>
      <c r="FN106" s="2931"/>
      <c r="FO106" s="2931"/>
      <c r="FP106" s="2931"/>
      <c r="FQ106" s="2931"/>
      <c r="FR106" s="2931"/>
      <c r="FS106" s="2931"/>
      <c r="FT106" s="2931"/>
      <c r="FU106" s="2931"/>
      <c r="FV106" s="2931"/>
      <c r="FW106" s="2931"/>
      <c r="FX106" s="2931"/>
      <c r="FY106" s="2931"/>
      <c r="FZ106" s="2931"/>
      <c r="GA106" s="2931"/>
      <c r="GB106" s="2931"/>
      <c r="GC106" s="2931"/>
      <c r="GD106" s="2931"/>
      <c r="GE106" s="2931"/>
      <c r="GF106" s="2931"/>
      <c r="GG106" s="2931"/>
      <c r="GH106" s="2931"/>
      <c r="GI106" s="2931"/>
      <c r="GJ106" s="2931"/>
      <c r="GK106" s="2931"/>
      <c r="GL106" s="2931"/>
      <c r="GM106" s="2931"/>
      <c r="GN106" s="2931"/>
      <c r="GO106" s="2931"/>
      <c r="GP106" s="2931"/>
      <c r="GQ106" s="2931"/>
      <c r="GR106" s="2931"/>
      <c r="GS106" s="2931"/>
      <c r="GT106" s="2931"/>
      <c r="GU106" s="2931"/>
      <c r="GV106" s="2931"/>
      <c r="GW106" s="2931"/>
      <c r="GX106" s="2931"/>
      <c r="GY106" s="2931"/>
      <c r="GZ106" s="2931"/>
      <c r="HA106" s="2931"/>
      <c r="HB106" s="2931"/>
      <c r="HC106" s="2931"/>
      <c r="HD106" s="2931"/>
      <c r="HE106" s="2931"/>
      <c r="HF106" s="2931"/>
      <c r="HG106" s="2931"/>
      <c r="HH106" s="2931"/>
      <c r="HI106" s="2931"/>
      <c r="HJ106" s="2931"/>
      <c r="HK106" s="2931"/>
      <c r="HL106" s="2931"/>
      <c r="HM106" s="2931"/>
      <c r="HN106" s="2931"/>
      <c r="HO106" s="2931"/>
      <c r="HP106" s="2931"/>
      <c r="HQ106" s="2931"/>
      <c r="HR106" s="2931"/>
      <c r="HS106" s="2931"/>
      <c r="HT106" s="2931"/>
      <c r="HU106" s="2931"/>
      <c r="HV106" s="2931"/>
      <c r="HW106" s="2931"/>
      <c r="HX106" s="2931"/>
      <c r="HY106" s="2931"/>
      <c r="HZ106" s="2931"/>
      <c r="IA106" s="2931"/>
      <c r="IB106" s="2931"/>
      <c r="IC106" s="2931"/>
      <c r="ID106" s="2931"/>
      <c r="IE106" s="2931"/>
      <c r="IF106" s="2931"/>
      <c r="IG106" s="2931"/>
      <c r="IH106" s="2931"/>
      <c r="II106" s="2931"/>
      <c r="IJ106" s="2931"/>
      <c r="IK106" s="2931"/>
      <c r="IL106" s="2931"/>
      <c r="IM106" s="2931"/>
      <c r="IN106" s="2931"/>
      <c r="IO106" s="2931" cm="1">
        <f t="array" ref="IO106">IF(LEN($G106)=0,"Rent Roll is incomplete",_xlfn.XLOOKUP(TRUE,EXACT(RentRoll_InputArea_DesignatedUnitType,$G106),RentRoll_InputArea_Beds,"Not Found"))</f>
        <v>0</v>
      </c>
      <c r="IP106" s="2934"/>
      <c r="IQ106" s="2935" t="str">
        <f t="shared" si="20"/>
        <v>0 Bedroom Unit (Efficiency/Studio)</v>
      </c>
      <c r="IR106" s="2926">
        <f t="shared" si="21"/>
        <v>1154</v>
      </c>
      <c r="IS106" s="2935"/>
      <c r="IT106" s="2931"/>
      <c r="IU106" s="2931"/>
      <c r="IV106" s="2931"/>
      <c r="IW106" s="2936" t="str">
        <f t="shared" si="22"/>
        <v>7-708</v>
      </c>
      <c r="IX106" s="2936"/>
      <c r="IY106" s="2936"/>
      <c r="IZ106" s="2936">
        <f t="shared" si="23"/>
        <v>0</v>
      </c>
      <c r="JA106" s="2936">
        <f t="shared" si="24"/>
        <v>1154</v>
      </c>
      <c r="JB106" s="2936"/>
      <c r="JC106" s="2936"/>
      <c r="JD106" s="2936"/>
      <c r="JE106" s="2936"/>
      <c r="JF106" s="2936"/>
      <c r="JG106" s="2936"/>
      <c r="JH106" s="2936">
        <f t="shared" si="25"/>
        <v>1217</v>
      </c>
      <c r="JI106" s="2936"/>
      <c r="JJ106" s="2936">
        <f t="shared" si="26"/>
      </c>
      <c r="JK106" s="2936"/>
      <c r="JL106" s="2936"/>
      <c r="JM106" s="2936"/>
      <c r="JN106" s="2936"/>
      <c r="JO106" s="2936"/>
      <c r="JP106" s="2936"/>
      <c r="JQ106" s="2936" t="str">
        <f t="shared" si="27"/>
        <v>Occupied</v>
      </c>
      <c r="JR106" s="2936" cm="1">
        <f t="array" ref="JR106">_xlfn.XLOOKUP(TRUE,EXACT(RentRoll_InputArea_DesignatedUnitType,$G106),RentRoll_InputArea_SquareFootage,"Not Found")</f>
        <v>800</v>
      </c>
      <c r="JS106" s="2936" t="str">
        <f t="shared" si="28"/>
        <v>Apartment</v>
      </c>
      <c r="JT106" s="2936">
        <f t="shared" si="29"/>
      </c>
      <c r="JU106" s="2936"/>
      <c r="JV106" s="2936"/>
      <c r="JW106" s="2936"/>
      <c r="JX106" s="2936"/>
      <c r="JY106" s="2936">
        <f t="shared" si="9"/>
        <v>43427</v>
      </c>
      <c r="JZ106" s="2936">
        <f t="shared" si="9"/>
        <v>43708</v>
      </c>
      <c r="KA106" s="2936"/>
      <c r="KB106" s="2936"/>
      <c r="KC106" s="2936"/>
      <c r="KD106" s="2936"/>
      <c r="KE106" s="2936"/>
      <c r="KF106" s="2936"/>
      <c r="KG106" s="2936"/>
      <c r="KH106" s="2936"/>
      <c r="KI106" s="2937"/>
      <c r="KJ106" s="2936"/>
      <c r="KK106" s="1353"/>
    </row>
    <row r="107" ht="15" customHeight="1">
      <c r="A107" s="2922">
        <f t="shared" si="10"/>
        <v>84</v>
      </c>
      <c r="B107" s="2865"/>
      <c r="C107" s="2873"/>
      <c r="D107" s="2873" t="s">
        <v>2909</v>
      </c>
      <c r="E107" s="2923">
        <v>1259</v>
      </c>
      <c r="F107" s="2924" t="s">
        <v>2910</v>
      </c>
      <c r="G107" s="2873" t="s">
        <v>2530</v>
      </c>
      <c r="H107" s="2923">
        <v>1146</v>
      </c>
      <c r="I107" s="2925" cm="1">
        <f t="array" ref="I107">_xlfn.LET(_xlpm.has_subsidy,$N107&gt;0,_xlpm.is_chap9_sbl,$FF$20,_xlpm.contract_rent,$H107,_xlpm.unit_type_mkt_rent,_xlfn.XLOOKUP(TRUE,EXACT($G107,RentRoll_InputArea_DesignatedUnitType),RentRoll_InputArea_MarketRent,"Not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7" s="2926">
        <f t="shared" si="11"/>
        <v>1146</v>
      </c>
      <c r="K107" s="2923"/>
      <c r="L107" s="2923"/>
      <c r="M107" s="2923"/>
      <c r="N107" s="2923"/>
      <c r="O107" s="2927">
        <v>43420</v>
      </c>
      <c r="P107" s="2927">
        <v>43646</v>
      </c>
      <c r="Q107" s="2928">
        <f t="shared" si="8"/>
      </c>
      <c r="R107" s="2928">
        <f t="shared" si="8"/>
        <v>1146</v>
      </c>
      <c r="S107" s="2928">
        <f t="shared" si="8"/>
      </c>
      <c r="T107" s="2928">
        <f t="shared" si="8"/>
      </c>
      <c r="U107" s="2928">
        <f t="shared" si="8"/>
      </c>
      <c r="V107" s="2928">
        <f t="shared" si="8"/>
      </c>
      <c r="W107" s="2928">
        <f t="shared" si="8"/>
      </c>
      <c r="X107" s="2928">
        <f t="shared" si="8"/>
      </c>
      <c r="Y107" s="2928">
        <f t="shared" si="8"/>
      </c>
      <c r="Z107" s="2928">
        <f t="shared" si="8"/>
      </c>
      <c r="AA107" s="2928">
        <f t="shared" si="8"/>
      </c>
      <c r="AB107" s="2928">
        <f t="shared" si="8"/>
      </c>
      <c r="AC107" s="2928">
        <f t="shared" si="8"/>
      </c>
      <c r="AD107" s="2928">
        <f t="shared" si="8"/>
      </c>
      <c r="AE107" s="2928">
        <f t="shared" si="8"/>
      </c>
      <c r="AF107" s="2928">
        <f t="shared" si="8"/>
      </c>
      <c r="AG107" s="2928">
        <f t="shared" si="8"/>
      </c>
      <c r="AH107" s="2928">
        <f t="shared" si="8"/>
      </c>
      <c r="AI107" s="2928">
        <f t="shared" si="8"/>
      </c>
      <c r="AJ107" s="2928">
        <f t="shared" si="8"/>
      </c>
      <c r="AK107" s="2928">
        <f t="shared" si="8"/>
      </c>
      <c r="AL107" s="2928">
        <f t="shared" si="8"/>
      </c>
      <c r="AM107" s="2928">
        <f t="shared" si="8"/>
      </c>
      <c r="AN107" s="2928">
        <f t="shared" si="8"/>
      </c>
      <c r="AO107" s="2928">
        <f t="shared" si="8"/>
      </c>
      <c r="AP107" s="2928">
        <f t="shared" si="8"/>
      </c>
      <c r="AQ107" s="2928">
        <f t="shared" si="8"/>
      </c>
      <c r="AR107" s="2928">
        <f t="shared" si="8"/>
      </c>
      <c r="AS107" s="2928">
        <f t="shared" si="8"/>
      </c>
      <c r="AT107" s="2928">
        <f t="shared" si="8"/>
      </c>
      <c r="AU107" s="2928">
        <f t="shared" si="8"/>
      </c>
      <c r="AV107" s="2928">
        <f t="shared" si="8"/>
      </c>
      <c r="AW107" s="2928">
        <f t="shared" si="8"/>
      </c>
      <c r="AX107" s="2928">
        <f t="shared" si="8"/>
      </c>
      <c r="AY107" s="2928">
        <f t="shared" si="8"/>
      </c>
      <c r="AZ107" s="2928">
        <f t="shared" si="8"/>
      </c>
      <c r="BA107" s="2928">
        <f t="shared" si="8"/>
      </c>
      <c r="BB107" s="2928">
        <f t="shared" si="8"/>
      </c>
      <c r="BC107" s="2928">
        <f t="shared" si="8"/>
      </c>
      <c r="BD107" s="2928">
        <f t="shared" si="8"/>
      </c>
      <c r="BE107" s="2928">
        <f t="shared" si="8"/>
      </c>
      <c r="BF107" s="2928">
        <f t="shared" si="8"/>
      </c>
      <c r="BG107" s="2928">
        <f t="shared" si="8"/>
      </c>
      <c r="BH107" s="2928">
        <f t="shared" si="8"/>
      </c>
      <c r="BI107" s="2928">
        <f t="shared" si="8"/>
      </c>
      <c r="BJ107" s="2928">
        <f t="shared" si="8"/>
      </c>
      <c r="BK107" s="2928">
        <f t="shared" si="8"/>
      </c>
      <c r="BL107" s="2928">
        <f t="shared" si="8"/>
      </c>
      <c r="BM107" s="2928">
        <f t="shared" si="8"/>
      </c>
      <c r="BN107" s="2928">
        <f t="shared" si="8"/>
      </c>
      <c r="BO107" s="2928">
        <f t="shared" si="8"/>
      </c>
      <c r="BP107" s="2928">
        <f t="shared" si="8"/>
      </c>
      <c r="BQ107" s="2928">
        <f t="shared" si="8"/>
      </c>
      <c r="BR107" s="2928">
        <f t="shared" si="8"/>
      </c>
      <c r="BS107" s="2928">
        <f t="shared" si="8"/>
      </c>
      <c r="BT107" s="2928">
        <f t="shared" si="8"/>
      </c>
      <c r="BU107" s="2928">
        <f t="shared" si="8"/>
      </c>
      <c r="BV107" s="2928">
        <f t="shared" si="8"/>
      </c>
      <c r="BW107" s="2928">
        <f t="shared" si="8"/>
      </c>
      <c r="BX107" s="2928">
        <f t="shared" si="8"/>
      </c>
      <c r="BY107" s="2928">
        <f t="shared" si="8"/>
      </c>
      <c r="BZ107" s="2928">
        <f t="shared" si="8"/>
      </c>
      <c r="CA107" s="2928">
        <f t="shared" si="8"/>
      </c>
      <c r="CB107" s="2928">
        <f t="shared" si="8"/>
      </c>
      <c r="CC107" s="2928">
        <f t="shared" si="8"/>
      </c>
      <c r="CD107" s="2928">
        <f t="shared" si="8"/>
      </c>
      <c r="CE107" s="2928">
        <f t="shared" si="8"/>
      </c>
      <c r="CF107" s="2928">
        <f t="shared" si="8"/>
      </c>
      <c r="CG107" s="2928">
        <f t="shared" si="8"/>
      </c>
      <c r="CH107" s="2928">
        <f t="shared" si="8"/>
      </c>
      <c r="CI107" s="2928">
        <f t="shared" si="8"/>
      </c>
      <c r="CJ107" s="2928">
        <f t="shared" si="8"/>
      </c>
      <c r="CK107" s="2928">
        <f t="shared" si="8"/>
      </c>
      <c r="CL107" s="2928">
        <f t="shared" si="8"/>
      </c>
      <c r="CM107" s="2928">
        <f t="shared" si="8"/>
      </c>
      <c r="CN107" s="2928">
        <f t="shared" si="8"/>
      </c>
      <c r="CO107" s="2928">
        <f t="shared" si="8"/>
      </c>
      <c r="CP107" s="2928">
        <f t="shared" si="8"/>
      </c>
      <c r="CQ107" s="2928">
        <f t="shared" si="8"/>
      </c>
      <c r="CR107" s="2928">
        <f t="shared" si="8"/>
      </c>
      <c r="CS107" s="2928">
        <f t="shared" si="8"/>
      </c>
      <c r="CT107" s="2928">
        <f t="shared" si="8"/>
      </c>
      <c r="CU107" s="2928">
        <f t="shared" si="8"/>
      </c>
      <c r="CV107" s="2928">
        <f t="shared" si="8"/>
      </c>
      <c r="CW107" s="2928">
        <f t="shared" si="8"/>
      </c>
      <c r="CX107" s="2928">
        <f t="shared" si="8"/>
      </c>
      <c r="CY107" s="2928">
        <f t="shared" si="8"/>
      </c>
      <c r="CZ107" s="2928">
        <f t="shared" si="8"/>
      </c>
      <c r="DA107" s="2928">
        <f t="shared" si="8"/>
      </c>
      <c r="DB107" s="2928">
        <f t="shared" si="8"/>
      </c>
      <c r="DC107" s="2928">
        <f t="shared" si="8"/>
      </c>
      <c r="DD107" s="2928">
        <f t="shared" si="8"/>
      </c>
      <c r="DE107" s="2928">
        <f t="shared" si="8"/>
      </c>
      <c r="DF107" s="2928">
        <f t="shared" si="8"/>
      </c>
      <c r="DG107" s="2928">
        <f t="shared" si="8"/>
      </c>
      <c r="DH107" s="2928">
        <f t="shared" si="8"/>
      </c>
      <c r="DI107" s="2928">
        <f t="shared" si="8"/>
      </c>
      <c r="DJ107" s="2928">
        <f t="shared" si="8"/>
      </c>
      <c r="DK107" s="2928">
        <f t="shared" si="8"/>
      </c>
      <c r="DL107" s="2928">
        <f t="shared" si="8"/>
      </c>
      <c r="DM107" s="2928">
        <f t="shared" si="8"/>
      </c>
      <c r="DN107" s="2928">
        <f t="shared" si="8"/>
      </c>
      <c r="DO107" s="2928">
        <f t="shared" si="8"/>
      </c>
      <c r="DP107" s="2928">
        <f t="shared" si="8"/>
      </c>
      <c r="DQ107" s="2928">
        <f t="shared" si="8"/>
      </c>
      <c r="DR107" s="2928">
        <f t="shared" si="8"/>
      </c>
      <c r="DS107" s="2928">
        <f t="shared" si="8"/>
      </c>
      <c r="DT107" s="2928">
        <f t="shared" si="8"/>
      </c>
      <c r="DU107" s="2928">
        <f t="shared" si="8"/>
      </c>
      <c r="DV107" s="2928">
        <f t="shared" si="8"/>
      </c>
      <c r="DW107" s="2928">
        <f t="shared" si="8"/>
      </c>
      <c r="DX107" s="2928">
        <f t="shared" si="8"/>
      </c>
      <c r="DY107" s="2928">
        <f t="shared" si="8"/>
      </c>
      <c r="DZ107" s="2928">
        <f t="shared" si="8"/>
      </c>
      <c r="EA107" s="2928">
        <f t="shared" si="8"/>
      </c>
      <c r="EB107" s="2928">
        <f t="shared" si="8"/>
      </c>
      <c r="EC107" s="2928">
        <f t="shared" si="8"/>
      </c>
      <c r="ED107" s="2928">
        <f t="shared" si="8"/>
      </c>
      <c r="EE107" s="2928">
        <f t="shared" si="8"/>
      </c>
      <c r="EF107" s="2928">
        <f t="shared" si="8"/>
      </c>
      <c r="EG107" s="2928">
        <f t="shared" si="8"/>
      </c>
      <c r="EH107" s="2928">
        <f t="shared" si="8"/>
      </c>
      <c r="EI107" s="2928">
        <f t="shared" si="8"/>
      </c>
      <c r="EJ107" s="2928">
        <f t="shared" si="8"/>
      </c>
      <c r="EK107" s="2928">
        <f t="shared" si="8"/>
      </c>
      <c r="EL107" s="2928">
        <f t="shared" si="8"/>
      </c>
      <c r="EM107" s="2928">
        <f t="shared" si="8"/>
      </c>
      <c r="EN107" s="2928">
        <f t="shared" si="8"/>
      </c>
      <c r="EO107" s="2928">
        <f t="shared" si="8"/>
      </c>
      <c r="EP107" s="2928">
        <f t="shared" si="8"/>
      </c>
      <c r="EQ107" s="2928">
        <f t="shared" si="8"/>
      </c>
      <c r="ER107" s="2928">
        <f t="shared" si="8"/>
      </c>
      <c r="ES107" s="2928">
        <f t="shared" si="8"/>
      </c>
      <c r="ET107" s="2928">
        <f t="shared" si="8"/>
      </c>
      <c r="EU107" s="2928">
        <f t="shared" si="8"/>
      </c>
      <c r="EV107" s="2928">
        <f t="shared" si="8"/>
      </c>
      <c r="EW107" s="2928">
        <f t="shared" si="8"/>
      </c>
      <c r="EX107" s="2928">
        <f t="shared" si="8"/>
      </c>
      <c r="EY107" s="2928">
        <f t="shared" si="8"/>
      </c>
      <c r="EZ107" s="2928">
        <f t="shared" si="8"/>
      </c>
      <c r="FA107" s="2929" t="str">
        <f t="shared" si="12"/>
        <v>-</v>
      </c>
      <c r="FB107" s="2825">
        <f t="shared" si="13"/>
      </c>
      <c r="FC107" s="2930" cm="1">
        <f t="array" ref="FC107">_xlfn.LET(_xlpm.unit_type,$G107,_xlpm.market_rent_from_rent_roll,$E107,_xlpm.unit_type_list,RentRoll_InputArea_DesignatedUnitType,_xlpm.rent_by_unit_type,RentRoll_InputArea_MarketRent,_xlpm.use_rent_roll_market_rent,LEFT(RR_VacantUnitMktRentSource,9)="Rent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7" s="2930">
        <f t="shared" si="14"/>
        <v>1146</v>
      </c>
      <c r="FE107" s="2930">
        <f t="shared" si="15"/>
        <v>1146</v>
      </c>
      <c r="FF107" s="2930">
        <f t="shared" si="16"/>
        <v>1146</v>
      </c>
      <c r="FG107" s="2931"/>
      <c r="FH107" s="2932">
        <f t="shared" si="17"/>
      </c>
      <c r="FI107" s="2932">
        <f t="shared" si="18"/>
      </c>
      <c r="FJ107" s="2931"/>
      <c r="FK107" s="2933" cm="1">
        <f t="array" ref="FK107">IF(AND(LEN($D107)&gt;0,ISNA(MATCH(TRUE,EXACT($G107,RentRoll_InputArea_DesignatedUnitType),0))),1,0)</f>
        <v>0</v>
      </c>
      <c r="FL107" s="2931">
        <f t="shared" si="19"/>
        <v>84</v>
      </c>
      <c r="FM107" s="2931"/>
      <c r="FN107" s="2931"/>
      <c r="FO107" s="2931"/>
      <c r="FP107" s="2931"/>
      <c r="FQ107" s="2931"/>
      <c r="FR107" s="2931"/>
      <c r="FS107" s="2931"/>
      <c r="FT107" s="2931"/>
      <c r="FU107" s="2931"/>
      <c r="FV107" s="2931"/>
      <c r="FW107" s="2931"/>
      <c r="FX107" s="2931"/>
      <c r="FY107" s="2931"/>
      <c r="FZ107" s="2931"/>
      <c r="GA107" s="2931"/>
      <c r="GB107" s="2931"/>
      <c r="GC107" s="2931"/>
      <c r="GD107" s="2931"/>
      <c r="GE107" s="2931"/>
      <c r="GF107" s="2931"/>
      <c r="GG107" s="2931"/>
      <c r="GH107" s="2931"/>
      <c r="GI107" s="2931"/>
      <c r="GJ107" s="2931"/>
      <c r="GK107" s="2931"/>
      <c r="GL107" s="2931"/>
      <c r="GM107" s="2931"/>
      <c r="GN107" s="2931"/>
      <c r="GO107" s="2931"/>
      <c r="GP107" s="2931"/>
      <c r="GQ107" s="2931"/>
      <c r="GR107" s="2931"/>
      <c r="GS107" s="2931"/>
      <c r="GT107" s="2931"/>
      <c r="GU107" s="2931"/>
      <c r="GV107" s="2931"/>
      <c r="GW107" s="2931"/>
      <c r="GX107" s="2931"/>
      <c r="GY107" s="2931"/>
      <c r="GZ107" s="2931"/>
      <c r="HA107" s="2931"/>
      <c r="HB107" s="2931"/>
      <c r="HC107" s="2931"/>
      <c r="HD107" s="2931"/>
      <c r="HE107" s="2931"/>
      <c r="HF107" s="2931"/>
      <c r="HG107" s="2931"/>
      <c r="HH107" s="2931"/>
      <c r="HI107" s="2931"/>
      <c r="HJ107" s="2931"/>
      <c r="HK107" s="2931"/>
      <c r="HL107" s="2931"/>
      <c r="HM107" s="2931"/>
      <c r="HN107" s="2931"/>
      <c r="HO107" s="2931"/>
      <c r="HP107" s="2931"/>
      <c r="HQ107" s="2931"/>
      <c r="HR107" s="2931"/>
      <c r="HS107" s="2931"/>
      <c r="HT107" s="2931"/>
      <c r="HU107" s="2931"/>
      <c r="HV107" s="2931"/>
      <c r="HW107" s="2931"/>
      <c r="HX107" s="2931"/>
      <c r="HY107" s="2931"/>
      <c r="HZ107" s="2931"/>
      <c r="IA107" s="2931"/>
      <c r="IB107" s="2931"/>
      <c r="IC107" s="2931"/>
      <c r="ID107" s="2931"/>
      <c r="IE107" s="2931"/>
      <c r="IF107" s="2931"/>
      <c r="IG107" s="2931"/>
      <c r="IH107" s="2931"/>
      <c r="II107" s="2931"/>
      <c r="IJ107" s="2931"/>
      <c r="IK107" s="2931"/>
      <c r="IL107" s="2931"/>
      <c r="IM107" s="2931"/>
      <c r="IN107" s="2931"/>
      <c r="IO107" s="2931" cm="1">
        <f t="array" ref="IO107">IF(LEN($G107)=0,"Rent Roll is incomplete",_xlfn.XLOOKUP(TRUE,EXACT(RentRoll_InputArea_DesignatedUnitType,$G107),RentRoll_InputArea_Beds,"Not Found"))</f>
        <v>0</v>
      </c>
      <c r="IP107" s="2934"/>
      <c r="IQ107" s="2935" t="str">
        <f t="shared" si="20"/>
        <v>0 Bedroom Unit (Efficiency/Studio)</v>
      </c>
      <c r="IR107" s="2926">
        <f t="shared" si="21"/>
        <v>1146</v>
      </c>
      <c r="IS107" s="2935"/>
      <c r="IT107" s="2931"/>
      <c r="IU107" s="2931"/>
      <c r="IV107" s="2931"/>
      <c r="IW107" s="2936" t="str">
        <f t="shared" si="22"/>
        <v>7-709</v>
      </c>
      <c r="IX107" s="2936"/>
      <c r="IY107" s="2936"/>
      <c r="IZ107" s="2936">
        <f t="shared" si="23"/>
        <v>0</v>
      </c>
      <c r="JA107" s="2936">
        <f t="shared" si="24"/>
        <v>1146</v>
      </c>
      <c r="JB107" s="2936"/>
      <c r="JC107" s="2936"/>
      <c r="JD107" s="2936"/>
      <c r="JE107" s="2936"/>
      <c r="JF107" s="2936"/>
      <c r="JG107" s="2936"/>
      <c r="JH107" s="2936">
        <f t="shared" si="25"/>
        <v>1217</v>
      </c>
      <c r="JI107" s="2936"/>
      <c r="JJ107" s="2936">
        <f t="shared" si="26"/>
      </c>
      <c r="JK107" s="2936"/>
      <c r="JL107" s="2936"/>
      <c r="JM107" s="2936"/>
      <c r="JN107" s="2936"/>
      <c r="JO107" s="2936"/>
      <c r="JP107" s="2936"/>
      <c r="JQ107" s="2936" t="str">
        <f t="shared" si="27"/>
        <v>Occupied</v>
      </c>
      <c r="JR107" s="2936" cm="1">
        <f t="array" ref="JR107">_xlfn.XLOOKUP(TRUE,EXACT(RentRoll_InputArea_DesignatedUnitType,$G107),RentRoll_InputArea_SquareFootage,"Not Found")</f>
        <v>800</v>
      </c>
      <c r="JS107" s="2936" t="str">
        <f t="shared" si="28"/>
        <v>Apartment</v>
      </c>
      <c r="JT107" s="2936">
        <f t="shared" si="29"/>
      </c>
      <c r="JU107" s="2936"/>
      <c r="JV107" s="2936"/>
      <c r="JW107" s="2936"/>
      <c r="JX107" s="2936"/>
      <c r="JY107" s="2936">
        <f t="shared" si="9"/>
        <v>43420</v>
      </c>
      <c r="JZ107" s="2936">
        <f t="shared" si="9"/>
        <v>43646</v>
      </c>
      <c r="KA107" s="2936"/>
      <c r="KB107" s="2936"/>
      <c r="KC107" s="2936"/>
      <c r="KD107" s="2936"/>
      <c r="KE107" s="2936"/>
      <c r="KF107" s="2936"/>
      <c r="KG107" s="2936"/>
      <c r="KH107" s="2936"/>
      <c r="KI107" s="2937"/>
      <c r="KJ107" s="2936"/>
      <c r="KK107" s="1353"/>
    </row>
    <row r="108" ht="15" customHeight="1">
      <c r="A108" s="2922">
        <f t="shared" si="10"/>
        <v>85</v>
      </c>
      <c r="B108" s="2865"/>
      <c r="C108" s="2873"/>
      <c r="D108" s="2873" t="s">
        <v>2911</v>
      </c>
      <c r="E108" s="2923">
        <v>1262</v>
      </c>
      <c r="F108" s="2924" t="s">
        <v>2912</v>
      </c>
      <c r="G108" s="2873" t="s">
        <v>2530</v>
      </c>
      <c r="H108" s="2923">
        <v>1235</v>
      </c>
      <c r="I108" s="2925" cm="1">
        <f t="array" ref="I108">_xlfn.LET(_xlpm.has_subsidy,$N108&gt;0,_xlpm.is_chap9_sbl,$FF$20,_xlpm.contract_rent,$H108,_xlpm.unit_type_mkt_rent,_xlfn.XLOOKUP(TRUE,EXACT($G108,RentRoll_InputArea_DesignatedUnitType),RentRoll_InputArea_MarketRent,"Not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8" s="2926">
        <f t="shared" si="11"/>
        <v>1235</v>
      </c>
      <c r="K108" s="2923"/>
      <c r="L108" s="2923"/>
      <c r="M108" s="2923"/>
      <c r="N108" s="2923"/>
      <c r="O108" s="2927">
        <v>43487</v>
      </c>
      <c r="P108" s="2927">
        <v>43769</v>
      </c>
      <c r="Q108" s="2928">
        <f t="shared" si="8"/>
      </c>
      <c r="R108" s="2928">
        <f t="shared" si="8"/>
        <v>1235</v>
      </c>
      <c r="S108" s="2928">
        <f t="shared" si="8"/>
      </c>
      <c r="T108" s="2928">
        <f t="shared" si="8"/>
      </c>
      <c r="U108" s="2928">
        <f t="shared" si="8"/>
      </c>
      <c r="V108" s="2928">
        <f t="shared" si="8"/>
      </c>
      <c r="W108" s="2928">
        <f t="shared" si="8"/>
      </c>
      <c r="X108" s="2928">
        <f t="shared" si="8"/>
      </c>
      <c r="Y108" s="2928">
        <f t="shared" si="8"/>
      </c>
      <c r="Z108" s="2928">
        <f t="shared" si="8"/>
      </c>
      <c r="AA108" s="2928">
        <f t="shared" si="8"/>
      </c>
      <c r="AB108" s="2928">
        <f t="shared" si="8"/>
      </c>
      <c r="AC108" s="2928">
        <f t="shared" si="8"/>
      </c>
      <c r="AD108" s="2928">
        <f t="shared" si="8"/>
      </c>
      <c r="AE108" s="2928">
        <f t="shared" si="8"/>
      </c>
      <c r="AF108" s="2928">
        <f t="shared" si="8"/>
      </c>
      <c r="AG108" s="2928">
        <f t="shared" si="8"/>
      </c>
      <c r="AH108" s="2928">
        <f t="shared" si="8"/>
      </c>
      <c r="AI108" s="2928">
        <f t="shared" si="8"/>
      </c>
      <c r="AJ108" s="2928">
        <f t="shared" si="8"/>
      </c>
      <c r="AK108" s="2928">
        <f t="shared" si="8"/>
      </c>
      <c r="AL108" s="2928">
        <f t="shared" si="8"/>
      </c>
      <c r="AM108" s="2928">
        <f t="shared" si="8"/>
      </c>
      <c r="AN108" s="2928">
        <f t="shared" si="8"/>
      </c>
      <c r="AO108" s="2928">
        <f t="shared" si="8"/>
      </c>
      <c r="AP108" s="2928">
        <f t="shared" si="8"/>
      </c>
      <c r="AQ108" s="2928">
        <f t="shared" si="8"/>
      </c>
      <c r="AR108" s="2928">
        <f t="shared" si="8"/>
      </c>
      <c r="AS108" s="2928">
        <f t="shared" si="8"/>
      </c>
      <c r="AT108" s="2928">
        <f t="shared" si="8"/>
      </c>
      <c r="AU108" s="2928">
        <f t="shared" si="8"/>
      </c>
      <c r="AV108" s="2928">
        <f t="shared" si="8"/>
      </c>
      <c r="AW108" s="2928">
        <f t="shared" si="8"/>
      </c>
      <c r="AX108" s="2928">
        <f t="shared" si="8"/>
      </c>
      <c r="AY108" s="2928">
        <f t="shared" si="8"/>
      </c>
      <c r="AZ108" s="2928">
        <f t="shared" si="8"/>
      </c>
      <c r="BA108" s="2928">
        <f t="shared" si="8"/>
      </c>
      <c r="BB108" s="2928">
        <f t="shared" si="8"/>
      </c>
      <c r="BC108" s="2928">
        <f t="shared" si="8"/>
      </c>
      <c r="BD108" s="2928">
        <f t="shared" si="8"/>
      </c>
      <c r="BE108" s="2928">
        <f t="shared" si="8"/>
      </c>
      <c r="BF108" s="2928">
        <f t="shared" si="8"/>
      </c>
      <c r="BG108" s="2928">
        <f t="shared" si="8"/>
      </c>
      <c r="BH108" s="2928">
        <f t="shared" si="8"/>
      </c>
      <c r="BI108" s="2928">
        <f t="shared" si="8"/>
      </c>
      <c r="BJ108" s="2928">
        <f t="shared" si="8"/>
      </c>
      <c r="BK108" s="2928">
        <f t="shared" si="8"/>
      </c>
      <c r="BL108" s="2928">
        <f t="shared" si="8"/>
      </c>
      <c r="BM108" s="2928">
        <f t="shared" si="8"/>
      </c>
      <c r="BN108" s="2928">
        <f t="shared" si="8"/>
      </c>
      <c r="BO108" s="2928">
        <f t="shared" si="8"/>
      </c>
      <c r="BP108" s="2928">
        <f t="shared" si="8"/>
      </c>
      <c r="BQ108" s="2928">
        <f t="shared" si="8"/>
      </c>
      <c r="BR108" s="2928">
        <f t="shared" si="8"/>
      </c>
      <c r="BS108" s="2928">
        <f t="shared" si="8"/>
      </c>
      <c r="BT108" s="2928">
        <f t="shared" si="8"/>
      </c>
      <c r="BU108" s="2928">
        <f t="shared" si="8"/>
      </c>
      <c r="BV108" s="2928">
        <f t="shared" si="8"/>
      </c>
      <c r="BW108" s="2928">
        <f t="shared" si="8"/>
      </c>
      <c r="BX108" s="2928">
        <f t="shared" si="8"/>
      </c>
      <c r="BY108" s="2928">
        <f t="shared" si="8"/>
      </c>
      <c r="BZ108" s="2928">
        <f t="shared" si="8"/>
      </c>
      <c r="CA108" s="2928">
        <f t="shared" si="8"/>
      </c>
      <c r="CB108" s="2928">
        <f t="shared" si="8"/>
      </c>
      <c r="CC108" s="2928">
        <f t="shared" si="8"/>
      </c>
      <c r="CD108" s="2928">
        <f t="shared" si="8"/>
      </c>
      <c r="CE108" s="2928">
        <f t="shared" si="8"/>
      </c>
      <c r="CF108" s="2928">
        <f t="shared" si="8"/>
      </c>
      <c r="CG108" s="2928">
        <f t="shared" si="8"/>
      </c>
      <c r="CH108" s="2928">
        <f t="shared" si="8"/>
      </c>
      <c r="CI108" s="2928">
        <f t="shared" si="8"/>
      </c>
      <c r="CJ108" s="2928">
        <f t="shared" si="8"/>
      </c>
      <c r="CK108" s="2928">
        <f t="shared" si="8"/>
      </c>
      <c r="CL108" s="2928">
        <f t="shared" si="8"/>
      </c>
      <c r="CM108" s="2928">
        <f t="shared" si="8"/>
      </c>
      <c r="CN108" s="2928">
        <f t="shared" si="8"/>
      </c>
      <c r="CO108" s="2928">
        <f t="shared" si="8"/>
      </c>
      <c r="CP108" s="2928">
        <f t="shared" si="8"/>
      </c>
      <c r="CQ108" s="2928">
        <f t="shared" si="8"/>
      </c>
      <c r="CR108" s="2928">
        <f t="shared" si="8"/>
      </c>
      <c r="CS108" s="2928">
        <f t="shared" si="8"/>
      </c>
      <c r="CT108" s="2928">
        <f t="shared" si="8"/>
      </c>
      <c r="CU108" s="2928">
        <f t="shared" si="8"/>
      </c>
      <c r="CV108" s="2928">
        <f t="shared" si="8"/>
      </c>
      <c r="CW108" s="2928">
        <f t="shared" si="8"/>
      </c>
      <c r="CX108" s="2928">
        <f t="shared" si="8"/>
      </c>
      <c r="CY108" s="2928">
        <f t="shared" si="8"/>
      </c>
      <c r="CZ108" s="2928">
        <f t="shared" si="8"/>
      </c>
      <c r="DA108" s="2928">
        <f t="shared" si="8"/>
      </c>
      <c r="DB108" s="2928">
        <f t="shared" si="8"/>
      </c>
      <c r="DC108" s="2928">
        <f t="shared" si="8"/>
      </c>
      <c r="DD108" s="2928">
        <f t="shared" si="8"/>
      </c>
      <c r="DE108" s="2928">
        <f t="shared" si="8"/>
      </c>
      <c r="DF108" s="2928">
        <f t="shared" si="8"/>
      </c>
      <c r="DG108" s="2928">
        <f t="shared" si="8"/>
      </c>
      <c r="DH108" s="2928">
        <f t="shared" si="8"/>
      </c>
      <c r="DI108" s="2928">
        <f t="shared" si="8"/>
      </c>
      <c r="DJ108" s="2928">
        <f t="shared" si="8"/>
      </c>
      <c r="DK108" s="2928">
        <f t="shared" si="8"/>
      </c>
      <c r="DL108" s="2928">
        <f t="shared" si="8"/>
      </c>
      <c r="DM108" s="2928">
        <f t="shared" si="8"/>
      </c>
      <c r="DN108" s="2928">
        <f t="shared" si="8"/>
      </c>
      <c r="DO108" s="2928">
        <f t="shared" si="8"/>
      </c>
      <c r="DP108" s="2928">
        <f t="shared" si="8"/>
      </c>
      <c r="DQ108" s="2928">
        <f t="shared" si="8"/>
      </c>
      <c r="DR108" s="2928">
        <f t="shared" si="8"/>
      </c>
      <c r="DS108" s="2928">
        <f t="shared" si="8"/>
      </c>
      <c r="DT108" s="2928">
        <f t="shared" si="8"/>
      </c>
      <c r="DU108" s="2928">
        <f t="shared" si="8"/>
      </c>
      <c r="DV108" s="2928">
        <f t="shared" si="8"/>
      </c>
      <c r="DW108" s="2928">
        <f t="shared" si="8"/>
      </c>
      <c r="DX108" s="2928">
        <f t="shared" si="8"/>
      </c>
      <c r="DY108" s="2928">
        <f t="shared" si="8"/>
      </c>
      <c r="DZ108" s="2928">
        <f t="shared" si="8"/>
      </c>
      <c r="EA108" s="2928">
        <f t="shared" si="8"/>
      </c>
      <c r="EB108" s="2928">
        <f t="shared" si="8"/>
      </c>
      <c r="EC108" s="2928">
        <f t="shared" si="8"/>
      </c>
      <c r="ED108" s="2928">
        <f t="shared" si="8"/>
      </c>
      <c r="EE108" s="2928">
        <f t="shared" si="8"/>
      </c>
      <c r="EF108" s="2928">
        <f t="shared" si="8"/>
      </c>
      <c r="EG108" s="2928">
        <f t="shared" si="8"/>
      </c>
      <c r="EH108" s="2928">
        <f t="shared" si="8"/>
      </c>
      <c r="EI108" s="2928">
        <f t="shared" si="8"/>
      </c>
      <c r="EJ108" s="2928">
        <f t="shared" si="8"/>
      </c>
      <c r="EK108" s="2928">
        <f t="shared" si="8"/>
      </c>
      <c r="EL108" s="2928">
        <f t="shared" si="8"/>
      </c>
      <c r="EM108" s="2928">
        <f t="shared" si="8"/>
      </c>
      <c r="EN108" s="2928">
        <f t="shared" si="8"/>
      </c>
      <c r="EO108" s="2928">
        <f t="shared" si="8"/>
      </c>
      <c r="EP108" s="2928">
        <f t="shared" si="8"/>
      </c>
      <c r="EQ108" s="2928">
        <f t="shared" si="8"/>
      </c>
      <c r="ER108" s="2928">
        <f t="shared" si="8"/>
      </c>
      <c r="ES108" s="2928">
        <f t="shared" si="8"/>
      </c>
      <c r="ET108" s="2928">
        <f t="shared" si="8"/>
      </c>
      <c r="EU108" s="2928">
        <f t="shared" si="8"/>
      </c>
      <c r="EV108" s="2928">
        <f t="shared" si="8"/>
      </c>
      <c r="EW108" s="2928">
        <f t="shared" si="8"/>
      </c>
      <c r="EX108" s="2928">
        <f t="shared" si="8"/>
      </c>
      <c r="EY108" s="2928">
        <f t="shared" si="8"/>
      </c>
      <c r="EZ108" s="2928">
        <f t="shared" si="8"/>
      </c>
      <c r="FA108" s="2929" t="str">
        <f t="shared" si="12"/>
        <v>-</v>
      </c>
      <c r="FB108" s="2825">
        <f t="shared" si="13"/>
      </c>
      <c r="FC108" s="2930" cm="1">
        <f t="array" ref="FC108">_xlfn.LET(_xlpm.unit_type,$G108,_xlpm.market_rent_from_rent_roll,$E108,_xlpm.unit_type_list,RentRoll_InputArea_DesignatedUnitType,_xlpm.rent_by_unit_type,RentRoll_InputArea_MarketRent,_xlpm.use_rent_roll_market_rent,LEFT(RR_VacantUnitMktRentSource,9)="Rent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8" s="2930">
        <f t="shared" si="14"/>
        <v>1235</v>
      </c>
      <c r="FE108" s="2930">
        <f t="shared" si="15"/>
        <v>1235</v>
      </c>
      <c r="FF108" s="2930">
        <f t="shared" si="16"/>
        <v>1235</v>
      </c>
      <c r="FG108" s="2931"/>
      <c r="FH108" s="2932">
        <f t="shared" si="17"/>
      </c>
      <c r="FI108" s="2932">
        <f t="shared" si="18"/>
      </c>
      <c r="FJ108" s="2931"/>
      <c r="FK108" s="2933" cm="1">
        <f t="array" ref="FK108">IF(AND(LEN($D108)&gt;0,ISNA(MATCH(TRUE,EXACT($G108,RentRoll_InputArea_DesignatedUnitType),0))),1,0)</f>
        <v>0</v>
      </c>
      <c r="FL108" s="2931">
        <f t="shared" si="19"/>
        <v>85</v>
      </c>
      <c r="FM108" s="2931"/>
      <c r="FN108" s="2931"/>
      <c r="FO108" s="2931"/>
      <c r="FP108" s="2931"/>
      <c r="FQ108" s="2931"/>
      <c r="FR108" s="2931"/>
      <c r="FS108" s="2931"/>
      <c r="FT108" s="2931"/>
      <c r="FU108" s="2931"/>
      <c r="FV108" s="2931"/>
      <c r="FW108" s="2931"/>
      <c r="FX108" s="2931"/>
      <c r="FY108" s="2931"/>
      <c r="FZ108" s="2931"/>
      <c r="GA108" s="2931"/>
      <c r="GB108" s="2931"/>
      <c r="GC108" s="2931"/>
      <c r="GD108" s="2931"/>
      <c r="GE108" s="2931"/>
      <c r="GF108" s="2931"/>
      <c r="GG108" s="2931"/>
      <c r="GH108" s="2931"/>
      <c r="GI108" s="2931"/>
      <c r="GJ108" s="2931"/>
      <c r="GK108" s="2931"/>
      <c r="GL108" s="2931"/>
      <c r="GM108" s="2931"/>
      <c r="GN108" s="2931"/>
      <c r="GO108" s="2931"/>
      <c r="GP108" s="2931"/>
      <c r="GQ108" s="2931"/>
      <c r="GR108" s="2931"/>
      <c r="GS108" s="2931"/>
      <c r="GT108" s="2931"/>
      <c r="GU108" s="2931"/>
      <c r="GV108" s="2931"/>
      <c r="GW108" s="2931"/>
      <c r="GX108" s="2931"/>
      <c r="GY108" s="2931"/>
      <c r="GZ108" s="2931"/>
      <c r="HA108" s="2931"/>
      <c r="HB108" s="2931"/>
      <c r="HC108" s="2931"/>
      <c r="HD108" s="2931"/>
      <c r="HE108" s="2931"/>
      <c r="HF108" s="2931"/>
      <c r="HG108" s="2931"/>
      <c r="HH108" s="2931"/>
      <c r="HI108" s="2931"/>
      <c r="HJ108" s="2931"/>
      <c r="HK108" s="2931"/>
      <c r="HL108" s="2931"/>
      <c r="HM108" s="2931"/>
      <c r="HN108" s="2931"/>
      <c r="HO108" s="2931"/>
      <c r="HP108" s="2931"/>
      <c r="HQ108" s="2931"/>
      <c r="HR108" s="2931"/>
      <c r="HS108" s="2931"/>
      <c r="HT108" s="2931"/>
      <c r="HU108" s="2931"/>
      <c r="HV108" s="2931"/>
      <c r="HW108" s="2931"/>
      <c r="HX108" s="2931"/>
      <c r="HY108" s="2931"/>
      <c r="HZ108" s="2931"/>
      <c r="IA108" s="2931"/>
      <c r="IB108" s="2931"/>
      <c r="IC108" s="2931"/>
      <c r="ID108" s="2931"/>
      <c r="IE108" s="2931"/>
      <c r="IF108" s="2931"/>
      <c r="IG108" s="2931"/>
      <c r="IH108" s="2931"/>
      <c r="II108" s="2931"/>
      <c r="IJ108" s="2931"/>
      <c r="IK108" s="2931"/>
      <c r="IL108" s="2931"/>
      <c r="IM108" s="2931"/>
      <c r="IN108" s="2931"/>
      <c r="IO108" s="2931" cm="1">
        <f t="array" ref="IO108">IF(LEN($G108)=0,"Rent Roll is incomplete",_xlfn.XLOOKUP(TRUE,EXACT(RentRoll_InputArea_DesignatedUnitType,$G108),RentRoll_InputArea_Beds,"Not Found"))</f>
        <v>0</v>
      </c>
      <c r="IP108" s="2934"/>
      <c r="IQ108" s="2935" t="str">
        <f t="shared" si="20"/>
        <v>0 Bedroom Unit (Efficiency/Studio)</v>
      </c>
      <c r="IR108" s="2926">
        <f t="shared" si="21"/>
        <v>1235</v>
      </c>
      <c r="IS108" s="2935"/>
      <c r="IT108" s="2931"/>
      <c r="IU108" s="2931"/>
      <c r="IV108" s="2931"/>
      <c r="IW108" s="2936" t="str">
        <f t="shared" si="22"/>
        <v>7-710</v>
      </c>
      <c r="IX108" s="2936"/>
      <c r="IY108" s="2936"/>
      <c r="IZ108" s="2936">
        <f t="shared" si="23"/>
        <v>0</v>
      </c>
      <c r="JA108" s="2936">
        <f t="shared" si="24"/>
        <v>1235</v>
      </c>
      <c r="JB108" s="2936"/>
      <c r="JC108" s="2936"/>
      <c r="JD108" s="2936"/>
      <c r="JE108" s="2936"/>
      <c r="JF108" s="2936"/>
      <c r="JG108" s="2936"/>
      <c r="JH108" s="2936">
        <f t="shared" si="25"/>
        <v>1217</v>
      </c>
      <c r="JI108" s="2936"/>
      <c r="JJ108" s="2936">
        <f t="shared" si="26"/>
      </c>
      <c r="JK108" s="2936"/>
      <c r="JL108" s="2936"/>
      <c r="JM108" s="2936"/>
      <c r="JN108" s="2936"/>
      <c r="JO108" s="2936"/>
      <c r="JP108" s="2936"/>
      <c r="JQ108" s="2936" t="str">
        <f t="shared" si="27"/>
        <v>Occupied</v>
      </c>
      <c r="JR108" s="2936" cm="1">
        <f t="array" ref="JR108">_xlfn.XLOOKUP(TRUE,EXACT(RentRoll_InputArea_DesignatedUnitType,$G108),RentRoll_InputArea_SquareFootage,"Not Found")</f>
        <v>800</v>
      </c>
      <c r="JS108" s="2936" t="str">
        <f t="shared" si="28"/>
        <v>Apartment</v>
      </c>
      <c r="JT108" s="2936">
        <f t="shared" si="29"/>
      </c>
      <c r="JU108" s="2936"/>
      <c r="JV108" s="2936"/>
      <c r="JW108" s="2936"/>
      <c r="JX108" s="2936"/>
      <c r="JY108" s="2936">
        <f t="shared" si="9"/>
        <v>43487</v>
      </c>
      <c r="JZ108" s="2936">
        <f t="shared" si="9"/>
        <v>43769</v>
      </c>
      <c r="KA108" s="2936"/>
      <c r="KB108" s="2936"/>
      <c r="KC108" s="2936"/>
      <c r="KD108" s="2936"/>
      <c r="KE108" s="2936"/>
      <c r="KF108" s="2936"/>
      <c r="KG108" s="2936"/>
      <c r="KH108" s="2936"/>
      <c r="KI108" s="2937"/>
      <c r="KJ108" s="2936"/>
      <c r="KK108" s="1353"/>
    </row>
    <row r="109" ht="15" customHeight="1">
      <c r="A109" s="2922">
        <f t="shared" si="10"/>
        <v>86</v>
      </c>
      <c r="B109" s="2865"/>
      <c r="C109" s="2873"/>
      <c r="D109" s="2873" t="s">
        <v>2913</v>
      </c>
      <c r="E109" s="2923">
        <v>1190</v>
      </c>
      <c r="F109" s="2924" t="s">
        <v>2914</v>
      </c>
      <c r="G109" s="2873" t="s">
        <v>2530</v>
      </c>
      <c r="H109" s="2923">
        <v>1216</v>
      </c>
      <c r="I109" s="2925" cm="1">
        <f t="array" ref="I109">_xlfn.LET(_xlpm.has_subsidy,$N109&gt;0,_xlpm.is_chap9_sbl,$FF$20,_xlpm.contract_rent,$H109,_xlpm.unit_type_mkt_rent,_xlfn.XLOOKUP(TRUE,EXACT($G109,RentRoll_InputArea_DesignatedUnitType),RentRoll_InputArea_MarketRent,"Not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09" s="2926">
        <f t="shared" si="11"/>
        <v>1216</v>
      </c>
      <c r="K109" s="2923"/>
      <c r="L109" s="2923"/>
      <c r="M109" s="2923"/>
      <c r="N109" s="2923"/>
      <c r="O109" s="2927">
        <v>43525</v>
      </c>
      <c r="P109" s="2927">
        <v>43738</v>
      </c>
      <c r="Q109" s="2928">
        <f t="shared" si="8"/>
      </c>
      <c r="R109" s="2928">
        <f t="shared" si="8"/>
        <v>1216</v>
      </c>
      <c r="S109" s="2928">
        <f t="shared" si="8"/>
      </c>
      <c r="T109" s="2928">
        <f t="shared" si="8"/>
      </c>
      <c r="U109" s="2928">
        <f t="shared" si="8"/>
      </c>
      <c r="V109" s="2928">
        <f t="shared" si="8"/>
      </c>
      <c r="W109" s="2928">
        <f t="shared" si="8"/>
      </c>
      <c r="X109" s="2928">
        <f t="shared" si="8"/>
      </c>
      <c r="Y109" s="2928">
        <f t="shared" si="8"/>
      </c>
      <c r="Z109" s="2928">
        <f t="shared" si="8"/>
      </c>
      <c r="AA109" s="2928">
        <f t="shared" si="8"/>
      </c>
      <c r="AB109" s="2928">
        <f t="shared" si="8"/>
      </c>
      <c r="AC109" s="2928">
        <f t="shared" si="8"/>
      </c>
      <c r="AD109" s="2928">
        <f t="shared" si="8"/>
      </c>
      <c r="AE109" s="2928">
        <f t="shared" si="8"/>
      </c>
      <c r="AF109" s="2928">
        <f t="shared" si="8"/>
      </c>
      <c r="AG109" s="2928">
        <f t="shared" si="8"/>
      </c>
      <c r="AH109" s="2928">
        <f t="shared" si="8"/>
      </c>
      <c r="AI109" s="2928">
        <f t="shared" si="8"/>
      </c>
      <c r="AJ109" s="2928">
        <f t="shared" si="8"/>
      </c>
      <c r="AK109" s="2928">
        <f t="shared" si="8"/>
      </c>
      <c r="AL109" s="2928">
        <f t="shared" si="8"/>
      </c>
      <c r="AM109" s="2928">
        <f t="shared" si="8"/>
      </c>
      <c r="AN109" s="2928">
        <f t="shared" si="8"/>
      </c>
      <c r="AO109" s="2928">
        <f t="shared" si="8"/>
      </c>
      <c r="AP109" s="2928">
        <f t="shared" si="8"/>
      </c>
      <c r="AQ109" s="2928">
        <f t="shared" si="8"/>
      </c>
      <c r="AR109" s="2928">
        <f t="shared" si="8"/>
      </c>
      <c r="AS109" s="2928">
        <f t="shared" si="8"/>
      </c>
      <c r="AT109" s="2928">
        <f t="shared" si="8"/>
      </c>
      <c r="AU109" s="2928">
        <f t="shared" si="8"/>
      </c>
      <c r="AV109" s="2928">
        <f t="shared" si="8"/>
      </c>
      <c r="AW109" s="2928">
        <f t="shared" si="8"/>
      </c>
      <c r="AX109" s="2928">
        <f t="shared" si="8"/>
      </c>
      <c r="AY109" s="2928">
        <f t="shared" si="8"/>
      </c>
      <c r="AZ109" s="2928">
        <f t="shared" si="8"/>
      </c>
      <c r="BA109" s="2928">
        <f t="shared" si="8"/>
      </c>
      <c r="BB109" s="2928">
        <f t="shared" si="8"/>
      </c>
      <c r="BC109" s="2928">
        <f t="shared" si="8"/>
      </c>
      <c r="BD109" s="2928">
        <f t="shared" si="8"/>
      </c>
      <c r="BE109" s="2928">
        <f t="shared" si="8"/>
      </c>
      <c r="BF109" s="2928">
        <f t="shared" si="8"/>
      </c>
      <c r="BG109" s="2928">
        <f t="shared" si="8"/>
      </c>
      <c r="BH109" s="2928">
        <f t="shared" si="8"/>
      </c>
      <c r="BI109" s="2928">
        <f t="shared" si="8"/>
      </c>
      <c r="BJ109" s="2928">
        <f t="shared" si="8"/>
      </c>
      <c r="BK109" s="2928">
        <f t="shared" si="8"/>
      </c>
      <c r="BL109" s="2928">
        <f t="shared" si="8"/>
      </c>
      <c r="BM109" s="2928">
        <f t="shared" si="8"/>
      </c>
      <c r="BN109" s="2928">
        <f t="shared" si="8"/>
      </c>
      <c r="BO109" s="2928">
        <f t="shared" si="8"/>
      </c>
      <c r="BP109" s="2928">
        <f t="shared" si="8"/>
      </c>
      <c r="BQ109" s="2928">
        <f t="shared" si="8"/>
      </c>
      <c r="BR109" s="2928">
        <f t="shared" si="8"/>
      </c>
      <c r="BS109" s="2928">
        <f t="shared" si="8"/>
      </c>
      <c r="BT109" s="2928">
        <f t="shared" si="8"/>
      </c>
      <c r="BU109" s="2928">
        <f t="shared" si="8"/>
      </c>
      <c r="BV109" s="2928">
        <f t="shared" si="8"/>
      </c>
      <c r="BW109" s="2928">
        <f t="shared" si="8"/>
      </c>
      <c r="BX109" s="2928">
        <f t="shared" si="8"/>
      </c>
      <c r="BY109" s="2928">
        <f t="shared" si="8"/>
      </c>
      <c r="BZ109" s="2928">
        <f t="shared" si="8"/>
      </c>
      <c r="CA109" s="2928">
        <f t="shared" si="8"/>
      </c>
      <c r="CB109" s="2928">
        <f t="shared" si="8"/>
      </c>
      <c r="CC109" s="2928">
        <f t="shared" si="8"/>
      </c>
      <c r="CD109" s="2928">
        <f t="shared" si="8"/>
      </c>
      <c r="CE109" s="2928">
        <f t="shared" si="8"/>
      </c>
      <c r="CF109" s="2928">
        <f t="shared" si="8"/>
      </c>
      <c r="CG109" s="2928">
        <f t="shared" si="8"/>
      </c>
      <c r="CH109" s="2928">
        <f t="shared" si="8"/>
      </c>
      <c r="CI109" s="2928">
        <f t="shared" si="8"/>
      </c>
      <c r="CJ109" s="2928">
        <f t="shared" si="8"/>
      </c>
      <c r="CK109" s="2928">
        <f t="shared" si="8"/>
      </c>
      <c r="CL109" s="2928">
        <f t="shared" si="8"/>
      </c>
      <c r="CM109" s="2928">
        <f t="shared" si="8"/>
      </c>
      <c r="CN109" s="2928">
        <f t="shared" si="8"/>
      </c>
      <c r="CO109" s="2928">
        <f t="shared" si="8"/>
      </c>
      <c r="CP109" s="2928">
        <f t="shared" si="8"/>
      </c>
      <c r="CQ109" s="2928">
        <f t="shared" si="8"/>
      </c>
      <c r="CR109" s="2928">
        <f t="shared" si="8"/>
      </c>
      <c r="CS109" s="2928">
        <f t="shared" si="8"/>
      </c>
      <c r="CT109" s="2928">
        <f t="shared" si="8"/>
      </c>
      <c r="CU109" s="2928">
        <f t="shared" si="8"/>
      </c>
      <c r="CV109" s="2928">
        <f t="shared" si="8"/>
      </c>
      <c r="CW109" s="2928">
        <f t="shared" si="8"/>
      </c>
      <c r="CX109" s="2928">
        <f t="shared" si="8"/>
      </c>
      <c r="CY109" s="2928">
        <f t="shared" si="8"/>
      </c>
      <c r="CZ109" s="2928">
        <f t="shared" si="8"/>
      </c>
      <c r="DA109" s="2928">
        <f t="shared" si="8"/>
      </c>
      <c r="DB109" s="2928">
        <f t="shared" si="8"/>
      </c>
      <c r="DC109" s="2928">
        <f t="shared" si="8"/>
      </c>
      <c r="DD109" s="2928">
        <f t="shared" si="8"/>
      </c>
      <c r="DE109" s="2928">
        <f t="shared" si="8"/>
      </c>
      <c r="DF109" s="2928">
        <f t="shared" si="8"/>
      </c>
      <c r="DG109" s="2928">
        <f t="shared" si="8"/>
      </c>
      <c r="DH109" s="2928">
        <f t="shared" si="8"/>
      </c>
      <c r="DI109" s="2928">
        <f t="shared" si="8"/>
      </c>
      <c r="DJ109" s="2928">
        <f t="shared" si="8"/>
      </c>
      <c r="DK109" s="2928">
        <f t="shared" si="8"/>
      </c>
      <c r="DL109" s="2928">
        <f t="shared" si="8"/>
      </c>
      <c r="DM109" s="2928">
        <f t="shared" si="8"/>
      </c>
      <c r="DN109" s="2928">
        <f t="shared" si="8"/>
      </c>
      <c r="DO109" s="2928">
        <f t="shared" si="8"/>
      </c>
      <c r="DP109" s="2928">
        <f t="shared" si="8"/>
      </c>
      <c r="DQ109" s="2928">
        <f t="shared" si="8"/>
      </c>
      <c r="DR109" s="2928">
        <f t="shared" si="8"/>
      </c>
      <c r="DS109" s="2928">
        <f t="shared" si="8"/>
      </c>
      <c r="DT109" s="2928">
        <f t="shared" si="8"/>
      </c>
      <c r="DU109" s="2928">
        <f t="shared" si="8"/>
      </c>
      <c r="DV109" s="2928">
        <f t="shared" si="8"/>
      </c>
      <c r="DW109" s="2928">
        <f t="shared" si="8"/>
      </c>
      <c r="DX109" s="2928">
        <f t="shared" si="8"/>
      </c>
      <c r="DY109" s="2928">
        <f t="shared" si="8"/>
      </c>
      <c r="DZ109" s="2928">
        <f t="shared" si="8"/>
      </c>
      <c r="EA109" s="2928">
        <f t="shared" si="8"/>
      </c>
      <c r="EB109" s="2928">
        <f t="shared" si="8"/>
      </c>
      <c r="EC109" s="2928">
        <f t="shared" si="8"/>
      </c>
      <c r="ED109" s="2928">
        <f t="shared" si="8"/>
      </c>
      <c r="EE109" s="2928">
        <f t="shared" si="8"/>
      </c>
      <c r="EF109" s="2928">
        <f t="shared" si="8"/>
      </c>
      <c r="EG109" s="2928">
        <f t="shared" si="8"/>
      </c>
      <c r="EH109" s="2928">
        <f t="shared" si="8"/>
      </c>
      <c r="EI109" s="2928">
        <f t="shared" si="8"/>
      </c>
      <c r="EJ109" s="2928">
        <f t="shared" si="8"/>
      </c>
      <c r="EK109" s="2928">
        <f t="shared" si="8"/>
      </c>
      <c r="EL109" s="2928">
        <f t="shared" si="8"/>
      </c>
      <c r="EM109" s="2928">
        <f t="shared" si="8"/>
      </c>
      <c r="EN109" s="2928">
        <f t="shared" si="8"/>
      </c>
      <c r="EO109" s="2928">
        <f t="shared" si="8"/>
      </c>
      <c r="EP109" s="2928">
        <f t="shared" si="8"/>
      </c>
      <c r="EQ109" s="2928">
        <f t="shared" si="8"/>
      </c>
      <c r="ER109" s="2928">
        <f t="shared" si="8"/>
      </c>
      <c r="ES109" s="2928">
        <f t="shared" si="8"/>
      </c>
      <c r="ET109" s="2928">
        <f t="shared" si="8"/>
      </c>
      <c r="EU109" s="2928">
        <f t="shared" si="8"/>
      </c>
      <c r="EV109" s="2928">
        <f t="shared" si="8"/>
      </c>
      <c r="EW109" s="2928">
        <f t="shared" si="8"/>
      </c>
      <c r="EX109" s="2928">
        <f t="shared" si="8"/>
      </c>
      <c r="EY109" s="2928">
        <f t="shared" si="8"/>
      </c>
      <c r="EZ109" s="2928">
        <f t="shared" si="8"/>
      </c>
      <c r="FA109" s="2929" t="str">
        <f t="shared" si="12"/>
        <v>-</v>
      </c>
      <c r="FB109" s="2825">
        <f t="shared" si="13"/>
      </c>
      <c r="FC109" s="2930" cm="1">
        <f t="array" ref="FC109">_xlfn.LET(_xlpm.unit_type,$G109,_xlpm.market_rent_from_rent_roll,$E109,_xlpm.unit_type_list,RentRoll_InputArea_DesignatedUnitType,_xlpm.rent_by_unit_type,RentRoll_InputArea_MarketRent,_xlpm.use_rent_roll_market_rent,LEFT(RR_VacantUnitMktRentSource,9)="Rent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09" s="2930">
        <f t="shared" si="14"/>
        <v>1216</v>
      </c>
      <c r="FE109" s="2930">
        <f t="shared" si="15"/>
        <v>1216</v>
      </c>
      <c r="FF109" s="2930">
        <f t="shared" si="16"/>
        <v>1216</v>
      </c>
      <c r="FG109" s="2931"/>
      <c r="FH109" s="2932">
        <f t="shared" si="17"/>
      </c>
      <c r="FI109" s="2932">
        <f t="shared" si="18"/>
      </c>
      <c r="FJ109" s="2931"/>
      <c r="FK109" s="2933" cm="1">
        <f t="array" ref="FK109">IF(AND(LEN($D109)&gt;0,ISNA(MATCH(TRUE,EXACT($G109,RentRoll_InputArea_DesignatedUnitType),0))),1,0)</f>
        <v>0</v>
      </c>
      <c r="FL109" s="2931">
        <f t="shared" si="19"/>
        <v>86</v>
      </c>
      <c r="FM109" s="2931"/>
      <c r="FN109" s="2931"/>
      <c r="FO109" s="2931"/>
      <c r="FP109" s="2931"/>
      <c r="FQ109" s="2931"/>
      <c r="FR109" s="2931"/>
      <c r="FS109" s="2931"/>
      <c r="FT109" s="2931"/>
      <c r="FU109" s="2931"/>
      <c r="FV109" s="2931"/>
      <c r="FW109" s="2931"/>
      <c r="FX109" s="2931"/>
      <c r="FY109" s="2931"/>
      <c r="FZ109" s="2931"/>
      <c r="GA109" s="2931"/>
      <c r="GB109" s="2931"/>
      <c r="GC109" s="2931"/>
      <c r="GD109" s="2931"/>
      <c r="GE109" s="2931"/>
      <c r="GF109" s="2931"/>
      <c r="GG109" s="2931"/>
      <c r="GH109" s="2931"/>
      <c r="GI109" s="2931"/>
      <c r="GJ109" s="2931"/>
      <c r="GK109" s="2931"/>
      <c r="GL109" s="2931"/>
      <c r="GM109" s="2931"/>
      <c r="GN109" s="2931"/>
      <c r="GO109" s="2931"/>
      <c r="GP109" s="2931"/>
      <c r="GQ109" s="2931"/>
      <c r="GR109" s="2931"/>
      <c r="GS109" s="2931"/>
      <c r="GT109" s="2931"/>
      <c r="GU109" s="2931"/>
      <c r="GV109" s="2931"/>
      <c r="GW109" s="2931"/>
      <c r="GX109" s="2931"/>
      <c r="GY109" s="2931"/>
      <c r="GZ109" s="2931"/>
      <c r="HA109" s="2931"/>
      <c r="HB109" s="2931"/>
      <c r="HC109" s="2931"/>
      <c r="HD109" s="2931"/>
      <c r="HE109" s="2931"/>
      <c r="HF109" s="2931"/>
      <c r="HG109" s="2931"/>
      <c r="HH109" s="2931"/>
      <c r="HI109" s="2931"/>
      <c r="HJ109" s="2931"/>
      <c r="HK109" s="2931"/>
      <c r="HL109" s="2931"/>
      <c r="HM109" s="2931"/>
      <c r="HN109" s="2931"/>
      <c r="HO109" s="2931"/>
      <c r="HP109" s="2931"/>
      <c r="HQ109" s="2931"/>
      <c r="HR109" s="2931"/>
      <c r="HS109" s="2931"/>
      <c r="HT109" s="2931"/>
      <c r="HU109" s="2931"/>
      <c r="HV109" s="2931"/>
      <c r="HW109" s="2931"/>
      <c r="HX109" s="2931"/>
      <c r="HY109" s="2931"/>
      <c r="HZ109" s="2931"/>
      <c r="IA109" s="2931"/>
      <c r="IB109" s="2931"/>
      <c r="IC109" s="2931"/>
      <c r="ID109" s="2931"/>
      <c r="IE109" s="2931"/>
      <c r="IF109" s="2931"/>
      <c r="IG109" s="2931"/>
      <c r="IH109" s="2931"/>
      <c r="II109" s="2931"/>
      <c r="IJ109" s="2931"/>
      <c r="IK109" s="2931"/>
      <c r="IL109" s="2931"/>
      <c r="IM109" s="2931"/>
      <c r="IN109" s="2931"/>
      <c r="IO109" s="2931" cm="1">
        <f t="array" ref="IO109">IF(LEN($G109)=0,"Rent Roll is incomplete",_xlfn.XLOOKUP(TRUE,EXACT(RentRoll_InputArea_DesignatedUnitType,$G109),RentRoll_InputArea_Beds,"Not Found"))</f>
        <v>0</v>
      </c>
      <c r="IP109" s="2934"/>
      <c r="IQ109" s="2935" t="str">
        <f t="shared" si="20"/>
        <v>0 Bedroom Unit (Efficiency/Studio)</v>
      </c>
      <c r="IR109" s="2926">
        <f t="shared" si="21"/>
        <v>1216</v>
      </c>
      <c r="IS109" s="2935"/>
      <c r="IT109" s="2931"/>
      <c r="IU109" s="2931"/>
      <c r="IV109" s="2931"/>
      <c r="IW109" s="2936" t="str">
        <f t="shared" si="22"/>
        <v>7-711</v>
      </c>
      <c r="IX109" s="2936"/>
      <c r="IY109" s="2936"/>
      <c r="IZ109" s="2936">
        <f t="shared" si="23"/>
        <v>0</v>
      </c>
      <c r="JA109" s="2936">
        <f t="shared" si="24"/>
        <v>1216</v>
      </c>
      <c r="JB109" s="2936"/>
      <c r="JC109" s="2936"/>
      <c r="JD109" s="2936"/>
      <c r="JE109" s="2936"/>
      <c r="JF109" s="2936"/>
      <c r="JG109" s="2936"/>
      <c r="JH109" s="2936">
        <f t="shared" si="25"/>
        <v>1217</v>
      </c>
      <c r="JI109" s="2936"/>
      <c r="JJ109" s="2936">
        <f t="shared" si="26"/>
      </c>
      <c r="JK109" s="2936"/>
      <c r="JL109" s="2936"/>
      <c r="JM109" s="2936"/>
      <c r="JN109" s="2936"/>
      <c r="JO109" s="2936"/>
      <c r="JP109" s="2936"/>
      <c r="JQ109" s="2936" t="str">
        <f t="shared" si="27"/>
        <v>Occupied</v>
      </c>
      <c r="JR109" s="2936" cm="1">
        <f t="array" ref="JR109">_xlfn.XLOOKUP(TRUE,EXACT(RentRoll_InputArea_DesignatedUnitType,$G109),RentRoll_InputArea_SquareFootage,"Not Found")</f>
        <v>800</v>
      </c>
      <c r="JS109" s="2936" t="str">
        <f t="shared" si="28"/>
        <v>Apartment</v>
      </c>
      <c r="JT109" s="2936">
        <f t="shared" si="29"/>
      </c>
      <c r="JU109" s="2936"/>
      <c r="JV109" s="2936"/>
      <c r="JW109" s="2936"/>
      <c r="JX109" s="2936"/>
      <c r="JY109" s="2936">
        <f t="shared" si="9"/>
        <v>43525</v>
      </c>
      <c r="JZ109" s="2936">
        <f t="shared" si="9"/>
        <v>43738</v>
      </c>
      <c r="KA109" s="2936"/>
      <c r="KB109" s="2936"/>
      <c r="KC109" s="2936"/>
      <c r="KD109" s="2936"/>
      <c r="KE109" s="2936"/>
      <c r="KF109" s="2936"/>
      <c r="KG109" s="2936"/>
      <c r="KH109" s="2936"/>
      <c r="KI109" s="2937"/>
      <c r="KJ109" s="2936"/>
      <c r="KK109" s="1353"/>
    </row>
    <row r="110" ht="15" customHeight="1">
      <c r="A110" s="2922">
        <f t="shared" si="10"/>
        <v>87</v>
      </c>
      <c r="B110" s="2865"/>
      <c r="C110" s="2873"/>
      <c r="D110" s="2873" t="s">
        <v>2915</v>
      </c>
      <c r="E110" s="2923">
        <v>1544</v>
      </c>
      <c r="F110" s="2924" t="s">
        <v>2916</v>
      </c>
      <c r="G110" s="2873" t="s">
        <v>2532</v>
      </c>
      <c r="H110" s="2923">
        <v>1551</v>
      </c>
      <c r="I110" s="2925" cm="1">
        <f t="array" ref="I110">_xlfn.LET(_xlpm.has_subsidy,$N110&gt;0,_xlpm.is_chap9_sbl,$FF$20,_xlpm.contract_rent,$H110,_xlpm.unit_type_mkt_rent,_xlfn.XLOOKUP(TRUE,EXACT($G110,RentRoll_InputArea_DesignatedUnitType),RentRoll_InputArea_MarketRent,"Not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0" s="2926">
        <f t="shared" si="11"/>
        <v>1551</v>
      </c>
      <c r="K110" s="2923"/>
      <c r="L110" s="2923"/>
      <c r="M110" s="2923"/>
      <c r="N110" s="2923"/>
      <c r="O110" s="2927">
        <v>43455</v>
      </c>
      <c r="P110" s="2927">
        <v>43738</v>
      </c>
      <c r="Q110" s="2928">
        <f t="shared" si="8"/>
      </c>
      <c r="R110" s="2928">
        <f t="shared" si="8"/>
      </c>
      <c r="S110" s="2928">
        <f t="shared" si="8"/>
      </c>
      <c r="T110" s="2928">
        <f t="shared" si="8"/>
        <v>1551</v>
      </c>
      <c r="U110" s="2928">
        <f t="shared" si="8"/>
      </c>
      <c r="V110" s="2928">
        <f t="shared" si="8"/>
      </c>
      <c r="W110" s="2928">
        <f t="shared" si="8"/>
      </c>
      <c r="X110" s="2928">
        <f t="shared" si="8"/>
      </c>
      <c r="Y110" s="2928">
        <f t="shared" si="8"/>
      </c>
      <c r="Z110" s="2928">
        <f t="shared" si="8"/>
      </c>
      <c r="AA110" s="2928">
        <f t="shared" si="8"/>
      </c>
      <c r="AB110" s="2928">
        <f t="shared" si="8"/>
      </c>
      <c r="AC110" s="2928">
        <f t="shared" si="8"/>
      </c>
      <c r="AD110" s="2928">
        <f t="shared" si="8"/>
      </c>
      <c r="AE110" s="2928">
        <f t="shared" si="8"/>
      </c>
      <c r="AF110" s="2928">
        <f t="shared" si="8"/>
      </c>
      <c r="AG110" s="2928">
        <f t="shared" si="8"/>
      </c>
      <c r="AH110" s="2928">
        <f t="shared" si="8"/>
      </c>
      <c r="AI110" s="2928">
        <f t="shared" si="8"/>
      </c>
      <c r="AJ110" s="2928">
        <f t="shared" si="8"/>
      </c>
      <c r="AK110" s="2928">
        <f t="shared" si="8"/>
      </c>
      <c r="AL110" s="2928">
        <f t="shared" si="8"/>
      </c>
      <c r="AM110" s="2928">
        <f t="shared" si="8"/>
      </c>
      <c r="AN110" s="2928">
        <f t="shared" si="8"/>
      </c>
      <c r="AO110" s="2928">
        <f t="shared" si="8"/>
      </c>
      <c r="AP110" s="2928">
        <f t="shared" si="8"/>
      </c>
      <c r="AQ110" s="2928">
        <f t="shared" si="8"/>
      </c>
      <c r="AR110" s="2928">
        <f t="shared" si="8"/>
      </c>
      <c r="AS110" s="2928">
        <f t="shared" si="8"/>
      </c>
      <c r="AT110" s="2928">
        <f t="shared" si="8"/>
      </c>
      <c r="AU110" s="2928">
        <f t="shared" si="8"/>
      </c>
      <c r="AV110" s="2928">
        <f t="shared" si="8"/>
      </c>
      <c r="AW110" s="2928">
        <f t="shared" si="8"/>
      </c>
      <c r="AX110" s="2928">
        <f t="shared" si="8"/>
      </c>
      <c r="AY110" s="2928">
        <f t="shared" si="8"/>
      </c>
      <c r="AZ110" s="2928">
        <f t="shared" si="8"/>
      </c>
      <c r="BA110" s="2928">
        <f t="shared" si="8"/>
      </c>
      <c r="BB110" s="2928">
        <f t="shared" si="8"/>
      </c>
      <c r="BC110" s="2928">
        <f t="shared" si="8"/>
      </c>
      <c r="BD110" s="2928">
        <f t="shared" si="8"/>
      </c>
      <c r="BE110" s="2928">
        <f t="shared" si="8"/>
      </c>
      <c r="BF110" s="2928">
        <f t="shared" si="8"/>
      </c>
      <c r="BG110" s="2928">
        <f t="shared" si="8"/>
      </c>
      <c r="BH110" s="2928">
        <f t="shared" si="8"/>
      </c>
      <c r="BI110" s="2928">
        <f t="shared" si="8"/>
      </c>
      <c r="BJ110" s="2928">
        <f t="shared" si="8"/>
      </c>
      <c r="BK110" s="2928">
        <f t="shared" si="8"/>
      </c>
      <c r="BL110" s="2928">
        <f t="shared" si="8"/>
      </c>
      <c r="BM110" s="2928">
        <f t="shared" si="8"/>
      </c>
      <c r="BN110" s="2928">
        <f t="shared" si="8"/>
      </c>
      <c r="BO110" s="2928">
        <f t="shared" si="8"/>
      </c>
      <c r="BP110" s="2928">
        <f t="shared" si="8"/>
      </c>
      <c r="BQ110" s="2928">
        <f t="shared" si="8"/>
      </c>
      <c r="BR110" s="2928">
        <f t="shared" si="8"/>
      </c>
      <c r="BS110" s="2928">
        <f t="shared" si="8"/>
      </c>
      <c r="BT110" s="2928">
        <f t="shared" si="8"/>
      </c>
      <c r="BU110" s="2928">
        <f t="shared" si="8"/>
      </c>
      <c r="BV110" s="2928">
        <f t="shared" si="8"/>
      </c>
      <c r="BW110" s="2928">
        <f t="shared" si="8"/>
      </c>
      <c r="BX110" s="2928">
        <f t="shared" si="8"/>
      </c>
      <c r="BY110" s="2928">
        <f t="shared" si="8"/>
      </c>
      <c r="BZ110" s="2928">
        <f t="shared" si="8"/>
      </c>
      <c r="CA110" s="2928">
        <f t="shared" si="8"/>
      </c>
      <c r="CB110" s="2928">
        <f t="shared" si="8"/>
      </c>
      <c r="CC110" s="2928">
        <f t="shared" si="8"/>
      </c>
      <c r="CD110" s="2928">
        <f t="shared" si="8"/>
      </c>
      <c r="CE110" s="2928">
        <f t="shared" si="8"/>
      </c>
      <c r="CF110" s="2928">
        <f t="shared" si="8"/>
      </c>
      <c r="CG110" s="2928">
        <f t="shared" si="8"/>
      </c>
      <c r="CH110" s="2928">
        <f t="shared" si="8"/>
      </c>
      <c r="CI110" s="2928">
        <f t="shared" si="8"/>
      </c>
      <c r="CJ110" s="2928">
        <f t="shared" si="8"/>
      </c>
      <c r="CK110" s="2928">
        <f t="shared" si="8"/>
      </c>
      <c r="CL110" s="2928">
        <f t="shared" si="8"/>
      </c>
      <c r="CM110" s="2928">
        <f t="shared" si="8"/>
      </c>
      <c r="CN110" s="2928">
        <f t="shared" si="8"/>
      </c>
      <c r="CO110" s="2928">
        <f t="shared" si="8"/>
      </c>
      <c r="CP110" s="2928">
        <f t="shared" si="8"/>
      </c>
      <c r="CQ110" s="2928">
        <f t="shared" si="8"/>
      </c>
      <c r="CR110" s="2928">
        <f t="shared" si="8"/>
      </c>
      <c r="CS110" s="2928">
        <f t="shared" si="8"/>
      </c>
      <c r="CT110" s="2928">
        <f t="shared" si="8"/>
      </c>
      <c r="CU110" s="2928">
        <f t="shared" si="8"/>
      </c>
      <c r="CV110" s="2928">
        <f t="shared" si="8"/>
      </c>
      <c r="CW110" s="2928">
        <f t="shared" si="8"/>
      </c>
      <c r="CX110" s="2928">
        <f t="shared" si="8"/>
      </c>
      <c r="CY110" s="2928">
        <f t="shared" si="8"/>
      </c>
      <c r="CZ110" s="2928">
        <f t="shared" si="8"/>
      </c>
      <c r="DA110" s="2928">
        <f t="shared" si="8"/>
      </c>
      <c r="DB110" s="2928">
        <f t="shared" si="8"/>
      </c>
      <c r="DC110" s="2928">
        <f t="shared" si="8"/>
      </c>
      <c r="DD110" s="2928">
        <f t="shared" si="8"/>
      </c>
      <c r="DE110" s="2928">
        <f t="shared" si="8"/>
      </c>
      <c r="DF110" s="2928">
        <f t="shared" si="8"/>
      </c>
      <c r="DG110" s="2928">
        <f t="shared" si="8"/>
      </c>
      <c r="DH110" s="2928">
        <f t="shared" si="8"/>
      </c>
      <c r="DI110" s="2928">
        <f t="shared" si="8"/>
      </c>
      <c r="DJ110" s="2928">
        <f t="shared" si="8"/>
      </c>
      <c r="DK110" s="2928">
        <f t="shared" si="8"/>
      </c>
      <c r="DL110" s="2928">
        <f t="shared" si="8"/>
      </c>
      <c r="DM110" s="2928">
        <f t="shared" si="8"/>
      </c>
      <c r="DN110" s="2928">
        <f t="shared" si="8"/>
      </c>
      <c r="DO110" s="2928">
        <f t="shared" si="8"/>
      </c>
      <c r="DP110" s="2928">
        <f t="shared" si="8"/>
      </c>
      <c r="DQ110" s="2928">
        <f t="shared" si="8"/>
      </c>
      <c r="DR110" s="2928">
        <f t="shared" si="8"/>
      </c>
      <c r="DS110" s="2928">
        <f t="shared" si="8"/>
      </c>
      <c r="DT110" s="2928">
        <f t="shared" si="8"/>
      </c>
      <c r="DU110" s="2928">
        <f t="shared" si="8"/>
      </c>
      <c r="DV110" s="2928">
        <f t="shared" si="8"/>
      </c>
      <c r="DW110" s="2928">
        <f t="shared" si="8"/>
      </c>
      <c r="DX110" s="2928">
        <f t="shared" si="8"/>
      </c>
      <c r="DY110" s="2928">
        <f t="shared" si="8"/>
      </c>
      <c r="DZ110" s="2928">
        <f t="shared" si="8"/>
      </c>
      <c r="EA110" s="2928">
        <f t="shared" si="8"/>
      </c>
      <c r="EB110" s="2928">
        <f t="shared" si="8"/>
      </c>
      <c r="EC110" s="2928">
        <f t="shared" si="8"/>
      </c>
      <c r="ED110" s="2928">
        <f t="shared" si="8"/>
      </c>
      <c r="EE110" s="2928">
        <f t="shared" si="8"/>
      </c>
      <c r="EF110" s="2928">
        <f t="shared" si="8"/>
      </c>
      <c r="EG110" s="2928">
        <f t="shared" si="8"/>
      </c>
      <c r="EH110" s="2928">
        <f t="shared" si="8"/>
      </c>
      <c r="EI110" s="2928">
        <f t="shared" si="8"/>
      </c>
      <c r="EJ110" s="2928">
        <f t="shared" si="8"/>
      </c>
      <c r="EK110" s="2928">
        <f t="shared" si="8"/>
      </c>
      <c r="EL110" s="2928">
        <f t="shared" si="8"/>
      </c>
      <c r="EM110" s="2928">
        <f t="shared" si="8"/>
      </c>
      <c r="EN110" s="2928">
        <f t="shared" si="8"/>
      </c>
      <c r="EO110" s="2928">
        <f t="shared" si="8"/>
      </c>
      <c r="EP110" s="2928">
        <f t="shared" si="8"/>
      </c>
      <c r="EQ110" s="2928">
        <f t="shared" si="8"/>
      </c>
      <c r="ER110" s="2928">
        <f t="shared" si="8"/>
      </c>
      <c r="ES110" s="2928">
        <f t="shared" si="8"/>
      </c>
      <c r="ET110" s="2928">
        <f t="shared" si="8"/>
      </c>
      <c r="EU110" s="2928">
        <f t="shared" si="8"/>
      </c>
      <c r="EV110" s="2928">
        <f t="shared" si="8"/>
      </c>
      <c r="EW110" s="2928">
        <f t="shared" si="8"/>
      </c>
      <c r="EX110" s="2928">
        <f t="shared" si="8"/>
      </c>
      <c r="EY110" s="2928">
        <f t="shared" si="8"/>
      </c>
      <c r="EZ110" s="2928">
        <f t="shared" si="8"/>
      </c>
      <c r="FA110" s="2929" t="str">
        <f t="shared" si="12"/>
        <v>-</v>
      </c>
      <c r="FB110" s="2825">
        <f t="shared" si="13"/>
      </c>
      <c r="FC110" s="2930" cm="1">
        <f t="array" ref="FC110">_xlfn.LET(_xlpm.unit_type,$G110,_xlpm.market_rent_from_rent_roll,$E110,_xlpm.unit_type_list,RentRoll_InputArea_DesignatedUnitType,_xlpm.rent_by_unit_type,RentRoll_InputArea_MarketRent,_xlpm.use_rent_roll_market_rent,LEFT(RR_VacantUnitMktRentSource,9)="Rent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0" s="2930">
        <f t="shared" si="14"/>
        <v>1551</v>
      </c>
      <c r="FE110" s="2930">
        <f t="shared" si="15"/>
        <v>1551</v>
      </c>
      <c r="FF110" s="2930">
        <f t="shared" si="16"/>
        <v>1551</v>
      </c>
      <c r="FG110" s="2931"/>
      <c r="FH110" s="2932">
        <f t="shared" si="17"/>
      </c>
      <c r="FI110" s="2932">
        <f t="shared" si="18"/>
      </c>
      <c r="FJ110" s="2931"/>
      <c r="FK110" s="2933" cm="1">
        <f t="array" ref="FK110">IF(AND(LEN($D110)&gt;0,ISNA(MATCH(TRUE,EXACT($G110,RentRoll_InputArea_DesignatedUnitType),0))),1,0)</f>
        <v>0</v>
      </c>
      <c r="FL110" s="2931">
        <f t="shared" si="19"/>
        <v>87</v>
      </c>
      <c r="FM110" s="2931"/>
      <c r="FN110" s="2931"/>
      <c r="FO110" s="2931"/>
      <c r="FP110" s="2931"/>
      <c r="FQ110" s="2931"/>
      <c r="FR110" s="2931"/>
      <c r="FS110" s="2931"/>
      <c r="FT110" s="2931"/>
      <c r="FU110" s="2931"/>
      <c r="FV110" s="2931"/>
      <c r="FW110" s="2931"/>
      <c r="FX110" s="2931"/>
      <c r="FY110" s="2931"/>
      <c r="FZ110" s="2931"/>
      <c r="GA110" s="2931"/>
      <c r="GB110" s="2931"/>
      <c r="GC110" s="2931"/>
      <c r="GD110" s="2931"/>
      <c r="GE110" s="2931"/>
      <c r="GF110" s="2931"/>
      <c r="GG110" s="2931"/>
      <c r="GH110" s="2931"/>
      <c r="GI110" s="2931"/>
      <c r="GJ110" s="2931"/>
      <c r="GK110" s="2931"/>
      <c r="GL110" s="2931"/>
      <c r="GM110" s="2931"/>
      <c r="GN110" s="2931"/>
      <c r="GO110" s="2931"/>
      <c r="GP110" s="2931"/>
      <c r="GQ110" s="2931"/>
      <c r="GR110" s="2931"/>
      <c r="GS110" s="2931"/>
      <c r="GT110" s="2931"/>
      <c r="GU110" s="2931"/>
      <c r="GV110" s="2931"/>
      <c r="GW110" s="2931"/>
      <c r="GX110" s="2931"/>
      <c r="GY110" s="2931"/>
      <c r="GZ110" s="2931"/>
      <c r="HA110" s="2931"/>
      <c r="HB110" s="2931"/>
      <c r="HC110" s="2931"/>
      <c r="HD110" s="2931"/>
      <c r="HE110" s="2931"/>
      <c r="HF110" s="2931"/>
      <c r="HG110" s="2931"/>
      <c r="HH110" s="2931"/>
      <c r="HI110" s="2931"/>
      <c r="HJ110" s="2931"/>
      <c r="HK110" s="2931"/>
      <c r="HL110" s="2931"/>
      <c r="HM110" s="2931"/>
      <c r="HN110" s="2931"/>
      <c r="HO110" s="2931"/>
      <c r="HP110" s="2931"/>
      <c r="HQ110" s="2931"/>
      <c r="HR110" s="2931"/>
      <c r="HS110" s="2931"/>
      <c r="HT110" s="2931"/>
      <c r="HU110" s="2931"/>
      <c r="HV110" s="2931"/>
      <c r="HW110" s="2931"/>
      <c r="HX110" s="2931"/>
      <c r="HY110" s="2931"/>
      <c r="HZ110" s="2931"/>
      <c r="IA110" s="2931"/>
      <c r="IB110" s="2931"/>
      <c r="IC110" s="2931"/>
      <c r="ID110" s="2931"/>
      <c r="IE110" s="2931"/>
      <c r="IF110" s="2931"/>
      <c r="IG110" s="2931"/>
      <c r="IH110" s="2931"/>
      <c r="II110" s="2931"/>
      <c r="IJ110" s="2931"/>
      <c r="IK110" s="2931"/>
      <c r="IL110" s="2931"/>
      <c r="IM110" s="2931"/>
      <c r="IN110" s="2931"/>
      <c r="IO110" s="2931" cm="1">
        <f t="array" ref="IO110">IF(LEN($G110)=0,"Rent Roll is incomplete",_xlfn.XLOOKUP(TRUE,EXACT(RentRoll_InputArea_DesignatedUnitType,$G110),RentRoll_InputArea_Beds,"Not Found"))</f>
        <v>0</v>
      </c>
      <c r="IP110" s="2934"/>
      <c r="IQ110" s="2935" t="str">
        <f t="shared" si="20"/>
        <v>0 Bedroom Unit (Efficiency/Studio)</v>
      </c>
      <c r="IR110" s="2926">
        <f t="shared" si="21"/>
        <v>1551</v>
      </c>
      <c r="IS110" s="2935"/>
      <c r="IT110" s="2931"/>
      <c r="IU110" s="2931"/>
      <c r="IV110" s="2931"/>
      <c r="IW110" s="2936" t="str">
        <f t="shared" si="22"/>
        <v>7-712</v>
      </c>
      <c r="IX110" s="2936"/>
      <c r="IY110" s="2936"/>
      <c r="IZ110" s="2936">
        <f t="shared" si="23"/>
        <v>0</v>
      </c>
      <c r="JA110" s="2936">
        <f t="shared" si="24"/>
        <v>1551</v>
      </c>
      <c r="JB110" s="2936"/>
      <c r="JC110" s="2936"/>
      <c r="JD110" s="2936"/>
      <c r="JE110" s="2936"/>
      <c r="JF110" s="2936"/>
      <c r="JG110" s="2936"/>
      <c r="JH110" s="2936">
        <f t="shared" si="25"/>
        <v>1533</v>
      </c>
      <c r="JI110" s="2936"/>
      <c r="JJ110" s="2936">
        <f t="shared" si="26"/>
      </c>
      <c r="JK110" s="2936"/>
      <c r="JL110" s="2936"/>
      <c r="JM110" s="2936"/>
      <c r="JN110" s="2936"/>
      <c r="JO110" s="2936"/>
      <c r="JP110" s="2936"/>
      <c r="JQ110" s="2936" t="str">
        <f t="shared" si="27"/>
        <v>Occupied</v>
      </c>
      <c r="JR110" s="2936" cm="1">
        <f t="array" ref="JR110">_xlfn.XLOOKUP(TRUE,EXACT(RentRoll_InputArea_DesignatedUnitType,$G110),RentRoll_InputArea_SquareFootage,"Not Found")</f>
        <v>1050</v>
      </c>
      <c r="JS110" s="2936" t="str">
        <f t="shared" si="28"/>
        <v>Apartment</v>
      </c>
      <c r="JT110" s="2936">
        <f t="shared" si="29"/>
      </c>
      <c r="JU110" s="2936"/>
      <c r="JV110" s="2936"/>
      <c r="JW110" s="2936"/>
      <c r="JX110" s="2936"/>
      <c r="JY110" s="2936">
        <f t="shared" si="9"/>
        <v>43455</v>
      </c>
      <c r="JZ110" s="2936">
        <f t="shared" si="9"/>
        <v>43738</v>
      </c>
      <c r="KA110" s="2936"/>
      <c r="KB110" s="2936"/>
      <c r="KC110" s="2936"/>
      <c r="KD110" s="2936"/>
      <c r="KE110" s="2936"/>
      <c r="KF110" s="2936"/>
      <c r="KG110" s="2936"/>
      <c r="KH110" s="2936"/>
      <c r="KI110" s="2937"/>
      <c r="KJ110" s="2936"/>
      <c r="KK110" s="1353"/>
    </row>
    <row r="111" ht="15" customHeight="1">
      <c r="A111" s="2922">
        <f t="shared" si="10"/>
        <v>88</v>
      </c>
      <c r="B111" s="2865"/>
      <c r="C111" s="2873"/>
      <c r="D111" s="2873" t="s">
        <v>2917</v>
      </c>
      <c r="E111" s="2923">
        <v>1494</v>
      </c>
      <c r="F111" s="2924" t="s">
        <v>2918</v>
      </c>
      <c r="G111" s="2873" t="s">
        <v>2532</v>
      </c>
      <c r="H111" s="2923">
        <v>1458</v>
      </c>
      <c r="I111" s="2925" cm="1">
        <f t="array" ref="I111">_xlfn.LET(_xlpm.has_subsidy,$N111&gt;0,_xlpm.is_chap9_sbl,$FF$20,_xlpm.contract_rent,$H111,_xlpm.unit_type_mkt_rent,_xlfn.XLOOKUP(TRUE,EXACT($G111,RentRoll_InputArea_DesignatedUnitType),RentRoll_InputArea_MarketRent,"Not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1" s="2926">
        <f t="shared" si="11"/>
        <v>1458</v>
      </c>
      <c r="K111" s="2923"/>
      <c r="L111" s="2923"/>
      <c r="M111" s="2923"/>
      <c r="N111" s="2923"/>
      <c r="O111" s="2927">
        <v>43414</v>
      </c>
      <c r="P111" s="2927">
        <v>43708</v>
      </c>
      <c r="Q111" s="2928">
        <f t="shared" si="8"/>
      </c>
      <c r="R111" s="2928">
        <f t="shared" si="8"/>
      </c>
      <c r="S111" s="2928">
        <f t="shared" si="8"/>
      </c>
      <c r="T111" s="2928">
        <f t="shared" si="8"/>
        <v>1458</v>
      </c>
      <c r="U111" s="2928">
        <f t="shared" si="8"/>
      </c>
      <c r="V111" s="2928">
        <f t="shared" si="8"/>
      </c>
      <c r="W111" s="2928">
        <f t="shared" si="8"/>
      </c>
      <c r="X111" s="2928">
        <f t="shared" si="8"/>
      </c>
      <c r="Y111" s="2928">
        <f t="shared" si="8"/>
      </c>
      <c r="Z111" s="2928">
        <f t="shared" si="8"/>
      </c>
      <c r="AA111" s="2928">
        <f t="shared" si="8"/>
      </c>
      <c r="AB111" s="2928">
        <f t="shared" si="8"/>
      </c>
      <c r="AC111" s="2928">
        <f t="shared" si="8"/>
      </c>
      <c r="AD111" s="2928">
        <f t="shared" si="8"/>
      </c>
      <c r="AE111" s="2928">
        <f t="shared" si="8"/>
      </c>
      <c r="AF111" s="2928">
        <f t="shared" si="8"/>
      </c>
      <c r="AG111" s="2928">
        <f t="shared" si="8"/>
      </c>
      <c r="AH111" s="2928">
        <f t="shared" si="8"/>
      </c>
      <c r="AI111" s="2928">
        <f t="shared" si="8"/>
      </c>
      <c r="AJ111" s="2928">
        <f t="shared" si="8"/>
      </c>
      <c r="AK111" s="2928">
        <f t="shared" si="8"/>
      </c>
      <c r="AL111" s="2928">
        <f t="shared" si="8"/>
      </c>
      <c r="AM111" s="2928">
        <f t="shared" si="8"/>
      </c>
      <c r="AN111" s="2928">
        <f t="shared" si="8"/>
      </c>
      <c r="AO111" s="2928">
        <f t="shared" si="8"/>
      </c>
      <c r="AP111" s="2928">
        <f t="shared" si="8"/>
      </c>
      <c r="AQ111" s="2928">
        <f t="shared" si="8"/>
      </c>
      <c r="AR111" s="2928">
        <f t="shared" si="8"/>
      </c>
      <c r="AS111" s="2928">
        <f t="shared" si="8"/>
      </c>
      <c r="AT111" s="2928">
        <f t="shared" si="8"/>
      </c>
      <c r="AU111" s="2928">
        <f t="shared" si="8"/>
      </c>
      <c r="AV111" s="2928">
        <f t="shared" si="8"/>
      </c>
      <c r="AW111" s="2928">
        <f t="shared" si="8"/>
      </c>
      <c r="AX111" s="2928">
        <f t="shared" si="8"/>
      </c>
      <c r="AY111" s="2928">
        <f t="shared" si="8"/>
      </c>
      <c r="AZ111" s="2928">
        <f t="shared" si="8"/>
      </c>
      <c r="BA111" s="2928">
        <f t="shared" si="8"/>
      </c>
      <c r="BB111" s="2928">
        <f t="shared" si="8"/>
      </c>
      <c r="BC111" s="2928">
        <f t="shared" si="8"/>
      </c>
      <c r="BD111" s="2928">
        <f t="shared" si="8"/>
      </c>
      <c r="BE111" s="2928">
        <f t="shared" si="8"/>
      </c>
      <c r="BF111" s="2928">
        <f t="shared" si="8"/>
      </c>
      <c r="BG111" s="2928">
        <f t="shared" si="8"/>
      </c>
      <c r="BH111" s="2928">
        <f t="shared" si="8"/>
      </c>
      <c r="BI111" s="2928">
        <f t="shared" si="8"/>
      </c>
      <c r="BJ111" s="2928">
        <f t="shared" si="8"/>
      </c>
      <c r="BK111" s="2928">
        <f t="shared" si="8"/>
      </c>
      <c r="BL111" s="2928">
        <f t="shared" si="8"/>
      </c>
      <c r="BM111" s="2928">
        <f t="shared" si="8"/>
      </c>
      <c r="BN111" s="2928">
        <f t="shared" si="8"/>
      </c>
      <c r="BO111" s="2928">
        <f t="shared" si="8"/>
      </c>
      <c r="BP111" s="2928">
        <f t="shared" si="8"/>
      </c>
      <c r="BQ111" s="2928">
        <f t="shared" si="8"/>
      </c>
      <c r="BR111" s="2928">
        <f t="shared" si="8"/>
      </c>
      <c r="BS111" s="2928">
        <f t="shared" si="8"/>
      </c>
      <c r="BT111" s="2928">
        <f t="shared" si="8"/>
      </c>
      <c r="BU111" s="2928">
        <f t="shared" si="8"/>
      </c>
      <c r="BV111" s="2928">
        <f t="shared" si="8"/>
      </c>
      <c r="BW111" s="2928">
        <f t="shared" si="8"/>
      </c>
      <c r="BX111" s="2928">
        <f t="shared" si="8"/>
      </c>
      <c r="BY111" s="2928">
        <f t="shared" si="8"/>
      </c>
      <c r="BZ111" s="2928">
        <f t="shared" si="8"/>
      </c>
      <c r="CA111" s="2928">
        <f t="shared" si="8"/>
      </c>
      <c r="CB111" s="2928">
        <f t="shared" si="8"/>
      </c>
      <c r="CC111" s="2928">
        <f t="shared" si="8"/>
      </c>
      <c r="CD111" s="2928">
        <f t="shared" si="8"/>
      </c>
      <c r="CE111" s="2928">
        <f t="shared" si="8"/>
      </c>
      <c r="CF111" s="2928">
        <f t="shared" si="8"/>
      </c>
      <c r="CG111" s="2928">
        <f t="shared" si="8"/>
      </c>
      <c r="CH111" s="2928">
        <f t="shared" si="8"/>
      </c>
      <c r="CI111" s="2928">
        <f t="shared" si="8"/>
      </c>
      <c r="CJ111" s="2928">
        <f t="shared" si="8"/>
      </c>
      <c r="CK111" s="2928">
        <f t="shared" si="8"/>
      </c>
      <c r="CL111" s="2928">
        <f t="shared" si="8"/>
      </c>
      <c r="CM111" s="2928">
        <f t="shared" si="8"/>
      </c>
      <c r="CN111" s="2928">
        <f t="shared" si="8"/>
      </c>
      <c r="CO111" s="2928">
        <f t="shared" si="8"/>
      </c>
      <c r="CP111" s="2928">
        <f t="shared" si="8"/>
      </c>
      <c r="CQ111" s="2928">
        <f t="shared" si="8"/>
      </c>
      <c r="CR111" s="2928">
        <f t="shared" si="8"/>
      </c>
      <c r="CS111" s="2928">
        <f t="shared" si="8"/>
      </c>
      <c r="CT111" s="2928">
        <f t="shared" si="8"/>
      </c>
      <c r="CU111" s="2928">
        <f t="shared" si="8"/>
      </c>
      <c r="CV111" s="2928">
        <f t="shared" si="8"/>
      </c>
      <c r="CW111" s="2928">
        <f t="shared" si="8"/>
      </c>
      <c r="CX111" s="2928">
        <f t="shared" si="8"/>
      </c>
      <c r="CY111" s="2928">
        <f t="shared" si="8"/>
      </c>
      <c r="CZ111" s="2928">
        <f t="shared" si="8"/>
      </c>
      <c r="DA111" s="2928">
        <f t="shared" si="8"/>
      </c>
      <c r="DB111" s="2928">
        <f t="shared" si="8"/>
      </c>
      <c r="DC111" s="2928">
        <f t="shared" si="8"/>
      </c>
      <c r="DD111" s="2928">
        <f t="shared" si="8"/>
      </c>
      <c r="DE111" s="2928">
        <f t="shared" si="8"/>
      </c>
      <c r="DF111" s="2928">
        <f t="shared" si="8"/>
      </c>
      <c r="DG111" s="2928">
        <f t="shared" si="8"/>
      </c>
      <c r="DH111" s="2928">
        <f t="shared" si="8"/>
      </c>
      <c r="DI111" s="2928">
        <f t="shared" si="8"/>
      </c>
      <c r="DJ111" s="2928">
        <f t="shared" si="8"/>
      </c>
      <c r="DK111" s="2928">
        <f t="shared" si="8"/>
      </c>
      <c r="DL111" s="2928">
        <f t="shared" si="8"/>
      </c>
      <c r="DM111" s="2928">
        <f t="shared" si="8"/>
      </c>
      <c r="DN111" s="2928">
        <f t="shared" si="8"/>
      </c>
      <c r="DO111" s="2928">
        <f t="shared" si="8"/>
      </c>
      <c r="DP111" s="2928">
        <f t="shared" si="8"/>
      </c>
      <c r="DQ111" s="2928">
        <f t="shared" si="8"/>
      </c>
      <c r="DR111" s="2928">
        <f t="shared" si="8"/>
      </c>
      <c r="DS111" s="2928">
        <f t="shared" si="8"/>
      </c>
      <c r="DT111" s="2928">
        <f t="shared" si="8"/>
      </c>
      <c r="DU111" s="2928">
        <f t="shared" si="8"/>
      </c>
      <c r="DV111" s="2928">
        <f t="shared" si="8"/>
      </c>
      <c r="DW111" s="2928">
        <f t="shared" si="8"/>
      </c>
      <c r="DX111" s="2928">
        <f t="shared" si="8"/>
      </c>
      <c r="DY111" s="2928">
        <f t="shared" si="8"/>
      </c>
      <c r="DZ111" s="2928">
        <f t="shared" si="8"/>
      </c>
      <c r="EA111" s="2928">
        <f t="shared" si="8"/>
      </c>
      <c r="EB111" s="2928">
        <f t="shared" si="8"/>
      </c>
      <c r="EC111" s="2928">
        <f t="shared" si="8"/>
      </c>
      <c r="ED111" s="2928">
        <f t="shared" si="8"/>
      </c>
      <c r="EE111" s="2928">
        <f t="shared" si="8"/>
      </c>
      <c r="EF111" s="2928">
        <f t="shared" si="8"/>
      </c>
      <c r="EG111" s="2928">
        <f t="shared" si="8"/>
      </c>
      <c r="EH111" s="2928">
        <f t="shared" si="8"/>
      </c>
      <c r="EI111" s="2928">
        <f t="shared" si="8"/>
      </c>
      <c r="EJ111" s="2928">
        <f t="shared" si="8"/>
      </c>
      <c r="EK111" s="2928">
        <f t="shared" si="8"/>
      </c>
      <c r="EL111" s="2928">
        <f t="shared" si="8"/>
      </c>
      <c r="EM111" s="2928">
        <f t="shared" si="8"/>
      </c>
      <c r="EN111" s="2928">
        <f t="shared" si="8"/>
      </c>
      <c r="EO111" s="2928">
        <f t="shared" si="8"/>
      </c>
      <c r="EP111" s="2928">
        <f t="shared" si="8"/>
      </c>
      <c r="EQ111" s="2928">
        <f t="shared" si="8"/>
      </c>
      <c r="ER111" s="2928">
        <f t="shared" si="8"/>
      </c>
      <c r="ES111" s="2928">
        <f t="shared" si="8"/>
      </c>
      <c r="ET111" s="2928">
        <f t="shared" si="8"/>
      </c>
      <c r="EU111" s="2928">
        <f t="shared" si="8"/>
      </c>
      <c r="EV111" s="2928">
        <f t="shared" si="8"/>
      </c>
      <c r="EW111" s="2928">
        <f t="shared" si="8"/>
      </c>
      <c r="EX111" s="2928">
        <f t="shared" si="8"/>
      </c>
      <c r="EY111" s="2928">
        <f t="shared" si="8"/>
      </c>
      <c r="EZ111" s="2928">
        <f t="shared" si="8"/>
      </c>
      <c r="FA111" s="2929" t="str">
        <f t="shared" si="12"/>
        <v>-</v>
      </c>
      <c r="FB111" s="2825">
        <f t="shared" si="13"/>
      </c>
      <c r="FC111" s="2930" cm="1">
        <f t="array" ref="FC111">_xlfn.LET(_xlpm.unit_type,$G111,_xlpm.market_rent_from_rent_roll,$E111,_xlpm.unit_type_list,RentRoll_InputArea_DesignatedUnitType,_xlpm.rent_by_unit_type,RentRoll_InputArea_MarketRent,_xlpm.use_rent_roll_market_rent,LEFT(RR_VacantUnitMktRentSource,9)="Rent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1" s="2930">
        <f t="shared" si="14"/>
        <v>1458</v>
      </c>
      <c r="FE111" s="2930">
        <f t="shared" si="15"/>
        <v>1458</v>
      </c>
      <c r="FF111" s="2930">
        <f t="shared" si="16"/>
        <v>1458</v>
      </c>
      <c r="FG111" s="2931"/>
      <c r="FH111" s="2932">
        <f t="shared" si="17"/>
      </c>
      <c r="FI111" s="2932">
        <f t="shared" si="18"/>
      </c>
      <c r="FJ111" s="2931"/>
      <c r="FK111" s="2933" cm="1">
        <f t="array" ref="FK111">IF(AND(LEN($D111)&gt;0,ISNA(MATCH(TRUE,EXACT($G111,RentRoll_InputArea_DesignatedUnitType),0))),1,0)</f>
        <v>0</v>
      </c>
      <c r="FL111" s="2931">
        <f t="shared" si="19"/>
        <v>88</v>
      </c>
      <c r="FM111" s="2931"/>
      <c r="FN111" s="2931"/>
      <c r="FO111" s="2931"/>
      <c r="FP111" s="2931"/>
      <c r="FQ111" s="2931"/>
      <c r="FR111" s="2931"/>
      <c r="FS111" s="2931"/>
      <c r="FT111" s="2931"/>
      <c r="FU111" s="2931"/>
      <c r="FV111" s="2931"/>
      <c r="FW111" s="2931"/>
      <c r="FX111" s="2931"/>
      <c r="FY111" s="2931"/>
      <c r="FZ111" s="2931"/>
      <c r="GA111" s="2931"/>
      <c r="GB111" s="2931"/>
      <c r="GC111" s="2931"/>
      <c r="GD111" s="2931"/>
      <c r="GE111" s="2931"/>
      <c r="GF111" s="2931"/>
      <c r="GG111" s="2931"/>
      <c r="GH111" s="2931"/>
      <c r="GI111" s="2931"/>
      <c r="GJ111" s="2931"/>
      <c r="GK111" s="2931"/>
      <c r="GL111" s="2931"/>
      <c r="GM111" s="2931"/>
      <c r="GN111" s="2931"/>
      <c r="GO111" s="2931"/>
      <c r="GP111" s="2931"/>
      <c r="GQ111" s="2931"/>
      <c r="GR111" s="2931"/>
      <c r="GS111" s="2931"/>
      <c r="GT111" s="2931"/>
      <c r="GU111" s="2931"/>
      <c r="GV111" s="2931"/>
      <c r="GW111" s="2931"/>
      <c r="GX111" s="2931"/>
      <c r="GY111" s="2931"/>
      <c r="GZ111" s="2931"/>
      <c r="HA111" s="2931"/>
      <c r="HB111" s="2931"/>
      <c r="HC111" s="2931"/>
      <c r="HD111" s="2931"/>
      <c r="HE111" s="2931"/>
      <c r="HF111" s="2931"/>
      <c r="HG111" s="2931"/>
      <c r="HH111" s="2931"/>
      <c r="HI111" s="2931"/>
      <c r="HJ111" s="2931"/>
      <c r="HK111" s="2931"/>
      <c r="HL111" s="2931"/>
      <c r="HM111" s="2931"/>
      <c r="HN111" s="2931"/>
      <c r="HO111" s="2931"/>
      <c r="HP111" s="2931"/>
      <c r="HQ111" s="2931"/>
      <c r="HR111" s="2931"/>
      <c r="HS111" s="2931"/>
      <c r="HT111" s="2931"/>
      <c r="HU111" s="2931"/>
      <c r="HV111" s="2931"/>
      <c r="HW111" s="2931"/>
      <c r="HX111" s="2931"/>
      <c r="HY111" s="2931"/>
      <c r="HZ111" s="2931"/>
      <c r="IA111" s="2931"/>
      <c r="IB111" s="2931"/>
      <c r="IC111" s="2931"/>
      <c r="ID111" s="2931"/>
      <c r="IE111" s="2931"/>
      <c r="IF111" s="2931"/>
      <c r="IG111" s="2931"/>
      <c r="IH111" s="2931"/>
      <c r="II111" s="2931"/>
      <c r="IJ111" s="2931"/>
      <c r="IK111" s="2931"/>
      <c r="IL111" s="2931"/>
      <c r="IM111" s="2931"/>
      <c r="IN111" s="2931"/>
      <c r="IO111" s="2931" cm="1">
        <f t="array" ref="IO111">IF(LEN($G111)=0,"Rent Roll is incomplete",_xlfn.XLOOKUP(TRUE,EXACT(RentRoll_InputArea_DesignatedUnitType,$G111),RentRoll_InputArea_Beds,"Not Found"))</f>
        <v>0</v>
      </c>
      <c r="IP111" s="2934"/>
      <c r="IQ111" s="2935" t="str">
        <f t="shared" si="20"/>
        <v>0 Bedroom Unit (Efficiency/Studio)</v>
      </c>
      <c r="IR111" s="2926">
        <f t="shared" si="21"/>
        <v>1458</v>
      </c>
      <c r="IS111" s="2935"/>
      <c r="IT111" s="2931"/>
      <c r="IU111" s="2931"/>
      <c r="IV111" s="2931"/>
      <c r="IW111" s="2936" t="str">
        <f t="shared" si="22"/>
        <v>7-713</v>
      </c>
      <c r="IX111" s="2936"/>
      <c r="IY111" s="2936"/>
      <c r="IZ111" s="2936">
        <f t="shared" si="23"/>
        <v>0</v>
      </c>
      <c r="JA111" s="2936">
        <f t="shared" si="24"/>
        <v>1458</v>
      </c>
      <c r="JB111" s="2936"/>
      <c r="JC111" s="2936"/>
      <c r="JD111" s="2936"/>
      <c r="JE111" s="2936"/>
      <c r="JF111" s="2936"/>
      <c r="JG111" s="2936"/>
      <c r="JH111" s="2936">
        <f t="shared" si="25"/>
        <v>1533</v>
      </c>
      <c r="JI111" s="2936"/>
      <c r="JJ111" s="2936">
        <f t="shared" si="26"/>
      </c>
      <c r="JK111" s="2936"/>
      <c r="JL111" s="2936"/>
      <c r="JM111" s="2936"/>
      <c r="JN111" s="2936"/>
      <c r="JO111" s="2936"/>
      <c r="JP111" s="2936"/>
      <c r="JQ111" s="2936" t="str">
        <f t="shared" si="27"/>
        <v>Occupied</v>
      </c>
      <c r="JR111" s="2936" cm="1">
        <f t="array" ref="JR111">_xlfn.XLOOKUP(TRUE,EXACT(RentRoll_InputArea_DesignatedUnitType,$G111),RentRoll_InputArea_SquareFootage,"Not Found")</f>
        <v>1050</v>
      </c>
      <c r="JS111" s="2936" t="str">
        <f t="shared" si="28"/>
        <v>Apartment</v>
      </c>
      <c r="JT111" s="2936">
        <f t="shared" si="29"/>
      </c>
      <c r="JU111" s="2936"/>
      <c r="JV111" s="2936"/>
      <c r="JW111" s="2936"/>
      <c r="JX111" s="2936"/>
      <c r="JY111" s="2936">
        <f t="shared" si="9"/>
        <v>43414</v>
      </c>
      <c r="JZ111" s="2936">
        <f t="shared" si="9"/>
        <v>43708</v>
      </c>
      <c r="KA111" s="2936"/>
      <c r="KB111" s="2936"/>
      <c r="KC111" s="2936"/>
      <c r="KD111" s="2936"/>
      <c r="KE111" s="2936"/>
      <c r="KF111" s="2936"/>
      <c r="KG111" s="2936"/>
      <c r="KH111" s="2936"/>
      <c r="KI111" s="2937"/>
      <c r="KJ111" s="2936"/>
      <c r="KK111" s="1353"/>
    </row>
    <row r="112" ht="15" customHeight="1">
      <c r="A112" s="2922">
        <f t="shared" si="10"/>
        <v>89</v>
      </c>
      <c r="B112" s="2865"/>
      <c r="C112" s="2873"/>
      <c r="D112" s="2873" t="s">
        <v>2919</v>
      </c>
      <c r="E112" s="2923">
        <v>1530</v>
      </c>
      <c r="F112" s="2924" t="s">
        <v>2920</v>
      </c>
      <c r="G112" s="2873" t="s">
        <v>2532</v>
      </c>
      <c r="H112" s="2923">
        <v>1559</v>
      </c>
      <c r="I112" s="2925" cm="1">
        <f t="array" ref="I112">_xlfn.LET(_xlpm.has_subsidy,$N112&gt;0,_xlpm.is_chap9_sbl,$FF$20,_xlpm.contract_rent,$H112,_xlpm.unit_type_mkt_rent,_xlfn.XLOOKUP(TRUE,EXACT($G112,RentRoll_InputArea_DesignatedUnitType),RentRoll_InputArea_MarketRent,"Not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2" s="2926">
        <f t="shared" si="11"/>
        <v>1559</v>
      </c>
      <c r="K112" s="2923"/>
      <c r="L112" s="2923"/>
      <c r="M112" s="2923"/>
      <c r="N112" s="2923"/>
      <c r="O112" s="2927">
        <v>43525</v>
      </c>
      <c r="P112" s="2927">
        <v>43890</v>
      </c>
      <c r="Q112" s="2928">
        <f t="shared" si="8"/>
      </c>
      <c r="R112" s="2928">
        <f t="shared" si="8"/>
      </c>
      <c r="S112" s="2928">
        <f t="shared" si="8"/>
      </c>
      <c r="T112" s="2928">
        <f t="shared" si="8"/>
        <v>1559</v>
      </c>
      <c r="U112" s="2928">
        <f t="shared" si="8"/>
      </c>
      <c r="V112" s="2928">
        <f t="shared" si="8"/>
      </c>
      <c r="W112" s="2928">
        <f t="shared" si="8"/>
      </c>
      <c r="X112" s="2928">
        <f t="shared" si="8"/>
      </c>
      <c r="Y112" s="2928">
        <f t="shared" si="8"/>
      </c>
      <c r="Z112" s="2928">
        <f t="shared" si="8"/>
      </c>
      <c r="AA112" s="2928">
        <f t="shared" si="8"/>
      </c>
      <c r="AB112" s="2928">
        <f t="shared" si="8"/>
      </c>
      <c r="AC112" s="2928">
        <f t="shared" si="8"/>
      </c>
      <c r="AD112" s="2928">
        <f t="shared" si="8"/>
      </c>
      <c r="AE112" s="2928">
        <f t="shared" si="8"/>
      </c>
      <c r="AF112" s="2928">
        <f t="shared" si="8"/>
      </c>
      <c r="AG112" s="2928">
        <f t="shared" si="8"/>
      </c>
      <c r="AH112" s="2928">
        <f t="shared" si="8"/>
      </c>
      <c r="AI112" s="2928">
        <f t="shared" si="8"/>
      </c>
      <c r="AJ112" s="2928">
        <f t="shared" si="8"/>
      </c>
      <c r="AK112" s="2928">
        <f t="shared" si="8"/>
      </c>
      <c r="AL112" s="2928">
        <f t="shared" si="8"/>
      </c>
      <c r="AM112" s="2928">
        <f t="shared" si="8"/>
      </c>
      <c r="AN112" s="2928">
        <f t="shared" si="8"/>
      </c>
      <c r="AO112" s="2928">
        <f t="shared" si="8"/>
      </c>
      <c r="AP112" s="2928">
        <f t="shared" si="8"/>
      </c>
      <c r="AQ112" s="2928">
        <f t="shared" si="8"/>
      </c>
      <c r="AR112" s="2928">
        <f t="shared" si="8"/>
      </c>
      <c r="AS112" s="2928">
        <f t="shared" si="8"/>
      </c>
      <c r="AT112" s="2928">
        <f t="shared" si="8"/>
      </c>
      <c r="AU112" s="2928">
        <f t="shared" si="8"/>
      </c>
      <c r="AV112" s="2928">
        <f t="shared" si="8"/>
      </c>
      <c r="AW112" s="2928">
        <f t="shared" si="8"/>
      </c>
      <c r="AX112" s="2928">
        <f t="shared" si="8"/>
      </c>
      <c r="AY112" s="2928">
        <f t="shared" si="8"/>
      </c>
      <c r="AZ112" s="2928">
        <f t="shared" si="8"/>
      </c>
      <c r="BA112" s="2928">
        <f t="shared" si="8"/>
      </c>
      <c r="BB112" s="2928">
        <f t="shared" si="8"/>
      </c>
      <c r="BC112" s="2928">
        <f t="shared" si="8"/>
      </c>
      <c r="BD112" s="2928">
        <f t="shared" si="8"/>
      </c>
      <c r="BE112" s="2928">
        <f t="shared" si="8"/>
      </c>
      <c r="BF112" s="2928">
        <f t="shared" si="8"/>
      </c>
      <c r="BG112" s="2928">
        <f t="shared" si="8"/>
      </c>
      <c r="BH112" s="2928">
        <f t="shared" si="8"/>
      </c>
      <c r="BI112" s="2928">
        <f t="shared" si="8"/>
      </c>
      <c r="BJ112" s="2928">
        <f t="shared" si="8"/>
      </c>
      <c r="BK112" s="2928">
        <f t="shared" si="8"/>
      </c>
      <c r="BL112" s="2928">
        <f t="shared" si="8"/>
      </c>
      <c r="BM112" s="2928">
        <f t="shared" si="8"/>
      </c>
      <c r="BN112" s="2928">
        <f t="shared" si="8"/>
      </c>
      <c r="BO112" s="2928">
        <f t="shared" si="8"/>
      </c>
      <c r="BP112" s="2928">
        <f t="shared" si="8"/>
      </c>
      <c r="BQ112" s="2928">
        <f t="shared" si="8"/>
      </c>
      <c r="BR112" s="2928">
        <f t="shared" si="8"/>
      </c>
      <c r="BS112" s="2928">
        <f t="shared" si="8"/>
      </c>
      <c r="BT112" s="2928">
        <f t="shared" si="8"/>
      </c>
      <c r="BU112" s="2928">
        <f t="shared" si="8"/>
      </c>
      <c r="BV112" s="2928">
        <f t="shared" si="8"/>
      </c>
      <c r="BW112" s="2928">
        <f t="shared" si="8"/>
      </c>
      <c r="BX112" s="2928">
        <f t="shared" si="8"/>
      </c>
      <c r="BY112" s="2928">
        <f t="shared" si="8"/>
      </c>
      <c r="BZ112" s="2928">
        <f t="shared" si="8"/>
      </c>
      <c r="CA112" s="2928">
        <f t="shared" si="8"/>
      </c>
      <c r="CB112" s="2928">
        <f t="shared" si="8"/>
      </c>
      <c r="CC112" s="2928">
        <f t="shared" si="8"/>
      </c>
      <c r="CD112" s="2928">
        <f t="shared" si="8"/>
      </c>
      <c r="CE112" s="2928">
        <f t="shared" si="8"/>
      </c>
      <c r="CF112" s="2928">
        <f t="shared" si="8"/>
      </c>
      <c r="CG112" s="2928">
        <f t="shared" si="8"/>
      </c>
      <c r="CH112" s="2928">
        <f t="shared" si="8"/>
      </c>
      <c r="CI112" s="2928">
        <f t="shared" si="8"/>
      </c>
      <c r="CJ112" s="2928">
        <f t="shared" si="8"/>
      </c>
      <c r="CK112" s="2928">
        <f t="shared" si="8"/>
      </c>
      <c r="CL112" s="2928">
        <f t="shared" si="8"/>
      </c>
      <c r="CM112" s="2928">
        <f t="shared" si="8"/>
      </c>
      <c r="CN112" s="2928">
        <f t="shared" si="8"/>
      </c>
      <c r="CO112" s="2928">
        <f t="shared" si="8"/>
      </c>
      <c r="CP112" s="2928">
        <f t="shared" si="8"/>
      </c>
      <c r="CQ112" s="2928">
        <f t="shared" si="8"/>
      </c>
      <c r="CR112" s="2928">
        <f t="shared" si="8"/>
      </c>
      <c r="CS112" s="2928">
        <f t="shared" si="8"/>
      </c>
      <c r="CT112" s="2928">
        <f t="shared" si="8"/>
      </c>
      <c r="CU112" s="2928">
        <f t="shared" si="8"/>
      </c>
      <c r="CV112" s="2928">
        <f t="shared" si="8"/>
      </c>
      <c r="CW112" s="2928">
        <f t="shared" si="8"/>
      </c>
      <c r="CX112" s="2928">
        <f t="shared" si="8"/>
      </c>
      <c r="CY112" s="2928">
        <f t="shared" si="8"/>
      </c>
      <c r="CZ112" s="2928">
        <f t="shared" si="8"/>
      </c>
      <c r="DA112" s="2928">
        <f t="shared" si="8"/>
      </c>
      <c r="DB112" s="2928">
        <f t="shared" si="8"/>
      </c>
      <c r="DC112" s="2928">
        <f t="shared" si="8"/>
      </c>
      <c r="DD112" s="2928">
        <f t="shared" si="8"/>
      </c>
      <c r="DE112" s="2928">
        <f t="shared" si="8"/>
      </c>
      <c r="DF112" s="2928">
        <f t="shared" si="8"/>
      </c>
      <c r="DG112" s="2928">
        <f t="shared" si="8"/>
      </c>
      <c r="DH112" s="2928">
        <f t="shared" si="8"/>
      </c>
      <c r="DI112" s="2928">
        <f t="shared" si="8"/>
      </c>
      <c r="DJ112" s="2928">
        <f t="shared" si="8"/>
      </c>
      <c r="DK112" s="2928">
        <f t="shared" si="8"/>
      </c>
      <c r="DL112" s="2928">
        <f t="shared" si="8"/>
      </c>
      <c r="DM112" s="2928">
        <f t="shared" si="8"/>
      </c>
      <c r="DN112" s="2928">
        <f t="shared" si="8"/>
      </c>
      <c r="DO112" s="2928">
        <f t="shared" si="8"/>
      </c>
      <c r="DP112" s="2928">
        <f t="shared" si="8"/>
      </c>
      <c r="DQ112" s="2928">
        <f t="shared" si="8"/>
      </c>
      <c r="DR112" s="2928">
        <f t="shared" si="8"/>
      </c>
      <c r="DS112" s="2928">
        <f t="shared" si="8"/>
      </c>
      <c r="DT112" s="2928">
        <f t="shared" si="8"/>
      </c>
      <c r="DU112" s="2928">
        <f t="shared" si="8"/>
      </c>
      <c r="DV112" s="2928">
        <f t="shared" si="8"/>
      </c>
      <c r="DW112" s="2928">
        <f t="shared" si="8"/>
      </c>
      <c r="DX112" s="2928">
        <f t="shared" si="8"/>
      </c>
      <c r="DY112" s="2928">
        <f t="shared" si="8"/>
      </c>
      <c r="DZ112" s="2928">
        <f t="shared" si="8"/>
      </c>
      <c r="EA112" s="2928">
        <f t="shared" si="8"/>
      </c>
      <c r="EB112" s="2928">
        <f t="shared" si="8"/>
      </c>
      <c r="EC112" s="2928">
        <f t="shared" si="8"/>
      </c>
      <c r="ED112" s="2928">
        <f t="shared" si="8"/>
      </c>
      <c r="EE112" s="2928">
        <f t="shared" si="8"/>
      </c>
      <c r="EF112" s="2928">
        <f t="shared" si="8"/>
      </c>
      <c r="EG112" s="2928">
        <f t="shared" si="8"/>
      </c>
      <c r="EH112" s="2928">
        <f t="shared" si="8"/>
      </c>
      <c r="EI112" s="2928">
        <f t="shared" si="8"/>
      </c>
      <c r="EJ112" s="2928">
        <f t="shared" si="8"/>
      </c>
      <c r="EK112" s="2928">
        <f t="shared" si="8"/>
      </c>
      <c r="EL112" s="2928">
        <f t="shared" si="8"/>
      </c>
      <c r="EM112" s="2928">
        <f t="shared" si="8"/>
      </c>
      <c r="EN112" s="2928">
        <f t="shared" si="8"/>
      </c>
      <c r="EO112" s="2928">
        <f t="shared" si="8"/>
      </c>
      <c r="EP112" s="2928">
        <f t="shared" si="8"/>
      </c>
      <c r="EQ112" s="2928">
        <f t="shared" si="8"/>
      </c>
      <c r="ER112" s="2928">
        <f t="shared" si="8"/>
      </c>
      <c r="ES112" s="2928">
        <f t="shared" si="8"/>
      </c>
      <c r="ET112" s="2928">
        <f t="shared" si="8"/>
      </c>
      <c r="EU112" s="2928">
        <f t="shared" si="8"/>
      </c>
      <c r="EV112" s="2928">
        <f t="shared" si="8"/>
      </c>
      <c r="EW112" s="2928">
        <f t="shared" si="8"/>
      </c>
      <c r="EX112" s="2928">
        <f t="shared" si="8"/>
      </c>
      <c r="EY112" s="2928">
        <f t="shared" si="8"/>
      </c>
      <c r="EZ112" s="2928">
        <f t="shared" si="8"/>
      </c>
      <c r="FA112" s="2929" t="str">
        <f t="shared" si="12"/>
        <v>-</v>
      </c>
      <c r="FB112" s="2825">
        <f t="shared" si="13"/>
      </c>
      <c r="FC112" s="2930" cm="1">
        <f t="array" ref="FC112">_xlfn.LET(_xlpm.unit_type,$G112,_xlpm.market_rent_from_rent_roll,$E112,_xlpm.unit_type_list,RentRoll_InputArea_DesignatedUnitType,_xlpm.rent_by_unit_type,RentRoll_InputArea_MarketRent,_xlpm.use_rent_roll_market_rent,LEFT(RR_VacantUnitMktRentSource,9)="Rent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2" s="2930">
        <f t="shared" si="14"/>
        <v>1559</v>
      </c>
      <c r="FE112" s="2930">
        <f t="shared" si="15"/>
        <v>1559</v>
      </c>
      <c r="FF112" s="2930">
        <f t="shared" si="16"/>
        <v>1559</v>
      </c>
      <c r="FG112" s="2931"/>
      <c r="FH112" s="2932">
        <f t="shared" si="17"/>
      </c>
      <c r="FI112" s="2932">
        <f t="shared" si="18"/>
      </c>
      <c r="FJ112" s="2931"/>
      <c r="FK112" s="2933" cm="1">
        <f t="array" ref="FK112">IF(AND(LEN($D112)&gt;0,ISNA(MATCH(TRUE,EXACT($G112,RentRoll_InputArea_DesignatedUnitType),0))),1,0)</f>
        <v>0</v>
      </c>
      <c r="FL112" s="2931">
        <f t="shared" si="19"/>
        <v>89</v>
      </c>
      <c r="FM112" s="2931"/>
      <c r="FN112" s="2931"/>
      <c r="FO112" s="2931"/>
      <c r="FP112" s="2931"/>
      <c r="FQ112" s="2931"/>
      <c r="FR112" s="2931"/>
      <c r="FS112" s="2931"/>
      <c r="FT112" s="2931"/>
      <c r="FU112" s="2931"/>
      <c r="FV112" s="2931"/>
      <c r="FW112" s="2931"/>
      <c r="FX112" s="2931"/>
      <c r="FY112" s="2931"/>
      <c r="FZ112" s="2931"/>
      <c r="GA112" s="2931"/>
      <c r="GB112" s="2931"/>
      <c r="GC112" s="2931"/>
      <c r="GD112" s="2931"/>
      <c r="GE112" s="2931"/>
      <c r="GF112" s="2931"/>
      <c r="GG112" s="2931"/>
      <c r="GH112" s="2931"/>
      <c r="GI112" s="2931"/>
      <c r="GJ112" s="2931"/>
      <c r="GK112" s="2931"/>
      <c r="GL112" s="2931"/>
      <c r="GM112" s="2931"/>
      <c r="GN112" s="2931"/>
      <c r="GO112" s="2931"/>
      <c r="GP112" s="2931"/>
      <c r="GQ112" s="2931"/>
      <c r="GR112" s="2931"/>
      <c r="GS112" s="2931"/>
      <c r="GT112" s="2931"/>
      <c r="GU112" s="2931"/>
      <c r="GV112" s="2931"/>
      <c r="GW112" s="2931"/>
      <c r="GX112" s="2931"/>
      <c r="GY112" s="2931"/>
      <c r="GZ112" s="2931"/>
      <c r="HA112" s="2931"/>
      <c r="HB112" s="2931"/>
      <c r="HC112" s="2931"/>
      <c r="HD112" s="2931"/>
      <c r="HE112" s="2931"/>
      <c r="HF112" s="2931"/>
      <c r="HG112" s="2931"/>
      <c r="HH112" s="2931"/>
      <c r="HI112" s="2931"/>
      <c r="HJ112" s="2931"/>
      <c r="HK112" s="2931"/>
      <c r="HL112" s="2931"/>
      <c r="HM112" s="2931"/>
      <c r="HN112" s="2931"/>
      <c r="HO112" s="2931"/>
      <c r="HP112" s="2931"/>
      <c r="HQ112" s="2931"/>
      <c r="HR112" s="2931"/>
      <c r="HS112" s="2931"/>
      <c r="HT112" s="2931"/>
      <c r="HU112" s="2931"/>
      <c r="HV112" s="2931"/>
      <c r="HW112" s="2931"/>
      <c r="HX112" s="2931"/>
      <c r="HY112" s="2931"/>
      <c r="HZ112" s="2931"/>
      <c r="IA112" s="2931"/>
      <c r="IB112" s="2931"/>
      <c r="IC112" s="2931"/>
      <c r="ID112" s="2931"/>
      <c r="IE112" s="2931"/>
      <c r="IF112" s="2931"/>
      <c r="IG112" s="2931"/>
      <c r="IH112" s="2931"/>
      <c r="II112" s="2931"/>
      <c r="IJ112" s="2931"/>
      <c r="IK112" s="2931"/>
      <c r="IL112" s="2931"/>
      <c r="IM112" s="2931"/>
      <c r="IN112" s="2931"/>
      <c r="IO112" s="2931" cm="1">
        <f t="array" ref="IO112">IF(LEN($G112)=0,"Rent Roll is incomplete",_xlfn.XLOOKUP(TRUE,EXACT(RentRoll_InputArea_DesignatedUnitType,$G112),RentRoll_InputArea_Beds,"Not Found"))</f>
        <v>0</v>
      </c>
      <c r="IP112" s="2934"/>
      <c r="IQ112" s="2935" t="str">
        <f t="shared" si="20"/>
        <v>0 Bedroom Unit (Efficiency/Studio)</v>
      </c>
      <c r="IR112" s="2926">
        <f t="shared" si="21"/>
        <v>1559</v>
      </c>
      <c r="IS112" s="2935"/>
      <c r="IT112" s="2931"/>
      <c r="IU112" s="2931"/>
      <c r="IV112" s="2931"/>
      <c r="IW112" s="2936" t="str">
        <f t="shared" si="22"/>
        <v>8-800</v>
      </c>
      <c r="IX112" s="2936"/>
      <c r="IY112" s="2936"/>
      <c r="IZ112" s="2936">
        <f t="shared" si="23"/>
        <v>0</v>
      </c>
      <c r="JA112" s="2936">
        <f t="shared" si="24"/>
        <v>1559</v>
      </c>
      <c r="JB112" s="2936"/>
      <c r="JC112" s="2936"/>
      <c r="JD112" s="2936"/>
      <c r="JE112" s="2936"/>
      <c r="JF112" s="2936"/>
      <c r="JG112" s="2936"/>
      <c r="JH112" s="2936">
        <f t="shared" si="25"/>
        <v>1533</v>
      </c>
      <c r="JI112" s="2936"/>
      <c r="JJ112" s="2936">
        <f t="shared" si="26"/>
      </c>
      <c r="JK112" s="2936"/>
      <c r="JL112" s="2936"/>
      <c r="JM112" s="2936"/>
      <c r="JN112" s="2936"/>
      <c r="JO112" s="2936"/>
      <c r="JP112" s="2936"/>
      <c r="JQ112" s="2936" t="str">
        <f t="shared" si="27"/>
        <v>Occupied</v>
      </c>
      <c r="JR112" s="2936" cm="1">
        <f t="array" ref="JR112">_xlfn.XLOOKUP(TRUE,EXACT(RentRoll_InputArea_DesignatedUnitType,$G112),RentRoll_InputArea_SquareFootage,"Not Found")</f>
        <v>1050</v>
      </c>
      <c r="JS112" s="2936" t="str">
        <f t="shared" si="28"/>
        <v>Apartment</v>
      </c>
      <c r="JT112" s="2936">
        <f t="shared" si="29"/>
      </c>
      <c r="JU112" s="2936"/>
      <c r="JV112" s="2936"/>
      <c r="JW112" s="2936"/>
      <c r="JX112" s="2936"/>
      <c r="JY112" s="2936">
        <f t="shared" si="9"/>
        <v>43525</v>
      </c>
      <c r="JZ112" s="2936">
        <f t="shared" si="9"/>
        <v>43890</v>
      </c>
      <c r="KA112" s="2936"/>
      <c r="KB112" s="2936"/>
      <c r="KC112" s="2936"/>
      <c r="KD112" s="2936"/>
      <c r="KE112" s="2936"/>
      <c r="KF112" s="2936"/>
      <c r="KG112" s="2936"/>
      <c r="KH112" s="2936"/>
      <c r="KI112" s="2937"/>
      <c r="KJ112" s="2936"/>
      <c r="KK112" s="1353"/>
    </row>
    <row r="113" ht="15" customHeight="1">
      <c r="A113" s="2922">
        <f t="shared" si="10"/>
        <v>90</v>
      </c>
      <c r="B113" s="2865"/>
      <c r="C113" s="2873"/>
      <c r="D113" s="2873" t="s">
        <v>2921</v>
      </c>
      <c r="E113" s="2923">
        <v>1491</v>
      </c>
      <c r="F113" s="2924" t="s">
        <v>2922</v>
      </c>
      <c r="G113" s="2873" t="s">
        <v>2532</v>
      </c>
      <c r="H113" s="2923">
        <v>1555</v>
      </c>
      <c r="I113" s="2925" cm="1">
        <f t="array" ref="I113">_xlfn.LET(_xlpm.has_subsidy,$N113&gt;0,_xlpm.is_chap9_sbl,$FF$20,_xlpm.contract_rent,$H113,_xlpm.unit_type_mkt_rent,_xlfn.XLOOKUP(TRUE,EXACT($G113,RentRoll_InputArea_DesignatedUnitType),RentRoll_InputArea_MarketRent,"Not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3" s="2926">
        <f t="shared" si="11"/>
        <v>1555</v>
      </c>
      <c r="K113" s="2923"/>
      <c r="L113" s="2923"/>
      <c r="M113" s="2923"/>
      <c r="N113" s="2923"/>
      <c r="O113" s="2927">
        <v>43596</v>
      </c>
      <c r="P113" s="2927">
        <v>43951</v>
      </c>
      <c r="Q113" s="2928">
        <f t="shared" si="8"/>
      </c>
      <c r="R113" s="2928">
        <f t="shared" si="8"/>
      </c>
      <c r="S113" s="2928">
        <f t="shared" si="8"/>
      </c>
      <c r="T113" s="2928">
        <f t="shared" si="8"/>
        <v>1555</v>
      </c>
      <c r="U113" s="2928">
        <f t="shared" si="8"/>
      </c>
      <c r="V113" s="2928">
        <f t="shared" si="8"/>
      </c>
      <c r="W113" s="2928">
        <f t="shared" si="8"/>
      </c>
      <c r="X113" s="2928">
        <f t="shared" si="8"/>
      </c>
      <c r="Y113" s="2928">
        <f t="shared" si="8"/>
      </c>
      <c r="Z113" s="2928">
        <f t="shared" si="8"/>
      </c>
      <c r="AA113" s="2928">
        <f t="shared" si="8"/>
      </c>
      <c r="AB113" s="2928">
        <f t="shared" si="8"/>
      </c>
      <c r="AC113" s="2928">
        <f t="shared" si="8"/>
      </c>
      <c r="AD113" s="2928">
        <f t="shared" si="8"/>
      </c>
      <c r="AE113" s="2928">
        <f t="shared" si="8"/>
      </c>
      <c r="AF113" s="2928">
        <f t="shared" si="8"/>
      </c>
      <c r="AG113" s="2928">
        <f t="shared" si="8"/>
      </c>
      <c r="AH113" s="2928">
        <f t="shared" si="8"/>
      </c>
      <c r="AI113" s="2928">
        <f t="shared" si="8"/>
      </c>
      <c r="AJ113" s="2928">
        <f t="shared" si="8"/>
      </c>
      <c r="AK113" s="2928">
        <f t="shared" si="8"/>
      </c>
      <c r="AL113" s="2928">
        <f t="shared" si="8"/>
      </c>
      <c r="AM113" s="2928">
        <f t="shared" si="8"/>
      </c>
      <c r="AN113" s="2928">
        <f t="shared" si="8"/>
      </c>
      <c r="AO113" s="2928">
        <f t="shared" si="8"/>
      </c>
      <c r="AP113" s="2928">
        <f t="shared" si="8"/>
      </c>
      <c r="AQ113" s="2928">
        <f t="shared" si="8"/>
      </c>
      <c r="AR113" s="2928">
        <f t="shared" si="8"/>
      </c>
      <c r="AS113" s="2928">
        <f t="shared" si="8"/>
      </c>
      <c r="AT113" s="2928">
        <f t="shared" si="8"/>
      </c>
      <c r="AU113" s="2928">
        <f t="shared" si="8"/>
      </c>
      <c r="AV113" s="2928">
        <f t="shared" si="8"/>
      </c>
      <c r="AW113" s="2928">
        <f t="shared" si="8"/>
      </c>
      <c r="AX113" s="2928">
        <f t="shared" si="8"/>
      </c>
      <c r="AY113" s="2928">
        <f t="shared" si="8"/>
      </c>
      <c r="AZ113" s="2928">
        <f t="shared" si="8"/>
      </c>
      <c r="BA113" s="2928">
        <f t="shared" si="8"/>
      </c>
      <c r="BB113" s="2928">
        <f t="shared" si="8"/>
      </c>
      <c r="BC113" s="2928">
        <f t="shared" si="8"/>
      </c>
      <c r="BD113" s="2928">
        <f t="shared" si="8"/>
      </c>
      <c r="BE113" s="2928">
        <f t="shared" si="8"/>
      </c>
      <c r="BF113" s="2928">
        <f t="shared" si="8"/>
      </c>
      <c r="BG113" s="2928">
        <f t="shared" si="8"/>
      </c>
      <c r="BH113" s="2928">
        <f t="shared" si="8"/>
      </c>
      <c r="BI113" s="2928">
        <f t="shared" si="8"/>
      </c>
      <c r="BJ113" s="2928">
        <f t="shared" si="8"/>
      </c>
      <c r="BK113" s="2928">
        <f t="shared" si="8"/>
      </c>
      <c r="BL113" s="2928">
        <f t="shared" si="8"/>
      </c>
      <c r="BM113" s="2928">
        <f t="shared" si="8"/>
      </c>
      <c r="BN113" s="2928">
        <f t="shared" si="8"/>
      </c>
      <c r="BO113" s="2928">
        <f t="shared" si="8"/>
      </c>
      <c r="BP113" s="2928">
        <f t="shared" si="8"/>
      </c>
      <c r="BQ113" s="2928">
        <f t="shared" si="8"/>
      </c>
      <c r="BR113" s="2928">
        <f t="shared" si="8"/>
      </c>
      <c r="BS113" s="2928">
        <f t="shared" si="8"/>
      </c>
      <c r="BT113" s="2928">
        <f t="shared" si="8"/>
      </c>
      <c r="BU113" s="2928">
        <f t="shared" si="8"/>
      </c>
      <c r="BV113" s="2928">
        <f t="shared" si="8"/>
      </c>
      <c r="BW113" s="2928">
        <f t="shared" si="8"/>
      </c>
      <c r="BX113" s="2928">
        <f t="shared" si="8"/>
      </c>
      <c r="BY113" s="2928">
        <f t="shared" si="8"/>
      </c>
      <c r="BZ113" s="2928">
        <f t="shared" si="8"/>
      </c>
      <c r="CA113" s="2928">
        <f t="shared" si="8"/>
      </c>
      <c r="CB113" s="2928">
        <f t="shared" si="8"/>
      </c>
      <c r="CC113" s="2928">
        <f t="shared" si="8"/>
      </c>
      <c r="CD113" s="2928">
        <f t="shared" si="8"/>
      </c>
      <c r="CE113" s="2928">
        <f t="shared" si="8"/>
      </c>
      <c r="CF113" s="2928">
        <f t="shared" si="8"/>
      </c>
      <c r="CG113" s="2928">
        <f t="shared" si="8"/>
      </c>
      <c r="CH113" s="2928">
        <f t="shared" si="8"/>
      </c>
      <c r="CI113" s="2928">
        <f t="shared" si="8"/>
      </c>
      <c r="CJ113" s="2928">
        <f t="shared" si="8"/>
      </c>
      <c r="CK113" s="2928">
        <f t="shared" si="8"/>
      </c>
      <c r="CL113" s="2928">
        <f t="shared" si="8"/>
      </c>
      <c r="CM113" s="2928">
        <f t="shared" si="8"/>
      </c>
      <c r="CN113" s="2928">
        <f t="shared" si="8"/>
      </c>
      <c r="CO113" s="2928">
        <f t="shared" si="8"/>
      </c>
      <c r="CP113" s="2928">
        <f t="shared" si="8"/>
      </c>
      <c r="CQ113" s="2928">
        <f t="shared" si="8"/>
      </c>
      <c r="CR113" s="2928">
        <f t="shared" si="8"/>
      </c>
      <c r="CS113" s="2928">
        <f t="shared" si="8"/>
      </c>
      <c r="CT113" s="2928">
        <f t="shared" si="8"/>
      </c>
      <c r="CU113" s="2928">
        <f t="shared" si="8"/>
      </c>
      <c r="CV113" s="2928">
        <f t="shared" si="8"/>
      </c>
      <c r="CW113" s="2928">
        <f t="shared" si="8"/>
      </c>
      <c r="CX113" s="2928">
        <f t="shared" si="8"/>
      </c>
      <c r="CY113" s="2928">
        <f t="shared" si="8"/>
      </c>
      <c r="CZ113" s="2928">
        <f t="shared" si="8"/>
      </c>
      <c r="DA113" s="2928">
        <f t="shared" si="8"/>
      </c>
      <c r="DB113" s="2928">
        <f t="shared" si="8"/>
      </c>
      <c r="DC113" s="2928">
        <f t="shared" si="8"/>
      </c>
      <c r="DD113" s="2928">
        <f t="shared" si="8"/>
      </c>
      <c r="DE113" s="2928">
        <f t="shared" si="8"/>
      </c>
      <c r="DF113" s="2928">
        <f t="shared" si="8"/>
      </c>
      <c r="DG113" s="2928">
        <f t="shared" si="8"/>
      </c>
      <c r="DH113" s="2928">
        <f t="shared" si="8"/>
      </c>
      <c r="DI113" s="2928">
        <f t="shared" si="8"/>
      </c>
      <c r="DJ113" s="2928">
        <f t="shared" si="8"/>
      </c>
      <c r="DK113" s="2928">
        <f t="shared" si="8"/>
      </c>
      <c r="DL113" s="2928">
        <f t="shared" si="8"/>
      </c>
      <c r="DM113" s="2928">
        <f t="shared" si="8"/>
      </c>
      <c r="DN113" s="2928">
        <f t="shared" si="8"/>
      </c>
      <c r="DO113" s="2928">
        <f t="shared" si="8"/>
      </c>
      <c r="DP113" s="2928">
        <f t="shared" si="8"/>
      </c>
      <c r="DQ113" s="2928">
        <f t="shared" si="8"/>
      </c>
      <c r="DR113" s="2928">
        <f t="shared" si="8"/>
      </c>
      <c r="DS113" s="2928">
        <f t="shared" si="8"/>
      </c>
      <c r="DT113" s="2928">
        <f t="shared" si="8"/>
      </c>
      <c r="DU113" s="2928">
        <f t="shared" si="8"/>
      </c>
      <c r="DV113" s="2928">
        <f t="shared" si="8"/>
      </c>
      <c r="DW113" s="2928">
        <f t="shared" si="8"/>
      </c>
      <c r="DX113" s="2928">
        <f t="shared" si="8"/>
      </c>
      <c r="DY113" s="2928">
        <f t="shared" si="8"/>
      </c>
      <c r="DZ113" s="2928">
        <f t="shared" si="8"/>
      </c>
      <c r="EA113" s="2928">
        <f t="shared" si="8"/>
      </c>
      <c r="EB113" s="2928">
        <f t="shared" si="8"/>
      </c>
      <c r="EC113" s="2928">
        <f t="shared" si="8"/>
      </c>
      <c r="ED113" s="2928">
        <f t="shared" si="8"/>
      </c>
      <c r="EE113" s="2928">
        <f t="shared" si="8"/>
      </c>
      <c r="EF113" s="2928">
        <f t="shared" si="8"/>
      </c>
      <c r="EG113" s="2928">
        <f t="shared" si="8"/>
      </c>
      <c r="EH113" s="2928">
        <f t="shared" si="8"/>
      </c>
      <c r="EI113" s="2928">
        <f t="shared" si="8"/>
      </c>
      <c r="EJ113" s="2928">
        <f t="shared" si="8"/>
      </c>
      <c r="EK113" s="2928">
        <f t="shared" si="8"/>
      </c>
      <c r="EL113" s="2928">
        <f t="shared" si="8"/>
      </c>
      <c r="EM113" s="2928">
        <f t="shared" si="8"/>
      </c>
      <c r="EN113" s="2928">
        <f t="shared" si="8"/>
      </c>
      <c r="EO113" s="2928">
        <f t="shared" si="8"/>
      </c>
      <c r="EP113" s="2928">
        <f t="shared" si="8"/>
      </c>
      <c r="EQ113" s="2928">
        <f t="shared" si="8"/>
      </c>
      <c r="ER113" s="2928">
        <f t="shared" si="8"/>
      </c>
      <c r="ES113" s="2928">
        <f t="shared" si="8"/>
      </c>
      <c r="ET113" s="2928">
        <f t="shared" si="8"/>
      </c>
      <c r="EU113" s="2928">
        <f t="shared" si="8"/>
      </c>
      <c r="EV113" s="2928">
        <f t="shared" si="8"/>
      </c>
      <c r="EW113" s="2928">
        <f t="shared" si="8"/>
      </c>
      <c r="EX113" s="2928">
        <f t="shared" si="8"/>
      </c>
      <c r="EY113" s="2928">
        <f t="shared" si="8"/>
      </c>
      <c r="EZ113" s="2928">
        <f t="shared" si="8"/>
      </c>
      <c r="FA113" s="2929" t="str">
        <f t="shared" si="12"/>
        <v>-</v>
      </c>
      <c r="FB113" s="2825">
        <f t="shared" si="13"/>
      </c>
      <c r="FC113" s="2930" cm="1">
        <f t="array" ref="FC113">_xlfn.LET(_xlpm.unit_type,$G113,_xlpm.market_rent_from_rent_roll,$E113,_xlpm.unit_type_list,RentRoll_InputArea_DesignatedUnitType,_xlpm.rent_by_unit_type,RentRoll_InputArea_MarketRent,_xlpm.use_rent_roll_market_rent,LEFT(RR_VacantUnitMktRentSource,9)="Rent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3" s="2930">
        <f t="shared" si="14"/>
        <v>1555</v>
      </c>
      <c r="FE113" s="2930">
        <f t="shared" si="15"/>
        <v>1555</v>
      </c>
      <c r="FF113" s="2930">
        <f t="shared" si="16"/>
        <v>1555</v>
      </c>
      <c r="FG113" s="2931"/>
      <c r="FH113" s="2932">
        <f t="shared" si="17"/>
      </c>
      <c r="FI113" s="2932">
        <f t="shared" si="18"/>
      </c>
      <c r="FJ113" s="2931"/>
      <c r="FK113" s="2933" cm="1">
        <f t="array" ref="FK113">IF(AND(LEN($D113)&gt;0,ISNA(MATCH(TRUE,EXACT($G113,RentRoll_InputArea_DesignatedUnitType),0))),1,0)</f>
        <v>0</v>
      </c>
      <c r="FL113" s="2931">
        <f t="shared" si="19"/>
        <v>90</v>
      </c>
      <c r="FM113" s="2931"/>
      <c r="FN113" s="2931"/>
      <c r="FO113" s="2931"/>
      <c r="FP113" s="2931"/>
      <c r="FQ113" s="2931"/>
      <c r="FR113" s="2931"/>
      <c r="FS113" s="2931"/>
      <c r="FT113" s="2931"/>
      <c r="FU113" s="2931"/>
      <c r="FV113" s="2931"/>
      <c r="FW113" s="2931"/>
      <c r="FX113" s="2931"/>
      <c r="FY113" s="2931"/>
      <c r="FZ113" s="2931"/>
      <c r="GA113" s="2931"/>
      <c r="GB113" s="2931"/>
      <c r="GC113" s="2931"/>
      <c r="GD113" s="2931"/>
      <c r="GE113" s="2931"/>
      <c r="GF113" s="2931"/>
      <c r="GG113" s="2931"/>
      <c r="GH113" s="2931"/>
      <c r="GI113" s="2931"/>
      <c r="GJ113" s="2931"/>
      <c r="GK113" s="2931"/>
      <c r="GL113" s="2931"/>
      <c r="GM113" s="2931"/>
      <c r="GN113" s="2931"/>
      <c r="GO113" s="2931"/>
      <c r="GP113" s="2931"/>
      <c r="GQ113" s="2931"/>
      <c r="GR113" s="2931"/>
      <c r="GS113" s="2931"/>
      <c r="GT113" s="2931"/>
      <c r="GU113" s="2931"/>
      <c r="GV113" s="2931"/>
      <c r="GW113" s="2931"/>
      <c r="GX113" s="2931"/>
      <c r="GY113" s="2931"/>
      <c r="GZ113" s="2931"/>
      <c r="HA113" s="2931"/>
      <c r="HB113" s="2931"/>
      <c r="HC113" s="2931"/>
      <c r="HD113" s="2931"/>
      <c r="HE113" s="2931"/>
      <c r="HF113" s="2931"/>
      <c r="HG113" s="2931"/>
      <c r="HH113" s="2931"/>
      <c r="HI113" s="2931"/>
      <c r="HJ113" s="2931"/>
      <c r="HK113" s="2931"/>
      <c r="HL113" s="2931"/>
      <c r="HM113" s="2931"/>
      <c r="HN113" s="2931"/>
      <c r="HO113" s="2931"/>
      <c r="HP113" s="2931"/>
      <c r="HQ113" s="2931"/>
      <c r="HR113" s="2931"/>
      <c r="HS113" s="2931"/>
      <c r="HT113" s="2931"/>
      <c r="HU113" s="2931"/>
      <c r="HV113" s="2931"/>
      <c r="HW113" s="2931"/>
      <c r="HX113" s="2931"/>
      <c r="HY113" s="2931"/>
      <c r="HZ113" s="2931"/>
      <c r="IA113" s="2931"/>
      <c r="IB113" s="2931"/>
      <c r="IC113" s="2931"/>
      <c r="ID113" s="2931"/>
      <c r="IE113" s="2931"/>
      <c r="IF113" s="2931"/>
      <c r="IG113" s="2931"/>
      <c r="IH113" s="2931"/>
      <c r="II113" s="2931"/>
      <c r="IJ113" s="2931"/>
      <c r="IK113" s="2931"/>
      <c r="IL113" s="2931"/>
      <c r="IM113" s="2931"/>
      <c r="IN113" s="2931"/>
      <c r="IO113" s="2931" cm="1">
        <f t="array" ref="IO113">IF(LEN($G113)=0,"Rent Roll is incomplete",_xlfn.XLOOKUP(TRUE,EXACT(RentRoll_InputArea_DesignatedUnitType,$G113),RentRoll_InputArea_Beds,"Not Found"))</f>
        <v>0</v>
      </c>
      <c r="IP113" s="2934"/>
      <c r="IQ113" s="2935" t="str">
        <f t="shared" si="20"/>
        <v>0 Bedroom Unit (Efficiency/Studio)</v>
      </c>
      <c r="IR113" s="2926">
        <f t="shared" si="21"/>
        <v>1555</v>
      </c>
      <c r="IS113" s="2935"/>
      <c r="IT113" s="2931"/>
      <c r="IU113" s="2931"/>
      <c r="IV113" s="2931"/>
      <c r="IW113" s="2936" t="str">
        <f t="shared" si="22"/>
        <v>8-801</v>
      </c>
      <c r="IX113" s="2936"/>
      <c r="IY113" s="2936"/>
      <c r="IZ113" s="2936">
        <f t="shared" si="23"/>
        <v>0</v>
      </c>
      <c r="JA113" s="2936">
        <f t="shared" si="24"/>
        <v>1555</v>
      </c>
      <c r="JB113" s="2936"/>
      <c r="JC113" s="2936"/>
      <c r="JD113" s="2936"/>
      <c r="JE113" s="2936"/>
      <c r="JF113" s="2936"/>
      <c r="JG113" s="2936"/>
      <c r="JH113" s="2936">
        <f t="shared" si="25"/>
        <v>1533</v>
      </c>
      <c r="JI113" s="2936"/>
      <c r="JJ113" s="2936">
        <f t="shared" si="26"/>
      </c>
      <c r="JK113" s="2936"/>
      <c r="JL113" s="2936"/>
      <c r="JM113" s="2936"/>
      <c r="JN113" s="2936"/>
      <c r="JO113" s="2936"/>
      <c r="JP113" s="2936"/>
      <c r="JQ113" s="2936" t="str">
        <f t="shared" si="27"/>
        <v>Occupied</v>
      </c>
      <c r="JR113" s="2936" cm="1">
        <f t="array" ref="JR113">_xlfn.XLOOKUP(TRUE,EXACT(RentRoll_InputArea_DesignatedUnitType,$G113),RentRoll_InputArea_SquareFootage,"Not Found")</f>
        <v>1050</v>
      </c>
      <c r="JS113" s="2936" t="str">
        <f t="shared" si="28"/>
        <v>Apartment</v>
      </c>
      <c r="JT113" s="2936">
        <f t="shared" si="29"/>
      </c>
      <c r="JU113" s="2936"/>
      <c r="JV113" s="2936"/>
      <c r="JW113" s="2936"/>
      <c r="JX113" s="2936"/>
      <c r="JY113" s="2936">
        <f t="shared" si="9"/>
        <v>43596</v>
      </c>
      <c r="JZ113" s="2936">
        <f t="shared" si="9"/>
        <v>43951</v>
      </c>
      <c r="KA113" s="2936"/>
      <c r="KB113" s="2936"/>
      <c r="KC113" s="2936"/>
      <c r="KD113" s="2936"/>
      <c r="KE113" s="2936"/>
      <c r="KF113" s="2936"/>
      <c r="KG113" s="2936"/>
      <c r="KH113" s="2936"/>
      <c r="KI113" s="2937"/>
      <c r="KJ113" s="2936"/>
      <c r="KK113" s="1353"/>
    </row>
    <row r="114" ht="15" customHeight="1">
      <c r="A114" s="2922">
        <f t="shared" si="10"/>
        <v>91</v>
      </c>
      <c r="B114" s="2865"/>
      <c r="C114" s="2873"/>
      <c r="D114" s="2873" t="s">
        <v>2923</v>
      </c>
      <c r="E114" s="2923">
        <v>1252</v>
      </c>
      <c r="F114" s="2924" t="s">
        <v>2924</v>
      </c>
      <c r="G114" s="2873" t="s">
        <v>2530</v>
      </c>
      <c r="H114" s="2923">
        <v>1218</v>
      </c>
      <c r="I114" s="2925" cm="1">
        <f t="array" ref="I114">_xlfn.LET(_xlpm.has_subsidy,$N114&gt;0,_xlpm.is_chap9_sbl,$FF$20,_xlpm.contract_rent,$H114,_xlpm.unit_type_mkt_rent,_xlfn.XLOOKUP(TRUE,EXACT($G114,RentRoll_InputArea_DesignatedUnitType),RentRoll_InputArea_MarketRent,"Not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4" s="2926">
        <f t="shared" si="11"/>
        <v>1218</v>
      </c>
      <c r="K114" s="2923"/>
      <c r="L114" s="2923"/>
      <c r="M114" s="2923"/>
      <c r="N114" s="2923"/>
      <c r="O114" s="2927">
        <v>43582</v>
      </c>
      <c r="P114" s="2927">
        <v>43951</v>
      </c>
      <c r="Q114" s="2928">
        <f t="shared" si="8"/>
      </c>
      <c r="R114" s="2928">
        <f t="shared" si="8"/>
        <v>1218</v>
      </c>
      <c r="S114" s="2928">
        <f t="shared" si="8"/>
      </c>
      <c r="T114" s="2928">
        <f t="shared" si="8"/>
      </c>
      <c r="U114" s="2928">
        <f t="shared" si="8"/>
      </c>
      <c r="V114" s="2928">
        <f t="shared" si="8"/>
      </c>
      <c r="W114" s="2928">
        <f t="shared" si="8"/>
      </c>
      <c r="X114" s="2928">
        <f t="shared" si="8"/>
      </c>
      <c r="Y114" s="2928">
        <f t="shared" si="8"/>
      </c>
      <c r="Z114" s="2928">
        <f t="shared" si="8"/>
      </c>
      <c r="AA114" s="2928">
        <f t="shared" si="8"/>
      </c>
      <c r="AB114" s="2928">
        <f t="shared" si="8"/>
      </c>
      <c r="AC114" s="2928">
        <f t="shared" si="8"/>
      </c>
      <c r="AD114" s="2928">
        <f t="shared" si="8"/>
      </c>
      <c r="AE114" s="2928">
        <f t="shared" si="8"/>
      </c>
      <c r="AF114" s="2928">
        <f t="shared" si="8"/>
      </c>
      <c r="AG114" s="2928">
        <f t="shared" si="8"/>
      </c>
      <c r="AH114" s="2928">
        <f t="shared" si="8"/>
      </c>
      <c r="AI114" s="2928">
        <f t="shared" si="8"/>
      </c>
      <c r="AJ114" s="2928">
        <f t="shared" si="8"/>
      </c>
      <c r="AK114" s="2928">
        <f t="shared" si="8"/>
      </c>
      <c r="AL114" s="2928">
        <f t="shared" si="8"/>
      </c>
      <c r="AM114" s="2928">
        <f t="shared" si="8"/>
      </c>
      <c r="AN114" s="2928">
        <f t="shared" si="8"/>
      </c>
      <c r="AO114" s="2928">
        <f t="shared" si="8"/>
      </c>
      <c r="AP114" s="2928">
        <f t="shared" si="8"/>
      </c>
      <c r="AQ114" s="2928">
        <f t="shared" si="8"/>
      </c>
      <c r="AR114" s="2928">
        <f t="shared" si="8"/>
      </c>
      <c r="AS114" s="2928">
        <f t="shared" si="8"/>
      </c>
      <c r="AT114" s="2928">
        <f t="shared" si="8"/>
      </c>
      <c r="AU114" s="2928">
        <f t="shared" si="8"/>
      </c>
      <c r="AV114" s="2928">
        <f t="shared" si="8"/>
      </c>
      <c r="AW114" s="2928">
        <f t="shared" si="8"/>
      </c>
      <c r="AX114" s="2928">
        <f t="shared" si="8"/>
      </c>
      <c r="AY114" s="2928">
        <f t="shared" si="8"/>
      </c>
      <c r="AZ114" s="2928">
        <f t="shared" si="8"/>
      </c>
      <c r="BA114" s="2928">
        <f t="shared" si="8"/>
      </c>
      <c r="BB114" s="2928">
        <f t="shared" si="8"/>
      </c>
      <c r="BC114" s="2928">
        <f t="shared" si="8"/>
      </c>
      <c r="BD114" s="2928">
        <f t="shared" si="8"/>
      </c>
      <c r="BE114" s="2928">
        <f t="shared" si="8"/>
      </c>
      <c r="BF114" s="2928">
        <f t="shared" si="8"/>
      </c>
      <c r="BG114" s="2928">
        <f t="shared" si="8"/>
      </c>
      <c r="BH114" s="2928">
        <f t="shared" si="8"/>
      </c>
      <c r="BI114" s="2928">
        <f t="shared" si="8"/>
      </c>
      <c r="BJ114" s="2928">
        <f t="shared" si="8"/>
      </c>
      <c r="BK114" s="2928">
        <f t="shared" si="8"/>
      </c>
      <c r="BL114" s="2928">
        <f t="shared" si="8"/>
      </c>
      <c r="BM114" s="2928">
        <f t="shared" si="8"/>
      </c>
      <c r="BN114" s="2928">
        <f t="shared" si="8"/>
      </c>
      <c r="BO114" s="2928">
        <f t="shared" si="8"/>
      </c>
      <c r="BP114" s="2928">
        <f t="shared" si="8"/>
      </c>
      <c r="BQ114" s="2928">
        <f t="shared" si="8"/>
      </c>
      <c r="BR114" s="2928">
        <f t="shared" si="8"/>
      </c>
      <c r="BS114" s="2928">
        <f t="shared" si="8"/>
      </c>
      <c r="BT114" s="2928">
        <f t="shared" si="8"/>
      </c>
      <c r="BU114" s="2928">
        <f t="shared" si="8"/>
      </c>
      <c r="BV114" s="2928">
        <f t="shared" si="8"/>
      </c>
      <c r="BW114" s="2928">
        <f t="shared" si="8"/>
      </c>
      <c r="BX114" s="2928">
        <f t="shared" si="8"/>
      </c>
      <c r="BY114" s="2928">
        <f t="shared" si="8"/>
      </c>
      <c r="BZ114" s="2928">
        <f t="shared" si="8"/>
      </c>
      <c r="CA114" s="2928">
        <f t="shared" si="8"/>
      </c>
      <c r="CB114" s="2928">
        <f t="shared" si="8"/>
      </c>
      <c r="CC114" s="2928">
        <f t="shared" si="8"/>
      </c>
      <c r="CD114" s="2928">
        <f t="shared" si="8"/>
      </c>
      <c r="CE114" s="2928">
        <f t="shared" si="8"/>
      </c>
      <c r="CF114" s="2928">
        <f t="shared" si="8"/>
      </c>
      <c r="CG114" s="2928">
        <f t="shared" si="8"/>
      </c>
      <c r="CH114" s="2928">
        <f t="shared" si="8"/>
      </c>
      <c r="CI114" s="2928">
        <f t="shared" si="8"/>
      </c>
      <c r="CJ114" s="2928">
        <f t="shared" si="8"/>
      </c>
      <c r="CK114" s="2928">
        <f t="shared" si="8"/>
      </c>
      <c r="CL114" s="2928">
        <f t="shared" si="8"/>
      </c>
      <c r="CM114" s="2928">
        <f t="shared" si="8"/>
      </c>
      <c r="CN114" s="2928">
        <f t="shared" si="8"/>
      </c>
      <c r="CO114" s="2928">
        <f t="shared" si="8"/>
      </c>
      <c r="CP114" s="2928">
        <f t="shared" si="8"/>
      </c>
      <c r="CQ114" s="2928">
        <f t="shared" si="8"/>
      </c>
      <c r="CR114" s="2928">
        <f t="shared" si="8"/>
      </c>
      <c r="CS114" s="2928">
        <f t="shared" si="8"/>
      </c>
      <c r="CT114" s="2928">
        <f t="shared" si="8"/>
      </c>
      <c r="CU114" s="2928">
        <f t="shared" si="8"/>
      </c>
      <c r="CV114" s="2928">
        <f t="shared" si="8"/>
      </c>
      <c r="CW114" s="2928">
        <f t="shared" si="8"/>
      </c>
      <c r="CX114" s="2928">
        <f t="shared" si="8"/>
      </c>
      <c r="CY114" s="2928">
        <f t="shared" si="8"/>
      </c>
      <c r="CZ114" s="2928">
        <f t="shared" si="8"/>
      </c>
      <c r="DA114" s="2928">
        <f t="shared" si="8"/>
      </c>
      <c r="DB114" s="2928">
        <f t="shared" si="8"/>
      </c>
      <c r="DC114" s="2928">
        <f t="shared" si="8"/>
      </c>
      <c r="DD114" s="2928">
        <f t="shared" si="8"/>
      </c>
      <c r="DE114" s="2928">
        <f t="shared" si="8"/>
      </c>
      <c r="DF114" s="2928">
        <f t="shared" si="8"/>
      </c>
      <c r="DG114" s="2928">
        <f t="shared" si="8"/>
      </c>
      <c r="DH114" s="2928">
        <f t="shared" si="8"/>
      </c>
      <c r="DI114" s="2928">
        <f t="shared" si="8"/>
      </c>
      <c r="DJ114" s="2928">
        <f t="shared" si="8"/>
      </c>
      <c r="DK114" s="2928">
        <f t="shared" si="8"/>
      </c>
      <c r="DL114" s="2928">
        <f t="shared" si="8"/>
      </c>
      <c r="DM114" s="2928">
        <f t="shared" si="8"/>
      </c>
      <c r="DN114" s="2928">
        <f t="shared" si="8"/>
      </c>
      <c r="DO114" s="2928">
        <f t="shared" si="8"/>
      </c>
      <c r="DP114" s="2928">
        <f t="shared" si="8"/>
      </c>
      <c r="DQ114" s="2928">
        <f t="shared" si="8"/>
      </c>
      <c r="DR114" s="2928">
        <f t="shared" si="8"/>
      </c>
      <c r="DS114" s="2928">
        <f t="shared" si="8"/>
      </c>
      <c r="DT114" s="2928">
        <f t="shared" si="8"/>
      </c>
      <c r="DU114" s="2928">
        <f t="shared" si="8"/>
      </c>
      <c r="DV114" s="2928">
        <f t="shared" si="8"/>
      </c>
      <c r="DW114" s="2928">
        <f t="shared" si="8"/>
      </c>
      <c r="DX114" s="2928">
        <f t="shared" si="8"/>
      </c>
      <c r="DY114" s="2928">
        <f t="shared" si="8"/>
      </c>
      <c r="DZ114" s="2928">
        <f t="shared" si="8"/>
      </c>
      <c r="EA114" s="2928">
        <f t="shared" si="8"/>
      </c>
      <c r="EB114" s="2928">
        <f t="shared" si="8"/>
      </c>
      <c r="EC114" s="2928">
        <f t="shared" si="8"/>
      </c>
      <c r="ED114" s="2928">
        <f t="shared" si="8"/>
      </c>
      <c r="EE114" s="2928">
        <f t="shared" si="8"/>
      </c>
      <c r="EF114" s="2928">
        <f t="shared" si="8"/>
      </c>
      <c r="EG114" s="2928">
        <f t="shared" si="8"/>
      </c>
      <c r="EH114" s="2928">
        <f t="shared" si="8"/>
      </c>
      <c r="EI114" s="2928">
        <f t="shared" si="8"/>
      </c>
      <c r="EJ114" s="2928">
        <f t="shared" si="8"/>
      </c>
      <c r="EK114" s="2928">
        <f t="shared" si="8"/>
      </c>
      <c r="EL114" s="2928">
        <f t="shared" si="8"/>
      </c>
      <c r="EM114" s="2928">
        <f t="shared" si="8"/>
      </c>
      <c r="EN114" s="2928">
        <f t="shared" si="8"/>
      </c>
      <c r="EO114" s="2928">
        <f t="shared" si="8"/>
      </c>
      <c r="EP114" s="2928">
        <f t="shared" si="8"/>
      </c>
      <c r="EQ114" s="2928">
        <f t="shared" si="8"/>
      </c>
      <c r="ER114" s="2928">
        <f t="shared" si="8"/>
      </c>
      <c r="ES114" s="2928">
        <f t="shared" si="8"/>
      </c>
      <c r="ET114" s="2928">
        <f t="shared" si="8"/>
      </c>
      <c r="EU114" s="2928">
        <f t="shared" si="8"/>
      </c>
      <c r="EV114" s="2928">
        <f t="shared" si="8"/>
      </c>
      <c r="EW114" s="2928">
        <f t="shared" si="8"/>
      </c>
      <c r="EX114" s="2928">
        <f t="shared" si="8"/>
      </c>
      <c r="EY114" s="2928">
        <f t="shared" si="8"/>
      </c>
      <c r="EZ114" s="2928">
        <f t="shared" si="8"/>
      </c>
      <c r="FA114" s="2929" t="str">
        <f t="shared" si="12"/>
        <v>-</v>
      </c>
      <c r="FB114" s="2825">
        <f t="shared" si="13"/>
      </c>
      <c r="FC114" s="2930" cm="1">
        <f t="array" ref="FC114">_xlfn.LET(_xlpm.unit_type,$G114,_xlpm.market_rent_from_rent_roll,$E114,_xlpm.unit_type_list,RentRoll_InputArea_DesignatedUnitType,_xlpm.rent_by_unit_type,RentRoll_InputArea_MarketRent,_xlpm.use_rent_roll_market_rent,LEFT(RR_VacantUnitMktRentSource,9)="Rent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14" s="2930">
        <f t="shared" si="14"/>
        <v>1218</v>
      </c>
      <c r="FE114" s="2930">
        <f t="shared" si="15"/>
        <v>1218</v>
      </c>
      <c r="FF114" s="2930">
        <f t="shared" si="16"/>
        <v>1218</v>
      </c>
      <c r="FG114" s="2931"/>
      <c r="FH114" s="2932">
        <f t="shared" si="17"/>
      </c>
      <c r="FI114" s="2932">
        <f t="shared" si="18"/>
      </c>
      <c r="FJ114" s="2931"/>
      <c r="FK114" s="2933" cm="1">
        <f t="array" ref="FK114">IF(AND(LEN($D114)&gt;0,ISNA(MATCH(TRUE,EXACT($G114,RentRoll_InputArea_DesignatedUnitType),0))),1,0)</f>
        <v>0</v>
      </c>
      <c r="FL114" s="2931">
        <f t="shared" si="19"/>
        <v>91</v>
      </c>
      <c r="FM114" s="2931"/>
      <c r="FN114" s="2931"/>
      <c r="FO114" s="2931"/>
      <c r="FP114" s="2931"/>
      <c r="FQ114" s="2931"/>
      <c r="FR114" s="2931"/>
      <c r="FS114" s="2931"/>
      <c r="FT114" s="2931"/>
      <c r="FU114" s="2931"/>
      <c r="FV114" s="2931"/>
      <c r="FW114" s="2931"/>
      <c r="FX114" s="2931"/>
      <c r="FY114" s="2931"/>
      <c r="FZ114" s="2931"/>
      <c r="GA114" s="2931"/>
      <c r="GB114" s="2931"/>
      <c r="GC114" s="2931"/>
      <c r="GD114" s="2931"/>
      <c r="GE114" s="2931"/>
      <c r="GF114" s="2931"/>
      <c r="GG114" s="2931"/>
      <c r="GH114" s="2931"/>
      <c r="GI114" s="2931"/>
      <c r="GJ114" s="2931"/>
      <c r="GK114" s="2931"/>
      <c r="GL114" s="2931"/>
      <c r="GM114" s="2931"/>
      <c r="GN114" s="2931"/>
      <c r="GO114" s="2931"/>
      <c r="GP114" s="2931"/>
      <c r="GQ114" s="2931"/>
      <c r="GR114" s="2931"/>
      <c r="GS114" s="2931"/>
      <c r="GT114" s="2931"/>
      <c r="GU114" s="2931"/>
      <c r="GV114" s="2931"/>
      <c r="GW114" s="2931"/>
      <c r="GX114" s="2931"/>
      <c r="GY114" s="2931"/>
      <c r="GZ114" s="2931"/>
      <c r="HA114" s="2931"/>
      <c r="HB114" s="2931"/>
      <c r="HC114" s="2931"/>
      <c r="HD114" s="2931"/>
      <c r="HE114" s="2931"/>
      <c r="HF114" s="2931"/>
      <c r="HG114" s="2931"/>
      <c r="HH114" s="2931"/>
      <c r="HI114" s="2931"/>
      <c r="HJ114" s="2931"/>
      <c r="HK114" s="2931"/>
      <c r="HL114" s="2931"/>
      <c r="HM114" s="2931"/>
      <c r="HN114" s="2931"/>
      <c r="HO114" s="2931"/>
      <c r="HP114" s="2931"/>
      <c r="HQ114" s="2931"/>
      <c r="HR114" s="2931"/>
      <c r="HS114" s="2931"/>
      <c r="HT114" s="2931"/>
      <c r="HU114" s="2931"/>
      <c r="HV114" s="2931"/>
      <c r="HW114" s="2931"/>
      <c r="HX114" s="2931"/>
      <c r="HY114" s="2931"/>
      <c r="HZ114" s="2931"/>
      <c r="IA114" s="2931"/>
      <c r="IB114" s="2931"/>
      <c r="IC114" s="2931"/>
      <c r="ID114" s="2931"/>
      <c r="IE114" s="2931"/>
      <c r="IF114" s="2931"/>
      <c r="IG114" s="2931"/>
      <c r="IH114" s="2931"/>
      <c r="II114" s="2931"/>
      <c r="IJ114" s="2931"/>
      <c r="IK114" s="2931"/>
      <c r="IL114" s="2931"/>
      <c r="IM114" s="2931"/>
      <c r="IN114" s="2931"/>
      <c r="IO114" s="2931" cm="1">
        <f t="array" ref="IO114">IF(LEN($G114)=0,"Rent Roll is incomplete",_xlfn.XLOOKUP(TRUE,EXACT(RentRoll_InputArea_DesignatedUnitType,$G114),RentRoll_InputArea_Beds,"Not Found"))</f>
        <v>0</v>
      </c>
      <c r="IP114" s="2934"/>
      <c r="IQ114" s="2935" t="str">
        <f t="shared" si="20"/>
        <v>0 Bedroom Unit (Efficiency/Studio)</v>
      </c>
      <c r="IR114" s="2926">
        <f t="shared" si="21"/>
        <v>1218</v>
      </c>
      <c r="IS114" s="2935"/>
      <c r="IT114" s="2931"/>
      <c r="IU114" s="2931"/>
      <c r="IV114" s="2931"/>
      <c r="IW114" s="2936" t="str">
        <f t="shared" si="22"/>
        <v>8-802</v>
      </c>
      <c r="IX114" s="2936"/>
      <c r="IY114" s="2936"/>
      <c r="IZ114" s="2936">
        <f t="shared" si="23"/>
        <v>0</v>
      </c>
      <c r="JA114" s="2936">
        <f t="shared" si="24"/>
        <v>1218</v>
      </c>
      <c r="JB114" s="2936"/>
      <c r="JC114" s="2936"/>
      <c r="JD114" s="2936"/>
      <c r="JE114" s="2936"/>
      <c r="JF114" s="2936"/>
      <c r="JG114" s="2936"/>
      <c r="JH114" s="2936">
        <f t="shared" si="25"/>
        <v>1217</v>
      </c>
      <c r="JI114" s="2936"/>
      <c r="JJ114" s="2936">
        <f t="shared" si="26"/>
      </c>
      <c r="JK114" s="2936"/>
      <c r="JL114" s="2936"/>
      <c r="JM114" s="2936"/>
      <c r="JN114" s="2936"/>
      <c r="JO114" s="2936"/>
      <c r="JP114" s="2936"/>
      <c r="JQ114" s="2936" t="str">
        <f t="shared" si="27"/>
        <v>Occupied</v>
      </c>
      <c r="JR114" s="2936" cm="1">
        <f t="array" ref="JR114">_xlfn.XLOOKUP(TRUE,EXACT(RentRoll_InputArea_DesignatedUnitType,$G114),RentRoll_InputArea_SquareFootage,"Not Found")</f>
        <v>800</v>
      </c>
      <c r="JS114" s="2936" t="str">
        <f t="shared" si="28"/>
        <v>Apartment</v>
      </c>
      <c r="JT114" s="2936">
        <f t="shared" si="29"/>
      </c>
      <c r="JU114" s="2936"/>
      <c r="JV114" s="2936"/>
      <c r="JW114" s="2936"/>
      <c r="JX114" s="2936"/>
      <c r="JY114" s="2936">
        <f t="shared" si="9"/>
        <v>43582</v>
      </c>
      <c r="JZ114" s="2936">
        <f t="shared" si="9"/>
        <v>43951</v>
      </c>
      <c r="KA114" s="2936"/>
      <c r="KB114" s="2936"/>
      <c r="KC114" s="2936"/>
      <c r="KD114" s="2936"/>
      <c r="KE114" s="2936"/>
      <c r="KF114" s="2936"/>
      <c r="KG114" s="2936"/>
      <c r="KH114" s="2936"/>
      <c r="KI114" s="2937"/>
      <c r="KJ114" s="2936"/>
      <c r="KK114" s="1353"/>
    </row>
    <row r="115" ht="15" customHeight="1">
      <c r="A115" s="2922">
        <f t="shared" si="10"/>
        <v>92</v>
      </c>
      <c r="B115" s="2865"/>
      <c r="C115" s="2873"/>
      <c r="D115" s="2873" t="s">
        <v>2925</v>
      </c>
      <c r="E115" s="2923">
        <v>1200</v>
      </c>
      <c r="F115" s="2924" t="s">
        <v>2926</v>
      </c>
      <c r="G115" s="2873" t="s">
        <v>2530</v>
      </c>
      <c r="H115" s="2923">
        <v>1176</v>
      </c>
      <c r="I115" s="2925" cm="1">
        <f t="array" ref="I115">_xlfn.LET(_xlpm.has_subsidy,$N115&gt;0,_xlpm.is_chap9_sbl,$FF$20,_xlpm.contract_rent,$H115,_xlpm.unit_type_mkt_rent,_xlfn.XLOOKUP(TRUE,EXACT($G115,RentRoll_InputArea_DesignatedUnitType),RentRoll_InputArea_MarketRent,"Not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5" s="2926">
        <f t="shared" si="11"/>
        <v>1176</v>
      </c>
      <c r="K115" s="2923"/>
      <c r="L115" s="2923"/>
      <c r="M115" s="2923"/>
      <c r="N115" s="2923"/>
      <c r="O115" s="2927">
        <v>43586</v>
      </c>
      <c r="P115" s="2927">
        <v>43951</v>
      </c>
      <c r="Q115" s="2928">
        <f t="shared" si="8"/>
      </c>
      <c r="R115" s="2928">
        <f t="shared" si="8"/>
        <v>1176</v>
      </c>
      <c r="S115" s="2928">
        <f t="shared" si="8"/>
      </c>
      <c r="T115" s="2928">
        <f t="shared" si="8"/>
      </c>
      <c r="U115" s="2928">
        <f t="shared" si="8"/>
      </c>
      <c r="V115" s="2928">
        <f t="shared" si="8"/>
      </c>
      <c r="W115" s="2928">
        <f t="shared" si="8"/>
      </c>
      <c r="X115" s="2928">
        <f t="shared" si="8"/>
      </c>
      <c r="Y115" s="2928">
        <f t="shared" si="8"/>
      </c>
      <c r="Z115" s="2928">
        <f t="shared" si="8"/>
      </c>
      <c r="AA115" s="2928">
        <f t="shared" si="8"/>
      </c>
      <c r="AB115" s="2928">
        <f t="shared" si="8"/>
      </c>
      <c r="AC115" s="2928">
        <f t="shared" si="8"/>
      </c>
      <c r="AD115" s="2928">
        <f t="shared" si="8"/>
      </c>
      <c r="AE115" s="2928">
        <f t="shared" si="8"/>
      </c>
      <c r="AF115" s="2928">
        <f t="shared" si="8"/>
      </c>
      <c r="AG115" s="2928">
        <f t="shared" si="8"/>
      </c>
      <c r="AH115" s="2928">
        <f t="shared" si="8"/>
      </c>
      <c r="AI115" s="2928">
        <f t="shared" si="8"/>
      </c>
      <c r="AJ115" s="2928">
        <f t="shared" si="8"/>
      </c>
      <c r="AK115" s="2928">
        <f t="shared" si="8"/>
      </c>
      <c r="AL115" s="2928">
        <f t="shared" si="8"/>
      </c>
      <c r="AM115" s="2928">
        <f t="shared" si="8"/>
      </c>
      <c r="AN115" s="2928">
        <f t="shared" si="8"/>
      </c>
      <c r="AO115" s="2928">
        <f t="shared" si="8"/>
      </c>
      <c r="AP115" s="2928">
        <f t="shared" si="8"/>
      </c>
      <c r="AQ115" s="2928">
        <f t="shared" si="8"/>
      </c>
      <c r="AR115" s="2928">
        <f t="shared" si="8"/>
      </c>
      <c r="AS115" s="2928">
        <f t="shared" si="8"/>
      </c>
      <c r="AT115" s="2928">
        <f t="shared" si="8"/>
      </c>
      <c r="AU115" s="2928">
        <f t="shared" si="8"/>
      </c>
      <c r="AV115" s="2928">
        <f t="shared" si="8"/>
      </c>
      <c r="AW115" s="2928">
        <f t="shared" si="8"/>
      </c>
      <c r="AX115" s="2928">
        <f t="shared" si="8"/>
      </c>
      <c r="AY115" s="2928">
        <f t="shared" si="8"/>
      </c>
      <c r="AZ115" s="2928">
        <f t="shared" si="8"/>
      </c>
      <c r="BA115" s="2928">
        <f t="shared" si="8"/>
      </c>
      <c r="BB115" s="2928">
        <f t="shared" si="8"/>
      </c>
      <c r="BC115" s="2928">
        <f t="shared" si="8"/>
      </c>
      <c r="BD115" s="2928">
        <f t="shared" si="8"/>
      </c>
      <c r="BE115" s="2928">
        <f t="shared" si="8"/>
      </c>
      <c r="BF115" s="2928">
        <f t="shared" si="8"/>
      </c>
      <c r="BG115" s="2928">
        <f t="shared" si="8"/>
      </c>
      <c r="BH115" s="2928">
        <f t="shared" si="8"/>
      </c>
      <c r="BI115" s="2928">
        <f t="shared" si="8"/>
      </c>
      <c r="BJ115" s="2928">
        <f t="shared" si="8"/>
      </c>
      <c r="BK115" s="2928">
        <f t="shared" si="8"/>
      </c>
      <c r="BL115" s="2928">
        <f t="shared" si="8"/>
      </c>
      <c r="BM115" s="2928">
        <f t="shared" si="8"/>
      </c>
      <c r="BN115" s="2928">
        <f t="shared" si="8"/>
      </c>
      <c r="BO115" s="2928">
        <f t="shared" si="8"/>
      </c>
      <c r="BP115" s="2928">
        <f t="shared" si="8"/>
      </c>
      <c r="BQ115" s="2928">
        <f t="shared" si="8"/>
      </c>
      <c r="BR115" s="2928">
        <f t="shared" si="8"/>
      </c>
      <c r="BS115" s="2928">
        <f t="shared" si="8"/>
      </c>
      <c r="BT115" s="2928">
        <f t="shared" si="8"/>
      </c>
      <c r="BU115" s="2928">
        <f t="shared" si="8"/>
      </c>
      <c r="BV115" s="2928">
        <f t="shared" si="8"/>
      </c>
      <c r="BW115" s="2928">
        <f t="shared" si="8"/>
      </c>
      <c r="BX115" s="2928">
        <f t="shared" si="8"/>
      </c>
      <c r="BY115" s="2928">
        <f t="shared" si="8"/>
      </c>
      <c r="BZ115" s="2928">
        <f t="shared" si="8"/>
      </c>
      <c r="CA115" s="2928">
        <f t="shared" si="8"/>
      </c>
      <c r="CB115" s="2928">
        <f t="shared" si="8"/>
      </c>
      <c r="CC115" s="2928">
        <f t="shared" si="8"/>
      </c>
      <c r="CD115" s="2928">
        <f t="shared" si="8"/>
      </c>
      <c r="CE115" s="2928">
        <f t="shared" si="8"/>
      </c>
      <c r="CF115" s="2928">
        <f t="shared" si="8"/>
      </c>
      <c r="CG115" s="2928">
        <f t="shared" si="8"/>
      </c>
      <c r="CH115" s="2928">
        <f t="shared" si="8"/>
      </c>
      <c r="CI115" s="2928">
        <f t="shared" si="8"/>
      </c>
      <c r="CJ115" s="2928">
        <f t="shared" si="8"/>
      </c>
      <c r="CK115" s="2928">
        <f t="shared" si="8"/>
      </c>
      <c r="CL115" s="2928">
        <f t="shared" si="8"/>
      </c>
      <c r="CM115" s="2928">
        <f t="shared" si="8"/>
      </c>
      <c r="CN115" s="2928">
        <f t="shared" si="8"/>
      </c>
      <c r="CO115" s="2928">
        <f t="shared" si="8"/>
      </c>
      <c r="CP115" s="2928">
        <f t="shared" si="8"/>
      </c>
      <c r="CQ115" s="2928">
        <f t="shared" si="8"/>
      </c>
      <c r="CR115" s="2928">
        <f t="shared" si="8"/>
      </c>
      <c r="CS115" s="2928">
        <f t="shared" si="8"/>
      </c>
      <c r="CT115" s="2928">
        <f t="shared" si="8"/>
      </c>
      <c r="CU115" s="2928">
        <f t="shared" si="8"/>
      </c>
      <c r="CV115" s="2928">
        <f t="shared" si="8"/>
      </c>
      <c r="CW115" s="2928">
        <f t="shared" si="8"/>
      </c>
      <c r="CX115" s="2928">
        <f t="shared" si="8"/>
      </c>
      <c r="CY115" s="2928">
        <f t="shared" si="8"/>
      </c>
      <c r="CZ115" s="2928">
        <f t="shared" si="8"/>
      </c>
      <c r="DA115" s="2928">
        <f t="shared" si="8"/>
      </c>
      <c r="DB115" s="2928">
        <f t="shared" si="8"/>
      </c>
      <c r="DC115" s="2928">
        <f t="shared" si="8"/>
      </c>
      <c r="DD115" s="2928">
        <f t="shared" si="8"/>
      </c>
      <c r="DE115" s="2928">
        <f t="shared" si="8"/>
      </c>
      <c r="DF115" s="2928">
        <f t="shared" si="8"/>
      </c>
      <c r="DG115" s="2928">
        <f t="shared" si="8"/>
      </c>
      <c r="DH115" s="2928">
        <f t="shared" si="8"/>
      </c>
      <c r="DI115" s="2928">
        <f t="shared" si="8"/>
      </c>
      <c r="DJ115" s="2928">
        <f t="shared" si="8"/>
      </c>
      <c r="DK115" s="2928">
        <f t="shared" si="8"/>
      </c>
      <c r="DL115" s="2928">
        <f t="shared" si="8"/>
      </c>
      <c r="DM115" s="2928">
        <f t="shared" si="8"/>
      </c>
      <c r="DN115" s="2928">
        <f t="shared" si="8"/>
      </c>
      <c r="DO115" s="2928">
        <f t="shared" si="8"/>
      </c>
      <c r="DP115" s="2928">
        <f t="shared" si="8"/>
      </c>
      <c r="DQ115" s="2928">
        <f t="shared" si="8"/>
      </c>
      <c r="DR115" s="2928">
        <f t="shared" si="8"/>
      </c>
      <c r="DS115" s="2928">
        <f t="shared" si="8"/>
      </c>
      <c r="DT115" s="2928">
        <f t="shared" si="8"/>
      </c>
      <c r="DU115" s="2928">
        <f t="shared" si="8"/>
      </c>
      <c r="DV115" s="2928">
        <f t="shared" si="8"/>
      </c>
      <c r="DW115" s="2928">
        <f t="shared" si="8"/>
      </c>
      <c r="DX115" s="2928">
        <f t="shared" si="8"/>
      </c>
      <c r="DY115" s="2928">
        <f t="shared" si="8"/>
      </c>
      <c r="DZ115" s="2928">
        <f t="shared" si="8"/>
      </c>
      <c r="EA115" s="2928">
        <f t="shared" si="8"/>
      </c>
      <c r="EB115" s="2928">
        <f t="shared" si="8"/>
      </c>
      <c r="EC115" s="2928">
        <f t="shared" si="8"/>
      </c>
      <c r="ED115" s="2928">
        <f t="shared" si="8"/>
      </c>
      <c r="EE115" s="2928">
        <f t="shared" si="8"/>
      </c>
      <c r="EF115" s="2928">
        <f t="shared" si="8"/>
      </c>
      <c r="EG115" s="2928">
        <f t="shared" si="8"/>
      </c>
      <c r="EH115" s="2928">
        <f t="shared" si="8"/>
      </c>
      <c r="EI115" s="2928">
        <f t="shared" si="8"/>
      </c>
      <c r="EJ115" s="2928">
        <f t="shared" si="8"/>
      </c>
      <c r="EK115" s="2928">
        <f t="shared" si="8"/>
      </c>
      <c r="EL115" s="2928">
        <f t="shared" si="8"/>
      </c>
      <c r="EM115" s="2928">
        <f t="shared" si="8"/>
      </c>
      <c r="EN115" s="2928">
        <f t="shared" si="8"/>
      </c>
      <c r="EO115" s="2928">
        <f t="shared" si="8"/>
      </c>
      <c r="EP115" s="2928">
        <f t="shared" si="8"/>
      </c>
      <c r="EQ115" s="2928">
        <f t="shared" si="8"/>
      </c>
      <c r="ER115" s="2928">
        <f t="shared" si="8"/>
      </c>
      <c r="ES115" s="2928">
        <f t="shared" si="8"/>
      </c>
      <c r="ET115" s="2928">
        <f t="shared" si="8"/>
      </c>
      <c r="EU115" s="2928">
        <f t="shared" si="8"/>
      </c>
      <c r="EV115" s="2928">
        <f t="shared" si="8"/>
      </c>
      <c r="EW115" s="2928">
        <f t="shared" si="8"/>
      </c>
      <c r="EX115" s="2928">
        <f t="shared" si="8"/>
      </c>
      <c r="EY115" s="2928">
        <f t="shared" si="8"/>
      </c>
      <c r="EZ115" s="2928">
        <f t="shared" si="8"/>
      </c>
      <c r="FA115" s="2929" t="str">
        <f t="shared" si="12"/>
        <v>-</v>
      </c>
      <c r="FB115" s="2825">
        <f t="shared" si="13"/>
      </c>
      <c r="FC115" s="2930" cm="1">
        <f t="array" ref="FC115">_xlfn.LET(_xlpm.unit_type,$G115,_xlpm.market_rent_from_rent_roll,$E115,_xlpm.unit_type_list,RentRoll_InputArea_DesignatedUnitType,_xlpm.rent_by_unit_type,RentRoll_InputArea_MarketRent,_xlpm.use_rent_roll_market_rent,LEFT(RR_VacantUnitMktRentSource,9)="Rent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15" s="2930">
        <f t="shared" si="14"/>
        <v>1176</v>
      </c>
      <c r="FE115" s="2930">
        <f t="shared" si="15"/>
        <v>1176</v>
      </c>
      <c r="FF115" s="2930">
        <f t="shared" si="16"/>
        <v>1176</v>
      </c>
      <c r="FG115" s="2931"/>
      <c r="FH115" s="2932">
        <f t="shared" si="17"/>
      </c>
      <c r="FI115" s="2932">
        <f t="shared" si="18"/>
      </c>
      <c r="FJ115" s="2931"/>
      <c r="FK115" s="2933" cm="1">
        <f t="array" ref="FK115">IF(AND(LEN($D115)&gt;0,ISNA(MATCH(TRUE,EXACT($G115,RentRoll_InputArea_DesignatedUnitType),0))),1,0)</f>
        <v>0</v>
      </c>
      <c r="FL115" s="2931">
        <f t="shared" si="19"/>
        <v>92</v>
      </c>
      <c r="FM115" s="2931"/>
      <c r="FN115" s="2931"/>
      <c r="FO115" s="2931"/>
      <c r="FP115" s="2931"/>
      <c r="FQ115" s="2931"/>
      <c r="FR115" s="2931"/>
      <c r="FS115" s="2931"/>
      <c r="FT115" s="2931"/>
      <c r="FU115" s="2931"/>
      <c r="FV115" s="2931"/>
      <c r="FW115" s="2931"/>
      <c r="FX115" s="2931"/>
      <c r="FY115" s="2931"/>
      <c r="FZ115" s="2931"/>
      <c r="GA115" s="2931"/>
      <c r="GB115" s="2931"/>
      <c r="GC115" s="2931"/>
      <c r="GD115" s="2931"/>
      <c r="GE115" s="2931"/>
      <c r="GF115" s="2931"/>
      <c r="GG115" s="2931"/>
      <c r="GH115" s="2931"/>
      <c r="GI115" s="2931"/>
      <c r="GJ115" s="2931"/>
      <c r="GK115" s="2931"/>
      <c r="GL115" s="2931"/>
      <c r="GM115" s="2931"/>
      <c r="GN115" s="2931"/>
      <c r="GO115" s="2931"/>
      <c r="GP115" s="2931"/>
      <c r="GQ115" s="2931"/>
      <c r="GR115" s="2931"/>
      <c r="GS115" s="2931"/>
      <c r="GT115" s="2931"/>
      <c r="GU115" s="2931"/>
      <c r="GV115" s="2931"/>
      <c r="GW115" s="2931"/>
      <c r="GX115" s="2931"/>
      <c r="GY115" s="2931"/>
      <c r="GZ115" s="2931"/>
      <c r="HA115" s="2931"/>
      <c r="HB115" s="2931"/>
      <c r="HC115" s="2931"/>
      <c r="HD115" s="2931"/>
      <c r="HE115" s="2931"/>
      <c r="HF115" s="2931"/>
      <c r="HG115" s="2931"/>
      <c r="HH115" s="2931"/>
      <c r="HI115" s="2931"/>
      <c r="HJ115" s="2931"/>
      <c r="HK115" s="2931"/>
      <c r="HL115" s="2931"/>
      <c r="HM115" s="2931"/>
      <c r="HN115" s="2931"/>
      <c r="HO115" s="2931"/>
      <c r="HP115" s="2931"/>
      <c r="HQ115" s="2931"/>
      <c r="HR115" s="2931"/>
      <c r="HS115" s="2931"/>
      <c r="HT115" s="2931"/>
      <c r="HU115" s="2931"/>
      <c r="HV115" s="2931"/>
      <c r="HW115" s="2931"/>
      <c r="HX115" s="2931"/>
      <c r="HY115" s="2931"/>
      <c r="HZ115" s="2931"/>
      <c r="IA115" s="2931"/>
      <c r="IB115" s="2931"/>
      <c r="IC115" s="2931"/>
      <c r="ID115" s="2931"/>
      <c r="IE115" s="2931"/>
      <c r="IF115" s="2931"/>
      <c r="IG115" s="2931"/>
      <c r="IH115" s="2931"/>
      <c r="II115" s="2931"/>
      <c r="IJ115" s="2931"/>
      <c r="IK115" s="2931"/>
      <c r="IL115" s="2931"/>
      <c r="IM115" s="2931"/>
      <c r="IN115" s="2931"/>
      <c r="IO115" s="2931" cm="1">
        <f t="array" ref="IO115">IF(LEN($G115)=0,"Rent Roll is incomplete",_xlfn.XLOOKUP(TRUE,EXACT(RentRoll_InputArea_DesignatedUnitType,$G115),RentRoll_InputArea_Beds,"Not Found"))</f>
        <v>0</v>
      </c>
      <c r="IP115" s="2934"/>
      <c r="IQ115" s="2935" t="str">
        <f t="shared" si="20"/>
        <v>0 Bedroom Unit (Efficiency/Studio)</v>
      </c>
      <c r="IR115" s="2926">
        <f t="shared" si="21"/>
        <v>1176</v>
      </c>
      <c r="IS115" s="2935"/>
      <c r="IT115" s="2931"/>
      <c r="IU115" s="2931"/>
      <c r="IV115" s="2931"/>
      <c r="IW115" s="2936" t="str">
        <f t="shared" si="22"/>
        <v>8-803</v>
      </c>
      <c r="IX115" s="2936"/>
      <c r="IY115" s="2936"/>
      <c r="IZ115" s="2936">
        <f t="shared" si="23"/>
        <v>0</v>
      </c>
      <c r="JA115" s="2936">
        <f t="shared" si="24"/>
        <v>1176</v>
      </c>
      <c r="JB115" s="2936"/>
      <c r="JC115" s="2936"/>
      <c r="JD115" s="2936"/>
      <c r="JE115" s="2936"/>
      <c r="JF115" s="2936"/>
      <c r="JG115" s="2936"/>
      <c r="JH115" s="2936">
        <f t="shared" si="25"/>
        <v>1217</v>
      </c>
      <c r="JI115" s="2936"/>
      <c r="JJ115" s="2936">
        <f t="shared" si="26"/>
      </c>
      <c r="JK115" s="2936"/>
      <c r="JL115" s="2936"/>
      <c r="JM115" s="2936"/>
      <c r="JN115" s="2936"/>
      <c r="JO115" s="2936"/>
      <c r="JP115" s="2936"/>
      <c r="JQ115" s="2936" t="str">
        <f t="shared" si="27"/>
        <v>Occupied</v>
      </c>
      <c r="JR115" s="2936" cm="1">
        <f t="array" ref="JR115">_xlfn.XLOOKUP(TRUE,EXACT(RentRoll_InputArea_DesignatedUnitType,$G115),RentRoll_InputArea_SquareFootage,"Not Found")</f>
        <v>800</v>
      </c>
      <c r="JS115" s="2936" t="str">
        <f t="shared" si="28"/>
        <v>Apartment</v>
      </c>
      <c r="JT115" s="2936">
        <f t="shared" si="29"/>
      </c>
      <c r="JU115" s="2936"/>
      <c r="JV115" s="2936"/>
      <c r="JW115" s="2936"/>
      <c r="JX115" s="2936"/>
      <c r="JY115" s="2936">
        <f t="shared" si="9"/>
        <v>43586</v>
      </c>
      <c r="JZ115" s="2936">
        <f t="shared" si="9"/>
        <v>43951</v>
      </c>
      <c r="KA115" s="2936"/>
      <c r="KB115" s="2936"/>
      <c r="KC115" s="2936"/>
      <c r="KD115" s="2936"/>
      <c r="KE115" s="2936"/>
      <c r="KF115" s="2936"/>
      <c r="KG115" s="2936"/>
      <c r="KH115" s="2936"/>
      <c r="KI115" s="2937"/>
      <c r="KJ115" s="2936"/>
      <c r="KK115" s="1353"/>
    </row>
    <row r="116" ht="15" customHeight="1">
      <c r="A116" s="2922">
        <f t="shared" si="10"/>
        <v>93</v>
      </c>
      <c r="B116" s="2865"/>
      <c r="C116" s="2873"/>
      <c r="D116" s="2873" t="s">
        <v>2927</v>
      </c>
      <c r="E116" s="2923">
        <v>1230</v>
      </c>
      <c r="F116" s="2924" t="s">
        <v>2928</v>
      </c>
      <c r="G116" s="2873" t="s">
        <v>2530</v>
      </c>
      <c r="H116" s="2923">
        <v>1263</v>
      </c>
      <c r="I116" s="2925" cm="1">
        <f t="array" ref="I116">_xlfn.LET(_xlpm.has_subsidy,$N116&gt;0,_xlpm.is_chap9_sbl,$FF$20,_xlpm.contract_rent,$H116,_xlpm.unit_type_mkt_rent,_xlfn.XLOOKUP(TRUE,EXACT($G116,RentRoll_InputArea_DesignatedUnitType),RentRoll_InputArea_MarketRent,"Not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6" s="2926">
        <f t="shared" si="11"/>
        <v>1263</v>
      </c>
      <c r="K116" s="2923"/>
      <c r="L116" s="2923"/>
      <c r="M116" s="2923"/>
      <c r="N116" s="2923"/>
      <c r="O116" s="2927">
        <v>43442</v>
      </c>
      <c r="P116" s="2927">
        <v>43708</v>
      </c>
      <c r="Q116" s="2928">
        <f t="shared" si="8"/>
      </c>
      <c r="R116" s="2928">
        <f t="shared" si="8"/>
        <v>1263</v>
      </c>
      <c r="S116" s="2928">
        <f t="shared" si="8"/>
      </c>
      <c r="T116" s="2928">
        <f t="shared" si="8"/>
      </c>
      <c r="U116" s="2928">
        <f t="shared" si="8"/>
      </c>
      <c r="V116" s="2928">
        <f t="shared" si="8"/>
      </c>
      <c r="W116" s="2928">
        <f t="shared" si="8"/>
      </c>
      <c r="X116" s="2928">
        <f t="shared" si="8"/>
      </c>
      <c r="Y116" s="2928">
        <f t="shared" si="8"/>
      </c>
      <c r="Z116" s="2928">
        <f t="shared" si="8"/>
      </c>
      <c r="AA116" s="2928">
        <f t="shared" si="8"/>
      </c>
      <c r="AB116" s="2928">
        <f t="shared" si="8"/>
      </c>
      <c r="AC116" s="2928">
        <f t="shared" si="8"/>
      </c>
      <c r="AD116" s="2928">
        <f t="shared" si="8"/>
      </c>
      <c r="AE116" s="2928">
        <f t="shared" si="8"/>
      </c>
      <c r="AF116" s="2928">
        <f t="shared" si="8"/>
      </c>
      <c r="AG116" s="2928">
        <f t="shared" si="8"/>
      </c>
      <c r="AH116" s="2928">
        <f t="shared" si="8"/>
      </c>
      <c r="AI116" s="2928">
        <f t="shared" si="8"/>
      </c>
      <c r="AJ116" s="2928">
        <f t="shared" si="8"/>
      </c>
      <c r="AK116" s="2928">
        <f t="shared" si="8"/>
      </c>
      <c r="AL116" s="2928">
        <f t="shared" si="8"/>
      </c>
      <c r="AM116" s="2928">
        <f t="shared" si="8"/>
      </c>
      <c r="AN116" s="2928">
        <f t="shared" si="8"/>
      </c>
      <c r="AO116" s="2928">
        <f t="shared" si="8"/>
      </c>
      <c r="AP116" s="2928">
        <f t="shared" si="8"/>
      </c>
      <c r="AQ116" s="2928">
        <f t="shared" si="8"/>
      </c>
      <c r="AR116" s="2928">
        <f t="shared" si="8"/>
      </c>
      <c r="AS116" s="2928">
        <f t="shared" si="8"/>
      </c>
      <c r="AT116" s="2928">
        <f t="shared" si="8"/>
      </c>
      <c r="AU116" s="2928">
        <f t="shared" si="8"/>
      </c>
      <c r="AV116" s="2928">
        <f t="shared" si="8"/>
      </c>
      <c r="AW116" s="2928">
        <f t="shared" si="8"/>
      </c>
      <c r="AX116" s="2928">
        <f t="shared" si="8"/>
      </c>
      <c r="AY116" s="2928">
        <f t="shared" si="8"/>
      </c>
      <c r="AZ116" s="2928">
        <f t="shared" si="8"/>
      </c>
      <c r="BA116" s="2928">
        <f t="shared" si="8"/>
      </c>
      <c r="BB116" s="2928">
        <f t="shared" si="8"/>
      </c>
      <c r="BC116" s="2928">
        <f t="shared" si="8"/>
      </c>
      <c r="BD116" s="2928">
        <f t="shared" si="8"/>
      </c>
      <c r="BE116" s="2928">
        <f t="shared" si="8"/>
      </c>
      <c r="BF116" s="2928">
        <f t="shared" si="8"/>
      </c>
      <c r="BG116" s="2928">
        <f t="shared" si="8"/>
      </c>
      <c r="BH116" s="2928">
        <f t="shared" si="8"/>
      </c>
      <c r="BI116" s="2928">
        <f t="shared" si="8"/>
      </c>
      <c r="BJ116" s="2928">
        <f t="shared" si="8"/>
      </c>
      <c r="BK116" s="2928">
        <f t="shared" si="8"/>
      </c>
      <c r="BL116" s="2928">
        <f t="shared" si="8"/>
      </c>
      <c r="BM116" s="2928">
        <f t="shared" si="8"/>
      </c>
      <c r="BN116" s="2928">
        <f t="shared" si="8"/>
      </c>
      <c r="BO116" s="2928">
        <f t="shared" si="8"/>
      </c>
      <c r="BP116" s="2928">
        <f t="shared" si="8"/>
      </c>
      <c r="BQ116" s="2928">
        <f t="shared" si="8"/>
      </c>
      <c r="BR116" s="2928">
        <f t="shared" si="8"/>
      </c>
      <c r="BS116" s="2928">
        <f t="shared" si="8"/>
      </c>
      <c r="BT116" s="2928">
        <f t="shared" si="8"/>
      </c>
      <c r="BU116" s="2928">
        <f t="shared" si="8"/>
      </c>
      <c r="BV116" s="2928">
        <f t="shared" si="8"/>
      </c>
      <c r="BW116" s="2928">
        <f t="shared" si="8"/>
      </c>
      <c r="BX116" s="2928">
        <f t="shared" si="8"/>
      </c>
      <c r="BY116" s="2928">
        <f t="shared" si="8"/>
      </c>
      <c r="BZ116" s="2928">
        <f t="shared" si="8"/>
      </c>
      <c r="CA116" s="2928">
        <f t="shared" si="8"/>
      </c>
      <c r="CB116" s="2928">
        <f t="shared" si="8"/>
      </c>
      <c r="CC116" s="2928">
        <f t="shared" si="8"/>
      </c>
      <c r="CD116" s="2928">
        <f t="shared" si="8"/>
      </c>
      <c r="CE116" s="2928">
        <f t="shared" si="8"/>
      </c>
      <c r="CF116" s="2928">
        <f t="shared" si="8"/>
      </c>
      <c r="CG116" s="2928">
        <f t="shared" si="8"/>
      </c>
      <c r="CH116" s="2928">
        <f t="shared" si="8"/>
      </c>
      <c r="CI116" s="2928">
        <f t="shared" si="8"/>
      </c>
      <c r="CJ116" s="2928">
        <f t="shared" si="8"/>
      </c>
      <c r="CK116" s="2928">
        <f t="shared" si="8"/>
      </c>
      <c r="CL116" s="2928">
        <f t="shared" si="8"/>
      </c>
      <c r="CM116" s="2928">
        <f t="shared" si="8"/>
      </c>
      <c r="CN116" s="2928">
        <f t="shared" si="8"/>
      </c>
      <c r="CO116" s="2928">
        <f t="shared" si="8"/>
      </c>
      <c r="CP116" s="2928">
        <f t="shared" si="8"/>
      </c>
      <c r="CQ116" s="2928">
        <f t="shared" si="8"/>
      </c>
      <c r="CR116" s="2928">
        <f t="shared" si="8"/>
      </c>
      <c r="CS116" s="2928">
        <f t="shared" si="8"/>
      </c>
      <c r="CT116" s="2928">
        <f t="shared" si="8"/>
      </c>
      <c r="CU116" s="2928">
        <f t="shared" si="8"/>
      </c>
      <c r="CV116" s="2928">
        <f t="shared" si="8"/>
      </c>
      <c r="CW116" s="2928">
        <f t="shared" si="8"/>
      </c>
      <c r="CX116" s="2928">
        <f t="shared" si="8"/>
      </c>
      <c r="CY116" s="2928">
        <f t="shared" si="8"/>
      </c>
      <c r="CZ116" s="2928">
        <f t="shared" si="8"/>
      </c>
      <c r="DA116" s="2928">
        <f t="shared" si="8"/>
      </c>
      <c r="DB116" s="2928">
        <f t="shared" si="8"/>
      </c>
      <c r="DC116" s="2928">
        <f t="shared" si="8"/>
      </c>
      <c r="DD116" s="2928">
        <f t="shared" si="8"/>
      </c>
      <c r="DE116" s="2928">
        <f t="shared" si="8"/>
      </c>
      <c r="DF116" s="2928">
        <f t="shared" si="8"/>
      </c>
      <c r="DG116" s="2928">
        <f t="shared" si="8"/>
      </c>
      <c r="DH116" s="2928">
        <f t="shared" si="8"/>
      </c>
      <c r="DI116" s="2928">
        <f t="shared" si="8"/>
      </c>
      <c r="DJ116" s="2928">
        <f t="shared" si="8"/>
      </c>
      <c r="DK116" s="2928">
        <f t="shared" si="8"/>
      </c>
      <c r="DL116" s="2928">
        <f t="shared" si="8"/>
      </c>
      <c r="DM116" s="2928">
        <f t="shared" si="8"/>
      </c>
      <c r="DN116" s="2928">
        <f t="shared" si="8"/>
      </c>
      <c r="DO116" s="2928">
        <f t="shared" si="8"/>
      </c>
      <c r="DP116" s="2928">
        <f t="shared" si="8"/>
      </c>
      <c r="DQ116" s="2928">
        <f t="shared" si="8"/>
      </c>
      <c r="DR116" s="2928">
        <f t="shared" si="8"/>
      </c>
      <c r="DS116" s="2928">
        <f t="shared" si="8"/>
      </c>
      <c r="DT116" s="2928">
        <f t="shared" si="8"/>
      </c>
      <c r="DU116" s="2928">
        <f t="shared" si="8"/>
      </c>
      <c r="DV116" s="2928">
        <f t="shared" si="8"/>
      </c>
      <c r="DW116" s="2928">
        <f t="shared" si="8"/>
      </c>
      <c r="DX116" s="2928">
        <f t="shared" si="8"/>
      </c>
      <c r="DY116" s="2928">
        <f t="shared" si="8"/>
      </c>
      <c r="DZ116" s="2928">
        <f t="shared" si="8"/>
      </c>
      <c r="EA116" s="2928">
        <f t="shared" si="8"/>
      </c>
      <c r="EB116" s="2928">
        <f t="shared" si="8"/>
      </c>
      <c r="EC116" s="2928">
        <f t="shared" si="8"/>
      </c>
      <c r="ED116" s="2928">
        <f t="shared" si="8"/>
      </c>
      <c r="EE116" s="2928">
        <f t="shared" si="8"/>
      </c>
      <c r="EF116" s="2928">
        <f t="shared" si="8"/>
      </c>
      <c r="EG116" s="2928">
        <f t="shared" si="8"/>
      </c>
      <c r="EH116" s="2928">
        <f t="shared" si="8"/>
      </c>
      <c r="EI116" s="2928">
        <f t="shared" si="8"/>
      </c>
      <c r="EJ116" s="2928">
        <f t="shared" si="8"/>
      </c>
      <c r="EK116" s="2928">
        <f t="shared" si="8"/>
      </c>
      <c r="EL116" s="2928">
        <f t="shared" si="8"/>
      </c>
      <c r="EM116" s="2928">
        <f t="shared" si="8"/>
      </c>
      <c r="EN116" s="2928">
        <f t="shared" si="8"/>
      </c>
      <c r="EO116" s="2928">
        <f t="shared" si="8"/>
      </c>
      <c r="EP116" s="2928">
        <f t="shared" si="8"/>
      </c>
      <c r="EQ116" s="2928">
        <f t="shared" si="8"/>
      </c>
      <c r="ER116" s="2928">
        <f t="shared" si="8"/>
      </c>
      <c r="ES116" s="2928">
        <f t="shared" si="8"/>
      </c>
      <c r="ET116" s="2928">
        <f t="shared" si="8"/>
      </c>
      <c r="EU116" s="2928">
        <f t="shared" si="8"/>
      </c>
      <c r="EV116" s="2928">
        <f t="shared" si="8"/>
      </c>
      <c r="EW116" s="2928">
        <f t="shared" si="8"/>
      </c>
      <c r="EX116" s="2928">
        <f t="shared" si="8"/>
      </c>
      <c r="EY116" s="2928">
        <f t="shared" si="8"/>
      </c>
      <c r="EZ116" s="2928">
        <f t="shared" si="8"/>
      </c>
      <c r="FA116" s="2929" t="str">
        <f t="shared" si="12"/>
        <v>-</v>
      </c>
      <c r="FB116" s="2825">
        <f t="shared" si="13"/>
      </c>
      <c r="FC116" s="2930" cm="1">
        <f t="array" ref="FC116">_xlfn.LET(_xlpm.unit_type,$G116,_xlpm.market_rent_from_rent_roll,$E116,_xlpm.unit_type_list,RentRoll_InputArea_DesignatedUnitType,_xlpm.rent_by_unit_type,RentRoll_InputArea_MarketRent,_xlpm.use_rent_roll_market_rent,LEFT(RR_VacantUnitMktRentSource,9)="Rent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16" s="2930">
        <f t="shared" si="14"/>
        <v>1263</v>
      </c>
      <c r="FE116" s="2930">
        <f t="shared" si="15"/>
        <v>1263</v>
      </c>
      <c r="FF116" s="2930">
        <f t="shared" si="16"/>
        <v>1263</v>
      </c>
      <c r="FG116" s="2931"/>
      <c r="FH116" s="2932">
        <f t="shared" si="17"/>
      </c>
      <c r="FI116" s="2932">
        <f t="shared" si="18"/>
      </c>
      <c r="FJ116" s="2931"/>
      <c r="FK116" s="2933" cm="1">
        <f t="array" ref="FK116">IF(AND(LEN($D116)&gt;0,ISNA(MATCH(TRUE,EXACT($G116,RentRoll_InputArea_DesignatedUnitType),0))),1,0)</f>
        <v>0</v>
      </c>
      <c r="FL116" s="2931">
        <f t="shared" si="19"/>
        <v>93</v>
      </c>
      <c r="FM116" s="2931"/>
      <c r="FN116" s="2931"/>
      <c r="FO116" s="2931"/>
      <c r="FP116" s="2931"/>
      <c r="FQ116" s="2931"/>
      <c r="FR116" s="2931"/>
      <c r="FS116" s="2931"/>
      <c r="FT116" s="2931"/>
      <c r="FU116" s="2931"/>
      <c r="FV116" s="2931"/>
      <c r="FW116" s="2931"/>
      <c r="FX116" s="2931"/>
      <c r="FY116" s="2931"/>
      <c r="FZ116" s="2931"/>
      <c r="GA116" s="2931"/>
      <c r="GB116" s="2931"/>
      <c r="GC116" s="2931"/>
      <c r="GD116" s="2931"/>
      <c r="GE116" s="2931"/>
      <c r="GF116" s="2931"/>
      <c r="GG116" s="2931"/>
      <c r="GH116" s="2931"/>
      <c r="GI116" s="2931"/>
      <c r="GJ116" s="2931"/>
      <c r="GK116" s="2931"/>
      <c r="GL116" s="2931"/>
      <c r="GM116" s="2931"/>
      <c r="GN116" s="2931"/>
      <c r="GO116" s="2931"/>
      <c r="GP116" s="2931"/>
      <c r="GQ116" s="2931"/>
      <c r="GR116" s="2931"/>
      <c r="GS116" s="2931"/>
      <c r="GT116" s="2931"/>
      <c r="GU116" s="2931"/>
      <c r="GV116" s="2931"/>
      <c r="GW116" s="2931"/>
      <c r="GX116" s="2931"/>
      <c r="GY116" s="2931"/>
      <c r="GZ116" s="2931"/>
      <c r="HA116" s="2931"/>
      <c r="HB116" s="2931"/>
      <c r="HC116" s="2931"/>
      <c r="HD116" s="2931"/>
      <c r="HE116" s="2931"/>
      <c r="HF116" s="2931"/>
      <c r="HG116" s="2931"/>
      <c r="HH116" s="2931"/>
      <c r="HI116" s="2931"/>
      <c r="HJ116" s="2931"/>
      <c r="HK116" s="2931"/>
      <c r="HL116" s="2931"/>
      <c r="HM116" s="2931"/>
      <c r="HN116" s="2931"/>
      <c r="HO116" s="2931"/>
      <c r="HP116" s="2931"/>
      <c r="HQ116" s="2931"/>
      <c r="HR116" s="2931"/>
      <c r="HS116" s="2931"/>
      <c r="HT116" s="2931"/>
      <c r="HU116" s="2931"/>
      <c r="HV116" s="2931"/>
      <c r="HW116" s="2931"/>
      <c r="HX116" s="2931"/>
      <c r="HY116" s="2931"/>
      <c r="HZ116" s="2931"/>
      <c r="IA116" s="2931"/>
      <c r="IB116" s="2931"/>
      <c r="IC116" s="2931"/>
      <c r="ID116" s="2931"/>
      <c r="IE116" s="2931"/>
      <c r="IF116" s="2931"/>
      <c r="IG116" s="2931"/>
      <c r="IH116" s="2931"/>
      <c r="II116" s="2931"/>
      <c r="IJ116" s="2931"/>
      <c r="IK116" s="2931"/>
      <c r="IL116" s="2931"/>
      <c r="IM116" s="2931"/>
      <c r="IN116" s="2931"/>
      <c r="IO116" s="2931" cm="1">
        <f t="array" ref="IO116">IF(LEN($G116)=0,"Rent Roll is incomplete",_xlfn.XLOOKUP(TRUE,EXACT(RentRoll_InputArea_DesignatedUnitType,$G116),RentRoll_InputArea_Beds,"Not Found"))</f>
        <v>0</v>
      </c>
      <c r="IP116" s="2934"/>
      <c r="IQ116" s="2935" t="str">
        <f t="shared" si="20"/>
        <v>0 Bedroom Unit (Efficiency/Studio)</v>
      </c>
      <c r="IR116" s="2926">
        <f t="shared" si="21"/>
        <v>1263</v>
      </c>
      <c r="IS116" s="2935"/>
      <c r="IT116" s="2931"/>
      <c r="IU116" s="2931"/>
      <c r="IV116" s="2931"/>
      <c r="IW116" s="2936" t="str">
        <f t="shared" si="22"/>
        <v>8-804</v>
      </c>
      <c r="IX116" s="2936"/>
      <c r="IY116" s="2936"/>
      <c r="IZ116" s="2936">
        <f t="shared" si="23"/>
        <v>0</v>
      </c>
      <c r="JA116" s="2936">
        <f t="shared" si="24"/>
        <v>1263</v>
      </c>
      <c r="JB116" s="2936"/>
      <c r="JC116" s="2936"/>
      <c r="JD116" s="2936"/>
      <c r="JE116" s="2936"/>
      <c r="JF116" s="2936"/>
      <c r="JG116" s="2936"/>
      <c r="JH116" s="2936">
        <f t="shared" si="25"/>
        <v>1217</v>
      </c>
      <c r="JI116" s="2936"/>
      <c r="JJ116" s="2936">
        <f t="shared" si="26"/>
      </c>
      <c r="JK116" s="2936"/>
      <c r="JL116" s="2936"/>
      <c r="JM116" s="2936"/>
      <c r="JN116" s="2936"/>
      <c r="JO116" s="2936"/>
      <c r="JP116" s="2936"/>
      <c r="JQ116" s="2936" t="str">
        <f t="shared" si="27"/>
        <v>Occupied</v>
      </c>
      <c r="JR116" s="2936" cm="1">
        <f t="array" ref="JR116">_xlfn.XLOOKUP(TRUE,EXACT(RentRoll_InputArea_DesignatedUnitType,$G116),RentRoll_InputArea_SquareFootage,"Not Found")</f>
        <v>800</v>
      </c>
      <c r="JS116" s="2936" t="str">
        <f t="shared" si="28"/>
        <v>Apartment</v>
      </c>
      <c r="JT116" s="2936">
        <f t="shared" si="29"/>
      </c>
      <c r="JU116" s="2936"/>
      <c r="JV116" s="2936"/>
      <c r="JW116" s="2936"/>
      <c r="JX116" s="2936"/>
      <c r="JY116" s="2936">
        <f t="shared" si="9"/>
        <v>43442</v>
      </c>
      <c r="JZ116" s="2936">
        <f t="shared" si="9"/>
        <v>43708</v>
      </c>
      <c r="KA116" s="2936"/>
      <c r="KB116" s="2936"/>
      <c r="KC116" s="2936"/>
      <c r="KD116" s="2936"/>
      <c r="KE116" s="2936"/>
      <c r="KF116" s="2936"/>
      <c r="KG116" s="2936"/>
      <c r="KH116" s="2936"/>
      <c r="KI116" s="2937"/>
      <c r="KJ116" s="2936"/>
      <c r="KK116" s="1353"/>
    </row>
    <row r="117" ht="15" customHeight="1">
      <c r="A117" s="2922">
        <f t="shared" si="10"/>
        <v>94</v>
      </c>
      <c r="B117" s="2865"/>
      <c r="C117" s="2873"/>
      <c r="D117" s="2873" t="s">
        <v>2929</v>
      </c>
      <c r="E117" s="2923">
        <v>1219</v>
      </c>
      <c r="F117" s="2924" t="s">
        <v>2930</v>
      </c>
      <c r="G117" s="2873" t="s">
        <v>2530</v>
      </c>
      <c r="H117" s="2923">
        <v>1218</v>
      </c>
      <c r="I117" s="2925" cm="1">
        <f t="array" ref="I117">_xlfn.LET(_xlpm.has_subsidy,$N117&gt;0,_xlpm.is_chap9_sbl,$FF$20,_xlpm.contract_rent,$H117,_xlpm.unit_type_mkt_rent,_xlfn.XLOOKUP(TRUE,EXACT($G117,RentRoll_InputArea_DesignatedUnitType),RentRoll_InputArea_MarketRent,"Not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7" s="2926">
        <f t="shared" si="11"/>
        <v>1218</v>
      </c>
      <c r="K117" s="2923"/>
      <c r="L117" s="2923"/>
      <c r="M117" s="2923"/>
      <c r="N117" s="2923"/>
      <c r="O117" s="2927">
        <v>43281</v>
      </c>
      <c r="P117" s="2927">
        <v>43555</v>
      </c>
      <c r="Q117" s="2928">
        <f t="shared" si="8"/>
      </c>
      <c r="R117" s="2928">
        <f t="shared" si="8"/>
        <v>1218</v>
      </c>
      <c r="S117" s="2928">
        <f t="shared" si="8"/>
      </c>
      <c r="T117" s="2928">
        <f t="shared" si="8"/>
      </c>
      <c r="U117" s="2928">
        <f t="shared" si="8"/>
      </c>
      <c r="V117" s="2928">
        <f t="shared" si="8"/>
      </c>
      <c r="W117" s="2928">
        <f t="shared" si="8"/>
      </c>
      <c r="X117" s="2928">
        <f t="shared" si="8"/>
      </c>
      <c r="Y117" s="2928">
        <f t="shared" si="8"/>
      </c>
      <c r="Z117" s="2928">
        <f t="shared" si="8"/>
      </c>
      <c r="AA117" s="2928">
        <f t="shared" si="8"/>
      </c>
      <c r="AB117" s="2928">
        <f t="shared" si="8"/>
      </c>
      <c r="AC117" s="2928">
        <f t="shared" si="8"/>
      </c>
      <c r="AD117" s="2928">
        <f t="shared" si="8"/>
      </c>
      <c r="AE117" s="2928">
        <f t="shared" si="8"/>
      </c>
      <c r="AF117" s="2928">
        <f t="shared" si="8"/>
      </c>
      <c r="AG117" s="2928">
        <f t="shared" si="8"/>
      </c>
      <c r="AH117" s="2928">
        <f t="shared" si="8"/>
      </c>
      <c r="AI117" s="2928">
        <f t="shared" si="8"/>
      </c>
      <c r="AJ117" s="2928">
        <f t="shared" si="8"/>
      </c>
      <c r="AK117" s="2928">
        <f t="shared" si="8"/>
      </c>
      <c r="AL117" s="2928">
        <f t="shared" si="8"/>
      </c>
      <c r="AM117" s="2928">
        <f t="shared" si="8"/>
      </c>
      <c r="AN117" s="2928">
        <f t="shared" si="8"/>
      </c>
      <c r="AO117" s="2928">
        <f t="shared" si="8"/>
      </c>
      <c r="AP117" s="2928">
        <f t="shared" si="8"/>
      </c>
      <c r="AQ117" s="2928">
        <f t="shared" si="8"/>
      </c>
      <c r="AR117" s="2928">
        <f t="shared" si="8"/>
      </c>
      <c r="AS117" s="2928">
        <f t="shared" si="8"/>
      </c>
      <c r="AT117" s="2928">
        <f t="shared" si="8"/>
      </c>
      <c r="AU117" s="2928">
        <f t="shared" si="8"/>
      </c>
      <c r="AV117" s="2928">
        <f t="shared" si="8"/>
      </c>
      <c r="AW117" s="2928">
        <f t="shared" si="8"/>
      </c>
      <c r="AX117" s="2928">
        <f t="shared" si="8"/>
      </c>
      <c r="AY117" s="2928">
        <f t="shared" si="8"/>
      </c>
      <c r="AZ117" s="2928">
        <f t="shared" si="8"/>
      </c>
      <c r="BA117" s="2928">
        <f t="shared" si="8"/>
      </c>
      <c r="BB117" s="2928">
        <f t="shared" si="8"/>
      </c>
      <c r="BC117" s="2928">
        <f t="shared" si="8"/>
      </c>
      <c r="BD117" s="2928">
        <f t="shared" si="8"/>
      </c>
      <c r="BE117" s="2928">
        <f t="shared" si="8"/>
      </c>
      <c r="BF117" s="2928">
        <f t="shared" si="8"/>
      </c>
      <c r="BG117" s="2928">
        <f t="shared" si="8"/>
      </c>
      <c r="BH117" s="2928">
        <f t="shared" si="8"/>
      </c>
      <c r="BI117" s="2928">
        <f t="shared" si="8"/>
      </c>
      <c r="BJ117" s="2928">
        <f t="shared" si="8"/>
      </c>
      <c r="BK117" s="2928">
        <f t="shared" si="8"/>
      </c>
      <c r="BL117" s="2928">
        <f t="shared" si="8"/>
      </c>
      <c r="BM117" s="2928">
        <f t="shared" si="8"/>
      </c>
      <c r="BN117" s="2928">
        <f t="shared" si="8"/>
      </c>
      <c r="BO117" s="2928">
        <f t="shared" si="8"/>
      </c>
      <c r="BP117" s="2928">
        <f t="shared" si="8"/>
      </c>
      <c r="BQ117" s="2928">
        <f t="shared" si="8"/>
      </c>
      <c r="BR117" s="2928">
        <f t="shared" si="8"/>
      </c>
      <c r="BS117" s="2928">
        <f t="shared" si="8"/>
      </c>
      <c r="BT117" s="2928">
        <f t="shared" si="8"/>
      </c>
      <c r="BU117" s="2928">
        <f t="shared" si="8"/>
      </c>
      <c r="BV117" s="2928">
        <f t="shared" si="8"/>
      </c>
      <c r="BW117" s="2928">
        <f t="shared" si="8"/>
      </c>
      <c r="BX117" s="2928">
        <f t="shared" si="8"/>
      </c>
      <c r="BY117" s="2928">
        <f t="shared" si="8"/>
      </c>
      <c r="BZ117" s="2928">
        <f t="shared" si="8"/>
      </c>
      <c r="CA117" s="2928">
        <f t="shared" si="8"/>
      </c>
      <c r="CB117" s="2928">
        <f t="shared" si="8"/>
      </c>
      <c r="CC117" s="2928">
        <f t="shared" si="8"/>
      </c>
      <c r="CD117" s="2928">
        <f t="shared" si="8"/>
      </c>
      <c r="CE117" s="2928">
        <f t="shared" si="8"/>
      </c>
      <c r="CF117" s="2928">
        <f t="shared" si="8"/>
      </c>
      <c r="CG117" s="2928">
        <f t="shared" si="8"/>
      </c>
      <c r="CH117" s="2928">
        <f t="shared" si="8"/>
      </c>
      <c r="CI117" s="2928">
        <f t="shared" si="8"/>
      </c>
      <c r="CJ117" s="2928">
        <f t="shared" si="8"/>
      </c>
      <c r="CK117" s="2928">
        <f t="shared" si="8"/>
      </c>
      <c r="CL117" s="2928">
        <f t="shared" si="8"/>
      </c>
      <c r="CM117" s="2928">
        <f t="shared" si="8"/>
      </c>
      <c r="CN117" s="2928">
        <f t="shared" si="8"/>
      </c>
      <c r="CO117" s="2928">
        <f t="shared" si="8"/>
      </c>
      <c r="CP117" s="2928">
        <f t="shared" si="8"/>
      </c>
      <c r="CQ117" s="2928">
        <f t="shared" si="8"/>
      </c>
      <c r="CR117" s="2928">
        <f t="shared" si="8"/>
      </c>
      <c r="CS117" s="2928">
        <f t="shared" si="8"/>
      </c>
      <c r="CT117" s="2928">
        <f t="shared" si="8"/>
      </c>
      <c r="CU117" s="2928">
        <f t="shared" si="8"/>
      </c>
      <c r="CV117" s="2928">
        <f t="shared" si="8"/>
      </c>
      <c r="CW117" s="2928">
        <f t="shared" si="8"/>
      </c>
      <c r="CX117" s="2928">
        <f t="shared" si="8"/>
      </c>
      <c r="CY117" s="2928">
        <f t="shared" si="8"/>
      </c>
      <c r="CZ117" s="2928">
        <f t="shared" si="8"/>
      </c>
      <c r="DA117" s="2928">
        <f t="shared" si="8"/>
      </c>
      <c r="DB117" s="2928">
        <f t="shared" si="8"/>
      </c>
      <c r="DC117" s="2928">
        <f t="shared" si="8"/>
      </c>
      <c r="DD117" s="2928">
        <f t="shared" si="8"/>
      </c>
      <c r="DE117" s="2928">
        <f t="shared" si="8"/>
      </c>
      <c r="DF117" s="2928">
        <f t="shared" si="8"/>
      </c>
      <c r="DG117" s="2928">
        <f t="shared" si="8"/>
      </c>
      <c r="DH117" s="2928">
        <f t="shared" si="8"/>
      </c>
      <c r="DI117" s="2928">
        <f t="shared" si="8"/>
      </c>
      <c r="DJ117" s="2928">
        <f t="shared" si="8"/>
      </c>
      <c r="DK117" s="2928">
        <f t="shared" si="8"/>
      </c>
      <c r="DL117" s="2928">
        <f t="shared" si="8"/>
      </c>
      <c r="DM117" s="2928">
        <f t="shared" si="8"/>
      </c>
      <c r="DN117" s="2928">
        <f t="shared" si="8"/>
      </c>
      <c r="DO117" s="2928">
        <f t="shared" si="8"/>
      </c>
      <c r="DP117" s="2928">
        <f t="shared" si="8"/>
      </c>
      <c r="DQ117" s="2928">
        <f t="shared" si="8"/>
      </c>
      <c r="DR117" s="2928">
        <f t="shared" si="8"/>
      </c>
      <c r="DS117" s="2928">
        <f t="shared" si="8"/>
      </c>
      <c r="DT117" s="2928">
        <f t="shared" si="8"/>
      </c>
      <c r="DU117" s="2928">
        <f t="shared" si="8"/>
      </c>
      <c r="DV117" s="2928">
        <f t="shared" si="8"/>
      </c>
      <c r="DW117" s="2928">
        <f t="shared" si="8"/>
      </c>
      <c r="DX117" s="2928">
        <f t="shared" si="8"/>
      </c>
      <c r="DY117" s="2928">
        <f t="shared" si="8"/>
      </c>
      <c r="DZ117" s="2928">
        <f t="shared" si="8"/>
      </c>
      <c r="EA117" s="2928">
        <f t="shared" si="8"/>
      </c>
      <c r="EB117" s="2928">
        <f t="shared" si="8"/>
      </c>
      <c r="EC117" s="2928">
        <f t="shared" si="8"/>
      </c>
      <c r="ED117" s="2928">
        <f t="shared" si="8"/>
      </c>
      <c r="EE117" s="2928">
        <f t="shared" si="8"/>
      </c>
      <c r="EF117" s="2928">
        <f t="shared" si="8"/>
      </c>
      <c r="EG117" s="2928">
        <f t="shared" si="8"/>
      </c>
      <c r="EH117" s="2928">
        <f t="shared" si="8"/>
      </c>
      <c r="EI117" s="2928">
        <f t="shared" si="8"/>
      </c>
      <c r="EJ117" s="2928">
        <f t="shared" si="8"/>
      </c>
      <c r="EK117" s="2928">
        <f t="shared" si="8"/>
      </c>
      <c r="EL117" s="2928">
        <f t="shared" si="8"/>
      </c>
      <c r="EM117" s="2928">
        <f t="shared" si="8"/>
      </c>
      <c r="EN117" s="2928">
        <f t="shared" si="8"/>
      </c>
      <c r="EO117" s="2928">
        <f t="shared" si="8"/>
      </c>
      <c r="EP117" s="2928">
        <f t="shared" si="8"/>
      </c>
      <c r="EQ117" s="2928">
        <f t="shared" si="8"/>
      </c>
      <c r="ER117" s="2928">
        <f t="shared" si="8"/>
      </c>
      <c r="ES117" s="2928">
        <f t="shared" si="8"/>
      </c>
      <c r="ET117" s="2928">
        <f t="shared" si="8"/>
      </c>
      <c r="EU117" s="2928">
        <f t="shared" si="8"/>
      </c>
      <c r="EV117" s="2928">
        <f t="shared" si="8"/>
      </c>
      <c r="EW117" s="2928">
        <f t="shared" si="8"/>
      </c>
      <c r="EX117" s="2928">
        <f t="shared" si="8"/>
      </c>
      <c r="EY117" s="2928">
        <f t="shared" si="8"/>
      </c>
      <c r="EZ117" s="2928">
        <f t="shared" si="8"/>
      </c>
      <c r="FA117" s="2929" t="str">
        <f t="shared" si="12"/>
        <v>-</v>
      </c>
      <c r="FB117" s="2825">
        <f t="shared" si="13"/>
      </c>
      <c r="FC117" s="2930" cm="1">
        <f t="array" ref="FC117">_xlfn.LET(_xlpm.unit_type,$G117,_xlpm.market_rent_from_rent_roll,$E117,_xlpm.unit_type_list,RentRoll_InputArea_DesignatedUnitType,_xlpm.rent_by_unit_type,RentRoll_InputArea_MarketRent,_xlpm.use_rent_roll_market_rent,LEFT(RR_VacantUnitMktRentSource,9)="Rent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17" s="2930">
        <f t="shared" si="14"/>
        <v>1218</v>
      </c>
      <c r="FE117" s="2930">
        <f t="shared" si="15"/>
        <v>1218</v>
      </c>
      <c r="FF117" s="2930">
        <f t="shared" si="16"/>
        <v>1218</v>
      </c>
      <c r="FG117" s="2931"/>
      <c r="FH117" s="2932">
        <f t="shared" si="17"/>
      </c>
      <c r="FI117" s="2932">
        <f t="shared" si="18"/>
      </c>
      <c r="FJ117" s="2931"/>
      <c r="FK117" s="2933" cm="1">
        <f t="array" ref="FK117">IF(AND(LEN($D117)&gt;0,ISNA(MATCH(TRUE,EXACT($G117,RentRoll_InputArea_DesignatedUnitType),0))),1,0)</f>
        <v>0</v>
      </c>
      <c r="FL117" s="2931">
        <f t="shared" si="19"/>
        <v>94</v>
      </c>
      <c r="FM117" s="2931"/>
      <c r="FN117" s="2931"/>
      <c r="FO117" s="2931"/>
      <c r="FP117" s="2931"/>
      <c r="FQ117" s="2931"/>
      <c r="FR117" s="2931"/>
      <c r="FS117" s="2931"/>
      <c r="FT117" s="2931"/>
      <c r="FU117" s="2931"/>
      <c r="FV117" s="2931"/>
      <c r="FW117" s="2931"/>
      <c r="FX117" s="2931"/>
      <c r="FY117" s="2931"/>
      <c r="FZ117" s="2931"/>
      <c r="GA117" s="2931"/>
      <c r="GB117" s="2931"/>
      <c r="GC117" s="2931"/>
      <c r="GD117" s="2931"/>
      <c r="GE117" s="2931"/>
      <c r="GF117" s="2931"/>
      <c r="GG117" s="2931"/>
      <c r="GH117" s="2931"/>
      <c r="GI117" s="2931"/>
      <c r="GJ117" s="2931"/>
      <c r="GK117" s="2931"/>
      <c r="GL117" s="2931"/>
      <c r="GM117" s="2931"/>
      <c r="GN117" s="2931"/>
      <c r="GO117" s="2931"/>
      <c r="GP117" s="2931"/>
      <c r="GQ117" s="2931"/>
      <c r="GR117" s="2931"/>
      <c r="GS117" s="2931"/>
      <c r="GT117" s="2931"/>
      <c r="GU117" s="2931"/>
      <c r="GV117" s="2931"/>
      <c r="GW117" s="2931"/>
      <c r="GX117" s="2931"/>
      <c r="GY117" s="2931"/>
      <c r="GZ117" s="2931"/>
      <c r="HA117" s="2931"/>
      <c r="HB117" s="2931"/>
      <c r="HC117" s="2931"/>
      <c r="HD117" s="2931"/>
      <c r="HE117" s="2931"/>
      <c r="HF117" s="2931"/>
      <c r="HG117" s="2931"/>
      <c r="HH117" s="2931"/>
      <c r="HI117" s="2931"/>
      <c r="HJ117" s="2931"/>
      <c r="HK117" s="2931"/>
      <c r="HL117" s="2931"/>
      <c r="HM117" s="2931"/>
      <c r="HN117" s="2931"/>
      <c r="HO117" s="2931"/>
      <c r="HP117" s="2931"/>
      <c r="HQ117" s="2931"/>
      <c r="HR117" s="2931"/>
      <c r="HS117" s="2931"/>
      <c r="HT117" s="2931"/>
      <c r="HU117" s="2931"/>
      <c r="HV117" s="2931"/>
      <c r="HW117" s="2931"/>
      <c r="HX117" s="2931"/>
      <c r="HY117" s="2931"/>
      <c r="HZ117" s="2931"/>
      <c r="IA117" s="2931"/>
      <c r="IB117" s="2931"/>
      <c r="IC117" s="2931"/>
      <c r="ID117" s="2931"/>
      <c r="IE117" s="2931"/>
      <c r="IF117" s="2931"/>
      <c r="IG117" s="2931"/>
      <c r="IH117" s="2931"/>
      <c r="II117" s="2931"/>
      <c r="IJ117" s="2931"/>
      <c r="IK117" s="2931"/>
      <c r="IL117" s="2931"/>
      <c r="IM117" s="2931"/>
      <c r="IN117" s="2931"/>
      <c r="IO117" s="2931" cm="1">
        <f t="array" ref="IO117">IF(LEN($G117)=0,"Rent Roll is incomplete",_xlfn.XLOOKUP(TRUE,EXACT(RentRoll_InputArea_DesignatedUnitType,$G117),RentRoll_InputArea_Beds,"Not Found"))</f>
        <v>0</v>
      </c>
      <c r="IP117" s="2934"/>
      <c r="IQ117" s="2935" t="str">
        <f t="shared" si="20"/>
        <v>0 Bedroom Unit (Efficiency/Studio)</v>
      </c>
      <c r="IR117" s="2926">
        <f t="shared" si="21"/>
        <v>1218</v>
      </c>
      <c r="IS117" s="2935"/>
      <c r="IT117" s="2931"/>
      <c r="IU117" s="2931"/>
      <c r="IV117" s="2931"/>
      <c r="IW117" s="2936" t="str">
        <f t="shared" si="22"/>
        <v>8-805</v>
      </c>
      <c r="IX117" s="2936"/>
      <c r="IY117" s="2936"/>
      <c r="IZ117" s="2936">
        <f t="shared" si="23"/>
        <v>0</v>
      </c>
      <c r="JA117" s="2936">
        <f t="shared" si="24"/>
        <v>1218</v>
      </c>
      <c r="JB117" s="2936"/>
      <c r="JC117" s="2936"/>
      <c r="JD117" s="2936"/>
      <c r="JE117" s="2936"/>
      <c r="JF117" s="2936"/>
      <c r="JG117" s="2936"/>
      <c r="JH117" s="2936">
        <f t="shared" si="25"/>
        <v>1217</v>
      </c>
      <c r="JI117" s="2936"/>
      <c r="JJ117" s="2936">
        <f t="shared" si="26"/>
      </c>
      <c r="JK117" s="2936"/>
      <c r="JL117" s="2936"/>
      <c r="JM117" s="2936"/>
      <c r="JN117" s="2936"/>
      <c r="JO117" s="2936"/>
      <c r="JP117" s="2936"/>
      <c r="JQ117" s="2936" t="str">
        <f t="shared" si="27"/>
        <v>Occupied</v>
      </c>
      <c r="JR117" s="2936" cm="1">
        <f t="array" ref="JR117">_xlfn.XLOOKUP(TRUE,EXACT(RentRoll_InputArea_DesignatedUnitType,$G117),RentRoll_InputArea_SquareFootage,"Not Found")</f>
        <v>800</v>
      </c>
      <c r="JS117" s="2936" t="str">
        <f t="shared" si="28"/>
        <v>Apartment</v>
      </c>
      <c r="JT117" s="2936">
        <f t="shared" si="29"/>
      </c>
      <c r="JU117" s="2936"/>
      <c r="JV117" s="2936"/>
      <c r="JW117" s="2936"/>
      <c r="JX117" s="2936"/>
      <c r="JY117" s="2936">
        <f t="shared" si="9"/>
        <v>43281</v>
      </c>
      <c r="JZ117" s="2936">
        <f t="shared" si="9"/>
        <v>43555</v>
      </c>
      <c r="KA117" s="2936"/>
      <c r="KB117" s="2936"/>
      <c r="KC117" s="2936"/>
      <c r="KD117" s="2936"/>
      <c r="KE117" s="2936"/>
      <c r="KF117" s="2936"/>
      <c r="KG117" s="2936"/>
      <c r="KH117" s="2936"/>
      <c r="KI117" s="2937"/>
      <c r="KJ117" s="2936"/>
      <c r="KK117" s="1353"/>
    </row>
    <row r="118" ht="15" customHeight="1">
      <c r="A118" s="2922">
        <f t="shared" si="10"/>
        <v>95</v>
      </c>
      <c r="B118" s="2865"/>
      <c r="C118" s="2873"/>
      <c r="D118" s="2873" t="s">
        <v>2931</v>
      </c>
      <c r="E118" s="2923">
        <v>1490</v>
      </c>
      <c r="F118" s="2924" t="s">
        <v>2932</v>
      </c>
      <c r="G118" s="2873" t="s">
        <v>2532</v>
      </c>
      <c r="H118" s="2923">
        <v>1605</v>
      </c>
      <c r="I118" s="2925" cm="1">
        <f t="array" ref="I118">_xlfn.LET(_xlpm.has_subsidy,$N118&gt;0,_xlpm.is_chap9_sbl,$FF$20,_xlpm.contract_rent,$H118,_xlpm.unit_type_mkt_rent,_xlfn.XLOOKUP(TRUE,EXACT($G118,RentRoll_InputArea_DesignatedUnitType),RentRoll_InputArea_MarketRent,"Not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8" s="2926">
        <f t="shared" si="11"/>
        <v>1605</v>
      </c>
      <c r="K118" s="2923"/>
      <c r="L118" s="2923"/>
      <c r="M118" s="2923"/>
      <c r="N118" s="2923"/>
      <c r="O118" s="2927">
        <v>43505</v>
      </c>
      <c r="P118" s="2927">
        <v>43708</v>
      </c>
      <c r="Q118" s="2928">
        <f t="shared" si="8"/>
      </c>
      <c r="R118" s="2928">
        <f t="shared" si="8"/>
      </c>
      <c r="S118" s="2928">
        <f t="shared" si="8"/>
      </c>
      <c r="T118" s="2928">
        <f t="shared" si="8"/>
        <v>1605</v>
      </c>
      <c r="U118" s="2928">
        <f t="shared" si="8"/>
      </c>
      <c r="V118" s="2928">
        <f t="shared" si="8"/>
      </c>
      <c r="W118" s="2928">
        <f t="shared" si="8"/>
      </c>
      <c r="X118" s="2928">
        <f t="shared" si="8"/>
      </c>
      <c r="Y118" s="2928">
        <f t="shared" si="8"/>
      </c>
      <c r="Z118" s="2928">
        <f t="shared" si="8"/>
      </c>
      <c r="AA118" s="2928">
        <f t="shared" si="8"/>
      </c>
      <c r="AB118" s="2928">
        <f t="shared" si="8"/>
      </c>
      <c r="AC118" s="2928">
        <f t="shared" si="8"/>
      </c>
      <c r="AD118" s="2928">
        <f t="shared" si="8"/>
      </c>
      <c r="AE118" s="2928">
        <f t="shared" si="8"/>
      </c>
      <c r="AF118" s="2928">
        <f t="shared" si="8"/>
      </c>
      <c r="AG118" s="2928">
        <f t="shared" si="8"/>
      </c>
      <c r="AH118" s="2928">
        <f t="shared" si="8"/>
      </c>
      <c r="AI118" s="2928">
        <f t="shared" si="8"/>
      </c>
      <c r="AJ118" s="2928">
        <f t="shared" si="8"/>
      </c>
      <c r="AK118" s="2928">
        <f t="shared" si="8"/>
      </c>
      <c r="AL118" s="2928">
        <f t="shared" si="8"/>
      </c>
      <c r="AM118" s="2928">
        <f t="shared" si="8"/>
      </c>
      <c r="AN118" s="2928">
        <f t="shared" si="8"/>
      </c>
      <c r="AO118" s="2928">
        <f t="shared" si="8"/>
      </c>
      <c r="AP118" s="2928">
        <f t="shared" si="8"/>
      </c>
      <c r="AQ118" s="2928">
        <f t="shared" si="8"/>
      </c>
      <c r="AR118" s="2928">
        <f t="shared" si="8"/>
      </c>
      <c r="AS118" s="2928">
        <f t="shared" si="8"/>
      </c>
      <c r="AT118" s="2928">
        <f t="shared" si="8"/>
      </c>
      <c r="AU118" s="2928">
        <f t="shared" si="8"/>
      </c>
      <c r="AV118" s="2928">
        <f t="shared" si="8"/>
      </c>
      <c r="AW118" s="2928">
        <f t="shared" si="8"/>
      </c>
      <c r="AX118" s="2928">
        <f t="shared" si="8"/>
      </c>
      <c r="AY118" s="2928">
        <f t="shared" si="8"/>
      </c>
      <c r="AZ118" s="2928">
        <f t="shared" si="8"/>
      </c>
      <c r="BA118" s="2928">
        <f t="shared" si="8"/>
      </c>
      <c r="BB118" s="2928">
        <f t="shared" si="8"/>
      </c>
      <c r="BC118" s="2928">
        <f t="shared" si="8"/>
      </c>
      <c r="BD118" s="2928">
        <f t="shared" si="8"/>
      </c>
      <c r="BE118" s="2928">
        <f t="shared" si="8"/>
      </c>
      <c r="BF118" s="2928">
        <f t="shared" si="8"/>
      </c>
      <c r="BG118" s="2928">
        <f t="shared" si="8"/>
      </c>
      <c r="BH118" s="2928">
        <f t="shared" si="8"/>
      </c>
      <c r="BI118" s="2928">
        <f t="shared" si="8"/>
      </c>
      <c r="BJ118" s="2928">
        <f t="shared" si="8"/>
      </c>
      <c r="BK118" s="2928">
        <f t="shared" si="8"/>
      </c>
      <c r="BL118" s="2928">
        <f t="shared" si="8"/>
      </c>
      <c r="BM118" s="2928">
        <f t="shared" si="8"/>
      </c>
      <c r="BN118" s="2928">
        <f t="shared" si="8"/>
      </c>
      <c r="BO118" s="2928">
        <f t="shared" si="8"/>
      </c>
      <c r="BP118" s="2928">
        <f t="shared" si="8"/>
      </c>
      <c r="BQ118" s="2928">
        <f t="shared" si="8"/>
      </c>
      <c r="BR118" s="2928">
        <f t="shared" si="8"/>
      </c>
      <c r="BS118" s="2928">
        <f t="shared" si="8"/>
      </c>
      <c r="BT118" s="2928">
        <f t="shared" si="8"/>
      </c>
      <c r="BU118" s="2928">
        <f t="shared" si="8"/>
      </c>
      <c r="BV118" s="2928">
        <f t="shared" si="8"/>
      </c>
      <c r="BW118" s="2928">
        <f t="shared" si="8"/>
      </c>
      <c r="BX118" s="2928">
        <f t="shared" si="8"/>
      </c>
      <c r="BY118" s="2928">
        <f t="shared" si="8"/>
      </c>
      <c r="BZ118" s="2928">
        <f t="shared" si="8"/>
      </c>
      <c r="CA118" s="2928">
        <f t="shared" si="8"/>
      </c>
      <c r="CB118" s="2928">
        <f t="shared" si="8"/>
      </c>
      <c r="CC118" s="2928">
        <f t="shared" si="8"/>
      </c>
      <c r="CD118" s="2928">
        <f t="shared" si="8"/>
      </c>
      <c r="CE118" s="2928">
        <f t="shared" si="8"/>
      </c>
      <c r="CF118" s="2928">
        <f t="shared" si="8"/>
      </c>
      <c r="CG118" s="2928">
        <f t="shared" si="8"/>
      </c>
      <c r="CH118" s="2928">
        <f t="shared" si="8"/>
      </c>
      <c r="CI118" s="2928">
        <f t="shared" si="8"/>
      </c>
      <c r="CJ118" s="2928">
        <f t="shared" si="8"/>
      </c>
      <c r="CK118" s="2928">
        <f t="shared" si="8"/>
      </c>
      <c r="CL118" s="2928">
        <f t="shared" si="8"/>
      </c>
      <c r="CM118" s="2928">
        <f t="shared" si="8"/>
      </c>
      <c r="CN118" s="2928">
        <f t="shared" si="8"/>
      </c>
      <c r="CO118" s="2928">
        <f t="shared" si="8"/>
      </c>
      <c r="CP118" s="2928">
        <f t="shared" si="8"/>
      </c>
      <c r="CQ118" s="2928">
        <f t="shared" si="8"/>
      </c>
      <c r="CR118" s="2928">
        <f t="shared" si="8"/>
      </c>
      <c r="CS118" s="2928">
        <f t="shared" si="8"/>
      </c>
      <c r="CT118" s="2928">
        <f t="shared" si="8"/>
      </c>
      <c r="CU118" s="2928">
        <f t="shared" si="8"/>
      </c>
      <c r="CV118" s="2928">
        <f t="shared" si="8"/>
      </c>
      <c r="CW118" s="2928">
        <f t="shared" si="8"/>
      </c>
      <c r="CX118" s="2928">
        <f t="shared" si="8"/>
      </c>
      <c r="CY118" s="2928">
        <f t="shared" si="8"/>
      </c>
      <c r="CZ118" s="2928">
        <f t="shared" si="8"/>
      </c>
      <c r="DA118" s="2928">
        <f t="shared" si="8"/>
      </c>
      <c r="DB118" s="2928">
        <f t="shared" si="8"/>
      </c>
      <c r="DC118" s="2928">
        <f t="shared" si="8"/>
      </c>
      <c r="DD118" s="2928">
        <f t="shared" si="8"/>
      </c>
      <c r="DE118" s="2928">
        <f t="shared" si="8"/>
      </c>
      <c r="DF118" s="2928">
        <f t="shared" si="8"/>
      </c>
      <c r="DG118" s="2928">
        <f t="shared" si="8"/>
      </c>
      <c r="DH118" s="2928">
        <f t="shared" si="8"/>
      </c>
      <c r="DI118" s="2928">
        <f t="shared" si="8"/>
      </c>
      <c r="DJ118" s="2928">
        <f t="shared" si="8"/>
      </c>
      <c r="DK118" s="2928">
        <f t="shared" si="8"/>
      </c>
      <c r="DL118" s="2928">
        <f t="shared" si="8"/>
      </c>
      <c r="DM118" s="2928">
        <f t="shared" si="8"/>
      </c>
      <c r="DN118" s="2928">
        <f t="shared" si="8"/>
      </c>
      <c r="DO118" s="2928">
        <f t="shared" si="8"/>
      </c>
      <c r="DP118" s="2928">
        <f t="shared" si="8"/>
      </c>
      <c r="DQ118" s="2928">
        <f t="shared" si="8"/>
      </c>
      <c r="DR118" s="2928">
        <f t="shared" si="8"/>
      </c>
      <c r="DS118" s="2928">
        <f t="shared" si="8"/>
      </c>
      <c r="DT118" s="2928">
        <f t="shared" si="8"/>
      </c>
      <c r="DU118" s="2928">
        <f t="shared" si="8"/>
      </c>
      <c r="DV118" s="2928">
        <f t="shared" si="8"/>
      </c>
      <c r="DW118" s="2928">
        <f t="shared" si="8"/>
      </c>
      <c r="DX118" s="2928">
        <f t="shared" si="8"/>
      </c>
      <c r="DY118" s="2928">
        <f t="shared" si="8"/>
      </c>
      <c r="DZ118" s="2928">
        <f t="shared" si="8"/>
      </c>
      <c r="EA118" s="2928">
        <f t="shared" si="8"/>
      </c>
      <c r="EB118" s="2928">
        <f t="shared" si="8"/>
      </c>
      <c r="EC118" s="2928">
        <f t="shared" si="8"/>
      </c>
      <c r="ED118" s="2928">
        <f t="shared" si="8"/>
      </c>
      <c r="EE118" s="2928">
        <f t="shared" si="8"/>
      </c>
      <c r="EF118" s="2928">
        <f t="shared" si="8"/>
      </c>
      <c r="EG118" s="2928">
        <f t="shared" si="8"/>
      </c>
      <c r="EH118" s="2928">
        <f t="shared" si="8"/>
      </c>
      <c r="EI118" s="2928">
        <f t="shared" si="8"/>
      </c>
      <c r="EJ118" s="2928">
        <f t="shared" si="8"/>
      </c>
      <c r="EK118" s="2928">
        <f t="shared" si="8"/>
      </c>
      <c r="EL118" s="2928">
        <f t="shared" si="8"/>
      </c>
      <c r="EM118" s="2928">
        <f t="shared" si="8"/>
      </c>
      <c r="EN118" s="2928">
        <f t="shared" si="8"/>
      </c>
      <c r="EO118" s="2928">
        <f t="shared" si="8"/>
      </c>
      <c r="EP118" s="2928">
        <f t="shared" si="8"/>
      </c>
      <c r="EQ118" s="2928">
        <f t="shared" si="8"/>
      </c>
      <c r="ER118" s="2928">
        <f t="shared" si="8"/>
      </c>
      <c r="ES118" s="2928">
        <f t="shared" si="8"/>
      </c>
      <c r="ET118" s="2928">
        <f t="shared" si="8"/>
      </c>
      <c r="EU118" s="2928">
        <f t="shared" si="8"/>
      </c>
      <c r="EV118" s="2928">
        <f t="shared" si="8"/>
      </c>
      <c r="EW118" s="2928">
        <f t="shared" si="8"/>
      </c>
      <c r="EX118" s="2928">
        <f t="shared" si="8"/>
      </c>
      <c r="EY118" s="2928">
        <f t="shared" si="8"/>
      </c>
      <c r="EZ118" s="2928">
        <f t="shared" si="8"/>
      </c>
      <c r="FA118" s="2929" t="str">
        <f t="shared" si="12"/>
        <v>-</v>
      </c>
      <c r="FB118" s="2825">
        <f t="shared" si="13"/>
      </c>
      <c r="FC118" s="2930" cm="1">
        <f t="array" ref="FC118">_xlfn.LET(_xlpm.unit_type,$G118,_xlpm.market_rent_from_rent_roll,$E118,_xlpm.unit_type_list,RentRoll_InputArea_DesignatedUnitType,_xlpm.rent_by_unit_type,RentRoll_InputArea_MarketRent,_xlpm.use_rent_roll_market_rent,LEFT(RR_VacantUnitMktRentSource,9)="Rent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8" s="2930">
        <f t="shared" si="14"/>
        <v>1605</v>
      </c>
      <c r="FE118" s="2930">
        <f t="shared" si="15"/>
        <v>1605</v>
      </c>
      <c r="FF118" s="2930">
        <f t="shared" si="16"/>
        <v>1605</v>
      </c>
      <c r="FG118" s="2931"/>
      <c r="FH118" s="2932">
        <f t="shared" si="17"/>
      </c>
      <c r="FI118" s="2932">
        <f t="shared" si="18"/>
      </c>
      <c r="FJ118" s="2931"/>
      <c r="FK118" s="2933" cm="1">
        <f t="array" ref="FK118">IF(AND(LEN($D118)&gt;0,ISNA(MATCH(TRUE,EXACT($G118,RentRoll_InputArea_DesignatedUnitType),0))),1,0)</f>
        <v>0</v>
      </c>
      <c r="FL118" s="2931">
        <f t="shared" si="19"/>
        <v>95</v>
      </c>
      <c r="FM118" s="2931"/>
      <c r="FN118" s="2931"/>
      <c r="FO118" s="2931"/>
      <c r="FP118" s="2931"/>
      <c r="FQ118" s="2931"/>
      <c r="FR118" s="2931"/>
      <c r="FS118" s="2931"/>
      <c r="FT118" s="2931"/>
      <c r="FU118" s="2931"/>
      <c r="FV118" s="2931"/>
      <c r="FW118" s="2931"/>
      <c r="FX118" s="2931"/>
      <c r="FY118" s="2931"/>
      <c r="FZ118" s="2931"/>
      <c r="GA118" s="2931"/>
      <c r="GB118" s="2931"/>
      <c r="GC118" s="2931"/>
      <c r="GD118" s="2931"/>
      <c r="GE118" s="2931"/>
      <c r="GF118" s="2931"/>
      <c r="GG118" s="2931"/>
      <c r="GH118" s="2931"/>
      <c r="GI118" s="2931"/>
      <c r="GJ118" s="2931"/>
      <c r="GK118" s="2931"/>
      <c r="GL118" s="2931"/>
      <c r="GM118" s="2931"/>
      <c r="GN118" s="2931"/>
      <c r="GO118" s="2931"/>
      <c r="GP118" s="2931"/>
      <c r="GQ118" s="2931"/>
      <c r="GR118" s="2931"/>
      <c r="GS118" s="2931"/>
      <c r="GT118" s="2931"/>
      <c r="GU118" s="2931"/>
      <c r="GV118" s="2931"/>
      <c r="GW118" s="2931"/>
      <c r="GX118" s="2931"/>
      <c r="GY118" s="2931"/>
      <c r="GZ118" s="2931"/>
      <c r="HA118" s="2931"/>
      <c r="HB118" s="2931"/>
      <c r="HC118" s="2931"/>
      <c r="HD118" s="2931"/>
      <c r="HE118" s="2931"/>
      <c r="HF118" s="2931"/>
      <c r="HG118" s="2931"/>
      <c r="HH118" s="2931"/>
      <c r="HI118" s="2931"/>
      <c r="HJ118" s="2931"/>
      <c r="HK118" s="2931"/>
      <c r="HL118" s="2931"/>
      <c r="HM118" s="2931"/>
      <c r="HN118" s="2931"/>
      <c r="HO118" s="2931"/>
      <c r="HP118" s="2931"/>
      <c r="HQ118" s="2931"/>
      <c r="HR118" s="2931"/>
      <c r="HS118" s="2931"/>
      <c r="HT118" s="2931"/>
      <c r="HU118" s="2931"/>
      <c r="HV118" s="2931"/>
      <c r="HW118" s="2931"/>
      <c r="HX118" s="2931"/>
      <c r="HY118" s="2931"/>
      <c r="HZ118" s="2931"/>
      <c r="IA118" s="2931"/>
      <c r="IB118" s="2931"/>
      <c r="IC118" s="2931"/>
      <c r="ID118" s="2931"/>
      <c r="IE118" s="2931"/>
      <c r="IF118" s="2931"/>
      <c r="IG118" s="2931"/>
      <c r="IH118" s="2931"/>
      <c r="II118" s="2931"/>
      <c r="IJ118" s="2931"/>
      <c r="IK118" s="2931"/>
      <c r="IL118" s="2931"/>
      <c r="IM118" s="2931"/>
      <c r="IN118" s="2931"/>
      <c r="IO118" s="2931" cm="1">
        <f t="array" ref="IO118">IF(LEN($G118)=0,"Rent Roll is incomplete",_xlfn.XLOOKUP(TRUE,EXACT(RentRoll_InputArea_DesignatedUnitType,$G118),RentRoll_InputArea_Beds,"Not Found"))</f>
        <v>0</v>
      </c>
      <c r="IP118" s="2934"/>
      <c r="IQ118" s="2935" t="str">
        <f t="shared" si="20"/>
        <v>0 Bedroom Unit (Efficiency/Studio)</v>
      </c>
      <c r="IR118" s="2926">
        <f t="shared" si="21"/>
        <v>1605</v>
      </c>
      <c r="IS118" s="2935"/>
      <c r="IT118" s="2931"/>
      <c r="IU118" s="2931"/>
      <c r="IV118" s="2931"/>
      <c r="IW118" s="2936" t="str">
        <f t="shared" si="22"/>
        <v>8-806</v>
      </c>
      <c r="IX118" s="2936"/>
      <c r="IY118" s="2936"/>
      <c r="IZ118" s="2936">
        <f t="shared" si="23"/>
        <v>0</v>
      </c>
      <c r="JA118" s="2936">
        <f t="shared" si="24"/>
        <v>1605</v>
      </c>
      <c r="JB118" s="2936"/>
      <c r="JC118" s="2936"/>
      <c r="JD118" s="2936"/>
      <c r="JE118" s="2936"/>
      <c r="JF118" s="2936"/>
      <c r="JG118" s="2936"/>
      <c r="JH118" s="2936">
        <f t="shared" si="25"/>
        <v>1533</v>
      </c>
      <c r="JI118" s="2936"/>
      <c r="JJ118" s="2936">
        <f t="shared" si="26"/>
      </c>
      <c r="JK118" s="2936"/>
      <c r="JL118" s="2936"/>
      <c r="JM118" s="2936"/>
      <c r="JN118" s="2936"/>
      <c r="JO118" s="2936"/>
      <c r="JP118" s="2936"/>
      <c r="JQ118" s="2936" t="str">
        <f t="shared" si="27"/>
        <v>Occupied</v>
      </c>
      <c r="JR118" s="2936" cm="1">
        <f t="array" ref="JR118">_xlfn.XLOOKUP(TRUE,EXACT(RentRoll_InputArea_DesignatedUnitType,$G118),RentRoll_InputArea_SquareFootage,"Not Found")</f>
        <v>1050</v>
      </c>
      <c r="JS118" s="2936" t="str">
        <f t="shared" si="28"/>
        <v>Apartment</v>
      </c>
      <c r="JT118" s="2936">
        <f t="shared" si="29"/>
      </c>
      <c r="JU118" s="2936"/>
      <c r="JV118" s="2936"/>
      <c r="JW118" s="2936"/>
      <c r="JX118" s="2936"/>
      <c r="JY118" s="2936">
        <f t="shared" si="9"/>
        <v>43505</v>
      </c>
      <c r="JZ118" s="2936">
        <f t="shared" si="9"/>
        <v>43708</v>
      </c>
      <c r="KA118" s="2936"/>
      <c r="KB118" s="2936"/>
      <c r="KC118" s="2936"/>
      <c r="KD118" s="2936"/>
      <c r="KE118" s="2936"/>
      <c r="KF118" s="2936"/>
      <c r="KG118" s="2936"/>
      <c r="KH118" s="2936"/>
      <c r="KI118" s="2937"/>
      <c r="KJ118" s="2936"/>
      <c r="KK118" s="1353"/>
    </row>
    <row r="119" ht="15" customHeight="1">
      <c r="A119" s="2922">
        <f t="shared" si="10"/>
        <v>96</v>
      </c>
      <c r="B119" s="2865" t="s">
        <v>2802</v>
      </c>
      <c r="C119" s="2873"/>
      <c r="D119" s="2873" t="s">
        <v>2933</v>
      </c>
      <c r="E119" s="2923">
        <v>1502</v>
      </c>
      <c r="F119" s="2924" t="s">
        <v>2804</v>
      </c>
      <c r="G119" s="2873" t="s">
        <v>2532</v>
      </c>
      <c r="H119" s="2923"/>
      <c r="I119" s="2925" cm="1">
        <f t="array" ref="I119">_xlfn.LET(_xlpm.has_subsidy,$N119&gt;0,_xlpm.is_chap9_sbl,$FF$20,_xlpm.contract_rent,$H119,_xlpm.unit_type_mkt_rent,_xlfn.XLOOKUP(TRUE,EXACT($G119,RentRoll_InputArea_DesignatedUnitType),RentRoll_InputArea_MarketRent,"Not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19" s="2926">
        <f t="shared" si="11"/>
      </c>
      <c r="K119" s="2923"/>
      <c r="L119" s="2923"/>
      <c r="M119" s="2923"/>
      <c r="N119" s="2923"/>
      <c r="O119" s="2927"/>
      <c r="P119" s="2927"/>
      <c r="Q119" s="2928">
        <f t="shared" si="8"/>
      </c>
      <c r="R119" s="2928">
        <f t="shared" si="8"/>
      </c>
      <c r="S119" s="2928">
        <f t="shared" si="8"/>
      </c>
      <c r="T119" s="2928">
        <f t="shared" si="8"/>
      </c>
      <c r="U119" s="2928">
        <f t="shared" si="8"/>
      </c>
      <c r="V119" s="2928">
        <f t="shared" si="8"/>
      </c>
      <c r="W119" s="2928">
        <f t="shared" si="8"/>
      </c>
      <c r="X119" s="2928">
        <f t="shared" si="8"/>
      </c>
      <c r="Y119" s="2928">
        <f t="shared" si="8"/>
      </c>
      <c r="Z119" s="2928">
        <f t="shared" si="8"/>
      </c>
      <c r="AA119" s="2928">
        <f t="shared" si="8"/>
      </c>
      <c r="AB119" s="2928">
        <f t="shared" si="8"/>
      </c>
      <c r="AC119" s="2928">
        <f t="shared" si="8"/>
      </c>
      <c r="AD119" s="2928">
        <f t="shared" si="8"/>
      </c>
      <c r="AE119" s="2928">
        <f t="shared" si="8"/>
      </c>
      <c r="AF119" s="2928">
        <f t="shared" si="8"/>
      </c>
      <c r="AG119" s="2928">
        <f t="shared" si="8"/>
      </c>
      <c r="AH119" s="2928">
        <f t="shared" si="8"/>
      </c>
      <c r="AI119" s="2928">
        <f t="shared" si="8"/>
      </c>
      <c r="AJ119" s="2928">
        <f t="shared" si="8"/>
      </c>
      <c r="AK119" s="2928">
        <f t="shared" si="8"/>
      </c>
      <c r="AL119" s="2928">
        <f t="shared" si="8"/>
      </c>
      <c r="AM119" s="2928">
        <f t="shared" si="8"/>
      </c>
      <c r="AN119" s="2928">
        <f t="shared" si="8"/>
      </c>
      <c r="AO119" s="2928">
        <f t="shared" si="8"/>
      </c>
      <c r="AP119" s="2928">
        <f t="shared" si="8"/>
      </c>
      <c r="AQ119" s="2928">
        <f t="shared" si="8"/>
      </c>
      <c r="AR119" s="2928">
        <f t="shared" si="8"/>
      </c>
      <c r="AS119" s="2928">
        <f t="shared" si="8"/>
      </c>
      <c r="AT119" s="2928">
        <f t="shared" si="8"/>
      </c>
      <c r="AU119" s="2928">
        <f t="shared" si="8"/>
      </c>
      <c r="AV119" s="2928">
        <f t="shared" si="8"/>
      </c>
      <c r="AW119" s="2928">
        <f t="shared" si="8"/>
      </c>
      <c r="AX119" s="2928">
        <f t="shared" si="8"/>
      </c>
      <c r="AY119" s="2928">
        <f t="shared" si="8"/>
      </c>
      <c r="AZ119" s="2928">
        <f t="shared" si="8"/>
      </c>
      <c r="BA119" s="2928">
        <f t="shared" si="8"/>
      </c>
      <c r="BB119" s="2928">
        <f t="shared" si="8"/>
      </c>
      <c r="BC119" s="2928">
        <f t="shared" si="8"/>
      </c>
      <c r="BD119" s="2928">
        <f t="shared" si="8"/>
      </c>
      <c r="BE119" s="2928">
        <f t="shared" si="8"/>
      </c>
      <c r="BF119" s="2928">
        <f t="shared" si="8"/>
      </c>
      <c r="BG119" s="2928">
        <f t="shared" si="8"/>
      </c>
      <c r="BH119" s="2928">
        <f t="shared" si="8"/>
      </c>
      <c r="BI119" s="2928">
        <f t="shared" si="8"/>
      </c>
      <c r="BJ119" s="2928">
        <f t="shared" si="8"/>
      </c>
      <c r="BK119" s="2928">
        <f t="shared" si="8"/>
      </c>
      <c r="BL119" s="2928">
        <f t="shared" si="8"/>
      </c>
      <c r="BM119" s="2928">
        <f t="shared" si="8"/>
      </c>
      <c r="BN119" s="2928">
        <f t="shared" si="8"/>
      </c>
      <c r="BO119" s="2928">
        <f t="shared" si="8"/>
      </c>
      <c r="BP119" s="2928">
        <f t="shared" si="8"/>
      </c>
      <c r="BQ119" s="2928">
        <f t="shared" si="8"/>
      </c>
      <c r="BR119" s="2928">
        <f t="shared" si="8"/>
      </c>
      <c r="BS119" s="2928">
        <f t="shared" si="8"/>
      </c>
      <c r="BT119" s="2928">
        <f t="shared" si="8"/>
      </c>
      <c r="BU119" s="2928">
        <f t="shared" si="8"/>
      </c>
      <c r="BV119" s="2928">
        <f t="shared" si="8"/>
      </c>
      <c r="BW119" s="2928">
        <f t="shared" si="8"/>
      </c>
      <c r="BX119" s="2928">
        <f t="shared" si="8"/>
      </c>
      <c r="BY119" s="2928">
        <f t="shared" si="8"/>
      </c>
      <c r="BZ119" s="2928">
        <f t="shared" si="8"/>
      </c>
      <c r="CA119" s="2928">
        <f t="shared" si="8"/>
      </c>
      <c r="CB119" s="2928">
        <f t="shared" si="8"/>
      </c>
      <c r="CC119" s="2928">
        <f t="shared" si="8"/>
      </c>
      <c r="CD119" s="2928">
        <f t="shared" si="8"/>
      </c>
      <c r="CE119" s="2928">
        <f t="shared" si="8"/>
      </c>
      <c r="CF119" s="2928">
        <f t="shared" si="8"/>
      </c>
      <c r="CG119" s="2928">
        <f t="shared" si="8"/>
      </c>
      <c r="CH119" s="2928">
        <f t="shared" si="8"/>
      </c>
      <c r="CI119" s="2928">
        <f t="shared" si="8"/>
      </c>
      <c r="CJ119" s="2928">
        <f t="shared" si="8"/>
      </c>
      <c r="CK119" s="2928">
        <f t="shared" si="8"/>
      </c>
      <c r="CL119" s="2928">
        <f t="shared" si="8"/>
      </c>
      <c r="CM119" s="2928">
        <f t="shared" si="8"/>
      </c>
      <c r="CN119" s="2928">
        <f t="shared" si="8"/>
      </c>
      <c r="CO119" s="2928">
        <f t="shared" si="8"/>
      </c>
      <c r="CP119" s="2928">
        <f t="shared" si="8"/>
      </c>
      <c r="CQ119" s="2928">
        <f t="shared" si="8"/>
      </c>
      <c r="CR119" s="2928">
        <f t="shared" si="8"/>
      </c>
      <c r="CS119" s="2928">
        <f t="shared" si="8"/>
      </c>
      <c r="CT119" s="2928">
        <f t="shared" si="8"/>
      </c>
      <c r="CU119" s="2928">
        <f t="shared" si="8"/>
      </c>
      <c r="CV119" s="2928">
        <f t="shared" si="8"/>
      </c>
      <c r="CW119" s="2928">
        <f t="shared" si="8"/>
      </c>
      <c r="CX119" s="2928">
        <f t="shared" si="8"/>
      </c>
      <c r="CY119" s="2928">
        <f t="shared" si="8"/>
      </c>
      <c r="CZ119" s="2928">
        <f t="shared" si="8"/>
      </c>
      <c r="DA119" s="2928">
        <f t="shared" si="8"/>
      </c>
      <c r="DB119" s="2928">
        <f t="shared" si="8"/>
      </c>
      <c r="DC119" s="2928">
        <f t="shared" si="8"/>
      </c>
      <c r="DD119" s="2928">
        <f t="shared" si="8"/>
      </c>
      <c r="DE119" s="2928">
        <f t="shared" si="8"/>
      </c>
      <c r="DF119" s="2928">
        <f t="shared" si="8"/>
      </c>
      <c r="DG119" s="2928">
        <f t="shared" si="8"/>
      </c>
      <c r="DH119" s="2928">
        <f t="shared" si="8"/>
      </c>
      <c r="DI119" s="2928">
        <f t="shared" si="8"/>
      </c>
      <c r="DJ119" s="2928">
        <f t="shared" si="8"/>
      </c>
      <c r="DK119" s="2928">
        <f t="shared" si="8"/>
      </c>
      <c r="DL119" s="2928">
        <f t="shared" si="8"/>
      </c>
      <c r="DM119" s="2928">
        <f t="shared" si="8"/>
      </c>
      <c r="DN119" s="2928">
        <f t="shared" si="8"/>
      </c>
      <c r="DO119" s="2928">
        <f t="shared" si="8"/>
      </c>
      <c r="DP119" s="2928">
        <f t="shared" si="8"/>
      </c>
      <c r="DQ119" s="2928">
        <f t="shared" si="8"/>
      </c>
      <c r="DR119" s="2928">
        <f t="shared" si="8"/>
      </c>
      <c r="DS119" s="2928">
        <f t="shared" si="8"/>
      </c>
      <c r="DT119" s="2928">
        <f t="shared" si="8"/>
      </c>
      <c r="DU119" s="2928">
        <f t="shared" si="8"/>
      </c>
      <c r="DV119" s="2928">
        <f t="shared" si="8"/>
      </c>
      <c r="DW119" s="2928">
        <f t="shared" si="8"/>
      </c>
      <c r="DX119" s="2928">
        <f t="shared" si="8"/>
      </c>
      <c r="DY119" s="2928">
        <f t="shared" si="8"/>
      </c>
      <c r="DZ119" s="2928">
        <f t="shared" si="8"/>
      </c>
      <c r="EA119" s="2928">
        <f t="shared" si="8"/>
      </c>
      <c r="EB119" s="2928">
        <f t="shared" si="8"/>
      </c>
      <c r="EC119" s="2928">
        <f t="shared" si="8"/>
      </c>
      <c r="ED119" s="2928">
        <f t="shared" si="8"/>
      </c>
      <c r="EE119" s="2928">
        <f t="shared" si="8"/>
      </c>
      <c r="EF119" s="2928">
        <f t="shared" si="8"/>
      </c>
      <c r="EG119" s="2928">
        <f t="shared" si="8"/>
      </c>
      <c r="EH119" s="2928">
        <f t="shared" si="8"/>
      </c>
      <c r="EI119" s="2928">
        <f t="shared" si="8"/>
      </c>
      <c r="EJ119" s="2928">
        <f t="shared" si="8"/>
      </c>
      <c r="EK119" s="2928">
        <f t="shared" si="8"/>
      </c>
      <c r="EL119" s="2928">
        <f t="shared" si="8"/>
      </c>
      <c r="EM119" s="2928">
        <f t="shared" si="8"/>
      </c>
      <c r="EN119" s="2928">
        <f t="shared" si="8"/>
      </c>
      <c r="EO119" s="2928">
        <f t="shared" si="8"/>
      </c>
      <c r="EP119" s="2928">
        <f t="shared" si="8"/>
      </c>
      <c r="EQ119" s="2928">
        <f t="shared" si="8"/>
      </c>
      <c r="ER119" s="2928">
        <f t="shared" si="8"/>
      </c>
      <c r="ES119" s="2928">
        <f t="shared" si="8"/>
      </c>
      <c r="ET119" s="2928">
        <f t="shared" si="8"/>
      </c>
      <c r="EU119" s="2928">
        <f t="shared" si="8"/>
      </c>
      <c r="EV119" s="2928">
        <f t="shared" si="8"/>
      </c>
      <c r="EW119" s="2928">
        <f t="shared" si="8"/>
      </c>
      <c r="EX119" s="2928">
        <f t="shared" si="8"/>
      </c>
      <c r="EY119" s="2928">
        <f t="shared" si="8"/>
      </c>
      <c r="EZ119" s="2928">
        <f t="shared" si="8"/>
      </c>
      <c r="FA119" s="2929">
        <f t="shared" si="12"/>
        <v>1533</v>
      </c>
      <c r="FB119" s="2825">
        <f t="shared" si="13"/>
      </c>
      <c r="FC119" s="2930" cm="1">
        <f t="array" ref="FC119">_xlfn.LET(_xlpm.unit_type,$G119,_xlpm.market_rent_from_rent_roll,$E119,_xlpm.unit_type_list,RentRoll_InputArea_DesignatedUnitType,_xlpm.rent_by_unit_type,RentRoll_InputArea_MarketRent,_xlpm.use_rent_roll_market_rent,LEFT(RR_VacantUnitMktRentSource,9)="Rent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19" s="2930">
        <f t="shared" si="14"/>
      </c>
      <c r="FE119" s="2930">
        <f t="shared" si="15"/>
        <v>1533</v>
      </c>
      <c r="FF119" s="2930">
        <f t="shared" si="16"/>
        <v>0</v>
      </c>
      <c r="FG119" s="2931"/>
      <c r="FH119" s="2932">
        <f t="shared" si="17"/>
      </c>
      <c r="FI119" s="2932">
        <f t="shared" si="18"/>
      </c>
      <c r="FJ119" s="2931"/>
      <c r="FK119" s="2933" cm="1">
        <f t="array" ref="FK119">IF(AND(LEN($D119)&gt;0,ISNA(MATCH(TRUE,EXACT($G119,RentRoll_InputArea_DesignatedUnitType),0))),1,0)</f>
        <v>0</v>
      </c>
      <c r="FL119" s="2931">
        <f t="shared" si="19"/>
        <v>96</v>
      </c>
      <c r="FM119" s="2931"/>
      <c r="FN119" s="2931"/>
      <c r="FO119" s="2931"/>
      <c r="FP119" s="2931"/>
      <c r="FQ119" s="2931"/>
      <c r="FR119" s="2931"/>
      <c r="FS119" s="2931"/>
      <c r="FT119" s="2931"/>
      <c r="FU119" s="2931"/>
      <c r="FV119" s="2931"/>
      <c r="FW119" s="2931"/>
      <c r="FX119" s="2931"/>
      <c r="FY119" s="2931"/>
      <c r="FZ119" s="2931"/>
      <c r="GA119" s="2931"/>
      <c r="GB119" s="2931"/>
      <c r="GC119" s="2931"/>
      <c r="GD119" s="2931"/>
      <c r="GE119" s="2931"/>
      <c r="GF119" s="2931"/>
      <c r="GG119" s="2931"/>
      <c r="GH119" s="2931"/>
      <c r="GI119" s="2931"/>
      <c r="GJ119" s="2931"/>
      <c r="GK119" s="2931"/>
      <c r="GL119" s="2931"/>
      <c r="GM119" s="2931"/>
      <c r="GN119" s="2931"/>
      <c r="GO119" s="2931"/>
      <c r="GP119" s="2931"/>
      <c r="GQ119" s="2931"/>
      <c r="GR119" s="2931"/>
      <c r="GS119" s="2931"/>
      <c r="GT119" s="2931"/>
      <c r="GU119" s="2931"/>
      <c r="GV119" s="2931"/>
      <c r="GW119" s="2931"/>
      <c r="GX119" s="2931"/>
      <c r="GY119" s="2931"/>
      <c r="GZ119" s="2931"/>
      <c r="HA119" s="2931"/>
      <c r="HB119" s="2931"/>
      <c r="HC119" s="2931"/>
      <c r="HD119" s="2931"/>
      <c r="HE119" s="2931"/>
      <c r="HF119" s="2931"/>
      <c r="HG119" s="2931"/>
      <c r="HH119" s="2931"/>
      <c r="HI119" s="2931"/>
      <c r="HJ119" s="2931"/>
      <c r="HK119" s="2931"/>
      <c r="HL119" s="2931"/>
      <c r="HM119" s="2931"/>
      <c r="HN119" s="2931"/>
      <c r="HO119" s="2931"/>
      <c r="HP119" s="2931"/>
      <c r="HQ119" s="2931"/>
      <c r="HR119" s="2931"/>
      <c r="HS119" s="2931"/>
      <c r="HT119" s="2931"/>
      <c r="HU119" s="2931"/>
      <c r="HV119" s="2931"/>
      <c r="HW119" s="2931"/>
      <c r="HX119" s="2931"/>
      <c r="HY119" s="2931"/>
      <c r="HZ119" s="2931"/>
      <c r="IA119" s="2931"/>
      <c r="IB119" s="2931"/>
      <c r="IC119" s="2931"/>
      <c r="ID119" s="2931"/>
      <c r="IE119" s="2931"/>
      <c r="IF119" s="2931"/>
      <c r="IG119" s="2931"/>
      <c r="IH119" s="2931"/>
      <c r="II119" s="2931"/>
      <c r="IJ119" s="2931"/>
      <c r="IK119" s="2931"/>
      <c r="IL119" s="2931"/>
      <c r="IM119" s="2931"/>
      <c r="IN119" s="2931"/>
      <c r="IO119" s="2931" cm="1">
        <f t="array" ref="IO119">IF(LEN($G119)=0,"Rent Roll is incomplete",_xlfn.XLOOKUP(TRUE,EXACT(RentRoll_InputArea_DesignatedUnitType,$G119),RentRoll_InputArea_Beds,"Not Found"))</f>
        <v>0</v>
      </c>
      <c r="IP119" s="2934"/>
      <c r="IQ119" s="2935" t="str">
        <f t="shared" si="20"/>
        <v>0 Bedroom Unit (Efficiency/Studio)</v>
      </c>
      <c r="IR119" s="2926">
        <f t="shared" si="21"/>
        <v>1533</v>
      </c>
      <c r="IS119" s="2935"/>
      <c r="IT119" s="2931"/>
      <c r="IU119" s="2931"/>
      <c r="IV119" s="2931"/>
      <c r="IW119" s="2936" t="str">
        <f t="shared" si="22"/>
        <v>8-807</v>
      </c>
      <c r="IX119" s="2936"/>
      <c r="IY119" s="2936"/>
      <c r="IZ119" s="2936">
        <f t="shared" si="23"/>
        <v>0</v>
      </c>
      <c r="JA119" s="2936">
        <f t="shared" si="24"/>
        <v>0</v>
      </c>
      <c r="JB119" s="2936"/>
      <c r="JC119" s="2936"/>
      <c r="JD119" s="2936"/>
      <c r="JE119" s="2936"/>
      <c r="JF119" s="2936"/>
      <c r="JG119" s="2936"/>
      <c r="JH119" s="2936">
        <f t="shared" si="25"/>
        <v>1533</v>
      </c>
      <c r="JI119" s="2936"/>
      <c r="JJ119" s="2936">
        <f t="shared" si="26"/>
      </c>
      <c r="JK119" s="2936"/>
      <c r="JL119" s="2936"/>
      <c r="JM119" s="2936"/>
      <c r="JN119" s="2936"/>
      <c r="JO119" s="2936"/>
      <c r="JP119" s="2936"/>
      <c r="JQ119" s="2936" t="str">
        <f t="shared" si="27"/>
        <v>Vacant</v>
      </c>
      <c r="JR119" s="2936" cm="1">
        <f t="array" ref="JR119">_xlfn.XLOOKUP(TRUE,EXACT(RentRoll_InputArea_DesignatedUnitType,$G119),RentRoll_InputArea_SquareFootage,"Not Found")</f>
        <v>1050</v>
      </c>
      <c r="JS119" s="2936" t="str">
        <f t="shared" si="28"/>
        <v>Apartment</v>
      </c>
      <c r="JT119" s="2936">
        <f t="shared" si="29"/>
      </c>
      <c r="JU119" s="2936"/>
      <c r="JV119" s="2936"/>
      <c r="JW119" s="2936"/>
      <c r="JX119" s="2936"/>
      <c r="JY119" s="2936">
        <f t="shared" si="9"/>
      </c>
      <c r="JZ119" s="2936">
        <f t="shared" si="9"/>
      </c>
      <c r="KA119" s="2936"/>
      <c r="KB119" s="2936"/>
      <c r="KC119" s="2936"/>
      <c r="KD119" s="2936"/>
      <c r="KE119" s="2936"/>
      <c r="KF119" s="2936"/>
      <c r="KG119" s="2936"/>
      <c r="KH119" s="2936"/>
      <c r="KI119" s="2937"/>
      <c r="KJ119" s="2936"/>
      <c r="KK119" s="1353"/>
    </row>
    <row r="120" ht="15" customHeight="1">
      <c r="A120" s="2922">
        <f t="shared" si="10"/>
        <v>97</v>
      </c>
      <c r="B120" s="2865"/>
      <c r="C120" s="2873"/>
      <c r="D120" s="2873" t="s">
        <v>2934</v>
      </c>
      <c r="E120" s="2923">
        <v>1584</v>
      </c>
      <c r="F120" s="2924" t="s">
        <v>2935</v>
      </c>
      <c r="G120" s="2873" t="s">
        <v>2532</v>
      </c>
      <c r="H120" s="2923">
        <v>1506</v>
      </c>
      <c r="I120" s="2925" cm="1">
        <f t="array" ref="I120">_xlfn.LET(_xlpm.has_subsidy,$N120&gt;0,_xlpm.is_chap9_sbl,$FF$20,_xlpm.contract_rent,$H120,_xlpm.unit_type_mkt_rent,_xlfn.XLOOKUP(TRUE,EXACT($G120,RentRoll_InputArea_DesignatedUnitType),RentRoll_InputArea_MarketRent,"Not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20" s="2926">
        <f t="shared" si="11"/>
        <v>1506</v>
      </c>
      <c r="K120" s="2923"/>
      <c r="L120" s="2923"/>
      <c r="M120" s="2923"/>
      <c r="N120" s="2923"/>
      <c r="O120" s="2927">
        <v>43484</v>
      </c>
      <c r="P120" s="2927">
        <v>43769</v>
      </c>
      <c r="Q120" s="2928">
        <f t="shared" si="8"/>
      </c>
      <c r="R120" s="2928">
        <f t="shared" si="8"/>
      </c>
      <c r="S120" s="2928">
        <f t="shared" si="8"/>
      </c>
      <c r="T120" s="2928">
        <f t="shared" si="8"/>
        <v>1506</v>
      </c>
      <c r="U120" s="2928">
        <f t="shared" si="8"/>
      </c>
      <c r="V120" s="2928">
        <f t="shared" si="8"/>
      </c>
      <c r="W120" s="2928">
        <f t="shared" si="8"/>
      </c>
      <c r="X120" s="2928">
        <f t="shared" si="8"/>
      </c>
      <c r="Y120" s="2928">
        <f t="shared" si="8"/>
      </c>
      <c r="Z120" s="2928">
        <f t="shared" si="8"/>
      </c>
      <c r="AA120" s="2928">
        <f t="shared" si="8"/>
      </c>
      <c r="AB120" s="2928">
        <f t="shared" si="8"/>
      </c>
      <c r="AC120" s="2928">
        <f t="shared" si="8"/>
      </c>
      <c r="AD120" s="2928">
        <f t="shared" si="8"/>
      </c>
      <c r="AE120" s="2928">
        <f t="shared" si="8"/>
      </c>
      <c r="AF120" s="2928">
        <f t="shared" si="8"/>
      </c>
      <c r="AG120" s="2928">
        <f t="shared" si="8"/>
      </c>
      <c r="AH120" s="2928">
        <f t="shared" si="8"/>
      </c>
      <c r="AI120" s="2928">
        <f t="shared" si="8"/>
      </c>
      <c r="AJ120" s="2928">
        <f t="shared" si="8"/>
      </c>
      <c r="AK120" s="2928">
        <f t="shared" si="8"/>
      </c>
      <c r="AL120" s="2928">
        <f t="shared" si="8"/>
      </c>
      <c r="AM120" s="2928">
        <f t="shared" si="8"/>
      </c>
      <c r="AN120" s="2928">
        <f t="shared" si="8"/>
      </c>
      <c r="AO120" s="2928">
        <f t="shared" si="8"/>
      </c>
      <c r="AP120" s="2928">
        <f t="shared" si="8"/>
      </c>
      <c r="AQ120" s="2928">
        <f t="shared" si="8"/>
      </c>
      <c r="AR120" s="2928">
        <f t="shared" si="8"/>
      </c>
      <c r="AS120" s="2928">
        <f t="shared" si="8"/>
      </c>
      <c r="AT120" s="2928">
        <f t="shared" si="8"/>
      </c>
      <c r="AU120" s="2928">
        <f t="shared" si="8"/>
      </c>
      <c r="AV120" s="2928">
        <f t="shared" si="8"/>
      </c>
      <c r="AW120" s="2928">
        <f t="shared" si="8"/>
      </c>
      <c r="AX120" s="2928">
        <f t="shared" si="8"/>
      </c>
      <c r="AY120" s="2928">
        <f t="shared" si="8"/>
      </c>
      <c r="AZ120" s="2928">
        <f t="shared" si="8"/>
      </c>
      <c r="BA120" s="2928">
        <f t="shared" si="8"/>
      </c>
      <c r="BB120" s="2928">
        <f t="shared" si="8"/>
      </c>
      <c r="BC120" s="2928">
        <f t="shared" si="8"/>
      </c>
      <c r="BD120" s="2928">
        <f t="shared" si="8"/>
      </c>
      <c r="BE120" s="2928">
        <f t="shared" si="8"/>
      </c>
      <c r="BF120" s="2928">
        <f t="shared" si="8"/>
      </c>
      <c r="BG120" s="2928">
        <f t="shared" si="8"/>
      </c>
      <c r="BH120" s="2928">
        <f t="shared" si="8"/>
      </c>
      <c r="BI120" s="2928">
        <f t="shared" si="8"/>
      </c>
      <c r="BJ120" s="2928">
        <f t="shared" si="8"/>
      </c>
      <c r="BK120" s="2928">
        <f t="shared" si="8"/>
      </c>
      <c r="BL120" s="2928">
        <f t="shared" si="8"/>
      </c>
      <c r="BM120" s="2928">
        <f t="shared" si="8"/>
      </c>
      <c r="BN120" s="2928">
        <f t="shared" si="8"/>
      </c>
      <c r="BO120" s="2928">
        <f t="shared" si="8"/>
      </c>
      <c r="BP120" s="2928">
        <f t="shared" si="8"/>
      </c>
      <c r="BQ120" s="2928">
        <f t="shared" si="8"/>
      </c>
      <c r="BR120" s="2928">
        <f t="shared" si="8"/>
      </c>
      <c r="BS120" s="2928">
        <f t="shared" si="8"/>
      </c>
      <c r="BT120" s="2928">
        <f t="shared" si="8"/>
      </c>
      <c r="BU120" s="2928">
        <f t="shared" si="8"/>
      </c>
      <c r="BV120" s="2928">
        <f t="shared" si="8"/>
      </c>
      <c r="BW120" s="2928">
        <f t="shared" si="8"/>
      </c>
      <c r="BX120" s="2928">
        <f t="shared" si="8"/>
      </c>
      <c r="BY120" s="2928">
        <f t="shared" si="8"/>
      </c>
      <c r="BZ120" s="2928">
        <f t="shared" si="8"/>
      </c>
      <c r="CA120" s="2928">
        <f t="shared" si="8"/>
      </c>
      <c r="CB120" s="2928">
        <f t="shared" si="8"/>
      </c>
      <c r="CC120" s="2928">
        <f t="shared" si="8"/>
      </c>
      <c r="CD120" s="2928">
        <f t="shared" si="8"/>
      </c>
      <c r="CE120" s="2928">
        <f t="shared" si="8"/>
      </c>
      <c r="CF120" s="2928">
        <f t="shared" si="8"/>
      </c>
      <c r="CG120" s="2928">
        <f t="shared" si="8"/>
      </c>
      <c r="CH120" s="2928">
        <f t="shared" si="8"/>
      </c>
      <c r="CI120" s="2928">
        <f t="shared" si="8"/>
      </c>
      <c r="CJ120" s="2928">
        <f t="shared" si="8"/>
      </c>
      <c r="CK120" s="2928">
        <f t="shared" si="8"/>
      </c>
      <c r="CL120" s="2928">
        <f t="shared" si="8"/>
      </c>
      <c r="CM120" s="2928">
        <f t="shared" si="8"/>
      </c>
      <c r="CN120" s="2928">
        <f t="shared" si="8"/>
      </c>
      <c r="CO120" s="2928">
        <f t="shared" si="8"/>
      </c>
      <c r="CP120" s="2928">
        <f t="shared" si="8"/>
      </c>
      <c r="CQ120" s="2928">
        <f t="shared" si="8"/>
      </c>
      <c r="CR120" s="2928">
        <f t="shared" si="8"/>
      </c>
      <c r="CS120" s="2928">
        <f t="shared" si="8"/>
      </c>
      <c r="CT120" s="2928">
        <f t="shared" si="8"/>
      </c>
      <c r="CU120" s="2928">
        <f t="shared" si="8"/>
      </c>
      <c r="CV120" s="2928">
        <f t="shared" si="8"/>
      </c>
      <c r="CW120" s="2928">
        <f t="shared" si="8"/>
      </c>
      <c r="CX120" s="2928">
        <f t="shared" si="8"/>
      </c>
      <c r="CY120" s="2928">
        <f t="shared" si="8"/>
      </c>
      <c r="CZ120" s="2928">
        <f t="shared" si="8"/>
      </c>
      <c r="DA120" s="2928">
        <f t="shared" si="8"/>
      </c>
      <c r="DB120" s="2928">
        <f t="shared" si="8"/>
      </c>
      <c r="DC120" s="2928">
        <f t="shared" si="8"/>
      </c>
      <c r="DD120" s="2928">
        <f t="shared" si="8"/>
      </c>
      <c r="DE120" s="2928">
        <f t="shared" si="8"/>
      </c>
      <c r="DF120" s="2928">
        <f t="shared" si="8"/>
      </c>
      <c r="DG120" s="2928">
        <f t="shared" si="8"/>
      </c>
      <c r="DH120" s="2928">
        <f t="shared" si="8"/>
      </c>
      <c r="DI120" s="2928">
        <f t="shared" si="8"/>
      </c>
      <c r="DJ120" s="2928">
        <f t="shared" si="8"/>
      </c>
      <c r="DK120" s="2928">
        <f t="shared" si="8"/>
      </c>
      <c r="DL120" s="2928">
        <f t="shared" si="8"/>
      </c>
      <c r="DM120" s="2928">
        <f t="shared" si="8"/>
      </c>
      <c r="DN120" s="2928">
        <f t="shared" si="8"/>
      </c>
      <c r="DO120" s="2928">
        <f t="shared" si="8"/>
      </c>
      <c r="DP120" s="2928">
        <f t="shared" si="8"/>
      </c>
      <c r="DQ120" s="2928">
        <f t="shared" si="8"/>
      </c>
      <c r="DR120" s="2928">
        <f t="shared" si="8"/>
      </c>
      <c r="DS120" s="2928">
        <f t="shared" si="8"/>
      </c>
      <c r="DT120" s="2928">
        <f t="shared" si="8"/>
      </c>
      <c r="DU120" s="2928">
        <f t="shared" si="8"/>
      </c>
      <c r="DV120" s="2928">
        <f t="shared" si="8"/>
      </c>
      <c r="DW120" s="2928">
        <f t="shared" si="8"/>
      </c>
      <c r="DX120" s="2928">
        <f t="shared" si="8"/>
      </c>
      <c r="DY120" s="2928">
        <f t="shared" si="8"/>
      </c>
      <c r="DZ120" s="2928">
        <f t="shared" si="8"/>
      </c>
      <c r="EA120" s="2928">
        <f t="shared" si="8"/>
      </c>
      <c r="EB120" s="2928">
        <f t="shared" si="8"/>
      </c>
      <c r="EC120" s="2928">
        <f t="shared" si="8"/>
      </c>
      <c r="ED120" s="2928">
        <f t="shared" si="8"/>
      </c>
      <c r="EE120" s="2928">
        <f t="shared" si="8"/>
      </c>
      <c r="EF120" s="2928">
        <f t="shared" si="8"/>
      </c>
      <c r="EG120" s="2928">
        <f t="shared" si="8"/>
      </c>
      <c r="EH120" s="2928">
        <f t="shared" si="8"/>
      </c>
      <c r="EI120" s="2928">
        <f t="shared" si="8"/>
      </c>
      <c r="EJ120" s="2928">
        <f t="shared" si="8"/>
      </c>
      <c r="EK120" s="2928">
        <f t="shared" si="8"/>
      </c>
      <c r="EL120" s="2928">
        <f t="shared" si="8"/>
      </c>
      <c r="EM120" s="2928">
        <f t="shared" si="8"/>
      </c>
      <c r="EN120" s="2928">
        <f t="shared" si="8"/>
      </c>
      <c r="EO120" s="2928">
        <f t="shared" si="8"/>
      </c>
      <c r="EP120" s="2928">
        <f t="shared" si="8"/>
      </c>
      <c r="EQ120" s="2928">
        <f t="shared" si="8"/>
      </c>
      <c r="ER120" s="2928">
        <f t="shared" si="8"/>
      </c>
      <c r="ES120" s="2928">
        <f t="shared" si="8"/>
      </c>
      <c r="ET120" s="2928">
        <f t="shared" si="8"/>
      </c>
      <c r="EU120" s="2928">
        <f t="shared" si="8"/>
      </c>
      <c r="EV120" s="2928">
        <f t="shared" si="8"/>
      </c>
      <c r="EW120" s="2928">
        <f t="shared" si="8"/>
      </c>
      <c r="EX120" s="2928">
        <f t="shared" si="8"/>
      </c>
      <c r="EY120" s="2928">
        <f t="shared" si="8"/>
      </c>
      <c r="EZ120" s="2928">
        <f t="shared" si="8"/>
      </c>
      <c r="FA120" s="2929" t="str">
        <f t="shared" si="12"/>
        <v>-</v>
      </c>
      <c r="FB120" s="2825">
        <f t="shared" si="13"/>
      </c>
      <c r="FC120" s="2930" cm="1">
        <f t="array" ref="FC120">_xlfn.LET(_xlpm.unit_type,$G120,_xlpm.market_rent_from_rent_roll,$E120,_xlpm.unit_type_list,RentRoll_InputArea_DesignatedUnitType,_xlpm.rent_by_unit_type,RentRoll_InputArea_MarketRent,_xlpm.use_rent_roll_market_rent,LEFT(RR_VacantUnitMktRentSource,9)="Rent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20" s="2930">
        <f t="shared" si="14"/>
        <v>1506</v>
      </c>
      <c r="FE120" s="2930">
        <f t="shared" si="15"/>
        <v>1506</v>
      </c>
      <c r="FF120" s="2930">
        <f t="shared" si="16"/>
        <v>1506</v>
      </c>
      <c r="FG120" s="2931"/>
      <c r="FH120" s="2932">
        <f t="shared" si="17"/>
      </c>
      <c r="FI120" s="2932">
        <f t="shared" si="18"/>
      </c>
      <c r="FJ120" s="2931"/>
      <c r="FK120" s="2933" cm="1">
        <f t="array" ref="FK120">IF(AND(LEN($D120)&gt;0,ISNA(MATCH(TRUE,EXACT($G120,RentRoll_InputArea_DesignatedUnitType),0))),1,0)</f>
        <v>0</v>
      </c>
      <c r="FL120" s="2931">
        <f t="shared" si="19"/>
        <v>97</v>
      </c>
      <c r="FM120" s="2931"/>
      <c r="FN120" s="2931"/>
      <c r="FO120" s="2931"/>
      <c r="FP120" s="2931"/>
      <c r="FQ120" s="2931"/>
      <c r="FR120" s="2931"/>
      <c r="FS120" s="2931"/>
      <c r="FT120" s="2931"/>
      <c r="FU120" s="2931"/>
      <c r="FV120" s="2931"/>
      <c r="FW120" s="2931"/>
      <c r="FX120" s="2931"/>
      <c r="FY120" s="2931"/>
      <c r="FZ120" s="2931"/>
      <c r="GA120" s="2931"/>
      <c r="GB120" s="2931"/>
      <c r="GC120" s="2931"/>
      <c r="GD120" s="2931"/>
      <c r="GE120" s="2931"/>
      <c r="GF120" s="2931"/>
      <c r="GG120" s="2931"/>
      <c r="GH120" s="2931"/>
      <c r="GI120" s="2931"/>
      <c r="GJ120" s="2931"/>
      <c r="GK120" s="2931"/>
      <c r="GL120" s="2931"/>
      <c r="GM120" s="2931"/>
      <c r="GN120" s="2931"/>
      <c r="GO120" s="2931"/>
      <c r="GP120" s="2931"/>
      <c r="GQ120" s="2931"/>
      <c r="GR120" s="2931"/>
      <c r="GS120" s="2931"/>
      <c r="GT120" s="2931"/>
      <c r="GU120" s="2931"/>
      <c r="GV120" s="2931"/>
      <c r="GW120" s="2931"/>
      <c r="GX120" s="2931"/>
      <c r="GY120" s="2931"/>
      <c r="GZ120" s="2931"/>
      <c r="HA120" s="2931"/>
      <c r="HB120" s="2931"/>
      <c r="HC120" s="2931"/>
      <c r="HD120" s="2931"/>
      <c r="HE120" s="2931"/>
      <c r="HF120" s="2931"/>
      <c r="HG120" s="2931"/>
      <c r="HH120" s="2931"/>
      <c r="HI120" s="2931"/>
      <c r="HJ120" s="2931"/>
      <c r="HK120" s="2931"/>
      <c r="HL120" s="2931"/>
      <c r="HM120" s="2931"/>
      <c r="HN120" s="2931"/>
      <c r="HO120" s="2931"/>
      <c r="HP120" s="2931"/>
      <c r="HQ120" s="2931"/>
      <c r="HR120" s="2931"/>
      <c r="HS120" s="2931"/>
      <c r="HT120" s="2931"/>
      <c r="HU120" s="2931"/>
      <c r="HV120" s="2931"/>
      <c r="HW120" s="2931"/>
      <c r="HX120" s="2931"/>
      <c r="HY120" s="2931"/>
      <c r="HZ120" s="2931"/>
      <c r="IA120" s="2931"/>
      <c r="IB120" s="2931"/>
      <c r="IC120" s="2931"/>
      <c r="ID120" s="2931"/>
      <c r="IE120" s="2931"/>
      <c r="IF120" s="2931"/>
      <c r="IG120" s="2931"/>
      <c r="IH120" s="2931"/>
      <c r="II120" s="2931"/>
      <c r="IJ120" s="2931"/>
      <c r="IK120" s="2931"/>
      <c r="IL120" s="2931"/>
      <c r="IM120" s="2931"/>
      <c r="IN120" s="2931"/>
      <c r="IO120" s="2931" cm="1">
        <f t="array" ref="IO120">IF(LEN($G120)=0,"Rent Roll is incomplete",_xlfn.XLOOKUP(TRUE,EXACT(RentRoll_InputArea_DesignatedUnitType,$G120),RentRoll_InputArea_Beds,"Not Found"))</f>
        <v>0</v>
      </c>
      <c r="IP120" s="2934"/>
      <c r="IQ120" s="2935" t="str">
        <f t="shared" si="20"/>
        <v>0 Bedroom Unit (Efficiency/Studio)</v>
      </c>
      <c r="IR120" s="2926">
        <f t="shared" si="21"/>
        <v>1506</v>
      </c>
      <c r="IS120" s="2935"/>
      <c r="IT120" s="2931"/>
      <c r="IU120" s="2931"/>
      <c r="IV120" s="2931"/>
      <c r="IW120" s="2936" t="str">
        <f t="shared" si="22"/>
        <v>8-808</v>
      </c>
      <c r="IX120" s="2936"/>
      <c r="IY120" s="2936"/>
      <c r="IZ120" s="2936">
        <f t="shared" si="23"/>
        <v>0</v>
      </c>
      <c r="JA120" s="2936">
        <f t="shared" si="24"/>
        <v>1506</v>
      </c>
      <c r="JB120" s="2936"/>
      <c r="JC120" s="2936"/>
      <c r="JD120" s="2936"/>
      <c r="JE120" s="2936"/>
      <c r="JF120" s="2936"/>
      <c r="JG120" s="2936"/>
      <c r="JH120" s="2936">
        <f t="shared" si="25"/>
        <v>1533</v>
      </c>
      <c r="JI120" s="2936"/>
      <c r="JJ120" s="2936">
        <f t="shared" si="26"/>
      </c>
      <c r="JK120" s="2936"/>
      <c r="JL120" s="2936"/>
      <c r="JM120" s="2936"/>
      <c r="JN120" s="2936"/>
      <c r="JO120" s="2936"/>
      <c r="JP120" s="2936"/>
      <c r="JQ120" s="2936" t="str">
        <f t="shared" si="27"/>
        <v>Occupied</v>
      </c>
      <c r="JR120" s="2936" cm="1">
        <f t="array" ref="JR120">_xlfn.XLOOKUP(TRUE,EXACT(RentRoll_InputArea_DesignatedUnitType,$G120),RentRoll_InputArea_SquareFootage,"Not Found")</f>
        <v>1050</v>
      </c>
      <c r="JS120" s="2936" t="str">
        <f t="shared" si="28"/>
        <v>Apartment</v>
      </c>
      <c r="JT120" s="2936">
        <f t="shared" si="29"/>
      </c>
      <c r="JU120" s="2936"/>
      <c r="JV120" s="2936"/>
      <c r="JW120" s="2936"/>
      <c r="JX120" s="2936"/>
      <c r="JY120" s="2936">
        <f t="shared" si="9"/>
        <v>43484</v>
      </c>
      <c r="JZ120" s="2936">
        <f t="shared" si="9"/>
        <v>43769</v>
      </c>
      <c r="KA120" s="2936"/>
      <c r="KB120" s="2936"/>
      <c r="KC120" s="2936"/>
      <c r="KD120" s="2936"/>
      <c r="KE120" s="2936"/>
      <c r="KF120" s="2936"/>
      <c r="KG120" s="2936"/>
      <c r="KH120" s="2936"/>
      <c r="KI120" s="2937"/>
      <c r="KJ120" s="2936"/>
      <c r="KK120" s="1353"/>
    </row>
    <row r="121" ht="15" customHeight="1">
      <c r="A121" s="2922">
        <f t="shared" si="10"/>
        <v>98</v>
      </c>
      <c r="B121" s="2865"/>
      <c r="C121" s="2873"/>
      <c r="D121" s="2873" t="s">
        <v>2936</v>
      </c>
      <c r="E121" s="2923">
        <v>1485</v>
      </c>
      <c r="F121" s="2924" t="s">
        <v>2937</v>
      </c>
      <c r="G121" s="2873" t="s">
        <v>2532</v>
      </c>
      <c r="H121" s="2923">
        <v>1593</v>
      </c>
      <c r="I121" s="2925" cm="1">
        <f t="array" ref="I121">_xlfn.LET(_xlpm.has_subsidy,$N121&gt;0,_xlpm.is_chap9_sbl,$FF$20,_xlpm.contract_rent,$H121,_xlpm.unit_type_mkt_rent,_xlfn.XLOOKUP(TRUE,EXACT($G121,RentRoll_InputArea_DesignatedUnitType),RentRoll_InputArea_MarketRent,"Not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21" s="2926">
        <f t="shared" si="11"/>
        <v>1593</v>
      </c>
      <c r="K121" s="2923"/>
      <c r="L121" s="2923"/>
      <c r="M121" s="2923"/>
      <c r="N121" s="2923"/>
      <c r="O121" s="2927">
        <v>43330</v>
      </c>
      <c r="P121" s="2927">
        <v>43616</v>
      </c>
      <c r="Q121" s="2928">
        <f t="shared" si="8"/>
      </c>
      <c r="R121" s="2928">
        <f t="shared" si="8"/>
      </c>
      <c r="S121" s="2928">
        <f t="shared" si="8"/>
      </c>
      <c r="T121" s="2928">
        <f t="shared" si="8"/>
        <v>1593</v>
      </c>
      <c r="U121" s="2928">
        <f t="shared" si="8"/>
      </c>
      <c r="V121" s="2928">
        <f t="shared" si="8"/>
      </c>
      <c r="W121" s="2928">
        <f t="shared" si="8"/>
      </c>
      <c r="X121" s="2928">
        <f t="shared" si="8"/>
      </c>
      <c r="Y121" s="2928">
        <f t="shared" si="8"/>
      </c>
      <c r="Z121" s="2928">
        <f t="shared" si="8"/>
      </c>
      <c r="AA121" s="2928">
        <f t="shared" si="8"/>
      </c>
      <c r="AB121" s="2928">
        <f t="shared" si="8"/>
      </c>
      <c r="AC121" s="2928">
        <f t="shared" si="8"/>
      </c>
      <c r="AD121" s="2928">
        <f t="shared" si="8"/>
      </c>
      <c r="AE121" s="2928">
        <f t="shared" si="8"/>
      </c>
      <c r="AF121" s="2928">
        <f t="shared" si="8"/>
      </c>
      <c r="AG121" s="2928">
        <f t="shared" si="8"/>
      </c>
      <c r="AH121" s="2928">
        <f t="shared" si="8"/>
      </c>
      <c r="AI121" s="2928">
        <f t="shared" si="8"/>
      </c>
      <c r="AJ121" s="2928">
        <f t="shared" si="8"/>
      </c>
      <c r="AK121" s="2928">
        <f t="shared" si="8"/>
      </c>
      <c r="AL121" s="2928">
        <f t="shared" si="8"/>
      </c>
      <c r="AM121" s="2928">
        <f t="shared" si="8"/>
      </c>
      <c r="AN121" s="2928">
        <f t="shared" si="8"/>
      </c>
      <c r="AO121" s="2928">
        <f t="shared" si="8"/>
      </c>
      <c r="AP121" s="2928">
        <f t="shared" si="8"/>
      </c>
      <c r="AQ121" s="2928">
        <f t="shared" si="8"/>
      </c>
      <c r="AR121" s="2928">
        <f t="shared" si="8"/>
      </c>
      <c r="AS121" s="2928">
        <f t="shared" si="8"/>
      </c>
      <c r="AT121" s="2928">
        <f t="shared" si="8"/>
      </c>
      <c r="AU121" s="2928">
        <f t="shared" si="8"/>
      </c>
      <c r="AV121" s="2928">
        <f t="shared" si="8"/>
      </c>
      <c r="AW121" s="2928">
        <f t="shared" si="8"/>
      </c>
      <c r="AX121" s="2928">
        <f t="shared" si="8"/>
      </c>
      <c r="AY121" s="2928">
        <f t="shared" si="8"/>
      </c>
      <c r="AZ121" s="2928">
        <f t="shared" si="8"/>
      </c>
      <c r="BA121" s="2928">
        <f t="shared" si="8"/>
      </c>
      <c r="BB121" s="2928">
        <f t="shared" si="8"/>
      </c>
      <c r="BC121" s="2928">
        <f t="shared" si="8"/>
      </c>
      <c r="BD121" s="2928">
        <f t="shared" si="8"/>
      </c>
      <c r="BE121" s="2928">
        <f t="shared" si="8"/>
      </c>
      <c r="BF121" s="2928">
        <f t="shared" si="8"/>
      </c>
      <c r="BG121" s="2928">
        <f t="shared" si="8"/>
      </c>
      <c r="BH121" s="2928">
        <f t="shared" si="8"/>
      </c>
      <c r="BI121" s="2928">
        <f t="shared" si="8"/>
      </c>
      <c r="BJ121" s="2928">
        <f t="shared" si="8"/>
      </c>
      <c r="BK121" s="2928">
        <f t="shared" si="8"/>
      </c>
      <c r="BL121" s="2928">
        <f t="shared" si="8"/>
      </c>
      <c r="BM121" s="2928">
        <f t="shared" si="8"/>
      </c>
      <c r="BN121" s="2928">
        <f t="shared" si="8"/>
      </c>
      <c r="BO121" s="2928">
        <f t="shared" si="8"/>
      </c>
      <c r="BP121" s="2928">
        <f t="shared" si="8"/>
      </c>
      <c r="BQ121" s="2928">
        <f t="shared" si="8"/>
      </c>
      <c r="BR121" s="2928">
        <f t="shared" si="8"/>
      </c>
      <c r="BS121" s="2928">
        <f t="shared" si="8"/>
      </c>
      <c r="BT121" s="2928">
        <f t="shared" si="8"/>
      </c>
      <c r="BU121" s="2928">
        <f t="shared" si="8"/>
      </c>
      <c r="BV121" s="2928">
        <f t="shared" si="8"/>
      </c>
      <c r="BW121" s="2928">
        <f t="shared" si="8"/>
      </c>
      <c r="BX121" s="2928">
        <f t="shared" si="8"/>
      </c>
      <c r="BY121" s="2928">
        <f t="shared" si="8"/>
      </c>
      <c r="BZ121" s="2928">
        <f t="shared" si="8"/>
      </c>
      <c r="CA121" s="2928">
        <f t="shared" si="8"/>
      </c>
      <c r="CB121" s="2928">
        <f t="shared" si="8"/>
      </c>
      <c r="CC121" s="2928">
        <f t="shared" si="8"/>
      </c>
      <c r="CD121" s="2928">
        <f t="shared" si="8"/>
      </c>
      <c r="CE121" s="2928">
        <f t="shared" si="8"/>
      </c>
      <c r="CF121" s="2928">
        <f t="shared" si="8"/>
      </c>
      <c r="CG121" s="2928">
        <f t="shared" si="8"/>
      </c>
      <c r="CH121" s="2928">
        <f t="shared" si="8"/>
      </c>
      <c r="CI121" s="2928">
        <f t="shared" si="8"/>
      </c>
      <c r="CJ121" s="2928">
        <f t="shared" si="8"/>
      </c>
      <c r="CK121" s="2928">
        <f t="shared" si="8"/>
      </c>
      <c r="CL121" s="2928">
        <f t="shared" si="8"/>
      </c>
      <c r="CM121" s="2928">
        <f t="shared" si="8"/>
      </c>
      <c r="CN121" s="2928">
        <f t="shared" si="8"/>
      </c>
      <c r="CO121" s="2928">
        <f t="shared" si="8"/>
      </c>
      <c r="CP121" s="2928">
        <f t="shared" si="8"/>
      </c>
      <c r="CQ121" s="2928">
        <f t="shared" si="8"/>
      </c>
      <c r="CR121" s="2928">
        <f t="shared" si="8"/>
      </c>
      <c r="CS121" s="2928">
        <f t="shared" si="8"/>
      </c>
      <c r="CT121" s="2928">
        <f t="shared" si="8"/>
      </c>
      <c r="CU121" s="2928">
        <f t="shared" si="8"/>
      </c>
      <c r="CV121" s="2928">
        <f t="shared" si="8"/>
      </c>
      <c r="CW121" s="2928">
        <f t="shared" si="8"/>
      </c>
      <c r="CX121" s="2928">
        <f t="shared" si="8"/>
      </c>
      <c r="CY121" s="2928">
        <f t="shared" si="8"/>
      </c>
      <c r="CZ121" s="2928">
        <f t="shared" si="8"/>
      </c>
      <c r="DA121" s="2928">
        <f t="shared" si="8"/>
      </c>
      <c r="DB121" s="2928">
        <f t="shared" si="8"/>
      </c>
      <c r="DC121" s="2928">
        <f t="shared" si="8"/>
      </c>
      <c r="DD121" s="2928">
        <f t="shared" si="8"/>
      </c>
      <c r="DE121" s="2928">
        <f t="shared" si="8"/>
      </c>
      <c r="DF121" s="2928">
        <f t="shared" si="8"/>
      </c>
      <c r="DG121" s="2928">
        <f t="shared" si="8"/>
      </c>
      <c r="DH121" s="2928">
        <f t="shared" si="8"/>
      </c>
      <c r="DI121" s="2928">
        <f t="shared" si="8"/>
      </c>
      <c r="DJ121" s="2928">
        <f t="shared" si="8"/>
      </c>
      <c r="DK121" s="2928">
        <f t="shared" si="8"/>
      </c>
      <c r="DL121" s="2928">
        <f t="shared" si="8"/>
      </c>
      <c r="DM121" s="2928">
        <f t="shared" si="8"/>
      </c>
      <c r="DN121" s="2928">
        <f t="shared" si="8"/>
      </c>
      <c r="DO121" s="2928">
        <f t="shared" si="8"/>
      </c>
      <c r="DP121" s="2928">
        <f t="shared" si="8"/>
      </c>
      <c r="DQ121" s="2928">
        <f t="shared" si="8"/>
      </c>
      <c r="DR121" s="2928">
        <f t="shared" si="8"/>
      </c>
      <c r="DS121" s="2928">
        <f t="shared" si="8"/>
      </c>
      <c r="DT121" s="2928">
        <f t="shared" si="8"/>
      </c>
      <c r="DU121" s="2928">
        <f t="shared" si="8"/>
      </c>
      <c r="DV121" s="2928">
        <f t="shared" si="8"/>
      </c>
      <c r="DW121" s="2928">
        <f t="shared" si="8"/>
      </c>
      <c r="DX121" s="2928">
        <f t="shared" si="8"/>
      </c>
      <c r="DY121" s="2928">
        <f t="shared" si="8"/>
      </c>
      <c r="DZ121" s="2928">
        <f t="shared" si="8"/>
      </c>
      <c r="EA121" s="2928">
        <f t="shared" si="8"/>
      </c>
      <c r="EB121" s="2928">
        <f t="shared" si="8"/>
      </c>
      <c r="EC121" s="2928">
        <f t="shared" si="8"/>
      </c>
      <c r="ED121" s="2928">
        <f t="shared" si="8"/>
      </c>
      <c r="EE121" s="2928">
        <f t="shared" si="8"/>
      </c>
      <c r="EF121" s="2928">
        <f t="shared" si="8"/>
      </c>
      <c r="EG121" s="2928">
        <f t="shared" si="8"/>
      </c>
      <c r="EH121" s="2928">
        <f t="shared" si="8"/>
      </c>
      <c r="EI121" s="2928">
        <f t="shared" si="8"/>
      </c>
      <c r="EJ121" s="2928">
        <f t="shared" si="8"/>
      </c>
      <c r="EK121" s="2928">
        <f t="shared" si="8"/>
      </c>
      <c r="EL121" s="2928">
        <f t="shared" si="8"/>
      </c>
      <c r="EM121" s="2928">
        <f t="shared" si="8"/>
      </c>
      <c r="EN121" s="2928">
        <f t="shared" si="8"/>
      </c>
      <c r="EO121" s="2928">
        <f t="shared" si="8"/>
      </c>
      <c r="EP121" s="2928">
        <f t="shared" si="8"/>
      </c>
      <c r="EQ121" s="2928">
        <f t="shared" si="8"/>
      </c>
      <c r="ER121" s="2928">
        <f t="shared" si="8"/>
      </c>
      <c r="ES121" s="2928">
        <f t="shared" si="8"/>
      </c>
      <c r="ET121" s="2928">
        <f t="shared" si="8"/>
      </c>
      <c r="EU121" s="2928">
        <f t="shared" si="8"/>
      </c>
      <c r="EV121" s="2928">
        <f t="shared" si="8"/>
      </c>
      <c r="EW121" s="2928">
        <f t="shared" si="8"/>
      </c>
      <c r="EX121" s="2928">
        <f t="shared" si="8"/>
      </c>
      <c r="EY121" s="2928">
        <f t="shared" si="8"/>
      </c>
      <c r="EZ121" s="2928">
        <f t="shared" si="8"/>
      </c>
      <c r="FA121" s="2929" t="str">
        <f t="shared" si="12"/>
        <v>-</v>
      </c>
      <c r="FB121" s="2825">
        <f t="shared" si="13"/>
      </c>
      <c r="FC121" s="2930" cm="1">
        <f t="array" ref="FC121">_xlfn.LET(_xlpm.unit_type,$G121,_xlpm.market_rent_from_rent_roll,$E121,_xlpm.unit_type_list,RentRoll_InputArea_DesignatedUnitType,_xlpm.rent_by_unit_type,RentRoll_InputArea_MarketRent,_xlpm.use_rent_roll_market_rent,LEFT(RR_VacantUnitMktRentSource,9)="Rent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1533</v>
      </c>
      <c r="FD121" s="2930">
        <f t="shared" si="14"/>
        <v>1593</v>
      </c>
      <c r="FE121" s="2930">
        <f t="shared" si="15"/>
        <v>1593</v>
      </c>
      <c r="FF121" s="2930">
        <f t="shared" si="16"/>
        <v>1593</v>
      </c>
      <c r="FG121" s="2931"/>
      <c r="FH121" s="2932">
        <f t="shared" si="17"/>
      </c>
      <c r="FI121" s="2932">
        <f t="shared" si="18"/>
      </c>
      <c r="FJ121" s="2931"/>
      <c r="FK121" s="2933" cm="1">
        <f t="array" ref="FK121">IF(AND(LEN($D121)&gt;0,ISNA(MATCH(TRUE,EXACT($G121,RentRoll_InputArea_DesignatedUnitType),0))),1,0)</f>
        <v>0</v>
      </c>
      <c r="FL121" s="2931">
        <f t="shared" si="19"/>
        <v>98</v>
      </c>
      <c r="FM121" s="2931"/>
      <c r="FN121" s="2931"/>
      <c r="FO121" s="2931"/>
      <c r="FP121" s="2931"/>
      <c r="FQ121" s="2931"/>
      <c r="FR121" s="2931"/>
      <c r="FS121" s="2931"/>
      <c r="FT121" s="2931"/>
      <c r="FU121" s="2931"/>
      <c r="FV121" s="2931"/>
      <c r="FW121" s="2931"/>
      <c r="FX121" s="2931"/>
      <c r="FY121" s="2931"/>
      <c r="FZ121" s="2931"/>
      <c r="GA121" s="2931"/>
      <c r="GB121" s="2931"/>
      <c r="GC121" s="2931"/>
      <c r="GD121" s="2931"/>
      <c r="GE121" s="2931"/>
      <c r="GF121" s="2931"/>
      <c r="GG121" s="2931"/>
      <c r="GH121" s="2931"/>
      <c r="GI121" s="2931"/>
      <c r="GJ121" s="2931"/>
      <c r="GK121" s="2931"/>
      <c r="GL121" s="2931"/>
      <c r="GM121" s="2931"/>
      <c r="GN121" s="2931"/>
      <c r="GO121" s="2931"/>
      <c r="GP121" s="2931"/>
      <c r="GQ121" s="2931"/>
      <c r="GR121" s="2931"/>
      <c r="GS121" s="2931"/>
      <c r="GT121" s="2931"/>
      <c r="GU121" s="2931"/>
      <c r="GV121" s="2931"/>
      <c r="GW121" s="2931"/>
      <c r="GX121" s="2931"/>
      <c r="GY121" s="2931"/>
      <c r="GZ121" s="2931"/>
      <c r="HA121" s="2931"/>
      <c r="HB121" s="2931"/>
      <c r="HC121" s="2931"/>
      <c r="HD121" s="2931"/>
      <c r="HE121" s="2931"/>
      <c r="HF121" s="2931"/>
      <c r="HG121" s="2931"/>
      <c r="HH121" s="2931"/>
      <c r="HI121" s="2931"/>
      <c r="HJ121" s="2931"/>
      <c r="HK121" s="2931"/>
      <c r="HL121" s="2931"/>
      <c r="HM121" s="2931"/>
      <c r="HN121" s="2931"/>
      <c r="HO121" s="2931"/>
      <c r="HP121" s="2931"/>
      <c r="HQ121" s="2931"/>
      <c r="HR121" s="2931"/>
      <c r="HS121" s="2931"/>
      <c r="HT121" s="2931"/>
      <c r="HU121" s="2931"/>
      <c r="HV121" s="2931"/>
      <c r="HW121" s="2931"/>
      <c r="HX121" s="2931"/>
      <c r="HY121" s="2931"/>
      <c r="HZ121" s="2931"/>
      <c r="IA121" s="2931"/>
      <c r="IB121" s="2931"/>
      <c r="IC121" s="2931"/>
      <c r="ID121" s="2931"/>
      <c r="IE121" s="2931"/>
      <c r="IF121" s="2931"/>
      <c r="IG121" s="2931"/>
      <c r="IH121" s="2931"/>
      <c r="II121" s="2931"/>
      <c r="IJ121" s="2931"/>
      <c r="IK121" s="2931"/>
      <c r="IL121" s="2931"/>
      <c r="IM121" s="2931"/>
      <c r="IN121" s="2931"/>
      <c r="IO121" s="2931" cm="1">
        <f t="array" ref="IO121">IF(LEN($G121)=0,"Rent Roll is incomplete",_xlfn.XLOOKUP(TRUE,EXACT(RentRoll_InputArea_DesignatedUnitType,$G121),RentRoll_InputArea_Beds,"Not Found"))</f>
        <v>0</v>
      </c>
      <c r="IP121" s="2934"/>
      <c r="IQ121" s="2935" t="str">
        <f t="shared" si="20"/>
        <v>0 Bedroom Unit (Efficiency/Studio)</v>
      </c>
      <c r="IR121" s="2926">
        <f t="shared" si="21"/>
        <v>1593</v>
      </c>
      <c r="IS121" s="2935"/>
      <c r="IT121" s="2931"/>
      <c r="IU121" s="2931"/>
      <c r="IV121" s="2931"/>
      <c r="IW121" s="2936" t="str">
        <f t="shared" si="22"/>
        <v>8-809</v>
      </c>
      <c r="IX121" s="2936"/>
      <c r="IY121" s="2936"/>
      <c r="IZ121" s="2936">
        <f t="shared" si="23"/>
        <v>0</v>
      </c>
      <c r="JA121" s="2936">
        <f t="shared" si="24"/>
        <v>1593</v>
      </c>
      <c r="JB121" s="2936"/>
      <c r="JC121" s="2936"/>
      <c r="JD121" s="2936"/>
      <c r="JE121" s="2936"/>
      <c r="JF121" s="2936"/>
      <c r="JG121" s="2936"/>
      <c r="JH121" s="2936">
        <f t="shared" si="25"/>
        <v>1533</v>
      </c>
      <c r="JI121" s="2936"/>
      <c r="JJ121" s="2936">
        <f t="shared" si="26"/>
      </c>
      <c r="JK121" s="2936"/>
      <c r="JL121" s="2936"/>
      <c r="JM121" s="2936"/>
      <c r="JN121" s="2936"/>
      <c r="JO121" s="2936"/>
      <c r="JP121" s="2936"/>
      <c r="JQ121" s="2936" t="str">
        <f t="shared" si="27"/>
        <v>Occupied</v>
      </c>
      <c r="JR121" s="2936" cm="1">
        <f t="array" ref="JR121">_xlfn.XLOOKUP(TRUE,EXACT(RentRoll_InputArea_DesignatedUnitType,$G121),RentRoll_InputArea_SquareFootage,"Not Found")</f>
        <v>1050</v>
      </c>
      <c r="JS121" s="2936" t="str">
        <f t="shared" si="28"/>
        <v>Apartment</v>
      </c>
      <c r="JT121" s="2936">
        <f t="shared" si="29"/>
      </c>
      <c r="JU121" s="2936"/>
      <c r="JV121" s="2936"/>
      <c r="JW121" s="2936"/>
      <c r="JX121" s="2936"/>
      <c r="JY121" s="2936">
        <f t="shared" si="9"/>
        <v>43330</v>
      </c>
      <c r="JZ121" s="2936">
        <f t="shared" si="9"/>
        <v>43616</v>
      </c>
      <c r="KA121" s="2936"/>
      <c r="KB121" s="2936"/>
      <c r="KC121" s="2936"/>
      <c r="KD121" s="2936"/>
      <c r="KE121" s="2936"/>
      <c r="KF121" s="2936"/>
      <c r="KG121" s="2936"/>
      <c r="KH121" s="2936"/>
      <c r="KI121" s="2937"/>
      <c r="KJ121" s="2936"/>
      <c r="KK121" s="1353"/>
    </row>
    <row r="122" ht="15" customHeight="1">
      <c r="A122" s="2922">
        <f t="shared" si="10"/>
        <v>99</v>
      </c>
      <c r="B122" s="2865"/>
      <c r="C122" s="2873"/>
      <c r="D122" s="2873" t="s">
        <v>2938</v>
      </c>
      <c r="E122" s="2923">
        <v>1245</v>
      </c>
      <c r="F122" s="2924" t="s">
        <v>2939</v>
      </c>
      <c r="G122" s="2873" t="s">
        <v>2530</v>
      </c>
      <c r="H122" s="2923">
        <v>1189</v>
      </c>
      <c r="I122" s="2925" cm="1">
        <f t="array" ref="I122">_xlfn.LET(_xlpm.has_subsidy,$N122&gt;0,_xlpm.is_chap9_sbl,$FF$20,_xlpm.contract_rent,$H122,_xlpm.unit_type_mkt_rent,_xlfn.XLOOKUP(TRUE,EXACT($G122,RentRoll_InputArea_DesignatedUnitType),RentRoll_InputArea_MarketRent,"Not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22" s="2926">
        <f t="shared" si="11"/>
        <v>1189</v>
      </c>
      <c r="K122" s="2923"/>
      <c r="L122" s="2923"/>
      <c r="M122" s="2923"/>
      <c r="N122" s="2923"/>
      <c r="O122" s="2927">
        <v>43317</v>
      </c>
      <c r="P122" s="2927">
        <v>43708</v>
      </c>
      <c r="Q122" s="2928">
        <f t="shared" si="8"/>
      </c>
      <c r="R122" s="2928">
        <f t="shared" si="8"/>
        <v>1189</v>
      </c>
      <c r="S122" s="2928">
        <f t="shared" si="8"/>
      </c>
      <c r="T122" s="2928">
        <f t="shared" si="8"/>
      </c>
      <c r="U122" s="2928">
        <f t="shared" si="8"/>
      </c>
      <c r="V122" s="2928">
        <f t="shared" si="8"/>
      </c>
      <c r="W122" s="2928">
        <f t="shared" si="8"/>
      </c>
      <c r="X122" s="2928">
        <f t="shared" si="8"/>
      </c>
      <c r="Y122" s="2928">
        <f t="shared" si="8"/>
      </c>
      <c r="Z122" s="2928">
        <f t="shared" si="8"/>
      </c>
      <c r="AA122" s="2928">
        <f t="shared" si="8"/>
      </c>
      <c r="AB122" s="2928">
        <f t="shared" si="8"/>
      </c>
      <c r="AC122" s="2928">
        <f t="shared" si="8"/>
      </c>
      <c r="AD122" s="2928">
        <f t="shared" si="8"/>
      </c>
      <c r="AE122" s="2928">
        <f t="shared" si="8"/>
      </c>
      <c r="AF122" s="2928">
        <f t="shared" si="8"/>
      </c>
      <c r="AG122" s="2928">
        <f t="shared" si="8"/>
      </c>
      <c r="AH122" s="2928">
        <f t="shared" si="8"/>
      </c>
      <c r="AI122" s="2928">
        <f t="shared" si="8"/>
      </c>
      <c r="AJ122" s="2928">
        <f t="shared" si="8"/>
      </c>
      <c r="AK122" s="2928">
        <f t="shared" si="8"/>
      </c>
      <c r="AL122" s="2928">
        <f t="shared" si="8"/>
      </c>
      <c r="AM122" s="2928">
        <f t="shared" si="8"/>
      </c>
      <c r="AN122" s="2928">
        <f t="shared" si="8"/>
      </c>
      <c r="AO122" s="2928">
        <f t="shared" si="8"/>
      </c>
      <c r="AP122" s="2928">
        <f t="shared" si="8"/>
      </c>
      <c r="AQ122" s="2928">
        <f t="shared" si="8"/>
      </c>
      <c r="AR122" s="2928">
        <f t="shared" si="8"/>
      </c>
      <c r="AS122" s="2928">
        <f t="shared" si="8"/>
      </c>
      <c r="AT122" s="2928">
        <f t="shared" si="8"/>
      </c>
      <c r="AU122" s="2928">
        <f t="shared" si="8"/>
      </c>
      <c r="AV122" s="2928">
        <f t="shared" si="8"/>
      </c>
      <c r="AW122" s="2928">
        <f t="shared" si="8"/>
      </c>
      <c r="AX122" s="2928">
        <f t="shared" si="8"/>
      </c>
      <c r="AY122" s="2928">
        <f t="shared" si="8"/>
      </c>
      <c r="AZ122" s="2928">
        <f t="shared" si="8"/>
      </c>
      <c r="BA122" s="2928">
        <f t="shared" si="8"/>
      </c>
      <c r="BB122" s="2928">
        <f t="shared" si="8"/>
      </c>
      <c r="BC122" s="2928">
        <f t="shared" si="8"/>
      </c>
      <c r="BD122" s="2928">
        <f t="shared" si="8"/>
      </c>
      <c r="BE122" s="2928">
        <f t="shared" si="8"/>
      </c>
      <c r="BF122" s="2928">
        <f t="shared" si="8"/>
      </c>
      <c r="BG122" s="2928">
        <f t="shared" si="8"/>
      </c>
      <c r="BH122" s="2928">
        <f t="shared" si="8"/>
      </c>
      <c r="BI122" s="2928">
        <f t="shared" si="8"/>
      </c>
      <c r="BJ122" s="2928">
        <f t="shared" si="8"/>
      </c>
      <c r="BK122" s="2928">
        <f t="shared" si="8"/>
      </c>
      <c r="BL122" s="2928">
        <f t="shared" si="8"/>
      </c>
      <c r="BM122" s="2928">
        <f t="shared" si="8"/>
      </c>
      <c r="BN122" s="2928">
        <f t="shared" si="8"/>
      </c>
      <c r="BO122" s="2928">
        <f t="shared" si="8"/>
      </c>
      <c r="BP122" s="2928">
        <f t="shared" si="8"/>
      </c>
      <c r="BQ122" s="2928">
        <f t="shared" si="8"/>
      </c>
      <c r="BR122" s="2928">
        <f t="shared" si="8"/>
      </c>
      <c r="BS122" s="2928">
        <f t="shared" si="8"/>
      </c>
      <c r="BT122" s="2928">
        <f t="shared" si="8"/>
      </c>
      <c r="BU122" s="2928">
        <f t="shared" si="8"/>
      </c>
      <c r="BV122" s="2928">
        <f t="shared" si="8"/>
      </c>
      <c r="BW122" s="2928">
        <f t="shared" si="8"/>
      </c>
      <c r="BX122" s="2928">
        <f t="shared" si="8"/>
      </c>
      <c r="BY122" s="2928">
        <f t="shared" si="8"/>
      </c>
      <c r="BZ122" s="2928">
        <f t="shared" si="8"/>
      </c>
      <c r="CA122" s="2928">
        <f t="shared" si="8"/>
      </c>
      <c r="CB122" s="2928">
        <f t="shared" si="8"/>
      </c>
      <c r="CC122" s="2928">
        <f t="shared" si="8"/>
      </c>
      <c r="CD122" s="2928">
        <f t="shared" si="8"/>
      </c>
      <c r="CE122" s="2928">
        <f t="shared" si="8"/>
      </c>
      <c r="CF122" s="2928">
        <f t="shared" si="8"/>
      </c>
      <c r="CG122" s="2928">
        <f t="shared" si="8"/>
      </c>
      <c r="CH122" s="2928">
        <f t="shared" si="8"/>
      </c>
      <c r="CI122" s="2928">
        <f t="shared" si="8"/>
      </c>
      <c r="CJ122" s="2928">
        <f t="shared" si="8"/>
      </c>
      <c r="CK122" s="2928">
        <f t="shared" si="8"/>
      </c>
      <c r="CL122" s="2928">
        <f t="shared" si="8"/>
      </c>
      <c r="CM122" s="2928">
        <f t="shared" si="8"/>
      </c>
      <c r="CN122" s="2928">
        <f t="shared" si="8"/>
      </c>
      <c r="CO122" s="2928">
        <f t="shared" si="8"/>
      </c>
      <c r="CP122" s="2928">
        <f t="shared" si="8"/>
      </c>
      <c r="CQ122" s="2928">
        <f t="shared" si="8"/>
      </c>
      <c r="CR122" s="2928">
        <f t="shared" si="8"/>
      </c>
      <c r="CS122" s="2928">
        <f t="shared" si="8"/>
      </c>
      <c r="CT122" s="2928">
        <f t="shared" si="8"/>
      </c>
      <c r="CU122" s="2928">
        <f t="shared" si="8"/>
      </c>
      <c r="CV122" s="2928">
        <f t="shared" si="8"/>
      </c>
      <c r="CW122" s="2928">
        <f t="shared" si="8"/>
      </c>
      <c r="CX122" s="2928">
        <f t="shared" si="8"/>
      </c>
      <c r="CY122" s="2928">
        <f t="shared" si="8"/>
      </c>
      <c r="CZ122" s="2928">
        <f t="shared" si="8"/>
      </c>
      <c r="DA122" s="2928">
        <f t="shared" si="8"/>
      </c>
      <c r="DB122" s="2928">
        <f t="shared" si="8"/>
      </c>
      <c r="DC122" s="2928">
        <f t="shared" si="8"/>
      </c>
      <c r="DD122" s="2928">
        <f t="shared" si="8"/>
      </c>
      <c r="DE122" s="2928">
        <f t="shared" si="8"/>
      </c>
      <c r="DF122" s="2928">
        <f t="shared" si="8"/>
      </c>
      <c r="DG122" s="2928">
        <f t="shared" si="8"/>
      </c>
      <c r="DH122" s="2928">
        <f t="shared" si="8"/>
      </c>
      <c r="DI122" s="2928">
        <f t="shared" si="8"/>
      </c>
      <c r="DJ122" s="2928">
        <f t="shared" si="8"/>
      </c>
      <c r="DK122" s="2928">
        <f t="shared" si="8"/>
      </c>
      <c r="DL122" s="2928">
        <f t="shared" si="8"/>
      </c>
      <c r="DM122" s="2928">
        <f t="shared" si="8"/>
      </c>
      <c r="DN122" s="2928">
        <f t="shared" si="8"/>
      </c>
      <c r="DO122" s="2928">
        <f t="shared" si="8"/>
      </c>
      <c r="DP122" s="2928">
        <f t="shared" si="8"/>
      </c>
      <c r="DQ122" s="2928">
        <f t="shared" si="8"/>
      </c>
      <c r="DR122" s="2928">
        <f t="shared" si="8"/>
      </c>
      <c r="DS122" s="2928">
        <f t="shared" si="8"/>
      </c>
      <c r="DT122" s="2928">
        <f t="shared" si="8"/>
      </c>
      <c r="DU122" s="2928">
        <f t="shared" si="8"/>
      </c>
      <c r="DV122" s="2928">
        <f t="shared" si="8"/>
      </c>
      <c r="DW122" s="2928">
        <f t="shared" si="8"/>
      </c>
      <c r="DX122" s="2928">
        <f t="shared" si="8"/>
      </c>
      <c r="DY122" s="2928">
        <f t="shared" si="8"/>
      </c>
      <c r="DZ122" s="2928">
        <f t="shared" si="8"/>
      </c>
      <c r="EA122" s="2928">
        <f t="shared" si="8"/>
      </c>
      <c r="EB122" s="2928">
        <f t="shared" si="8"/>
      </c>
      <c r="EC122" s="2928">
        <f t="shared" si="8"/>
      </c>
      <c r="ED122" s="2928">
        <f t="shared" si="8"/>
      </c>
      <c r="EE122" s="2928">
        <f t="shared" si="8"/>
      </c>
      <c r="EF122" s="2928">
        <f t="shared" si="8"/>
      </c>
      <c r="EG122" s="2928">
        <f t="shared" si="8"/>
      </c>
      <c r="EH122" s="2928">
        <f t="shared" si="8"/>
      </c>
      <c r="EI122" s="2928">
        <f t="shared" si="8"/>
      </c>
      <c r="EJ122" s="2928">
        <f t="shared" si="8"/>
      </c>
      <c r="EK122" s="2928">
        <f t="shared" si="8"/>
      </c>
      <c r="EL122" s="2928">
        <f t="shared" si="8"/>
      </c>
      <c r="EM122" s="2928">
        <f t="shared" si="8"/>
      </c>
      <c r="EN122" s="2928">
        <f t="shared" si="8"/>
      </c>
      <c r="EO122" s="2928">
        <f t="shared" si="8"/>
      </c>
      <c r="EP122" s="2928">
        <f t="shared" si="8"/>
      </c>
      <c r="EQ122" s="2928">
        <f t="shared" si="8"/>
      </c>
      <c r="ER122" s="2928">
        <f t="shared" si="8"/>
      </c>
      <c r="ES122" s="2928">
        <f t="shared" si="8"/>
      </c>
      <c r="ET122" s="2928">
        <f t="shared" si="8"/>
      </c>
      <c r="EU122" s="2928">
        <f t="shared" si="8"/>
      </c>
      <c r="EV122" s="2928">
        <f t="shared" si="8"/>
      </c>
      <c r="EW122" s="2928">
        <f t="shared" si="8"/>
      </c>
      <c r="EX122" s="2928">
        <f t="shared" si="8"/>
      </c>
      <c r="EY122" s="2928">
        <f t="shared" si="8"/>
      </c>
      <c r="EZ122" s="2928">
        <f t="shared" si="8"/>
      </c>
      <c r="FA122" s="2929" t="str">
        <f t="shared" si="12"/>
        <v>-</v>
      </c>
      <c r="FB122" s="2825">
        <f t="shared" si="13"/>
      </c>
      <c r="FC122" s="2930" cm="1">
        <f t="array" ref="FC122">_xlfn.LET(_xlpm.unit_type,$G122,_xlpm.market_rent_from_rent_roll,$E122,_xlpm.unit_type_list,RentRoll_InputArea_DesignatedUnitType,_xlpm.rent_by_unit_type,RentRoll_InputArea_MarketRent,_xlpm.use_rent_roll_market_rent,LEFT(RR_VacantUnitMktRentSource,9)="Rent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22" s="2930">
        <f t="shared" si="14"/>
        <v>1189</v>
      </c>
      <c r="FE122" s="2930">
        <f t="shared" si="15"/>
        <v>1189</v>
      </c>
      <c r="FF122" s="2930">
        <f t="shared" si="16"/>
        <v>1189</v>
      </c>
      <c r="FG122" s="2931"/>
      <c r="FH122" s="2932">
        <f t="shared" si="17"/>
      </c>
      <c r="FI122" s="2932">
        <f t="shared" si="18"/>
      </c>
      <c r="FJ122" s="2931"/>
      <c r="FK122" s="2933" cm="1">
        <f t="array" ref="FK122">IF(AND(LEN($D122)&gt;0,ISNA(MATCH(TRUE,EXACT($G122,RentRoll_InputArea_DesignatedUnitType),0))),1,0)</f>
        <v>0</v>
      </c>
      <c r="FL122" s="2931">
        <f t="shared" si="19"/>
        <v>99</v>
      </c>
      <c r="FM122" s="2931"/>
      <c r="FN122" s="2931"/>
      <c r="FO122" s="2931"/>
      <c r="FP122" s="2931"/>
      <c r="FQ122" s="2931"/>
      <c r="FR122" s="2931"/>
      <c r="FS122" s="2931"/>
      <c r="FT122" s="2931"/>
      <c r="FU122" s="2931"/>
      <c r="FV122" s="2931"/>
      <c r="FW122" s="2931"/>
      <c r="FX122" s="2931"/>
      <c r="FY122" s="2931"/>
      <c r="FZ122" s="2931"/>
      <c r="GA122" s="2931"/>
      <c r="GB122" s="2931"/>
      <c r="GC122" s="2931"/>
      <c r="GD122" s="2931"/>
      <c r="GE122" s="2931"/>
      <c r="GF122" s="2931"/>
      <c r="GG122" s="2931"/>
      <c r="GH122" s="2931"/>
      <c r="GI122" s="2931"/>
      <c r="GJ122" s="2931"/>
      <c r="GK122" s="2931"/>
      <c r="GL122" s="2931"/>
      <c r="GM122" s="2931"/>
      <c r="GN122" s="2931"/>
      <c r="GO122" s="2931"/>
      <c r="GP122" s="2931"/>
      <c r="GQ122" s="2931"/>
      <c r="GR122" s="2931"/>
      <c r="GS122" s="2931"/>
      <c r="GT122" s="2931"/>
      <c r="GU122" s="2931"/>
      <c r="GV122" s="2931"/>
      <c r="GW122" s="2931"/>
      <c r="GX122" s="2931"/>
      <c r="GY122" s="2931"/>
      <c r="GZ122" s="2931"/>
      <c r="HA122" s="2931"/>
      <c r="HB122" s="2931"/>
      <c r="HC122" s="2931"/>
      <c r="HD122" s="2931"/>
      <c r="HE122" s="2931"/>
      <c r="HF122" s="2931"/>
      <c r="HG122" s="2931"/>
      <c r="HH122" s="2931"/>
      <c r="HI122" s="2931"/>
      <c r="HJ122" s="2931"/>
      <c r="HK122" s="2931"/>
      <c r="HL122" s="2931"/>
      <c r="HM122" s="2931"/>
      <c r="HN122" s="2931"/>
      <c r="HO122" s="2931"/>
      <c r="HP122" s="2931"/>
      <c r="HQ122" s="2931"/>
      <c r="HR122" s="2931"/>
      <c r="HS122" s="2931"/>
      <c r="HT122" s="2931"/>
      <c r="HU122" s="2931"/>
      <c r="HV122" s="2931"/>
      <c r="HW122" s="2931"/>
      <c r="HX122" s="2931"/>
      <c r="HY122" s="2931"/>
      <c r="HZ122" s="2931"/>
      <c r="IA122" s="2931"/>
      <c r="IB122" s="2931"/>
      <c r="IC122" s="2931"/>
      <c r="ID122" s="2931"/>
      <c r="IE122" s="2931"/>
      <c r="IF122" s="2931"/>
      <c r="IG122" s="2931"/>
      <c r="IH122" s="2931"/>
      <c r="II122" s="2931"/>
      <c r="IJ122" s="2931"/>
      <c r="IK122" s="2931"/>
      <c r="IL122" s="2931"/>
      <c r="IM122" s="2931"/>
      <c r="IN122" s="2931"/>
      <c r="IO122" s="2931" cm="1">
        <f t="array" ref="IO122">IF(LEN($G122)=0,"Rent Roll is incomplete",_xlfn.XLOOKUP(TRUE,EXACT(RentRoll_InputArea_DesignatedUnitType,$G122),RentRoll_InputArea_Beds,"Not Found"))</f>
        <v>0</v>
      </c>
      <c r="IP122" s="2934"/>
      <c r="IQ122" s="2935" t="str">
        <f t="shared" si="20"/>
        <v>0 Bedroom Unit (Efficiency/Studio)</v>
      </c>
      <c r="IR122" s="2926">
        <f t="shared" si="21"/>
        <v>1189</v>
      </c>
      <c r="IS122" s="2935"/>
      <c r="IT122" s="2931"/>
      <c r="IU122" s="2931"/>
      <c r="IV122" s="2931"/>
      <c r="IW122" s="2936" t="str">
        <f t="shared" si="22"/>
        <v>8-810</v>
      </c>
      <c r="IX122" s="2936"/>
      <c r="IY122" s="2936"/>
      <c r="IZ122" s="2936">
        <f t="shared" si="23"/>
        <v>0</v>
      </c>
      <c r="JA122" s="2936">
        <f t="shared" si="24"/>
        <v>1189</v>
      </c>
      <c r="JB122" s="2936"/>
      <c r="JC122" s="2936"/>
      <c r="JD122" s="2936"/>
      <c r="JE122" s="2936"/>
      <c r="JF122" s="2936"/>
      <c r="JG122" s="2936"/>
      <c r="JH122" s="2936">
        <f t="shared" si="25"/>
        <v>1217</v>
      </c>
      <c r="JI122" s="2936"/>
      <c r="JJ122" s="2936">
        <f t="shared" si="26"/>
      </c>
      <c r="JK122" s="2936"/>
      <c r="JL122" s="2936"/>
      <c r="JM122" s="2936"/>
      <c r="JN122" s="2936"/>
      <c r="JO122" s="2936"/>
      <c r="JP122" s="2936"/>
      <c r="JQ122" s="2936" t="str">
        <f t="shared" si="27"/>
        <v>Occupied</v>
      </c>
      <c r="JR122" s="2936" cm="1">
        <f t="array" ref="JR122">_xlfn.XLOOKUP(TRUE,EXACT(RentRoll_InputArea_DesignatedUnitType,$G122),RentRoll_InputArea_SquareFootage,"Not Found")</f>
        <v>800</v>
      </c>
      <c r="JS122" s="2936" t="str">
        <f t="shared" si="28"/>
        <v>Apartment</v>
      </c>
      <c r="JT122" s="2936">
        <f t="shared" si="29"/>
      </c>
      <c r="JU122" s="2936"/>
      <c r="JV122" s="2936"/>
      <c r="JW122" s="2936"/>
      <c r="JX122" s="2936"/>
      <c r="JY122" s="2936">
        <f t="shared" si="9"/>
        <v>43317</v>
      </c>
      <c r="JZ122" s="2936">
        <f t="shared" si="9"/>
        <v>43708</v>
      </c>
      <c r="KA122" s="2936"/>
      <c r="KB122" s="2936"/>
      <c r="KC122" s="2936"/>
      <c r="KD122" s="2936"/>
      <c r="KE122" s="2936"/>
      <c r="KF122" s="2936"/>
      <c r="KG122" s="2936"/>
      <c r="KH122" s="2936"/>
      <c r="KI122" s="2937"/>
      <c r="KJ122" s="2936"/>
      <c r="KK122" s="1353"/>
    </row>
    <row r="123" ht="15" customHeight="1">
      <c r="A123" s="2922">
        <f t="shared" si="10"/>
        <v>100</v>
      </c>
      <c r="B123" s="2865"/>
      <c r="C123" s="2873"/>
      <c r="D123" s="2873" t="s">
        <v>2940</v>
      </c>
      <c r="E123" s="2923">
        <v>1263</v>
      </c>
      <c r="F123" s="2924" t="s">
        <v>2941</v>
      </c>
      <c r="G123" s="2873" t="s">
        <v>2530</v>
      </c>
      <c r="H123" s="2923">
        <v>1226</v>
      </c>
      <c r="I123" s="2925" cm="1">
        <f t="array" ref="I123">_xlfn.LET(_xlpm.has_subsidy,$N123&gt;0,_xlpm.is_chap9_sbl,$FF$20,_xlpm.contract_rent,$H123,_xlpm.unit_type_mkt_rent,_xlfn.XLOOKUP(TRUE,EXACT($G123,RentRoll_InputArea_DesignatedUnitType),RentRoll_InputArea_MarketRent,"Not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23" s="2926">
        <f t="shared" si="11"/>
        <v>1226</v>
      </c>
      <c r="K123" s="2923"/>
      <c r="L123" s="2923"/>
      <c r="M123" s="2923"/>
      <c r="N123" s="2923"/>
      <c r="O123" s="2927">
        <v>43484</v>
      </c>
      <c r="P123" s="2927">
        <v>43769</v>
      </c>
      <c r="Q123" s="2928">
        <f t="shared" si="8"/>
      </c>
      <c r="R123" s="2928">
        <f t="shared" si="8"/>
        <v>1226</v>
      </c>
      <c r="S123" s="2928">
        <f t="shared" si="8"/>
      </c>
      <c r="T123" s="2928">
        <f t="shared" si="8"/>
      </c>
      <c r="U123" s="2928">
        <f t="shared" si="8"/>
      </c>
      <c r="V123" s="2928">
        <f t="shared" si="8"/>
      </c>
      <c r="W123" s="2928">
        <f t="shared" si="8"/>
      </c>
      <c r="X123" s="2928">
        <f t="shared" si="8"/>
      </c>
      <c r="Y123" s="2928">
        <f t="shared" si="8"/>
      </c>
      <c r="Z123" s="2928">
        <f t="shared" si="8"/>
      </c>
      <c r="AA123" s="2928">
        <f t="shared" si="8"/>
      </c>
      <c r="AB123" s="2928">
        <f t="shared" si="8"/>
      </c>
      <c r="AC123" s="2928">
        <f t="shared" si="8"/>
      </c>
      <c r="AD123" s="2928">
        <f t="shared" si="8"/>
      </c>
      <c r="AE123" s="2928">
        <f t="shared" si="8"/>
      </c>
      <c r="AF123" s="2928">
        <f t="shared" si="8"/>
      </c>
      <c r="AG123" s="2928">
        <f t="shared" si="8"/>
      </c>
      <c r="AH123" s="2928">
        <f t="shared" si="8"/>
      </c>
      <c r="AI123" s="2928">
        <f t="shared" si="8"/>
      </c>
      <c r="AJ123" s="2928">
        <f t="shared" si="8"/>
      </c>
      <c r="AK123" s="2928">
        <f t="shared" si="8"/>
      </c>
      <c r="AL123" s="2928">
        <f t="shared" si="8"/>
      </c>
      <c r="AM123" s="2928">
        <f t="shared" si="8"/>
      </c>
      <c r="AN123" s="2928">
        <f t="shared" si="8"/>
      </c>
      <c r="AO123" s="2928">
        <f t="shared" si="8"/>
      </c>
      <c r="AP123" s="2928">
        <f t="shared" si="8"/>
      </c>
      <c r="AQ123" s="2928">
        <f t="shared" si="8"/>
      </c>
      <c r="AR123" s="2928">
        <f t="shared" si="8"/>
      </c>
      <c r="AS123" s="2928">
        <f t="shared" si="8"/>
      </c>
      <c r="AT123" s="2928">
        <f t="shared" si="8"/>
      </c>
      <c r="AU123" s="2928">
        <f t="shared" si="8"/>
      </c>
      <c r="AV123" s="2928">
        <f t="shared" si="8"/>
      </c>
      <c r="AW123" s="2928">
        <f t="shared" si="8"/>
      </c>
      <c r="AX123" s="2928">
        <f t="shared" si="8"/>
      </c>
      <c r="AY123" s="2928">
        <f t="shared" si="8"/>
      </c>
      <c r="AZ123" s="2928">
        <f t="shared" si="8"/>
      </c>
      <c r="BA123" s="2928">
        <f t="shared" si="8"/>
      </c>
      <c r="BB123" s="2928">
        <f t="shared" si="8"/>
      </c>
      <c r="BC123" s="2928">
        <f t="shared" si="8"/>
      </c>
      <c r="BD123" s="2928">
        <f t="shared" si="8"/>
      </c>
      <c r="BE123" s="2928">
        <f t="shared" si="8"/>
      </c>
      <c r="BF123" s="2928">
        <f t="shared" si="8"/>
      </c>
      <c r="BG123" s="2928">
        <f t="shared" si="8"/>
      </c>
      <c r="BH123" s="2928">
        <f t="shared" si="8"/>
      </c>
      <c r="BI123" s="2928">
        <f t="shared" si="8"/>
      </c>
      <c r="BJ123" s="2928">
        <f t="shared" si="8"/>
      </c>
      <c r="BK123" s="2928">
        <f t="shared" si="8"/>
      </c>
      <c r="BL123" s="2928">
        <f t="shared" si="8"/>
      </c>
      <c r="BM123" s="2928">
        <f t="shared" si="8"/>
      </c>
      <c r="BN123" s="2928">
        <f t="shared" si="8"/>
      </c>
      <c r="BO123" s="2928">
        <f t="shared" si="8"/>
      </c>
      <c r="BP123" s="2928">
        <f t="shared" si="8"/>
      </c>
      <c r="BQ123" s="2928">
        <f t="shared" si="8"/>
      </c>
      <c r="BR123" s="2928">
        <f t="shared" si="8"/>
      </c>
      <c r="BS123" s="2928">
        <f t="shared" si="8"/>
      </c>
      <c r="BT123" s="2928">
        <f t="shared" si="8"/>
      </c>
      <c r="BU123" s="2928">
        <f t="shared" si="8"/>
      </c>
      <c r="BV123" s="2928">
        <f t="shared" si="8"/>
      </c>
      <c r="BW123" s="2928">
        <f t="shared" si="8"/>
      </c>
      <c r="BX123" s="2928">
        <f t="shared" si="8"/>
      </c>
      <c r="BY123" s="2928">
        <f t="shared" si="8"/>
      </c>
      <c r="BZ123" s="2928">
        <f t="shared" si="8"/>
      </c>
      <c r="CA123" s="2928">
        <f t="shared" si="8"/>
      </c>
      <c r="CB123" s="2928">
        <f t="shared" si="8"/>
      </c>
      <c r="CC123" s="2928">
        <f t="shared" si="8"/>
      </c>
      <c r="CD123" s="2928">
        <f t="shared" si="8"/>
      </c>
      <c r="CE123" s="2928">
        <f t="shared" si="8"/>
      </c>
      <c r="CF123" s="2928">
        <f t="shared" si="8"/>
      </c>
      <c r="CG123" s="2928">
        <f t="shared" si="8"/>
      </c>
      <c r="CH123" s="2928">
        <f t="shared" si="8"/>
      </c>
      <c r="CI123" s="2928">
        <f t="shared" si="8"/>
      </c>
      <c r="CJ123" s="2928">
        <f t="shared" si="8"/>
      </c>
      <c r="CK123" s="2928">
        <f t="shared" si="8"/>
      </c>
      <c r="CL123" s="2928">
        <f t="shared" si="8"/>
      </c>
      <c r="CM123" s="2928">
        <f t="shared" si="8"/>
      </c>
      <c r="CN123" s="2928">
        <f t="shared" si="8"/>
      </c>
      <c r="CO123" s="2928">
        <f t="shared" si="8"/>
      </c>
      <c r="CP123" s="2928">
        <f t="shared" si="8"/>
      </c>
      <c r="CQ123" s="2928">
        <f t="shared" si="8"/>
      </c>
      <c r="CR123" s="2928">
        <f t="shared" si="8"/>
      </c>
      <c r="CS123" s="2928">
        <f t="shared" si="8"/>
      </c>
      <c r="CT123" s="2928">
        <f t="shared" si="8"/>
      </c>
      <c r="CU123" s="2928">
        <f t="shared" si="8"/>
      </c>
      <c r="CV123" s="2928">
        <f t="shared" si="8"/>
      </c>
      <c r="CW123" s="2928">
        <f t="shared" si="8"/>
      </c>
      <c r="CX123" s="2928">
        <f t="shared" si="8"/>
      </c>
      <c r="CY123" s="2928">
        <f t="shared" si="8"/>
      </c>
      <c r="CZ123" s="2928">
        <f t="shared" si="8"/>
      </c>
      <c r="DA123" s="2928">
        <f t="shared" si="8"/>
      </c>
      <c r="DB123" s="2928">
        <f t="shared" si="8"/>
      </c>
      <c r="DC123" s="2928">
        <f t="shared" si="8"/>
      </c>
      <c r="DD123" s="2928">
        <f t="shared" si="8"/>
      </c>
      <c r="DE123" s="2928">
        <f t="shared" si="8"/>
      </c>
      <c r="DF123" s="2928">
        <f t="shared" si="8"/>
      </c>
      <c r="DG123" s="2928">
        <f t="shared" si="8"/>
      </c>
      <c r="DH123" s="2928">
        <f t="shared" si="8"/>
      </c>
      <c r="DI123" s="2928">
        <f t="shared" si="8"/>
      </c>
      <c r="DJ123" s="2928">
        <f t="shared" si="8"/>
      </c>
      <c r="DK123" s="2928">
        <f t="shared" si="8"/>
      </c>
      <c r="DL123" s="2928">
        <f t="shared" si="8"/>
      </c>
      <c r="DM123" s="2928">
        <f t="shared" si="8"/>
      </c>
      <c r="DN123" s="2928">
        <f t="shared" si="8"/>
      </c>
      <c r="DO123" s="2928">
        <f t="shared" si="8"/>
      </c>
      <c r="DP123" s="2928">
        <f t="shared" si="8"/>
      </c>
      <c r="DQ123" s="2928">
        <f t="shared" si="8"/>
      </c>
      <c r="DR123" s="2928">
        <f t="shared" si="8"/>
      </c>
      <c r="DS123" s="2928">
        <f t="shared" si="8"/>
      </c>
      <c r="DT123" s="2928">
        <f t="shared" si="8"/>
      </c>
      <c r="DU123" s="2928">
        <f t="shared" si="8"/>
      </c>
      <c r="DV123" s="2928">
        <f t="shared" si="8"/>
      </c>
      <c r="DW123" s="2928">
        <f t="shared" si="8"/>
      </c>
      <c r="DX123" s="2928">
        <f t="shared" si="8"/>
      </c>
      <c r="DY123" s="2928">
        <f t="shared" si="8"/>
      </c>
      <c r="DZ123" s="2928">
        <f t="shared" si="8"/>
      </c>
      <c r="EA123" s="2928">
        <f t="shared" si="8"/>
      </c>
      <c r="EB123" s="2928">
        <f t="shared" si="8"/>
      </c>
      <c r="EC123" s="2928">
        <f t="shared" si="8"/>
      </c>
      <c r="ED123" s="2928">
        <f t="shared" si="8"/>
      </c>
      <c r="EE123" s="2928">
        <f t="shared" si="8"/>
      </c>
      <c r="EF123" s="2928">
        <f t="shared" si="8"/>
      </c>
      <c r="EG123" s="2928">
        <f t="shared" si="8"/>
      </c>
      <c r="EH123" s="2928">
        <f t="shared" si="8"/>
      </c>
      <c r="EI123" s="2928">
        <f t="shared" si="8"/>
      </c>
      <c r="EJ123" s="2928">
        <f t="shared" si="8"/>
      </c>
      <c r="EK123" s="2928">
        <f t="shared" si="8"/>
      </c>
      <c r="EL123" s="2928">
        <f t="shared" si="8"/>
      </c>
      <c r="EM123" s="2928">
        <f t="shared" si="8"/>
      </c>
      <c r="EN123" s="2928">
        <f t="shared" si="8"/>
      </c>
      <c r="EO123" s="2928">
        <f t="shared" si="8"/>
      </c>
      <c r="EP123" s="2928">
        <f t="shared" si="8"/>
      </c>
      <c r="EQ123" s="2928">
        <f t="shared" si="8"/>
      </c>
      <c r="ER123" s="2928">
        <f t="shared" si="8"/>
      </c>
      <c r="ES123" s="2928">
        <f t="shared" si="8"/>
      </c>
      <c r="ET123" s="2928">
        <f t="shared" si="8"/>
      </c>
      <c r="EU123" s="2928">
        <f t="shared" si="8"/>
      </c>
      <c r="EV123" s="2928">
        <f t="shared" si="8"/>
      </c>
      <c r="EW123" s="2928">
        <f t="shared" si="8"/>
      </c>
      <c r="EX123" s="2928">
        <f t="shared" si="8"/>
      </c>
      <c r="EY123" s="2928">
        <f t="shared" si="8"/>
      </c>
      <c r="EZ123" s="2928">
        <f t="shared" si="8"/>
      </c>
      <c r="FA123" s="2929" t="str">
        <f t="shared" si="12"/>
        <v>-</v>
      </c>
      <c r="FB123" s="2825">
        <f t="shared" si="13"/>
      </c>
      <c r="FC123" s="2930" cm="1">
        <f t="array" ref="FC123">_xlfn.LET(_xlpm.unit_type,$G123,_xlpm.market_rent_from_rent_roll,$E123,_xlpm.unit_type_list,RentRoll_InputArea_DesignatedUnitType,_xlpm.rent_by_unit_type,RentRoll_InputArea_MarketRent,_xlpm.use_rent_roll_market_rent,LEFT(RR_VacantUnitMktRentSource,9)="Rent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1217</v>
      </c>
      <c r="FD123" s="2930">
        <f t="shared" si="14"/>
        <v>1226</v>
      </c>
      <c r="FE123" s="2930">
        <f t="shared" si="15"/>
        <v>1226</v>
      </c>
      <c r="FF123" s="2930">
        <f t="shared" si="16"/>
        <v>1226</v>
      </c>
      <c r="FG123" s="2931"/>
      <c r="FH123" s="2932">
        <f t="shared" si="17"/>
      </c>
      <c r="FI123" s="2932">
        <f t="shared" si="18"/>
      </c>
      <c r="FJ123" s="2931"/>
      <c r="FK123" s="2933" cm="1">
        <f t="array" ref="FK123">IF(AND(LEN($D123)&gt;0,ISNA(MATCH(TRUE,EXACT($G123,RentRoll_InputArea_DesignatedUnitType),0))),1,0)</f>
        <v>0</v>
      </c>
      <c r="FL123" s="2931">
        <f t="shared" si="19"/>
        <v>100</v>
      </c>
      <c r="FM123" s="2931"/>
      <c r="FN123" s="2931"/>
      <c r="FO123" s="2931"/>
      <c r="FP123" s="2931"/>
      <c r="FQ123" s="2931"/>
      <c r="FR123" s="2931"/>
      <c r="FS123" s="2931"/>
      <c r="FT123" s="2931"/>
      <c r="FU123" s="2931"/>
      <c r="FV123" s="2931"/>
      <c r="FW123" s="2931"/>
      <c r="FX123" s="2931"/>
      <c r="FY123" s="2931"/>
      <c r="FZ123" s="2931"/>
      <c r="GA123" s="2931"/>
      <c r="GB123" s="2931"/>
      <c r="GC123" s="2931"/>
      <c r="GD123" s="2931"/>
      <c r="GE123" s="2931"/>
      <c r="GF123" s="2931"/>
      <c r="GG123" s="2931"/>
      <c r="GH123" s="2931"/>
      <c r="GI123" s="2931"/>
      <c r="GJ123" s="2931"/>
      <c r="GK123" s="2931"/>
      <c r="GL123" s="2931"/>
      <c r="GM123" s="2931"/>
      <c r="GN123" s="2931"/>
      <c r="GO123" s="2931"/>
      <c r="GP123" s="2931"/>
      <c r="GQ123" s="2931"/>
      <c r="GR123" s="2931"/>
      <c r="GS123" s="2931"/>
      <c r="GT123" s="2931"/>
      <c r="GU123" s="2931"/>
      <c r="GV123" s="2931"/>
      <c r="GW123" s="2931"/>
      <c r="GX123" s="2931"/>
      <c r="GY123" s="2931"/>
      <c r="GZ123" s="2931"/>
      <c r="HA123" s="2931"/>
      <c r="HB123" s="2931"/>
      <c r="HC123" s="2931"/>
      <c r="HD123" s="2931"/>
      <c r="HE123" s="2931"/>
      <c r="HF123" s="2931"/>
      <c r="HG123" s="2931"/>
      <c r="HH123" s="2931"/>
      <c r="HI123" s="2931"/>
      <c r="HJ123" s="2931"/>
      <c r="HK123" s="2931"/>
      <c r="HL123" s="2931"/>
      <c r="HM123" s="2931"/>
      <c r="HN123" s="2931"/>
      <c r="HO123" s="2931"/>
      <c r="HP123" s="2931"/>
      <c r="HQ123" s="2931"/>
      <c r="HR123" s="2931"/>
      <c r="HS123" s="2931"/>
      <c r="HT123" s="2931"/>
      <c r="HU123" s="2931"/>
      <c r="HV123" s="2931"/>
      <c r="HW123" s="2931"/>
      <c r="HX123" s="2931"/>
      <c r="HY123" s="2931"/>
      <c r="HZ123" s="2931"/>
      <c r="IA123" s="2931"/>
      <c r="IB123" s="2931"/>
      <c r="IC123" s="2931"/>
      <c r="ID123" s="2931"/>
      <c r="IE123" s="2931"/>
      <c r="IF123" s="2931"/>
      <c r="IG123" s="2931"/>
      <c r="IH123" s="2931"/>
      <c r="II123" s="2931"/>
      <c r="IJ123" s="2931"/>
      <c r="IK123" s="2931"/>
      <c r="IL123" s="2931"/>
      <c r="IM123" s="2931"/>
      <c r="IN123" s="2931"/>
      <c r="IO123" s="2931" cm="1">
        <f t="array" ref="IO123">IF(LEN($G123)=0,"Rent Roll is incomplete",_xlfn.XLOOKUP(TRUE,EXACT(RentRoll_InputArea_DesignatedUnitType,$G123),RentRoll_InputArea_Beds,"Not Found"))</f>
        <v>0</v>
      </c>
      <c r="IP123" s="2934"/>
      <c r="IQ123" s="2935" t="str">
        <f t="shared" si="20"/>
        <v>0 Bedroom Unit (Efficiency/Studio)</v>
      </c>
      <c r="IR123" s="2926">
        <f t="shared" si="21"/>
        <v>1226</v>
      </c>
      <c r="IS123" s="2935"/>
      <c r="IT123" s="2931"/>
      <c r="IU123" s="2931"/>
      <c r="IV123" s="2931"/>
      <c r="IW123" s="2936" t="str">
        <f t="shared" si="22"/>
        <v>8-811</v>
      </c>
      <c r="IX123" s="2936"/>
      <c r="IY123" s="2936"/>
      <c r="IZ123" s="2936">
        <f t="shared" si="23"/>
        <v>0</v>
      </c>
      <c r="JA123" s="2936">
        <f t="shared" si="24"/>
        <v>1226</v>
      </c>
      <c r="JB123" s="2936"/>
      <c r="JC123" s="2936"/>
      <c r="JD123" s="2936"/>
      <c r="JE123" s="2936"/>
      <c r="JF123" s="2936"/>
      <c r="JG123" s="2936"/>
      <c r="JH123" s="2936">
        <f t="shared" si="25"/>
        <v>1217</v>
      </c>
      <c r="JI123" s="2936"/>
      <c r="JJ123" s="2936">
        <f t="shared" si="26"/>
      </c>
      <c r="JK123" s="2936"/>
      <c r="JL123" s="2936"/>
      <c r="JM123" s="2936"/>
      <c r="JN123" s="2936"/>
      <c r="JO123" s="2936"/>
      <c r="JP123" s="2936"/>
      <c r="JQ123" s="2936" t="str">
        <f t="shared" si="27"/>
        <v>Occupied</v>
      </c>
      <c r="JR123" s="2936" cm="1">
        <f t="array" ref="JR123">_xlfn.XLOOKUP(TRUE,EXACT(RentRoll_InputArea_DesignatedUnitType,$G123),RentRoll_InputArea_SquareFootage,"Not Found")</f>
        <v>800</v>
      </c>
      <c r="JS123" s="2936" t="str">
        <f t="shared" si="28"/>
        <v>Apartment</v>
      </c>
      <c r="JT123" s="2936">
        <f t="shared" si="29"/>
      </c>
      <c r="JU123" s="2936"/>
      <c r="JV123" s="2936"/>
      <c r="JW123" s="2936"/>
      <c r="JX123" s="2936"/>
      <c r="JY123" s="2936">
        <f t="shared" si="9"/>
        <v>43484</v>
      </c>
      <c r="JZ123" s="2936">
        <f t="shared" si="9"/>
        <v>43769</v>
      </c>
      <c r="KA123" s="2936"/>
      <c r="KB123" s="2936"/>
      <c r="KC123" s="2936"/>
      <c r="KD123" s="2936"/>
      <c r="KE123" s="2936"/>
      <c r="KF123" s="2936"/>
      <c r="KG123" s="2936"/>
      <c r="KH123" s="2936"/>
      <c r="KI123" s="2937"/>
      <c r="KJ123" s="2936"/>
      <c r="KK123" s="1353"/>
    </row>
    <row r="124" ht="15" customHeight="1">
      <c r="A124" s="2922">
        <f t="shared" si="10"/>
        <v>101</v>
      </c>
      <c r="B124" s="2865"/>
      <c r="C124" s="2873"/>
      <c r="D124" s="2873" t="s">
        <v>2942</v>
      </c>
      <c r="E124" s="2923">
        <v>1082</v>
      </c>
      <c r="F124" s="2924" t="s">
        <v>2943</v>
      </c>
      <c r="G124" s="2873" t="s">
        <v>2533</v>
      </c>
      <c r="H124" s="2923">
        <v>1017</v>
      </c>
      <c r="I124" s="2925" cm="1">
        <f t="array" ref="I124">_xlfn.LET(_xlpm.has_subsidy,$N124&gt;0,_xlpm.is_chap9_sbl,$FF$20,_xlpm.contract_rent,$H124,_xlpm.unit_type_mkt_rent,_xlfn.XLOOKUP(TRUE,EXACT($G124,RentRoll_InputArea_DesignatedUnitType),RentRoll_InputArea_MarketRent,"Not Found"),_xlpm.contract_rent_exceeds_market_rent,_xlpm.contract_rent&gt;_xlpm.unit_type_mkt_rent,IF(AND(_xlpm.contract_rent_exceeds_market_rent,OR(_xlpm.has_subsidy,_xlpm.is_chap9_sbl)),_xlpm.contract_rent-_xlpm.unit_type_mkt_rent,0))</f>
        <v>0</v>
      </c>
      <c r="J124" s="2926">
        <f t="shared" si="11"/>
        <v>1017</v>
      </c>
      <c r="K124" s="2923"/>
      <c r="L124" s="2923"/>
      <c r="M124" s="2923"/>
      <c r="N124" s="2923"/>
      <c r="O124" s="2927">
        <v>43160</v>
      </c>
      <c r="P124" s="2927">
        <v>43344</v>
      </c>
      <c r="Q124" s="2928">
        <f t="shared" si="8"/>
      </c>
      <c r="R124" s="2928">
        <f t="shared" si="8"/>
      </c>
      <c r="S124" s="2928">
        <f t="shared" si="8"/>
      </c>
      <c r="T124" s="2928">
        <f t="shared" si="8"/>
      </c>
      <c r="U124" s="2928">
        <f t="shared" si="8"/>
        <v>1017</v>
      </c>
      <c r="V124" s="2928">
        <f t="shared" si="8"/>
      </c>
      <c r="W124" s="2928">
        <f t="shared" si="8"/>
      </c>
      <c r="X124" s="2928">
        <f t="shared" si="8"/>
      </c>
      <c r="Y124" s="2928">
        <f t="shared" si="8"/>
      </c>
      <c r="Z124" s="2928">
        <f t="shared" si="8"/>
      </c>
      <c r="AA124" s="2928">
        <f t="shared" si="8"/>
      </c>
      <c r="AB124" s="2928">
        <f t="shared" si="8"/>
      </c>
      <c r="AC124" s="2928">
        <f t="shared" si="8"/>
      </c>
      <c r="AD124" s="2928">
        <f t="shared" si="8"/>
      </c>
      <c r="AE124" s="2928">
        <f t="shared" si="8"/>
      </c>
      <c r="AF124" s="2928">
        <f t="shared" si="8"/>
      </c>
      <c r="AG124" s="2928">
        <f t="shared" si="8"/>
      </c>
      <c r="AH124" s="2928">
        <f t="shared" si="8"/>
      </c>
      <c r="AI124" s="2928">
        <f t="shared" si="8"/>
      </c>
      <c r="AJ124" s="2928">
        <f t="shared" si="8"/>
      </c>
      <c r="AK124" s="2928">
        <f t="shared" si="8"/>
      </c>
      <c r="AL124" s="2928">
        <f t="shared" si="8"/>
      </c>
      <c r="AM124" s="2928">
        <f t="shared" si="8"/>
      </c>
      <c r="AN124" s="2928">
        <f t="shared" si="8"/>
      </c>
      <c r="AO124" s="2928">
        <f t="shared" si="8"/>
      </c>
      <c r="AP124" s="2928">
        <f t="shared" si="8"/>
      </c>
      <c r="AQ124" s="2928">
        <f t="shared" si="8"/>
      </c>
      <c r="AR124" s="2928">
        <f t="shared" si="8"/>
      </c>
      <c r="AS124" s="2928">
        <f t="shared" si="8"/>
      </c>
      <c r="AT124" s="2928">
        <f t="shared" si="8"/>
      </c>
      <c r="AU124" s="2928">
        <f t="shared" si="8"/>
      </c>
      <c r="AV124" s="2928">
        <f t="shared" si="8"/>
      </c>
      <c r="AW124" s="2928">
        <f t="shared" si="8"/>
      </c>
      <c r="AX124" s="2928">
        <f t="shared" si="8"/>
      </c>
      <c r="AY124" s="2928">
        <f t="shared" si="8"/>
      </c>
      <c r="AZ124" s="2928">
        <f t="shared" si="8"/>
      </c>
      <c r="BA124" s="2928">
        <f t="shared" si="8"/>
      </c>
      <c r="BB124" s="2928">
        <f t="shared" si="8"/>
      </c>
      <c r="BC124" s="2928">
        <f t="shared" si="8"/>
      </c>
      <c r="BD124" s="2928">
        <f t="shared" si="8"/>
      </c>
      <c r="BE124" s="2928">
        <f t="shared" si="8"/>
      </c>
      <c r="BF124" s="2928">
        <f t="shared" si="8"/>
      </c>
      <c r="BG124" s="2928">
        <f t="shared" si="8"/>
      </c>
      <c r="BH124" s="2928">
        <f t="shared" si="8"/>
      </c>
      <c r="BI124" s="2928">
        <f t="shared" si="8"/>
      </c>
      <c r="BJ124" s="2928">
        <f t="shared" si="8"/>
      </c>
      <c r="BK124" s="2928">
        <f t="shared" si="8"/>
      </c>
      <c r="BL124" s="2928">
        <f t="shared" si="8"/>
      </c>
      <c r="BM124" s="2928">
        <f t="shared" si="8"/>
      </c>
      <c r="BN124" s="2928">
        <f t="shared" si="8"/>
      </c>
      <c r="BO124" s="2928">
        <f t="shared" si="8"/>
      </c>
      <c r="BP124" s="2928">
        <f t="shared" si="8"/>
      </c>
      <c r="BQ124" s="2928">
        <f t="shared" si="8"/>
      </c>
      <c r="BR124" s="2928">
        <f t="shared" si="8"/>
      </c>
      <c r="BS124" s="2928">
        <f t="shared" si="8"/>
      </c>
      <c r="BT124" s="2928">
        <f t="shared" si="8"/>
      </c>
      <c r="BU124" s="2928">
        <f t="shared" si="8"/>
      </c>
      <c r="BV124" s="2928">
        <f t="shared" si="8"/>
      </c>
      <c r="BW124" s="2928">
        <f t="shared" si="8"/>
      </c>
      <c r="BX124" s="2928">
        <f t="shared" si="8"/>
      </c>
      <c r="BY124" s="2928">
        <f t="shared" si="8"/>
      </c>
      <c r="BZ124" s="2928">
        <f t="shared" si="8"/>
      </c>
      <c r="CA124" s="2928">
        <f t="shared" si="8"/>
      </c>
      <c r="CB124" s="2928">
        <f t="shared" si="8"/>
      </c>
      <c r="CC124" s="2928">
        <f t="shared" si="8"/>
      </c>
      <c r="CD124" s="2928">
        <f t="shared" si="8"/>
      </c>
      <c r="CE124" s="2928">
        <f t="shared" si="8"/>
      </c>
      <c r="CF124" s="2928">
        <f t="shared" si="8"/>
      </c>
      <c r="CG124" s="2928">
        <f t="shared" si="8"/>
      </c>
      <c r="CH124" s="2928">
        <f t="shared" si="8"/>
      </c>
      <c r="CI124" s="2928">
        <f t="shared" si="8"/>
      </c>
      <c r="CJ124" s="2928">
        <f t="shared" si="8"/>
      </c>
      <c r="CK124" s="2928">
        <f t="shared" si="8"/>
      </c>
      <c r="CL124" s="2928">
        <f t="shared" si="8"/>
      </c>
      <c r="CM124" s="2928">
        <f t="shared" si="8"/>
      </c>
      <c r="CN124" s="2928">
        <f t="shared" si="8"/>
      </c>
      <c r="CO124" s="2928">
        <f t="shared" si="8"/>
      </c>
      <c r="CP124" s="2928">
        <f t="shared" si="8"/>
      </c>
      <c r="CQ124" s="2928">
        <f t="shared" si="8"/>
      </c>
      <c r="CR124" s="2928">
        <f t="shared" si="8"/>
      </c>
      <c r="CS124" s="2928">
        <f t="shared" si="8"/>
      </c>
      <c r="CT124" s="2928">
        <f t="shared" si="8"/>
      </c>
      <c r="CU124" s="2928">
        <f t="shared" si="8"/>
      </c>
      <c r="CV124" s="2928">
        <f t="shared" si="8"/>
      </c>
      <c r="CW124" s="2928">
        <f t="shared" si="8"/>
      </c>
      <c r="CX124" s="2928">
        <f t="shared" si="8"/>
      </c>
      <c r="CY124" s="2928">
        <f t="shared" si="8"/>
      </c>
      <c r="CZ124" s="2928">
        <f t="shared" si="8"/>
      </c>
      <c r="DA124" s="2928">
        <f t="shared" si="8"/>
      </c>
      <c r="DB124" s="2928">
        <f t="shared" si="8"/>
      </c>
      <c r="DC124" s="2928">
        <f t="shared" si="8"/>
      </c>
      <c r="DD124" s="2928">
        <f t="shared" si="8"/>
      </c>
      <c r="DE124" s="2928">
        <f t="shared" si="8"/>
      </c>
      <c r="DF124" s="2928">
        <f t="shared" si="8"/>
      </c>
      <c r="DG124" s="2928">
        <f t="shared" si="8"/>
      </c>
      <c r="DH124" s="2928">
        <f t="shared" si="8"/>
      </c>
      <c r="DI124" s="2928">
        <f t="shared" si="8"/>
      </c>
      <c r="DJ124" s="2928">
        <f t="shared" si="8"/>
      </c>
      <c r="DK124" s="2928">
        <f t="shared" si="8"/>
      </c>
      <c r="DL124" s="2928">
        <f t="shared" si="8"/>
      </c>
      <c r="DM124" s="2928">
        <f t="shared" si="8"/>
      </c>
      <c r="DN124" s="2928">
        <f t="shared" si="8"/>
      </c>
      <c r="DO124" s="2928">
        <f t="shared" si="8"/>
      </c>
      <c r="DP124" s="2928">
        <f t="shared" si="8"/>
      </c>
      <c r="DQ124" s="2928">
        <f t="shared" si="8"/>
      </c>
      <c r="DR124" s="2928">
        <f t="shared" si="8"/>
      </c>
      <c r="DS124" s="2928">
        <f t="shared" si="8"/>
      </c>
      <c r="DT124" s="2928">
        <f t="shared" si="8"/>
      </c>
      <c r="DU124" s="2928">
        <f t="shared" si="8"/>
      </c>
      <c r="DV124" s="2928">
        <f t="shared" si="8"/>
      </c>
      <c r="DW124" s="2928">
        <f t="shared" si="8"/>
      </c>
      <c r="DX124" s="2928">
        <f t="shared" si="8"/>
      </c>
      <c r="DY124" s="2928">
        <f t="shared" si="8"/>
      </c>
      <c r="DZ124" s="2928">
        <f t="shared" si="8"/>
      </c>
      <c r="EA124" s="2928">
        <f t="shared" si="8"/>
      </c>
      <c r="EB124" s="2928">
        <f t="shared" si="8"/>
      </c>
      <c r="EC124" s="2928">
        <f t="shared" si="8"/>
      </c>
      <c r="ED124" s="2928">
        <f t="shared" si="8"/>
      </c>
      <c r="EE124" s="2928">
        <f t="shared" si="8"/>
      </c>
      <c r="EF124" s="2928">
        <f t="shared" si="8"/>
      </c>
      <c r="EG124" s="2928">
        <f t="shared" si="8"/>
      </c>
      <c r="EH124" s="2928">
        <f t="shared" si="8"/>
      </c>
      <c r="EI124" s="2928">
        <f t="shared" si="8"/>
      </c>
      <c r="EJ124" s="2928">
        <f t="shared" si="8"/>
      </c>
      <c r="EK124" s="2928">
        <f t="shared" si="8"/>
      </c>
      <c r="EL124" s="2928">
        <f t="shared" si="8"/>
      </c>
      <c r="EM124" s="2928">
        <f t="shared" si="8"/>
      </c>
      <c r="EN124" s="2928">
        <f t="shared" si="8"/>
      </c>
      <c r="EO124" s="2928">
        <f t="shared" si="8"/>
      </c>
      <c r="EP124" s="2928">
        <f t="shared" si="8"/>
      </c>
      <c r="EQ124" s="2928">
        <f t="shared" si="8"/>
      </c>
      <c r="ER124" s="2928">
        <f t="shared" si="8"/>
      </c>
      <c r="ES124" s="2928">
        <f t="shared" si="8"/>
      </c>
      <c r="ET124" s="2928">
        <f t="shared" si="8"/>
      </c>
      <c r="EU124" s="2928">
        <f t="shared" si="8"/>
      </c>
      <c r="EV124" s="2928">
        <f t="shared" si="8"/>
      </c>
      <c r="EW124" s="2928">
        <f t="shared" si="8"/>
      </c>
      <c r="EX124" s="2928">
        <f t="shared" si="8"/>
      </c>
      <c r="EY124" s="2928">
        <f t="shared" si="8"/>
      </c>
      <c r="EZ124" s="2928">
        <f t="shared" si="8"/>
      </c>
      <c r="FA124" s="2929" t="str">
        <f t="shared" si="12"/>
        <v>-</v>
      </c>
      <c r="FB124" s="2825">
        <f t="shared" si="13"/>
      </c>
      <c r="FC124" s="2930" cm="1">
        <f t="array" ref="FC124">_xlfn.LET(_xlpm.unit_type,$G124,_xlpm.market_rent_from_rent_roll,$E124,_xlpm.unit_type_list,RentRoll_InputArea_DesignatedUnitType,_xlpm.rent_by_unit_type,RentRoll_InputArea_MarketRent,_xlpm.use_rent_roll_market_rent,LEFT(RR_VacantUnitMktRentSource,9)="Rent Roll",IF(_xlpm.unit_type="","",IF(AND(_xlpm.use_rent_roll_market_rent,_xlpm.market_rent_from_rent_roll&gt;0),_xlpm.market_rent_from_rent_roll,_xlfn.XLOOKUP(TRUE,EXACT(_xlpm.unit_type_list,_xlpm.unit_type),_xlpm.rent_by_unit_type,"Not Found"))))</f>
        <v>1081</v>
      </c>
      <c r="FD124" s="2930">
        <f t="shared" si="14"/>
        <v>1017</v>
      </c>
      <c r="FE124" s="2930">
        <f t="shared" si="15"/>
        <v>1017</v>
      </c>
      <c r="FF124" s="2930">
        <f t="shared" si="16"/>
        <v>1017</v>
      </c>
      <c r="FG124" s="2931"/>
      <c r="FH124" s="2932">
        <f t="shared" si="17"/>
      </c>
      <c r="FI124" s="2932">
        <f t="shared" si="18"/>
      </c>
      <c r="FJ124" s="2931"/>
      <c r="FK124" s="2933" cm="1">
        <f t="array" ref="FK124">IF(AND(LEN($D124)&gt;0,ISNA(MATCH(TRUE,EXACT($G124,RentRoll_InputArea_DesignatedUnitType),0))),1,0)</f>
        <v>0</v>
      </c>
      <c r="FL124" s="2931">
        <f t="shared" si="19"/>
        <v>101</v>
      </c>
      <c r="FM124" s="2931"/>
      <c r="FN124" s="2931"/>
      <c r="FO124" s="2931"/>
      <c r="FP124" s="2931"/>
      <c r="FQ124" s="2931"/>
      <c r="FR124" s="2931"/>
      <c r="FS124" s="2931"/>
      <c r="FT124" s="2931"/>
      <c r="FU124" s="2931"/>
      <c r="FV124" s="2931"/>
      <c r="FW124" s="2931"/>
      <c r="FX124" s="2931"/>
      <c r="FY124" s="2931"/>
      <c r="FZ124" s="2931"/>
      <c r="GA124" s="2931"/>
      <c r="GB124" s="2931"/>
      <c r="GC124" s="2931"/>
      <c r="GD124" s="2931"/>
      <c r="GE124" s="2931"/>
      <c r="GF124" s="2931"/>
      <c r="GG124" s="2931"/>
      <c r="GH124" s="2931"/>
      <c r="GI124" s="2931"/>
      <c r="GJ124" s="2931"/>
      <c r="GK124" s="2931"/>
      <c r="GL124" s="2931"/>
      <c r="GM124" s="2931"/>
      <c r="GN124" s="2931"/>
      <c r="GO124" s="2931"/>
      <c r="GP124" s="2931"/>
      <c r="GQ124" s="2931"/>
      <c r="GR124" s="2931"/>
      <c r="GS124" s="2931"/>
      <c r="GT124" s="2931"/>
      <c r="GU124" s="2931"/>
      <c r="GV124" s="2931"/>
      <c r="GW124" s="2931"/>
      <c r="GX124" s="2931"/>
      <c r="GY124" s="2931"/>
      <c r="GZ124" s="2931"/>
      <c r="HA124" s="2931"/>
      <c r="HB124" s="2931"/>
      <c r="HC124" s="2931"/>
      <c r="HD124" s="2931"/>
      <c r="HE124" s="2931"/>
      <c r="HF124" s="2931"/>
      <c r="HG124" s="2931"/>
      <c r="HH124" s="2931"/>
      <c r="HI124" s="2931"/>
      <c r="HJ124" s="2931"/>
      <c r="HK124" s="2931"/>
      <c r="HL124" s="2931"/>
      <c r="HM124" s="2931"/>
      <c r="HN124" s="2931"/>
      <c r="HO124" s="2931"/>
      <c r="HP124" s="2931"/>
      <c r="HQ124" s="2931"/>
      <c r="HR124" s="2931"/>
      <c r="HS124" s="2931"/>
      <c r="HT124" s="2931"/>
      <c r="HU124" s="2931"/>
      <c r="HV124" s="2931"/>
      <c r="HW124" s="2931"/>
      <c r="HX124" s="2931"/>
      <c r="HY124" s="2931"/>
      <c r="HZ124" s="2931"/>
      <c r="IA124" s="2931"/>
      <c r="IB124" s="2931"/>
      <c r="IC124" s="2931"/>
      <c r="ID124" s="2931"/>
      <c r="IE124" s="2931"/>
      <c r="IF124" s="2931"/>
      <c r="IG124" s="2931"/>
      <c r="IH124" s="2931"/>
      <c r="II124" s="2931"/>
      <c r="IJ124" s="2931"/>
      <c r="IK124" s="2931"/>
      <c r="IL124" s="2931"/>
      <c r="IM124" s="2931"/>
      <c r="IN124" s="2931"/>
      <c r="IO124" s="2931" cm="1">
        <f t="array" ref="IO124">IF(LEN($G124)=0,"Rent Roll is incomplete",_xlfn.XLOOKUP(TRUE,EXACT(RentRoll_InputArea_DesignatedUnitType,$G124),RentRoll_InputArea_Beds,"Not Found"))</f>
        <v>0</v>
      </c>
      <c r="IP124" s="2934"/>
      <c r="IQ124" s="2935" t="str">
        <f t="shared" si="20"/>
        <v>0 Bedroom Unit (Efficiency/Studio)</v>
      </c>
      <c r="IR124" s="2926">
        <f t="shared" si="21"/>
        <v>1017</v>
      </c>
      <c r="IS124" s="2935"/>
      <c r="IT124" s="2931"/>
      <c r="IU124" s="2931"/>
      <c r="IV124" s="2931"/>
      <c r="IW124" s="2936" t="str">
        <f t="shared" si="22"/>
        <v>9-900</v>
      </c>
      <c r="IX124" s="2936"/>
      <c r="IY124" s="2936"/>
      <c r="IZ124" s="2936">
        <f t="shared" si="23"/>
        <v>0</v>
      </c>
      <c r="JA124" s="2936">
        <f t="shared" si="24"/>
        <v>1017</v>
      </c>
      <c r="JB124" s="2936"/>
      <c r="JC124" s="2936"/>
      <c r="JD124" s="2936"/>
      <c r="JE124" s="2936"/>
      <c r="JF124" s="2936"/>
      <c r="JG124" s="2936"/>
      <c r="JH124" s="2936">
        <f t="shared" si="25"/>
        <v>1081</v>
      </c>
      <c r="JI124" s="2936"/>
      <c r="JJ124" s="2936">
        <f t="shared" si="26"/>
      </c>
      <c r="JK124" s="2936"/>
      <c r="JL124" s="2936"/>
      <c r="JM124" s="2936"/>
      <c r="JN124" s="2936"/>
      <c r="JO124" s="2936"/>
      <c r="JP124" s="2936"/>
      <c r="JQ124" s="2936" t="str">
        <f t="shared" si="27"/>
        <v>Occupied</v>
      </c>
      <c r="JR124" s="2936" cm="1">
        <f t="array" ref="JR124">_xlfn.XLOOKUP(TRUE,EXACT(RentRoll_InputArea_DesignatedUnitType,$G124),RentRoll_InputArea_SquareFootage,"Not Found")</f>
        <v>1247</v>
      </c>
      <c r="JS124" s="2936" t="str">
        <f t="shared" si="28"/>
        <v>Apartment</v>
      </c>
      <c r="JT124" s="2936">
        <f t="shared" si="29"/>
      </c>
      <c r="JU124" s="2936"/>
      <c r="JV124" s="2936"/>
      <c r="JW124" s="2936"/>
      <c r="JX124" s="2936"/>
      <c r="JY124" s="2936">
        <f t="shared" si="9"/>
        <v>43160</v>
      </c>
      <c r="JZ124" s="2936">
        <f t="shared" si="9"/>
        <v>43344</v>
      </c>
      <c r="KA124" s="2936"/>
      <c r="KB124" s="2936"/>
      <c r="KC124" s="2936"/>
      <c r="KD124" s="2936"/>
      <c r="KE124" s="2936"/>
      <c r="KF124" s="2936"/>
      <c r="KG124" s="2936"/>
      <c r="KH124" s="2936"/>
      <c r="KI124" s="2937"/>
      <c r="KJ124" s="2936"/>
      <c r="KK124" s="1353"/>
    </row>
    <row r="125" ht="15" customHeight="1">
      <c r="A125" s="2922"/>
      <c r="B125" s="2938"/>
      <c r="C125" s="2939"/>
      <c r="D125" s="2939"/>
      <c r="E125" s="2940"/>
      <c r="F125" s="2941"/>
      <c r="G125" s="2939"/>
      <c r="H125" s="2942"/>
      <c r="I125" s="2942"/>
      <c r="J125" s="2943">
        <f>""</f>
      </c>
      <c r="K125" s="2942"/>
      <c r="L125" s="2942"/>
      <c r="M125" s="2942"/>
      <c r="N125" s="2942"/>
      <c r="O125" s="2944"/>
      <c r="P125" s="2944"/>
      <c r="Q125" s="2945"/>
      <c r="R125" s="2945"/>
      <c r="S125" s="2945"/>
      <c r="T125" s="2945"/>
      <c r="U125" s="2945"/>
      <c r="V125" s="2945"/>
      <c r="W125" s="2945"/>
      <c r="X125" s="2945"/>
      <c r="Y125" s="2945"/>
      <c r="Z125" s="2945"/>
      <c r="AA125" s="2945"/>
      <c r="AB125" s="2945"/>
      <c r="AC125" s="2945"/>
      <c r="AD125" s="2945"/>
      <c r="AE125" s="2945"/>
      <c r="AF125" s="2945"/>
      <c r="AG125" s="2945"/>
      <c r="AH125" s="2945"/>
      <c r="AI125" s="2945"/>
      <c r="AJ125" s="2945"/>
      <c r="AK125" s="2945"/>
      <c r="AL125" s="2945"/>
      <c r="AM125" s="2945"/>
      <c r="AN125" s="2945"/>
      <c r="AO125" s="2945"/>
      <c r="AP125" s="2945"/>
      <c r="AQ125" s="2945"/>
      <c r="AR125" s="2945"/>
      <c r="AS125" s="2945"/>
      <c r="AT125" s="2945"/>
      <c r="AU125" s="2945"/>
      <c r="AV125" s="2945"/>
      <c r="AW125" s="2945"/>
      <c r="AX125" s="2945"/>
      <c r="AY125" s="2945"/>
      <c r="AZ125" s="2945"/>
      <c r="BA125" s="2945"/>
      <c r="BB125" s="2945"/>
      <c r="BC125" s="2945"/>
      <c r="BD125" s="2945"/>
      <c r="BE125" s="2945"/>
      <c r="BF125" s="2945"/>
      <c r="BG125" s="2945"/>
      <c r="BH125" s="2945"/>
      <c r="BI125" s="2945"/>
      <c r="BJ125" s="2945"/>
      <c r="BK125" s="2945"/>
      <c r="BL125" s="2945"/>
      <c r="BM125" s="2945"/>
      <c r="BN125" s="2945"/>
      <c r="BO125" s="2945"/>
      <c r="BP125" s="2945"/>
      <c r="BQ125" s="2945"/>
      <c r="BR125" s="2945"/>
      <c r="BS125" s="2945"/>
      <c r="BT125" s="2945"/>
      <c r="BU125" s="2945"/>
      <c r="BV125" s="2945"/>
      <c r="BW125" s="2945"/>
      <c r="BX125" s="2945"/>
      <c r="BY125" s="2945"/>
      <c r="BZ125" s="2945"/>
      <c r="CA125" s="2945"/>
      <c r="CB125" s="2945"/>
      <c r="CC125" s="2945"/>
      <c r="CD125" s="2945"/>
      <c r="CE125" s="2945"/>
      <c r="CF125" s="2945"/>
      <c r="CG125" s="2945"/>
      <c r="CH125" s="2945"/>
      <c r="CI125" s="2945"/>
      <c r="CJ125" s="2945"/>
      <c r="CK125" s="2945"/>
      <c r="CL125" s="2945"/>
      <c r="CM125" s="2945"/>
      <c r="CN125" s="2945"/>
      <c r="CO125" s="2945"/>
      <c r="CP125" s="2945"/>
      <c r="CQ125" s="2945"/>
      <c r="CR125" s="2945"/>
      <c r="CS125" s="2945"/>
      <c r="CT125" s="2945"/>
      <c r="CU125" s="2945"/>
      <c r="CV125" s="2945"/>
      <c r="CW125" s="2945"/>
      <c r="CX125" s="2945"/>
      <c r="CY125" s="2945"/>
      <c r="CZ125" s="2945"/>
      <c r="DA125" s="2945"/>
      <c r="DB125" s="2945"/>
      <c r="DC125" s="2945"/>
      <c r="DD125" s="2945"/>
      <c r="DE125" s="2945"/>
      <c r="DF125" s="2945"/>
      <c r="DG125" s="2945"/>
      <c r="DH125" s="2945"/>
      <c r="DI125" s="2945"/>
      <c r="DJ125" s="2945"/>
      <c r="DK125" s="2945"/>
      <c r="DL125" s="2945"/>
      <c r="DM125" s="2945"/>
      <c r="DN125" s="2945"/>
      <c r="DO125" s="2945"/>
      <c r="DP125" s="2945"/>
      <c r="DQ125" s="2945"/>
      <c r="DR125" s="2945"/>
      <c r="DS125" s="2945"/>
      <c r="DT125" s="2945"/>
      <c r="DU125" s="2945"/>
      <c r="DV125" s="2945"/>
      <c r="DW125" s="2945"/>
      <c r="DX125" s="2945"/>
      <c r="DY125" s="2945"/>
      <c r="DZ125" s="2945"/>
      <c r="EA125" s="2945"/>
      <c r="EB125" s="2945"/>
      <c r="EC125" s="2945"/>
      <c r="ED125" s="2945"/>
      <c r="EE125" s="2945"/>
      <c r="EF125" s="2945"/>
      <c r="EG125" s="2945"/>
      <c r="EH125" s="2945"/>
      <c r="EI125" s="2945"/>
      <c r="EJ125" s="2945"/>
      <c r="EK125" s="2945"/>
      <c r="EL125" s="2945"/>
      <c r="EM125" s="2945"/>
      <c r="EN125" s="2945"/>
      <c r="EO125" s="2945"/>
      <c r="EP125" s="2945"/>
      <c r="EQ125" s="2945"/>
      <c r="ER125" s="2945"/>
      <c r="ES125" s="2945"/>
      <c r="ET125" s="2945"/>
      <c r="EU125" s="2945"/>
      <c r="EV125" s="2945"/>
      <c r="EW125" s="2945"/>
      <c r="EX125" s="2945"/>
      <c r="EY125" s="2945"/>
      <c r="EZ125" s="2945"/>
      <c r="FA125" s="2946"/>
      <c r="FB125" s="2825"/>
      <c r="FC125" s="2947"/>
      <c r="FD125" s="2947"/>
      <c r="FE125" s="2947"/>
      <c r="FF125" s="2947"/>
      <c r="FG125" s="2931"/>
      <c r="FH125" s="2948"/>
      <c r="FI125" s="2948"/>
      <c r="FJ125" s="2931"/>
      <c r="FK125" s="2948"/>
      <c r="FL125" s="2931"/>
      <c r="FM125" s="2931"/>
      <c r="FN125" s="2931"/>
      <c r="FO125" s="2931"/>
      <c r="FP125" s="2931"/>
      <c r="FQ125" s="2931"/>
      <c r="FR125" s="2931"/>
      <c r="FS125" s="2931"/>
      <c r="FT125" s="2931"/>
      <c r="FU125" s="2931"/>
      <c r="FV125" s="2931"/>
      <c r="FW125" s="2931"/>
      <c r="FX125" s="2931"/>
      <c r="FY125" s="2931"/>
      <c r="FZ125" s="2931"/>
      <c r="GA125" s="2931"/>
      <c r="GB125" s="2931"/>
      <c r="GC125" s="2931"/>
      <c r="GD125" s="2931"/>
      <c r="GE125" s="2931"/>
      <c r="GF125" s="2931"/>
      <c r="GG125" s="2931"/>
      <c r="GH125" s="2931"/>
      <c r="GI125" s="2931"/>
      <c r="GJ125" s="2931"/>
      <c r="GK125" s="2931"/>
      <c r="GL125" s="2931"/>
      <c r="GM125" s="2931"/>
      <c r="GN125" s="2931"/>
      <c r="GO125" s="2931"/>
      <c r="GP125" s="2931"/>
      <c r="GQ125" s="2931"/>
      <c r="GR125" s="2931"/>
      <c r="GS125" s="2931"/>
      <c r="GT125" s="2931"/>
      <c r="GU125" s="2931"/>
      <c r="GV125" s="2931"/>
      <c r="GW125" s="2931"/>
      <c r="GX125" s="2931"/>
      <c r="GY125" s="2931"/>
      <c r="GZ125" s="2931"/>
      <c r="HA125" s="2931"/>
      <c r="HB125" s="2931"/>
      <c r="HC125" s="2931"/>
      <c r="HD125" s="2931"/>
      <c r="HE125" s="2931"/>
      <c r="HF125" s="2931"/>
      <c r="HG125" s="2931"/>
      <c r="HH125" s="2931"/>
      <c r="HI125" s="2931"/>
      <c r="HJ125" s="2931"/>
      <c r="HK125" s="2931"/>
      <c r="HL125" s="2931"/>
      <c r="HM125" s="2931"/>
      <c r="HN125" s="2931"/>
      <c r="HO125" s="2931"/>
      <c r="HP125" s="2931"/>
      <c r="HQ125" s="2931"/>
      <c r="HR125" s="2931"/>
      <c r="HS125" s="2931"/>
      <c r="HT125" s="2931"/>
      <c r="HU125" s="2931"/>
      <c r="HV125" s="2931"/>
      <c r="HW125" s="2931"/>
      <c r="HX125" s="2931"/>
      <c r="HY125" s="2931"/>
      <c r="HZ125" s="2931"/>
      <c r="IA125" s="2931"/>
      <c r="IB125" s="2931"/>
      <c r="IC125" s="2931"/>
      <c r="ID125" s="2931"/>
      <c r="IE125" s="2931"/>
      <c r="IF125" s="2931"/>
      <c r="IG125" s="2931"/>
      <c r="IH125" s="2931"/>
      <c r="II125" s="2931"/>
      <c r="IJ125" s="2931"/>
      <c r="IK125" s="2931"/>
      <c r="IL125" s="2931"/>
      <c r="IM125" s="2931"/>
      <c r="IN125" s="2931"/>
      <c r="IO125" s="2931"/>
      <c r="IP125" s="2949"/>
      <c r="IQ125" s="2950"/>
      <c r="IR125" s="2951"/>
      <c r="IS125" s="2950"/>
      <c r="IT125" s="2931"/>
      <c r="IU125" s="2931"/>
      <c r="IV125" s="2931"/>
      <c r="IW125" s="2950"/>
      <c r="IX125" s="2950"/>
      <c r="IY125" s="2950"/>
      <c r="IZ125" s="2950"/>
      <c r="JA125" s="2950"/>
      <c r="JB125" s="2950"/>
      <c r="JC125" s="2950"/>
      <c r="JD125" s="2950"/>
      <c r="JE125" s="2950"/>
      <c r="JF125" s="2950"/>
      <c r="JG125" s="2950"/>
      <c r="JH125" s="2950"/>
      <c r="JI125" s="2950"/>
      <c r="JJ125" s="2950"/>
      <c r="JK125" s="2950"/>
      <c r="JL125" s="2950"/>
      <c r="JM125" s="2950"/>
      <c r="JN125" s="2950"/>
      <c r="JO125" s="2950"/>
      <c r="JP125" s="2950"/>
      <c r="JQ125" s="2950"/>
      <c r="JR125" s="2950"/>
      <c r="JS125" s="2950"/>
      <c r="JT125" s="2950"/>
      <c r="JU125" s="2950"/>
      <c r="JV125" s="2950"/>
      <c r="JW125" s="2950"/>
      <c r="JX125" s="2950"/>
      <c r="JY125" s="2950"/>
      <c r="JZ125" s="2950"/>
      <c r="KA125" s="2950"/>
      <c r="KB125" s="2950"/>
      <c r="KC125" s="2950"/>
      <c r="KD125" s="2950"/>
      <c r="KE125" s="2950"/>
      <c r="KF125" s="2950"/>
      <c r="KG125" s="2950"/>
      <c r="KH125" s="2950"/>
      <c r="KI125" s="2952"/>
      <c r="KJ125" s="2950"/>
      <c r="KK125" s="1353"/>
    </row>
    <row r="126" ht="15" customHeight="1">
      <c r="A126" s="2833"/>
      <c r="B126" s="2953" t="s">
        <v>2944</v>
      </c>
      <c r="C126" s="2954"/>
      <c r="D126" s="2955"/>
      <c r="E126" s="2956">
        <f t="shared" si="30" ref="E126:FA126">_xlfn.IFERROR(SUMPRODUCT((E24:E125)*1),SUM(E24:E125))</f>
        <v>131664</v>
      </c>
      <c r="F126" s="2957"/>
      <c r="G126" s="2958"/>
      <c r="H126" s="2956">
        <f t="shared" si="30"/>
        <v>122173</v>
      </c>
      <c r="I126" s="2956">
        <f t="shared" si="30"/>
        <v>0</v>
      </c>
      <c r="J126" s="2956">
        <f t="shared" si="30"/>
        <v>122173</v>
      </c>
      <c r="K126" s="2956">
        <f t="shared" si="30"/>
        <v>0</v>
      </c>
      <c r="L126" s="2956">
        <f t="shared" si="30"/>
        <v>0</v>
      </c>
      <c r="M126" s="2956">
        <f>_xlfn.SUMIFS(FI24:FI125,M24:M125,"Model")+_xlfn.SUMIFS(FI24:FI125,M24:M125,"Office")</f>
        <v>0</v>
      </c>
      <c r="N126" s="2956">
        <f t="shared" si="30"/>
        <v>0</v>
      </c>
      <c r="O126" s="2959"/>
      <c r="P126" s="2960"/>
      <c r="Q126" s="2961">
        <f t="shared" si="30"/>
        <v>36220</v>
      </c>
      <c r="R126" s="2961">
        <f t="shared" si="30"/>
        <v>33765</v>
      </c>
      <c r="S126" s="2961">
        <f t="shared" si="30"/>
        <v>20467</v>
      </c>
      <c r="T126" s="2961">
        <f t="shared" si="30"/>
        <v>30704</v>
      </c>
      <c r="U126" s="2961">
        <f t="shared" si="30"/>
        <v>1017</v>
      </c>
      <c r="V126" s="2961">
        <f t="shared" si="30"/>
        <v>0</v>
      </c>
      <c r="W126" s="2961">
        <f t="shared" si="30"/>
        <v>0</v>
      </c>
      <c r="X126" s="2961">
        <f t="shared" si="30"/>
        <v>0</v>
      </c>
      <c r="Y126" s="2961">
        <f t="shared" si="30"/>
        <v>0</v>
      </c>
      <c r="Z126" s="2961">
        <f t="shared" si="30"/>
        <v>0</v>
      </c>
      <c r="AA126" s="2961">
        <f t="shared" si="30"/>
        <v>0</v>
      </c>
      <c r="AB126" s="2961">
        <f t="shared" si="30"/>
        <v>0</v>
      </c>
      <c r="AC126" s="2961">
        <f t="shared" si="30"/>
        <v>0</v>
      </c>
      <c r="AD126" s="2961">
        <f t="shared" si="30"/>
        <v>0</v>
      </c>
      <c r="AE126" s="2961">
        <f t="shared" si="30"/>
        <v>0</v>
      </c>
      <c r="AF126" s="2961">
        <f t="shared" si="30"/>
        <v>0</v>
      </c>
      <c r="AG126" s="2961">
        <f t="shared" si="30"/>
        <v>0</v>
      </c>
      <c r="AH126" s="2961">
        <f t="shared" si="30"/>
        <v>0</v>
      </c>
      <c r="AI126" s="2961">
        <f t="shared" si="30"/>
        <v>0</v>
      </c>
      <c r="AJ126" s="2961">
        <f t="shared" si="30"/>
        <v>0</v>
      </c>
      <c r="AK126" s="2961">
        <f t="shared" si="30"/>
        <v>0</v>
      </c>
      <c r="AL126" s="2961">
        <f t="shared" si="30"/>
        <v>0</v>
      </c>
      <c r="AM126" s="2961">
        <f t="shared" si="30"/>
        <v>0</v>
      </c>
      <c r="AN126" s="2961">
        <f t="shared" si="30"/>
        <v>0</v>
      </c>
      <c r="AO126" s="2961">
        <f t="shared" si="30"/>
        <v>0</v>
      </c>
      <c r="AP126" s="2961">
        <f t="shared" si="30"/>
        <v>0</v>
      </c>
      <c r="AQ126" s="2961">
        <f t="shared" si="30"/>
        <v>0</v>
      </c>
      <c r="AR126" s="2961">
        <f t="shared" si="30"/>
        <v>0</v>
      </c>
      <c r="AS126" s="2961">
        <f t="shared" si="30"/>
        <v>0</v>
      </c>
      <c r="AT126" s="2961">
        <f t="shared" si="30"/>
        <v>0</v>
      </c>
      <c r="AU126" s="2961">
        <f t="shared" si="30"/>
        <v>0</v>
      </c>
      <c r="AV126" s="2961">
        <f t="shared" si="30"/>
        <v>0</v>
      </c>
      <c r="AW126" s="2961">
        <f t="shared" si="30"/>
        <v>0</v>
      </c>
      <c r="AX126" s="2961">
        <f t="shared" si="30"/>
        <v>0</v>
      </c>
      <c r="AY126" s="2961">
        <f t="shared" si="30"/>
        <v>0</v>
      </c>
      <c r="AZ126" s="2961">
        <f t="shared" si="30"/>
        <v>0</v>
      </c>
      <c r="BA126" s="2961">
        <f t="shared" si="30"/>
        <v>0</v>
      </c>
      <c r="BB126" s="2961">
        <f t="shared" si="30"/>
        <v>0</v>
      </c>
      <c r="BC126" s="2961">
        <f t="shared" si="30"/>
        <v>0</v>
      </c>
      <c r="BD126" s="2961">
        <f t="shared" si="30"/>
        <v>0</v>
      </c>
      <c r="BE126" s="2961">
        <f t="shared" si="30"/>
        <v>0</v>
      </c>
      <c r="BF126" s="2961">
        <f t="shared" si="30"/>
        <v>0</v>
      </c>
      <c r="BG126" s="2961">
        <f t="shared" si="30"/>
        <v>0</v>
      </c>
      <c r="BH126" s="2961">
        <f t="shared" si="30"/>
        <v>0</v>
      </c>
      <c r="BI126" s="2961">
        <f t="shared" si="30"/>
        <v>0</v>
      </c>
      <c r="BJ126" s="2961">
        <f t="shared" si="30"/>
        <v>0</v>
      </c>
      <c r="BK126" s="2961">
        <f t="shared" si="30"/>
        <v>0</v>
      </c>
      <c r="BL126" s="2961">
        <f t="shared" si="30"/>
        <v>0</v>
      </c>
      <c r="BM126" s="2961">
        <f t="shared" si="30"/>
        <v>0</v>
      </c>
      <c r="BN126" s="2961">
        <f t="shared" si="30"/>
        <v>0</v>
      </c>
      <c r="BO126" s="2961">
        <f t="shared" si="30"/>
        <v>0</v>
      </c>
      <c r="BP126" s="2961">
        <f t="shared" si="30"/>
        <v>0</v>
      </c>
      <c r="BQ126" s="2961">
        <f t="shared" si="30"/>
        <v>0</v>
      </c>
      <c r="BR126" s="2961">
        <f t="shared" si="30"/>
        <v>0</v>
      </c>
      <c r="BS126" s="2961">
        <f t="shared" si="30"/>
        <v>0</v>
      </c>
      <c r="BT126" s="2961">
        <f t="shared" si="30"/>
        <v>0</v>
      </c>
      <c r="BU126" s="2961">
        <f t="shared" si="30"/>
        <v>0</v>
      </c>
      <c r="BV126" s="2961">
        <f t="shared" si="30"/>
        <v>0</v>
      </c>
      <c r="BW126" s="2961">
        <f t="shared" si="30"/>
        <v>0</v>
      </c>
      <c r="BX126" s="2961">
        <f t="shared" si="30"/>
        <v>0</v>
      </c>
      <c r="BY126" s="2961">
        <f t="shared" si="30"/>
        <v>0</v>
      </c>
      <c r="BZ126" s="2961">
        <f t="shared" si="30"/>
        <v>0</v>
      </c>
      <c r="CA126" s="2961">
        <f t="shared" si="30"/>
        <v>0</v>
      </c>
      <c r="CB126" s="2961">
        <f t="shared" si="30"/>
        <v>0</v>
      </c>
      <c r="CC126" s="2961">
        <f t="shared" si="30"/>
        <v>0</v>
      </c>
      <c r="CD126" s="2961">
        <f t="shared" si="30"/>
        <v>0</v>
      </c>
      <c r="CE126" s="2961">
        <f t="shared" si="30"/>
        <v>0</v>
      </c>
      <c r="CF126" s="2961">
        <f t="shared" si="30"/>
        <v>0</v>
      </c>
      <c r="CG126" s="2961">
        <f t="shared" si="30"/>
        <v>0</v>
      </c>
      <c r="CH126" s="2961">
        <f t="shared" si="30"/>
        <v>0</v>
      </c>
      <c r="CI126" s="2961">
        <f t="shared" si="30"/>
        <v>0</v>
      </c>
      <c r="CJ126" s="2961">
        <f t="shared" si="30"/>
        <v>0</v>
      </c>
      <c r="CK126" s="2961">
        <f t="shared" si="30"/>
        <v>0</v>
      </c>
      <c r="CL126" s="2961">
        <f t="shared" si="30"/>
        <v>0</v>
      </c>
      <c r="CM126" s="2961">
        <f t="shared" si="30"/>
        <v>0</v>
      </c>
      <c r="CN126" s="2961">
        <f t="shared" si="30"/>
        <v>0</v>
      </c>
      <c r="CO126" s="2961">
        <f t="shared" si="30"/>
        <v>0</v>
      </c>
      <c r="CP126" s="2961">
        <f t="shared" si="30"/>
        <v>0</v>
      </c>
      <c r="CQ126" s="2961">
        <f t="shared" si="30"/>
        <v>0</v>
      </c>
      <c r="CR126" s="2961">
        <f t="shared" si="30"/>
        <v>0</v>
      </c>
      <c r="CS126" s="2961">
        <f t="shared" si="30"/>
        <v>0</v>
      </c>
      <c r="CT126" s="2961">
        <f t="shared" si="30"/>
        <v>0</v>
      </c>
      <c r="CU126" s="2961">
        <f t="shared" si="30"/>
        <v>0</v>
      </c>
      <c r="CV126" s="2961">
        <f t="shared" si="30"/>
        <v>0</v>
      </c>
      <c r="CW126" s="2961">
        <f t="shared" si="30"/>
        <v>0</v>
      </c>
      <c r="CX126" s="2961">
        <f t="shared" si="30"/>
        <v>0</v>
      </c>
      <c r="CY126" s="2961">
        <f t="shared" si="30"/>
        <v>0</v>
      </c>
      <c r="CZ126" s="2961">
        <f t="shared" si="30"/>
        <v>0</v>
      </c>
      <c r="DA126" s="2961">
        <f t="shared" si="30"/>
        <v>0</v>
      </c>
      <c r="DB126" s="2961">
        <f t="shared" si="30"/>
        <v>0</v>
      </c>
      <c r="DC126" s="2961">
        <f t="shared" si="30"/>
        <v>0</v>
      </c>
      <c r="DD126" s="2961">
        <f t="shared" si="30"/>
        <v>0</v>
      </c>
      <c r="DE126" s="2961">
        <f t="shared" si="30"/>
        <v>0</v>
      </c>
      <c r="DF126" s="2961">
        <f t="shared" si="30"/>
        <v>0</v>
      </c>
      <c r="DG126" s="2961">
        <f t="shared" si="30"/>
        <v>0</v>
      </c>
      <c r="DH126" s="2961">
        <f t="shared" si="30"/>
        <v>0</v>
      </c>
      <c r="DI126" s="2961">
        <f t="shared" si="30"/>
        <v>0</v>
      </c>
      <c r="DJ126" s="2961">
        <f t="shared" si="30"/>
        <v>0</v>
      </c>
      <c r="DK126" s="2961">
        <f t="shared" si="30"/>
        <v>0</v>
      </c>
      <c r="DL126" s="2961">
        <f t="shared" si="30"/>
        <v>0</v>
      </c>
      <c r="DM126" s="2961">
        <f t="shared" si="30"/>
        <v>0</v>
      </c>
      <c r="DN126" s="2961">
        <f t="shared" si="30"/>
        <v>0</v>
      </c>
      <c r="DO126" s="2961">
        <f t="shared" si="30"/>
        <v>0</v>
      </c>
      <c r="DP126" s="2961">
        <f t="shared" si="30"/>
        <v>0</v>
      </c>
      <c r="DQ126" s="2961">
        <f t="shared" si="30"/>
        <v>0</v>
      </c>
      <c r="DR126" s="2961">
        <f t="shared" si="30"/>
        <v>0</v>
      </c>
      <c r="DS126" s="2961">
        <f t="shared" si="30"/>
        <v>0</v>
      </c>
      <c r="DT126" s="2961">
        <f t="shared" si="30"/>
        <v>0</v>
      </c>
      <c r="DU126" s="2961">
        <f t="shared" si="30"/>
        <v>0</v>
      </c>
      <c r="DV126" s="2961">
        <f t="shared" si="30"/>
        <v>0</v>
      </c>
      <c r="DW126" s="2961">
        <f t="shared" si="30"/>
        <v>0</v>
      </c>
      <c r="DX126" s="2961">
        <f t="shared" si="30"/>
        <v>0</v>
      </c>
      <c r="DY126" s="2961">
        <f t="shared" si="30"/>
        <v>0</v>
      </c>
      <c r="DZ126" s="2961">
        <f t="shared" si="30"/>
        <v>0</v>
      </c>
      <c r="EA126" s="2961">
        <f t="shared" si="30"/>
        <v>0</v>
      </c>
      <c r="EB126" s="2961">
        <f t="shared" si="30"/>
        <v>0</v>
      </c>
      <c r="EC126" s="2961">
        <f t="shared" si="30"/>
        <v>0</v>
      </c>
      <c r="ED126" s="2961">
        <f t="shared" si="30"/>
        <v>0</v>
      </c>
      <c r="EE126" s="2961">
        <f t="shared" si="30"/>
        <v>0</v>
      </c>
      <c r="EF126" s="2961">
        <f t="shared" si="30"/>
        <v>0</v>
      </c>
      <c r="EG126" s="2961">
        <f t="shared" si="30"/>
        <v>0</v>
      </c>
      <c r="EH126" s="2961">
        <f t="shared" si="30"/>
        <v>0</v>
      </c>
      <c r="EI126" s="2961">
        <f t="shared" si="30"/>
        <v>0</v>
      </c>
      <c r="EJ126" s="2961">
        <f t="shared" si="30"/>
        <v>0</v>
      </c>
      <c r="EK126" s="2961">
        <f t="shared" si="30"/>
        <v>0</v>
      </c>
      <c r="EL126" s="2961">
        <f t="shared" si="30"/>
        <v>0</v>
      </c>
      <c r="EM126" s="2961">
        <f t="shared" si="30"/>
        <v>0</v>
      </c>
      <c r="EN126" s="2961">
        <f t="shared" si="30"/>
        <v>0</v>
      </c>
      <c r="EO126" s="2961">
        <f t="shared" si="30"/>
        <v>0</v>
      </c>
      <c r="EP126" s="2961">
        <f t="shared" si="30"/>
        <v>0</v>
      </c>
      <c r="EQ126" s="2961">
        <f t="shared" si="30"/>
        <v>0</v>
      </c>
      <c r="ER126" s="2961">
        <f t="shared" si="30"/>
        <v>0</v>
      </c>
      <c r="ES126" s="2961">
        <f t="shared" si="30"/>
        <v>0</v>
      </c>
      <c r="ET126" s="2961">
        <f t="shared" si="30"/>
        <v>0</v>
      </c>
      <c r="EU126" s="2961">
        <f t="shared" si="30"/>
        <v>0</v>
      </c>
      <c r="EV126" s="2961">
        <f t="shared" si="30"/>
        <v>0</v>
      </c>
      <c r="EW126" s="2961">
        <f t="shared" si="30"/>
        <v>0</v>
      </c>
      <c r="EX126" s="2961">
        <f t="shared" si="30"/>
        <v>0</v>
      </c>
      <c r="EY126" s="2961">
        <f t="shared" si="30"/>
        <v>0</v>
      </c>
      <c r="EZ126" s="2961">
        <f t="shared" si="30"/>
        <v>0</v>
      </c>
      <c r="FA126" s="2961">
        <f t="shared" si="30"/>
        <v>7542</v>
      </c>
      <c r="FB126" s="2825">
        <f t="shared" si="31" ref="FB126:FK126">SUM(FB24:FB125)</f>
        <v>0</v>
      </c>
      <c r="FC126" s="2962">
        <f t="shared" si="31"/>
        <v>131597</v>
      </c>
      <c r="FD126" s="2962">
        <f t="shared" si="31"/>
        <v>122173</v>
      </c>
      <c r="FE126" s="2962">
        <f t="shared" si="31"/>
        <v>129715</v>
      </c>
      <c r="FF126" s="2962">
        <f t="shared" si="31"/>
        <v>122173</v>
      </c>
      <c r="FG126" s="2931"/>
      <c r="FH126" s="2963">
        <f t="shared" si="31"/>
        <v>0</v>
      </c>
      <c r="FI126" s="2963">
        <f t="shared" si="31"/>
        <v>0</v>
      </c>
      <c r="FJ126" s="2931"/>
      <c r="FK126" s="2964">
        <f t="shared" si="31"/>
        <v>0</v>
      </c>
      <c r="FL126" s="2931"/>
      <c r="FM126" s="2931"/>
      <c r="FN126" s="2931"/>
      <c r="FO126" s="2931"/>
      <c r="FP126" s="2931"/>
      <c r="FQ126" s="2931"/>
      <c r="FR126" s="2931"/>
      <c r="FS126" s="2931"/>
      <c r="FT126" s="2931"/>
      <c r="FU126" s="2931"/>
      <c r="FV126" s="2931"/>
      <c r="FW126" s="2931"/>
      <c r="FX126" s="2931"/>
      <c r="FY126" s="2931"/>
      <c r="FZ126" s="2931"/>
      <c r="GA126" s="2931"/>
      <c r="GB126" s="2931"/>
      <c r="GC126" s="2931"/>
      <c r="GD126" s="2931"/>
      <c r="GE126" s="2931"/>
      <c r="GF126" s="2931"/>
      <c r="GG126" s="2931"/>
      <c r="GH126" s="2931"/>
      <c r="GI126" s="2931"/>
      <c r="GJ126" s="2931"/>
      <c r="GK126" s="2931"/>
      <c r="GL126" s="2931"/>
      <c r="GM126" s="2931"/>
      <c r="GN126" s="2931"/>
      <c r="GO126" s="2931"/>
      <c r="GP126" s="2931"/>
      <c r="GQ126" s="2931"/>
      <c r="GR126" s="2931"/>
      <c r="GS126" s="2931"/>
      <c r="GT126" s="2931"/>
      <c r="GU126" s="2931"/>
      <c r="GV126" s="2931"/>
      <c r="GW126" s="2931"/>
      <c r="GX126" s="2931"/>
      <c r="GY126" s="2931"/>
      <c r="GZ126" s="2931"/>
      <c r="HA126" s="2931"/>
      <c r="HB126" s="2931"/>
      <c r="HC126" s="2931"/>
      <c r="HD126" s="2931"/>
      <c r="HE126" s="2931"/>
      <c r="HF126" s="2931"/>
      <c r="HG126" s="2931"/>
      <c r="HH126" s="2931"/>
      <c r="HI126" s="2931"/>
      <c r="HJ126" s="2931"/>
      <c r="HK126" s="2931"/>
      <c r="HL126" s="2931"/>
      <c r="HM126" s="2931"/>
      <c r="HN126" s="2931"/>
      <c r="HO126" s="2931"/>
      <c r="HP126" s="2931"/>
      <c r="HQ126" s="2931"/>
      <c r="HR126" s="2931"/>
      <c r="HS126" s="2931"/>
      <c r="HT126" s="2931"/>
      <c r="HU126" s="2931"/>
      <c r="HV126" s="2931"/>
      <c r="HW126" s="2931"/>
      <c r="HX126" s="2931"/>
      <c r="HY126" s="2931"/>
      <c r="HZ126" s="2931"/>
      <c r="IA126" s="2931"/>
      <c r="IB126" s="2931"/>
      <c r="IC126" s="2931"/>
      <c r="ID126" s="2931"/>
      <c r="IE126" s="2931"/>
      <c r="IF126" s="2931"/>
      <c r="IG126" s="2931"/>
      <c r="IH126" s="2931"/>
      <c r="II126" s="2931"/>
      <c r="IJ126" s="2931"/>
      <c r="IK126" s="2931"/>
      <c r="IL126" s="2931"/>
      <c r="IM126" s="2931"/>
      <c r="IN126" s="2931"/>
      <c r="IO126" s="2931"/>
      <c r="IP126" s="2965"/>
      <c r="IQ126" s="2931"/>
      <c r="IR126" s="2931"/>
      <c r="IS126" s="2931"/>
      <c r="IT126" s="2931"/>
      <c r="IU126" s="2931"/>
      <c r="IV126" s="2931"/>
      <c r="IW126" s="2931"/>
      <c r="IX126" s="2931"/>
      <c r="IY126" s="2931"/>
      <c r="IZ126" s="2931"/>
      <c r="JA126" s="2931"/>
      <c r="JB126" s="2931"/>
      <c r="JC126" s="2931"/>
      <c r="JD126" s="2931"/>
      <c r="JE126" s="2931"/>
      <c r="JF126" s="2931"/>
      <c r="JG126" s="2931"/>
      <c r="JH126" s="2931"/>
      <c r="JI126" s="2931"/>
      <c r="JJ126" s="2931"/>
      <c r="JK126" s="2931"/>
      <c r="JL126" s="2931"/>
      <c r="JM126" s="2931"/>
      <c r="JN126" s="2931"/>
      <c r="JO126" s="2931"/>
      <c r="JP126" s="2931"/>
      <c r="JQ126" s="2931"/>
      <c r="JR126" s="2931"/>
      <c r="JS126" s="2931"/>
      <c r="JT126" s="2931"/>
      <c r="JU126" s="2931"/>
      <c r="JV126" s="2931"/>
      <c r="JW126" s="2931"/>
      <c r="JX126" s="2931"/>
      <c r="JY126" s="2931"/>
      <c r="JZ126" s="2931"/>
      <c r="KA126" s="2931"/>
      <c r="KB126" s="2931"/>
      <c r="KC126" s="2931"/>
      <c r="KD126" s="2931"/>
      <c r="KE126" s="2931"/>
      <c r="KF126" s="2931"/>
      <c r="KG126" s="2931"/>
      <c r="KH126" s="2931"/>
      <c r="KI126" s="2931"/>
      <c r="KJ126" s="2931"/>
      <c r="KK126" s="1353"/>
    </row>
    <row r="127" ht="15" customHeight="1">
      <c r="A127" s="2833"/>
      <c r="B127" s="2953" t="s">
        <v>2945</v>
      </c>
      <c r="C127" s="2954"/>
      <c r="D127" s="2955"/>
      <c r="E127" s="2966">
        <f t="shared" si="32" ref="E127:N127">COUNTA(E24:E125)</f>
        <v>101</v>
      </c>
      <c r="F127" s="2967"/>
      <c r="G127" s="2968"/>
      <c r="H127" s="2966">
        <f t="shared" si="32"/>
        <v>96</v>
      </c>
      <c r="I127" s="2966">
        <f>MAX(SUMPRODUCT(--(ABS(I24:I125)&lt;&gt;0))-1,0)</f>
        <v>0</v>
      </c>
      <c r="J127" s="2966">
        <f>COUNTA(J24:J125)-COUNTIF(J24:J125,"")</f>
        <v>96</v>
      </c>
      <c r="K127" s="2966">
        <f t="shared" si="32"/>
        <v>0</v>
      </c>
      <c r="L127" s="2966">
        <f t="shared" si="32"/>
        <v>0</v>
      </c>
      <c r="M127" s="2966">
        <f t="shared" si="32"/>
        <v>0</v>
      </c>
      <c r="N127" s="2966">
        <f t="shared" si="32"/>
        <v>0</v>
      </c>
      <c r="O127" s="2969"/>
      <c r="P127" s="2968"/>
      <c r="Q127" s="2877">
        <f t="shared" si="33" ref="Q127:EZ127">COUNT(Q24:Q125)</f>
        <v>32</v>
      </c>
      <c r="R127" s="2877">
        <f t="shared" si="33"/>
        <v>28</v>
      </c>
      <c r="S127" s="2877">
        <f t="shared" si="33"/>
        <v>15</v>
      </c>
      <c r="T127" s="2877">
        <f t="shared" si="33"/>
        <v>20</v>
      </c>
      <c r="U127" s="2877">
        <f t="shared" si="33"/>
        <v>1</v>
      </c>
      <c r="V127" s="2877">
        <f t="shared" si="33"/>
        <v>0</v>
      </c>
      <c r="W127" s="2877">
        <f t="shared" si="33"/>
        <v>0</v>
      </c>
      <c r="X127" s="2877">
        <f t="shared" si="33"/>
        <v>0</v>
      </c>
      <c r="Y127" s="2877">
        <f t="shared" si="33"/>
        <v>0</v>
      </c>
      <c r="Z127" s="2877">
        <f t="shared" si="33"/>
        <v>0</v>
      </c>
      <c r="AA127" s="2877">
        <f t="shared" si="33"/>
        <v>0</v>
      </c>
      <c r="AB127" s="2877">
        <f t="shared" si="33"/>
        <v>0</v>
      </c>
      <c r="AC127" s="2877">
        <f t="shared" si="33"/>
        <v>0</v>
      </c>
      <c r="AD127" s="2877">
        <f t="shared" si="33"/>
        <v>0</v>
      </c>
      <c r="AE127" s="2877">
        <f t="shared" si="33"/>
        <v>0</v>
      </c>
      <c r="AF127" s="2877">
        <f t="shared" si="33"/>
        <v>0</v>
      </c>
      <c r="AG127" s="2877">
        <f t="shared" si="33"/>
        <v>0</v>
      </c>
      <c r="AH127" s="2877">
        <f t="shared" si="33"/>
        <v>0</v>
      </c>
      <c r="AI127" s="2877">
        <f t="shared" si="33"/>
        <v>0</v>
      </c>
      <c r="AJ127" s="2877">
        <f t="shared" si="33"/>
        <v>0</v>
      </c>
      <c r="AK127" s="2877">
        <f t="shared" si="33"/>
        <v>0</v>
      </c>
      <c r="AL127" s="2877">
        <f t="shared" si="33"/>
        <v>0</v>
      </c>
      <c r="AM127" s="2877">
        <f t="shared" si="33"/>
        <v>0</v>
      </c>
      <c r="AN127" s="2877">
        <f t="shared" si="33"/>
        <v>0</v>
      </c>
      <c r="AO127" s="2877">
        <f t="shared" si="33"/>
        <v>0</v>
      </c>
      <c r="AP127" s="2877">
        <f t="shared" si="33"/>
        <v>0</v>
      </c>
      <c r="AQ127" s="2877">
        <f t="shared" si="33"/>
        <v>0</v>
      </c>
      <c r="AR127" s="2877">
        <f t="shared" si="33"/>
        <v>0</v>
      </c>
      <c r="AS127" s="2877">
        <f t="shared" si="33"/>
        <v>0</v>
      </c>
      <c r="AT127" s="2877">
        <f t="shared" si="33"/>
        <v>0</v>
      </c>
      <c r="AU127" s="2877">
        <f t="shared" si="33"/>
        <v>0</v>
      </c>
      <c r="AV127" s="2877">
        <f t="shared" si="33"/>
        <v>0</v>
      </c>
      <c r="AW127" s="2877">
        <f t="shared" si="33"/>
        <v>0</v>
      </c>
      <c r="AX127" s="2877">
        <f t="shared" si="33"/>
        <v>0</v>
      </c>
      <c r="AY127" s="2877">
        <f t="shared" si="33"/>
        <v>0</v>
      </c>
      <c r="AZ127" s="2877">
        <f t="shared" si="33"/>
        <v>0</v>
      </c>
      <c r="BA127" s="2877">
        <f t="shared" si="33"/>
        <v>0</v>
      </c>
      <c r="BB127" s="2877">
        <f t="shared" si="33"/>
        <v>0</v>
      </c>
      <c r="BC127" s="2877">
        <f t="shared" si="33"/>
        <v>0</v>
      </c>
      <c r="BD127" s="2877">
        <f t="shared" si="33"/>
        <v>0</v>
      </c>
      <c r="BE127" s="2877">
        <f t="shared" si="33"/>
        <v>0</v>
      </c>
      <c r="BF127" s="2877">
        <f t="shared" si="33"/>
        <v>0</v>
      </c>
      <c r="BG127" s="2877">
        <f t="shared" si="33"/>
        <v>0</v>
      </c>
      <c r="BH127" s="2877">
        <f t="shared" si="33"/>
        <v>0</v>
      </c>
      <c r="BI127" s="2877">
        <f t="shared" si="33"/>
        <v>0</v>
      </c>
      <c r="BJ127" s="2877">
        <f t="shared" si="33"/>
        <v>0</v>
      </c>
      <c r="BK127" s="2877">
        <f t="shared" si="33"/>
        <v>0</v>
      </c>
      <c r="BL127" s="2877">
        <f t="shared" si="33"/>
        <v>0</v>
      </c>
      <c r="BM127" s="2877">
        <f t="shared" si="33"/>
        <v>0</v>
      </c>
      <c r="BN127" s="2877">
        <f t="shared" si="33"/>
        <v>0</v>
      </c>
      <c r="BO127" s="2877">
        <f t="shared" si="33"/>
        <v>0</v>
      </c>
      <c r="BP127" s="2877">
        <f t="shared" si="33"/>
        <v>0</v>
      </c>
      <c r="BQ127" s="2877">
        <f t="shared" si="33"/>
        <v>0</v>
      </c>
      <c r="BR127" s="2877">
        <f t="shared" si="33"/>
        <v>0</v>
      </c>
      <c r="BS127" s="2877">
        <f t="shared" si="33"/>
        <v>0</v>
      </c>
      <c r="BT127" s="2877">
        <f t="shared" si="33"/>
        <v>0</v>
      </c>
      <c r="BU127" s="2877">
        <f t="shared" si="33"/>
        <v>0</v>
      </c>
      <c r="BV127" s="2877">
        <f t="shared" si="33"/>
        <v>0</v>
      </c>
      <c r="BW127" s="2877">
        <f t="shared" si="33"/>
        <v>0</v>
      </c>
      <c r="BX127" s="2877">
        <f t="shared" si="33"/>
        <v>0</v>
      </c>
      <c r="BY127" s="2877">
        <f t="shared" si="33"/>
        <v>0</v>
      </c>
      <c r="BZ127" s="2877">
        <f t="shared" si="33"/>
        <v>0</v>
      </c>
      <c r="CA127" s="2877">
        <f t="shared" si="33"/>
        <v>0</v>
      </c>
      <c r="CB127" s="2877">
        <f t="shared" si="33"/>
        <v>0</v>
      </c>
      <c r="CC127" s="2877">
        <f t="shared" si="33"/>
        <v>0</v>
      </c>
      <c r="CD127" s="2877">
        <f t="shared" si="33"/>
        <v>0</v>
      </c>
      <c r="CE127" s="2877">
        <f t="shared" si="33"/>
        <v>0</v>
      </c>
      <c r="CF127" s="2877">
        <f t="shared" si="33"/>
        <v>0</v>
      </c>
      <c r="CG127" s="2877">
        <f t="shared" si="33"/>
        <v>0</v>
      </c>
      <c r="CH127" s="2877">
        <f t="shared" si="33"/>
        <v>0</v>
      </c>
      <c r="CI127" s="2877">
        <f t="shared" si="33"/>
        <v>0</v>
      </c>
      <c r="CJ127" s="2877">
        <f t="shared" si="33"/>
        <v>0</v>
      </c>
      <c r="CK127" s="2877">
        <f t="shared" si="33"/>
        <v>0</v>
      </c>
      <c r="CL127" s="2877">
        <f t="shared" si="33"/>
        <v>0</v>
      </c>
      <c r="CM127" s="2877">
        <f t="shared" si="33"/>
        <v>0</v>
      </c>
      <c r="CN127" s="2877">
        <f t="shared" si="33"/>
        <v>0</v>
      </c>
      <c r="CO127" s="2877">
        <f t="shared" si="33"/>
        <v>0</v>
      </c>
      <c r="CP127" s="2877">
        <f t="shared" si="33"/>
        <v>0</v>
      </c>
      <c r="CQ127" s="2877">
        <f t="shared" si="33"/>
        <v>0</v>
      </c>
      <c r="CR127" s="2877">
        <f t="shared" si="33"/>
        <v>0</v>
      </c>
      <c r="CS127" s="2877">
        <f t="shared" si="33"/>
        <v>0</v>
      </c>
      <c r="CT127" s="2877">
        <f t="shared" si="33"/>
        <v>0</v>
      </c>
      <c r="CU127" s="2877">
        <f t="shared" si="33"/>
        <v>0</v>
      </c>
      <c r="CV127" s="2877">
        <f t="shared" si="33"/>
        <v>0</v>
      </c>
      <c r="CW127" s="2877">
        <f t="shared" si="33"/>
        <v>0</v>
      </c>
      <c r="CX127" s="2877">
        <f t="shared" si="33"/>
        <v>0</v>
      </c>
      <c r="CY127" s="2877">
        <f t="shared" si="33"/>
        <v>0</v>
      </c>
      <c r="CZ127" s="2877">
        <f t="shared" si="33"/>
        <v>0</v>
      </c>
      <c r="DA127" s="2877">
        <f t="shared" si="33"/>
        <v>0</v>
      </c>
      <c r="DB127" s="2877">
        <f t="shared" si="33"/>
        <v>0</v>
      </c>
      <c r="DC127" s="2877">
        <f t="shared" si="33"/>
        <v>0</v>
      </c>
      <c r="DD127" s="2877">
        <f t="shared" si="33"/>
        <v>0</v>
      </c>
      <c r="DE127" s="2877">
        <f t="shared" si="33"/>
        <v>0</v>
      </c>
      <c r="DF127" s="2877">
        <f t="shared" si="33"/>
        <v>0</v>
      </c>
      <c r="DG127" s="2877">
        <f t="shared" si="33"/>
        <v>0</v>
      </c>
      <c r="DH127" s="2877">
        <f t="shared" si="33"/>
        <v>0</v>
      </c>
      <c r="DI127" s="2877">
        <f t="shared" si="33"/>
        <v>0</v>
      </c>
      <c r="DJ127" s="2877">
        <f t="shared" si="33"/>
        <v>0</v>
      </c>
      <c r="DK127" s="2877">
        <f t="shared" si="33"/>
        <v>0</v>
      </c>
      <c r="DL127" s="2877">
        <f t="shared" si="33"/>
        <v>0</v>
      </c>
      <c r="DM127" s="2877">
        <f t="shared" si="33"/>
        <v>0</v>
      </c>
      <c r="DN127" s="2877">
        <f t="shared" si="33"/>
        <v>0</v>
      </c>
      <c r="DO127" s="2877">
        <f t="shared" si="33"/>
        <v>0</v>
      </c>
      <c r="DP127" s="2877">
        <f t="shared" si="33"/>
        <v>0</v>
      </c>
      <c r="DQ127" s="2877">
        <f t="shared" si="33"/>
        <v>0</v>
      </c>
      <c r="DR127" s="2877">
        <f t="shared" si="33"/>
        <v>0</v>
      </c>
      <c r="DS127" s="2877">
        <f t="shared" si="33"/>
        <v>0</v>
      </c>
      <c r="DT127" s="2877">
        <f t="shared" si="33"/>
        <v>0</v>
      </c>
      <c r="DU127" s="2877">
        <f t="shared" si="33"/>
        <v>0</v>
      </c>
      <c r="DV127" s="2877">
        <f t="shared" si="33"/>
        <v>0</v>
      </c>
      <c r="DW127" s="2877">
        <f t="shared" si="33"/>
        <v>0</v>
      </c>
      <c r="DX127" s="2877">
        <f t="shared" si="33"/>
        <v>0</v>
      </c>
      <c r="DY127" s="2877">
        <f t="shared" si="33"/>
        <v>0</v>
      </c>
      <c r="DZ127" s="2877">
        <f t="shared" si="33"/>
        <v>0</v>
      </c>
      <c r="EA127" s="2877">
        <f t="shared" si="33"/>
        <v>0</v>
      </c>
      <c r="EB127" s="2877">
        <f t="shared" si="33"/>
        <v>0</v>
      </c>
      <c r="EC127" s="2877">
        <f t="shared" si="33"/>
        <v>0</v>
      </c>
      <c r="ED127" s="2877">
        <f t="shared" si="33"/>
        <v>0</v>
      </c>
      <c r="EE127" s="2877">
        <f t="shared" si="33"/>
        <v>0</v>
      </c>
      <c r="EF127" s="2877">
        <f t="shared" si="33"/>
        <v>0</v>
      </c>
      <c r="EG127" s="2877">
        <f t="shared" si="33"/>
        <v>0</v>
      </c>
      <c r="EH127" s="2877">
        <f t="shared" si="33"/>
        <v>0</v>
      </c>
      <c r="EI127" s="2877">
        <f t="shared" si="33"/>
        <v>0</v>
      </c>
      <c r="EJ127" s="2877">
        <f t="shared" si="33"/>
        <v>0</v>
      </c>
      <c r="EK127" s="2877">
        <f t="shared" si="33"/>
        <v>0</v>
      </c>
      <c r="EL127" s="2877">
        <f t="shared" si="33"/>
        <v>0</v>
      </c>
      <c r="EM127" s="2877">
        <f t="shared" si="33"/>
        <v>0</v>
      </c>
      <c r="EN127" s="2877">
        <f t="shared" si="33"/>
        <v>0</v>
      </c>
      <c r="EO127" s="2877">
        <f t="shared" si="33"/>
        <v>0</v>
      </c>
      <c r="EP127" s="2877">
        <f t="shared" si="33"/>
        <v>0</v>
      </c>
      <c r="EQ127" s="2877">
        <f t="shared" si="33"/>
        <v>0</v>
      </c>
      <c r="ER127" s="2877">
        <f t="shared" si="33"/>
        <v>0</v>
      </c>
      <c r="ES127" s="2877">
        <f t="shared" si="33"/>
        <v>0</v>
      </c>
      <c r="ET127" s="2877">
        <f t="shared" si="33"/>
        <v>0</v>
      </c>
      <c r="EU127" s="2877">
        <f t="shared" si="33"/>
        <v>0</v>
      </c>
      <c r="EV127" s="2877">
        <f t="shared" si="33"/>
        <v>0</v>
      </c>
      <c r="EW127" s="2877">
        <f t="shared" si="33"/>
        <v>0</v>
      </c>
      <c r="EX127" s="2877">
        <f t="shared" si="33"/>
        <v>0</v>
      </c>
      <c r="EY127" s="2877">
        <f t="shared" si="33"/>
        <v>0</v>
      </c>
      <c r="EZ127" s="2877">
        <f t="shared" si="33"/>
        <v>0</v>
      </c>
      <c r="FA127" s="2877">
        <f t="shared" si="35" ref="FA127:FA128">SUM(Q127:CP127)</f>
        <v>96</v>
      </c>
      <c r="FB127" s="2833"/>
      <c r="FC127" s="2833"/>
      <c r="FD127" s="2833"/>
      <c r="FE127" s="2833"/>
      <c r="FF127" s="2833"/>
      <c r="FG127" s="2833"/>
      <c r="FH127" s="2833"/>
      <c r="FI127" s="2833"/>
      <c r="FJ127" s="2833"/>
      <c r="FK127" s="2833"/>
      <c r="FL127" s="2838"/>
      <c r="FM127" s="2825"/>
      <c r="FN127" s="2825"/>
      <c r="FO127" s="2825"/>
      <c r="FP127" s="2825"/>
      <c r="FQ127" s="2825"/>
      <c r="FR127" s="2825"/>
      <c r="FS127" s="2825"/>
      <c r="FT127" s="2825"/>
      <c r="FU127" s="2825"/>
      <c r="FV127" s="2825"/>
      <c r="FW127" s="2825"/>
      <c r="FX127" s="2825"/>
      <c r="FY127" s="2825"/>
      <c r="FZ127" s="2825"/>
      <c r="GA127" s="2825"/>
      <c r="GB127" s="2825"/>
      <c r="GC127" s="2825"/>
      <c r="GD127" s="2825"/>
      <c r="GE127" s="2825"/>
      <c r="GF127" s="2825"/>
      <c r="GG127" s="2825"/>
      <c r="GH127" s="2825"/>
      <c r="GI127" s="2825"/>
      <c r="GJ127" s="2825"/>
      <c r="GK127" s="2825"/>
      <c r="GL127" s="2825"/>
      <c r="GM127" s="2825"/>
      <c r="GN127" s="2825"/>
      <c r="GO127" s="2825"/>
      <c r="GP127" s="2825"/>
      <c r="GQ127" s="2825"/>
      <c r="GR127" s="2825"/>
      <c r="GS127" s="2825"/>
      <c r="GT127" s="2825"/>
      <c r="GU127" s="2825"/>
      <c r="GV127" s="2825"/>
      <c r="GW127" s="2825"/>
      <c r="GX127" s="2825"/>
      <c r="GY127" s="2825"/>
      <c r="GZ127" s="2825"/>
      <c r="HA127" s="2825"/>
      <c r="HB127" s="2825"/>
      <c r="HC127" s="2825"/>
      <c r="HD127" s="2825"/>
      <c r="HE127" s="2825"/>
      <c r="HF127" s="2825"/>
      <c r="HG127" s="2825"/>
      <c r="HH127" s="2825"/>
      <c r="HI127" s="2825"/>
      <c r="HJ127" s="2825"/>
      <c r="HK127" s="2825"/>
      <c r="HL127" s="2825"/>
      <c r="HM127" s="2825"/>
      <c r="HN127" s="2825"/>
      <c r="HO127" s="2825"/>
      <c r="HP127" s="2825"/>
      <c r="HQ127" s="2825"/>
      <c r="HR127" s="2825"/>
      <c r="HS127" s="2825"/>
      <c r="HT127" s="2825"/>
      <c r="HU127" s="2825"/>
      <c r="HV127" s="2825"/>
      <c r="HW127" s="2825"/>
      <c r="HX127" s="2825"/>
      <c r="HY127" s="2825"/>
      <c r="HZ127" s="2825"/>
      <c r="IA127" s="2825"/>
      <c r="IB127" s="2825"/>
      <c r="IC127" s="2825"/>
      <c r="ID127" s="2825"/>
      <c r="IE127" s="2825"/>
      <c r="IF127" s="2825"/>
      <c r="IG127" s="2825"/>
      <c r="IH127" s="2825"/>
      <c r="II127" s="2825"/>
      <c r="IJ127" s="2825"/>
      <c r="IK127" s="2825"/>
      <c r="IL127" s="2825"/>
      <c r="IM127" s="2825"/>
      <c r="IN127" s="2825"/>
      <c r="IO127" s="2838"/>
      <c r="IP127" s="2838"/>
      <c r="IQ127" s="2838"/>
      <c r="IR127" s="2838"/>
      <c r="IS127" s="2838"/>
      <c r="IT127" s="2838"/>
      <c r="IU127" s="2838"/>
      <c r="IV127" s="2838"/>
      <c r="IW127" s="2838"/>
      <c r="IX127" s="2838"/>
      <c r="IY127" s="2838"/>
      <c r="IZ127" s="2838"/>
      <c r="JA127" s="2838"/>
      <c r="JB127" s="2838"/>
      <c r="JC127" s="2838"/>
      <c r="JD127" s="2838"/>
      <c r="JE127" s="2838"/>
      <c r="JF127" s="2838"/>
      <c r="JG127" s="2838"/>
      <c r="JH127" s="2838"/>
      <c r="JI127" s="2833"/>
      <c r="JJ127" s="2833"/>
      <c r="JK127" s="2833"/>
      <c r="JL127" s="2833"/>
      <c r="JM127" s="2833"/>
      <c r="JN127" s="2833"/>
      <c r="JO127" s="2833"/>
      <c r="JP127" s="2833"/>
      <c r="JQ127" s="2833"/>
      <c r="JR127" s="2833"/>
      <c r="JS127" s="2833"/>
      <c r="JT127" s="2833"/>
      <c r="JU127" s="2833"/>
      <c r="JV127" s="2833"/>
      <c r="JW127" s="2833"/>
      <c r="JX127" s="2833"/>
      <c r="JY127" s="2833"/>
      <c r="JZ127" s="2833"/>
      <c r="KA127" s="2833"/>
      <c r="KB127" s="2833"/>
      <c r="KC127" s="2833"/>
      <c r="KD127" s="2833"/>
      <c r="KE127" s="2833"/>
      <c r="KF127" s="2833"/>
      <c r="KG127" s="2833"/>
      <c r="KH127" s="2833"/>
      <c r="KI127" s="2833"/>
      <c r="KJ127" s="2833"/>
      <c r="KK127" s="1353"/>
    </row>
    <row r="128" ht="15" customHeight="1">
      <c r="A128" s="2833"/>
      <c r="B128" s="2953" t="s">
        <v>2946</v>
      </c>
      <c r="C128" s="2954"/>
      <c r="D128" s="2955"/>
      <c r="E128" s="2955"/>
      <c r="F128" s="2955"/>
      <c r="G128" s="2955"/>
      <c r="H128" s="2955"/>
      <c r="I128" s="2955"/>
      <c r="J128" s="2955"/>
      <c r="K128" s="2955"/>
      <c r="L128" s="2955"/>
      <c r="M128" s="2955"/>
      <c r="N128" s="2955"/>
      <c r="O128" s="2955"/>
      <c r="P128" s="2968"/>
      <c r="Q128" s="2877">
        <f t="shared" si="34" ref="Q128:EZ128">COUNTIF($G$23:$G$125,Q$20)-Q127</f>
        <v>0</v>
      </c>
      <c r="R128" s="2877">
        <f t="shared" si="34"/>
        <v>0</v>
      </c>
      <c r="S128" s="2877">
        <f t="shared" si="34"/>
        <v>1</v>
      </c>
      <c r="T128" s="2877">
        <f t="shared" si="34"/>
        <v>4</v>
      </c>
      <c r="U128" s="2877">
        <f t="shared" si="34"/>
        <v>0</v>
      </c>
      <c r="V128" s="2877">
        <f t="shared" si="34"/>
        <v>0</v>
      </c>
      <c r="W128" s="2877">
        <f t="shared" si="34"/>
        <v>0</v>
      </c>
      <c r="X128" s="2877">
        <f t="shared" si="34"/>
        <v>0</v>
      </c>
      <c r="Y128" s="2877">
        <f t="shared" si="34"/>
        <v>0</v>
      </c>
      <c r="Z128" s="2877">
        <f t="shared" si="34"/>
        <v>0</v>
      </c>
      <c r="AA128" s="2877">
        <f t="shared" si="34"/>
        <v>0</v>
      </c>
      <c r="AB128" s="2877">
        <f t="shared" si="34"/>
        <v>0</v>
      </c>
      <c r="AC128" s="2877">
        <f t="shared" si="34"/>
        <v>0</v>
      </c>
      <c r="AD128" s="2877">
        <f t="shared" si="34"/>
        <v>0</v>
      </c>
      <c r="AE128" s="2877">
        <f t="shared" si="34"/>
        <v>0</v>
      </c>
      <c r="AF128" s="2877">
        <f t="shared" si="34"/>
        <v>0</v>
      </c>
      <c r="AG128" s="2877">
        <f t="shared" si="34"/>
        <v>0</v>
      </c>
      <c r="AH128" s="2877">
        <f t="shared" si="34"/>
        <v>0</v>
      </c>
      <c r="AI128" s="2877">
        <f t="shared" si="34"/>
        <v>0</v>
      </c>
      <c r="AJ128" s="2877">
        <f t="shared" si="34"/>
        <v>0</v>
      </c>
      <c r="AK128" s="2877">
        <f t="shared" si="34"/>
        <v>0</v>
      </c>
      <c r="AL128" s="2877">
        <f t="shared" si="34"/>
        <v>0</v>
      </c>
      <c r="AM128" s="2877">
        <f t="shared" si="34"/>
        <v>0</v>
      </c>
      <c r="AN128" s="2877">
        <f t="shared" si="34"/>
        <v>0</v>
      </c>
      <c r="AO128" s="2877">
        <f t="shared" si="34"/>
        <v>0</v>
      </c>
      <c r="AP128" s="2877">
        <f t="shared" si="34"/>
        <v>0</v>
      </c>
      <c r="AQ128" s="2877">
        <f t="shared" si="34"/>
        <v>0</v>
      </c>
      <c r="AR128" s="2877">
        <f t="shared" si="34"/>
        <v>0</v>
      </c>
      <c r="AS128" s="2877">
        <f t="shared" si="34"/>
        <v>0</v>
      </c>
      <c r="AT128" s="2877">
        <f t="shared" si="34"/>
        <v>0</v>
      </c>
      <c r="AU128" s="2877">
        <f t="shared" si="34"/>
        <v>0</v>
      </c>
      <c r="AV128" s="2877">
        <f t="shared" si="34"/>
        <v>0</v>
      </c>
      <c r="AW128" s="2877">
        <f t="shared" si="34"/>
        <v>0</v>
      </c>
      <c r="AX128" s="2877">
        <f t="shared" si="34"/>
        <v>0</v>
      </c>
      <c r="AY128" s="2877">
        <f t="shared" si="34"/>
        <v>0</v>
      </c>
      <c r="AZ128" s="2877">
        <f t="shared" si="34"/>
        <v>0</v>
      </c>
      <c r="BA128" s="2877">
        <f t="shared" si="34"/>
        <v>0</v>
      </c>
      <c r="BB128" s="2877">
        <f t="shared" si="34"/>
        <v>0</v>
      </c>
      <c r="BC128" s="2877">
        <f t="shared" si="34"/>
        <v>0</v>
      </c>
      <c r="BD128" s="2877">
        <f t="shared" si="34"/>
        <v>0</v>
      </c>
      <c r="BE128" s="2877">
        <f t="shared" si="34"/>
        <v>0</v>
      </c>
      <c r="BF128" s="2877">
        <f t="shared" si="34"/>
        <v>0</v>
      </c>
      <c r="BG128" s="2877">
        <f t="shared" si="34"/>
        <v>0</v>
      </c>
      <c r="BH128" s="2877">
        <f t="shared" si="34"/>
        <v>0</v>
      </c>
      <c r="BI128" s="2877">
        <f t="shared" si="34"/>
        <v>0</v>
      </c>
      <c r="BJ128" s="2877">
        <f t="shared" si="34"/>
        <v>0</v>
      </c>
      <c r="BK128" s="2877">
        <f t="shared" si="34"/>
        <v>0</v>
      </c>
      <c r="BL128" s="2877">
        <f t="shared" si="34"/>
        <v>0</v>
      </c>
      <c r="BM128" s="2877">
        <f t="shared" si="34"/>
        <v>0</v>
      </c>
      <c r="BN128" s="2877">
        <f t="shared" si="34"/>
        <v>0</v>
      </c>
      <c r="BO128" s="2877">
        <f t="shared" si="34"/>
        <v>0</v>
      </c>
      <c r="BP128" s="2877">
        <f t="shared" si="34"/>
        <v>0</v>
      </c>
      <c r="BQ128" s="2877">
        <f t="shared" si="34"/>
        <v>0</v>
      </c>
      <c r="BR128" s="2877">
        <f t="shared" si="34"/>
        <v>0</v>
      </c>
      <c r="BS128" s="2877">
        <f t="shared" si="34"/>
        <v>0</v>
      </c>
      <c r="BT128" s="2877">
        <f t="shared" si="34"/>
        <v>0</v>
      </c>
      <c r="BU128" s="2877">
        <f t="shared" si="34"/>
        <v>0</v>
      </c>
      <c r="BV128" s="2877">
        <f t="shared" si="34"/>
        <v>0</v>
      </c>
      <c r="BW128" s="2877">
        <f t="shared" si="34"/>
        <v>0</v>
      </c>
      <c r="BX128" s="2877">
        <f t="shared" si="34"/>
        <v>0</v>
      </c>
      <c r="BY128" s="2877">
        <f t="shared" si="34"/>
        <v>0</v>
      </c>
      <c r="BZ128" s="2877">
        <f t="shared" si="34"/>
        <v>0</v>
      </c>
      <c r="CA128" s="2877">
        <f t="shared" si="34"/>
        <v>0</v>
      </c>
      <c r="CB128" s="2877">
        <f t="shared" si="34"/>
        <v>0</v>
      </c>
      <c r="CC128" s="2877">
        <f t="shared" si="34"/>
        <v>0</v>
      </c>
      <c r="CD128" s="2877">
        <f t="shared" si="34"/>
        <v>0</v>
      </c>
      <c r="CE128" s="2877">
        <f t="shared" si="34"/>
        <v>0</v>
      </c>
      <c r="CF128" s="2877">
        <f t="shared" si="34"/>
        <v>0</v>
      </c>
      <c r="CG128" s="2877">
        <f t="shared" si="34"/>
        <v>0</v>
      </c>
      <c r="CH128" s="2877">
        <f t="shared" si="34"/>
        <v>0</v>
      </c>
      <c r="CI128" s="2877">
        <f t="shared" si="34"/>
        <v>0</v>
      </c>
      <c r="CJ128" s="2877">
        <f t="shared" si="34"/>
        <v>0</v>
      </c>
      <c r="CK128" s="2877">
        <f t="shared" si="34"/>
        <v>0</v>
      </c>
      <c r="CL128" s="2877">
        <f t="shared" si="34"/>
        <v>0</v>
      </c>
      <c r="CM128" s="2877">
        <f t="shared" si="34"/>
        <v>0</v>
      </c>
      <c r="CN128" s="2877">
        <f t="shared" si="34"/>
        <v>0</v>
      </c>
      <c r="CO128" s="2877">
        <f t="shared" si="34"/>
        <v>0</v>
      </c>
      <c r="CP128" s="2877">
        <f t="shared" si="34"/>
        <v>0</v>
      </c>
      <c r="CQ128" s="2877">
        <f t="shared" si="34"/>
        <v>0</v>
      </c>
      <c r="CR128" s="2877">
        <f t="shared" si="34"/>
        <v>0</v>
      </c>
      <c r="CS128" s="2877">
        <f t="shared" si="34"/>
        <v>0</v>
      </c>
      <c r="CT128" s="2877">
        <f t="shared" si="34"/>
        <v>0</v>
      </c>
      <c r="CU128" s="2877">
        <f t="shared" si="34"/>
        <v>0</v>
      </c>
      <c r="CV128" s="2877">
        <f t="shared" si="34"/>
        <v>0</v>
      </c>
      <c r="CW128" s="2877">
        <f t="shared" si="34"/>
        <v>0</v>
      </c>
      <c r="CX128" s="2877">
        <f t="shared" si="34"/>
        <v>0</v>
      </c>
      <c r="CY128" s="2877">
        <f t="shared" si="34"/>
        <v>0</v>
      </c>
      <c r="CZ128" s="2877">
        <f t="shared" si="34"/>
        <v>0</v>
      </c>
      <c r="DA128" s="2877">
        <f t="shared" si="34"/>
        <v>0</v>
      </c>
      <c r="DB128" s="2877">
        <f t="shared" si="34"/>
        <v>0</v>
      </c>
      <c r="DC128" s="2877">
        <f t="shared" si="34"/>
        <v>0</v>
      </c>
      <c r="DD128" s="2877">
        <f t="shared" si="34"/>
        <v>0</v>
      </c>
      <c r="DE128" s="2877">
        <f t="shared" si="34"/>
        <v>0</v>
      </c>
      <c r="DF128" s="2877">
        <f t="shared" si="34"/>
        <v>0</v>
      </c>
      <c r="DG128" s="2877">
        <f t="shared" si="34"/>
        <v>0</v>
      </c>
      <c r="DH128" s="2877">
        <f t="shared" si="34"/>
        <v>0</v>
      </c>
      <c r="DI128" s="2877">
        <f t="shared" si="34"/>
        <v>0</v>
      </c>
      <c r="DJ128" s="2877">
        <f t="shared" si="34"/>
        <v>0</v>
      </c>
      <c r="DK128" s="2877">
        <f t="shared" si="34"/>
        <v>0</v>
      </c>
      <c r="DL128" s="2877">
        <f t="shared" si="34"/>
        <v>0</v>
      </c>
      <c r="DM128" s="2877">
        <f t="shared" si="34"/>
        <v>0</v>
      </c>
      <c r="DN128" s="2877">
        <f t="shared" si="34"/>
        <v>0</v>
      </c>
      <c r="DO128" s="2877">
        <f t="shared" si="34"/>
        <v>0</v>
      </c>
      <c r="DP128" s="2877">
        <f t="shared" si="34"/>
        <v>0</v>
      </c>
      <c r="DQ128" s="2877">
        <f t="shared" si="34"/>
        <v>0</v>
      </c>
      <c r="DR128" s="2877">
        <f t="shared" si="34"/>
        <v>0</v>
      </c>
      <c r="DS128" s="2877">
        <f t="shared" si="34"/>
        <v>0</v>
      </c>
      <c r="DT128" s="2877">
        <f t="shared" si="34"/>
        <v>0</v>
      </c>
      <c r="DU128" s="2877">
        <f t="shared" si="34"/>
        <v>0</v>
      </c>
      <c r="DV128" s="2877">
        <f t="shared" si="34"/>
        <v>0</v>
      </c>
      <c r="DW128" s="2877">
        <f t="shared" si="34"/>
        <v>0</v>
      </c>
      <c r="DX128" s="2877">
        <f t="shared" si="34"/>
        <v>0</v>
      </c>
      <c r="DY128" s="2877">
        <f t="shared" si="34"/>
        <v>0</v>
      </c>
      <c r="DZ128" s="2877">
        <f t="shared" si="34"/>
        <v>0</v>
      </c>
      <c r="EA128" s="2877">
        <f t="shared" si="34"/>
        <v>0</v>
      </c>
      <c r="EB128" s="2877">
        <f t="shared" si="34"/>
        <v>0</v>
      </c>
      <c r="EC128" s="2877">
        <f t="shared" si="34"/>
        <v>0</v>
      </c>
      <c r="ED128" s="2877">
        <f t="shared" si="34"/>
        <v>0</v>
      </c>
      <c r="EE128" s="2877">
        <f t="shared" si="34"/>
        <v>0</v>
      </c>
      <c r="EF128" s="2877">
        <f t="shared" si="34"/>
        <v>0</v>
      </c>
      <c r="EG128" s="2877">
        <f t="shared" si="34"/>
        <v>0</v>
      </c>
      <c r="EH128" s="2877">
        <f t="shared" si="34"/>
        <v>0</v>
      </c>
      <c r="EI128" s="2877">
        <f t="shared" si="34"/>
        <v>0</v>
      </c>
      <c r="EJ128" s="2877">
        <f t="shared" si="34"/>
        <v>0</v>
      </c>
      <c r="EK128" s="2877">
        <f t="shared" si="34"/>
        <v>0</v>
      </c>
      <c r="EL128" s="2877">
        <f t="shared" si="34"/>
        <v>0</v>
      </c>
      <c r="EM128" s="2877">
        <f t="shared" si="34"/>
        <v>0</v>
      </c>
      <c r="EN128" s="2877">
        <f t="shared" si="34"/>
        <v>0</v>
      </c>
      <c r="EO128" s="2877">
        <f t="shared" si="34"/>
        <v>0</v>
      </c>
      <c r="EP128" s="2877">
        <f t="shared" si="34"/>
        <v>0</v>
      </c>
      <c r="EQ128" s="2877">
        <f t="shared" si="34"/>
        <v>0</v>
      </c>
      <c r="ER128" s="2877">
        <f t="shared" si="34"/>
        <v>0</v>
      </c>
      <c r="ES128" s="2877">
        <f t="shared" si="34"/>
        <v>0</v>
      </c>
      <c r="ET128" s="2877">
        <f t="shared" si="34"/>
        <v>0</v>
      </c>
      <c r="EU128" s="2877">
        <f t="shared" si="34"/>
        <v>0</v>
      </c>
      <c r="EV128" s="2877">
        <f t="shared" si="34"/>
        <v>0</v>
      </c>
      <c r="EW128" s="2877">
        <f t="shared" si="34"/>
        <v>0</v>
      </c>
      <c r="EX128" s="2877">
        <f t="shared" si="34"/>
        <v>0</v>
      </c>
      <c r="EY128" s="2877">
        <f t="shared" si="34"/>
        <v>0</v>
      </c>
      <c r="EZ128" s="2877">
        <f t="shared" si="34"/>
        <v>0</v>
      </c>
      <c r="FA128" s="2877">
        <f t="shared" si="35"/>
        <v>5</v>
      </c>
      <c r="FB128" s="2833"/>
      <c r="FC128" s="2833"/>
      <c r="FD128" s="2833"/>
      <c r="FE128" s="2833"/>
      <c r="FF128" s="2833"/>
      <c r="FG128" s="2833"/>
      <c r="FH128" s="2833"/>
      <c r="FI128" s="2833"/>
      <c r="FJ128" s="2833"/>
      <c r="FK128" s="2833"/>
      <c r="FL128" s="2838"/>
      <c r="FM128" s="2825"/>
      <c r="FN128" s="2825"/>
      <c r="FO128" s="2825"/>
      <c r="FP128" s="2825"/>
      <c r="FQ128" s="2825"/>
      <c r="FR128" s="2825"/>
      <c r="FS128" s="2825"/>
      <c r="FT128" s="2825"/>
      <c r="FU128" s="2825"/>
      <c r="FV128" s="2825"/>
      <c r="FW128" s="2825"/>
      <c r="FX128" s="2825"/>
      <c r="FY128" s="2825"/>
      <c r="FZ128" s="2825"/>
      <c r="GA128" s="2825"/>
      <c r="GB128" s="2825"/>
      <c r="GC128" s="2825"/>
      <c r="GD128" s="2825"/>
      <c r="GE128" s="2825"/>
      <c r="GF128" s="2825"/>
      <c r="GG128" s="2825"/>
      <c r="GH128" s="2825"/>
      <c r="GI128" s="2825"/>
      <c r="GJ128" s="2825"/>
      <c r="GK128" s="2825"/>
      <c r="GL128" s="2825"/>
      <c r="GM128" s="2825"/>
      <c r="GN128" s="2825"/>
      <c r="GO128" s="2825"/>
      <c r="GP128" s="2825"/>
      <c r="GQ128" s="2825"/>
      <c r="GR128" s="2825"/>
      <c r="GS128" s="2825"/>
      <c r="GT128" s="2825"/>
      <c r="GU128" s="2825"/>
      <c r="GV128" s="2825"/>
      <c r="GW128" s="2825"/>
      <c r="GX128" s="2825"/>
      <c r="GY128" s="2825"/>
      <c r="GZ128" s="2825"/>
      <c r="HA128" s="2825"/>
      <c r="HB128" s="2825"/>
      <c r="HC128" s="2825"/>
      <c r="HD128" s="2825"/>
      <c r="HE128" s="2825"/>
      <c r="HF128" s="2825"/>
      <c r="HG128" s="2825"/>
      <c r="HH128" s="2825"/>
      <c r="HI128" s="2825"/>
      <c r="HJ128" s="2825"/>
      <c r="HK128" s="2825"/>
      <c r="HL128" s="2825"/>
      <c r="HM128" s="2825"/>
      <c r="HN128" s="2825"/>
      <c r="HO128" s="2825"/>
      <c r="HP128" s="2825"/>
      <c r="HQ128" s="2825"/>
      <c r="HR128" s="2825"/>
      <c r="HS128" s="2825"/>
      <c r="HT128" s="2825"/>
      <c r="HU128" s="2825"/>
      <c r="HV128" s="2825"/>
      <c r="HW128" s="2825"/>
      <c r="HX128" s="2825"/>
      <c r="HY128" s="2825"/>
      <c r="HZ128" s="2825"/>
      <c r="IA128" s="2825"/>
      <c r="IB128" s="2825"/>
      <c r="IC128" s="2825"/>
      <c r="ID128" s="2825"/>
      <c r="IE128" s="2825"/>
      <c r="IF128" s="2825"/>
      <c r="IG128" s="2825"/>
      <c r="IH128" s="2825"/>
      <c r="II128" s="2825"/>
      <c r="IJ128" s="2825"/>
      <c r="IK128" s="2825"/>
      <c r="IL128" s="2825"/>
      <c r="IM128" s="2825"/>
      <c r="IN128" s="2825"/>
      <c r="IO128" s="2838"/>
      <c r="IP128" s="2838"/>
      <c r="IQ128" s="2838"/>
      <c r="IR128" s="2838"/>
      <c r="IS128" s="2838"/>
      <c r="IT128" s="2838"/>
      <c r="IU128" s="2838"/>
      <c r="IV128" s="2838"/>
      <c r="IW128" s="2838"/>
      <c r="IX128" s="2838"/>
      <c r="IY128" s="2838"/>
      <c r="IZ128" s="2838"/>
      <c r="JA128" s="2838"/>
      <c r="JB128" s="2838"/>
      <c r="JC128" s="2838"/>
      <c r="JD128" s="2838"/>
      <c r="JE128" s="2838"/>
      <c r="JF128" s="2838"/>
      <c r="JG128" s="2838"/>
      <c r="JH128" s="2838"/>
      <c r="JI128" s="2833"/>
      <c r="JJ128" s="2833"/>
      <c r="JK128" s="2833"/>
      <c r="JL128" s="2833"/>
      <c r="JM128" s="2833"/>
      <c r="JN128" s="2833"/>
      <c r="JO128" s="2833"/>
      <c r="JP128" s="2833"/>
      <c r="JQ128" s="2833"/>
      <c r="JR128" s="2833"/>
      <c r="JS128" s="2833"/>
      <c r="JT128" s="2833"/>
      <c r="JU128" s="2833"/>
      <c r="JV128" s="2833"/>
      <c r="JW128" s="2833"/>
      <c r="JX128" s="2833"/>
      <c r="JY128" s="2833"/>
      <c r="JZ128" s="2833"/>
      <c r="KA128" s="2833"/>
      <c r="KB128" s="2833"/>
      <c r="KC128" s="2833"/>
      <c r="KD128" s="2833"/>
      <c r="KE128" s="2833"/>
      <c r="KF128" s="2833"/>
      <c r="KG128" s="2833"/>
      <c r="KH128" s="2833"/>
      <c r="KI128" s="2833"/>
      <c r="KJ128" s="2833"/>
      <c r="KK128" s="1353"/>
    </row>
    <row r="129" ht="15" customHeight="1">
      <c r="A129" s="2833"/>
      <c r="B129" s="2953" t="s">
        <v>2947</v>
      </c>
      <c r="C129" s="2954"/>
      <c r="D129" s="2955"/>
      <c r="E129" s="2955"/>
      <c r="F129" s="2955"/>
      <c r="G129" s="2955"/>
      <c r="H129" s="2955"/>
      <c r="I129" s="2955"/>
      <c r="J129" s="2955"/>
      <c r="K129" s="2955"/>
      <c r="L129" s="2955"/>
      <c r="M129" s="2955"/>
      <c r="N129" s="2955"/>
      <c r="O129" s="2955"/>
      <c r="P129" s="2968"/>
      <c r="Q129" s="2970">
        <f t="shared" si="36" ref="Q129:EZ129">IF($D$141&gt;0,COUNTIF($G$23:$G$125,Q$20)/$D$141,0)</f>
        <v>0.31683168316831684</v>
      </c>
      <c r="R129" s="2970">
        <f t="shared" si="36"/>
        <v>0.27722772277227725</v>
      </c>
      <c r="S129" s="2970">
        <f t="shared" si="36"/>
        <v>0.15841584158415842</v>
      </c>
      <c r="T129" s="2970">
        <f t="shared" si="36"/>
        <v>0.2376237623762376</v>
      </c>
      <c r="U129" s="2970">
        <f t="shared" si="36"/>
        <v>0.009900990099009901</v>
      </c>
      <c r="V129" s="2970">
        <f t="shared" si="36"/>
        <v>0</v>
      </c>
      <c r="W129" s="2970">
        <f t="shared" si="36"/>
        <v>0</v>
      </c>
      <c r="X129" s="2970">
        <f t="shared" si="36"/>
        <v>0</v>
      </c>
      <c r="Y129" s="2970">
        <f t="shared" si="36"/>
        <v>0</v>
      </c>
      <c r="Z129" s="2970">
        <f t="shared" si="36"/>
        <v>0</v>
      </c>
      <c r="AA129" s="2970">
        <f t="shared" si="36"/>
        <v>0</v>
      </c>
      <c r="AB129" s="2970">
        <f t="shared" si="36"/>
        <v>0</v>
      </c>
      <c r="AC129" s="2970">
        <f t="shared" si="36"/>
        <v>0</v>
      </c>
      <c r="AD129" s="2970">
        <f t="shared" si="36"/>
        <v>0</v>
      </c>
      <c r="AE129" s="2970">
        <f t="shared" si="36"/>
        <v>0</v>
      </c>
      <c r="AF129" s="2970">
        <f t="shared" si="36"/>
        <v>0</v>
      </c>
      <c r="AG129" s="2970">
        <f t="shared" si="36"/>
        <v>0</v>
      </c>
      <c r="AH129" s="2970">
        <f t="shared" si="36"/>
        <v>0</v>
      </c>
      <c r="AI129" s="2970">
        <f t="shared" si="36"/>
        <v>0</v>
      </c>
      <c r="AJ129" s="2970">
        <f t="shared" si="36"/>
        <v>0</v>
      </c>
      <c r="AK129" s="2970">
        <f t="shared" si="36"/>
        <v>0</v>
      </c>
      <c r="AL129" s="2970">
        <f t="shared" si="36"/>
        <v>0</v>
      </c>
      <c r="AM129" s="2970">
        <f t="shared" si="36"/>
        <v>0</v>
      </c>
      <c r="AN129" s="2970">
        <f t="shared" si="36"/>
        <v>0</v>
      </c>
      <c r="AO129" s="2970">
        <f t="shared" si="36"/>
        <v>0</v>
      </c>
      <c r="AP129" s="2970">
        <f t="shared" si="36"/>
        <v>0</v>
      </c>
      <c r="AQ129" s="2970">
        <f t="shared" si="36"/>
        <v>0</v>
      </c>
      <c r="AR129" s="2970">
        <f t="shared" si="36"/>
        <v>0</v>
      </c>
      <c r="AS129" s="2970">
        <f t="shared" si="36"/>
        <v>0</v>
      </c>
      <c r="AT129" s="2970">
        <f t="shared" si="36"/>
        <v>0</v>
      </c>
      <c r="AU129" s="2970">
        <f t="shared" si="36"/>
        <v>0</v>
      </c>
      <c r="AV129" s="2970">
        <f t="shared" si="36"/>
        <v>0</v>
      </c>
      <c r="AW129" s="2970">
        <f t="shared" si="36"/>
        <v>0</v>
      </c>
      <c r="AX129" s="2970">
        <f t="shared" si="36"/>
        <v>0</v>
      </c>
      <c r="AY129" s="2970">
        <f t="shared" si="36"/>
        <v>0</v>
      </c>
      <c r="AZ129" s="2970">
        <f t="shared" si="36"/>
        <v>0</v>
      </c>
      <c r="BA129" s="2970">
        <f t="shared" si="36"/>
        <v>0</v>
      </c>
      <c r="BB129" s="2970">
        <f t="shared" si="36"/>
        <v>0</v>
      </c>
      <c r="BC129" s="2970">
        <f t="shared" si="36"/>
        <v>0</v>
      </c>
      <c r="BD129" s="2970">
        <f t="shared" si="36"/>
        <v>0</v>
      </c>
      <c r="BE129" s="2970">
        <f t="shared" si="36"/>
        <v>0</v>
      </c>
      <c r="BF129" s="2970">
        <f t="shared" si="36"/>
        <v>0</v>
      </c>
      <c r="BG129" s="2970">
        <f t="shared" si="36"/>
        <v>0</v>
      </c>
      <c r="BH129" s="2970">
        <f t="shared" si="36"/>
        <v>0</v>
      </c>
      <c r="BI129" s="2970">
        <f t="shared" si="36"/>
        <v>0</v>
      </c>
      <c r="BJ129" s="2970">
        <f t="shared" si="36"/>
        <v>0</v>
      </c>
      <c r="BK129" s="2970">
        <f t="shared" si="36"/>
        <v>0</v>
      </c>
      <c r="BL129" s="2970">
        <f t="shared" si="36"/>
        <v>0</v>
      </c>
      <c r="BM129" s="2970">
        <f t="shared" si="36"/>
        <v>0</v>
      </c>
      <c r="BN129" s="2970">
        <f t="shared" si="36"/>
        <v>0</v>
      </c>
      <c r="BO129" s="2970">
        <f t="shared" si="36"/>
        <v>0</v>
      </c>
      <c r="BP129" s="2970">
        <f t="shared" si="36"/>
        <v>0</v>
      </c>
      <c r="BQ129" s="2970">
        <f t="shared" si="36"/>
        <v>0</v>
      </c>
      <c r="BR129" s="2970">
        <f t="shared" si="36"/>
        <v>0</v>
      </c>
      <c r="BS129" s="2970">
        <f t="shared" si="36"/>
        <v>0</v>
      </c>
      <c r="BT129" s="2970">
        <f t="shared" si="36"/>
        <v>0</v>
      </c>
      <c r="BU129" s="2970">
        <f t="shared" si="36"/>
        <v>0</v>
      </c>
      <c r="BV129" s="2970">
        <f t="shared" si="36"/>
        <v>0</v>
      </c>
      <c r="BW129" s="2970">
        <f t="shared" si="36"/>
        <v>0</v>
      </c>
      <c r="BX129" s="2970">
        <f t="shared" si="36"/>
        <v>0</v>
      </c>
      <c r="BY129" s="2970">
        <f t="shared" si="36"/>
        <v>0</v>
      </c>
      <c r="BZ129" s="2970">
        <f t="shared" si="36"/>
        <v>0</v>
      </c>
      <c r="CA129" s="2970">
        <f t="shared" si="36"/>
        <v>0</v>
      </c>
      <c r="CB129" s="2970">
        <f t="shared" si="36"/>
        <v>0</v>
      </c>
      <c r="CC129" s="2970">
        <f t="shared" si="36"/>
        <v>0</v>
      </c>
      <c r="CD129" s="2970">
        <f t="shared" si="36"/>
        <v>0</v>
      </c>
      <c r="CE129" s="2970">
        <f t="shared" si="36"/>
        <v>0</v>
      </c>
      <c r="CF129" s="2970">
        <f t="shared" si="36"/>
        <v>0</v>
      </c>
      <c r="CG129" s="2970">
        <f t="shared" si="36"/>
        <v>0</v>
      </c>
      <c r="CH129" s="2970">
        <f t="shared" si="36"/>
        <v>0</v>
      </c>
      <c r="CI129" s="2970">
        <f t="shared" si="36"/>
        <v>0</v>
      </c>
      <c r="CJ129" s="2970">
        <f t="shared" si="36"/>
        <v>0</v>
      </c>
      <c r="CK129" s="2970">
        <f t="shared" si="36"/>
        <v>0</v>
      </c>
      <c r="CL129" s="2970">
        <f t="shared" si="36"/>
        <v>0</v>
      </c>
      <c r="CM129" s="2970">
        <f t="shared" si="36"/>
        <v>0</v>
      </c>
      <c r="CN129" s="2970">
        <f t="shared" si="36"/>
        <v>0</v>
      </c>
      <c r="CO129" s="2970">
        <f t="shared" si="36"/>
        <v>0</v>
      </c>
      <c r="CP129" s="2970">
        <f t="shared" si="36"/>
        <v>0</v>
      </c>
      <c r="CQ129" s="2970">
        <f t="shared" si="36"/>
        <v>0</v>
      </c>
      <c r="CR129" s="2970">
        <f t="shared" si="36"/>
        <v>0</v>
      </c>
      <c r="CS129" s="2970">
        <f t="shared" si="36"/>
        <v>0</v>
      </c>
      <c r="CT129" s="2970">
        <f t="shared" si="36"/>
        <v>0</v>
      </c>
      <c r="CU129" s="2970">
        <f t="shared" si="36"/>
        <v>0</v>
      </c>
      <c r="CV129" s="2970">
        <f t="shared" si="36"/>
        <v>0</v>
      </c>
      <c r="CW129" s="2970">
        <f t="shared" si="36"/>
        <v>0</v>
      </c>
      <c r="CX129" s="2970">
        <f t="shared" si="36"/>
        <v>0</v>
      </c>
      <c r="CY129" s="2970">
        <f t="shared" si="36"/>
        <v>0</v>
      </c>
      <c r="CZ129" s="2970">
        <f t="shared" si="36"/>
        <v>0</v>
      </c>
      <c r="DA129" s="2970">
        <f t="shared" si="36"/>
        <v>0</v>
      </c>
      <c r="DB129" s="2970">
        <f t="shared" si="36"/>
        <v>0</v>
      </c>
      <c r="DC129" s="2970">
        <f t="shared" si="36"/>
        <v>0</v>
      </c>
      <c r="DD129" s="2970">
        <f t="shared" si="36"/>
        <v>0</v>
      </c>
      <c r="DE129" s="2970">
        <f t="shared" si="36"/>
        <v>0</v>
      </c>
      <c r="DF129" s="2970">
        <f t="shared" si="36"/>
        <v>0</v>
      </c>
      <c r="DG129" s="2970">
        <f t="shared" si="36"/>
        <v>0</v>
      </c>
      <c r="DH129" s="2970">
        <f t="shared" si="36"/>
        <v>0</v>
      </c>
      <c r="DI129" s="2970">
        <f t="shared" si="36"/>
        <v>0</v>
      </c>
      <c r="DJ129" s="2970">
        <f t="shared" si="36"/>
        <v>0</v>
      </c>
      <c r="DK129" s="2970">
        <f t="shared" si="36"/>
        <v>0</v>
      </c>
      <c r="DL129" s="2970">
        <f t="shared" si="36"/>
        <v>0</v>
      </c>
      <c r="DM129" s="2970">
        <f t="shared" si="36"/>
        <v>0</v>
      </c>
      <c r="DN129" s="2970">
        <f t="shared" si="36"/>
        <v>0</v>
      </c>
      <c r="DO129" s="2970">
        <f t="shared" si="36"/>
        <v>0</v>
      </c>
      <c r="DP129" s="2970">
        <f t="shared" si="36"/>
        <v>0</v>
      </c>
      <c r="DQ129" s="2970">
        <f t="shared" si="36"/>
        <v>0</v>
      </c>
      <c r="DR129" s="2970">
        <f t="shared" si="36"/>
        <v>0</v>
      </c>
      <c r="DS129" s="2970">
        <f t="shared" si="36"/>
        <v>0</v>
      </c>
      <c r="DT129" s="2970">
        <f t="shared" si="36"/>
        <v>0</v>
      </c>
      <c r="DU129" s="2970">
        <f t="shared" si="36"/>
        <v>0</v>
      </c>
      <c r="DV129" s="2970">
        <f t="shared" si="36"/>
        <v>0</v>
      </c>
      <c r="DW129" s="2970">
        <f t="shared" si="36"/>
        <v>0</v>
      </c>
      <c r="DX129" s="2970">
        <f t="shared" si="36"/>
        <v>0</v>
      </c>
      <c r="DY129" s="2970">
        <f t="shared" si="36"/>
        <v>0</v>
      </c>
      <c r="DZ129" s="2970">
        <f t="shared" si="36"/>
        <v>0</v>
      </c>
      <c r="EA129" s="2970">
        <f t="shared" si="36"/>
        <v>0</v>
      </c>
      <c r="EB129" s="2970">
        <f t="shared" si="36"/>
        <v>0</v>
      </c>
      <c r="EC129" s="2970">
        <f t="shared" si="36"/>
        <v>0</v>
      </c>
      <c r="ED129" s="2970">
        <f t="shared" si="36"/>
        <v>0</v>
      </c>
      <c r="EE129" s="2970">
        <f t="shared" si="36"/>
        <v>0</v>
      </c>
      <c r="EF129" s="2970">
        <f t="shared" si="36"/>
        <v>0</v>
      </c>
      <c r="EG129" s="2970">
        <f t="shared" si="36"/>
        <v>0</v>
      </c>
      <c r="EH129" s="2970">
        <f t="shared" si="36"/>
        <v>0</v>
      </c>
      <c r="EI129" s="2970">
        <f t="shared" si="36"/>
        <v>0</v>
      </c>
      <c r="EJ129" s="2970">
        <f t="shared" si="36"/>
        <v>0</v>
      </c>
      <c r="EK129" s="2970">
        <f t="shared" si="36"/>
        <v>0</v>
      </c>
      <c r="EL129" s="2970">
        <f t="shared" si="36"/>
        <v>0</v>
      </c>
      <c r="EM129" s="2970">
        <f t="shared" si="36"/>
        <v>0</v>
      </c>
      <c r="EN129" s="2970">
        <f t="shared" si="36"/>
        <v>0</v>
      </c>
      <c r="EO129" s="2970">
        <f t="shared" si="36"/>
        <v>0</v>
      </c>
      <c r="EP129" s="2970">
        <f t="shared" si="36"/>
        <v>0</v>
      </c>
      <c r="EQ129" s="2970">
        <f t="shared" si="36"/>
        <v>0</v>
      </c>
      <c r="ER129" s="2970">
        <f t="shared" si="36"/>
        <v>0</v>
      </c>
      <c r="ES129" s="2970">
        <f t="shared" si="36"/>
        <v>0</v>
      </c>
      <c r="ET129" s="2970">
        <f t="shared" si="36"/>
        <v>0</v>
      </c>
      <c r="EU129" s="2970">
        <f t="shared" si="36"/>
        <v>0</v>
      </c>
      <c r="EV129" s="2970">
        <f t="shared" si="36"/>
        <v>0</v>
      </c>
      <c r="EW129" s="2970">
        <f t="shared" si="36"/>
        <v>0</v>
      </c>
      <c r="EX129" s="2970">
        <f t="shared" si="36"/>
        <v>0</v>
      </c>
      <c r="EY129" s="2970">
        <f t="shared" si="36"/>
        <v>0</v>
      </c>
      <c r="EZ129" s="2970">
        <f t="shared" si="36"/>
        <v>0</v>
      </c>
      <c r="FA129" s="2877"/>
      <c r="FB129" s="2833"/>
      <c r="FC129" s="2833"/>
      <c r="FD129" s="2833"/>
      <c r="FE129" s="2833"/>
      <c r="FF129" s="2833"/>
      <c r="FG129" s="2833"/>
      <c r="FH129" s="2833"/>
      <c r="FI129" s="2833"/>
      <c r="FJ129" s="2833"/>
      <c r="FK129" s="2833"/>
      <c r="FL129" s="2838"/>
      <c r="FM129" s="2825"/>
      <c r="FN129" s="2825"/>
      <c r="FO129" s="2825"/>
      <c r="FP129" s="2825"/>
      <c r="FQ129" s="2825"/>
      <c r="FR129" s="2825"/>
      <c r="FS129" s="2825"/>
      <c r="FT129" s="2825"/>
      <c r="FU129" s="2825"/>
      <c r="FV129" s="2825"/>
      <c r="FW129" s="2825"/>
      <c r="FX129" s="2825"/>
      <c r="FY129" s="2825"/>
      <c r="FZ129" s="2825"/>
      <c r="GA129" s="2825"/>
      <c r="GB129" s="2825"/>
      <c r="GC129" s="2825"/>
      <c r="GD129" s="2825"/>
      <c r="GE129" s="2825"/>
      <c r="GF129" s="2825"/>
      <c r="GG129" s="2825"/>
      <c r="GH129" s="2825"/>
      <c r="GI129" s="2825"/>
      <c r="GJ129" s="2825"/>
      <c r="GK129" s="2825"/>
      <c r="GL129" s="2825"/>
      <c r="GM129" s="2825"/>
      <c r="GN129" s="2825"/>
      <c r="GO129" s="2825"/>
      <c r="GP129" s="2825"/>
      <c r="GQ129" s="2825"/>
      <c r="GR129" s="2825"/>
      <c r="GS129" s="2825"/>
      <c r="GT129" s="2825"/>
      <c r="GU129" s="2825"/>
      <c r="GV129" s="2825"/>
      <c r="GW129" s="2825"/>
      <c r="GX129" s="2825"/>
      <c r="GY129" s="2825"/>
      <c r="GZ129" s="2825"/>
      <c r="HA129" s="2825"/>
      <c r="HB129" s="2825"/>
      <c r="HC129" s="2825"/>
      <c r="HD129" s="2825"/>
      <c r="HE129" s="2825"/>
      <c r="HF129" s="2825"/>
      <c r="HG129" s="2825"/>
      <c r="HH129" s="2825"/>
      <c r="HI129" s="2825"/>
      <c r="HJ129" s="2825"/>
      <c r="HK129" s="2825"/>
      <c r="HL129" s="2825"/>
      <c r="HM129" s="2825"/>
      <c r="HN129" s="2825"/>
      <c r="HO129" s="2825"/>
      <c r="HP129" s="2825"/>
      <c r="HQ129" s="2825"/>
      <c r="HR129" s="2825"/>
      <c r="HS129" s="2825"/>
      <c r="HT129" s="2825"/>
      <c r="HU129" s="2825"/>
      <c r="HV129" s="2825"/>
      <c r="HW129" s="2825"/>
      <c r="HX129" s="2825"/>
      <c r="HY129" s="2825"/>
      <c r="HZ129" s="2825"/>
      <c r="IA129" s="2825"/>
      <c r="IB129" s="2825"/>
      <c r="IC129" s="2825"/>
      <c r="ID129" s="2825"/>
      <c r="IE129" s="2825"/>
      <c r="IF129" s="2825"/>
      <c r="IG129" s="2825"/>
      <c r="IH129" s="2825"/>
      <c r="II129" s="2825"/>
      <c r="IJ129" s="2825"/>
      <c r="IK129" s="2825"/>
      <c r="IL129" s="2825"/>
      <c r="IM129" s="2825"/>
      <c r="IN129" s="2825"/>
      <c r="IO129" s="2838"/>
      <c r="IP129" s="2838"/>
      <c r="IQ129" s="2838"/>
      <c r="IR129" s="2838"/>
      <c r="IS129" s="2838"/>
      <c r="IT129" s="2838"/>
      <c r="IU129" s="2838"/>
      <c r="IV129" s="2838"/>
      <c r="IW129" s="2838"/>
      <c r="IX129" s="2838"/>
      <c r="IY129" s="2838"/>
      <c r="IZ129" s="2838"/>
      <c r="JA129" s="2838"/>
      <c r="JB129" s="2838"/>
      <c r="JC129" s="2838"/>
      <c r="JD129" s="2838"/>
      <c r="JE129" s="2838"/>
      <c r="JF129" s="2838"/>
      <c r="JG129" s="2838"/>
      <c r="JH129" s="2838"/>
      <c r="JI129" s="2833"/>
      <c r="JJ129" s="2833"/>
      <c r="JK129" s="2833"/>
      <c r="JL129" s="2833"/>
      <c r="JM129" s="2833"/>
      <c r="JN129" s="2833"/>
      <c r="JO129" s="2833"/>
      <c r="JP129" s="2833"/>
      <c r="JQ129" s="2833"/>
      <c r="JR129" s="2833"/>
      <c r="JS129" s="2833"/>
      <c r="JT129" s="2833"/>
      <c r="JU129" s="2833"/>
      <c r="JV129" s="2833"/>
      <c r="JW129" s="2833"/>
      <c r="JX129" s="2833"/>
      <c r="JY129" s="2833"/>
      <c r="JZ129" s="2833"/>
      <c r="KA129" s="2833"/>
      <c r="KB129" s="2833"/>
      <c r="KC129" s="2833"/>
      <c r="KD129" s="2833"/>
      <c r="KE129" s="2833"/>
      <c r="KF129" s="2833"/>
      <c r="KG129" s="2833"/>
      <c r="KH129" s="2833"/>
      <c r="KI129" s="2833"/>
      <c r="KJ129" s="2833"/>
      <c r="KK129" s="1353"/>
    </row>
    <row r="130" ht="15" customHeight="1">
      <c r="A130" s="2833"/>
      <c r="B130" s="2953" t="s">
        <v>2948</v>
      </c>
      <c r="C130" s="2954"/>
      <c r="D130" s="2955"/>
      <c r="E130" s="2955"/>
      <c r="F130" s="2955"/>
      <c r="G130" s="2955"/>
      <c r="H130" s="2955"/>
      <c r="I130" s="2955"/>
      <c r="J130" s="2955"/>
      <c r="K130" s="2955"/>
      <c r="L130" s="2955"/>
      <c r="M130" s="2955"/>
      <c r="N130" s="2955"/>
      <c r="O130" s="2955"/>
      <c r="P130" s="2968"/>
      <c r="Q130" s="2971">
        <f t="shared" si="37" ref="Q130:FA130">IF(Q127&gt;0,Q126/Q127,0)</f>
        <v>1131.875</v>
      </c>
      <c r="R130" s="2971">
        <f t="shared" si="37"/>
        <v>1205.892857142857</v>
      </c>
      <c r="S130" s="2971">
        <f t="shared" si="37"/>
        <v>1364.4666666666667</v>
      </c>
      <c r="T130" s="2971">
        <f t="shared" si="37"/>
        <v>1535.2</v>
      </c>
      <c r="U130" s="2971">
        <f t="shared" si="37"/>
        <v>1017</v>
      </c>
      <c r="V130" s="2971">
        <f t="shared" si="37"/>
        <v>0</v>
      </c>
      <c r="W130" s="2971">
        <f t="shared" si="37"/>
        <v>0</v>
      </c>
      <c r="X130" s="2971">
        <f t="shared" si="37"/>
        <v>0</v>
      </c>
      <c r="Y130" s="2971">
        <f t="shared" si="37"/>
        <v>0</v>
      </c>
      <c r="Z130" s="2971">
        <f t="shared" si="37"/>
        <v>0</v>
      </c>
      <c r="AA130" s="2971">
        <f t="shared" si="37"/>
        <v>0</v>
      </c>
      <c r="AB130" s="2971">
        <f t="shared" si="37"/>
        <v>0</v>
      </c>
      <c r="AC130" s="2971">
        <f t="shared" si="37"/>
        <v>0</v>
      </c>
      <c r="AD130" s="2971">
        <f t="shared" si="37"/>
        <v>0</v>
      </c>
      <c r="AE130" s="2971">
        <f t="shared" si="37"/>
        <v>0</v>
      </c>
      <c r="AF130" s="2971">
        <f t="shared" si="37"/>
        <v>0</v>
      </c>
      <c r="AG130" s="2971">
        <f t="shared" si="37"/>
        <v>0</v>
      </c>
      <c r="AH130" s="2971">
        <f t="shared" si="37"/>
        <v>0</v>
      </c>
      <c r="AI130" s="2971">
        <f t="shared" si="37"/>
        <v>0</v>
      </c>
      <c r="AJ130" s="2971">
        <f t="shared" si="37"/>
        <v>0</v>
      </c>
      <c r="AK130" s="2971">
        <f t="shared" si="37"/>
        <v>0</v>
      </c>
      <c r="AL130" s="2971">
        <f t="shared" si="37"/>
        <v>0</v>
      </c>
      <c r="AM130" s="2971">
        <f t="shared" si="37"/>
        <v>0</v>
      </c>
      <c r="AN130" s="2971">
        <f t="shared" si="37"/>
        <v>0</v>
      </c>
      <c r="AO130" s="2971">
        <f t="shared" si="37"/>
        <v>0</v>
      </c>
      <c r="AP130" s="2971">
        <f t="shared" si="37"/>
        <v>0</v>
      </c>
      <c r="AQ130" s="2971">
        <f t="shared" si="37"/>
        <v>0</v>
      </c>
      <c r="AR130" s="2971">
        <f t="shared" si="37"/>
        <v>0</v>
      </c>
      <c r="AS130" s="2971">
        <f t="shared" si="37"/>
        <v>0</v>
      </c>
      <c r="AT130" s="2971">
        <f t="shared" si="37"/>
        <v>0</v>
      </c>
      <c r="AU130" s="2971">
        <f t="shared" si="37"/>
        <v>0</v>
      </c>
      <c r="AV130" s="2971">
        <f t="shared" si="37"/>
        <v>0</v>
      </c>
      <c r="AW130" s="2971">
        <f t="shared" si="37"/>
        <v>0</v>
      </c>
      <c r="AX130" s="2971">
        <f t="shared" si="37"/>
        <v>0</v>
      </c>
      <c r="AY130" s="2971">
        <f t="shared" si="37"/>
        <v>0</v>
      </c>
      <c r="AZ130" s="2971">
        <f t="shared" si="37"/>
        <v>0</v>
      </c>
      <c r="BA130" s="2971">
        <f t="shared" si="37"/>
        <v>0</v>
      </c>
      <c r="BB130" s="2971">
        <f t="shared" si="37"/>
        <v>0</v>
      </c>
      <c r="BC130" s="2971">
        <f t="shared" si="37"/>
        <v>0</v>
      </c>
      <c r="BD130" s="2971">
        <f t="shared" si="37"/>
        <v>0</v>
      </c>
      <c r="BE130" s="2971">
        <f t="shared" si="37"/>
        <v>0</v>
      </c>
      <c r="BF130" s="2971">
        <f t="shared" si="37"/>
        <v>0</v>
      </c>
      <c r="BG130" s="2971">
        <f t="shared" si="37"/>
        <v>0</v>
      </c>
      <c r="BH130" s="2971">
        <f t="shared" si="37"/>
        <v>0</v>
      </c>
      <c r="BI130" s="2971">
        <f t="shared" si="37"/>
        <v>0</v>
      </c>
      <c r="BJ130" s="2971">
        <f t="shared" si="37"/>
        <v>0</v>
      </c>
      <c r="BK130" s="2971">
        <f t="shared" si="37"/>
        <v>0</v>
      </c>
      <c r="BL130" s="2971">
        <f t="shared" si="37"/>
        <v>0</v>
      </c>
      <c r="BM130" s="2971">
        <f t="shared" si="37"/>
        <v>0</v>
      </c>
      <c r="BN130" s="2971">
        <f t="shared" si="37"/>
        <v>0</v>
      </c>
      <c r="BO130" s="2971">
        <f t="shared" si="37"/>
        <v>0</v>
      </c>
      <c r="BP130" s="2971">
        <f t="shared" si="37"/>
        <v>0</v>
      </c>
      <c r="BQ130" s="2971">
        <f t="shared" si="37"/>
        <v>0</v>
      </c>
      <c r="BR130" s="2971">
        <f t="shared" si="37"/>
        <v>0</v>
      </c>
      <c r="BS130" s="2971">
        <f t="shared" si="37"/>
        <v>0</v>
      </c>
      <c r="BT130" s="2971">
        <f t="shared" si="37"/>
        <v>0</v>
      </c>
      <c r="BU130" s="2971">
        <f t="shared" si="37"/>
        <v>0</v>
      </c>
      <c r="BV130" s="2971">
        <f t="shared" si="37"/>
        <v>0</v>
      </c>
      <c r="BW130" s="2971">
        <f t="shared" si="37"/>
        <v>0</v>
      </c>
      <c r="BX130" s="2971">
        <f t="shared" si="37"/>
        <v>0</v>
      </c>
      <c r="BY130" s="2971">
        <f t="shared" si="37"/>
        <v>0</v>
      </c>
      <c r="BZ130" s="2971">
        <f t="shared" si="37"/>
        <v>0</v>
      </c>
      <c r="CA130" s="2971">
        <f t="shared" si="37"/>
        <v>0</v>
      </c>
      <c r="CB130" s="2971">
        <f t="shared" si="37"/>
        <v>0</v>
      </c>
      <c r="CC130" s="2971">
        <f t="shared" si="37"/>
        <v>0</v>
      </c>
      <c r="CD130" s="2971">
        <f t="shared" si="37"/>
        <v>0</v>
      </c>
      <c r="CE130" s="2971">
        <f t="shared" si="37"/>
        <v>0</v>
      </c>
      <c r="CF130" s="2971">
        <f t="shared" si="37"/>
        <v>0</v>
      </c>
      <c r="CG130" s="2971">
        <f t="shared" si="37"/>
        <v>0</v>
      </c>
      <c r="CH130" s="2971">
        <f t="shared" si="37"/>
        <v>0</v>
      </c>
      <c r="CI130" s="2971">
        <f t="shared" si="37"/>
        <v>0</v>
      </c>
      <c r="CJ130" s="2971">
        <f t="shared" si="37"/>
        <v>0</v>
      </c>
      <c r="CK130" s="2971">
        <f t="shared" si="37"/>
        <v>0</v>
      </c>
      <c r="CL130" s="2971">
        <f t="shared" si="37"/>
        <v>0</v>
      </c>
      <c r="CM130" s="2971">
        <f t="shared" si="37"/>
        <v>0</v>
      </c>
      <c r="CN130" s="2971">
        <f t="shared" si="37"/>
        <v>0</v>
      </c>
      <c r="CO130" s="2971">
        <f t="shared" si="37"/>
        <v>0</v>
      </c>
      <c r="CP130" s="2971">
        <f t="shared" si="37"/>
        <v>0</v>
      </c>
      <c r="CQ130" s="2971">
        <f t="shared" si="37"/>
        <v>0</v>
      </c>
      <c r="CR130" s="2971">
        <f t="shared" si="37"/>
        <v>0</v>
      </c>
      <c r="CS130" s="2971">
        <f t="shared" si="37"/>
        <v>0</v>
      </c>
      <c r="CT130" s="2971">
        <f t="shared" si="37"/>
        <v>0</v>
      </c>
      <c r="CU130" s="2971">
        <f t="shared" si="37"/>
        <v>0</v>
      </c>
      <c r="CV130" s="2971">
        <f t="shared" si="37"/>
        <v>0</v>
      </c>
      <c r="CW130" s="2971">
        <f t="shared" si="37"/>
        <v>0</v>
      </c>
      <c r="CX130" s="2971">
        <f t="shared" si="37"/>
        <v>0</v>
      </c>
      <c r="CY130" s="2971">
        <f t="shared" si="37"/>
        <v>0</v>
      </c>
      <c r="CZ130" s="2971">
        <f t="shared" si="37"/>
        <v>0</v>
      </c>
      <c r="DA130" s="2971">
        <f t="shared" si="37"/>
        <v>0</v>
      </c>
      <c r="DB130" s="2971">
        <f t="shared" si="37"/>
        <v>0</v>
      </c>
      <c r="DC130" s="2971">
        <f t="shared" si="37"/>
        <v>0</v>
      </c>
      <c r="DD130" s="2971">
        <f t="shared" si="37"/>
        <v>0</v>
      </c>
      <c r="DE130" s="2971">
        <f t="shared" si="37"/>
        <v>0</v>
      </c>
      <c r="DF130" s="2971">
        <f t="shared" si="37"/>
        <v>0</v>
      </c>
      <c r="DG130" s="2971">
        <f t="shared" si="37"/>
        <v>0</v>
      </c>
      <c r="DH130" s="2971">
        <f t="shared" si="37"/>
        <v>0</v>
      </c>
      <c r="DI130" s="2971">
        <f t="shared" si="37"/>
        <v>0</v>
      </c>
      <c r="DJ130" s="2971">
        <f t="shared" si="37"/>
        <v>0</v>
      </c>
      <c r="DK130" s="2971">
        <f t="shared" si="37"/>
        <v>0</v>
      </c>
      <c r="DL130" s="2971">
        <f t="shared" si="37"/>
        <v>0</v>
      </c>
      <c r="DM130" s="2971">
        <f t="shared" si="37"/>
        <v>0</v>
      </c>
      <c r="DN130" s="2971">
        <f t="shared" si="37"/>
        <v>0</v>
      </c>
      <c r="DO130" s="2971">
        <f t="shared" si="37"/>
        <v>0</v>
      </c>
      <c r="DP130" s="2971">
        <f t="shared" si="37"/>
        <v>0</v>
      </c>
      <c r="DQ130" s="2971">
        <f t="shared" si="37"/>
        <v>0</v>
      </c>
      <c r="DR130" s="2971">
        <f t="shared" si="37"/>
        <v>0</v>
      </c>
      <c r="DS130" s="2971">
        <f t="shared" si="37"/>
        <v>0</v>
      </c>
      <c r="DT130" s="2971">
        <f t="shared" si="37"/>
        <v>0</v>
      </c>
      <c r="DU130" s="2971">
        <f t="shared" si="37"/>
        <v>0</v>
      </c>
      <c r="DV130" s="2971">
        <f t="shared" si="37"/>
        <v>0</v>
      </c>
      <c r="DW130" s="2971">
        <f t="shared" si="37"/>
        <v>0</v>
      </c>
      <c r="DX130" s="2971">
        <f t="shared" si="37"/>
        <v>0</v>
      </c>
      <c r="DY130" s="2971">
        <f t="shared" si="37"/>
        <v>0</v>
      </c>
      <c r="DZ130" s="2971">
        <f t="shared" si="37"/>
        <v>0</v>
      </c>
      <c r="EA130" s="2971">
        <f t="shared" si="37"/>
        <v>0</v>
      </c>
      <c r="EB130" s="2971">
        <f t="shared" si="37"/>
        <v>0</v>
      </c>
      <c r="EC130" s="2971">
        <f t="shared" si="37"/>
        <v>0</v>
      </c>
      <c r="ED130" s="2971">
        <f t="shared" si="37"/>
        <v>0</v>
      </c>
      <c r="EE130" s="2971">
        <f t="shared" si="37"/>
        <v>0</v>
      </c>
      <c r="EF130" s="2971">
        <f t="shared" si="37"/>
        <v>0</v>
      </c>
      <c r="EG130" s="2971">
        <f t="shared" si="37"/>
        <v>0</v>
      </c>
      <c r="EH130" s="2971">
        <f t="shared" si="37"/>
        <v>0</v>
      </c>
      <c r="EI130" s="2971">
        <f t="shared" si="37"/>
        <v>0</v>
      </c>
      <c r="EJ130" s="2971">
        <f t="shared" si="37"/>
        <v>0</v>
      </c>
      <c r="EK130" s="2971">
        <f t="shared" si="37"/>
        <v>0</v>
      </c>
      <c r="EL130" s="2971">
        <f t="shared" si="37"/>
        <v>0</v>
      </c>
      <c r="EM130" s="2971">
        <f t="shared" si="37"/>
        <v>0</v>
      </c>
      <c r="EN130" s="2971">
        <f t="shared" si="37"/>
        <v>0</v>
      </c>
      <c r="EO130" s="2971">
        <f t="shared" si="37"/>
        <v>0</v>
      </c>
      <c r="EP130" s="2971">
        <f t="shared" si="37"/>
        <v>0</v>
      </c>
      <c r="EQ130" s="2971">
        <f t="shared" si="37"/>
        <v>0</v>
      </c>
      <c r="ER130" s="2971">
        <f t="shared" si="37"/>
        <v>0</v>
      </c>
      <c r="ES130" s="2971">
        <f t="shared" si="37"/>
        <v>0</v>
      </c>
      <c r="ET130" s="2971">
        <f t="shared" si="37"/>
        <v>0</v>
      </c>
      <c r="EU130" s="2971">
        <f t="shared" si="37"/>
        <v>0</v>
      </c>
      <c r="EV130" s="2971">
        <f t="shared" si="37"/>
        <v>0</v>
      </c>
      <c r="EW130" s="2971">
        <f t="shared" si="37"/>
        <v>0</v>
      </c>
      <c r="EX130" s="2971">
        <f t="shared" si="37"/>
        <v>0</v>
      </c>
      <c r="EY130" s="2971">
        <f t="shared" si="37"/>
        <v>0</v>
      </c>
      <c r="EZ130" s="2971">
        <f t="shared" si="37"/>
        <v>0</v>
      </c>
      <c r="FA130" s="2971">
        <f t="shared" si="37"/>
        <v>78.5625</v>
      </c>
      <c r="FB130" s="2833"/>
      <c r="FC130" s="2833"/>
      <c r="FD130" s="2833"/>
      <c r="FE130" s="2833"/>
      <c r="FF130" s="2833"/>
      <c r="FG130" s="2833"/>
      <c r="FH130" s="2833"/>
      <c r="FI130" s="2833"/>
      <c r="FJ130" s="2833"/>
      <c r="FK130" s="2931"/>
      <c r="FL130" s="2838"/>
      <c r="FM130" s="2838"/>
      <c r="FN130" s="2838"/>
      <c r="FO130" s="2838"/>
      <c r="FP130" s="2838"/>
      <c r="FQ130" s="2838"/>
      <c r="FR130" s="2838"/>
      <c r="FS130" s="2838"/>
      <c r="FT130" s="2838"/>
      <c r="FU130" s="2838"/>
      <c r="FV130" s="2838"/>
      <c r="FW130" s="2838"/>
      <c r="FX130" s="2838"/>
      <c r="FY130" s="2838"/>
      <c r="FZ130" s="2838"/>
      <c r="GA130" s="2838"/>
      <c r="GB130" s="2838"/>
      <c r="GC130" s="2838"/>
      <c r="GD130" s="2838"/>
      <c r="GE130" s="2838"/>
      <c r="GF130" s="2838"/>
      <c r="GG130" s="2838"/>
      <c r="GH130" s="2838"/>
      <c r="GI130" s="2838"/>
      <c r="GJ130" s="2838"/>
      <c r="GK130" s="2838"/>
      <c r="GL130" s="2838"/>
      <c r="GM130" s="2838"/>
      <c r="GN130" s="2838"/>
      <c r="GO130" s="2838"/>
      <c r="GP130" s="2838"/>
      <c r="GQ130" s="2838"/>
      <c r="GR130" s="2838"/>
      <c r="GS130" s="2838"/>
      <c r="GT130" s="2838"/>
      <c r="GU130" s="2838"/>
      <c r="GV130" s="2838"/>
      <c r="GW130" s="2838"/>
      <c r="GX130" s="2838"/>
      <c r="GY130" s="2838"/>
      <c r="GZ130" s="2838"/>
      <c r="HA130" s="2838"/>
      <c r="HB130" s="2838"/>
      <c r="HC130" s="2838"/>
      <c r="HD130" s="2838"/>
      <c r="HE130" s="2838"/>
      <c r="HF130" s="2838"/>
      <c r="HG130" s="2838"/>
      <c r="HH130" s="2838"/>
      <c r="HI130" s="2838"/>
      <c r="HJ130" s="2838"/>
      <c r="HK130" s="2838"/>
      <c r="HL130" s="2838"/>
      <c r="HM130" s="2838"/>
      <c r="HN130" s="2838"/>
      <c r="HO130" s="2838"/>
      <c r="HP130" s="2838"/>
      <c r="HQ130" s="2838"/>
      <c r="HR130" s="2838"/>
      <c r="HS130" s="2838"/>
      <c r="HT130" s="2838"/>
      <c r="HU130" s="2838"/>
      <c r="HV130" s="2838"/>
      <c r="HW130" s="2838"/>
      <c r="HX130" s="2838"/>
      <c r="HY130" s="2838"/>
      <c r="HZ130" s="2838"/>
      <c r="IA130" s="2838"/>
      <c r="IB130" s="2838"/>
      <c r="IC130" s="2838"/>
      <c r="ID130" s="2838"/>
      <c r="IE130" s="2838"/>
      <c r="IF130" s="2838"/>
      <c r="IG130" s="2838"/>
      <c r="IH130" s="2838"/>
      <c r="II130" s="2838"/>
      <c r="IJ130" s="2838"/>
      <c r="IK130" s="2838"/>
      <c r="IL130" s="2838"/>
      <c r="IM130" s="2838"/>
      <c r="IN130" s="2838"/>
      <c r="IO130" s="2838"/>
      <c r="IP130" s="2838"/>
      <c r="IQ130" s="2838"/>
      <c r="IR130" s="2838"/>
      <c r="IS130" s="2838"/>
      <c r="IT130" s="2838"/>
      <c r="IU130" s="2838"/>
      <c r="IV130" s="2838"/>
      <c r="IW130" s="2838"/>
      <c r="IX130" s="2838"/>
      <c r="IY130" s="2838"/>
      <c r="IZ130" s="2838"/>
      <c r="JA130" s="2838"/>
      <c r="JB130" s="2838"/>
      <c r="JC130" s="2838"/>
      <c r="JD130" s="2838"/>
      <c r="JE130" s="2838"/>
      <c r="JF130" s="2838"/>
      <c r="JG130" s="2838"/>
      <c r="JH130" s="2838"/>
      <c r="JI130" s="2833"/>
      <c r="JJ130" s="2833"/>
      <c r="JK130" s="2833"/>
      <c r="JL130" s="2833"/>
      <c r="JM130" s="2833"/>
      <c r="JN130" s="2833"/>
      <c r="JO130" s="2833"/>
      <c r="JP130" s="2833"/>
      <c r="JQ130" s="2833"/>
      <c r="JR130" s="2833"/>
      <c r="JS130" s="2833"/>
      <c r="JT130" s="2833"/>
      <c r="JU130" s="2833"/>
      <c r="JV130" s="2833"/>
      <c r="JW130" s="2833"/>
      <c r="JX130" s="2833"/>
      <c r="JY130" s="2833"/>
      <c r="JZ130" s="2833"/>
      <c r="KA130" s="2833"/>
      <c r="KB130" s="2833"/>
      <c r="KC130" s="2833"/>
      <c r="KD130" s="2833"/>
      <c r="KE130" s="2833"/>
      <c r="KF130" s="2833"/>
      <c r="KG130" s="2833"/>
      <c r="KH130" s="2833"/>
      <c r="KI130" s="2833"/>
      <c r="KJ130" s="2833"/>
      <c r="KK130" s="1353"/>
    </row>
    <row r="131" ht="15" customHeight="1">
      <c r="A131" s="2833"/>
      <c r="B131" s="2833"/>
      <c r="C131" s="2833"/>
      <c r="D131" s="2825"/>
      <c r="E131" s="2825"/>
      <c r="F131" s="2825"/>
      <c r="G131" s="2825"/>
      <c r="H131" s="2825"/>
      <c r="I131" s="2825"/>
      <c r="J131" s="2825"/>
      <c r="K131" s="2825"/>
      <c r="L131" s="2825"/>
      <c r="M131" s="2825"/>
      <c r="N131" s="2825"/>
      <c r="O131" s="2825"/>
      <c r="P131" s="2825"/>
      <c r="Q131" s="2825"/>
      <c r="R131" s="2825"/>
      <c r="S131" s="2825"/>
      <c r="T131" s="2825"/>
      <c r="U131" s="2825"/>
      <c r="V131" s="2825"/>
      <c r="W131" s="2825"/>
      <c r="X131" s="2825"/>
      <c r="Y131" s="2825"/>
      <c r="Z131" s="2825"/>
      <c r="AA131" s="2825"/>
      <c r="AB131" s="2825"/>
      <c r="AC131" s="2825"/>
      <c r="AD131" s="2825"/>
      <c r="AE131" s="2825"/>
      <c r="AF131" s="2825"/>
      <c r="AG131" s="2825"/>
      <c r="AH131" s="2825"/>
      <c r="AI131" s="2825"/>
      <c r="AJ131" s="2825"/>
      <c r="AK131" s="2825"/>
      <c r="AL131" s="2825"/>
      <c r="AM131" s="2825"/>
      <c r="AN131" s="2825"/>
      <c r="AO131" s="2825"/>
      <c r="AP131" s="2825"/>
      <c r="AQ131" s="2825"/>
      <c r="AR131" s="2825"/>
      <c r="AS131" s="2825"/>
      <c r="AT131" s="2825"/>
      <c r="AU131" s="2825"/>
      <c r="AV131" s="2825"/>
      <c r="AW131" s="2825"/>
      <c r="AX131" s="2825"/>
      <c r="AY131" s="2825"/>
      <c r="AZ131" s="2825"/>
      <c r="BA131" s="2825"/>
      <c r="BB131" s="2825"/>
      <c r="BC131" s="2825"/>
      <c r="BD131" s="2825"/>
      <c r="BE131" s="2825"/>
      <c r="BF131" s="2825"/>
      <c r="BG131" s="2825"/>
      <c r="BH131" s="2825"/>
      <c r="BI131" s="2825"/>
      <c r="BJ131" s="2825"/>
      <c r="BK131" s="2825"/>
      <c r="BL131" s="2825"/>
      <c r="BM131" s="2825"/>
      <c r="BN131" s="2825"/>
      <c r="BO131" s="2825"/>
      <c r="BP131" s="2825"/>
      <c r="BQ131" s="2825"/>
      <c r="BR131" s="2825"/>
      <c r="BS131" s="2825"/>
      <c r="BT131" s="2825"/>
      <c r="BU131" s="2825"/>
      <c r="BV131" s="2825"/>
      <c r="BW131" s="2825"/>
      <c r="BX131" s="2825"/>
      <c r="BY131" s="2825"/>
      <c r="BZ131" s="2825"/>
      <c r="CA131" s="2825"/>
      <c r="CB131" s="2825"/>
      <c r="CC131" s="2825"/>
      <c r="CD131" s="2825"/>
      <c r="CE131" s="2825"/>
      <c r="CF131" s="2825"/>
      <c r="CG131" s="2825"/>
      <c r="CH131" s="2825"/>
      <c r="CI131" s="2825"/>
      <c r="CJ131" s="2825"/>
      <c r="CK131" s="2825"/>
      <c r="CL131" s="2825"/>
      <c r="CM131" s="2825"/>
      <c r="CN131" s="2825"/>
      <c r="CO131" s="2825"/>
      <c r="CP131" s="2825"/>
      <c r="CQ131" s="2825"/>
      <c r="CR131" s="2825"/>
      <c r="CS131" s="2825"/>
      <c r="CT131" s="2825"/>
      <c r="CU131" s="2825"/>
      <c r="CV131" s="2825"/>
      <c r="CW131" s="2825"/>
      <c r="CX131" s="2825"/>
      <c r="CY131" s="2825"/>
      <c r="CZ131" s="2825"/>
      <c r="DA131" s="2825"/>
      <c r="DB131" s="2825"/>
      <c r="DC131" s="2825"/>
      <c r="DD131" s="2825"/>
      <c r="DE131" s="2825"/>
      <c r="DF131" s="2825"/>
      <c r="DG131" s="2825"/>
      <c r="DH131" s="2825"/>
      <c r="DI131" s="2825"/>
      <c r="DJ131" s="2825"/>
      <c r="DK131" s="2825"/>
      <c r="DL131" s="2825"/>
      <c r="DM131" s="2825"/>
      <c r="DN131" s="2825"/>
      <c r="DO131" s="2825"/>
      <c r="DP131" s="2825"/>
      <c r="DQ131" s="2825"/>
      <c r="DR131" s="2825"/>
      <c r="DS131" s="2825"/>
      <c r="DT131" s="2825"/>
      <c r="DU131" s="2825"/>
      <c r="DV131" s="2825"/>
      <c r="DW131" s="2825"/>
      <c r="DX131" s="2825"/>
      <c r="DY131" s="2825"/>
      <c r="DZ131" s="2825"/>
      <c r="EA131" s="2825"/>
      <c r="EB131" s="2825"/>
      <c r="EC131" s="2825"/>
      <c r="ED131" s="2825"/>
      <c r="EE131" s="2825"/>
      <c r="EF131" s="2825"/>
      <c r="EG131" s="2825"/>
      <c r="EH131" s="2825"/>
      <c r="EI131" s="2825"/>
      <c r="EJ131" s="2825"/>
      <c r="EK131" s="2825"/>
      <c r="EL131" s="2825"/>
      <c r="EM131" s="2825"/>
      <c r="EN131" s="2825"/>
      <c r="EO131" s="2825"/>
      <c r="EP131" s="2825"/>
      <c r="EQ131" s="2825"/>
      <c r="ER131" s="2825"/>
      <c r="ES131" s="2825"/>
      <c r="ET131" s="2825"/>
      <c r="EU131" s="2825"/>
      <c r="EV131" s="2825"/>
      <c r="EW131" s="2825"/>
      <c r="EX131" s="2825"/>
      <c r="EY131" s="2825"/>
      <c r="EZ131" s="2825"/>
      <c r="FA131" s="2825"/>
      <c r="FB131" s="2833"/>
      <c r="FC131" s="2833"/>
      <c r="FD131" s="2833"/>
      <c r="FE131" s="2833"/>
      <c r="FF131" s="2833"/>
      <c r="FG131" s="2833"/>
      <c r="FH131" s="2833"/>
      <c r="FI131" s="2833"/>
      <c r="FJ131" s="2833"/>
      <c r="FK131" s="2833"/>
      <c r="FL131" s="2838"/>
      <c r="FM131" s="2825"/>
      <c r="FN131" s="2825"/>
      <c r="FO131" s="2825"/>
      <c r="FP131" s="2825"/>
      <c r="FQ131" s="2825"/>
      <c r="FR131" s="2825"/>
      <c r="FS131" s="2825"/>
      <c r="FT131" s="2825"/>
      <c r="FU131" s="2825"/>
      <c r="FV131" s="2825"/>
      <c r="FW131" s="2825"/>
      <c r="FX131" s="2825"/>
      <c r="FY131" s="2825"/>
      <c r="FZ131" s="2825"/>
      <c r="GA131" s="2825"/>
      <c r="GB131" s="2825"/>
      <c r="GC131" s="2825"/>
      <c r="GD131" s="2825"/>
      <c r="GE131" s="2825"/>
      <c r="GF131" s="2825"/>
      <c r="GG131" s="2825"/>
      <c r="GH131" s="2825"/>
      <c r="GI131" s="2825"/>
      <c r="GJ131" s="2825"/>
      <c r="GK131" s="2825"/>
      <c r="GL131" s="2825"/>
      <c r="GM131" s="2825"/>
      <c r="GN131" s="2825"/>
      <c r="GO131" s="2825"/>
      <c r="GP131" s="2825"/>
      <c r="GQ131" s="2825"/>
      <c r="GR131" s="2825"/>
      <c r="GS131" s="2825"/>
      <c r="GT131" s="2825"/>
      <c r="GU131" s="2825"/>
      <c r="GV131" s="2825"/>
      <c r="GW131" s="2825"/>
      <c r="GX131" s="2825"/>
      <c r="GY131" s="2825"/>
      <c r="GZ131" s="2825"/>
      <c r="HA131" s="2825"/>
      <c r="HB131" s="2825"/>
      <c r="HC131" s="2825"/>
      <c r="HD131" s="2825"/>
      <c r="HE131" s="2825"/>
      <c r="HF131" s="2825"/>
      <c r="HG131" s="2825"/>
      <c r="HH131" s="2825"/>
      <c r="HI131" s="2825"/>
      <c r="HJ131" s="2825"/>
      <c r="HK131" s="2825"/>
      <c r="HL131" s="2825"/>
      <c r="HM131" s="2825"/>
      <c r="HN131" s="2825"/>
      <c r="HO131" s="2825"/>
      <c r="HP131" s="2825"/>
      <c r="HQ131" s="2825"/>
      <c r="HR131" s="2825"/>
      <c r="HS131" s="2825"/>
      <c r="HT131" s="2825"/>
      <c r="HU131" s="2825"/>
      <c r="HV131" s="2825"/>
      <c r="HW131" s="2825"/>
      <c r="HX131" s="2825"/>
      <c r="HY131" s="2825"/>
      <c r="HZ131" s="2825"/>
      <c r="IA131" s="2825"/>
      <c r="IB131" s="2825"/>
      <c r="IC131" s="2825"/>
      <c r="ID131" s="2825"/>
      <c r="IE131" s="2825"/>
      <c r="IF131" s="2825"/>
      <c r="IG131" s="2825"/>
      <c r="IH131" s="2825"/>
      <c r="II131" s="2825"/>
      <c r="IJ131" s="2825"/>
      <c r="IK131" s="2825"/>
      <c r="IL131" s="2825"/>
      <c r="IM131" s="2825"/>
      <c r="IN131" s="2825"/>
      <c r="IO131" s="2838"/>
      <c r="IP131" s="2838"/>
      <c r="IQ131" s="2838"/>
      <c r="IR131" s="2838"/>
      <c r="IS131" s="2838"/>
      <c r="IT131" s="2838"/>
      <c r="IU131" s="2838"/>
      <c r="IV131" s="2838"/>
      <c r="IW131" s="2838"/>
      <c r="IX131" s="2838"/>
      <c r="IY131" s="2838"/>
      <c r="IZ131" s="2838"/>
      <c r="JA131" s="2838"/>
      <c r="JB131" s="2838"/>
      <c r="JC131" s="2838"/>
      <c r="JD131" s="2838"/>
      <c r="JE131" s="2838"/>
      <c r="JF131" s="2838"/>
      <c r="JG131" s="2838"/>
      <c r="JH131" s="2838"/>
      <c r="JI131" s="2833"/>
      <c r="JJ131" s="2833"/>
      <c r="JK131" s="2833"/>
      <c r="JL131" s="2833"/>
      <c r="JM131" s="2833"/>
      <c r="JN131" s="2833"/>
      <c r="JO131" s="2833"/>
      <c r="JP131" s="2833"/>
      <c r="JQ131" s="2833"/>
      <c r="JR131" s="2833"/>
      <c r="JS131" s="2833"/>
      <c r="JT131" s="2833"/>
      <c r="JU131" s="2833"/>
      <c r="JV131" s="2833"/>
      <c r="JW131" s="2833"/>
      <c r="JX131" s="2833"/>
      <c r="JY131" s="2833"/>
      <c r="JZ131" s="2833"/>
      <c r="KA131" s="2833"/>
      <c r="KB131" s="2833"/>
      <c r="KC131" s="2833"/>
      <c r="KD131" s="2833"/>
      <c r="KE131" s="2833"/>
      <c r="KF131" s="2833"/>
      <c r="KG131" s="2833"/>
      <c r="KH131" s="2833"/>
      <c r="KI131" s="2833"/>
      <c r="KJ131" s="2833"/>
      <c r="KK131" s="1353"/>
    </row>
    <row r="132" ht="15" customHeight="1">
      <c r="A132" s="2833"/>
      <c r="B132" s="2972" t="s">
        <v>2949</v>
      </c>
      <c r="C132" s="2972"/>
      <c r="D132" s="2877"/>
      <c r="E132" s="2877"/>
      <c r="F132" s="2877"/>
      <c r="G132" s="2877"/>
      <c r="H132" s="2877"/>
      <c r="I132" s="2877"/>
      <c r="J132" s="2877"/>
      <c r="K132" s="2877"/>
      <c r="L132" s="2877"/>
      <c r="M132" s="2877"/>
      <c r="N132" s="2877"/>
      <c r="O132" s="2877"/>
      <c r="P132" s="2877"/>
      <c r="Q132" s="2877"/>
      <c r="R132" s="2877"/>
      <c r="S132" s="2877"/>
      <c r="T132" s="2877"/>
      <c r="U132" s="2877"/>
      <c r="V132" s="2877"/>
      <c r="W132" s="2877"/>
      <c r="X132" s="2877"/>
      <c r="Y132" s="2877"/>
      <c r="Z132" s="2877"/>
      <c r="AA132" s="2877"/>
      <c r="AB132" s="2877"/>
      <c r="AC132" s="2877"/>
      <c r="AD132" s="2877"/>
      <c r="AE132" s="2877"/>
      <c r="AF132" s="2877"/>
      <c r="AG132" s="2877"/>
      <c r="AH132" s="2877"/>
      <c r="AI132" s="2877"/>
      <c r="AJ132" s="2877"/>
      <c r="AK132" s="2877"/>
      <c r="AL132" s="2877"/>
      <c r="AM132" s="2877"/>
      <c r="AN132" s="2877"/>
      <c r="AO132" s="2877"/>
      <c r="AP132" s="2877"/>
      <c r="AQ132" s="2877"/>
      <c r="AR132" s="2877"/>
      <c r="AS132" s="2877"/>
      <c r="AT132" s="2877"/>
      <c r="AU132" s="2877"/>
      <c r="AV132" s="2877"/>
      <c r="AW132" s="2877"/>
      <c r="AX132" s="2877"/>
      <c r="AY132" s="2877"/>
      <c r="AZ132" s="2877"/>
      <c r="BA132" s="2877"/>
      <c r="BB132" s="2877"/>
      <c r="BC132" s="2877"/>
      <c r="BD132" s="2877"/>
      <c r="BE132" s="2877"/>
      <c r="BF132" s="2877"/>
      <c r="BG132" s="2877"/>
      <c r="BH132" s="2877"/>
      <c r="BI132" s="2877"/>
      <c r="BJ132" s="2877"/>
      <c r="BK132" s="2877"/>
      <c r="BL132" s="2877"/>
      <c r="BM132" s="2877"/>
      <c r="BN132" s="2877"/>
      <c r="BO132" s="2877"/>
      <c r="BP132" s="2877"/>
      <c r="BQ132" s="2877"/>
      <c r="BR132" s="2877"/>
      <c r="BS132" s="2877"/>
      <c r="BT132" s="2877"/>
      <c r="BU132" s="2877"/>
      <c r="BV132" s="2877"/>
      <c r="BW132" s="2877"/>
      <c r="BX132" s="2877"/>
      <c r="BY132" s="2877"/>
      <c r="BZ132" s="2877"/>
      <c r="CA132" s="2877"/>
      <c r="CB132" s="2877"/>
      <c r="CC132" s="2877"/>
      <c r="CD132" s="2877"/>
      <c r="CE132" s="2877"/>
      <c r="CF132" s="2877"/>
      <c r="CG132" s="2877"/>
      <c r="CH132" s="2877"/>
      <c r="CI132" s="2877"/>
      <c r="CJ132" s="2877"/>
      <c r="CK132" s="2877"/>
      <c r="CL132" s="2877"/>
      <c r="CM132" s="2877"/>
      <c r="CN132" s="2877"/>
      <c r="CO132" s="2877"/>
      <c r="CP132" s="2877"/>
      <c r="CQ132" s="2877"/>
      <c r="CR132" s="2877"/>
      <c r="CS132" s="2877"/>
      <c r="CT132" s="2877"/>
      <c r="CU132" s="2877"/>
      <c r="CV132" s="2877"/>
      <c r="CW132" s="2877"/>
      <c r="CX132" s="2877"/>
      <c r="CY132" s="2877"/>
      <c r="CZ132" s="2877"/>
      <c r="DA132" s="2877"/>
      <c r="DB132" s="2877"/>
      <c r="DC132" s="2877"/>
      <c r="DD132" s="2877"/>
      <c r="DE132" s="2877"/>
      <c r="DF132" s="2877"/>
      <c r="DG132" s="2877"/>
      <c r="DH132" s="2877"/>
      <c r="DI132" s="2877"/>
      <c r="DJ132" s="2877"/>
      <c r="DK132" s="2877"/>
      <c r="DL132" s="2877"/>
      <c r="DM132" s="2877"/>
      <c r="DN132" s="2877"/>
      <c r="DO132" s="2877"/>
      <c r="DP132" s="2877"/>
      <c r="DQ132" s="2877"/>
      <c r="DR132" s="2877"/>
      <c r="DS132" s="2877"/>
      <c r="DT132" s="2877"/>
      <c r="DU132" s="2877"/>
      <c r="DV132" s="2877"/>
      <c r="DW132" s="2877"/>
      <c r="DX132" s="2877"/>
      <c r="DY132" s="2877"/>
      <c r="DZ132" s="2877"/>
      <c r="EA132" s="2877"/>
      <c r="EB132" s="2877"/>
      <c r="EC132" s="2877"/>
      <c r="ED132" s="2877"/>
      <c r="EE132" s="2877"/>
      <c r="EF132" s="2877"/>
      <c r="EG132" s="2877"/>
      <c r="EH132" s="2877"/>
      <c r="EI132" s="2877"/>
      <c r="EJ132" s="2877"/>
      <c r="EK132" s="2877"/>
      <c r="EL132" s="2877"/>
      <c r="EM132" s="2877"/>
      <c r="EN132" s="2877"/>
      <c r="EO132" s="2877"/>
      <c r="EP132" s="2877"/>
      <c r="EQ132" s="2877"/>
      <c r="ER132" s="2877"/>
      <c r="ES132" s="2877"/>
      <c r="ET132" s="2877"/>
      <c r="EU132" s="2877"/>
      <c r="EV132" s="2877"/>
      <c r="EW132" s="2877"/>
      <c r="EX132" s="2877"/>
      <c r="EY132" s="2877"/>
      <c r="EZ132" s="2877"/>
      <c r="FA132" s="2877"/>
      <c r="FB132" s="2833"/>
      <c r="FC132" s="2833"/>
      <c r="FD132" s="2833"/>
      <c r="FE132" s="2833"/>
      <c r="FF132" s="2833"/>
      <c r="FG132" s="2833"/>
      <c r="FH132" s="2833"/>
      <c r="FI132" s="2833"/>
      <c r="FJ132" s="2833"/>
      <c r="FK132" s="2833"/>
      <c r="FL132" s="2838"/>
      <c r="FM132" s="2825"/>
      <c r="FN132" s="2825"/>
      <c r="FO132" s="2825"/>
      <c r="FP132" s="2825"/>
      <c r="FQ132" s="2825"/>
      <c r="FR132" s="2825"/>
      <c r="FS132" s="2825"/>
      <c r="FT132" s="2825"/>
      <c r="FU132" s="2825"/>
      <c r="FV132" s="2825"/>
      <c r="FW132" s="2825"/>
      <c r="FX132" s="2825"/>
      <c r="FY132" s="2825"/>
      <c r="FZ132" s="2825"/>
      <c r="GA132" s="2825"/>
      <c r="GB132" s="2825"/>
      <c r="GC132" s="2825"/>
      <c r="GD132" s="2825"/>
      <c r="GE132" s="2825"/>
      <c r="GF132" s="2825"/>
      <c r="GG132" s="2825"/>
      <c r="GH132" s="2825"/>
      <c r="GI132" s="2825"/>
      <c r="GJ132" s="2825"/>
      <c r="GK132" s="2825"/>
      <c r="GL132" s="2825"/>
      <c r="GM132" s="2825"/>
      <c r="GN132" s="2825"/>
      <c r="GO132" s="2825"/>
      <c r="GP132" s="2825"/>
      <c r="GQ132" s="2825"/>
      <c r="GR132" s="2825"/>
      <c r="GS132" s="2825"/>
      <c r="GT132" s="2825"/>
      <c r="GU132" s="2825"/>
      <c r="GV132" s="2825"/>
      <c r="GW132" s="2825"/>
      <c r="GX132" s="2825"/>
      <c r="GY132" s="2825"/>
      <c r="GZ132" s="2825"/>
      <c r="HA132" s="2825"/>
      <c r="HB132" s="2825"/>
      <c r="HC132" s="2825"/>
      <c r="HD132" s="2825"/>
      <c r="HE132" s="2825"/>
      <c r="HF132" s="2825"/>
      <c r="HG132" s="2825"/>
      <c r="HH132" s="2825"/>
      <c r="HI132" s="2825"/>
      <c r="HJ132" s="2825"/>
      <c r="HK132" s="2825"/>
      <c r="HL132" s="2825"/>
      <c r="HM132" s="2825"/>
      <c r="HN132" s="2825"/>
      <c r="HO132" s="2825"/>
      <c r="HP132" s="2825"/>
      <c r="HQ132" s="2825"/>
      <c r="HR132" s="2825"/>
      <c r="HS132" s="2825"/>
      <c r="HT132" s="2825"/>
      <c r="HU132" s="2825"/>
      <c r="HV132" s="2825"/>
      <c r="HW132" s="2825"/>
      <c r="HX132" s="2825"/>
      <c r="HY132" s="2825"/>
      <c r="HZ132" s="2825"/>
      <c r="IA132" s="2825"/>
      <c r="IB132" s="2825"/>
      <c r="IC132" s="2825"/>
      <c r="ID132" s="2825"/>
      <c r="IE132" s="2825"/>
      <c r="IF132" s="2825"/>
      <c r="IG132" s="2825"/>
      <c r="IH132" s="2825"/>
      <c r="II132" s="2825"/>
      <c r="IJ132" s="2825"/>
      <c r="IK132" s="2825"/>
      <c r="IL132" s="2825"/>
      <c r="IM132" s="2825"/>
      <c r="IN132" s="2825"/>
      <c r="IO132" s="2838"/>
      <c r="IP132" s="2838"/>
      <c r="IQ132" s="2838"/>
      <c r="IR132" s="2838"/>
      <c r="IS132" s="2838"/>
      <c r="IT132" s="2838"/>
      <c r="IU132" s="2838"/>
      <c r="IV132" s="2838"/>
      <c r="IW132" s="2838"/>
      <c r="IX132" s="2838"/>
      <c r="IY132" s="2838"/>
      <c r="IZ132" s="2838"/>
      <c r="JA132" s="2838"/>
      <c r="JB132" s="2838"/>
      <c r="JC132" s="2838"/>
      <c r="JD132" s="2838"/>
      <c r="JE132" s="2838"/>
      <c r="JF132" s="2838"/>
      <c r="JG132" s="2838"/>
      <c r="JH132" s="2838"/>
      <c r="JI132" s="2833"/>
      <c r="JJ132" s="2833"/>
      <c r="JK132" s="2833"/>
      <c r="JL132" s="2833"/>
      <c r="JM132" s="2833"/>
      <c r="JN132" s="2833"/>
      <c r="JO132" s="2833"/>
      <c r="JP132" s="2833"/>
      <c r="JQ132" s="2833"/>
      <c r="JR132" s="2833"/>
      <c r="JS132" s="2833"/>
      <c r="JT132" s="2833"/>
      <c r="JU132" s="2833"/>
      <c r="JV132" s="2833"/>
      <c r="JW132" s="2833"/>
      <c r="JX132" s="2833"/>
      <c r="JY132" s="2833"/>
      <c r="JZ132" s="2833"/>
      <c r="KA132" s="2833"/>
      <c r="KB132" s="2833"/>
      <c r="KC132" s="2833"/>
      <c r="KD132" s="2833"/>
      <c r="KE132" s="2833"/>
      <c r="KF132" s="2833"/>
      <c r="KG132" s="2833"/>
      <c r="KH132" s="2833"/>
      <c r="KI132" s="2833"/>
      <c r="KJ132" s="2833"/>
      <c r="KK132" s="1353"/>
    </row>
    <row r="133" ht="15" customHeight="1">
      <c r="A133" s="2833"/>
      <c r="B133" s="2972" t="s">
        <v>2950</v>
      </c>
      <c r="C133" s="2972"/>
      <c r="D133" s="2877"/>
      <c r="E133" s="2877"/>
      <c r="F133" s="2877"/>
      <c r="G133" s="2877"/>
      <c r="H133" s="2877"/>
      <c r="I133" s="2877"/>
      <c r="J133" s="2877"/>
      <c r="K133" s="2877"/>
      <c r="L133" s="2877"/>
      <c r="M133" s="2877"/>
      <c r="N133" s="2877"/>
      <c r="O133" s="2877"/>
      <c r="P133" s="2877"/>
      <c r="Q133" s="2877"/>
      <c r="R133" s="2877"/>
      <c r="S133" s="2877"/>
      <c r="T133" s="2877"/>
      <c r="U133" s="2877"/>
      <c r="V133" s="2877"/>
      <c r="W133" s="2877"/>
      <c r="X133" s="2877"/>
      <c r="Y133" s="2877"/>
      <c r="Z133" s="2877"/>
      <c r="AA133" s="2877"/>
      <c r="AB133" s="2877"/>
      <c r="AC133" s="2877"/>
      <c r="AD133" s="2877"/>
      <c r="AE133" s="2877"/>
      <c r="AF133" s="2877"/>
      <c r="AG133" s="2877"/>
      <c r="AH133" s="2877"/>
      <c r="AI133" s="2877"/>
      <c r="AJ133" s="2877"/>
      <c r="AK133" s="2877"/>
      <c r="AL133" s="2877"/>
      <c r="AM133" s="2877"/>
      <c r="AN133" s="2877"/>
      <c r="AO133" s="2877"/>
      <c r="AP133" s="2877"/>
      <c r="AQ133" s="2877"/>
      <c r="AR133" s="2877"/>
      <c r="AS133" s="2877"/>
      <c r="AT133" s="2877"/>
      <c r="AU133" s="2877"/>
      <c r="AV133" s="2877"/>
      <c r="AW133" s="2877"/>
      <c r="AX133" s="2877"/>
      <c r="AY133" s="2877"/>
      <c r="AZ133" s="2877"/>
      <c r="BA133" s="2877"/>
      <c r="BB133" s="2877"/>
      <c r="BC133" s="2877"/>
      <c r="BD133" s="2877"/>
      <c r="BE133" s="2877"/>
      <c r="BF133" s="2877"/>
      <c r="BG133" s="2877"/>
      <c r="BH133" s="2877"/>
      <c r="BI133" s="2877"/>
      <c r="BJ133" s="2877"/>
      <c r="BK133" s="2877"/>
      <c r="BL133" s="2877"/>
      <c r="BM133" s="2877"/>
      <c r="BN133" s="2877"/>
      <c r="BO133" s="2877"/>
      <c r="BP133" s="2877"/>
      <c r="BQ133" s="2877"/>
      <c r="BR133" s="2877"/>
      <c r="BS133" s="2877"/>
      <c r="BT133" s="2877"/>
      <c r="BU133" s="2877"/>
      <c r="BV133" s="2877"/>
      <c r="BW133" s="2877"/>
      <c r="BX133" s="2877"/>
      <c r="BY133" s="2877"/>
      <c r="BZ133" s="2877"/>
      <c r="CA133" s="2877"/>
      <c r="CB133" s="2877"/>
      <c r="CC133" s="2877"/>
      <c r="CD133" s="2877"/>
      <c r="CE133" s="2877"/>
      <c r="CF133" s="2877"/>
      <c r="CG133" s="2877"/>
      <c r="CH133" s="2877"/>
      <c r="CI133" s="2877"/>
      <c r="CJ133" s="2877"/>
      <c r="CK133" s="2877"/>
      <c r="CL133" s="2877"/>
      <c r="CM133" s="2877"/>
      <c r="CN133" s="2877"/>
      <c r="CO133" s="2877"/>
      <c r="CP133" s="2877"/>
      <c r="CQ133" s="2877"/>
      <c r="CR133" s="2877"/>
      <c r="CS133" s="2877"/>
      <c r="CT133" s="2877"/>
      <c r="CU133" s="2877"/>
      <c r="CV133" s="2877"/>
      <c r="CW133" s="2877"/>
      <c r="CX133" s="2877"/>
      <c r="CY133" s="2877"/>
      <c r="CZ133" s="2877"/>
      <c r="DA133" s="2877"/>
      <c r="DB133" s="2877"/>
      <c r="DC133" s="2877"/>
      <c r="DD133" s="2877"/>
      <c r="DE133" s="2877"/>
      <c r="DF133" s="2877"/>
      <c r="DG133" s="2877"/>
      <c r="DH133" s="2877"/>
      <c r="DI133" s="2877"/>
      <c r="DJ133" s="2877"/>
      <c r="DK133" s="2877"/>
      <c r="DL133" s="2877"/>
      <c r="DM133" s="2877"/>
      <c r="DN133" s="2877"/>
      <c r="DO133" s="2877"/>
      <c r="DP133" s="2877"/>
      <c r="DQ133" s="2877"/>
      <c r="DR133" s="2877"/>
      <c r="DS133" s="2877"/>
      <c r="DT133" s="2877"/>
      <c r="DU133" s="2877"/>
      <c r="DV133" s="2877"/>
      <c r="DW133" s="2877"/>
      <c r="DX133" s="2877"/>
      <c r="DY133" s="2877"/>
      <c r="DZ133" s="2877"/>
      <c r="EA133" s="2877"/>
      <c r="EB133" s="2877"/>
      <c r="EC133" s="2877"/>
      <c r="ED133" s="2877"/>
      <c r="EE133" s="2877"/>
      <c r="EF133" s="2877"/>
      <c r="EG133" s="2877"/>
      <c r="EH133" s="2877"/>
      <c r="EI133" s="2877"/>
      <c r="EJ133" s="2877"/>
      <c r="EK133" s="2877"/>
      <c r="EL133" s="2877"/>
      <c r="EM133" s="2877"/>
      <c r="EN133" s="2877"/>
      <c r="EO133" s="2877"/>
      <c r="EP133" s="2877"/>
      <c r="EQ133" s="2877"/>
      <c r="ER133" s="2877"/>
      <c r="ES133" s="2877"/>
      <c r="ET133" s="2877"/>
      <c r="EU133" s="2877"/>
      <c r="EV133" s="2877"/>
      <c r="EW133" s="2877"/>
      <c r="EX133" s="2877"/>
      <c r="EY133" s="2877"/>
      <c r="EZ133" s="2877"/>
      <c r="FA133" s="2877"/>
      <c r="FB133" s="2833"/>
      <c r="FC133" s="2833"/>
      <c r="FD133" s="2833"/>
      <c r="FE133" s="2833"/>
      <c r="FF133" s="2833"/>
      <c r="FG133" s="2833"/>
      <c r="FH133" s="2833"/>
      <c r="FI133" s="2833"/>
      <c r="FJ133" s="2833"/>
      <c r="FK133" s="2833"/>
      <c r="FL133" s="2838"/>
      <c r="FM133" s="2825"/>
      <c r="FN133" s="2825"/>
      <c r="FO133" s="2825"/>
      <c r="FP133" s="2825"/>
      <c r="FQ133" s="2825"/>
      <c r="FR133" s="2825"/>
      <c r="FS133" s="2825"/>
      <c r="FT133" s="2825"/>
      <c r="FU133" s="2825"/>
      <c r="FV133" s="2825"/>
      <c r="FW133" s="2825"/>
      <c r="FX133" s="2825"/>
      <c r="FY133" s="2825"/>
      <c r="FZ133" s="2825"/>
      <c r="GA133" s="2825"/>
      <c r="GB133" s="2825"/>
      <c r="GC133" s="2825"/>
      <c r="GD133" s="2825"/>
      <c r="GE133" s="2825"/>
      <c r="GF133" s="2825"/>
      <c r="GG133" s="2825"/>
      <c r="GH133" s="2825"/>
      <c r="GI133" s="2825"/>
      <c r="GJ133" s="2825"/>
      <c r="GK133" s="2825"/>
      <c r="GL133" s="2825"/>
      <c r="GM133" s="2825"/>
      <c r="GN133" s="2825"/>
      <c r="GO133" s="2825"/>
      <c r="GP133" s="2825"/>
      <c r="GQ133" s="2825"/>
      <c r="GR133" s="2825"/>
      <c r="GS133" s="2825"/>
      <c r="GT133" s="2825"/>
      <c r="GU133" s="2825"/>
      <c r="GV133" s="2825"/>
      <c r="GW133" s="2825"/>
      <c r="GX133" s="2825"/>
      <c r="GY133" s="2825"/>
      <c r="GZ133" s="2825"/>
      <c r="HA133" s="2825"/>
      <c r="HB133" s="2825"/>
      <c r="HC133" s="2825"/>
      <c r="HD133" s="2825"/>
      <c r="HE133" s="2825"/>
      <c r="HF133" s="2825"/>
      <c r="HG133" s="2825"/>
      <c r="HH133" s="2825"/>
      <c r="HI133" s="2825"/>
      <c r="HJ133" s="2825"/>
      <c r="HK133" s="2825"/>
      <c r="HL133" s="2825"/>
      <c r="HM133" s="2825"/>
      <c r="HN133" s="2825"/>
      <c r="HO133" s="2825"/>
      <c r="HP133" s="2825"/>
      <c r="HQ133" s="2825"/>
      <c r="HR133" s="2825"/>
      <c r="HS133" s="2825"/>
      <c r="HT133" s="2825"/>
      <c r="HU133" s="2825"/>
      <c r="HV133" s="2825"/>
      <c r="HW133" s="2825"/>
      <c r="HX133" s="2825"/>
      <c r="HY133" s="2825"/>
      <c r="HZ133" s="2825"/>
      <c r="IA133" s="2825"/>
      <c r="IB133" s="2825"/>
      <c r="IC133" s="2825"/>
      <c r="ID133" s="2825"/>
      <c r="IE133" s="2825"/>
      <c r="IF133" s="2825"/>
      <c r="IG133" s="2825"/>
      <c r="IH133" s="2825"/>
      <c r="II133" s="2825"/>
      <c r="IJ133" s="2825"/>
      <c r="IK133" s="2825"/>
      <c r="IL133" s="2825"/>
      <c r="IM133" s="2825"/>
      <c r="IN133" s="2825"/>
      <c r="IO133" s="2838"/>
      <c r="IP133" s="2838"/>
      <c r="IQ133" s="2838"/>
      <c r="IR133" s="2838"/>
      <c r="IS133" s="2838"/>
      <c r="IT133" s="2838"/>
      <c r="IU133" s="2838"/>
      <c r="IV133" s="2838"/>
      <c r="IW133" s="2838"/>
      <c r="IX133" s="2838"/>
      <c r="IY133" s="2838"/>
      <c r="IZ133" s="2838"/>
      <c r="JA133" s="2838"/>
      <c r="JB133" s="2838"/>
      <c r="JC133" s="2838"/>
      <c r="JD133" s="2838"/>
      <c r="JE133" s="2838"/>
      <c r="JF133" s="2838"/>
      <c r="JG133" s="2838"/>
      <c r="JH133" s="2838"/>
      <c r="JI133" s="2833"/>
      <c r="JJ133" s="2833"/>
      <c r="JK133" s="2833"/>
      <c r="JL133" s="2833"/>
      <c r="JM133" s="2833"/>
      <c r="JN133" s="2833"/>
      <c r="JO133" s="2833"/>
      <c r="JP133" s="2833"/>
      <c r="JQ133" s="2833"/>
      <c r="JR133" s="2833"/>
      <c r="JS133" s="2833"/>
      <c r="JT133" s="2833"/>
      <c r="JU133" s="2833"/>
      <c r="JV133" s="2833"/>
      <c r="JW133" s="2833"/>
      <c r="JX133" s="2833"/>
      <c r="JY133" s="2833"/>
      <c r="JZ133" s="2833"/>
      <c r="KA133" s="2833"/>
      <c r="KB133" s="2833"/>
      <c r="KC133" s="2833"/>
      <c r="KD133" s="2833"/>
      <c r="KE133" s="2833"/>
      <c r="KF133" s="2833"/>
      <c r="KG133" s="2833"/>
      <c r="KH133" s="2833"/>
      <c r="KI133" s="2833"/>
      <c r="KJ133" s="2833"/>
      <c r="KK133" s="1353"/>
    </row>
    <row r="134" ht="15" customHeight="1">
      <c r="A134" s="2833"/>
      <c r="B134" s="2833"/>
      <c r="C134" s="2833"/>
      <c r="D134" s="2825"/>
      <c r="E134" s="2825"/>
      <c r="F134" s="2825"/>
      <c r="G134" s="2825"/>
      <c r="H134" s="2825"/>
      <c r="I134" s="2825"/>
      <c r="J134" s="2825"/>
      <c r="K134" s="2825"/>
      <c r="L134" s="2825"/>
      <c r="M134" s="2825"/>
      <c r="N134" s="2825"/>
      <c r="O134" s="2825"/>
      <c r="P134" s="2825"/>
      <c r="Q134" s="2825"/>
      <c r="R134" s="2825"/>
      <c r="S134" s="2825"/>
      <c r="T134" s="2825"/>
      <c r="U134" s="2825"/>
      <c r="V134" s="2825"/>
      <c r="W134" s="2825"/>
      <c r="X134" s="2825"/>
      <c r="Y134" s="2825"/>
      <c r="Z134" s="2825"/>
      <c r="AA134" s="2825"/>
      <c r="AB134" s="2825"/>
      <c r="AC134" s="2825"/>
      <c r="AD134" s="2825"/>
      <c r="AE134" s="2825"/>
      <c r="AF134" s="2825"/>
      <c r="AG134" s="2825"/>
      <c r="AH134" s="2825"/>
      <c r="AI134" s="2825"/>
      <c r="AJ134" s="2825"/>
      <c r="AK134" s="2825"/>
      <c r="AL134" s="2825"/>
      <c r="AM134" s="2825"/>
      <c r="AN134" s="2825"/>
      <c r="AO134" s="2825"/>
      <c r="AP134" s="2825"/>
      <c r="AQ134" s="2825"/>
      <c r="AR134" s="2825"/>
      <c r="AS134" s="2825"/>
      <c r="AT134" s="2825"/>
      <c r="AU134" s="2825"/>
      <c r="AV134" s="2825"/>
      <c r="AW134" s="2825"/>
      <c r="AX134" s="2825"/>
      <c r="AY134" s="2825"/>
      <c r="AZ134" s="2825"/>
      <c r="BA134" s="2825"/>
      <c r="BB134" s="2825"/>
      <c r="BC134" s="2825"/>
      <c r="BD134" s="2825"/>
      <c r="BE134" s="2825"/>
      <c r="BF134" s="2825"/>
      <c r="BG134" s="2825"/>
      <c r="BH134" s="2825"/>
      <c r="BI134" s="2825"/>
      <c r="BJ134" s="2825"/>
      <c r="BK134" s="2825"/>
      <c r="BL134" s="2825"/>
      <c r="BM134" s="2825"/>
      <c r="BN134" s="2825"/>
      <c r="BO134" s="2825"/>
      <c r="BP134" s="2825"/>
      <c r="BQ134" s="2825"/>
      <c r="BR134" s="2825"/>
      <c r="BS134" s="2825"/>
      <c r="BT134" s="2825"/>
      <c r="BU134" s="2825"/>
      <c r="BV134" s="2825"/>
      <c r="BW134" s="2825"/>
      <c r="BX134" s="2825"/>
      <c r="BY134" s="2825"/>
      <c r="BZ134" s="2825"/>
      <c r="CA134" s="2825"/>
      <c r="CB134" s="2825"/>
      <c r="CC134" s="2825"/>
      <c r="CD134" s="2825"/>
      <c r="CE134" s="2825"/>
      <c r="CF134" s="2825"/>
      <c r="CG134" s="2825"/>
      <c r="CH134" s="2825"/>
      <c r="CI134" s="2825"/>
      <c r="CJ134" s="2825"/>
      <c r="CK134" s="2825"/>
      <c r="CL134" s="2825"/>
      <c r="CM134" s="2825"/>
      <c r="CN134" s="2825"/>
      <c r="CO134" s="2825"/>
      <c r="CP134" s="2825"/>
      <c r="CQ134" s="2825"/>
      <c r="CR134" s="2825"/>
      <c r="CS134" s="2825"/>
      <c r="CT134" s="2825"/>
      <c r="CU134" s="2825"/>
      <c r="CV134" s="2825"/>
      <c r="CW134" s="2825"/>
      <c r="CX134" s="2825"/>
      <c r="CY134" s="2825"/>
      <c r="CZ134" s="2825"/>
      <c r="DA134" s="2825"/>
      <c r="DB134" s="2825"/>
      <c r="DC134" s="2825"/>
      <c r="DD134" s="2825"/>
      <c r="DE134" s="2825"/>
      <c r="DF134" s="2825"/>
      <c r="DG134" s="2825"/>
      <c r="DH134" s="2825"/>
      <c r="DI134" s="2825"/>
      <c r="DJ134" s="2825"/>
      <c r="DK134" s="2825"/>
      <c r="DL134" s="2825"/>
      <c r="DM134" s="2825"/>
      <c r="DN134" s="2825"/>
      <c r="DO134" s="2825"/>
      <c r="DP134" s="2825"/>
      <c r="DQ134" s="2825"/>
      <c r="DR134" s="2825"/>
      <c r="DS134" s="2825"/>
      <c r="DT134" s="2825"/>
      <c r="DU134" s="2825"/>
      <c r="DV134" s="2825"/>
      <c r="DW134" s="2825"/>
      <c r="DX134" s="2825"/>
      <c r="DY134" s="2825"/>
      <c r="DZ134" s="2825"/>
      <c r="EA134" s="2825"/>
      <c r="EB134" s="2825"/>
      <c r="EC134" s="2825"/>
      <c r="ED134" s="2825"/>
      <c r="EE134" s="2825"/>
      <c r="EF134" s="2825"/>
      <c r="EG134" s="2825"/>
      <c r="EH134" s="2825"/>
      <c r="EI134" s="2825"/>
      <c r="EJ134" s="2825"/>
      <c r="EK134" s="2825"/>
      <c r="EL134" s="2825"/>
      <c r="EM134" s="2825"/>
      <c r="EN134" s="2825"/>
      <c r="EO134" s="2825"/>
      <c r="EP134" s="2825"/>
      <c r="EQ134" s="2825"/>
      <c r="ER134" s="2825"/>
      <c r="ES134" s="2825"/>
      <c r="ET134" s="2825"/>
      <c r="EU134" s="2825"/>
      <c r="EV134" s="2825"/>
      <c r="EW134" s="2825"/>
      <c r="EX134" s="2825"/>
      <c r="EY134" s="2825"/>
      <c r="EZ134" s="2825"/>
      <c r="FA134" s="2825"/>
      <c r="FB134" s="2833"/>
      <c r="FC134" s="2833"/>
      <c r="FD134" s="2833"/>
      <c r="FE134" s="2833"/>
      <c r="FF134" s="2833"/>
      <c r="FG134" s="2833"/>
      <c r="FH134" s="2833"/>
      <c r="FI134" s="2833"/>
      <c r="FJ134" s="2833"/>
      <c r="FK134" s="2833"/>
      <c r="FL134" s="2838"/>
      <c r="FM134" s="2825"/>
      <c r="FN134" s="2825"/>
      <c r="FO134" s="2825"/>
      <c r="FP134" s="2825"/>
      <c r="FQ134" s="2825"/>
      <c r="FR134" s="2825"/>
      <c r="FS134" s="2825"/>
      <c r="FT134" s="2825"/>
      <c r="FU134" s="2825"/>
      <c r="FV134" s="2825"/>
      <c r="FW134" s="2825"/>
      <c r="FX134" s="2825"/>
      <c r="FY134" s="2825"/>
      <c r="FZ134" s="2825"/>
      <c r="GA134" s="2825"/>
      <c r="GB134" s="2825"/>
      <c r="GC134" s="2825"/>
      <c r="GD134" s="2825"/>
      <c r="GE134" s="2825"/>
      <c r="GF134" s="2825"/>
      <c r="GG134" s="2825"/>
      <c r="GH134" s="2825"/>
      <c r="GI134" s="2825"/>
      <c r="GJ134" s="2825"/>
      <c r="GK134" s="2825"/>
      <c r="GL134" s="2825"/>
      <c r="GM134" s="2825"/>
      <c r="GN134" s="2825"/>
      <c r="GO134" s="2825"/>
      <c r="GP134" s="2825"/>
      <c r="GQ134" s="2825"/>
      <c r="GR134" s="2825"/>
      <c r="GS134" s="2825"/>
      <c r="GT134" s="2825"/>
      <c r="GU134" s="2825"/>
      <c r="GV134" s="2825"/>
      <c r="GW134" s="2825"/>
      <c r="GX134" s="2825"/>
      <c r="GY134" s="2825"/>
      <c r="GZ134" s="2825"/>
      <c r="HA134" s="2825"/>
      <c r="HB134" s="2825"/>
      <c r="HC134" s="2825"/>
      <c r="HD134" s="2825"/>
      <c r="HE134" s="2825"/>
      <c r="HF134" s="2825"/>
      <c r="HG134" s="2825"/>
      <c r="HH134" s="2825"/>
      <c r="HI134" s="2825"/>
      <c r="HJ134" s="2825"/>
      <c r="HK134" s="2825"/>
      <c r="HL134" s="2825"/>
      <c r="HM134" s="2825"/>
      <c r="HN134" s="2825"/>
      <c r="HO134" s="2825"/>
      <c r="HP134" s="2825"/>
      <c r="HQ134" s="2825"/>
      <c r="HR134" s="2825"/>
      <c r="HS134" s="2825"/>
      <c r="HT134" s="2825"/>
      <c r="HU134" s="2825"/>
      <c r="HV134" s="2825"/>
      <c r="HW134" s="2825"/>
      <c r="HX134" s="2825"/>
      <c r="HY134" s="2825"/>
      <c r="HZ134" s="2825"/>
      <c r="IA134" s="2825"/>
      <c r="IB134" s="2825"/>
      <c r="IC134" s="2825"/>
      <c r="ID134" s="2825"/>
      <c r="IE134" s="2825"/>
      <c r="IF134" s="2825"/>
      <c r="IG134" s="2825"/>
      <c r="IH134" s="2825"/>
      <c r="II134" s="2825"/>
      <c r="IJ134" s="2825"/>
      <c r="IK134" s="2825"/>
      <c r="IL134" s="2825"/>
      <c r="IM134" s="2825"/>
      <c r="IN134" s="2825"/>
      <c r="IO134" s="2838"/>
      <c r="IP134" s="2838"/>
      <c r="IQ134" s="2838"/>
      <c r="IR134" s="2838"/>
      <c r="IS134" s="2838"/>
      <c r="IT134" s="2838"/>
      <c r="IU134" s="2838"/>
      <c r="IV134" s="2838"/>
      <c r="IW134" s="2838"/>
      <c r="IX134" s="2838"/>
      <c r="IY134" s="2838"/>
      <c r="IZ134" s="2838"/>
      <c r="JA134" s="2838"/>
      <c r="JB134" s="2838"/>
      <c r="JC134" s="2838"/>
      <c r="JD134" s="2838"/>
      <c r="JE134" s="2838"/>
      <c r="JF134" s="2838"/>
      <c r="JG134" s="2838"/>
      <c r="JH134" s="2838"/>
      <c r="JI134" s="2833"/>
      <c r="JJ134" s="2833"/>
      <c r="JK134" s="2833"/>
      <c r="JL134" s="2833"/>
      <c r="JM134" s="2833"/>
      <c r="JN134" s="2833"/>
      <c r="JO134" s="2833"/>
      <c r="JP134" s="2833"/>
      <c r="JQ134" s="2833"/>
      <c r="JR134" s="2833"/>
      <c r="JS134" s="2833"/>
      <c r="JT134" s="2833"/>
      <c r="JU134" s="2833"/>
      <c r="JV134" s="2833"/>
      <c r="JW134" s="2833"/>
      <c r="JX134" s="2833"/>
      <c r="JY134" s="2833"/>
      <c r="JZ134" s="2833"/>
      <c r="KA134" s="2833"/>
      <c r="KB134" s="2833"/>
      <c r="KC134" s="2833"/>
      <c r="KD134" s="2833"/>
      <c r="KE134" s="2833"/>
      <c r="KF134" s="2833"/>
      <c r="KG134" s="2833"/>
      <c r="KH134" s="2833"/>
      <c r="KI134" s="2833"/>
      <c r="KJ134" s="2833"/>
      <c r="KK134" s="1353"/>
    </row>
    <row r="135" ht="15" customHeight="1">
      <c r="A135" s="2833"/>
      <c r="B135" s="2973" t="s">
        <v>2951</v>
      </c>
      <c r="C135" s="2974"/>
      <c r="D135" s="2975">
        <f>FA128</f>
        <v>5</v>
      </c>
      <c r="E135" s="2976"/>
      <c r="F135" s="2976"/>
      <c r="G135" s="2825"/>
      <c r="H135" s="2977" t="s">
        <v>2952</v>
      </c>
      <c r="I135" s="2978"/>
      <c r="J135" s="2978"/>
      <c r="K135" s="2978"/>
      <c r="L135" s="2979"/>
      <c r="M135" s="2980">
        <f>J126</f>
        <v>122173</v>
      </c>
      <c r="N135" s="2825"/>
      <c r="O135" s="2825"/>
      <c r="P135" s="2981">
        <f>SUM(Q135:EZ135)</f>
        <v>84991</v>
      </c>
      <c r="Q135" s="2981">
        <f t="shared" si="38" ref="Q135:EZ135">IF(ISNUMBER(Q22),Q22*(Q127+Q128),0)</f>
        <v>22528</v>
      </c>
      <c r="R135" s="2981">
        <f t="shared" si="38"/>
        <v>22400</v>
      </c>
      <c r="S135" s="2981">
        <f t="shared" si="38"/>
        <v>13616</v>
      </c>
      <c r="T135" s="2981">
        <f t="shared" si="38"/>
        <v>25200</v>
      </c>
      <c r="U135" s="2981">
        <f t="shared" si="38"/>
        <v>1247</v>
      </c>
      <c r="V135" s="2981">
        <f t="shared" si="38"/>
        <v>0</v>
      </c>
      <c r="W135" s="2981">
        <f t="shared" si="38"/>
        <v>0</v>
      </c>
      <c r="X135" s="2981">
        <f t="shared" si="38"/>
        <v>0</v>
      </c>
      <c r="Y135" s="2981">
        <f t="shared" si="38"/>
        <v>0</v>
      </c>
      <c r="Z135" s="2981">
        <f t="shared" si="38"/>
        <v>0</v>
      </c>
      <c r="AA135" s="2981">
        <f t="shared" si="38"/>
        <v>0</v>
      </c>
      <c r="AB135" s="2981">
        <f t="shared" si="38"/>
        <v>0</v>
      </c>
      <c r="AC135" s="2981">
        <f t="shared" si="38"/>
        <v>0</v>
      </c>
      <c r="AD135" s="2981">
        <f t="shared" si="38"/>
        <v>0</v>
      </c>
      <c r="AE135" s="2981">
        <f t="shared" si="38"/>
        <v>0</v>
      </c>
      <c r="AF135" s="2981">
        <f t="shared" si="38"/>
        <v>0</v>
      </c>
      <c r="AG135" s="2981">
        <f t="shared" si="38"/>
        <v>0</v>
      </c>
      <c r="AH135" s="2981">
        <f t="shared" si="38"/>
        <v>0</v>
      </c>
      <c r="AI135" s="2981">
        <f t="shared" si="38"/>
        <v>0</v>
      </c>
      <c r="AJ135" s="2981">
        <f t="shared" si="38"/>
        <v>0</v>
      </c>
      <c r="AK135" s="2981">
        <f t="shared" si="38"/>
        <v>0</v>
      </c>
      <c r="AL135" s="2981">
        <f t="shared" si="38"/>
        <v>0</v>
      </c>
      <c r="AM135" s="2981">
        <f t="shared" si="38"/>
        <v>0</v>
      </c>
      <c r="AN135" s="2981">
        <f t="shared" si="38"/>
        <v>0</v>
      </c>
      <c r="AO135" s="2981">
        <f t="shared" si="38"/>
        <v>0</v>
      </c>
      <c r="AP135" s="2981">
        <f t="shared" si="38"/>
        <v>0</v>
      </c>
      <c r="AQ135" s="2981">
        <f t="shared" si="38"/>
        <v>0</v>
      </c>
      <c r="AR135" s="2981">
        <f t="shared" si="38"/>
        <v>0</v>
      </c>
      <c r="AS135" s="2981">
        <f t="shared" si="38"/>
        <v>0</v>
      </c>
      <c r="AT135" s="2981">
        <f t="shared" si="38"/>
        <v>0</v>
      </c>
      <c r="AU135" s="2981">
        <f t="shared" si="38"/>
        <v>0</v>
      </c>
      <c r="AV135" s="2981">
        <f t="shared" si="38"/>
        <v>0</v>
      </c>
      <c r="AW135" s="2981">
        <f t="shared" si="38"/>
        <v>0</v>
      </c>
      <c r="AX135" s="2981">
        <f t="shared" si="38"/>
        <v>0</v>
      </c>
      <c r="AY135" s="2981">
        <f t="shared" si="38"/>
        <v>0</v>
      </c>
      <c r="AZ135" s="2981">
        <f t="shared" si="38"/>
        <v>0</v>
      </c>
      <c r="BA135" s="2981">
        <f t="shared" si="38"/>
        <v>0</v>
      </c>
      <c r="BB135" s="2981">
        <f t="shared" si="38"/>
        <v>0</v>
      </c>
      <c r="BC135" s="2981">
        <f t="shared" si="38"/>
        <v>0</v>
      </c>
      <c r="BD135" s="2981">
        <f t="shared" si="38"/>
        <v>0</v>
      </c>
      <c r="BE135" s="2981">
        <f t="shared" si="38"/>
        <v>0</v>
      </c>
      <c r="BF135" s="2981">
        <f t="shared" si="38"/>
        <v>0</v>
      </c>
      <c r="BG135" s="2981">
        <f t="shared" si="38"/>
        <v>0</v>
      </c>
      <c r="BH135" s="2981">
        <f t="shared" si="38"/>
        <v>0</v>
      </c>
      <c r="BI135" s="2981">
        <f t="shared" si="38"/>
        <v>0</v>
      </c>
      <c r="BJ135" s="2981">
        <f t="shared" si="38"/>
        <v>0</v>
      </c>
      <c r="BK135" s="2981">
        <f t="shared" si="38"/>
        <v>0</v>
      </c>
      <c r="BL135" s="2981">
        <f t="shared" si="38"/>
        <v>0</v>
      </c>
      <c r="BM135" s="2981">
        <f t="shared" si="38"/>
        <v>0</v>
      </c>
      <c r="BN135" s="2981">
        <f t="shared" si="38"/>
        <v>0</v>
      </c>
      <c r="BO135" s="2981">
        <f t="shared" si="38"/>
        <v>0</v>
      </c>
      <c r="BP135" s="2981">
        <f t="shared" si="38"/>
        <v>0</v>
      </c>
      <c r="BQ135" s="2981">
        <f t="shared" si="38"/>
        <v>0</v>
      </c>
      <c r="BR135" s="2981">
        <f t="shared" si="38"/>
        <v>0</v>
      </c>
      <c r="BS135" s="2981">
        <f t="shared" si="38"/>
        <v>0</v>
      </c>
      <c r="BT135" s="2981">
        <f t="shared" si="38"/>
        <v>0</v>
      </c>
      <c r="BU135" s="2981">
        <f t="shared" si="38"/>
        <v>0</v>
      </c>
      <c r="BV135" s="2981">
        <f t="shared" si="38"/>
        <v>0</v>
      </c>
      <c r="BW135" s="2981">
        <f t="shared" si="38"/>
        <v>0</v>
      </c>
      <c r="BX135" s="2981">
        <f t="shared" si="38"/>
        <v>0</v>
      </c>
      <c r="BY135" s="2981">
        <f t="shared" si="38"/>
        <v>0</v>
      </c>
      <c r="BZ135" s="2981">
        <f t="shared" si="38"/>
        <v>0</v>
      </c>
      <c r="CA135" s="2981">
        <f t="shared" si="38"/>
        <v>0</v>
      </c>
      <c r="CB135" s="2981">
        <f t="shared" si="38"/>
        <v>0</v>
      </c>
      <c r="CC135" s="2981">
        <f t="shared" si="38"/>
        <v>0</v>
      </c>
      <c r="CD135" s="2981">
        <f t="shared" si="38"/>
        <v>0</v>
      </c>
      <c r="CE135" s="2981">
        <f t="shared" si="38"/>
        <v>0</v>
      </c>
      <c r="CF135" s="2981">
        <f t="shared" si="38"/>
        <v>0</v>
      </c>
      <c r="CG135" s="2981">
        <f t="shared" si="38"/>
        <v>0</v>
      </c>
      <c r="CH135" s="2981">
        <f t="shared" si="38"/>
        <v>0</v>
      </c>
      <c r="CI135" s="2981">
        <f t="shared" si="38"/>
        <v>0</v>
      </c>
      <c r="CJ135" s="2981">
        <f t="shared" si="38"/>
        <v>0</v>
      </c>
      <c r="CK135" s="2981">
        <f t="shared" si="38"/>
        <v>0</v>
      </c>
      <c r="CL135" s="2981">
        <f t="shared" si="38"/>
        <v>0</v>
      </c>
      <c r="CM135" s="2981">
        <f t="shared" si="38"/>
        <v>0</v>
      </c>
      <c r="CN135" s="2981">
        <f t="shared" si="38"/>
        <v>0</v>
      </c>
      <c r="CO135" s="2981">
        <f t="shared" si="38"/>
        <v>0</v>
      </c>
      <c r="CP135" s="2981">
        <f t="shared" si="38"/>
        <v>0</v>
      </c>
      <c r="CQ135" s="2981">
        <f t="shared" si="38"/>
        <v>0</v>
      </c>
      <c r="CR135" s="2981">
        <f t="shared" si="38"/>
        <v>0</v>
      </c>
      <c r="CS135" s="2981">
        <f t="shared" si="38"/>
        <v>0</v>
      </c>
      <c r="CT135" s="2981">
        <f t="shared" si="38"/>
        <v>0</v>
      </c>
      <c r="CU135" s="2981">
        <f t="shared" si="38"/>
        <v>0</v>
      </c>
      <c r="CV135" s="2981">
        <f t="shared" si="38"/>
        <v>0</v>
      </c>
      <c r="CW135" s="2981">
        <f t="shared" si="38"/>
        <v>0</v>
      </c>
      <c r="CX135" s="2981">
        <f t="shared" si="38"/>
        <v>0</v>
      </c>
      <c r="CY135" s="2981">
        <f t="shared" si="38"/>
        <v>0</v>
      </c>
      <c r="CZ135" s="2981">
        <f t="shared" si="38"/>
        <v>0</v>
      </c>
      <c r="DA135" s="2981">
        <f t="shared" si="38"/>
        <v>0</v>
      </c>
      <c r="DB135" s="2981">
        <f t="shared" si="38"/>
        <v>0</v>
      </c>
      <c r="DC135" s="2981">
        <f t="shared" si="38"/>
        <v>0</v>
      </c>
      <c r="DD135" s="2981">
        <f t="shared" si="38"/>
        <v>0</v>
      </c>
      <c r="DE135" s="2981">
        <f t="shared" si="38"/>
        <v>0</v>
      </c>
      <c r="DF135" s="2981">
        <f t="shared" si="38"/>
        <v>0</v>
      </c>
      <c r="DG135" s="2981">
        <f t="shared" si="38"/>
        <v>0</v>
      </c>
      <c r="DH135" s="2981">
        <f t="shared" si="38"/>
        <v>0</v>
      </c>
      <c r="DI135" s="2981">
        <f t="shared" si="38"/>
        <v>0</v>
      </c>
      <c r="DJ135" s="2981">
        <f t="shared" si="38"/>
        <v>0</v>
      </c>
      <c r="DK135" s="2981">
        <f t="shared" si="38"/>
        <v>0</v>
      </c>
      <c r="DL135" s="2981">
        <f t="shared" si="38"/>
        <v>0</v>
      </c>
      <c r="DM135" s="2981">
        <f t="shared" si="38"/>
        <v>0</v>
      </c>
      <c r="DN135" s="2981">
        <f t="shared" si="38"/>
        <v>0</v>
      </c>
      <c r="DO135" s="2981">
        <f t="shared" si="38"/>
        <v>0</v>
      </c>
      <c r="DP135" s="2981">
        <f t="shared" si="38"/>
        <v>0</v>
      </c>
      <c r="DQ135" s="2981">
        <f t="shared" si="38"/>
        <v>0</v>
      </c>
      <c r="DR135" s="2981">
        <f t="shared" si="38"/>
        <v>0</v>
      </c>
      <c r="DS135" s="2981">
        <f t="shared" si="38"/>
        <v>0</v>
      </c>
      <c r="DT135" s="2981">
        <f t="shared" si="38"/>
        <v>0</v>
      </c>
      <c r="DU135" s="2981">
        <f t="shared" si="38"/>
        <v>0</v>
      </c>
      <c r="DV135" s="2981">
        <f t="shared" si="38"/>
        <v>0</v>
      </c>
      <c r="DW135" s="2981">
        <f t="shared" si="38"/>
        <v>0</v>
      </c>
      <c r="DX135" s="2981">
        <f t="shared" si="38"/>
        <v>0</v>
      </c>
      <c r="DY135" s="2981">
        <f t="shared" si="38"/>
        <v>0</v>
      </c>
      <c r="DZ135" s="2981">
        <f t="shared" si="38"/>
        <v>0</v>
      </c>
      <c r="EA135" s="2981">
        <f t="shared" si="38"/>
        <v>0</v>
      </c>
      <c r="EB135" s="2981">
        <f t="shared" si="38"/>
        <v>0</v>
      </c>
      <c r="EC135" s="2981">
        <f t="shared" si="38"/>
        <v>0</v>
      </c>
      <c r="ED135" s="2981">
        <f t="shared" si="38"/>
        <v>0</v>
      </c>
      <c r="EE135" s="2981">
        <f t="shared" si="38"/>
        <v>0</v>
      </c>
      <c r="EF135" s="2981">
        <f t="shared" si="38"/>
        <v>0</v>
      </c>
      <c r="EG135" s="2981">
        <f t="shared" si="38"/>
        <v>0</v>
      </c>
      <c r="EH135" s="2981">
        <f t="shared" si="38"/>
        <v>0</v>
      </c>
      <c r="EI135" s="2981">
        <f t="shared" si="38"/>
        <v>0</v>
      </c>
      <c r="EJ135" s="2981">
        <f t="shared" si="38"/>
        <v>0</v>
      </c>
      <c r="EK135" s="2981">
        <f t="shared" si="38"/>
        <v>0</v>
      </c>
      <c r="EL135" s="2981">
        <f t="shared" si="38"/>
        <v>0</v>
      </c>
      <c r="EM135" s="2981">
        <f t="shared" si="38"/>
        <v>0</v>
      </c>
      <c r="EN135" s="2981">
        <f t="shared" si="38"/>
        <v>0</v>
      </c>
      <c r="EO135" s="2981">
        <f t="shared" si="38"/>
        <v>0</v>
      </c>
      <c r="EP135" s="2981">
        <f t="shared" si="38"/>
        <v>0</v>
      </c>
      <c r="EQ135" s="2981">
        <f t="shared" si="38"/>
        <v>0</v>
      </c>
      <c r="ER135" s="2981">
        <f t="shared" si="38"/>
        <v>0</v>
      </c>
      <c r="ES135" s="2981">
        <f t="shared" si="38"/>
        <v>0</v>
      </c>
      <c r="ET135" s="2981">
        <f t="shared" si="38"/>
        <v>0</v>
      </c>
      <c r="EU135" s="2981">
        <f t="shared" si="38"/>
        <v>0</v>
      </c>
      <c r="EV135" s="2981">
        <f t="shared" si="38"/>
        <v>0</v>
      </c>
      <c r="EW135" s="2981">
        <f t="shared" si="38"/>
        <v>0</v>
      </c>
      <c r="EX135" s="2981">
        <f t="shared" si="38"/>
        <v>0</v>
      </c>
      <c r="EY135" s="2981">
        <f t="shared" si="38"/>
        <v>0</v>
      </c>
      <c r="EZ135" s="2981">
        <f t="shared" si="38"/>
        <v>0</v>
      </c>
      <c r="FA135" s="2981"/>
      <c r="FB135" s="2833"/>
      <c r="FC135" s="2833"/>
      <c r="FD135" s="2833"/>
      <c r="FE135" s="2833"/>
      <c r="FF135" s="2833"/>
      <c r="FG135" s="2833"/>
      <c r="FH135" s="2833"/>
      <c r="FI135" s="2833"/>
      <c r="FJ135" s="2833"/>
      <c r="FK135" s="2833"/>
      <c r="FL135" s="2838"/>
      <c r="FM135" s="2825"/>
      <c r="FN135" s="2825"/>
      <c r="FO135" s="2825"/>
      <c r="FP135" s="2825"/>
      <c r="FQ135" s="2825"/>
      <c r="FR135" s="2825"/>
      <c r="FS135" s="2825"/>
      <c r="FT135" s="2825"/>
      <c r="FU135" s="2825"/>
      <c r="FV135" s="2825"/>
      <c r="FW135" s="2825"/>
      <c r="FX135" s="2825"/>
      <c r="FY135" s="2825"/>
      <c r="FZ135" s="2825"/>
      <c r="GA135" s="2825"/>
      <c r="GB135" s="2825"/>
      <c r="GC135" s="2825"/>
      <c r="GD135" s="2825"/>
      <c r="GE135" s="2825"/>
      <c r="GF135" s="2825"/>
      <c r="GG135" s="2825"/>
      <c r="GH135" s="2825"/>
      <c r="GI135" s="2825"/>
      <c r="GJ135" s="2825"/>
      <c r="GK135" s="2825"/>
      <c r="GL135" s="2825"/>
      <c r="GM135" s="2825"/>
      <c r="GN135" s="2825"/>
      <c r="GO135" s="2825"/>
      <c r="GP135" s="2825"/>
      <c r="GQ135" s="2825"/>
      <c r="GR135" s="2825"/>
      <c r="GS135" s="2825"/>
      <c r="GT135" s="2825"/>
      <c r="GU135" s="2825"/>
      <c r="GV135" s="2825"/>
      <c r="GW135" s="2825"/>
      <c r="GX135" s="2825"/>
      <c r="GY135" s="2825"/>
      <c r="GZ135" s="2825"/>
      <c r="HA135" s="2825"/>
      <c r="HB135" s="2825"/>
      <c r="HC135" s="2825"/>
      <c r="HD135" s="2825"/>
      <c r="HE135" s="2825"/>
      <c r="HF135" s="2825"/>
      <c r="HG135" s="2825"/>
      <c r="HH135" s="2825"/>
      <c r="HI135" s="2825"/>
      <c r="HJ135" s="2825"/>
      <c r="HK135" s="2825"/>
      <c r="HL135" s="2825"/>
      <c r="HM135" s="2825"/>
      <c r="HN135" s="2825"/>
      <c r="HO135" s="2825"/>
      <c r="HP135" s="2825"/>
      <c r="HQ135" s="2825"/>
      <c r="HR135" s="2825"/>
      <c r="HS135" s="2825"/>
      <c r="HT135" s="2825"/>
      <c r="HU135" s="2825"/>
      <c r="HV135" s="2825"/>
      <c r="HW135" s="2825"/>
      <c r="HX135" s="2825"/>
      <c r="HY135" s="2825"/>
      <c r="HZ135" s="2825"/>
      <c r="IA135" s="2825"/>
      <c r="IB135" s="2825"/>
      <c r="IC135" s="2825"/>
      <c r="ID135" s="2825"/>
      <c r="IE135" s="2825"/>
      <c r="IF135" s="2825"/>
      <c r="IG135" s="2825"/>
      <c r="IH135" s="2825"/>
      <c r="II135" s="2825"/>
      <c r="IJ135" s="2825"/>
      <c r="IK135" s="2825"/>
      <c r="IL135" s="2825"/>
      <c r="IM135" s="2825"/>
      <c r="IN135" s="2825"/>
      <c r="IO135" s="2838"/>
      <c r="IP135" s="2838"/>
      <c r="IQ135" s="2838"/>
      <c r="IR135" s="2838"/>
      <c r="IS135" s="2838"/>
      <c r="IT135" s="2838"/>
      <c r="IU135" s="2838"/>
      <c r="IV135" s="2838"/>
      <c r="IW135" s="2838"/>
      <c r="IX135" s="2838"/>
      <c r="IY135" s="2838"/>
      <c r="IZ135" s="2838"/>
      <c r="JA135" s="2838"/>
      <c r="JB135" s="2838"/>
      <c r="JC135" s="2838"/>
      <c r="JD135" s="2838"/>
      <c r="JE135" s="2838"/>
      <c r="JF135" s="2838"/>
      <c r="JG135" s="2838"/>
      <c r="JH135" s="2838"/>
      <c r="JI135" s="2833"/>
      <c r="JJ135" s="2833"/>
      <c r="JK135" s="2833"/>
      <c r="JL135" s="2833"/>
      <c r="JM135" s="2833"/>
      <c r="JN135" s="2833"/>
      <c r="JO135" s="2833"/>
      <c r="JP135" s="2833"/>
      <c r="JQ135" s="2833"/>
      <c r="JR135" s="2833"/>
      <c r="JS135" s="2833"/>
      <c r="JT135" s="2833"/>
      <c r="JU135" s="2833"/>
      <c r="JV135" s="2833"/>
      <c r="JW135" s="2833"/>
      <c r="JX135" s="2833"/>
      <c r="JY135" s="2833"/>
      <c r="JZ135" s="2833"/>
      <c r="KA135" s="2833"/>
      <c r="KB135" s="2833"/>
      <c r="KC135" s="2833"/>
      <c r="KD135" s="2833"/>
      <c r="KE135" s="2833"/>
      <c r="KF135" s="2833"/>
      <c r="KG135" s="2833"/>
      <c r="KH135" s="2833"/>
      <c r="KI135" s="2833"/>
      <c r="KJ135" s="2833"/>
      <c r="KK135" s="1353"/>
    </row>
    <row r="136" ht="15" customHeight="1">
      <c r="A136" s="2833"/>
      <c r="B136" s="2973" t="s">
        <v>2953</v>
      </c>
      <c r="C136" s="2974"/>
      <c r="D136" s="2982">
        <f>_xlfn.IFERROR(D135/D141,0)</f>
        <v>0.04950495049504951</v>
      </c>
      <c r="E136" s="2983"/>
      <c r="F136" s="2983"/>
      <c r="G136" s="2825"/>
      <c r="H136" s="2984" t="s">
        <v>2954</v>
      </c>
      <c r="I136" s="2985"/>
      <c r="J136" s="2985"/>
      <c r="K136" s="2985"/>
      <c r="L136" s="2986"/>
      <c r="M136" s="2980">
        <f>FA126</f>
        <v>7542</v>
      </c>
      <c r="N136" s="2976"/>
      <c r="O136" s="2976"/>
      <c r="P136" s="2976"/>
      <c r="Q136" s="2825"/>
      <c r="R136" s="2987"/>
      <c r="S136" s="2825"/>
      <c r="T136" s="2825"/>
      <c r="U136" s="2825"/>
      <c r="V136" s="2825"/>
      <c r="W136" s="2825"/>
      <c r="X136" s="2825"/>
      <c r="Y136" s="2825"/>
      <c r="Z136" s="2825"/>
      <c r="AA136" s="2825"/>
      <c r="AB136" s="2838"/>
      <c r="AC136" s="2838"/>
      <c r="AD136" s="2838"/>
      <c r="AE136" s="2838"/>
      <c r="AF136" s="2838"/>
      <c r="AG136" s="2838"/>
      <c r="AH136" s="2838"/>
      <c r="AI136" s="2825"/>
      <c r="AJ136" s="2825"/>
      <c r="AK136" s="2825"/>
      <c r="AL136" s="2825"/>
      <c r="AM136" s="2825"/>
      <c r="AN136" s="2825"/>
      <c r="AO136" s="2825"/>
      <c r="AP136" s="2825"/>
      <c r="AQ136" s="2825"/>
      <c r="AR136" s="2825"/>
      <c r="AS136" s="2825"/>
      <c r="AT136" s="2825"/>
      <c r="AU136" s="2825"/>
      <c r="AV136" s="2825"/>
      <c r="AW136" s="2825"/>
      <c r="AX136" s="2825"/>
      <c r="AY136" s="2825"/>
      <c r="AZ136" s="2825"/>
      <c r="BA136" s="2825"/>
      <c r="BB136" s="2825"/>
      <c r="BC136" s="2825"/>
      <c r="BD136" s="2825"/>
      <c r="BE136" s="2825"/>
      <c r="BF136" s="2825"/>
      <c r="BG136" s="2825"/>
      <c r="BH136" s="2825"/>
      <c r="BI136" s="2825"/>
      <c r="BJ136" s="2825"/>
      <c r="BK136" s="2825"/>
      <c r="BL136" s="2825"/>
      <c r="BM136" s="2825"/>
      <c r="BN136" s="2825"/>
      <c r="BO136" s="2825"/>
      <c r="BP136" s="2825"/>
      <c r="BQ136" s="2825"/>
      <c r="BR136" s="2825"/>
      <c r="BS136" s="2825"/>
      <c r="BT136" s="2825"/>
      <c r="BU136" s="2825"/>
      <c r="BV136" s="2825"/>
      <c r="BW136" s="2825"/>
      <c r="BX136" s="2825"/>
      <c r="BY136" s="2825"/>
      <c r="BZ136" s="2825"/>
      <c r="CA136" s="2825"/>
      <c r="CB136" s="2825"/>
      <c r="CC136" s="2825"/>
      <c r="CD136" s="2825"/>
      <c r="CE136" s="2825"/>
      <c r="CF136" s="2825"/>
      <c r="CG136" s="2825"/>
      <c r="CH136" s="2825"/>
      <c r="CI136" s="2825"/>
      <c r="CJ136" s="2825"/>
      <c r="CK136" s="2825"/>
      <c r="CL136" s="2825"/>
      <c r="CM136" s="2825"/>
      <c r="CN136" s="2825"/>
      <c r="CO136" s="2825"/>
      <c r="CP136" s="2825"/>
      <c r="CQ136" s="2825"/>
      <c r="CR136" s="2825"/>
      <c r="CS136" s="2825"/>
      <c r="CT136" s="2825"/>
      <c r="CU136" s="2825"/>
      <c r="CV136" s="2825"/>
      <c r="CW136" s="2825"/>
      <c r="CX136" s="2825"/>
      <c r="CY136" s="2825"/>
      <c r="CZ136" s="2825"/>
      <c r="DA136" s="2825"/>
      <c r="DB136" s="2825"/>
      <c r="DC136" s="2825"/>
      <c r="DD136" s="2825"/>
      <c r="DE136" s="2825"/>
      <c r="DF136" s="2825"/>
      <c r="DG136" s="2825"/>
      <c r="DH136" s="2825"/>
      <c r="DI136" s="2825"/>
      <c r="DJ136" s="2825"/>
      <c r="DK136" s="2825"/>
      <c r="DL136" s="2825"/>
      <c r="DM136" s="2825"/>
      <c r="DN136" s="2825"/>
      <c r="DO136" s="2825"/>
      <c r="DP136" s="2825"/>
      <c r="DQ136" s="2825"/>
      <c r="DR136" s="2825"/>
      <c r="DS136" s="2825"/>
      <c r="DT136" s="2825"/>
      <c r="DU136" s="2825"/>
      <c r="DV136" s="2825"/>
      <c r="DW136" s="2825"/>
      <c r="DX136" s="2825"/>
      <c r="DY136" s="2825"/>
      <c r="DZ136" s="2825"/>
      <c r="EA136" s="2825"/>
      <c r="EB136" s="2825"/>
      <c r="EC136" s="2825"/>
      <c r="ED136" s="2825"/>
      <c r="EE136" s="2825"/>
      <c r="EF136" s="2825"/>
      <c r="EG136" s="2825"/>
      <c r="EH136" s="2825"/>
      <c r="EI136" s="2825"/>
      <c r="EJ136" s="2825"/>
      <c r="EK136" s="2825"/>
      <c r="EL136" s="2825"/>
      <c r="EM136" s="2825"/>
      <c r="EN136" s="2825"/>
      <c r="EO136" s="2825"/>
      <c r="EP136" s="2825"/>
      <c r="EQ136" s="2825"/>
      <c r="ER136" s="2825"/>
      <c r="ES136" s="2825"/>
      <c r="ET136" s="2825"/>
      <c r="EU136" s="2825"/>
      <c r="EV136" s="2825"/>
      <c r="EW136" s="2825"/>
      <c r="EX136" s="2825"/>
      <c r="EY136" s="2825"/>
      <c r="EZ136" s="2825"/>
      <c r="FA136" s="2825"/>
      <c r="FB136" s="2833"/>
      <c r="FC136" s="2833"/>
      <c r="FD136" s="2833"/>
      <c r="FE136" s="2833"/>
      <c r="FF136" s="2833"/>
      <c r="FG136" s="2833"/>
      <c r="FH136" s="2833"/>
      <c r="FI136" s="2833"/>
      <c r="FJ136" s="2833"/>
      <c r="FK136" s="2833"/>
      <c r="FL136" s="2838"/>
      <c r="FM136" s="2825"/>
      <c r="FN136" s="2825"/>
      <c r="FO136" s="2825"/>
      <c r="FP136" s="2825"/>
      <c r="FQ136" s="2825"/>
      <c r="FR136" s="2825"/>
      <c r="FS136" s="2825"/>
      <c r="FT136" s="2825"/>
      <c r="FU136" s="2825"/>
      <c r="FV136" s="2825"/>
      <c r="FW136" s="2825"/>
      <c r="FX136" s="2825"/>
      <c r="FY136" s="2825"/>
      <c r="FZ136" s="2825"/>
      <c r="GA136" s="2825"/>
      <c r="GB136" s="2825"/>
      <c r="GC136" s="2825"/>
      <c r="GD136" s="2825"/>
      <c r="GE136" s="2825"/>
      <c r="GF136" s="2825"/>
      <c r="GG136" s="2825"/>
      <c r="GH136" s="2825"/>
      <c r="GI136" s="2825"/>
      <c r="GJ136" s="2825"/>
      <c r="GK136" s="2825"/>
      <c r="GL136" s="2825"/>
      <c r="GM136" s="2825"/>
      <c r="GN136" s="2825"/>
      <c r="GO136" s="2825"/>
      <c r="GP136" s="2825"/>
      <c r="GQ136" s="2825"/>
      <c r="GR136" s="2825"/>
      <c r="GS136" s="2825"/>
      <c r="GT136" s="2825"/>
      <c r="GU136" s="2825"/>
      <c r="GV136" s="2825"/>
      <c r="GW136" s="2825"/>
      <c r="GX136" s="2825"/>
      <c r="GY136" s="2825"/>
      <c r="GZ136" s="2825"/>
      <c r="HA136" s="2825"/>
      <c r="HB136" s="2825"/>
      <c r="HC136" s="2825"/>
      <c r="HD136" s="2825"/>
      <c r="HE136" s="2825"/>
      <c r="HF136" s="2825"/>
      <c r="HG136" s="2825"/>
      <c r="HH136" s="2825"/>
      <c r="HI136" s="2825"/>
      <c r="HJ136" s="2825"/>
      <c r="HK136" s="2825"/>
      <c r="HL136" s="2825"/>
      <c r="HM136" s="2825"/>
      <c r="HN136" s="2825"/>
      <c r="HO136" s="2825"/>
      <c r="HP136" s="2825"/>
      <c r="HQ136" s="2825"/>
      <c r="HR136" s="2825"/>
      <c r="HS136" s="2825"/>
      <c r="HT136" s="2825"/>
      <c r="HU136" s="2825"/>
      <c r="HV136" s="2825"/>
      <c r="HW136" s="2825"/>
      <c r="HX136" s="2825"/>
      <c r="HY136" s="2825"/>
      <c r="HZ136" s="2825"/>
      <c r="IA136" s="2825"/>
      <c r="IB136" s="2825"/>
      <c r="IC136" s="2825"/>
      <c r="ID136" s="2825"/>
      <c r="IE136" s="2825"/>
      <c r="IF136" s="2825"/>
      <c r="IG136" s="2825"/>
      <c r="IH136" s="2825"/>
      <c r="II136" s="2825"/>
      <c r="IJ136" s="2825"/>
      <c r="IK136" s="2825"/>
      <c r="IL136" s="2825"/>
      <c r="IM136" s="2825"/>
      <c r="IN136" s="2825"/>
      <c r="IO136" s="2838"/>
      <c r="IP136" s="2838"/>
      <c r="IQ136" s="2838"/>
      <c r="IR136" s="2838"/>
      <c r="IS136" s="2838"/>
      <c r="IT136" s="2838"/>
      <c r="IU136" s="2838"/>
      <c r="IV136" s="2838"/>
      <c r="IW136" s="2838"/>
      <c r="IX136" s="2838"/>
      <c r="IY136" s="2838"/>
      <c r="IZ136" s="2838"/>
      <c r="JA136" s="2838"/>
      <c r="JB136" s="2838"/>
      <c r="JC136" s="2838"/>
      <c r="JD136" s="2838"/>
      <c r="JE136" s="2838"/>
      <c r="JF136" s="2838"/>
      <c r="JG136" s="2838"/>
      <c r="JH136" s="2838"/>
      <c r="JI136" s="2833"/>
      <c r="JJ136" s="2833"/>
      <c r="JK136" s="2833"/>
      <c r="JL136" s="2833"/>
      <c r="JM136" s="2833"/>
      <c r="JN136" s="2833"/>
      <c r="JO136" s="2833"/>
      <c r="JP136" s="2833"/>
      <c r="JQ136" s="2833"/>
      <c r="JR136" s="2833"/>
      <c r="JS136" s="2833"/>
      <c r="JT136" s="2833"/>
      <c r="JU136" s="2833"/>
      <c r="JV136" s="2833"/>
      <c r="JW136" s="2833"/>
      <c r="JX136" s="2833"/>
      <c r="JY136" s="2833"/>
      <c r="JZ136" s="2833"/>
      <c r="KA136" s="2833"/>
      <c r="KB136" s="2833"/>
      <c r="KC136" s="2833"/>
      <c r="KD136" s="2833"/>
      <c r="KE136" s="2833"/>
      <c r="KF136" s="2833"/>
      <c r="KG136" s="2833"/>
      <c r="KH136" s="2833"/>
      <c r="KI136" s="2833"/>
      <c r="KJ136" s="2833"/>
      <c r="KK136" s="1353"/>
    </row>
    <row r="137" ht="15" customHeight="1">
      <c r="A137" s="2833"/>
      <c r="B137" s="2973" t="s">
        <v>2955</v>
      </c>
      <c r="C137" s="2974"/>
      <c r="D137" s="2982">
        <f>_xlfn.IFERROR(100%-D136,0)</f>
        <v>0.9504950495049505</v>
      </c>
      <c r="E137" s="2983"/>
      <c r="F137" s="2983"/>
      <c r="G137" s="2825"/>
      <c r="H137" s="2988"/>
      <c r="I137" s="2988"/>
      <c r="J137" s="2988"/>
      <c r="K137" s="2988"/>
      <c r="L137" s="2988"/>
      <c r="M137" s="2989"/>
      <c r="N137" s="2825"/>
      <c r="O137" s="2825"/>
      <c r="P137" s="2825"/>
      <c r="Q137" s="2825"/>
      <c r="R137" s="2825"/>
      <c r="S137" s="2825"/>
      <c r="T137" s="2825"/>
      <c r="U137" s="2825"/>
      <c r="V137" s="2825"/>
      <c r="W137" s="2825"/>
      <c r="X137" s="2825"/>
      <c r="Y137" s="2825"/>
      <c r="Z137" s="2825"/>
      <c r="AA137" s="2825"/>
      <c r="AB137" s="2838"/>
      <c r="AC137" s="2838"/>
      <c r="AD137" s="2838"/>
      <c r="AE137" s="2838"/>
      <c r="AF137" s="2838"/>
      <c r="AG137" s="2838"/>
      <c r="AH137" s="2838"/>
      <c r="AI137" s="2825"/>
      <c r="AJ137" s="2825"/>
      <c r="AK137" s="2825"/>
      <c r="AL137" s="2825"/>
      <c r="AM137" s="2825"/>
      <c r="AN137" s="2825"/>
      <c r="AO137" s="2825"/>
      <c r="AP137" s="2825"/>
      <c r="AQ137" s="2825"/>
      <c r="AR137" s="2825"/>
      <c r="AS137" s="2825"/>
      <c r="AT137" s="2825"/>
      <c r="AU137" s="2825"/>
      <c r="AV137" s="2825"/>
      <c r="AW137" s="2825"/>
      <c r="AX137" s="2825"/>
      <c r="AY137" s="2825"/>
      <c r="AZ137" s="2825"/>
      <c r="BA137" s="2825"/>
      <c r="BB137" s="2825"/>
      <c r="BC137" s="2825"/>
      <c r="BD137" s="2825"/>
      <c r="BE137" s="2825"/>
      <c r="BF137" s="2825"/>
      <c r="BG137" s="2825"/>
      <c r="BH137" s="2825"/>
      <c r="BI137" s="2825"/>
      <c r="BJ137" s="2825"/>
      <c r="BK137" s="2825"/>
      <c r="BL137" s="2825"/>
      <c r="BM137" s="2825"/>
      <c r="BN137" s="2825"/>
      <c r="BO137" s="2825"/>
      <c r="BP137" s="2825"/>
      <c r="BQ137" s="2825"/>
      <c r="BR137" s="2825"/>
      <c r="BS137" s="2825"/>
      <c r="BT137" s="2825"/>
      <c r="BU137" s="2825"/>
      <c r="BV137" s="2825"/>
      <c r="BW137" s="2825"/>
      <c r="BX137" s="2825"/>
      <c r="BY137" s="2825"/>
      <c r="BZ137" s="2825"/>
      <c r="CA137" s="2825"/>
      <c r="CB137" s="2825"/>
      <c r="CC137" s="2825"/>
      <c r="CD137" s="2825"/>
      <c r="CE137" s="2825"/>
      <c r="CF137" s="2825"/>
      <c r="CG137" s="2825"/>
      <c r="CH137" s="2825"/>
      <c r="CI137" s="2825"/>
      <c r="CJ137" s="2825"/>
      <c r="CK137" s="2825"/>
      <c r="CL137" s="2825"/>
      <c r="CM137" s="2825"/>
      <c r="CN137" s="2825"/>
      <c r="CO137" s="2825"/>
      <c r="CP137" s="2825"/>
      <c r="CQ137" s="2825"/>
      <c r="CR137" s="2825"/>
      <c r="CS137" s="2825"/>
      <c r="CT137" s="2825"/>
      <c r="CU137" s="2825"/>
      <c r="CV137" s="2825"/>
      <c r="CW137" s="2825"/>
      <c r="CX137" s="2825"/>
      <c r="CY137" s="2825"/>
      <c r="CZ137" s="2825"/>
      <c r="DA137" s="2825"/>
      <c r="DB137" s="2825"/>
      <c r="DC137" s="2825"/>
      <c r="DD137" s="2825"/>
      <c r="DE137" s="2825"/>
      <c r="DF137" s="2825"/>
      <c r="DG137" s="2825"/>
      <c r="DH137" s="2825"/>
      <c r="DI137" s="2825"/>
      <c r="DJ137" s="2825"/>
      <c r="DK137" s="2825"/>
      <c r="DL137" s="2825"/>
      <c r="DM137" s="2825"/>
      <c r="DN137" s="2825"/>
      <c r="DO137" s="2825"/>
      <c r="DP137" s="2825"/>
      <c r="DQ137" s="2825"/>
      <c r="DR137" s="2825"/>
      <c r="DS137" s="2825"/>
      <c r="DT137" s="2825"/>
      <c r="DU137" s="2825"/>
      <c r="DV137" s="2825"/>
      <c r="DW137" s="2825"/>
      <c r="DX137" s="2825"/>
      <c r="DY137" s="2825"/>
      <c r="DZ137" s="2825"/>
      <c r="EA137" s="2825"/>
      <c r="EB137" s="2825"/>
      <c r="EC137" s="2825"/>
      <c r="ED137" s="2825"/>
      <c r="EE137" s="2825"/>
      <c r="EF137" s="2825"/>
      <c r="EG137" s="2825"/>
      <c r="EH137" s="2825"/>
      <c r="EI137" s="2825"/>
      <c r="EJ137" s="2825"/>
      <c r="EK137" s="2825"/>
      <c r="EL137" s="2825"/>
      <c r="EM137" s="2825"/>
      <c r="EN137" s="2825"/>
      <c r="EO137" s="2825"/>
      <c r="EP137" s="2825"/>
      <c r="EQ137" s="2825"/>
      <c r="ER137" s="2825"/>
      <c r="ES137" s="2825"/>
      <c r="ET137" s="2825"/>
      <c r="EU137" s="2825"/>
      <c r="EV137" s="2825"/>
      <c r="EW137" s="2825"/>
      <c r="EX137" s="2825"/>
      <c r="EY137" s="2825"/>
      <c r="EZ137" s="2825"/>
      <c r="FA137" s="2825"/>
      <c r="FB137" s="2833"/>
      <c r="FC137" s="2833"/>
      <c r="FD137" s="2833"/>
      <c r="FE137" s="2833"/>
      <c r="FF137" s="2833"/>
      <c r="FG137" s="2833"/>
      <c r="FH137" s="2833"/>
      <c r="FI137" s="2833"/>
      <c r="FJ137" s="2833"/>
      <c r="FK137" s="2833"/>
      <c r="FL137" s="2838"/>
      <c r="FM137" s="2825"/>
      <c r="FN137" s="2825"/>
      <c r="FO137" s="2825"/>
      <c r="FP137" s="2825"/>
      <c r="FQ137" s="2825"/>
      <c r="FR137" s="2825"/>
      <c r="FS137" s="2825"/>
      <c r="FT137" s="2825"/>
      <c r="FU137" s="2825"/>
      <c r="FV137" s="2825"/>
      <c r="FW137" s="2825"/>
      <c r="FX137" s="2825"/>
      <c r="FY137" s="2825"/>
      <c r="FZ137" s="2825"/>
      <c r="GA137" s="2825"/>
      <c r="GB137" s="2825"/>
      <c r="GC137" s="2825"/>
      <c r="GD137" s="2825"/>
      <c r="GE137" s="2825"/>
      <c r="GF137" s="2825"/>
      <c r="GG137" s="2825"/>
      <c r="GH137" s="2825"/>
      <c r="GI137" s="2825"/>
      <c r="GJ137" s="2825"/>
      <c r="GK137" s="2825"/>
      <c r="GL137" s="2825"/>
      <c r="GM137" s="2825"/>
      <c r="GN137" s="2825"/>
      <c r="GO137" s="2825"/>
      <c r="GP137" s="2825"/>
      <c r="GQ137" s="2825"/>
      <c r="GR137" s="2825"/>
      <c r="GS137" s="2825"/>
      <c r="GT137" s="2825"/>
      <c r="GU137" s="2825"/>
      <c r="GV137" s="2825"/>
      <c r="GW137" s="2825"/>
      <c r="GX137" s="2825"/>
      <c r="GY137" s="2825"/>
      <c r="GZ137" s="2825"/>
      <c r="HA137" s="2825"/>
      <c r="HB137" s="2825"/>
      <c r="HC137" s="2825"/>
      <c r="HD137" s="2825"/>
      <c r="HE137" s="2825"/>
      <c r="HF137" s="2825"/>
      <c r="HG137" s="2825"/>
      <c r="HH137" s="2825"/>
      <c r="HI137" s="2825"/>
      <c r="HJ137" s="2825"/>
      <c r="HK137" s="2825"/>
      <c r="HL137" s="2825"/>
      <c r="HM137" s="2825"/>
      <c r="HN137" s="2825"/>
      <c r="HO137" s="2825"/>
      <c r="HP137" s="2825"/>
      <c r="HQ137" s="2825"/>
      <c r="HR137" s="2825"/>
      <c r="HS137" s="2825"/>
      <c r="HT137" s="2825"/>
      <c r="HU137" s="2825"/>
      <c r="HV137" s="2825"/>
      <c r="HW137" s="2825"/>
      <c r="HX137" s="2825"/>
      <c r="HY137" s="2825"/>
      <c r="HZ137" s="2825"/>
      <c r="IA137" s="2825"/>
      <c r="IB137" s="2825"/>
      <c r="IC137" s="2825"/>
      <c r="ID137" s="2825"/>
      <c r="IE137" s="2825"/>
      <c r="IF137" s="2825"/>
      <c r="IG137" s="2825"/>
      <c r="IH137" s="2825"/>
      <c r="II137" s="2825"/>
      <c r="IJ137" s="2825"/>
      <c r="IK137" s="2825"/>
      <c r="IL137" s="2825"/>
      <c r="IM137" s="2825"/>
      <c r="IN137" s="2825"/>
      <c r="IO137" s="2838"/>
      <c r="IP137" s="2838"/>
      <c r="IQ137" s="2838"/>
      <c r="IR137" s="2838"/>
      <c r="IS137" s="2838"/>
      <c r="IT137" s="2838"/>
      <c r="IU137" s="2838"/>
      <c r="IV137" s="2838"/>
      <c r="IW137" s="2838"/>
      <c r="IX137" s="2838"/>
      <c r="IY137" s="2838"/>
      <c r="IZ137" s="2838"/>
      <c r="JA137" s="2838"/>
      <c r="JB137" s="2838"/>
      <c r="JC137" s="2838"/>
      <c r="JD137" s="2838"/>
      <c r="JE137" s="2838"/>
      <c r="JF137" s="2838"/>
      <c r="JG137" s="2838"/>
      <c r="JH137" s="2838"/>
      <c r="JI137" s="2833"/>
      <c r="JJ137" s="2833"/>
      <c r="JK137" s="2833"/>
      <c r="JL137" s="2833"/>
      <c r="JM137" s="2833"/>
      <c r="JN137" s="2833"/>
      <c r="JO137" s="2833"/>
      <c r="JP137" s="2833"/>
      <c r="JQ137" s="2833"/>
      <c r="JR137" s="2833"/>
      <c r="JS137" s="2833"/>
      <c r="JT137" s="2833"/>
      <c r="JU137" s="2833"/>
      <c r="JV137" s="2833"/>
      <c r="JW137" s="2833"/>
      <c r="JX137" s="2833"/>
      <c r="JY137" s="2833"/>
      <c r="JZ137" s="2833"/>
      <c r="KA137" s="2833"/>
      <c r="KB137" s="2833"/>
      <c r="KC137" s="2833"/>
      <c r="KD137" s="2833"/>
      <c r="KE137" s="2833"/>
      <c r="KF137" s="2833"/>
      <c r="KG137" s="2833"/>
      <c r="KH137" s="2833"/>
      <c r="KI137" s="2833"/>
      <c r="KJ137" s="2833"/>
      <c r="KK137" s="1353"/>
    </row>
    <row r="138" ht="15" customHeight="1">
      <c r="A138" s="2833"/>
      <c r="B138" s="2973" t="s">
        <v>2956</v>
      </c>
      <c r="C138" s="2974"/>
      <c r="D138" s="2982">
        <f>1-'Summary OPS'!AV14</f>
        <v>0.8517956031813334</v>
      </c>
      <c r="E138" s="2983"/>
      <c r="F138" s="2983"/>
      <c r="G138" s="2833"/>
      <c r="H138" s="2977" t="s">
        <v>2957</v>
      </c>
      <c r="I138" s="2978"/>
      <c r="J138" s="2978"/>
      <c r="K138" s="2978"/>
      <c r="L138" s="2979"/>
      <c r="M138" s="2980">
        <f>M135+M136</f>
        <v>129715</v>
      </c>
      <c r="N138" s="2833"/>
      <c r="O138" s="2833"/>
      <c r="P138" s="2833"/>
      <c r="Q138" s="2825"/>
      <c r="R138" s="2825"/>
      <c r="S138" s="2825"/>
      <c r="T138" s="2825"/>
      <c r="U138" s="2825"/>
      <c r="V138" s="2825"/>
      <c r="W138" s="2825"/>
      <c r="X138" s="2825"/>
      <c r="Y138" s="2825"/>
      <c r="Z138" s="2825"/>
      <c r="AA138" s="2825"/>
      <c r="AB138" s="2838"/>
      <c r="AC138" s="2838"/>
      <c r="AD138" s="2838"/>
      <c r="AE138" s="2838"/>
      <c r="AF138" s="2838"/>
      <c r="AG138" s="2838"/>
      <c r="AH138" s="2838"/>
      <c r="AI138" s="2825"/>
      <c r="AJ138" s="2825"/>
      <c r="AK138" s="2825"/>
      <c r="AL138" s="2825"/>
      <c r="AM138" s="2825"/>
      <c r="AN138" s="2825"/>
      <c r="AO138" s="2825"/>
      <c r="AP138" s="2825"/>
      <c r="AQ138" s="2825"/>
      <c r="AR138" s="2825"/>
      <c r="AS138" s="2825"/>
      <c r="AT138" s="2825"/>
      <c r="AU138" s="2825"/>
      <c r="AV138" s="2825"/>
      <c r="AW138" s="2825"/>
      <c r="AX138" s="2825"/>
      <c r="AY138" s="2825"/>
      <c r="AZ138" s="2825"/>
      <c r="BA138" s="2825"/>
      <c r="BB138" s="2825"/>
      <c r="BC138" s="2825"/>
      <c r="BD138" s="2825"/>
      <c r="BE138" s="2825"/>
      <c r="BF138" s="2825"/>
      <c r="BG138" s="2825"/>
      <c r="BH138" s="2825"/>
      <c r="BI138" s="2825"/>
      <c r="BJ138" s="2825"/>
      <c r="BK138" s="2825"/>
      <c r="BL138" s="2825"/>
      <c r="BM138" s="2825"/>
      <c r="BN138" s="2825"/>
      <c r="BO138" s="2825"/>
      <c r="BP138" s="2825"/>
      <c r="BQ138" s="2825"/>
      <c r="BR138" s="2825"/>
      <c r="BS138" s="2825"/>
      <c r="BT138" s="2825"/>
      <c r="BU138" s="2825"/>
      <c r="BV138" s="2825"/>
      <c r="BW138" s="2825"/>
      <c r="BX138" s="2825"/>
      <c r="BY138" s="2825"/>
      <c r="BZ138" s="2825"/>
      <c r="CA138" s="2825"/>
      <c r="CB138" s="2825"/>
      <c r="CC138" s="2825"/>
      <c r="CD138" s="2825"/>
      <c r="CE138" s="2825"/>
      <c r="CF138" s="2825"/>
      <c r="CG138" s="2825"/>
      <c r="CH138" s="2825"/>
      <c r="CI138" s="2825"/>
      <c r="CJ138" s="2825"/>
      <c r="CK138" s="2825"/>
      <c r="CL138" s="2825"/>
      <c r="CM138" s="2825"/>
      <c r="CN138" s="2825"/>
      <c r="CO138" s="2825"/>
      <c r="CP138" s="2825"/>
      <c r="CQ138" s="2825"/>
      <c r="CR138" s="2825"/>
      <c r="CS138" s="2825"/>
      <c r="CT138" s="2825"/>
      <c r="CU138" s="2825"/>
      <c r="CV138" s="2825"/>
      <c r="CW138" s="2825"/>
      <c r="CX138" s="2825"/>
      <c r="CY138" s="2825"/>
      <c r="CZ138" s="2825"/>
      <c r="DA138" s="2825"/>
      <c r="DB138" s="2825"/>
      <c r="DC138" s="2825"/>
      <c r="DD138" s="2825"/>
      <c r="DE138" s="2825"/>
      <c r="DF138" s="2825"/>
      <c r="DG138" s="2825"/>
      <c r="DH138" s="2825"/>
      <c r="DI138" s="2825"/>
      <c r="DJ138" s="2825"/>
      <c r="DK138" s="2825"/>
      <c r="DL138" s="2825"/>
      <c r="DM138" s="2825"/>
      <c r="DN138" s="2825"/>
      <c r="DO138" s="2825"/>
      <c r="DP138" s="2825"/>
      <c r="DQ138" s="2825"/>
      <c r="DR138" s="2825"/>
      <c r="DS138" s="2825"/>
      <c r="DT138" s="2825"/>
      <c r="DU138" s="2825"/>
      <c r="DV138" s="2825"/>
      <c r="DW138" s="2825"/>
      <c r="DX138" s="2825"/>
      <c r="DY138" s="2825"/>
      <c r="DZ138" s="2825"/>
      <c r="EA138" s="2825"/>
      <c r="EB138" s="2825"/>
      <c r="EC138" s="2825"/>
      <c r="ED138" s="2825"/>
      <c r="EE138" s="2825"/>
      <c r="EF138" s="2825"/>
      <c r="EG138" s="2825"/>
      <c r="EH138" s="2825"/>
      <c r="EI138" s="2825"/>
      <c r="EJ138" s="2825"/>
      <c r="EK138" s="2825"/>
      <c r="EL138" s="2825"/>
      <c r="EM138" s="2825"/>
      <c r="EN138" s="2825"/>
      <c r="EO138" s="2825"/>
      <c r="EP138" s="2825"/>
      <c r="EQ138" s="2825"/>
      <c r="ER138" s="2825"/>
      <c r="ES138" s="2825"/>
      <c r="ET138" s="2825"/>
      <c r="EU138" s="2825"/>
      <c r="EV138" s="2825"/>
      <c r="EW138" s="2825"/>
      <c r="EX138" s="2825"/>
      <c r="EY138" s="2825"/>
      <c r="EZ138" s="2825"/>
      <c r="FA138" s="2825"/>
      <c r="FB138" s="2833"/>
      <c r="FC138" s="2833"/>
      <c r="FD138" s="2833"/>
      <c r="FE138" s="2833"/>
      <c r="FF138" s="2833"/>
      <c r="FG138" s="2833"/>
      <c r="FH138" s="2833"/>
      <c r="FI138" s="2833"/>
      <c r="FJ138" s="2833"/>
      <c r="FK138" s="2833"/>
      <c r="FL138" s="2838"/>
      <c r="FM138" s="2825"/>
      <c r="FN138" s="2825"/>
      <c r="FO138" s="2825"/>
      <c r="FP138" s="2825"/>
      <c r="FQ138" s="2825"/>
      <c r="FR138" s="2825"/>
      <c r="FS138" s="2825"/>
      <c r="FT138" s="2825"/>
      <c r="FU138" s="2825"/>
      <c r="FV138" s="2825"/>
      <c r="FW138" s="2825"/>
      <c r="FX138" s="2825"/>
      <c r="FY138" s="2825"/>
      <c r="FZ138" s="2825"/>
      <c r="GA138" s="2825"/>
      <c r="GB138" s="2825"/>
      <c r="GC138" s="2825"/>
      <c r="GD138" s="2825"/>
      <c r="GE138" s="2825"/>
      <c r="GF138" s="2825"/>
      <c r="GG138" s="2825"/>
      <c r="GH138" s="2825"/>
      <c r="GI138" s="2825"/>
      <c r="GJ138" s="2825"/>
      <c r="GK138" s="2825"/>
      <c r="GL138" s="2825"/>
      <c r="GM138" s="2825"/>
      <c r="GN138" s="2825"/>
      <c r="GO138" s="2825"/>
      <c r="GP138" s="2825"/>
      <c r="GQ138" s="2825"/>
      <c r="GR138" s="2825"/>
      <c r="GS138" s="2825"/>
      <c r="GT138" s="2825"/>
      <c r="GU138" s="2825"/>
      <c r="GV138" s="2825"/>
      <c r="GW138" s="2825"/>
      <c r="GX138" s="2825"/>
      <c r="GY138" s="2825"/>
      <c r="GZ138" s="2825"/>
      <c r="HA138" s="2825"/>
      <c r="HB138" s="2825"/>
      <c r="HC138" s="2825"/>
      <c r="HD138" s="2825"/>
      <c r="HE138" s="2825"/>
      <c r="HF138" s="2825"/>
      <c r="HG138" s="2825"/>
      <c r="HH138" s="2825"/>
      <c r="HI138" s="2825"/>
      <c r="HJ138" s="2825"/>
      <c r="HK138" s="2825"/>
      <c r="HL138" s="2825"/>
      <c r="HM138" s="2825"/>
      <c r="HN138" s="2825"/>
      <c r="HO138" s="2825"/>
      <c r="HP138" s="2825"/>
      <c r="HQ138" s="2825"/>
      <c r="HR138" s="2825"/>
      <c r="HS138" s="2825"/>
      <c r="HT138" s="2825"/>
      <c r="HU138" s="2825"/>
      <c r="HV138" s="2825"/>
      <c r="HW138" s="2825"/>
      <c r="HX138" s="2825"/>
      <c r="HY138" s="2825"/>
      <c r="HZ138" s="2825"/>
      <c r="IA138" s="2825"/>
      <c r="IB138" s="2825"/>
      <c r="IC138" s="2825"/>
      <c r="ID138" s="2825"/>
      <c r="IE138" s="2825"/>
      <c r="IF138" s="2825"/>
      <c r="IG138" s="2825"/>
      <c r="IH138" s="2825"/>
      <c r="II138" s="2825"/>
      <c r="IJ138" s="2825"/>
      <c r="IK138" s="2825"/>
      <c r="IL138" s="2825"/>
      <c r="IM138" s="2825"/>
      <c r="IN138" s="2825"/>
      <c r="IO138" s="2838"/>
      <c r="IP138" s="2838"/>
      <c r="IQ138" s="2838"/>
      <c r="IR138" s="2838"/>
      <c r="IS138" s="2838"/>
      <c r="IT138" s="2838"/>
      <c r="IU138" s="2838"/>
      <c r="IV138" s="2838"/>
      <c r="IW138" s="2838"/>
      <c r="IX138" s="2838"/>
      <c r="IY138" s="2838"/>
      <c r="IZ138" s="2838"/>
      <c r="JA138" s="2838"/>
      <c r="JB138" s="2838"/>
      <c r="JC138" s="2838"/>
      <c r="JD138" s="2838"/>
      <c r="JE138" s="2838"/>
      <c r="JF138" s="2838"/>
      <c r="JG138" s="2838"/>
      <c r="JH138" s="2838"/>
      <c r="JI138" s="2833"/>
      <c r="JJ138" s="2833"/>
      <c r="JK138" s="2833"/>
      <c r="JL138" s="2833"/>
      <c r="JM138" s="2833"/>
      <c r="JN138" s="2833"/>
      <c r="JO138" s="2833"/>
      <c r="JP138" s="2833"/>
      <c r="JQ138" s="2833"/>
      <c r="JR138" s="2833"/>
      <c r="JS138" s="2833"/>
      <c r="JT138" s="2833"/>
      <c r="JU138" s="2833"/>
      <c r="JV138" s="2833"/>
      <c r="JW138" s="2833"/>
      <c r="JX138" s="2833"/>
      <c r="JY138" s="2833"/>
      <c r="JZ138" s="2833"/>
      <c r="KA138" s="2833"/>
      <c r="KB138" s="2833"/>
      <c r="KC138" s="2833"/>
      <c r="KD138" s="2833"/>
      <c r="KE138" s="2833"/>
      <c r="KF138" s="2833"/>
      <c r="KG138" s="2833"/>
      <c r="KH138" s="2833"/>
      <c r="KI138" s="2833"/>
      <c r="KJ138" s="2833"/>
      <c r="KK138" s="1353"/>
    </row>
    <row r="139" ht="15" customHeight="1">
      <c r="A139" s="2833"/>
      <c r="B139" s="2833"/>
      <c r="C139" s="2833"/>
      <c r="D139" s="2833"/>
      <c r="E139" s="2833"/>
      <c r="F139" s="2833"/>
      <c r="G139" s="2833"/>
      <c r="H139" s="2977" t="s">
        <v>2958</v>
      </c>
      <c r="I139" s="2978"/>
      <c r="J139" s="2978"/>
      <c r="K139" s="2978"/>
      <c r="L139" s="2979"/>
      <c r="M139" s="2980">
        <f>M138*12</f>
        <v>1556580</v>
      </c>
      <c r="N139" s="2833"/>
      <c r="O139" s="2833"/>
      <c r="P139" s="2833"/>
      <c r="Q139" s="2825"/>
      <c r="R139" s="2825"/>
      <c r="S139" s="2825"/>
      <c r="T139" s="2825"/>
      <c r="U139" s="2825"/>
      <c r="V139" s="2825"/>
      <c r="W139" s="2825"/>
      <c r="X139" s="2825"/>
      <c r="Y139" s="2825"/>
      <c r="Z139" s="2825"/>
      <c r="AA139" s="2825"/>
      <c r="AB139" s="2838"/>
      <c r="AC139" s="2838"/>
      <c r="AD139" s="2838"/>
      <c r="AE139" s="2838"/>
      <c r="AF139" s="2838"/>
      <c r="AG139" s="2838"/>
      <c r="AH139" s="2838"/>
      <c r="AI139" s="2825"/>
      <c r="AJ139" s="2825"/>
      <c r="AK139" s="2825"/>
      <c r="AL139" s="2825"/>
      <c r="AM139" s="2825"/>
      <c r="AN139" s="2825"/>
      <c r="AO139" s="2825"/>
      <c r="AP139" s="2825"/>
      <c r="AQ139" s="2825"/>
      <c r="AR139" s="2825"/>
      <c r="AS139" s="2825"/>
      <c r="AT139" s="2825"/>
      <c r="AU139" s="2825"/>
      <c r="AV139" s="2825"/>
      <c r="AW139" s="2825"/>
      <c r="AX139" s="2825"/>
      <c r="AY139" s="2825"/>
      <c r="AZ139" s="2825"/>
      <c r="BA139" s="2825"/>
      <c r="BB139" s="2825"/>
      <c r="BC139" s="2825"/>
      <c r="BD139" s="2825"/>
      <c r="BE139" s="2825"/>
      <c r="BF139" s="2825"/>
      <c r="BG139" s="2825"/>
      <c r="BH139" s="2825"/>
      <c r="BI139" s="2825"/>
      <c r="BJ139" s="2825"/>
      <c r="BK139" s="2825"/>
      <c r="BL139" s="2825"/>
      <c r="BM139" s="2825"/>
      <c r="BN139" s="2825"/>
      <c r="BO139" s="2825"/>
      <c r="BP139" s="2825"/>
      <c r="BQ139" s="2825"/>
      <c r="BR139" s="2825"/>
      <c r="BS139" s="2825"/>
      <c r="BT139" s="2825"/>
      <c r="BU139" s="2825"/>
      <c r="BV139" s="2825"/>
      <c r="BW139" s="2825"/>
      <c r="BX139" s="2825"/>
      <c r="BY139" s="2825"/>
      <c r="BZ139" s="2825"/>
      <c r="CA139" s="2825"/>
      <c r="CB139" s="2825"/>
      <c r="CC139" s="2825"/>
      <c r="CD139" s="2825"/>
      <c r="CE139" s="2825"/>
      <c r="CF139" s="2825"/>
      <c r="CG139" s="2825"/>
      <c r="CH139" s="2825"/>
      <c r="CI139" s="2825"/>
      <c r="CJ139" s="2825"/>
      <c r="CK139" s="2825"/>
      <c r="CL139" s="2825"/>
      <c r="CM139" s="2825"/>
      <c r="CN139" s="2825"/>
      <c r="CO139" s="2825"/>
      <c r="CP139" s="2825"/>
      <c r="CQ139" s="2825"/>
      <c r="CR139" s="2825"/>
      <c r="CS139" s="2825"/>
      <c r="CT139" s="2825"/>
      <c r="CU139" s="2825"/>
      <c r="CV139" s="2825"/>
      <c r="CW139" s="2825"/>
      <c r="CX139" s="2825"/>
      <c r="CY139" s="2825"/>
      <c r="CZ139" s="2825"/>
      <c r="DA139" s="2825"/>
      <c r="DB139" s="2825"/>
      <c r="DC139" s="2825"/>
      <c r="DD139" s="2825"/>
      <c r="DE139" s="2825"/>
      <c r="DF139" s="2825"/>
      <c r="DG139" s="2825"/>
      <c r="DH139" s="2825"/>
      <c r="DI139" s="2825"/>
      <c r="DJ139" s="2825"/>
      <c r="DK139" s="2825"/>
      <c r="DL139" s="2825"/>
      <c r="DM139" s="2825"/>
      <c r="DN139" s="2825"/>
      <c r="DO139" s="2825"/>
      <c r="DP139" s="2825"/>
      <c r="DQ139" s="2825"/>
      <c r="DR139" s="2825"/>
      <c r="DS139" s="2825"/>
      <c r="DT139" s="2825"/>
      <c r="DU139" s="2825"/>
      <c r="DV139" s="2825"/>
      <c r="DW139" s="2825"/>
      <c r="DX139" s="2825"/>
      <c r="DY139" s="2825"/>
      <c r="DZ139" s="2825"/>
      <c r="EA139" s="2825"/>
      <c r="EB139" s="2825"/>
      <c r="EC139" s="2825"/>
      <c r="ED139" s="2825"/>
      <c r="EE139" s="2825"/>
      <c r="EF139" s="2825"/>
      <c r="EG139" s="2825"/>
      <c r="EH139" s="2825"/>
      <c r="EI139" s="2825"/>
      <c r="EJ139" s="2825"/>
      <c r="EK139" s="2825"/>
      <c r="EL139" s="2825"/>
      <c r="EM139" s="2825"/>
      <c r="EN139" s="2825"/>
      <c r="EO139" s="2825"/>
      <c r="EP139" s="2825"/>
      <c r="EQ139" s="2825"/>
      <c r="ER139" s="2825"/>
      <c r="ES139" s="2825"/>
      <c r="ET139" s="2825"/>
      <c r="EU139" s="2825"/>
      <c r="EV139" s="2825"/>
      <c r="EW139" s="2825"/>
      <c r="EX139" s="2825"/>
      <c r="EY139" s="2825"/>
      <c r="EZ139" s="2825"/>
      <c r="FA139" s="2825"/>
      <c r="FB139" s="2833"/>
      <c r="FC139" s="2833"/>
      <c r="FD139" s="2833"/>
      <c r="FE139" s="2833"/>
      <c r="FF139" s="2833"/>
      <c r="FG139" s="2833"/>
      <c r="FH139" s="2833"/>
      <c r="FI139" s="2833"/>
      <c r="FJ139" s="2833"/>
      <c r="FK139" s="2833"/>
      <c r="FL139" s="2838"/>
      <c r="FM139" s="2825"/>
      <c r="FN139" s="2825"/>
      <c r="FO139" s="2825"/>
      <c r="FP139" s="2825"/>
      <c r="FQ139" s="2825"/>
      <c r="FR139" s="2825"/>
      <c r="FS139" s="2825"/>
      <c r="FT139" s="2825"/>
      <c r="FU139" s="2825"/>
      <c r="FV139" s="2825"/>
      <c r="FW139" s="2825"/>
      <c r="FX139" s="2825"/>
      <c r="FY139" s="2825"/>
      <c r="FZ139" s="2825"/>
      <c r="GA139" s="2825"/>
      <c r="GB139" s="2825"/>
      <c r="GC139" s="2825"/>
      <c r="GD139" s="2825"/>
      <c r="GE139" s="2825"/>
      <c r="GF139" s="2825"/>
      <c r="GG139" s="2825"/>
      <c r="GH139" s="2825"/>
      <c r="GI139" s="2825"/>
      <c r="GJ139" s="2825"/>
      <c r="GK139" s="2825"/>
      <c r="GL139" s="2825"/>
      <c r="GM139" s="2825"/>
      <c r="GN139" s="2825"/>
      <c r="GO139" s="2825"/>
      <c r="GP139" s="2825"/>
      <c r="GQ139" s="2825"/>
      <c r="GR139" s="2825"/>
      <c r="GS139" s="2825"/>
      <c r="GT139" s="2825"/>
      <c r="GU139" s="2825"/>
      <c r="GV139" s="2825"/>
      <c r="GW139" s="2825"/>
      <c r="GX139" s="2825"/>
      <c r="GY139" s="2825"/>
      <c r="GZ139" s="2825"/>
      <c r="HA139" s="2825"/>
      <c r="HB139" s="2825"/>
      <c r="HC139" s="2825"/>
      <c r="HD139" s="2825"/>
      <c r="HE139" s="2825"/>
      <c r="HF139" s="2825"/>
      <c r="HG139" s="2825"/>
      <c r="HH139" s="2825"/>
      <c r="HI139" s="2825"/>
      <c r="HJ139" s="2825"/>
      <c r="HK139" s="2825"/>
      <c r="HL139" s="2825"/>
      <c r="HM139" s="2825"/>
      <c r="HN139" s="2825"/>
      <c r="HO139" s="2825"/>
      <c r="HP139" s="2825"/>
      <c r="HQ139" s="2825"/>
      <c r="HR139" s="2825"/>
      <c r="HS139" s="2825"/>
      <c r="HT139" s="2825"/>
      <c r="HU139" s="2825"/>
      <c r="HV139" s="2825"/>
      <c r="HW139" s="2825"/>
      <c r="HX139" s="2825"/>
      <c r="HY139" s="2825"/>
      <c r="HZ139" s="2825"/>
      <c r="IA139" s="2825"/>
      <c r="IB139" s="2825"/>
      <c r="IC139" s="2825"/>
      <c r="ID139" s="2825"/>
      <c r="IE139" s="2825"/>
      <c r="IF139" s="2825"/>
      <c r="IG139" s="2825"/>
      <c r="IH139" s="2825"/>
      <c r="II139" s="2825"/>
      <c r="IJ139" s="2825"/>
      <c r="IK139" s="2825"/>
      <c r="IL139" s="2825"/>
      <c r="IM139" s="2825"/>
      <c r="IN139" s="2825"/>
      <c r="IO139" s="2838"/>
      <c r="IP139" s="2838"/>
      <c r="IQ139" s="2838"/>
      <c r="IR139" s="2838"/>
      <c r="IS139" s="2838"/>
      <c r="IT139" s="2838"/>
      <c r="IU139" s="2838"/>
      <c r="IV139" s="2838"/>
      <c r="IW139" s="2838"/>
      <c r="IX139" s="2838"/>
      <c r="IY139" s="2838"/>
      <c r="IZ139" s="2838"/>
      <c r="JA139" s="2838"/>
      <c r="JB139" s="2838"/>
      <c r="JC139" s="2838"/>
      <c r="JD139" s="2838"/>
      <c r="JE139" s="2838"/>
      <c r="JF139" s="2838"/>
      <c r="JG139" s="2838"/>
      <c r="JH139" s="2838"/>
      <c r="JI139" s="2833"/>
      <c r="JJ139" s="2833"/>
      <c r="JK139" s="2833"/>
      <c r="JL139" s="2833"/>
      <c r="JM139" s="2833"/>
      <c r="JN139" s="2833"/>
      <c r="JO139" s="2833"/>
      <c r="JP139" s="2833"/>
      <c r="JQ139" s="2833"/>
      <c r="JR139" s="2833"/>
      <c r="JS139" s="2833"/>
      <c r="JT139" s="2833"/>
      <c r="JU139" s="2833"/>
      <c r="JV139" s="2833"/>
      <c r="JW139" s="2833"/>
      <c r="JX139" s="2833"/>
      <c r="JY139" s="2833"/>
      <c r="JZ139" s="2833"/>
      <c r="KA139" s="2833"/>
      <c r="KB139" s="2833"/>
      <c r="KC139" s="2833"/>
      <c r="KD139" s="2833"/>
      <c r="KE139" s="2833"/>
      <c r="KF139" s="2833"/>
      <c r="KG139" s="2833"/>
      <c r="KH139" s="2833"/>
      <c r="KI139" s="2833"/>
      <c r="KJ139" s="2833"/>
      <c r="KK139" s="1353"/>
    </row>
    <row r="140" ht="15" customHeight="1">
      <c r="A140" s="2833"/>
      <c r="B140" s="2833"/>
      <c r="C140" s="2833"/>
      <c r="D140" s="2833"/>
      <c r="E140" s="2833"/>
      <c r="F140" s="2833"/>
      <c r="G140" s="2833"/>
      <c r="H140" s="2825"/>
      <c r="I140" s="2825"/>
      <c r="J140" s="2825"/>
      <c r="K140" s="2825"/>
      <c r="L140" s="2990"/>
      <c r="M140" s="2833"/>
      <c r="N140" s="2833"/>
      <c r="O140" s="2833"/>
      <c r="P140" s="2833"/>
      <c r="Q140" s="2825"/>
      <c r="R140" s="2825"/>
      <c r="S140" s="2825"/>
      <c r="T140" s="2825"/>
      <c r="U140" s="2825"/>
      <c r="V140" s="2825"/>
      <c r="W140" s="2825"/>
      <c r="X140" s="2825"/>
      <c r="Y140" s="2825"/>
      <c r="Z140" s="2825"/>
      <c r="AA140" s="2825"/>
      <c r="AB140" s="2838"/>
      <c r="AC140" s="2838"/>
      <c r="AD140" s="2838"/>
      <c r="AE140" s="2838"/>
      <c r="AF140" s="2838"/>
      <c r="AG140" s="2838"/>
      <c r="AH140" s="2838"/>
      <c r="AI140" s="2825"/>
      <c r="AJ140" s="2825"/>
      <c r="AK140" s="2825"/>
      <c r="AL140" s="2825"/>
      <c r="AM140" s="2825"/>
      <c r="AN140" s="2825"/>
      <c r="AO140" s="2825"/>
      <c r="AP140" s="2825"/>
      <c r="AQ140" s="2825"/>
      <c r="AR140" s="2825"/>
      <c r="AS140" s="2825"/>
      <c r="AT140" s="2825"/>
      <c r="AU140" s="2825"/>
      <c r="AV140" s="2825"/>
      <c r="AW140" s="2825"/>
      <c r="AX140" s="2825"/>
      <c r="AY140" s="2825"/>
      <c r="AZ140" s="2825"/>
      <c r="BA140" s="2825"/>
      <c r="BB140" s="2825"/>
      <c r="BC140" s="2825"/>
      <c r="BD140" s="2825"/>
      <c r="BE140" s="2825"/>
      <c r="BF140" s="2825"/>
      <c r="BG140" s="2825"/>
      <c r="BH140" s="2825"/>
      <c r="BI140" s="2825"/>
      <c r="BJ140" s="2825"/>
      <c r="BK140" s="2825"/>
      <c r="BL140" s="2825"/>
      <c r="BM140" s="2825"/>
      <c r="BN140" s="2825"/>
      <c r="BO140" s="2825"/>
      <c r="BP140" s="2825"/>
      <c r="BQ140" s="2825"/>
      <c r="BR140" s="2825"/>
      <c r="BS140" s="2825"/>
      <c r="BT140" s="2825"/>
      <c r="BU140" s="2825"/>
      <c r="BV140" s="2825"/>
      <c r="BW140" s="2825"/>
      <c r="BX140" s="2825"/>
      <c r="BY140" s="2825"/>
      <c r="BZ140" s="2825"/>
      <c r="CA140" s="2825"/>
      <c r="CB140" s="2825"/>
      <c r="CC140" s="2825"/>
      <c r="CD140" s="2825"/>
      <c r="CE140" s="2825"/>
      <c r="CF140" s="2825"/>
      <c r="CG140" s="2825"/>
      <c r="CH140" s="2825"/>
      <c r="CI140" s="2825"/>
      <c r="CJ140" s="2825"/>
      <c r="CK140" s="2825"/>
      <c r="CL140" s="2825"/>
      <c r="CM140" s="2825"/>
      <c r="CN140" s="2825"/>
      <c r="CO140" s="2825"/>
      <c r="CP140" s="2825"/>
      <c r="CQ140" s="2825"/>
      <c r="CR140" s="2825"/>
      <c r="CS140" s="2825"/>
      <c r="CT140" s="2825"/>
      <c r="CU140" s="2825"/>
      <c r="CV140" s="2825"/>
      <c r="CW140" s="2825"/>
      <c r="CX140" s="2825"/>
      <c r="CY140" s="2825"/>
      <c r="CZ140" s="2825"/>
      <c r="DA140" s="2825"/>
      <c r="DB140" s="2825"/>
      <c r="DC140" s="2825"/>
      <c r="DD140" s="2825"/>
      <c r="DE140" s="2825"/>
      <c r="DF140" s="2825"/>
      <c r="DG140" s="2825"/>
      <c r="DH140" s="2825"/>
      <c r="DI140" s="2825"/>
      <c r="DJ140" s="2825"/>
      <c r="DK140" s="2825"/>
      <c r="DL140" s="2825"/>
      <c r="DM140" s="2825"/>
      <c r="DN140" s="2825"/>
      <c r="DO140" s="2825"/>
      <c r="DP140" s="2825"/>
      <c r="DQ140" s="2825"/>
      <c r="DR140" s="2825"/>
      <c r="DS140" s="2825"/>
      <c r="DT140" s="2825"/>
      <c r="DU140" s="2825"/>
      <c r="DV140" s="2825"/>
      <c r="DW140" s="2825"/>
      <c r="DX140" s="2825"/>
      <c r="DY140" s="2825"/>
      <c r="DZ140" s="2825"/>
      <c r="EA140" s="2825"/>
      <c r="EB140" s="2825"/>
      <c r="EC140" s="2825"/>
      <c r="ED140" s="2825"/>
      <c r="EE140" s="2825"/>
      <c r="EF140" s="2825"/>
      <c r="EG140" s="2825"/>
      <c r="EH140" s="2825"/>
      <c r="EI140" s="2825"/>
      <c r="EJ140" s="2825"/>
      <c r="EK140" s="2825"/>
      <c r="EL140" s="2825"/>
      <c r="EM140" s="2825"/>
      <c r="EN140" s="2825"/>
      <c r="EO140" s="2825"/>
      <c r="EP140" s="2825"/>
      <c r="EQ140" s="2825"/>
      <c r="ER140" s="2825"/>
      <c r="ES140" s="2825"/>
      <c r="ET140" s="2825"/>
      <c r="EU140" s="2825"/>
      <c r="EV140" s="2825"/>
      <c r="EW140" s="2825"/>
      <c r="EX140" s="2825"/>
      <c r="EY140" s="2825"/>
      <c r="EZ140" s="2825"/>
      <c r="FA140" s="2825"/>
      <c r="FB140" s="2833"/>
      <c r="FC140" s="2833"/>
      <c r="FD140" s="2833"/>
      <c r="FE140" s="2833"/>
      <c r="FF140" s="2833"/>
      <c r="FG140" s="2833"/>
      <c r="FH140" s="2833"/>
      <c r="FI140" s="2833"/>
      <c r="FJ140" s="2833"/>
      <c r="FK140" s="2833"/>
      <c r="FL140" s="2838"/>
      <c r="FM140" s="2825"/>
      <c r="FN140" s="2825"/>
      <c r="FO140" s="2825"/>
      <c r="FP140" s="2825"/>
      <c r="FQ140" s="2825"/>
      <c r="FR140" s="2825"/>
      <c r="FS140" s="2825"/>
      <c r="FT140" s="2825"/>
      <c r="FU140" s="2825"/>
      <c r="FV140" s="2825"/>
      <c r="FW140" s="2825"/>
      <c r="FX140" s="2825"/>
      <c r="FY140" s="2825"/>
      <c r="FZ140" s="2825"/>
      <c r="GA140" s="2825"/>
      <c r="GB140" s="2825"/>
      <c r="GC140" s="2825"/>
      <c r="GD140" s="2825"/>
      <c r="GE140" s="2825"/>
      <c r="GF140" s="2825"/>
      <c r="GG140" s="2825"/>
      <c r="GH140" s="2825"/>
      <c r="GI140" s="2825"/>
      <c r="GJ140" s="2825"/>
      <c r="GK140" s="2825"/>
      <c r="GL140" s="2825"/>
      <c r="GM140" s="2825"/>
      <c r="GN140" s="2825"/>
      <c r="GO140" s="2825"/>
      <c r="GP140" s="2825"/>
      <c r="GQ140" s="2825"/>
      <c r="GR140" s="2825"/>
      <c r="GS140" s="2825"/>
      <c r="GT140" s="2825"/>
      <c r="GU140" s="2825"/>
      <c r="GV140" s="2825"/>
      <c r="GW140" s="2825"/>
      <c r="GX140" s="2825"/>
      <c r="GY140" s="2825"/>
      <c r="GZ140" s="2825"/>
      <c r="HA140" s="2825"/>
      <c r="HB140" s="2825"/>
      <c r="HC140" s="2825"/>
      <c r="HD140" s="2825"/>
      <c r="HE140" s="2825"/>
      <c r="HF140" s="2825"/>
      <c r="HG140" s="2825"/>
      <c r="HH140" s="2825"/>
      <c r="HI140" s="2825"/>
      <c r="HJ140" s="2825"/>
      <c r="HK140" s="2825"/>
      <c r="HL140" s="2825"/>
      <c r="HM140" s="2825"/>
      <c r="HN140" s="2825"/>
      <c r="HO140" s="2825"/>
      <c r="HP140" s="2825"/>
      <c r="HQ140" s="2825"/>
      <c r="HR140" s="2825"/>
      <c r="HS140" s="2825"/>
      <c r="HT140" s="2825"/>
      <c r="HU140" s="2825"/>
      <c r="HV140" s="2825"/>
      <c r="HW140" s="2825"/>
      <c r="HX140" s="2825"/>
      <c r="HY140" s="2825"/>
      <c r="HZ140" s="2825"/>
      <c r="IA140" s="2825"/>
      <c r="IB140" s="2825"/>
      <c r="IC140" s="2825"/>
      <c r="ID140" s="2825"/>
      <c r="IE140" s="2825"/>
      <c r="IF140" s="2825"/>
      <c r="IG140" s="2825"/>
      <c r="IH140" s="2825"/>
      <c r="II140" s="2825"/>
      <c r="IJ140" s="2825"/>
      <c r="IK140" s="2825"/>
      <c r="IL140" s="2825"/>
      <c r="IM140" s="2825"/>
      <c r="IN140" s="2825"/>
      <c r="IO140" s="2838"/>
      <c r="IP140" s="2838"/>
      <c r="IQ140" s="2838"/>
      <c r="IR140" s="2838"/>
      <c r="IS140" s="2838"/>
      <c r="IT140" s="2838"/>
      <c r="IU140" s="2838"/>
      <c r="IV140" s="2838"/>
      <c r="IW140" s="2838"/>
      <c r="IX140" s="2838"/>
      <c r="IY140" s="2838"/>
      <c r="IZ140" s="2838"/>
      <c r="JA140" s="2838"/>
      <c r="JB140" s="2838"/>
      <c r="JC140" s="2838"/>
      <c r="JD140" s="2838"/>
      <c r="JE140" s="2838"/>
      <c r="JF140" s="2838"/>
      <c r="JG140" s="2838"/>
      <c r="JH140" s="2838"/>
      <c r="JI140" s="2833"/>
      <c r="JJ140" s="2833"/>
      <c r="JK140" s="2833"/>
      <c r="JL140" s="2833"/>
      <c r="JM140" s="2833"/>
      <c r="JN140" s="2833"/>
      <c r="JO140" s="2833"/>
      <c r="JP140" s="2833"/>
      <c r="JQ140" s="2833"/>
      <c r="JR140" s="2833"/>
      <c r="JS140" s="2833"/>
      <c r="JT140" s="2833"/>
      <c r="JU140" s="2833"/>
      <c r="JV140" s="2833"/>
      <c r="JW140" s="2833"/>
      <c r="JX140" s="2833"/>
      <c r="JY140" s="2833"/>
      <c r="JZ140" s="2833"/>
      <c r="KA140" s="2833"/>
      <c r="KB140" s="2833"/>
      <c r="KC140" s="2833"/>
      <c r="KD140" s="2833"/>
      <c r="KE140" s="2833"/>
      <c r="KF140" s="2833"/>
      <c r="KG140" s="2833"/>
      <c r="KH140" s="2833"/>
      <c r="KI140" s="2833"/>
      <c r="KJ140" s="2833"/>
      <c r="KK140" s="1353"/>
    </row>
    <row r="141" ht="15" customHeight="1">
      <c r="A141" s="2833"/>
      <c r="B141" s="2973" t="s">
        <v>2959</v>
      </c>
      <c r="C141" s="2974"/>
      <c r="D141" s="2991">
        <f>COUNTA(D24:D125)</f>
        <v>101</v>
      </c>
      <c r="E141" s="2833"/>
      <c r="F141" s="2833"/>
      <c r="G141" s="2833"/>
      <c r="H141" s="2825"/>
      <c r="I141" s="2825"/>
      <c r="J141" s="2825"/>
      <c r="K141" s="2825"/>
      <c r="L141" s="2990"/>
      <c r="M141" s="2833"/>
      <c r="N141" s="2833"/>
      <c r="O141" s="2992"/>
      <c r="P141" s="2833"/>
      <c r="Q141" s="2825"/>
      <c r="R141" s="2825"/>
      <c r="S141" s="2825"/>
      <c r="T141" s="2825"/>
      <c r="U141" s="2825"/>
      <c r="V141" s="2825"/>
      <c r="W141" s="2825"/>
      <c r="X141" s="2825"/>
      <c r="Y141" s="2825"/>
      <c r="Z141" s="2825"/>
      <c r="AA141" s="2825"/>
      <c r="AB141" s="2838"/>
      <c r="AC141" s="2838"/>
      <c r="AD141" s="2838"/>
      <c r="AE141" s="2838"/>
      <c r="AF141" s="2838"/>
      <c r="AG141" s="2838"/>
      <c r="AH141" s="2838"/>
      <c r="AI141" s="2825"/>
      <c r="AJ141" s="2825"/>
      <c r="AK141" s="2825"/>
      <c r="AL141" s="2825"/>
      <c r="AM141" s="2825"/>
      <c r="AN141" s="2825"/>
      <c r="AO141" s="2825"/>
      <c r="AP141" s="2825"/>
      <c r="AQ141" s="2825"/>
      <c r="AR141" s="2825"/>
      <c r="AS141" s="2825"/>
      <c r="AT141" s="2825"/>
      <c r="AU141" s="2825"/>
      <c r="AV141" s="2825"/>
      <c r="AW141" s="2825"/>
      <c r="AX141" s="2825"/>
      <c r="AY141" s="2825"/>
      <c r="AZ141" s="2825"/>
      <c r="BA141" s="2825"/>
      <c r="BB141" s="2825"/>
      <c r="BC141" s="2825"/>
      <c r="BD141" s="2825"/>
      <c r="BE141" s="2825"/>
      <c r="BF141" s="2825"/>
      <c r="BG141" s="2825"/>
      <c r="BH141" s="2825"/>
      <c r="BI141" s="2825"/>
      <c r="BJ141" s="2825"/>
      <c r="BK141" s="2825"/>
      <c r="BL141" s="2825"/>
      <c r="BM141" s="2825"/>
      <c r="BN141" s="2825"/>
      <c r="BO141" s="2825"/>
      <c r="BP141" s="2825"/>
      <c r="BQ141" s="2825"/>
      <c r="BR141" s="2825"/>
      <c r="BS141" s="2825"/>
      <c r="BT141" s="2825"/>
      <c r="BU141" s="2825"/>
      <c r="BV141" s="2825"/>
      <c r="BW141" s="2825"/>
      <c r="BX141" s="2825"/>
      <c r="BY141" s="2825"/>
      <c r="BZ141" s="2825"/>
      <c r="CA141" s="2825"/>
      <c r="CB141" s="2825"/>
      <c r="CC141" s="2825"/>
      <c r="CD141" s="2825"/>
      <c r="CE141" s="2825"/>
      <c r="CF141" s="2825"/>
      <c r="CG141" s="2825"/>
      <c r="CH141" s="2825"/>
      <c r="CI141" s="2825"/>
      <c r="CJ141" s="2825"/>
      <c r="CK141" s="2825"/>
      <c r="CL141" s="2825"/>
      <c r="CM141" s="2825"/>
      <c r="CN141" s="2825"/>
      <c r="CO141" s="2825"/>
      <c r="CP141" s="2825"/>
      <c r="CQ141" s="2825"/>
      <c r="CR141" s="2825"/>
      <c r="CS141" s="2825"/>
      <c r="CT141" s="2825"/>
      <c r="CU141" s="2825"/>
      <c r="CV141" s="2825"/>
      <c r="CW141" s="2825"/>
      <c r="CX141" s="2825"/>
      <c r="CY141" s="2825"/>
      <c r="CZ141" s="2825"/>
      <c r="DA141" s="2825"/>
      <c r="DB141" s="2825"/>
      <c r="DC141" s="2825"/>
      <c r="DD141" s="2825"/>
      <c r="DE141" s="2825"/>
      <c r="DF141" s="2825"/>
      <c r="DG141" s="2825"/>
      <c r="DH141" s="2825"/>
      <c r="DI141" s="2825"/>
      <c r="DJ141" s="2825"/>
      <c r="DK141" s="2825"/>
      <c r="DL141" s="2825"/>
      <c r="DM141" s="2825"/>
      <c r="DN141" s="2825"/>
      <c r="DO141" s="2825"/>
      <c r="DP141" s="2825"/>
      <c r="DQ141" s="2825"/>
      <c r="DR141" s="2825"/>
      <c r="DS141" s="2825"/>
      <c r="DT141" s="2825"/>
      <c r="DU141" s="2825"/>
      <c r="DV141" s="2825"/>
      <c r="DW141" s="2825"/>
      <c r="DX141" s="2825"/>
      <c r="DY141" s="2825"/>
      <c r="DZ141" s="2825"/>
      <c r="EA141" s="2825"/>
      <c r="EB141" s="2825"/>
      <c r="EC141" s="2825"/>
      <c r="ED141" s="2825"/>
      <c r="EE141" s="2825"/>
      <c r="EF141" s="2825"/>
      <c r="EG141" s="2825"/>
      <c r="EH141" s="2825"/>
      <c r="EI141" s="2825"/>
      <c r="EJ141" s="2825"/>
      <c r="EK141" s="2825"/>
      <c r="EL141" s="2825"/>
      <c r="EM141" s="2825"/>
      <c r="EN141" s="2825"/>
      <c r="EO141" s="2825"/>
      <c r="EP141" s="2825"/>
      <c r="EQ141" s="2825"/>
      <c r="ER141" s="2825"/>
      <c r="ES141" s="2825"/>
      <c r="ET141" s="2825"/>
      <c r="EU141" s="2825"/>
      <c r="EV141" s="2825"/>
      <c r="EW141" s="2825"/>
      <c r="EX141" s="2825"/>
      <c r="EY141" s="2825"/>
      <c r="EZ141" s="2825"/>
      <c r="FA141" s="2825"/>
      <c r="FB141" s="2833"/>
      <c r="FC141" s="2833"/>
      <c r="FD141" s="2833"/>
      <c r="FE141" s="2833"/>
      <c r="FF141" s="2833"/>
      <c r="FG141" s="2833"/>
      <c r="FH141" s="2833"/>
      <c r="FI141" s="2833"/>
      <c r="FJ141" s="2833"/>
      <c r="FK141" s="2833"/>
      <c r="FL141" s="2838"/>
      <c r="FM141" s="2825"/>
      <c r="FN141" s="2825"/>
      <c r="FO141" s="2825"/>
      <c r="FP141" s="2825"/>
      <c r="FQ141" s="2825"/>
      <c r="FR141" s="2825"/>
      <c r="FS141" s="2825"/>
      <c r="FT141" s="2825"/>
      <c r="FU141" s="2825"/>
      <c r="FV141" s="2825"/>
      <c r="FW141" s="2825"/>
      <c r="FX141" s="2825"/>
      <c r="FY141" s="2825"/>
      <c r="FZ141" s="2825"/>
      <c r="GA141" s="2825"/>
      <c r="GB141" s="2825"/>
      <c r="GC141" s="2825"/>
      <c r="GD141" s="2825"/>
      <c r="GE141" s="2825"/>
      <c r="GF141" s="2825"/>
      <c r="GG141" s="2825"/>
      <c r="GH141" s="2825"/>
      <c r="GI141" s="2825"/>
      <c r="GJ141" s="2825"/>
      <c r="GK141" s="2825"/>
      <c r="GL141" s="2825"/>
      <c r="GM141" s="2825"/>
      <c r="GN141" s="2825"/>
      <c r="GO141" s="2825"/>
      <c r="GP141" s="2825"/>
      <c r="GQ141" s="2825"/>
      <c r="GR141" s="2825"/>
      <c r="GS141" s="2825"/>
      <c r="GT141" s="2825"/>
      <c r="GU141" s="2825"/>
      <c r="GV141" s="2825"/>
      <c r="GW141" s="2825"/>
      <c r="GX141" s="2825"/>
      <c r="GY141" s="2825"/>
      <c r="GZ141" s="2825"/>
      <c r="HA141" s="2825"/>
      <c r="HB141" s="2825"/>
      <c r="HC141" s="2825"/>
      <c r="HD141" s="2825"/>
      <c r="HE141" s="2825"/>
      <c r="HF141" s="2825"/>
      <c r="HG141" s="2825"/>
      <c r="HH141" s="2825"/>
      <c r="HI141" s="2825"/>
      <c r="HJ141" s="2825"/>
      <c r="HK141" s="2825"/>
      <c r="HL141" s="2825"/>
      <c r="HM141" s="2825"/>
      <c r="HN141" s="2825"/>
      <c r="HO141" s="2825"/>
      <c r="HP141" s="2825"/>
      <c r="HQ141" s="2825"/>
      <c r="HR141" s="2825"/>
      <c r="HS141" s="2825"/>
      <c r="HT141" s="2825"/>
      <c r="HU141" s="2825"/>
      <c r="HV141" s="2825"/>
      <c r="HW141" s="2825"/>
      <c r="HX141" s="2825"/>
      <c r="HY141" s="2825"/>
      <c r="HZ141" s="2825"/>
      <c r="IA141" s="2825"/>
      <c r="IB141" s="2825"/>
      <c r="IC141" s="2825"/>
      <c r="ID141" s="2825"/>
      <c r="IE141" s="2825"/>
      <c r="IF141" s="2825"/>
      <c r="IG141" s="2825"/>
      <c r="IH141" s="2825"/>
      <c r="II141" s="2825"/>
      <c r="IJ141" s="2825"/>
      <c r="IK141" s="2825"/>
      <c r="IL141" s="2825"/>
      <c r="IM141" s="2825"/>
      <c r="IN141" s="2825"/>
      <c r="IO141" s="2838"/>
      <c r="IP141" s="2838"/>
      <c r="IQ141" s="2838"/>
      <c r="IR141" s="2838"/>
      <c r="IS141" s="2838"/>
      <c r="IT141" s="2838"/>
      <c r="IU141" s="2838"/>
      <c r="IV141" s="2838"/>
      <c r="IW141" s="2838"/>
      <c r="IX141" s="2838"/>
      <c r="IY141" s="2838"/>
      <c r="IZ141" s="2838"/>
      <c r="JA141" s="2838"/>
      <c r="JB141" s="2838"/>
      <c r="JC141" s="2838"/>
      <c r="JD141" s="2838"/>
      <c r="JE141" s="2838"/>
      <c r="JF141" s="2838"/>
      <c r="JG141" s="2838"/>
      <c r="JH141" s="2838"/>
      <c r="JI141" s="2833"/>
      <c r="JJ141" s="2833"/>
      <c r="JK141" s="2833"/>
      <c r="JL141" s="2833"/>
      <c r="JM141" s="2833"/>
      <c r="JN141" s="2833"/>
      <c r="JO141" s="2833"/>
      <c r="JP141" s="2833"/>
      <c r="JQ141" s="2833"/>
      <c r="JR141" s="2833"/>
      <c r="JS141" s="2833"/>
      <c r="JT141" s="2833"/>
      <c r="JU141" s="2833"/>
      <c r="JV141" s="2833"/>
      <c r="JW141" s="2833"/>
      <c r="JX141" s="2833"/>
      <c r="JY141" s="2833"/>
      <c r="JZ141" s="2833"/>
      <c r="KA141" s="2833"/>
      <c r="KB141" s="2833"/>
      <c r="KC141" s="2833"/>
      <c r="KD141" s="2833"/>
      <c r="KE141" s="2833"/>
      <c r="KF141" s="2833"/>
      <c r="KG141" s="2833"/>
      <c r="KH141" s="2833"/>
      <c r="KI141" s="2833"/>
      <c r="KJ141" s="2833"/>
      <c r="KK141" s="1353"/>
    </row>
    <row r="142" ht="14.25" customHeight="1">
      <c r="A142" s="1353"/>
      <c r="B142" s="1353"/>
      <c r="C142" s="1353"/>
      <c r="D142" s="1353"/>
      <c r="E142" s="1353"/>
      <c r="F142" s="1353"/>
      <c r="G142" s="1353"/>
      <c r="H142" s="1353"/>
      <c r="I142" s="1353"/>
      <c r="J142" s="1353"/>
      <c r="K142" s="1353"/>
      <c r="L142" s="1353"/>
      <c r="M142" s="1353"/>
      <c r="N142" s="1353"/>
      <c r="O142" s="1353"/>
      <c r="P142" s="1353"/>
      <c r="Q142" s="1353"/>
      <c r="R142" s="1353"/>
      <c r="S142" s="1353"/>
      <c r="T142" s="1353"/>
      <c r="U142" s="1353"/>
      <c r="V142" s="1353"/>
      <c r="W142" s="1353"/>
      <c r="X142" s="1353"/>
      <c r="Y142" s="1353"/>
      <c r="Z142" s="1353"/>
      <c r="AA142" s="1353"/>
      <c r="AB142" s="2993"/>
      <c r="AC142" s="2993"/>
      <c r="AD142" s="2993"/>
      <c r="AE142" s="2993"/>
      <c r="AF142" s="2993"/>
      <c r="AG142" s="2993"/>
      <c r="AH142" s="2993"/>
      <c r="AI142" s="1353"/>
      <c r="AJ142" s="1353"/>
      <c r="AK142" s="1353"/>
      <c r="AL142" s="1353"/>
      <c r="AM142" s="1353"/>
      <c r="AN142" s="1353"/>
      <c r="AO142" s="1353"/>
      <c r="AP142" s="1353"/>
      <c r="AQ142" s="1353"/>
      <c r="AR142" s="1353"/>
      <c r="AS142" s="1353"/>
      <c r="AT142" s="1353"/>
      <c r="AU142" s="1353"/>
      <c r="AV142" s="1353"/>
      <c r="AW142" s="1353"/>
      <c r="AX142" s="1353"/>
      <c r="AY142" s="1353"/>
      <c r="AZ142" s="1353"/>
      <c r="BA142" s="1353"/>
      <c r="BB142" s="1353"/>
      <c r="BC142" s="1353"/>
      <c r="BD142" s="1353"/>
      <c r="BE142" s="1353"/>
      <c r="BF142" s="1353"/>
      <c r="BG142" s="1353"/>
      <c r="BH142" s="1353"/>
      <c r="BI142" s="1353"/>
      <c r="BJ142" s="1353"/>
      <c r="BK142" s="1353"/>
      <c r="BL142" s="1353"/>
      <c r="BM142" s="1353"/>
      <c r="BN142" s="1353"/>
      <c r="BO142" s="1353"/>
      <c r="BP142" s="1353"/>
      <c r="BQ142" s="1353"/>
      <c r="BR142" s="1353"/>
      <c r="BS142" s="1353"/>
      <c r="BT142" s="1353"/>
      <c r="BU142" s="1353"/>
      <c r="BV142" s="1353"/>
      <c r="BW142" s="1353"/>
      <c r="BX142" s="1353"/>
      <c r="BY142" s="1353"/>
      <c r="BZ142" s="1353"/>
      <c r="CA142" s="1353"/>
      <c r="CB142" s="1353"/>
      <c r="CC142" s="1353"/>
      <c r="CD142" s="1353"/>
      <c r="CE142" s="1353"/>
      <c r="CF142" s="1353"/>
      <c r="CG142" s="1353"/>
      <c r="CH142" s="1353"/>
      <c r="CI142" s="1353"/>
      <c r="CJ142" s="1353"/>
      <c r="CK142" s="1353"/>
      <c r="CL142" s="1353"/>
      <c r="CM142" s="1353"/>
      <c r="CN142" s="1353"/>
      <c r="CO142" s="1353"/>
      <c r="CP142" s="1353"/>
      <c r="CQ142" s="1353"/>
      <c r="CR142" s="1353"/>
      <c r="CS142" s="1353"/>
      <c r="CT142" s="1353"/>
      <c r="CU142" s="1353"/>
      <c r="CV142" s="1353"/>
      <c r="CW142" s="1353"/>
      <c r="CX142" s="1353"/>
      <c r="CY142" s="1353"/>
      <c r="CZ142" s="1353"/>
      <c r="DA142" s="1353"/>
      <c r="DB142" s="1353"/>
      <c r="DC142" s="1353"/>
      <c r="DD142" s="1353"/>
      <c r="DE142" s="1353"/>
      <c r="DF142" s="1353"/>
      <c r="DG142" s="1353"/>
      <c r="DH142" s="1353"/>
      <c r="DI142" s="1353"/>
      <c r="DJ142" s="1353"/>
      <c r="DK142" s="1353"/>
      <c r="DL142" s="1353"/>
      <c r="DM142" s="1353"/>
      <c r="DN142" s="1353"/>
      <c r="DO142" s="1353"/>
      <c r="DP142" s="1353"/>
      <c r="DQ142" s="1353"/>
      <c r="DR142" s="1353"/>
      <c r="DS142" s="1353"/>
      <c r="DT142" s="1353"/>
      <c r="DU142" s="1353"/>
      <c r="DV142" s="1353"/>
      <c r="DW142" s="1353"/>
      <c r="DX142" s="1353"/>
      <c r="DY142" s="1353"/>
      <c r="DZ142" s="1353"/>
      <c r="EA142" s="1353"/>
      <c r="EB142" s="1353"/>
      <c r="EC142" s="1353"/>
      <c r="ED142" s="1353"/>
      <c r="EE142" s="1353"/>
      <c r="EF142" s="1353"/>
      <c r="EG142" s="1353"/>
      <c r="EH142" s="1353"/>
      <c r="EI142" s="1353"/>
      <c r="EJ142" s="1353"/>
      <c r="EK142" s="1353"/>
      <c r="EL142" s="1353"/>
      <c r="EM142" s="1353"/>
      <c r="EN142" s="1353"/>
      <c r="EO142" s="1353"/>
      <c r="EP142" s="1353"/>
      <c r="EQ142" s="1353"/>
      <c r="ER142" s="1353"/>
      <c r="ES142" s="1353"/>
      <c r="ET142" s="1353"/>
      <c r="EU142" s="1353"/>
      <c r="EV142" s="1353"/>
      <c r="EW142" s="1353"/>
      <c r="EX142" s="1353"/>
      <c r="EY142" s="1353"/>
      <c r="EZ142" s="1353"/>
      <c r="FA142" s="1353"/>
      <c r="FB142" s="1353"/>
      <c r="FC142" s="1353"/>
      <c r="FD142" s="1353"/>
      <c r="FE142" s="1353"/>
      <c r="FF142" s="1353"/>
      <c r="FG142" s="1353"/>
      <c r="FH142" s="1353"/>
      <c r="FI142" s="1353"/>
      <c r="FJ142" s="1353"/>
      <c r="FK142" s="1353"/>
      <c r="FL142" s="1353"/>
      <c r="FM142" s="1353"/>
      <c r="FN142" s="1353"/>
      <c r="FO142" s="1353"/>
      <c r="FP142" s="1353"/>
      <c r="FQ142" s="1353"/>
      <c r="FR142" s="1353"/>
      <c r="FS142" s="1353"/>
      <c r="FT142" s="1353"/>
      <c r="FU142" s="1353"/>
      <c r="FV142" s="1353"/>
      <c r="FW142" s="1353"/>
      <c r="FX142" s="1353"/>
      <c r="FY142" s="1353"/>
      <c r="FZ142" s="1353"/>
      <c r="GA142" s="1353"/>
      <c r="GB142" s="1353"/>
      <c r="GC142" s="1353"/>
      <c r="GD142" s="1353"/>
      <c r="GE142" s="1353"/>
      <c r="GF142" s="1353"/>
      <c r="GG142" s="1353"/>
      <c r="GH142" s="1353"/>
      <c r="GI142" s="1353"/>
      <c r="GJ142" s="1353"/>
      <c r="GK142" s="1353"/>
      <c r="GL142" s="1353"/>
      <c r="GM142" s="1353"/>
      <c r="GN142" s="1353"/>
      <c r="GO142" s="1353"/>
      <c r="GP142" s="1353"/>
      <c r="GQ142" s="1353"/>
      <c r="GR142" s="1353"/>
      <c r="GS142" s="1353"/>
      <c r="GT142" s="1353"/>
      <c r="GU142" s="1353"/>
      <c r="GV142" s="1353"/>
      <c r="GW142" s="1353"/>
      <c r="GX142" s="1353"/>
      <c r="GY142" s="1353"/>
      <c r="GZ142" s="1353"/>
      <c r="HA142" s="1353"/>
      <c r="HB142" s="1353"/>
      <c r="HC142" s="1353"/>
      <c r="HD142" s="1353"/>
      <c r="HE142" s="1353"/>
      <c r="HF142" s="1353"/>
      <c r="HG142" s="1353"/>
      <c r="HH142" s="1353"/>
      <c r="HI142" s="1353"/>
      <c r="HJ142" s="1353"/>
      <c r="HK142" s="1353"/>
      <c r="HL142" s="1353"/>
      <c r="HM142" s="1353"/>
      <c r="HN142" s="1353"/>
      <c r="HO142" s="1353"/>
      <c r="HP142" s="1353"/>
      <c r="HQ142" s="1353"/>
      <c r="HR142" s="1353"/>
      <c r="HS142" s="1353"/>
      <c r="HT142" s="1353"/>
      <c r="HU142" s="1353"/>
      <c r="HV142" s="1353"/>
      <c r="HW142" s="1353"/>
      <c r="HX142" s="1353"/>
      <c r="HY142" s="1353"/>
      <c r="HZ142" s="1353"/>
      <c r="IA142" s="1353"/>
      <c r="IB142" s="1353"/>
      <c r="IC142" s="1353"/>
      <c r="ID142" s="1353"/>
      <c r="IE142" s="1353"/>
      <c r="IF142" s="1353"/>
      <c r="IG142" s="1353"/>
      <c r="IH142" s="1353"/>
      <c r="II142" s="1353"/>
      <c r="IJ142" s="1353"/>
      <c r="IK142" s="1353"/>
      <c r="IL142" s="1353"/>
      <c r="IM142" s="1353"/>
      <c r="IN142" s="1353"/>
      <c r="IO142" s="1353"/>
      <c r="IP142" s="1353"/>
      <c r="IQ142" s="1353"/>
      <c r="IR142" s="1353"/>
      <c r="IS142" s="1353"/>
      <c r="IT142" s="1353"/>
      <c r="IU142" s="1353"/>
      <c r="IV142" s="1353"/>
      <c r="IW142" s="1353"/>
      <c r="IX142" s="1353"/>
      <c r="IY142" s="1353"/>
      <c r="IZ142" s="1353"/>
      <c r="JA142" s="1353"/>
      <c r="JB142" s="1353"/>
      <c r="JC142" s="1353"/>
      <c r="JD142" s="1353"/>
      <c r="JE142" s="1353"/>
      <c r="JF142" s="1353"/>
      <c r="JG142" s="1353"/>
      <c r="JH142" s="1353"/>
      <c r="JI142" s="1353"/>
      <c r="JJ142" s="1353"/>
      <c r="JK142" s="1353"/>
      <c r="JL142" s="1353"/>
      <c r="JM142" s="1353"/>
      <c r="JN142" s="1353"/>
      <c r="JO142" s="1353"/>
      <c r="JP142" s="1353"/>
      <c r="JQ142" s="1353"/>
      <c r="JR142" s="1353"/>
      <c r="JS142" s="1353"/>
      <c r="JT142" s="1353"/>
      <c r="JU142" s="1353"/>
      <c r="JV142" s="1353"/>
      <c r="JW142" s="1353"/>
      <c r="JX142" s="1353"/>
      <c r="JY142" s="1353"/>
      <c r="JZ142" s="1353"/>
      <c r="KA142" s="1353"/>
      <c r="KB142" s="1353"/>
      <c r="KC142" s="1353"/>
      <c r="KD142" s="1353"/>
      <c r="KE142" s="1353"/>
      <c r="KF142" s="1353"/>
      <c r="KG142" s="1353"/>
      <c r="KH142" s="1353"/>
      <c r="KI142" s="1353"/>
      <c r="KJ142" s="1353"/>
      <c r="KK142" s="1353"/>
    </row>
    <row r="143" ht="14.25" customHeight="1">
      <c r="A143" s="1353"/>
      <c r="B143" s="1353"/>
      <c r="C143" s="1353"/>
      <c r="D143" s="1353"/>
      <c r="E143" s="1353"/>
      <c r="F143" s="1353"/>
      <c r="G143" s="1353"/>
      <c r="H143" s="1353"/>
      <c r="I143" s="1353"/>
      <c r="J143" s="1353"/>
      <c r="K143" s="1353"/>
      <c r="L143" s="1353"/>
      <c r="M143" s="1353"/>
      <c r="N143" s="1353"/>
      <c r="O143" s="1353"/>
      <c r="P143" s="1353"/>
      <c r="Q143" s="1353"/>
      <c r="R143" s="1353"/>
      <c r="S143" s="1353"/>
      <c r="T143" s="1353"/>
      <c r="U143" s="1353"/>
      <c r="V143" s="1353"/>
      <c r="W143" s="1353"/>
      <c r="X143" s="1353"/>
      <c r="Y143" s="1353"/>
      <c r="Z143" s="1353"/>
      <c r="AA143" s="1353"/>
      <c r="AB143" s="2993"/>
      <c r="AC143" s="2993"/>
      <c r="AD143" s="2993"/>
      <c r="AE143" s="2993"/>
      <c r="AF143" s="2993"/>
      <c r="AG143" s="2993"/>
      <c r="AH143" s="2993"/>
      <c r="AI143" s="1353"/>
      <c r="AJ143" s="1353"/>
      <c r="AK143" s="1353"/>
      <c r="AL143" s="1353"/>
      <c r="AM143" s="1353"/>
      <c r="AN143" s="1353"/>
      <c r="AO143" s="1353"/>
      <c r="AP143" s="1353"/>
      <c r="AQ143" s="1353"/>
      <c r="AR143" s="1353"/>
      <c r="AS143" s="1353"/>
      <c r="AT143" s="1353"/>
      <c r="AU143" s="1353"/>
      <c r="AV143" s="1353"/>
      <c r="AW143" s="1353"/>
      <c r="AX143" s="1353"/>
      <c r="AY143" s="1353"/>
      <c r="AZ143" s="1353"/>
      <c r="BA143" s="1353"/>
      <c r="BB143" s="1353"/>
      <c r="BC143" s="1353"/>
      <c r="BD143" s="1353"/>
      <c r="BE143" s="1353"/>
      <c r="BF143" s="1353"/>
      <c r="BG143" s="1353"/>
      <c r="BH143" s="1353"/>
      <c r="BI143" s="1353"/>
      <c r="BJ143" s="1353"/>
      <c r="BK143" s="1353"/>
      <c r="BL143" s="1353"/>
      <c r="BM143" s="1353"/>
      <c r="BN143" s="1353"/>
      <c r="BO143" s="1353"/>
      <c r="BP143" s="1353"/>
      <c r="BQ143" s="1353"/>
      <c r="BR143" s="1353"/>
      <c r="BS143" s="1353"/>
      <c r="BT143" s="1353"/>
      <c r="BU143" s="1353"/>
      <c r="BV143" s="1353"/>
      <c r="BW143" s="1353"/>
      <c r="BX143" s="1353"/>
      <c r="BY143" s="1353"/>
      <c r="BZ143" s="1353"/>
      <c r="CA143" s="1353"/>
      <c r="CB143" s="1353"/>
      <c r="CC143" s="1353"/>
      <c r="CD143" s="1353"/>
      <c r="CE143" s="1353"/>
      <c r="CF143" s="1353"/>
      <c r="CG143" s="1353"/>
      <c r="CH143" s="1353"/>
      <c r="CI143" s="1353"/>
      <c r="CJ143" s="1353"/>
      <c r="CK143" s="1353"/>
      <c r="CL143" s="1353"/>
      <c r="CM143" s="1353"/>
      <c r="CN143" s="1353"/>
      <c r="CO143" s="1353"/>
      <c r="CP143" s="1353"/>
      <c r="CQ143" s="1353"/>
      <c r="CR143" s="1353"/>
      <c r="CS143" s="1353"/>
      <c r="CT143" s="1353"/>
      <c r="CU143" s="1353"/>
      <c r="CV143" s="1353"/>
      <c r="CW143" s="1353"/>
      <c r="CX143" s="1353"/>
      <c r="CY143" s="1353"/>
      <c r="CZ143" s="1353"/>
      <c r="DA143" s="1353"/>
      <c r="DB143" s="1353"/>
      <c r="DC143" s="1353"/>
      <c r="DD143" s="1353"/>
      <c r="DE143" s="1353"/>
      <c r="DF143" s="1353"/>
      <c r="DG143" s="1353"/>
      <c r="DH143" s="1353"/>
      <c r="DI143" s="1353"/>
      <c r="DJ143" s="1353"/>
      <c r="DK143" s="1353"/>
      <c r="DL143" s="1353"/>
      <c r="DM143" s="1353"/>
      <c r="DN143" s="1353"/>
      <c r="DO143" s="1353"/>
      <c r="DP143" s="1353"/>
      <c r="DQ143" s="1353"/>
      <c r="DR143" s="1353"/>
      <c r="DS143" s="1353"/>
      <c r="DT143" s="1353"/>
      <c r="DU143" s="1353"/>
      <c r="DV143" s="1353"/>
      <c r="DW143" s="1353"/>
      <c r="DX143" s="1353"/>
      <c r="DY143" s="1353"/>
      <c r="DZ143" s="1353"/>
      <c r="EA143" s="1353"/>
      <c r="EB143" s="1353"/>
      <c r="EC143" s="1353"/>
      <c r="ED143" s="1353"/>
      <c r="EE143" s="1353"/>
      <c r="EF143" s="1353"/>
      <c r="EG143" s="1353"/>
      <c r="EH143" s="1353"/>
      <c r="EI143" s="1353"/>
      <c r="EJ143" s="1353"/>
      <c r="EK143" s="1353"/>
      <c r="EL143" s="1353"/>
      <c r="EM143" s="1353"/>
      <c r="EN143" s="1353"/>
      <c r="EO143" s="1353"/>
      <c r="EP143" s="1353"/>
      <c r="EQ143" s="1353"/>
      <c r="ER143" s="1353"/>
      <c r="ES143" s="1353"/>
      <c r="ET143" s="1353"/>
      <c r="EU143" s="1353"/>
      <c r="EV143" s="1353"/>
      <c r="EW143" s="1353"/>
      <c r="EX143" s="1353"/>
      <c r="EY143" s="1353"/>
      <c r="EZ143" s="1353"/>
      <c r="FA143" s="1353"/>
      <c r="FB143" s="1353"/>
      <c r="FC143" s="1353"/>
      <c r="FD143" s="1353"/>
      <c r="FE143" s="1353"/>
      <c r="FF143" s="1353"/>
      <c r="FG143" s="1353"/>
      <c r="FH143" s="1353"/>
      <c r="FI143" s="1353"/>
      <c r="FJ143" s="1353"/>
      <c r="FK143" s="1353"/>
      <c r="FL143" s="1353"/>
      <c r="FM143" s="1353"/>
      <c r="FN143" s="1353"/>
      <c r="FO143" s="1353"/>
      <c r="FP143" s="1353"/>
      <c r="FQ143" s="1353"/>
      <c r="FR143" s="1353"/>
      <c r="FS143" s="1353"/>
      <c r="FT143" s="1353"/>
      <c r="FU143" s="1353"/>
      <c r="FV143" s="1353"/>
      <c r="FW143" s="1353"/>
      <c r="FX143" s="1353"/>
      <c r="FY143" s="1353"/>
      <c r="FZ143" s="1353"/>
      <c r="GA143" s="1353"/>
      <c r="GB143" s="1353"/>
      <c r="GC143" s="1353"/>
      <c r="GD143" s="1353"/>
      <c r="GE143" s="1353"/>
      <c r="GF143" s="1353"/>
      <c r="GG143" s="1353"/>
      <c r="GH143" s="1353"/>
      <c r="GI143" s="1353"/>
      <c r="GJ143" s="1353"/>
      <c r="GK143" s="1353"/>
      <c r="GL143" s="1353"/>
      <c r="GM143" s="1353"/>
      <c r="GN143" s="1353"/>
      <c r="GO143" s="1353"/>
      <c r="GP143" s="1353"/>
      <c r="GQ143" s="1353"/>
      <c r="GR143" s="1353"/>
      <c r="GS143" s="1353"/>
      <c r="GT143" s="1353"/>
      <c r="GU143" s="1353"/>
      <c r="GV143" s="1353"/>
      <c r="GW143" s="1353"/>
      <c r="GX143" s="1353"/>
      <c r="GY143" s="1353"/>
      <c r="GZ143" s="1353"/>
      <c r="HA143" s="1353"/>
      <c r="HB143" s="1353"/>
      <c r="HC143" s="1353"/>
      <c r="HD143" s="1353"/>
      <c r="HE143" s="1353"/>
      <c r="HF143" s="1353"/>
      <c r="HG143" s="1353"/>
      <c r="HH143" s="1353"/>
      <c r="HI143" s="1353"/>
      <c r="HJ143" s="1353"/>
      <c r="HK143" s="1353"/>
      <c r="HL143" s="1353"/>
      <c r="HM143" s="1353"/>
      <c r="HN143" s="1353"/>
      <c r="HO143" s="1353"/>
      <c r="HP143" s="1353"/>
      <c r="HQ143" s="1353"/>
      <c r="HR143" s="1353"/>
      <c r="HS143" s="1353"/>
      <c r="HT143" s="1353"/>
      <c r="HU143" s="1353"/>
      <c r="HV143" s="1353"/>
      <c r="HW143" s="1353"/>
      <c r="HX143" s="1353"/>
      <c r="HY143" s="1353"/>
      <c r="HZ143" s="1353"/>
      <c r="IA143" s="1353"/>
      <c r="IB143" s="1353"/>
      <c r="IC143" s="1353"/>
      <c r="ID143" s="1353"/>
      <c r="IE143" s="1353"/>
      <c r="IF143" s="1353"/>
      <c r="IG143" s="1353"/>
      <c r="IH143" s="1353"/>
      <c r="II143" s="1353"/>
      <c r="IJ143" s="1353"/>
      <c r="IK143" s="1353"/>
      <c r="IL143" s="1353"/>
      <c r="IM143" s="1353"/>
      <c r="IN143" s="1353"/>
      <c r="IO143" s="1353"/>
      <c r="IP143" s="1353"/>
      <c r="IQ143" s="1353"/>
      <c r="IR143" s="1353"/>
      <c r="IS143" s="1353"/>
      <c r="IT143" s="1353"/>
      <c r="IU143" s="1353"/>
      <c r="IV143" s="1353"/>
      <c r="IW143" s="1353"/>
      <c r="IX143" s="1353"/>
      <c r="IY143" s="1353"/>
      <c r="IZ143" s="1353"/>
      <c r="JA143" s="1353"/>
      <c r="JB143" s="1353"/>
      <c r="JC143" s="1353"/>
      <c r="JD143" s="1353"/>
      <c r="JE143" s="1353"/>
      <c r="JF143" s="1353"/>
      <c r="JG143" s="1353"/>
      <c r="JH143" s="1353"/>
      <c r="JI143" s="1353"/>
      <c r="JJ143" s="1353"/>
      <c r="JK143" s="1353"/>
      <c r="JL143" s="1353"/>
      <c r="JM143" s="1353"/>
      <c r="JN143" s="1353"/>
      <c r="JO143" s="1353"/>
      <c r="JP143" s="1353"/>
      <c r="JQ143" s="1353"/>
      <c r="JR143" s="1353"/>
      <c r="JS143" s="1353"/>
      <c r="JT143" s="1353"/>
      <c r="JU143" s="1353"/>
      <c r="JV143" s="1353"/>
      <c r="JW143" s="1353"/>
      <c r="JX143" s="1353"/>
      <c r="JY143" s="1353"/>
      <c r="JZ143" s="1353"/>
      <c r="KA143" s="1353"/>
      <c r="KB143" s="1353"/>
      <c r="KC143" s="1353"/>
      <c r="KD143" s="1353"/>
      <c r="KE143" s="1353"/>
      <c r="KF143" s="1353"/>
      <c r="KG143" s="1353"/>
      <c r="KH143" s="1353"/>
      <c r="KI143" s="1353"/>
      <c r="KJ143" s="1353"/>
      <c r="KK143" s="1353"/>
    </row>
    <row r="144" ht="14.25" customHeight="1">
      <c r="A144" s="1353"/>
      <c r="B144" s="1353"/>
      <c r="C144" s="1353"/>
      <c r="D144" s="1353"/>
      <c r="E144" s="1353"/>
      <c r="F144" s="1353"/>
      <c r="G144" s="1353"/>
      <c r="H144" s="1353"/>
      <c r="I144" s="1353"/>
      <c r="J144" s="1353"/>
      <c r="K144" s="1353"/>
      <c r="L144" s="1353"/>
      <c r="M144" s="1353"/>
      <c r="N144" s="1353"/>
      <c r="O144" s="1353"/>
      <c r="P144" s="1353"/>
      <c r="Q144" s="1353"/>
      <c r="R144" s="1353"/>
      <c r="S144" s="1353"/>
      <c r="T144" s="1353"/>
      <c r="U144" s="1353"/>
      <c r="V144" s="1353"/>
      <c r="W144" s="1353"/>
      <c r="X144" s="1353"/>
      <c r="Y144" s="1353"/>
      <c r="Z144" s="1353"/>
      <c r="AA144" s="1353"/>
      <c r="AB144" s="2993"/>
      <c r="AC144" s="2993"/>
      <c r="AD144" s="2993"/>
      <c r="AE144" s="2993"/>
      <c r="AF144" s="2993"/>
      <c r="AG144" s="2993"/>
      <c r="AH144" s="2993"/>
      <c r="AI144" s="1353"/>
      <c r="AJ144" s="1353"/>
      <c r="AK144" s="1353"/>
      <c r="AL144" s="1353"/>
      <c r="AM144" s="1353"/>
      <c r="AN144" s="1353"/>
      <c r="AO144" s="1353"/>
      <c r="AP144" s="1353"/>
      <c r="AQ144" s="1353"/>
      <c r="AR144" s="1353"/>
      <c r="AS144" s="1353"/>
      <c r="AT144" s="1353"/>
      <c r="AU144" s="1353"/>
      <c r="AV144" s="1353"/>
      <c r="AW144" s="1353"/>
      <c r="AX144" s="1353"/>
      <c r="AY144" s="1353"/>
      <c r="AZ144" s="1353"/>
      <c r="BA144" s="1353"/>
      <c r="BB144" s="1353"/>
      <c r="BC144" s="1353"/>
      <c r="BD144" s="1353"/>
      <c r="BE144" s="1353"/>
      <c r="BF144" s="1353"/>
      <c r="BG144" s="1353"/>
      <c r="BH144" s="1353"/>
      <c r="BI144" s="1353"/>
      <c r="BJ144" s="1353"/>
      <c r="BK144" s="1353"/>
      <c r="BL144" s="1353"/>
      <c r="BM144" s="1353"/>
      <c r="BN144" s="1353"/>
      <c r="BO144" s="1353"/>
      <c r="BP144" s="1353"/>
      <c r="BQ144" s="1353"/>
      <c r="BR144" s="1353"/>
      <c r="BS144" s="1353"/>
      <c r="BT144" s="1353"/>
      <c r="BU144" s="1353"/>
      <c r="BV144" s="1353"/>
      <c r="BW144" s="1353"/>
      <c r="BX144" s="1353"/>
      <c r="BY144" s="1353"/>
      <c r="BZ144" s="1353"/>
      <c r="CA144" s="1353"/>
      <c r="CB144" s="1353"/>
      <c r="CC144" s="1353"/>
      <c r="CD144" s="1353"/>
      <c r="CE144" s="1353"/>
      <c r="CF144" s="1353"/>
      <c r="CG144" s="1353"/>
      <c r="CH144" s="1353"/>
      <c r="CI144" s="1353"/>
      <c r="CJ144" s="1353"/>
      <c r="CK144" s="1353"/>
      <c r="CL144" s="1353"/>
      <c r="CM144" s="1353"/>
      <c r="CN144" s="1353"/>
      <c r="CO144" s="1353"/>
      <c r="CP144" s="1353"/>
      <c r="CQ144" s="1353"/>
      <c r="CR144" s="1353"/>
      <c r="CS144" s="1353"/>
      <c r="CT144" s="1353"/>
      <c r="CU144" s="1353"/>
      <c r="CV144" s="1353"/>
      <c r="CW144" s="1353"/>
      <c r="CX144" s="1353"/>
      <c r="CY144" s="1353"/>
      <c r="CZ144" s="1353"/>
      <c r="DA144" s="1353"/>
      <c r="DB144" s="1353"/>
      <c r="DC144" s="1353"/>
      <c r="DD144" s="1353"/>
      <c r="DE144" s="1353"/>
      <c r="DF144" s="1353"/>
      <c r="DG144" s="1353"/>
      <c r="DH144" s="1353"/>
      <c r="DI144" s="1353"/>
      <c r="DJ144" s="1353"/>
      <c r="DK144" s="1353"/>
      <c r="DL144" s="1353"/>
      <c r="DM144" s="1353"/>
      <c r="DN144" s="1353"/>
      <c r="DO144" s="1353"/>
      <c r="DP144" s="1353"/>
      <c r="DQ144" s="1353"/>
      <c r="DR144" s="1353"/>
      <c r="DS144" s="1353"/>
      <c r="DT144" s="1353"/>
      <c r="DU144" s="1353"/>
      <c r="DV144" s="1353"/>
      <c r="DW144" s="1353"/>
      <c r="DX144" s="1353"/>
      <c r="DY144" s="1353"/>
      <c r="DZ144" s="1353"/>
      <c r="EA144" s="1353"/>
      <c r="EB144" s="1353"/>
      <c r="EC144" s="1353"/>
      <c r="ED144" s="1353"/>
      <c r="EE144" s="1353"/>
      <c r="EF144" s="1353"/>
      <c r="EG144" s="1353"/>
      <c r="EH144" s="1353"/>
      <c r="EI144" s="1353"/>
      <c r="EJ144" s="1353"/>
      <c r="EK144" s="1353"/>
      <c r="EL144" s="1353"/>
      <c r="EM144" s="1353"/>
      <c r="EN144" s="1353"/>
      <c r="EO144" s="1353"/>
      <c r="EP144" s="1353"/>
      <c r="EQ144" s="1353"/>
      <c r="ER144" s="1353"/>
      <c r="ES144" s="1353"/>
      <c r="ET144" s="1353"/>
      <c r="EU144" s="1353"/>
      <c r="EV144" s="1353"/>
      <c r="EW144" s="1353"/>
      <c r="EX144" s="1353"/>
      <c r="EY144" s="1353"/>
      <c r="EZ144" s="1353"/>
      <c r="FA144" s="1353"/>
      <c r="FB144" s="1353"/>
      <c r="FC144" s="1353"/>
      <c r="FD144" s="1353"/>
      <c r="FE144" s="1353"/>
      <c r="FF144" s="1353"/>
      <c r="FG144" s="1353"/>
      <c r="FH144" s="1353"/>
      <c r="FI144" s="1353"/>
      <c r="FJ144" s="1353"/>
      <c r="FK144" s="1353"/>
      <c r="FL144" s="1353"/>
      <c r="FM144" s="1353"/>
      <c r="FN144" s="1353"/>
      <c r="FO144" s="1353"/>
      <c r="FP144" s="1353"/>
      <c r="FQ144" s="1353"/>
      <c r="FR144" s="1353"/>
      <c r="FS144" s="1353"/>
      <c r="FT144" s="1353"/>
      <c r="FU144" s="1353"/>
      <c r="FV144" s="1353"/>
      <c r="FW144" s="1353"/>
      <c r="FX144" s="1353"/>
      <c r="FY144" s="1353"/>
      <c r="FZ144" s="1353"/>
      <c r="GA144" s="1353"/>
      <c r="GB144" s="1353"/>
      <c r="GC144" s="1353"/>
      <c r="GD144" s="1353"/>
      <c r="GE144" s="1353"/>
      <c r="GF144" s="1353"/>
      <c r="GG144" s="1353"/>
      <c r="GH144" s="1353"/>
      <c r="GI144" s="1353"/>
      <c r="GJ144" s="1353"/>
      <c r="GK144" s="1353"/>
      <c r="GL144" s="1353"/>
      <c r="GM144" s="1353"/>
      <c r="GN144" s="1353"/>
      <c r="GO144" s="1353"/>
      <c r="GP144" s="1353"/>
      <c r="GQ144" s="1353"/>
      <c r="GR144" s="1353"/>
      <c r="GS144" s="1353"/>
      <c r="GT144" s="1353"/>
      <c r="GU144" s="1353"/>
      <c r="GV144" s="1353"/>
      <c r="GW144" s="1353"/>
      <c r="GX144" s="1353"/>
      <c r="GY144" s="1353"/>
      <c r="GZ144" s="1353"/>
      <c r="HA144" s="1353"/>
      <c r="HB144" s="1353"/>
      <c r="HC144" s="1353"/>
      <c r="HD144" s="1353"/>
      <c r="HE144" s="1353"/>
      <c r="HF144" s="1353"/>
      <c r="HG144" s="1353"/>
      <c r="HH144" s="1353"/>
      <c r="HI144" s="1353"/>
      <c r="HJ144" s="1353"/>
      <c r="HK144" s="1353"/>
      <c r="HL144" s="1353"/>
      <c r="HM144" s="1353"/>
      <c r="HN144" s="1353"/>
      <c r="HO144" s="1353"/>
      <c r="HP144" s="1353"/>
      <c r="HQ144" s="1353"/>
      <c r="HR144" s="1353"/>
      <c r="HS144" s="1353"/>
      <c r="HT144" s="1353"/>
      <c r="HU144" s="1353"/>
      <c r="HV144" s="1353"/>
      <c r="HW144" s="1353"/>
      <c r="HX144" s="1353"/>
      <c r="HY144" s="1353"/>
      <c r="HZ144" s="1353"/>
      <c r="IA144" s="1353"/>
      <c r="IB144" s="1353"/>
      <c r="IC144" s="1353"/>
      <c r="ID144" s="1353"/>
      <c r="IE144" s="1353"/>
      <c r="IF144" s="1353"/>
      <c r="IG144" s="1353"/>
      <c r="IH144" s="1353"/>
      <c r="II144" s="1353"/>
      <c r="IJ144" s="1353"/>
      <c r="IK144" s="1353"/>
      <c r="IL144" s="1353"/>
      <c r="IM144" s="1353"/>
      <c r="IN144" s="1353"/>
      <c r="IO144" s="1353"/>
      <c r="IP144" s="1353"/>
      <c r="IQ144" s="1353"/>
      <c r="IR144" s="1353"/>
      <c r="IS144" s="1353"/>
      <c r="IT144" s="1353"/>
      <c r="IU144" s="1353"/>
      <c r="IV144" s="1353"/>
      <c r="IW144" s="1353"/>
      <c r="IX144" s="1353"/>
      <c r="IY144" s="1353"/>
      <c r="IZ144" s="1353"/>
      <c r="JA144" s="1353"/>
      <c r="JB144" s="1353"/>
      <c r="JC144" s="1353"/>
      <c r="JD144" s="1353"/>
      <c r="JE144" s="1353"/>
      <c r="JF144" s="1353"/>
      <c r="JG144" s="1353"/>
      <c r="JH144" s="1353"/>
      <c r="JI144" s="1353"/>
      <c r="JJ144" s="1353"/>
      <c r="JK144" s="1353"/>
      <c r="JL144" s="1353"/>
      <c r="JM144" s="1353"/>
      <c r="JN144" s="1353"/>
      <c r="JO144" s="1353"/>
      <c r="JP144" s="1353"/>
      <c r="JQ144" s="1353"/>
      <c r="JR144" s="1353"/>
      <c r="JS144" s="1353"/>
      <c r="JT144" s="1353"/>
      <c r="JU144" s="1353"/>
      <c r="JV144" s="1353"/>
      <c r="JW144" s="1353"/>
      <c r="JX144" s="1353"/>
      <c r="JY144" s="1353"/>
      <c r="JZ144" s="1353"/>
      <c r="KA144" s="1353"/>
      <c r="KB144" s="1353"/>
      <c r="KC144" s="1353"/>
      <c r="KD144" s="1353"/>
      <c r="KE144" s="1353"/>
      <c r="KF144" s="1353"/>
      <c r="KG144" s="1353"/>
      <c r="KH144" s="1353"/>
      <c r="KI144" s="1353"/>
      <c r="KJ144" s="1353"/>
      <c r="KK144" s="1353"/>
    </row>
    <row r="145" ht="14.25" customHeight="1">
      <c r="A145" s="1353"/>
      <c r="B145" s="1353"/>
      <c r="C145" s="1353"/>
      <c r="D145" s="1353"/>
      <c r="E145" s="1353"/>
      <c r="F145" s="1353"/>
      <c r="G145" s="1353"/>
      <c r="H145" s="1353"/>
      <c r="I145" s="1353"/>
      <c r="J145" s="1353"/>
      <c r="K145" s="1353"/>
      <c r="L145" s="1353"/>
      <c r="M145" s="1353"/>
      <c r="N145" s="1353"/>
      <c r="O145" s="1353"/>
      <c r="P145" s="1353"/>
      <c r="Q145" s="1353"/>
      <c r="R145" s="1353"/>
      <c r="S145" s="1353"/>
      <c r="T145" s="1353"/>
      <c r="U145" s="1353"/>
      <c r="V145" s="1353"/>
      <c r="W145" s="1353"/>
      <c r="X145" s="1353"/>
      <c r="Y145" s="1353"/>
      <c r="Z145" s="1353"/>
      <c r="AA145" s="1353"/>
      <c r="AB145" s="2993"/>
      <c r="AC145" s="2993"/>
      <c r="AD145" s="2993"/>
      <c r="AE145" s="2993"/>
      <c r="AF145" s="2993"/>
      <c r="AG145" s="2993"/>
      <c r="AH145" s="2993"/>
      <c r="AI145" s="1353"/>
      <c r="AJ145" s="1353"/>
      <c r="AK145" s="1353"/>
      <c r="AL145" s="1353"/>
      <c r="AM145" s="1353"/>
      <c r="AN145" s="1353"/>
      <c r="AO145" s="1353"/>
      <c r="AP145" s="1353"/>
      <c r="AQ145" s="1353"/>
      <c r="AR145" s="1353"/>
      <c r="AS145" s="1353"/>
      <c r="AT145" s="1353"/>
      <c r="AU145" s="1353"/>
      <c r="AV145" s="1353"/>
      <c r="AW145" s="1353"/>
      <c r="AX145" s="1353"/>
      <c r="AY145" s="1353"/>
      <c r="AZ145" s="1353"/>
      <c r="BA145" s="1353"/>
      <c r="BB145" s="1353"/>
      <c r="BC145" s="1353"/>
      <c r="BD145" s="1353"/>
      <c r="BE145" s="1353"/>
      <c r="BF145" s="1353"/>
      <c r="BG145" s="1353"/>
      <c r="BH145" s="1353"/>
      <c r="BI145" s="1353"/>
      <c r="BJ145" s="1353"/>
      <c r="BK145" s="1353"/>
      <c r="BL145" s="1353"/>
      <c r="BM145" s="1353"/>
      <c r="BN145" s="1353"/>
      <c r="BO145" s="1353"/>
      <c r="BP145" s="1353"/>
      <c r="BQ145" s="1353"/>
      <c r="BR145" s="1353"/>
      <c r="BS145" s="1353"/>
      <c r="BT145" s="1353"/>
      <c r="BU145" s="1353"/>
      <c r="BV145" s="1353"/>
      <c r="BW145" s="1353"/>
      <c r="BX145" s="1353"/>
      <c r="BY145" s="1353"/>
      <c r="BZ145" s="1353"/>
      <c r="CA145" s="1353"/>
      <c r="CB145" s="1353"/>
      <c r="CC145" s="1353"/>
      <c r="CD145" s="1353"/>
      <c r="CE145" s="1353"/>
      <c r="CF145" s="1353"/>
      <c r="CG145" s="1353"/>
      <c r="CH145" s="1353"/>
      <c r="CI145" s="1353"/>
      <c r="CJ145" s="1353"/>
      <c r="CK145" s="1353"/>
      <c r="CL145" s="1353"/>
      <c r="CM145" s="1353"/>
      <c r="CN145" s="1353"/>
      <c r="CO145" s="1353"/>
      <c r="CP145" s="1353"/>
      <c r="CQ145" s="1353"/>
      <c r="CR145" s="1353"/>
      <c r="CS145" s="1353"/>
      <c r="CT145" s="1353"/>
      <c r="CU145" s="1353"/>
      <c r="CV145" s="1353"/>
      <c r="CW145" s="1353"/>
      <c r="CX145" s="1353"/>
      <c r="CY145" s="1353"/>
      <c r="CZ145" s="1353"/>
      <c r="DA145" s="1353"/>
      <c r="DB145" s="1353"/>
      <c r="DC145" s="1353"/>
      <c r="DD145" s="1353"/>
      <c r="DE145" s="1353"/>
      <c r="DF145" s="1353"/>
      <c r="DG145" s="1353"/>
      <c r="DH145" s="1353"/>
      <c r="DI145" s="1353"/>
      <c r="DJ145" s="1353"/>
      <c r="DK145" s="1353"/>
      <c r="DL145" s="1353"/>
      <c r="DM145" s="1353"/>
      <c r="DN145" s="1353"/>
      <c r="DO145" s="1353"/>
      <c r="DP145" s="1353"/>
      <c r="DQ145" s="1353"/>
      <c r="DR145" s="1353"/>
      <c r="DS145" s="1353"/>
      <c r="DT145" s="1353"/>
      <c r="DU145" s="1353"/>
      <c r="DV145" s="1353"/>
      <c r="DW145" s="1353"/>
      <c r="DX145" s="1353"/>
      <c r="DY145" s="1353"/>
      <c r="DZ145" s="1353"/>
      <c r="EA145" s="1353"/>
      <c r="EB145" s="1353"/>
      <c r="EC145" s="1353"/>
      <c r="ED145" s="1353"/>
      <c r="EE145" s="1353"/>
      <c r="EF145" s="1353"/>
      <c r="EG145" s="1353"/>
      <c r="EH145" s="1353"/>
      <c r="EI145" s="1353"/>
      <c r="EJ145" s="1353"/>
      <c r="EK145" s="1353"/>
      <c r="EL145" s="1353"/>
      <c r="EM145" s="1353"/>
      <c r="EN145" s="1353"/>
      <c r="EO145" s="1353"/>
      <c r="EP145" s="1353"/>
      <c r="EQ145" s="1353"/>
      <c r="ER145" s="1353"/>
      <c r="ES145" s="1353"/>
      <c r="ET145" s="1353"/>
      <c r="EU145" s="1353"/>
      <c r="EV145" s="1353"/>
      <c r="EW145" s="1353"/>
      <c r="EX145" s="1353"/>
      <c r="EY145" s="1353"/>
      <c r="EZ145" s="1353"/>
      <c r="FA145" s="1353"/>
      <c r="FB145" s="1353"/>
      <c r="FC145" s="1353"/>
      <c r="FD145" s="1353"/>
      <c r="FE145" s="1353"/>
      <c r="FF145" s="1353"/>
      <c r="FG145" s="1353"/>
      <c r="FH145" s="1353"/>
      <c r="FI145" s="1353"/>
      <c r="FJ145" s="1353"/>
      <c r="FK145" s="1353"/>
      <c r="FL145" s="1353"/>
      <c r="FM145" s="1353"/>
      <c r="FN145" s="1353"/>
      <c r="FO145" s="1353"/>
      <c r="FP145" s="1353"/>
      <c r="FQ145" s="1353"/>
      <c r="FR145" s="1353"/>
      <c r="FS145" s="1353"/>
      <c r="FT145" s="1353"/>
      <c r="FU145" s="1353"/>
      <c r="FV145" s="1353"/>
      <c r="FW145" s="1353"/>
      <c r="FX145" s="1353"/>
      <c r="FY145" s="1353"/>
      <c r="FZ145" s="1353"/>
      <c r="GA145" s="1353"/>
      <c r="GB145" s="1353"/>
      <c r="GC145" s="1353"/>
      <c r="GD145" s="1353"/>
      <c r="GE145" s="1353"/>
      <c r="GF145" s="1353"/>
      <c r="GG145" s="1353"/>
      <c r="GH145" s="1353"/>
      <c r="GI145" s="1353"/>
      <c r="GJ145" s="1353"/>
      <c r="GK145" s="1353"/>
      <c r="GL145" s="1353"/>
      <c r="GM145" s="1353"/>
      <c r="GN145" s="1353"/>
      <c r="GO145" s="1353"/>
      <c r="GP145" s="1353"/>
      <c r="GQ145" s="1353"/>
      <c r="GR145" s="1353"/>
      <c r="GS145" s="1353"/>
      <c r="GT145" s="1353"/>
      <c r="GU145" s="1353"/>
      <c r="GV145" s="1353"/>
      <c r="GW145" s="1353"/>
      <c r="GX145" s="1353"/>
      <c r="GY145" s="1353"/>
      <c r="GZ145" s="1353"/>
      <c r="HA145" s="1353"/>
      <c r="HB145" s="1353"/>
      <c r="HC145" s="1353"/>
      <c r="HD145" s="1353"/>
      <c r="HE145" s="1353"/>
      <c r="HF145" s="1353"/>
      <c r="HG145" s="1353"/>
      <c r="HH145" s="1353"/>
      <c r="HI145" s="1353"/>
      <c r="HJ145" s="1353"/>
      <c r="HK145" s="1353"/>
      <c r="HL145" s="1353"/>
      <c r="HM145" s="1353"/>
      <c r="HN145" s="1353"/>
      <c r="HO145" s="1353"/>
      <c r="HP145" s="1353"/>
      <c r="HQ145" s="1353"/>
      <c r="HR145" s="1353"/>
      <c r="HS145" s="1353"/>
      <c r="HT145" s="1353"/>
      <c r="HU145" s="1353"/>
      <c r="HV145" s="1353"/>
      <c r="HW145" s="1353"/>
      <c r="HX145" s="1353"/>
      <c r="HY145" s="1353"/>
      <c r="HZ145" s="1353"/>
      <c r="IA145" s="1353"/>
      <c r="IB145" s="1353"/>
      <c r="IC145" s="1353"/>
      <c r="ID145" s="1353"/>
      <c r="IE145" s="1353"/>
      <c r="IF145" s="1353"/>
      <c r="IG145" s="1353"/>
      <c r="IH145" s="1353"/>
      <c r="II145" s="1353"/>
      <c r="IJ145" s="1353"/>
      <c r="IK145" s="1353"/>
      <c r="IL145" s="1353"/>
      <c r="IM145" s="1353"/>
      <c r="IN145" s="1353"/>
      <c r="IO145" s="1353"/>
      <c r="IP145" s="1353"/>
      <c r="IQ145" s="1353"/>
      <c r="IR145" s="1353"/>
      <c r="IS145" s="1353"/>
      <c r="IT145" s="1353"/>
      <c r="IU145" s="1353"/>
      <c r="IV145" s="1353"/>
      <c r="IW145" s="1353"/>
      <c r="IX145" s="1353"/>
      <c r="IY145" s="1353"/>
      <c r="IZ145" s="1353"/>
      <c r="JA145" s="1353"/>
      <c r="JB145" s="1353"/>
      <c r="JC145" s="1353"/>
      <c r="JD145" s="1353"/>
      <c r="JE145" s="1353"/>
      <c r="JF145" s="1353"/>
      <c r="JG145" s="1353"/>
      <c r="JH145" s="1353"/>
      <c r="JI145" s="1353"/>
      <c r="JJ145" s="1353"/>
      <c r="JK145" s="1353"/>
      <c r="JL145" s="1353"/>
      <c r="JM145" s="1353"/>
      <c r="JN145" s="1353"/>
      <c r="JO145" s="1353"/>
      <c r="JP145" s="1353"/>
      <c r="JQ145" s="1353"/>
      <c r="JR145" s="1353"/>
      <c r="JS145" s="1353"/>
      <c r="JT145" s="1353"/>
      <c r="JU145" s="1353"/>
      <c r="JV145" s="1353"/>
      <c r="JW145" s="1353"/>
      <c r="JX145" s="1353"/>
      <c r="JY145" s="1353"/>
      <c r="JZ145" s="1353"/>
      <c r="KA145" s="1353"/>
      <c r="KB145" s="1353"/>
      <c r="KC145" s="1353"/>
      <c r="KD145" s="1353"/>
      <c r="KE145" s="1353"/>
      <c r="KF145" s="1353"/>
      <c r="KG145" s="1353"/>
      <c r="KH145" s="1353"/>
      <c r="KI145" s="1353"/>
      <c r="KJ145" s="1353"/>
      <c r="KK145" s="1353"/>
    </row>
    <row r="146" ht="17.25" customHeight="1">
      <c r="A146" s="1353"/>
      <c r="B146" s="2994" t="s">
        <v>2960</v>
      </c>
      <c r="C146" s="2995"/>
      <c r="D146" s="2995"/>
      <c r="E146" s="2995"/>
      <c r="F146" s="2995"/>
      <c r="G146" s="2995"/>
      <c r="H146" s="2995"/>
      <c r="I146" s="2995"/>
      <c r="J146" s="2995"/>
      <c r="K146" s="2995"/>
      <c r="L146" s="2995"/>
      <c r="M146" s="2996"/>
      <c r="N146" s="1353"/>
      <c r="O146" s="1353"/>
      <c r="P146" s="1353"/>
      <c r="Q146" s="1353"/>
      <c r="R146" s="1353"/>
      <c r="S146" s="1353"/>
      <c r="T146" s="1353"/>
      <c r="U146" s="1353"/>
      <c r="V146" s="1353"/>
      <c r="W146" s="1353"/>
      <c r="X146" s="1353"/>
      <c r="Y146" s="1353"/>
      <c r="Z146" s="1353"/>
      <c r="AA146" s="1353"/>
      <c r="AB146" s="2993"/>
      <c r="AC146" s="2993"/>
      <c r="AD146" s="2993"/>
      <c r="AE146" s="2993"/>
      <c r="AF146" s="2993"/>
      <c r="AG146" s="2993"/>
      <c r="AH146" s="2993"/>
      <c r="AI146" s="1353"/>
      <c r="AJ146" s="1353"/>
      <c r="AK146" s="1353"/>
      <c r="AL146" s="1353"/>
      <c r="AM146" s="1353"/>
      <c r="AN146" s="1353"/>
      <c r="AO146" s="1353"/>
      <c r="AP146" s="1353"/>
      <c r="AQ146" s="1353"/>
      <c r="AR146" s="1353"/>
      <c r="AS146" s="1353"/>
      <c r="AT146" s="1353"/>
      <c r="AU146" s="1353"/>
      <c r="AV146" s="1353"/>
      <c r="AW146" s="1353"/>
      <c r="AX146" s="1353"/>
      <c r="AY146" s="1353"/>
      <c r="AZ146" s="1353"/>
      <c r="BA146" s="1353"/>
      <c r="BB146" s="1353"/>
      <c r="BC146" s="1353"/>
      <c r="BD146" s="1353"/>
      <c r="BE146" s="1353"/>
      <c r="BF146" s="1353"/>
      <c r="BG146" s="1353"/>
      <c r="BH146" s="1353"/>
      <c r="BI146" s="1353"/>
      <c r="BJ146" s="1353"/>
      <c r="BK146" s="1353"/>
      <c r="BL146" s="1353"/>
      <c r="BM146" s="1353"/>
      <c r="BN146" s="1353"/>
      <c r="BO146" s="1353"/>
      <c r="BP146" s="1353"/>
      <c r="BQ146" s="1353"/>
      <c r="BR146" s="1353"/>
      <c r="BS146" s="1353"/>
      <c r="BT146" s="1353"/>
      <c r="BU146" s="1353"/>
      <c r="BV146" s="1353"/>
      <c r="BW146" s="1353"/>
      <c r="BX146" s="1353"/>
      <c r="BY146" s="1353"/>
      <c r="BZ146" s="1353"/>
      <c r="CA146" s="1353"/>
      <c r="CB146" s="1353"/>
      <c r="CC146" s="1353"/>
      <c r="CD146" s="1353"/>
      <c r="CE146" s="1353"/>
      <c r="CF146" s="1353"/>
      <c r="CG146" s="1353"/>
      <c r="CH146" s="1353"/>
      <c r="CI146" s="1353"/>
      <c r="CJ146" s="1353"/>
      <c r="CK146" s="1353"/>
      <c r="CL146" s="1353"/>
      <c r="CM146" s="1353"/>
      <c r="CN146" s="1353"/>
      <c r="CO146" s="1353"/>
      <c r="CP146" s="1353"/>
      <c r="CQ146" s="1353"/>
      <c r="CR146" s="1353"/>
      <c r="CS146" s="1353"/>
      <c r="CT146" s="1353"/>
      <c r="CU146" s="1353"/>
      <c r="CV146" s="1353"/>
      <c r="CW146" s="1353"/>
      <c r="CX146" s="1353"/>
      <c r="CY146" s="1353"/>
      <c r="CZ146" s="1353"/>
      <c r="DA146" s="1353"/>
      <c r="DB146" s="1353"/>
      <c r="DC146" s="1353"/>
      <c r="DD146" s="1353"/>
      <c r="DE146" s="1353"/>
      <c r="DF146" s="1353"/>
      <c r="DG146" s="1353"/>
      <c r="DH146" s="1353"/>
      <c r="DI146" s="1353"/>
      <c r="DJ146" s="1353"/>
      <c r="DK146" s="1353"/>
      <c r="DL146" s="1353"/>
      <c r="DM146" s="1353"/>
      <c r="DN146" s="1353"/>
      <c r="DO146" s="1353"/>
      <c r="DP146" s="1353"/>
      <c r="DQ146" s="1353"/>
      <c r="DR146" s="1353"/>
      <c r="DS146" s="1353"/>
      <c r="DT146" s="1353"/>
      <c r="DU146" s="1353"/>
      <c r="DV146" s="1353"/>
      <c r="DW146" s="1353"/>
      <c r="DX146" s="1353"/>
      <c r="DY146" s="1353"/>
      <c r="DZ146" s="1353"/>
      <c r="EA146" s="1353"/>
      <c r="EB146" s="1353"/>
      <c r="EC146" s="1353"/>
      <c r="ED146" s="1353"/>
      <c r="EE146" s="1353"/>
      <c r="EF146" s="1353"/>
      <c r="EG146" s="1353"/>
      <c r="EH146" s="1353"/>
      <c r="EI146" s="1353"/>
      <c r="EJ146" s="1353"/>
      <c r="EK146" s="1353"/>
      <c r="EL146" s="1353"/>
      <c r="EM146" s="1353"/>
      <c r="EN146" s="1353"/>
      <c r="EO146" s="1353"/>
      <c r="EP146" s="1353"/>
      <c r="EQ146" s="1353"/>
      <c r="ER146" s="1353"/>
      <c r="ES146" s="1353"/>
      <c r="ET146" s="1353"/>
      <c r="EU146" s="1353"/>
      <c r="EV146" s="1353"/>
      <c r="EW146" s="1353"/>
      <c r="EX146" s="1353"/>
      <c r="EY146" s="1353"/>
      <c r="EZ146" s="1353"/>
      <c r="FA146" s="1353"/>
      <c r="FB146" s="1353"/>
      <c r="FC146" s="1353"/>
      <c r="FD146" s="1353"/>
      <c r="FE146" s="1353"/>
      <c r="FF146" s="1353"/>
      <c r="FG146" s="1353"/>
      <c r="FH146" s="1353"/>
      <c r="FI146" s="1353"/>
      <c r="FJ146" s="1353"/>
      <c r="FK146" s="1353"/>
      <c r="FL146" s="1353"/>
      <c r="FM146" s="1353"/>
      <c r="FN146" s="1353"/>
      <c r="FO146" s="1353"/>
      <c r="FP146" s="1353"/>
      <c r="FQ146" s="1353"/>
      <c r="FR146" s="1353"/>
      <c r="FS146" s="1353"/>
      <c r="FT146" s="1353"/>
      <c r="FU146" s="1353"/>
      <c r="FV146" s="1353"/>
      <c r="FW146" s="1353"/>
      <c r="FX146" s="1353"/>
      <c r="FY146" s="1353"/>
      <c r="FZ146" s="1353"/>
      <c r="GA146" s="1353"/>
      <c r="GB146" s="1353"/>
      <c r="GC146" s="1353"/>
      <c r="GD146" s="1353"/>
      <c r="GE146" s="1353"/>
      <c r="GF146" s="1353"/>
      <c r="GG146" s="1353"/>
      <c r="GH146" s="1353"/>
      <c r="GI146" s="1353"/>
      <c r="GJ146" s="1353"/>
      <c r="GK146" s="1353"/>
      <c r="GL146" s="1353"/>
      <c r="GM146" s="1353"/>
      <c r="GN146" s="1353"/>
      <c r="GO146" s="1353"/>
      <c r="GP146" s="1353"/>
      <c r="GQ146" s="1353"/>
      <c r="GR146" s="1353"/>
      <c r="GS146" s="1353"/>
      <c r="GT146" s="1353"/>
      <c r="GU146" s="1353"/>
      <c r="GV146" s="1353"/>
      <c r="GW146" s="1353"/>
      <c r="GX146" s="1353"/>
      <c r="GY146" s="1353"/>
      <c r="GZ146" s="1353"/>
      <c r="HA146" s="1353"/>
      <c r="HB146" s="1353"/>
      <c r="HC146" s="1353"/>
      <c r="HD146" s="1353"/>
      <c r="HE146" s="1353"/>
      <c r="HF146" s="1353"/>
      <c r="HG146" s="1353"/>
      <c r="HH146" s="1353"/>
      <c r="HI146" s="1353"/>
      <c r="HJ146" s="1353"/>
      <c r="HK146" s="1353"/>
      <c r="HL146" s="1353"/>
      <c r="HM146" s="1353"/>
      <c r="HN146" s="1353"/>
      <c r="HO146" s="1353"/>
      <c r="HP146" s="1353"/>
      <c r="HQ146" s="1353"/>
      <c r="HR146" s="1353"/>
      <c r="HS146" s="1353"/>
      <c r="HT146" s="1353"/>
      <c r="HU146" s="1353"/>
      <c r="HV146" s="1353"/>
      <c r="HW146" s="1353"/>
      <c r="HX146" s="1353"/>
      <c r="HY146" s="1353"/>
      <c r="HZ146" s="1353"/>
      <c r="IA146" s="1353"/>
      <c r="IB146" s="1353"/>
      <c r="IC146" s="1353"/>
      <c r="ID146" s="1353"/>
      <c r="IE146" s="1353"/>
      <c r="IF146" s="1353"/>
      <c r="IG146" s="1353"/>
      <c r="IH146" s="1353"/>
      <c r="II146" s="1353"/>
      <c r="IJ146" s="1353"/>
      <c r="IK146" s="1353"/>
      <c r="IL146" s="1353"/>
      <c r="IM146" s="1353"/>
      <c r="IN146" s="1353"/>
      <c r="IO146" s="1353"/>
      <c r="IP146" s="1353"/>
      <c r="IQ146" s="1353"/>
      <c r="IR146" s="1353"/>
      <c r="IS146" s="1353"/>
      <c r="IT146" s="1353"/>
      <c r="IU146" s="1353"/>
      <c r="IV146" s="1353"/>
      <c r="IW146" s="1353"/>
      <c r="IX146" s="1353"/>
      <c r="IY146" s="1353"/>
      <c r="IZ146" s="1353"/>
      <c r="JA146" s="1353"/>
      <c r="JB146" s="1353"/>
      <c r="JC146" s="1353"/>
      <c r="JD146" s="1353"/>
      <c r="JE146" s="1353"/>
      <c r="JF146" s="1353"/>
      <c r="JG146" s="1353"/>
      <c r="JH146" s="1353"/>
      <c r="JI146" s="1353"/>
      <c r="JJ146" s="1353"/>
      <c r="JK146" s="1353"/>
      <c r="JL146" s="1353"/>
      <c r="JM146" s="1353"/>
      <c r="JN146" s="1353"/>
      <c r="JO146" s="1353"/>
      <c r="JP146" s="1353"/>
      <c r="JQ146" s="1353"/>
      <c r="JR146" s="1353"/>
      <c r="JS146" s="1353"/>
      <c r="JT146" s="1353"/>
      <c r="JU146" s="1353"/>
      <c r="JV146" s="1353"/>
      <c r="JW146" s="1353"/>
      <c r="JX146" s="1353"/>
      <c r="JY146" s="1353"/>
      <c r="JZ146" s="1353"/>
      <c r="KA146" s="1353"/>
      <c r="KB146" s="1353"/>
      <c r="KC146" s="1353"/>
      <c r="KD146" s="1353"/>
      <c r="KE146" s="1353"/>
      <c r="KF146" s="1353"/>
      <c r="KG146" s="1353"/>
      <c r="KH146" s="1353"/>
      <c r="KI146" s="1353"/>
      <c r="KJ146" s="1353"/>
      <c r="KK146" s="1353"/>
    </row>
    <row r="147" ht="14.25" customHeight="1">
      <c r="A147" s="1353"/>
      <c r="B147" s="2997" t="s">
        <v>2961</v>
      </c>
      <c r="C147" s="2997" t="s">
        <v>2962</v>
      </c>
      <c r="D147" s="2997" t="s">
        <v>2963</v>
      </c>
      <c r="E147" s="2997" t="s">
        <v>2520</v>
      </c>
      <c r="F147" s="2997"/>
      <c r="G147" s="2997"/>
      <c r="H147" s="2997" t="s">
        <v>2964</v>
      </c>
      <c r="I147" s="2997" t="s">
        <v>2965</v>
      </c>
      <c r="J147" s="2997" t="s">
        <v>2444</v>
      </c>
      <c r="K147" s="2997" t="s">
        <v>2715</v>
      </c>
      <c r="L147" s="2998" t="s">
        <v>2966</v>
      </c>
      <c r="M147" s="2998" t="s">
        <v>2967</v>
      </c>
      <c r="N147" s="1353"/>
      <c r="O147" s="1353"/>
      <c r="P147" s="1353"/>
      <c r="Q147" s="1353"/>
      <c r="R147" s="1353"/>
      <c r="S147" s="1353"/>
      <c r="T147" s="1353"/>
      <c r="U147" s="1353"/>
      <c r="V147" s="1353"/>
      <c r="W147" s="1353"/>
      <c r="X147" s="1353"/>
      <c r="Y147" s="1353"/>
      <c r="Z147" s="1353"/>
      <c r="AA147" s="1353"/>
      <c r="AB147" s="2993"/>
      <c r="AC147" s="2993"/>
      <c r="AD147" s="2993"/>
      <c r="AE147" s="2993"/>
      <c r="AF147" s="2993"/>
      <c r="AG147" s="2993"/>
      <c r="AH147" s="2993"/>
      <c r="AI147" s="1353"/>
      <c r="AJ147" s="1353"/>
      <c r="AK147" s="1353"/>
      <c r="AL147" s="1353"/>
      <c r="AM147" s="1353"/>
      <c r="AN147" s="1353"/>
      <c r="AO147" s="1353"/>
      <c r="AP147" s="1353"/>
      <c r="AQ147" s="1353"/>
      <c r="AR147" s="1353"/>
      <c r="AS147" s="1353"/>
      <c r="AT147" s="1353"/>
      <c r="AU147" s="1353"/>
      <c r="AV147" s="1353"/>
      <c r="AW147" s="1353"/>
      <c r="AX147" s="1353"/>
      <c r="AY147" s="1353"/>
      <c r="AZ147" s="1353"/>
      <c r="BA147" s="1353"/>
      <c r="BB147" s="1353"/>
      <c r="BC147" s="1353"/>
      <c r="BD147" s="1353"/>
      <c r="BE147" s="1353"/>
      <c r="BF147" s="1353"/>
      <c r="BG147" s="1353"/>
      <c r="BH147" s="1353"/>
      <c r="BI147" s="1353"/>
      <c r="BJ147" s="1353"/>
      <c r="BK147" s="1353"/>
      <c r="BL147" s="1353"/>
      <c r="BM147" s="1353"/>
      <c r="BN147" s="1353"/>
      <c r="BO147" s="1353"/>
      <c r="BP147" s="1353"/>
      <c r="BQ147" s="1353"/>
      <c r="BR147" s="1353"/>
      <c r="BS147" s="1353"/>
      <c r="BT147" s="1353"/>
      <c r="BU147" s="1353"/>
      <c r="BV147" s="1353"/>
      <c r="BW147" s="1353"/>
      <c r="BX147" s="1353"/>
      <c r="BY147" s="1353"/>
      <c r="BZ147" s="1353"/>
      <c r="CA147" s="1353"/>
      <c r="CB147" s="1353"/>
      <c r="CC147" s="1353"/>
      <c r="CD147" s="1353"/>
      <c r="CE147" s="1353"/>
      <c r="CF147" s="1353"/>
      <c r="CG147" s="1353"/>
      <c r="CH147" s="1353"/>
      <c r="CI147" s="1353"/>
      <c r="CJ147" s="1353"/>
      <c r="CK147" s="1353"/>
      <c r="CL147" s="1353"/>
      <c r="CM147" s="1353"/>
      <c r="CN147" s="1353"/>
      <c r="CO147" s="1353"/>
      <c r="CP147" s="1353"/>
      <c r="CQ147" s="1353"/>
      <c r="CR147" s="1353"/>
      <c r="CS147" s="1353"/>
      <c r="CT147" s="1353"/>
      <c r="CU147" s="1353"/>
      <c r="CV147" s="1353"/>
      <c r="CW147" s="1353"/>
      <c r="CX147" s="1353"/>
      <c r="CY147" s="1353"/>
      <c r="CZ147" s="1353"/>
      <c r="DA147" s="1353"/>
      <c r="DB147" s="1353"/>
      <c r="DC147" s="1353"/>
      <c r="DD147" s="1353"/>
      <c r="DE147" s="1353"/>
      <c r="DF147" s="1353"/>
      <c r="DG147" s="1353"/>
      <c r="DH147" s="1353"/>
      <c r="DI147" s="1353"/>
      <c r="DJ147" s="1353"/>
      <c r="DK147" s="1353"/>
      <c r="DL147" s="1353"/>
      <c r="DM147" s="1353"/>
      <c r="DN147" s="1353"/>
      <c r="DO147" s="1353"/>
      <c r="DP147" s="1353"/>
      <c r="DQ147" s="1353"/>
      <c r="DR147" s="1353"/>
      <c r="DS147" s="1353"/>
      <c r="DT147" s="1353"/>
      <c r="DU147" s="1353"/>
      <c r="DV147" s="1353"/>
      <c r="DW147" s="1353"/>
      <c r="DX147" s="1353"/>
      <c r="DY147" s="1353"/>
      <c r="DZ147" s="1353"/>
      <c r="EA147" s="1353"/>
      <c r="EB147" s="1353"/>
      <c r="EC147" s="1353"/>
      <c r="ED147" s="1353"/>
      <c r="EE147" s="1353"/>
      <c r="EF147" s="1353"/>
      <c r="EG147" s="1353"/>
      <c r="EH147" s="1353"/>
      <c r="EI147" s="1353"/>
      <c r="EJ147" s="1353"/>
      <c r="EK147" s="1353"/>
      <c r="EL147" s="1353"/>
      <c r="EM147" s="1353"/>
      <c r="EN147" s="1353"/>
      <c r="EO147" s="1353"/>
      <c r="EP147" s="1353"/>
      <c r="EQ147" s="1353"/>
      <c r="ER147" s="1353"/>
      <c r="ES147" s="1353"/>
      <c r="ET147" s="1353"/>
      <c r="EU147" s="1353"/>
      <c r="EV147" s="1353"/>
      <c r="EW147" s="1353"/>
      <c r="EX147" s="1353"/>
      <c r="EY147" s="1353"/>
      <c r="EZ147" s="1353"/>
      <c r="FA147" s="1353"/>
      <c r="FB147" s="1353"/>
      <c r="FC147" s="1353"/>
      <c r="FD147" s="1353"/>
      <c r="FE147" s="1353"/>
      <c r="FF147" s="1353"/>
      <c r="FG147" s="1353"/>
      <c r="FH147" s="1353"/>
      <c r="FI147" s="1353"/>
      <c r="FJ147" s="1353"/>
      <c r="FK147" s="1353"/>
      <c r="FL147" s="1353"/>
      <c r="FM147" s="1353"/>
      <c r="FN147" s="1353"/>
      <c r="FO147" s="1353"/>
      <c r="FP147" s="1353"/>
      <c r="FQ147" s="1353"/>
      <c r="FR147" s="1353"/>
      <c r="FS147" s="1353"/>
      <c r="FT147" s="1353"/>
      <c r="FU147" s="1353"/>
      <c r="FV147" s="1353"/>
      <c r="FW147" s="1353"/>
      <c r="FX147" s="1353"/>
      <c r="FY147" s="1353"/>
      <c r="FZ147" s="1353"/>
      <c r="GA147" s="1353"/>
      <c r="GB147" s="1353"/>
      <c r="GC147" s="1353"/>
      <c r="GD147" s="1353"/>
      <c r="GE147" s="1353"/>
      <c r="GF147" s="1353"/>
      <c r="GG147" s="1353"/>
      <c r="GH147" s="1353"/>
      <c r="GI147" s="1353"/>
      <c r="GJ147" s="1353"/>
      <c r="GK147" s="1353"/>
      <c r="GL147" s="1353"/>
      <c r="GM147" s="1353"/>
      <c r="GN147" s="1353"/>
      <c r="GO147" s="1353"/>
      <c r="GP147" s="1353"/>
      <c r="GQ147" s="1353"/>
      <c r="GR147" s="1353"/>
      <c r="GS147" s="1353"/>
      <c r="GT147" s="1353"/>
      <c r="GU147" s="1353"/>
      <c r="GV147" s="1353"/>
      <c r="GW147" s="1353"/>
      <c r="GX147" s="1353"/>
      <c r="GY147" s="1353"/>
      <c r="GZ147" s="1353"/>
      <c r="HA147" s="1353"/>
      <c r="HB147" s="1353"/>
      <c r="HC147" s="1353"/>
      <c r="HD147" s="1353"/>
      <c r="HE147" s="1353"/>
      <c r="HF147" s="1353"/>
      <c r="HG147" s="1353"/>
      <c r="HH147" s="1353"/>
      <c r="HI147" s="1353"/>
      <c r="HJ147" s="1353"/>
      <c r="HK147" s="1353"/>
      <c r="HL147" s="1353"/>
      <c r="HM147" s="1353"/>
      <c r="HN147" s="1353"/>
      <c r="HO147" s="1353"/>
      <c r="HP147" s="1353"/>
      <c r="HQ147" s="1353"/>
      <c r="HR147" s="1353"/>
      <c r="HS147" s="1353"/>
      <c r="HT147" s="1353"/>
      <c r="HU147" s="1353"/>
      <c r="HV147" s="1353"/>
      <c r="HW147" s="1353"/>
      <c r="HX147" s="1353"/>
      <c r="HY147" s="1353"/>
      <c r="HZ147" s="1353"/>
      <c r="IA147" s="1353"/>
      <c r="IB147" s="1353"/>
      <c r="IC147" s="1353"/>
      <c r="ID147" s="1353"/>
      <c r="IE147" s="1353"/>
      <c r="IF147" s="1353"/>
      <c r="IG147" s="1353"/>
      <c r="IH147" s="1353"/>
      <c r="II147" s="1353"/>
      <c r="IJ147" s="1353"/>
      <c r="IK147" s="1353"/>
      <c r="IL147" s="1353"/>
      <c r="IM147" s="1353"/>
      <c r="IN147" s="1353"/>
      <c r="IO147" s="1353"/>
      <c r="IP147" s="1353"/>
      <c r="IQ147" s="1353"/>
      <c r="IR147" s="1353"/>
      <c r="IS147" s="1353"/>
      <c r="IT147" s="1353"/>
      <c r="IU147" s="1353"/>
      <c r="IV147" s="1353"/>
      <c r="IW147" s="1353"/>
      <c r="IX147" s="1353"/>
      <c r="IY147" s="1353"/>
      <c r="IZ147" s="1353"/>
      <c r="JA147" s="1353"/>
      <c r="JB147" s="1353"/>
      <c r="JC147" s="1353"/>
      <c r="JD147" s="1353"/>
      <c r="JE147" s="1353"/>
      <c r="JF147" s="1353"/>
      <c r="JG147" s="1353"/>
      <c r="JH147" s="1353"/>
      <c r="JI147" s="1353"/>
      <c r="JJ147" s="1353"/>
      <c r="JK147" s="1353"/>
      <c r="JL147" s="1353"/>
      <c r="JM147" s="1353"/>
      <c r="JN147" s="1353"/>
      <c r="JO147" s="1353"/>
      <c r="JP147" s="1353"/>
      <c r="JQ147" s="1353"/>
      <c r="JR147" s="1353"/>
      <c r="JS147" s="1353"/>
      <c r="JT147" s="1353"/>
      <c r="JU147" s="1353"/>
      <c r="JV147" s="1353"/>
      <c r="JW147" s="1353"/>
      <c r="JX147" s="1353"/>
      <c r="JY147" s="1353"/>
      <c r="JZ147" s="1353"/>
      <c r="KA147" s="1353"/>
      <c r="KB147" s="1353"/>
      <c r="KC147" s="1353"/>
      <c r="KD147" s="1353"/>
      <c r="KE147" s="1353"/>
      <c r="KF147" s="1353"/>
      <c r="KG147" s="1353"/>
      <c r="KH147" s="1353"/>
      <c r="KI147" s="1353"/>
      <c r="KJ147" s="1353"/>
      <c r="KK147" s="1353"/>
    </row>
    <row r="148" ht="14.25" customHeight="1">
      <c r="A148" s="1353"/>
      <c r="B148" s="2999"/>
      <c r="C148" s="2999"/>
      <c r="D148" s="3000"/>
      <c r="E148" s="3001"/>
      <c r="F148" s="3001"/>
      <c r="G148" s="3001"/>
      <c r="H148" s="3001"/>
      <c r="I148" s="3002"/>
      <c r="J148" s="3001"/>
      <c r="K148" s="3003"/>
      <c r="L148" s="3003"/>
      <c r="M148" s="3003"/>
      <c r="N148" s="1353"/>
      <c r="O148" s="1353"/>
      <c r="P148" s="1353"/>
      <c r="Q148" s="1353"/>
      <c r="R148" s="1353"/>
      <c r="S148" s="1353"/>
      <c r="T148" s="1353"/>
      <c r="U148" s="1353"/>
      <c r="V148" s="1353"/>
      <c r="W148" s="1353"/>
      <c r="X148" s="1353"/>
      <c r="Y148" s="1353"/>
      <c r="Z148" s="1353"/>
      <c r="AA148" s="1353"/>
      <c r="AB148" s="2993"/>
      <c r="AC148" s="2993"/>
      <c r="AD148" s="2993"/>
      <c r="AE148" s="2993"/>
      <c r="AF148" s="2993"/>
      <c r="AG148" s="2993"/>
      <c r="AH148" s="2993"/>
      <c r="AI148" s="1353"/>
      <c r="AJ148" s="1353"/>
      <c r="AK148" s="1353"/>
      <c r="AL148" s="1353"/>
      <c r="AM148" s="1353"/>
      <c r="AN148" s="1353"/>
      <c r="AO148" s="1353"/>
      <c r="AP148" s="1353"/>
      <c r="AQ148" s="1353"/>
      <c r="AR148" s="1353"/>
      <c r="AS148" s="1353"/>
      <c r="AT148" s="1353"/>
      <c r="AU148" s="1353"/>
      <c r="AV148" s="1353"/>
      <c r="AW148" s="1353"/>
      <c r="AX148" s="1353"/>
      <c r="AY148" s="1353"/>
      <c r="AZ148" s="1353"/>
      <c r="BA148" s="1353"/>
      <c r="BB148" s="1353"/>
      <c r="BC148" s="1353"/>
      <c r="BD148" s="1353"/>
      <c r="BE148" s="1353"/>
      <c r="BF148" s="1353"/>
      <c r="BG148" s="1353"/>
      <c r="BH148" s="1353"/>
      <c r="BI148" s="1353"/>
      <c r="BJ148" s="1353"/>
      <c r="BK148" s="1353"/>
      <c r="BL148" s="1353"/>
      <c r="BM148" s="1353"/>
      <c r="BN148" s="1353"/>
      <c r="BO148" s="1353"/>
      <c r="BP148" s="1353"/>
      <c r="BQ148" s="1353"/>
      <c r="BR148" s="1353"/>
      <c r="BS148" s="1353"/>
      <c r="BT148" s="1353"/>
      <c r="BU148" s="1353"/>
      <c r="BV148" s="1353"/>
      <c r="BW148" s="1353"/>
      <c r="BX148" s="1353"/>
      <c r="BY148" s="1353"/>
      <c r="BZ148" s="1353"/>
      <c r="CA148" s="1353"/>
      <c r="CB148" s="1353"/>
      <c r="CC148" s="1353"/>
      <c r="CD148" s="1353"/>
      <c r="CE148" s="1353"/>
      <c r="CF148" s="1353"/>
      <c r="CG148" s="1353"/>
      <c r="CH148" s="1353"/>
      <c r="CI148" s="1353"/>
      <c r="CJ148" s="1353"/>
      <c r="CK148" s="1353"/>
      <c r="CL148" s="1353"/>
      <c r="CM148" s="1353"/>
      <c r="CN148" s="1353"/>
      <c r="CO148" s="1353"/>
      <c r="CP148" s="1353"/>
      <c r="CQ148" s="1353"/>
      <c r="CR148" s="1353"/>
      <c r="CS148" s="1353"/>
      <c r="CT148" s="1353"/>
      <c r="CU148" s="1353"/>
      <c r="CV148" s="1353"/>
      <c r="CW148" s="1353"/>
      <c r="CX148" s="1353"/>
      <c r="CY148" s="1353"/>
      <c r="CZ148" s="1353"/>
      <c r="DA148" s="1353"/>
      <c r="DB148" s="1353"/>
      <c r="DC148" s="1353"/>
      <c r="DD148" s="1353"/>
      <c r="DE148" s="1353"/>
      <c r="DF148" s="1353"/>
      <c r="DG148" s="1353"/>
      <c r="DH148" s="1353"/>
      <c r="DI148" s="1353"/>
      <c r="DJ148" s="1353"/>
      <c r="DK148" s="1353"/>
      <c r="DL148" s="1353"/>
      <c r="DM148" s="1353"/>
      <c r="DN148" s="1353"/>
      <c r="DO148" s="1353"/>
      <c r="DP148" s="1353"/>
      <c r="DQ148" s="1353"/>
      <c r="DR148" s="1353"/>
      <c r="DS148" s="1353"/>
      <c r="DT148" s="1353"/>
      <c r="DU148" s="1353"/>
      <c r="DV148" s="1353"/>
      <c r="DW148" s="1353"/>
      <c r="DX148" s="1353"/>
      <c r="DY148" s="1353"/>
      <c r="DZ148" s="1353"/>
      <c r="EA148" s="1353"/>
      <c r="EB148" s="1353"/>
      <c r="EC148" s="1353"/>
      <c r="ED148" s="1353"/>
      <c r="EE148" s="1353"/>
      <c r="EF148" s="1353"/>
      <c r="EG148" s="1353"/>
      <c r="EH148" s="1353"/>
      <c r="EI148" s="1353"/>
      <c r="EJ148" s="1353"/>
      <c r="EK148" s="1353"/>
      <c r="EL148" s="1353"/>
      <c r="EM148" s="1353"/>
      <c r="EN148" s="1353"/>
      <c r="EO148" s="1353"/>
      <c r="EP148" s="1353"/>
      <c r="EQ148" s="1353"/>
      <c r="ER148" s="1353"/>
      <c r="ES148" s="1353"/>
      <c r="ET148" s="1353"/>
      <c r="EU148" s="1353"/>
      <c r="EV148" s="1353"/>
      <c r="EW148" s="1353"/>
      <c r="EX148" s="1353"/>
      <c r="EY148" s="1353"/>
      <c r="EZ148" s="1353"/>
      <c r="FA148" s="1353"/>
      <c r="FB148" s="1353"/>
      <c r="FC148" s="1353"/>
      <c r="FD148" s="1353"/>
      <c r="FE148" s="1353"/>
      <c r="FF148" s="1353"/>
      <c r="FG148" s="1353"/>
      <c r="FH148" s="1353"/>
      <c r="FI148" s="1353"/>
      <c r="FJ148" s="1353"/>
      <c r="FK148" s="1353"/>
      <c r="FL148" s="1353"/>
      <c r="FM148" s="1353"/>
      <c r="FN148" s="1353"/>
      <c r="FO148" s="1353"/>
      <c r="FP148" s="1353"/>
      <c r="FQ148" s="1353"/>
      <c r="FR148" s="1353"/>
      <c r="FS148" s="1353"/>
      <c r="FT148" s="1353"/>
      <c r="FU148" s="1353"/>
      <c r="FV148" s="1353"/>
      <c r="FW148" s="1353"/>
      <c r="FX148" s="1353"/>
      <c r="FY148" s="1353"/>
      <c r="FZ148" s="1353"/>
      <c r="GA148" s="1353"/>
      <c r="GB148" s="1353"/>
      <c r="GC148" s="1353"/>
      <c r="GD148" s="1353"/>
      <c r="GE148" s="1353"/>
      <c r="GF148" s="1353"/>
      <c r="GG148" s="1353"/>
      <c r="GH148" s="1353"/>
      <c r="GI148" s="1353"/>
      <c r="GJ148" s="1353"/>
      <c r="GK148" s="1353"/>
      <c r="GL148" s="1353"/>
      <c r="GM148" s="1353"/>
      <c r="GN148" s="1353"/>
      <c r="GO148" s="1353"/>
      <c r="GP148" s="1353"/>
      <c r="GQ148" s="1353"/>
      <c r="GR148" s="1353"/>
      <c r="GS148" s="1353"/>
      <c r="GT148" s="1353"/>
      <c r="GU148" s="1353"/>
      <c r="GV148" s="1353"/>
      <c r="GW148" s="1353"/>
      <c r="GX148" s="1353"/>
      <c r="GY148" s="1353"/>
      <c r="GZ148" s="1353"/>
      <c r="HA148" s="1353"/>
      <c r="HB148" s="1353"/>
      <c r="HC148" s="1353"/>
      <c r="HD148" s="1353"/>
      <c r="HE148" s="1353"/>
      <c r="HF148" s="1353"/>
      <c r="HG148" s="1353"/>
      <c r="HH148" s="1353"/>
      <c r="HI148" s="1353"/>
      <c r="HJ148" s="1353"/>
      <c r="HK148" s="1353"/>
      <c r="HL148" s="1353"/>
      <c r="HM148" s="1353"/>
      <c r="HN148" s="1353"/>
      <c r="HO148" s="1353"/>
      <c r="HP148" s="1353"/>
      <c r="HQ148" s="1353"/>
      <c r="HR148" s="1353"/>
      <c r="HS148" s="1353"/>
      <c r="HT148" s="1353"/>
      <c r="HU148" s="1353"/>
      <c r="HV148" s="1353"/>
      <c r="HW148" s="1353"/>
      <c r="HX148" s="1353"/>
      <c r="HY148" s="1353"/>
      <c r="HZ148" s="1353"/>
      <c r="IA148" s="1353"/>
      <c r="IB148" s="1353"/>
      <c r="IC148" s="1353"/>
      <c r="ID148" s="1353"/>
      <c r="IE148" s="1353"/>
      <c r="IF148" s="1353"/>
      <c r="IG148" s="1353"/>
      <c r="IH148" s="1353"/>
      <c r="II148" s="1353"/>
      <c r="IJ148" s="1353"/>
      <c r="IK148" s="1353"/>
      <c r="IL148" s="1353"/>
      <c r="IM148" s="1353"/>
      <c r="IN148" s="1353"/>
      <c r="IO148" s="1353"/>
      <c r="IP148" s="1353"/>
      <c r="IQ148" s="1353"/>
      <c r="IR148" s="1353"/>
      <c r="IS148" s="1353"/>
      <c r="IT148" s="1353"/>
      <c r="IU148" s="1353"/>
      <c r="IV148" s="1353"/>
      <c r="IW148" s="1353"/>
      <c r="IX148" s="1353"/>
      <c r="IY148" s="1353"/>
      <c r="IZ148" s="1353"/>
      <c r="JA148" s="1353"/>
      <c r="JB148" s="1353"/>
      <c r="JC148" s="1353"/>
      <c r="JD148" s="1353"/>
      <c r="JE148" s="1353"/>
      <c r="JF148" s="1353"/>
      <c r="JG148" s="1353"/>
      <c r="JH148" s="1353"/>
      <c r="JI148" s="1353"/>
      <c r="JJ148" s="1353"/>
      <c r="JK148" s="1353"/>
      <c r="JL148" s="1353"/>
      <c r="JM148" s="1353"/>
      <c r="JN148" s="1353"/>
      <c r="JO148" s="1353"/>
      <c r="JP148" s="1353"/>
      <c r="JQ148" s="1353"/>
      <c r="JR148" s="1353"/>
      <c r="JS148" s="1353"/>
      <c r="JT148" s="1353"/>
      <c r="JU148" s="1353"/>
      <c r="JV148" s="1353"/>
      <c r="JW148" s="1353"/>
      <c r="JX148" s="1353"/>
      <c r="JY148" s="1353"/>
      <c r="JZ148" s="1353"/>
      <c r="KA148" s="1353"/>
      <c r="KB148" s="1353"/>
      <c r="KC148" s="1353"/>
      <c r="KD148" s="1353"/>
      <c r="KE148" s="1353"/>
      <c r="KF148" s="1353"/>
      <c r="KG148" s="1353"/>
      <c r="KH148" s="1353"/>
      <c r="KI148" s="1353"/>
      <c r="KJ148" s="1353"/>
      <c r="KK148" s="1353"/>
    </row>
    <row r="149" ht="14.25" customHeight="1">
      <c r="A149" s="1353"/>
      <c r="B149" s="2999"/>
      <c r="C149" s="2999"/>
      <c r="D149" s="3000"/>
      <c r="E149" s="3001"/>
      <c r="F149" s="3001"/>
      <c r="G149" s="3001"/>
      <c r="H149" s="3001"/>
      <c r="I149" s="3002"/>
      <c r="J149" s="3001"/>
      <c r="K149" s="3003"/>
      <c r="L149" s="3003"/>
      <c r="M149" s="3003"/>
      <c r="N149" s="1353"/>
      <c r="O149" s="1353"/>
      <c r="P149" s="1353"/>
      <c r="Q149" s="1353"/>
      <c r="R149" s="1353"/>
      <c r="S149" s="1353"/>
      <c r="T149" s="1353"/>
      <c r="U149" s="1353"/>
      <c r="V149" s="1353"/>
      <c r="W149" s="1353"/>
      <c r="X149" s="1353"/>
      <c r="Y149" s="1353"/>
      <c r="Z149" s="1353"/>
      <c r="AA149" s="1353"/>
      <c r="AB149" s="2993"/>
      <c r="AC149" s="2993"/>
      <c r="AD149" s="2993"/>
      <c r="AE149" s="2993"/>
      <c r="AF149" s="2993"/>
      <c r="AG149" s="2993"/>
      <c r="AH149" s="2993"/>
      <c r="AI149" s="1353"/>
      <c r="AJ149" s="1353"/>
      <c r="AK149" s="1353"/>
      <c r="AL149" s="1353"/>
      <c r="AM149" s="1353"/>
      <c r="AN149" s="1353"/>
      <c r="AO149" s="1353"/>
      <c r="AP149" s="1353"/>
      <c r="AQ149" s="1353"/>
      <c r="AR149" s="1353"/>
      <c r="AS149" s="1353"/>
      <c r="AT149" s="1353"/>
      <c r="AU149" s="1353"/>
      <c r="AV149" s="1353"/>
      <c r="AW149" s="1353"/>
      <c r="AX149" s="1353"/>
      <c r="AY149" s="1353"/>
      <c r="AZ149" s="1353"/>
      <c r="BA149" s="1353"/>
      <c r="BB149" s="1353"/>
      <c r="BC149" s="1353"/>
      <c r="BD149" s="1353"/>
      <c r="BE149" s="1353"/>
      <c r="BF149" s="1353"/>
      <c r="BG149" s="1353"/>
      <c r="BH149" s="1353"/>
      <c r="BI149" s="1353"/>
      <c r="BJ149" s="1353"/>
      <c r="BK149" s="1353"/>
      <c r="BL149" s="1353"/>
      <c r="BM149" s="1353"/>
      <c r="BN149" s="1353"/>
      <c r="BO149" s="1353"/>
      <c r="BP149" s="1353"/>
      <c r="BQ149" s="1353"/>
      <c r="BR149" s="1353"/>
      <c r="BS149" s="1353"/>
      <c r="BT149" s="1353"/>
      <c r="BU149" s="1353"/>
      <c r="BV149" s="1353"/>
      <c r="BW149" s="1353"/>
      <c r="BX149" s="1353"/>
      <c r="BY149" s="1353"/>
      <c r="BZ149" s="1353"/>
      <c r="CA149" s="1353"/>
      <c r="CB149" s="1353"/>
      <c r="CC149" s="1353"/>
      <c r="CD149" s="1353"/>
      <c r="CE149" s="1353"/>
      <c r="CF149" s="1353"/>
      <c r="CG149" s="1353"/>
      <c r="CH149" s="1353"/>
      <c r="CI149" s="1353"/>
      <c r="CJ149" s="1353"/>
      <c r="CK149" s="1353"/>
      <c r="CL149" s="1353"/>
      <c r="CM149" s="1353"/>
      <c r="CN149" s="1353"/>
      <c r="CO149" s="1353"/>
      <c r="CP149" s="1353"/>
      <c r="CQ149" s="1353"/>
      <c r="CR149" s="1353"/>
      <c r="CS149" s="1353"/>
      <c r="CT149" s="1353"/>
      <c r="CU149" s="1353"/>
      <c r="CV149" s="1353"/>
      <c r="CW149" s="1353"/>
      <c r="CX149" s="1353"/>
      <c r="CY149" s="1353"/>
      <c r="CZ149" s="1353"/>
      <c r="DA149" s="1353"/>
      <c r="DB149" s="1353"/>
      <c r="DC149" s="1353"/>
      <c r="DD149" s="1353"/>
      <c r="DE149" s="1353"/>
      <c r="DF149" s="1353"/>
      <c r="DG149" s="1353"/>
      <c r="DH149" s="1353"/>
      <c r="DI149" s="1353"/>
      <c r="DJ149" s="1353"/>
      <c r="DK149" s="1353"/>
      <c r="DL149" s="1353"/>
      <c r="DM149" s="1353"/>
      <c r="DN149" s="1353"/>
      <c r="DO149" s="1353"/>
      <c r="DP149" s="1353"/>
      <c r="DQ149" s="1353"/>
      <c r="DR149" s="1353"/>
      <c r="DS149" s="1353"/>
      <c r="DT149" s="1353"/>
      <c r="DU149" s="1353"/>
      <c r="DV149" s="1353"/>
      <c r="DW149" s="1353"/>
      <c r="DX149" s="1353"/>
      <c r="DY149" s="1353"/>
      <c r="DZ149" s="1353"/>
      <c r="EA149" s="1353"/>
      <c r="EB149" s="1353"/>
      <c r="EC149" s="1353"/>
      <c r="ED149" s="1353"/>
      <c r="EE149" s="1353"/>
      <c r="EF149" s="1353"/>
      <c r="EG149" s="1353"/>
      <c r="EH149" s="1353"/>
      <c r="EI149" s="1353"/>
      <c r="EJ149" s="1353"/>
      <c r="EK149" s="1353"/>
      <c r="EL149" s="1353"/>
      <c r="EM149" s="1353"/>
      <c r="EN149" s="1353"/>
      <c r="EO149" s="1353"/>
      <c r="EP149" s="1353"/>
      <c r="EQ149" s="1353"/>
      <c r="ER149" s="1353"/>
      <c r="ES149" s="1353"/>
      <c r="ET149" s="1353"/>
      <c r="EU149" s="1353"/>
      <c r="EV149" s="1353"/>
      <c r="EW149" s="1353"/>
      <c r="EX149" s="1353"/>
      <c r="EY149" s="1353"/>
      <c r="EZ149" s="1353"/>
      <c r="FA149" s="1353"/>
      <c r="FB149" s="1353"/>
      <c r="FC149" s="1353"/>
      <c r="FD149" s="1353"/>
      <c r="FE149" s="1353"/>
      <c r="FF149" s="1353"/>
      <c r="FG149" s="1353"/>
      <c r="FH149" s="1353"/>
      <c r="FI149" s="1353"/>
      <c r="FJ149" s="1353"/>
      <c r="FK149" s="1353"/>
      <c r="FL149" s="1353"/>
      <c r="FM149" s="1353"/>
      <c r="FN149" s="1353"/>
      <c r="FO149" s="1353"/>
      <c r="FP149" s="1353"/>
      <c r="FQ149" s="1353"/>
      <c r="FR149" s="1353"/>
      <c r="FS149" s="1353"/>
      <c r="FT149" s="1353"/>
      <c r="FU149" s="1353"/>
      <c r="FV149" s="1353"/>
      <c r="FW149" s="1353"/>
      <c r="FX149" s="1353"/>
      <c r="FY149" s="1353"/>
      <c r="FZ149" s="1353"/>
      <c r="GA149" s="1353"/>
      <c r="GB149" s="1353"/>
      <c r="GC149" s="1353"/>
      <c r="GD149" s="1353"/>
      <c r="GE149" s="1353"/>
      <c r="GF149" s="1353"/>
      <c r="GG149" s="1353"/>
      <c r="GH149" s="1353"/>
      <c r="GI149" s="1353"/>
      <c r="GJ149" s="1353"/>
      <c r="GK149" s="1353"/>
      <c r="GL149" s="1353"/>
      <c r="GM149" s="1353"/>
      <c r="GN149" s="1353"/>
      <c r="GO149" s="1353"/>
      <c r="GP149" s="1353"/>
      <c r="GQ149" s="1353"/>
      <c r="GR149" s="1353"/>
      <c r="GS149" s="1353"/>
      <c r="GT149" s="1353"/>
      <c r="GU149" s="1353"/>
      <c r="GV149" s="1353"/>
      <c r="GW149" s="1353"/>
      <c r="GX149" s="1353"/>
      <c r="GY149" s="1353"/>
      <c r="GZ149" s="1353"/>
      <c r="HA149" s="1353"/>
      <c r="HB149" s="1353"/>
      <c r="HC149" s="1353"/>
      <c r="HD149" s="1353"/>
      <c r="HE149" s="1353"/>
      <c r="HF149" s="1353"/>
      <c r="HG149" s="1353"/>
      <c r="HH149" s="1353"/>
      <c r="HI149" s="1353"/>
      <c r="HJ149" s="1353"/>
      <c r="HK149" s="1353"/>
      <c r="HL149" s="1353"/>
      <c r="HM149" s="1353"/>
      <c r="HN149" s="1353"/>
      <c r="HO149" s="1353"/>
      <c r="HP149" s="1353"/>
      <c r="HQ149" s="1353"/>
      <c r="HR149" s="1353"/>
      <c r="HS149" s="1353"/>
      <c r="HT149" s="1353"/>
      <c r="HU149" s="1353"/>
      <c r="HV149" s="1353"/>
      <c r="HW149" s="1353"/>
      <c r="HX149" s="1353"/>
      <c r="HY149" s="1353"/>
      <c r="HZ149" s="1353"/>
      <c r="IA149" s="1353"/>
      <c r="IB149" s="1353"/>
      <c r="IC149" s="1353"/>
      <c r="ID149" s="1353"/>
      <c r="IE149" s="1353"/>
      <c r="IF149" s="1353"/>
      <c r="IG149" s="1353"/>
      <c r="IH149" s="1353"/>
      <c r="II149" s="1353"/>
      <c r="IJ149" s="1353"/>
      <c r="IK149" s="1353"/>
      <c r="IL149" s="1353"/>
      <c r="IM149" s="1353"/>
      <c r="IN149" s="1353"/>
      <c r="IO149" s="1353"/>
      <c r="IP149" s="1353"/>
      <c r="IQ149" s="1353"/>
      <c r="IR149" s="1353"/>
      <c r="IS149" s="1353"/>
      <c r="IT149" s="1353"/>
      <c r="IU149" s="1353"/>
      <c r="IV149" s="1353"/>
      <c r="IW149" s="1353"/>
      <c r="IX149" s="1353"/>
      <c r="IY149" s="1353"/>
      <c r="IZ149" s="1353"/>
      <c r="JA149" s="1353"/>
      <c r="JB149" s="1353"/>
      <c r="JC149" s="1353"/>
      <c r="JD149" s="1353"/>
      <c r="JE149" s="1353"/>
      <c r="JF149" s="1353"/>
      <c r="JG149" s="1353"/>
      <c r="JH149" s="1353"/>
      <c r="JI149" s="1353"/>
      <c r="JJ149" s="1353"/>
      <c r="JK149" s="1353"/>
      <c r="JL149" s="1353"/>
      <c r="JM149" s="1353"/>
      <c r="JN149" s="1353"/>
      <c r="JO149" s="1353"/>
      <c r="JP149" s="1353"/>
      <c r="JQ149" s="1353"/>
      <c r="JR149" s="1353"/>
      <c r="JS149" s="1353"/>
      <c r="JT149" s="1353"/>
      <c r="JU149" s="1353"/>
      <c r="JV149" s="1353"/>
      <c r="JW149" s="1353"/>
      <c r="JX149" s="1353"/>
      <c r="JY149" s="1353"/>
      <c r="JZ149" s="1353"/>
      <c r="KA149" s="1353"/>
      <c r="KB149" s="1353"/>
      <c r="KC149" s="1353"/>
      <c r="KD149" s="1353"/>
      <c r="KE149" s="1353"/>
      <c r="KF149" s="1353"/>
      <c r="KG149" s="1353"/>
      <c r="KH149" s="1353"/>
      <c r="KI149" s="1353"/>
      <c r="KJ149" s="1353"/>
      <c r="KK149" s="1353"/>
    </row>
    <row r="150" ht="14.25" customHeight="1">
      <c r="A150" s="1353"/>
      <c r="B150" s="2999"/>
      <c r="C150" s="2999"/>
      <c r="D150" s="3000"/>
      <c r="E150" s="3001"/>
      <c r="F150" s="3001"/>
      <c r="G150" s="3001"/>
      <c r="H150" s="3001"/>
      <c r="I150" s="3002"/>
      <c r="J150" s="3001"/>
      <c r="K150" s="3003"/>
      <c r="L150" s="3003"/>
      <c r="M150" s="3003"/>
      <c r="N150" s="1353"/>
      <c r="O150" s="1353"/>
      <c r="P150" s="1353"/>
      <c r="Q150" s="1353"/>
      <c r="R150" s="1353"/>
      <c r="S150" s="1353"/>
      <c r="T150" s="1353"/>
      <c r="U150" s="1353"/>
      <c r="V150" s="1353"/>
      <c r="W150" s="1353"/>
      <c r="X150" s="1353"/>
      <c r="Y150" s="1353"/>
      <c r="Z150" s="1353"/>
      <c r="AA150" s="1353"/>
      <c r="AB150" s="2993"/>
      <c r="AC150" s="2993"/>
      <c r="AD150" s="2993"/>
      <c r="AE150" s="2993"/>
      <c r="AF150" s="2993"/>
      <c r="AG150" s="2993"/>
      <c r="AH150" s="2993"/>
      <c r="AI150" s="1353"/>
      <c r="AJ150" s="1353"/>
      <c r="AK150" s="1353"/>
      <c r="AL150" s="1353"/>
      <c r="AM150" s="1353"/>
      <c r="AN150" s="1353"/>
      <c r="AO150" s="1353"/>
      <c r="AP150" s="1353"/>
      <c r="AQ150" s="1353"/>
      <c r="AR150" s="1353"/>
      <c r="AS150" s="1353"/>
      <c r="AT150" s="1353"/>
      <c r="AU150" s="1353"/>
      <c r="AV150" s="1353"/>
      <c r="AW150" s="1353"/>
      <c r="AX150" s="1353"/>
      <c r="AY150" s="1353"/>
      <c r="AZ150" s="1353"/>
      <c r="BA150" s="1353"/>
      <c r="BB150" s="1353"/>
      <c r="BC150" s="1353"/>
      <c r="BD150" s="1353"/>
      <c r="BE150" s="1353"/>
      <c r="BF150" s="1353"/>
      <c r="BG150" s="1353"/>
      <c r="BH150" s="1353"/>
      <c r="BI150" s="1353"/>
      <c r="BJ150" s="1353"/>
      <c r="BK150" s="1353"/>
      <c r="BL150" s="1353"/>
      <c r="BM150" s="1353"/>
      <c r="BN150" s="1353"/>
      <c r="BO150" s="1353"/>
      <c r="BP150" s="1353"/>
      <c r="BQ150" s="1353"/>
      <c r="BR150" s="1353"/>
      <c r="BS150" s="1353"/>
      <c r="BT150" s="1353"/>
      <c r="BU150" s="1353"/>
      <c r="BV150" s="1353"/>
      <c r="BW150" s="1353"/>
      <c r="BX150" s="1353"/>
      <c r="BY150" s="1353"/>
      <c r="BZ150" s="1353"/>
      <c r="CA150" s="1353"/>
      <c r="CB150" s="1353"/>
      <c r="CC150" s="1353"/>
      <c r="CD150" s="1353"/>
      <c r="CE150" s="1353"/>
      <c r="CF150" s="1353"/>
      <c r="CG150" s="1353"/>
      <c r="CH150" s="1353"/>
      <c r="CI150" s="1353"/>
      <c r="CJ150" s="1353"/>
      <c r="CK150" s="1353"/>
      <c r="CL150" s="1353"/>
      <c r="CM150" s="1353"/>
      <c r="CN150" s="1353"/>
      <c r="CO150" s="1353"/>
      <c r="CP150" s="1353"/>
      <c r="CQ150" s="1353"/>
      <c r="CR150" s="1353"/>
      <c r="CS150" s="1353"/>
      <c r="CT150" s="1353"/>
      <c r="CU150" s="1353"/>
      <c r="CV150" s="1353"/>
      <c r="CW150" s="1353"/>
      <c r="CX150" s="1353"/>
      <c r="CY150" s="1353"/>
      <c r="CZ150" s="1353"/>
      <c r="DA150" s="1353"/>
      <c r="DB150" s="1353"/>
      <c r="DC150" s="1353"/>
      <c r="DD150" s="1353"/>
      <c r="DE150" s="1353"/>
      <c r="DF150" s="1353"/>
      <c r="DG150" s="1353"/>
      <c r="DH150" s="1353"/>
      <c r="DI150" s="1353"/>
      <c r="DJ150" s="1353"/>
      <c r="DK150" s="1353"/>
      <c r="DL150" s="1353"/>
      <c r="DM150" s="1353"/>
      <c r="DN150" s="1353"/>
      <c r="DO150" s="1353"/>
      <c r="DP150" s="1353"/>
      <c r="DQ150" s="1353"/>
      <c r="DR150" s="1353"/>
      <c r="DS150" s="1353"/>
      <c r="DT150" s="1353"/>
      <c r="DU150" s="1353"/>
      <c r="DV150" s="1353"/>
      <c r="DW150" s="1353"/>
      <c r="DX150" s="1353"/>
      <c r="DY150" s="1353"/>
      <c r="DZ150" s="1353"/>
      <c r="EA150" s="1353"/>
      <c r="EB150" s="1353"/>
      <c r="EC150" s="1353"/>
      <c r="ED150" s="1353"/>
      <c r="EE150" s="1353"/>
      <c r="EF150" s="1353"/>
      <c r="EG150" s="1353"/>
      <c r="EH150" s="1353"/>
      <c r="EI150" s="1353"/>
      <c r="EJ150" s="1353"/>
      <c r="EK150" s="1353"/>
      <c r="EL150" s="1353"/>
      <c r="EM150" s="1353"/>
      <c r="EN150" s="1353"/>
      <c r="EO150" s="1353"/>
      <c r="EP150" s="1353"/>
      <c r="EQ150" s="1353"/>
      <c r="ER150" s="1353"/>
      <c r="ES150" s="1353"/>
      <c r="ET150" s="1353"/>
      <c r="EU150" s="1353"/>
      <c r="EV150" s="1353"/>
      <c r="EW150" s="1353"/>
      <c r="EX150" s="1353"/>
      <c r="EY150" s="1353"/>
      <c r="EZ150" s="1353"/>
      <c r="FA150" s="1353"/>
      <c r="FB150" s="1353"/>
      <c r="FC150" s="1353"/>
      <c r="FD150" s="1353"/>
      <c r="FE150" s="1353"/>
      <c r="FF150" s="1353"/>
      <c r="FG150" s="1353"/>
      <c r="FH150" s="1353"/>
      <c r="FI150" s="1353"/>
      <c r="FJ150" s="1353"/>
      <c r="FK150" s="1353"/>
      <c r="FL150" s="1353"/>
      <c r="FM150" s="1353"/>
      <c r="FN150" s="1353"/>
      <c r="FO150" s="1353"/>
      <c r="FP150" s="1353"/>
      <c r="FQ150" s="1353"/>
      <c r="FR150" s="1353"/>
      <c r="FS150" s="1353"/>
      <c r="FT150" s="1353"/>
      <c r="FU150" s="1353"/>
      <c r="FV150" s="1353"/>
      <c r="FW150" s="1353"/>
      <c r="FX150" s="1353"/>
      <c r="FY150" s="1353"/>
      <c r="FZ150" s="1353"/>
      <c r="GA150" s="1353"/>
      <c r="GB150" s="1353"/>
      <c r="GC150" s="1353"/>
      <c r="GD150" s="1353"/>
      <c r="GE150" s="1353"/>
      <c r="GF150" s="1353"/>
      <c r="GG150" s="1353"/>
      <c r="GH150" s="1353"/>
      <c r="GI150" s="1353"/>
      <c r="GJ150" s="1353"/>
      <c r="GK150" s="1353"/>
      <c r="GL150" s="1353"/>
      <c r="GM150" s="1353"/>
      <c r="GN150" s="1353"/>
      <c r="GO150" s="1353"/>
      <c r="GP150" s="1353"/>
      <c r="GQ150" s="1353"/>
      <c r="GR150" s="1353"/>
      <c r="GS150" s="1353"/>
      <c r="GT150" s="1353"/>
      <c r="GU150" s="1353"/>
      <c r="GV150" s="1353"/>
      <c r="GW150" s="1353"/>
      <c r="GX150" s="1353"/>
      <c r="GY150" s="1353"/>
      <c r="GZ150" s="1353"/>
      <c r="HA150" s="1353"/>
      <c r="HB150" s="1353"/>
      <c r="HC150" s="1353"/>
      <c r="HD150" s="1353"/>
      <c r="HE150" s="1353"/>
      <c r="HF150" s="1353"/>
      <c r="HG150" s="1353"/>
      <c r="HH150" s="1353"/>
      <c r="HI150" s="1353"/>
      <c r="HJ150" s="1353"/>
      <c r="HK150" s="1353"/>
      <c r="HL150" s="1353"/>
      <c r="HM150" s="1353"/>
      <c r="HN150" s="1353"/>
      <c r="HO150" s="1353"/>
      <c r="HP150" s="1353"/>
      <c r="HQ150" s="1353"/>
      <c r="HR150" s="1353"/>
      <c r="HS150" s="1353"/>
      <c r="HT150" s="1353"/>
      <c r="HU150" s="1353"/>
      <c r="HV150" s="1353"/>
      <c r="HW150" s="1353"/>
      <c r="HX150" s="1353"/>
      <c r="HY150" s="1353"/>
      <c r="HZ150" s="1353"/>
      <c r="IA150" s="1353"/>
      <c r="IB150" s="1353"/>
      <c r="IC150" s="1353"/>
      <c r="ID150" s="1353"/>
      <c r="IE150" s="1353"/>
      <c r="IF150" s="1353"/>
      <c r="IG150" s="1353"/>
      <c r="IH150" s="1353"/>
      <c r="II150" s="1353"/>
      <c r="IJ150" s="1353"/>
      <c r="IK150" s="1353"/>
      <c r="IL150" s="1353"/>
      <c r="IM150" s="1353"/>
      <c r="IN150" s="1353"/>
      <c r="IO150" s="1353"/>
      <c r="IP150" s="1353"/>
      <c r="IQ150" s="1353"/>
      <c r="IR150" s="1353"/>
      <c r="IS150" s="1353"/>
      <c r="IT150" s="1353"/>
      <c r="IU150" s="1353"/>
      <c r="IV150" s="1353"/>
      <c r="IW150" s="1353"/>
      <c r="IX150" s="1353"/>
      <c r="IY150" s="1353"/>
      <c r="IZ150" s="1353"/>
      <c r="JA150" s="1353"/>
      <c r="JB150" s="1353"/>
      <c r="JC150" s="1353"/>
      <c r="JD150" s="1353"/>
      <c r="JE150" s="1353"/>
      <c r="JF150" s="1353"/>
      <c r="JG150" s="1353"/>
      <c r="JH150" s="1353"/>
      <c r="JI150" s="1353"/>
      <c r="JJ150" s="1353"/>
      <c r="JK150" s="1353"/>
      <c r="JL150" s="1353"/>
      <c r="JM150" s="1353"/>
      <c r="JN150" s="1353"/>
      <c r="JO150" s="1353"/>
      <c r="JP150" s="1353"/>
      <c r="JQ150" s="1353"/>
      <c r="JR150" s="1353"/>
      <c r="JS150" s="1353"/>
      <c r="JT150" s="1353"/>
      <c r="JU150" s="1353"/>
      <c r="JV150" s="1353"/>
      <c r="JW150" s="1353"/>
      <c r="JX150" s="1353"/>
      <c r="JY150" s="1353"/>
      <c r="JZ150" s="1353"/>
      <c r="KA150" s="1353"/>
      <c r="KB150" s="1353"/>
      <c r="KC150" s="1353"/>
      <c r="KD150" s="1353"/>
      <c r="KE150" s="1353"/>
      <c r="KF150" s="1353"/>
      <c r="KG150" s="1353"/>
      <c r="KH150" s="1353"/>
      <c r="KI150" s="1353"/>
      <c r="KJ150" s="1353"/>
      <c r="KK150" s="1353"/>
    </row>
    <row r="151" ht="14.25" customHeight="1">
      <c r="A151" s="1353"/>
      <c r="B151" s="2999"/>
      <c r="C151" s="2999"/>
      <c r="D151" s="3000"/>
      <c r="E151" s="3001"/>
      <c r="F151" s="3001"/>
      <c r="G151" s="3001"/>
      <c r="H151" s="3001"/>
      <c r="I151" s="3002"/>
      <c r="J151" s="3001"/>
      <c r="K151" s="3003"/>
      <c r="L151" s="3003"/>
      <c r="M151" s="3003"/>
      <c r="N151" s="1353"/>
      <c r="O151" s="1353"/>
      <c r="P151" s="1353"/>
      <c r="Q151" s="1353"/>
      <c r="R151" s="1353"/>
      <c r="S151" s="1353"/>
      <c r="T151" s="1353"/>
      <c r="U151" s="1353"/>
      <c r="V151" s="1353"/>
      <c r="W151" s="1353"/>
      <c r="X151" s="1353"/>
      <c r="Y151" s="1353"/>
      <c r="Z151" s="1353"/>
      <c r="AA151" s="1353"/>
      <c r="AB151" s="2993"/>
      <c r="AC151" s="2993"/>
      <c r="AD151" s="2993"/>
      <c r="AE151" s="2993"/>
      <c r="AF151" s="2993"/>
      <c r="AG151" s="2993"/>
      <c r="AH151" s="2993"/>
      <c r="AI151" s="1353"/>
      <c r="AJ151" s="1353"/>
      <c r="AK151" s="1353"/>
      <c r="AL151" s="1353"/>
      <c r="AM151" s="1353"/>
      <c r="AN151" s="1353"/>
      <c r="AO151" s="1353"/>
      <c r="AP151" s="1353"/>
      <c r="AQ151" s="1353"/>
      <c r="AR151" s="1353"/>
      <c r="AS151" s="1353"/>
      <c r="AT151" s="1353"/>
      <c r="AU151" s="1353"/>
      <c r="AV151" s="1353"/>
      <c r="AW151" s="1353"/>
      <c r="AX151" s="1353"/>
      <c r="AY151" s="1353"/>
      <c r="AZ151" s="1353"/>
      <c r="BA151" s="1353"/>
      <c r="BB151" s="1353"/>
      <c r="BC151" s="1353"/>
      <c r="BD151" s="1353"/>
      <c r="BE151" s="1353"/>
      <c r="BF151" s="1353"/>
      <c r="BG151" s="1353"/>
      <c r="BH151" s="1353"/>
      <c r="BI151" s="1353"/>
      <c r="BJ151" s="1353"/>
      <c r="BK151" s="1353"/>
      <c r="BL151" s="1353"/>
      <c r="BM151" s="1353"/>
      <c r="BN151" s="1353"/>
      <c r="BO151" s="1353"/>
      <c r="BP151" s="1353"/>
      <c r="BQ151" s="1353"/>
      <c r="BR151" s="1353"/>
      <c r="BS151" s="1353"/>
      <c r="BT151" s="1353"/>
      <c r="BU151" s="1353"/>
      <c r="BV151" s="1353"/>
      <c r="BW151" s="1353"/>
      <c r="BX151" s="1353"/>
      <c r="BY151" s="1353"/>
      <c r="BZ151" s="1353"/>
      <c r="CA151" s="1353"/>
      <c r="CB151" s="1353"/>
      <c r="CC151" s="1353"/>
      <c r="CD151" s="1353"/>
      <c r="CE151" s="1353"/>
      <c r="CF151" s="1353"/>
      <c r="CG151" s="1353"/>
      <c r="CH151" s="1353"/>
      <c r="CI151" s="1353"/>
      <c r="CJ151" s="1353"/>
      <c r="CK151" s="1353"/>
      <c r="CL151" s="1353"/>
      <c r="CM151" s="1353"/>
      <c r="CN151" s="1353"/>
      <c r="CO151" s="1353"/>
      <c r="CP151" s="1353"/>
      <c r="CQ151" s="1353"/>
      <c r="CR151" s="1353"/>
      <c r="CS151" s="1353"/>
      <c r="CT151" s="1353"/>
      <c r="CU151" s="1353"/>
      <c r="CV151" s="1353"/>
      <c r="CW151" s="1353"/>
      <c r="CX151" s="1353"/>
      <c r="CY151" s="1353"/>
      <c r="CZ151" s="1353"/>
      <c r="DA151" s="1353"/>
      <c r="DB151" s="1353"/>
      <c r="DC151" s="1353"/>
      <c r="DD151" s="1353"/>
      <c r="DE151" s="1353"/>
      <c r="DF151" s="1353"/>
      <c r="DG151" s="1353"/>
      <c r="DH151" s="1353"/>
      <c r="DI151" s="1353"/>
      <c r="DJ151" s="1353"/>
      <c r="DK151" s="1353"/>
      <c r="DL151" s="1353"/>
      <c r="DM151" s="1353"/>
      <c r="DN151" s="1353"/>
      <c r="DO151" s="1353"/>
      <c r="DP151" s="1353"/>
      <c r="DQ151" s="1353"/>
      <c r="DR151" s="1353"/>
      <c r="DS151" s="1353"/>
      <c r="DT151" s="1353"/>
      <c r="DU151" s="1353"/>
      <c r="DV151" s="1353"/>
      <c r="DW151" s="1353"/>
      <c r="DX151" s="1353"/>
      <c r="DY151" s="1353"/>
      <c r="DZ151" s="1353"/>
      <c r="EA151" s="1353"/>
      <c r="EB151" s="1353"/>
      <c r="EC151" s="1353"/>
      <c r="ED151" s="1353"/>
      <c r="EE151" s="1353"/>
      <c r="EF151" s="1353"/>
      <c r="EG151" s="1353"/>
      <c r="EH151" s="1353"/>
      <c r="EI151" s="1353"/>
      <c r="EJ151" s="1353"/>
      <c r="EK151" s="1353"/>
      <c r="EL151" s="1353"/>
      <c r="EM151" s="1353"/>
      <c r="EN151" s="1353"/>
      <c r="EO151" s="1353"/>
      <c r="EP151" s="1353"/>
      <c r="EQ151" s="1353"/>
      <c r="ER151" s="1353"/>
      <c r="ES151" s="1353"/>
      <c r="ET151" s="1353"/>
      <c r="EU151" s="1353"/>
      <c r="EV151" s="1353"/>
      <c r="EW151" s="1353"/>
      <c r="EX151" s="1353"/>
      <c r="EY151" s="1353"/>
      <c r="EZ151" s="1353"/>
      <c r="FA151" s="1353"/>
      <c r="FB151" s="1353"/>
      <c r="FC151" s="1353"/>
      <c r="FD151" s="1353"/>
      <c r="FE151" s="1353"/>
      <c r="FF151" s="1353"/>
      <c r="FG151" s="1353"/>
      <c r="FH151" s="1353"/>
      <c r="FI151" s="1353"/>
      <c r="FJ151" s="1353"/>
      <c r="FK151" s="1353"/>
      <c r="FL151" s="1353"/>
      <c r="FM151" s="1353"/>
      <c r="FN151" s="1353"/>
      <c r="FO151" s="1353"/>
      <c r="FP151" s="1353"/>
      <c r="FQ151" s="1353"/>
      <c r="FR151" s="1353"/>
      <c r="FS151" s="1353"/>
      <c r="FT151" s="1353"/>
      <c r="FU151" s="1353"/>
      <c r="FV151" s="1353"/>
      <c r="FW151" s="1353"/>
      <c r="FX151" s="1353"/>
      <c r="FY151" s="1353"/>
      <c r="FZ151" s="1353"/>
      <c r="GA151" s="1353"/>
      <c r="GB151" s="1353"/>
      <c r="GC151" s="1353"/>
      <c r="GD151" s="1353"/>
      <c r="GE151" s="1353"/>
      <c r="GF151" s="1353"/>
      <c r="GG151" s="1353"/>
      <c r="GH151" s="1353"/>
      <c r="GI151" s="1353"/>
      <c r="GJ151" s="1353"/>
      <c r="GK151" s="1353"/>
      <c r="GL151" s="1353"/>
      <c r="GM151" s="1353"/>
      <c r="GN151" s="1353"/>
      <c r="GO151" s="1353"/>
      <c r="GP151" s="1353"/>
      <c r="GQ151" s="1353"/>
      <c r="GR151" s="1353"/>
      <c r="GS151" s="1353"/>
      <c r="GT151" s="1353"/>
      <c r="GU151" s="1353"/>
      <c r="GV151" s="1353"/>
      <c r="GW151" s="1353"/>
      <c r="GX151" s="1353"/>
      <c r="GY151" s="1353"/>
      <c r="GZ151" s="1353"/>
      <c r="HA151" s="1353"/>
      <c r="HB151" s="1353"/>
      <c r="HC151" s="1353"/>
      <c r="HD151" s="1353"/>
      <c r="HE151" s="1353"/>
      <c r="HF151" s="1353"/>
      <c r="HG151" s="1353"/>
      <c r="HH151" s="1353"/>
      <c r="HI151" s="1353"/>
      <c r="HJ151" s="1353"/>
      <c r="HK151" s="1353"/>
      <c r="HL151" s="1353"/>
      <c r="HM151" s="1353"/>
      <c r="HN151" s="1353"/>
      <c r="HO151" s="1353"/>
      <c r="HP151" s="1353"/>
      <c r="HQ151" s="1353"/>
      <c r="HR151" s="1353"/>
      <c r="HS151" s="1353"/>
      <c r="HT151" s="1353"/>
      <c r="HU151" s="1353"/>
      <c r="HV151" s="1353"/>
      <c r="HW151" s="1353"/>
      <c r="HX151" s="1353"/>
      <c r="HY151" s="1353"/>
      <c r="HZ151" s="1353"/>
      <c r="IA151" s="1353"/>
      <c r="IB151" s="1353"/>
      <c r="IC151" s="1353"/>
      <c r="ID151" s="1353"/>
      <c r="IE151" s="1353"/>
      <c r="IF151" s="1353"/>
      <c r="IG151" s="1353"/>
      <c r="IH151" s="1353"/>
      <c r="II151" s="1353"/>
      <c r="IJ151" s="1353"/>
      <c r="IK151" s="1353"/>
      <c r="IL151" s="1353"/>
      <c r="IM151" s="1353"/>
      <c r="IN151" s="1353"/>
      <c r="IO151" s="1353"/>
      <c r="IP151" s="1353"/>
      <c r="IQ151" s="1353"/>
      <c r="IR151" s="1353"/>
      <c r="IS151" s="1353"/>
      <c r="IT151" s="1353"/>
      <c r="IU151" s="1353"/>
      <c r="IV151" s="1353"/>
      <c r="IW151" s="1353"/>
      <c r="IX151" s="1353"/>
      <c r="IY151" s="1353"/>
      <c r="IZ151" s="1353"/>
      <c r="JA151" s="1353"/>
      <c r="JB151" s="1353"/>
      <c r="JC151" s="1353"/>
      <c r="JD151" s="1353"/>
      <c r="JE151" s="1353"/>
      <c r="JF151" s="1353"/>
      <c r="JG151" s="1353"/>
      <c r="JH151" s="1353"/>
      <c r="JI151" s="1353"/>
      <c r="JJ151" s="1353"/>
      <c r="JK151" s="1353"/>
      <c r="JL151" s="1353"/>
      <c r="JM151" s="1353"/>
      <c r="JN151" s="1353"/>
      <c r="JO151" s="1353"/>
      <c r="JP151" s="1353"/>
      <c r="JQ151" s="1353"/>
      <c r="JR151" s="1353"/>
      <c r="JS151" s="1353"/>
      <c r="JT151" s="1353"/>
      <c r="JU151" s="1353"/>
      <c r="JV151" s="1353"/>
      <c r="JW151" s="1353"/>
      <c r="JX151" s="1353"/>
      <c r="JY151" s="1353"/>
      <c r="JZ151" s="1353"/>
      <c r="KA151" s="1353"/>
      <c r="KB151" s="1353"/>
      <c r="KC151" s="1353"/>
      <c r="KD151" s="1353"/>
      <c r="KE151" s="1353"/>
      <c r="KF151" s="1353"/>
      <c r="KG151" s="1353"/>
      <c r="KH151" s="1353"/>
      <c r="KI151" s="1353"/>
      <c r="KJ151" s="1353"/>
      <c r="KK151" s="1353"/>
    </row>
    <row r="152" ht="14.25" customHeight="1">
      <c r="A152" s="1353"/>
      <c r="B152" s="2999"/>
      <c r="C152" s="2999"/>
      <c r="D152" s="3000"/>
      <c r="E152" s="3001"/>
      <c r="F152" s="3001"/>
      <c r="G152" s="3001"/>
      <c r="H152" s="3001"/>
      <c r="I152" s="3002"/>
      <c r="J152" s="3001"/>
      <c r="K152" s="3003"/>
      <c r="L152" s="3003"/>
      <c r="M152" s="3003"/>
      <c r="N152" s="1353"/>
      <c r="O152" s="1353"/>
      <c r="P152" s="1353"/>
      <c r="Q152" s="1353"/>
      <c r="R152" s="1353"/>
      <c r="S152" s="1353"/>
      <c r="T152" s="1353"/>
      <c r="U152" s="1353"/>
      <c r="V152" s="1353"/>
      <c r="W152" s="1353"/>
      <c r="X152" s="1353"/>
      <c r="Y152" s="1353"/>
      <c r="Z152" s="1353"/>
      <c r="AA152" s="1353"/>
      <c r="AB152" s="2993"/>
      <c r="AC152" s="2993"/>
      <c r="AD152" s="2993"/>
      <c r="AE152" s="2993"/>
      <c r="AF152" s="2993"/>
      <c r="AG152" s="2993"/>
      <c r="AH152" s="2993"/>
      <c r="AI152" s="1353"/>
      <c r="AJ152" s="1353"/>
      <c r="AK152" s="1353"/>
      <c r="AL152" s="1353"/>
      <c r="AM152" s="1353"/>
      <c r="AN152" s="1353"/>
      <c r="AO152" s="1353"/>
      <c r="AP152" s="1353"/>
      <c r="AQ152" s="1353"/>
      <c r="AR152" s="1353"/>
      <c r="AS152" s="1353"/>
      <c r="AT152" s="1353"/>
      <c r="AU152" s="1353"/>
      <c r="AV152" s="1353"/>
      <c r="AW152" s="1353"/>
      <c r="AX152" s="1353"/>
      <c r="AY152" s="1353"/>
      <c r="AZ152" s="1353"/>
      <c r="BA152" s="1353"/>
      <c r="BB152" s="1353"/>
      <c r="BC152" s="1353"/>
      <c r="BD152" s="1353"/>
      <c r="BE152" s="1353"/>
      <c r="BF152" s="1353"/>
      <c r="BG152" s="1353"/>
      <c r="BH152" s="1353"/>
      <c r="BI152" s="1353"/>
      <c r="BJ152" s="1353"/>
      <c r="BK152" s="1353"/>
      <c r="BL152" s="1353"/>
      <c r="BM152" s="1353"/>
      <c r="BN152" s="1353"/>
      <c r="BO152" s="1353"/>
      <c r="BP152" s="1353"/>
      <c r="BQ152" s="1353"/>
      <c r="BR152" s="1353"/>
      <c r="BS152" s="1353"/>
      <c r="BT152" s="1353"/>
      <c r="BU152" s="1353"/>
      <c r="BV152" s="1353"/>
      <c r="BW152" s="1353"/>
      <c r="BX152" s="1353"/>
      <c r="BY152" s="1353"/>
      <c r="BZ152" s="1353"/>
      <c r="CA152" s="1353"/>
      <c r="CB152" s="1353"/>
      <c r="CC152" s="1353"/>
      <c r="CD152" s="1353"/>
      <c r="CE152" s="1353"/>
      <c r="CF152" s="1353"/>
      <c r="CG152" s="1353"/>
      <c r="CH152" s="1353"/>
      <c r="CI152" s="1353"/>
      <c r="CJ152" s="1353"/>
      <c r="CK152" s="1353"/>
      <c r="CL152" s="1353"/>
      <c r="CM152" s="1353"/>
      <c r="CN152" s="1353"/>
      <c r="CO152" s="1353"/>
      <c r="CP152" s="1353"/>
      <c r="CQ152" s="1353"/>
      <c r="CR152" s="1353"/>
      <c r="CS152" s="1353"/>
      <c r="CT152" s="1353"/>
      <c r="CU152" s="1353"/>
      <c r="CV152" s="1353"/>
      <c r="CW152" s="1353"/>
      <c r="CX152" s="1353"/>
      <c r="CY152" s="1353"/>
      <c r="CZ152" s="1353"/>
      <c r="DA152" s="1353"/>
      <c r="DB152" s="1353"/>
      <c r="DC152" s="1353"/>
      <c r="DD152" s="1353"/>
      <c r="DE152" s="1353"/>
      <c r="DF152" s="1353"/>
      <c r="DG152" s="1353"/>
      <c r="DH152" s="1353"/>
      <c r="DI152" s="1353"/>
      <c r="DJ152" s="1353"/>
      <c r="DK152" s="1353"/>
      <c r="DL152" s="1353"/>
      <c r="DM152" s="1353"/>
      <c r="DN152" s="1353"/>
      <c r="DO152" s="1353"/>
      <c r="DP152" s="1353"/>
      <c r="DQ152" s="1353"/>
      <c r="DR152" s="1353"/>
      <c r="DS152" s="1353"/>
      <c r="DT152" s="1353"/>
      <c r="DU152" s="1353"/>
      <c r="DV152" s="1353"/>
      <c r="DW152" s="1353"/>
      <c r="DX152" s="1353"/>
      <c r="DY152" s="1353"/>
      <c r="DZ152" s="1353"/>
      <c r="EA152" s="1353"/>
      <c r="EB152" s="1353"/>
      <c r="EC152" s="1353"/>
      <c r="ED152" s="1353"/>
      <c r="EE152" s="1353"/>
      <c r="EF152" s="1353"/>
      <c r="EG152" s="1353"/>
      <c r="EH152" s="1353"/>
      <c r="EI152" s="1353"/>
      <c r="EJ152" s="1353"/>
      <c r="EK152" s="1353"/>
      <c r="EL152" s="1353"/>
      <c r="EM152" s="1353"/>
      <c r="EN152" s="1353"/>
      <c r="EO152" s="1353"/>
      <c r="EP152" s="1353"/>
      <c r="EQ152" s="1353"/>
      <c r="ER152" s="1353"/>
      <c r="ES152" s="1353"/>
      <c r="ET152" s="1353"/>
      <c r="EU152" s="1353"/>
      <c r="EV152" s="1353"/>
      <c r="EW152" s="1353"/>
      <c r="EX152" s="1353"/>
      <c r="EY152" s="1353"/>
      <c r="EZ152" s="1353"/>
      <c r="FA152" s="1353"/>
      <c r="FB152" s="1353"/>
      <c r="FC152" s="1353"/>
      <c r="FD152" s="1353"/>
      <c r="FE152" s="1353"/>
      <c r="FF152" s="1353"/>
      <c r="FG152" s="1353"/>
      <c r="FH152" s="1353"/>
      <c r="FI152" s="1353"/>
      <c r="FJ152" s="1353"/>
      <c r="FK152" s="1353"/>
      <c r="FL152" s="1353"/>
      <c r="FM152" s="1353"/>
      <c r="FN152" s="1353"/>
      <c r="FO152" s="1353"/>
      <c r="FP152" s="1353"/>
      <c r="FQ152" s="1353"/>
      <c r="FR152" s="1353"/>
      <c r="FS152" s="1353"/>
      <c r="FT152" s="1353"/>
      <c r="FU152" s="1353"/>
      <c r="FV152" s="1353"/>
      <c r="FW152" s="1353"/>
      <c r="FX152" s="1353"/>
      <c r="FY152" s="1353"/>
      <c r="FZ152" s="1353"/>
      <c r="GA152" s="1353"/>
      <c r="GB152" s="1353"/>
      <c r="GC152" s="1353"/>
      <c r="GD152" s="1353"/>
      <c r="GE152" s="1353"/>
      <c r="GF152" s="1353"/>
      <c r="GG152" s="1353"/>
      <c r="GH152" s="1353"/>
      <c r="GI152" s="1353"/>
      <c r="GJ152" s="1353"/>
      <c r="GK152" s="1353"/>
      <c r="GL152" s="1353"/>
      <c r="GM152" s="1353"/>
      <c r="GN152" s="1353"/>
      <c r="GO152" s="1353"/>
      <c r="GP152" s="1353"/>
      <c r="GQ152" s="1353"/>
      <c r="GR152" s="1353"/>
      <c r="GS152" s="1353"/>
      <c r="GT152" s="1353"/>
      <c r="GU152" s="1353"/>
      <c r="GV152" s="1353"/>
      <c r="GW152" s="1353"/>
      <c r="GX152" s="1353"/>
      <c r="GY152" s="1353"/>
      <c r="GZ152" s="1353"/>
      <c r="HA152" s="1353"/>
      <c r="HB152" s="1353"/>
      <c r="HC152" s="1353"/>
      <c r="HD152" s="1353"/>
      <c r="HE152" s="1353"/>
      <c r="HF152" s="1353"/>
      <c r="HG152" s="1353"/>
      <c r="HH152" s="1353"/>
      <c r="HI152" s="1353"/>
      <c r="HJ152" s="1353"/>
      <c r="HK152" s="1353"/>
      <c r="HL152" s="1353"/>
      <c r="HM152" s="1353"/>
      <c r="HN152" s="1353"/>
      <c r="HO152" s="1353"/>
      <c r="HP152" s="1353"/>
      <c r="HQ152" s="1353"/>
      <c r="HR152" s="1353"/>
      <c r="HS152" s="1353"/>
      <c r="HT152" s="1353"/>
      <c r="HU152" s="1353"/>
      <c r="HV152" s="1353"/>
      <c r="HW152" s="1353"/>
      <c r="HX152" s="1353"/>
      <c r="HY152" s="1353"/>
      <c r="HZ152" s="1353"/>
      <c r="IA152" s="1353"/>
      <c r="IB152" s="1353"/>
      <c r="IC152" s="1353"/>
      <c r="ID152" s="1353"/>
      <c r="IE152" s="1353"/>
      <c r="IF152" s="1353"/>
      <c r="IG152" s="1353"/>
      <c r="IH152" s="1353"/>
      <c r="II152" s="1353"/>
      <c r="IJ152" s="1353"/>
      <c r="IK152" s="1353"/>
      <c r="IL152" s="1353"/>
      <c r="IM152" s="1353"/>
      <c r="IN152" s="1353"/>
      <c r="IO152" s="1353"/>
      <c r="IP152" s="1353"/>
      <c r="IQ152" s="1353"/>
      <c r="IR152" s="1353"/>
      <c r="IS152" s="1353"/>
      <c r="IT152" s="1353"/>
      <c r="IU152" s="1353"/>
      <c r="IV152" s="1353"/>
      <c r="IW152" s="1353"/>
      <c r="IX152" s="1353"/>
      <c r="IY152" s="1353"/>
      <c r="IZ152" s="1353"/>
      <c r="JA152" s="1353"/>
      <c r="JB152" s="1353"/>
      <c r="JC152" s="1353"/>
      <c r="JD152" s="1353"/>
      <c r="JE152" s="1353"/>
      <c r="JF152" s="1353"/>
      <c r="JG152" s="1353"/>
      <c r="JH152" s="1353"/>
      <c r="JI152" s="1353"/>
      <c r="JJ152" s="1353"/>
      <c r="JK152" s="1353"/>
      <c r="JL152" s="1353"/>
      <c r="JM152" s="1353"/>
      <c r="JN152" s="1353"/>
      <c r="JO152" s="1353"/>
      <c r="JP152" s="1353"/>
      <c r="JQ152" s="1353"/>
      <c r="JR152" s="1353"/>
      <c r="JS152" s="1353"/>
      <c r="JT152" s="1353"/>
      <c r="JU152" s="1353"/>
      <c r="JV152" s="1353"/>
      <c r="JW152" s="1353"/>
      <c r="JX152" s="1353"/>
      <c r="JY152" s="1353"/>
      <c r="JZ152" s="1353"/>
      <c r="KA152" s="1353"/>
      <c r="KB152" s="1353"/>
      <c r="KC152" s="1353"/>
      <c r="KD152" s="1353"/>
      <c r="KE152" s="1353"/>
      <c r="KF152" s="1353"/>
      <c r="KG152" s="1353"/>
      <c r="KH152" s="1353"/>
      <c r="KI152" s="1353"/>
      <c r="KJ152" s="1353"/>
      <c r="KK152" s="1353"/>
    </row>
    <row r="153" ht="14.25" customHeight="1">
      <c r="A153" s="1353"/>
      <c r="B153" s="2999"/>
      <c r="C153" s="2999"/>
      <c r="D153" s="3000"/>
      <c r="E153" s="3001"/>
      <c r="F153" s="3001"/>
      <c r="G153" s="3001"/>
      <c r="H153" s="3001"/>
      <c r="I153" s="3002"/>
      <c r="J153" s="3001"/>
      <c r="K153" s="3003"/>
      <c r="L153" s="3003"/>
      <c r="M153" s="3003"/>
      <c r="N153" s="1353"/>
      <c r="O153" s="1353"/>
      <c r="P153" s="1353"/>
      <c r="Q153" s="1353"/>
      <c r="R153" s="1353"/>
      <c r="S153" s="1353"/>
      <c r="T153" s="1353"/>
      <c r="U153" s="1353"/>
      <c r="V153" s="1353"/>
      <c r="W153" s="1353"/>
      <c r="X153" s="1353"/>
      <c r="Y153" s="1353"/>
      <c r="Z153" s="1353"/>
      <c r="AA153" s="1353"/>
      <c r="AB153" s="2993"/>
      <c r="AC153" s="2993"/>
      <c r="AD153" s="2993"/>
      <c r="AE153" s="2993"/>
      <c r="AF153" s="2993"/>
      <c r="AG153" s="2993"/>
      <c r="AH153" s="2993"/>
      <c r="AI153" s="1353"/>
      <c r="AJ153" s="1353"/>
      <c r="AK153" s="1353"/>
      <c r="AL153" s="1353"/>
      <c r="AM153" s="1353"/>
      <c r="AN153" s="1353"/>
      <c r="AO153" s="1353"/>
      <c r="AP153" s="1353"/>
      <c r="AQ153" s="1353"/>
      <c r="AR153" s="1353"/>
      <c r="AS153" s="1353"/>
      <c r="AT153" s="1353"/>
      <c r="AU153" s="1353"/>
      <c r="AV153" s="1353"/>
      <c r="AW153" s="1353"/>
      <c r="AX153" s="1353"/>
      <c r="AY153" s="1353"/>
      <c r="AZ153" s="1353"/>
      <c r="BA153" s="1353"/>
      <c r="BB153" s="1353"/>
      <c r="BC153" s="1353"/>
      <c r="BD153" s="1353"/>
      <c r="BE153" s="1353"/>
      <c r="BF153" s="1353"/>
      <c r="BG153" s="1353"/>
      <c r="BH153" s="1353"/>
      <c r="BI153" s="1353"/>
      <c r="BJ153" s="1353"/>
      <c r="BK153" s="1353"/>
      <c r="BL153" s="1353"/>
      <c r="BM153" s="1353"/>
      <c r="BN153" s="1353"/>
      <c r="BO153" s="1353"/>
      <c r="BP153" s="1353"/>
      <c r="BQ153" s="1353"/>
      <c r="BR153" s="1353"/>
      <c r="BS153" s="1353"/>
      <c r="BT153" s="1353"/>
      <c r="BU153" s="1353"/>
      <c r="BV153" s="1353"/>
      <c r="BW153" s="1353"/>
      <c r="BX153" s="1353"/>
      <c r="BY153" s="1353"/>
      <c r="BZ153" s="1353"/>
      <c r="CA153" s="1353"/>
      <c r="CB153" s="1353"/>
      <c r="CC153" s="1353"/>
      <c r="CD153" s="1353"/>
      <c r="CE153" s="1353"/>
      <c r="CF153" s="1353"/>
      <c r="CG153" s="1353"/>
      <c r="CH153" s="1353"/>
      <c r="CI153" s="1353"/>
      <c r="CJ153" s="1353"/>
      <c r="CK153" s="1353"/>
      <c r="CL153" s="1353"/>
      <c r="CM153" s="1353"/>
      <c r="CN153" s="1353"/>
      <c r="CO153" s="1353"/>
      <c r="CP153" s="1353"/>
      <c r="CQ153" s="1353"/>
      <c r="CR153" s="1353"/>
      <c r="CS153" s="1353"/>
      <c r="CT153" s="1353"/>
      <c r="CU153" s="1353"/>
      <c r="CV153" s="1353"/>
      <c r="CW153" s="1353"/>
      <c r="CX153" s="1353"/>
      <c r="CY153" s="1353"/>
      <c r="CZ153" s="1353"/>
      <c r="DA153" s="1353"/>
      <c r="DB153" s="1353"/>
      <c r="DC153" s="1353"/>
      <c r="DD153" s="1353"/>
      <c r="DE153" s="1353"/>
      <c r="DF153" s="1353"/>
      <c r="DG153" s="1353"/>
      <c r="DH153" s="1353"/>
      <c r="DI153" s="1353"/>
      <c r="DJ153" s="1353"/>
      <c r="DK153" s="1353"/>
      <c r="DL153" s="1353"/>
      <c r="DM153" s="1353"/>
      <c r="DN153" s="1353"/>
      <c r="DO153" s="1353"/>
      <c r="DP153" s="1353"/>
      <c r="DQ153" s="1353"/>
      <c r="DR153" s="1353"/>
      <c r="DS153" s="1353"/>
      <c r="DT153" s="1353"/>
      <c r="DU153" s="1353"/>
      <c r="DV153" s="1353"/>
      <c r="DW153" s="1353"/>
      <c r="DX153" s="1353"/>
      <c r="DY153" s="1353"/>
      <c r="DZ153" s="1353"/>
      <c r="EA153" s="1353"/>
      <c r="EB153" s="1353"/>
      <c r="EC153" s="1353"/>
      <c r="ED153" s="1353"/>
      <c r="EE153" s="1353"/>
      <c r="EF153" s="1353"/>
      <c r="EG153" s="1353"/>
      <c r="EH153" s="1353"/>
      <c r="EI153" s="1353"/>
      <c r="EJ153" s="1353"/>
      <c r="EK153" s="1353"/>
      <c r="EL153" s="1353"/>
      <c r="EM153" s="1353"/>
      <c r="EN153" s="1353"/>
      <c r="EO153" s="1353"/>
      <c r="EP153" s="1353"/>
      <c r="EQ153" s="1353"/>
      <c r="ER153" s="1353"/>
      <c r="ES153" s="1353"/>
      <c r="ET153" s="1353"/>
      <c r="EU153" s="1353"/>
      <c r="EV153" s="1353"/>
      <c r="EW153" s="1353"/>
      <c r="EX153" s="1353"/>
      <c r="EY153" s="1353"/>
      <c r="EZ153" s="1353"/>
      <c r="FA153" s="1353"/>
      <c r="FB153" s="1353"/>
      <c r="FC153" s="1353"/>
      <c r="FD153" s="1353"/>
      <c r="FE153" s="1353"/>
      <c r="FF153" s="1353"/>
      <c r="FG153" s="1353"/>
      <c r="FH153" s="1353"/>
      <c r="FI153" s="1353"/>
      <c r="FJ153" s="1353"/>
      <c r="FK153" s="1353"/>
      <c r="FL153" s="1353"/>
      <c r="FM153" s="1353"/>
      <c r="FN153" s="1353"/>
      <c r="FO153" s="1353"/>
      <c r="FP153" s="1353"/>
      <c r="FQ153" s="1353"/>
      <c r="FR153" s="1353"/>
      <c r="FS153" s="1353"/>
      <c r="FT153" s="1353"/>
      <c r="FU153" s="1353"/>
      <c r="FV153" s="1353"/>
      <c r="FW153" s="1353"/>
      <c r="FX153" s="1353"/>
      <c r="FY153" s="1353"/>
      <c r="FZ153" s="1353"/>
      <c r="GA153" s="1353"/>
      <c r="GB153" s="1353"/>
      <c r="GC153" s="1353"/>
      <c r="GD153" s="1353"/>
      <c r="GE153" s="1353"/>
      <c r="GF153" s="1353"/>
      <c r="GG153" s="1353"/>
      <c r="GH153" s="1353"/>
      <c r="GI153" s="1353"/>
      <c r="GJ153" s="1353"/>
      <c r="GK153" s="1353"/>
      <c r="GL153" s="1353"/>
      <c r="GM153" s="1353"/>
      <c r="GN153" s="1353"/>
      <c r="GO153" s="1353"/>
      <c r="GP153" s="1353"/>
      <c r="GQ153" s="1353"/>
      <c r="GR153" s="1353"/>
      <c r="GS153" s="1353"/>
      <c r="GT153" s="1353"/>
      <c r="GU153" s="1353"/>
      <c r="GV153" s="1353"/>
      <c r="GW153" s="1353"/>
      <c r="GX153" s="1353"/>
      <c r="GY153" s="1353"/>
      <c r="GZ153" s="1353"/>
      <c r="HA153" s="1353"/>
      <c r="HB153" s="1353"/>
      <c r="HC153" s="1353"/>
      <c r="HD153" s="1353"/>
      <c r="HE153" s="1353"/>
      <c r="HF153" s="1353"/>
      <c r="HG153" s="1353"/>
      <c r="HH153" s="1353"/>
      <c r="HI153" s="1353"/>
      <c r="HJ153" s="1353"/>
      <c r="HK153" s="1353"/>
      <c r="HL153" s="1353"/>
      <c r="HM153" s="1353"/>
      <c r="HN153" s="1353"/>
      <c r="HO153" s="1353"/>
      <c r="HP153" s="1353"/>
      <c r="HQ153" s="1353"/>
      <c r="HR153" s="1353"/>
      <c r="HS153" s="1353"/>
      <c r="HT153" s="1353"/>
      <c r="HU153" s="1353"/>
      <c r="HV153" s="1353"/>
      <c r="HW153" s="1353"/>
      <c r="HX153" s="1353"/>
      <c r="HY153" s="1353"/>
      <c r="HZ153" s="1353"/>
      <c r="IA153" s="1353"/>
      <c r="IB153" s="1353"/>
      <c r="IC153" s="1353"/>
      <c r="ID153" s="1353"/>
      <c r="IE153" s="1353"/>
      <c r="IF153" s="1353"/>
      <c r="IG153" s="1353"/>
      <c r="IH153" s="1353"/>
      <c r="II153" s="1353"/>
      <c r="IJ153" s="1353"/>
      <c r="IK153" s="1353"/>
      <c r="IL153" s="1353"/>
      <c r="IM153" s="1353"/>
      <c r="IN153" s="1353"/>
      <c r="IO153" s="1353"/>
      <c r="IP153" s="1353"/>
      <c r="IQ153" s="1353"/>
      <c r="IR153" s="1353"/>
      <c r="IS153" s="1353"/>
      <c r="IT153" s="1353"/>
      <c r="IU153" s="1353"/>
      <c r="IV153" s="1353"/>
      <c r="IW153" s="1353"/>
      <c r="IX153" s="1353"/>
      <c r="IY153" s="1353"/>
      <c r="IZ153" s="1353"/>
      <c r="JA153" s="1353"/>
      <c r="JB153" s="1353"/>
      <c r="JC153" s="1353"/>
      <c r="JD153" s="1353"/>
      <c r="JE153" s="1353"/>
      <c r="JF153" s="1353"/>
      <c r="JG153" s="1353"/>
      <c r="JH153" s="1353"/>
      <c r="JI153" s="1353"/>
      <c r="JJ153" s="1353"/>
      <c r="JK153" s="1353"/>
      <c r="JL153" s="1353"/>
      <c r="JM153" s="1353"/>
      <c r="JN153" s="1353"/>
      <c r="JO153" s="1353"/>
      <c r="JP153" s="1353"/>
      <c r="JQ153" s="1353"/>
      <c r="JR153" s="1353"/>
      <c r="JS153" s="1353"/>
      <c r="JT153" s="1353"/>
      <c r="JU153" s="1353"/>
      <c r="JV153" s="1353"/>
      <c r="JW153" s="1353"/>
      <c r="JX153" s="1353"/>
      <c r="JY153" s="1353"/>
      <c r="JZ153" s="1353"/>
      <c r="KA153" s="1353"/>
      <c r="KB153" s="1353"/>
      <c r="KC153" s="1353"/>
      <c r="KD153" s="1353"/>
      <c r="KE153" s="1353"/>
      <c r="KF153" s="1353"/>
      <c r="KG153" s="1353"/>
      <c r="KH153" s="1353"/>
      <c r="KI153" s="1353"/>
      <c r="KJ153" s="1353"/>
      <c r="KK153" s="1353"/>
    </row>
    <row r="154" ht="14.25" customHeight="1">
      <c r="A154" s="1353"/>
      <c r="B154" s="2999"/>
      <c r="C154" s="2999"/>
      <c r="D154" s="3000"/>
      <c r="E154" s="3001"/>
      <c r="F154" s="3001"/>
      <c r="G154" s="3001"/>
      <c r="H154" s="3001"/>
      <c r="I154" s="3002"/>
      <c r="J154" s="3001"/>
      <c r="K154" s="3003"/>
      <c r="L154" s="3003"/>
      <c r="M154" s="3003"/>
      <c r="N154" s="1353"/>
      <c r="O154" s="1353"/>
      <c r="P154" s="1353"/>
      <c r="Q154" s="1353"/>
      <c r="R154" s="1353"/>
      <c r="S154" s="1353"/>
      <c r="T154" s="1353"/>
      <c r="U154" s="1353"/>
      <c r="V154" s="1353"/>
      <c r="W154" s="1353"/>
      <c r="X154" s="1353"/>
      <c r="Y154" s="1353"/>
      <c r="Z154" s="1353"/>
      <c r="AA154" s="1353"/>
      <c r="AB154" s="2993"/>
      <c r="AC154" s="2993"/>
      <c r="AD154" s="2993"/>
      <c r="AE154" s="2993"/>
      <c r="AF154" s="2993"/>
      <c r="AG154" s="2993"/>
      <c r="AH154" s="2993"/>
      <c r="AI154" s="1353"/>
      <c r="AJ154" s="1353"/>
      <c r="AK154" s="1353"/>
      <c r="AL154" s="1353"/>
      <c r="AM154" s="1353"/>
      <c r="AN154" s="1353"/>
      <c r="AO154" s="1353"/>
      <c r="AP154" s="1353"/>
      <c r="AQ154" s="1353"/>
      <c r="AR154" s="1353"/>
      <c r="AS154" s="1353"/>
      <c r="AT154" s="1353"/>
      <c r="AU154" s="1353"/>
      <c r="AV154" s="1353"/>
      <c r="AW154" s="1353"/>
      <c r="AX154" s="1353"/>
      <c r="AY154" s="1353"/>
      <c r="AZ154" s="1353"/>
      <c r="BA154" s="1353"/>
      <c r="BB154" s="1353"/>
      <c r="BC154" s="1353"/>
      <c r="BD154" s="1353"/>
      <c r="BE154" s="1353"/>
      <c r="BF154" s="1353"/>
      <c r="BG154" s="1353"/>
      <c r="BH154" s="1353"/>
      <c r="BI154" s="1353"/>
      <c r="BJ154" s="1353"/>
      <c r="BK154" s="1353"/>
      <c r="BL154" s="1353"/>
      <c r="BM154" s="1353"/>
      <c r="BN154" s="1353"/>
      <c r="BO154" s="1353"/>
      <c r="BP154" s="1353"/>
      <c r="BQ154" s="1353"/>
      <c r="BR154" s="1353"/>
      <c r="BS154" s="1353"/>
      <c r="BT154" s="1353"/>
      <c r="BU154" s="1353"/>
      <c r="BV154" s="1353"/>
      <c r="BW154" s="1353"/>
      <c r="BX154" s="1353"/>
      <c r="BY154" s="1353"/>
      <c r="BZ154" s="1353"/>
      <c r="CA154" s="1353"/>
      <c r="CB154" s="1353"/>
      <c r="CC154" s="1353"/>
      <c r="CD154" s="1353"/>
      <c r="CE154" s="1353"/>
      <c r="CF154" s="1353"/>
      <c r="CG154" s="1353"/>
      <c r="CH154" s="1353"/>
      <c r="CI154" s="1353"/>
      <c r="CJ154" s="1353"/>
      <c r="CK154" s="1353"/>
      <c r="CL154" s="1353"/>
      <c r="CM154" s="1353"/>
      <c r="CN154" s="1353"/>
      <c r="CO154" s="1353"/>
      <c r="CP154" s="1353"/>
      <c r="CQ154" s="1353"/>
      <c r="CR154" s="1353"/>
      <c r="CS154" s="1353"/>
      <c r="CT154" s="1353"/>
      <c r="CU154" s="1353"/>
      <c r="CV154" s="1353"/>
      <c r="CW154" s="1353"/>
      <c r="CX154" s="1353"/>
      <c r="CY154" s="1353"/>
      <c r="CZ154" s="1353"/>
      <c r="DA154" s="1353"/>
      <c r="DB154" s="1353"/>
      <c r="DC154" s="1353"/>
      <c r="DD154" s="1353"/>
      <c r="DE154" s="1353"/>
      <c r="DF154" s="1353"/>
      <c r="DG154" s="1353"/>
      <c r="DH154" s="1353"/>
      <c r="DI154" s="1353"/>
      <c r="DJ154" s="1353"/>
      <c r="DK154" s="1353"/>
      <c r="DL154" s="1353"/>
      <c r="DM154" s="1353"/>
      <c r="DN154" s="1353"/>
      <c r="DO154" s="1353"/>
      <c r="DP154" s="1353"/>
      <c r="DQ154" s="1353"/>
      <c r="DR154" s="1353"/>
      <c r="DS154" s="1353"/>
      <c r="DT154" s="1353"/>
      <c r="DU154" s="1353"/>
      <c r="DV154" s="1353"/>
      <c r="DW154" s="1353"/>
      <c r="DX154" s="1353"/>
      <c r="DY154" s="1353"/>
      <c r="DZ154" s="1353"/>
      <c r="EA154" s="1353"/>
      <c r="EB154" s="1353"/>
      <c r="EC154" s="1353"/>
      <c r="ED154" s="1353"/>
      <c r="EE154" s="1353"/>
      <c r="EF154" s="1353"/>
      <c r="EG154" s="1353"/>
      <c r="EH154" s="1353"/>
      <c r="EI154" s="1353"/>
      <c r="EJ154" s="1353"/>
      <c r="EK154" s="1353"/>
      <c r="EL154" s="1353"/>
      <c r="EM154" s="1353"/>
      <c r="EN154" s="1353"/>
      <c r="EO154" s="1353"/>
      <c r="EP154" s="1353"/>
      <c r="EQ154" s="1353"/>
      <c r="ER154" s="1353"/>
      <c r="ES154" s="1353"/>
      <c r="ET154" s="1353"/>
      <c r="EU154" s="1353"/>
      <c r="EV154" s="1353"/>
      <c r="EW154" s="1353"/>
      <c r="EX154" s="1353"/>
      <c r="EY154" s="1353"/>
      <c r="EZ154" s="1353"/>
      <c r="FA154" s="1353"/>
      <c r="FB154" s="1353"/>
      <c r="FC154" s="1353"/>
      <c r="FD154" s="1353"/>
      <c r="FE154" s="1353"/>
      <c r="FF154" s="1353"/>
      <c r="FG154" s="1353"/>
      <c r="FH154" s="1353"/>
      <c r="FI154" s="1353"/>
      <c r="FJ154" s="1353"/>
      <c r="FK154" s="1353"/>
      <c r="FL154" s="1353"/>
      <c r="FM154" s="1353"/>
      <c r="FN154" s="1353"/>
      <c r="FO154" s="1353"/>
      <c r="FP154" s="1353"/>
      <c r="FQ154" s="1353"/>
      <c r="FR154" s="1353"/>
      <c r="FS154" s="1353"/>
      <c r="FT154" s="1353"/>
      <c r="FU154" s="1353"/>
      <c r="FV154" s="1353"/>
      <c r="FW154" s="1353"/>
      <c r="FX154" s="1353"/>
      <c r="FY154" s="1353"/>
      <c r="FZ154" s="1353"/>
      <c r="GA154" s="1353"/>
      <c r="GB154" s="1353"/>
      <c r="GC154" s="1353"/>
      <c r="GD154" s="1353"/>
      <c r="GE154" s="1353"/>
      <c r="GF154" s="1353"/>
      <c r="GG154" s="1353"/>
      <c r="GH154" s="1353"/>
      <c r="GI154" s="1353"/>
      <c r="GJ154" s="1353"/>
      <c r="GK154" s="1353"/>
      <c r="GL154" s="1353"/>
      <c r="GM154" s="1353"/>
      <c r="GN154" s="1353"/>
      <c r="GO154" s="1353"/>
      <c r="GP154" s="1353"/>
      <c r="GQ154" s="1353"/>
      <c r="GR154" s="1353"/>
      <c r="GS154" s="1353"/>
      <c r="GT154" s="1353"/>
      <c r="GU154" s="1353"/>
      <c r="GV154" s="1353"/>
      <c r="GW154" s="1353"/>
      <c r="GX154" s="1353"/>
      <c r="GY154" s="1353"/>
      <c r="GZ154" s="1353"/>
      <c r="HA154" s="1353"/>
      <c r="HB154" s="1353"/>
      <c r="HC154" s="1353"/>
      <c r="HD154" s="1353"/>
      <c r="HE154" s="1353"/>
      <c r="HF154" s="1353"/>
      <c r="HG154" s="1353"/>
      <c r="HH154" s="1353"/>
      <c r="HI154" s="1353"/>
      <c r="HJ154" s="1353"/>
      <c r="HK154" s="1353"/>
      <c r="HL154" s="1353"/>
      <c r="HM154" s="1353"/>
      <c r="HN154" s="1353"/>
      <c r="HO154" s="1353"/>
      <c r="HP154" s="1353"/>
      <c r="HQ154" s="1353"/>
      <c r="HR154" s="1353"/>
      <c r="HS154" s="1353"/>
      <c r="HT154" s="1353"/>
      <c r="HU154" s="1353"/>
      <c r="HV154" s="1353"/>
      <c r="HW154" s="1353"/>
      <c r="HX154" s="1353"/>
      <c r="HY154" s="1353"/>
      <c r="HZ154" s="1353"/>
      <c r="IA154" s="1353"/>
      <c r="IB154" s="1353"/>
      <c r="IC154" s="1353"/>
      <c r="ID154" s="1353"/>
      <c r="IE154" s="1353"/>
      <c r="IF154" s="1353"/>
      <c r="IG154" s="1353"/>
      <c r="IH154" s="1353"/>
      <c r="II154" s="1353"/>
      <c r="IJ154" s="1353"/>
      <c r="IK154" s="1353"/>
      <c r="IL154" s="1353"/>
      <c r="IM154" s="1353"/>
      <c r="IN154" s="1353"/>
      <c r="IO154" s="1353"/>
      <c r="IP154" s="1353"/>
      <c r="IQ154" s="1353"/>
      <c r="IR154" s="1353"/>
      <c r="IS154" s="1353"/>
      <c r="IT154" s="1353"/>
      <c r="IU154" s="1353"/>
      <c r="IV154" s="1353"/>
      <c r="IW154" s="1353"/>
      <c r="IX154" s="1353"/>
      <c r="IY154" s="1353"/>
      <c r="IZ154" s="1353"/>
      <c r="JA154" s="1353"/>
      <c r="JB154" s="1353"/>
      <c r="JC154" s="1353"/>
      <c r="JD154" s="1353"/>
      <c r="JE154" s="1353"/>
      <c r="JF154" s="1353"/>
      <c r="JG154" s="1353"/>
      <c r="JH154" s="1353"/>
      <c r="JI154" s="1353"/>
      <c r="JJ154" s="1353"/>
      <c r="JK154" s="1353"/>
      <c r="JL154" s="1353"/>
      <c r="JM154" s="1353"/>
      <c r="JN154" s="1353"/>
      <c r="JO154" s="1353"/>
      <c r="JP154" s="1353"/>
      <c r="JQ154" s="1353"/>
      <c r="JR154" s="1353"/>
      <c r="JS154" s="1353"/>
      <c r="JT154" s="1353"/>
      <c r="JU154" s="1353"/>
      <c r="JV154" s="1353"/>
      <c r="JW154" s="1353"/>
      <c r="JX154" s="1353"/>
      <c r="JY154" s="1353"/>
      <c r="JZ154" s="1353"/>
      <c r="KA154" s="1353"/>
      <c r="KB154" s="1353"/>
      <c r="KC154" s="1353"/>
      <c r="KD154" s="1353"/>
      <c r="KE154" s="1353"/>
      <c r="KF154" s="1353"/>
      <c r="KG154" s="1353"/>
      <c r="KH154" s="1353"/>
      <c r="KI154" s="1353"/>
      <c r="KJ154" s="1353"/>
      <c r="KK154" s="1353"/>
    </row>
    <row r="155" ht="14.25" customHeight="1">
      <c r="A155" s="1353"/>
      <c r="B155" s="3004" t="s">
        <v>2968</v>
      </c>
      <c r="C155" s="3004"/>
      <c r="D155" s="3005">
        <f t="shared" si="39" ref="D155:J155">SUM(D148:D154)</f>
        <v>0</v>
      </c>
      <c r="E155" s="3006">
        <f t="shared" si="39"/>
        <v>0</v>
      </c>
      <c r="F155" s="3006"/>
      <c r="G155" s="3006"/>
      <c r="H155" s="3006">
        <f t="shared" si="39"/>
        <v>0</v>
      </c>
      <c r="I155" s="3007" t="e">
        <f>(H155/D155)*12</f>
        <v>#DIV/0!</v>
      </c>
      <c r="J155" s="3006">
        <f t="shared" si="39"/>
        <v>0</v>
      </c>
      <c r="K155" s="3008"/>
      <c r="L155" s="3008"/>
      <c r="M155" s="3008"/>
      <c r="N155" s="1353"/>
      <c r="O155" s="1353"/>
      <c r="P155" s="1353"/>
      <c r="Q155" s="1353"/>
      <c r="R155" s="1353"/>
      <c r="S155" s="1353"/>
      <c r="T155" s="1353"/>
      <c r="U155" s="1353"/>
      <c r="V155" s="1353"/>
      <c r="W155" s="1353"/>
      <c r="X155" s="1353"/>
      <c r="Y155" s="1353"/>
      <c r="Z155" s="1353"/>
      <c r="AA155" s="1353"/>
      <c r="AB155" s="2993"/>
      <c r="AC155" s="2993"/>
      <c r="AD155" s="2993"/>
      <c r="AE155" s="2993"/>
      <c r="AF155" s="2993"/>
      <c r="AG155" s="2993"/>
      <c r="AH155" s="2993"/>
      <c r="AI155" s="1353"/>
      <c r="AJ155" s="1353"/>
      <c r="AK155" s="1353"/>
      <c r="AL155" s="1353"/>
      <c r="AM155" s="1353"/>
      <c r="AN155" s="1353"/>
      <c r="AO155" s="1353"/>
      <c r="AP155" s="1353"/>
      <c r="AQ155" s="1353"/>
      <c r="AR155" s="1353"/>
      <c r="AS155" s="1353"/>
      <c r="AT155" s="1353"/>
      <c r="AU155" s="1353"/>
      <c r="AV155" s="1353"/>
      <c r="AW155" s="1353"/>
      <c r="AX155" s="1353"/>
      <c r="AY155" s="1353"/>
      <c r="AZ155" s="1353"/>
      <c r="BA155" s="1353"/>
      <c r="BB155" s="1353"/>
      <c r="BC155" s="1353"/>
      <c r="BD155" s="1353"/>
      <c r="BE155" s="1353"/>
      <c r="BF155" s="1353"/>
      <c r="BG155" s="1353"/>
      <c r="BH155" s="1353"/>
      <c r="BI155" s="1353"/>
      <c r="BJ155" s="1353"/>
      <c r="BK155" s="1353"/>
      <c r="BL155" s="1353"/>
      <c r="BM155" s="1353"/>
      <c r="BN155" s="1353"/>
      <c r="BO155" s="1353"/>
      <c r="BP155" s="1353"/>
      <c r="BQ155" s="1353"/>
      <c r="BR155" s="1353"/>
      <c r="BS155" s="1353"/>
      <c r="BT155" s="1353"/>
      <c r="BU155" s="1353"/>
      <c r="BV155" s="1353"/>
      <c r="BW155" s="1353"/>
      <c r="BX155" s="1353"/>
      <c r="BY155" s="1353"/>
      <c r="BZ155" s="1353"/>
      <c r="CA155" s="1353"/>
      <c r="CB155" s="1353"/>
      <c r="CC155" s="1353"/>
      <c r="CD155" s="1353"/>
      <c r="CE155" s="1353"/>
      <c r="CF155" s="1353"/>
      <c r="CG155" s="1353"/>
      <c r="CH155" s="1353"/>
      <c r="CI155" s="1353"/>
      <c r="CJ155" s="1353"/>
      <c r="CK155" s="1353"/>
      <c r="CL155" s="1353"/>
      <c r="CM155" s="1353"/>
      <c r="CN155" s="1353"/>
      <c r="CO155" s="1353"/>
      <c r="CP155" s="1353"/>
      <c r="CQ155" s="1353"/>
      <c r="CR155" s="1353"/>
      <c r="CS155" s="1353"/>
      <c r="CT155" s="1353"/>
      <c r="CU155" s="1353"/>
      <c r="CV155" s="1353"/>
      <c r="CW155" s="1353"/>
      <c r="CX155" s="1353"/>
      <c r="CY155" s="1353"/>
      <c r="CZ155" s="1353"/>
      <c r="DA155" s="1353"/>
      <c r="DB155" s="1353"/>
      <c r="DC155" s="1353"/>
      <c r="DD155" s="1353"/>
      <c r="DE155" s="1353"/>
      <c r="DF155" s="1353"/>
      <c r="DG155" s="1353"/>
      <c r="DH155" s="1353"/>
      <c r="DI155" s="1353"/>
      <c r="DJ155" s="1353"/>
      <c r="DK155" s="1353"/>
      <c r="DL155" s="1353"/>
      <c r="DM155" s="1353"/>
      <c r="DN155" s="1353"/>
      <c r="DO155" s="1353"/>
      <c r="DP155" s="1353"/>
      <c r="DQ155" s="1353"/>
      <c r="DR155" s="1353"/>
      <c r="DS155" s="1353"/>
      <c r="DT155" s="1353"/>
      <c r="DU155" s="1353"/>
      <c r="DV155" s="1353"/>
      <c r="DW155" s="1353"/>
      <c r="DX155" s="1353"/>
      <c r="DY155" s="1353"/>
      <c r="DZ155" s="1353"/>
      <c r="EA155" s="1353"/>
      <c r="EB155" s="1353"/>
      <c r="EC155" s="1353"/>
      <c r="ED155" s="1353"/>
      <c r="EE155" s="1353"/>
      <c r="EF155" s="1353"/>
      <c r="EG155" s="1353"/>
      <c r="EH155" s="1353"/>
      <c r="EI155" s="1353"/>
      <c r="EJ155" s="1353"/>
      <c r="EK155" s="1353"/>
      <c r="EL155" s="1353"/>
      <c r="EM155" s="1353"/>
      <c r="EN155" s="1353"/>
      <c r="EO155" s="1353"/>
      <c r="EP155" s="1353"/>
      <c r="EQ155" s="1353"/>
      <c r="ER155" s="1353"/>
      <c r="ES155" s="1353"/>
      <c r="ET155" s="1353"/>
      <c r="EU155" s="1353"/>
      <c r="EV155" s="1353"/>
      <c r="EW155" s="1353"/>
      <c r="EX155" s="1353"/>
      <c r="EY155" s="1353"/>
      <c r="EZ155" s="1353"/>
      <c r="FA155" s="1353"/>
      <c r="FB155" s="1353"/>
      <c r="FC155" s="1353"/>
      <c r="FD155" s="1353"/>
      <c r="FE155" s="1353"/>
      <c r="FF155" s="1353"/>
      <c r="FG155" s="1353"/>
      <c r="FH155" s="1353"/>
      <c r="FI155" s="1353"/>
      <c r="FJ155" s="1353"/>
      <c r="FK155" s="1353"/>
      <c r="FL155" s="1353"/>
      <c r="FM155" s="1353"/>
      <c r="FN155" s="1353"/>
      <c r="FO155" s="1353"/>
      <c r="FP155" s="1353"/>
      <c r="FQ155" s="1353"/>
      <c r="FR155" s="1353"/>
      <c r="FS155" s="1353"/>
      <c r="FT155" s="1353"/>
      <c r="FU155" s="1353"/>
      <c r="FV155" s="1353"/>
      <c r="FW155" s="1353"/>
      <c r="FX155" s="1353"/>
      <c r="FY155" s="1353"/>
      <c r="FZ155" s="1353"/>
      <c r="GA155" s="1353"/>
      <c r="GB155" s="1353"/>
      <c r="GC155" s="1353"/>
      <c r="GD155" s="1353"/>
      <c r="GE155" s="1353"/>
      <c r="GF155" s="1353"/>
      <c r="GG155" s="1353"/>
      <c r="GH155" s="1353"/>
      <c r="GI155" s="1353"/>
      <c r="GJ155" s="1353"/>
      <c r="GK155" s="1353"/>
      <c r="GL155" s="1353"/>
      <c r="GM155" s="1353"/>
      <c r="GN155" s="1353"/>
      <c r="GO155" s="1353"/>
      <c r="GP155" s="1353"/>
      <c r="GQ155" s="1353"/>
      <c r="GR155" s="1353"/>
      <c r="GS155" s="1353"/>
      <c r="GT155" s="1353"/>
      <c r="GU155" s="1353"/>
      <c r="GV155" s="1353"/>
      <c r="GW155" s="1353"/>
      <c r="GX155" s="1353"/>
      <c r="GY155" s="1353"/>
      <c r="GZ155" s="1353"/>
      <c r="HA155" s="1353"/>
      <c r="HB155" s="1353"/>
      <c r="HC155" s="1353"/>
      <c r="HD155" s="1353"/>
      <c r="HE155" s="1353"/>
      <c r="HF155" s="1353"/>
      <c r="HG155" s="1353"/>
      <c r="HH155" s="1353"/>
      <c r="HI155" s="1353"/>
      <c r="HJ155" s="1353"/>
      <c r="HK155" s="1353"/>
      <c r="HL155" s="1353"/>
      <c r="HM155" s="1353"/>
      <c r="HN155" s="1353"/>
      <c r="HO155" s="1353"/>
      <c r="HP155" s="1353"/>
      <c r="HQ155" s="1353"/>
      <c r="HR155" s="1353"/>
      <c r="HS155" s="1353"/>
      <c r="HT155" s="1353"/>
      <c r="HU155" s="1353"/>
      <c r="HV155" s="1353"/>
      <c r="HW155" s="1353"/>
      <c r="HX155" s="1353"/>
      <c r="HY155" s="1353"/>
      <c r="HZ155" s="1353"/>
      <c r="IA155" s="1353"/>
      <c r="IB155" s="1353"/>
      <c r="IC155" s="1353"/>
      <c r="ID155" s="1353"/>
      <c r="IE155" s="1353"/>
      <c r="IF155" s="1353"/>
      <c r="IG155" s="1353"/>
      <c r="IH155" s="1353"/>
      <c r="II155" s="1353"/>
      <c r="IJ155" s="1353"/>
      <c r="IK155" s="1353"/>
      <c r="IL155" s="1353"/>
      <c r="IM155" s="1353"/>
      <c r="IN155" s="1353"/>
      <c r="IO155" s="1353"/>
      <c r="IP155" s="1353"/>
      <c r="IQ155" s="1353"/>
      <c r="IR155" s="1353"/>
      <c r="IS155" s="1353"/>
      <c r="IT155" s="1353"/>
      <c r="IU155" s="1353"/>
      <c r="IV155" s="1353"/>
      <c r="IW155" s="1353"/>
      <c r="IX155" s="1353"/>
      <c r="IY155" s="1353"/>
      <c r="IZ155" s="1353"/>
      <c r="JA155" s="1353"/>
      <c r="JB155" s="1353"/>
      <c r="JC155" s="1353"/>
      <c r="JD155" s="1353"/>
      <c r="JE155" s="1353"/>
      <c r="JF155" s="1353"/>
      <c r="JG155" s="1353"/>
      <c r="JH155" s="1353"/>
      <c r="JI155" s="1353"/>
      <c r="JJ155" s="1353"/>
      <c r="JK155" s="1353"/>
      <c r="JL155" s="1353"/>
      <c r="JM155" s="1353"/>
      <c r="JN155" s="1353"/>
      <c r="JO155" s="1353"/>
      <c r="JP155" s="1353"/>
      <c r="JQ155" s="1353"/>
      <c r="JR155" s="1353"/>
      <c r="JS155" s="1353"/>
      <c r="JT155" s="1353"/>
      <c r="JU155" s="1353"/>
      <c r="JV155" s="1353"/>
      <c r="JW155" s="1353"/>
      <c r="JX155" s="1353"/>
      <c r="JY155" s="1353"/>
      <c r="JZ155" s="1353"/>
      <c r="KA155" s="1353"/>
      <c r="KB155" s="1353"/>
      <c r="KC155" s="1353"/>
      <c r="KD155" s="1353"/>
      <c r="KE155" s="1353"/>
      <c r="KF155" s="1353"/>
      <c r="KG155" s="1353"/>
      <c r="KH155" s="1353"/>
      <c r="KI155" s="1353"/>
      <c r="KJ155" s="1353"/>
      <c r="KK155" s="1353"/>
    </row>
    <row r="156" ht="14.25" customHeight="1">
      <c r="A156" s="1353"/>
      <c r="B156" s="3009"/>
      <c r="C156" s="3009"/>
      <c r="D156" s="3009"/>
      <c r="E156" s="3009"/>
      <c r="F156" s="3009"/>
      <c r="G156" s="3009"/>
      <c r="H156" s="3009"/>
      <c r="I156" s="3009"/>
      <c r="J156" s="3009"/>
      <c r="K156" s="3009"/>
      <c r="L156" s="3009"/>
      <c r="M156" s="3009"/>
      <c r="N156" s="1353"/>
      <c r="O156" s="1353"/>
      <c r="P156" s="1353"/>
      <c r="Q156" s="1353"/>
      <c r="R156" s="1353"/>
      <c r="S156" s="1353"/>
      <c r="T156" s="1353"/>
      <c r="U156" s="1353"/>
      <c r="V156" s="1353"/>
      <c r="W156" s="1353"/>
      <c r="X156" s="1353"/>
      <c r="Y156" s="1353"/>
      <c r="Z156" s="1353"/>
      <c r="AA156" s="1353"/>
      <c r="AB156" s="2993"/>
      <c r="AC156" s="2993"/>
      <c r="AD156" s="2993"/>
      <c r="AE156" s="2993"/>
      <c r="AF156" s="2993"/>
      <c r="AG156" s="2993"/>
      <c r="AH156" s="2993"/>
      <c r="AI156" s="1353"/>
      <c r="AJ156" s="1353"/>
      <c r="AK156" s="1353"/>
      <c r="AL156" s="1353"/>
      <c r="AM156" s="1353"/>
      <c r="AN156" s="1353"/>
      <c r="AO156" s="1353"/>
      <c r="AP156" s="1353"/>
      <c r="AQ156" s="1353"/>
      <c r="AR156" s="1353"/>
      <c r="AS156" s="1353"/>
      <c r="AT156" s="1353"/>
      <c r="AU156" s="1353"/>
      <c r="AV156" s="1353"/>
      <c r="AW156" s="1353"/>
      <c r="AX156" s="1353"/>
      <c r="AY156" s="1353"/>
      <c r="AZ156" s="1353"/>
      <c r="BA156" s="1353"/>
      <c r="BB156" s="1353"/>
      <c r="BC156" s="1353"/>
      <c r="BD156" s="1353"/>
      <c r="BE156" s="1353"/>
      <c r="BF156" s="1353"/>
      <c r="BG156" s="1353"/>
      <c r="BH156" s="1353"/>
      <c r="BI156" s="1353"/>
      <c r="BJ156" s="1353"/>
      <c r="BK156" s="1353"/>
      <c r="BL156" s="1353"/>
      <c r="BM156" s="1353"/>
      <c r="BN156" s="1353"/>
      <c r="BO156" s="1353"/>
      <c r="BP156" s="1353"/>
      <c r="BQ156" s="1353"/>
      <c r="BR156" s="1353"/>
      <c r="BS156" s="1353"/>
      <c r="BT156" s="1353"/>
      <c r="BU156" s="1353"/>
      <c r="BV156" s="1353"/>
      <c r="BW156" s="1353"/>
      <c r="BX156" s="1353"/>
      <c r="BY156" s="1353"/>
      <c r="BZ156" s="1353"/>
      <c r="CA156" s="1353"/>
      <c r="CB156" s="1353"/>
      <c r="CC156" s="1353"/>
      <c r="CD156" s="1353"/>
      <c r="CE156" s="1353"/>
      <c r="CF156" s="1353"/>
      <c r="CG156" s="1353"/>
      <c r="CH156" s="1353"/>
      <c r="CI156" s="1353"/>
      <c r="CJ156" s="1353"/>
      <c r="CK156" s="1353"/>
      <c r="CL156" s="1353"/>
      <c r="CM156" s="1353"/>
      <c r="CN156" s="1353"/>
      <c r="CO156" s="1353"/>
      <c r="CP156" s="1353"/>
      <c r="CQ156" s="1353"/>
      <c r="CR156" s="1353"/>
      <c r="CS156" s="1353"/>
      <c r="CT156" s="1353"/>
      <c r="CU156" s="1353"/>
      <c r="CV156" s="1353"/>
      <c r="CW156" s="1353"/>
      <c r="CX156" s="1353"/>
      <c r="CY156" s="1353"/>
      <c r="CZ156" s="1353"/>
      <c r="DA156" s="1353"/>
      <c r="DB156" s="1353"/>
      <c r="DC156" s="1353"/>
      <c r="DD156" s="1353"/>
      <c r="DE156" s="1353"/>
      <c r="DF156" s="1353"/>
      <c r="DG156" s="1353"/>
      <c r="DH156" s="1353"/>
      <c r="DI156" s="1353"/>
      <c r="DJ156" s="1353"/>
      <c r="DK156" s="1353"/>
      <c r="DL156" s="1353"/>
      <c r="DM156" s="1353"/>
      <c r="DN156" s="1353"/>
      <c r="DO156" s="1353"/>
      <c r="DP156" s="1353"/>
      <c r="DQ156" s="1353"/>
      <c r="DR156" s="1353"/>
      <c r="DS156" s="1353"/>
      <c r="DT156" s="1353"/>
      <c r="DU156" s="1353"/>
      <c r="DV156" s="1353"/>
      <c r="DW156" s="1353"/>
      <c r="DX156" s="1353"/>
      <c r="DY156" s="1353"/>
      <c r="DZ156" s="1353"/>
      <c r="EA156" s="1353"/>
      <c r="EB156" s="1353"/>
      <c r="EC156" s="1353"/>
      <c r="ED156" s="1353"/>
      <c r="EE156" s="1353"/>
      <c r="EF156" s="1353"/>
      <c r="EG156" s="1353"/>
      <c r="EH156" s="1353"/>
      <c r="EI156" s="1353"/>
      <c r="EJ156" s="1353"/>
      <c r="EK156" s="1353"/>
      <c r="EL156" s="1353"/>
      <c r="EM156" s="1353"/>
      <c r="EN156" s="1353"/>
      <c r="EO156" s="1353"/>
      <c r="EP156" s="1353"/>
      <c r="EQ156" s="1353"/>
      <c r="ER156" s="1353"/>
      <c r="ES156" s="1353"/>
      <c r="ET156" s="1353"/>
      <c r="EU156" s="1353"/>
      <c r="EV156" s="1353"/>
      <c r="EW156" s="1353"/>
      <c r="EX156" s="1353"/>
      <c r="EY156" s="1353"/>
      <c r="EZ156" s="1353"/>
      <c r="FA156" s="1353"/>
      <c r="FB156" s="1353"/>
      <c r="FC156" s="1353"/>
      <c r="FD156" s="1353"/>
      <c r="FE156" s="1353"/>
      <c r="FF156" s="1353"/>
      <c r="FG156" s="1353"/>
      <c r="FH156" s="1353"/>
      <c r="FI156" s="1353"/>
      <c r="FJ156" s="1353"/>
      <c r="FK156" s="1353"/>
      <c r="FL156" s="1353"/>
      <c r="FM156" s="1353"/>
      <c r="FN156" s="1353"/>
      <c r="FO156" s="1353"/>
      <c r="FP156" s="1353"/>
      <c r="FQ156" s="1353"/>
      <c r="FR156" s="1353"/>
      <c r="FS156" s="1353"/>
      <c r="FT156" s="1353"/>
      <c r="FU156" s="1353"/>
      <c r="FV156" s="1353"/>
      <c r="FW156" s="1353"/>
      <c r="FX156" s="1353"/>
      <c r="FY156" s="1353"/>
      <c r="FZ156" s="1353"/>
      <c r="GA156" s="1353"/>
      <c r="GB156" s="1353"/>
      <c r="GC156" s="1353"/>
      <c r="GD156" s="1353"/>
      <c r="GE156" s="1353"/>
      <c r="GF156" s="1353"/>
      <c r="GG156" s="1353"/>
      <c r="GH156" s="1353"/>
      <c r="GI156" s="1353"/>
      <c r="GJ156" s="1353"/>
      <c r="GK156" s="1353"/>
      <c r="GL156" s="1353"/>
      <c r="GM156" s="1353"/>
      <c r="GN156" s="1353"/>
      <c r="GO156" s="1353"/>
      <c r="GP156" s="1353"/>
      <c r="GQ156" s="1353"/>
      <c r="GR156" s="1353"/>
      <c r="GS156" s="1353"/>
      <c r="GT156" s="1353"/>
      <c r="GU156" s="1353"/>
      <c r="GV156" s="1353"/>
      <c r="GW156" s="1353"/>
      <c r="GX156" s="1353"/>
      <c r="GY156" s="1353"/>
      <c r="GZ156" s="1353"/>
      <c r="HA156" s="1353"/>
      <c r="HB156" s="1353"/>
      <c r="HC156" s="1353"/>
      <c r="HD156" s="1353"/>
      <c r="HE156" s="1353"/>
      <c r="HF156" s="1353"/>
      <c r="HG156" s="1353"/>
      <c r="HH156" s="1353"/>
      <c r="HI156" s="1353"/>
      <c r="HJ156" s="1353"/>
      <c r="HK156" s="1353"/>
      <c r="HL156" s="1353"/>
      <c r="HM156" s="1353"/>
      <c r="HN156" s="1353"/>
      <c r="HO156" s="1353"/>
      <c r="HP156" s="1353"/>
      <c r="HQ156" s="1353"/>
      <c r="HR156" s="1353"/>
      <c r="HS156" s="1353"/>
      <c r="HT156" s="1353"/>
      <c r="HU156" s="1353"/>
      <c r="HV156" s="1353"/>
      <c r="HW156" s="1353"/>
      <c r="HX156" s="1353"/>
      <c r="HY156" s="1353"/>
      <c r="HZ156" s="1353"/>
      <c r="IA156" s="1353"/>
      <c r="IB156" s="1353"/>
      <c r="IC156" s="1353"/>
      <c r="ID156" s="1353"/>
      <c r="IE156" s="1353"/>
      <c r="IF156" s="1353"/>
      <c r="IG156" s="1353"/>
      <c r="IH156" s="1353"/>
      <c r="II156" s="1353"/>
      <c r="IJ156" s="1353"/>
      <c r="IK156" s="1353"/>
      <c r="IL156" s="1353"/>
      <c r="IM156" s="1353"/>
      <c r="IN156" s="1353"/>
      <c r="IO156" s="1353"/>
      <c r="IP156" s="1353"/>
      <c r="IQ156" s="1353"/>
      <c r="IR156" s="1353"/>
      <c r="IS156" s="1353"/>
      <c r="IT156" s="1353"/>
      <c r="IU156" s="1353"/>
      <c r="IV156" s="1353"/>
      <c r="IW156" s="1353"/>
      <c r="IX156" s="1353"/>
      <c r="IY156" s="1353"/>
      <c r="IZ156" s="1353"/>
      <c r="JA156" s="1353"/>
      <c r="JB156" s="1353"/>
      <c r="JC156" s="1353"/>
      <c r="JD156" s="1353"/>
      <c r="JE156" s="1353"/>
      <c r="JF156" s="1353"/>
      <c r="JG156" s="1353"/>
      <c r="JH156" s="1353"/>
      <c r="JI156" s="1353"/>
      <c r="JJ156" s="1353"/>
      <c r="JK156" s="1353"/>
      <c r="JL156" s="1353"/>
      <c r="JM156" s="1353"/>
      <c r="JN156" s="1353"/>
      <c r="JO156" s="1353"/>
      <c r="JP156" s="1353"/>
      <c r="JQ156" s="1353"/>
      <c r="JR156" s="1353"/>
      <c r="JS156" s="1353"/>
      <c r="JT156" s="1353"/>
      <c r="JU156" s="1353"/>
      <c r="JV156" s="1353"/>
      <c r="JW156" s="1353"/>
      <c r="JX156" s="1353"/>
      <c r="JY156" s="1353"/>
      <c r="JZ156" s="1353"/>
      <c r="KA156" s="1353"/>
      <c r="KB156" s="1353"/>
      <c r="KC156" s="1353"/>
      <c r="KD156" s="1353"/>
      <c r="KE156" s="1353"/>
      <c r="KF156" s="1353"/>
      <c r="KG156" s="1353"/>
      <c r="KH156" s="1353"/>
      <c r="KI156" s="1353"/>
      <c r="KJ156" s="1353"/>
      <c r="KK156" s="1353"/>
    </row>
    <row r="157" ht="14.25" customHeight="1">
      <c r="A157" s="1353"/>
      <c r="B157" s="3010" t="s">
        <v>2969</v>
      </c>
      <c r="C157" s="3011"/>
      <c r="D157" s="3012">
        <f>H155</f>
        <v>0</v>
      </c>
      <c r="E157" s="3009"/>
      <c r="F157" s="3009"/>
      <c r="G157" s="3009"/>
      <c r="H157" s="3009"/>
      <c r="I157" s="3009"/>
      <c r="J157" s="3009"/>
      <c r="K157" s="3009"/>
      <c r="L157" s="3009"/>
      <c r="M157" s="3009"/>
      <c r="N157" s="1353"/>
      <c r="O157" s="1353"/>
      <c r="P157" s="1353"/>
      <c r="Q157" s="1353"/>
      <c r="R157" s="1353"/>
      <c r="S157" s="1353"/>
      <c r="T157" s="1353"/>
      <c r="U157" s="1353"/>
      <c r="V157" s="1353"/>
      <c r="W157" s="1353"/>
      <c r="X157" s="1353"/>
      <c r="Y157" s="1353"/>
      <c r="Z157" s="1353"/>
      <c r="AA157" s="1353"/>
      <c r="AB157" s="2993"/>
      <c r="AC157" s="2993"/>
      <c r="AD157" s="2993"/>
      <c r="AE157" s="2993"/>
      <c r="AF157" s="2993"/>
      <c r="AG157" s="2993"/>
      <c r="AH157" s="2993"/>
      <c r="AI157" s="1353"/>
      <c r="AJ157" s="1353"/>
      <c r="AK157" s="1353"/>
      <c r="AL157" s="1353"/>
      <c r="AM157" s="1353"/>
      <c r="AN157" s="1353"/>
      <c r="AO157" s="1353"/>
      <c r="AP157" s="1353"/>
      <c r="AQ157" s="1353"/>
      <c r="AR157" s="1353"/>
      <c r="AS157" s="1353"/>
      <c r="AT157" s="1353"/>
      <c r="AU157" s="1353"/>
      <c r="AV157" s="1353"/>
      <c r="AW157" s="1353"/>
      <c r="AX157" s="1353"/>
      <c r="AY157" s="1353"/>
      <c r="AZ157" s="1353"/>
      <c r="BA157" s="1353"/>
      <c r="BB157" s="1353"/>
      <c r="BC157" s="1353"/>
      <c r="BD157" s="1353"/>
      <c r="BE157" s="1353"/>
      <c r="BF157" s="1353"/>
      <c r="BG157" s="1353"/>
      <c r="BH157" s="1353"/>
      <c r="BI157" s="1353"/>
      <c r="BJ157" s="1353"/>
      <c r="BK157" s="1353"/>
      <c r="BL157" s="1353"/>
      <c r="BM157" s="1353"/>
      <c r="BN157" s="1353"/>
      <c r="BO157" s="1353"/>
      <c r="BP157" s="1353"/>
      <c r="BQ157" s="1353"/>
      <c r="BR157" s="1353"/>
      <c r="BS157" s="1353"/>
      <c r="BT157" s="1353"/>
      <c r="BU157" s="1353"/>
      <c r="BV157" s="1353"/>
      <c r="BW157" s="1353"/>
      <c r="BX157" s="1353"/>
      <c r="BY157" s="1353"/>
      <c r="BZ157" s="1353"/>
      <c r="CA157" s="1353"/>
      <c r="CB157" s="1353"/>
      <c r="CC157" s="1353"/>
      <c r="CD157" s="1353"/>
      <c r="CE157" s="1353"/>
      <c r="CF157" s="1353"/>
      <c r="CG157" s="1353"/>
      <c r="CH157" s="1353"/>
      <c r="CI157" s="1353"/>
      <c r="CJ157" s="1353"/>
      <c r="CK157" s="1353"/>
      <c r="CL157" s="1353"/>
      <c r="CM157" s="1353"/>
      <c r="CN157" s="1353"/>
      <c r="CO157" s="1353"/>
      <c r="CP157" s="1353"/>
      <c r="CQ157" s="1353"/>
      <c r="CR157" s="1353"/>
      <c r="CS157" s="1353"/>
      <c r="CT157" s="1353"/>
      <c r="CU157" s="1353"/>
      <c r="CV157" s="1353"/>
      <c r="CW157" s="1353"/>
      <c r="CX157" s="1353"/>
      <c r="CY157" s="1353"/>
      <c r="CZ157" s="1353"/>
      <c r="DA157" s="1353"/>
      <c r="DB157" s="1353"/>
      <c r="DC157" s="1353"/>
      <c r="DD157" s="1353"/>
      <c r="DE157" s="1353"/>
      <c r="DF157" s="1353"/>
      <c r="DG157" s="1353"/>
      <c r="DH157" s="1353"/>
      <c r="DI157" s="1353"/>
      <c r="DJ157" s="1353"/>
      <c r="DK157" s="1353"/>
      <c r="DL157" s="1353"/>
      <c r="DM157" s="1353"/>
      <c r="DN157" s="1353"/>
      <c r="DO157" s="1353"/>
      <c r="DP157" s="1353"/>
      <c r="DQ157" s="1353"/>
      <c r="DR157" s="1353"/>
      <c r="DS157" s="1353"/>
      <c r="DT157" s="1353"/>
      <c r="DU157" s="1353"/>
      <c r="DV157" s="1353"/>
      <c r="DW157" s="1353"/>
      <c r="DX157" s="1353"/>
      <c r="DY157" s="1353"/>
      <c r="DZ157" s="1353"/>
      <c r="EA157" s="1353"/>
      <c r="EB157" s="1353"/>
      <c r="EC157" s="1353"/>
      <c r="ED157" s="1353"/>
      <c r="EE157" s="1353"/>
      <c r="EF157" s="1353"/>
      <c r="EG157" s="1353"/>
      <c r="EH157" s="1353"/>
      <c r="EI157" s="1353"/>
      <c r="EJ157" s="1353"/>
      <c r="EK157" s="1353"/>
      <c r="EL157" s="1353"/>
      <c r="EM157" s="1353"/>
      <c r="EN157" s="1353"/>
      <c r="EO157" s="1353"/>
      <c r="EP157" s="1353"/>
      <c r="EQ157" s="1353"/>
      <c r="ER157" s="1353"/>
      <c r="ES157" s="1353"/>
      <c r="ET157" s="1353"/>
      <c r="EU157" s="1353"/>
      <c r="EV157" s="1353"/>
      <c r="EW157" s="1353"/>
      <c r="EX157" s="1353"/>
      <c r="EY157" s="1353"/>
      <c r="EZ157" s="1353"/>
      <c r="FA157" s="1353"/>
      <c r="FB157" s="1353"/>
      <c r="FC157" s="1353"/>
      <c r="FD157" s="1353"/>
      <c r="FE157" s="1353"/>
      <c r="FF157" s="1353"/>
      <c r="FG157" s="1353"/>
      <c r="FH157" s="1353"/>
      <c r="FI157" s="1353"/>
      <c r="FJ157" s="1353"/>
      <c r="FK157" s="1353"/>
      <c r="FL157" s="1353"/>
      <c r="FM157" s="1353"/>
      <c r="FN157" s="1353"/>
      <c r="FO157" s="1353"/>
      <c r="FP157" s="1353"/>
      <c r="FQ157" s="1353"/>
      <c r="FR157" s="1353"/>
      <c r="FS157" s="1353"/>
      <c r="FT157" s="1353"/>
      <c r="FU157" s="1353"/>
      <c r="FV157" s="1353"/>
      <c r="FW157" s="1353"/>
      <c r="FX157" s="1353"/>
      <c r="FY157" s="1353"/>
      <c r="FZ157" s="1353"/>
      <c r="GA157" s="1353"/>
      <c r="GB157" s="1353"/>
      <c r="GC157" s="1353"/>
      <c r="GD157" s="1353"/>
      <c r="GE157" s="1353"/>
      <c r="GF157" s="1353"/>
      <c r="GG157" s="1353"/>
      <c r="GH157" s="1353"/>
      <c r="GI157" s="1353"/>
      <c r="GJ157" s="1353"/>
      <c r="GK157" s="1353"/>
      <c r="GL157" s="1353"/>
      <c r="GM157" s="1353"/>
      <c r="GN157" s="1353"/>
      <c r="GO157" s="1353"/>
      <c r="GP157" s="1353"/>
      <c r="GQ157" s="1353"/>
      <c r="GR157" s="1353"/>
      <c r="GS157" s="1353"/>
      <c r="GT157" s="1353"/>
      <c r="GU157" s="1353"/>
      <c r="GV157" s="1353"/>
      <c r="GW157" s="1353"/>
      <c r="GX157" s="1353"/>
      <c r="GY157" s="1353"/>
      <c r="GZ157" s="1353"/>
      <c r="HA157" s="1353"/>
      <c r="HB157" s="1353"/>
      <c r="HC157" s="1353"/>
      <c r="HD157" s="1353"/>
      <c r="HE157" s="1353"/>
      <c r="HF157" s="1353"/>
      <c r="HG157" s="1353"/>
      <c r="HH157" s="1353"/>
      <c r="HI157" s="1353"/>
      <c r="HJ157" s="1353"/>
      <c r="HK157" s="1353"/>
      <c r="HL157" s="1353"/>
      <c r="HM157" s="1353"/>
      <c r="HN157" s="1353"/>
      <c r="HO157" s="1353"/>
      <c r="HP157" s="1353"/>
      <c r="HQ157" s="1353"/>
      <c r="HR157" s="1353"/>
      <c r="HS157" s="1353"/>
      <c r="HT157" s="1353"/>
      <c r="HU157" s="1353"/>
      <c r="HV157" s="1353"/>
      <c r="HW157" s="1353"/>
      <c r="HX157" s="1353"/>
      <c r="HY157" s="1353"/>
      <c r="HZ157" s="1353"/>
      <c r="IA157" s="1353"/>
      <c r="IB157" s="1353"/>
      <c r="IC157" s="1353"/>
      <c r="ID157" s="1353"/>
      <c r="IE157" s="1353"/>
      <c r="IF157" s="1353"/>
      <c r="IG157" s="1353"/>
      <c r="IH157" s="1353"/>
      <c r="II157" s="1353"/>
      <c r="IJ157" s="1353"/>
      <c r="IK157" s="1353"/>
      <c r="IL157" s="1353"/>
      <c r="IM157" s="1353"/>
      <c r="IN157" s="1353"/>
      <c r="IO157" s="1353"/>
      <c r="IP157" s="1353"/>
      <c r="IQ157" s="1353"/>
      <c r="IR157" s="1353"/>
      <c r="IS157" s="1353"/>
      <c r="IT157" s="1353"/>
      <c r="IU157" s="1353"/>
      <c r="IV157" s="1353"/>
      <c r="IW157" s="1353"/>
      <c r="IX157" s="1353"/>
      <c r="IY157" s="1353"/>
      <c r="IZ157" s="1353"/>
      <c r="JA157" s="1353"/>
      <c r="JB157" s="1353"/>
      <c r="JC157" s="1353"/>
      <c r="JD157" s="1353"/>
      <c r="JE157" s="1353"/>
      <c r="JF157" s="1353"/>
      <c r="JG157" s="1353"/>
      <c r="JH157" s="1353"/>
      <c r="JI157" s="1353"/>
      <c r="JJ157" s="1353"/>
      <c r="JK157" s="1353"/>
      <c r="JL157" s="1353"/>
      <c r="JM157" s="1353"/>
      <c r="JN157" s="1353"/>
      <c r="JO157" s="1353"/>
      <c r="JP157" s="1353"/>
      <c r="JQ157" s="1353"/>
      <c r="JR157" s="1353"/>
      <c r="JS157" s="1353"/>
      <c r="JT157" s="1353"/>
      <c r="JU157" s="1353"/>
      <c r="JV157" s="1353"/>
      <c r="JW157" s="1353"/>
      <c r="JX157" s="1353"/>
      <c r="JY157" s="1353"/>
      <c r="JZ157" s="1353"/>
      <c r="KA157" s="1353"/>
      <c r="KB157" s="1353"/>
      <c r="KC157" s="1353"/>
      <c r="KD157" s="1353"/>
      <c r="KE157" s="1353"/>
      <c r="KF157" s="1353"/>
      <c r="KG157" s="1353"/>
      <c r="KH157" s="1353"/>
      <c r="KI157" s="1353"/>
      <c r="KJ157" s="1353"/>
      <c r="KK157" s="1353"/>
    </row>
    <row r="158" ht="14.25" customHeight="1">
      <c r="A158" s="1353"/>
      <c r="B158" s="3009"/>
      <c r="C158" s="3011"/>
      <c r="D158" s="3013"/>
      <c r="E158" s="3014"/>
      <c r="F158" s="3014"/>
      <c r="G158" s="3009"/>
      <c r="H158" s="3009"/>
      <c r="I158" s="3009"/>
      <c r="J158" s="3009"/>
      <c r="K158" s="3009"/>
      <c r="L158" s="3009"/>
      <c r="M158" s="3009"/>
      <c r="N158" s="1353"/>
      <c r="O158" s="1353"/>
      <c r="P158" s="1353"/>
      <c r="Q158" s="1353"/>
      <c r="R158" s="1353"/>
      <c r="S158" s="1353"/>
      <c r="T158" s="1353"/>
      <c r="U158" s="1353"/>
      <c r="V158" s="1353"/>
      <c r="W158" s="1353"/>
      <c r="X158" s="1353"/>
      <c r="Y158" s="1353"/>
      <c r="Z158" s="1353"/>
      <c r="AA158" s="1353"/>
      <c r="AB158" s="2993"/>
      <c r="AC158" s="2993"/>
      <c r="AD158" s="2993"/>
      <c r="AE158" s="2993"/>
      <c r="AF158" s="2993"/>
      <c r="AG158" s="2993"/>
      <c r="AH158" s="2993"/>
      <c r="AI158" s="1353"/>
      <c r="AJ158" s="1353"/>
      <c r="AK158" s="1353"/>
      <c r="AL158" s="1353"/>
      <c r="AM158" s="1353"/>
      <c r="AN158" s="1353"/>
      <c r="AO158" s="1353"/>
      <c r="AP158" s="1353"/>
      <c r="AQ158" s="1353"/>
      <c r="AR158" s="1353"/>
      <c r="AS158" s="1353"/>
      <c r="AT158" s="1353"/>
      <c r="AU158" s="1353"/>
      <c r="AV158" s="1353"/>
      <c r="AW158" s="1353"/>
      <c r="AX158" s="1353"/>
      <c r="AY158" s="1353"/>
      <c r="AZ158" s="1353"/>
      <c r="BA158" s="1353"/>
      <c r="BB158" s="1353"/>
      <c r="BC158" s="1353"/>
      <c r="BD158" s="1353"/>
      <c r="BE158" s="1353"/>
      <c r="BF158" s="1353"/>
      <c r="BG158" s="1353"/>
      <c r="BH158" s="1353"/>
      <c r="BI158" s="1353"/>
      <c r="BJ158" s="1353"/>
      <c r="BK158" s="1353"/>
      <c r="BL158" s="1353"/>
      <c r="BM158" s="1353"/>
      <c r="BN158" s="1353"/>
      <c r="BO158" s="1353"/>
      <c r="BP158" s="1353"/>
      <c r="BQ158" s="1353"/>
      <c r="BR158" s="1353"/>
      <c r="BS158" s="1353"/>
      <c r="BT158" s="1353"/>
      <c r="BU158" s="1353"/>
      <c r="BV158" s="1353"/>
      <c r="BW158" s="1353"/>
      <c r="BX158" s="1353"/>
      <c r="BY158" s="1353"/>
      <c r="BZ158" s="1353"/>
      <c r="CA158" s="1353"/>
      <c r="CB158" s="1353"/>
      <c r="CC158" s="1353"/>
      <c r="CD158" s="1353"/>
      <c r="CE158" s="1353"/>
      <c r="CF158" s="1353"/>
      <c r="CG158" s="1353"/>
      <c r="CH158" s="1353"/>
      <c r="CI158" s="1353"/>
      <c r="CJ158" s="1353"/>
      <c r="CK158" s="1353"/>
      <c r="CL158" s="1353"/>
      <c r="CM158" s="1353"/>
      <c r="CN158" s="1353"/>
      <c r="CO158" s="1353"/>
      <c r="CP158" s="1353"/>
      <c r="CQ158" s="1353"/>
      <c r="CR158" s="1353"/>
      <c r="CS158" s="1353"/>
      <c r="CT158" s="1353"/>
      <c r="CU158" s="1353"/>
      <c r="CV158" s="1353"/>
      <c r="CW158" s="1353"/>
      <c r="CX158" s="1353"/>
      <c r="CY158" s="1353"/>
      <c r="CZ158" s="1353"/>
      <c r="DA158" s="1353"/>
      <c r="DB158" s="1353"/>
      <c r="DC158" s="1353"/>
      <c r="DD158" s="1353"/>
      <c r="DE158" s="1353"/>
      <c r="DF158" s="1353"/>
      <c r="DG158" s="1353"/>
      <c r="DH158" s="1353"/>
      <c r="DI158" s="1353"/>
      <c r="DJ158" s="1353"/>
      <c r="DK158" s="1353"/>
      <c r="DL158" s="1353"/>
      <c r="DM158" s="1353"/>
      <c r="DN158" s="1353"/>
      <c r="DO158" s="1353"/>
      <c r="DP158" s="1353"/>
      <c r="DQ158" s="1353"/>
      <c r="DR158" s="1353"/>
      <c r="DS158" s="1353"/>
      <c r="DT158" s="1353"/>
      <c r="DU158" s="1353"/>
      <c r="DV158" s="1353"/>
      <c r="DW158" s="1353"/>
      <c r="DX158" s="1353"/>
      <c r="DY158" s="1353"/>
      <c r="DZ158" s="1353"/>
      <c r="EA158" s="1353"/>
      <c r="EB158" s="1353"/>
      <c r="EC158" s="1353"/>
      <c r="ED158" s="1353"/>
      <c r="EE158" s="1353"/>
      <c r="EF158" s="1353"/>
      <c r="EG158" s="1353"/>
      <c r="EH158" s="1353"/>
      <c r="EI158" s="1353"/>
      <c r="EJ158" s="1353"/>
      <c r="EK158" s="1353"/>
      <c r="EL158" s="1353"/>
      <c r="EM158" s="1353"/>
      <c r="EN158" s="1353"/>
      <c r="EO158" s="1353"/>
      <c r="EP158" s="1353"/>
      <c r="EQ158" s="1353"/>
      <c r="ER158" s="1353"/>
      <c r="ES158" s="1353"/>
      <c r="ET158" s="1353"/>
      <c r="EU158" s="1353"/>
      <c r="EV158" s="1353"/>
      <c r="EW158" s="1353"/>
      <c r="EX158" s="1353"/>
      <c r="EY158" s="1353"/>
      <c r="EZ158" s="1353"/>
      <c r="FA158" s="1353"/>
      <c r="FB158" s="1353"/>
      <c r="FC158" s="1353"/>
      <c r="FD158" s="1353"/>
      <c r="FE158" s="1353"/>
      <c r="FF158" s="1353"/>
      <c r="FG158" s="1353"/>
      <c r="FH158" s="1353"/>
      <c r="FI158" s="1353"/>
      <c r="FJ158" s="1353"/>
      <c r="FK158" s="1353"/>
      <c r="FL158" s="1353"/>
      <c r="FM158" s="1353"/>
      <c r="FN158" s="1353"/>
      <c r="FO158" s="1353"/>
      <c r="FP158" s="1353"/>
      <c r="FQ158" s="1353"/>
      <c r="FR158" s="1353"/>
      <c r="FS158" s="1353"/>
      <c r="FT158" s="1353"/>
      <c r="FU158" s="1353"/>
      <c r="FV158" s="1353"/>
      <c r="FW158" s="1353"/>
      <c r="FX158" s="1353"/>
      <c r="FY158" s="1353"/>
      <c r="FZ158" s="1353"/>
      <c r="GA158" s="1353"/>
      <c r="GB158" s="1353"/>
      <c r="GC158" s="1353"/>
      <c r="GD158" s="1353"/>
      <c r="GE158" s="1353"/>
      <c r="GF158" s="1353"/>
      <c r="GG158" s="1353"/>
      <c r="GH158" s="1353"/>
      <c r="GI158" s="1353"/>
      <c r="GJ158" s="1353"/>
      <c r="GK158" s="1353"/>
      <c r="GL158" s="1353"/>
      <c r="GM158" s="1353"/>
      <c r="GN158" s="1353"/>
      <c r="GO158" s="1353"/>
      <c r="GP158" s="1353"/>
      <c r="GQ158" s="1353"/>
      <c r="GR158" s="1353"/>
      <c r="GS158" s="1353"/>
      <c r="GT158" s="1353"/>
      <c r="GU158" s="1353"/>
      <c r="GV158" s="1353"/>
      <c r="GW158" s="1353"/>
      <c r="GX158" s="1353"/>
      <c r="GY158" s="1353"/>
      <c r="GZ158" s="1353"/>
      <c r="HA158" s="1353"/>
      <c r="HB158" s="1353"/>
      <c r="HC158" s="1353"/>
      <c r="HD158" s="1353"/>
      <c r="HE158" s="1353"/>
      <c r="HF158" s="1353"/>
      <c r="HG158" s="1353"/>
      <c r="HH158" s="1353"/>
      <c r="HI158" s="1353"/>
      <c r="HJ158" s="1353"/>
      <c r="HK158" s="1353"/>
      <c r="HL158" s="1353"/>
      <c r="HM158" s="1353"/>
      <c r="HN158" s="1353"/>
      <c r="HO158" s="1353"/>
      <c r="HP158" s="1353"/>
      <c r="HQ158" s="1353"/>
      <c r="HR158" s="1353"/>
      <c r="HS158" s="1353"/>
      <c r="HT158" s="1353"/>
      <c r="HU158" s="1353"/>
      <c r="HV158" s="1353"/>
      <c r="HW158" s="1353"/>
      <c r="HX158" s="1353"/>
      <c r="HY158" s="1353"/>
      <c r="HZ158" s="1353"/>
      <c r="IA158" s="1353"/>
      <c r="IB158" s="1353"/>
      <c r="IC158" s="1353"/>
      <c r="ID158" s="1353"/>
      <c r="IE158" s="1353"/>
      <c r="IF158" s="1353"/>
      <c r="IG158" s="1353"/>
      <c r="IH158" s="1353"/>
      <c r="II158" s="1353"/>
      <c r="IJ158" s="1353"/>
      <c r="IK158" s="1353"/>
      <c r="IL158" s="1353"/>
      <c r="IM158" s="1353"/>
      <c r="IN158" s="1353"/>
      <c r="IO158" s="1353"/>
      <c r="IP158" s="1353"/>
      <c r="IQ158" s="1353"/>
      <c r="IR158" s="1353"/>
      <c r="IS158" s="1353"/>
      <c r="IT158" s="1353"/>
      <c r="IU158" s="1353"/>
      <c r="IV158" s="1353"/>
      <c r="IW158" s="1353"/>
      <c r="IX158" s="1353"/>
      <c r="IY158" s="1353"/>
      <c r="IZ158" s="1353"/>
      <c r="JA158" s="1353"/>
      <c r="JB158" s="1353"/>
      <c r="JC158" s="1353"/>
      <c r="JD158" s="1353"/>
      <c r="JE158" s="1353"/>
      <c r="JF158" s="1353"/>
      <c r="JG158" s="1353"/>
      <c r="JH158" s="1353"/>
      <c r="JI158" s="1353"/>
      <c r="JJ158" s="1353"/>
      <c r="JK158" s="1353"/>
      <c r="JL158" s="1353"/>
      <c r="JM158" s="1353"/>
      <c r="JN158" s="1353"/>
      <c r="JO158" s="1353"/>
      <c r="JP158" s="1353"/>
      <c r="JQ158" s="1353"/>
      <c r="JR158" s="1353"/>
      <c r="JS158" s="1353"/>
      <c r="JT158" s="1353"/>
      <c r="JU158" s="1353"/>
      <c r="JV158" s="1353"/>
      <c r="JW158" s="1353"/>
      <c r="JX158" s="1353"/>
      <c r="JY158" s="1353"/>
      <c r="JZ158" s="1353"/>
      <c r="KA158" s="1353"/>
      <c r="KB158" s="1353"/>
      <c r="KC158" s="1353"/>
      <c r="KD158" s="1353"/>
      <c r="KE158" s="1353"/>
      <c r="KF158" s="1353"/>
      <c r="KG158" s="1353"/>
      <c r="KH158" s="1353"/>
      <c r="KI158" s="1353"/>
      <c r="KJ158" s="1353"/>
      <c r="KK158" s="1353"/>
    </row>
    <row r="159" ht="14.25" customHeight="1">
      <c r="A159" s="1353"/>
      <c r="B159" s="3010" t="s">
        <v>2970</v>
      </c>
      <c r="C159" s="3011"/>
      <c r="D159" s="3012">
        <f>D157*12</f>
        <v>0</v>
      </c>
      <c r="E159" s="3014"/>
      <c r="F159" s="3014"/>
      <c r="G159" s="3009"/>
      <c r="H159" s="3009"/>
      <c r="I159" s="3009"/>
      <c r="J159" s="3009"/>
      <c r="K159" s="3009"/>
      <c r="L159" s="3009"/>
      <c r="M159" s="3009"/>
      <c r="N159" s="1353"/>
      <c r="O159" s="1353"/>
      <c r="P159" s="1353"/>
      <c r="Q159" s="1353"/>
      <c r="R159" s="1353"/>
      <c r="S159" s="1353"/>
      <c r="T159" s="1353"/>
      <c r="U159" s="1353"/>
      <c r="V159" s="1353"/>
      <c r="W159" s="1353"/>
      <c r="X159" s="1353"/>
      <c r="Y159" s="1353"/>
      <c r="Z159" s="1353"/>
      <c r="AA159" s="1353"/>
      <c r="AB159" s="2993"/>
      <c r="AC159" s="2993"/>
      <c r="AD159" s="2993"/>
      <c r="AE159" s="2993"/>
      <c r="AF159" s="2993"/>
      <c r="AG159" s="2993"/>
      <c r="AH159" s="2993"/>
      <c r="AI159" s="1353"/>
      <c r="AJ159" s="1353"/>
      <c r="AK159" s="1353"/>
      <c r="AL159" s="1353"/>
      <c r="AM159" s="1353"/>
      <c r="AN159" s="1353"/>
      <c r="AO159" s="1353"/>
      <c r="AP159" s="1353"/>
      <c r="AQ159" s="1353"/>
      <c r="AR159" s="1353"/>
      <c r="AS159" s="1353"/>
      <c r="AT159" s="1353"/>
      <c r="AU159" s="1353"/>
      <c r="AV159" s="1353"/>
      <c r="AW159" s="1353"/>
      <c r="AX159" s="1353"/>
      <c r="AY159" s="1353"/>
      <c r="AZ159" s="1353"/>
      <c r="BA159" s="1353"/>
      <c r="BB159" s="1353"/>
      <c r="BC159" s="1353"/>
      <c r="BD159" s="1353"/>
      <c r="BE159" s="1353"/>
      <c r="BF159" s="1353"/>
      <c r="BG159" s="1353"/>
      <c r="BH159" s="1353"/>
      <c r="BI159" s="1353"/>
      <c r="BJ159" s="1353"/>
      <c r="BK159" s="1353"/>
      <c r="BL159" s="1353"/>
      <c r="BM159" s="1353"/>
      <c r="BN159" s="1353"/>
      <c r="BO159" s="1353"/>
      <c r="BP159" s="1353"/>
      <c r="BQ159" s="1353"/>
      <c r="BR159" s="1353"/>
      <c r="BS159" s="1353"/>
      <c r="BT159" s="1353"/>
      <c r="BU159" s="1353"/>
      <c r="BV159" s="1353"/>
      <c r="BW159" s="1353"/>
      <c r="BX159" s="1353"/>
      <c r="BY159" s="1353"/>
      <c r="BZ159" s="1353"/>
      <c r="CA159" s="1353"/>
      <c r="CB159" s="1353"/>
      <c r="CC159" s="1353"/>
      <c r="CD159" s="1353"/>
      <c r="CE159" s="1353"/>
      <c r="CF159" s="1353"/>
      <c r="CG159" s="1353"/>
      <c r="CH159" s="1353"/>
      <c r="CI159" s="1353"/>
      <c r="CJ159" s="1353"/>
      <c r="CK159" s="1353"/>
      <c r="CL159" s="1353"/>
      <c r="CM159" s="1353"/>
      <c r="CN159" s="1353"/>
      <c r="CO159" s="1353"/>
      <c r="CP159" s="1353"/>
      <c r="CQ159" s="1353"/>
      <c r="CR159" s="1353"/>
      <c r="CS159" s="1353"/>
      <c r="CT159" s="1353"/>
      <c r="CU159" s="1353"/>
      <c r="CV159" s="1353"/>
      <c r="CW159" s="1353"/>
      <c r="CX159" s="1353"/>
      <c r="CY159" s="1353"/>
      <c r="CZ159" s="1353"/>
      <c r="DA159" s="1353"/>
      <c r="DB159" s="1353"/>
      <c r="DC159" s="1353"/>
      <c r="DD159" s="1353"/>
      <c r="DE159" s="1353"/>
      <c r="DF159" s="1353"/>
      <c r="DG159" s="1353"/>
      <c r="DH159" s="1353"/>
      <c r="DI159" s="1353"/>
      <c r="DJ159" s="1353"/>
      <c r="DK159" s="1353"/>
      <c r="DL159" s="1353"/>
      <c r="DM159" s="1353"/>
      <c r="DN159" s="1353"/>
      <c r="DO159" s="1353"/>
      <c r="DP159" s="1353"/>
      <c r="DQ159" s="1353"/>
      <c r="DR159" s="1353"/>
      <c r="DS159" s="1353"/>
      <c r="DT159" s="1353"/>
      <c r="DU159" s="1353"/>
      <c r="DV159" s="1353"/>
      <c r="DW159" s="1353"/>
      <c r="DX159" s="1353"/>
      <c r="DY159" s="1353"/>
      <c r="DZ159" s="1353"/>
      <c r="EA159" s="1353"/>
      <c r="EB159" s="1353"/>
      <c r="EC159" s="1353"/>
      <c r="ED159" s="1353"/>
      <c r="EE159" s="1353"/>
      <c r="EF159" s="1353"/>
      <c r="EG159" s="1353"/>
      <c r="EH159" s="1353"/>
      <c r="EI159" s="1353"/>
      <c r="EJ159" s="1353"/>
      <c r="EK159" s="1353"/>
      <c r="EL159" s="1353"/>
      <c r="EM159" s="1353"/>
      <c r="EN159" s="1353"/>
      <c r="EO159" s="1353"/>
      <c r="EP159" s="1353"/>
      <c r="EQ159" s="1353"/>
      <c r="ER159" s="1353"/>
      <c r="ES159" s="1353"/>
      <c r="ET159" s="1353"/>
      <c r="EU159" s="1353"/>
      <c r="EV159" s="1353"/>
      <c r="EW159" s="1353"/>
      <c r="EX159" s="1353"/>
      <c r="EY159" s="1353"/>
      <c r="EZ159" s="1353"/>
      <c r="FA159" s="1353"/>
      <c r="FB159" s="1353"/>
      <c r="FC159" s="1353"/>
      <c r="FD159" s="1353"/>
      <c r="FE159" s="1353"/>
      <c r="FF159" s="1353"/>
      <c r="FG159" s="1353"/>
      <c r="FH159" s="1353"/>
      <c r="FI159" s="1353"/>
      <c r="FJ159" s="1353"/>
      <c r="FK159" s="1353"/>
      <c r="FL159" s="1353"/>
      <c r="FM159" s="1353"/>
      <c r="FN159" s="1353"/>
      <c r="FO159" s="1353"/>
      <c r="FP159" s="1353"/>
      <c r="FQ159" s="1353"/>
      <c r="FR159" s="1353"/>
      <c r="FS159" s="1353"/>
      <c r="FT159" s="1353"/>
      <c r="FU159" s="1353"/>
      <c r="FV159" s="1353"/>
      <c r="FW159" s="1353"/>
      <c r="FX159" s="1353"/>
      <c r="FY159" s="1353"/>
      <c r="FZ159" s="1353"/>
      <c r="GA159" s="1353"/>
      <c r="GB159" s="1353"/>
      <c r="GC159" s="1353"/>
      <c r="GD159" s="1353"/>
      <c r="GE159" s="1353"/>
      <c r="GF159" s="1353"/>
      <c r="GG159" s="1353"/>
      <c r="GH159" s="1353"/>
      <c r="GI159" s="1353"/>
      <c r="GJ159" s="1353"/>
      <c r="GK159" s="1353"/>
      <c r="GL159" s="1353"/>
      <c r="GM159" s="1353"/>
      <c r="GN159" s="1353"/>
      <c r="GO159" s="1353"/>
      <c r="GP159" s="1353"/>
      <c r="GQ159" s="1353"/>
      <c r="GR159" s="1353"/>
      <c r="GS159" s="1353"/>
      <c r="GT159" s="1353"/>
      <c r="GU159" s="1353"/>
      <c r="GV159" s="1353"/>
      <c r="GW159" s="1353"/>
      <c r="GX159" s="1353"/>
      <c r="GY159" s="1353"/>
      <c r="GZ159" s="1353"/>
      <c r="HA159" s="1353"/>
      <c r="HB159" s="1353"/>
      <c r="HC159" s="1353"/>
      <c r="HD159" s="1353"/>
      <c r="HE159" s="1353"/>
      <c r="HF159" s="1353"/>
      <c r="HG159" s="1353"/>
      <c r="HH159" s="1353"/>
      <c r="HI159" s="1353"/>
      <c r="HJ159" s="1353"/>
      <c r="HK159" s="1353"/>
      <c r="HL159" s="1353"/>
      <c r="HM159" s="1353"/>
      <c r="HN159" s="1353"/>
      <c r="HO159" s="1353"/>
      <c r="HP159" s="1353"/>
      <c r="HQ159" s="1353"/>
      <c r="HR159" s="1353"/>
      <c r="HS159" s="1353"/>
      <c r="HT159" s="1353"/>
      <c r="HU159" s="1353"/>
      <c r="HV159" s="1353"/>
      <c r="HW159" s="1353"/>
      <c r="HX159" s="1353"/>
      <c r="HY159" s="1353"/>
      <c r="HZ159" s="1353"/>
      <c r="IA159" s="1353"/>
      <c r="IB159" s="1353"/>
      <c r="IC159" s="1353"/>
      <c r="ID159" s="1353"/>
      <c r="IE159" s="1353"/>
      <c r="IF159" s="1353"/>
      <c r="IG159" s="1353"/>
      <c r="IH159" s="1353"/>
      <c r="II159" s="1353"/>
      <c r="IJ159" s="1353"/>
      <c r="IK159" s="1353"/>
      <c r="IL159" s="1353"/>
      <c r="IM159" s="1353"/>
      <c r="IN159" s="1353"/>
      <c r="IO159" s="1353"/>
      <c r="IP159" s="1353"/>
      <c r="IQ159" s="1353"/>
      <c r="IR159" s="1353"/>
      <c r="IS159" s="1353"/>
      <c r="IT159" s="1353"/>
      <c r="IU159" s="1353"/>
      <c r="IV159" s="1353"/>
      <c r="IW159" s="1353"/>
      <c r="IX159" s="1353"/>
      <c r="IY159" s="1353"/>
      <c r="IZ159" s="1353"/>
      <c r="JA159" s="1353"/>
      <c r="JB159" s="1353"/>
      <c r="JC159" s="1353"/>
      <c r="JD159" s="1353"/>
      <c r="JE159" s="1353"/>
      <c r="JF159" s="1353"/>
      <c r="JG159" s="1353"/>
      <c r="JH159" s="1353"/>
      <c r="JI159" s="1353"/>
      <c r="JJ159" s="1353"/>
      <c r="JK159" s="1353"/>
      <c r="JL159" s="1353"/>
      <c r="JM159" s="1353"/>
      <c r="JN159" s="1353"/>
      <c r="JO159" s="1353"/>
      <c r="JP159" s="1353"/>
      <c r="JQ159" s="1353"/>
      <c r="JR159" s="1353"/>
      <c r="JS159" s="1353"/>
      <c r="JT159" s="1353"/>
      <c r="JU159" s="1353"/>
      <c r="JV159" s="1353"/>
      <c r="JW159" s="1353"/>
      <c r="JX159" s="1353"/>
      <c r="JY159" s="1353"/>
      <c r="JZ159" s="1353"/>
      <c r="KA159" s="1353"/>
      <c r="KB159" s="1353"/>
      <c r="KC159" s="1353"/>
      <c r="KD159" s="1353"/>
      <c r="KE159" s="1353"/>
      <c r="KF159" s="1353"/>
      <c r="KG159" s="1353"/>
      <c r="KH159" s="1353"/>
      <c r="KI159" s="1353"/>
      <c r="KJ159" s="1353"/>
      <c r="KK159" s="1353"/>
    </row>
    <row r="160" ht="14.25" customHeight="1">
      <c r="A160" s="1353"/>
      <c r="B160" s="3009"/>
      <c r="C160" s="3011"/>
      <c r="D160" s="3013"/>
      <c r="E160" s="3015"/>
      <c r="F160" s="3015"/>
      <c r="G160" s="3009"/>
      <c r="H160" s="3009"/>
      <c r="I160" s="3009"/>
      <c r="J160" s="3009"/>
      <c r="K160" s="3009"/>
      <c r="L160" s="3009"/>
      <c r="M160" s="3009"/>
      <c r="N160" s="1353"/>
      <c r="O160" s="1353"/>
      <c r="P160" s="1353"/>
      <c r="Q160" s="1353"/>
      <c r="R160" s="1353"/>
      <c r="S160" s="1353"/>
      <c r="T160" s="1353"/>
      <c r="U160" s="1353"/>
      <c r="V160" s="1353"/>
      <c r="W160" s="1353"/>
      <c r="X160" s="1353"/>
      <c r="Y160" s="1353"/>
      <c r="Z160" s="1353"/>
      <c r="AA160" s="1353"/>
      <c r="AB160" s="2993"/>
      <c r="AC160" s="2993"/>
      <c r="AD160" s="2993"/>
      <c r="AE160" s="2993"/>
      <c r="AF160" s="2993"/>
      <c r="AG160" s="2993"/>
      <c r="AH160" s="2993"/>
      <c r="AI160" s="1353"/>
      <c r="AJ160" s="1353"/>
      <c r="AK160" s="1353"/>
      <c r="AL160" s="1353"/>
      <c r="AM160" s="1353"/>
      <c r="AN160" s="1353"/>
      <c r="AO160" s="1353"/>
      <c r="AP160" s="1353"/>
      <c r="AQ160" s="1353"/>
      <c r="AR160" s="1353"/>
      <c r="AS160" s="1353"/>
      <c r="AT160" s="1353"/>
      <c r="AU160" s="1353"/>
      <c r="AV160" s="1353"/>
      <c r="AW160" s="1353"/>
      <c r="AX160" s="1353"/>
      <c r="AY160" s="1353"/>
      <c r="AZ160" s="1353"/>
      <c r="BA160" s="1353"/>
      <c r="BB160" s="1353"/>
      <c r="BC160" s="1353"/>
      <c r="BD160" s="1353"/>
      <c r="BE160" s="1353"/>
      <c r="BF160" s="1353"/>
      <c r="BG160" s="1353"/>
      <c r="BH160" s="1353"/>
      <c r="BI160" s="1353"/>
      <c r="BJ160" s="1353"/>
      <c r="BK160" s="1353"/>
      <c r="BL160" s="1353"/>
      <c r="BM160" s="1353"/>
      <c r="BN160" s="1353"/>
      <c r="BO160" s="1353"/>
      <c r="BP160" s="1353"/>
      <c r="BQ160" s="1353"/>
      <c r="BR160" s="1353"/>
      <c r="BS160" s="1353"/>
      <c r="BT160" s="1353"/>
      <c r="BU160" s="1353"/>
      <c r="BV160" s="1353"/>
      <c r="BW160" s="1353"/>
      <c r="BX160" s="1353"/>
      <c r="BY160" s="1353"/>
      <c r="BZ160" s="1353"/>
      <c r="CA160" s="1353"/>
      <c r="CB160" s="1353"/>
      <c r="CC160" s="1353"/>
      <c r="CD160" s="1353"/>
      <c r="CE160" s="1353"/>
      <c r="CF160" s="1353"/>
      <c r="CG160" s="1353"/>
      <c r="CH160" s="1353"/>
      <c r="CI160" s="1353"/>
      <c r="CJ160" s="1353"/>
      <c r="CK160" s="1353"/>
      <c r="CL160" s="1353"/>
      <c r="CM160" s="1353"/>
      <c r="CN160" s="1353"/>
      <c r="CO160" s="1353"/>
      <c r="CP160" s="1353"/>
      <c r="CQ160" s="1353"/>
      <c r="CR160" s="1353"/>
      <c r="CS160" s="1353"/>
      <c r="CT160" s="1353"/>
      <c r="CU160" s="1353"/>
      <c r="CV160" s="1353"/>
      <c r="CW160" s="1353"/>
      <c r="CX160" s="1353"/>
      <c r="CY160" s="1353"/>
      <c r="CZ160" s="1353"/>
      <c r="DA160" s="1353"/>
      <c r="DB160" s="1353"/>
      <c r="DC160" s="1353"/>
      <c r="DD160" s="1353"/>
      <c r="DE160" s="1353"/>
      <c r="DF160" s="1353"/>
      <c r="DG160" s="1353"/>
      <c r="DH160" s="1353"/>
      <c r="DI160" s="1353"/>
      <c r="DJ160" s="1353"/>
      <c r="DK160" s="1353"/>
      <c r="DL160" s="1353"/>
      <c r="DM160" s="1353"/>
      <c r="DN160" s="1353"/>
      <c r="DO160" s="1353"/>
      <c r="DP160" s="1353"/>
      <c r="DQ160" s="1353"/>
      <c r="DR160" s="1353"/>
      <c r="DS160" s="1353"/>
      <c r="DT160" s="1353"/>
      <c r="DU160" s="1353"/>
      <c r="DV160" s="1353"/>
      <c r="DW160" s="1353"/>
      <c r="DX160" s="1353"/>
      <c r="DY160" s="1353"/>
      <c r="DZ160" s="1353"/>
      <c r="EA160" s="1353"/>
      <c r="EB160" s="1353"/>
      <c r="EC160" s="1353"/>
      <c r="ED160" s="1353"/>
      <c r="EE160" s="1353"/>
      <c r="EF160" s="1353"/>
      <c r="EG160" s="1353"/>
      <c r="EH160" s="1353"/>
      <c r="EI160" s="1353"/>
      <c r="EJ160" s="1353"/>
      <c r="EK160" s="1353"/>
      <c r="EL160" s="1353"/>
      <c r="EM160" s="1353"/>
      <c r="EN160" s="1353"/>
      <c r="EO160" s="1353"/>
      <c r="EP160" s="1353"/>
      <c r="EQ160" s="1353"/>
      <c r="ER160" s="1353"/>
      <c r="ES160" s="1353"/>
      <c r="ET160" s="1353"/>
      <c r="EU160" s="1353"/>
      <c r="EV160" s="1353"/>
      <c r="EW160" s="1353"/>
      <c r="EX160" s="1353"/>
      <c r="EY160" s="1353"/>
      <c r="EZ160" s="1353"/>
      <c r="FA160" s="1353"/>
      <c r="FB160" s="1353"/>
      <c r="FC160" s="1353"/>
      <c r="FD160" s="1353"/>
      <c r="FE160" s="1353"/>
      <c r="FF160" s="1353"/>
      <c r="FG160" s="1353"/>
      <c r="FH160" s="1353"/>
      <c r="FI160" s="1353"/>
      <c r="FJ160" s="1353"/>
      <c r="FK160" s="1353"/>
      <c r="FL160" s="1353"/>
      <c r="FM160" s="1353"/>
      <c r="FN160" s="1353"/>
      <c r="FO160" s="1353"/>
      <c r="FP160" s="1353"/>
      <c r="FQ160" s="1353"/>
      <c r="FR160" s="1353"/>
      <c r="FS160" s="1353"/>
      <c r="FT160" s="1353"/>
      <c r="FU160" s="1353"/>
      <c r="FV160" s="1353"/>
      <c r="FW160" s="1353"/>
      <c r="FX160" s="1353"/>
      <c r="FY160" s="1353"/>
      <c r="FZ160" s="1353"/>
      <c r="GA160" s="1353"/>
      <c r="GB160" s="1353"/>
      <c r="GC160" s="1353"/>
      <c r="GD160" s="1353"/>
      <c r="GE160" s="1353"/>
      <c r="GF160" s="1353"/>
      <c r="GG160" s="1353"/>
      <c r="GH160" s="1353"/>
      <c r="GI160" s="1353"/>
      <c r="GJ160" s="1353"/>
      <c r="GK160" s="1353"/>
      <c r="GL160" s="1353"/>
      <c r="GM160" s="1353"/>
      <c r="GN160" s="1353"/>
      <c r="GO160" s="1353"/>
      <c r="GP160" s="1353"/>
      <c r="GQ160" s="1353"/>
      <c r="GR160" s="1353"/>
      <c r="GS160" s="1353"/>
      <c r="GT160" s="1353"/>
      <c r="GU160" s="1353"/>
      <c r="GV160" s="1353"/>
      <c r="GW160" s="1353"/>
      <c r="GX160" s="1353"/>
      <c r="GY160" s="1353"/>
      <c r="GZ160" s="1353"/>
      <c r="HA160" s="1353"/>
      <c r="HB160" s="1353"/>
      <c r="HC160" s="1353"/>
      <c r="HD160" s="1353"/>
      <c r="HE160" s="1353"/>
      <c r="HF160" s="1353"/>
      <c r="HG160" s="1353"/>
      <c r="HH160" s="1353"/>
      <c r="HI160" s="1353"/>
      <c r="HJ160" s="1353"/>
      <c r="HK160" s="1353"/>
      <c r="HL160" s="1353"/>
      <c r="HM160" s="1353"/>
      <c r="HN160" s="1353"/>
      <c r="HO160" s="1353"/>
      <c r="HP160" s="1353"/>
      <c r="HQ160" s="1353"/>
      <c r="HR160" s="1353"/>
      <c r="HS160" s="1353"/>
      <c r="HT160" s="1353"/>
      <c r="HU160" s="1353"/>
      <c r="HV160" s="1353"/>
      <c r="HW160" s="1353"/>
      <c r="HX160" s="1353"/>
      <c r="HY160" s="1353"/>
      <c r="HZ160" s="1353"/>
      <c r="IA160" s="1353"/>
      <c r="IB160" s="1353"/>
      <c r="IC160" s="1353"/>
      <c r="ID160" s="1353"/>
      <c r="IE160" s="1353"/>
      <c r="IF160" s="1353"/>
      <c r="IG160" s="1353"/>
      <c r="IH160" s="1353"/>
      <c r="II160" s="1353"/>
      <c r="IJ160" s="1353"/>
      <c r="IK160" s="1353"/>
      <c r="IL160" s="1353"/>
      <c r="IM160" s="1353"/>
      <c r="IN160" s="1353"/>
      <c r="IO160" s="1353"/>
      <c r="IP160" s="1353"/>
      <c r="IQ160" s="1353"/>
      <c r="IR160" s="1353"/>
      <c r="IS160" s="1353"/>
      <c r="IT160" s="1353"/>
      <c r="IU160" s="1353"/>
      <c r="IV160" s="1353"/>
      <c r="IW160" s="1353"/>
      <c r="IX160" s="1353"/>
      <c r="IY160" s="1353"/>
      <c r="IZ160" s="1353"/>
      <c r="JA160" s="1353"/>
      <c r="JB160" s="1353"/>
      <c r="JC160" s="1353"/>
      <c r="JD160" s="1353"/>
      <c r="JE160" s="1353"/>
      <c r="JF160" s="1353"/>
      <c r="JG160" s="1353"/>
      <c r="JH160" s="1353"/>
      <c r="JI160" s="1353"/>
      <c r="JJ160" s="1353"/>
      <c r="JK160" s="1353"/>
      <c r="JL160" s="1353"/>
      <c r="JM160" s="1353"/>
      <c r="JN160" s="1353"/>
      <c r="JO160" s="1353"/>
      <c r="JP160" s="1353"/>
      <c r="JQ160" s="1353"/>
      <c r="JR160" s="1353"/>
      <c r="JS160" s="1353"/>
      <c r="JT160" s="1353"/>
      <c r="JU160" s="1353"/>
      <c r="JV160" s="1353"/>
      <c r="JW160" s="1353"/>
      <c r="JX160" s="1353"/>
      <c r="JY160" s="1353"/>
      <c r="JZ160" s="1353"/>
      <c r="KA160" s="1353"/>
      <c r="KB160" s="1353"/>
      <c r="KC160" s="1353"/>
      <c r="KD160" s="1353"/>
      <c r="KE160" s="1353"/>
      <c r="KF160" s="1353"/>
      <c r="KG160" s="1353"/>
      <c r="KH160" s="1353"/>
      <c r="KI160" s="1353"/>
      <c r="KJ160" s="1353"/>
      <c r="KK160" s="1353"/>
    </row>
    <row r="161" ht="14.25" customHeight="1">
      <c r="A161" s="1353"/>
      <c r="B161" s="3010" t="s">
        <v>2971</v>
      </c>
      <c r="C161" s="3011"/>
      <c r="D161" s="3012">
        <f>D159*E161</f>
        <v>0</v>
      </c>
      <c r="E161" s="3015"/>
      <c r="F161" s="3015"/>
      <c r="G161" s="3009"/>
      <c r="H161" s="3009"/>
      <c r="I161" s="3009"/>
      <c r="J161" s="3009"/>
      <c r="K161" s="3009"/>
      <c r="L161" s="3009"/>
      <c r="M161" s="3009"/>
      <c r="N161" s="1353"/>
      <c r="O161" s="1353"/>
      <c r="P161" s="1353"/>
      <c r="Q161" s="1353"/>
      <c r="R161" s="1353"/>
      <c r="S161" s="1353"/>
      <c r="T161" s="1353"/>
      <c r="U161" s="1353"/>
      <c r="V161" s="1353"/>
      <c r="W161" s="1353"/>
      <c r="X161" s="1353"/>
      <c r="Y161" s="1353"/>
      <c r="Z161" s="1353"/>
      <c r="AA161" s="1353"/>
      <c r="AB161" s="2993"/>
      <c r="AC161" s="2993"/>
      <c r="AD161" s="2993"/>
      <c r="AE161" s="2993"/>
      <c r="AF161" s="2993"/>
      <c r="AG161" s="2993"/>
      <c r="AH161" s="2993"/>
      <c r="AI161" s="1353"/>
      <c r="AJ161" s="1353"/>
      <c r="AK161" s="1353"/>
      <c r="AL161" s="1353"/>
      <c r="AM161" s="1353"/>
      <c r="AN161" s="1353"/>
      <c r="AO161" s="1353"/>
      <c r="AP161" s="1353"/>
      <c r="AQ161" s="1353"/>
      <c r="AR161" s="1353"/>
      <c r="AS161" s="1353"/>
      <c r="AT161" s="1353"/>
      <c r="AU161" s="1353"/>
      <c r="AV161" s="1353"/>
      <c r="AW161" s="1353"/>
      <c r="AX161" s="1353"/>
      <c r="AY161" s="1353"/>
      <c r="AZ161" s="1353"/>
      <c r="BA161" s="1353"/>
      <c r="BB161" s="1353"/>
      <c r="BC161" s="1353"/>
      <c r="BD161" s="1353"/>
      <c r="BE161" s="1353"/>
      <c r="BF161" s="1353"/>
      <c r="BG161" s="1353"/>
      <c r="BH161" s="1353"/>
      <c r="BI161" s="1353"/>
      <c r="BJ161" s="1353"/>
      <c r="BK161" s="1353"/>
      <c r="BL161" s="1353"/>
      <c r="BM161" s="1353"/>
      <c r="BN161" s="1353"/>
      <c r="BO161" s="1353"/>
      <c r="BP161" s="1353"/>
      <c r="BQ161" s="1353"/>
      <c r="BR161" s="1353"/>
      <c r="BS161" s="1353"/>
      <c r="BT161" s="1353"/>
      <c r="BU161" s="1353"/>
      <c r="BV161" s="1353"/>
      <c r="BW161" s="1353"/>
      <c r="BX161" s="1353"/>
      <c r="BY161" s="1353"/>
      <c r="BZ161" s="1353"/>
      <c r="CA161" s="1353"/>
      <c r="CB161" s="1353"/>
      <c r="CC161" s="1353"/>
      <c r="CD161" s="1353"/>
      <c r="CE161" s="1353"/>
      <c r="CF161" s="1353"/>
      <c r="CG161" s="1353"/>
      <c r="CH161" s="1353"/>
      <c r="CI161" s="1353"/>
      <c r="CJ161" s="1353"/>
      <c r="CK161" s="1353"/>
      <c r="CL161" s="1353"/>
      <c r="CM161" s="1353"/>
      <c r="CN161" s="1353"/>
      <c r="CO161" s="1353"/>
      <c r="CP161" s="1353"/>
      <c r="CQ161" s="1353"/>
      <c r="CR161" s="1353"/>
      <c r="CS161" s="1353"/>
      <c r="CT161" s="1353"/>
      <c r="CU161" s="1353"/>
      <c r="CV161" s="1353"/>
      <c r="CW161" s="1353"/>
      <c r="CX161" s="1353"/>
      <c r="CY161" s="1353"/>
      <c r="CZ161" s="1353"/>
      <c r="DA161" s="1353"/>
      <c r="DB161" s="1353"/>
      <c r="DC161" s="1353"/>
      <c r="DD161" s="1353"/>
      <c r="DE161" s="1353"/>
      <c r="DF161" s="1353"/>
      <c r="DG161" s="1353"/>
      <c r="DH161" s="1353"/>
      <c r="DI161" s="1353"/>
      <c r="DJ161" s="1353"/>
      <c r="DK161" s="1353"/>
      <c r="DL161" s="1353"/>
      <c r="DM161" s="1353"/>
      <c r="DN161" s="1353"/>
      <c r="DO161" s="1353"/>
      <c r="DP161" s="1353"/>
      <c r="DQ161" s="1353"/>
      <c r="DR161" s="1353"/>
      <c r="DS161" s="1353"/>
      <c r="DT161" s="1353"/>
      <c r="DU161" s="1353"/>
      <c r="DV161" s="1353"/>
      <c r="DW161" s="1353"/>
      <c r="DX161" s="1353"/>
      <c r="DY161" s="1353"/>
      <c r="DZ161" s="1353"/>
      <c r="EA161" s="1353"/>
      <c r="EB161" s="1353"/>
      <c r="EC161" s="1353"/>
      <c r="ED161" s="1353"/>
      <c r="EE161" s="1353"/>
      <c r="EF161" s="1353"/>
      <c r="EG161" s="1353"/>
      <c r="EH161" s="1353"/>
      <c r="EI161" s="1353"/>
      <c r="EJ161" s="1353"/>
      <c r="EK161" s="1353"/>
      <c r="EL161" s="1353"/>
      <c r="EM161" s="1353"/>
      <c r="EN161" s="1353"/>
      <c r="EO161" s="1353"/>
      <c r="EP161" s="1353"/>
      <c r="EQ161" s="1353"/>
      <c r="ER161" s="1353"/>
      <c r="ES161" s="1353"/>
      <c r="ET161" s="1353"/>
      <c r="EU161" s="1353"/>
      <c r="EV161" s="1353"/>
      <c r="EW161" s="1353"/>
      <c r="EX161" s="1353"/>
      <c r="EY161" s="1353"/>
      <c r="EZ161" s="1353"/>
      <c r="FA161" s="1353"/>
      <c r="FB161" s="1353"/>
      <c r="FC161" s="1353"/>
      <c r="FD161" s="1353"/>
      <c r="FE161" s="1353"/>
      <c r="FF161" s="1353"/>
      <c r="FG161" s="1353"/>
      <c r="FH161" s="1353"/>
      <c r="FI161" s="1353"/>
      <c r="FJ161" s="1353"/>
      <c r="FK161" s="1353"/>
      <c r="FL161" s="1353"/>
      <c r="FM161" s="1353"/>
      <c r="FN161" s="1353"/>
      <c r="FO161" s="1353"/>
      <c r="FP161" s="1353"/>
      <c r="FQ161" s="1353"/>
      <c r="FR161" s="1353"/>
      <c r="FS161" s="1353"/>
      <c r="FT161" s="1353"/>
      <c r="FU161" s="1353"/>
      <c r="FV161" s="1353"/>
      <c r="FW161" s="1353"/>
      <c r="FX161" s="1353"/>
      <c r="FY161" s="1353"/>
      <c r="FZ161" s="1353"/>
      <c r="GA161" s="1353"/>
      <c r="GB161" s="1353"/>
      <c r="GC161" s="1353"/>
      <c r="GD161" s="1353"/>
      <c r="GE161" s="1353"/>
      <c r="GF161" s="1353"/>
      <c r="GG161" s="1353"/>
      <c r="GH161" s="1353"/>
      <c r="GI161" s="1353"/>
      <c r="GJ161" s="1353"/>
      <c r="GK161" s="1353"/>
      <c r="GL161" s="1353"/>
      <c r="GM161" s="1353"/>
      <c r="GN161" s="1353"/>
      <c r="GO161" s="1353"/>
      <c r="GP161" s="1353"/>
      <c r="GQ161" s="1353"/>
      <c r="GR161" s="1353"/>
      <c r="GS161" s="1353"/>
      <c r="GT161" s="1353"/>
      <c r="GU161" s="1353"/>
      <c r="GV161" s="1353"/>
      <c r="GW161" s="1353"/>
      <c r="GX161" s="1353"/>
      <c r="GY161" s="1353"/>
      <c r="GZ161" s="1353"/>
      <c r="HA161" s="1353"/>
      <c r="HB161" s="1353"/>
      <c r="HC161" s="1353"/>
      <c r="HD161" s="1353"/>
      <c r="HE161" s="1353"/>
      <c r="HF161" s="1353"/>
      <c r="HG161" s="1353"/>
      <c r="HH161" s="1353"/>
      <c r="HI161" s="1353"/>
      <c r="HJ161" s="1353"/>
      <c r="HK161" s="1353"/>
      <c r="HL161" s="1353"/>
      <c r="HM161" s="1353"/>
      <c r="HN161" s="1353"/>
      <c r="HO161" s="1353"/>
      <c r="HP161" s="1353"/>
      <c r="HQ161" s="1353"/>
      <c r="HR161" s="1353"/>
      <c r="HS161" s="1353"/>
      <c r="HT161" s="1353"/>
      <c r="HU161" s="1353"/>
      <c r="HV161" s="1353"/>
      <c r="HW161" s="1353"/>
      <c r="HX161" s="1353"/>
      <c r="HY161" s="1353"/>
      <c r="HZ161" s="1353"/>
      <c r="IA161" s="1353"/>
      <c r="IB161" s="1353"/>
      <c r="IC161" s="1353"/>
      <c r="ID161" s="1353"/>
      <c r="IE161" s="1353"/>
      <c r="IF161" s="1353"/>
      <c r="IG161" s="1353"/>
      <c r="IH161" s="1353"/>
      <c r="II161" s="1353"/>
      <c r="IJ161" s="1353"/>
      <c r="IK161" s="1353"/>
      <c r="IL161" s="1353"/>
      <c r="IM161" s="1353"/>
      <c r="IN161" s="1353"/>
      <c r="IO161" s="1353"/>
      <c r="IP161" s="1353"/>
      <c r="IQ161" s="1353"/>
      <c r="IR161" s="1353"/>
      <c r="IS161" s="1353"/>
      <c r="IT161" s="1353"/>
      <c r="IU161" s="1353"/>
      <c r="IV161" s="1353"/>
      <c r="IW161" s="1353"/>
      <c r="IX161" s="1353"/>
      <c r="IY161" s="1353"/>
      <c r="IZ161" s="1353"/>
      <c r="JA161" s="1353"/>
      <c r="JB161" s="1353"/>
      <c r="JC161" s="1353"/>
      <c r="JD161" s="1353"/>
      <c r="JE161" s="1353"/>
      <c r="JF161" s="1353"/>
      <c r="JG161" s="1353"/>
      <c r="JH161" s="1353"/>
      <c r="JI161" s="1353"/>
      <c r="JJ161" s="1353"/>
      <c r="JK161" s="1353"/>
      <c r="JL161" s="1353"/>
      <c r="JM161" s="1353"/>
      <c r="JN161" s="1353"/>
      <c r="JO161" s="1353"/>
      <c r="JP161" s="1353"/>
      <c r="JQ161" s="1353"/>
      <c r="JR161" s="1353"/>
      <c r="JS161" s="1353"/>
      <c r="JT161" s="1353"/>
      <c r="JU161" s="1353"/>
      <c r="JV161" s="1353"/>
      <c r="JW161" s="1353"/>
      <c r="JX161" s="1353"/>
      <c r="JY161" s="1353"/>
      <c r="JZ161" s="1353"/>
      <c r="KA161" s="1353"/>
      <c r="KB161" s="1353"/>
      <c r="KC161" s="1353"/>
      <c r="KD161" s="1353"/>
      <c r="KE161" s="1353"/>
      <c r="KF161" s="1353"/>
      <c r="KG161" s="1353"/>
      <c r="KH161" s="1353"/>
      <c r="KI161" s="1353"/>
      <c r="KJ161" s="1353"/>
      <c r="KK161" s="1353"/>
    </row>
    <row r="162" ht="14.25" customHeight="1">
      <c r="A162" s="1353"/>
      <c r="B162" s="3009"/>
      <c r="C162" s="3011"/>
      <c r="D162" s="3013"/>
      <c r="E162" s="3009"/>
      <c r="F162" s="3009"/>
      <c r="G162" s="3009"/>
      <c r="H162" s="3009"/>
      <c r="I162" s="3009"/>
      <c r="J162" s="3009"/>
      <c r="K162" s="3009"/>
      <c r="L162" s="3009"/>
      <c r="M162" s="3009"/>
      <c r="N162" s="1353"/>
      <c r="O162" s="1353"/>
      <c r="P162" s="1353"/>
      <c r="Q162" s="1353"/>
      <c r="R162" s="1353"/>
      <c r="S162" s="1353"/>
      <c r="T162" s="1353"/>
      <c r="U162" s="1353"/>
      <c r="V162" s="1353"/>
      <c r="W162" s="1353"/>
      <c r="X162" s="1353"/>
      <c r="Y162" s="1353"/>
      <c r="Z162" s="1353"/>
      <c r="AA162" s="1353"/>
      <c r="AB162" s="2993"/>
      <c r="AC162" s="2993"/>
      <c r="AD162" s="2993"/>
      <c r="AE162" s="2993"/>
      <c r="AF162" s="2993"/>
      <c r="AG162" s="2993"/>
      <c r="AH162" s="2993"/>
      <c r="AI162" s="1353"/>
      <c r="AJ162" s="1353"/>
      <c r="AK162" s="1353"/>
      <c r="AL162" s="1353"/>
      <c r="AM162" s="1353"/>
      <c r="AN162" s="1353"/>
      <c r="AO162" s="1353"/>
      <c r="AP162" s="1353"/>
      <c r="AQ162" s="1353"/>
      <c r="AR162" s="1353"/>
      <c r="AS162" s="1353"/>
      <c r="AT162" s="1353"/>
      <c r="AU162" s="1353"/>
      <c r="AV162" s="1353"/>
      <c r="AW162" s="1353"/>
      <c r="AX162" s="1353"/>
      <c r="AY162" s="1353"/>
      <c r="AZ162" s="1353"/>
      <c r="BA162" s="1353"/>
      <c r="BB162" s="1353"/>
      <c r="BC162" s="1353"/>
      <c r="BD162" s="1353"/>
      <c r="BE162" s="1353"/>
      <c r="BF162" s="1353"/>
      <c r="BG162" s="1353"/>
      <c r="BH162" s="1353"/>
      <c r="BI162" s="1353"/>
      <c r="BJ162" s="1353"/>
      <c r="BK162" s="1353"/>
      <c r="BL162" s="1353"/>
      <c r="BM162" s="1353"/>
      <c r="BN162" s="1353"/>
      <c r="BO162" s="1353"/>
      <c r="BP162" s="1353"/>
      <c r="BQ162" s="1353"/>
      <c r="BR162" s="1353"/>
      <c r="BS162" s="1353"/>
      <c r="BT162" s="1353"/>
      <c r="BU162" s="1353"/>
      <c r="BV162" s="1353"/>
      <c r="BW162" s="1353"/>
      <c r="BX162" s="1353"/>
      <c r="BY162" s="1353"/>
      <c r="BZ162" s="1353"/>
      <c r="CA162" s="1353"/>
      <c r="CB162" s="1353"/>
      <c r="CC162" s="1353"/>
      <c r="CD162" s="1353"/>
      <c r="CE162" s="1353"/>
      <c r="CF162" s="1353"/>
      <c r="CG162" s="1353"/>
      <c r="CH162" s="1353"/>
      <c r="CI162" s="1353"/>
      <c r="CJ162" s="1353"/>
      <c r="CK162" s="1353"/>
      <c r="CL162" s="1353"/>
      <c r="CM162" s="1353"/>
      <c r="CN162" s="1353"/>
      <c r="CO162" s="1353"/>
      <c r="CP162" s="1353"/>
      <c r="CQ162" s="1353"/>
      <c r="CR162" s="1353"/>
      <c r="CS162" s="1353"/>
      <c r="CT162" s="1353"/>
      <c r="CU162" s="1353"/>
      <c r="CV162" s="1353"/>
      <c r="CW162" s="1353"/>
      <c r="CX162" s="1353"/>
      <c r="CY162" s="1353"/>
      <c r="CZ162" s="1353"/>
      <c r="DA162" s="1353"/>
      <c r="DB162" s="1353"/>
      <c r="DC162" s="1353"/>
      <c r="DD162" s="1353"/>
      <c r="DE162" s="1353"/>
      <c r="DF162" s="1353"/>
      <c r="DG162" s="1353"/>
      <c r="DH162" s="1353"/>
      <c r="DI162" s="1353"/>
      <c r="DJ162" s="1353"/>
      <c r="DK162" s="1353"/>
      <c r="DL162" s="1353"/>
      <c r="DM162" s="1353"/>
      <c r="DN162" s="1353"/>
      <c r="DO162" s="1353"/>
      <c r="DP162" s="1353"/>
      <c r="DQ162" s="1353"/>
      <c r="DR162" s="1353"/>
      <c r="DS162" s="1353"/>
      <c r="DT162" s="1353"/>
      <c r="DU162" s="1353"/>
      <c r="DV162" s="1353"/>
      <c r="DW162" s="1353"/>
      <c r="DX162" s="1353"/>
      <c r="DY162" s="1353"/>
      <c r="DZ162" s="1353"/>
      <c r="EA162" s="1353"/>
      <c r="EB162" s="1353"/>
      <c r="EC162" s="1353"/>
      <c r="ED162" s="1353"/>
      <c r="EE162" s="1353"/>
      <c r="EF162" s="1353"/>
      <c r="EG162" s="1353"/>
      <c r="EH162" s="1353"/>
      <c r="EI162" s="1353"/>
      <c r="EJ162" s="1353"/>
      <c r="EK162" s="1353"/>
      <c r="EL162" s="1353"/>
      <c r="EM162" s="1353"/>
      <c r="EN162" s="1353"/>
      <c r="EO162" s="1353"/>
      <c r="EP162" s="1353"/>
      <c r="EQ162" s="1353"/>
      <c r="ER162" s="1353"/>
      <c r="ES162" s="1353"/>
      <c r="ET162" s="1353"/>
      <c r="EU162" s="1353"/>
      <c r="EV162" s="1353"/>
      <c r="EW162" s="1353"/>
      <c r="EX162" s="1353"/>
      <c r="EY162" s="1353"/>
      <c r="EZ162" s="1353"/>
      <c r="FA162" s="1353"/>
      <c r="FB162" s="1353"/>
      <c r="FC162" s="1353"/>
      <c r="FD162" s="1353"/>
      <c r="FE162" s="1353"/>
      <c r="FF162" s="1353"/>
      <c r="FG162" s="1353"/>
      <c r="FH162" s="1353"/>
      <c r="FI162" s="1353"/>
      <c r="FJ162" s="1353"/>
      <c r="FK162" s="1353"/>
      <c r="FL162" s="1353"/>
      <c r="FM162" s="1353"/>
      <c r="FN162" s="1353"/>
      <c r="FO162" s="1353"/>
      <c r="FP162" s="1353"/>
      <c r="FQ162" s="1353"/>
      <c r="FR162" s="1353"/>
      <c r="FS162" s="1353"/>
      <c r="FT162" s="1353"/>
      <c r="FU162" s="1353"/>
      <c r="FV162" s="1353"/>
      <c r="FW162" s="1353"/>
      <c r="FX162" s="1353"/>
      <c r="FY162" s="1353"/>
      <c r="FZ162" s="1353"/>
      <c r="GA162" s="1353"/>
      <c r="GB162" s="1353"/>
      <c r="GC162" s="1353"/>
      <c r="GD162" s="1353"/>
      <c r="GE162" s="1353"/>
      <c r="GF162" s="1353"/>
      <c r="GG162" s="1353"/>
      <c r="GH162" s="1353"/>
      <c r="GI162" s="1353"/>
      <c r="GJ162" s="1353"/>
      <c r="GK162" s="1353"/>
      <c r="GL162" s="1353"/>
      <c r="GM162" s="1353"/>
      <c r="GN162" s="1353"/>
      <c r="GO162" s="1353"/>
      <c r="GP162" s="1353"/>
      <c r="GQ162" s="1353"/>
      <c r="GR162" s="1353"/>
      <c r="GS162" s="1353"/>
      <c r="GT162" s="1353"/>
      <c r="GU162" s="1353"/>
      <c r="GV162" s="1353"/>
      <c r="GW162" s="1353"/>
      <c r="GX162" s="1353"/>
      <c r="GY162" s="1353"/>
      <c r="GZ162" s="1353"/>
      <c r="HA162" s="1353"/>
      <c r="HB162" s="1353"/>
      <c r="HC162" s="1353"/>
      <c r="HD162" s="1353"/>
      <c r="HE162" s="1353"/>
      <c r="HF162" s="1353"/>
      <c r="HG162" s="1353"/>
      <c r="HH162" s="1353"/>
      <c r="HI162" s="1353"/>
      <c r="HJ162" s="1353"/>
      <c r="HK162" s="1353"/>
      <c r="HL162" s="1353"/>
      <c r="HM162" s="1353"/>
      <c r="HN162" s="1353"/>
      <c r="HO162" s="1353"/>
      <c r="HP162" s="1353"/>
      <c r="HQ162" s="1353"/>
      <c r="HR162" s="1353"/>
      <c r="HS162" s="1353"/>
      <c r="HT162" s="1353"/>
      <c r="HU162" s="1353"/>
      <c r="HV162" s="1353"/>
      <c r="HW162" s="1353"/>
      <c r="HX162" s="1353"/>
      <c r="HY162" s="1353"/>
      <c r="HZ162" s="1353"/>
      <c r="IA162" s="1353"/>
      <c r="IB162" s="1353"/>
      <c r="IC162" s="1353"/>
      <c r="ID162" s="1353"/>
      <c r="IE162" s="1353"/>
      <c r="IF162" s="1353"/>
      <c r="IG162" s="1353"/>
      <c r="IH162" s="1353"/>
      <c r="II162" s="1353"/>
      <c r="IJ162" s="1353"/>
      <c r="IK162" s="1353"/>
      <c r="IL162" s="1353"/>
      <c r="IM162" s="1353"/>
      <c r="IN162" s="1353"/>
      <c r="IO162" s="1353"/>
      <c r="IP162" s="1353"/>
      <c r="IQ162" s="1353"/>
      <c r="IR162" s="1353"/>
      <c r="IS162" s="1353"/>
      <c r="IT162" s="1353"/>
      <c r="IU162" s="1353"/>
      <c r="IV162" s="1353"/>
      <c r="IW162" s="1353"/>
      <c r="IX162" s="1353"/>
      <c r="IY162" s="1353"/>
      <c r="IZ162" s="1353"/>
      <c r="JA162" s="1353"/>
      <c r="JB162" s="1353"/>
      <c r="JC162" s="1353"/>
      <c r="JD162" s="1353"/>
      <c r="JE162" s="1353"/>
      <c r="JF162" s="1353"/>
      <c r="JG162" s="1353"/>
      <c r="JH162" s="1353"/>
      <c r="JI162" s="1353"/>
      <c r="JJ162" s="1353"/>
      <c r="JK162" s="1353"/>
      <c r="JL162" s="1353"/>
      <c r="JM162" s="1353"/>
      <c r="JN162" s="1353"/>
      <c r="JO162" s="1353"/>
      <c r="JP162" s="1353"/>
      <c r="JQ162" s="1353"/>
      <c r="JR162" s="1353"/>
      <c r="JS162" s="1353"/>
      <c r="JT162" s="1353"/>
      <c r="JU162" s="1353"/>
      <c r="JV162" s="1353"/>
      <c r="JW162" s="1353"/>
      <c r="JX162" s="1353"/>
      <c r="JY162" s="1353"/>
      <c r="JZ162" s="1353"/>
      <c r="KA162" s="1353"/>
      <c r="KB162" s="1353"/>
      <c r="KC162" s="1353"/>
      <c r="KD162" s="1353"/>
      <c r="KE162" s="1353"/>
      <c r="KF162" s="1353"/>
      <c r="KG162" s="1353"/>
      <c r="KH162" s="1353"/>
      <c r="KI162" s="1353"/>
      <c r="KJ162" s="1353"/>
      <c r="KK162" s="1353"/>
    </row>
    <row r="163" ht="14.25" customHeight="1">
      <c r="A163" s="1353"/>
      <c r="B163" s="3010" t="s">
        <v>2972</v>
      </c>
      <c r="C163" s="3011"/>
      <c r="D163" s="3012">
        <f>D159-D161</f>
        <v>0</v>
      </c>
      <c r="E163" s="3009"/>
      <c r="F163" s="3009"/>
      <c r="G163" s="3009"/>
      <c r="H163" s="3009"/>
      <c r="I163" s="3009"/>
      <c r="J163" s="3009"/>
      <c r="K163" s="3009"/>
      <c r="L163" s="3009"/>
      <c r="M163" s="3009"/>
      <c r="N163" s="1353"/>
      <c r="O163" s="1353"/>
      <c r="P163" s="1353"/>
      <c r="Q163" s="1353"/>
      <c r="R163" s="1353"/>
      <c r="S163" s="1353"/>
      <c r="T163" s="1353"/>
      <c r="U163" s="1353"/>
      <c r="V163" s="1353"/>
      <c r="W163" s="1353"/>
      <c r="X163" s="1353"/>
      <c r="Y163" s="1353"/>
      <c r="Z163" s="1353"/>
      <c r="AA163" s="1353"/>
      <c r="AB163" s="2993"/>
      <c r="AC163" s="2993"/>
      <c r="AD163" s="2993"/>
      <c r="AE163" s="2993"/>
      <c r="AF163" s="2993"/>
      <c r="AG163" s="2993"/>
      <c r="AH163" s="2993"/>
      <c r="AI163" s="1353"/>
      <c r="AJ163" s="1353"/>
      <c r="AK163" s="1353"/>
      <c r="AL163" s="1353"/>
      <c r="AM163" s="1353"/>
      <c r="AN163" s="1353"/>
      <c r="AO163" s="1353"/>
      <c r="AP163" s="1353"/>
      <c r="AQ163" s="1353"/>
      <c r="AR163" s="1353"/>
      <c r="AS163" s="1353"/>
      <c r="AT163" s="1353"/>
      <c r="AU163" s="1353"/>
      <c r="AV163" s="1353"/>
      <c r="AW163" s="1353"/>
      <c r="AX163" s="1353"/>
      <c r="AY163" s="1353"/>
      <c r="AZ163" s="1353"/>
      <c r="BA163" s="1353"/>
      <c r="BB163" s="1353"/>
      <c r="BC163" s="1353"/>
      <c r="BD163" s="1353"/>
      <c r="BE163" s="1353"/>
      <c r="BF163" s="1353"/>
      <c r="BG163" s="1353"/>
      <c r="BH163" s="1353"/>
      <c r="BI163" s="1353"/>
      <c r="BJ163" s="1353"/>
      <c r="BK163" s="1353"/>
      <c r="BL163" s="1353"/>
      <c r="BM163" s="1353"/>
      <c r="BN163" s="1353"/>
      <c r="BO163" s="1353"/>
      <c r="BP163" s="1353"/>
      <c r="BQ163" s="1353"/>
      <c r="BR163" s="1353"/>
      <c r="BS163" s="1353"/>
      <c r="BT163" s="1353"/>
      <c r="BU163" s="1353"/>
      <c r="BV163" s="1353"/>
      <c r="BW163" s="1353"/>
      <c r="BX163" s="1353"/>
      <c r="BY163" s="1353"/>
      <c r="BZ163" s="1353"/>
      <c r="CA163" s="1353"/>
      <c r="CB163" s="1353"/>
      <c r="CC163" s="1353"/>
      <c r="CD163" s="1353"/>
      <c r="CE163" s="1353"/>
      <c r="CF163" s="1353"/>
      <c r="CG163" s="1353"/>
      <c r="CH163" s="1353"/>
      <c r="CI163" s="1353"/>
      <c r="CJ163" s="1353"/>
      <c r="CK163" s="1353"/>
      <c r="CL163" s="1353"/>
      <c r="CM163" s="1353"/>
      <c r="CN163" s="1353"/>
      <c r="CO163" s="1353"/>
      <c r="CP163" s="1353"/>
      <c r="CQ163" s="1353"/>
      <c r="CR163" s="1353"/>
      <c r="CS163" s="1353"/>
      <c r="CT163" s="1353"/>
      <c r="CU163" s="1353"/>
      <c r="CV163" s="1353"/>
      <c r="CW163" s="1353"/>
      <c r="CX163" s="1353"/>
      <c r="CY163" s="1353"/>
      <c r="CZ163" s="1353"/>
      <c r="DA163" s="1353"/>
      <c r="DB163" s="1353"/>
      <c r="DC163" s="1353"/>
      <c r="DD163" s="1353"/>
      <c r="DE163" s="1353"/>
      <c r="DF163" s="1353"/>
      <c r="DG163" s="1353"/>
      <c r="DH163" s="1353"/>
      <c r="DI163" s="1353"/>
      <c r="DJ163" s="1353"/>
      <c r="DK163" s="1353"/>
      <c r="DL163" s="1353"/>
      <c r="DM163" s="1353"/>
      <c r="DN163" s="1353"/>
      <c r="DO163" s="1353"/>
      <c r="DP163" s="1353"/>
      <c r="DQ163" s="1353"/>
      <c r="DR163" s="1353"/>
      <c r="DS163" s="1353"/>
      <c r="DT163" s="1353"/>
      <c r="DU163" s="1353"/>
      <c r="DV163" s="1353"/>
      <c r="DW163" s="1353"/>
      <c r="DX163" s="1353"/>
      <c r="DY163" s="1353"/>
      <c r="DZ163" s="1353"/>
      <c r="EA163" s="1353"/>
      <c r="EB163" s="1353"/>
      <c r="EC163" s="1353"/>
      <c r="ED163" s="1353"/>
      <c r="EE163" s="1353"/>
      <c r="EF163" s="1353"/>
      <c r="EG163" s="1353"/>
      <c r="EH163" s="1353"/>
      <c r="EI163" s="1353"/>
      <c r="EJ163" s="1353"/>
      <c r="EK163" s="1353"/>
      <c r="EL163" s="1353"/>
      <c r="EM163" s="1353"/>
      <c r="EN163" s="1353"/>
      <c r="EO163" s="1353"/>
      <c r="EP163" s="1353"/>
      <c r="EQ163" s="1353"/>
      <c r="ER163" s="1353"/>
      <c r="ES163" s="1353"/>
      <c r="ET163" s="1353"/>
      <c r="EU163" s="1353"/>
      <c r="EV163" s="1353"/>
      <c r="EW163" s="1353"/>
      <c r="EX163" s="1353"/>
      <c r="EY163" s="1353"/>
      <c r="EZ163" s="1353"/>
      <c r="FA163" s="1353"/>
      <c r="FB163" s="1353"/>
      <c r="FC163" s="1353"/>
      <c r="FD163" s="1353"/>
      <c r="FE163" s="1353"/>
      <c r="FF163" s="1353"/>
      <c r="FG163" s="1353"/>
      <c r="FH163" s="1353"/>
      <c r="FI163" s="1353"/>
      <c r="FJ163" s="1353"/>
      <c r="FK163" s="1353"/>
      <c r="FL163" s="1353"/>
      <c r="FM163" s="1353"/>
      <c r="FN163" s="1353"/>
      <c r="FO163" s="1353"/>
      <c r="FP163" s="1353"/>
      <c r="FQ163" s="1353"/>
      <c r="FR163" s="1353"/>
      <c r="FS163" s="1353"/>
      <c r="FT163" s="1353"/>
      <c r="FU163" s="1353"/>
      <c r="FV163" s="1353"/>
      <c r="FW163" s="1353"/>
      <c r="FX163" s="1353"/>
      <c r="FY163" s="1353"/>
      <c r="FZ163" s="1353"/>
      <c r="GA163" s="1353"/>
      <c r="GB163" s="1353"/>
      <c r="GC163" s="1353"/>
      <c r="GD163" s="1353"/>
      <c r="GE163" s="1353"/>
      <c r="GF163" s="1353"/>
      <c r="GG163" s="1353"/>
      <c r="GH163" s="1353"/>
      <c r="GI163" s="1353"/>
      <c r="GJ163" s="1353"/>
      <c r="GK163" s="1353"/>
      <c r="GL163" s="1353"/>
      <c r="GM163" s="1353"/>
      <c r="GN163" s="1353"/>
      <c r="GO163" s="1353"/>
      <c r="GP163" s="1353"/>
      <c r="GQ163" s="1353"/>
      <c r="GR163" s="1353"/>
      <c r="GS163" s="1353"/>
      <c r="GT163" s="1353"/>
      <c r="GU163" s="1353"/>
      <c r="GV163" s="1353"/>
      <c r="GW163" s="1353"/>
      <c r="GX163" s="1353"/>
      <c r="GY163" s="1353"/>
      <c r="GZ163" s="1353"/>
      <c r="HA163" s="1353"/>
      <c r="HB163" s="1353"/>
      <c r="HC163" s="1353"/>
      <c r="HD163" s="1353"/>
      <c r="HE163" s="1353"/>
      <c r="HF163" s="1353"/>
      <c r="HG163" s="1353"/>
      <c r="HH163" s="1353"/>
      <c r="HI163" s="1353"/>
      <c r="HJ163" s="1353"/>
      <c r="HK163" s="1353"/>
      <c r="HL163" s="1353"/>
      <c r="HM163" s="1353"/>
      <c r="HN163" s="1353"/>
      <c r="HO163" s="1353"/>
      <c r="HP163" s="1353"/>
      <c r="HQ163" s="1353"/>
      <c r="HR163" s="1353"/>
      <c r="HS163" s="1353"/>
      <c r="HT163" s="1353"/>
      <c r="HU163" s="1353"/>
      <c r="HV163" s="1353"/>
      <c r="HW163" s="1353"/>
      <c r="HX163" s="1353"/>
      <c r="HY163" s="1353"/>
      <c r="HZ163" s="1353"/>
      <c r="IA163" s="1353"/>
      <c r="IB163" s="1353"/>
      <c r="IC163" s="1353"/>
      <c r="ID163" s="1353"/>
      <c r="IE163" s="1353"/>
      <c r="IF163" s="1353"/>
      <c r="IG163" s="1353"/>
      <c r="IH163" s="1353"/>
      <c r="II163" s="1353"/>
      <c r="IJ163" s="1353"/>
      <c r="IK163" s="1353"/>
      <c r="IL163" s="1353"/>
      <c r="IM163" s="1353"/>
      <c r="IN163" s="1353"/>
      <c r="IO163" s="1353"/>
      <c r="IP163" s="1353"/>
      <c r="IQ163" s="1353"/>
      <c r="IR163" s="1353"/>
      <c r="IS163" s="1353"/>
      <c r="IT163" s="1353"/>
      <c r="IU163" s="1353"/>
      <c r="IV163" s="1353"/>
      <c r="IW163" s="1353"/>
      <c r="IX163" s="1353"/>
      <c r="IY163" s="1353"/>
      <c r="IZ163" s="1353"/>
      <c r="JA163" s="1353"/>
      <c r="JB163" s="1353"/>
      <c r="JC163" s="1353"/>
      <c r="JD163" s="1353"/>
      <c r="JE163" s="1353"/>
      <c r="JF163" s="1353"/>
      <c r="JG163" s="1353"/>
      <c r="JH163" s="1353"/>
      <c r="JI163" s="1353"/>
      <c r="JJ163" s="1353"/>
      <c r="JK163" s="1353"/>
      <c r="JL163" s="1353"/>
      <c r="JM163" s="1353"/>
      <c r="JN163" s="1353"/>
      <c r="JO163" s="1353"/>
      <c r="JP163" s="1353"/>
      <c r="JQ163" s="1353"/>
      <c r="JR163" s="1353"/>
      <c r="JS163" s="1353"/>
      <c r="JT163" s="1353"/>
      <c r="JU163" s="1353"/>
      <c r="JV163" s="1353"/>
      <c r="JW163" s="1353"/>
      <c r="JX163" s="1353"/>
      <c r="JY163" s="1353"/>
      <c r="JZ163" s="1353"/>
      <c r="KA163" s="1353"/>
      <c r="KB163" s="1353"/>
      <c r="KC163" s="1353"/>
      <c r="KD163" s="1353"/>
      <c r="KE163" s="1353"/>
      <c r="KF163" s="1353"/>
      <c r="KG163" s="1353"/>
      <c r="KH163" s="1353"/>
      <c r="KI163" s="1353"/>
      <c r="KJ163" s="1353"/>
      <c r="KK163" s="1353"/>
    </row>
    <row r="164" ht="14.25" customHeight="1">
      <c r="A164" s="1353"/>
      <c r="B164" s="3010" t="s">
        <v>2973</v>
      </c>
      <c r="C164" s="3011"/>
      <c r="D164" s="3012">
        <f>D163</f>
        <v>0</v>
      </c>
      <c r="E164" s="3009"/>
      <c r="F164" s="3009"/>
      <c r="G164" s="3009"/>
      <c r="H164" s="3009"/>
      <c r="I164" s="3009"/>
      <c r="J164" s="3009"/>
      <c r="K164" s="3009"/>
      <c r="L164" s="3009"/>
      <c r="M164" s="3009"/>
      <c r="N164" s="1353"/>
      <c r="O164" s="1353"/>
      <c r="P164" s="1353"/>
      <c r="Q164" s="1353"/>
      <c r="R164" s="1353"/>
      <c r="S164" s="1353"/>
      <c r="T164" s="1353"/>
      <c r="U164" s="1353"/>
      <c r="V164" s="1353"/>
      <c r="W164" s="1353"/>
      <c r="X164" s="1353"/>
      <c r="Y164" s="1353"/>
      <c r="Z164" s="1353"/>
      <c r="AA164" s="1353"/>
      <c r="AB164" s="2993"/>
      <c r="AC164" s="2993"/>
      <c r="AD164" s="2993"/>
      <c r="AE164" s="2993"/>
      <c r="AF164" s="2993"/>
      <c r="AG164" s="2993"/>
      <c r="AH164" s="2993"/>
      <c r="AI164" s="1353"/>
      <c r="AJ164" s="1353"/>
      <c r="AK164" s="1353"/>
      <c r="AL164" s="1353"/>
      <c r="AM164" s="1353"/>
      <c r="AN164" s="1353"/>
      <c r="AO164" s="1353"/>
      <c r="AP164" s="1353"/>
      <c r="AQ164" s="1353"/>
      <c r="AR164" s="1353"/>
      <c r="AS164" s="1353"/>
      <c r="AT164" s="1353"/>
      <c r="AU164" s="1353"/>
      <c r="AV164" s="1353"/>
      <c r="AW164" s="1353"/>
      <c r="AX164" s="1353"/>
      <c r="AY164" s="1353"/>
      <c r="AZ164" s="1353"/>
      <c r="BA164" s="1353"/>
      <c r="BB164" s="1353"/>
      <c r="BC164" s="1353"/>
      <c r="BD164" s="1353"/>
      <c r="BE164" s="1353"/>
      <c r="BF164" s="1353"/>
      <c r="BG164" s="1353"/>
      <c r="BH164" s="1353"/>
      <c r="BI164" s="1353"/>
      <c r="BJ164" s="1353"/>
      <c r="BK164" s="1353"/>
      <c r="BL164" s="1353"/>
      <c r="BM164" s="1353"/>
      <c r="BN164" s="1353"/>
      <c r="BO164" s="1353"/>
      <c r="BP164" s="1353"/>
      <c r="BQ164" s="1353"/>
      <c r="BR164" s="1353"/>
      <c r="BS164" s="1353"/>
      <c r="BT164" s="1353"/>
      <c r="BU164" s="1353"/>
      <c r="BV164" s="1353"/>
      <c r="BW164" s="1353"/>
      <c r="BX164" s="1353"/>
      <c r="BY164" s="1353"/>
      <c r="BZ164" s="1353"/>
      <c r="CA164" s="1353"/>
      <c r="CB164" s="1353"/>
      <c r="CC164" s="1353"/>
      <c r="CD164" s="1353"/>
      <c r="CE164" s="1353"/>
      <c r="CF164" s="1353"/>
      <c r="CG164" s="1353"/>
      <c r="CH164" s="1353"/>
      <c r="CI164" s="1353"/>
      <c r="CJ164" s="1353"/>
      <c r="CK164" s="1353"/>
      <c r="CL164" s="1353"/>
      <c r="CM164" s="1353"/>
      <c r="CN164" s="1353"/>
      <c r="CO164" s="1353"/>
      <c r="CP164" s="1353"/>
      <c r="CQ164" s="1353"/>
      <c r="CR164" s="1353"/>
      <c r="CS164" s="1353"/>
      <c r="CT164" s="1353"/>
      <c r="CU164" s="1353"/>
      <c r="CV164" s="1353"/>
      <c r="CW164" s="1353"/>
      <c r="CX164" s="1353"/>
      <c r="CY164" s="1353"/>
      <c r="CZ164" s="1353"/>
      <c r="DA164" s="1353"/>
      <c r="DB164" s="1353"/>
      <c r="DC164" s="1353"/>
      <c r="DD164" s="1353"/>
      <c r="DE164" s="1353"/>
      <c r="DF164" s="1353"/>
      <c r="DG164" s="1353"/>
      <c r="DH164" s="1353"/>
      <c r="DI164" s="1353"/>
      <c r="DJ164" s="1353"/>
      <c r="DK164" s="1353"/>
      <c r="DL164" s="1353"/>
      <c r="DM164" s="1353"/>
      <c r="DN164" s="1353"/>
      <c r="DO164" s="1353"/>
      <c r="DP164" s="1353"/>
      <c r="DQ164" s="1353"/>
      <c r="DR164" s="1353"/>
      <c r="DS164" s="1353"/>
      <c r="DT164" s="1353"/>
      <c r="DU164" s="1353"/>
      <c r="DV164" s="1353"/>
      <c r="DW164" s="1353"/>
      <c r="DX164" s="1353"/>
      <c r="DY164" s="1353"/>
      <c r="DZ164" s="1353"/>
      <c r="EA164" s="1353"/>
      <c r="EB164" s="1353"/>
      <c r="EC164" s="1353"/>
      <c r="ED164" s="1353"/>
      <c r="EE164" s="1353"/>
      <c r="EF164" s="1353"/>
      <c r="EG164" s="1353"/>
      <c r="EH164" s="1353"/>
      <c r="EI164" s="1353"/>
      <c r="EJ164" s="1353"/>
      <c r="EK164" s="1353"/>
      <c r="EL164" s="1353"/>
      <c r="EM164" s="1353"/>
      <c r="EN164" s="1353"/>
      <c r="EO164" s="1353"/>
      <c r="EP164" s="1353"/>
      <c r="EQ164" s="1353"/>
      <c r="ER164" s="1353"/>
      <c r="ES164" s="1353"/>
      <c r="ET164" s="1353"/>
      <c r="EU164" s="1353"/>
      <c r="EV164" s="1353"/>
      <c r="EW164" s="1353"/>
      <c r="EX164" s="1353"/>
      <c r="EY164" s="1353"/>
      <c r="EZ164" s="1353"/>
      <c r="FA164" s="1353"/>
      <c r="FB164" s="1353"/>
      <c r="FC164" s="1353"/>
      <c r="FD164" s="1353"/>
      <c r="FE164" s="1353"/>
      <c r="FF164" s="1353"/>
      <c r="FG164" s="1353"/>
      <c r="FH164" s="1353"/>
      <c r="FI164" s="1353"/>
      <c r="FJ164" s="1353"/>
      <c r="FK164" s="1353"/>
      <c r="FL164" s="1353"/>
      <c r="FM164" s="1353"/>
      <c r="FN164" s="1353"/>
      <c r="FO164" s="1353"/>
      <c r="FP164" s="1353"/>
      <c r="FQ164" s="1353"/>
      <c r="FR164" s="1353"/>
      <c r="FS164" s="1353"/>
      <c r="FT164" s="1353"/>
      <c r="FU164" s="1353"/>
      <c r="FV164" s="1353"/>
      <c r="FW164" s="1353"/>
      <c r="FX164" s="1353"/>
      <c r="FY164" s="1353"/>
      <c r="FZ164" s="1353"/>
      <c r="GA164" s="1353"/>
      <c r="GB164" s="1353"/>
      <c r="GC164" s="1353"/>
      <c r="GD164" s="1353"/>
      <c r="GE164" s="1353"/>
      <c r="GF164" s="1353"/>
      <c r="GG164" s="1353"/>
      <c r="GH164" s="1353"/>
      <c r="GI164" s="1353"/>
      <c r="GJ164" s="1353"/>
      <c r="GK164" s="1353"/>
      <c r="GL164" s="1353"/>
      <c r="GM164" s="1353"/>
      <c r="GN164" s="1353"/>
      <c r="GO164" s="1353"/>
      <c r="GP164" s="1353"/>
      <c r="GQ164" s="1353"/>
      <c r="GR164" s="1353"/>
      <c r="GS164" s="1353"/>
      <c r="GT164" s="1353"/>
      <c r="GU164" s="1353"/>
      <c r="GV164" s="1353"/>
      <c r="GW164" s="1353"/>
      <c r="GX164" s="1353"/>
      <c r="GY164" s="1353"/>
      <c r="GZ164" s="1353"/>
      <c r="HA164" s="1353"/>
      <c r="HB164" s="1353"/>
      <c r="HC164" s="1353"/>
      <c r="HD164" s="1353"/>
      <c r="HE164" s="1353"/>
      <c r="HF164" s="1353"/>
      <c r="HG164" s="1353"/>
      <c r="HH164" s="1353"/>
      <c r="HI164" s="1353"/>
      <c r="HJ164" s="1353"/>
      <c r="HK164" s="1353"/>
      <c r="HL164" s="1353"/>
      <c r="HM164" s="1353"/>
      <c r="HN164" s="1353"/>
      <c r="HO164" s="1353"/>
      <c r="HP164" s="1353"/>
      <c r="HQ164" s="1353"/>
      <c r="HR164" s="1353"/>
      <c r="HS164" s="1353"/>
      <c r="HT164" s="1353"/>
      <c r="HU164" s="1353"/>
      <c r="HV164" s="1353"/>
      <c r="HW164" s="1353"/>
      <c r="HX164" s="1353"/>
      <c r="HY164" s="1353"/>
      <c r="HZ164" s="1353"/>
      <c r="IA164" s="1353"/>
      <c r="IB164" s="1353"/>
      <c r="IC164" s="1353"/>
      <c r="ID164" s="1353"/>
      <c r="IE164" s="1353"/>
      <c r="IF164" s="1353"/>
      <c r="IG164" s="1353"/>
      <c r="IH164" s="1353"/>
      <c r="II164" s="1353"/>
      <c r="IJ164" s="1353"/>
      <c r="IK164" s="1353"/>
      <c r="IL164" s="1353"/>
      <c r="IM164" s="1353"/>
      <c r="IN164" s="1353"/>
      <c r="IO164" s="1353"/>
      <c r="IP164" s="1353"/>
      <c r="IQ164" s="1353"/>
      <c r="IR164" s="1353"/>
      <c r="IS164" s="1353"/>
      <c r="IT164" s="1353"/>
      <c r="IU164" s="1353"/>
      <c r="IV164" s="1353"/>
      <c r="IW164" s="1353"/>
      <c r="IX164" s="1353"/>
      <c r="IY164" s="1353"/>
      <c r="IZ164" s="1353"/>
      <c r="JA164" s="1353"/>
      <c r="JB164" s="1353"/>
      <c r="JC164" s="1353"/>
      <c r="JD164" s="1353"/>
      <c r="JE164" s="1353"/>
      <c r="JF164" s="1353"/>
      <c r="JG164" s="1353"/>
      <c r="JH164" s="1353"/>
      <c r="JI164" s="1353"/>
      <c r="JJ164" s="1353"/>
      <c r="JK164" s="1353"/>
      <c r="JL164" s="1353"/>
      <c r="JM164" s="1353"/>
      <c r="JN164" s="1353"/>
      <c r="JO164" s="1353"/>
      <c r="JP164" s="1353"/>
      <c r="JQ164" s="1353"/>
      <c r="JR164" s="1353"/>
      <c r="JS164" s="1353"/>
      <c r="JT164" s="1353"/>
      <c r="JU164" s="1353"/>
      <c r="JV164" s="1353"/>
      <c r="JW164" s="1353"/>
      <c r="JX164" s="1353"/>
      <c r="JY164" s="1353"/>
      <c r="JZ164" s="1353"/>
      <c r="KA164" s="1353"/>
      <c r="KB164" s="1353"/>
      <c r="KC164" s="1353"/>
      <c r="KD164" s="1353"/>
      <c r="KE164" s="1353"/>
      <c r="KF164" s="1353"/>
      <c r="KG164" s="1353"/>
      <c r="KH164" s="1353"/>
      <c r="KI164" s="1353"/>
      <c r="KJ164" s="1353"/>
      <c r="KK164" s="1353"/>
    </row>
    <row r="165" ht="14.25" customHeight="1">
      <c r="A165" s="1353"/>
      <c r="B165" s="3009"/>
      <c r="C165" s="3011"/>
      <c r="D165" s="3013"/>
      <c r="E165" s="3009"/>
      <c r="F165" s="3009"/>
      <c r="G165" s="3009"/>
      <c r="H165" s="3009"/>
      <c r="I165" s="3009"/>
      <c r="J165" s="3009"/>
      <c r="K165" s="3009"/>
      <c r="L165" s="3009"/>
      <c r="M165" s="3009"/>
      <c r="N165" s="1353"/>
      <c r="O165" s="1353"/>
      <c r="P165" s="1353"/>
      <c r="Q165" s="1353"/>
      <c r="R165" s="1353"/>
      <c r="S165" s="1353"/>
      <c r="T165" s="1353"/>
      <c r="U165" s="1353"/>
      <c r="V165" s="1353"/>
      <c r="W165" s="1353"/>
      <c r="X165" s="1353"/>
      <c r="Y165" s="1353"/>
      <c r="Z165" s="1353"/>
      <c r="AA165" s="1353"/>
      <c r="AB165" s="2993"/>
      <c r="AC165" s="2993"/>
      <c r="AD165" s="2993"/>
      <c r="AE165" s="2993"/>
      <c r="AF165" s="2993"/>
      <c r="AG165" s="2993"/>
      <c r="AH165" s="2993"/>
      <c r="AI165" s="1353"/>
      <c r="AJ165" s="1353"/>
      <c r="AK165" s="1353"/>
      <c r="AL165" s="1353"/>
      <c r="AM165" s="1353"/>
      <c r="AN165" s="1353"/>
      <c r="AO165" s="1353"/>
      <c r="AP165" s="1353"/>
      <c r="AQ165" s="1353"/>
      <c r="AR165" s="1353"/>
      <c r="AS165" s="1353"/>
      <c r="AT165" s="1353"/>
      <c r="AU165" s="1353"/>
      <c r="AV165" s="1353"/>
      <c r="AW165" s="1353"/>
      <c r="AX165" s="1353"/>
      <c r="AY165" s="1353"/>
      <c r="AZ165" s="1353"/>
      <c r="BA165" s="1353"/>
      <c r="BB165" s="1353"/>
      <c r="BC165" s="1353"/>
      <c r="BD165" s="1353"/>
      <c r="BE165" s="1353"/>
      <c r="BF165" s="1353"/>
      <c r="BG165" s="1353"/>
      <c r="BH165" s="1353"/>
      <c r="BI165" s="1353"/>
      <c r="BJ165" s="1353"/>
      <c r="BK165" s="1353"/>
      <c r="BL165" s="1353"/>
      <c r="BM165" s="1353"/>
      <c r="BN165" s="1353"/>
      <c r="BO165" s="1353"/>
      <c r="BP165" s="1353"/>
      <c r="BQ165" s="1353"/>
      <c r="BR165" s="1353"/>
      <c r="BS165" s="1353"/>
      <c r="BT165" s="1353"/>
      <c r="BU165" s="1353"/>
      <c r="BV165" s="1353"/>
      <c r="BW165" s="1353"/>
      <c r="BX165" s="1353"/>
      <c r="BY165" s="1353"/>
      <c r="BZ165" s="1353"/>
      <c r="CA165" s="1353"/>
      <c r="CB165" s="1353"/>
      <c r="CC165" s="1353"/>
      <c r="CD165" s="1353"/>
      <c r="CE165" s="1353"/>
      <c r="CF165" s="1353"/>
      <c r="CG165" s="1353"/>
      <c r="CH165" s="1353"/>
      <c r="CI165" s="1353"/>
      <c r="CJ165" s="1353"/>
      <c r="CK165" s="1353"/>
      <c r="CL165" s="1353"/>
      <c r="CM165" s="1353"/>
      <c r="CN165" s="1353"/>
      <c r="CO165" s="1353"/>
      <c r="CP165" s="1353"/>
      <c r="CQ165" s="1353"/>
      <c r="CR165" s="1353"/>
      <c r="CS165" s="1353"/>
      <c r="CT165" s="1353"/>
      <c r="CU165" s="1353"/>
      <c r="CV165" s="1353"/>
      <c r="CW165" s="1353"/>
      <c r="CX165" s="1353"/>
      <c r="CY165" s="1353"/>
      <c r="CZ165" s="1353"/>
      <c r="DA165" s="1353"/>
      <c r="DB165" s="1353"/>
      <c r="DC165" s="1353"/>
      <c r="DD165" s="1353"/>
      <c r="DE165" s="1353"/>
      <c r="DF165" s="1353"/>
      <c r="DG165" s="1353"/>
      <c r="DH165" s="1353"/>
      <c r="DI165" s="1353"/>
      <c r="DJ165" s="1353"/>
      <c r="DK165" s="1353"/>
      <c r="DL165" s="1353"/>
      <c r="DM165" s="1353"/>
      <c r="DN165" s="1353"/>
      <c r="DO165" s="1353"/>
      <c r="DP165" s="1353"/>
      <c r="DQ165" s="1353"/>
      <c r="DR165" s="1353"/>
      <c r="DS165" s="1353"/>
      <c r="DT165" s="1353"/>
      <c r="DU165" s="1353"/>
      <c r="DV165" s="1353"/>
      <c r="DW165" s="1353"/>
      <c r="DX165" s="1353"/>
      <c r="DY165" s="1353"/>
      <c r="DZ165" s="1353"/>
      <c r="EA165" s="1353"/>
      <c r="EB165" s="1353"/>
      <c r="EC165" s="1353"/>
      <c r="ED165" s="1353"/>
      <c r="EE165" s="1353"/>
      <c r="EF165" s="1353"/>
      <c r="EG165" s="1353"/>
      <c r="EH165" s="1353"/>
      <c r="EI165" s="1353"/>
      <c r="EJ165" s="1353"/>
      <c r="EK165" s="1353"/>
      <c r="EL165" s="1353"/>
      <c r="EM165" s="1353"/>
      <c r="EN165" s="1353"/>
      <c r="EO165" s="1353"/>
      <c r="EP165" s="1353"/>
      <c r="EQ165" s="1353"/>
      <c r="ER165" s="1353"/>
      <c r="ES165" s="1353"/>
      <c r="ET165" s="1353"/>
      <c r="EU165" s="1353"/>
      <c r="EV165" s="1353"/>
      <c r="EW165" s="1353"/>
      <c r="EX165" s="1353"/>
      <c r="EY165" s="1353"/>
      <c r="EZ165" s="1353"/>
      <c r="FA165" s="1353"/>
      <c r="FB165" s="1353"/>
      <c r="FC165" s="1353"/>
      <c r="FD165" s="1353"/>
      <c r="FE165" s="1353"/>
      <c r="FF165" s="1353"/>
      <c r="FG165" s="1353"/>
      <c r="FH165" s="1353"/>
      <c r="FI165" s="1353"/>
      <c r="FJ165" s="1353"/>
      <c r="FK165" s="1353"/>
      <c r="FL165" s="1353"/>
      <c r="FM165" s="1353"/>
      <c r="FN165" s="1353"/>
      <c r="FO165" s="1353"/>
      <c r="FP165" s="1353"/>
      <c r="FQ165" s="1353"/>
      <c r="FR165" s="1353"/>
      <c r="FS165" s="1353"/>
      <c r="FT165" s="1353"/>
      <c r="FU165" s="1353"/>
      <c r="FV165" s="1353"/>
      <c r="FW165" s="1353"/>
      <c r="FX165" s="1353"/>
      <c r="FY165" s="1353"/>
      <c r="FZ165" s="1353"/>
      <c r="GA165" s="1353"/>
      <c r="GB165" s="1353"/>
      <c r="GC165" s="1353"/>
      <c r="GD165" s="1353"/>
      <c r="GE165" s="1353"/>
      <c r="GF165" s="1353"/>
      <c r="GG165" s="1353"/>
      <c r="GH165" s="1353"/>
      <c r="GI165" s="1353"/>
      <c r="GJ165" s="1353"/>
      <c r="GK165" s="1353"/>
      <c r="GL165" s="1353"/>
      <c r="GM165" s="1353"/>
      <c r="GN165" s="1353"/>
      <c r="GO165" s="1353"/>
      <c r="GP165" s="1353"/>
      <c r="GQ165" s="1353"/>
      <c r="GR165" s="1353"/>
      <c r="GS165" s="1353"/>
      <c r="GT165" s="1353"/>
      <c r="GU165" s="1353"/>
      <c r="GV165" s="1353"/>
      <c r="GW165" s="1353"/>
      <c r="GX165" s="1353"/>
      <c r="GY165" s="1353"/>
      <c r="GZ165" s="1353"/>
      <c r="HA165" s="1353"/>
      <c r="HB165" s="1353"/>
      <c r="HC165" s="1353"/>
      <c r="HD165" s="1353"/>
      <c r="HE165" s="1353"/>
      <c r="HF165" s="1353"/>
      <c r="HG165" s="1353"/>
      <c r="HH165" s="1353"/>
      <c r="HI165" s="1353"/>
      <c r="HJ165" s="1353"/>
      <c r="HK165" s="1353"/>
      <c r="HL165" s="1353"/>
      <c r="HM165" s="1353"/>
      <c r="HN165" s="1353"/>
      <c r="HO165" s="1353"/>
      <c r="HP165" s="1353"/>
      <c r="HQ165" s="1353"/>
      <c r="HR165" s="1353"/>
      <c r="HS165" s="1353"/>
      <c r="HT165" s="1353"/>
      <c r="HU165" s="1353"/>
      <c r="HV165" s="1353"/>
      <c r="HW165" s="1353"/>
      <c r="HX165" s="1353"/>
      <c r="HY165" s="1353"/>
      <c r="HZ165" s="1353"/>
      <c r="IA165" s="1353"/>
      <c r="IB165" s="1353"/>
      <c r="IC165" s="1353"/>
      <c r="ID165" s="1353"/>
      <c r="IE165" s="1353"/>
      <c r="IF165" s="1353"/>
      <c r="IG165" s="1353"/>
      <c r="IH165" s="1353"/>
      <c r="II165" s="1353"/>
      <c r="IJ165" s="1353"/>
      <c r="IK165" s="1353"/>
      <c r="IL165" s="1353"/>
      <c r="IM165" s="1353"/>
      <c r="IN165" s="1353"/>
      <c r="IO165" s="1353"/>
      <c r="IP165" s="1353"/>
      <c r="IQ165" s="1353"/>
      <c r="IR165" s="1353"/>
      <c r="IS165" s="1353"/>
      <c r="IT165" s="1353"/>
      <c r="IU165" s="1353"/>
      <c r="IV165" s="1353"/>
      <c r="IW165" s="1353"/>
      <c r="IX165" s="1353"/>
      <c r="IY165" s="1353"/>
      <c r="IZ165" s="1353"/>
      <c r="JA165" s="1353"/>
      <c r="JB165" s="1353"/>
      <c r="JC165" s="1353"/>
      <c r="JD165" s="1353"/>
      <c r="JE165" s="1353"/>
      <c r="JF165" s="1353"/>
      <c r="JG165" s="1353"/>
      <c r="JH165" s="1353"/>
      <c r="JI165" s="1353"/>
      <c r="JJ165" s="1353"/>
      <c r="JK165" s="1353"/>
      <c r="JL165" s="1353"/>
      <c r="JM165" s="1353"/>
      <c r="JN165" s="1353"/>
      <c r="JO165" s="1353"/>
      <c r="JP165" s="1353"/>
      <c r="JQ165" s="1353"/>
      <c r="JR165" s="1353"/>
      <c r="JS165" s="1353"/>
      <c r="JT165" s="1353"/>
      <c r="JU165" s="1353"/>
      <c r="JV165" s="1353"/>
      <c r="JW165" s="1353"/>
      <c r="JX165" s="1353"/>
      <c r="JY165" s="1353"/>
      <c r="JZ165" s="1353"/>
      <c r="KA165" s="1353"/>
      <c r="KB165" s="1353"/>
      <c r="KC165" s="1353"/>
      <c r="KD165" s="1353"/>
      <c r="KE165" s="1353"/>
      <c r="KF165" s="1353"/>
      <c r="KG165" s="1353"/>
      <c r="KH165" s="1353"/>
      <c r="KI165" s="1353"/>
      <c r="KJ165" s="1353"/>
      <c r="KK165" s="1353"/>
    </row>
    <row r="166" ht="14.25" customHeight="1">
      <c r="A166" s="1353"/>
      <c r="B166" s="3016" t="s">
        <v>2974</v>
      </c>
      <c r="C166" s="3011"/>
      <c r="D166" s="3013"/>
      <c r="E166" s="3009"/>
      <c r="F166" s="3009"/>
      <c r="G166" s="3009"/>
      <c r="H166" s="3009"/>
      <c r="I166" s="3009"/>
      <c r="J166" s="3009"/>
      <c r="K166" s="3009"/>
      <c r="L166" s="3009"/>
      <c r="M166" s="3009"/>
      <c r="N166" s="1353"/>
      <c r="O166" s="1353"/>
      <c r="P166" s="1353"/>
      <c r="Q166" s="1353"/>
      <c r="R166" s="1353"/>
      <c r="S166" s="1353"/>
      <c r="T166" s="1353"/>
      <c r="U166" s="1353"/>
      <c r="V166" s="1353"/>
      <c r="W166" s="1353"/>
      <c r="X166" s="1353"/>
      <c r="Y166" s="1353"/>
      <c r="Z166" s="1353"/>
      <c r="AA166" s="1353"/>
      <c r="AB166" s="2993"/>
      <c r="AC166" s="2993"/>
      <c r="AD166" s="2993"/>
      <c r="AE166" s="2993"/>
      <c r="AF166" s="2993"/>
      <c r="AG166" s="2993"/>
      <c r="AH166" s="2993"/>
      <c r="AI166" s="1353"/>
      <c r="AJ166" s="1353"/>
      <c r="AK166" s="1353"/>
      <c r="AL166" s="1353"/>
      <c r="AM166" s="1353"/>
      <c r="AN166" s="1353"/>
      <c r="AO166" s="1353"/>
      <c r="AP166" s="1353"/>
      <c r="AQ166" s="1353"/>
      <c r="AR166" s="1353"/>
      <c r="AS166" s="1353"/>
      <c r="AT166" s="1353"/>
      <c r="AU166" s="1353"/>
      <c r="AV166" s="1353"/>
      <c r="AW166" s="1353"/>
      <c r="AX166" s="1353"/>
      <c r="AY166" s="1353"/>
      <c r="AZ166" s="1353"/>
      <c r="BA166" s="1353"/>
      <c r="BB166" s="1353"/>
      <c r="BC166" s="1353"/>
      <c r="BD166" s="1353"/>
      <c r="BE166" s="1353"/>
      <c r="BF166" s="1353"/>
      <c r="BG166" s="1353"/>
      <c r="BH166" s="1353"/>
      <c r="BI166" s="1353"/>
      <c r="BJ166" s="1353"/>
      <c r="BK166" s="1353"/>
      <c r="BL166" s="1353"/>
      <c r="BM166" s="1353"/>
      <c r="BN166" s="1353"/>
      <c r="BO166" s="1353"/>
      <c r="BP166" s="1353"/>
      <c r="BQ166" s="1353"/>
      <c r="BR166" s="1353"/>
      <c r="BS166" s="1353"/>
      <c r="BT166" s="1353"/>
      <c r="BU166" s="1353"/>
      <c r="BV166" s="1353"/>
      <c r="BW166" s="1353"/>
      <c r="BX166" s="1353"/>
      <c r="BY166" s="1353"/>
      <c r="BZ166" s="1353"/>
      <c r="CA166" s="1353"/>
      <c r="CB166" s="1353"/>
      <c r="CC166" s="1353"/>
      <c r="CD166" s="1353"/>
      <c r="CE166" s="1353"/>
      <c r="CF166" s="1353"/>
      <c r="CG166" s="1353"/>
      <c r="CH166" s="1353"/>
      <c r="CI166" s="1353"/>
      <c r="CJ166" s="1353"/>
      <c r="CK166" s="1353"/>
      <c r="CL166" s="1353"/>
      <c r="CM166" s="1353"/>
      <c r="CN166" s="1353"/>
      <c r="CO166" s="1353"/>
      <c r="CP166" s="1353"/>
      <c r="CQ166" s="1353"/>
      <c r="CR166" s="1353"/>
      <c r="CS166" s="1353"/>
      <c r="CT166" s="1353"/>
      <c r="CU166" s="1353"/>
      <c r="CV166" s="1353"/>
      <c r="CW166" s="1353"/>
      <c r="CX166" s="1353"/>
      <c r="CY166" s="1353"/>
      <c r="CZ166" s="1353"/>
      <c r="DA166" s="1353"/>
      <c r="DB166" s="1353"/>
      <c r="DC166" s="1353"/>
      <c r="DD166" s="1353"/>
      <c r="DE166" s="1353"/>
      <c r="DF166" s="1353"/>
      <c r="DG166" s="1353"/>
      <c r="DH166" s="1353"/>
      <c r="DI166" s="1353"/>
      <c r="DJ166" s="1353"/>
      <c r="DK166" s="1353"/>
      <c r="DL166" s="1353"/>
      <c r="DM166" s="1353"/>
      <c r="DN166" s="1353"/>
      <c r="DO166" s="1353"/>
      <c r="DP166" s="1353"/>
      <c r="DQ166" s="1353"/>
      <c r="DR166" s="1353"/>
      <c r="DS166" s="1353"/>
      <c r="DT166" s="1353"/>
      <c r="DU166" s="1353"/>
      <c r="DV166" s="1353"/>
      <c r="DW166" s="1353"/>
      <c r="DX166" s="1353"/>
      <c r="DY166" s="1353"/>
      <c r="DZ166" s="1353"/>
      <c r="EA166" s="1353"/>
      <c r="EB166" s="1353"/>
      <c r="EC166" s="1353"/>
      <c r="ED166" s="1353"/>
      <c r="EE166" s="1353"/>
      <c r="EF166" s="1353"/>
      <c r="EG166" s="1353"/>
      <c r="EH166" s="1353"/>
      <c r="EI166" s="1353"/>
      <c r="EJ166" s="1353"/>
      <c r="EK166" s="1353"/>
      <c r="EL166" s="1353"/>
      <c r="EM166" s="1353"/>
      <c r="EN166" s="1353"/>
      <c r="EO166" s="1353"/>
      <c r="EP166" s="1353"/>
      <c r="EQ166" s="1353"/>
      <c r="ER166" s="1353"/>
      <c r="ES166" s="1353"/>
      <c r="ET166" s="1353"/>
      <c r="EU166" s="1353"/>
      <c r="EV166" s="1353"/>
      <c r="EW166" s="1353"/>
      <c r="EX166" s="1353"/>
      <c r="EY166" s="1353"/>
      <c r="EZ166" s="1353"/>
      <c r="FA166" s="1353"/>
      <c r="FB166" s="1353"/>
      <c r="FC166" s="1353"/>
      <c r="FD166" s="1353"/>
      <c r="FE166" s="1353"/>
      <c r="FF166" s="1353"/>
      <c r="FG166" s="1353"/>
      <c r="FH166" s="1353"/>
      <c r="FI166" s="1353"/>
      <c r="FJ166" s="1353"/>
      <c r="FK166" s="1353"/>
      <c r="FL166" s="1353"/>
      <c r="FM166" s="1353"/>
      <c r="FN166" s="1353"/>
      <c r="FO166" s="1353"/>
      <c r="FP166" s="1353"/>
      <c r="FQ166" s="1353"/>
      <c r="FR166" s="1353"/>
      <c r="FS166" s="1353"/>
      <c r="FT166" s="1353"/>
      <c r="FU166" s="1353"/>
      <c r="FV166" s="1353"/>
      <c r="FW166" s="1353"/>
      <c r="FX166" s="1353"/>
      <c r="FY166" s="1353"/>
      <c r="FZ166" s="1353"/>
      <c r="GA166" s="1353"/>
      <c r="GB166" s="1353"/>
      <c r="GC166" s="1353"/>
      <c r="GD166" s="1353"/>
      <c r="GE166" s="1353"/>
      <c r="GF166" s="1353"/>
      <c r="GG166" s="1353"/>
      <c r="GH166" s="1353"/>
      <c r="GI166" s="1353"/>
      <c r="GJ166" s="1353"/>
      <c r="GK166" s="1353"/>
      <c r="GL166" s="1353"/>
      <c r="GM166" s="1353"/>
      <c r="GN166" s="1353"/>
      <c r="GO166" s="1353"/>
      <c r="GP166" s="1353"/>
      <c r="GQ166" s="1353"/>
      <c r="GR166" s="1353"/>
      <c r="GS166" s="1353"/>
      <c r="GT166" s="1353"/>
      <c r="GU166" s="1353"/>
      <c r="GV166" s="1353"/>
      <c r="GW166" s="1353"/>
      <c r="GX166" s="1353"/>
      <c r="GY166" s="1353"/>
      <c r="GZ166" s="1353"/>
      <c r="HA166" s="1353"/>
      <c r="HB166" s="1353"/>
      <c r="HC166" s="1353"/>
      <c r="HD166" s="1353"/>
      <c r="HE166" s="1353"/>
      <c r="HF166" s="1353"/>
      <c r="HG166" s="1353"/>
      <c r="HH166" s="1353"/>
      <c r="HI166" s="1353"/>
      <c r="HJ166" s="1353"/>
      <c r="HK166" s="1353"/>
      <c r="HL166" s="1353"/>
      <c r="HM166" s="1353"/>
      <c r="HN166" s="1353"/>
      <c r="HO166" s="1353"/>
      <c r="HP166" s="1353"/>
      <c r="HQ166" s="1353"/>
      <c r="HR166" s="1353"/>
      <c r="HS166" s="1353"/>
      <c r="HT166" s="1353"/>
      <c r="HU166" s="1353"/>
      <c r="HV166" s="1353"/>
      <c r="HW166" s="1353"/>
      <c r="HX166" s="1353"/>
      <c r="HY166" s="1353"/>
      <c r="HZ166" s="1353"/>
      <c r="IA166" s="1353"/>
      <c r="IB166" s="1353"/>
      <c r="IC166" s="1353"/>
      <c r="ID166" s="1353"/>
      <c r="IE166" s="1353"/>
      <c r="IF166" s="1353"/>
      <c r="IG166" s="1353"/>
      <c r="IH166" s="1353"/>
      <c r="II166" s="1353"/>
      <c r="IJ166" s="1353"/>
      <c r="IK166" s="1353"/>
      <c r="IL166" s="1353"/>
      <c r="IM166" s="1353"/>
      <c r="IN166" s="1353"/>
      <c r="IO166" s="1353"/>
      <c r="IP166" s="1353"/>
      <c r="IQ166" s="1353"/>
      <c r="IR166" s="1353"/>
      <c r="IS166" s="1353"/>
      <c r="IT166" s="1353"/>
      <c r="IU166" s="1353"/>
      <c r="IV166" s="1353"/>
      <c r="IW166" s="1353"/>
      <c r="IX166" s="1353"/>
      <c r="IY166" s="1353"/>
      <c r="IZ166" s="1353"/>
      <c r="JA166" s="1353"/>
      <c r="JB166" s="1353"/>
      <c r="JC166" s="1353"/>
      <c r="JD166" s="1353"/>
      <c r="JE166" s="1353"/>
      <c r="JF166" s="1353"/>
      <c r="JG166" s="1353"/>
      <c r="JH166" s="1353"/>
      <c r="JI166" s="1353"/>
      <c r="JJ166" s="1353"/>
      <c r="JK166" s="1353"/>
      <c r="JL166" s="1353"/>
      <c r="JM166" s="1353"/>
      <c r="JN166" s="1353"/>
      <c r="JO166" s="1353"/>
      <c r="JP166" s="1353"/>
      <c r="JQ166" s="1353"/>
      <c r="JR166" s="1353"/>
      <c r="JS166" s="1353"/>
      <c r="JT166" s="1353"/>
      <c r="JU166" s="1353"/>
      <c r="JV166" s="1353"/>
      <c r="JW166" s="1353"/>
      <c r="JX166" s="1353"/>
      <c r="JY166" s="1353"/>
      <c r="JZ166" s="1353"/>
      <c r="KA166" s="1353"/>
      <c r="KB166" s="1353"/>
      <c r="KC166" s="1353"/>
      <c r="KD166" s="1353"/>
      <c r="KE166" s="1353"/>
      <c r="KF166" s="1353"/>
      <c r="KG166" s="1353"/>
      <c r="KH166" s="1353"/>
      <c r="KI166" s="1353"/>
      <c r="KJ166" s="1353"/>
      <c r="KK166" s="1353"/>
    </row>
    <row r="167" ht="14.25" customHeight="1">
      <c r="A167" s="1353"/>
      <c r="B167" s="3010" t="s">
        <v>2975</v>
      </c>
      <c r="C167" s="3011"/>
      <c r="D167" s="3012">
        <f>D163*E167</f>
        <v>0</v>
      </c>
      <c r="E167" s="3017">
        <v>0.05</v>
      </c>
      <c r="F167" s="3017"/>
      <c r="G167" s="3009"/>
      <c r="H167" s="3009"/>
      <c r="I167" s="3009"/>
      <c r="J167" s="3009"/>
      <c r="K167" s="3009"/>
      <c r="L167" s="3009"/>
      <c r="M167" s="3009"/>
      <c r="N167" s="1353"/>
      <c r="O167" s="1353"/>
      <c r="P167" s="1353"/>
      <c r="Q167" s="1353"/>
      <c r="R167" s="1353"/>
      <c r="S167" s="1353"/>
      <c r="T167" s="1353"/>
      <c r="U167" s="1353"/>
      <c r="V167" s="1353"/>
      <c r="W167" s="1353"/>
      <c r="X167" s="1353"/>
      <c r="Y167" s="1353"/>
      <c r="Z167" s="1353"/>
      <c r="AA167" s="1353"/>
      <c r="AB167" s="2993"/>
      <c r="AC167" s="2993"/>
      <c r="AD167" s="2993"/>
      <c r="AE167" s="2993"/>
      <c r="AF167" s="2993"/>
      <c r="AG167" s="2993"/>
      <c r="AH167" s="2993"/>
      <c r="AI167" s="1353"/>
      <c r="AJ167" s="1353"/>
      <c r="AK167" s="1353"/>
      <c r="AL167" s="1353"/>
      <c r="AM167" s="1353"/>
      <c r="AN167" s="1353"/>
      <c r="AO167" s="1353"/>
      <c r="AP167" s="1353"/>
      <c r="AQ167" s="1353"/>
      <c r="AR167" s="1353"/>
      <c r="AS167" s="1353"/>
      <c r="AT167" s="1353"/>
      <c r="AU167" s="1353"/>
      <c r="AV167" s="1353"/>
      <c r="AW167" s="1353"/>
      <c r="AX167" s="1353"/>
      <c r="AY167" s="1353"/>
      <c r="AZ167" s="1353"/>
      <c r="BA167" s="1353"/>
      <c r="BB167" s="1353"/>
      <c r="BC167" s="1353"/>
      <c r="BD167" s="1353"/>
      <c r="BE167" s="1353"/>
      <c r="BF167" s="1353"/>
      <c r="BG167" s="1353"/>
      <c r="BH167" s="1353"/>
      <c r="BI167" s="1353"/>
      <c r="BJ167" s="1353"/>
      <c r="BK167" s="1353"/>
      <c r="BL167" s="1353"/>
      <c r="BM167" s="1353"/>
      <c r="BN167" s="1353"/>
      <c r="BO167" s="1353"/>
      <c r="BP167" s="1353"/>
      <c r="BQ167" s="1353"/>
      <c r="BR167" s="1353"/>
      <c r="BS167" s="1353"/>
      <c r="BT167" s="1353"/>
      <c r="BU167" s="1353"/>
      <c r="BV167" s="1353"/>
      <c r="BW167" s="1353"/>
      <c r="BX167" s="1353"/>
      <c r="BY167" s="1353"/>
      <c r="BZ167" s="1353"/>
      <c r="CA167" s="1353"/>
      <c r="CB167" s="1353"/>
      <c r="CC167" s="1353"/>
      <c r="CD167" s="1353"/>
      <c r="CE167" s="1353"/>
      <c r="CF167" s="1353"/>
      <c r="CG167" s="1353"/>
      <c r="CH167" s="1353"/>
      <c r="CI167" s="1353"/>
      <c r="CJ167" s="1353"/>
      <c r="CK167" s="1353"/>
      <c r="CL167" s="1353"/>
      <c r="CM167" s="1353"/>
      <c r="CN167" s="1353"/>
      <c r="CO167" s="1353"/>
      <c r="CP167" s="1353"/>
      <c r="CQ167" s="1353"/>
      <c r="CR167" s="1353"/>
      <c r="CS167" s="1353"/>
      <c r="CT167" s="1353"/>
      <c r="CU167" s="1353"/>
      <c r="CV167" s="1353"/>
      <c r="CW167" s="1353"/>
      <c r="CX167" s="1353"/>
      <c r="CY167" s="1353"/>
      <c r="CZ167" s="1353"/>
      <c r="DA167" s="1353"/>
      <c r="DB167" s="1353"/>
      <c r="DC167" s="1353"/>
      <c r="DD167" s="1353"/>
      <c r="DE167" s="1353"/>
      <c r="DF167" s="1353"/>
      <c r="DG167" s="1353"/>
      <c r="DH167" s="1353"/>
      <c r="DI167" s="1353"/>
      <c r="DJ167" s="1353"/>
      <c r="DK167" s="1353"/>
      <c r="DL167" s="1353"/>
      <c r="DM167" s="1353"/>
      <c r="DN167" s="1353"/>
      <c r="DO167" s="1353"/>
      <c r="DP167" s="1353"/>
      <c r="DQ167" s="1353"/>
      <c r="DR167" s="1353"/>
      <c r="DS167" s="1353"/>
      <c r="DT167" s="1353"/>
      <c r="DU167" s="1353"/>
      <c r="DV167" s="1353"/>
      <c r="DW167" s="1353"/>
      <c r="DX167" s="1353"/>
      <c r="DY167" s="1353"/>
      <c r="DZ167" s="1353"/>
      <c r="EA167" s="1353"/>
      <c r="EB167" s="1353"/>
      <c r="EC167" s="1353"/>
      <c r="ED167" s="1353"/>
      <c r="EE167" s="1353"/>
      <c r="EF167" s="1353"/>
      <c r="EG167" s="1353"/>
      <c r="EH167" s="1353"/>
      <c r="EI167" s="1353"/>
      <c r="EJ167" s="1353"/>
      <c r="EK167" s="1353"/>
      <c r="EL167" s="1353"/>
      <c r="EM167" s="1353"/>
      <c r="EN167" s="1353"/>
      <c r="EO167" s="1353"/>
      <c r="EP167" s="1353"/>
      <c r="EQ167" s="1353"/>
      <c r="ER167" s="1353"/>
      <c r="ES167" s="1353"/>
      <c r="ET167" s="1353"/>
      <c r="EU167" s="1353"/>
      <c r="EV167" s="1353"/>
      <c r="EW167" s="1353"/>
      <c r="EX167" s="1353"/>
      <c r="EY167" s="1353"/>
      <c r="EZ167" s="1353"/>
      <c r="FA167" s="1353"/>
      <c r="FB167" s="1353"/>
      <c r="FC167" s="1353"/>
      <c r="FD167" s="1353"/>
      <c r="FE167" s="1353"/>
      <c r="FF167" s="1353"/>
      <c r="FG167" s="1353"/>
      <c r="FH167" s="1353"/>
      <c r="FI167" s="1353"/>
      <c r="FJ167" s="1353"/>
      <c r="FK167" s="1353"/>
      <c r="FL167" s="1353"/>
      <c r="FM167" s="1353"/>
      <c r="FN167" s="1353"/>
      <c r="FO167" s="1353"/>
      <c r="FP167" s="1353"/>
      <c r="FQ167" s="1353"/>
      <c r="FR167" s="1353"/>
      <c r="FS167" s="1353"/>
      <c r="FT167" s="1353"/>
      <c r="FU167" s="1353"/>
      <c r="FV167" s="1353"/>
      <c r="FW167" s="1353"/>
      <c r="FX167" s="1353"/>
      <c r="FY167" s="1353"/>
      <c r="FZ167" s="1353"/>
      <c r="GA167" s="1353"/>
      <c r="GB167" s="1353"/>
      <c r="GC167" s="1353"/>
      <c r="GD167" s="1353"/>
      <c r="GE167" s="1353"/>
      <c r="GF167" s="1353"/>
      <c r="GG167" s="1353"/>
      <c r="GH167" s="1353"/>
      <c r="GI167" s="1353"/>
      <c r="GJ167" s="1353"/>
      <c r="GK167" s="1353"/>
      <c r="GL167" s="1353"/>
      <c r="GM167" s="1353"/>
      <c r="GN167" s="1353"/>
      <c r="GO167" s="1353"/>
      <c r="GP167" s="1353"/>
      <c r="GQ167" s="1353"/>
      <c r="GR167" s="1353"/>
      <c r="GS167" s="1353"/>
      <c r="GT167" s="1353"/>
      <c r="GU167" s="1353"/>
      <c r="GV167" s="1353"/>
      <c r="GW167" s="1353"/>
      <c r="GX167" s="1353"/>
      <c r="GY167" s="1353"/>
      <c r="GZ167" s="1353"/>
      <c r="HA167" s="1353"/>
      <c r="HB167" s="1353"/>
      <c r="HC167" s="1353"/>
      <c r="HD167" s="1353"/>
      <c r="HE167" s="1353"/>
      <c r="HF167" s="1353"/>
      <c r="HG167" s="1353"/>
      <c r="HH167" s="1353"/>
      <c r="HI167" s="1353"/>
      <c r="HJ167" s="1353"/>
      <c r="HK167" s="1353"/>
      <c r="HL167" s="1353"/>
      <c r="HM167" s="1353"/>
      <c r="HN167" s="1353"/>
      <c r="HO167" s="1353"/>
      <c r="HP167" s="1353"/>
      <c r="HQ167" s="1353"/>
      <c r="HR167" s="1353"/>
      <c r="HS167" s="1353"/>
      <c r="HT167" s="1353"/>
      <c r="HU167" s="1353"/>
      <c r="HV167" s="1353"/>
      <c r="HW167" s="1353"/>
      <c r="HX167" s="1353"/>
      <c r="HY167" s="1353"/>
      <c r="HZ167" s="1353"/>
      <c r="IA167" s="1353"/>
      <c r="IB167" s="1353"/>
      <c r="IC167" s="1353"/>
      <c r="ID167" s="1353"/>
      <c r="IE167" s="1353"/>
      <c r="IF167" s="1353"/>
      <c r="IG167" s="1353"/>
      <c r="IH167" s="1353"/>
      <c r="II167" s="1353"/>
      <c r="IJ167" s="1353"/>
      <c r="IK167" s="1353"/>
      <c r="IL167" s="1353"/>
      <c r="IM167" s="1353"/>
      <c r="IN167" s="1353"/>
      <c r="IO167" s="1353"/>
      <c r="IP167" s="1353"/>
      <c r="IQ167" s="1353"/>
      <c r="IR167" s="1353"/>
      <c r="IS167" s="1353"/>
      <c r="IT167" s="1353"/>
      <c r="IU167" s="1353"/>
      <c r="IV167" s="1353"/>
      <c r="IW167" s="1353"/>
      <c r="IX167" s="1353"/>
      <c r="IY167" s="1353"/>
      <c r="IZ167" s="1353"/>
      <c r="JA167" s="1353"/>
      <c r="JB167" s="1353"/>
      <c r="JC167" s="1353"/>
      <c r="JD167" s="1353"/>
      <c r="JE167" s="1353"/>
      <c r="JF167" s="1353"/>
      <c r="JG167" s="1353"/>
      <c r="JH167" s="1353"/>
      <c r="JI167" s="1353"/>
      <c r="JJ167" s="1353"/>
      <c r="JK167" s="1353"/>
      <c r="JL167" s="1353"/>
      <c r="JM167" s="1353"/>
      <c r="JN167" s="1353"/>
      <c r="JO167" s="1353"/>
      <c r="JP167" s="1353"/>
      <c r="JQ167" s="1353"/>
      <c r="JR167" s="1353"/>
      <c r="JS167" s="1353"/>
      <c r="JT167" s="1353"/>
      <c r="JU167" s="1353"/>
      <c r="JV167" s="1353"/>
      <c r="JW167" s="1353"/>
      <c r="JX167" s="1353"/>
      <c r="JY167" s="1353"/>
      <c r="JZ167" s="1353"/>
      <c r="KA167" s="1353"/>
      <c r="KB167" s="1353"/>
      <c r="KC167" s="1353"/>
      <c r="KD167" s="1353"/>
      <c r="KE167" s="1353"/>
      <c r="KF167" s="1353"/>
      <c r="KG167" s="1353"/>
      <c r="KH167" s="1353"/>
      <c r="KI167" s="1353"/>
      <c r="KJ167" s="1353"/>
      <c r="KK167" s="1353"/>
    </row>
    <row r="168" ht="14.25" customHeight="1">
      <c r="A168" s="1353"/>
      <c r="B168" s="3010" t="s">
        <v>2976</v>
      </c>
      <c r="C168" s="3011"/>
      <c r="D168" s="3012">
        <v>0</v>
      </c>
      <c r="E168" s="3018"/>
      <c r="F168" s="3018"/>
      <c r="G168" s="3009"/>
      <c r="H168" s="3009"/>
      <c r="I168" s="3009"/>
      <c r="J168" s="3009"/>
      <c r="K168" s="3009"/>
      <c r="L168" s="3009"/>
      <c r="M168" s="3009"/>
      <c r="N168" s="1353"/>
      <c r="O168" s="1353"/>
      <c r="P168" s="1353"/>
      <c r="Q168" s="1353"/>
      <c r="R168" s="1353"/>
      <c r="S168" s="1353"/>
      <c r="T168" s="1353"/>
      <c r="U168" s="1353"/>
      <c r="V168" s="1353"/>
      <c r="W168" s="1353"/>
      <c r="X168" s="1353"/>
      <c r="Y168" s="1353"/>
      <c r="Z168" s="1353"/>
      <c r="AA168" s="1353"/>
      <c r="AB168" s="2993"/>
      <c r="AC168" s="2993"/>
      <c r="AD168" s="2993"/>
      <c r="AE168" s="2993"/>
      <c r="AF168" s="2993"/>
      <c r="AG168" s="2993"/>
      <c r="AH168" s="2993"/>
      <c r="AI168" s="1353"/>
      <c r="AJ168" s="1353"/>
      <c r="AK168" s="1353"/>
      <c r="AL168" s="1353"/>
      <c r="AM168" s="1353"/>
      <c r="AN168" s="1353"/>
      <c r="AO168" s="1353"/>
      <c r="AP168" s="1353"/>
      <c r="AQ168" s="1353"/>
      <c r="AR168" s="1353"/>
      <c r="AS168" s="1353"/>
      <c r="AT168" s="1353"/>
      <c r="AU168" s="1353"/>
      <c r="AV168" s="1353"/>
      <c r="AW168" s="1353"/>
      <c r="AX168" s="1353"/>
      <c r="AY168" s="1353"/>
      <c r="AZ168" s="1353"/>
      <c r="BA168" s="1353"/>
      <c r="BB168" s="1353"/>
      <c r="BC168" s="1353"/>
      <c r="BD168" s="1353"/>
      <c r="BE168" s="1353"/>
      <c r="BF168" s="1353"/>
      <c r="BG168" s="1353"/>
      <c r="BH168" s="1353"/>
      <c r="BI168" s="1353"/>
      <c r="BJ168" s="1353"/>
      <c r="BK168" s="1353"/>
      <c r="BL168" s="1353"/>
      <c r="BM168" s="1353"/>
      <c r="BN168" s="1353"/>
      <c r="BO168" s="1353"/>
      <c r="BP168" s="1353"/>
      <c r="BQ168" s="1353"/>
      <c r="BR168" s="1353"/>
      <c r="BS168" s="1353"/>
      <c r="BT168" s="1353"/>
      <c r="BU168" s="1353"/>
      <c r="BV168" s="1353"/>
      <c r="BW168" s="1353"/>
      <c r="BX168" s="1353"/>
      <c r="BY168" s="1353"/>
      <c r="BZ168" s="1353"/>
      <c r="CA168" s="1353"/>
      <c r="CB168" s="1353"/>
      <c r="CC168" s="1353"/>
      <c r="CD168" s="1353"/>
      <c r="CE168" s="1353"/>
      <c r="CF168" s="1353"/>
      <c r="CG168" s="1353"/>
      <c r="CH168" s="1353"/>
      <c r="CI168" s="1353"/>
      <c r="CJ168" s="1353"/>
      <c r="CK168" s="1353"/>
      <c r="CL168" s="1353"/>
      <c r="CM168" s="1353"/>
      <c r="CN168" s="1353"/>
      <c r="CO168" s="1353"/>
      <c r="CP168" s="1353"/>
      <c r="CQ168" s="1353"/>
      <c r="CR168" s="1353"/>
      <c r="CS168" s="1353"/>
      <c r="CT168" s="1353"/>
      <c r="CU168" s="1353"/>
      <c r="CV168" s="1353"/>
      <c r="CW168" s="1353"/>
      <c r="CX168" s="1353"/>
      <c r="CY168" s="1353"/>
      <c r="CZ168" s="1353"/>
      <c r="DA168" s="1353"/>
      <c r="DB168" s="1353"/>
      <c r="DC168" s="1353"/>
      <c r="DD168" s="1353"/>
      <c r="DE168" s="1353"/>
      <c r="DF168" s="1353"/>
      <c r="DG168" s="1353"/>
      <c r="DH168" s="1353"/>
      <c r="DI168" s="1353"/>
      <c r="DJ168" s="1353"/>
      <c r="DK168" s="1353"/>
      <c r="DL168" s="1353"/>
      <c r="DM168" s="1353"/>
      <c r="DN168" s="1353"/>
      <c r="DO168" s="1353"/>
      <c r="DP168" s="1353"/>
      <c r="DQ168" s="1353"/>
      <c r="DR168" s="1353"/>
      <c r="DS168" s="1353"/>
      <c r="DT168" s="1353"/>
      <c r="DU168" s="1353"/>
      <c r="DV168" s="1353"/>
      <c r="DW168" s="1353"/>
      <c r="DX168" s="1353"/>
      <c r="DY168" s="1353"/>
      <c r="DZ168" s="1353"/>
      <c r="EA168" s="1353"/>
      <c r="EB168" s="1353"/>
      <c r="EC168" s="1353"/>
      <c r="ED168" s="1353"/>
      <c r="EE168" s="1353"/>
      <c r="EF168" s="1353"/>
      <c r="EG168" s="1353"/>
      <c r="EH168" s="1353"/>
      <c r="EI168" s="1353"/>
      <c r="EJ168" s="1353"/>
      <c r="EK168" s="1353"/>
      <c r="EL168" s="1353"/>
      <c r="EM168" s="1353"/>
      <c r="EN168" s="1353"/>
      <c r="EO168" s="1353"/>
      <c r="EP168" s="1353"/>
      <c r="EQ168" s="1353"/>
      <c r="ER168" s="1353"/>
      <c r="ES168" s="1353"/>
      <c r="ET168" s="1353"/>
      <c r="EU168" s="1353"/>
      <c r="EV168" s="1353"/>
      <c r="EW168" s="1353"/>
      <c r="EX168" s="1353"/>
      <c r="EY168" s="1353"/>
      <c r="EZ168" s="1353"/>
      <c r="FA168" s="1353"/>
      <c r="FB168" s="1353"/>
      <c r="FC168" s="1353"/>
      <c r="FD168" s="1353"/>
      <c r="FE168" s="1353"/>
      <c r="FF168" s="1353"/>
      <c r="FG168" s="1353"/>
      <c r="FH168" s="1353"/>
      <c r="FI168" s="1353"/>
      <c r="FJ168" s="1353"/>
      <c r="FK168" s="1353"/>
      <c r="FL168" s="1353"/>
      <c r="FM168" s="1353"/>
      <c r="FN168" s="1353"/>
      <c r="FO168" s="1353"/>
      <c r="FP168" s="1353"/>
      <c r="FQ168" s="1353"/>
      <c r="FR168" s="1353"/>
      <c r="FS168" s="1353"/>
      <c r="FT168" s="1353"/>
      <c r="FU168" s="1353"/>
      <c r="FV168" s="1353"/>
      <c r="FW168" s="1353"/>
      <c r="FX168" s="1353"/>
      <c r="FY168" s="1353"/>
      <c r="FZ168" s="1353"/>
      <c r="GA168" s="1353"/>
      <c r="GB168" s="1353"/>
      <c r="GC168" s="1353"/>
      <c r="GD168" s="1353"/>
      <c r="GE168" s="1353"/>
      <c r="GF168" s="1353"/>
      <c r="GG168" s="1353"/>
      <c r="GH168" s="1353"/>
      <c r="GI168" s="1353"/>
      <c r="GJ168" s="1353"/>
      <c r="GK168" s="1353"/>
      <c r="GL168" s="1353"/>
      <c r="GM168" s="1353"/>
      <c r="GN168" s="1353"/>
      <c r="GO168" s="1353"/>
      <c r="GP168" s="1353"/>
      <c r="GQ168" s="1353"/>
      <c r="GR168" s="1353"/>
      <c r="GS168" s="1353"/>
      <c r="GT168" s="1353"/>
      <c r="GU168" s="1353"/>
      <c r="GV168" s="1353"/>
      <c r="GW168" s="1353"/>
      <c r="GX168" s="1353"/>
      <c r="GY168" s="1353"/>
      <c r="GZ168" s="1353"/>
      <c r="HA168" s="1353"/>
      <c r="HB168" s="1353"/>
      <c r="HC168" s="1353"/>
      <c r="HD168" s="1353"/>
      <c r="HE168" s="1353"/>
      <c r="HF168" s="1353"/>
      <c r="HG168" s="1353"/>
      <c r="HH168" s="1353"/>
      <c r="HI168" s="1353"/>
      <c r="HJ168" s="1353"/>
      <c r="HK168" s="1353"/>
      <c r="HL168" s="1353"/>
      <c r="HM168" s="1353"/>
      <c r="HN168" s="1353"/>
      <c r="HO168" s="1353"/>
      <c r="HP168" s="1353"/>
      <c r="HQ168" s="1353"/>
      <c r="HR168" s="1353"/>
      <c r="HS168" s="1353"/>
      <c r="HT168" s="1353"/>
      <c r="HU168" s="1353"/>
      <c r="HV168" s="1353"/>
      <c r="HW168" s="1353"/>
      <c r="HX168" s="1353"/>
      <c r="HY168" s="1353"/>
      <c r="HZ168" s="1353"/>
      <c r="IA168" s="1353"/>
      <c r="IB168" s="1353"/>
      <c r="IC168" s="1353"/>
      <c r="ID168" s="1353"/>
      <c r="IE168" s="1353"/>
      <c r="IF168" s="1353"/>
      <c r="IG168" s="1353"/>
      <c r="IH168" s="1353"/>
      <c r="II168" s="1353"/>
      <c r="IJ168" s="1353"/>
      <c r="IK168" s="1353"/>
      <c r="IL168" s="1353"/>
      <c r="IM168" s="1353"/>
      <c r="IN168" s="1353"/>
      <c r="IO168" s="1353"/>
      <c r="IP168" s="1353"/>
      <c r="IQ168" s="1353"/>
      <c r="IR168" s="1353"/>
      <c r="IS168" s="1353"/>
      <c r="IT168" s="1353"/>
      <c r="IU168" s="1353"/>
      <c r="IV168" s="1353"/>
      <c r="IW168" s="1353"/>
      <c r="IX168" s="1353"/>
      <c r="IY168" s="1353"/>
      <c r="IZ168" s="1353"/>
      <c r="JA168" s="1353"/>
      <c r="JB168" s="1353"/>
      <c r="JC168" s="1353"/>
      <c r="JD168" s="1353"/>
      <c r="JE168" s="1353"/>
      <c r="JF168" s="1353"/>
      <c r="JG168" s="1353"/>
      <c r="JH168" s="1353"/>
      <c r="JI168" s="1353"/>
      <c r="JJ168" s="1353"/>
      <c r="JK168" s="1353"/>
      <c r="JL168" s="1353"/>
      <c r="JM168" s="1353"/>
      <c r="JN168" s="1353"/>
      <c r="JO168" s="1353"/>
      <c r="JP168" s="1353"/>
      <c r="JQ168" s="1353"/>
      <c r="JR168" s="1353"/>
      <c r="JS168" s="1353"/>
      <c r="JT168" s="1353"/>
      <c r="JU168" s="1353"/>
      <c r="JV168" s="1353"/>
      <c r="JW168" s="1353"/>
      <c r="JX168" s="1353"/>
      <c r="JY168" s="1353"/>
      <c r="JZ168" s="1353"/>
      <c r="KA168" s="1353"/>
      <c r="KB168" s="1353"/>
      <c r="KC168" s="1353"/>
      <c r="KD168" s="1353"/>
      <c r="KE168" s="1353"/>
      <c r="KF168" s="1353"/>
      <c r="KG168" s="1353"/>
      <c r="KH168" s="1353"/>
      <c r="KI168" s="1353"/>
      <c r="KJ168" s="1353"/>
      <c r="KK168" s="1353"/>
    </row>
    <row r="169" ht="14.25" customHeight="1">
      <c r="A169" s="1353"/>
      <c r="B169" s="3010" t="s">
        <v>2977</v>
      </c>
      <c r="C169" s="3011"/>
      <c r="D169" s="3012">
        <v>0</v>
      </c>
      <c r="E169" s="3018"/>
      <c r="F169" s="3018"/>
      <c r="G169" s="3009"/>
      <c r="H169" s="3009"/>
      <c r="I169" s="3009"/>
      <c r="J169" s="3009"/>
      <c r="K169" s="3009"/>
      <c r="L169" s="3009"/>
      <c r="M169" s="3009"/>
      <c r="N169" s="1353"/>
      <c r="O169" s="1353"/>
      <c r="P169" s="1353"/>
      <c r="Q169" s="1353"/>
      <c r="R169" s="1353"/>
      <c r="S169" s="1353"/>
      <c r="T169" s="1353"/>
      <c r="U169" s="1353"/>
      <c r="V169" s="1353"/>
      <c r="W169" s="1353"/>
      <c r="X169" s="1353"/>
      <c r="Y169" s="1353"/>
      <c r="Z169" s="1353"/>
      <c r="AA169" s="1353"/>
      <c r="AB169" s="2993"/>
      <c r="AC169" s="2993"/>
      <c r="AD169" s="2993"/>
      <c r="AE169" s="2993"/>
      <c r="AF169" s="2993"/>
      <c r="AG169" s="2993"/>
      <c r="AH169" s="2993"/>
      <c r="AI169" s="1353"/>
      <c r="AJ169" s="1353"/>
      <c r="AK169" s="1353"/>
      <c r="AL169" s="1353"/>
      <c r="AM169" s="1353"/>
      <c r="AN169" s="1353"/>
      <c r="AO169" s="1353"/>
      <c r="AP169" s="1353"/>
      <c r="AQ169" s="1353"/>
      <c r="AR169" s="1353"/>
      <c r="AS169" s="1353"/>
      <c r="AT169" s="1353"/>
      <c r="AU169" s="1353"/>
      <c r="AV169" s="1353"/>
      <c r="AW169" s="1353"/>
      <c r="AX169" s="1353"/>
      <c r="AY169" s="1353"/>
      <c r="AZ169" s="1353"/>
      <c r="BA169" s="1353"/>
      <c r="BB169" s="1353"/>
      <c r="BC169" s="1353"/>
      <c r="BD169" s="1353"/>
      <c r="BE169" s="1353"/>
      <c r="BF169" s="1353"/>
      <c r="BG169" s="1353"/>
      <c r="BH169" s="1353"/>
      <c r="BI169" s="1353"/>
      <c r="BJ169" s="1353"/>
      <c r="BK169" s="1353"/>
      <c r="BL169" s="1353"/>
      <c r="BM169" s="1353"/>
      <c r="BN169" s="1353"/>
      <c r="BO169" s="1353"/>
      <c r="BP169" s="1353"/>
      <c r="BQ169" s="1353"/>
      <c r="BR169" s="1353"/>
      <c r="BS169" s="1353"/>
      <c r="BT169" s="1353"/>
      <c r="BU169" s="1353"/>
      <c r="BV169" s="1353"/>
      <c r="BW169" s="1353"/>
      <c r="BX169" s="1353"/>
      <c r="BY169" s="1353"/>
      <c r="BZ169" s="1353"/>
      <c r="CA169" s="1353"/>
      <c r="CB169" s="1353"/>
      <c r="CC169" s="1353"/>
      <c r="CD169" s="1353"/>
      <c r="CE169" s="1353"/>
      <c r="CF169" s="1353"/>
      <c r="CG169" s="1353"/>
      <c r="CH169" s="1353"/>
      <c r="CI169" s="1353"/>
      <c r="CJ169" s="1353"/>
      <c r="CK169" s="1353"/>
      <c r="CL169" s="1353"/>
      <c r="CM169" s="1353"/>
      <c r="CN169" s="1353"/>
      <c r="CO169" s="1353"/>
      <c r="CP169" s="1353"/>
      <c r="CQ169" s="1353"/>
      <c r="CR169" s="1353"/>
      <c r="CS169" s="1353"/>
      <c r="CT169" s="1353"/>
      <c r="CU169" s="1353"/>
      <c r="CV169" s="1353"/>
      <c r="CW169" s="1353"/>
      <c r="CX169" s="1353"/>
      <c r="CY169" s="1353"/>
      <c r="CZ169" s="1353"/>
      <c r="DA169" s="1353"/>
      <c r="DB169" s="1353"/>
      <c r="DC169" s="1353"/>
      <c r="DD169" s="1353"/>
      <c r="DE169" s="1353"/>
      <c r="DF169" s="1353"/>
      <c r="DG169" s="1353"/>
      <c r="DH169" s="1353"/>
      <c r="DI169" s="1353"/>
      <c r="DJ169" s="1353"/>
      <c r="DK169" s="1353"/>
      <c r="DL169" s="1353"/>
      <c r="DM169" s="1353"/>
      <c r="DN169" s="1353"/>
      <c r="DO169" s="1353"/>
      <c r="DP169" s="1353"/>
      <c r="DQ169" s="1353"/>
      <c r="DR169" s="1353"/>
      <c r="DS169" s="1353"/>
      <c r="DT169" s="1353"/>
      <c r="DU169" s="1353"/>
      <c r="DV169" s="1353"/>
      <c r="DW169" s="1353"/>
      <c r="DX169" s="1353"/>
      <c r="DY169" s="1353"/>
      <c r="DZ169" s="1353"/>
      <c r="EA169" s="1353"/>
      <c r="EB169" s="1353"/>
      <c r="EC169" s="1353"/>
      <c r="ED169" s="1353"/>
      <c r="EE169" s="1353"/>
      <c r="EF169" s="1353"/>
      <c r="EG169" s="1353"/>
      <c r="EH169" s="1353"/>
      <c r="EI169" s="1353"/>
      <c r="EJ169" s="1353"/>
      <c r="EK169" s="1353"/>
      <c r="EL169" s="1353"/>
      <c r="EM169" s="1353"/>
      <c r="EN169" s="1353"/>
      <c r="EO169" s="1353"/>
      <c r="EP169" s="1353"/>
      <c r="EQ169" s="1353"/>
      <c r="ER169" s="1353"/>
      <c r="ES169" s="1353"/>
      <c r="ET169" s="1353"/>
      <c r="EU169" s="1353"/>
      <c r="EV169" s="1353"/>
      <c r="EW169" s="1353"/>
      <c r="EX169" s="1353"/>
      <c r="EY169" s="1353"/>
      <c r="EZ169" s="1353"/>
      <c r="FA169" s="1353"/>
      <c r="FB169" s="1353"/>
      <c r="FC169" s="1353"/>
      <c r="FD169" s="1353"/>
      <c r="FE169" s="1353"/>
      <c r="FF169" s="1353"/>
      <c r="FG169" s="1353"/>
      <c r="FH169" s="1353"/>
      <c r="FI169" s="1353"/>
      <c r="FJ169" s="1353"/>
      <c r="FK169" s="1353"/>
      <c r="FL169" s="1353"/>
      <c r="FM169" s="1353"/>
      <c r="FN169" s="1353"/>
      <c r="FO169" s="1353"/>
      <c r="FP169" s="1353"/>
      <c r="FQ169" s="1353"/>
      <c r="FR169" s="1353"/>
      <c r="FS169" s="1353"/>
      <c r="FT169" s="1353"/>
      <c r="FU169" s="1353"/>
      <c r="FV169" s="1353"/>
      <c r="FW169" s="1353"/>
      <c r="FX169" s="1353"/>
      <c r="FY169" s="1353"/>
      <c r="FZ169" s="1353"/>
      <c r="GA169" s="1353"/>
      <c r="GB169" s="1353"/>
      <c r="GC169" s="1353"/>
      <c r="GD169" s="1353"/>
      <c r="GE169" s="1353"/>
      <c r="GF169" s="1353"/>
      <c r="GG169" s="1353"/>
      <c r="GH169" s="1353"/>
      <c r="GI169" s="1353"/>
      <c r="GJ169" s="1353"/>
      <c r="GK169" s="1353"/>
      <c r="GL169" s="1353"/>
      <c r="GM169" s="1353"/>
      <c r="GN169" s="1353"/>
      <c r="GO169" s="1353"/>
      <c r="GP169" s="1353"/>
      <c r="GQ169" s="1353"/>
      <c r="GR169" s="1353"/>
      <c r="GS169" s="1353"/>
      <c r="GT169" s="1353"/>
      <c r="GU169" s="1353"/>
      <c r="GV169" s="1353"/>
      <c r="GW169" s="1353"/>
      <c r="GX169" s="1353"/>
      <c r="GY169" s="1353"/>
      <c r="GZ169" s="1353"/>
      <c r="HA169" s="1353"/>
      <c r="HB169" s="1353"/>
      <c r="HC169" s="1353"/>
      <c r="HD169" s="1353"/>
      <c r="HE169" s="1353"/>
      <c r="HF169" s="1353"/>
      <c r="HG169" s="1353"/>
      <c r="HH169" s="1353"/>
      <c r="HI169" s="1353"/>
      <c r="HJ169" s="1353"/>
      <c r="HK169" s="1353"/>
      <c r="HL169" s="1353"/>
      <c r="HM169" s="1353"/>
      <c r="HN169" s="1353"/>
      <c r="HO169" s="1353"/>
      <c r="HP169" s="1353"/>
      <c r="HQ169" s="1353"/>
      <c r="HR169" s="1353"/>
      <c r="HS169" s="1353"/>
      <c r="HT169" s="1353"/>
      <c r="HU169" s="1353"/>
      <c r="HV169" s="1353"/>
      <c r="HW169" s="1353"/>
      <c r="HX169" s="1353"/>
      <c r="HY169" s="1353"/>
      <c r="HZ169" s="1353"/>
      <c r="IA169" s="1353"/>
      <c r="IB169" s="1353"/>
      <c r="IC169" s="1353"/>
      <c r="ID169" s="1353"/>
      <c r="IE169" s="1353"/>
      <c r="IF169" s="1353"/>
      <c r="IG169" s="1353"/>
      <c r="IH169" s="1353"/>
      <c r="II169" s="1353"/>
      <c r="IJ169" s="1353"/>
      <c r="IK169" s="1353"/>
      <c r="IL169" s="1353"/>
      <c r="IM169" s="1353"/>
      <c r="IN169" s="1353"/>
      <c r="IO169" s="1353"/>
      <c r="IP169" s="1353"/>
      <c r="IQ169" s="1353"/>
      <c r="IR169" s="1353"/>
      <c r="IS169" s="1353"/>
      <c r="IT169" s="1353"/>
      <c r="IU169" s="1353"/>
      <c r="IV169" s="1353"/>
      <c r="IW169" s="1353"/>
      <c r="IX169" s="1353"/>
      <c r="IY169" s="1353"/>
      <c r="IZ169" s="1353"/>
      <c r="JA169" s="1353"/>
      <c r="JB169" s="1353"/>
      <c r="JC169" s="1353"/>
      <c r="JD169" s="1353"/>
      <c r="JE169" s="1353"/>
      <c r="JF169" s="1353"/>
      <c r="JG169" s="1353"/>
      <c r="JH169" s="1353"/>
      <c r="JI169" s="1353"/>
      <c r="JJ169" s="1353"/>
      <c r="JK169" s="1353"/>
      <c r="JL169" s="1353"/>
      <c r="JM169" s="1353"/>
      <c r="JN169" s="1353"/>
      <c r="JO169" s="1353"/>
      <c r="JP169" s="1353"/>
      <c r="JQ169" s="1353"/>
      <c r="JR169" s="1353"/>
      <c r="JS169" s="1353"/>
      <c r="JT169" s="1353"/>
      <c r="JU169" s="1353"/>
      <c r="JV169" s="1353"/>
      <c r="JW169" s="1353"/>
      <c r="JX169" s="1353"/>
      <c r="JY169" s="1353"/>
      <c r="JZ169" s="1353"/>
      <c r="KA169" s="1353"/>
      <c r="KB169" s="1353"/>
      <c r="KC169" s="1353"/>
      <c r="KD169" s="1353"/>
      <c r="KE169" s="1353"/>
      <c r="KF169" s="1353"/>
      <c r="KG169" s="1353"/>
      <c r="KH169" s="1353"/>
      <c r="KI169" s="1353"/>
      <c r="KJ169" s="1353"/>
      <c r="KK169" s="1353"/>
    </row>
    <row r="170" ht="14.25" customHeight="1">
      <c r="A170" s="1353"/>
      <c r="B170" s="3010" t="s">
        <v>2978</v>
      </c>
      <c r="C170" s="3011"/>
      <c r="D170" s="3012">
        <v>0</v>
      </c>
      <c r="E170" s="3018"/>
      <c r="F170" s="3018"/>
      <c r="G170" s="3009"/>
      <c r="H170" s="3009"/>
      <c r="I170" s="3009"/>
      <c r="J170" s="3009"/>
      <c r="K170" s="3009"/>
      <c r="L170" s="3009"/>
      <c r="M170" s="3009"/>
      <c r="N170" s="1353"/>
      <c r="O170" s="1353"/>
      <c r="P170" s="1353"/>
      <c r="Q170" s="1353"/>
      <c r="R170" s="1353"/>
      <c r="S170" s="1353"/>
      <c r="T170" s="1353"/>
      <c r="U170" s="1353"/>
      <c r="V170" s="1353"/>
      <c r="W170" s="1353"/>
      <c r="X170" s="1353"/>
      <c r="Y170" s="1353"/>
      <c r="Z170" s="1353"/>
      <c r="AA170" s="1353"/>
      <c r="AB170" s="2993"/>
      <c r="AC170" s="2993"/>
      <c r="AD170" s="2993"/>
      <c r="AE170" s="2993"/>
      <c r="AF170" s="2993"/>
      <c r="AG170" s="2993"/>
      <c r="AH170" s="2993"/>
      <c r="AI170" s="1353"/>
      <c r="AJ170" s="1353"/>
      <c r="AK170" s="1353"/>
      <c r="AL170" s="1353"/>
      <c r="AM170" s="1353"/>
      <c r="AN170" s="1353"/>
      <c r="AO170" s="1353"/>
      <c r="AP170" s="1353"/>
      <c r="AQ170" s="1353"/>
      <c r="AR170" s="1353"/>
      <c r="AS170" s="1353"/>
      <c r="AT170" s="1353"/>
      <c r="AU170" s="1353"/>
      <c r="AV170" s="1353"/>
      <c r="AW170" s="1353"/>
      <c r="AX170" s="1353"/>
      <c r="AY170" s="1353"/>
      <c r="AZ170" s="1353"/>
      <c r="BA170" s="1353"/>
      <c r="BB170" s="1353"/>
      <c r="BC170" s="1353"/>
      <c r="BD170" s="1353"/>
      <c r="BE170" s="1353"/>
      <c r="BF170" s="1353"/>
      <c r="BG170" s="1353"/>
      <c r="BH170" s="1353"/>
      <c r="BI170" s="1353"/>
      <c r="BJ170" s="1353"/>
      <c r="BK170" s="1353"/>
      <c r="BL170" s="1353"/>
      <c r="BM170" s="1353"/>
      <c r="BN170" s="1353"/>
      <c r="BO170" s="1353"/>
      <c r="BP170" s="1353"/>
      <c r="BQ170" s="1353"/>
      <c r="BR170" s="1353"/>
      <c r="BS170" s="1353"/>
      <c r="BT170" s="1353"/>
      <c r="BU170" s="1353"/>
      <c r="BV170" s="1353"/>
      <c r="BW170" s="1353"/>
      <c r="BX170" s="1353"/>
      <c r="BY170" s="1353"/>
      <c r="BZ170" s="1353"/>
      <c r="CA170" s="1353"/>
      <c r="CB170" s="1353"/>
      <c r="CC170" s="1353"/>
      <c r="CD170" s="1353"/>
      <c r="CE170" s="1353"/>
      <c r="CF170" s="1353"/>
      <c r="CG170" s="1353"/>
      <c r="CH170" s="1353"/>
      <c r="CI170" s="1353"/>
      <c r="CJ170" s="1353"/>
      <c r="CK170" s="1353"/>
      <c r="CL170" s="1353"/>
      <c r="CM170" s="1353"/>
      <c r="CN170" s="1353"/>
      <c r="CO170" s="1353"/>
      <c r="CP170" s="1353"/>
      <c r="CQ170" s="1353"/>
      <c r="CR170" s="1353"/>
      <c r="CS170" s="1353"/>
      <c r="CT170" s="1353"/>
      <c r="CU170" s="1353"/>
      <c r="CV170" s="1353"/>
      <c r="CW170" s="1353"/>
      <c r="CX170" s="1353"/>
      <c r="CY170" s="1353"/>
      <c r="CZ170" s="1353"/>
      <c r="DA170" s="1353"/>
      <c r="DB170" s="1353"/>
      <c r="DC170" s="1353"/>
      <c r="DD170" s="1353"/>
      <c r="DE170" s="1353"/>
      <c r="DF170" s="1353"/>
      <c r="DG170" s="1353"/>
      <c r="DH170" s="1353"/>
      <c r="DI170" s="1353"/>
      <c r="DJ170" s="1353"/>
      <c r="DK170" s="1353"/>
      <c r="DL170" s="1353"/>
      <c r="DM170" s="1353"/>
      <c r="DN170" s="1353"/>
      <c r="DO170" s="1353"/>
      <c r="DP170" s="1353"/>
      <c r="DQ170" s="1353"/>
      <c r="DR170" s="1353"/>
      <c r="DS170" s="1353"/>
      <c r="DT170" s="1353"/>
      <c r="DU170" s="1353"/>
      <c r="DV170" s="1353"/>
      <c r="DW170" s="1353"/>
      <c r="DX170" s="1353"/>
      <c r="DY170" s="1353"/>
      <c r="DZ170" s="1353"/>
      <c r="EA170" s="1353"/>
      <c r="EB170" s="1353"/>
      <c r="EC170" s="1353"/>
      <c r="ED170" s="1353"/>
      <c r="EE170" s="1353"/>
      <c r="EF170" s="1353"/>
      <c r="EG170" s="1353"/>
      <c r="EH170" s="1353"/>
      <c r="EI170" s="1353"/>
      <c r="EJ170" s="1353"/>
      <c r="EK170" s="1353"/>
      <c r="EL170" s="1353"/>
      <c r="EM170" s="1353"/>
      <c r="EN170" s="1353"/>
      <c r="EO170" s="1353"/>
      <c r="EP170" s="1353"/>
      <c r="EQ170" s="1353"/>
      <c r="ER170" s="1353"/>
      <c r="ES170" s="1353"/>
      <c r="ET170" s="1353"/>
      <c r="EU170" s="1353"/>
      <c r="EV170" s="1353"/>
      <c r="EW170" s="1353"/>
      <c r="EX170" s="1353"/>
      <c r="EY170" s="1353"/>
      <c r="EZ170" s="1353"/>
      <c r="FA170" s="1353"/>
      <c r="FB170" s="1353"/>
      <c r="FC170" s="1353"/>
      <c r="FD170" s="1353"/>
      <c r="FE170" s="1353"/>
      <c r="FF170" s="1353"/>
      <c r="FG170" s="1353"/>
      <c r="FH170" s="1353"/>
      <c r="FI170" s="1353"/>
      <c r="FJ170" s="1353"/>
      <c r="FK170" s="1353"/>
      <c r="FL170" s="1353"/>
      <c r="FM170" s="1353"/>
      <c r="FN170" s="1353"/>
      <c r="FO170" s="1353"/>
      <c r="FP170" s="1353"/>
      <c r="FQ170" s="1353"/>
      <c r="FR170" s="1353"/>
      <c r="FS170" s="1353"/>
      <c r="FT170" s="1353"/>
      <c r="FU170" s="1353"/>
      <c r="FV170" s="1353"/>
      <c r="FW170" s="1353"/>
      <c r="FX170" s="1353"/>
      <c r="FY170" s="1353"/>
      <c r="FZ170" s="1353"/>
      <c r="GA170" s="1353"/>
      <c r="GB170" s="1353"/>
      <c r="GC170" s="1353"/>
      <c r="GD170" s="1353"/>
      <c r="GE170" s="1353"/>
      <c r="GF170" s="1353"/>
      <c r="GG170" s="1353"/>
      <c r="GH170" s="1353"/>
      <c r="GI170" s="1353"/>
      <c r="GJ170" s="1353"/>
      <c r="GK170" s="1353"/>
      <c r="GL170" s="1353"/>
      <c r="GM170" s="1353"/>
      <c r="GN170" s="1353"/>
      <c r="GO170" s="1353"/>
      <c r="GP170" s="1353"/>
      <c r="GQ170" s="1353"/>
      <c r="GR170" s="1353"/>
      <c r="GS170" s="1353"/>
      <c r="GT170" s="1353"/>
      <c r="GU170" s="1353"/>
      <c r="GV170" s="1353"/>
      <c r="GW170" s="1353"/>
      <c r="GX170" s="1353"/>
      <c r="GY170" s="1353"/>
      <c r="GZ170" s="1353"/>
      <c r="HA170" s="1353"/>
      <c r="HB170" s="1353"/>
      <c r="HC170" s="1353"/>
      <c r="HD170" s="1353"/>
      <c r="HE170" s="1353"/>
      <c r="HF170" s="1353"/>
      <c r="HG170" s="1353"/>
      <c r="HH170" s="1353"/>
      <c r="HI170" s="1353"/>
      <c r="HJ170" s="1353"/>
      <c r="HK170" s="1353"/>
      <c r="HL170" s="1353"/>
      <c r="HM170" s="1353"/>
      <c r="HN170" s="1353"/>
      <c r="HO170" s="1353"/>
      <c r="HP170" s="1353"/>
      <c r="HQ170" s="1353"/>
      <c r="HR170" s="1353"/>
      <c r="HS170" s="1353"/>
      <c r="HT170" s="1353"/>
      <c r="HU170" s="1353"/>
      <c r="HV170" s="1353"/>
      <c r="HW170" s="1353"/>
      <c r="HX170" s="1353"/>
      <c r="HY170" s="1353"/>
      <c r="HZ170" s="1353"/>
      <c r="IA170" s="1353"/>
      <c r="IB170" s="1353"/>
      <c r="IC170" s="1353"/>
      <c r="ID170" s="1353"/>
      <c r="IE170" s="1353"/>
      <c r="IF170" s="1353"/>
      <c r="IG170" s="1353"/>
      <c r="IH170" s="1353"/>
      <c r="II170" s="1353"/>
      <c r="IJ170" s="1353"/>
      <c r="IK170" s="1353"/>
      <c r="IL170" s="1353"/>
      <c r="IM170" s="1353"/>
      <c r="IN170" s="1353"/>
      <c r="IO170" s="1353"/>
      <c r="IP170" s="1353"/>
      <c r="IQ170" s="1353"/>
      <c r="IR170" s="1353"/>
      <c r="IS170" s="1353"/>
      <c r="IT170" s="1353"/>
      <c r="IU170" s="1353"/>
      <c r="IV170" s="1353"/>
      <c r="IW170" s="1353"/>
      <c r="IX170" s="1353"/>
      <c r="IY170" s="1353"/>
      <c r="IZ170" s="1353"/>
      <c r="JA170" s="1353"/>
      <c r="JB170" s="1353"/>
      <c r="JC170" s="1353"/>
      <c r="JD170" s="1353"/>
      <c r="JE170" s="1353"/>
      <c r="JF170" s="1353"/>
      <c r="JG170" s="1353"/>
      <c r="JH170" s="1353"/>
      <c r="JI170" s="1353"/>
      <c r="JJ170" s="1353"/>
      <c r="JK170" s="1353"/>
      <c r="JL170" s="1353"/>
      <c r="JM170" s="1353"/>
      <c r="JN170" s="1353"/>
      <c r="JO170" s="1353"/>
      <c r="JP170" s="1353"/>
      <c r="JQ170" s="1353"/>
      <c r="JR170" s="1353"/>
      <c r="JS170" s="1353"/>
      <c r="JT170" s="1353"/>
      <c r="JU170" s="1353"/>
      <c r="JV170" s="1353"/>
      <c r="JW170" s="1353"/>
      <c r="JX170" s="1353"/>
      <c r="JY170" s="1353"/>
      <c r="JZ170" s="1353"/>
      <c r="KA170" s="1353"/>
      <c r="KB170" s="1353"/>
      <c r="KC170" s="1353"/>
      <c r="KD170" s="1353"/>
      <c r="KE170" s="1353"/>
      <c r="KF170" s="1353"/>
      <c r="KG170" s="1353"/>
      <c r="KH170" s="1353"/>
      <c r="KI170" s="1353"/>
      <c r="KJ170" s="1353"/>
      <c r="KK170" s="1353"/>
    </row>
    <row r="171" ht="14.25" customHeight="1">
      <c r="A171" s="1353"/>
      <c r="B171" s="3010" t="s">
        <v>2979</v>
      </c>
      <c r="C171" s="3011"/>
      <c r="D171" s="3012">
        <v>0</v>
      </c>
      <c r="E171" s="3017"/>
      <c r="F171" s="3017"/>
      <c r="G171" s="3009"/>
      <c r="H171" s="3009"/>
      <c r="I171" s="3009"/>
      <c r="J171" s="3009"/>
      <c r="K171" s="3009"/>
      <c r="L171" s="3009"/>
      <c r="M171" s="3009"/>
      <c r="N171" s="1353"/>
      <c r="O171" s="1353"/>
      <c r="P171" s="1353"/>
      <c r="Q171" s="1353"/>
      <c r="R171" s="1353"/>
      <c r="S171" s="1353"/>
      <c r="T171" s="1353"/>
      <c r="U171" s="1353"/>
      <c r="V171" s="1353"/>
      <c r="W171" s="1353"/>
      <c r="X171" s="1353"/>
      <c r="Y171" s="1353"/>
      <c r="Z171" s="1353"/>
      <c r="AA171" s="1353"/>
      <c r="AB171" s="2993"/>
      <c r="AC171" s="2993"/>
      <c r="AD171" s="2993"/>
      <c r="AE171" s="2993"/>
      <c r="AF171" s="2993"/>
      <c r="AG171" s="2993"/>
      <c r="AH171" s="2993"/>
      <c r="AI171" s="1353"/>
      <c r="AJ171" s="1353"/>
      <c r="AK171" s="1353"/>
      <c r="AL171" s="1353"/>
      <c r="AM171" s="1353"/>
      <c r="AN171" s="1353"/>
      <c r="AO171" s="1353"/>
      <c r="AP171" s="1353"/>
      <c r="AQ171" s="1353"/>
      <c r="AR171" s="1353"/>
      <c r="AS171" s="1353"/>
      <c r="AT171" s="1353"/>
      <c r="AU171" s="1353"/>
      <c r="AV171" s="1353"/>
      <c r="AW171" s="1353"/>
      <c r="AX171" s="1353"/>
      <c r="AY171" s="1353"/>
      <c r="AZ171" s="1353"/>
      <c r="BA171" s="1353"/>
      <c r="BB171" s="1353"/>
      <c r="BC171" s="1353"/>
      <c r="BD171" s="1353"/>
      <c r="BE171" s="1353"/>
      <c r="BF171" s="1353"/>
      <c r="BG171" s="1353"/>
      <c r="BH171" s="1353"/>
      <c r="BI171" s="1353"/>
      <c r="BJ171" s="1353"/>
      <c r="BK171" s="1353"/>
      <c r="BL171" s="1353"/>
      <c r="BM171" s="1353"/>
      <c r="BN171" s="1353"/>
      <c r="BO171" s="1353"/>
      <c r="BP171" s="1353"/>
      <c r="BQ171" s="1353"/>
      <c r="BR171" s="1353"/>
      <c r="BS171" s="1353"/>
      <c r="BT171" s="1353"/>
      <c r="BU171" s="1353"/>
      <c r="BV171" s="1353"/>
      <c r="BW171" s="1353"/>
      <c r="BX171" s="1353"/>
      <c r="BY171" s="1353"/>
      <c r="BZ171" s="1353"/>
      <c r="CA171" s="1353"/>
      <c r="CB171" s="1353"/>
      <c r="CC171" s="1353"/>
      <c r="CD171" s="1353"/>
      <c r="CE171" s="1353"/>
      <c r="CF171" s="1353"/>
      <c r="CG171" s="1353"/>
      <c r="CH171" s="1353"/>
      <c r="CI171" s="1353"/>
      <c r="CJ171" s="1353"/>
      <c r="CK171" s="1353"/>
      <c r="CL171" s="1353"/>
      <c r="CM171" s="1353"/>
      <c r="CN171" s="1353"/>
      <c r="CO171" s="1353"/>
      <c r="CP171" s="1353"/>
      <c r="CQ171" s="1353"/>
      <c r="CR171" s="1353"/>
      <c r="CS171" s="1353"/>
      <c r="CT171" s="1353"/>
      <c r="CU171" s="1353"/>
      <c r="CV171" s="1353"/>
      <c r="CW171" s="1353"/>
      <c r="CX171" s="1353"/>
      <c r="CY171" s="1353"/>
      <c r="CZ171" s="1353"/>
      <c r="DA171" s="1353"/>
      <c r="DB171" s="1353"/>
      <c r="DC171" s="1353"/>
      <c r="DD171" s="1353"/>
      <c r="DE171" s="1353"/>
      <c r="DF171" s="1353"/>
      <c r="DG171" s="1353"/>
      <c r="DH171" s="1353"/>
      <c r="DI171" s="1353"/>
      <c r="DJ171" s="1353"/>
      <c r="DK171" s="1353"/>
      <c r="DL171" s="1353"/>
      <c r="DM171" s="1353"/>
      <c r="DN171" s="1353"/>
      <c r="DO171" s="1353"/>
      <c r="DP171" s="1353"/>
      <c r="DQ171" s="1353"/>
      <c r="DR171" s="1353"/>
      <c r="DS171" s="1353"/>
      <c r="DT171" s="1353"/>
      <c r="DU171" s="1353"/>
      <c r="DV171" s="1353"/>
      <c r="DW171" s="1353"/>
      <c r="DX171" s="1353"/>
      <c r="DY171" s="1353"/>
      <c r="DZ171" s="1353"/>
      <c r="EA171" s="1353"/>
      <c r="EB171" s="1353"/>
      <c r="EC171" s="1353"/>
      <c r="ED171" s="1353"/>
      <c r="EE171" s="1353"/>
      <c r="EF171" s="1353"/>
      <c r="EG171" s="1353"/>
      <c r="EH171" s="1353"/>
      <c r="EI171" s="1353"/>
      <c r="EJ171" s="1353"/>
      <c r="EK171" s="1353"/>
      <c r="EL171" s="1353"/>
      <c r="EM171" s="1353"/>
      <c r="EN171" s="1353"/>
      <c r="EO171" s="1353"/>
      <c r="EP171" s="1353"/>
      <c r="EQ171" s="1353"/>
      <c r="ER171" s="1353"/>
      <c r="ES171" s="1353"/>
      <c r="ET171" s="1353"/>
      <c r="EU171" s="1353"/>
      <c r="EV171" s="1353"/>
      <c r="EW171" s="1353"/>
      <c r="EX171" s="1353"/>
      <c r="EY171" s="1353"/>
      <c r="EZ171" s="1353"/>
      <c r="FA171" s="1353"/>
      <c r="FB171" s="1353"/>
      <c r="FC171" s="1353"/>
      <c r="FD171" s="1353"/>
      <c r="FE171" s="1353"/>
      <c r="FF171" s="1353"/>
      <c r="FG171" s="1353"/>
      <c r="FH171" s="1353"/>
      <c r="FI171" s="1353"/>
      <c r="FJ171" s="1353"/>
      <c r="FK171" s="1353"/>
      <c r="FL171" s="1353"/>
      <c r="FM171" s="1353"/>
      <c r="FN171" s="1353"/>
      <c r="FO171" s="1353"/>
      <c r="FP171" s="1353"/>
      <c r="FQ171" s="1353"/>
      <c r="FR171" s="1353"/>
      <c r="FS171" s="1353"/>
      <c r="FT171" s="1353"/>
      <c r="FU171" s="1353"/>
      <c r="FV171" s="1353"/>
      <c r="FW171" s="1353"/>
      <c r="FX171" s="1353"/>
      <c r="FY171" s="1353"/>
      <c r="FZ171" s="1353"/>
      <c r="GA171" s="1353"/>
      <c r="GB171" s="1353"/>
      <c r="GC171" s="1353"/>
      <c r="GD171" s="1353"/>
      <c r="GE171" s="1353"/>
      <c r="GF171" s="1353"/>
      <c r="GG171" s="1353"/>
      <c r="GH171" s="1353"/>
      <c r="GI171" s="1353"/>
      <c r="GJ171" s="1353"/>
      <c r="GK171" s="1353"/>
      <c r="GL171" s="1353"/>
      <c r="GM171" s="1353"/>
      <c r="GN171" s="1353"/>
      <c r="GO171" s="1353"/>
      <c r="GP171" s="1353"/>
      <c r="GQ171" s="1353"/>
      <c r="GR171" s="1353"/>
      <c r="GS171" s="1353"/>
      <c r="GT171" s="1353"/>
      <c r="GU171" s="1353"/>
      <c r="GV171" s="1353"/>
      <c r="GW171" s="1353"/>
      <c r="GX171" s="1353"/>
      <c r="GY171" s="1353"/>
      <c r="GZ171" s="1353"/>
      <c r="HA171" s="1353"/>
      <c r="HB171" s="1353"/>
      <c r="HC171" s="1353"/>
      <c r="HD171" s="1353"/>
      <c r="HE171" s="1353"/>
      <c r="HF171" s="1353"/>
      <c r="HG171" s="1353"/>
      <c r="HH171" s="1353"/>
      <c r="HI171" s="1353"/>
      <c r="HJ171" s="1353"/>
      <c r="HK171" s="1353"/>
      <c r="HL171" s="1353"/>
      <c r="HM171" s="1353"/>
      <c r="HN171" s="1353"/>
      <c r="HO171" s="1353"/>
      <c r="HP171" s="1353"/>
      <c r="HQ171" s="1353"/>
      <c r="HR171" s="1353"/>
      <c r="HS171" s="1353"/>
      <c r="HT171" s="1353"/>
      <c r="HU171" s="1353"/>
      <c r="HV171" s="1353"/>
      <c r="HW171" s="1353"/>
      <c r="HX171" s="1353"/>
      <c r="HY171" s="1353"/>
      <c r="HZ171" s="1353"/>
      <c r="IA171" s="1353"/>
      <c r="IB171" s="1353"/>
      <c r="IC171" s="1353"/>
      <c r="ID171" s="1353"/>
      <c r="IE171" s="1353"/>
      <c r="IF171" s="1353"/>
      <c r="IG171" s="1353"/>
      <c r="IH171" s="1353"/>
      <c r="II171" s="1353"/>
      <c r="IJ171" s="1353"/>
      <c r="IK171" s="1353"/>
      <c r="IL171" s="1353"/>
      <c r="IM171" s="1353"/>
      <c r="IN171" s="1353"/>
      <c r="IO171" s="1353"/>
      <c r="IP171" s="1353"/>
      <c r="IQ171" s="1353"/>
      <c r="IR171" s="1353"/>
      <c r="IS171" s="1353"/>
      <c r="IT171" s="1353"/>
      <c r="IU171" s="1353"/>
      <c r="IV171" s="1353"/>
      <c r="IW171" s="1353"/>
      <c r="IX171" s="1353"/>
      <c r="IY171" s="1353"/>
      <c r="IZ171" s="1353"/>
      <c r="JA171" s="1353"/>
      <c r="JB171" s="1353"/>
      <c r="JC171" s="1353"/>
      <c r="JD171" s="1353"/>
      <c r="JE171" s="1353"/>
      <c r="JF171" s="1353"/>
      <c r="JG171" s="1353"/>
      <c r="JH171" s="1353"/>
      <c r="JI171" s="1353"/>
      <c r="JJ171" s="1353"/>
      <c r="JK171" s="1353"/>
      <c r="JL171" s="1353"/>
      <c r="JM171" s="1353"/>
      <c r="JN171" s="1353"/>
      <c r="JO171" s="1353"/>
      <c r="JP171" s="1353"/>
      <c r="JQ171" s="1353"/>
      <c r="JR171" s="1353"/>
      <c r="JS171" s="1353"/>
      <c r="JT171" s="1353"/>
      <c r="JU171" s="1353"/>
      <c r="JV171" s="1353"/>
      <c r="JW171" s="1353"/>
      <c r="JX171" s="1353"/>
      <c r="JY171" s="1353"/>
      <c r="JZ171" s="1353"/>
      <c r="KA171" s="1353"/>
      <c r="KB171" s="1353"/>
      <c r="KC171" s="1353"/>
      <c r="KD171" s="1353"/>
      <c r="KE171" s="1353"/>
      <c r="KF171" s="1353"/>
      <c r="KG171" s="1353"/>
      <c r="KH171" s="1353"/>
      <c r="KI171" s="1353"/>
      <c r="KJ171" s="1353"/>
      <c r="KK171" s="1353"/>
    </row>
    <row r="172" ht="14.25" customHeight="1">
      <c r="A172" s="1353"/>
      <c r="B172" s="3010" t="s">
        <v>2980</v>
      </c>
      <c r="C172" s="3011"/>
      <c r="D172" s="3019">
        <f>E172*(12*H155)</f>
        <v>0</v>
      </c>
      <c r="E172" s="3017">
        <v>0.05</v>
      </c>
      <c r="F172" s="3017"/>
      <c r="G172" s="3009" t="s">
        <v>2981</v>
      </c>
      <c r="H172" s="3009"/>
      <c r="I172" s="3009"/>
      <c r="J172" s="3009"/>
      <c r="K172" s="3009"/>
      <c r="L172" s="3009"/>
      <c r="M172" s="3009"/>
      <c r="N172" s="1353"/>
      <c r="O172" s="1353"/>
      <c r="P172" s="1353"/>
      <c r="Q172" s="1353"/>
      <c r="R172" s="1353"/>
      <c r="S172" s="1353"/>
      <c r="T172" s="1353"/>
      <c r="U172" s="1353"/>
      <c r="V172" s="1353"/>
      <c r="W172" s="1353"/>
      <c r="X172" s="1353"/>
      <c r="Y172" s="1353"/>
      <c r="Z172" s="1353"/>
      <c r="AA172" s="1353"/>
      <c r="AB172" s="2993"/>
      <c r="AC172" s="2993"/>
      <c r="AD172" s="2993"/>
      <c r="AE172" s="2993"/>
      <c r="AF172" s="2993"/>
      <c r="AG172" s="2993"/>
      <c r="AH172" s="2993"/>
      <c r="AI172" s="1353"/>
      <c r="AJ172" s="1353"/>
      <c r="AK172" s="1353"/>
      <c r="AL172" s="1353"/>
      <c r="AM172" s="1353"/>
      <c r="AN172" s="1353"/>
      <c r="AO172" s="1353"/>
      <c r="AP172" s="1353"/>
      <c r="AQ172" s="1353"/>
      <c r="AR172" s="1353"/>
      <c r="AS172" s="1353"/>
      <c r="AT172" s="1353"/>
      <c r="AU172" s="1353"/>
      <c r="AV172" s="1353"/>
      <c r="AW172" s="1353"/>
      <c r="AX172" s="1353"/>
      <c r="AY172" s="1353"/>
      <c r="AZ172" s="1353"/>
      <c r="BA172" s="1353"/>
      <c r="BB172" s="1353"/>
      <c r="BC172" s="1353"/>
      <c r="BD172" s="1353"/>
      <c r="BE172" s="1353"/>
      <c r="BF172" s="1353"/>
      <c r="BG172" s="1353"/>
      <c r="BH172" s="1353"/>
      <c r="BI172" s="1353"/>
      <c r="BJ172" s="1353"/>
      <c r="BK172" s="1353"/>
      <c r="BL172" s="1353"/>
      <c r="BM172" s="1353"/>
      <c r="BN172" s="1353"/>
      <c r="BO172" s="1353"/>
      <c r="BP172" s="1353"/>
      <c r="BQ172" s="1353"/>
      <c r="BR172" s="1353"/>
      <c r="BS172" s="1353"/>
      <c r="BT172" s="1353"/>
      <c r="BU172" s="1353"/>
      <c r="BV172" s="1353"/>
      <c r="BW172" s="1353"/>
      <c r="BX172" s="1353"/>
      <c r="BY172" s="1353"/>
      <c r="BZ172" s="1353"/>
      <c r="CA172" s="1353"/>
      <c r="CB172" s="1353"/>
      <c r="CC172" s="1353"/>
      <c r="CD172" s="1353"/>
      <c r="CE172" s="1353"/>
      <c r="CF172" s="1353"/>
      <c r="CG172" s="1353"/>
      <c r="CH172" s="1353"/>
      <c r="CI172" s="1353"/>
      <c r="CJ172" s="1353"/>
      <c r="CK172" s="1353"/>
      <c r="CL172" s="1353"/>
      <c r="CM172" s="1353"/>
      <c r="CN172" s="1353"/>
      <c r="CO172" s="1353"/>
      <c r="CP172" s="1353"/>
      <c r="CQ172" s="1353"/>
      <c r="CR172" s="1353"/>
      <c r="CS172" s="1353"/>
      <c r="CT172" s="1353"/>
      <c r="CU172" s="1353"/>
      <c r="CV172" s="1353"/>
      <c r="CW172" s="1353"/>
      <c r="CX172" s="1353"/>
      <c r="CY172" s="1353"/>
      <c r="CZ172" s="1353"/>
      <c r="DA172" s="1353"/>
      <c r="DB172" s="1353"/>
      <c r="DC172" s="1353"/>
      <c r="DD172" s="1353"/>
      <c r="DE172" s="1353"/>
      <c r="DF172" s="1353"/>
      <c r="DG172" s="1353"/>
      <c r="DH172" s="1353"/>
      <c r="DI172" s="1353"/>
      <c r="DJ172" s="1353"/>
      <c r="DK172" s="1353"/>
      <c r="DL172" s="1353"/>
      <c r="DM172" s="1353"/>
      <c r="DN172" s="1353"/>
      <c r="DO172" s="1353"/>
      <c r="DP172" s="1353"/>
      <c r="DQ172" s="1353"/>
      <c r="DR172" s="1353"/>
      <c r="DS172" s="1353"/>
      <c r="DT172" s="1353"/>
      <c r="DU172" s="1353"/>
      <c r="DV172" s="1353"/>
      <c r="DW172" s="1353"/>
      <c r="DX172" s="1353"/>
      <c r="DY172" s="1353"/>
      <c r="DZ172" s="1353"/>
      <c r="EA172" s="1353"/>
      <c r="EB172" s="1353"/>
      <c r="EC172" s="1353"/>
      <c r="ED172" s="1353"/>
      <c r="EE172" s="1353"/>
      <c r="EF172" s="1353"/>
      <c r="EG172" s="1353"/>
      <c r="EH172" s="1353"/>
      <c r="EI172" s="1353"/>
      <c r="EJ172" s="1353"/>
      <c r="EK172" s="1353"/>
      <c r="EL172" s="1353"/>
      <c r="EM172" s="1353"/>
      <c r="EN172" s="1353"/>
      <c r="EO172" s="1353"/>
      <c r="EP172" s="1353"/>
      <c r="EQ172" s="1353"/>
      <c r="ER172" s="1353"/>
      <c r="ES172" s="1353"/>
      <c r="ET172" s="1353"/>
      <c r="EU172" s="1353"/>
      <c r="EV172" s="1353"/>
      <c r="EW172" s="1353"/>
      <c r="EX172" s="1353"/>
      <c r="EY172" s="1353"/>
      <c r="EZ172" s="1353"/>
      <c r="FA172" s="1353"/>
      <c r="FB172" s="1353"/>
      <c r="FC172" s="1353"/>
      <c r="FD172" s="1353"/>
      <c r="FE172" s="1353"/>
      <c r="FF172" s="1353"/>
      <c r="FG172" s="1353"/>
      <c r="FH172" s="1353"/>
      <c r="FI172" s="1353"/>
      <c r="FJ172" s="1353"/>
      <c r="FK172" s="1353"/>
      <c r="FL172" s="1353"/>
      <c r="FM172" s="1353"/>
      <c r="FN172" s="1353"/>
      <c r="FO172" s="1353"/>
      <c r="FP172" s="1353"/>
      <c r="FQ172" s="1353"/>
      <c r="FR172" s="1353"/>
      <c r="FS172" s="1353"/>
      <c r="FT172" s="1353"/>
      <c r="FU172" s="1353"/>
      <c r="FV172" s="1353"/>
      <c r="FW172" s="1353"/>
      <c r="FX172" s="1353"/>
      <c r="FY172" s="1353"/>
      <c r="FZ172" s="1353"/>
      <c r="GA172" s="1353"/>
      <c r="GB172" s="1353"/>
      <c r="GC172" s="1353"/>
      <c r="GD172" s="1353"/>
      <c r="GE172" s="1353"/>
      <c r="GF172" s="1353"/>
      <c r="GG172" s="1353"/>
      <c r="GH172" s="1353"/>
      <c r="GI172" s="1353"/>
      <c r="GJ172" s="1353"/>
      <c r="GK172" s="1353"/>
      <c r="GL172" s="1353"/>
      <c r="GM172" s="1353"/>
      <c r="GN172" s="1353"/>
      <c r="GO172" s="1353"/>
      <c r="GP172" s="1353"/>
      <c r="GQ172" s="1353"/>
      <c r="GR172" s="1353"/>
      <c r="GS172" s="1353"/>
      <c r="GT172" s="1353"/>
      <c r="GU172" s="1353"/>
      <c r="GV172" s="1353"/>
      <c r="GW172" s="1353"/>
      <c r="GX172" s="1353"/>
      <c r="GY172" s="1353"/>
      <c r="GZ172" s="1353"/>
      <c r="HA172" s="1353"/>
      <c r="HB172" s="1353"/>
      <c r="HC172" s="1353"/>
      <c r="HD172" s="1353"/>
      <c r="HE172" s="1353"/>
      <c r="HF172" s="1353"/>
      <c r="HG172" s="1353"/>
      <c r="HH172" s="1353"/>
      <c r="HI172" s="1353"/>
      <c r="HJ172" s="1353"/>
      <c r="HK172" s="1353"/>
      <c r="HL172" s="1353"/>
      <c r="HM172" s="1353"/>
      <c r="HN172" s="1353"/>
      <c r="HO172" s="1353"/>
      <c r="HP172" s="1353"/>
      <c r="HQ172" s="1353"/>
      <c r="HR172" s="1353"/>
      <c r="HS172" s="1353"/>
      <c r="HT172" s="1353"/>
      <c r="HU172" s="1353"/>
      <c r="HV172" s="1353"/>
      <c r="HW172" s="1353"/>
      <c r="HX172" s="1353"/>
      <c r="HY172" s="1353"/>
      <c r="HZ172" s="1353"/>
      <c r="IA172" s="1353"/>
      <c r="IB172" s="1353"/>
      <c r="IC172" s="1353"/>
      <c r="ID172" s="1353"/>
      <c r="IE172" s="1353"/>
      <c r="IF172" s="1353"/>
      <c r="IG172" s="1353"/>
      <c r="IH172" s="1353"/>
      <c r="II172" s="1353"/>
      <c r="IJ172" s="1353"/>
      <c r="IK172" s="1353"/>
      <c r="IL172" s="1353"/>
      <c r="IM172" s="1353"/>
      <c r="IN172" s="1353"/>
      <c r="IO172" s="1353"/>
      <c r="IP172" s="1353"/>
      <c r="IQ172" s="1353"/>
      <c r="IR172" s="1353"/>
      <c r="IS172" s="1353"/>
      <c r="IT172" s="1353"/>
      <c r="IU172" s="1353"/>
      <c r="IV172" s="1353"/>
      <c r="IW172" s="1353"/>
      <c r="IX172" s="1353"/>
      <c r="IY172" s="1353"/>
      <c r="IZ172" s="1353"/>
      <c r="JA172" s="1353"/>
      <c r="JB172" s="1353"/>
      <c r="JC172" s="1353"/>
      <c r="JD172" s="1353"/>
      <c r="JE172" s="1353"/>
      <c r="JF172" s="1353"/>
      <c r="JG172" s="1353"/>
      <c r="JH172" s="1353"/>
      <c r="JI172" s="1353"/>
      <c r="JJ172" s="1353"/>
      <c r="JK172" s="1353"/>
      <c r="JL172" s="1353"/>
      <c r="JM172" s="1353"/>
      <c r="JN172" s="1353"/>
      <c r="JO172" s="1353"/>
      <c r="JP172" s="1353"/>
      <c r="JQ172" s="1353"/>
      <c r="JR172" s="1353"/>
      <c r="JS172" s="1353"/>
      <c r="JT172" s="1353"/>
      <c r="JU172" s="1353"/>
      <c r="JV172" s="1353"/>
      <c r="JW172" s="1353"/>
      <c r="JX172" s="1353"/>
      <c r="JY172" s="1353"/>
      <c r="JZ172" s="1353"/>
      <c r="KA172" s="1353"/>
      <c r="KB172" s="1353"/>
      <c r="KC172" s="1353"/>
      <c r="KD172" s="1353"/>
      <c r="KE172" s="1353"/>
      <c r="KF172" s="1353"/>
      <c r="KG172" s="1353"/>
      <c r="KH172" s="1353"/>
      <c r="KI172" s="1353"/>
      <c r="KJ172" s="1353"/>
      <c r="KK172" s="1353"/>
    </row>
    <row r="173" ht="14.25" customHeight="1">
      <c r="A173" s="1353"/>
      <c r="B173" s="3010" t="s">
        <v>2982</v>
      </c>
      <c r="C173" s="3011"/>
      <c r="D173" s="3019">
        <f>E173*D155</f>
        <v>0</v>
      </c>
      <c r="E173" s="3020">
        <v>1</v>
      </c>
      <c r="F173" s="3020"/>
      <c r="G173" s="3009"/>
      <c r="H173" s="3009"/>
      <c r="I173" s="3009"/>
      <c r="J173" s="3009"/>
      <c r="K173" s="3009"/>
      <c r="L173" s="3009"/>
      <c r="M173" s="3009"/>
      <c r="N173" s="1353"/>
      <c r="O173" s="1353"/>
      <c r="P173" s="1353"/>
      <c r="Q173" s="1353"/>
      <c r="R173" s="1353"/>
      <c r="S173" s="1353"/>
      <c r="T173" s="1353"/>
      <c r="U173" s="1353"/>
      <c r="V173" s="1353"/>
      <c r="W173" s="1353"/>
      <c r="X173" s="1353"/>
      <c r="Y173" s="1353"/>
      <c r="Z173" s="1353"/>
      <c r="AA173" s="1353"/>
      <c r="AB173" s="2993"/>
      <c r="AC173" s="2993"/>
      <c r="AD173" s="2993"/>
      <c r="AE173" s="2993"/>
      <c r="AF173" s="2993"/>
      <c r="AG173" s="2993"/>
      <c r="AH173" s="2993"/>
      <c r="AI173" s="1353"/>
      <c r="AJ173" s="1353"/>
      <c r="AK173" s="1353"/>
      <c r="AL173" s="1353"/>
      <c r="AM173" s="1353"/>
      <c r="AN173" s="1353"/>
      <c r="AO173" s="1353"/>
      <c r="AP173" s="1353"/>
      <c r="AQ173" s="1353"/>
      <c r="AR173" s="1353"/>
      <c r="AS173" s="1353"/>
      <c r="AT173" s="1353"/>
      <c r="AU173" s="1353"/>
      <c r="AV173" s="1353"/>
      <c r="AW173" s="1353"/>
      <c r="AX173" s="1353"/>
      <c r="AY173" s="1353"/>
      <c r="AZ173" s="1353"/>
      <c r="BA173" s="1353"/>
      <c r="BB173" s="1353"/>
      <c r="BC173" s="1353"/>
      <c r="BD173" s="1353"/>
      <c r="BE173" s="1353"/>
      <c r="BF173" s="1353"/>
      <c r="BG173" s="1353"/>
      <c r="BH173" s="1353"/>
      <c r="BI173" s="1353"/>
      <c r="BJ173" s="1353"/>
      <c r="BK173" s="1353"/>
      <c r="BL173" s="1353"/>
      <c r="BM173" s="1353"/>
      <c r="BN173" s="1353"/>
      <c r="BO173" s="1353"/>
      <c r="BP173" s="1353"/>
      <c r="BQ173" s="1353"/>
      <c r="BR173" s="1353"/>
      <c r="BS173" s="1353"/>
      <c r="BT173" s="1353"/>
      <c r="BU173" s="1353"/>
      <c r="BV173" s="1353"/>
      <c r="BW173" s="1353"/>
      <c r="BX173" s="1353"/>
      <c r="BY173" s="1353"/>
      <c r="BZ173" s="1353"/>
      <c r="CA173" s="1353"/>
      <c r="CB173" s="1353"/>
      <c r="CC173" s="1353"/>
      <c r="CD173" s="1353"/>
      <c r="CE173" s="1353"/>
      <c r="CF173" s="1353"/>
      <c r="CG173" s="1353"/>
      <c r="CH173" s="1353"/>
      <c r="CI173" s="1353"/>
      <c r="CJ173" s="1353"/>
      <c r="CK173" s="1353"/>
      <c r="CL173" s="1353"/>
      <c r="CM173" s="1353"/>
      <c r="CN173" s="1353"/>
      <c r="CO173" s="1353"/>
      <c r="CP173" s="1353"/>
      <c r="CQ173" s="1353"/>
      <c r="CR173" s="1353"/>
      <c r="CS173" s="1353"/>
      <c r="CT173" s="1353"/>
      <c r="CU173" s="1353"/>
      <c r="CV173" s="1353"/>
      <c r="CW173" s="1353"/>
      <c r="CX173" s="1353"/>
      <c r="CY173" s="1353"/>
      <c r="CZ173" s="1353"/>
      <c r="DA173" s="1353"/>
      <c r="DB173" s="1353"/>
      <c r="DC173" s="1353"/>
      <c r="DD173" s="1353"/>
      <c r="DE173" s="1353"/>
      <c r="DF173" s="1353"/>
      <c r="DG173" s="1353"/>
      <c r="DH173" s="1353"/>
      <c r="DI173" s="1353"/>
      <c r="DJ173" s="1353"/>
      <c r="DK173" s="1353"/>
      <c r="DL173" s="1353"/>
      <c r="DM173" s="1353"/>
      <c r="DN173" s="1353"/>
      <c r="DO173" s="1353"/>
      <c r="DP173" s="1353"/>
      <c r="DQ173" s="1353"/>
      <c r="DR173" s="1353"/>
      <c r="DS173" s="1353"/>
      <c r="DT173" s="1353"/>
      <c r="DU173" s="1353"/>
      <c r="DV173" s="1353"/>
      <c r="DW173" s="1353"/>
      <c r="DX173" s="1353"/>
      <c r="DY173" s="1353"/>
      <c r="DZ173" s="1353"/>
      <c r="EA173" s="1353"/>
      <c r="EB173" s="1353"/>
      <c r="EC173" s="1353"/>
      <c r="ED173" s="1353"/>
      <c r="EE173" s="1353"/>
      <c r="EF173" s="1353"/>
      <c r="EG173" s="1353"/>
      <c r="EH173" s="1353"/>
      <c r="EI173" s="1353"/>
      <c r="EJ173" s="1353"/>
      <c r="EK173" s="1353"/>
      <c r="EL173" s="1353"/>
      <c r="EM173" s="1353"/>
      <c r="EN173" s="1353"/>
      <c r="EO173" s="1353"/>
      <c r="EP173" s="1353"/>
      <c r="EQ173" s="1353"/>
      <c r="ER173" s="1353"/>
      <c r="ES173" s="1353"/>
      <c r="ET173" s="1353"/>
      <c r="EU173" s="1353"/>
      <c r="EV173" s="1353"/>
      <c r="EW173" s="1353"/>
      <c r="EX173" s="1353"/>
      <c r="EY173" s="1353"/>
      <c r="EZ173" s="1353"/>
      <c r="FA173" s="1353"/>
      <c r="FB173" s="1353"/>
      <c r="FC173" s="1353"/>
      <c r="FD173" s="1353"/>
      <c r="FE173" s="1353"/>
      <c r="FF173" s="1353"/>
      <c r="FG173" s="1353"/>
      <c r="FH173" s="1353"/>
      <c r="FI173" s="1353"/>
      <c r="FJ173" s="1353"/>
      <c r="FK173" s="1353"/>
      <c r="FL173" s="1353"/>
      <c r="FM173" s="1353"/>
      <c r="FN173" s="1353"/>
      <c r="FO173" s="1353"/>
      <c r="FP173" s="1353"/>
      <c r="FQ173" s="1353"/>
      <c r="FR173" s="1353"/>
      <c r="FS173" s="1353"/>
      <c r="FT173" s="1353"/>
      <c r="FU173" s="1353"/>
      <c r="FV173" s="1353"/>
      <c r="FW173" s="1353"/>
      <c r="FX173" s="1353"/>
      <c r="FY173" s="1353"/>
      <c r="FZ173" s="1353"/>
      <c r="GA173" s="1353"/>
      <c r="GB173" s="1353"/>
      <c r="GC173" s="1353"/>
      <c r="GD173" s="1353"/>
      <c r="GE173" s="1353"/>
      <c r="GF173" s="1353"/>
      <c r="GG173" s="1353"/>
      <c r="GH173" s="1353"/>
      <c r="GI173" s="1353"/>
      <c r="GJ173" s="1353"/>
      <c r="GK173" s="1353"/>
      <c r="GL173" s="1353"/>
      <c r="GM173" s="1353"/>
      <c r="GN173" s="1353"/>
      <c r="GO173" s="1353"/>
      <c r="GP173" s="1353"/>
      <c r="GQ173" s="1353"/>
      <c r="GR173" s="1353"/>
      <c r="GS173" s="1353"/>
      <c r="GT173" s="1353"/>
      <c r="GU173" s="1353"/>
      <c r="GV173" s="1353"/>
      <c r="GW173" s="1353"/>
      <c r="GX173" s="1353"/>
      <c r="GY173" s="1353"/>
      <c r="GZ173" s="1353"/>
      <c r="HA173" s="1353"/>
      <c r="HB173" s="1353"/>
      <c r="HC173" s="1353"/>
      <c r="HD173" s="1353"/>
      <c r="HE173" s="1353"/>
      <c r="HF173" s="1353"/>
      <c r="HG173" s="1353"/>
      <c r="HH173" s="1353"/>
      <c r="HI173" s="1353"/>
      <c r="HJ173" s="1353"/>
      <c r="HK173" s="1353"/>
      <c r="HL173" s="1353"/>
      <c r="HM173" s="1353"/>
      <c r="HN173" s="1353"/>
      <c r="HO173" s="1353"/>
      <c r="HP173" s="1353"/>
      <c r="HQ173" s="1353"/>
      <c r="HR173" s="1353"/>
      <c r="HS173" s="1353"/>
      <c r="HT173" s="1353"/>
      <c r="HU173" s="1353"/>
      <c r="HV173" s="1353"/>
      <c r="HW173" s="1353"/>
      <c r="HX173" s="1353"/>
      <c r="HY173" s="1353"/>
      <c r="HZ173" s="1353"/>
      <c r="IA173" s="1353"/>
      <c r="IB173" s="1353"/>
      <c r="IC173" s="1353"/>
      <c r="ID173" s="1353"/>
      <c r="IE173" s="1353"/>
      <c r="IF173" s="1353"/>
      <c r="IG173" s="1353"/>
      <c r="IH173" s="1353"/>
      <c r="II173" s="1353"/>
      <c r="IJ173" s="1353"/>
      <c r="IK173" s="1353"/>
      <c r="IL173" s="1353"/>
      <c r="IM173" s="1353"/>
      <c r="IN173" s="1353"/>
      <c r="IO173" s="1353"/>
      <c r="IP173" s="1353"/>
      <c r="IQ173" s="1353"/>
      <c r="IR173" s="1353"/>
      <c r="IS173" s="1353"/>
      <c r="IT173" s="1353"/>
      <c r="IU173" s="1353"/>
      <c r="IV173" s="1353"/>
      <c r="IW173" s="1353"/>
      <c r="IX173" s="1353"/>
      <c r="IY173" s="1353"/>
      <c r="IZ173" s="1353"/>
      <c r="JA173" s="1353"/>
      <c r="JB173" s="1353"/>
      <c r="JC173" s="1353"/>
      <c r="JD173" s="1353"/>
      <c r="JE173" s="1353"/>
      <c r="JF173" s="1353"/>
      <c r="JG173" s="1353"/>
      <c r="JH173" s="1353"/>
      <c r="JI173" s="1353"/>
      <c r="JJ173" s="1353"/>
      <c r="JK173" s="1353"/>
      <c r="JL173" s="1353"/>
      <c r="JM173" s="1353"/>
      <c r="JN173" s="1353"/>
      <c r="JO173" s="1353"/>
      <c r="JP173" s="1353"/>
      <c r="JQ173" s="1353"/>
      <c r="JR173" s="1353"/>
      <c r="JS173" s="1353"/>
      <c r="JT173" s="1353"/>
      <c r="JU173" s="1353"/>
      <c r="JV173" s="1353"/>
      <c r="JW173" s="1353"/>
      <c r="JX173" s="1353"/>
      <c r="JY173" s="1353"/>
      <c r="JZ173" s="1353"/>
      <c r="KA173" s="1353"/>
      <c r="KB173" s="1353"/>
      <c r="KC173" s="1353"/>
      <c r="KD173" s="1353"/>
      <c r="KE173" s="1353"/>
      <c r="KF173" s="1353"/>
      <c r="KG173" s="1353"/>
      <c r="KH173" s="1353"/>
      <c r="KI173" s="1353"/>
      <c r="KJ173" s="1353"/>
      <c r="KK173" s="1353"/>
    </row>
    <row r="174" ht="14.25" customHeight="1">
      <c r="A174" s="1353"/>
      <c r="B174" s="3010" t="s">
        <v>2983</v>
      </c>
      <c r="C174" s="3011"/>
      <c r="D174" s="3019">
        <v>0</v>
      </c>
      <c r="E174" s="3018">
        <v>0</v>
      </c>
      <c r="F174" s="3018"/>
      <c r="G174" s="3009" t="s">
        <v>2984</v>
      </c>
      <c r="H174" s="3009"/>
      <c r="I174" s="3009"/>
      <c r="J174" s="3009"/>
      <c r="K174" s="3009"/>
      <c r="L174" s="3009"/>
      <c r="M174" s="3009"/>
      <c r="N174" s="1353"/>
      <c r="O174" s="1353"/>
      <c r="P174" s="1353"/>
      <c r="Q174" s="1353"/>
      <c r="R174" s="1353"/>
      <c r="S174" s="1353"/>
      <c r="T174" s="1353"/>
      <c r="U174" s="1353"/>
      <c r="V174" s="1353"/>
      <c r="W174" s="1353"/>
      <c r="X174" s="1353"/>
      <c r="Y174" s="1353"/>
      <c r="Z174" s="1353"/>
      <c r="AA174" s="1353"/>
      <c r="AB174" s="2993"/>
      <c r="AC174" s="2993"/>
      <c r="AD174" s="2993"/>
      <c r="AE174" s="2993"/>
      <c r="AF174" s="2993"/>
      <c r="AG174" s="2993"/>
      <c r="AH174" s="2993"/>
      <c r="AI174" s="1353"/>
      <c r="AJ174" s="1353"/>
      <c r="AK174" s="1353"/>
      <c r="AL174" s="1353"/>
      <c r="AM174" s="1353"/>
      <c r="AN174" s="1353"/>
      <c r="AO174" s="1353"/>
      <c r="AP174" s="1353"/>
      <c r="AQ174" s="1353"/>
      <c r="AR174" s="1353"/>
      <c r="AS174" s="1353"/>
      <c r="AT174" s="1353"/>
      <c r="AU174" s="1353"/>
      <c r="AV174" s="1353"/>
      <c r="AW174" s="1353"/>
      <c r="AX174" s="1353"/>
      <c r="AY174" s="1353"/>
      <c r="AZ174" s="1353"/>
      <c r="BA174" s="1353"/>
      <c r="BB174" s="1353"/>
      <c r="BC174" s="1353"/>
      <c r="BD174" s="1353"/>
      <c r="BE174" s="1353"/>
      <c r="BF174" s="1353"/>
      <c r="BG174" s="1353"/>
      <c r="BH174" s="1353"/>
      <c r="BI174" s="1353"/>
      <c r="BJ174" s="1353"/>
      <c r="BK174" s="1353"/>
      <c r="BL174" s="1353"/>
      <c r="BM174" s="1353"/>
      <c r="BN174" s="1353"/>
      <c r="BO174" s="1353"/>
      <c r="BP174" s="1353"/>
      <c r="BQ174" s="1353"/>
      <c r="BR174" s="1353"/>
      <c r="BS174" s="1353"/>
      <c r="BT174" s="1353"/>
      <c r="BU174" s="1353"/>
      <c r="BV174" s="1353"/>
      <c r="BW174" s="1353"/>
      <c r="BX174" s="1353"/>
      <c r="BY174" s="1353"/>
      <c r="BZ174" s="1353"/>
      <c r="CA174" s="1353"/>
      <c r="CB174" s="1353"/>
      <c r="CC174" s="1353"/>
      <c r="CD174" s="1353"/>
      <c r="CE174" s="1353"/>
      <c r="CF174" s="1353"/>
      <c r="CG174" s="1353"/>
      <c r="CH174" s="1353"/>
      <c r="CI174" s="1353"/>
      <c r="CJ174" s="1353"/>
      <c r="CK174" s="1353"/>
      <c r="CL174" s="1353"/>
      <c r="CM174" s="1353"/>
      <c r="CN174" s="1353"/>
      <c r="CO174" s="1353"/>
      <c r="CP174" s="1353"/>
      <c r="CQ174" s="1353"/>
      <c r="CR174" s="1353"/>
      <c r="CS174" s="1353"/>
      <c r="CT174" s="1353"/>
      <c r="CU174" s="1353"/>
      <c r="CV174" s="1353"/>
      <c r="CW174" s="1353"/>
      <c r="CX174" s="1353"/>
      <c r="CY174" s="1353"/>
      <c r="CZ174" s="1353"/>
      <c r="DA174" s="1353"/>
      <c r="DB174" s="1353"/>
      <c r="DC174" s="1353"/>
      <c r="DD174" s="1353"/>
      <c r="DE174" s="1353"/>
      <c r="DF174" s="1353"/>
      <c r="DG174" s="1353"/>
      <c r="DH174" s="1353"/>
      <c r="DI174" s="1353"/>
      <c r="DJ174" s="1353"/>
      <c r="DK174" s="1353"/>
      <c r="DL174" s="1353"/>
      <c r="DM174" s="1353"/>
      <c r="DN174" s="1353"/>
      <c r="DO174" s="1353"/>
      <c r="DP174" s="1353"/>
      <c r="DQ174" s="1353"/>
      <c r="DR174" s="1353"/>
      <c r="DS174" s="1353"/>
      <c r="DT174" s="1353"/>
      <c r="DU174" s="1353"/>
      <c r="DV174" s="1353"/>
      <c r="DW174" s="1353"/>
      <c r="DX174" s="1353"/>
      <c r="DY174" s="1353"/>
      <c r="DZ174" s="1353"/>
      <c r="EA174" s="1353"/>
      <c r="EB174" s="1353"/>
      <c r="EC174" s="1353"/>
      <c r="ED174" s="1353"/>
      <c r="EE174" s="1353"/>
      <c r="EF174" s="1353"/>
      <c r="EG174" s="1353"/>
      <c r="EH174" s="1353"/>
      <c r="EI174" s="1353"/>
      <c r="EJ174" s="1353"/>
      <c r="EK174" s="1353"/>
      <c r="EL174" s="1353"/>
      <c r="EM174" s="1353"/>
      <c r="EN174" s="1353"/>
      <c r="EO174" s="1353"/>
      <c r="EP174" s="1353"/>
      <c r="EQ174" s="1353"/>
      <c r="ER174" s="1353"/>
      <c r="ES174" s="1353"/>
      <c r="ET174" s="1353"/>
      <c r="EU174" s="1353"/>
      <c r="EV174" s="1353"/>
      <c r="EW174" s="1353"/>
      <c r="EX174" s="1353"/>
      <c r="EY174" s="1353"/>
      <c r="EZ174" s="1353"/>
      <c r="FA174" s="1353"/>
      <c r="FB174" s="1353"/>
      <c r="FC174" s="1353"/>
      <c r="FD174" s="1353"/>
      <c r="FE174" s="1353"/>
      <c r="FF174" s="1353"/>
      <c r="FG174" s="1353"/>
      <c r="FH174" s="1353"/>
      <c r="FI174" s="1353"/>
      <c r="FJ174" s="1353"/>
      <c r="FK174" s="1353"/>
      <c r="FL174" s="1353"/>
      <c r="FM174" s="1353"/>
      <c r="FN174" s="1353"/>
      <c r="FO174" s="1353"/>
      <c r="FP174" s="1353"/>
      <c r="FQ174" s="1353"/>
      <c r="FR174" s="1353"/>
      <c r="FS174" s="1353"/>
      <c r="FT174" s="1353"/>
      <c r="FU174" s="1353"/>
      <c r="FV174" s="1353"/>
      <c r="FW174" s="1353"/>
      <c r="FX174" s="1353"/>
      <c r="FY174" s="1353"/>
      <c r="FZ174" s="1353"/>
      <c r="GA174" s="1353"/>
      <c r="GB174" s="1353"/>
      <c r="GC174" s="1353"/>
      <c r="GD174" s="1353"/>
      <c r="GE174" s="1353"/>
      <c r="GF174" s="1353"/>
      <c r="GG174" s="1353"/>
      <c r="GH174" s="1353"/>
      <c r="GI174" s="1353"/>
      <c r="GJ174" s="1353"/>
      <c r="GK174" s="1353"/>
      <c r="GL174" s="1353"/>
      <c r="GM174" s="1353"/>
      <c r="GN174" s="1353"/>
      <c r="GO174" s="1353"/>
      <c r="GP174" s="1353"/>
      <c r="GQ174" s="1353"/>
      <c r="GR174" s="1353"/>
      <c r="GS174" s="1353"/>
      <c r="GT174" s="1353"/>
      <c r="GU174" s="1353"/>
      <c r="GV174" s="1353"/>
      <c r="GW174" s="1353"/>
      <c r="GX174" s="1353"/>
      <c r="GY174" s="1353"/>
      <c r="GZ174" s="1353"/>
      <c r="HA174" s="1353"/>
      <c r="HB174" s="1353"/>
      <c r="HC174" s="1353"/>
      <c r="HD174" s="1353"/>
      <c r="HE174" s="1353"/>
      <c r="HF174" s="1353"/>
      <c r="HG174" s="1353"/>
      <c r="HH174" s="1353"/>
      <c r="HI174" s="1353"/>
      <c r="HJ174" s="1353"/>
      <c r="HK174" s="1353"/>
      <c r="HL174" s="1353"/>
      <c r="HM174" s="1353"/>
      <c r="HN174" s="1353"/>
      <c r="HO174" s="1353"/>
      <c r="HP174" s="1353"/>
      <c r="HQ174" s="1353"/>
      <c r="HR174" s="1353"/>
      <c r="HS174" s="1353"/>
      <c r="HT174" s="1353"/>
      <c r="HU174" s="1353"/>
      <c r="HV174" s="1353"/>
      <c r="HW174" s="1353"/>
      <c r="HX174" s="1353"/>
      <c r="HY174" s="1353"/>
      <c r="HZ174" s="1353"/>
      <c r="IA174" s="1353"/>
      <c r="IB174" s="1353"/>
      <c r="IC174" s="1353"/>
      <c r="ID174" s="1353"/>
      <c r="IE174" s="1353"/>
      <c r="IF174" s="1353"/>
      <c r="IG174" s="1353"/>
      <c r="IH174" s="1353"/>
      <c r="II174" s="1353"/>
      <c r="IJ174" s="1353"/>
      <c r="IK174" s="1353"/>
      <c r="IL174" s="1353"/>
      <c r="IM174" s="1353"/>
      <c r="IN174" s="1353"/>
      <c r="IO174" s="1353"/>
      <c r="IP174" s="1353"/>
      <c r="IQ174" s="1353"/>
      <c r="IR174" s="1353"/>
      <c r="IS174" s="1353"/>
      <c r="IT174" s="1353"/>
      <c r="IU174" s="1353"/>
      <c r="IV174" s="1353"/>
      <c r="IW174" s="1353"/>
      <c r="IX174" s="1353"/>
      <c r="IY174" s="1353"/>
      <c r="IZ174" s="1353"/>
      <c r="JA174" s="1353"/>
      <c r="JB174" s="1353"/>
      <c r="JC174" s="1353"/>
      <c r="JD174" s="1353"/>
      <c r="JE174" s="1353"/>
      <c r="JF174" s="1353"/>
      <c r="JG174" s="1353"/>
      <c r="JH174" s="1353"/>
      <c r="JI174" s="1353"/>
      <c r="JJ174" s="1353"/>
      <c r="JK174" s="1353"/>
      <c r="JL174" s="1353"/>
      <c r="JM174" s="1353"/>
      <c r="JN174" s="1353"/>
      <c r="JO174" s="1353"/>
      <c r="JP174" s="1353"/>
      <c r="JQ174" s="1353"/>
      <c r="JR174" s="1353"/>
      <c r="JS174" s="1353"/>
      <c r="JT174" s="1353"/>
      <c r="JU174" s="1353"/>
      <c r="JV174" s="1353"/>
      <c r="JW174" s="1353"/>
      <c r="JX174" s="1353"/>
      <c r="JY174" s="1353"/>
      <c r="JZ174" s="1353"/>
      <c r="KA174" s="1353"/>
      <c r="KB174" s="1353"/>
      <c r="KC174" s="1353"/>
      <c r="KD174" s="1353"/>
      <c r="KE174" s="1353"/>
      <c r="KF174" s="1353"/>
      <c r="KG174" s="1353"/>
      <c r="KH174" s="1353"/>
      <c r="KI174" s="1353"/>
      <c r="KJ174" s="1353"/>
      <c r="KK174" s="1353"/>
    </row>
    <row r="175" ht="14.25" customHeight="1">
      <c r="A175" s="1353"/>
      <c r="B175" s="3010" t="s">
        <v>2985</v>
      </c>
      <c r="C175" s="3011"/>
      <c r="D175" s="3019">
        <f>SUM(D167:D174)</f>
        <v>0</v>
      </c>
      <c r="E175" s="3018"/>
      <c r="F175" s="3018"/>
      <c r="G175" s="3009"/>
      <c r="H175" s="3009"/>
      <c r="I175" s="3009"/>
      <c r="J175" s="3009"/>
      <c r="K175" s="3009"/>
      <c r="L175" s="3009"/>
      <c r="M175" s="3009"/>
      <c r="N175" s="1353"/>
      <c r="O175" s="1353"/>
      <c r="P175" s="1353"/>
      <c r="Q175" s="1353"/>
      <c r="R175" s="1353"/>
      <c r="S175" s="1353"/>
      <c r="T175" s="1353"/>
      <c r="U175" s="1353"/>
      <c r="V175" s="1353"/>
      <c r="W175" s="1353"/>
      <c r="X175" s="1353"/>
      <c r="Y175" s="1353"/>
      <c r="Z175" s="1353"/>
      <c r="AA175" s="1353"/>
      <c r="AB175" s="2993"/>
      <c r="AC175" s="2993"/>
      <c r="AD175" s="2993"/>
      <c r="AE175" s="2993"/>
      <c r="AF175" s="2993"/>
      <c r="AG175" s="2993"/>
      <c r="AH175" s="2993"/>
      <c r="AI175" s="1353"/>
      <c r="AJ175" s="1353"/>
      <c r="AK175" s="1353"/>
      <c r="AL175" s="1353"/>
      <c r="AM175" s="1353"/>
      <c r="AN175" s="1353"/>
      <c r="AO175" s="1353"/>
      <c r="AP175" s="1353"/>
      <c r="AQ175" s="1353"/>
      <c r="AR175" s="1353"/>
      <c r="AS175" s="1353"/>
      <c r="AT175" s="1353"/>
      <c r="AU175" s="1353"/>
      <c r="AV175" s="1353"/>
      <c r="AW175" s="1353"/>
      <c r="AX175" s="1353"/>
      <c r="AY175" s="1353"/>
      <c r="AZ175" s="1353"/>
      <c r="BA175" s="1353"/>
      <c r="BB175" s="1353"/>
      <c r="BC175" s="1353"/>
      <c r="BD175" s="1353"/>
      <c r="BE175" s="1353"/>
      <c r="BF175" s="1353"/>
      <c r="BG175" s="1353"/>
      <c r="BH175" s="1353"/>
      <c r="BI175" s="1353"/>
      <c r="BJ175" s="1353"/>
      <c r="BK175" s="1353"/>
      <c r="BL175" s="1353"/>
      <c r="BM175" s="1353"/>
      <c r="BN175" s="1353"/>
      <c r="BO175" s="1353"/>
      <c r="BP175" s="1353"/>
      <c r="BQ175" s="1353"/>
      <c r="BR175" s="1353"/>
      <c r="BS175" s="1353"/>
      <c r="BT175" s="1353"/>
      <c r="BU175" s="1353"/>
      <c r="BV175" s="1353"/>
      <c r="BW175" s="1353"/>
      <c r="BX175" s="1353"/>
      <c r="BY175" s="1353"/>
      <c r="BZ175" s="1353"/>
      <c r="CA175" s="1353"/>
      <c r="CB175" s="1353"/>
      <c r="CC175" s="1353"/>
      <c r="CD175" s="1353"/>
      <c r="CE175" s="1353"/>
      <c r="CF175" s="1353"/>
      <c r="CG175" s="1353"/>
      <c r="CH175" s="1353"/>
      <c r="CI175" s="1353"/>
      <c r="CJ175" s="1353"/>
      <c r="CK175" s="1353"/>
      <c r="CL175" s="1353"/>
      <c r="CM175" s="1353"/>
      <c r="CN175" s="1353"/>
      <c r="CO175" s="1353"/>
      <c r="CP175" s="1353"/>
      <c r="CQ175" s="1353"/>
      <c r="CR175" s="1353"/>
      <c r="CS175" s="1353"/>
      <c r="CT175" s="1353"/>
      <c r="CU175" s="1353"/>
      <c r="CV175" s="1353"/>
      <c r="CW175" s="1353"/>
      <c r="CX175" s="1353"/>
      <c r="CY175" s="1353"/>
      <c r="CZ175" s="1353"/>
      <c r="DA175" s="1353"/>
      <c r="DB175" s="1353"/>
      <c r="DC175" s="1353"/>
      <c r="DD175" s="1353"/>
      <c r="DE175" s="1353"/>
      <c r="DF175" s="1353"/>
      <c r="DG175" s="1353"/>
      <c r="DH175" s="1353"/>
      <c r="DI175" s="1353"/>
      <c r="DJ175" s="1353"/>
      <c r="DK175" s="1353"/>
      <c r="DL175" s="1353"/>
      <c r="DM175" s="1353"/>
      <c r="DN175" s="1353"/>
      <c r="DO175" s="1353"/>
      <c r="DP175" s="1353"/>
      <c r="DQ175" s="1353"/>
      <c r="DR175" s="1353"/>
      <c r="DS175" s="1353"/>
      <c r="DT175" s="1353"/>
      <c r="DU175" s="1353"/>
      <c r="DV175" s="1353"/>
      <c r="DW175" s="1353"/>
      <c r="DX175" s="1353"/>
      <c r="DY175" s="1353"/>
      <c r="DZ175" s="1353"/>
      <c r="EA175" s="1353"/>
      <c r="EB175" s="1353"/>
      <c r="EC175" s="1353"/>
      <c r="ED175" s="1353"/>
      <c r="EE175" s="1353"/>
      <c r="EF175" s="1353"/>
      <c r="EG175" s="1353"/>
      <c r="EH175" s="1353"/>
      <c r="EI175" s="1353"/>
      <c r="EJ175" s="1353"/>
      <c r="EK175" s="1353"/>
      <c r="EL175" s="1353"/>
      <c r="EM175" s="1353"/>
      <c r="EN175" s="1353"/>
      <c r="EO175" s="1353"/>
      <c r="EP175" s="1353"/>
      <c r="EQ175" s="1353"/>
      <c r="ER175" s="1353"/>
      <c r="ES175" s="1353"/>
      <c r="ET175" s="1353"/>
      <c r="EU175" s="1353"/>
      <c r="EV175" s="1353"/>
      <c r="EW175" s="1353"/>
      <c r="EX175" s="1353"/>
      <c r="EY175" s="1353"/>
      <c r="EZ175" s="1353"/>
      <c r="FA175" s="1353"/>
      <c r="FB175" s="1353"/>
      <c r="FC175" s="1353"/>
      <c r="FD175" s="1353"/>
      <c r="FE175" s="1353"/>
      <c r="FF175" s="1353"/>
      <c r="FG175" s="1353"/>
      <c r="FH175" s="1353"/>
      <c r="FI175" s="1353"/>
      <c r="FJ175" s="1353"/>
      <c r="FK175" s="1353"/>
      <c r="FL175" s="1353"/>
      <c r="FM175" s="1353"/>
      <c r="FN175" s="1353"/>
      <c r="FO175" s="1353"/>
      <c r="FP175" s="1353"/>
      <c r="FQ175" s="1353"/>
      <c r="FR175" s="1353"/>
      <c r="FS175" s="1353"/>
      <c r="FT175" s="1353"/>
      <c r="FU175" s="1353"/>
      <c r="FV175" s="1353"/>
      <c r="FW175" s="1353"/>
      <c r="FX175" s="1353"/>
      <c r="FY175" s="1353"/>
      <c r="FZ175" s="1353"/>
      <c r="GA175" s="1353"/>
      <c r="GB175" s="1353"/>
      <c r="GC175" s="1353"/>
      <c r="GD175" s="1353"/>
      <c r="GE175" s="1353"/>
      <c r="GF175" s="1353"/>
      <c r="GG175" s="1353"/>
      <c r="GH175" s="1353"/>
      <c r="GI175" s="1353"/>
      <c r="GJ175" s="1353"/>
      <c r="GK175" s="1353"/>
      <c r="GL175" s="1353"/>
      <c r="GM175" s="1353"/>
      <c r="GN175" s="1353"/>
      <c r="GO175" s="1353"/>
      <c r="GP175" s="1353"/>
      <c r="GQ175" s="1353"/>
      <c r="GR175" s="1353"/>
      <c r="GS175" s="1353"/>
      <c r="GT175" s="1353"/>
      <c r="GU175" s="1353"/>
      <c r="GV175" s="1353"/>
      <c r="GW175" s="1353"/>
      <c r="GX175" s="1353"/>
      <c r="GY175" s="1353"/>
      <c r="GZ175" s="1353"/>
      <c r="HA175" s="1353"/>
      <c r="HB175" s="1353"/>
      <c r="HC175" s="1353"/>
      <c r="HD175" s="1353"/>
      <c r="HE175" s="1353"/>
      <c r="HF175" s="1353"/>
      <c r="HG175" s="1353"/>
      <c r="HH175" s="1353"/>
      <c r="HI175" s="1353"/>
      <c r="HJ175" s="1353"/>
      <c r="HK175" s="1353"/>
      <c r="HL175" s="1353"/>
      <c r="HM175" s="1353"/>
      <c r="HN175" s="1353"/>
      <c r="HO175" s="1353"/>
      <c r="HP175" s="1353"/>
      <c r="HQ175" s="1353"/>
      <c r="HR175" s="1353"/>
      <c r="HS175" s="1353"/>
      <c r="HT175" s="1353"/>
      <c r="HU175" s="1353"/>
      <c r="HV175" s="1353"/>
      <c r="HW175" s="1353"/>
      <c r="HX175" s="1353"/>
      <c r="HY175" s="1353"/>
      <c r="HZ175" s="1353"/>
      <c r="IA175" s="1353"/>
      <c r="IB175" s="1353"/>
      <c r="IC175" s="1353"/>
      <c r="ID175" s="1353"/>
      <c r="IE175" s="1353"/>
      <c r="IF175" s="1353"/>
      <c r="IG175" s="1353"/>
      <c r="IH175" s="1353"/>
      <c r="II175" s="1353"/>
      <c r="IJ175" s="1353"/>
      <c r="IK175" s="1353"/>
      <c r="IL175" s="1353"/>
      <c r="IM175" s="1353"/>
      <c r="IN175" s="1353"/>
      <c r="IO175" s="1353"/>
      <c r="IP175" s="1353"/>
      <c r="IQ175" s="1353"/>
      <c r="IR175" s="1353"/>
      <c r="IS175" s="1353"/>
      <c r="IT175" s="1353"/>
      <c r="IU175" s="1353"/>
      <c r="IV175" s="1353"/>
      <c r="IW175" s="1353"/>
      <c r="IX175" s="1353"/>
      <c r="IY175" s="1353"/>
      <c r="IZ175" s="1353"/>
      <c r="JA175" s="1353"/>
      <c r="JB175" s="1353"/>
      <c r="JC175" s="1353"/>
      <c r="JD175" s="1353"/>
      <c r="JE175" s="1353"/>
      <c r="JF175" s="1353"/>
      <c r="JG175" s="1353"/>
      <c r="JH175" s="1353"/>
      <c r="JI175" s="1353"/>
      <c r="JJ175" s="1353"/>
      <c r="JK175" s="1353"/>
      <c r="JL175" s="1353"/>
      <c r="JM175" s="1353"/>
      <c r="JN175" s="1353"/>
      <c r="JO175" s="1353"/>
      <c r="JP175" s="1353"/>
      <c r="JQ175" s="1353"/>
      <c r="JR175" s="1353"/>
      <c r="JS175" s="1353"/>
      <c r="JT175" s="1353"/>
      <c r="JU175" s="1353"/>
      <c r="JV175" s="1353"/>
      <c r="JW175" s="1353"/>
      <c r="JX175" s="1353"/>
      <c r="JY175" s="1353"/>
      <c r="JZ175" s="1353"/>
      <c r="KA175" s="1353"/>
      <c r="KB175" s="1353"/>
      <c r="KC175" s="1353"/>
      <c r="KD175" s="1353"/>
      <c r="KE175" s="1353"/>
      <c r="KF175" s="1353"/>
      <c r="KG175" s="1353"/>
      <c r="KH175" s="1353"/>
      <c r="KI175" s="1353"/>
      <c r="KJ175" s="1353"/>
      <c r="KK175" s="1353"/>
    </row>
    <row r="176" ht="14.25" customHeight="1">
      <c r="A176" s="1353"/>
      <c r="B176" s="3009"/>
      <c r="C176" s="3011"/>
      <c r="D176" s="3013"/>
      <c r="E176" s="3018"/>
      <c r="F176" s="3018"/>
      <c r="G176" s="3009"/>
      <c r="H176" s="3009"/>
      <c r="I176" s="3009"/>
      <c r="J176" s="3009"/>
      <c r="K176" s="3009"/>
      <c r="L176" s="3009"/>
      <c r="M176" s="3009"/>
      <c r="N176" s="1353"/>
      <c r="O176" s="1353"/>
      <c r="P176" s="1353"/>
      <c r="Q176" s="1353"/>
      <c r="R176" s="1353"/>
      <c r="S176" s="1353"/>
      <c r="T176" s="1353"/>
      <c r="U176" s="1353"/>
      <c r="V176" s="1353"/>
      <c r="W176" s="1353"/>
      <c r="X176" s="1353"/>
      <c r="Y176" s="1353"/>
      <c r="Z176" s="1353"/>
      <c r="AA176" s="1353"/>
      <c r="AB176" s="2993"/>
      <c r="AC176" s="2993"/>
      <c r="AD176" s="2993"/>
      <c r="AE176" s="2993"/>
      <c r="AF176" s="2993"/>
      <c r="AG176" s="2993"/>
      <c r="AH176" s="2993"/>
      <c r="AI176" s="1353"/>
      <c r="AJ176" s="1353"/>
      <c r="AK176" s="1353"/>
      <c r="AL176" s="1353"/>
      <c r="AM176" s="1353"/>
      <c r="AN176" s="1353"/>
      <c r="AO176" s="1353"/>
      <c r="AP176" s="1353"/>
      <c r="AQ176" s="1353"/>
      <c r="AR176" s="1353"/>
      <c r="AS176" s="1353"/>
      <c r="AT176" s="1353"/>
      <c r="AU176" s="1353"/>
      <c r="AV176" s="1353"/>
      <c r="AW176" s="1353"/>
      <c r="AX176" s="1353"/>
      <c r="AY176" s="1353"/>
      <c r="AZ176" s="1353"/>
      <c r="BA176" s="1353"/>
      <c r="BB176" s="1353"/>
      <c r="BC176" s="1353"/>
      <c r="BD176" s="1353"/>
      <c r="BE176" s="1353"/>
      <c r="BF176" s="1353"/>
      <c r="BG176" s="1353"/>
      <c r="BH176" s="1353"/>
      <c r="BI176" s="1353"/>
      <c r="BJ176" s="1353"/>
      <c r="BK176" s="1353"/>
      <c r="BL176" s="1353"/>
      <c r="BM176" s="1353"/>
      <c r="BN176" s="1353"/>
      <c r="BO176" s="1353"/>
      <c r="BP176" s="1353"/>
      <c r="BQ176" s="1353"/>
      <c r="BR176" s="1353"/>
      <c r="BS176" s="1353"/>
      <c r="BT176" s="1353"/>
      <c r="BU176" s="1353"/>
      <c r="BV176" s="1353"/>
      <c r="BW176" s="1353"/>
      <c r="BX176" s="1353"/>
      <c r="BY176" s="1353"/>
      <c r="BZ176" s="1353"/>
      <c r="CA176" s="1353"/>
      <c r="CB176" s="1353"/>
      <c r="CC176" s="1353"/>
      <c r="CD176" s="1353"/>
      <c r="CE176" s="1353"/>
      <c r="CF176" s="1353"/>
      <c r="CG176" s="1353"/>
      <c r="CH176" s="1353"/>
      <c r="CI176" s="1353"/>
      <c r="CJ176" s="1353"/>
      <c r="CK176" s="1353"/>
      <c r="CL176" s="1353"/>
      <c r="CM176" s="1353"/>
      <c r="CN176" s="1353"/>
      <c r="CO176" s="1353"/>
      <c r="CP176" s="1353"/>
      <c r="CQ176" s="1353"/>
      <c r="CR176" s="1353"/>
      <c r="CS176" s="1353"/>
      <c r="CT176" s="1353"/>
      <c r="CU176" s="1353"/>
      <c r="CV176" s="1353"/>
      <c r="CW176" s="1353"/>
      <c r="CX176" s="1353"/>
      <c r="CY176" s="1353"/>
      <c r="CZ176" s="1353"/>
      <c r="DA176" s="1353"/>
      <c r="DB176" s="1353"/>
      <c r="DC176" s="1353"/>
      <c r="DD176" s="1353"/>
      <c r="DE176" s="1353"/>
      <c r="DF176" s="1353"/>
      <c r="DG176" s="1353"/>
      <c r="DH176" s="1353"/>
      <c r="DI176" s="1353"/>
      <c r="DJ176" s="1353"/>
      <c r="DK176" s="1353"/>
      <c r="DL176" s="1353"/>
      <c r="DM176" s="1353"/>
      <c r="DN176" s="1353"/>
      <c r="DO176" s="1353"/>
      <c r="DP176" s="1353"/>
      <c r="DQ176" s="1353"/>
      <c r="DR176" s="1353"/>
      <c r="DS176" s="1353"/>
      <c r="DT176" s="1353"/>
      <c r="DU176" s="1353"/>
      <c r="DV176" s="1353"/>
      <c r="DW176" s="1353"/>
      <c r="DX176" s="1353"/>
      <c r="DY176" s="1353"/>
      <c r="DZ176" s="1353"/>
      <c r="EA176" s="1353"/>
      <c r="EB176" s="1353"/>
      <c r="EC176" s="1353"/>
      <c r="ED176" s="1353"/>
      <c r="EE176" s="1353"/>
      <c r="EF176" s="1353"/>
      <c r="EG176" s="1353"/>
      <c r="EH176" s="1353"/>
      <c r="EI176" s="1353"/>
      <c r="EJ176" s="1353"/>
      <c r="EK176" s="1353"/>
      <c r="EL176" s="1353"/>
      <c r="EM176" s="1353"/>
      <c r="EN176" s="1353"/>
      <c r="EO176" s="1353"/>
      <c r="EP176" s="1353"/>
      <c r="EQ176" s="1353"/>
      <c r="ER176" s="1353"/>
      <c r="ES176" s="1353"/>
      <c r="ET176" s="1353"/>
      <c r="EU176" s="1353"/>
      <c r="EV176" s="1353"/>
      <c r="EW176" s="1353"/>
      <c r="EX176" s="1353"/>
      <c r="EY176" s="1353"/>
      <c r="EZ176" s="1353"/>
      <c r="FA176" s="1353"/>
      <c r="FB176" s="1353"/>
      <c r="FC176" s="1353"/>
      <c r="FD176" s="1353"/>
      <c r="FE176" s="1353"/>
      <c r="FF176" s="1353"/>
      <c r="FG176" s="1353"/>
      <c r="FH176" s="1353"/>
      <c r="FI176" s="1353"/>
      <c r="FJ176" s="1353"/>
      <c r="FK176" s="1353"/>
      <c r="FL176" s="1353"/>
      <c r="FM176" s="1353"/>
      <c r="FN176" s="1353"/>
      <c r="FO176" s="1353"/>
      <c r="FP176" s="1353"/>
      <c r="FQ176" s="1353"/>
      <c r="FR176" s="1353"/>
      <c r="FS176" s="1353"/>
      <c r="FT176" s="1353"/>
      <c r="FU176" s="1353"/>
      <c r="FV176" s="1353"/>
      <c r="FW176" s="1353"/>
      <c r="FX176" s="1353"/>
      <c r="FY176" s="1353"/>
      <c r="FZ176" s="1353"/>
      <c r="GA176" s="1353"/>
      <c r="GB176" s="1353"/>
      <c r="GC176" s="1353"/>
      <c r="GD176" s="1353"/>
      <c r="GE176" s="1353"/>
      <c r="GF176" s="1353"/>
      <c r="GG176" s="1353"/>
      <c r="GH176" s="1353"/>
      <c r="GI176" s="1353"/>
      <c r="GJ176" s="1353"/>
      <c r="GK176" s="1353"/>
      <c r="GL176" s="1353"/>
      <c r="GM176" s="1353"/>
      <c r="GN176" s="1353"/>
      <c r="GO176" s="1353"/>
      <c r="GP176" s="1353"/>
      <c r="GQ176" s="1353"/>
      <c r="GR176" s="1353"/>
      <c r="GS176" s="1353"/>
      <c r="GT176" s="1353"/>
      <c r="GU176" s="1353"/>
      <c r="GV176" s="1353"/>
      <c r="GW176" s="1353"/>
      <c r="GX176" s="1353"/>
      <c r="GY176" s="1353"/>
      <c r="GZ176" s="1353"/>
      <c r="HA176" s="1353"/>
      <c r="HB176" s="1353"/>
      <c r="HC176" s="1353"/>
      <c r="HD176" s="1353"/>
      <c r="HE176" s="1353"/>
      <c r="HF176" s="1353"/>
      <c r="HG176" s="1353"/>
      <c r="HH176" s="1353"/>
      <c r="HI176" s="1353"/>
      <c r="HJ176" s="1353"/>
      <c r="HK176" s="1353"/>
      <c r="HL176" s="1353"/>
      <c r="HM176" s="1353"/>
      <c r="HN176" s="1353"/>
      <c r="HO176" s="1353"/>
      <c r="HP176" s="1353"/>
      <c r="HQ176" s="1353"/>
      <c r="HR176" s="1353"/>
      <c r="HS176" s="1353"/>
      <c r="HT176" s="1353"/>
      <c r="HU176" s="1353"/>
      <c r="HV176" s="1353"/>
      <c r="HW176" s="1353"/>
      <c r="HX176" s="1353"/>
      <c r="HY176" s="1353"/>
      <c r="HZ176" s="1353"/>
      <c r="IA176" s="1353"/>
      <c r="IB176" s="1353"/>
      <c r="IC176" s="1353"/>
      <c r="ID176" s="1353"/>
      <c r="IE176" s="1353"/>
      <c r="IF176" s="1353"/>
      <c r="IG176" s="1353"/>
      <c r="IH176" s="1353"/>
      <c r="II176" s="1353"/>
      <c r="IJ176" s="1353"/>
      <c r="IK176" s="1353"/>
      <c r="IL176" s="1353"/>
      <c r="IM176" s="1353"/>
      <c r="IN176" s="1353"/>
      <c r="IO176" s="1353"/>
      <c r="IP176" s="1353"/>
      <c r="IQ176" s="1353"/>
      <c r="IR176" s="1353"/>
      <c r="IS176" s="1353"/>
      <c r="IT176" s="1353"/>
      <c r="IU176" s="1353"/>
      <c r="IV176" s="1353"/>
      <c r="IW176" s="1353"/>
      <c r="IX176" s="1353"/>
      <c r="IY176" s="1353"/>
      <c r="IZ176" s="1353"/>
      <c r="JA176" s="1353"/>
      <c r="JB176" s="1353"/>
      <c r="JC176" s="1353"/>
      <c r="JD176" s="1353"/>
      <c r="JE176" s="1353"/>
      <c r="JF176" s="1353"/>
      <c r="JG176" s="1353"/>
      <c r="JH176" s="1353"/>
      <c r="JI176" s="1353"/>
      <c r="JJ176" s="1353"/>
      <c r="JK176" s="1353"/>
      <c r="JL176" s="1353"/>
      <c r="JM176" s="1353"/>
      <c r="JN176" s="1353"/>
      <c r="JO176" s="1353"/>
      <c r="JP176" s="1353"/>
      <c r="JQ176" s="1353"/>
      <c r="JR176" s="1353"/>
      <c r="JS176" s="1353"/>
      <c r="JT176" s="1353"/>
      <c r="JU176" s="1353"/>
      <c r="JV176" s="1353"/>
      <c r="JW176" s="1353"/>
      <c r="JX176" s="1353"/>
      <c r="JY176" s="1353"/>
      <c r="JZ176" s="1353"/>
      <c r="KA176" s="1353"/>
      <c r="KB176" s="1353"/>
      <c r="KC176" s="1353"/>
      <c r="KD176" s="1353"/>
      <c r="KE176" s="1353"/>
      <c r="KF176" s="1353"/>
      <c r="KG176" s="1353"/>
      <c r="KH176" s="1353"/>
      <c r="KI176" s="1353"/>
      <c r="KJ176" s="1353"/>
      <c r="KK176" s="1353"/>
    </row>
    <row r="177" ht="14.25" customHeight="1">
      <c r="A177" s="1353"/>
      <c r="B177" s="3010" t="s">
        <v>2986</v>
      </c>
      <c r="C177" s="3011"/>
      <c r="D177" s="3012">
        <f>D163-D175</f>
        <v>0</v>
      </c>
      <c r="E177" s="3018"/>
      <c r="F177" s="3018"/>
      <c r="G177" s="3009"/>
      <c r="H177" s="3009"/>
      <c r="I177" s="3009"/>
      <c r="J177" s="3009"/>
      <c r="K177" s="3009"/>
      <c r="L177" s="3009"/>
      <c r="M177" s="3009"/>
      <c r="N177" s="1353"/>
      <c r="O177" s="1353"/>
      <c r="P177" s="1353"/>
      <c r="Q177" s="1353"/>
      <c r="R177" s="1353"/>
      <c r="S177" s="1353"/>
      <c r="T177" s="1353"/>
      <c r="U177" s="1353"/>
      <c r="V177" s="1353"/>
      <c r="W177" s="1353"/>
      <c r="X177" s="1353"/>
      <c r="Y177" s="1353"/>
      <c r="Z177" s="1353"/>
      <c r="AA177" s="1353"/>
      <c r="AB177" s="2993"/>
      <c r="AC177" s="2993"/>
      <c r="AD177" s="2993"/>
      <c r="AE177" s="2993"/>
      <c r="AF177" s="2993"/>
      <c r="AG177" s="2993"/>
      <c r="AH177" s="2993"/>
      <c r="AI177" s="1353"/>
      <c r="AJ177" s="1353"/>
      <c r="AK177" s="1353"/>
      <c r="AL177" s="1353"/>
      <c r="AM177" s="1353"/>
      <c r="AN177" s="1353"/>
      <c r="AO177" s="1353"/>
      <c r="AP177" s="1353"/>
      <c r="AQ177" s="1353"/>
      <c r="AR177" s="1353"/>
      <c r="AS177" s="1353"/>
      <c r="AT177" s="1353"/>
      <c r="AU177" s="1353"/>
      <c r="AV177" s="1353"/>
      <c r="AW177" s="1353"/>
      <c r="AX177" s="1353"/>
      <c r="AY177" s="1353"/>
      <c r="AZ177" s="1353"/>
      <c r="BA177" s="1353"/>
      <c r="BB177" s="1353"/>
      <c r="BC177" s="1353"/>
      <c r="BD177" s="1353"/>
      <c r="BE177" s="1353"/>
      <c r="BF177" s="1353"/>
      <c r="BG177" s="1353"/>
      <c r="BH177" s="1353"/>
      <c r="BI177" s="1353"/>
      <c r="BJ177" s="1353"/>
      <c r="BK177" s="1353"/>
      <c r="BL177" s="1353"/>
      <c r="BM177" s="1353"/>
      <c r="BN177" s="1353"/>
      <c r="BO177" s="1353"/>
      <c r="BP177" s="1353"/>
      <c r="BQ177" s="1353"/>
      <c r="BR177" s="1353"/>
      <c r="BS177" s="1353"/>
      <c r="BT177" s="1353"/>
      <c r="BU177" s="1353"/>
      <c r="BV177" s="1353"/>
      <c r="BW177" s="1353"/>
      <c r="BX177" s="1353"/>
      <c r="BY177" s="1353"/>
      <c r="BZ177" s="1353"/>
      <c r="CA177" s="1353"/>
      <c r="CB177" s="1353"/>
      <c r="CC177" s="1353"/>
      <c r="CD177" s="1353"/>
      <c r="CE177" s="1353"/>
      <c r="CF177" s="1353"/>
      <c r="CG177" s="1353"/>
      <c r="CH177" s="1353"/>
      <c r="CI177" s="1353"/>
      <c r="CJ177" s="1353"/>
      <c r="CK177" s="1353"/>
      <c r="CL177" s="1353"/>
      <c r="CM177" s="1353"/>
      <c r="CN177" s="1353"/>
      <c r="CO177" s="1353"/>
      <c r="CP177" s="1353"/>
      <c r="CQ177" s="1353"/>
      <c r="CR177" s="1353"/>
      <c r="CS177" s="1353"/>
      <c r="CT177" s="1353"/>
      <c r="CU177" s="1353"/>
      <c r="CV177" s="1353"/>
      <c r="CW177" s="1353"/>
      <c r="CX177" s="1353"/>
      <c r="CY177" s="1353"/>
      <c r="CZ177" s="1353"/>
      <c r="DA177" s="1353"/>
      <c r="DB177" s="1353"/>
      <c r="DC177" s="1353"/>
      <c r="DD177" s="1353"/>
      <c r="DE177" s="1353"/>
      <c r="DF177" s="1353"/>
      <c r="DG177" s="1353"/>
      <c r="DH177" s="1353"/>
      <c r="DI177" s="1353"/>
      <c r="DJ177" s="1353"/>
      <c r="DK177" s="1353"/>
      <c r="DL177" s="1353"/>
      <c r="DM177" s="1353"/>
      <c r="DN177" s="1353"/>
      <c r="DO177" s="1353"/>
      <c r="DP177" s="1353"/>
      <c r="DQ177" s="1353"/>
      <c r="DR177" s="1353"/>
      <c r="DS177" s="1353"/>
      <c r="DT177" s="1353"/>
      <c r="DU177" s="1353"/>
      <c r="DV177" s="1353"/>
      <c r="DW177" s="1353"/>
      <c r="DX177" s="1353"/>
      <c r="DY177" s="1353"/>
      <c r="DZ177" s="1353"/>
      <c r="EA177" s="1353"/>
      <c r="EB177" s="1353"/>
      <c r="EC177" s="1353"/>
      <c r="ED177" s="1353"/>
      <c r="EE177" s="1353"/>
      <c r="EF177" s="1353"/>
      <c r="EG177" s="1353"/>
      <c r="EH177" s="1353"/>
      <c r="EI177" s="1353"/>
      <c r="EJ177" s="1353"/>
      <c r="EK177" s="1353"/>
      <c r="EL177" s="1353"/>
      <c r="EM177" s="1353"/>
      <c r="EN177" s="1353"/>
      <c r="EO177" s="1353"/>
      <c r="EP177" s="1353"/>
      <c r="EQ177" s="1353"/>
      <c r="ER177" s="1353"/>
      <c r="ES177" s="1353"/>
      <c r="ET177" s="1353"/>
      <c r="EU177" s="1353"/>
      <c r="EV177" s="1353"/>
      <c r="EW177" s="1353"/>
      <c r="EX177" s="1353"/>
      <c r="EY177" s="1353"/>
      <c r="EZ177" s="1353"/>
      <c r="FA177" s="1353"/>
      <c r="FB177" s="1353"/>
      <c r="FC177" s="1353"/>
      <c r="FD177" s="1353"/>
      <c r="FE177" s="1353"/>
      <c r="FF177" s="1353"/>
      <c r="FG177" s="1353"/>
      <c r="FH177" s="1353"/>
      <c r="FI177" s="1353"/>
      <c r="FJ177" s="1353"/>
      <c r="FK177" s="1353"/>
      <c r="FL177" s="1353"/>
      <c r="FM177" s="1353"/>
      <c r="FN177" s="1353"/>
      <c r="FO177" s="1353"/>
      <c r="FP177" s="1353"/>
      <c r="FQ177" s="1353"/>
      <c r="FR177" s="1353"/>
      <c r="FS177" s="1353"/>
      <c r="FT177" s="1353"/>
      <c r="FU177" s="1353"/>
      <c r="FV177" s="1353"/>
      <c r="FW177" s="1353"/>
      <c r="FX177" s="1353"/>
      <c r="FY177" s="1353"/>
      <c r="FZ177" s="1353"/>
      <c r="GA177" s="1353"/>
      <c r="GB177" s="1353"/>
      <c r="GC177" s="1353"/>
      <c r="GD177" s="1353"/>
      <c r="GE177" s="1353"/>
      <c r="GF177" s="1353"/>
      <c r="GG177" s="1353"/>
      <c r="GH177" s="1353"/>
      <c r="GI177" s="1353"/>
      <c r="GJ177" s="1353"/>
      <c r="GK177" s="1353"/>
      <c r="GL177" s="1353"/>
      <c r="GM177" s="1353"/>
      <c r="GN177" s="1353"/>
      <c r="GO177" s="1353"/>
      <c r="GP177" s="1353"/>
      <c r="GQ177" s="1353"/>
      <c r="GR177" s="1353"/>
      <c r="GS177" s="1353"/>
      <c r="GT177" s="1353"/>
      <c r="GU177" s="1353"/>
      <c r="GV177" s="1353"/>
      <c r="GW177" s="1353"/>
      <c r="GX177" s="1353"/>
      <c r="GY177" s="1353"/>
      <c r="GZ177" s="1353"/>
      <c r="HA177" s="1353"/>
      <c r="HB177" s="1353"/>
      <c r="HC177" s="1353"/>
      <c r="HD177" s="1353"/>
      <c r="HE177" s="1353"/>
      <c r="HF177" s="1353"/>
      <c r="HG177" s="1353"/>
      <c r="HH177" s="1353"/>
      <c r="HI177" s="1353"/>
      <c r="HJ177" s="1353"/>
      <c r="HK177" s="1353"/>
      <c r="HL177" s="1353"/>
      <c r="HM177" s="1353"/>
      <c r="HN177" s="1353"/>
      <c r="HO177" s="1353"/>
      <c r="HP177" s="1353"/>
      <c r="HQ177" s="1353"/>
      <c r="HR177" s="1353"/>
      <c r="HS177" s="1353"/>
      <c r="HT177" s="1353"/>
      <c r="HU177" s="1353"/>
      <c r="HV177" s="1353"/>
      <c r="HW177" s="1353"/>
      <c r="HX177" s="1353"/>
      <c r="HY177" s="1353"/>
      <c r="HZ177" s="1353"/>
      <c r="IA177" s="1353"/>
      <c r="IB177" s="1353"/>
      <c r="IC177" s="1353"/>
      <c r="ID177" s="1353"/>
      <c r="IE177" s="1353"/>
      <c r="IF177" s="1353"/>
      <c r="IG177" s="1353"/>
      <c r="IH177" s="1353"/>
      <c r="II177" s="1353"/>
      <c r="IJ177" s="1353"/>
      <c r="IK177" s="1353"/>
      <c r="IL177" s="1353"/>
      <c r="IM177" s="1353"/>
      <c r="IN177" s="1353"/>
      <c r="IO177" s="1353"/>
      <c r="IP177" s="1353"/>
      <c r="IQ177" s="1353"/>
      <c r="IR177" s="1353"/>
      <c r="IS177" s="1353"/>
      <c r="IT177" s="1353"/>
      <c r="IU177" s="1353"/>
      <c r="IV177" s="1353"/>
      <c r="IW177" s="1353"/>
      <c r="IX177" s="1353"/>
      <c r="IY177" s="1353"/>
      <c r="IZ177" s="1353"/>
      <c r="JA177" s="1353"/>
      <c r="JB177" s="1353"/>
      <c r="JC177" s="1353"/>
      <c r="JD177" s="1353"/>
      <c r="JE177" s="1353"/>
      <c r="JF177" s="1353"/>
      <c r="JG177" s="1353"/>
      <c r="JH177" s="1353"/>
      <c r="JI177" s="1353"/>
      <c r="JJ177" s="1353"/>
      <c r="JK177" s="1353"/>
      <c r="JL177" s="1353"/>
      <c r="JM177" s="1353"/>
      <c r="JN177" s="1353"/>
      <c r="JO177" s="1353"/>
      <c r="JP177" s="1353"/>
      <c r="JQ177" s="1353"/>
      <c r="JR177" s="1353"/>
      <c r="JS177" s="1353"/>
      <c r="JT177" s="1353"/>
      <c r="JU177" s="1353"/>
      <c r="JV177" s="1353"/>
      <c r="JW177" s="1353"/>
      <c r="JX177" s="1353"/>
      <c r="JY177" s="1353"/>
      <c r="JZ177" s="1353"/>
      <c r="KA177" s="1353"/>
      <c r="KB177" s="1353"/>
      <c r="KC177" s="1353"/>
      <c r="KD177" s="1353"/>
      <c r="KE177" s="1353"/>
      <c r="KF177" s="1353"/>
      <c r="KG177" s="1353"/>
      <c r="KH177" s="1353"/>
      <c r="KI177" s="1353"/>
      <c r="KJ177" s="1353"/>
      <c r="KK177" s="1353"/>
    </row>
    <row r="178" ht="14.25" customHeight="1">
      <c r="A178" s="1353"/>
      <c r="B178" s="3009"/>
      <c r="C178" s="3011"/>
      <c r="D178" s="3013"/>
      <c r="E178" s="3018"/>
      <c r="F178" s="3018"/>
      <c r="G178" s="3009"/>
      <c r="H178" s="3009"/>
      <c r="I178" s="3009"/>
      <c r="J178" s="3009"/>
      <c r="K178" s="3009"/>
      <c r="L178" s="3009"/>
      <c r="M178" s="3009"/>
      <c r="N178" s="1353"/>
      <c r="O178" s="1353"/>
      <c r="P178" s="1353"/>
      <c r="Q178" s="1353"/>
      <c r="R178" s="1353"/>
      <c r="S178" s="1353"/>
      <c r="T178" s="1353"/>
      <c r="U178" s="1353"/>
      <c r="V178" s="1353"/>
      <c r="W178" s="1353"/>
      <c r="X178" s="1353"/>
      <c r="Y178" s="1353"/>
      <c r="Z178" s="1353"/>
      <c r="AA178" s="1353"/>
      <c r="AB178" s="2993"/>
      <c r="AC178" s="2993"/>
      <c r="AD178" s="2993"/>
      <c r="AE178" s="2993"/>
      <c r="AF178" s="2993"/>
      <c r="AG178" s="2993"/>
      <c r="AH178" s="2993"/>
      <c r="AI178" s="1353"/>
      <c r="AJ178" s="1353"/>
      <c r="AK178" s="1353"/>
      <c r="AL178" s="1353"/>
      <c r="AM178" s="1353"/>
      <c r="AN178" s="1353"/>
      <c r="AO178" s="1353"/>
      <c r="AP178" s="1353"/>
      <c r="AQ178" s="1353"/>
      <c r="AR178" s="1353"/>
      <c r="AS178" s="1353"/>
      <c r="AT178" s="1353"/>
      <c r="AU178" s="1353"/>
      <c r="AV178" s="1353"/>
      <c r="AW178" s="1353"/>
      <c r="AX178" s="1353"/>
      <c r="AY178" s="1353"/>
      <c r="AZ178" s="1353"/>
      <c r="BA178" s="1353"/>
      <c r="BB178" s="1353"/>
      <c r="BC178" s="1353"/>
      <c r="BD178" s="1353"/>
      <c r="BE178" s="1353"/>
      <c r="BF178" s="1353"/>
      <c r="BG178" s="1353"/>
      <c r="BH178" s="1353"/>
      <c r="BI178" s="1353"/>
      <c r="BJ178" s="1353"/>
      <c r="BK178" s="1353"/>
      <c r="BL178" s="1353"/>
      <c r="BM178" s="1353"/>
      <c r="BN178" s="1353"/>
      <c r="BO178" s="1353"/>
      <c r="BP178" s="1353"/>
      <c r="BQ178" s="1353"/>
      <c r="BR178" s="1353"/>
      <c r="BS178" s="1353"/>
      <c r="BT178" s="1353"/>
      <c r="BU178" s="1353"/>
      <c r="BV178" s="1353"/>
      <c r="BW178" s="1353"/>
      <c r="BX178" s="1353"/>
      <c r="BY178" s="1353"/>
      <c r="BZ178" s="1353"/>
      <c r="CA178" s="1353"/>
      <c r="CB178" s="1353"/>
      <c r="CC178" s="1353"/>
      <c r="CD178" s="1353"/>
      <c r="CE178" s="1353"/>
      <c r="CF178" s="1353"/>
      <c r="CG178" s="1353"/>
      <c r="CH178" s="1353"/>
      <c r="CI178" s="1353"/>
      <c r="CJ178" s="1353"/>
      <c r="CK178" s="1353"/>
      <c r="CL178" s="1353"/>
      <c r="CM178" s="1353"/>
      <c r="CN178" s="1353"/>
      <c r="CO178" s="1353"/>
      <c r="CP178" s="1353"/>
      <c r="CQ178" s="1353"/>
      <c r="CR178" s="1353"/>
      <c r="CS178" s="1353"/>
      <c r="CT178" s="1353"/>
      <c r="CU178" s="1353"/>
      <c r="CV178" s="1353"/>
      <c r="CW178" s="1353"/>
      <c r="CX178" s="1353"/>
      <c r="CY178" s="1353"/>
      <c r="CZ178" s="1353"/>
      <c r="DA178" s="1353"/>
      <c r="DB178" s="1353"/>
      <c r="DC178" s="1353"/>
      <c r="DD178" s="1353"/>
      <c r="DE178" s="1353"/>
      <c r="DF178" s="1353"/>
      <c r="DG178" s="1353"/>
      <c r="DH178" s="1353"/>
      <c r="DI178" s="1353"/>
      <c r="DJ178" s="1353"/>
      <c r="DK178" s="1353"/>
      <c r="DL178" s="1353"/>
      <c r="DM178" s="1353"/>
      <c r="DN178" s="1353"/>
      <c r="DO178" s="1353"/>
      <c r="DP178" s="1353"/>
      <c r="DQ178" s="1353"/>
      <c r="DR178" s="1353"/>
      <c r="DS178" s="1353"/>
      <c r="DT178" s="1353"/>
      <c r="DU178" s="1353"/>
      <c r="DV178" s="1353"/>
      <c r="DW178" s="1353"/>
      <c r="DX178" s="1353"/>
      <c r="DY178" s="1353"/>
      <c r="DZ178" s="1353"/>
      <c r="EA178" s="1353"/>
      <c r="EB178" s="1353"/>
      <c r="EC178" s="1353"/>
      <c r="ED178" s="1353"/>
      <c r="EE178" s="1353"/>
      <c r="EF178" s="1353"/>
      <c r="EG178" s="1353"/>
      <c r="EH178" s="1353"/>
      <c r="EI178" s="1353"/>
      <c r="EJ178" s="1353"/>
      <c r="EK178" s="1353"/>
      <c r="EL178" s="1353"/>
      <c r="EM178" s="1353"/>
      <c r="EN178" s="1353"/>
      <c r="EO178" s="1353"/>
      <c r="EP178" s="1353"/>
      <c r="EQ178" s="1353"/>
      <c r="ER178" s="1353"/>
      <c r="ES178" s="1353"/>
      <c r="ET178" s="1353"/>
      <c r="EU178" s="1353"/>
      <c r="EV178" s="1353"/>
      <c r="EW178" s="1353"/>
      <c r="EX178" s="1353"/>
      <c r="EY178" s="1353"/>
      <c r="EZ178" s="1353"/>
      <c r="FA178" s="1353"/>
      <c r="FB178" s="1353"/>
      <c r="FC178" s="1353"/>
      <c r="FD178" s="1353"/>
      <c r="FE178" s="1353"/>
      <c r="FF178" s="1353"/>
      <c r="FG178" s="1353"/>
      <c r="FH178" s="1353"/>
      <c r="FI178" s="1353"/>
      <c r="FJ178" s="1353"/>
      <c r="FK178" s="1353"/>
      <c r="FL178" s="1353"/>
      <c r="FM178" s="1353"/>
      <c r="FN178" s="1353"/>
      <c r="FO178" s="1353"/>
      <c r="FP178" s="1353"/>
      <c r="FQ178" s="1353"/>
      <c r="FR178" s="1353"/>
      <c r="FS178" s="1353"/>
      <c r="FT178" s="1353"/>
      <c r="FU178" s="1353"/>
      <c r="FV178" s="1353"/>
      <c r="FW178" s="1353"/>
      <c r="FX178" s="1353"/>
      <c r="FY178" s="1353"/>
      <c r="FZ178" s="1353"/>
      <c r="GA178" s="1353"/>
      <c r="GB178" s="1353"/>
      <c r="GC178" s="1353"/>
      <c r="GD178" s="1353"/>
      <c r="GE178" s="1353"/>
      <c r="GF178" s="1353"/>
      <c r="GG178" s="1353"/>
      <c r="GH178" s="1353"/>
      <c r="GI178" s="1353"/>
      <c r="GJ178" s="1353"/>
      <c r="GK178" s="1353"/>
      <c r="GL178" s="1353"/>
      <c r="GM178" s="1353"/>
      <c r="GN178" s="1353"/>
      <c r="GO178" s="1353"/>
      <c r="GP178" s="1353"/>
      <c r="GQ178" s="1353"/>
      <c r="GR178" s="1353"/>
      <c r="GS178" s="1353"/>
      <c r="GT178" s="1353"/>
      <c r="GU178" s="1353"/>
      <c r="GV178" s="1353"/>
      <c r="GW178" s="1353"/>
      <c r="GX178" s="1353"/>
      <c r="GY178" s="1353"/>
      <c r="GZ178" s="1353"/>
      <c r="HA178" s="1353"/>
      <c r="HB178" s="1353"/>
      <c r="HC178" s="1353"/>
      <c r="HD178" s="1353"/>
      <c r="HE178" s="1353"/>
      <c r="HF178" s="1353"/>
      <c r="HG178" s="1353"/>
      <c r="HH178" s="1353"/>
      <c r="HI178" s="1353"/>
      <c r="HJ178" s="1353"/>
      <c r="HK178" s="1353"/>
      <c r="HL178" s="1353"/>
      <c r="HM178" s="1353"/>
      <c r="HN178" s="1353"/>
      <c r="HO178" s="1353"/>
      <c r="HP178" s="1353"/>
      <c r="HQ178" s="1353"/>
      <c r="HR178" s="1353"/>
      <c r="HS178" s="1353"/>
      <c r="HT178" s="1353"/>
      <c r="HU178" s="1353"/>
      <c r="HV178" s="1353"/>
      <c r="HW178" s="1353"/>
      <c r="HX178" s="1353"/>
      <c r="HY178" s="1353"/>
      <c r="HZ178" s="1353"/>
      <c r="IA178" s="1353"/>
      <c r="IB178" s="1353"/>
      <c r="IC178" s="1353"/>
      <c r="ID178" s="1353"/>
      <c r="IE178" s="1353"/>
      <c r="IF178" s="1353"/>
      <c r="IG178" s="1353"/>
      <c r="IH178" s="1353"/>
      <c r="II178" s="1353"/>
      <c r="IJ178" s="1353"/>
      <c r="IK178" s="1353"/>
      <c r="IL178" s="1353"/>
      <c r="IM178" s="1353"/>
      <c r="IN178" s="1353"/>
      <c r="IO178" s="1353"/>
      <c r="IP178" s="1353"/>
      <c r="IQ178" s="1353"/>
      <c r="IR178" s="1353"/>
      <c r="IS178" s="1353"/>
      <c r="IT178" s="1353"/>
      <c r="IU178" s="1353"/>
      <c r="IV178" s="1353"/>
      <c r="IW178" s="1353"/>
      <c r="IX178" s="1353"/>
      <c r="IY178" s="1353"/>
      <c r="IZ178" s="1353"/>
      <c r="JA178" s="1353"/>
      <c r="JB178" s="1353"/>
      <c r="JC178" s="1353"/>
      <c r="JD178" s="1353"/>
      <c r="JE178" s="1353"/>
      <c r="JF178" s="1353"/>
      <c r="JG178" s="1353"/>
      <c r="JH178" s="1353"/>
      <c r="JI178" s="1353"/>
      <c r="JJ178" s="1353"/>
      <c r="JK178" s="1353"/>
      <c r="JL178" s="1353"/>
      <c r="JM178" s="1353"/>
      <c r="JN178" s="1353"/>
      <c r="JO178" s="1353"/>
      <c r="JP178" s="1353"/>
      <c r="JQ178" s="1353"/>
      <c r="JR178" s="1353"/>
      <c r="JS178" s="1353"/>
      <c r="JT178" s="1353"/>
      <c r="JU178" s="1353"/>
      <c r="JV178" s="1353"/>
      <c r="JW178" s="1353"/>
      <c r="JX178" s="1353"/>
      <c r="JY178" s="1353"/>
      <c r="JZ178" s="1353"/>
      <c r="KA178" s="1353"/>
      <c r="KB178" s="1353"/>
      <c r="KC178" s="1353"/>
      <c r="KD178" s="1353"/>
      <c r="KE178" s="1353"/>
      <c r="KF178" s="1353"/>
      <c r="KG178" s="1353"/>
      <c r="KH178" s="1353"/>
      <c r="KI178" s="1353"/>
      <c r="KJ178" s="1353"/>
      <c r="KK178" s="1353"/>
    </row>
    <row r="179" ht="14.25" customHeight="1">
      <c r="A179" s="1353"/>
      <c r="B179" s="3010" t="s">
        <v>2987</v>
      </c>
      <c r="C179" s="3011"/>
      <c r="D179" s="3012">
        <v>0</v>
      </c>
      <c r="E179" s="3014" t="s">
        <v>2988</v>
      </c>
      <c r="F179" s="3014"/>
      <c r="G179" s="3009"/>
      <c r="H179" s="3009"/>
      <c r="I179" s="3009"/>
      <c r="J179" s="3009"/>
      <c r="K179" s="3009"/>
      <c r="L179" s="3009"/>
      <c r="M179" s="3009"/>
      <c r="N179" s="1353"/>
      <c r="O179" s="1353"/>
      <c r="P179" s="1353"/>
      <c r="Q179" s="1353"/>
      <c r="R179" s="1353"/>
      <c r="S179" s="1353"/>
      <c r="T179" s="1353"/>
      <c r="U179" s="1353"/>
      <c r="V179" s="1353"/>
      <c r="W179" s="1353"/>
      <c r="X179" s="1353"/>
      <c r="Y179" s="1353"/>
      <c r="Z179" s="1353"/>
      <c r="AA179" s="1353"/>
      <c r="AB179" s="2993"/>
      <c r="AC179" s="2993"/>
      <c r="AD179" s="2993"/>
      <c r="AE179" s="2993"/>
      <c r="AF179" s="2993"/>
      <c r="AG179" s="2993"/>
      <c r="AH179" s="2993"/>
      <c r="AI179" s="1353"/>
      <c r="AJ179" s="1353"/>
      <c r="AK179" s="1353"/>
      <c r="AL179" s="1353"/>
      <c r="AM179" s="1353"/>
      <c r="AN179" s="1353"/>
      <c r="AO179" s="1353"/>
      <c r="AP179" s="1353"/>
      <c r="AQ179" s="1353"/>
      <c r="AR179" s="1353"/>
      <c r="AS179" s="1353"/>
      <c r="AT179" s="1353"/>
      <c r="AU179" s="1353"/>
      <c r="AV179" s="1353"/>
      <c r="AW179" s="1353"/>
      <c r="AX179" s="1353"/>
      <c r="AY179" s="1353"/>
      <c r="AZ179" s="1353"/>
      <c r="BA179" s="1353"/>
      <c r="BB179" s="1353"/>
      <c r="BC179" s="1353"/>
      <c r="BD179" s="1353"/>
      <c r="BE179" s="1353"/>
      <c r="BF179" s="1353"/>
      <c r="BG179" s="1353"/>
      <c r="BH179" s="1353"/>
      <c r="BI179" s="1353"/>
      <c r="BJ179" s="1353"/>
      <c r="BK179" s="1353"/>
      <c r="BL179" s="1353"/>
      <c r="BM179" s="1353"/>
      <c r="BN179" s="1353"/>
      <c r="BO179" s="1353"/>
      <c r="BP179" s="1353"/>
      <c r="BQ179" s="1353"/>
      <c r="BR179" s="1353"/>
      <c r="BS179" s="1353"/>
      <c r="BT179" s="1353"/>
      <c r="BU179" s="1353"/>
      <c r="BV179" s="1353"/>
      <c r="BW179" s="1353"/>
      <c r="BX179" s="1353"/>
      <c r="BY179" s="1353"/>
      <c r="BZ179" s="1353"/>
      <c r="CA179" s="1353"/>
      <c r="CB179" s="1353"/>
      <c r="CC179" s="1353"/>
      <c r="CD179" s="1353"/>
      <c r="CE179" s="1353"/>
      <c r="CF179" s="1353"/>
      <c r="CG179" s="1353"/>
      <c r="CH179" s="1353"/>
      <c r="CI179" s="1353"/>
      <c r="CJ179" s="1353"/>
      <c r="CK179" s="1353"/>
      <c r="CL179" s="1353"/>
      <c r="CM179" s="1353"/>
      <c r="CN179" s="1353"/>
      <c r="CO179" s="1353"/>
      <c r="CP179" s="1353"/>
      <c r="CQ179" s="1353"/>
      <c r="CR179" s="1353"/>
      <c r="CS179" s="1353"/>
      <c r="CT179" s="1353"/>
      <c r="CU179" s="1353"/>
      <c r="CV179" s="1353"/>
      <c r="CW179" s="1353"/>
      <c r="CX179" s="1353"/>
      <c r="CY179" s="1353"/>
      <c r="CZ179" s="1353"/>
      <c r="DA179" s="1353"/>
      <c r="DB179" s="1353"/>
      <c r="DC179" s="1353"/>
      <c r="DD179" s="1353"/>
      <c r="DE179" s="1353"/>
      <c r="DF179" s="1353"/>
      <c r="DG179" s="1353"/>
      <c r="DH179" s="1353"/>
      <c r="DI179" s="1353"/>
      <c r="DJ179" s="1353"/>
      <c r="DK179" s="1353"/>
      <c r="DL179" s="1353"/>
      <c r="DM179" s="1353"/>
      <c r="DN179" s="1353"/>
      <c r="DO179" s="1353"/>
      <c r="DP179" s="1353"/>
      <c r="DQ179" s="1353"/>
      <c r="DR179" s="1353"/>
      <c r="DS179" s="1353"/>
      <c r="DT179" s="1353"/>
      <c r="DU179" s="1353"/>
      <c r="DV179" s="1353"/>
      <c r="DW179" s="1353"/>
      <c r="DX179" s="1353"/>
      <c r="DY179" s="1353"/>
      <c r="DZ179" s="1353"/>
      <c r="EA179" s="1353"/>
      <c r="EB179" s="1353"/>
      <c r="EC179" s="1353"/>
      <c r="ED179" s="1353"/>
      <c r="EE179" s="1353"/>
      <c r="EF179" s="1353"/>
      <c r="EG179" s="1353"/>
      <c r="EH179" s="1353"/>
      <c r="EI179" s="1353"/>
      <c r="EJ179" s="1353"/>
      <c r="EK179" s="1353"/>
      <c r="EL179" s="1353"/>
      <c r="EM179" s="1353"/>
      <c r="EN179" s="1353"/>
      <c r="EO179" s="1353"/>
      <c r="EP179" s="1353"/>
      <c r="EQ179" s="1353"/>
      <c r="ER179" s="1353"/>
      <c r="ES179" s="1353"/>
      <c r="ET179" s="1353"/>
      <c r="EU179" s="1353"/>
      <c r="EV179" s="1353"/>
      <c r="EW179" s="1353"/>
      <c r="EX179" s="1353"/>
      <c r="EY179" s="1353"/>
      <c r="EZ179" s="1353"/>
      <c r="FA179" s="1353"/>
      <c r="FB179" s="1353"/>
      <c r="FC179" s="1353"/>
      <c r="FD179" s="1353"/>
      <c r="FE179" s="1353"/>
      <c r="FF179" s="1353"/>
      <c r="FG179" s="1353"/>
      <c r="FH179" s="1353"/>
      <c r="FI179" s="1353"/>
      <c r="FJ179" s="1353"/>
      <c r="FK179" s="1353"/>
      <c r="FL179" s="1353"/>
      <c r="FM179" s="1353"/>
      <c r="FN179" s="1353"/>
      <c r="FO179" s="1353"/>
      <c r="FP179" s="1353"/>
      <c r="FQ179" s="1353"/>
      <c r="FR179" s="1353"/>
      <c r="FS179" s="1353"/>
      <c r="FT179" s="1353"/>
      <c r="FU179" s="1353"/>
      <c r="FV179" s="1353"/>
      <c r="FW179" s="1353"/>
      <c r="FX179" s="1353"/>
      <c r="FY179" s="1353"/>
      <c r="FZ179" s="1353"/>
      <c r="GA179" s="1353"/>
      <c r="GB179" s="1353"/>
      <c r="GC179" s="1353"/>
      <c r="GD179" s="1353"/>
      <c r="GE179" s="1353"/>
      <c r="GF179" s="1353"/>
      <c r="GG179" s="1353"/>
      <c r="GH179" s="1353"/>
      <c r="GI179" s="1353"/>
      <c r="GJ179" s="1353"/>
      <c r="GK179" s="1353"/>
      <c r="GL179" s="1353"/>
      <c r="GM179" s="1353"/>
      <c r="GN179" s="1353"/>
      <c r="GO179" s="1353"/>
      <c r="GP179" s="1353"/>
      <c r="GQ179" s="1353"/>
      <c r="GR179" s="1353"/>
      <c r="GS179" s="1353"/>
      <c r="GT179" s="1353"/>
      <c r="GU179" s="1353"/>
      <c r="GV179" s="1353"/>
      <c r="GW179" s="1353"/>
      <c r="GX179" s="1353"/>
      <c r="GY179" s="1353"/>
      <c r="GZ179" s="1353"/>
      <c r="HA179" s="1353"/>
      <c r="HB179" s="1353"/>
      <c r="HC179" s="1353"/>
      <c r="HD179" s="1353"/>
      <c r="HE179" s="1353"/>
      <c r="HF179" s="1353"/>
      <c r="HG179" s="1353"/>
      <c r="HH179" s="1353"/>
      <c r="HI179" s="1353"/>
      <c r="HJ179" s="1353"/>
      <c r="HK179" s="1353"/>
      <c r="HL179" s="1353"/>
      <c r="HM179" s="1353"/>
      <c r="HN179" s="1353"/>
      <c r="HO179" s="1353"/>
      <c r="HP179" s="1353"/>
      <c r="HQ179" s="1353"/>
      <c r="HR179" s="1353"/>
      <c r="HS179" s="1353"/>
      <c r="HT179" s="1353"/>
      <c r="HU179" s="1353"/>
      <c r="HV179" s="1353"/>
      <c r="HW179" s="1353"/>
      <c r="HX179" s="1353"/>
      <c r="HY179" s="1353"/>
      <c r="HZ179" s="1353"/>
      <c r="IA179" s="1353"/>
      <c r="IB179" s="1353"/>
      <c r="IC179" s="1353"/>
      <c r="ID179" s="1353"/>
      <c r="IE179" s="1353"/>
      <c r="IF179" s="1353"/>
      <c r="IG179" s="1353"/>
      <c r="IH179" s="1353"/>
      <c r="II179" s="1353"/>
      <c r="IJ179" s="1353"/>
      <c r="IK179" s="1353"/>
      <c r="IL179" s="1353"/>
      <c r="IM179" s="1353"/>
      <c r="IN179" s="1353"/>
      <c r="IO179" s="1353"/>
      <c r="IP179" s="1353"/>
      <c r="IQ179" s="1353"/>
      <c r="IR179" s="1353"/>
      <c r="IS179" s="1353"/>
      <c r="IT179" s="1353"/>
      <c r="IU179" s="1353"/>
      <c r="IV179" s="1353"/>
      <c r="IW179" s="1353"/>
      <c r="IX179" s="1353"/>
      <c r="IY179" s="1353"/>
      <c r="IZ179" s="1353"/>
      <c r="JA179" s="1353"/>
      <c r="JB179" s="1353"/>
      <c r="JC179" s="1353"/>
      <c r="JD179" s="1353"/>
      <c r="JE179" s="1353"/>
      <c r="JF179" s="1353"/>
      <c r="JG179" s="1353"/>
      <c r="JH179" s="1353"/>
      <c r="JI179" s="1353"/>
      <c r="JJ179" s="1353"/>
      <c r="JK179" s="1353"/>
      <c r="JL179" s="1353"/>
      <c r="JM179" s="1353"/>
      <c r="JN179" s="1353"/>
      <c r="JO179" s="1353"/>
      <c r="JP179" s="1353"/>
      <c r="JQ179" s="1353"/>
      <c r="JR179" s="1353"/>
      <c r="JS179" s="1353"/>
      <c r="JT179" s="1353"/>
      <c r="JU179" s="1353"/>
      <c r="JV179" s="1353"/>
      <c r="JW179" s="1353"/>
      <c r="JX179" s="1353"/>
      <c r="JY179" s="1353"/>
      <c r="JZ179" s="1353"/>
      <c r="KA179" s="1353"/>
      <c r="KB179" s="1353"/>
      <c r="KC179" s="1353"/>
      <c r="KD179" s="1353"/>
      <c r="KE179" s="1353"/>
      <c r="KF179" s="1353"/>
      <c r="KG179" s="1353"/>
      <c r="KH179" s="1353"/>
      <c r="KI179" s="1353"/>
      <c r="KJ179" s="1353"/>
      <c r="KK179" s="1353"/>
    </row>
    <row r="180" ht="14.25" customHeight="1">
      <c r="A180" s="1353"/>
      <c r="B180" s="1353"/>
      <c r="C180" s="1353"/>
      <c r="D180" s="1353"/>
      <c r="E180" s="1353"/>
      <c r="F180" s="1353"/>
      <c r="G180" s="1353"/>
      <c r="H180" s="1353"/>
      <c r="I180" s="1353"/>
      <c r="J180" s="1353"/>
      <c r="K180" s="1353"/>
      <c r="L180" s="1353"/>
      <c r="M180" s="1353"/>
      <c r="N180" s="1353"/>
      <c r="O180" s="1353"/>
      <c r="P180" s="1353"/>
      <c r="Q180" s="1353"/>
      <c r="R180" s="1353"/>
      <c r="S180" s="1353"/>
      <c r="T180" s="1353"/>
      <c r="U180" s="1353"/>
      <c r="V180" s="1353"/>
      <c r="W180" s="1353"/>
      <c r="X180" s="1353"/>
      <c r="Y180" s="1353"/>
      <c r="Z180" s="1353"/>
      <c r="AA180" s="1353"/>
      <c r="AB180" s="2993"/>
      <c r="AC180" s="2993"/>
      <c r="AD180" s="2993"/>
      <c r="AE180" s="2993"/>
      <c r="AF180" s="2993"/>
      <c r="AG180" s="2993"/>
      <c r="AH180" s="2993"/>
      <c r="AI180" s="1353"/>
      <c r="AJ180" s="1353"/>
      <c r="AK180" s="1353"/>
      <c r="AL180" s="1353"/>
      <c r="AM180" s="1353"/>
      <c r="AN180" s="1353"/>
      <c r="AO180" s="1353"/>
      <c r="AP180" s="1353"/>
      <c r="AQ180" s="1353"/>
      <c r="AR180" s="1353"/>
      <c r="AS180" s="1353"/>
      <c r="AT180" s="1353"/>
      <c r="AU180" s="1353"/>
      <c r="AV180" s="1353"/>
      <c r="AW180" s="1353"/>
      <c r="AX180" s="1353"/>
      <c r="AY180" s="1353"/>
      <c r="AZ180" s="1353"/>
      <c r="BA180" s="1353"/>
      <c r="BB180" s="1353"/>
      <c r="BC180" s="1353"/>
      <c r="BD180" s="1353"/>
      <c r="BE180" s="1353"/>
      <c r="BF180" s="1353"/>
      <c r="BG180" s="1353"/>
      <c r="BH180" s="1353"/>
      <c r="BI180" s="1353"/>
      <c r="BJ180" s="1353"/>
      <c r="BK180" s="1353"/>
      <c r="BL180" s="1353"/>
      <c r="BM180" s="1353"/>
      <c r="BN180" s="1353"/>
      <c r="BO180" s="1353"/>
      <c r="BP180" s="1353"/>
      <c r="BQ180" s="1353"/>
      <c r="BR180" s="1353"/>
      <c r="BS180" s="1353"/>
      <c r="BT180" s="1353"/>
      <c r="BU180" s="1353"/>
      <c r="BV180" s="1353"/>
      <c r="BW180" s="1353"/>
      <c r="BX180" s="1353"/>
      <c r="BY180" s="1353"/>
      <c r="BZ180" s="1353"/>
      <c r="CA180" s="1353"/>
      <c r="CB180" s="1353"/>
      <c r="CC180" s="1353"/>
      <c r="CD180" s="1353"/>
      <c r="CE180" s="1353"/>
      <c r="CF180" s="1353"/>
      <c r="CG180" s="1353"/>
      <c r="CH180" s="1353"/>
      <c r="CI180" s="1353"/>
      <c r="CJ180" s="1353"/>
      <c r="CK180" s="1353"/>
      <c r="CL180" s="1353"/>
      <c r="CM180" s="1353"/>
      <c r="CN180" s="1353"/>
      <c r="CO180" s="1353"/>
      <c r="CP180" s="1353"/>
      <c r="CQ180" s="1353"/>
      <c r="CR180" s="1353"/>
      <c r="CS180" s="1353"/>
      <c r="CT180" s="1353"/>
      <c r="CU180" s="1353"/>
      <c r="CV180" s="1353"/>
      <c r="CW180" s="1353"/>
      <c r="CX180" s="1353"/>
      <c r="CY180" s="1353"/>
      <c r="CZ180" s="1353"/>
      <c r="DA180" s="1353"/>
      <c r="DB180" s="1353"/>
      <c r="DC180" s="1353"/>
      <c r="DD180" s="1353"/>
      <c r="DE180" s="1353"/>
      <c r="DF180" s="1353"/>
      <c r="DG180" s="1353"/>
      <c r="DH180" s="1353"/>
      <c r="DI180" s="1353"/>
      <c r="DJ180" s="1353"/>
      <c r="DK180" s="1353"/>
      <c r="DL180" s="1353"/>
      <c r="DM180" s="1353"/>
      <c r="DN180" s="1353"/>
      <c r="DO180" s="1353"/>
      <c r="DP180" s="1353"/>
      <c r="DQ180" s="1353"/>
      <c r="DR180" s="1353"/>
      <c r="DS180" s="1353"/>
      <c r="DT180" s="1353"/>
      <c r="DU180" s="1353"/>
      <c r="DV180" s="1353"/>
      <c r="DW180" s="1353"/>
      <c r="DX180" s="1353"/>
      <c r="DY180" s="1353"/>
      <c r="DZ180" s="1353"/>
      <c r="EA180" s="1353"/>
      <c r="EB180" s="1353"/>
      <c r="EC180" s="1353"/>
      <c r="ED180" s="1353"/>
      <c r="EE180" s="1353"/>
      <c r="EF180" s="1353"/>
      <c r="EG180" s="1353"/>
      <c r="EH180" s="1353"/>
      <c r="EI180" s="1353"/>
      <c r="EJ180" s="1353"/>
      <c r="EK180" s="1353"/>
      <c r="EL180" s="1353"/>
      <c r="EM180" s="1353"/>
      <c r="EN180" s="1353"/>
      <c r="EO180" s="1353"/>
      <c r="EP180" s="1353"/>
      <c r="EQ180" s="1353"/>
      <c r="ER180" s="1353"/>
      <c r="ES180" s="1353"/>
      <c r="ET180" s="1353"/>
      <c r="EU180" s="1353"/>
      <c r="EV180" s="1353"/>
      <c r="EW180" s="1353"/>
      <c r="EX180" s="1353"/>
      <c r="EY180" s="1353"/>
      <c r="EZ180" s="1353"/>
      <c r="FA180" s="1353"/>
      <c r="FB180" s="1353"/>
      <c r="FC180" s="1353"/>
      <c r="FD180" s="1353"/>
      <c r="FE180" s="1353"/>
      <c r="FF180" s="1353"/>
      <c r="FG180" s="1353"/>
      <c r="FH180" s="1353"/>
      <c r="FI180" s="1353"/>
      <c r="FJ180" s="1353"/>
      <c r="FK180" s="1353"/>
      <c r="FL180" s="1353"/>
      <c r="FM180" s="1353"/>
      <c r="FN180" s="1353"/>
      <c r="FO180" s="1353"/>
      <c r="FP180" s="1353"/>
      <c r="FQ180" s="1353"/>
      <c r="FR180" s="1353"/>
      <c r="FS180" s="1353"/>
      <c r="FT180" s="1353"/>
      <c r="FU180" s="1353"/>
      <c r="FV180" s="1353"/>
      <c r="FW180" s="1353"/>
      <c r="FX180" s="1353"/>
      <c r="FY180" s="1353"/>
      <c r="FZ180" s="1353"/>
      <c r="GA180" s="1353"/>
      <c r="GB180" s="1353"/>
      <c r="GC180" s="1353"/>
      <c r="GD180" s="1353"/>
      <c r="GE180" s="1353"/>
      <c r="GF180" s="1353"/>
      <c r="GG180" s="1353"/>
      <c r="GH180" s="1353"/>
      <c r="GI180" s="1353"/>
      <c r="GJ180" s="1353"/>
      <c r="GK180" s="1353"/>
      <c r="GL180" s="1353"/>
      <c r="GM180" s="1353"/>
      <c r="GN180" s="1353"/>
      <c r="GO180" s="1353"/>
      <c r="GP180" s="1353"/>
      <c r="GQ180" s="1353"/>
      <c r="GR180" s="1353"/>
      <c r="GS180" s="1353"/>
      <c r="GT180" s="1353"/>
      <c r="GU180" s="1353"/>
      <c r="GV180" s="1353"/>
      <c r="GW180" s="1353"/>
      <c r="GX180" s="1353"/>
      <c r="GY180" s="1353"/>
      <c r="GZ180" s="1353"/>
      <c r="HA180" s="1353"/>
      <c r="HB180" s="1353"/>
      <c r="HC180" s="1353"/>
      <c r="HD180" s="1353"/>
      <c r="HE180" s="1353"/>
      <c r="HF180" s="1353"/>
      <c r="HG180" s="1353"/>
      <c r="HH180" s="1353"/>
      <c r="HI180" s="1353"/>
      <c r="HJ180" s="1353"/>
      <c r="HK180" s="1353"/>
      <c r="HL180" s="1353"/>
      <c r="HM180" s="1353"/>
      <c r="HN180" s="1353"/>
      <c r="HO180" s="1353"/>
      <c r="HP180" s="1353"/>
      <c r="HQ180" s="1353"/>
      <c r="HR180" s="1353"/>
      <c r="HS180" s="1353"/>
      <c r="HT180" s="1353"/>
      <c r="HU180" s="1353"/>
      <c r="HV180" s="1353"/>
      <c r="HW180" s="1353"/>
      <c r="HX180" s="1353"/>
      <c r="HY180" s="1353"/>
      <c r="HZ180" s="1353"/>
      <c r="IA180" s="1353"/>
      <c r="IB180" s="1353"/>
      <c r="IC180" s="1353"/>
      <c r="ID180" s="1353"/>
      <c r="IE180" s="1353"/>
      <c r="IF180" s="1353"/>
      <c r="IG180" s="1353"/>
      <c r="IH180" s="1353"/>
      <c r="II180" s="1353"/>
      <c r="IJ180" s="1353"/>
      <c r="IK180" s="1353"/>
      <c r="IL180" s="1353"/>
      <c r="IM180" s="1353"/>
      <c r="IN180" s="1353"/>
      <c r="IO180" s="1353"/>
      <c r="IP180" s="1353"/>
      <c r="IQ180" s="1353"/>
      <c r="IR180" s="1353"/>
      <c r="IS180" s="1353"/>
      <c r="IT180" s="1353"/>
      <c r="IU180" s="1353"/>
      <c r="IV180" s="1353"/>
      <c r="IW180" s="1353"/>
      <c r="IX180" s="1353"/>
      <c r="IY180" s="1353"/>
      <c r="IZ180" s="1353"/>
      <c r="JA180" s="1353"/>
      <c r="JB180" s="1353"/>
      <c r="JC180" s="1353"/>
      <c r="JD180" s="1353"/>
      <c r="JE180" s="1353"/>
      <c r="JF180" s="1353"/>
      <c r="JG180" s="1353"/>
      <c r="JH180" s="1353"/>
      <c r="JI180" s="1353"/>
      <c r="JJ180" s="1353"/>
      <c r="JK180" s="1353"/>
      <c r="JL180" s="1353"/>
      <c r="JM180" s="1353"/>
      <c r="JN180" s="1353"/>
      <c r="JO180" s="1353"/>
      <c r="JP180" s="1353"/>
      <c r="JQ180" s="1353"/>
      <c r="JR180" s="1353"/>
      <c r="JS180" s="1353"/>
      <c r="JT180" s="1353"/>
      <c r="JU180" s="1353"/>
      <c r="JV180" s="1353"/>
      <c r="JW180" s="1353"/>
      <c r="JX180" s="1353"/>
      <c r="JY180" s="1353"/>
      <c r="JZ180" s="1353"/>
      <c r="KA180" s="1353"/>
      <c r="KB180" s="1353"/>
      <c r="KC180" s="1353"/>
      <c r="KD180" s="1353"/>
      <c r="KE180" s="1353"/>
      <c r="KF180" s="1353"/>
      <c r="KG180" s="1353"/>
      <c r="KH180" s="1353"/>
      <c r="KI180" s="1353"/>
      <c r="KJ180" s="1353"/>
      <c r="KK180" s="1353"/>
    </row>
    <row r="181" ht="14.25" customHeight="1">
      <c r="A181" s="1353"/>
      <c r="B181" s="1353"/>
      <c r="C181" s="1353"/>
      <c r="D181" s="1353"/>
      <c r="E181" s="1353"/>
      <c r="F181" s="1353"/>
      <c r="G181" s="1353"/>
      <c r="H181" s="1353"/>
      <c r="I181" s="1353"/>
      <c r="J181" s="1353"/>
      <c r="K181" s="1353"/>
      <c r="L181" s="1353"/>
      <c r="M181" s="1353"/>
      <c r="N181" s="1353"/>
      <c r="O181" s="1353"/>
      <c r="P181" s="1353"/>
      <c r="Q181" s="1353"/>
      <c r="R181" s="1353"/>
      <c r="S181" s="1353"/>
      <c r="T181" s="1353"/>
      <c r="U181" s="1353"/>
      <c r="V181" s="1353"/>
      <c r="W181" s="1353"/>
      <c r="X181" s="1353"/>
      <c r="Y181" s="1353"/>
      <c r="Z181" s="1353"/>
      <c r="AA181" s="1353"/>
      <c r="AB181" s="2993"/>
      <c r="AC181" s="2993"/>
      <c r="AD181" s="2993"/>
      <c r="AE181" s="2993"/>
      <c r="AF181" s="2993"/>
      <c r="AG181" s="2993"/>
      <c r="AH181" s="2993"/>
      <c r="AI181" s="1353"/>
      <c r="AJ181" s="1353"/>
      <c r="AK181" s="1353"/>
      <c r="AL181" s="1353"/>
      <c r="AM181" s="1353"/>
      <c r="AN181" s="1353"/>
      <c r="AO181" s="1353"/>
      <c r="AP181" s="1353"/>
      <c r="AQ181" s="1353"/>
      <c r="AR181" s="1353"/>
      <c r="AS181" s="1353"/>
      <c r="AT181" s="1353"/>
      <c r="AU181" s="1353"/>
      <c r="AV181" s="1353"/>
      <c r="AW181" s="1353"/>
      <c r="AX181" s="1353"/>
      <c r="AY181" s="1353"/>
      <c r="AZ181" s="1353"/>
      <c r="BA181" s="1353"/>
      <c r="BB181" s="1353"/>
      <c r="BC181" s="1353"/>
      <c r="BD181" s="1353"/>
      <c r="BE181" s="1353"/>
      <c r="BF181" s="1353"/>
      <c r="BG181" s="1353"/>
      <c r="BH181" s="1353"/>
      <c r="BI181" s="1353"/>
      <c r="BJ181" s="1353"/>
      <c r="BK181" s="1353"/>
      <c r="BL181" s="1353"/>
      <c r="BM181" s="1353"/>
      <c r="BN181" s="1353"/>
      <c r="BO181" s="1353"/>
      <c r="BP181" s="1353"/>
      <c r="BQ181" s="1353"/>
      <c r="BR181" s="1353"/>
      <c r="BS181" s="1353"/>
      <c r="BT181" s="1353"/>
      <c r="BU181" s="1353"/>
      <c r="BV181" s="1353"/>
      <c r="BW181" s="1353"/>
      <c r="BX181" s="1353"/>
      <c r="BY181" s="1353"/>
      <c r="BZ181" s="1353"/>
      <c r="CA181" s="1353"/>
      <c r="CB181" s="1353"/>
      <c r="CC181" s="1353"/>
      <c r="CD181" s="1353"/>
      <c r="CE181" s="1353"/>
      <c r="CF181" s="1353"/>
      <c r="CG181" s="1353"/>
      <c r="CH181" s="1353"/>
      <c r="CI181" s="1353"/>
      <c r="CJ181" s="1353"/>
      <c r="CK181" s="1353"/>
      <c r="CL181" s="1353"/>
      <c r="CM181" s="1353"/>
      <c r="CN181" s="1353"/>
      <c r="CO181" s="1353"/>
      <c r="CP181" s="1353"/>
      <c r="CQ181" s="1353"/>
      <c r="CR181" s="1353"/>
      <c r="CS181" s="1353"/>
      <c r="CT181" s="1353"/>
      <c r="CU181" s="1353"/>
      <c r="CV181" s="1353"/>
      <c r="CW181" s="1353"/>
      <c r="CX181" s="1353"/>
      <c r="CY181" s="1353"/>
      <c r="CZ181" s="1353"/>
      <c r="DA181" s="1353"/>
      <c r="DB181" s="1353"/>
      <c r="DC181" s="1353"/>
      <c r="DD181" s="1353"/>
      <c r="DE181" s="1353"/>
      <c r="DF181" s="1353"/>
      <c r="DG181" s="1353"/>
      <c r="DH181" s="1353"/>
      <c r="DI181" s="1353"/>
      <c r="DJ181" s="1353"/>
      <c r="DK181" s="1353"/>
      <c r="DL181" s="1353"/>
      <c r="DM181" s="1353"/>
      <c r="DN181" s="1353"/>
      <c r="DO181" s="1353"/>
      <c r="DP181" s="1353"/>
      <c r="DQ181" s="1353"/>
      <c r="DR181" s="1353"/>
      <c r="DS181" s="1353"/>
      <c r="DT181" s="1353"/>
      <c r="DU181" s="1353"/>
      <c r="DV181" s="1353"/>
      <c r="DW181" s="1353"/>
      <c r="DX181" s="1353"/>
      <c r="DY181" s="1353"/>
      <c r="DZ181" s="1353"/>
      <c r="EA181" s="1353"/>
      <c r="EB181" s="1353"/>
      <c r="EC181" s="1353"/>
      <c r="ED181" s="1353"/>
      <c r="EE181" s="1353"/>
      <c r="EF181" s="1353"/>
      <c r="EG181" s="1353"/>
      <c r="EH181" s="1353"/>
      <c r="EI181" s="1353"/>
      <c r="EJ181" s="1353"/>
      <c r="EK181" s="1353"/>
      <c r="EL181" s="1353"/>
      <c r="EM181" s="1353"/>
      <c r="EN181" s="1353"/>
      <c r="EO181" s="1353"/>
      <c r="EP181" s="1353"/>
      <c r="EQ181" s="1353"/>
      <c r="ER181" s="1353"/>
      <c r="ES181" s="1353"/>
      <c r="ET181" s="1353"/>
      <c r="EU181" s="1353"/>
      <c r="EV181" s="1353"/>
      <c r="EW181" s="1353"/>
      <c r="EX181" s="1353"/>
      <c r="EY181" s="1353"/>
      <c r="EZ181" s="1353"/>
      <c r="FA181" s="1353"/>
      <c r="FB181" s="1353"/>
      <c r="FC181" s="1353"/>
      <c r="FD181" s="1353"/>
      <c r="FE181" s="1353"/>
      <c r="FF181" s="1353"/>
      <c r="FG181" s="1353"/>
      <c r="FH181" s="1353"/>
      <c r="FI181" s="1353"/>
      <c r="FJ181" s="1353"/>
      <c r="FK181" s="1353"/>
      <c r="FL181" s="1353"/>
      <c r="FM181" s="1353"/>
      <c r="FN181" s="1353"/>
      <c r="FO181" s="1353"/>
      <c r="FP181" s="1353"/>
      <c r="FQ181" s="1353"/>
      <c r="FR181" s="1353"/>
      <c r="FS181" s="1353"/>
      <c r="FT181" s="1353"/>
      <c r="FU181" s="1353"/>
      <c r="FV181" s="1353"/>
      <c r="FW181" s="1353"/>
      <c r="FX181" s="1353"/>
      <c r="FY181" s="1353"/>
      <c r="FZ181" s="1353"/>
      <c r="GA181" s="1353"/>
      <c r="GB181" s="1353"/>
      <c r="GC181" s="1353"/>
      <c r="GD181" s="1353"/>
      <c r="GE181" s="1353"/>
      <c r="GF181" s="1353"/>
      <c r="GG181" s="1353"/>
      <c r="GH181" s="1353"/>
      <c r="GI181" s="1353"/>
      <c r="GJ181" s="1353"/>
      <c r="GK181" s="1353"/>
      <c r="GL181" s="1353"/>
      <c r="GM181" s="1353"/>
      <c r="GN181" s="1353"/>
      <c r="GO181" s="1353"/>
      <c r="GP181" s="1353"/>
      <c r="GQ181" s="1353"/>
      <c r="GR181" s="1353"/>
      <c r="GS181" s="1353"/>
      <c r="GT181" s="1353"/>
      <c r="GU181" s="1353"/>
      <c r="GV181" s="1353"/>
      <c r="GW181" s="1353"/>
      <c r="GX181" s="1353"/>
      <c r="GY181" s="1353"/>
      <c r="GZ181" s="1353"/>
      <c r="HA181" s="1353"/>
      <c r="HB181" s="1353"/>
      <c r="HC181" s="1353"/>
      <c r="HD181" s="1353"/>
      <c r="HE181" s="1353"/>
      <c r="HF181" s="1353"/>
      <c r="HG181" s="1353"/>
      <c r="HH181" s="1353"/>
      <c r="HI181" s="1353"/>
      <c r="HJ181" s="1353"/>
      <c r="HK181" s="1353"/>
      <c r="HL181" s="1353"/>
      <c r="HM181" s="1353"/>
      <c r="HN181" s="1353"/>
      <c r="HO181" s="1353"/>
      <c r="HP181" s="1353"/>
      <c r="HQ181" s="1353"/>
      <c r="HR181" s="1353"/>
      <c r="HS181" s="1353"/>
      <c r="HT181" s="1353"/>
      <c r="HU181" s="1353"/>
      <c r="HV181" s="1353"/>
      <c r="HW181" s="1353"/>
      <c r="HX181" s="1353"/>
      <c r="HY181" s="1353"/>
      <c r="HZ181" s="1353"/>
      <c r="IA181" s="1353"/>
      <c r="IB181" s="1353"/>
      <c r="IC181" s="1353"/>
      <c r="ID181" s="1353"/>
      <c r="IE181" s="1353"/>
      <c r="IF181" s="1353"/>
      <c r="IG181" s="1353"/>
      <c r="IH181" s="1353"/>
      <c r="II181" s="1353"/>
      <c r="IJ181" s="1353"/>
      <c r="IK181" s="1353"/>
      <c r="IL181" s="1353"/>
      <c r="IM181" s="1353"/>
      <c r="IN181" s="1353"/>
      <c r="IO181" s="1353"/>
      <c r="IP181" s="1353"/>
      <c r="IQ181" s="1353"/>
      <c r="IR181" s="1353"/>
      <c r="IS181" s="1353"/>
      <c r="IT181" s="1353"/>
      <c r="IU181" s="1353"/>
      <c r="IV181" s="1353"/>
      <c r="IW181" s="1353"/>
      <c r="IX181" s="1353"/>
      <c r="IY181" s="1353"/>
      <c r="IZ181" s="1353"/>
      <c r="JA181" s="1353"/>
      <c r="JB181" s="1353"/>
      <c r="JC181" s="1353"/>
      <c r="JD181" s="1353"/>
      <c r="JE181" s="1353"/>
      <c r="JF181" s="1353"/>
      <c r="JG181" s="1353"/>
      <c r="JH181" s="1353"/>
      <c r="JI181" s="1353"/>
      <c r="JJ181" s="1353"/>
      <c r="JK181" s="1353"/>
      <c r="JL181" s="1353"/>
      <c r="JM181" s="1353"/>
      <c r="JN181" s="1353"/>
      <c r="JO181" s="1353"/>
      <c r="JP181" s="1353"/>
      <c r="JQ181" s="1353"/>
      <c r="JR181" s="1353"/>
      <c r="JS181" s="1353"/>
      <c r="JT181" s="1353"/>
      <c r="JU181" s="1353"/>
      <c r="JV181" s="1353"/>
      <c r="JW181" s="1353"/>
      <c r="JX181" s="1353"/>
      <c r="JY181" s="1353"/>
      <c r="JZ181" s="1353"/>
      <c r="KA181" s="1353"/>
      <c r="KB181" s="1353"/>
      <c r="KC181" s="1353"/>
      <c r="KD181" s="1353"/>
      <c r="KE181" s="1353"/>
      <c r="KF181" s="1353"/>
      <c r="KG181" s="1353"/>
      <c r="KH181" s="1353"/>
      <c r="KI181" s="1353"/>
      <c r="KJ181" s="1353"/>
      <c r="KK181" s="1353"/>
    </row>
    <row r="182" ht="14.25" customHeight="1" hidden="1">
      <c r="AB182" s="615"/>
      <c r="AC182" s="615"/>
      <c r="AD182" s="615"/>
      <c r="AE182" s="615"/>
      <c r="AF182" s="615"/>
      <c r="AG182" s="615"/>
      <c r="AH182" s="615"/>
    </row>
    <row r="183" ht="14.25" customHeight="1" hidden="1">
      <c r="AB183" s="615"/>
      <c r="AC183" s="615"/>
      <c r="AD183" s="615"/>
      <c r="AE183" s="615"/>
      <c r="AF183" s="615"/>
      <c r="AG183" s="615"/>
      <c r="AH183" s="615"/>
    </row>
    <row r="184" ht="14.25" customHeight="1" hidden="1">
      <c r="AB184" s="615"/>
      <c r="AC184" s="615"/>
      <c r="AD184" s="615"/>
      <c r="AE184" s="615"/>
      <c r="AF184" s="615"/>
      <c r="AG184" s="615"/>
      <c r="AH184" s="615"/>
    </row>
    <row r="185" ht="14.25" customHeight="1" hidden="1">
      <c r="AB185" s="615"/>
      <c r="AC185" s="615"/>
      <c r="AD185" s="615"/>
      <c r="AE185" s="615"/>
      <c r="AF185" s="615"/>
      <c r="AG185" s="615"/>
      <c r="AH185" s="615"/>
    </row>
    <row r="186" ht="14.25" customHeight="1" hidden="1">
      <c r="AB186" s="615"/>
      <c r="AC186" s="615"/>
      <c r="AD186" s="615"/>
      <c r="AE186" s="615"/>
      <c r="AF186" s="615"/>
      <c r="AG186" s="615"/>
      <c r="AH186" s="615"/>
    </row>
    <row r="187" ht="14.25" customHeight="1" hidden="1">
      <c r="AB187" s="615"/>
      <c r="AC187" s="615"/>
      <c r="AD187" s="615"/>
      <c r="AE187" s="615"/>
      <c r="AF187" s="615"/>
      <c r="AG187" s="615"/>
      <c r="AH187" s="615"/>
    </row>
    <row r="188" ht="14.25" customHeight="1" hidden="1">
      <c r="AB188" s="615"/>
      <c r="AC188" s="615"/>
      <c r="AD188" s="615"/>
      <c r="AE188" s="615"/>
      <c r="AF188" s="615"/>
      <c r="AG188" s="615"/>
      <c r="AH188" s="615"/>
    </row>
    <row r="189" ht="14.25" customHeight="1" hidden="1">
      <c r="AB189" s="615"/>
      <c r="AC189" s="615"/>
      <c r="AD189" s="615"/>
      <c r="AE189" s="615"/>
      <c r="AF189" s="615"/>
      <c r="AG189" s="615"/>
      <c r="AH189" s="615"/>
    </row>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ht="14.25" customHeight="1"/>
    <row r="1154" ht="14.25" customHeight="1"/>
    <row r="1155" ht="14.25" customHeight="1"/>
    <row r="1156" ht="14.25" customHeight="1"/>
    <row r="1157" ht="14.25" customHeight="1"/>
    <row r="1158" ht="14.25" customHeight="1"/>
    <row r="1159" ht="14.25" customHeight="1"/>
    <row r="1160" ht="14.25" customHeight="1"/>
    <row r="1161" ht="14.25" customHeight="1"/>
    <row r="1162" ht="14.25" customHeight="1"/>
    <row r="1163" ht="14.25" customHeight="1"/>
    <row r="1164" ht="14.25" customHeight="1"/>
    <row r="1165" ht="14.25" customHeight="1"/>
    <row r="1166" ht="14.25" customHeight="1"/>
    <row r="1167" ht="14.25" customHeight="1"/>
    <row r="1168"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ht="14.25" customHeight="1"/>
    <row r="1394" ht="14.25" customHeight="1"/>
    <row r="1395" ht="14.25" customHeight="1"/>
    <row r="1396" ht="14.25" customHeight="1"/>
    <row r="1397" ht="14.25" customHeight="1"/>
    <row r="1398" ht="14.25" customHeight="1"/>
    <row r="1399" ht="14.25" customHeight="1"/>
    <row r="1400" ht="14.25" customHeight="1"/>
    <row r="1401" ht="14.25" customHeight="1"/>
    <row r="1402" ht="14.25" customHeight="1"/>
    <row r="1403" ht="14.25" customHeight="1"/>
    <row r="1404" ht="14.25" customHeight="1"/>
    <row r="1405" ht="14.25" customHeight="1"/>
    <row r="1406" ht="14.25" customHeight="1"/>
    <row r="1407" ht="14.25" customHeight="1"/>
    <row r="1408" ht="14.25" customHeight="1"/>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ht="14.25" customHeight="1"/>
    <row r="1682" ht="14.25" customHeight="1"/>
    <row r="1683" ht="14.25" customHeight="1"/>
    <row r="1684" ht="14.25" customHeight="1"/>
    <row r="1685" ht="14.25" customHeight="1"/>
    <row r="1686" ht="14.25" customHeight="1"/>
    <row r="1687" ht="14.25" customHeight="1"/>
    <row r="1688" ht="14.25" customHeight="1"/>
    <row r="1689" ht="14.25" customHeight="1"/>
    <row r="1690" ht="14.25" customHeight="1"/>
    <row r="1691" ht="14.25" customHeight="1"/>
    <row r="1692" ht="14.25" customHeight="1"/>
    <row r="1693" ht="14.25" customHeight="1"/>
    <row r="1694" ht="14.25" customHeight="1"/>
    <row r="1695" ht="14.25" customHeight="1"/>
    <row r="169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ht="14.25" customHeight="1"/>
    <row r="1746" ht="14.25" customHeight="1"/>
    <row r="1747" ht="14.25" customHeight="1"/>
    <row r="1748" ht="14.25" customHeight="1"/>
    <row r="1749" ht="14.25" customHeight="1"/>
    <row r="1750" ht="14.25" customHeight="1"/>
    <row r="1751" ht="14.25" customHeight="1"/>
    <row r="1752" ht="14.25" customHeight="1"/>
    <row r="1753" ht="14.25" customHeight="1"/>
    <row r="1754" ht="14.25" customHeight="1"/>
    <row r="1755" ht="14.25" customHeight="1"/>
    <row r="1756" ht="14.25" customHeight="1"/>
    <row r="1757" ht="14.25" customHeight="1"/>
    <row r="1758" ht="14.25" customHeight="1"/>
    <row r="1759" ht="14.25" customHeight="1"/>
    <row r="1760" ht="14.25" customHeight="1"/>
    <row r="1761" ht="14.25" customHeight="1"/>
    <row r="1762" ht="14.25" customHeight="1"/>
    <row r="1763" ht="14.25" customHeight="1"/>
    <row r="1764" ht="14.25" customHeight="1"/>
    <row r="1765" ht="14.25" customHeight="1"/>
    <row r="1766" ht="14.25" customHeight="1"/>
    <row r="1767" ht="14.25" customHeight="1"/>
    <row r="1768" ht="14.25" customHeight="1"/>
    <row r="1769" ht="14.25" customHeight="1"/>
    <row r="1770" ht="14.25" customHeight="1"/>
    <row r="1771" ht="14.25" customHeight="1"/>
    <row r="1772" ht="14.25" customHeight="1"/>
    <row r="1773" ht="14.25" customHeight="1"/>
    <row r="1774" ht="14.25" customHeight="1"/>
    <row r="1775" ht="14.25" customHeight="1"/>
    <row r="1776"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ht="14.25" customHeight="1"/>
    <row r="1826" ht="14.25" customHeight="1"/>
    <row r="1827" ht="14.25" customHeight="1"/>
    <row r="1828" ht="14.25" customHeight="1"/>
    <row r="1829" ht="14.25" customHeight="1"/>
    <row r="1830" ht="14.25" customHeight="1"/>
    <row r="1831" ht="14.25" customHeight="1"/>
    <row r="1832" ht="14.25" customHeight="1"/>
    <row r="1833" ht="14.25" customHeight="1"/>
    <row r="1834" ht="14.25" customHeight="1"/>
    <row r="1835" ht="14.25" customHeight="1"/>
    <row r="1836" ht="14.25" customHeight="1"/>
    <row r="1837" ht="14.25" customHeight="1"/>
    <row r="1838" ht="14.25" customHeight="1"/>
    <row r="1839" ht="14.25" customHeight="1"/>
    <row r="1840" ht="14.25" customHeight="1"/>
    <row r="1841" ht="14.25" customHeight="1"/>
    <row r="1842" ht="14.25" customHeight="1"/>
    <row r="1843" ht="14.25" customHeight="1"/>
    <row r="1844" ht="14.25" customHeight="1"/>
    <row r="1845" ht="14.25" customHeight="1"/>
    <row r="1846" ht="14.25" customHeight="1"/>
    <row r="1847" ht="14.25" customHeight="1"/>
    <row r="1848" ht="14.25" customHeight="1"/>
    <row r="1849" ht="14.25" customHeight="1"/>
    <row r="1850" ht="14.25" customHeight="1"/>
    <row r="1851" ht="14.25" customHeight="1"/>
    <row r="1852" ht="14.25" customHeight="1"/>
    <row r="1853" ht="14.25" customHeight="1"/>
    <row r="1854" ht="14.25" customHeight="1"/>
    <row r="1855" ht="14.25" customHeight="1"/>
    <row r="1856"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ht="14.25" customHeight="1"/>
    <row r="2338" ht="14.25" customHeight="1"/>
    <row r="2339" ht="14.25" customHeight="1"/>
    <row r="2340" ht="14.25" customHeight="1"/>
    <row r="2341" ht="14.25" customHeight="1"/>
    <row r="2342" ht="14.25" customHeight="1"/>
    <row r="2343" ht="14.25" customHeight="1"/>
    <row r="2344" ht="14.25" customHeight="1"/>
    <row r="2345" ht="14.25" customHeight="1"/>
    <row r="2346" ht="14.25" customHeight="1"/>
    <row r="2347" ht="14.25" customHeight="1"/>
    <row r="2348" ht="14.25" customHeight="1"/>
    <row r="2349" ht="14.25" customHeight="1"/>
    <row r="2350" ht="14.25" customHeight="1"/>
    <row r="2351" ht="14.25" customHeight="1"/>
    <row r="2352" ht="14.25" customHeight="1"/>
    <row r="2353" ht="14.25" customHeight="1"/>
    <row r="2354" ht="14.25" customHeight="1"/>
    <row r="2355" ht="14.25" customHeight="1"/>
    <row r="2356" ht="14.25" customHeight="1"/>
    <row r="2357" ht="14.25" customHeight="1"/>
    <row r="2358" ht="14.25" customHeight="1"/>
    <row r="2359" ht="14.25" customHeight="1"/>
    <row r="2360" ht="14.25" customHeight="1"/>
    <row r="2361" ht="14.25" customHeight="1"/>
    <row r="2362" ht="14.25" customHeight="1"/>
    <row r="2363" ht="14.25" customHeight="1"/>
    <row r="2364" ht="14.25" customHeight="1"/>
    <row r="2365" ht="14.25" customHeight="1"/>
    <row r="2366" ht="14.25" customHeight="1"/>
    <row r="2367" ht="14.25" customHeight="1"/>
    <row r="2368"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ht="14.25" customHeight="1"/>
    <row r="2402" ht="14.25" customHeight="1"/>
    <row r="2403" ht="14.25" customHeight="1"/>
    <row r="2404" ht="14.25" customHeight="1"/>
    <row r="2405" ht="14.25" customHeight="1"/>
    <row r="2406" ht="14.25" customHeight="1"/>
    <row r="2407" ht="14.25" customHeight="1"/>
    <row r="2408" ht="14.25" customHeight="1"/>
    <row r="2409" ht="14.25" customHeight="1"/>
    <row r="2410" ht="14.25" customHeight="1"/>
    <row r="2411" ht="14.25" customHeight="1"/>
    <row r="2412" ht="14.25" customHeight="1"/>
    <row r="2413" ht="14.25" customHeight="1"/>
    <row r="2414" ht="14.25" customHeight="1"/>
    <row r="2415" ht="14.25" customHeight="1"/>
    <row r="2416" ht="14.25" customHeight="1"/>
    <row r="2417" ht="14.25" customHeight="1"/>
    <row r="2418" ht="14.25" customHeight="1"/>
    <row r="2419" ht="14.25" customHeight="1"/>
    <row r="2420" ht="14.25" customHeight="1"/>
    <row r="2421" ht="14.25" customHeight="1"/>
    <row r="2422" ht="14.25" customHeight="1"/>
    <row r="2423" ht="14.25" customHeight="1"/>
    <row r="2424" ht="14.25" customHeight="1"/>
    <row r="2425" ht="14.25" customHeight="1"/>
    <row r="2426" ht="14.25" customHeight="1"/>
    <row r="2427" ht="14.25" customHeight="1"/>
    <row r="2428" ht="14.25" customHeight="1"/>
    <row r="2429" ht="14.25" customHeight="1"/>
    <row r="2430" ht="14.25" customHeight="1"/>
    <row r="2431" ht="14.25" customHeight="1"/>
    <row r="2432" ht="14.25" customHeight="1"/>
    <row r="2433" ht="14.25" customHeight="1"/>
    <row r="2434" ht="14.25" customHeight="1"/>
    <row r="2435" ht="14.25" customHeight="1"/>
    <row r="2436" ht="14.25" customHeight="1"/>
    <row r="2437" ht="14.25" customHeight="1"/>
    <row r="2438" ht="14.25" customHeight="1"/>
    <row r="2439" ht="14.25" customHeight="1"/>
    <row r="2440" ht="14.25" customHeight="1"/>
    <row r="2441" ht="14.25" customHeight="1"/>
    <row r="2442" ht="14.25" customHeight="1"/>
    <row r="2443" ht="14.25" customHeight="1"/>
    <row r="2444" ht="14.25" customHeight="1"/>
    <row r="2445" ht="14.25" customHeight="1"/>
    <row r="2446" ht="14.25" customHeight="1"/>
    <row r="2447" ht="14.25" customHeight="1"/>
    <row r="2448" ht="14.25" customHeight="1"/>
    <row r="2449" ht="14.25" customHeight="1"/>
    <row r="2450" ht="14.25" customHeight="1"/>
    <row r="2451" ht="14.25" customHeight="1"/>
    <row r="2452" ht="14.25" customHeight="1"/>
    <row r="2453" ht="14.25" customHeight="1"/>
    <row r="2454" ht="14.25" customHeight="1"/>
    <row r="2455" ht="14.25" customHeight="1"/>
    <row r="2456" ht="14.25" customHeight="1"/>
    <row r="2457" ht="14.25" customHeight="1"/>
    <row r="2458" ht="14.25" customHeight="1"/>
    <row r="2459" ht="14.25" customHeight="1"/>
    <row r="2460" ht="14.25" customHeight="1"/>
    <row r="2461" ht="14.25" customHeight="1"/>
    <row r="2462" ht="14.25" customHeight="1"/>
    <row r="2463" ht="14.25" customHeight="1"/>
    <row r="2464" ht="14.25" customHeight="1"/>
    <row r="2465" ht="14.25" customHeight="1"/>
    <row r="2466" ht="14.25" customHeight="1"/>
    <row r="2467" ht="14.25" customHeight="1"/>
    <row r="2468" ht="14.25" customHeight="1"/>
    <row r="2469" ht="14.25" customHeight="1"/>
    <row r="2470" ht="14.25" customHeight="1"/>
    <row r="2471" ht="14.25" customHeight="1"/>
    <row r="2472" ht="14.25" customHeight="1"/>
    <row r="2473" ht="14.25" customHeight="1"/>
    <row r="2474" ht="14.25" customHeight="1"/>
    <row r="2475" ht="14.25" customHeight="1"/>
    <row r="2476" ht="14.25" customHeight="1"/>
    <row r="2477" ht="14.25" customHeight="1"/>
    <row r="2478" ht="14.25" customHeight="1"/>
    <row r="2479" ht="14.25" customHeight="1"/>
    <row r="2480" ht="14.25" customHeight="1"/>
    <row r="2481" ht="14.25" customHeight="1"/>
    <row r="2482" ht="14.25" customHeight="1"/>
    <row r="2483" ht="14.25" customHeight="1"/>
    <row r="2484" ht="14.25" customHeight="1"/>
    <row r="2485" ht="14.25" customHeight="1"/>
    <row r="2486" ht="14.25" customHeight="1"/>
    <row r="2487" ht="14.25" customHeight="1"/>
    <row r="2488" ht="14.25" customHeight="1"/>
    <row r="2489" ht="14.25" customHeight="1"/>
    <row r="2490" ht="14.25" customHeight="1"/>
    <row r="2491" ht="14.25" customHeight="1"/>
    <row r="2492" ht="14.25" customHeight="1"/>
    <row r="2493" ht="14.25" customHeight="1"/>
    <row r="2494" ht="14.25" customHeight="1"/>
    <row r="2495" ht="14.25" customHeight="1"/>
    <row r="2496" ht="14.25" customHeight="1"/>
    <row r="2497" ht="14.25" customHeight="1"/>
    <row r="2498" ht="14.25" customHeight="1"/>
    <row r="2499" ht="14.25" customHeight="1"/>
    <row r="2500" ht="14.25" customHeight="1"/>
    <row r="2501" ht="14.25" customHeight="1"/>
    <row r="2502" ht="14.25" customHeight="1"/>
    <row r="2503" ht="14.25" customHeight="1"/>
    <row r="2504" ht="14.25" customHeight="1"/>
    <row r="2505" ht="14.25" customHeight="1"/>
    <row r="2506" ht="14.25" customHeight="1"/>
    <row r="2507" ht="14.25" customHeight="1"/>
    <row r="2508" ht="14.25" customHeight="1"/>
    <row r="2509" ht="14.25" customHeight="1"/>
    <row r="2510" ht="14.25" customHeight="1"/>
    <row r="2511" ht="14.25" customHeight="1"/>
    <row r="2512" ht="14.25" customHeight="1"/>
    <row r="2513" ht="14.25" customHeight="1"/>
    <row r="2514" ht="14.25" customHeight="1"/>
    <row r="2515" ht="14.25" customHeight="1"/>
    <row r="2516" ht="14.25" customHeight="1"/>
    <row r="2517" ht="14.25" customHeight="1"/>
    <row r="2518" ht="14.25" customHeight="1"/>
    <row r="2519" ht="14.25" customHeight="1"/>
    <row r="2520" ht="14.25" customHeight="1"/>
    <row r="2521" ht="14.25" customHeight="1"/>
    <row r="2522" ht="14.25" customHeight="1"/>
    <row r="2523" ht="14.25" customHeight="1"/>
    <row r="2524" ht="14.25" customHeight="1"/>
    <row r="2525" ht="14.25" customHeight="1"/>
    <row r="2526" ht="14.25" customHeight="1"/>
    <row r="2527" ht="14.25" customHeight="1"/>
    <row r="2528" ht="14.25" customHeight="1"/>
    <row r="2529" ht="14.25" customHeight="1"/>
    <row r="2530" ht="14.25" customHeight="1"/>
    <row r="2531" ht="14.25" customHeight="1"/>
    <row r="2532" ht="14.25" customHeight="1"/>
    <row r="2533" ht="14.25" customHeight="1"/>
    <row r="2534" ht="14.25" customHeight="1"/>
    <row r="2535" ht="14.25" customHeight="1"/>
    <row r="2536" ht="14.25" customHeight="1"/>
    <row r="2537" ht="14.25" customHeight="1"/>
    <row r="2538" ht="14.25" customHeight="1"/>
    <row r="2539" ht="14.25" customHeight="1"/>
    <row r="2540" ht="14.25" customHeight="1"/>
    <row r="2541" ht="14.25" customHeight="1"/>
    <row r="2542" ht="14.25" customHeight="1"/>
    <row r="2543" ht="14.25" customHeight="1"/>
    <row r="2544" ht="14.25" customHeight="1"/>
    <row r="2545" ht="14.25" customHeight="1"/>
    <row r="2546" ht="14.25" customHeight="1"/>
    <row r="2547" ht="14.25" customHeight="1"/>
    <row r="2548" ht="14.25" customHeight="1"/>
    <row r="2549" ht="14.25" customHeight="1"/>
    <row r="2550" ht="14.25" customHeight="1"/>
    <row r="2551" ht="14.25" customHeight="1"/>
    <row r="2552" ht="14.25" customHeight="1"/>
    <row r="2553" ht="14.25" customHeight="1"/>
    <row r="2554" ht="14.25" customHeight="1"/>
    <row r="2555" ht="14.25" customHeight="1"/>
    <row r="2556" ht="14.25" customHeight="1"/>
    <row r="2557" ht="14.25" customHeight="1"/>
    <row r="2558" ht="14.25" customHeight="1"/>
    <row r="2559" ht="14.25" customHeight="1"/>
    <row r="2560" ht="14.25" customHeight="1"/>
    <row r="2561" ht="14.25" customHeight="1"/>
    <row r="2562" ht="14.25" customHeight="1"/>
    <row r="2563" ht="14.25" customHeight="1"/>
    <row r="2564" ht="14.25" customHeight="1"/>
    <row r="2565" ht="14.25" customHeight="1"/>
    <row r="2566" ht="14.25" customHeight="1"/>
    <row r="2567" ht="14.25" customHeight="1"/>
    <row r="2568" ht="14.25" customHeight="1"/>
    <row r="2569" ht="14.25" customHeight="1"/>
    <row r="2570" ht="14.25" customHeight="1"/>
    <row r="2571" ht="14.25" customHeight="1"/>
    <row r="2572" ht="14.25" customHeight="1"/>
    <row r="2573" ht="14.25" customHeight="1"/>
    <row r="2574" ht="14.25" customHeight="1"/>
    <row r="2575" ht="14.25" customHeight="1"/>
    <row r="2576" ht="14.25" customHeight="1"/>
    <row r="2577" ht="14.25" customHeight="1"/>
    <row r="2578" ht="14.25" customHeight="1"/>
    <row r="2579" ht="14.25" customHeight="1"/>
    <row r="2580" ht="14.25" customHeight="1"/>
    <row r="2581" ht="14.25" customHeight="1"/>
    <row r="2582" ht="14.25" customHeight="1"/>
    <row r="2583" ht="14.25" customHeight="1"/>
    <row r="2584" ht="14.25" customHeight="1"/>
    <row r="2585" ht="14.25" customHeight="1"/>
    <row r="2586" ht="14.25" customHeight="1"/>
    <row r="2587" ht="14.25" customHeight="1"/>
    <row r="2588" ht="14.25" customHeight="1"/>
    <row r="2589" ht="14.25" customHeight="1"/>
    <row r="2590" ht="14.25" customHeight="1"/>
    <row r="2591" ht="14.25" customHeight="1"/>
    <row r="2592" ht="14.25" customHeight="1"/>
    <row r="2593" ht="14.25" customHeight="1"/>
    <row r="2594" ht="14.25" customHeight="1"/>
    <row r="2595" ht="14.25" customHeight="1"/>
    <row r="2596" ht="14.25" customHeight="1"/>
    <row r="2597" ht="14.25" customHeight="1"/>
    <row r="2598" ht="14.25" customHeight="1"/>
    <row r="2599" ht="14.25" customHeight="1"/>
    <row r="2600" ht="14.25" customHeight="1"/>
    <row r="2601" ht="14.25" customHeight="1"/>
    <row r="2602" ht="14.25" customHeight="1"/>
    <row r="2603" ht="14.25" customHeight="1"/>
    <row r="2604" ht="14.25" customHeight="1"/>
    <row r="2605" ht="14.25" customHeight="1"/>
    <row r="2606" ht="14.25" customHeight="1"/>
    <row r="2607" ht="14.25" customHeight="1"/>
    <row r="2608" ht="14.25" customHeight="1"/>
    <row r="2609" ht="14.25" customHeight="1"/>
    <row r="2610" ht="14.25" customHeight="1"/>
    <row r="2611" ht="14.25" customHeight="1"/>
    <row r="2612" ht="14.25" customHeight="1"/>
    <row r="2613" ht="14.25" customHeight="1"/>
    <row r="2614" ht="14.25" customHeight="1"/>
    <row r="2615" ht="14.25" customHeight="1"/>
    <row r="2616" ht="14.25" customHeight="1"/>
    <row r="2617" ht="14.25" customHeight="1"/>
    <row r="2618" ht="14.25" customHeight="1"/>
    <row r="2619" ht="14.25" customHeight="1"/>
    <row r="2620" ht="14.25" customHeight="1"/>
    <row r="2621" ht="14.25" customHeight="1"/>
    <row r="2622" ht="14.25" customHeight="1"/>
    <row r="2623" ht="14.25" customHeight="1"/>
    <row r="2624" ht="14.25" customHeight="1"/>
    <row r="2625" ht="14.25" customHeight="1"/>
    <row r="2626" ht="14.25" customHeight="1"/>
    <row r="2627" ht="14.25" customHeight="1"/>
    <row r="2628" ht="14.25" customHeight="1"/>
    <row r="2629" ht="14.25" customHeight="1"/>
    <row r="2630" ht="14.25" customHeight="1"/>
    <row r="2631" ht="14.25" customHeight="1"/>
    <row r="2632" ht="14.25" customHeight="1"/>
    <row r="2633" ht="14.25" customHeight="1"/>
    <row r="2634" ht="14.25" customHeight="1"/>
    <row r="2635" ht="14.25" customHeight="1"/>
    <row r="2636" ht="14.25" customHeight="1"/>
    <row r="2637" ht="14.25" customHeight="1"/>
    <row r="2638" ht="14.25" customHeight="1"/>
    <row r="2639" ht="14.25" customHeight="1"/>
    <row r="2640" ht="14.25" customHeight="1"/>
    <row r="2641" ht="14.25" customHeight="1"/>
    <row r="2642" ht="14.25" customHeight="1"/>
    <row r="2643" ht="14.25" customHeight="1"/>
    <row r="2644" ht="14.25" customHeight="1"/>
    <row r="2645" ht="14.25" customHeight="1"/>
    <row r="2646" ht="14.25" customHeight="1"/>
    <row r="2647" ht="14.25" customHeight="1"/>
    <row r="2648" ht="14.25" customHeight="1"/>
    <row r="2649" ht="14.25" customHeight="1"/>
    <row r="2650" ht="14.25" customHeight="1"/>
    <row r="2651" ht="14.25" customHeight="1"/>
    <row r="2652" ht="14.25" customHeight="1"/>
    <row r="2653" ht="14.25" customHeight="1"/>
    <row r="2654" ht="14.25" customHeight="1"/>
    <row r="2655" ht="14.25" customHeight="1"/>
    <row r="2656" ht="14.25" customHeight="1"/>
    <row r="2657" ht="14.25" customHeight="1"/>
    <row r="2658" ht="14.25" customHeight="1"/>
    <row r="2659" ht="14.25" customHeight="1"/>
    <row r="2660" ht="14.25" customHeight="1"/>
    <row r="2661" ht="14.25" customHeight="1"/>
    <row r="2662" ht="14.25" customHeight="1"/>
    <row r="2663" ht="14.25" customHeight="1"/>
    <row r="2664" ht="14.25" customHeight="1"/>
    <row r="2665" ht="14.25" customHeight="1"/>
    <row r="2666" ht="14.25" customHeight="1"/>
    <row r="2667" ht="14.25" customHeight="1"/>
    <row r="2668" ht="14.25" customHeight="1"/>
    <row r="2669" ht="14.25" customHeight="1"/>
    <row r="2670" ht="14.25" customHeight="1"/>
    <row r="2671" ht="14.25" customHeight="1"/>
    <row r="2672" ht="14.25" customHeight="1"/>
    <row r="2673" ht="14.25" customHeight="1"/>
    <row r="2674" ht="14.25" customHeight="1"/>
    <row r="2675" ht="14.25" customHeight="1"/>
    <row r="2676" ht="14.25" customHeight="1"/>
    <row r="2677" ht="14.25" customHeight="1"/>
    <row r="2678" ht="14.25" customHeight="1"/>
    <row r="2679" ht="14.25" customHeight="1"/>
    <row r="2680" ht="14.25" customHeight="1"/>
    <row r="2681" ht="14.25" customHeight="1"/>
    <row r="2682" ht="14.25" customHeight="1"/>
    <row r="2683" ht="14.25" customHeight="1"/>
    <row r="2684" ht="14.25" customHeight="1"/>
    <row r="2685" ht="14.25" customHeight="1"/>
    <row r="2686" ht="14.25" customHeight="1"/>
    <row r="2687" ht="14.25" customHeight="1"/>
    <row r="2688" ht="14.25" customHeight="1"/>
    <row r="2689" ht="14.25" customHeight="1"/>
    <row r="2690" ht="14.25" customHeight="1"/>
    <row r="2691" ht="14.25" customHeight="1"/>
    <row r="2692" ht="14.25" customHeight="1"/>
    <row r="2693" ht="14.25" customHeight="1"/>
    <row r="2694" ht="14.25" customHeight="1"/>
    <row r="2695" ht="14.25" customHeight="1"/>
    <row r="2696" ht="14.25" customHeight="1"/>
    <row r="2697" ht="14.25" customHeight="1"/>
    <row r="2698" ht="14.25" customHeight="1"/>
    <row r="2699" ht="14.25" customHeight="1"/>
    <row r="2700" ht="14.25" customHeight="1"/>
    <row r="2701" ht="14.25" customHeight="1"/>
    <row r="2702" ht="14.25" customHeight="1"/>
    <row r="2703" ht="14.25" customHeight="1"/>
    <row r="2704" ht="14.25" customHeight="1"/>
    <row r="2705" ht="14.25" customHeight="1"/>
    <row r="2706" ht="14.25" customHeight="1"/>
    <row r="2707" ht="14.25" customHeight="1"/>
    <row r="2708" ht="14.25" customHeight="1"/>
    <row r="2709" ht="14.25" customHeight="1"/>
    <row r="2710" ht="14.25" customHeight="1"/>
    <row r="2711" ht="14.25" customHeight="1"/>
    <row r="2712" ht="14.25" customHeight="1"/>
    <row r="2713" ht="14.25" customHeight="1"/>
    <row r="2714" ht="14.25" customHeight="1"/>
    <row r="2715" ht="14.25" customHeight="1"/>
    <row r="2716" ht="14.25" customHeight="1"/>
    <row r="2717" ht="14.25" customHeight="1"/>
    <row r="2718" ht="14.25" customHeight="1"/>
    <row r="2719" ht="14.25" customHeight="1"/>
    <row r="2720" ht="14.25" customHeight="1"/>
    <row r="2721" ht="14.25" customHeight="1"/>
    <row r="2722" ht="14.25" customHeight="1"/>
    <row r="2723" ht="14.25" customHeight="1"/>
    <row r="2724" ht="14.25" customHeight="1"/>
    <row r="2725" ht="14.25" customHeight="1"/>
    <row r="2726" ht="14.25" customHeight="1"/>
    <row r="2727" ht="14.25" customHeight="1"/>
    <row r="2728" ht="14.25" customHeight="1"/>
    <row r="2729" ht="14.25" customHeight="1"/>
    <row r="2730" ht="14.25" customHeight="1"/>
    <row r="2731" ht="14.25" customHeight="1"/>
    <row r="2732" ht="14.25" customHeight="1"/>
    <row r="2733" ht="14.25" customHeight="1"/>
    <row r="2734" ht="14.25" customHeight="1"/>
    <row r="2735" ht="14.25" customHeight="1"/>
    <row r="2736" ht="14.25" customHeight="1"/>
    <row r="2737" ht="14.25" customHeight="1"/>
    <row r="2738" ht="14.25" customHeight="1"/>
    <row r="2739" ht="14.25" customHeight="1"/>
    <row r="2740" ht="14.25" customHeight="1"/>
    <row r="2741" ht="14.25" customHeight="1"/>
    <row r="2742" ht="14.25" customHeight="1"/>
    <row r="2743" ht="14.25" customHeight="1"/>
    <row r="2744" ht="14.25" customHeight="1"/>
    <row r="2745" ht="14.25" customHeight="1"/>
    <row r="2746" ht="14.25" customHeight="1"/>
    <row r="2747" ht="14.25" customHeight="1"/>
    <row r="2748" ht="14.25" customHeight="1"/>
    <row r="2749" ht="14.25" customHeight="1"/>
    <row r="2750" ht="14.25" customHeight="1"/>
    <row r="2751" ht="14.25" customHeight="1"/>
    <row r="2752" ht="14.25" customHeight="1"/>
    <row r="2753" ht="14.25" customHeight="1"/>
    <row r="2754" ht="14.25" customHeight="1"/>
    <row r="2755" ht="14.25" customHeight="1"/>
    <row r="2756" ht="14.25" customHeight="1"/>
    <row r="2757" ht="14.25" customHeight="1"/>
    <row r="2758" ht="14.25" customHeight="1"/>
    <row r="2759" ht="14.25" customHeight="1"/>
    <row r="2760" ht="14.25" customHeight="1"/>
    <row r="2761" ht="14.25" customHeight="1"/>
    <row r="2762" ht="14.25" customHeight="1"/>
    <row r="2763" ht="14.25" customHeight="1"/>
    <row r="2764" ht="14.25" customHeight="1"/>
    <row r="2765" ht="14.25" customHeight="1"/>
    <row r="2766" ht="14.25" customHeight="1"/>
    <row r="2767" ht="14.25" customHeight="1"/>
    <row r="2768" ht="14.25" customHeight="1"/>
    <row r="2769" ht="14.25" customHeight="1"/>
    <row r="2770" ht="14.25" customHeight="1"/>
    <row r="2771" ht="14.25" customHeight="1"/>
    <row r="2772" ht="14.25" customHeight="1"/>
    <row r="2773" ht="14.25" customHeight="1"/>
    <row r="2774" ht="14.25" customHeight="1"/>
    <row r="2775" ht="14.25" customHeight="1"/>
    <row r="2776" ht="14.25" customHeight="1"/>
    <row r="2777" ht="14.25" customHeight="1"/>
    <row r="2778" ht="14.25" customHeight="1"/>
    <row r="2779" ht="14.25" customHeight="1"/>
    <row r="2780" ht="14.25" customHeight="1"/>
    <row r="2781" ht="14.25" customHeight="1"/>
    <row r="2782" ht="14.25" customHeight="1"/>
    <row r="2783" ht="14.25" customHeight="1"/>
    <row r="2784" ht="14.25" customHeight="1"/>
    <row r="2785" ht="14.25" customHeight="1"/>
    <row r="2786" ht="14.25" customHeight="1"/>
    <row r="2787" ht="14.25" customHeight="1"/>
    <row r="2788" ht="14.25" customHeight="1"/>
    <row r="2789" ht="14.25" customHeight="1"/>
    <row r="2790" ht="14.25" customHeight="1"/>
    <row r="2791" ht="14.25" customHeight="1"/>
    <row r="2792" ht="14.25" customHeight="1"/>
    <row r="2793" ht="14.25" customHeight="1"/>
    <row r="2794" ht="14.25" customHeight="1"/>
    <row r="2795" ht="14.25" customHeight="1"/>
    <row r="2796" ht="14.25" customHeight="1"/>
    <row r="2797" ht="14.25" customHeight="1"/>
    <row r="2798" ht="14.25" customHeight="1"/>
    <row r="2799" ht="14.25" customHeight="1"/>
    <row r="2800" ht="14.25" customHeight="1"/>
    <row r="2801" ht="14.25" customHeight="1"/>
    <row r="2802" ht="14.25" customHeight="1"/>
    <row r="2803" ht="14.25" customHeight="1"/>
    <row r="2804" ht="14.25" customHeight="1"/>
    <row r="2805" ht="14.25" customHeight="1"/>
    <row r="2806" ht="14.25" customHeight="1"/>
    <row r="2807" ht="14.25" customHeight="1"/>
    <row r="2808" ht="14.25" customHeight="1"/>
    <row r="2809" ht="14.25" customHeight="1"/>
    <row r="2810" ht="14.25" customHeight="1"/>
    <row r="2811" ht="14.25" customHeight="1"/>
    <row r="2812" ht="14.25" customHeight="1"/>
    <row r="2813" ht="14.25" customHeight="1"/>
    <row r="2814" ht="14.25" customHeight="1"/>
    <row r="2815" ht="14.25" customHeight="1"/>
    <row r="2816" ht="14.25" customHeight="1"/>
    <row r="2817" ht="14.25" customHeight="1"/>
    <row r="2818" ht="14.25" customHeight="1"/>
    <row r="2819" ht="14.25" customHeight="1"/>
    <row r="2820" ht="14.25" customHeight="1"/>
    <row r="2821" ht="14.25" customHeight="1"/>
    <row r="2822" ht="14.25" customHeight="1"/>
    <row r="2823" ht="14.25" customHeight="1"/>
    <row r="2824" ht="14.25" customHeight="1"/>
    <row r="2825" ht="14.25" customHeight="1"/>
    <row r="2826" ht="14.25" customHeight="1"/>
    <row r="2827" ht="14.25" customHeight="1"/>
    <row r="2828" ht="14.25" customHeight="1"/>
    <row r="2829" ht="14.25" customHeight="1"/>
    <row r="2830" ht="14.25" customHeight="1"/>
    <row r="2831" ht="14.25" customHeight="1"/>
    <row r="2832" ht="14.25" customHeight="1"/>
    <row r="2833" ht="14.25" customHeight="1"/>
    <row r="2834" ht="14.25" customHeight="1"/>
    <row r="2835" ht="14.25" customHeight="1"/>
    <row r="2836" ht="14.25" customHeight="1"/>
    <row r="2837" ht="14.25" customHeight="1"/>
    <row r="2838" ht="14.25" customHeight="1"/>
    <row r="2839" ht="14.25" customHeight="1"/>
    <row r="2840" ht="14.25" customHeight="1"/>
    <row r="2841" ht="14.25" customHeight="1"/>
    <row r="2842" ht="14.25" customHeight="1"/>
    <row r="2843" ht="14.25" customHeight="1"/>
    <row r="2844" ht="14.25" customHeight="1"/>
    <row r="2845" ht="14.25" customHeight="1"/>
    <row r="2846" ht="14.25" customHeight="1"/>
    <row r="2847" ht="14.25" customHeight="1"/>
    <row r="2848" ht="14.25" customHeight="1"/>
    <row r="2849" ht="14.25" customHeight="1"/>
    <row r="2850" ht="14.25" customHeight="1"/>
    <row r="2851" ht="14.25" customHeight="1"/>
    <row r="2852" ht="14.25" customHeight="1"/>
    <row r="2853" ht="14.25" customHeight="1"/>
    <row r="2854" ht="14.25" customHeight="1"/>
    <row r="2855" ht="14.25" customHeight="1"/>
    <row r="2856" ht="14.25" customHeight="1"/>
    <row r="2857" ht="14.25" customHeight="1"/>
    <row r="2858" ht="14.25" customHeight="1"/>
    <row r="2859" ht="14.25" customHeight="1"/>
    <row r="2860" ht="14.25" customHeight="1"/>
    <row r="2861" ht="14.25" customHeight="1"/>
    <row r="2862" ht="14.25" customHeight="1"/>
    <row r="2863" ht="14.25" customHeight="1"/>
    <row r="2864" ht="14.25" customHeight="1"/>
    <row r="2865" ht="14.25" customHeight="1"/>
    <row r="2866" ht="14.25" customHeight="1"/>
    <row r="2867" ht="14.25" customHeight="1"/>
    <row r="2868" ht="14.25" customHeight="1"/>
    <row r="2869" ht="14.25" customHeight="1"/>
    <row r="2870" ht="14.25" customHeight="1"/>
    <row r="2871" ht="14.25" customHeight="1"/>
    <row r="2872" ht="14.25" customHeight="1"/>
    <row r="2873" ht="14.25" customHeight="1"/>
    <row r="2874" ht="14.25" customHeight="1"/>
    <row r="2875" ht="14.25" customHeight="1"/>
    <row r="2876" ht="14.25" customHeight="1"/>
    <row r="2877" ht="14.25" customHeight="1"/>
    <row r="2878" ht="14.25" customHeight="1"/>
    <row r="2879" ht="14.25" customHeight="1"/>
    <row r="2880" ht="14.25" customHeight="1"/>
    <row r="2881" ht="14.25" customHeight="1"/>
    <row r="2882" ht="14.25" customHeight="1"/>
    <row r="2883" ht="14.25" customHeight="1"/>
    <row r="2884" ht="14.25" customHeight="1"/>
    <row r="2885" ht="14.25" customHeight="1"/>
    <row r="2886" ht="14.25" customHeight="1"/>
    <row r="2887" ht="14.25" customHeight="1"/>
    <row r="2888" ht="14.25" customHeight="1"/>
    <row r="2889" ht="14.25" customHeight="1"/>
    <row r="2890" ht="14.25" customHeight="1"/>
    <row r="2891" ht="14.25" customHeight="1"/>
    <row r="2892" ht="14.25" customHeight="1"/>
    <row r="2893" ht="14.25" customHeight="1"/>
    <row r="2894" ht="14.25" customHeight="1"/>
    <row r="2895" ht="14.25" customHeight="1"/>
    <row r="2896" ht="14.25" customHeight="1"/>
    <row r="2897" ht="14.25" customHeight="1"/>
    <row r="2898" ht="14.25" customHeight="1"/>
    <row r="2899" ht="14.25" customHeight="1"/>
    <row r="2900" ht="14.25" customHeight="1"/>
    <row r="2901" ht="14.25" customHeight="1"/>
    <row r="2902" ht="14.25" customHeight="1"/>
    <row r="2903" ht="14.25" customHeight="1"/>
    <row r="2904" ht="14.25" customHeight="1"/>
    <row r="2905" ht="14.25" customHeight="1"/>
    <row r="2906" ht="14.25" customHeight="1"/>
    <row r="2907" ht="14.25" customHeight="1"/>
    <row r="2908" ht="14.25" customHeight="1"/>
    <row r="2909" ht="14.25" customHeight="1"/>
    <row r="2910" ht="14.25" customHeight="1"/>
    <row r="2911" ht="14.25" customHeight="1"/>
    <row r="2912" ht="14.25" customHeight="1"/>
    <row r="2913" ht="14.25" customHeight="1"/>
    <row r="2914" ht="14.25" customHeight="1"/>
    <row r="2915" ht="14.25" customHeight="1"/>
    <row r="2916" ht="14.25" customHeight="1"/>
    <row r="2917" ht="14.25" customHeight="1"/>
    <row r="2918" ht="14.25" customHeight="1"/>
    <row r="2919" ht="14.25" customHeight="1"/>
    <row r="2920" ht="14.25" customHeight="1"/>
    <row r="2921" ht="14.25" customHeight="1"/>
    <row r="2922" ht="14.25" customHeight="1"/>
    <row r="2923" ht="14.25" customHeight="1"/>
    <row r="2924" ht="14.25" customHeight="1"/>
    <row r="2925" ht="14.25" customHeight="1"/>
    <row r="2926" ht="14.25" customHeight="1"/>
    <row r="2927" ht="14.25" customHeight="1"/>
    <row r="2928" ht="14.25" customHeight="1"/>
    <row r="2929" ht="14.25" customHeight="1"/>
    <row r="2930" ht="14.25" customHeight="1"/>
    <row r="2931" ht="14.25" customHeight="1"/>
    <row r="2932" ht="14.25" customHeight="1"/>
    <row r="2933" ht="14.25" customHeight="1"/>
    <row r="2934" ht="14.25" customHeight="1"/>
    <row r="2935" ht="14.25" customHeight="1"/>
    <row r="2936" ht="14.25" customHeight="1"/>
    <row r="2937" ht="14.25" customHeight="1"/>
    <row r="2938" ht="14.25" customHeight="1"/>
    <row r="2939" ht="14.25" customHeight="1"/>
    <row r="2940" ht="14.25" customHeight="1"/>
    <row r="2941" ht="14.25" customHeight="1"/>
    <row r="2942" ht="14.25" customHeight="1"/>
    <row r="2943" ht="14.25" customHeight="1"/>
    <row r="2944" ht="14.25" customHeight="1"/>
    <row r="2945" ht="14.25" customHeight="1"/>
    <row r="2946" ht="14.25" customHeight="1"/>
    <row r="2947" ht="14.25" customHeight="1"/>
    <row r="2948" ht="14.25" customHeight="1"/>
    <row r="2949" ht="14.25" customHeight="1"/>
    <row r="2950" ht="14.25" customHeight="1"/>
    <row r="2951" ht="14.25" customHeight="1"/>
    <row r="2952" ht="14.25" customHeight="1"/>
    <row r="2953" ht="14.25" customHeight="1"/>
    <row r="2954" ht="14.25" customHeight="1"/>
    <row r="2955" ht="14.25" customHeight="1"/>
    <row r="2956" ht="14.25" customHeight="1"/>
    <row r="2957" ht="14.25" customHeight="1"/>
    <row r="2958" ht="14.25" customHeight="1"/>
    <row r="2959" ht="14.25" customHeight="1"/>
    <row r="2960" ht="14.25" customHeight="1"/>
    <row r="2961" ht="14.25" customHeight="1"/>
    <row r="2962" ht="14.25" customHeight="1"/>
    <row r="2963" ht="14.25" customHeight="1"/>
    <row r="2964" ht="14.25" customHeight="1"/>
    <row r="2965" ht="14.25" customHeight="1"/>
    <row r="2966" ht="14.25" customHeight="1"/>
    <row r="2967" ht="14.25" customHeight="1"/>
    <row r="2968" ht="14.25" customHeight="1"/>
    <row r="2969" ht="14.25" customHeight="1"/>
    <row r="2970" ht="14.25" customHeight="1"/>
    <row r="2971" ht="14.25" customHeight="1"/>
    <row r="2972" ht="14.25" customHeight="1"/>
    <row r="2973" ht="14.25" customHeight="1"/>
    <row r="2974" ht="14.25" customHeight="1"/>
    <row r="2975" ht="14.25" customHeight="1"/>
    <row r="2976" ht="14.25" customHeight="1"/>
    <row r="2977" ht="14.25" customHeight="1"/>
    <row r="2978" ht="14.25" customHeight="1"/>
    <row r="2979" ht="14.25" customHeight="1"/>
    <row r="2980" ht="14.25" customHeight="1"/>
    <row r="2981" ht="14.25" customHeight="1"/>
    <row r="2982" ht="14.25" customHeight="1"/>
    <row r="2983" ht="14.25" customHeight="1"/>
    <row r="2984" ht="14.25" customHeight="1"/>
    <row r="2985" ht="14.25" customHeight="1"/>
    <row r="2986" ht="14.25" customHeight="1"/>
    <row r="2987" ht="14.25" customHeight="1"/>
    <row r="2988" ht="14.25" customHeight="1"/>
    <row r="2989" ht="14.25" customHeight="1"/>
    <row r="2990" ht="14.25" customHeight="1"/>
    <row r="2991" ht="14.25" customHeight="1"/>
    <row r="2992" ht="14.25" customHeight="1"/>
    <row r="2993" ht="14.25" customHeight="1"/>
    <row r="2994" ht="14.25" customHeight="1"/>
    <row r="2995" ht="14.25" customHeight="1"/>
    <row r="2996" ht="14.25" customHeight="1"/>
    <row r="2997" ht="14.25" customHeight="1"/>
    <row r="2998" ht="14.25" customHeight="1"/>
    <row r="2999" ht="14.25" customHeight="1"/>
    <row r="3000" ht="14.25" customHeight="1"/>
    <row r="3001" ht="14.25" customHeight="1"/>
    <row r="3002" ht="14.25" customHeight="1"/>
    <row r="3003" ht="14.25" customHeight="1"/>
    <row r="3004" ht="14.25" customHeight="1"/>
    <row r="3005" ht="14.25" customHeight="1"/>
    <row r="3006" ht="14.25" customHeight="1"/>
    <row r="3007" ht="14.25" customHeight="1"/>
    <row r="3008" ht="14.25" customHeight="1"/>
    <row r="3009" ht="14.25" customHeight="1"/>
    <row r="3010" ht="14.25" customHeight="1"/>
    <row r="3011" ht="14.25" customHeight="1"/>
    <row r="3012" ht="14.25" customHeight="1"/>
    <row r="3013" ht="14.25" customHeight="1"/>
    <row r="3014" ht="14.25" customHeight="1"/>
    <row r="3015" ht="14.25" customHeight="1"/>
    <row r="3016" ht="14.25" customHeight="1"/>
    <row r="3017" ht="14.25" customHeight="1"/>
    <row r="3018" ht="14.25" customHeight="1"/>
    <row r="3019" ht="14.25" customHeight="1"/>
    <row r="3020" ht="14.25" customHeight="1"/>
    <row r="3021" ht="14.25" customHeight="1"/>
    <row r="3022" ht="14.25" customHeight="1"/>
    <row r="3023" ht="14.25" customHeight="1"/>
    <row r="3024" ht="14.25" customHeight="1"/>
    <row r="3025" ht="14.25" customHeight="1"/>
    <row r="3026" ht="14.25" customHeight="1"/>
    <row r="3027" ht="14.25" customHeight="1"/>
    <row r="3028" ht="14.25" customHeight="1"/>
    <row r="3029" ht="14.25" customHeight="1"/>
    <row r="3030" ht="14.25" customHeight="1"/>
    <row r="3031" ht="14.25" customHeight="1"/>
    <row r="3032" ht="14.25" customHeight="1"/>
    <row r="3033" ht="14.25" customHeight="1"/>
    <row r="3034" ht="14.25" customHeight="1"/>
    <row r="3035" ht="14.25" customHeight="1"/>
    <row r="3036" ht="14.25" customHeight="1"/>
    <row r="3037" ht="14.25" customHeight="1"/>
    <row r="3038" ht="14.25" customHeight="1"/>
    <row r="3039" ht="14.25" customHeight="1"/>
    <row r="3040" ht="14.25" customHeight="1"/>
    <row r="3041" ht="14.25" customHeight="1"/>
    <row r="3042" ht="14.25" customHeight="1"/>
    <row r="3043" ht="14.25" customHeight="1"/>
    <row r="3044" ht="14.25" customHeight="1"/>
    <row r="3045" ht="14.25" customHeight="1"/>
    <row r="3046" ht="14.25" customHeight="1"/>
    <row r="3047" ht="14.25" customHeight="1"/>
    <row r="3048" ht="14.25" customHeight="1"/>
    <row r="3049" ht="14.25" customHeight="1"/>
    <row r="3050" ht="14.25" customHeight="1"/>
    <row r="3051" ht="14.25" customHeight="1"/>
    <row r="3052" ht="14.25" customHeight="1"/>
    <row r="3053" ht="14.25" customHeight="1"/>
    <row r="3054" ht="14.25" customHeight="1"/>
    <row r="3055" ht="14.25" customHeight="1"/>
    <row r="3056" ht="14.25" customHeight="1"/>
    <row r="3057" ht="14.25" customHeight="1"/>
    <row r="3058" ht="14.25" customHeight="1"/>
    <row r="3059" ht="14.25" customHeight="1"/>
    <row r="3060" ht="14.25" customHeight="1"/>
    <row r="3061" ht="14.25" customHeight="1"/>
    <row r="3062" ht="14.25" customHeight="1"/>
    <row r="3063" ht="14.25" customHeight="1"/>
    <row r="3064" ht="14.25" customHeight="1"/>
    <row r="3065" ht="14.25" customHeight="1"/>
    <row r="3066" ht="14.25" customHeight="1"/>
    <row r="3067" ht="14.25" customHeight="1"/>
    <row r="3068" ht="14.25" customHeight="1"/>
    <row r="3069" ht="14.25" customHeight="1"/>
    <row r="3070" ht="14.25" customHeight="1"/>
    <row r="3071" ht="14.25" customHeight="1"/>
    <row r="3072" ht="14.25" customHeight="1"/>
    <row r="3073" ht="14.25" customHeight="1"/>
    <row r="3074" ht="14.25" customHeight="1"/>
    <row r="3075" ht="14.25" customHeight="1"/>
    <row r="3076" ht="14.25" customHeight="1"/>
    <row r="3077" ht="14.25" customHeight="1"/>
    <row r="3078" ht="14.25" customHeight="1"/>
    <row r="3079" ht="14.25" customHeight="1"/>
    <row r="3080" ht="14.25" customHeight="1"/>
    <row r="3081" ht="14.25" customHeight="1"/>
    <row r="3082" ht="14.25" customHeight="1"/>
    <row r="3083" ht="14.25" customHeight="1"/>
    <row r="3084" ht="14.25" customHeight="1"/>
    <row r="3085" ht="14.25" customHeight="1"/>
    <row r="3086" ht="14.25" customHeight="1"/>
    <row r="3087" ht="14.25" customHeight="1"/>
    <row r="3088" ht="14.25" customHeight="1"/>
    <row r="3089" ht="14.25" customHeight="1"/>
    <row r="3090" ht="14.25" customHeight="1"/>
    <row r="3091" ht="14.25" customHeight="1"/>
    <row r="3092" ht="14.25" customHeight="1"/>
    <row r="3093" ht="14.25" customHeight="1"/>
    <row r="3094" ht="14.25" customHeight="1"/>
    <row r="3095" ht="14.25" customHeight="1"/>
    <row r="3096" ht="14.25" customHeight="1"/>
    <row r="3097" ht="14.25" customHeight="1"/>
    <row r="3098" ht="14.25" customHeight="1"/>
    <row r="3099" ht="14.25" customHeight="1"/>
    <row r="3100" ht="14.25" customHeight="1"/>
    <row r="3101" ht="14.25" customHeight="1"/>
    <row r="3102" ht="14.25" customHeight="1"/>
    <row r="3103" ht="14.25" customHeight="1"/>
    <row r="3104" ht="14.25" customHeight="1"/>
    <row r="3105" ht="14.25" customHeight="1"/>
    <row r="3106" ht="14.25" customHeight="1"/>
    <row r="3107" ht="14.25" customHeight="1"/>
    <row r="3108" ht="14.25" customHeight="1"/>
    <row r="3109" ht="14.25" customHeight="1"/>
    <row r="3110" ht="14.25" customHeight="1"/>
    <row r="3111" ht="14.25" customHeight="1"/>
    <row r="3112" ht="14.25" customHeight="1"/>
    <row r="3113" ht="14.25" customHeight="1"/>
    <row r="3114" ht="14.25" customHeight="1"/>
    <row r="3115" ht="14.25" customHeight="1"/>
    <row r="3116" ht="14.25" customHeight="1"/>
    <row r="3117" ht="14.25" customHeight="1"/>
    <row r="3118" ht="14.25" customHeight="1"/>
    <row r="3119" ht="14.25" customHeight="1"/>
    <row r="3120" ht="14.25" customHeight="1"/>
    <row r="3121" ht="14.25" customHeight="1"/>
    <row r="3122" ht="14.25" customHeight="1"/>
    <row r="3123" ht="14.25" customHeight="1"/>
    <row r="3124" ht="14.25" customHeight="1"/>
    <row r="3125" ht="14.25" customHeight="1"/>
    <row r="3126" ht="14.25" customHeight="1"/>
    <row r="3127" ht="14.25" customHeight="1"/>
    <row r="3128" ht="14.25" customHeight="1"/>
    <row r="3129" ht="14.25" customHeight="1"/>
    <row r="3130" ht="14.25" customHeight="1"/>
    <row r="3131" ht="14.25" customHeight="1"/>
    <row r="3132" ht="14.25" customHeight="1"/>
    <row r="3133" ht="14.25" customHeight="1"/>
    <row r="3134" ht="14.25" customHeight="1"/>
    <row r="3135" ht="14.25" customHeight="1"/>
    <row r="3136" ht="14.25" customHeight="1"/>
    <row r="3137" ht="14.25" customHeight="1"/>
    <row r="3138" ht="14.25" customHeight="1"/>
    <row r="3139" ht="14.25" customHeight="1"/>
    <row r="3140" ht="14.25" customHeight="1"/>
    <row r="3141" ht="14.25" customHeight="1"/>
    <row r="3142" ht="14.25" customHeight="1"/>
    <row r="3143" ht="14.25" customHeight="1"/>
    <row r="3144" ht="14.25" customHeight="1"/>
    <row r="3145" ht="14.25" customHeight="1"/>
    <row r="3146" ht="14.25" customHeight="1"/>
    <row r="3147" ht="14.25" customHeight="1"/>
    <row r="3148" ht="14.25" customHeight="1"/>
    <row r="3149" ht="14.25" customHeight="1"/>
    <row r="3150" ht="14.25" customHeight="1"/>
    <row r="3151" ht="14.25" customHeight="1"/>
    <row r="3152" ht="14.25" customHeight="1"/>
    <row r="3153" ht="14.25" customHeight="1"/>
    <row r="3154" ht="14.25" customHeight="1"/>
    <row r="3155" ht="14.25" customHeight="1"/>
    <row r="3156" ht="14.25" customHeight="1"/>
    <row r="3157" ht="14.25" customHeight="1"/>
    <row r="3158" ht="14.25" customHeight="1"/>
    <row r="3159" ht="14.25" customHeight="1"/>
    <row r="3160" ht="14.25" customHeight="1"/>
    <row r="3161" ht="14.25" customHeight="1"/>
    <row r="3162" ht="14.25" customHeight="1"/>
    <row r="3163" ht="14.25" customHeight="1"/>
    <row r="3164" ht="14.25" customHeight="1"/>
    <row r="3165" ht="14.25" customHeight="1"/>
    <row r="3166" ht="14.25" customHeight="1"/>
    <row r="3167" ht="14.25" customHeight="1"/>
    <row r="3168" ht="14.25" customHeight="1"/>
    <row r="3169" ht="14.25" customHeight="1"/>
    <row r="3170" ht="14.25" customHeight="1"/>
    <row r="3171" ht="14.25" customHeight="1"/>
    <row r="3172" ht="14.25" customHeight="1"/>
    <row r="3173" ht="14.25" customHeight="1"/>
    <row r="3174" ht="14.25" customHeight="1"/>
    <row r="3175" ht="14.25" customHeight="1"/>
    <row r="3176" ht="14.25" customHeight="1"/>
    <row r="3177" ht="14.25" customHeight="1"/>
    <row r="3178" ht="14.25" customHeight="1"/>
    <row r="3179" ht="14.25" customHeight="1"/>
    <row r="3180" ht="14.25" customHeight="1"/>
    <row r="3181" ht="14.25" customHeight="1"/>
    <row r="3182" ht="14.25" customHeight="1"/>
    <row r="3183" ht="14.25" customHeight="1"/>
    <row r="3184" ht="14.25" customHeight="1"/>
    <row r="3185" ht="14.25" customHeight="1"/>
    <row r="3186" ht="14.25" customHeight="1"/>
    <row r="3187" ht="14.25" customHeight="1"/>
    <row r="3188" ht="14.25" customHeight="1"/>
    <row r="3189" ht="14.25" customHeight="1"/>
    <row r="3190" ht="14.25" customHeight="1"/>
    <row r="3191" ht="14.25" customHeight="1"/>
    <row r="3192" ht="14.25" customHeight="1"/>
    <row r="3193" ht="14.25" customHeight="1"/>
    <row r="3194" ht="14.25" customHeight="1"/>
    <row r="3195" ht="14.25" customHeight="1"/>
    <row r="3196" ht="14.25" customHeight="1"/>
    <row r="3197" ht="14.25" customHeight="1"/>
    <row r="3198" ht="14.25" customHeight="1"/>
    <row r="3199" ht="14.25" customHeight="1"/>
    <row r="3200" ht="14.25" customHeight="1"/>
    <row r="3201" ht="14.25" customHeight="1"/>
    <row r="3202" ht="14.25" customHeight="1"/>
    <row r="3203" ht="14.25" customHeight="1"/>
    <row r="3204" ht="14.25" customHeight="1"/>
    <row r="3205" ht="14.25" customHeight="1"/>
    <row r="3206" ht="14.25" customHeight="1"/>
    <row r="3207" ht="14.25" customHeight="1"/>
    <row r="3208" ht="14.25" customHeight="1"/>
    <row r="3209" ht="14.25" customHeight="1"/>
    <row r="3210" ht="14.25" customHeight="1"/>
    <row r="3211" ht="14.25" customHeight="1"/>
    <row r="3212" ht="14.25" customHeight="1"/>
    <row r="3213" ht="14.25" customHeight="1"/>
    <row r="3214" ht="14.25" customHeight="1"/>
    <row r="3215" ht="14.25" customHeight="1"/>
    <row r="3216" ht="14.25" customHeight="1"/>
    <row r="3217" ht="14.25" customHeight="1"/>
    <row r="3218" ht="14.25" customHeight="1"/>
    <row r="3219" ht="14.25" customHeight="1"/>
    <row r="3220" ht="14.25" customHeight="1"/>
    <row r="3221" ht="14.25" customHeight="1"/>
    <row r="3222" ht="14.25" customHeight="1"/>
    <row r="3223" ht="14.25" customHeight="1"/>
    <row r="3224" ht="14.25" customHeight="1"/>
    <row r="3225" ht="14.25" customHeight="1"/>
    <row r="3226" ht="14.25" customHeight="1"/>
    <row r="3227" ht="14.25" customHeight="1"/>
    <row r="3228" ht="14.25" customHeight="1"/>
    <row r="3229" ht="14.25" customHeight="1"/>
    <row r="3230" ht="14.25" customHeight="1"/>
    <row r="3231" ht="14.25" customHeight="1"/>
    <row r="3232" ht="14.25" customHeight="1"/>
    <row r="3233" ht="14.25" customHeight="1"/>
    <row r="3234" ht="14.25" customHeight="1"/>
    <row r="3235" ht="14.25" customHeight="1"/>
    <row r="3236" ht="14.25" customHeight="1"/>
    <row r="3237" ht="14.25" customHeight="1"/>
    <row r="3238" ht="14.25" customHeight="1"/>
    <row r="3239" ht="14.25" customHeight="1"/>
    <row r="3240" ht="14.25" customHeight="1"/>
    <row r="3241" ht="14.25" customHeight="1"/>
    <row r="3242" ht="14.25" customHeight="1"/>
    <row r="3243" ht="14.25" customHeight="1"/>
    <row r="3244" ht="14.25" customHeight="1"/>
    <row r="3245" ht="14.25" customHeight="1"/>
    <row r="3246" ht="14.25" customHeight="1"/>
    <row r="3247" ht="14.25" customHeight="1"/>
    <row r="3248" ht="14.25" customHeight="1"/>
    <row r="3249" ht="14.25" customHeight="1"/>
    <row r="3250" ht="14.25" customHeight="1"/>
    <row r="3251" ht="14.25" customHeight="1"/>
    <row r="3252" ht="14.25" customHeight="1"/>
    <row r="3253" ht="14.25" customHeight="1"/>
    <row r="3254" ht="14.25" customHeight="1"/>
    <row r="3255" ht="14.25" customHeight="1"/>
    <row r="3256" ht="14.25" customHeight="1"/>
    <row r="3257" ht="14.25" customHeight="1"/>
    <row r="3258" ht="14.25" customHeight="1"/>
    <row r="3259" ht="14.25" customHeight="1"/>
    <row r="3260" ht="14.25" customHeight="1"/>
    <row r="3261" ht="14.25" customHeight="1"/>
    <row r="3262" ht="14.25" customHeight="1"/>
    <row r="3263" ht="14.25" customHeight="1"/>
    <row r="3264" ht="14.25" customHeight="1"/>
    <row r="3265" ht="14.25" customHeight="1"/>
    <row r="3266" ht="14.25" customHeight="1"/>
    <row r="3267" ht="14.25" customHeight="1"/>
    <row r="3268" ht="14.25" customHeight="1"/>
    <row r="3269" ht="14.25" customHeight="1"/>
    <row r="3270" ht="14.25" customHeight="1"/>
    <row r="3271" ht="14.25" customHeight="1"/>
    <row r="3272" ht="14.25" customHeight="1"/>
    <row r="3273" ht="14.25" customHeight="1"/>
    <row r="3274" ht="14.25" customHeight="1"/>
    <row r="3275" ht="14.25" customHeight="1"/>
    <row r="3276" ht="14.25" customHeight="1"/>
    <row r="3277" ht="14.25" customHeight="1"/>
    <row r="3278" ht="14.25" customHeight="1"/>
    <row r="3279" ht="14.25" customHeight="1"/>
    <row r="3280" ht="14.25" customHeight="1"/>
    <row r="3281" ht="14.25" customHeight="1"/>
    <row r="3282" ht="14.25" customHeight="1"/>
    <row r="3283" ht="14.25" customHeight="1"/>
    <row r="3284" ht="14.25" customHeight="1"/>
    <row r="3285" ht="14.25" customHeight="1"/>
    <row r="3286" ht="14.25" customHeight="1"/>
    <row r="3287" ht="14.25" customHeight="1"/>
    <row r="3288" ht="14.25" customHeight="1"/>
    <row r="3289" ht="14.25" customHeight="1"/>
    <row r="3290" ht="14.25" customHeight="1"/>
    <row r="3291" ht="14.25" customHeight="1"/>
    <row r="3292" ht="14.25" customHeight="1"/>
    <row r="3293" ht="14.25" customHeight="1"/>
    <row r="3294" ht="14.25" customHeight="1"/>
    <row r="3295" ht="14.25" customHeight="1"/>
    <row r="3296" ht="14.25" customHeight="1"/>
    <row r="3297" ht="14.25" customHeight="1"/>
    <row r="3298" ht="14.25" customHeight="1"/>
    <row r="3299" ht="14.25" customHeight="1"/>
    <row r="3300" ht="14.25" customHeight="1"/>
    <row r="3301" ht="14.25" customHeight="1"/>
    <row r="3302" ht="14.25" customHeight="1"/>
    <row r="3303" ht="14.25" customHeight="1"/>
    <row r="3304" ht="14.25" customHeight="1"/>
    <row r="3305" ht="14.25" customHeight="1"/>
    <row r="3306" ht="14.25" customHeight="1"/>
    <row r="3307" ht="14.25" customHeight="1"/>
    <row r="3308" ht="14.25" customHeight="1"/>
    <row r="3309" ht="14.25" customHeight="1"/>
    <row r="3310" ht="14.25" customHeight="1"/>
    <row r="3311" ht="14.25" customHeight="1"/>
    <row r="3312" ht="14.25" customHeight="1"/>
    <row r="3313" ht="14.25" customHeight="1"/>
    <row r="3314" ht="14.25" customHeight="1"/>
    <row r="3315" ht="14.25" customHeight="1"/>
    <row r="3316" ht="14.25" customHeight="1"/>
    <row r="3317" ht="14.25" customHeight="1"/>
    <row r="3318" ht="14.25" customHeight="1"/>
    <row r="3319" ht="14.25" customHeight="1"/>
    <row r="3320" ht="14.25" customHeight="1"/>
    <row r="3321" ht="14.25" customHeight="1"/>
    <row r="3322" ht="14.25" customHeight="1"/>
    <row r="3323" ht="14.25" customHeight="1"/>
    <row r="3324" ht="14.25" customHeight="1"/>
    <row r="3325" ht="14.25" customHeight="1"/>
    <row r="3326" ht="14.25" customHeight="1"/>
    <row r="3327" ht="14.25" customHeight="1"/>
    <row r="3328" ht="14.25" customHeight="1"/>
    <row r="3329" ht="14.25" customHeight="1"/>
    <row r="3330" ht="14.25" customHeight="1"/>
    <row r="3331" ht="14.25" customHeight="1"/>
    <row r="3332" ht="14.25" customHeight="1"/>
    <row r="3333" ht="14.25" customHeight="1"/>
    <row r="3334" ht="14.25" customHeight="1"/>
    <row r="3335" ht="14.25" customHeight="1"/>
    <row r="3336" ht="14.25" customHeight="1"/>
    <row r="3337" ht="14.25" customHeight="1"/>
    <row r="3338" ht="14.25" customHeight="1"/>
    <row r="3339" ht="14.25" customHeight="1"/>
    <row r="3340" ht="14.25" customHeight="1"/>
    <row r="3341" ht="14.25" customHeight="1"/>
    <row r="3342" ht="14.25" customHeight="1"/>
    <row r="3343" ht="14.25" customHeight="1"/>
    <row r="3344" ht="14.25" customHeight="1"/>
    <row r="3345" ht="14.25" customHeight="1"/>
    <row r="3346" ht="14.25" customHeight="1"/>
    <row r="3347" ht="14.25" customHeight="1"/>
    <row r="3348" ht="14.25" customHeight="1"/>
    <row r="3349" ht="14.25" customHeight="1"/>
    <row r="3350" ht="14.25" customHeight="1"/>
    <row r="3351" ht="14.25" customHeight="1"/>
    <row r="3352" ht="14.25" customHeight="1"/>
    <row r="3353" ht="14.25" customHeight="1"/>
    <row r="3354" ht="14.25" customHeight="1"/>
    <row r="3355" ht="14.25" customHeight="1"/>
    <row r="3356" ht="14.25" customHeight="1"/>
    <row r="3357" ht="14.25" customHeight="1"/>
    <row r="3358" ht="14.25" customHeight="1"/>
    <row r="3359" ht="14.25" customHeight="1"/>
    <row r="3360" ht="14.25" customHeight="1"/>
    <row r="3361" ht="14.25" customHeight="1"/>
    <row r="3362" ht="14.25" customHeight="1"/>
    <row r="3363" ht="14.25" customHeight="1"/>
    <row r="3364" ht="14.25" customHeight="1"/>
    <row r="3365" ht="14.25" customHeight="1"/>
    <row r="3366" ht="14.25" customHeight="1"/>
    <row r="3367" ht="14.25" customHeight="1"/>
    <row r="3368" ht="14.25" customHeight="1"/>
    <row r="3369" ht="14.25" customHeight="1"/>
    <row r="3370" ht="14.25" customHeight="1"/>
    <row r="3371" ht="14.25" customHeight="1"/>
    <row r="3372" ht="14.25" customHeight="1"/>
    <row r="3373" ht="14.25" customHeight="1"/>
    <row r="3374" ht="14.25" customHeight="1"/>
    <row r="3375" ht="14.25" customHeight="1"/>
    <row r="3376" ht="14.25" customHeight="1"/>
    <row r="3377" ht="14.25" customHeight="1"/>
    <row r="3378" ht="14.25" customHeight="1"/>
    <row r="3379" ht="14.25" customHeight="1"/>
    <row r="3380" ht="14.25" customHeight="1"/>
    <row r="3381" ht="14.25" customHeight="1"/>
    <row r="3382" ht="14.25" customHeight="1"/>
    <row r="3383" ht="14.25" customHeight="1"/>
    <row r="3384" ht="14.25" customHeight="1"/>
    <row r="3385" ht="14.25" customHeight="1"/>
    <row r="3386" ht="14.25" customHeight="1"/>
    <row r="3387" ht="14.25" customHeight="1"/>
    <row r="3388" ht="14.25" customHeight="1"/>
    <row r="3389" ht="14.25" customHeight="1"/>
    <row r="3390" ht="14.25" customHeight="1"/>
    <row r="3391" ht="14.25" customHeight="1"/>
    <row r="3392" ht="14.25" customHeight="1"/>
    <row r="3393" ht="14.25" customHeight="1"/>
    <row r="3394" ht="14.25" customHeight="1"/>
    <row r="3395" ht="14.25" customHeight="1"/>
    <row r="3396" ht="14.25" customHeight="1"/>
    <row r="3397" ht="14.25" customHeight="1"/>
    <row r="3398" ht="14.25" customHeight="1"/>
    <row r="3399" ht="14.25" customHeight="1"/>
    <row r="3400" ht="14.25" customHeight="1"/>
    <row r="3401" ht="14.25" customHeight="1"/>
    <row r="3402" ht="14.25" customHeight="1"/>
    <row r="3403" ht="14.25" customHeight="1"/>
    <row r="3404" ht="14.25" customHeight="1"/>
    <row r="3405" ht="14.25" customHeight="1"/>
    <row r="3406" ht="14.25" customHeight="1"/>
    <row r="3407" ht="14.25" customHeight="1"/>
    <row r="3408" ht="14.25" customHeight="1"/>
    <row r="3409" ht="14.25" customHeight="1"/>
    <row r="3410" ht="14.25" customHeight="1"/>
    <row r="3411" ht="14.25" customHeight="1"/>
    <row r="3412" ht="14.25" customHeight="1"/>
    <row r="3413" ht="14.25" customHeight="1"/>
    <row r="3414" ht="14.25" customHeight="1"/>
    <row r="3415" ht="14.25" customHeight="1"/>
    <row r="3416" ht="14.25" customHeight="1"/>
    <row r="3417" ht="14.25" customHeight="1"/>
    <row r="3418" ht="14.25" customHeight="1"/>
    <row r="3419" ht="14.25" customHeight="1"/>
    <row r="3420" ht="14.25" customHeight="1"/>
    <row r="3421" ht="14.25" customHeight="1"/>
    <row r="3422" ht="14.25" customHeight="1"/>
    <row r="3423" ht="14.25" customHeight="1"/>
    <row r="3424" ht="14.25" customHeight="1"/>
    <row r="3425" ht="14.25" customHeight="1"/>
    <row r="3426" ht="14.25" customHeight="1"/>
    <row r="3427" ht="14.25" customHeight="1"/>
    <row r="3428" ht="14.25" customHeight="1"/>
    <row r="3429" ht="14.25" customHeight="1"/>
    <row r="3430" ht="14.25" customHeight="1"/>
    <row r="3431" ht="14.25" customHeight="1"/>
    <row r="3432" ht="14.25" customHeight="1"/>
    <row r="3433" ht="14.25" customHeight="1"/>
    <row r="3434" ht="14.25" customHeight="1"/>
    <row r="3435" ht="14.25" customHeight="1"/>
    <row r="3436" ht="14.25" customHeight="1"/>
    <row r="3437" ht="14.25" customHeight="1"/>
    <row r="3438" ht="14.25" customHeight="1"/>
    <row r="3439" ht="14.25" customHeight="1"/>
    <row r="3440" ht="14.25" customHeight="1"/>
    <row r="3441" ht="14.25" customHeight="1"/>
    <row r="3442" ht="14.25" customHeight="1"/>
    <row r="3443" ht="14.25" customHeight="1"/>
    <row r="3444" ht="14.25" customHeight="1"/>
    <row r="3445" ht="14.25" customHeight="1"/>
    <row r="3446" ht="14.25" customHeight="1"/>
    <row r="3447" ht="14.25" customHeight="1"/>
    <row r="3448" ht="14.25" customHeight="1"/>
    <row r="3449" ht="14.25" customHeight="1"/>
    <row r="3450" ht="14.25" customHeight="1"/>
    <row r="3451" ht="14.25" customHeight="1"/>
    <row r="3452" ht="14.25" customHeight="1"/>
    <row r="3453" ht="14.25" customHeight="1"/>
    <row r="3454" ht="14.25" customHeight="1"/>
    <row r="3455" ht="14.25" customHeight="1"/>
    <row r="3456" ht="14.25" customHeight="1"/>
    <row r="3457" ht="14.25" customHeight="1"/>
    <row r="3458" ht="14.25" customHeight="1"/>
    <row r="3459" ht="14.25" customHeight="1"/>
    <row r="3460" ht="14.25" customHeight="1"/>
    <row r="3461" ht="14.25" customHeight="1"/>
    <row r="3462" ht="14.25" customHeight="1"/>
    <row r="3463" ht="14.25" customHeight="1"/>
    <row r="3464" ht="14.25" customHeight="1"/>
    <row r="3465" ht="14.25" customHeight="1"/>
    <row r="3466" ht="14.25" customHeight="1"/>
    <row r="3467" ht="14.25" customHeight="1"/>
    <row r="3468" ht="14.25" customHeight="1"/>
    <row r="3469" ht="14.25" customHeight="1"/>
    <row r="3470" ht="14.25" customHeight="1"/>
    <row r="3471" ht="14.25" customHeight="1"/>
    <row r="3472" ht="14.25" customHeight="1"/>
    <row r="3473" ht="14.25" customHeight="1"/>
    <row r="3474" ht="14.25" customHeight="1"/>
    <row r="3475" ht="14.25" customHeight="1"/>
    <row r="3476" ht="14.25" customHeight="1"/>
    <row r="3477" ht="14.25" customHeight="1"/>
    <row r="3478" ht="14.25" customHeight="1"/>
    <row r="3479" ht="14.25" customHeight="1"/>
    <row r="3480" ht="14.25" customHeight="1"/>
    <row r="3481" ht="14.25" customHeight="1"/>
    <row r="3482" ht="14.25" customHeight="1"/>
    <row r="3483" ht="14.25" customHeight="1"/>
    <row r="3484" ht="14.25" customHeight="1"/>
    <row r="3485" ht="14.25" customHeight="1"/>
    <row r="3486" ht="14.25" customHeight="1"/>
    <row r="3487" ht="14.25" customHeight="1"/>
    <row r="3488" ht="14.25" customHeight="1"/>
    <row r="3489" ht="14.25" customHeight="1"/>
    <row r="3490" ht="14.25" customHeight="1"/>
    <row r="3491" ht="14.25" customHeight="1"/>
    <row r="3492" ht="14.25" customHeight="1"/>
    <row r="3493" ht="14.25" customHeight="1"/>
    <row r="3494" ht="14.25" customHeight="1"/>
    <row r="3495" ht="14.25" customHeight="1"/>
    <row r="3496" ht="14.25" customHeight="1"/>
    <row r="3497" ht="14.25" customHeight="1"/>
    <row r="3498" ht="14.25" customHeight="1"/>
    <row r="3499" ht="14.25" customHeight="1"/>
    <row r="3500" ht="14.25" customHeight="1"/>
    <row r="3501" ht="14.25" customHeight="1"/>
    <row r="3502" ht="14.25" customHeight="1"/>
    <row r="3503" ht="14.25" customHeight="1"/>
    <row r="3504" ht="14.25" customHeight="1"/>
    <row r="3505" ht="14.25" customHeight="1"/>
    <row r="3506" ht="14.25" customHeight="1"/>
    <row r="3507" ht="14.25" customHeight="1"/>
    <row r="3508" ht="14.25" customHeight="1"/>
    <row r="3509" ht="14.25" customHeight="1"/>
    <row r="3510" ht="14.25" customHeight="1"/>
    <row r="3511" ht="14.25" customHeight="1"/>
    <row r="3512" ht="14.25" customHeight="1"/>
    <row r="3513" ht="14.25" customHeight="1"/>
    <row r="3514" ht="14.25" customHeight="1"/>
    <row r="3515" ht="14.25" customHeight="1"/>
    <row r="3516" ht="14.25" customHeight="1"/>
    <row r="3517" ht="14.25" customHeight="1"/>
    <row r="3518" ht="14.25" customHeight="1"/>
    <row r="3519" ht="14.25" customHeight="1"/>
    <row r="3520" ht="14.25" customHeight="1"/>
    <row r="3521" ht="14.25" customHeight="1"/>
    <row r="3522" ht="14.25" customHeight="1"/>
    <row r="3523" ht="14.25" customHeight="1"/>
    <row r="3524" ht="14.25" customHeight="1"/>
    <row r="3525" ht="14.25" customHeight="1"/>
    <row r="3526" ht="14.25" customHeight="1"/>
    <row r="3527" ht="14.25" customHeight="1"/>
    <row r="3528" ht="14.25" customHeight="1"/>
    <row r="3529" ht="14.25" customHeight="1"/>
    <row r="3530" ht="14.25" customHeight="1"/>
    <row r="3531" ht="14.25" customHeight="1"/>
    <row r="3532" ht="14.25" customHeight="1"/>
    <row r="3533" ht="14.25" customHeight="1"/>
    <row r="3534" ht="14.25" customHeight="1"/>
    <row r="3535" ht="14.25" customHeight="1"/>
    <row r="3536" ht="14.25" customHeight="1"/>
    <row r="3537" ht="14.25" customHeight="1"/>
    <row r="3538" ht="14.25" customHeight="1"/>
    <row r="3539" ht="14.25" customHeight="1"/>
    <row r="3540" ht="14.25" customHeight="1"/>
    <row r="3541" ht="14.25" customHeight="1"/>
    <row r="3542" ht="14.25" customHeight="1"/>
    <row r="3543" ht="14.25" customHeight="1"/>
    <row r="3544" ht="14.25" customHeight="1"/>
    <row r="3545" ht="14.25" customHeight="1"/>
    <row r="3546" ht="14.25" customHeight="1"/>
    <row r="3547" ht="14.25" customHeight="1"/>
    <row r="3548" ht="14.25" customHeight="1"/>
    <row r="3549" ht="14.25" customHeight="1"/>
    <row r="3550" ht="14.25" customHeight="1"/>
    <row r="3551" ht="14.25" customHeight="1"/>
    <row r="3552" ht="14.25" customHeight="1"/>
    <row r="3553" ht="14.25" customHeight="1"/>
    <row r="3554" ht="14.25" customHeight="1"/>
    <row r="3555" ht="14.25" customHeight="1"/>
    <row r="3556" ht="14.25" customHeight="1"/>
    <row r="3557" ht="14.25" customHeight="1"/>
    <row r="3558" ht="14.25" customHeight="1"/>
    <row r="3559" ht="14.25" customHeight="1"/>
    <row r="3560" ht="14.25" customHeight="1"/>
    <row r="3561" ht="14.25" customHeight="1"/>
    <row r="3562" ht="14.25" customHeight="1"/>
    <row r="3563" ht="14.25" customHeight="1"/>
    <row r="3564" ht="14.25" customHeight="1"/>
    <row r="3565" ht="14.25" customHeight="1"/>
    <row r="3566" ht="14.25" customHeight="1"/>
    <row r="3567" ht="14.25" customHeight="1"/>
    <row r="3568" ht="14.25" customHeight="1"/>
    <row r="3569" ht="14.25" customHeight="1"/>
    <row r="3570" ht="14.25" customHeight="1"/>
    <row r="3571" ht="14.25" customHeight="1"/>
    <row r="3572" ht="14.25" customHeight="1"/>
    <row r="3573" ht="14.25" customHeight="1"/>
    <row r="3574" ht="14.25" customHeight="1"/>
    <row r="3575" ht="14.25" customHeight="1"/>
    <row r="3576" ht="14.25" customHeight="1"/>
    <row r="3577" ht="14.25" customHeight="1"/>
    <row r="3578" ht="14.25" customHeight="1"/>
    <row r="3579" ht="14.25" customHeight="1"/>
    <row r="3580" ht="14.25" customHeight="1"/>
    <row r="3581" ht="14.25" customHeight="1"/>
    <row r="3582" ht="14.25" customHeight="1"/>
    <row r="3583" ht="14.25" customHeight="1"/>
    <row r="3584" ht="14.25" customHeight="1"/>
    <row r="3585" ht="14.25" customHeight="1"/>
    <row r="3586" ht="14.25" customHeight="1"/>
    <row r="3587" ht="14.25" customHeight="1"/>
    <row r="3588" ht="14.25" customHeight="1"/>
    <row r="3589" ht="14.25" customHeight="1"/>
    <row r="3590" ht="14.25" customHeight="1"/>
    <row r="3591" ht="14.25" customHeight="1"/>
    <row r="3592" ht="14.25" customHeight="1"/>
    <row r="3593" ht="14.25" customHeight="1"/>
    <row r="3594" ht="14.25" customHeight="1"/>
    <row r="3595" ht="14.25" customHeight="1"/>
    <row r="3596" ht="14.25" customHeight="1"/>
    <row r="3597" ht="14.25" customHeight="1"/>
    <row r="3598" ht="14.25" customHeight="1"/>
    <row r="3599" ht="14.25" customHeight="1"/>
    <row r="3600" ht="14.25" customHeight="1"/>
    <row r="3601" ht="14.25" customHeight="1"/>
    <row r="3602" ht="14.25" customHeight="1"/>
    <row r="3603" ht="14.25" customHeight="1"/>
    <row r="3604" ht="14.25" customHeight="1"/>
    <row r="3605" ht="14.25" customHeight="1"/>
    <row r="3606" ht="14.25" customHeight="1"/>
    <row r="3607" ht="14.25" customHeight="1"/>
    <row r="3608" ht="14.25" customHeight="1"/>
    <row r="3609" ht="14.25" customHeight="1"/>
    <row r="3610" ht="14.25" customHeight="1"/>
    <row r="3611" ht="14.25" customHeight="1"/>
    <row r="3612" ht="14.25" customHeight="1"/>
    <row r="3613" ht="14.25" customHeight="1"/>
    <row r="3614" ht="14.25" customHeight="1"/>
    <row r="3615" ht="14.25" customHeight="1"/>
    <row r="3616" ht="14.25" customHeight="1"/>
    <row r="3617" ht="14.25" customHeight="1"/>
    <row r="3618" ht="14.25" customHeight="1"/>
    <row r="3619" ht="14.25" customHeight="1"/>
    <row r="3620" ht="14.25" customHeight="1"/>
    <row r="3621" ht="14.25" customHeight="1"/>
    <row r="3622" ht="14.25" customHeight="1"/>
    <row r="3623" ht="14.25" customHeight="1"/>
    <row r="3624" ht="14.25" customHeight="1"/>
    <row r="3625" ht="14.25" customHeight="1"/>
    <row r="3626" ht="14.25" customHeight="1"/>
    <row r="3627" ht="14.25" customHeight="1"/>
    <row r="3628" ht="14.25" customHeight="1"/>
    <row r="3629" ht="14.25" customHeight="1"/>
    <row r="3630" ht="14.25" customHeight="1"/>
    <row r="3631" ht="14.25" customHeight="1"/>
    <row r="3632" ht="14.25" customHeight="1"/>
    <row r="3633" ht="14.25" customHeight="1"/>
    <row r="3634" ht="14.25" customHeight="1"/>
    <row r="3635" ht="14.25" customHeight="1"/>
    <row r="3636" ht="14.25" customHeight="1"/>
    <row r="3637" ht="14.25" customHeight="1"/>
    <row r="3638" ht="14.25" customHeight="1"/>
    <row r="3639" ht="14.25" customHeight="1"/>
    <row r="3640" ht="14.25" customHeight="1"/>
    <row r="3641" ht="14.25" customHeight="1"/>
    <row r="3642" ht="14.25" customHeight="1"/>
    <row r="3643" ht="14.25" customHeight="1"/>
    <row r="3644" ht="14.25" customHeight="1"/>
    <row r="3645" ht="14.25" customHeight="1"/>
    <row r="3646" ht="14.25" customHeight="1"/>
    <row r="3647" ht="14.25" customHeight="1"/>
    <row r="3648" ht="14.25" customHeight="1"/>
    <row r="3649" ht="14.25" customHeight="1"/>
    <row r="3650" ht="14.25" customHeight="1"/>
    <row r="3651" ht="14.25" customHeight="1"/>
    <row r="3652" ht="14.25" customHeight="1"/>
    <row r="3653" ht="14.25" customHeight="1"/>
    <row r="3654" ht="14.25" customHeight="1"/>
    <row r="3655" ht="14.25" customHeight="1"/>
    <row r="3656" ht="14.25" customHeight="1"/>
    <row r="3657" ht="14.25" customHeight="1"/>
    <row r="3658" ht="14.25" customHeight="1"/>
    <row r="3659" ht="14.25" customHeight="1"/>
    <row r="3660" ht="14.25" customHeight="1"/>
    <row r="3661" ht="14.25" customHeight="1"/>
    <row r="3662" ht="14.25" customHeight="1"/>
    <row r="3663" ht="14.25" customHeight="1"/>
    <row r="3664" ht="14.25" customHeight="1"/>
    <row r="3665" ht="14.25" customHeight="1"/>
    <row r="3666" ht="14.25" customHeight="1"/>
    <row r="3667" ht="14.25" customHeight="1"/>
    <row r="3668" ht="14.25" customHeight="1"/>
    <row r="3669" ht="14.25" customHeight="1"/>
    <row r="3670" ht="14.25" customHeight="1"/>
    <row r="3671" ht="14.25" customHeight="1"/>
    <row r="3672" ht="14.25" customHeight="1"/>
    <row r="3673" ht="14.25" customHeight="1"/>
    <row r="3674" ht="14.25" customHeight="1"/>
    <row r="3675" ht="14.25" customHeight="1"/>
    <row r="3676" ht="14.25" customHeight="1"/>
    <row r="3677" ht="14.25" customHeight="1"/>
    <row r="3678" ht="14.25" customHeight="1"/>
    <row r="3679" ht="14.25" customHeight="1"/>
    <row r="3680" ht="14.25" customHeight="1"/>
    <row r="3681" ht="14.25" customHeight="1"/>
    <row r="3682" ht="14.25" customHeight="1"/>
    <row r="3683" ht="14.25" customHeight="1"/>
    <row r="3684" ht="14.25" customHeight="1"/>
    <row r="3685" ht="14.25" customHeight="1"/>
    <row r="3686" ht="14.25" customHeight="1"/>
    <row r="3687" ht="14.25" customHeight="1"/>
    <row r="3688" ht="14.25" customHeight="1"/>
    <row r="3689" ht="14.25" customHeight="1"/>
    <row r="3690" ht="14.25" customHeight="1"/>
    <row r="3691" ht="14.25" customHeight="1"/>
    <row r="3692" ht="14.25" customHeight="1"/>
    <row r="3693" ht="14.25" customHeight="1"/>
    <row r="3694" ht="14.25" customHeight="1"/>
    <row r="3695" ht="14.25" customHeight="1"/>
    <row r="3696" ht="14.25" customHeight="1"/>
    <row r="3697" ht="14.25" customHeight="1"/>
    <row r="3698" ht="14.25" customHeight="1"/>
    <row r="3699" ht="14.25" customHeight="1"/>
    <row r="3700" ht="14.25" customHeight="1"/>
    <row r="3701" ht="14.25" customHeight="1"/>
    <row r="3702" ht="14.25" customHeight="1"/>
    <row r="3703" ht="14.25" customHeight="1"/>
    <row r="3704" ht="14.25" customHeight="1"/>
    <row r="3705" ht="14.25" customHeight="1"/>
    <row r="3706" ht="14.25" customHeight="1"/>
    <row r="3707" ht="14.25" customHeight="1"/>
    <row r="3708" ht="14.25" customHeight="1"/>
    <row r="3709" ht="14.25" customHeight="1"/>
    <row r="3710" ht="14.25" customHeight="1"/>
    <row r="3711" ht="14.25" customHeight="1"/>
    <row r="3712" ht="14.25" customHeight="1"/>
    <row r="3713" ht="14.25" customHeight="1"/>
    <row r="3714" ht="14.25" customHeight="1"/>
    <row r="3715" ht="14.25" customHeight="1"/>
    <row r="3716" ht="14.25" customHeight="1"/>
    <row r="3717" ht="14.25" customHeight="1"/>
    <row r="3718" ht="14.25" customHeight="1"/>
    <row r="3719" ht="14.25" customHeight="1"/>
    <row r="3720" ht="14.25" customHeight="1"/>
    <row r="3721" ht="14.25" customHeight="1"/>
    <row r="3722" ht="14.25" customHeight="1"/>
    <row r="3723" ht="14.25" customHeight="1"/>
    <row r="3724" ht="14.25" customHeight="1"/>
    <row r="3725" ht="14.25" customHeight="1"/>
    <row r="3726" ht="14.25" customHeight="1"/>
    <row r="3727" ht="14.25" customHeight="1"/>
    <row r="3728" ht="14.25" customHeight="1"/>
    <row r="3729" ht="14.25" customHeight="1"/>
    <row r="3730" ht="14.25" customHeight="1"/>
    <row r="3731" ht="14.25" customHeight="1"/>
    <row r="3732" ht="14.25" customHeight="1"/>
    <row r="3733" ht="14.25" customHeight="1"/>
    <row r="3734" ht="14.25" customHeight="1"/>
    <row r="3735" ht="14.25" customHeight="1"/>
    <row r="3736" ht="14.25" customHeight="1"/>
    <row r="3737" ht="14.25" customHeight="1"/>
    <row r="3738" ht="14.25" customHeight="1"/>
    <row r="3739" ht="14.25" customHeight="1"/>
    <row r="3740" ht="14.25" customHeight="1"/>
    <row r="3741" ht="14.25" customHeight="1"/>
    <row r="3742" ht="14.25" customHeight="1"/>
    <row r="3743" ht="14.25" customHeight="1"/>
    <row r="3744" ht="14.25" customHeight="1"/>
    <row r="3745" ht="14.25" customHeight="1"/>
    <row r="3746" ht="14.25" customHeight="1"/>
    <row r="3747" ht="14.25" customHeight="1"/>
    <row r="3748" ht="14.25" customHeight="1"/>
    <row r="3749" ht="14.25" customHeight="1"/>
    <row r="3750" ht="14.25" customHeight="1"/>
    <row r="3751" ht="14.25" customHeight="1"/>
    <row r="3752" ht="14.25" customHeight="1"/>
    <row r="3753" ht="14.25" customHeight="1"/>
    <row r="3754" ht="14.25" customHeight="1"/>
    <row r="3755" ht="14.25" customHeight="1"/>
    <row r="3756" ht="14.25" customHeight="1"/>
    <row r="3757" ht="14.25" customHeight="1"/>
    <row r="3758" ht="14.25" customHeight="1"/>
    <row r="3759" ht="14.25" customHeight="1"/>
    <row r="3760" ht="14.25" customHeight="1"/>
    <row r="3761" ht="14.25" customHeight="1"/>
    <row r="3762" ht="14.25" customHeight="1"/>
    <row r="3763" ht="14.25" customHeight="1"/>
    <row r="3764" ht="14.25" customHeight="1"/>
    <row r="3765" ht="14.25" customHeight="1"/>
    <row r="3766" ht="14.25" customHeight="1"/>
    <row r="3767" ht="14.25" customHeight="1"/>
    <row r="3768" ht="14.25" customHeight="1"/>
    <row r="3769" ht="14.25" customHeight="1"/>
    <row r="3770" ht="14.25" customHeight="1"/>
    <row r="3771" ht="14.25" customHeight="1"/>
    <row r="3772" ht="14.25" customHeight="1"/>
    <row r="3773" ht="14.25" customHeight="1"/>
    <row r="3774" ht="14.25" customHeight="1"/>
    <row r="3775" ht="14.25" customHeight="1"/>
    <row r="3776" ht="14.25" customHeight="1"/>
    <row r="3777" ht="14.25" customHeight="1"/>
    <row r="3778" ht="14.25" customHeight="1"/>
    <row r="3779" ht="14.25" customHeight="1"/>
    <row r="3780" ht="14.25" customHeight="1"/>
    <row r="3781" ht="14.25" customHeight="1"/>
    <row r="3782" ht="14.25" customHeight="1"/>
    <row r="3783" ht="14.25" customHeight="1"/>
    <row r="3784" ht="14.25" customHeight="1"/>
    <row r="3785" ht="14.25" customHeight="1"/>
    <row r="3786" ht="14.25" customHeight="1"/>
    <row r="3787" ht="14.25" customHeight="1"/>
    <row r="3788" ht="14.25" customHeight="1"/>
    <row r="3789" ht="14.25" customHeight="1"/>
    <row r="3790" ht="14.25" customHeight="1"/>
    <row r="3791" ht="14.25" customHeight="1"/>
    <row r="3792" ht="14.25" customHeight="1"/>
    <row r="3793" ht="14.25" customHeight="1"/>
    <row r="3794" ht="14.25" customHeight="1"/>
    <row r="3795" ht="14.25" customHeight="1"/>
    <row r="3796" ht="14.25" customHeight="1"/>
    <row r="3797" ht="14.25" customHeight="1"/>
    <row r="3798" ht="14.25" customHeight="1"/>
    <row r="3799" ht="14.25" customHeight="1"/>
    <row r="3800" ht="14.25" customHeight="1"/>
    <row r="3801" ht="14.25" customHeight="1"/>
    <row r="3802" ht="14.25" customHeight="1"/>
    <row r="3803" ht="14.25" customHeight="1"/>
    <row r="3804" ht="14.25" customHeight="1"/>
    <row r="3805" ht="14.25" customHeight="1"/>
    <row r="3806" ht="14.25" customHeight="1"/>
    <row r="3807" ht="14.25" customHeight="1"/>
    <row r="3808" ht="14.25" customHeight="1"/>
    <row r="3809" ht="14.25" customHeight="1"/>
    <row r="3810" ht="14.25" customHeight="1"/>
    <row r="3811" ht="14.25" customHeight="1"/>
    <row r="3812" ht="14.25" customHeight="1"/>
    <row r="3813" ht="14.25" customHeight="1"/>
    <row r="3814" ht="14.25" customHeight="1"/>
    <row r="3815" ht="14.25" customHeight="1"/>
    <row r="3816" ht="14.25" customHeight="1"/>
    <row r="3817" ht="14.25" customHeight="1"/>
    <row r="3818" ht="14.25" customHeight="1"/>
    <row r="3819" ht="14.25" customHeight="1"/>
    <row r="3820" ht="14.25" customHeight="1"/>
    <row r="3821" ht="14.25" customHeight="1"/>
    <row r="3822" ht="14.25" customHeight="1"/>
    <row r="3823" ht="14.25" customHeight="1"/>
    <row r="3824" ht="14.25" customHeight="1"/>
    <row r="3825" ht="14.25" customHeight="1"/>
    <row r="3826" ht="14.25" customHeight="1"/>
    <row r="3827" ht="14.25" customHeight="1"/>
    <row r="3828" ht="14.25" customHeight="1"/>
    <row r="3829" ht="14.25" customHeight="1"/>
    <row r="3830" ht="14.25" customHeight="1"/>
    <row r="3831" ht="14.25" customHeight="1"/>
    <row r="3832" ht="14.25" customHeight="1"/>
    <row r="3833" ht="14.25" customHeight="1"/>
    <row r="3834" ht="14.25" customHeight="1"/>
    <row r="3835" ht="14.25" customHeight="1"/>
    <row r="3836" ht="14.25" customHeight="1"/>
    <row r="3837" ht="14.25" customHeight="1"/>
    <row r="3838" ht="14.25" customHeight="1"/>
    <row r="3839" ht="14.25" customHeight="1"/>
    <row r="3840" ht="14.25" customHeight="1"/>
    <row r="3841" ht="14.25" customHeight="1"/>
    <row r="3842" ht="14.25" customHeight="1"/>
    <row r="3843" ht="14.25" customHeight="1"/>
    <row r="3844" ht="14.25" customHeight="1"/>
    <row r="3845" ht="14.25" customHeight="1"/>
    <row r="3846" ht="14.25" customHeight="1"/>
    <row r="3847" ht="14.25" customHeight="1"/>
    <row r="3848" ht="14.25" customHeight="1"/>
    <row r="3849" ht="14.25" customHeight="1"/>
    <row r="3850" ht="14.25" customHeight="1"/>
    <row r="3851" ht="14.25" customHeight="1"/>
    <row r="3852" ht="14.25" customHeight="1"/>
    <row r="3853" ht="14.25" customHeight="1"/>
    <row r="3854" ht="14.25" customHeight="1"/>
    <row r="3855" ht="14.25" customHeight="1"/>
    <row r="3856" ht="14.25" customHeight="1"/>
    <row r="3857" ht="14.25" customHeight="1"/>
    <row r="3858" ht="14.25" customHeight="1"/>
    <row r="3859" ht="14.25" customHeight="1"/>
    <row r="3860" ht="14.25" customHeight="1"/>
    <row r="3861" ht="14.25" customHeight="1"/>
    <row r="3862" ht="14.25" customHeight="1"/>
    <row r="3863" ht="14.25" customHeight="1"/>
    <row r="3864" ht="14.25" customHeight="1"/>
    <row r="3865" ht="14.25" customHeight="1"/>
    <row r="3866" ht="14.25" customHeight="1"/>
    <row r="3867" ht="14.25" customHeight="1"/>
    <row r="3868" ht="14.25" customHeight="1"/>
    <row r="3869" ht="14.25" customHeight="1"/>
    <row r="3870" ht="14.25" customHeight="1"/>
    <row r="3871" ht="14.25" customHeight="1"/>
    <row r="3872" ht="14.25" customHeight="1"/>
    <row r="3873" ht="14.25" customHeight="1"/>
    <row r="3874" ht="14.25" customHeight="1"/>
    <row r="3875" ht="14.25" customHeight="1"/>
    <row r="3876" ht="14.25" customHeight="1"/>
    <row r="3877" ht="14.25" customHeight="1"/>
    <row r="3878" ht="14.25" customHeight="1"/>
    <row r="3879" ht="14.25" customHeight="1"/>
    <row r="3880" ht="14.25" customHeight="1"/>
    <row r="3881" ht="14.25" customHeight="1"/>
    <row r="3882" ht="14.25" customHeight="1"/>
    <row r="3883" ht="14.25" customHeight="1"/>
    <row r="3884" ht="14.25" customHeight="1"/>
    <row r="3885" ht="14.25" customHeight="1"/>
    <row r="3886" ht="14.25" customHeight="1"/>
    <row r="3887" ht="14.25" customHeight="1"/>
    <row r="3888" ht="14.25" customHeight="1"/>
    <row r="3889" ht="14.25" customHeight="1"/>
    <row r="3890" ht="14.25" customHeight="1"/>
    <row r="3891" ht="14.25" customHeight="1"/>
    <row r="3892" ht="14.25" customHeight="1"/>
    <row r="3893" ht="14.25" customHeight="1"/>
    <row r="3894" ht="14.25" customHeight="1"/>
    <row r="3895" ht="14.25" customHeight="1"/>
    <row r="3896" ht="14.25" customHeight="1"/>
    <row r="3897" ht="14.25" customHeight="1"/>
    <row r="3898" ht="14.25" customHeight="1"/>
    <row r="3899" ht="14.25" customHeight="1"/>
    <row r="3900" ht="14.25" customHeight="1"/>
    <row r="3901" ht="14.25" customHeight="1"/>
    <row r="3902" ht="14.25" customHeight="1"/>
    <row r="3903" ht="14.25" customHeight="1"/>
    <row r="3904" ht="14.25" customHeight="1"/>
    <row r="3905" ht="14.25" customHeight="1"/>
    <row r="3906" ht="14.25" customHeight="1"/>
    <row r="3907" ht="14.25" customHeight="1"/>
    <row r="3908" ht="14.25" customHeight="1"/>
    <row r="3909" ht="14.25" customHeight="1"/>
    <row r="3910" ht="14.25" customHeight="1"/>
    <row r="3911" ht="14.25" customHeight="1"/>
    <row r="3912" ht="14.25" customHeight="1"/>
    <row r="3913" ht="14.25" customHeight="1"/>
    <row r="3914" ht="14.25" customHeight="1"/>
    <row r="3915" ht="14.25" customHeight="1"/>
    <row r="3916" ht="14.25" customHeight="1"/>
    <row r="3917" ht="14.25" customHeight="1"/>
    <row r="3918" ht="14.25" customHeight="1"/>
    <row r="3919" ht="14.25" customHeight="1"/>
    <row r="3920" ht="14.25" customHeight="1"/>
    <row r="3921" ht="14.25" customHeight="1"/>
    <row r="3922" ht="14.25" customHeight="1"/>
    <row r="3923" ht="14.25" customHeight="1"/>
    <row r="3924" ht="14.25" customHeight="1"/>
    <row r="3925" ht="14.25" customHeight="1"/>
    <row r="3926" ht="14.25" customHeight="1"/>
    <row r="3927" ht="14.25" customHeight="1"/>
    <row r="3928" ht="14.25" customHeight="1"/>
    <row r="3929" ht="14.25" customHeight="1"/>
    <row r="3930" ht="14.25" customHeight="1"/>
    <row r="3931" ht="14.25" customHeight="1"/>
    <row r="3932" ht="14.25" customHeight="1"/>
    <row r="3933" ht="14.25" customHeight="1"/>
    <row r="3934" ht="14.25" customHeight="1"/>
    <row r="3935" ht="14.25" customHeight="1"/>
    <row r="3936" ht="14.25" customHeight="1"/>
    <row r="3937" ht="14.25" customHeight="1"/>
    <row r="3938" ht="14.25" customHeight="1"/>
    <row r="3939" ht="14.25" customHeight="1"/>
    <row r="3940" ht="14.25" customHeight="1"/>
    <row r="3941" ht="14.25" customHeight="1"/>
    <row r="3942" ht="14.25" customHeight="1"/>
    <row r="3943" ht="14.25" customHeight="1"/>
    <row r="3944" ht="14.25" customHeight="1"/>
    <row r="3945" ht="14.25" customHeight="1"/>
    <row r="3946" ht="14.25" customHeight="1"/>
    <row r="3947" ht="14.25" customHeight="1"/>
    <row r="3948" ht="14.25" customHeight="1"/>
    <row r="3949" ht="14.25" customHeight="1"/>
    <row r="3950" ht="14.25" customHeight="1"/>
    <row r="3951" ht="14.25" customHeight="1"/>
    <row r="3952" ht="14.25" customHeight="1"/>
    <row r="3953" ht="14.25" customHeight="1"/>
    <row r="3954" ht="14.25" customHeight="1"/>
    <row r="3955" ht="14.25" customHeight="1"/>
    <row r="3956" ht="14.25" customHeight="1"/>
    <row r="3957" ht="14.25" customHeight="1"/>
    <row r="3958" ht="14.25" customHeight="1"/>
    <row r="3959" ht="14.25" customHeight="1"/>
    <row r="3960" ht="14.25" customHeight="1"/>
    <row r="3961" ht="14.25" customHeight="1"/>
    <row r="3962" ht="14.25" customHeight="1"/>
    <row r="3963" ht="14.25" customHeight="1"/>
    <row r="3964" ht="14.25" customHeight="1"/>
    <row r="3965" ht="14.25" customHeight="1"/>
    <row r="3966" ht="14.25" customHeight="1"/>
    <row r="3967" ht="14.25" customHeight="1"/>
    <row r="3968" ht="14.25" customHeight="1"/>
    <row r="3969" ht="14.25" customHeight="1"/>
    <row r="3970" ht="14.25" customHeight="1"/>
    <row r="3971" ht="14.25" customHeight="1"/>
    <row r="3972" ht="14.25" customHeight="1"/>
    <row r="3973" ht="14.25" customHeight="1"/>
    <row r="3974" ht="14.25" customHeight="1"/>
    <row r="3975" ht="14.25" customHeight="1"/>
    <row r="3976" ht="14.25" customHeight="1"/>
    <row r="3977" ht="14.25" customHeight="1"/>
    <row r="3978" ht="14.25" customHeight="1"/>
    <row r="3979" ht="14.25" customHeight="1"/>
    <row r="3980" ht="14.25" customHeight="1"/>
    <row r="3981" ht="14.25" customHeight="1"/>
    <row r="3982" ht="14.25" customHeight="1"/>
    <row r="3983" ht="14.25" customHeight="1"/>
    <row r="3984" ht="14.25" customHeight="1"/>
    <row r="3985" ht="14.25" customHeight="1"/>
    <row r="3986" ht="14.25" customHeight="1"/>
    <row r="3987" ht="14.25" customHeight="1"/>
    <row r="3988" ht="14.25" customHeight="1"/>
    <row r="3989" ht="14.25" customHeight="1"/>
    <row r="3990" ht="14.25" customHeight="1"/>
    <row r="3991" ht="14.25" customHeight="1"/>
    <row r="3992" ht="14.25" customHeight="1"/>
    <row r="3993" ht="14.25" customHeight="1"/>
    <row r="3994" ht="14.25" customHeight="1"/>
    <row r="3995" ht="14.25" customHeight="1"/>
    <row r="3996" ht="14.25" customHeight="1"/>
    <row r="3997" ht="14.25" customHeight="1"/>
    <row r="3998" ht="14.25" customHeight="1"/>
    <row r="3999" ht="14.25" customHeight="1"/>
    <row r="4000" ht="14.25" customHeight="1"/>
    <row r="4001" ht="14.25" customHeight="1"/>
    <row r="4002" ht="14.25" customHeight="1"/>
    <row r="4003" ht="14.25" customHeight="1"/>
    <row r="4004" ht="14.25" customHeight="1"/>
    <row r="4005" ht="14.25" customHeight="1"/>
    <row r="4006" ht="14.25" customHeight="1"/>
    <row r="4007" ht="14.25" customHeight="1"/>
    <row r="4008" ht="14.25" customHeight="1"/>
    <row r="4009" ht="14.25" customHeight="1"/>
    <row r="4010" ht="14.25" customHeight="1"/>
    <row r="4011" ht="14.25" customHeight="1"/>
    <row r="4012" ht="14.25" customHeight="1"/>
    <row r="4013" ht="14.25" customHeight="1"/>
    <row r="4014" ht="14.25" customHeight="1"/>
    <row r="4015" ht="14.25" customHeight="1"/>
    <row r="4016" ht="14.25" customHeight="1"/>
    <row r="4017" ht="14.25" customHeight="1"/>
    <row r="4018" ht="14.25" customHeight="1"/>
    <row r="4019" ht="14.25" customHeight="1"/>
    <row r="4020" ht="14.25" customHeight="1"/>
    <row r="4021" ht="14.25" customHeight="1"/>
    <row r="4022" ht="14.25" customHeight="1"/>
    <row r="4023" ht="14.25" customHeight="1"/>
    <row r="4024" ht="14.25" customHeight="1"/>
    <row r="4025" ht="14.25" customHeight="1"/>
    <row r="4026" ht="14.25" customHeight="1"/>
    <row r="4027" ht="14.25" customHeight="1"/>
    <row r="4028" ht="14.25" customHeight="1"/>
    <row r="4029" ht="14.25" customHeight="1"/>
    <row r="4030" ht="14.25" customHeight="1"/>
    <row r="4031" ht="14.25" customHeight="1"/>
    <row r="4032" ht="14.25" customHeight="1"/>
    <row r="4033" ht="14.25" customHeight="1"/>
    <row r="4034" ht="14.25" customHeight="1"/>
    <row r="4035" ht="14.25" customHeight="1"/>
    <row r="4036" ht="14.25" customHeight="1"/>
    <row r="4037" ht="14.25" customHeight="1"/>
    <row r="4038" ht="14.25" customHeight="1"/>
    <row r="4039" ht="14.25" customHeight="1"/>
    <row r="4040" ht="14.25" customHeight="1"/>
    <row r="4041" ht="14.25" customHeight="1"/>
    <row r="4042" ht="14.25" customHeight="1"/>
    <row r="4043" ht="14.25" customHeight="1"/>
    <row r="4044" ht="14.25" customHeight="1"/>
    <row r="4045" ht="14.25" customHeight="1"/>
    <row r="4046" ht="14.25" customHeight="1"/>
    <row r="4047" ht="14.25" customHeight="1"/>
    <row r="4048" ht="14.25" customHeight="1"/>
    <row r="4049" ht="14.25" customHeight="1"/>
    <row r="4050" ht="14.25" customHeight="1"/>
    <row r="4051" ht="14.25" customHeight="1"/>
    <row r="4052" ht="14.25" customHeight="1"/>
    <row r="4053" ht="14.25" customHeight="1"/>
    <row r="4054" ht="14.25" customHeight="1"/>
    <row r="4055" ht="14.25" customHeight="1"/>
    <row r="4056" ht="14.25" customHeight="1"/>
    <row r="4057" ht="14.25" customHeight="1"/>
    <row r="4058" ht="14.25" customHeight="1"/>
    <row r="4059" ht="14.25" customHeight="1"/>
    <row r="4060" ht="14.25" customHeight="1"/>
    <row r="4061" ht="14.25" customHeight="1"/>
    <row r="4062" ht="14.25" customHeight="1"/>
    <row r="4063" ht="14.25" customHeight="1"/>
    <row r="4064" ht="14.25" customHeight="1"/>
    <row r="4065" ht="14.25" customHeight="1"/>
    <row r="4066" ht="14.25" customHeight="1"/>
    <row r="4067" ht="14.25" customHeight="1"/>
    <row r="4068" ht="14.25" customHeight="1"/>
    <row r="4069" ht="14.25" customHeight="1"/>
    <row r="4070" ht="14.25" customHeight="1"/>
    <row r="4071" ht="14.25" customHeight="1"/>
    <row r="4072" ht="14.25" customHeight="1"/>
    <row r="4073" ht="14.25" customHeight="1"/>
    <row r="4074" ht="14.25" customHeight="1"/>
    <row r="4075" ht="14.25" customHeight="1"/>
    <row r="4076" ht="14.25" customHeight="1"/>
    <row r="4077" ht="14.25" customHeight="1"/>
    <row r="4078" ht="14.25" customHeight="1"/>
    <row r="4079" ht="14.25" customHeight="1"/>
    <row r="4080" ht="14.25" customHeight="1"/>
    <row r="4081" ht="14.25" customHeight="1"/>
    <row r="4082" ht="14.25" customHeight="1"/>
    <row r="4083" ht="14.25" customHeight="1"/>
    <row r="4084" ht="14.25" customHeight="1"/>
    <row r="4085" ht="14.25" customHeight="1"/>
    <row r="4086" ht="14.25" customHeight="1"/>
    <row r="4087" ht="14.25" customHeight="1"/>
    <row r="4088" ht="14.25" customHeight="1"/>
    <row r="4089" ht="14.25" customHeight="1"/>
    <row r="4090" ht="14.25" customHeight="1"/>
    <row r="4091" ht="14.25" customHeight="1"/>
    <row r="4092" ht="14.25" customHeight="1"/>
    <row r="4093" ht="14.25" customHeight="1"/>
    <row r="4094" ht="14.25" customHeight="1"/>
    <row r="4095" ht="14.25" customHeight="1"/>
    <row r="4096" ht="14.25" customHeight="1"/>
    <row r="4097" ht="14.25" customHeight="1"/>
    <row r="4098" ht="14.25" customHeight="1"/>
    <row r="4099" ht="14.25" customHeight="1"/>
    <row r="4100" ht="14.25" customHeight="1"/>
    <row r="4101" ht="14.25" customHeight="1"/>
    <row r="4102" ht="14.25" customHeight="1"/>
    <row r="4103" ht="14.25" customHeight="1"/>
    <row r="4104" ht="14.25" customHeight="1"/>
    <row r="4105" ht="14.25" customHeight="1"/>
    <row r="4106" ht="14.25" customHeight="1"/>
    <row r="4107" ht="14.25" customHeight="1"/>
    <row r="4108" ht="14.25" customHeight="1"/>
    <row r="4109" ht="14.25" customHeight="1"/>
    <row r="4110" ht="14.25" customHeight="1"/>
    <row r="4111" ht="14.25" customHeight="1"/>
    <row r="4112" ht="14.25" customHeight="1"/>
    <row r="4113" ht="14.25" customHeight="1"/>
    <row r="4114" ht="14.25" customHeight="1"/>
    <row r="4115" ht="14.25" customHeight="1"/>
    <row r="4116" ht="14.25" customHeight="1"/>
    <row r="4117" ht="14.25" customHeight="1"/>
    <row r="4118" ht="14.25" customHeight="1"/>
    <row r="4119" ht="14.25" customHeight="1"/>
    <row r="4120" ht="14.25" customHeight="1"/>
    <row r="4121" ht="14.25" customHeight="1"/>
    <row r="4122" ht="14.25" customHeight="1"/>
    <row r="4123" ht="14.25" customHeight="1"/>
    <row r="4124" ht="14.25" customHeight="1"/>
    <row r="4125" ht="14.25" customHeight="1"/>
    <row r="4126" ht="14.25" customHeight="1"/>
    <row r="4127" ht="14.25" customHeight="1"/>
    <row r="4128" ht="14.25" customHeight="1"/>
    <row r="4129" ht="14.25" customHeight="1"/>
    <row r="4130" ht="14.25" customHeight="1"/>
    <row r="4131" ht="14.25" customHeight="1"/>
    <row r="4132" ht="14.25" customHeight="1"/>
    <row r="4133" ht="14.25" customHeight="1"/>
    <row r="4134" ht="14.25" customHeight="1"/>
    <row r="4135" ht="14.25" customHeight="1"/>
    <row r="4136" ht="14.25" customHeight="1"/>
    <row r="4137" ht="14.25" customHeight="1"/>
    <row r="4138" ht="14.25" customHeight="1"/>
    <row r="4139" ht="14.25" customHeight="1"/>
    <row r="4140" ht="14.25" customHeight="1"/>
    <row r="4141" ht="14.25" customHeight="1"/>
    <row r="4142" ht="14.25" customHeight="1"/>
    <row r="4143" ht="14.25" customHeight="1"/>
    <row r="4144" ht="14.25" customHeight="1"/>
    <row r="4145" ht="14.25" customHeight="1"/>
    <row r="4146" ht="14.25" customHeight="1"/>
    <row r="4147" ht="14.25" customHeight="1"/>
    <row r="4148" ht="14.25" customHeight="1"/>
    <row r="4149" ht="14.25" customHeight="1"/>
    <row r="4150" ht="14.25" customHeight="1"/>
    <row r="4151" ht="14.25" customHeight="1"/>
    <row r="4152" ht="14.25" customHeight="1"/>
    <row r="4153" ht="14.25" customHeight="1"/>
    <row r="4154" ht="14.25" customHeight="1"/>
    <row r="4155" ht="14.25" customHeight="1"/>
    <row r="4156" ht="14.25" customHeight="1"/>
    <row r="4157" ht="14.25" customHeight="1"/>
    <row r="4158" ht="14.25" customHeight="1"/>
    <row r="4159" ht="14.25" customHeight="1"/>
    <row r="4160" ht="14.25" customHeight="1"/>
    <row r="4161" ht="14.25" customHeight="1"/>
    <row r="4162" ht="14.25" customHeight="1"/>
    <row r="4163" ht="14.25" customHeight="1"/>
    <row r="4164" ht="14.25" customHeight="1"/>
    <row r="4165" ht="14.25" customHeight="1"/>
    <row r="4166" ht="14.25" customHeight="1"/>
    <row r="4167" ht="14.25" customHeight="1"/>
    <row r="4168" ht="14.25" customHeight="1"/>
    <row r="4169" ht="14.25" customHeight="1"/>
    <row r="4170" ht="14.25" customHeight="1"/>
    <row r="4171" ht="14.25" customHeight="1"/>
    <row r="4172" ht="14.25" customHeight="1"/>
    <row r="4173" ht="14.25" customHeight="1"/>
    <row r="4174" ht="14.25" customHeight="1"/>
    <row r="4175" ht="14.25" customHeight="1"/>
    <row r="4176" ht="14.25" customHeight="1"/>
    <row r="4177" ht="14.25" customHeight="1"/>
    <row r="4178" ht="14.25" customHeight="1"/>
    <row r="4179" ht="14.25" customHeight="1"/>
    <row r="4180" ht="14.25" customHeight="1"/>
    <row r="4181" ht="14.25" customHeight="1"/>
    <row r="4182" ht="14.25" customHeight="1"/>
    <row r="4183" ht="14.25" customHeight="1"/>
    <row r="4184" ht="14.25" customHeight="1"/>
    <row r="4185" ht="14.25" customHeight="1"/>
    <row r="4186" ht="14.25" customHeight="1"/>
    <row r="4187" ht="14.25" customHeight="1"/>
    <row r="4188" ht="14.25" customHeight="1"/>
    <row r="4189" ht="14.25" customHeight="1"/>
    <row r="4190" ht="14.25" customHeight="1"/>
    <row r="4191" ht="14.25" customHeight="1"/>
    <row r="4192" ht="14.25" customHeight="1"/>
    <row r="4193" ht="14.25" customHeight="1"/>
    <row r="4194" ht="14.25" customHeight="1"/>
    <row r="4195" ht="14.25" customHeight="1"/>
    <row r="4196" ht="14.25" customHeight="1"/>
    <row r="4197" ht="14.25" customHeight="1"/>
    <row r="4198" ht="14.25" customHeight="1"/>
    <row r="4199" ht="14.25" customHeight="1"/>
    <row r="4200" ht="14.25" customHeight="1"/>
    <row r="4201" ht="14.25" customHeight="1"/>
    <row r="4202" ht="14.25" customHeight="1"/>
    <row r="4203" ht="14.25" customHeight="1"/>
    <row r="4204" ht="14.25" customHeight="1"/>
    <row r="4205" ht="14.25" customHeight="1"/>
    <row r="4206" ht="14.25" customHeight="1"/>
    <row r="4207" ht="14.25" customHeight="1"/>
    <row r="4208" ht="14.25" customHeight="1"/>
    <row r="4209" ht="14.25" customHeight="1"/>
    <row r="4210" ht="14.25" customHeight="1"/>
    <row r="4211" ht="14.25" customHeight="1"/>
    <row r="4212" ht="14.25" customHeight="1"/>
    <row r="4213" ht="14.25" customHeight="1"/>
    <row r="4214" ht="14.25" customHeight="1"/>
    <row r="4215" ht="14.25" customHeight="1"/>
    <row r="4216" ht="14.25" customHeight="1"/>
    <row r="4217" ht="14.25" customHeight="1"/>
    <row r="4218" ht="14.25" customHeight="1"/>
    <row r="4219" ht="14.25" customHeight="1"/>
    <row r="4220" ht="14.25" customHeight="1"/>
    <row r="4221" ht="14.25" customHeight="1"/>
    <row r="4222" ht="14.25" customHeight="1"/>
    <row r="4223" ht="14.25" customHeight="1"/>
    <row r="4224" ht="14.25" customHeight="1"/>
    <row r="4225" ht="14.25" customHeight="1"/>
    <row r="4226" ht="14.25" customHeight="1"/>
    <row r="4227" ht="14.25" customHeight="1"/>
    <row r="4228" ht="14.25" customHeight="1"/>
    <row r="4229" ht="14.25" customHeight="1"/>
    <row r="4230" ht="14.25" customHeight="1"/>
    <row r="4231" ht="14.25" customHeight="1"/>
    <row r="4232" ht="14.25" customHeight="1"/>
    <row r="4233" ht="14.25" customHeight="1"/>
    <row r="4234" ht="14.25" customHeight="1"/>
    <row r="4235" ht="14.25" customHeight="1"/>
    <row r="4236" ht="14.25" customHeight="1"/>
    <row r="4237" ht="14.25" customHeight="1"/>
    <row r="4238" ht="14.25" customHeight="1"/>
    <row r="4239" ht="14.25" customHeight="1"/>
    <row r="4240" ht="14.25" customHeight="1"/>
    <row r="4241" ht="14.25" customHeight="1"/>
    <row r="4242" ht="14.25" customHeight="1"/>
    <row r="4243" ht="14.25" customHeight="1"/>
    <row r="4244" ht="14.25" customHeight="1"/>
    <row r="4245" ht="14.25" customHeight="1"/>
    <row r="4246" ht="14.25" customHeight="1"/>
    <row r="4247" ht="14.25" customHeight="1"/>
    <row r="4248" ht="14.25" customHeight="1"/>
    <row r="4249" ht="14.25" customHeight="1"/>
    <row r="4250" ht="14.25" customHeight="1"/>
    <row r="4251" ht="14.25" customHeight="1"/>
    <row r="4252" ht="14.25" customHeight="1"/>
    <row r="4253" ht="14.25" customHeight="1"/>
    <row r="4254" ht="14.25" customHeight="1"/>
    <row r="4255" ht="14.25" customHeight="1"/>
    <row r="4256" ht="14.25" customHeight="1"/>
    <row r="4257" ht="14.25" customHeight="1"/>
    <row r="4258" ht="14.25" customHeight="1"/>
    <row r="4259" ht="14.25" customHeight="1"/>
    <row r="4260" ht="14.25" customHeight="1"/>
    <row r="4261" ht="14.25" customHeight="1"/>
    <row r="4262" ht="14.25" customHeight="1"/>
    <row r="4263" ht="14.25" customHeight="1"/>
    <row r="4264" ht="14.25" customHeight="1"/>
    <row r="4265" ht="14.25" customHeight="1"/>
    <row r="4266" ht="14.25" customHeight="1"/>
    <row r="4267" ht="14.25" customHeight="1"/>
    <row r="4268" ht="14.25" customHeight="1"/>
    <row r="4269" ht="14.25" customHeight="1"/>
    <row r="4270" ht="14.25" customHeight="1"/>
    <row r="4271" ht="14.25" customHeight="1"/>
    <row r="4272" ht="14.25" customHeight="1"/>
    <row r="4273" ht="14.25" customHeight="1"/>
    <row r="4274" ht="14.25" customHeight="1"/>
    <row r="4275" ht="14.25" customHeight="1"/>
    <row r="4276" ht="14.25" customHeight="1"/>
    <row r="4277" ht="14.25" customHeight="1"/>
    <row r="4278" ht="14.25" customHeight="1"/>
    <row r="4279" ht="14.25" customHeight="1"/>
    <row r="4280" ht="14.25" customHeight="1"/>
    <row r="4281" ht="14.25" customHeight="1"/>
    <row r="4282" ht="14.25" customHeight="1"/>
    <row r="4283" ht="14.25" customHeight="1"/>
    <row r="4284" ht="14.25" customHeight="1"/>
    <row r="4285" ht="14.25" customHeight="1"/>
    <row r="4286" ht="14.25" customHeight="1"/>
    <row r="4287" ht="14.25" customHeight="1"/>
    <row r="4288" ht="14.25" customHeight="1"/>
    <row r="4289" ht="14.25" customHeight="1"/>
    <row r="4290" ht="14.25" customHeight="1"/>
    <row r="4291" ht="14.25" customHeight="1"/>
    <row r="4292" ht="14.25" customHeight="1"/>
    <row r="4293" ht="14.25" customHeight="1"/>
    <row r="4294" ht="14.25" customHeight="1"/>
    <row r="4295" ht="14.25" customHeight="1"/>
    <row r="4296" ht="14.25" customHeight="1"/>
    <row r="4297" ht="14.25" customHeight="1"/>
    <row r="4298" ht="14.25" customHeight="1"/>
    <row r="4299" ht="14.25" customHeight="1"/>
    <row r="4300" ht="14.25" customHeight="1"/>
    <row r="4301" ht="14.25" customHeight="1"/>
    <row r="4302" ht="14.25" customHeight="1"/>
    <row r="4303" ht="14.25" customHeight="1"/>
    <row r="4304" ht="14.25" customHeight="1"/>
    <row r="4305" ht="14.25" customHeight="1"/>
    <row r="4306" ht="14.25" customHeight="1"/>
    <row r="4307" ht="14.25" customHeight="1"/>
    <row r="4308" ht="14.25" customHeight="1"/>
    <row r="4309" ht="14.25" customHeight="1"/>
    <row r="4310" ht="14.25" customHeight="1"/>
    <row r="4311" ht="14.25" customHeight="1"/>
    <row r="4312" ht="14.25" customHeight="1"/>
    <row r="4313" ht="14.25" customHeight="1"/>
    <row r="4314" ht="14.25" customHeight="1"/>
    <row r="4315" ht="14.25" customHeight="1"/>
    <row r="4316" ht="14.25" customHeight="1"/>
    <row r="4317" ht="14.25" customHeight="1"/>
    <row r="4318" ht="14.25" customHeight="1"/>
    <row r="4319" ht="14.25" customHeight="1"/>
    <row r="4320" ht="14.25" customHeight="1"/>
    <row r="4321" ht="14.25" customHeight="1"/>
    <row r="4322" ht="14.25" customHeight="1"/>
    <row r="4323" ht="14.25" customHeight="1"/>
    <row r="4324" ht="14.25" customHeight="1"/>
    <row r="4325" ht="14.25" customHeight="1"/>
    <row r="4326" ht="14.25" customHeight="1"/>
    <row r="4327" ht="14.25" customHeight="1"/>
    <row r="4328" ht="14.25" customHeight="1"/>
    <row r="4329" ht="14.25" customHeight="1"/>
    <row r="4330" ht="14.25" customHeight="1"/>
    <row r="4331" ht="14.25" customHeight="1"/>
    <row r="4332" ht="14.25" customHeight="1"/>
    <row r="4333" ht="14.25" customHeight="1"/>
    <row r="4334" ht="14.25" customHeight="1"/>
    <row r="4335" ht="14.25" customHeight="1"/>
    <row r="4336" ht="14.25" customHeight="1"/>
    <row r="4337" ht="14.25" customHeight="1"/>
    <row r="4338" ht="14.25" customHeight="1"/>
    <row r="4339" ht="14.25" customHeight="1"/>
    <row r="4340" ht="14.25" customHeight="1"/>
    <row r="4341" ht="14.25" customHeight="1"/>
    <row r="4342" ht="14.25" customHeight="1"/>
    <row r="4343" ht="14.25" customHeight="1"/>
    <row r="4344" ht="14.25" customHeight="1"/>
    <row r="4345" ht="14.25" customHeight="1"/>
    <row r="4346" ht="14.25" customHeight="1"/>
    <row r="4347" ht="14.25" customHeight="1"/>
    <row r="4348" ht="14.25" customHeight="1"/>
    <row r="4349" ht="14.25" customHeight="1"/>
    <row r="4350" ht="14.25" customHeight="1"/>
    <row r="4351" ht="14.25" customHeight="1"/>
    <row r="4352" ht="14.25" customHeight="1"/>
    <row r="4353" ht="14.25" customHeight="1"/>
    <row r="4354" ht="14.25" customHeight="1"/>
    <row r="4355" ht="14.25" customHeight="1"/>
    <row r="4356" ht="14.25" customHeight="1"/>
    <row r="4357" ht="14.25" customHeight="1"/>
    <row r="4358" ht="14.25" customHeight="1"/>
    <row r="4359" ht="14.25" customHeight="1"/>
    <row r="4360" ht="14.25" customHeight="1"/>
    <row r="4361" ht="14.25" customHeight="1"/>
    <row r="4362" ht="14.25" customHeight="1"/>
    <row r="4363" ht="14.25" customHeight="1"/>
    <row r="4364" ht="14.25" customHeight="1"/>
    <row r="4365" ht="14.25" customHeight="1"/>
    <row r="4366" ht="14.25" customHeight="1"/>
    <row r="4367" ht="14.25" customHeight="1"/>
    <row r="4368" ht="14.25" customHeight="1"/>
    <row r="4369" ht="14.25" customHeight="1"/>
    <row r="4370" ht="14.25" customHeight="1"/>
    <row r="4371" ht="14.25" customHeight="1"/>
    <row r="4372" ht="14.25" customHeight="1"/>
    <row r="4373" ht="14.25" customHeight="1"/>
    <row r="4374" ht="14.25" customHeight="1"/>
    <row r="4375" ht="14.25" customHeight="1"/>
    <row r="4376" ht="14.25" customHeight="1"/>
    <row r="4377" ht="14.25" customHeight="1"/>
    <row r="4378" ht="14.25" customHeight="1"/>
    <row r="4379" ht="14.25" customHeight="1"/>
    <row r="4380" ht="14.25" customHeight="1"/>
    <row r="4381" ht="14.25" customHeight="1"/>
    <row r="4382" ht="14.25" customHeight="1"/>
    <row r="4383" ht="14.25" customHeight="1"/>
    <row r="4384" ht="14.25" customHeight="1"/>
    <row r="4385" ht="14.25" customHeight="1"/>
    <row r="4386" ht="14.25" customHeight="1"/>
    <row r="4387" ht="14.25" customHeight="1"/>
    <row r="4388" ht="14.25" customHeight="1"/>
    <row r="4389" ht="14.25" customHeight="1"/>
    <row r="4390" ht="14.25" customHeight="1"/>
    <row r="4391" ht="14.25" customHeight="1"/>
    <row r="4392" ht="14.25" customHeight="1"/>
    <row r="4393" ht="14.25" customHeight="1"/>
    <row r="4394" ht="14.25" customHeight="1"/>
    <row r="4395" ht="14.25" customHeight="1"/>
    <row r="4396" ht="14.25" customHeight="1"/>
    <row r="4397" ht="14.25" customHeight="1"/>
    <row r="4398" ht="14.25" customHeight="1"/>
    <row r="4399" ht="14.25" customHeight="1"/>
    <row r="4400" ht="14.25" customHeight="1"/>
    <row r="4401" ht="14.25" customHeight="1"/>
    <row r="4402" ht="14.25" customHeight="1"/>
    <row r="4403" ht="14.25" customHeight="1"/>
    <row r="4404" ht="14.25" customHeight="1"/>
    <row r="4405" ht="14.25" customHeight="1"/>
    <row r="4406" ht="14.25" customHeight="1"/>
    <row r="4407" ht="14.25" customHeight="1"/>
    <row r="4408" ht="14.25" customHeight="1"/>
    <row r="4409" ht="14.25" customHeight="1"/>
    <row r="4410" ht="14.25" customHeight="1"/>
    <row r="4411" ht="14.25" customHeight="1"/>
    <row r="4412" ht="14.25" customHeight="1"/>
    <row r="4413" ht="14.25" customHeight="1"/>
    <row r="4414" ht="14.25" customHeight="1"/>
    <row r="4415" ht="14.25" customHeight="1"/>
    <row r="4416" ht="14.25" customHeight="1"/>
    <row r="4417" ht="14.25" customHeight="1"/>
    <row r="4418" ht="14.25" customHeight="1"/>
    <row r="4419" ht="14.25" customHeight="1"/>
    <row r="4420" ht="14.25" customHeight="1"/>
    <row r="4421" ht="14.25" customHeight="1"/>
    <row r="4422" ht="14.25" customHeight="1"/>
    <row r="4423" ht="14.25" customHeight="1"/>
    <row r="4424" ht="14.25" customHeight="1"/>
    <row r="4425" ht="14.25" customHeight="1"/>
    <row r="4426" ht="14.25" customHeight="1"/>
    <row r="4427" ht="14.25" customHeight="1"/>
    <row r="4428" ht="14.25" customHeight="1"/>
    <row r="4429" ht="14.25" customHeight="1"/>
    <row r="4430" ht="14.25" customHeight="1"/>
    <row r="4431" ht="14.25" customHeight="1"/>
    <row r="4432" ht="14.25" customHeight="1"/>
    <row r="4433" ht="14.25" customHeight="1"/>
    <row r="4434" ht="14.25" customHeight="1"/>
    <row r="4435" ht="14.25" customHeight="1"/>
    <row r="4436" ht="14.25" customHeight="1"/>
    <row r="4437" ht="14.25" customHeight="1"/>
    <row r="4438" ht="14.25" customHeight="1"/>
    <row r="4439" ht="14.25" customHeight="1"/>
    <row r="4440" ht="14.25" customHeight="1"/>
    <row r="4441" ht="14.25" customHeight="1"/>
    <row r="4442" ht="14.25" customHeight="1"/>
    <row r="4443" ht="14.25" customHeight="1"/>
    <row r="4444" ht="14.25" customHeight="1"/>
    <row r="4445" ht="14.25" customHeight="1"/>
    <row r="4446" ht="14.25" customHeight="1"/>
    <row r="4447" ht="14.25" customHeight="1"/>
    <row r="4448" ht="14.25" customHeight="1"/>
    <row r="4449" ht="14.25" customHeight="1"/>
    <row r="4450" ht="14.25" customHeight="1"/>
    <row r="4451" ht="14.25" customHeight="1"/>
    <row r="4452" ht="14.25" customHeight="1"/>
    <row r="4453" ht="14.25" customHeight="1"/>
    <row r="4454" ht="14.25" customHeight="1"/>
    <row r="4455" ht="14.25" customHeight="1"/>
    <row r="4456" ht="14.25" customHeight="1"/>
    <row r="4457" ht="14.25" customHeight="1"/>
    <row r="4458" ht="14.25" customHeight="1"/>
    <row r="4459" ht="14.25" customHeight="1"/>
    <row r="4460" ht="14.25" customHeight="1"/>
    <row r="4461" ht="14.25" customHeight="1"/>
    <row r="4462" ht="14.25" customHeight="1"/>
    <row r="4463" ht="14.25" customHeight="1"/>
    <row r="4464" ht="14.25" customHeight="1"/>
    <row r="4465" ht="14.25" customHeight="1"/>
    <row r="4466" ht="14.25" customHeight="1"/>
    <row r="4467" ht="14.25" customHeight="1"/>
    <row r="4468" ht="14.25" customHeight="1"/>
    <row r="4469" ht="14.25" customHeight="1"/>
    <row r="4470" ht="14.25" customHeight="1"/>
    <row r="4471" ht="14.25" customHeight="1"/>
    <row r="4472" ht="14.25" customHeight="1"/>
    <row r="4473" ht="14.25" customHeight="1"/>
    <row r="4474" ht="14.25" customHeight="1"/>
    <row r="4475" ht="14.25" customHeight="1"/>
    <row r="4476" ht="14.25" customHeight="1"/>
    <row r="4477" ht="14.25" customHeight="1"/>
    <row r="4478" ht="14.25" customHeight="1"/>
    <row r="4479" ht="14.25" customHeight="1"/>
    <row r="4480" ht="14.25" customHeight="1"/>
    <row r="4481" ht="14.25" customHeight="1"/>
    <row r="4482" ht="14.25" customHeight="1"/>
    <row r="4483" ht="14.25" customHeight="1"/>
    <row r="4484" ht="14.25" customHeight="1"/>
    <row r="4485" ht="14.25" customHeight="1"/>
    <row r="4486" ht="14.25" customHeight="1"/>
    <row r="4487" ht="14.25" customHeight="1"/>
    <row r="4488" ht="14.25" customHeight="1"/>
    <row r="4489" ht="14.25" customHeight="1"/>
    <row r="4490" ht="14.25" customHeight="1"/>
    <row r="4491" ht="14.25" customHeight="1"/>
    <row r="4492" ht="14.25" customHeight="1"/>
    <row r="4493" ht="14.25" customHeight="1"/>
    <row r="4494" ht="14.25" customHeight="1"/>
    <row r="4495" ht="14.25" customHeight="1"/>
    <row r="4496" ht="14.25" customHeight="1"/>
    <row r="4497" ht="14.25" customHeight="1"/>
    <row r="4498" ht="14.25" customHeight="1"/>
    <row r="4499" ht="14.25" customHeight="1"/>
    <row r="4500" ht="14.25" customHeight="1"/>
    <row r="4501" ht="14.25" customHeight="1"/>
    <row r="4502" ht="14.25" customHeight="1"/>
    <row r="4503" ht="14.25" customHeight="1"/>
    <row r="4504" ht="14.25" customHeight="1"/>
    <row r="4505" ht="14.25" customHeight="1"/>
    <row r="4506" ht="14.25" customHeight="1"/>
    <row r="4507" ht="14.25" customHeight="1"/>
    <row r="4508" ht="14.25" customHeight="1"/>
    <row r="4509" ht="14.25" customHeight="1"/>
    <row r="4510" ht="14.25" customHeight="1"/>
    <row r="4511" ht="14.25" customHeight="1"/>
    <row r="4512" ht="14.25" customHeight="1"/>
    <row r="4513" ht="14.25" customHeight="1"/>
    <row r="4514" ht="14.25" customHeight="1"/>
    <row r="4515" ht="14.25" customHeight="1"/>
    <row r="4516" ht="14.25" customHeight="1"/>
    <row r="4517" ht="14.25" customHeight="1"/>
    <row r="4518" ht="14.25" customHeight="1"/>
    <row r="4519" ht="14.25" customHeight="1"/>
    <row r="4520" ht="14.25" customHeight="1"/>
    <row r="4521" ht="14.25" customHeight="1"/>
    <row r="4522" ht="14.25" customHeight="1"/>
    <row r="4523" ht="14.25" customHeight="1"/>
    <row r="4524" ht="14.25" customHeight="1"/>
    <row r="4525" ht="14.25" customHeight="1"/>
    <row r="4526" ht="14.25" customHeight="1"/>
    <row r="4527" ht="14.25" customHeight="1"/>
    <row r="4528" ht="14.25" customHeight="1"/>
    <row r="4529" ht="14.25" customHeight="1"/>
    <row r="4530" ht="14.25" customHeight="1"/>
    <row r="4531" ht="14.25" customHeight="1"/>
    <row r="4532" ht="14.25" customHeight="1"/>
    <row r="4533" ht="14.25" customHeight="1"/>
    <row r="4534" ht="14.25" customHeight="1"/>
    <row r="4535" ht="14.25" customHeight="1"/>
    <row r="4536" ht="14.25" customHeight="1"/>
    <row r="4537" ht="14.25" customHeight="1"/>
    <row r="4538" ht="14.25" customHeight="1"/>
    <row r="4539" ht="14.25" customHeight="1"/>
    <row r="4540" ht="14.25" customHeight="1"/>
    <row r="4541" ht="14.25" customHeight="1"/>
    <row r="4542" ht="14.25" customHeight="1"/>
    <row r="4543" ht="14.25" customHeight="1"/>
    <row r="4544" ht="14.25" customHeight="1"/>
    <row r="4545" ht="14.25" customHeight="1"/>
    <row r="4546" ht="14.25" customHeight="1"/>
    <row r="4547" ht="14.25" customHeight="1"/>
    <row r="4548" ht="14.25" customHeight="1"/>
    <row r="4549" ht="14.25" customHeight="1"/>
    <row r="4550" ht="14.25" customHeight="1"/>
    <row r="4551" ht="14.25" customHeight="1"/>
    <row r="4552" ht="14.25" customHeight="1"/>
    <row r="4553" ht="14.25" customHeight="1"/>
    <row r="4554" ht="14.25" customHeight="1"/>
    <row r="4555" ht="14.25" customHeight="1"/>
    <row r="4556" ht="14.25" customHeight="1"/>
    <row r="4557" ht="14.25" customHeight="1"/>
    <row r="4558" ht="14.25" customHeight="1"/>
    <row r="4559" ht="14.25" customHeight="1"/>
    <row r="4560" ht="14.25" customHeight="1"/>
    <row r="4561" ht="14.25" customHeight="1"/>
    <row r="4562" ht="14.25" customHeight="1"/>
    <row r="4563" ht="14.25" customHeight="1"/>
    <row r="4564" ht="14.25" customHeight="1"/>
    <row r="4565" ht="14.25" customHeight="1"/>
    <row r="4566" ht="14.25" customHeight="1"/>
    <row r="4567" ht="14.25" customHeight="1"/>
    <row r="4568" ht="14.25" customHeight="1"/>
    <row r="4569" ht="14.25" customHeight="1"/>
    <row r="4570" ht="14.25" customHeight="1"/>
    <row r="4571" ht="14.25" customHeight="1"/>
    <row r="4572" ht="14.25" customHeight="1"/>
    <row r="4573" ht="14.25" customHeight="1"/>
    <row r="4574" ht="14.25" customHeight="1"/>
    <row r="4575" ht="14.25" customHeight="1"/>
    <row r="4576" ht="14.25" customHeight="1"/>
    <row r="4577" ht="14.25" customHeight="1"/>
    <row r="4578" ht="14.25" customHeight="1"/>
    <row r="4579" ht="14.25" customHeight="1"/>
    <row r="4580" ht="14.25" customHeight="1"/>
    <row r="4581" ht="14.25" customHeight="1"/>
    <row r="4582" ht="14.25" customHeight="1"/>
    <row r="4583" ht="14.25" customHeight="1"/>
    <row r="4584" ht="14.25" customHeight="1"/>
    <row r="4585" ht="14.25" customHeight="1"/>
    <row r="4586" ht="14.25" customHeight="1"/>
    <row r="4587" ht="14.25" customHeight="1"/>
    <row r="4588" ht="14.25" customHeight="1"/>
    <row r="4589" ht="14.25" customHeight="1"/>
    <row r="4590" ht="14.25" customHeight="1"/>
    <row r="4591" ht="14.25" customHeight="1"/>
    <row r="4592" ht="14.25" customHeight="1"/>
    <row r="4593" ht="14.25" customHeight="1"/>
    <row r="4594" ht="14.25" customHeight="1"/>
    <row r="4595" ht="14.25" customHeight="1"/>
    <row r="4596" ht="14.25" customHeight="1"/>
    <row r="4597" ht="14.25" customHeight="1"/>
    <row r="4598" ht="14.25" customHeight="1"/>
    <row r="4599" ht="14.25" customHeight="1"/>
    <row r="4600" ht="14.25" customHeight="1"/>
    <row r="4601" ht="14.25" customHeight="1"/>
    <row r="4602" ht="14.25" customHeight="1"/>
    <row r="4603" ht="14.25" customHeight="1"/>
    <row r="4604" ht="14.25" customHeight="1"/>
    <row r="4605" ht="14.25" customHeight="1"/>
    <row r="4606" ht="14.25" customHeight="1"/>
    <row r="4607" ht="14.25" customHeight="1"/>
    <row r="4608" ht="14.25" customHeight="1"/>
    <row r="4609" ht="14.25" customHeight="1"/>
    <row r="4610" ht="14.25" customHeight="1"/>
    <row r="4611" ht="14.25" customHeight="1"/>
    <row r="4612" ht="14.25" customHeight="1"/>
    <row r="4613" ht="14.25" customHeight="1"/>
    <row r="4614" ht="14.25" customHeight="1"/>
    <row r="4615" ht="14.25" customHeight="1"/>
    <row r="4616" ht="14.25" customHeight="1"/>
    <row r="4617" ht="14.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4.25" customHeight="1"/>
    <row r="4631" ht="14.25" customHeight="1"/>
    <row r="4632" ht="14.25" customHeight="1"/>
    <row r="4633" ht="14.25" customHeight="1"/>
    <row r="4634" ht="14.25" customHeight="1"/>
    <row r="4635" ht="14.25" customHeight="1"/>
    <row r="4636" ht="14.25" customHeight="1"/>
    <row r="4637" ht="14.25" customHeight="1"/>
    <row r="4638" ht="14.25" customHeight="1"/>
    <row r="4639" ht="14.25" customHeight="1"/>
    <row r="4640" ht="14.25" customHeight="1"/>
    <row r="4641" ht="14.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4.25" customHeight="1"/>
    <row r="4657" ht="14.25" customHeight="1"/>
    <row r="4658" ht="14.25" customHeight="1"/>
    <row r="4659" ht="14.25" customHeight="1"/>
    <row r="4660" ht="14.25" customHeight="1"/>
    <row r="4661" ht="14.25" customHeight="1"/>
    <row r="4662" ht="14.25" customHeight="1"/>
    <row r="4663" ht="14.25" customHeight="1"/>
    <row r="4664" ht="14.25" customHeight="1"/>
    <row r="4665" ht="14.25" customHeight="1"/>
    <row r="4666" ht="14.25"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4.25" customHeight="1"/>
    <row r="4677" ht="14.25" customHeight="1"/>
    <row r="4678" ht="14.25" customHeight="1"/>
    <row r="4679" ht="14.25" customHeight="1"/>
    <row r="4680" ht="14.25" customHeight="1"/>
    <row r="4681" ht="14.25" customHeight="1"/>
    <row r="4682" ht="14.25" customHeight="1"/>
    <row r="4683" ht="14.25" customHeight="1"/>
    <row r="4684" ht="14.25" customHeight="1"/>
    <row r="4685" ht="14.25" customHeight="1"/>
    <row r="4686" ht="14.25" customHeight="1"/>
    <row r="4687" ht="14.25" customHeight="1"/>
    <row r="4688" ht="14.25" customHeight="1"/>
    <row r="4689" ht="14.25" customHeight="1"/>
    <row r="4690" ht="14.25" customHeight="1"/>
    <row r="4691" ht="14.25" customHeight="1"/>
    <row r="4692" ht="14.25" customHeight="1"/>
    <row r="4693" ht="14.25" customHeight="1"/>
    <row r="4694" ht="14.25" customHeight="1"/>
    <row r="4695" ht="14.25" customHeight="1"/>
    <row r="4696" ht="14.25" customHeight="1"/>
    <row r="4697" ht="14.25" customHeight="1"/>
    <row r="4698" ht="14.25" customHeight="1"/>
    <row r="4699" ht="14.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4.25" customHeight="1"/>
    <row r="4715" ht="14.25" customHeight="1"/>
    <row r="4716" ht="14.25" customHeight="1"/>
    <row r="4717" ht="14.25" customHeight="1"/>
    <row r="4718" ht="14.25" customHeight="1"/>
    <row r="4719" ht="14.25" customHeight="1"/>
    <row r="4720" ht="14.25" customHeight="1"/>
    <row r="4721" ht="14.25" customHeight="1"/>
    <row r="4722" ht="14.25" customHeight="1"/>
    <row r="4723" ht="14.25" customHeight="1"/>
    <row r="4724" ht="14.25" customHeight="1"/>
    <row r="4725" ht="14.25" customHeight="1"/>
    <row r="4726" ht="14.25" customHeight="1"/>
    <row r="4727" ht="14.25" customHeight="1"/>
    <row r="4728" ht="14.25" customHeight="1"/>
    <row r="4729" ht="14.25" customHeight="1"/>
    <row r="4730" ht="14.25" customHeight="1"/>
    <row r="4731" ht="14.25" customHeight="1"/>
    <row r="4732" ht="14.25" customHeight="1"/>
    <row r="4733" ht="14.25" customHeight="1"/>
    <row r="4734" ht="14.25" customHeight="1"/>
    <row r="4735" ht="14.25" customHeight="1"/>
    <row r="4736" ht="14.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4.25" customHeight="1"/>
    <row r="4747" ht="14.25" customHeight="1"/>
    <row r="4748" ht="14.25" customHeight="1"/>
    <row r="4749" ht="14.25" customHeight="1"/>
    <row r="4750" ht="14.25" customHeight="1"/>
    <row r="4751" ht="14.25" customHeight="1"/>
    <row r="4752" ht="14.25" customHeight="1"/>
    <row r="4753" ht="14.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4.25" customHeight="1"/>
    <row r="4766" ht="14.25" customHeight="1"/>
    <row r="4767" ht="14.25" customHeight="1"/>
    <row r="4768" ht="14.25" customHeight="1"/>
    <row r="4769" ht="14.25" customHeight="1"/>
    <row r="4770" ht="14.25" customHeight="1"/>
    <row r="4771" ht="14.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4.25" customHeight="1"/>
    <row r="4782" ht="14.25" customHeight="1"/>
    <row r="4783" ht="14.25" customHeight="1"/>
    <row r="4784" ht="14.25" customHeight="1"/>
    <row r="4785" ht="14.25" customHeight="1"/>
    <row r="4786" ht="14.25" customHeight="1"/>
    <row r="4787" ht="14.25" customHeight="1"/>
    <row r="4788" ht="14.25" customHeight="1"/>
    <row r="4789" ht="14.25" customHeight="1"/>
    <row r="4790" ht="14.25" customHeight="1"/>
    <row r="4791" ht="14.25" customHeight="1"/>
    <row r="4792" ht="14.25" customHeight="1"/>
    <row r="4793" ht="14.25" customHeight="1"/>
    <row r="4794" ht="14.25" customHeight="1"/>
    <row r="4795" ht="14.25" customHeight="1"/>
    <row r="4796" ht="14.25" customHeight="1"/>
    <row r="4797" ht="14.25" customHeight="1"/>
    <row r="4798" ht="14.25" customHeight="1"/>
    <row r="4799" ht="14.25" customHeight="1"/>
    <row r="4800" ht="14.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4.25" customHeight="1"/>
    <row r="4829" ht="14.25" customHeight="1"/>
    <row r="4830" ht="14.25" customHeight="1"/>
    <row r="4831" ht="14.25" customHeight="1"/>
    <row r="4832" ht="14.25" customHeight="1"/>
    <row r="4833" ht="14.25" customHeight="1"/>
    <row r="4834" ht="14.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4.25" customHeight="1"/>
    <row r="4847" ht="14.25" customHeight="1"/>
    <row r="4848" ht="14.25" customHeight="1"/>
    <row r="4849" ht="14.25" customHeight="1"/>
    <row r="4850" ht="14.25" customHeight="1"/>
    <row r="4851" ht="14.25" customHeight="1"/>
    <row r="4852" ht="14.25" customHeight="1"/>
    <row r="4853" ht="14.25" customHeight="1"/>
    <row r="4854" ht="14.25" customHeight="1"/>
    <row r="4855" ht="14.25" customHeight="1"/>
    <row r="4856" ht="14.25" customHeight="1"/>
    <row r="4857" ht="14.25" customHeight="1"/>
    <row r="4858" ht="14.25" customHeight="1"/>
    <row r="4859" ht="14.25" customHeight="1"/>
    <row r="4860" ht="14.25" customHeight="1"/>
    <row r="4861" ht="14.25" customHeight="1"/>
    <row r="4862" ht="14.25" customHeight="1"/>
    <row r="4863" ht="14.25" customHeight="1"/>
    <row r="4864" ht="14.25" customHeight="1"/>
    <row r="4865" ht="14.25" customHeight="1"/>
    <row r="4866" ht="14.25" customHeight="1"/>
    <row r="4867" ht="14.25" customHeight="1"/>
    <row r="4868" ht="14.25" customHeight="1"/>
    <row r="4869" ht="14.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4.25" customHeight="1"/>
    <row r="4882" ht="14.25" customHeight="1"/>
    <row r="4883" ht="14.25" customHeight="1"/>
    <row r="4884" ht="14.25" customHeight="1"/>
    <row r="4885" ht="14.25" customHeight="1"/>
    <row r="4886" ht="14.25" customHeight="1"/>
    <row r="4887" ht="14.25" customHeight="1"/>
    <row r="4888" ht="14.25" customHeight="1"/>
    <row r="4889" ht="14.25" customHeight="1"/>
    <row r="4890" ht="14.25" customHeight="1"/>
    <row r="4891" ht="14.25" customHeight="1"/>
    <row r="4892" ht="14.25" customHeight="1"/>
    <row r="4893" ht="14.25" customHeight="1"/>
    <row r="4894" ht="14.25" customHeight="1"/>
    <row r="4895" ht="14.25" customHeight="1"/>
    <row r="4896" ht="14.25" customHeight="1"/>
    <row r="4897" ht="14.25" customHeight="1"/>
    <row r="4898" ht="14.25" customHeight="1"/>
    <row r="4899" ht="14.25" customHeight="1"/>
    <row r="4900" ht="14.25" customHeight="1"/>
    <row r="4901" ht="14.25" customHeight="1"/>
    <row r="4902" ht="14.25" customHeight="1"/>
    <row r="4903" ht="14.25" customHeight="1"/>
    <row r="4904" ht="14.25" customHeight="1"/>
    <row r="4905" ht="14.25" customHeight="1"/>
    <row r="4906" ht="14.25" customHeight="1"/>
    <row r="4907" ht="14.25" customHeight="1"/>
    <row r="4908" ht="14.25" customHeight="1"/>
    <row r="4909" ht="14.25" customHeight="1"/>
    <row r="4910" ht="14.25" customHeight="1"/>
    <row r="4911" ht="14.25" customHeight="1"/>
    <row r="4912" ht="14.25" customHeight="1"/>
    <row r="4913" ht="14.25" customHeight="1"/>
    <row r="4914" ht="14.25" customHeight="1"/>
    <row r="4915" ht="14.25" customHeight="1"/>
    <row r="4916" ht="14.25" customHeight="1"/>
    <row r="4917" ht="14.25" customHeight="1"/>
    <row r="4918" ht="14.25" customHeight="1"/>
    <row r="4919" ht="14.25" customHeight="1"/>
    <row r="4920" ht="14.25" customHeight="1"/>
    <row r="4921" ht="14.25" customHeight="1"/>
    <row r="4922" ht="14.25" customHeight="1"/>
    <row r="4923" ht="14.25" customHeight="1"/>
    <row r="4924" ht="14.25" customHeight="1"/>
    <row r="4925" ht="14.25" customHeight="1"/>
    <row r="4926" ht="14.25" customHeight="1"/>
    <row r="4927" ht="14.25" customHeight="1"/>
    <row r="4928" ht="14.25" customHeight="1"/>
    <row r="4929" ht="14.25" customHeight="1"/>
    <row r="4930" ht="14.25" customHeight="1"/>
    <row r="4931" ht="14.25" customHeight="1"/>
    <row r="4932" ht="14.25" customHeight="1"/>
    <row r="4933" ht="14.25" customHeight="1"/>
    <row r="4934" ht="14.25" customHeight="1"/>
    <row r="4935" ht="14.25" customHeight="1"/>
    <row r="4936" ht="14.25" customHeight="1"/>
    <row r="4937" ht="14.25" customHeight="1"/>
    <row r="4938" ht="14.25" customHeight="1"/>
    <row r="4939" ht="14.25" customHeight="1"/>
    <row r="4940" ht="14.25" customHeight="1"/>
    <row r="4941" ht="14.25" customHeight="1"/>
    <row r="4942" ht="14.25" customHeight="1"/>
    <row r="4943" ht="14.25" customHeight="1"/>
    <row r="4944" ht="14.25" customHeight="1"/>
    <row r="4945" ht="14.25" customHeight="1"/>
    <row r="4946" ht="14.25" customHeight="1"/>
    <row r="4947" ht="14.25" customHeight="1"/>
    <row r="4948" ht="14.25" customHeight="1"/>
    <row r="4949" ht="14.25" customHeight="1"/>
    <row r="4950" ht="14.25" customHeight="1"/>
    <row r="4951" ht="14.25" customHeight="1"/>
    <row r="4952" ht="14.25" customHeight="1"/>
    <row r="4953" ht="14.25" customHeight="1"/>
    <row r="4954" ht="14.25" customHeight="1"/>
    <row r="4955" ht="14.25" customHeight="1"/>
    <row r="4956" ht="14.25" customHeight="1"/>
    <row r="4957" ht="14.25" customHeight="1"/>
    <row r="4958" ht="14.25" customHeight="1"/>
    <row r="4959" ht="14.25" customHeight="1"/>
    <row r="4960" ht="14.25" customHeight="1"/>
    <row r="4961" ht="14.25" customHeight="1"/>
    <row r="4962" ht="14.25" customHeight="1"/>
    <row r="4963" ht="14.25" customHeight="1"/>
    <row r="4964" ht="14.25" customHeight="1"/>
    <row r="4965" ht="14.25" customHeight="1"/>
    <row r="4966" ht="14.25" customHeight="1"/>
    <row r="4967" ht="14.25" customHeight="1"/>
    <row r="4968" ht="14.25" customHeight="1"/>
    <row r="4969" ht="14.25" customHeight="1"/>
    <row r="4970" ht="14.25" customHeight="1"/>
    <row r="4971" ht="14.25" customHeight="1"/>
    <row r="4972" ht="14.25" customHeight="1"/>
    <row r="4973" ht="14.25" customHeight="1"/>
    <row r="4974" ht="14.25" customHeight="1"/>
    <row r="4975" ht="14.25" customHeight="1"/>
    <row r="4976" ht="14.25" customHeight="1"/>
    <row r="4977" ht="14.25" customHeight="1"/>
    <row r="4978" ht="14.25" customHeight="1"/>
    <row r="4979" ht="14.25" customHeight="1"/>
    <row r="4980" ht="14.25" customHeight="1"/>
    <row r="4981" ht="14.25" customHeight="1"/>
    <row r="4982" ht="14.25" customHeight="1"/>
    <row r="4983" ht="14.25" customHeight="1"/>
    <row r="4984" ht="14.25" customHeight="1"/>
    <row r="4985" ht="14.25" customHeight="1"/>
    <row r="4986" ht="14.25" customHeight="1"/>
    <row r="4987" ht="14.25" customHeight="1"/>
    <row r="4988" ht="14.25" customHeight="1"/>
    <row r="4989" ht="14.25" customHeight="1"/>
    <row r="4990" ht="14.25" customHeight="1"/>
    <row r="4991" ht="14.25" customHeight="1"/>
    <row r="4992" ht="14.25" customHeight="1"/>
    <row r="4993" ht="14.25" customHeight="1"/>
    <row r="4994" ht="14.25" customHeight="1"/>
    <row r="4995" ht="14.25" customHeight="1"/>
    <row r="4996" ht="14.25" customHeight="1"/>
    <row r="4997" ht="14.25" customHeight="1"/>
    <row r="4998" ht="14.25" customHeight="1"/>
    <row r="4999" ht="14.25" customHeight="1"/>
    <row r="5000" ht="14.25" customHeight="1"/>
    <row r="5001" ht="14.25" customHeight="1"/>
    <row r="5002" ht="14.25" customHeight="1"/>
    <row r="5003" ht="14.25" customHeight="1"/>
    <row r="5004" ht="14.25" customHeight="1"/>
    <row r="5005" ht="14.25" customHeight="1"/>
    <row r="5006" ht="14.25" customHeight="1"/>
    <row r="5007" ht="14.25" customHeight="1"/>
    <row r="5008" ht="14.25" customHeight="1"/>
    <row r="5009" ht="14.25" customHeight="1"/>
    <row r="5010" ht="14.25" customHeight="1"/>
    <row r="5011" ht="14.25" customHeight="1"/>
    <row r="5012" ht="14.25" customHeight="1"/>
    <row r="5013" ht="14.25" customHeight="1"/>
    <row r="5014" ht="14.25" customHeight="1"/>
    <row r="5015" ht="14.25" customHeight="1"/>
    <row r="5016" ht="14.25" customHeight="1"/>
    <row r="5017" ht="14.25" customHeight="1"/>
    <row r="5018" ht="14.25" customHeight="1"/>
    <row r="5019" ht="14.25" customHeight="1"/>
    <row r="5020" ht="14.25" customHeight="1"/>
    <row r="5021" ht="14.25" customHeight="1"/>
    <row r="5022" ht="14.25" customHeight="1"/>
    <row r="5023" ht="14.25" customHeight="1"/>
    <row r="5024" ht="14.25" customHeight="1"/>
    <row r="5025" ht="14.25" customHeight="1"/>
    <row r="5026" ht="14.25" customHeight="1"/>
    <row r="5027" ht="14.25" customHeight="1"/>
    <row r="5028" ht="14.25" customHeight="1"/>
    <row r="5029" ht="14.25" customHeight="1"/>
    <row r="5030" ht="14.25" customHeight="1"/>
    <row r="5031" ht="14.25" customHeight="1"/>
    <row r="5032" ht="14.25" customHeight="1"/>
    <row r="5033" ht="14.25" customHeight="1"/>
    <row r="5034" ht="14.25" customHeight="1"/>
    <row r="5035" ht="14.25" customHeight="1"/>
    <row r="5036" ht="14.25" customHeight="1"/>
    <row r="5037" ht="14.25" customHeight="1"/>
    <row r="5038" ht="14.25" customHeight="1"/>
    <row r="5039" ht="14.25" customHeight="1"/>
    <row r="5040" ht="14.25" customHeight="1"/>
    <row r="5041" ht="14.25" customHeight="1"/>
    <row r="5042" ht="14.25" customHeight="1"/>
    <row r="5043" ht="14.25" customHeight="1"/>
    <row r="5044" ht="14.25" customHeight="1"/>
    <row r="5045" ht="14.25" customHeight="1"/>
    <row r="5046" ht="14.25" customHeight="1"/>
    <row r="5047" ht="14.25" customHeight="1"/>
    <row r="5048" ht="14.25" customHeight="1"/>
    <row r="5049" ht="14.25" customHeight="1"/>
    <row r="5050" ht="14.25" customHeight="1"/>
    <row r="5051" ht="14.25" customHeight="1"/>
    <row r="5052" ht="14.25" customHeight="1"/>
    <row r="5053" ht="14.25" customHeight="1"/>
    <row r="5054" ht="14.25" customHeight="1"/>
    <row r="5055" ht="14.25" customHeight="1"/>
    <row r="5056" ht="14.25" customHeight="1"/>
    <row r="5057" ht="14.25" customHeight="1"/>
    <row r="5058" ht="14.25" customHeight="1"/>
    <row r="5059" ht="14.25" customHeight="1"/>
    <row r="5060" ht="14.25" customHeight="1"/>
    <row r="5061" ht="14.25" customHeight="1"/>
    <row r="5062" ht="14.25" customHeight="1"/>
    <row r="5063" ht="14.25" customHeight="1"/>
    <row r="5064" ht="14.25" customHeight="1"/>
    <row r="5065" ht="14.25" customHeight="1"/>
    <row r="5066" ht="14.25" customHeight="1"/>
    <row r="5067" ht="14.25" customHeight="1"/>
    <row r="5068" ht="14.25" customHeight="1"/>
    <row r="5069" ht="14.25" customHeight="1"/>
    <row r="5070" ht="14.25" customHeight="1"/>
    <row r="5071" ht="14.25" customHeight="1"/>
    <row r="5072" ht="14.25" customHeight="1"/>
    <row r="5073" ht="14.25" customHeight="1"/>
    <row r="5074" ht="14.25" customHeight="1"/>
    <row r="5075" ht="14.25" customHeight="1"/>
    <row r="5076" ht="14.25" customHeight="1"/>
    <row r="5077" ht="14.25" customHeight="1"/>
    <row r="5078" ht="14.25" customHeight="1"/>
    <row r="5079" ht="14.25" customHeight="1"/>
    <row r="5080" ht="14.25" customHeight="1"/>
    <row r="5081" ht="14.25" customHeight="1"/>
    <row r="5082" ht="14.25" customHeight="1"/>
    <row r="5083" ht="14.25" customHeight="1"/>
    <row r="5084" ht="14.25" customHeight="1"/>
    <row r="5085" ht="14.25" customHeight="1"/>
    <row r="5086" ht="14.25" customHeight="1"/>
    <row r="5087" ht="14.25" customHeight="1"/>
    <row r="5088" ht="14.25" customHeight="1"/>
    <row r="5089" ht="14.25" customHeight="1"/>
    <row r="5090" ht="14.25" customHeight="1"/>
    <row r="5091" ht="14.25" customHeight="1"/>
    <row r="5092" ht="14.25" customHeight="1"/>
    <row r="5093" ht="14.25" customHeight="1"/>
    <row r="5094" ht="14.25" customHeight="1"/>
    <row r="5095" ht="14.25" customHeight="1"/>
    <row r="5096" ht="14.25" customHeight="1"/>
    <row r="5097" ht="14.25" customHeight="1"/>
    <row r="5098" ht="14.25" customHeight="1"/>
    <row r="5099" ht="14.25" customHeight="1"/>
    <row r="5100" ht="14.25" customHeight="1"/>
    <row r="5101" ht="14.25" customHeight="1"/>
    <row r="5102" ht="14.25" customHeight="1"/>
    <row r="5103" ht="14.25" customHeight="1"/>
    <row r="5104" ht="14.25" customHeight="1"/>
    <row r="5105" ht="14.25" customHeight="1"/>
    <row r="5106" ht="14.25" customHeight="1"/>
    <row r="5107" ht="14.25" customHeight="1"/>
    <row r="5108" ht="14.25" customHeight="1"/>
    <row r="5109" ht="14.25" customHeight="1"/>
    <row r="5110" ht="14.25" customHeight="1"/>
    <row r="5111" ht="14.25" customHeight="1"/>
    <row r="5112" ht="14.25" customHeight="1"/>
    <row r="5113" ht="14.25" customHeight="1"/>
    <row r="5114" ht="14.25" customHeight="1"/>
    <row r="5115" ht="14.25" customHeight="1"/>
    <row r="5116" ht="14.25" customHeight="1"/>
    <row r="5117" ht="14.25" customHeight="1"/>
    <row r="5118" ht="14.25" customHeight="1"/>
    <row r="5119" ht="14.25" customHeight="1"/>
    <row r="5120" ht="14.25" customHeight="1"/>
    <row r="5121" ht="14.25" customHeight="1"/>
    <row r="5122" ht="14.25" customHeight="1"/>
    <row r="5123" ht="14.25" customHeight="1"/>
    <row r="5124" ht="14.25" customHeight="1"/>
    <row r="5125" ht="14.25" customHeight="1"/>
    <row r="5126" ht="14.25" customHeight="1"/>
    <row r="5127" ht="14.25" customHeight="1"/>
    <row r="5128" ht="14.25" customHeight="1"/>
    <row r="5129" ht="14.25" customHeight="1"/>
    <row r="5130" ht="14.25" customHeight="1"/>
    <row r="5131" ht="14.25" customHeight="1"/>
    <row r="5132" ht="14.25" customHeight="1"/>
    <row r="5133" ht="14.25" customHeight="1"/>
    <row r="5134" ht="14.25" customHeight="1"/>
    <row r="5135" ht="14.25" customHeight="1"/>
    <row r="5136" ht="14.25" customHeight="1"/>
    <row r="5137" ht="14.25" customHeight="1"/>
    <row r="5138" ht="14.25" customHeight="1"/>
    <row r="5139" ht="14.25" customHeight="1"/>
    <row r="5140" ht="14.25" customHeight="1"/>
    <row r="5141" ht="14.25" customHeight="1"/>
    <row r="5142" ht="14.25" customHeight="1"/>
    <row r="5143" ht="14.25" customHeight="1"/>
    <row r="5144" ht="14.25" customHeight="1"/>
    <row r="5145" ht="14.25" customHeight="1"/>
    <row r="5146" ht="14.25" customHeight="1"/>
    <row r="5147" ht="14.25" customHeight="1"/>
    <row r="5148" ht="14.25" customHeight="1"/>
    <row r="5149" ht="14.25" customHeight="1"/>
    <row r="5150" ht="14.25" customHeight="1"/>
    <row r="5151" ht="14.25" customHeight="1"/>
    <row r="5152" ht="14.25" customHeight="1"/>
    <row r="5153" ht="14.25" customHeight="1"/>
    <row r="5154" ht="14.25" customHeight="1"/>
    <row r="5155" ht="14.25" customHeight="1"/>
    <row r="5156" ht="14.25" customHeight="1"/>
    <row r="5157" ht="14.25" customHeight="1"/>
    <row r="5158" ht="14.25" customHeight="1"/>
    <row r="5159" ht="14.25" customHeight="1"/>
    <row r="5160" ht="14.25" customHeight="1"/>
    <row r="5161" ht="14.25" customHeight="1"/>
    <row r="5162" ht="14.25" customHeight="1"/>
    <row r="5163" ht="14.25" customHeight="1"/>
    <row r="5164" ht="14.25" customHeight="1"/>
    <row r="5165" ht="14.25" customHeight="1"/>
    <row r="5166" ht="14.25" customHeight="1"/>
    <row r="5167" ht="14.25" customHeight="1"/>
    <row r="5168" ht="14.25" customHeight="1"/>
    <row r="5169" ht="14.25" customHeight="1"/>
    <row r="5170" ht="14.25" customHeight="1"/>
    <row r="5171" ht="14.25" customHeight="1"/>
    <row r="5172" ht="14.25" customHeight="1"/>
    <row r="5173" ht="14.25" customHeight="1"/>
    <row r="5174" ht="14.25" customHeight="1"/>
    <row r="5175" ht="14.25" customHeight="1"/>
    <row r="5176" ht="14.25" customHeight="1"/>
    <row r="5177" ht="14.25" customHeight="1"/>
    <row r="5178" ht="14.25" customHeight="1"/>
    <row r="5179" ht="14.25" customHeight="1"/>
    <row r="5180" ht="14.25" customHeight="1"/>
    <row r="5181" ht="14.25" customHeight="1"/>
    <row r="5182" ht="14.25" customHeight="1"/>
    <row r="5183" ht="14.25" customHeight="1"/>
    <row r="5184" ht="14.25" customHeight="1"/>
    <row r="5185" ht="14.25" customHeight="1"/>
    <row r="5186" ht="14.25" customHeight="1"/>
    <row r="5187" ht="14.25" customHeight="1"/>
    <row r="5188" ht="14.25" customHeight="1"/>
    <row r="5189" ht="14.25" customHeight="1"/>
    <row r="5190" ht="14.25" customHeight="1"/>
    <row r="5191" ht="14.25" customHeight="1"/>
    <row r="5192" ht="14.25" customHeight="1"/>
    <row r="5193" ht="14.25" customHeight="1"/>
    <row r="5194" ht="14.25" customHeight="1"/>
    <row r="5195" ht="14.25" customHeight="1"/>
    <row r="5196" ht="14.25" customHeight="1"/>
    <row r="5197" ht="14.25" customHeight="1"/>
    <row r="5198" ht="14.25" customHeight="1"/>
    <row r="5199" ht="14.25" customHeight="1"/>
    <row r="5200" ht="14.25" customHeight="1"/>
    <row r="5201" ht="14.25" customHeight="1"/>
    <row r="5202" ht="14.25" customHeight="1"/>
    <row r="5203" ht="14.25" customHeight="1"/>
    <row r="5204" ht="14.25" customHeight="1"/>
    <row r="5205" ht="14.25" customHeight="1"/>
    <row r="5206" ht="14.25" customHeight="1"/>
    <row r="5207" ht="14.25" customHeight="1"/>
    <row r="5208" ht="14.25" customHeight="1"/>
    <row r="5209" ht="14.25" customHeight="1"/>
    <row r="5210" ht="14.25" customHeight="1"/>
    <row r="5211" ht="14.25" customHeight="1"/>
    <row r="5212" ht="14.25" customHeight="1"/>
    <row r="5213" ht="14.25" customHeight="1"/>
    <row r="5214" ht="14.25" customHeight="1"/>
    <row r="5215" ht="14.25" customHeight="1"/>
    <row r="5216" ht="14.25" customHeight="1"/>
    <row r="5217" ht="14.25" customHeight="1"/>
    <row r="5218" ht="14.25" customHeight="1"/>
    <row r="5219" ht="14.25" customHeight="1"/>
    <row r="5220" ht="14.25" customHeight="1"/>
    <row r="5221" ht="14.25" customHeight="1"/>
    <row r="5222" ht="14.25" customHeight="1"/>
    <row r="5223" ht="14.25" customHeight="1"/>
    <row r="5224" ht="14.25" customHeight="1"/>
    <row r="5225" ht="14.25" customHeight="1"/>
    <row r="5226" ht="14.25" customHeight="1"/>
    <row r="5227" ht="14.25" customHeight="1"/>
    <row r="5228" ht="14.25" customHeight="1"/>
    <row r="5229" ht="14.25" customHeight="1"/>
    <row r="5230" ht="14.25" customHeight="1"/>
    <row r="5231" ht="14.25" customHeight="1"/>
    <row r="5232" ht="14.25" customHeight="1"/>
    <row r="5233" ht="14.25" customHeight="1"/>
    <row r="5234" ht="14.25" customHeight="1"/>
    <row r="5235" ht="14.25" customHeight="1"/>
    <row r="5236" ht="14.25" customHeight="1"/>
    <row r="5237" ht="14.25" customHeight="1"/>
    <row r="5238" ht="14.25" customHeight="1"/>
    <row r="5239" ht="14.25" customHeight="1"/>
    <row r="5240" ht="14.25" customHeight="1"/>
    <row r="5241" ht="14.25" customHeight="1"/>
    <row r="5242" ht="14.25" customHeight="1"/>
    <row r="5243" ht="14.25" customHeight="1"/>
    <row r="5244" ht="14.25" customHeight="1"/>
    <row r="5245" ht="14.25" customHeight="1"/>
    <row r="5246" ht="14.25" customHeight="1"/>
    <row r="5247" ht="14.25" customHeight="1"/>
    <row r="5248" ht="14.25" customHeight="1"/>
    <row r="5249" ht="14.25" customHeight="1"/>
    <row r="5250" ht="14.25" customHeight="1"/>
    <row r="5251" ht="14.25" customHeight="1"/>
    <row r="5252" ht="14.25" customHeight="1"/>
    <row r="5253" ht="14.25" customHeight="1"/>
    <row r="5254" ht="14.25" customHeight="1"/>
    <row r="5255" ht="14.25" customHeight="1"/>
    <row r="5256" ht="14.25" customHeight="1"/>
    <row r="5257" ht="14.25" customHeight="1"/>
    <row r="5258" ht="14.25" customHeight="1"/>
    <row r="5259" ht="14.25" customHeight="1"/>
    <row r="5260" ht="14.25" customHeight="1"/>
    <row r="5261" ht="14.25" customHeight="1"/>
    <row r="5262" ht="14.25" customHeight="1"/>
    <row r="5263" ht="14.25" customHeight="1"/>
    <row r="5264" ht="14.25" customHeight="1"/>
    <row r="5265" ht="14.25" customHeight="1"/>
    <row r="5266" ht="14.25" customHeight="1"/>
    <row r="5267" ht="14.25" customHeight="1"/>
    <row r="5268" ht="14.25" customHeight="1"/>
    <row r="5269" ht="14.25" customHeight="1"/>
    <row r="5270" ht="14.25" customHeight="1"/>
    <row r="5271" ht="14.25" customHeight="1"/>
    <row r="5272" ht="14.25" customHeight="1"/>
    <row r="5273" ht="14.25" customHeight="1"/>
    <row r="5274" ht="14.25" customHeight="1"/>
    <row r="5275" ht="14.25" customHeight="1"/>
    <row r="5276" ht="14.25" customHeight="1"/>
    <row r="5277" ht="14.25" customHeight="1"/>
    <row r="5278" ht="14.25" customHeight="1"/>
    <row r="5279" ht="14.25" customHeight="1"/>
    <row r="5280" ht="14.25" customHeight="1"/>
    <row r="5281" ht="14.25" customHeight="1"/>
    <row r="5282" ht="14.25" customHeight="1"/>
    <row r="5283" ht="14.25" customHeight="1"/>
    <row r="5284" ht="14.25" customHeight="1"/>
    <row r="5285" ht="14.25" customHeight="1"/>
    <row r="5286" ht="14.25" customHeight="1"/>
    <row r="5287" ht="14.25" customHeight="1"/>
    <row r="5288" ht="14.25" customHeight="1"/>
    <row r="5289" ht="14.25" customHeight="1"/>
    <row r="5290" ht="14.25" customHeight="1"/>
    <row r="5291" ht="14.25" customHeight="1"/>
    <row r="5292" ht="14.25" customHeight="1"/>
    <row r="5293" ht="14.25" customHeight="1"/>
    <row r="5294" ht="14.25" customHeight="1"/>
    <row r="5295" ht="14.25" customHeight="1"/>
    <row r="5296" ht="14.25" customHeight="1"/>
    <row r="5297" ht="14.25" customHeight="1"/>
    <row r="5298" ht="14.25" customHeight="1"/>
    <row r="5299" ht="14.25" customHeight="1"/>
    <row r="5300" ht="14.25" customHeight="1"/>
    <row r="5301" ht="14.25" customHeight="1"/>
    <row r="5302" ht="14.25" customHeight="1"/>
    <row r="5303" ht="14.25" customHeight="1"/>
    <row r="5304" ht="14.25" customHeight="1"/>
    <row r="5305" ht="14.25" customHeight="1"/>
    <row r="5306" ht="14.25" customHeight="1"/>
    <row r="5307" ht="14.25" customHeight="1"/>
    <row r="5308" ht="14.25" customHeight="1"/>
    <row r="5309" ht="14.25" customHeight="1"/>
    <row r="5310" ht="14.25" customHeight="1"/>
    <row r="5311" ht="14.25" customHeight="1"/>
    <row r="5312" ht="14.25" customHeight="1"/>
    <row r="5313" ht="14.25" customHeight="1"/>
    <row r="5314" ht="14.25" customHeight="1"/>
    <row r="5315" ht="14.25" customHeight="1"/>
    <row r="5316" ht="14.25" customHeight="1"/>
    <row r="5317" ht="14.25" customHeight="1"/>
    <row r="5318" ht="14.25" customHeight="1"/>
    <row r="5319" ht="14.25" customHeight="1"/>
    <row r="5320" ht="14.25" customHeight="1"/>
    <row r="5321" ht="14.25" customHeight="1"/>
    <row r="5322" ht="14.25" customHeight="1"/>
    <row r="5323" ht="14.25" customHeight="1"/>
    <row r="5324" ht="14.25" customHeight="1"/>
    <row r="5325" ht="14.25" customHeight="1"/>
    <row r="5326" ht="14.25" customHeight="1"/>
    <row r="5327" ht="14.25" customHeight="1"/>
    <row r="5328" ht="14.25" customHeight="1"/>
    <row r="5329" ht="14.25" customHeight="1"/>
    <row r="5330" ht="14.25" customHeight="1"/>
    <row r="5331" ht="14.25" customHeight="1"/>
    <row r="5332" ht="14.25" customHeight="1"/>
    <row r="5333" ht="14.25" customHeight="1"/>
    <row r="5334" ht="14.25" customHeight="1"/>
    <row r="5335" ht="14.25" customHeight="1"/>
    <row r="5336" ht="14.25" customHeight="1"/>
    <row r="5337" ht="14.25" customHeight="1"/>
    <row r="5338" ht="14.25" customHeight="1"/>
    <row r="5339" ht="14.25" customHeight="1"/>
    <row r="5340" ht="14.25" customHeight="1"/>
    <row r="5341" ht="14.25" customHeight="1"/>
    <row r="5342" ht="14.25" customHeight="1"/>
    <row r="5343" ht="14.25" customHeight="1"/>
    <row r="5344" ht="14.25" customHeight="1"/>
    <row r="5345" ht="14.25" customHeight="1"/>
    <row r="5346" ht="14.25" customHeight="1"/>
    <row r="5347" ht="14.25" customHeight="1"/>
    <row r="5348" ht="14.25" customHeight="1"/>
    <row r="5349" ht="14.25" customHeight="1"/>
    <row r="5350" ht="14.25" customHeight="1"/>
    <row r="5351" ht="14.25" customHeight="1"/>
    <row r="5352" ht="14.25" customHeight="1"/>
    <row r="5353" ht="14.25" customHeight="1"/>
    <row r="5354" ht="14.25" customHeight="1"/>
    <row r="5355" ht="14.25" customHeight="1"/>
    <row r="5356" ht="14.25" customHeight="1"/>
    <row r="5357" ht="14.25" customHeight="1"/>
    <row r="5358" ht="14.25" customHeight="1"/>
    <row r="5359" ht="14.25" customHeight="1"/>
    <row r="5360" ht="14.25" customHeight="1"/>
    <row r="5361" ht="14.25" customHeight="1"/>
    <row r="5362" ht="14.25" customHeight="1"/>
    <row r="5363" ht="14.25" customHeight="1"/>
    <row r="5364" ht="14.25" customHeight="1"/>
    <row r="5365" ht="14.25" customHeight="1"/>
    <row r="5366" ht="14.25" customHeight="1"/>
    <row r="5367" ht="14.25" customHeight="1"/>
    <row r="5368" ht="14.25" customHeight="1"/>
    <row r="5369" ht="14.25" customHeight="1"/>
    <row r="5370" ht="14.25" customHeight="1"/>
    <row r="5371" ht="14.25" customHeight="1"/>
    <row r="5372" ht="14.25" customHeight="1"/>
    <row r="5373" ht="14.25" customHeight="1"/>
    <row r="5374" ht="14.25" customHeight="1"/>
    <row r="5375" ht="14.25" customHeight="1"/>
    <row r="5376" ht="14.25" customHeight="1"/>
    <row r="5377" ht="14.25" customHeight="1"/>
    <row r="5378" ht="14.25" customHeight="1"/>
    <row r="5379" ht="14.25" customHeight="1"/>
    <row r="5380" ht="14.25" customHeight="1"/>
    <row r="5381" ht="14.25" customHeight="1"/>
    <row r="5382" ht="14.25" customHeight="1"/>
    <row r="5383" ht="14.25" customHeight="1"/>
    <row r="5384" ht="14.25" customHeight="1"/>
    <row r="5385" ht="14.25" customHeight="1"/>
    <row r="5386" ht="14.25" customHeight="1"/>
    <row r="5387" ht="14.25" customHeight="1"/>
    <row r="5388" ht="14.25" customHeight="1"/>
    <row r="5389" ht="14.25" customHeight="1"/>
    <row r="5390" ht="14.25" customHeight="1"/>
    <row r="5391" ht="14.25" customHeight="1"/>
    <row r="5392" ht="14.25" customHeight="1"/>
    <row r="5393" ht="14.25" customHeight="1"/>
    <row r="5394" ht="14.25" customHeight="1"/>
    <row r="5395" ht="14.25" customHeight="1"/>
    <row r="5396" ht="14.25" customHeight="1"/>
    <row r="5397" ht="14.25" customHeight="1"/>
    <row r="5398" ht="14.25" customHeight="1"/>
    <row r="5399" ht="14.25" customHeight="1"/>
    <row r="5400" ht="14.25" customHeight="1"/>
    <row r="5401" ht="14.25" customHeight="1"/>
    <row r="5402" ht="14.25" customHeight="1"/>
    <row r="5403" ht="14.25" customHeight="1"/>
    <row r="5404" ht="14.25" customHeight="1"/>
    <row r="5405" ht="14.25" customHeight="1"/>
    <row r="5406" ht="14.25" customHeight="1"/>
    <row r="5407" ht="14.25" customHeight="1"/>
    <row r="5408" ht="14.25" customHeight="1"/>
    <row r="5409" ht="14.25" customHeight="1"/>
    <row r="5410" ht="14.25" customHeight="1"/>
    <row r="5411" ht="14.25" customHeight="1"/>
    <row r="5412" ht="14.25" customHeight="1"/>
    <row r="5413" ht="14.25" customHeight="1"/>
    <row r="5414" ht="14.25" customHeight="1"/>
    <row r="5415" ht="14.25" customHeight="1"/>
    <row r="5416" ht="14.25" customHeight="1"/>
    <row r="5417" ht="14.25" customHeight="1"/>
    <row r="5418" ht="14.25" customHeight="1"/>
    <row r="5419" ht="14.25" customHeight="1"/>
    <row r="5420" ht="14.25" customHeight="1"/>
    <row r="5421" ht="14.25" customHeight="1"/>
    <row r="5422" ht="14.25" customHeight="1"/>
    <row r="5423" ht="14.25" customHeight="1"/>
    <row r="5424" ht="14.25" customHeight="1"/>
    <row r="5425" ht="14.25" customHeight="1"/>
    <row r="5426" ht="14.25" customHeight="1"/>
    <row r="5427" ht="14.25" customHeight="1"/>
    <row r="5428" ht="14.25" customHeight="1"/>
    <row r="5429" ht="14.25" customHeight="1"/>
    <row r="5430" ht="14.25" customHeight="1"/>
    <row r="5431" ht="14.25" customHeight="1"/>
    <row r="5432" ht="14.25" customHeight="1"/>
    <row r="5433" ht="14.25" customHeight="1"/>
    <row r="5434" ht="14.25" customHeight="1"/>
    <row r="5435" ht="14.25" customHeight="1"/>
    <row r="5436" ht="14.25" customHeight="1"/>
    <row r="5437" ht="14.25" customHeight="1"/>
    <row r="5438" ht="14.25" customHeight="1"/>
    <row r="5439" ht="14.25" customHeight="1"/>
    <row r="5440" ht="14.25" customHeight="1"/>
    <row r="5441" ht="14.25" customHeight="1"/>
    <row r="5442" ht="14.25" customHeight="1"/>
    <row r="5443" ht="14.25" customHeight="1"/>
    <row r="5444" ht="14.25" customHeight="1"/>
    <row r="5445" ht="14.25" customHeight="1"/>
    <row r="5446" ht="14.25" customHeight="1"/>
    <row r="5447" ht="14.25" customHeight="1"/>
    <row r="5448" ht="14.25" customHeight="1"/>
    <row r="5449" ht="14.25" customHeight="1"/>
    <row r="5450" ht="14.25" customHeight="1"/>
    <row r="5451" ht="14.25" customHeight="1"/>
    <row r="5452" ht="14.25" customHeight="1"/>
    <row r="5453" ht="14.25" customHeight="1"/>
    <row r="5454" ht="14.25" customHeight="1"/>
    <row r="5455" ht="14.25" customHeight="1"/>
    <row r="5456" ht="14.25" customHeight="1"/>
    <row r="5457" ht="14.25" customHeight="1"/>
    <row r="5458" ht="14.25" customHeight="1"/>
    <row r="5459" ht="14.25" customHeight="1"/>
    <row r="5460" ht="14.25" customHeight="1"/>
    <row r="5461" ht="14.25" customHeight="1"/>
    <row r="5462" ht="14.25" customHeight="1"/>
    <row r="5463" ht="14.25" customHeight="1"/>
    <row r="5464" ht="14.25" customHeight="1"/>
    <row r="5465" ht="14.25" customHeight="1"/>
    <row r="5466" ht="14.25" customHeight="1"/>
    <row r="5467" ht="14.25" customHeight="1"/>
    <row r="5468" ht="14.25" customHeight="1"/>
    <row r="5469" ht="14.25" customHeight="1"/>
    <row r="5470" ht="14.25" customHeight="1"/>
    <row r="5471" ht="14.25" customHeight="1"/>
    <row r="5472" ht="14.25" customHeight="1"/>
    <row r="5473" ht="14.25" customHeight="1"/>
    <row r="5474" ht="14.25" customHeight="1"/>
    <row r="5475" ht="14.25" customHeight="1"/>
    <row r="5476" ht="14.25" customHeight="1"/>
    <row r="5477" ht="14.25" customHeight="1"/>
    <row r="5478" ht="14.25" customHeight="1"/>
    <row r="5479" ht="14.25" customHeight="1"/>
    <row r="5480" ht="14.25" customHeight="1"/>
    <row r="5481" ht="14.25" customHeight="1"/>
    <row r="5482" ht="14.25" customHeight="1"/>
    <row r="5483" ht="14.25" customHeight="1"/>
    <row r="5484" ht="14.25" customHeight="1"/>
    <row r="5485" ht="14.25" customHeight="1"/>
    <row r="5486" ht="14.25" customHeight="1"/>
    <row r="5487" ht="14.25" customHeight="1"/>
    <row r="5488" ht="14.25" customHeight="1"/>
    <row r="5489" ht="14.25" customHeight="1"/>
    <row r="5490" ht="14.25" customHeight="1"/>
    <row r="5491" ht="14.25" customHeight="1"/>
    <row r="5492" ht="14.25" customHeight="1"/>
    <row r="5493" ht="14.25" customHeight="1"/>
    <row r="5494" ht="14.25" customHeight="1"/>
    <row r="5495" ht="14.25" customHeight="1"/>
    <row r="5496" ht="14.25" customHeight="1"/>
    <row r="5497" ht="14.25" customHeight="1"/>
    <row r="5498" ht="14.25" customHeight="1"/>
    <row r="5499" ht="14.25" customHeight="1"/>
    <row r="5500" ht="14.25" customHeight="1"/>
    <row r="5501" ht="14.25" customHeight="1"/>
    <row r="5502" ht="14.25" customHeight="1"/>
    <row r="5503" ht="14.25" customHeight="1"/>
    <row r="5504" ht="14.25" customHeight="1"/>
    <row r="5505" ht="14.25" customHeight="1"/>
    <row r="5506" ht="14.25" customHeight="1"/>
    <row r="5507" ht="14.25" customHeight="1"/>
    <row r="5508" ht="14.25" customHeight="1"/>
    <row r="5509" ht="14.25" customHeight="1"/>
    <row r="5510" ht="14.25" customHeight="1"/>
    <row r="5511" ht="14.25" customHeight="1"/>
    <row r="5512" ht="14.25" customHeight="1"/>
    <row r="5513" ht="14.25" customHeight="1"/>
    <row r="5514" ht="14.25" customHeight="1"/>
    <row r="5515" ht="14.25" customHeight="1"/>
    <row r="5516" ht="14.25" customHeight="1"/>
    <row r="5517" ht="14.25" customHeight="1"/>
    <row r="5518" ht="14.25" customHeight="1"/>
    <row r="5519" ht="14.25" customHeight="1"/>
    <row r="5520" ht="14.25" customHeight="1"/>
    <row r="5521" ht="14.25" customHeight="1"/>
    <row r="5522" ht="14.25" customHeight="1"/>
    <row r="5523" ht="14.25" customHeight="1"/>
    <row r="5524" ht="14.25" customHeight="1"/>
    <row r="5525" ht="14.25" customHeight="1"/>
    <row r="5526" ht="14.25" customHeight="1"/>
    <row r="5527" ht="14.25" customHeight="1"/>
    <row r="5528" ht="14.25" customHeight="1"/>
    <row r="5529" ht="14.25" customHeight="1"/>
    <row r="5530" ht="14.25" customHeight="1"/>
    <row r="5531" ht="14.25" customHeight="1"/>
    <row r="5532" ht="14.25" customHeight="1"/>
    <row r="5533" ht="14.25" customHeight="1"/>
    <row r="5534" ht="14.25" customHeight="1"/>
    <row r="5535" ht="14.25" customHeight="1"/>
    <row r="5536" ht="14.25" customHeight="1"/>
    <row r="5537" ht="14.25" customHeight="1"/>
    <row r="5538" ht="14.25" customHeight="1"/>
    <row r="5539" ht="14.25" customHeight="1"/>
    <row r="5540" ht="14.25" customHeight="1"/>
    <row r="5541" ht="14.25" customHeight="1"/>
    <row r="5542" ht="14.25" customHeight="1"/>
    <row r="5543" ht="14.25" customHeight="1"/>
    <row r="5544" ht="14.25" customHeight="1"/>
    <row r="5545" ht="14.25" customHeight="1"/>
    <row r="5546" ht="14.25" customHeight="1"/>
    <row r="5547" ht="14.25" customHeight="1"/>
    <row r="5548" ht="14.25" customHeight="1"/>
    <row r="5549" ht="14.25" customHeight="1"/>
    <row r="5550" ht="14.25" customHeight="1"/>
    <row r="5551" ht="14.25" customHeight="1"/>
    <row r="5552" ht="14.25" customHeight="1"/>
    <row r="5553" ht="14.25" customHeight="1"/>
    <row r="5554" ht="14.25" customHeight="1"/>
    <row r="5555" ht="14.25" customHeight="1"/>
    <row r="5556" ht="14.25" customHeight="1"/>
    <row r="5557" ht="14.25" customHeight="1"/>
    <row r="5558" ht="14.25" customHeight="1"/>
    <row r="5559" ht="14.25" customHeight="1"/>
    <row r="5560" ht="14.25" customHeight="1"/>
    <row r="5561" ht="14.25" customHeight="1"/>
    <row r="5562" ht="14.25" customHeight="1"/>
    <row r="5563" ht="14.25" customHeight="1"/>
    <row r="5564" ht="14.25" customHeight="1"/>
    <row r="5565" ht="14.25" customHeight="1"/>
    <row r="5566" ht="14.25" customHeight="1"/>
    <row r="5567" ht="14.25" customHeight="1"/>
    <row r="5568" ht="14.25" customHeight="1"/>
    <row r="5569" ht="14.25" customHeight="1"/>
    <row r="5570" ht="14.25" customHeight="1"/>
    <row r="5571" ht="14.25" customHeight="1"/>
    <row r="5572" ht="14.25" customHeight="1"/>
    <row r="5573" ht="14.25" customHeight="1"/>
    <row r="5574" ht="14.25" customHeight="1"/>
    <row r="5575" ht="14.25" customHeight="1"/>
    <row r="5576" ht="14.25" customHeight="1"/>
    <row r="5577" ht="14.25" customHeight="1"/>
    <row r="5578" ht="14.25" customHeight="1"/>
    <row r="5579" ht="14.25" customHeight="1"/>
    <row r="5580" ht="14.25" customHeight="1"/>
    <row r="5581" ht="14.25" customHeight="1"/>
    <row r="5582" ht="14.25" customHeight="1"/>
    <row r="5583" ht="14.25" customHeight="1"/>
    <row r="5584" ht="14.25" customHeight="1"/>
    <row r="5585" ht="14.25" customHeight="1"/>
    <row r="5586" ht="14.25" customHeight="1"/>
    <row r="5587" ht="14.25" customHeight="1"/>
    <row r="5588" ht="14.25" customHeight="1"/>
    <row r="5589" ht="14.25" customHeight="1"/>
    <row r="5590" ht="14.25" customHeight="1"/>
    <row r="5591" ht="14.25" customHeight="1"/>
    <row r="5592" ht="14.25" customHeight="1"/>
    <row r="5593" ht="14.25" customHeight="1"/>
    <row r="5594" ht="14.25" customHeight="1"/>
    <row r="5595" ht="14.25" customHeight="1"/>
    <row r="5596" ht="14.25" customHeight="1"/>
    <row r="5597" ht="14.25" customHeight="1"/>
    <row r="5598" ht="14.25" customHeight="1"/>
    <row r="5599" ht="14.25" customHeight="1"/>
    <row r="5600" ht="14.25" customHeight="1"/>
    <row r="5601" ht="14.25" customHeight="1"/>
    <row r="5602" ht="14.25" customHeight="1"/>
    <row r="5603" ht="14.25" customHeight="1"/>
    <row r="5604" ht="14.25" customHeight="1"/>
    <row r="5605" ht="14.25" customHeight="1"/>
    <row r="5606" ht="14.25" customHeight="1"/>
    <row r="5607" ht="14.25" customHeight="1"/>
    <row r="5608" ht="14.25" customHeight="1"/>
    <row r="5609" ht="14.25" customHeight="1"/>
    <row r="5610" ht="14.25" customHeight="1"/>
    <row r="5611" ht="14.25" customHeight="1"/>
    <row r="5612" ht="14.25" customHeight="1"/>
    <row r="5613" ht="14.25" customHeight="1"/>
    <row r="5614" ht="14.25" customHeight="1"/>
    <row r="5615" ht="14.25" customHeight="1"/>
    <row r="5616" ht="14.25" customHeight="1"/>
    <row r="5617" ht="14.25" customHeight="1"/>
    <row r="5618" ht="14.25" customHeight="1"/>
    <row r="5619" ht="14.25" customHeight="1"/>
    <row r="5620" ht="14.25" customHeight="1"/>
    <row r="5621" ht="14.25" customHeight="1"/>
    <row r="5622" ht="14.25" customHeight="1"/>
    <row r="5623" ht="14.25" customHeight="1"/>
    <row r="5624" ht="14.25" customHeight="1"/>
    <row r="5625" ht="14.25" customHeight="1"/>
    <row r="5626" ht="14.25" customHeight="1"/>
    <row r="5627" ht="14.25" customHeight="1"/>
    <row r="5628" ht="14.25" customHeight="1"/>
    <row r="5629" ht="14.25" customHeight="1"/>
    <row r="5630" ht="14.25" customHeight="1"/>
    <row r="5631" ht="14.25" customHeight="1"/>
    <row r="5632" ht="14.25" customHeight="1"/>
    <row r="5633" ht="14.25" customHeight="1"/>
    <row r="5634" ht="14.25" customHeight="1"/>
    <row r="5635" ht="14.25" customHeight="1"/>
    <row r="5636" ht="14.25" customHeight="1"/>
    <row r="5637" ht="14.25" customHeight="1"/>
    <row r="5638" ht="14.25" customHeight="1"/>
    <row r="5639" ht="14.25" customHeight="1"/>
    <row r="5640" ht="14.25" customHeight="1"/>
    <row r="5641" ht="14.25" customHeight="1"/>
    <row r="5642" ht="14.25" customHeight="1"/>
    <row r="5643" ht="14.25" customHeight="1"/>
    <row r="5644" ht="14.25" customHeight="1"/>
    <row r="5645" ht="14.25" customHeight="1"/>
    <row r="5646" ht="14.25" customHeight="1"/>
    <row r="5647" ht="14.25" customHeight="1"/>
    <row r="5648" ht="14.25" customHeight="1"/>
    <row r="5649" ht="14.25" customHeight="1"/>
    <row r="5650" ht="14.25" customHeight="1"/>
    <row r="5651" ht="14.25" customHeight="1"/>
    <row r="5652" ht="14.25" customHeight="1"/>
    <row r="5653" ht="14.25" customHeight="1"/>
    <row r="5654" ht="14.25" customHeight="1"/>
    <row r="5655" ht="14.25" customHeight="1"/>
    <row r="5656" ht="14.25" customHeight="1"/>
    <row r="5657" ht="14.25" customHeight="1"/>
    <row r="5658" ht="14.25" customHeight="1"/>
    <row r="5659" ht="14.25" customHeight="1"/>
    <row r="5660" ht="14.25" customHeight="1"/>
    <row r="5661" ht="14.25" customHeight="1"/>
    <row r="5662" ht="14.25" customHeight="1"/>
    <row r="5663" ht="14.25" customHeight="1"/>
    <row r="5664" ht="14.25" customHeight="1"/>
    <row r="5665" ht="14.25" customHeight="1"/>
    <row r="5666" ht="14.25" customHeight="1"/>
    <row r="5667" ht="14.25" customHeight="1"/>
    <row r="5668" ht="14.25" customHeight="1"/>
    <row r="5669" ht="14.25" customHeight="1"/>
    <row r="5670" ht="14.25" customHeight="1"/>
    <row r="5671" ht="14.25" customHeight="1"/>
    <row r="5672" ht="14.25" customHeight="1"/>
    <row r="5673" ht="14.25" customHeight="1"/>
    <row r="5674" ht="14.25" customHeight="1"/>
    <row r="5675" ht="14.25" customHeight="1"/>
    <row r="5676" ht="14.25" customHeight="1"/>
    <row r="5677" ht="14.25" customHeight="1"/>
    <row r="5678" ht="14.25" customHeight="1"/>
    <row r="5679" ht="14.25" customHeight="1"/>
    <row r="5680" ht="14.25" customHeight="1"/>
    <row r="5681" ht="14.25" customHeight="1"/>
    <row r="5682" ht="14.25" customHeight="1"/>
    <row r="5683" ht="14.25" customHeight="1"/>
    <row r="5684" ht="14.25" customHeight="1"/>
    <row r="5685" ht="14.25" customHeight="1"/>
    <row r="5686" ht="14.25" customHeight="1"/>
    <row r="5687" ht="14.25" customHeight="1"/>
    <row r="5688" ht="14.25" customHeight="1"/>
    <row r="5689" ht="14.25" customHeight="1"/>
    <row r="5690" ht="14.25" customHeight="1"/>
    <row r="5691" ht="14.25" customHeight="1"/>
    <row r="5692" ht="14.25" customHeight="1"/>
    <row r="5693" ht="14.25" customHeight="1"/>
    <row r="5694" ht="14.25" customHeight="1"/>
    <row r="5695" ht="14.25" customHeight="1"/>
    <row r="5696" ht="14.25" customHeight="1"/>
    <row r="5697" ht="14.25" customHeight="1"/>
    <row r="5698" ht="14.25" customHeight="1"/>
    <row r="5699" ht="14.25" customHeight="1"/>
    <row r="5700" ht="14.25" customHeight="1"/>
    <row r="5701" ht="14.25" customHeight="1"/>
    <row r="5702" ht="14.25" customHeight="1"/>
    <row r="5703" ht="14.25" customHeight="1"/>
    <row r="5704" ht="14.25" customHeight="1"/>
    <row r="5705" ht="14.25" customHeight="1"/>
    <row r="5706" ht="14.25" customHeight="1"/>
    <row r="5707" ht="14.25" customHeight="1"/>
    <row r="5708" ht="14.25" customHeight="1"/>
    <row r="5709" ht="14.25" customHeight="1"/>
    <row r="5710" ht="14.25" customHeight="1"/>
    <row r="5711" ht="14.25" customHeight="1"/>
    <row r="5712" ht="14.25" customHeight="1"/>
    <row r="5713" ht="14.25" customHeight="1"/>
    <row r="5714" ht="14.25" customHeight="1"/>
    <row r="5715" ht="14.25" customHeight="1"/>
    <row r="5716" ht="14.25" customHeight="1"/>
    <row r="5717" ht="14.25" customHeight="1"/>
    <row r="5718" ht="14.25" customHeight="1"/>
    <row r="5719" ht="14.25" customHeight="1"/>
    <row r="5720" ht="14.25" customHeight="1"/>
    <row r="5721" ht="14.25" customHeight="1"/>
    <row r="5722" ht="14.25" customHeight="1"/>
    <row r="5723" ht="14.25" customHeight="1"/>
    <row r="5724" ht="14.25" customHeight="1"/>
    <row r="5725" ht="14.25" customHeight="1"/>
    <row r="5726" ht="14.25" customHeight="1"/>
    <row r="5727" ht="14.25" customHeight="1"/>
    <row r="5728" ht="14.25" customHeight="1"/>
    <row r="5729" ht="14.25" customHeight="1"/>
    <row r="5730" ht="14.25" customHeight="1"/>
    <row r="5731" ht="14.25" customHeight="1"/>
    <row r="5732" ht="14.25" customHeight="1"/>
    <row r="5733" ht="14.25" customHeight="1"/>
    <row r="5734" ht="14.25" customHeight="1"/>
    <row r="5735" ht="14.25" customHeight="1"/>
    <row r="5736" ht="14.25" customHeight="1"/>
    <row r="5737" ht="14.25" customHeight="1"/>
    <row r="5738" ht="14.25" customHeight="1"/>
    <row r="5739" ht="14.25" customHeight="1"/>
    <row r="5740" ht="14.25" customHeight="1"/>
    <row r="5741" ht="14.25" customHeight="1"/>
    <row r="5742" ht="14.25" customHeight="1"/>
    <row r="5743" ht="14.25" customHeight="1"/>
    <row r="5744" ht="14.25" customHeight="1"/>
    <row r="5745" ht="14.25" customHeight="1"/>
    <row r="5746" ht="14.25" customHeight="1"/>
    <row r="5747" ht="14.25" customHeight="1"/>
    <row r="5748" ht="14.25" customHeight="1"/>
    <row r="5749" ht="14.25" customHeight="1"/>
    <row r="5750" ht="14.25" customHeight="1"/>
    <row r="5751" ht="14.25" customHeight="1"/>
    <row r="5752" ht="14.25" customHeight="1"/>
    <row r="5753" ht="14.25" customHeight="1"/>
    <row r="5754" ht="14.25" customHeight="1"/>
    <row r="5755" ht="14.25" customHeight="1"/>
    <row r="5756" ht="14.25" customHeight="1"/>
    <row r="5757" ht="14.25" customHeight="1"/>
    <row r="5758" ht="14.25" customHeight="1"/>
    <row r="5759" ht="14.25" customHeight="1"/>
    <row r="5760" ht="14.25" customHeight="1"/>
    <row r="5761" ht="14.25" customHeight="1"/>
    <row r="5762" ht="14.25" customHeight="1"/>
    <row r="5763" ht="14.25" customHeight="1"/>
    <row r="5764" ht="14.25" customHeight="1"/>
    <row r="5765" ht="14.25" customHeight="1"/>
    <row r="5766" ht="14.25" customHeight="1"/>
    <row r="5767" ht="14.25" customHeight="1"/>
    <row r="5768" ht="14.25" customHeight="1"/>
    <row r="5769" ht="14.25" customHeight="1"/>
    <row r="5770" ht="14.25" customHeight="1"/>
    <row r="5771" ht="14.25" customHeight="1"/>
    <row r="5772" ht="14.25" customHeight="1"/>
    <row r="5773" ht="14.25" customHeight="1"/>
    <row r="5774" ht="14.25" customHeight="1"/>
    <row r="5775" ht="14.25" customHeight="1"/>
    <row r="5776" ht="14.25" customHeight="1"/>
    <row r="5777" ht="14.25" customHeight="1"/>
    <row r="5778" ht="14.25" customHeight="1"/>
    <row r="5779" ht="14.25" customHeight="1"/>
    <row r="5780" ht="14.25" customHeight="1"/>
    <row r="5781" ht="14.25" customHeight="1"/>
    <row r="5782" ht="14.25" customHeight="1"/>
    <row r="5783" ht="14.25" customHeight="1"/>
    <row r="5784" ht="14.25" customHeight="1"/>
    <row r="5785" ht="14.25" customHeight="1"/>
    <row r="5786" ht="14.25" customHeight="1"/>
    <row r="5787" ht="14.25" customHeight="1"/>
    <row r="5788" ht="14.25" customHeight="1"/>
    <row r="5789" ht="14.25" customHeight="1"/>
    <row r="5790" ht="14.25" customHeight="1"/>
    <row r="5791" ht="14.25" customHeight="1"/>
    <row r="5792" ht="14.25" customHeight="1"/>
    <row r="5793" ht="14.25" customHeight="1"/>
    <row r="5794" ht="14.25" customHeight="1"/>
    <row r="5795" ht="14.25" customHeight="1"/>
    <row r="5796" ht="14.25" customHeight="1"/>
    <row r="5797" ht="14.25" customHeight="1"/>
    <row r="5798" ht="14.25" customHeight="1"/>
    <row r="5799" ht="14.25" customHeight="1"/>
    <row r="5800" ht="14.25" customHeight="1"/>
    <row r="5801" ht="14.25" customHeight="1"/>
    <row r="5802" ht="14.25" customHeight="1"/>
    <row r="5803" ht="14.25" customHeight="1"/>
    <row r="5804" ht="14.25" customHeight="1"/>
    <row r="5805" ht="14.25" customHeight="1"/>
    <row r="5806" ht="14.25" customHeight="1"/>
    <row r="5807" ht="14.25" customHeight="1"/>
    <row r="5808" ht="14.25" customHeight="1"/>
    <row r="5809" ht="14.25" customHeight="1"/>
    <row r="5810" ht="14.25" customHeight="1"/>
    <row r="5811" ht="14.25" customHeight="1"/>
    <row r="5812" ht="14.25" customHeight="1"/>
    <row r="5813" ht="14.25" customHeight="1"/>
    <row r="5814" ht="14.25" customHeight="1"/>
    <row r="5815" ht="14.25" customHeight="1"/>
    <row r="5816" ht="14.25" customHeight="1"/>
    <row r="5817" ht="14.25" customHeight="1"/>
    <row r="5818" ht="14.25" customHeight="1"/>
    <row r="5819" ht="14.25" customHeight="1"/>
    <row r="5820" ht="14.25" customHeight="1"/>
    <row r="5821" ht="14.25" customHeight="1"/>
    <row r="5822" ht="14.25" customHeight="1"/>
    <row r="5823" ht="14.25" customHeight="1"/>
    <row r="5824" ht="14.25" customHeight="1"/>
    <row r="5825" ht="14.25" customHeight="1"/>
    <row r="5826" ht="14.25" customHeight="1"/>
    <row r="5827" ht="14.25" customHeight="1"/>
    <row r="5828" ht="14.25" customHeight="1"/>
    <row r="5829" ht="14.25" customHeight="1"/>
    <row r="5830" ht="14.25" customHeight="1"/>
    <row r="5831" ht="14.25" customHeight="1"/>
    <row r="5832" ht="14.25" customHeight="1"/>
    <row r="5833" ht="14.25" customHeight="1"/>
    <row r="5834" ht="14.25" customHeight="1"/>
    <row r="5835" ht="14.25" customHeight="1"/>
    <row r="5836" ht="14.25" customHeight="1"/>
    <row r="5837" ht="14.25" customHeight="1"/>
    <row r="5838" ht="14.25" customHeight="1"/>
    <row r="5839" ht="14.25" customHeight="1"/>
    <row r="5840" ht="14.25" customHeight="1"/>
    <row r="5841" ht="14.25" customHeight="1"/>
    <row r="5842" ht="14.25" customHeight="1"/>
    <row r="5843" ht="14.25" customHeight="1"/>
    <row r="5844" ht="14.25" customHeight="1"/>
    <row r="5845" ht="14.25" customHeight="1"/>
    <row r="5846" ht="14.25" customHeight="1"/>
    <row r="5847" ht="14.25" customHeight="1"/>
    <row r="5848" ht="14.25" customHeight="1"/>
    <row r="5849" ht="14.25" customHeight="1"/>
    <row r="5850" ht="14.25" customHeight="1"/>
    <row r="5851" ht="14.25" customHeight="1"/>
    <row r="5852" ht="14.25" customHeight="1"/>
    <row r="5853" ht="14.25" customHeight="1"/>
    <row r="5854" ht="14.25" customHeight="1"/>
    <row r="5855" ht="14.25" customHeight="1"/>
    <row r="5856" ht="14.25" customHeight="1"/>
    <row r="5857" ht="14.25" customHeight="1"/>
    <row r="5858" ht="14.25" customHeight="1"/>
    <row r="5859" ht="14.25" customHeight="1"/>
    <row r="5860" ht="14.25" customHeight="1"/>
    <row r="5861" ht="14.25" customHeight="1"/>
    <row r="5862" ht="14.25" customHeight="1"/>
    <row r="5863" ht="14.25" customHeight="1"/>
    <row r="5864" ht="14.25" customHeight="1"/>
    <row r="5865" ht="14.25" customHeight="1"/>
    <row r="5866" ht="14.25" customHeight="1"/>
    <row r="5867" ht="14.25" customHeight="1"/>
    <row r="5868" ht="14.25" customHeight="1"/>
    <row r="5869" ht="14.25" customHeight="1"/>
    <row r="5870" ht="14.25" customHeight="1"/>
    <row r="5871" ht="14.25" customHeight="1"/>
    <row r="5872" ht="14.25" customHeight="1"/>
    <row r="5873" ht="14.25" customHeight="1"/>
    <row r="5874" ht="14.25" customHeight="1"/>
    <row r="5875" ht="14.25" customHeight="1"/>
    <row r="5876" ht="14.25" customHeight="1"/>
    <row r="5877" ht="14.25" customHeight="1"/>
    <row r="5878" ht="14.25" customHeight="1"/>
    <row r="5879" ht="14.25" customHeight="1"/>
    <row r="5880" ht="14.25" customHeight="1"/>
    <row r="5881" ht="14.25" customHeight="1"/>
    <row r="5882" ht="14.25" customHeight="1"/>
    <row r="5883" ht="14.25" customHeight="1"/>
    <row r="5884" ht="14.25" customHeight="1"/>
    <row r="5885" ht="14.25" customHeight="1"/>
    <row r="5886" ht="14.25" customHeight="1"/>
    <row r="5887" ht="14.25" customHeight="1"/>
    <row r="5888" ht="14.25" customHeight="1"/>
    <row r="5889" ht="14.25" customHeight="1"/>
    <row r="5890" ht="14.25" customHeight="1"/>
    <row r="5891" ht="14.25" customHeight="1"/>
    <row r="5892" ht="14.25" customHeight="1"/>
    <row r="5893" ht="14.25" customHeight="1"/>
    <row r="5894" ht="14.25" customHeight="1"/>
    <row r="5895" ht="14.25" customHeight="1"/>
    <row r="5896" ht="14.25" customHeight="1"/>
    <row r="5897" ht="14.25" customHeight="1"/>
    <row r="5898" ht="14.25" customHeight="1"/>
    <row r="5899" ht="14.25" customHeight="1"/>
    <row r="5900" ht="14.25" customHeight="1"/>
    <row r="5901" ht="14.25" customHeight="1"/>
    <row r="5902" ht="14.25" customHeight="1"/>
    <row r="5903" ht="14.25" customHeight="1"/>
    <row r="5904" ht="14.25" customHeight="1"/>
    <row r="5905" ht="14.25" customHeight="1"/>
    <row r="5906" ht="14.25" customHeight="1"/>
    <row r="5907" ht="14.25" customHeight="1"/>
    <row r="5908" ht="14.25" customHeight="1"/>
    <row r="5909" ht="14.25" customHeight="1"/>
    <row r="5910" ht="14.25" customHeight="1"/>
    <row r="5911" ht="14.25" customHeight="1"/>
    <row r="5912" ht="14.25" customHeight="1"/>
    <row r="5913" ht="14.25" customHeight="1"/>
    <row r="5914" ht="14.25" customHeight="1"/>
    <row r="5915" ht="14.25" customHeight="1"/>
    <row r="5916" ht="14.25" customHeight="1"/>
    <row r="5917" ht="14.25" customHeight="1"/>
    <row r="5918" ht="14.25" customHeight="1"/>
    <row r="5919" ht="14.25" customHeight="1"/>
    <row r="5920" ht="14.25" customHeight="1"/>
    <row r="5921" ht="14.25" customHeight="1"/>
    <row r="5922" ht="14.25" customHeight="1"/>
    <row r="5923" ht="14.25" customHeight="1"/>
    <row r="5924" ht="14.25" customHeight="1"/>
    <row r="5925" ht="14.25" customHeight="1"/>
    <row r="5926" ht="14.25" customHeight="1"/>
    <row r="5927" ht="14.25" customHeight="1"/>
    <row r="5928" ht="14.25" customHeight="1"/>
    <row r="5929" ht="14.25" customHeight="1"/>
    <row r="5930" ht="14.25" customHeight="1"/>
    <row r="5931" ht="14.25" customHeight="1"/>
    <row r="5932" ht="14.25" customHeight="1"/>
    <row r="5933" ht="14.25" customHeight="1"/>
    <row r="5934" ht="14.25" customHeight="1"/>
    <row r="5935" ht="14.25" customHeight="1"/>
    <row r="5936" ht="14.25" customHeight="1"/>
    <row r="5937" ht="14.25" customHeight="1"/>
    <row r="5938" ht="14.25" customHeight="1"/>
    <row r="5939" ht="14.25" customHeight="1"/>
    <row r="5940" ht="14.25" customHeight="1"/>
    <row r="5941" ht="14.25" customHeight="1"/>
    <row r="5942" ht="14.25" customHeight="1"/>
    <row r="5943" ht="14.25" customHeight="1"/>
    <row r="5944" ht="14.25" customHeight="1"/>
    <row r="5945" ht="14.25" customHeight="1"/>
    <row r="5946" ht="14.25" customHeight="1"/>
    <row r="5947" ht="14.25" customHeight="1"/>
    <row r="5948" ht="14.25" customHeight="1"/>
    <row r="5949" ht="14.25" customHeight="1"/>
    <row r="5950" ht="14.25" customHeight="1"/>
    <row r="5951" ht="14.25" customHeight="1"/>
    <row r="5952" ht="14.25" customHeight="1"/>
    <row r="5953" ht="14.25" customHeight="1"/>
    <row r="5954" ht="14.25" customHeight="1"/>
    <row r="5955" ht="14.25" customHeight="1"/>
    <row r="5956" ht="14.25" customHeight="1"/>
    <row r="5957" ht="14.25" customHeight="1"/>
    <row r="5958" ht="14.25" customHeight="1"/>
    <row r="5959" ht="14.25" customHeight="1"/>
    <row r="5960" ht="14.25" customHeight="1"/>
    <row r="5961" ht="14.25" customHeight="1"/>
    <row r="5962" ht="14.25" customHeight="1"/>
    <row r="5963" ht="14.25" customHeight="1"/>
    <row r="5964" ht="14.25" customHeight="1"/>
    <row r="5965" ht="14.25" customHeight="1"/>
    <row r="5966" ht="14.25" customHeight="1"/>
    <row r="5967" ht="14.25" customHeight="1"/>
    <row r="5968" ht="14.25" customHeight="1"/>
    <row r="5969" ht="14.25" customHeight="1"/>
    <row r="5970" ht="14.25" customHeight="1"/>
    <row r="5971" ht="14.25" customHeight="1"/>
    <row r="5972" ht="14.25" customHeight="1"/>
    <row r="5973" ht="14.25" customHeight="1"/>
    <row r="5974" ht="14.25" customHeight="1"/>
    <row r="5975" ht="14.25" customHeight="1"/>
    <row r="5976" ht="14.25" customHeight="1"/>
    <row r="5977" ht="14.25" customHeight="1"/>
    <row r="5978" ht="14.25" customHeight="1"/>
    <row r="5979" ht="14.25" customHeight="1"/>
    <row r="5980" ht="14.25" customHeight="1"/>
    <row r="5981" ht="14.25" customHeight="1"/>
    <row r="5982" ht="14.25" customHeight="1"/>
    <row r="5983" ht="14.25" customHeight="1"/>
    <row r="5984" ht="14.25" customHeight="1"/>
    <row r="5985" ht="14.25" customHeight="1"/>
    <row r="5986" ht="14.25" customHeight="1"/>
    <row r="5987" ht="14.25" customHeight="1"/>
    <row r="5988" ht="14.25" customHeight="1"/>
    <row r="5989" ht="14.25" customHeight="1"/>
    <row r="5990" ht="14.25" customHeight="1"/>
    <row r="5991" ht="14.25" customHeight="1"/>
    <row r="5992" ht="14.25" customHeight="1"/>
    <row r="5993" ht="14.25" customHeight="1"/>
    <row r="5994" ht="14.25" customHeight="1"/>
    <row r="5995" ht="14.25" customHeight="1"/>
    <row r="5996" ht="14.25" customHeight="1"/>
    <row r="5997" ht="14.25" customHeight="1"/>
    <row r="5998" ht="14.25" customHeight="1"/>
    <row r="5999" ht="14.25" customHeight="1"/>
    <row r="6000" ht="14.25" customHeight="1"/>
    <row r="6001" ht="14.25" customHeight="1"/>
    <row r="6002" ht="14.25" customHeight="1"/>
    <row r="6003" ht="14.25" customHeight="1"/>
    <row r="6004" ht="14.25" customHeight="1"/>
    <row r="6005" ht="14.25" customHeight="1"/>
    <row r="6006" ht="14.25" customHeight="1"/>
    <row r="6007" ht="14.25" customHeight="1"/>
    <row r="6008" ht="14.25" customHeight="1"/>
    <row r="6009" ht="14.25" customHeight="1"/>
    <row r="6010" ht="14.25" customHeight="1"/>
    <row r="6011" ht="14.25" customHeight="1"/>
    <row r="6012" ht="14.25" customHeight="1"/>
    <row r="6013" ht="14.25" customHeight="1"/>
    <row r="6014" ht="14.25" customHeight="1"/>
    <row r="6015" ht="14.25" customHeight="1"/>
    <row r="6016" ht="14.25" customHeight="1"/>
    <row r="6017" ht="14.25" customHeight="1"/>
    <row r="6018" ht="14.25" customHeight="1"/>
    <row r="6019" ht="14.25" customHeight="1"/>
    <row r="6020" ht="14.25" customHeight="1"/>
    <row r="6021" ht="14.25" customHeight="1"/>
    <row r="6022" ht="14.25" customHeight="1"/>
    <row r="6023" ht="14.25" customHeight="1"/>
    <row r="6024" ht="14.25" customHeight="1"/>
    <row r="6025" ht="14.25" customHeight="1"/>
    <row r="6026" ht="14.25" customHeight="1"/>
    <row r="6027" ht="14.25" customHeight="1"/>
    <row r="6028" ht="14.25" customHeight="1"/>
    <row r="6029" ht="14.25" customHeight="1"/>
    <row r="6030" ht="14.25" customHeight="1"/>
    <row r="6031" ht="14.25" customHeight="1"/>
    <row r="6032" ht="14.25" customHeight="1"/>
    <row r="6033" ht="14.25" customHeight="1"/>
    <row r="6034" ht="14.25" customHeight="1"/>
    <row r="6035" ht="14.25" customHeight="1"/>
    <row r="6036" ht="14.25" customHeight="1"/>
    <row r="6037" ht="14.25" customHeight="1"/>
    <row r="6038" ht="14.25" customHeight="1"/>
    <row r="6039" ht="14.25" customHeight="1"/>
    <row r="6040" ht="14.25" customHeight="1"/>
    <row r="6041" ht="14.25" customHeight="1"/>
    <row r="6042" ht="14.25" customHeight="1"/>
    <row r="6043" ht="14.25" customHeight="1"/>
    <row r="6044" ht="14.25" customHeight="1"/>
    <row r="6045" ht="14.25" customHeight="1"/>
    <row r="6046" ht="14.25" customHeight="1"/>
    <row r="6047" ht="14.25" customHeight="1"/>
    <row r="6048" ht="14.25" customHeight="1"/>
    <row r="6049" ht="14.25" customHeight="1"/>
    <row r="6050" ht="14.25" customHeight="1"/>
    <row r="6051" ht="14.25" customHeight="1"/>
    <row r="6052" ht="14.25" customHeight="1"/>
    <row r="6053" ht="14.25" customHeight="1"/>
    <row r="6054" ht="14.25" customHeight="1"/>
    <row r="6055" ht="14.25" customHeight="1"/>
    <row r="6056" ht="14.25" customHeight="1"/>
    <row r="6057" ht="14.25" customHeight="1"/>
    <row r="6058" ht="14.25" customHeight="1"/>
    <row r="6059" ht="14.25" customHeight="1"/>
    <row r="6060" ht="14.25" customHeight="1"/>
    <row r="6061" ht="14.25" customHeight="1"/>
    <row r="6062" ht="14.25" customHeight="1"/>
    <row r="6063" ht="14.25" customHeight="1"/>
    <row r="6064" ht="14.25" customHeight="1"/>
    <row r="6065" ht="14.25" customHeight="1"/>
    <row r="6066" ht="14.25" customHeight="1"/>
    <row r="6067" ht="14.25" customHeight="1"/>
    <row r="6068" ht="14.25" customHeight="1"/>
    <row r="6069" ht="14.25" customHeight="1"/>
    <row r="6070" ht="14.25" customHeight="1"/>
    <row r="6071" ht="14.25" customHeight="1"/>
    <row r="6072" ht="14.25" customHeight="1"/>
    <row r="6073" ht="14.25" customHeight="1"/>
    <row r="6074" ht="14.25" customHeight="1"/>
    <row r="6075" ht="14.25" customHeight="1"/>
    <row r="6076" ht="14.25" customHeight="1"/>
    <row r="6077" ht="14.25" customHeight="1"/>
    <row r="6078" ht="14.25" customHeight="1"/>
    <row r="6079" ht="14.25" customHeight="1"/>
    <row r="6080" ht="14.25" customHeight="1"/>
    <row r="6081" ht="14.25" customHeight="1"/>
    <row r="6082" ht="14.25" customHeight="1"/>
    <row r="6083" ht="14.25" customHeight="1"/>
    <row r="6084" ht="14.25" customHeight="1"/>
    <row r="6085" ht="14.25" customHeight="1"/>
    <row r="6086" ht="14.25" customHeight="1"/>
    <row r="6087" ht="14.25" customHeight="1"/>
    <row r="6088" ht="14.25" customHeight="1"/>
    <row r="6089" ht="14.25" customHeight="1"/>
    <row r="6090" ht="14.25" customHeight="1"/>
    <row r="6091" ht="14.25" customHeight="1"/>
    <row r="6092" ht="14.25" customHeight="1"/>
    <row r="6093" ht="14.25" customHeight="1"/>
    <row r="6094" ht="14.25" customHeight="1"/>
    <row r="6095" ht="14.25" customHeight="1"/>
    <row r="6096" ht="14.25" customHeight="1"/>
    <row r="6097" ht="14.25" customHeight="1"/>
    <row r="6098" ht="14.25" customHeight="1"/>
    <row r="6099" ht="14.25" customHeight="1"/>
    <row r="6100" ht="14.25" customHeight="1"/>
    <row r="6101" ht="14.25" customHeight="1"/>
    <row r="6102" ht="14.25" customHeight="1"/>
    <row r="6103" ht="14.25" customHeight="1"/>
    <row r="6104" ht="14.25" customHeight="1"/>
    <row r="6105" ht="14.25" customHeight="1"/>
    <row r="6106" ht="14.25" customHeight="1"/>
    <row r="6107" ht="14.25" customHeight="1"/>
    <row r="6108" ht="14.25" customHeight="1"/>
    <row r="6109" ht="14.25" customHeight="1"/>
    <row r="6110" ht="14.25" customHeight="1"/>
    <row r="6111" ht="14.25" customHeight="1"/>
    <row r="6112" ht="14.25" customHeight="1"/>
    <row r="6113" ht="14.25" customHeight="1"/>
    <row r="6114" ht="14.25" customHeight="1"/>
    <row r="6115" ht="14.25" customHeight="1"/>
    <row r="6116" ht="14.25" customHeight="1"/>
    <row r="6117" ht="14.25" customHeight="1"/>
    <row r="6118" ht="14.25" customHeight="1"/>
    <row r="6119" ht="14.25" customHeight="1"/>
    <row r="6120" ht="14.25" customHeight="1"/>
    <row r="6121" ht="14.25" customHeight="1"/>
    <row r="6122" ht="14.25" customHeight="1"/>
    <row r="6123" ht="14.25" customHeight="1"/>
    <row r="6124" ht="14.25" customHeight="1"/>
    <row r="6125" ht="14.25" customHeight="1"/>
    <row r="6126" ht="14.25" customHeight="1"/>
    <row r="6127" ht="14.25" customHeight="1"/>
    <row r="6128" ht="14.25" customHeight="1"/>
    <row r="6129" ht="14.25" customHeight="1"/>
    <row r="6130" ht="14.25" customHeight="1"/>
    <row r="6131" ht="14.25" customHeight="1"/>
    <row r="6132" ht="14.25" customHeight="1"/>
    <row r="6133" ht="14.25" customHeight="1"/>
    <row r="6134" ht="14.25" customHeight="1"/>
    <row r="6135" ht="14.25" customHeight="1"/>
    <row r="6136" ht="14.25" customHeight="1"/>
    <row r="6137" ht="14.25" customHeight="1"/>
    <row r="6138" ht="14.25" customHeight="1"/>
    <row r="6139" ht="14.25" customHeight="1"/>
    <row r="6140" ht="14.25" customHeight="1"/>
    <row r="6141" ht="14.25" customHeight="1"/>
    <row r="6142" ht="14.25" customHeight="1"/>
    <row r="6143" ht="14.25" customHeight="1"/>
    <row r="6144" ht="14.25" customHeight="1"/>
    <row r="6145" ht="14.25" customHeight="1"/>
    <row r="6146" ht="14.25" customHeight="1"/>
    <row r="6147" ht="14.25" customHeight="1"/>
    <row r="6148" ht="14.25" customHeight="1"/>
    <row r="6149" ht="14.25" customHeight="1"/>
    <row r="6150" ht="14.25" customHeight="1"/>
    <row r="6151" ht="14.25" customHeight="1"/>
    <row r="6152" ht="14.25" customHeight="1"/>
    <row r="6153" ht="14.25" customHeight="1"/>
    <row r="6154" ht="14.25" customHeight="1"/>
    <row r="6155" ht="14.25" customHeight="1"/>
    <row r="6156" ht="14.25" customHeight="1"/>
    <row r="6157" ht="14.25" customHeight="1"/>
    <row r="6158" ht="14.25" customHeight="1"/>
    <row r="6159" ht="14.25" customHeight="1"/>
    <row r="6160" ht="14.25" customHeight="1"/>
    <row r="6161" ht="14.25" customHeight="1"/>
    <row r="6162" ht="14.25" customHeight="1"/>
    <row r="6163" ht="14.25" customHeight="1"/>
    <row r="6164" ht="14.25" customHeight="1"/>
    <row r="6165" ht="14.25" customHeight="1"/>
    <row r="6166" ht="14.25" customHeight="1"/>
    <row r="6167" ht="14.25" customHeight="1"/>
    <row r="6168" ht="14.25" customHeight="1"/>
    <row r="6169" ht="14.25" customHeight="1"/>
    <row r="6170" ht="14.25" customHeight="1"/>
    <row r="6171" ht="14.25" customHeight="1"/>
    <row r="6172" ht="14.25" customHeight="1"/>
    <row r="6173" ht="14.25" customHeight="1"/>
    <row r="6174" ht="14.25" customHeight="1"/>
    <row r="6175" ht="14.25" customHeight="1"/>
    <row r="6176" ht="14.25" customHeight="1"/>
    <row r="6177" ht="14.25" customHeight="1"/>
    <row r="6178" ht="14.25" customHeight="1"/>
    <row r="6179" ht="14.25" customHeight="1"/>
    <row r="6180" ht="14.25" customHeight="1"/>
    <row r="6181" ht="14.25" customHeight="1"/>
    <row r="6182" ht="14.25" customHeight="1"/>
    <row r="6183" ht="14.25" customHeight="1"/>
    <row r="6184" ht="14.25" customHeight="1"/>
    <row r="6185" ht="14.25" customHeight="1"/>
    <row r="6186" ht="14.25" customHeight="1"/>
    <row r="6187" ht="14.25" customHeight="1"/>
    <row r="6188" ht="14.25" customHeight="1"/>
    <row r="6189" ht="14.25" customHeight="1"/>
    <row r="6190" ht="14.25" customHeight="1"/>
    <row r="6191" ht="14.25" customHeight="1"/>
    <row r="6192" ht="14.25" customHeight="1"/>
    <row r="6193" ht="14.25" customHeight="1"/>
    <row r="6194" ht="14.25" customHeight="1"/>
    <row r="6195" ht="14.25" customHeight="1"/>
    <row r="6196" ht="14.25" customHeight="1"/>
    <row r="6197" ht="14.25" customHeight="1"/>
    <row r="6198" ht="14.25" customHeight="1"/>
    <row r="6199" ht="14.25" customHeight="1"/>
    <row r="6200" ht="14.25" customHeight="1"/>
    <row r="6201" ht="14.25" customHeight="1"/>
    <row r="6202" ht="14.25" customHeight="1"/>
    <row r="6203" ht="14.25" customHeight="1"/>
    <row r="6204" ht="14.25" customHeight="1"/>
    <row r="6205" ht="14.25" customHeight="1"/>
    <row r="6206" ht="14.25" customHeight="1"/>
    <row r="6207" ht="14.25" customHeight="1"/>
    <row r="6208" ht="14.25" customHeight="1"/>
    <row r="6209" ht="14.25" customHeight="1"/>
    <row r="6210" ht="14.25" customHeight="1"/>
    <row r="6211" ht="14.25" customHeight="1"/>
    <row r="6212" ht="14.25" customHeight="1"/>
    <row r="6213" ht="14.25" customHeight="1"/>
    <row r="6214" ht="14.25" customHeight="1"/>
    <row r="6215" ht="14.25" customHeight="1"/>
    <row r="6216" ht="14.25" customHeight="1"/>
    <row r="6217" ht="14.25" customHeight="1"/>
    <row r="6218" ht="14.25" customHeight="1"/>
    <row r="6219" ht="14.25" customHeight="1"/>
    <row r="6220" ht="14.25" customHeight="1"/>
    <row r="6221" ht="14.25" customHeight="1"/>
    <row r="6222" ht="14.25" customHeight="1"/>
    <row r="6223" ht="14.25" customHeight="1"/>
    <row r="6224" ht="14.25" customHeight="1"/>
    <row r="6225" ht="14.25" customHeight="1"/>
    <row r="6226" ht="14.25" customHeight="1"/>
    <row r="6227" ht="14.25" customHeight="1"/>
    <row r="6228" ht="14.25" customHeight="1"/>
    <row r="6229" ht="14.25" customHeight="1"/>
    <row r="6230" ht="14.25" customHeight="1"/>
    <row r="6231" ht="14.25" customHeight="1"/>
    <row r="6232" ht="14.25" customHeight="1"/>
    <row r="6233" ht="14.25" customHeight="1"/>
    <row r="6234" ht="14.25" customHeight="1"/>
    <row r="6235" ht="14.25" customHeight="1"/>
    <row r="6236" ht="14.25" customHeight="1"/>
    <row r="6237" ht="14.25" customHeight="1"/>
    <row r="6238" ht="14.25" customHeight="1"/>
    <row r="6239" ht="14.25" customHeight="1"/>
    <row r="6240" ht="14.25" customHeight="1"/>
    <row r="6241" ht="14.25" customHeight="1"/>
    <row r="6242" ht="14.25" customHeight="1"/>
    <row r="6243" ht="14.25" customHeight="1"/>
    <row r="6244" ht="14.25" customHeight="1"/>
    <row r="6245" ht="14.25" customHeight="1"/>
    <row r="6246" ht="14.25" customHeight="1"/>
    <row r="6247" ht="14.25" customHeight="1"/>
    <row r="6248" ht="14.25" customHeight="1"/>
    <row r="6249" ht="14.25" customHeight="1"/>
    <row r="6250" ht="14.25" customHeight="1"/>
    <row r="6251" ht="14.25" customHeight="1"/>
    <row r="6252" ht="14.25" customHeight="1"/>
    <row r="6253" ht="14.25" customHeight="1"/>
    <row r="6254" ht="14.25" customHeight="1"/>
    <row r="6255" ht="14.25" customHeight="1"/>
    <row r="6256" ht="14.25" customHeight="1"/>
    <row r="6257" ht="14.25" customHeight="1"/>
    <row r="6258" ht="14.25" customHeight="1"/>
    <row r="6259" ht="14.25" customHeight="1"/>
    <row r="6260" ht="14.25" customHeight="1"/>
    <row r="6261" ht="14.25" customHeight="1"/>
    <row r="6262" ht="14.25" customHeight="1"/>
    <row r="6263" ht="14.25" customHeight="1"/>
    <row r="6264" ht="14.25" customHeight="1"/>
    <row r="6265" ht="14.25" customHeight="1"/>
    <row r="6266" ht="14.25" customHeight="1"/>
    <row r="6267" ht="14.25" customHeight="1"/>
    <row r="6268" ht="14.25" customHeight="1"/>
    <row r="6269" ht="14.25" customHeight="1"/>
    <row r="6270" ht="14.25" customHeight="1"/>
    <row r="6271" ht="14.25" customHeight="1"/>
    <row r="6272" ht="14.25" customHeight="1"/>
    <row r="6273" ht="14.25" customHeight="1"/>
    <row r="6274" ht="14.25" customHeight="1"/>
    <row r="6275" ht="14.25" customHeight="1"/>
    <row r="6276" ht="14.25" customHeight="1"/>
    <row r="6277" ht="14.25" customHeight="1"/>
    <row r="6278" ht="14.25" customHeight="1"/>
    <row r="6279" ht="14.25" customHeight="1"/>
    <row r="6280" ht="14.25" customHeight="1"/>
    <row r="6281" ht="14.25" customHeight="1"/>
    <row r="6282" ht="14.25" customHeight="1"/>
    <row r="6283" ht="14.25" customHeight="1"/>
    <row r="6284" ht="14.25" customHeight="1"/>
    <row r="6285" ht="14.25" customHeight="1"/>
    <row r="6286" ht="14.25" customHeight="1"/>
    <row r="6287" ht="14.25" customHeight="1"/>
    <row r="6288" ht="14.25" customHeight="1"/>
    <row r="6289" ht="14.25" customHeight="1"/>
    <row r="6290" ht="14.25" customHeight="1"/>
    <row r="6291" ht="14.25" customHeight="1"/>
    <row r="6292" ht="14.25" customHeight="1"/>
    <row r="6293" ht="14.25" customHeight="1"/>
    <row r="6294" ht="14.25" customHeight="1"/>
    <row r="6295" ht="14.25" customHeight="1"/>
    <row r="6296" ht="14.25" customHeight="1"/>
    <row r="6297" ht="14.25" customHeight="1"/>
    <row r="6298" ht="14.25" customHeight="1"/>
    <row r="6299" ht="14.25" customHeight="1"/>
    <row r="6300" ht="14.25" customHeight="1"/>
    <row r="6301" ht="14.25" customHeight="1"/>
    <row r="6302" ht="14.25" customHeight="1"/>
    <row r="6303" ht="14.25" customHeight="1"/>
    <row r="6304" ht="14.25" customHeight="1"/>
    <row r="6305" ht="14.25" customHeight="1"/>
    <row r="6306" ht="14.25" customHeight="1"/>
    <row r="6307" ht="14.25" customHeight="1"/>
    <row r="6308" ht="14.25" customHeight="1"/>
    <row r="6309" ht="14.25" customHeight="1"/>
    <row r="6310" ht="14.25" customHeight="1"/>
    <row r="6311" ht="14.25" customHeight="1"/>
    <row r="6312" ht="14.25" customHeight="1"/>
    <row r="6313" ht="14.25" customHeight="1"/>
    <row r="6314" ht="14.25" customHeight="1"/>
    <row r="6315" ht="14.25" customHeight="1"/>
    <row r="6316" ht="14.25" customHeight="1"/>
    <row r="6317" ht="14.25" customHeight="1"/>
    <row r="6318" ht="14.25" customHeight="1"/>
    <row r="6319" ht="14.25" customHeight="1"/>
    <row r="6320" ht="14.25" customHeight="1"/>
    <row r="6321" ht="14.25" customHeight="1"/>
    <row r="6322" ht="14.25" customHeight="1"/>
    <row r="6323" ht="14.25" customHeight="1"/>
    <row r="6324" ht="14.25" customHeight="1"/>
    <row r="6325" ht="14.25" customHeight="1"/>
    <row r="6326" ht="14.25" customHeight="1"/>
    <row r="6327" ht="14.25" customHeight="1"/>
    <row r="6328" ht="14.25" customHeight="1"/>
    <row r="6329" ht="14.25" customHeight="1"/>
    <row r="6330" ht="14.25" customHeight="1"/>
    <row r="6331" ht="14.25" customHeight="1"/>
    <row r="6332" ht="14.25" customHeight="1"/>
    <row r="6333" ht="14.25" customHeight="1"/>
    <row r="6334" ht="14.25" customHeight="1"/>
    <row r="6335" ht="14.25" customHeight="1"/>
    <row r="6336" ht="14.25" customHeight="1"/>
    <row r="6337" ht="14.25" customHeight="1"/>
    <row r="6338" ht="14.25" customHeight="1"/>
    <row r="6339" ht="14.25" customHeight="1"/>
    <row r="6340" ht="14.25" customHeight="1"/>
    <row r="6341" ht="14.25" customHeight="1"/>
    <row r="6342" ht="14.25" customHeight="1"/>
    <row r="6343" ht="14.25" customHeight="1"/>
    <row r="6344" ht="14.25" customHeight="1"/>
    <row r="6345" ht="14.25" customHeight="1"/>
    <row r="6346" ht="14.25" customHeight="1"/>
    <row r="6347" ht="14.25" customHeight="1"/>
    <row r="6348" ht="14.25" customHeight="1"/>
    <row r="6349" ht="14.25" customHeight="1"/>
    <row r="6350" ht="14.25" customHeight="1"/>
    <row r="6351" ht="14.25" customHeight="1"/>
    <row r="6352" ht="14.25" customHeight="1"/>
    <row r="6353" ht="14.25" customHeight="1"/>
    <row r="6354" ht="14.25" customHeight="1"/>
    <row r="6355" ht="14.25" customHeight="1"/>
    <row r="6356" ht="14.25" customHeight="1"/>
    <row r="6357" ht="14.25" customHeight="1"/>
    <row r="6358" ht="14.25" customHeight="1"/>
    <row r="6359" ht="14.25" customHeight="1"/>
    <row r="6360" ht="14.25" customHeight="1"/>
    <row r="6361" ht="14.25" customHeight="1"/>
    <row r="6362" ht="14.25" customHeight="1"/>
    <row r="6363" ht="14.25" customHeight="1"/>
    <row r="6364" ht="14.25" customHeight="1"/>
    <row r="6365" ht="14.25" customHeight="1"/>
    <row r="6366" ht="14.25" customHeight="1"/>
    <row r="6367" ht="14.25" customHeight="1"/>
    <row r="6368" ht="14.25" customHeight="1"/>
    <row r="6369" ht="14.25" customHeight="1"/>
    <row r="6370" ht="14.25" customHeight="1"/>
    <row r="6371" ht="14.25" customHeight="1"/>
    <row r="6372" ht="14.25" customHeight="1"/>
    <row r="6373" ht="14.25" customHeight="1"/>
    <row r="6374" ht="14.25" customHeight="1"/>
    <row r="6375" ht="14.25" customHeight="1"/>
    <row r="6376" ht="14.25" customHeight="1"/>
    <row r="6377" ht="14.25" customHeight="1"/>
    <row r="6378" ht="14.25" customHeight="1"/>
    <row r="6379" ht="14.25" customHeight="1"/>
    <row r="6380" ht="14.25" customHeight="1"/>
    <row r="6381" ht="14.25" customHeight="1"/>
    <row r="6382" ht="14.25" customHeight="1"/>
    <row r="6383" ht="14.25" customHeight="1"/>
    <row r="6384" ht="14.25" customHeight="1"/>
    <row r="6385" ht="14.25" customHeight="1"/>
    <row r="6386" ht="14.25" customHeight="1"/>
    <row r="6387" ht="14.25" customHeight="1"/>
    <row r="6388" ht="14.25" customHeight="1"/>
    <row r="6389" ht="14.25" customHeight="1"/>
    <row r="6390" ht="14.25" customHeight="1"/>
    <row r="6391" ht="14.25" customHeight="1"/>
    <row r="6392" ht="14.25" customHeight="1"/>
    <row r="6393" ht="14.25" customHeight="1"/>
    <row r="6394" ht="14.25" customHeight="1"/>
    <row r="6395" ht="14.25" customHeight="1"/>
    <row r="6396" ht="14.25" customHeight="1"/>
    <row r="6397" ht="14.25" customHeight="1"/>
    <row r="6398" ht="14.25" customHeight="1"/>
    <row r="6399" ht="14.25" customHeight="1"/>
    <row r="6400" ht="14.25" customHeight="1"/>
    <row r="6401" ht="14.25" customHeight="1"/>
    <row r="6402" ht="14.25" customHeight="1"/>
    <row r="6403" ht="14.25" customHeight="1"/>
    <row r="6404" ht="14.25" customHeight="1"/>
    <row r="6405" ht="14.25" customHeight="1"/>
    <row r="6406" ht="14.25" customHeight="1"/>
    <row r="6407" ht="14.25" customHeight="1"/>
    <row r="6408" ht="14.25" customHeight="1"/>
    <row r="6409" ht="14.25" customHeight="1"/>
    <row r="6410" ht="14.25" customHeight="1"/>
    <row r="6411" ht="14.25" customHeight="1"/>
    <row r="6412" ht="14.25" customHeight="1"/>
    <row r="6413" ht="14.25" customHeight="1"/>
    <row r="6414" ht="14.25" customHeight="1"/>
    <row r="6415" ht="14.25" customHeight="1"/>
    <row r="6416" ht="14.25" customHeight="1"/>
    <row r="6417" ht="14.25" customHeight="1"/>
    <row r="6418" ht="14.25" customHeight="1"/>
    <row r="6419" ht="14.25" customHeight="1"/>
    <row r="6420" ht="14.25" customHeight="1"/>
    <row r="6421" ht="14.25" customHeight="1"/>
    <row r="6422" ht="14.25" customHeight="1"/>
    <row r="6423" ht="14.25" customHeight="1"/>
    <row r="6424" ht="14.25" customHeight="1"/>
    <row r="6425" ht="14.25" customHeight="1"/>
    <row r="6426" ht="14.25" customHeight="1"/>
    <row r="6427" ht="14.25" customHeight="1"/>
    <row r="6428" ht="14.25" customHeight="1"/>
    <row r="6429" ht="14.25" customHeight="1"/>
    <row r="6430" ht="14.25" customHeight="1"/>
    <row r="6431" ht="14.25" customHeight="1"/>
    <row r="6432" ht="14.25" customHeight="1"/>
    <row r="6433" ht="14.25" customHeight="1"/>
    <row r="6434" ht="14.25" customHeight="1"/>
    <row r="6435" ht="14.25" customHeight="1"/>
    <row r="6436" ht="14.25" customHeight="1"/>
    <row r="6437" ht="14.25" customHeight="1"/>
    <row r="6438" ht="14.25" customHeight="1"/>
    <row r="6439" ht="14.25" customHeight="1"/>
    <row r="6440" ht="14.25" customHeight="1"/>
    <row r="6441" ht="14.25" customHeight="1"/>
    <row r="6442" ht="14.25" customHeight="1"/>
    <row r="6443" ht="14.25" customHeight="1"/>
    <row r="6444" ht="14.25" customHeight="1"/>
    <row r="6445" ht="14.25" customHeight="1"/>
    <row r="6446" ht="14.25" customHeight="1"/>
    <row r="6447" ht="14.25" customHeight="1"/>
    <row r="6448" ht="14.25" customHeight="1"/>
    <row r="6449" ht="14.25" customHeight="1"/>
    <row r="6450" ht="14.25" customHeight="1"/>
    <row r="6451" ht="14.25" customHeight="1"/>
    <row r="6452" ht="14.25" customHeight="1"/>
    <row r="6453" ht="14.25" customHeight="1"/>
    <row r="6454" ht="14.25" customHeight="1"/>
    <row r="6455" ht="14.25" customHeight="1"/>
    <row r="6456" ht="14.25" customHeight="1"/>
    <row r="6457" ht="14.25" customHeight="1"/>
    <row r="6458" ht="14.25" customHeight="1"/>
    <row r="6459" ht="14.25" customHeight="1"/>
    <row r="6460" ht="14.25" customHeight="1"/>
    <row r="6461" ht="14.25" customHeight="1"/>
    <row r="6462" ht="14.25" customHeight="1"/>
    <row r="6463" ht="14.25" customHeight="1"/>
    <row r="6464" ht="14.25" customHeight="1"/>
    <row r="6465" ht="14.25" customHeight="1"/>
    <row r="6466" ht="14.25" customHeight="1"/>
    <row r="6467" ht="14.25" customHeight="1"/>
    <row r="6468" ht="14.25" customHeight="1"/>
    <row r="6469" ht="14.25" customHeight="1"/>
    <row r="6470" ht="14.25" customHeight="1"/>
    <row r="6471" ht="14.25" customHeight="1"/>
    <row r="6472" ht="14.25" customHeight="1"/>
    <row r="6473" ht="14.25" customHeight="1"/>
    <row r="6474" ht="14.25" customHeight="1"/>
    <row r="6475" ht="14.25" customHeight="1"/>
    <row r="6476" ht="14.25" customHeight="1"/>
    <row r="6477" ht="14.25" customHeight="1"/>
    <row r="6478" ht="14.25" customHeight="1"/>
    <row r="6479" ht="14.25" customHeight="1"/>
    <row r="6480" ht="14.25" customHeight="1"/>
    <row r="6481" ht="14.25" customHeight="1"/>
    <row r="6482" ht="14.25" customHeight="1"/>
    <row r="6483" ht="14.25" customHeight="1"/>
    <row r="6484" ht="14.25" customHeight="1"/>
    <row r="6485" ht="14.25" customHeight="1"/>
    <row r="6486" ht="14.25" customHeight="1"/>
    <row r="6487" ht="14.25" customHeight="1"/>
    <row r="6488" ht="14.25" customHeight="1"/>
    <row r="6489" ht="14.25" customHeight="1"/>
    <row r="6490" ht="14.25" customHeight="1"/>
    <row r="6491" ht="14.25" customHeight="1"/>
    <row r="6492" ht="14.25" customHeight="1"/>
    <row r="6493" ht="14.25" customHeight="1"/>
    <row r="6494" ht="14.25" customHeight="1"/>
    <row r="6495" ht="14.25" customHeight="1"/>
    <row r="6496" ht="14.25" customHeight="1"/>
    <row r="6497" ht="14.25" customHeight="1"/>
    <row r="6498" ht="14.25" customHeight="1"/>
    <row r="6499" ht="14.25" customHeight="1"/>
    <row r="6500" ht="14.25" customHeight="1"/>
    <row r="6501" ht="14.25" customHeight="1"/>
    <row r="6502" ht="14.25" customHeight="1"/>
    <row r="6503" ht="14.25" customHeight="1"/>
    <row r="6504" ht="14.25" customHeight="1"/>
    <row r="6505" ht="14.25" customHeight="1"/>
    <row r="6506" ht="14.25" customHeight="1"/>
    <row r="6507" ht="14.25" customHeight="1"/>
    <row r="6508" ht="14.25" customHeight="1"/>
    <row r="6509" ht="14.25" customHeight="1"/>
    <row r="6510" ht="14.25" customHeight="1"/>
    <row r="6511" ht="14.25" customHeight="1"/>
    <row r="6512" ht="14.25" customHeight="1"/>
    <row r="6513" ht="14.25" customHeight="1"/>
    <row r="6514" ht="14.25" customHeight="1"/>
    <row r="6515" ht="14.25" customHeight="1"/>
    <row r="6516" ht="14.25" customHeight="1"/>
    <row r="6517" ht="14.25" customHeight="1"/>
    <row r="6518" ht="14.25" customHeight="1"/>
    <row r="6519" ht="14.25" customHeight="1"/>
    <row r="6520" ht="14.25" customHeight="1"/>
    <row r="6521" ht="14.25" customHeight="1"/>
    <row r="6522" ht="14.25" customHeight="1"/>
    <row r="6523" ht="14.25" customHeight="1"/>
    <row r="6524" ht="14.25" customHeight="1"/>
    <row r="6525" ht="14.25" customHeight="1"/>
    <row r="6526" ht="14.25" customHeight="1"/>
    <row r="6527" ht="14.25" customHeight="1"/>
    <row r="6528" ht="14.25" customHeight="1"/>
    <row r="6529" ht="14.25" customHeight="1"/>
    <row r="6530" ht="14.25" customHeight="1"/>
    <row r="6531" ht="14.25" customHeight="1"/>
    <row r="6532" ht="14.25" customHeight="1"/>
    <row r="6533" ht="14.25" customHeight="1"/>
    <row r="6534" ht="14.25" customHeight="1"/>
    <row r="6535" ht="14.25" customHeight="1"/>
    <row r="6536" ht="14.25" customHeight="1"/>
    <row r="6537" ht="14.25" customHeight="1"/>
    <row r="6538" ht="14.25" customHeight="1"/>
    <row r="6539" ht="14.25" customHeight="1"/>
    <row r="6540" ht="14.25" customHeight="1"/>
    <row r="6541" ht="14.25" customHeight="1"/>
    <row r="6542" ht="14.25" customHeight="1"/>
    <row r="6543" ht="14.25" customHeight="1"/>
    <row r="6544" ht="14.25" customHeight="1"/>
    <row r="6545" ht="14.25" customHeight="1"/>
    <row r="6546" ht="14.25" customHeight="1"/>
    <row r="6547" ht="14.25" customHeight="1"/>
    <row r="6548" ht="14.25" customHeight="1"/>
    <row r="6549" ht="14.25" customHeight="1"/>
    <row r="6550" ht="14.25" customHeight="1"/>
    <row r="6551" ht="14.25" customHeight="1"/>
    <row r="6552" ht="14.25" customHeight="1"/>
    <row r="6553" ht="14.25" customHeight="1"/>
    <row r="6554" ht="14.25" customHeight="1"/>
    <row r="6555" ht="14.25" customHeight="1"/>
    <row r="6556" ht="14.25" customHeight="1"/>
    <row r="6557" ht="14.25" customHeight="1"/>
    <row r="6558" ht="14.25" customHeight="1"/>
    <row r="6559" ht="14.25" customHeight="1"/>
    <row r="6560" ht="14.25" customHeight="1"/>
    <row r="6561" ht="14.25" customHeight="1"/>
    <row r="6562" ht="14.25" customHeight="1"/>
    <row r="6563" ht="14.25" customHeight="1"/>
    <row r="6564" ht="14.25" customHeight="1"/>
    <row r="6565" ht="14.25" customHeight="1"/>
    <row r="6566" ht="14.25" customHeight="1"/>
    <row r="6567" ht="14.25" customHeight="1"/>
    <row r="6568" ht="14.25" customHeight="1"/>
    <row r="6569" ht="14.25" customHeight="1"/>
    <row r="6570" ht="14.25" customHeight="1"/>
    <row r="6571" ht="14.25" customHeight="1"/>
    <row r="6572" ht="14.25" customHeight="1"/>
    <row r="6573" ht="14.25" customHeight="1"/>
    <row r="6574" ht="14.25" customHeight="1"/>
    <row r="6575" ht="14.25" customHeight="1"/>
    <row r="6576" ht="14.25" customHeight="1"/>
    <row r="6577" ht="14.25" customHeight="1"/>
    <row r="6578" ht="14.25" customHeight="1"/>
    <row r="6579" ht="14.25" customHeight="1"/>
    <row r="6580" ht="14.25" customHeight="1"/>
    <row r="6581" ht="14.25" customHeight="1"/>
    <row r="6582" ht="14.25" customHeight="1"/>
    <row r="6583" ht="14.25" customHeight="1"/>
    <row r="6584" ht="14.25" customHeight="1"/>
    <row r="6585" ht="14.25" customHeight="1"/>
    <row r="6586" ht="14.25" customHeight="1"/>
    <row r="6587" ht="14.25" customHeight="1"/>
    <row r="6588" ht="14.25" customHeight="1"/>
    <row r="6589" ht="14.25" customHeight="1"/>
    <row r="6590" ht="14.25" customHeight="1"/>
    <row r="6591" ht="14.25" customHeight="1"/>
    <row r="6592" ht="14.25" customHeight="1"/>
    <row r="6593" ht="14.25" customHeight="1"/>
    <row r="6594" ht="14.25" customHeight="1"/>
    <row r="6595" ht="14.25" customHeight="1"/>
    <row r="6596" ht="14.25" customHeight="1"/>
    <row r="6597" ht="14.25" customHeight="1"/>
    <row r="6598" ht="14.25" customHeight="1"/>
    <row r="6599" ht="14.25" customHeight="1"/>
    <row r="6600" ht="14.25" customHeight="1"/>
    <row r="6601" ht="14.25" customHeight="1"/>
    <row r="6602" ht="14.25" customHeight="1"/>
    <row r="6603" ht="14.25" customHeight="1"/>
    <row r="6604" ht="14.25" customHeight="1"/>
    <row r="6605" ht="14.25" customHeight="1"/>
    <row r="6606" ht="14.25" customHeight="1"/>
    <row r="6607" ht="14.25" customHeight="1"/>
    <row r="6608" ht="14.25" customHeight="1"/>
    <row r="6609" ht="14.25" customHeight="1"/>
    <row r="6610" ht="14.25" customHeight="1"/>
    <row r="6611" ht="14.25" customHeight="1"/>
    <row r="6612" ht="14.25" customHeight="1"/>
    <row r="6613" ht="14.25" customHeight="1"/>
    <row r="6614" ht="14.25" customHeight="1"/>
    <row r="6615" ht="14.25" customHeight="1"/>
    <row r="6616" ht="14.25" customHeight="1"/>
    <row r="6617" ht="14.25" customHeight="1"/>
    <row r="6618" ht="14.25" customHeight="1"/>
    <row r="6619" ht="14.25" customHeight="1"/>
    <row r="6620" ht="14.25" customHeight="1"/>
    <row r="6621" ht="14.25" customHeight="1"/>
    <row r="6622" ht="14.25" customHeight="1"/>
    <row r="6623" ht="14.25" customHeight="1"/>
    <row r="6624" ht="14.25" customHeight="1"/>
    <row r="6625" ht="14.25" customHeight="1"/>
    <row r="6626" ht="14.25" customHeight="1"/>
    <row r="6627" ht="14.25" customHeight="1"/>
    <row r="6628" ht="14.25" customHeight="1"/>
    <row r="6629" ht="14.25" customHeight="1"/>
    <row r="6630" ht="14.25" customHeight="1"/>
    <row r="6631" ht="14.25" customHeight="1"/>
    <row r="6632" ht="14.25" customHeight="1"/>
    <row r="6633" ht="14.25" customHeight="1"/>
    <row r="6634" ht="14.25" customHeight="1"/>
    <row r="6635" ht="14.25" customHeight="1"/>
    <row r="6636" ht="14.25" customHeight="1"/>
    <row r="6637" ht="14.25" customHeight="1"/>
    <row r="6638" ht="14.25" customHeight="1"/>
    <row r="6639" ht="14.25" customHeight="1"/>
    <row r="6640" ht="14.25" customHeight="1"/>
    <row r="6641" ht="14.25" customHeight="1"/>
    <row r="6642" ht="14.25" customHeight="1"/>
    <row r="6643" ht="14.25" customHeight="1"/>
    <row r="6644" ht="14.25" customHeight="1"/>
    <row r="6645" ht="14.25" customHeight="1"/>
    <row r="6646" ht="14.25" customHeight="1"/>
    <row r="6647" ht="14.25" customHeight="1"/>
    <row r="6648" ht="14.25" customHeight="1"/>
    <row r="6649" ht="14.25" customHeight="1"/>
    <row r="6650" ht="14.25" customHeight="1"/>
    <row r="6651" ht="14.25" customHeight="1"/>
    <row r="6652" ht="14.25" customHeight="1"/>
    <row r="6653" ht="14.25" customHeight="1"/>
    <row r="6654" ht="14.25" customHeight="1"/>
    <row r="6655" ht="14.25" customHeight="1"/>
    <row r="6656" ht="14.25" customHeight="1"/>
    <row r="6657" ht="14.25" customHeight="1"/>
    <row r="6658" ht="14.25" customHeight="1"/>
    <row r="6659" ht="14.25" customHeight="1"/>
    <row r="6660" ht="14.25" customHeight="1"/>
    <row r="6661" ht="14.25" customHeight="1"/>
    <row r="6662" ht="14.25" customHeight="1"/>
    <row r="6663" ht="14.25" customHeight="1"/>
    <row r="6664" ht="14.25" customHeight="1"/>
    <row r="6665" ht="14.25" customHeight="1"/>
    <row r="6666" ht="14.25" customHeight="1"/>
    <row r="6667" ht="14.25" customHeight="1"/>
    <row r="6668" ht="14.25" customHeight="1"/>
    <row r="6669" ht="14.25" customHeight="1"/>
    <row r="6670" ht="14.25" customHeight="1"/>
    <row r="6671" ht="14.25" customHeight="1"/>
    <row r="6672" ht="14.25" customHeight="1"/>
    <row r="6673" ht="14.25" customHeight="1"/>
    <row r="6674" ht="14.25" customHeight="1"/>
    <row r="6675" ht="14.25" customHeight="1"/>
    <row r="6676" ht="14.25" customHeight="1"/>
    <row r="6677" ht="14.25" customHeight="1"/>
    <row r="6678" ht="14.25" customHeight="1"/>
    <row r="6679" ht="14.25" customHeight="1"/>
    <row r="6680" ht="14.25" customHeight="1"/>
    <row r="6681" ht="14.25" customHeight="1"/>
    <row r="6682" ht="14.25" customHeight="1"/>
    <row r="6683" ht="14.25" customHeight="1"/>
    <row r="6684" ht="14.25" customHeight="1"/>
    <row r="6685" ht="14.25" customHeight="1"/>
    <row r="6686" ht="14.25" customHeight="1"/>
    <row r="6687" ht="14.25" customHeight="1"/>
    <row r="6688" ht="14.25" customHeight="1"/>
    <row r="6689" ht="14.25" customHeight="1"/>
    <row r="6690" ht="14.25" customHeight="1"/>
    <row r="6691" ht="14.25" customHeight="1"/>
    <row r="6692" ht="14.25" customHeight="1"/>
    <row r="6693" ht="14.25" customHeight="1"/>
    <row r="6694" ht="14.25" customHeight="1"/>
    <row r="6695" ht="14.25" customHeight="1"/>
    <row r="6696" ht="14.25" customHeight="1"/>
    <row r="6697" ht="14.25" customHeight="1"/>
    <row r="6698" ht="14.25" customHeight="1"/>
    <row r="6699" ht="14.25" customHeight="1"/>
    <row r="6700" ht="14.25" customHeight="1"/>
    <row r="6701" ht="14.25" customHeight="1"/>
    <row r="6702" ht="14.25" customHeight="1"/>
    <row r="6703" ht="14.25" customHeight="1"/>
    <row r="6704" ht="14.25" customHeight="1"/>
    <row r="6705" ht="14.25" customHeight="1"/>
    <row r="6706" ht="14.25" customHeight="1"/>
    <row r="6707" ht="14.25" customHeight="1"/>
    <row r="6708" ht="14.25" customHeight="1"/>
    <row r="6709" ht="14.25" customHeight="1"/>
    <row r="6710" ht="14.25" customHeight="1"/>
    <row r="6711" ht="14.25" customHeight="1"/>
    <row r="6712" ht="14.25" customHeight="1"/>
    <row r="6713" ht="14.25" customHeight="1"/>
    <row r="6714" ht="14.25" customHeight="1"/>
    <row r="6715" ht="14.25" customHeight="1"/>
    <row r="6716" ht="14.25" customHeight="1"/>
    <row r="6717" ht="14.25" customHeight="1"/>
    <row r="6718" ht="14.25" customHeight="1"/>
    <row r="6719" ht="14.25" customHeight="1"/>
    <row r="6720" ht="14.25" customHeight="1"/>
    <row r="6721" ht="14.25" customHeight="1"/>
    <row r="6722" ht="14.25" customHeight="1"/>
    <row r="6723" ht="14.25" customHeight="1"/>
    <row r="6724" ht="14.25" customHeight="1"/>
    <row r="6725" ht="14.25" customHeight="1"/>
    <row r="6726" ht="14.25" customHeight="1"/>
    <row r="6727" ht="14.25" customHeight="1"/>
    <row r="6728" ht="14.25" customHeight="1"/>
    <row r="6729" ht="14.25" customHeight="1"/>
    <row r="6730" ht="14.25" customHeight="1"/>
    <row r="6731" ht="14.25" customHeight="1"/>
    <row r="6732" ht="14.25" customHeight="1"/>
    <row r="6733" ht="14.25" customHeight="1"/>
    <row r="6734" ht="14.25" customHeight="1"/>
    <row r="6735" ht="14.25" customHeight="1"/>
    <row r="6736" ht="14.25" customHeight="1"/>
    <row r="6737" ht="14.25" customHeight="1"/>
    <row r="6738" ht="14.25" customHeight="1"/>
    <row r="6739" ht="14.25" customHeight="1"/>
    <row r="6740" ht="14.25" customHeight="1"/>
    <row r="6741" ht="14.25" customHeight="1"/>
    <row r="6742" ht="14.25" customHeight="1"/>
    <row r="6743" ht="14.25" customHeight="1"/>
    <row r="6744" ht="14.25" customHeight="1"/>
    <row r="6745" ht="14.25" customHeight="1"/>
    <row r="6746" ht="14.25" customHeight="1"/>
    <row r="6747" ht="14.25" customHeight="1"/>
    <row r="6748" ht="14.25" customHeight="1"/>
    <row r="6749" ht="14.25" customHeight="1"/>
    <row r="6750" ht="14.25" customHeight="1"/>
    <row r="6751" ht="14.25" customHeight="1"/>
    <row r="6752" ht="14.25" customHeight="1"/>
    <row r="6753" ht="14.25" customHeight="1"/>
    <row r="6754" ht="14.25" customHeight="1"/>
    <row r="6755" ht="14.25" customHeight="1"/>
    <row r="6756" ht="14.25" customHeight="1"/>
    <row r="6757" ht="14.25" customHeight="1"/>
    <row r="6758" ht="14.25" customHeight="1"/>
    <row r="6759" ht="14.25" customHeight="1"/>
    <row r="6760" ht="14.25" customHeight="1"/>
    <row r="6761" ht="14.25" customHeight="1"/>
    <row r="6762" ht="14.25" customHeight="1"/>
    <row r="6763" ht="14.25" customHeight="1"/>
    <row r="6764" ht="14.25" customHeight="1"/>
    <row r="6765" ht="14.25" customHeight="1"/>
    <row r="6766" ht="14.25" customHeight="1"/>
    <row r="6767" ht="14.25" customHeight="1"/>
    <row r="6768" ht="14.25" customHeight="1"/>
    <row r="6769" ht="14.25" customHeight="1"/>
    <row r="6770" ht="14.25" customHeight="1"/>
    <row r="6771" ht="14.25" customHeight="1"/>
    <row r="6772" ht="14.25" customHeight="1"/>
    <row r="6773" ht="14.25" customHeight="1"/>
    <row r="6774" ht="14.25" customHeight="1"/>
    <row r="6775" ht="14.25" customHeight="1"/>
    <row r="6776" ht="14.25" customHeight="1"/>
    <row r="6777" ht="14.25" customHeight="1"/>
    <row r="6778" ht="14.25" customHeight="1"/>
    <row r="6779" ht="14.25" customHeight="1"/>
    <row r="6780" ht="14.25" customHeight="1"/>
    <row r="6781" ht="14.25" customHeight="1"/>
    <row r="6782" ht="14.25" customHeight="1"/>
    <row r="6783" ht="14.25" customHeight="1"/>
    <row r="6784" ht="14.25" customHeight="1"/>
    <row r="6785" ht="14.25" customHeight="1"/>
    <row r="6786" ht="14.25" customHeight="1"/>
    <row r="6787" ht="14.25" customHeight="1"/>
    <row r="6788" ht="14.25" customHeight="1"/>
    <row r="6789" ht="14.25" customHeight="1"/>
    <row r="6790" ht="14.25" customHeight="1"/>
    <row r="6791" ht="14.25" customHeight="1"/>
    <row r="6792" ht="14.25" customHeight="1"/>
    <row r="6793" ht="14.25" customHeight="1"/>
    <row r="6794" ht="14.25" customHeight="1"/>
    <row r="6795" ht="14.25" customHeight="1"/>
    <row r="6796" ht="14.25" customHeight="1"/>
    <row r="6797" ht="14.25" customHeight="1"/>
    <row r="6798" ht="14.25" customHeight="1"/>
    <row r="6799" ht="14.25" customHeight="1"/>
    <row r="6800" ht="14.25" customHeight="1"/>
    <row r="6801" ht="14.25" customHeight="1"/>
    <row r="6802" ht="14.25" customHeight="1"/>
    <row r="6803" ht="14.25" customHeight="1"/>
    <row r="6804" ht="14.25" customHeight="1"/>
    <row r="6805" ht="14.25" customHeight="1"/>
    <row r="6806" ht="14.25" customHeight="1"/>
    <row r="6807" ht="14.25" customHeight="1"/>
    <row r="6808" ht="14.25" customHeight="1"/>
    <row r="6809" ht="14.25" customHeight="1"/>
    <row r="6810" ht="14.25" customHeight="1"/>
    <row r="6811" ht="14.25" customHeight="1"/>
    <row r="6812" ht="14.25" customHeight="1"/>
    <row r="6813" ht="14.25" customHeight="1"/>
    <row r="6814" ht="14.25" customHeight="1"/>
    <row r="6815" ht="14.25" customHeight="1"/>
    <row r="6816" ht="14.25" customHeight="1"/>
    <row r="6817" ht="14.25" customHeight="1"/>
    <row r="6818" ht="14.25" customHeight="1"/>
    <row r="6819" ht="14.25" customHeight="1"/>
    <row r="6820" ht="14.25" customHeight="1"/>
    <row r="6821" ht="14.25" customHeight="1"/>
    <row r="6822" ht="14.25" customHeight="1"/>
    <row r="6823" ht="14.25" customHeight="1"/>
    <row r="6824" ht="14.25" customHeight="1"/>
    <row r="6825" ht="14.25" customHeight="1"/>
    <row r="6826" ht="14.25" customHeight="1"/>
    <row r="6827" ht="14.25" customHeight="1"/>
    <row r="6828" ht="14.25" customHeight="1"/>
    <row r="6829" ht="14.25" customHeight="1"/>
    <row r="6830" ht="14.25" customHeight="1"/>
    <row r="6831" ht="14.25" customHeight="1"/>
    <row r="6832" ht="14.25" customHeight="1"/>
    <row r="6833" ht="14.25" customHeight="1"/>
    <row r="6834" ht="14.25" customHeight="1"/>
    <row r="6835" ht="14.25" customHeight="1"/>
    <row r="6836" ht="14.25" customHeight="1"/>
    <row r="6837" ht="14.25" customHeight="1"/>
    <row r="6838" ht="14.25" customHeight="1"/>
    <row r="6839" ht="14.25" customHeight="1"/>
    <row r="6840" ht="14.25" customHeight="1"/>
    <row r="6841" ht="14.25" customHeight="1"/>
    <row r="6842" ht="14.25" customHeight="1"/>
    <row r="6843" ht="14.25" customHeight="1"/>
    <row r="6844" ht="14.25" customHeight="1"/>
    <row r="6845" ht="14.25" customHeight="1"/>
    <row r="6846" ht="14.25" customHeight="1"/>
    <row r="6847" ht="14.25" customHeight="1"/>
    <row r="6848" ht="14.25" customHeight="1"/>
    <row r="6849" ht="14.25" customHeight="1"/>
    <row r="6850" ht="14.25" customHeight="1"/>
    <row r="6851" ht="14.25" customHeight="1"/>
    <row r="6852" ht="14.25" customHeight="1"/>
    <row r="6853" ht="14.25" customHeight="1"/>
    <row r="6854" ht="14.25" customHeight="1"/>
    <row r="6855" ht="14.25" customHeight="1"/>
    <row r="6856" ht="14.25" customHeight="1"/>
    <row r="6857" ht="14.25" customHeight="1"/>
    <row r="6858" ht="14.25" customHeight="1"/>
    <row r="6859" ht="14.25" customHeight="1"/>
    <row r="6860" ht="14.25" customHeight="1"/>
    <row r="6861" ht="14.25" customHeight="1"/>
    <row r="6862" ht="14.25" customHeight="1"/>
    <row r="6863" ht="14.25" customHeight="1"/>
    <row r="6864" ht="14.25" customHeight="1"/>
    <row r="6865" ht="14.25" customHeight="1"/>
    <row r="6866" ht="14.25" customHeight="1"/>
    <row r="6867" ht="14.25" customHeight="1"/>
    <row r="6868" ht="14.25" customHeight="1"/>
    <row r="6869" ht="14.25" customHeight="1"/>
    <row r="6870" ht="14.25" customHeight="1"/>
    <row r="6871" ht="14.25" customHeight="1"/>
    <row r="6872" ht="14.25" customHeight="1"/>
    <row r="6873" ht="14.25" customHeight="1"/>
    <row r="6874" ht="14.25" customHeight="1"/>
    <row r="6875" ht="14.25" customHeight="1"/>
    <row r="6876" ht="14.25" customHeight="1"/>
    <row r="6877" ht="14.25" customHeight="1"/>
    <row r="6878" ht="14.25" customHeight="1"/>
    <row r="6879" ht="14.25" customHeight="1"/>
    <row r="6880" ht="14.25" customHeight="1"/>
    <row r="6881" ht="14.25" customHeight="1"/>
    <row r="6882" ht="14.25" customHeight="1"/>
    <row r="6883" ht="14.25" customHeight="1"/>
    <row r="6884" ht="14.25" customHeight="1"/>
    <row r="6885" ht="14.25" customHeight="1"/>
    <row r="6886" ht="14.25" customHeight="1"/>
    <row r="6887" ht="14.25" customHeight="1"/>
    <row r="6888" ht="14.25" customHeight="1"/>
    <row r="6889" ht="14.25" customHeight="1"/>
    <row r="6890" ht="14.25" customHeight="1"/>
    <row r="6891" ht="14.25" customHeight="1"/>
    <row r="6892" ht="14.25" customHeight="1"/>
    <row r="6893" ht="14.25" customHeight="1"/>
    <row r="6894" ht="14.25" customHeight="1"/>
    <row r="6895" ht="14.25" customHeight="1"/>
    <row r="6896" ht="14.25" customHeight="1"/>
    <row r="6897" ht="14.25" customHeight="1"/>
    <row r="6898" ht="14.25" customHeight="1"/>
    <row r="6899" ht="14.25" customHeight="1"/>
    <row r="6900" ht="14.25" customHeight="1"/>
    <row r="6901" ht="14.25" customHeight="1"/>
    <row r="6902" ht="14.25" customHeight="1"/>
    <row r="6903" ht="14.25" customHeight="1"/>
    <row r="6904" ht="14.25" customHeight="1"/>
    <row r="6905" ht="14.25" customHeight="1"/>
    <row r="6906" ht="14.25" customHeight="1"/>
    <row r="6907" ht="14.25" customHeight="1"/>
    <row r="6908" ht="14.25" customHeight="1"/>
    <row r="6909" ht="14.25" customHeight="1"/>
    <row r="6910" ht="14.25" customHeight="1"/>
    <row r="6911" ht="14.25" customHeight="1"/>
    <row r="6912" ht="14.25" customHeight="1"/>
    <row r="6913" ht="14.25" customHeight="1"/>
    <row r="6914" ht="14.25" customHeight="1"/>
    <row r="6915" ht="14.25" customHeight="1"/>
    <row r="6916" ht="14.25" customHeight="1"/>
    <row r="6917" ht="14.25" customHeight="1"/>
    <row r="6918" ht="14.25" customHeight="1"/>
    <row r="6919" ht="14.25" customHeight="1"/>
    <row r="6920" ht="14.25" customHeight="1"/>
    <row r="6921" ht="14.25" customHeight="1"/>
    <row r="6922" ht="14.25" customHeight="1"/>
    <row r="6923" ht="14.25" customHeight="1"/>
    <row r="6924" ht="14.25" customHeight="1"/>
    <row r="6925" ht="14.25" customHeight="1"/>
    <row r="6926" ht="14.25" customHeight="1"/>
    <row r="6927" ht="14.25" customHeight="1"/>
    <row r="6928" ht="14.25" customHeight="1"/>
    <row r="6929" ht="14.25" customHeight="1"/>
    <row r="6930" ht="14.25" customHeight="1"/>
    <row r="6931" ht="14.25" customHeight="1"/>
    <row r="6932" ht="14.25" customHeight="1"/>
    <row r="6933" ht="14.25" customHeight="1"/>
    <row r="6934" ht="14.25" customHeight="1"/>
    <row r="6935" ht="14.25" customHeight="1"/>
    <row r="6936" ht="14.25" customHeight="1"/>
    <row r="6937" ht="14.25" customHeight="1"/>
    <row r="6938" ht="14.25" customHeight="1"/>
    <row r="6939" ht="14.25" customHeight="1"/>
    <row r="6940" ht="14.25" customHeight="1"/>
    <row r="6941" ht="14.25" customHeight="1"/>
    <row r="6942" ht="14.25" customHeight="1"/>
    <row r="6943" ht="14.25" customHeight="1"/>
    <row r="6944" ht="14.25" customHeight="1"/>
    <row r="6945" ht="14.25" customHeight="1"/>
    <row r="6946" ht="14.25" customHeight="1"/>
    <row r="6947" ht="14.25" customHeight="1"/>
    <row r="6948" ht="14.25" customHeight="1"/>
    <row r="6949" ht="14.25" customHeight="1"/>
    <row r="6950" ht="14.25" customHeight="1"/>
    <row r="6951" ht="14.25" customHeight="1"/>
    <row r="6952" ht="14.25" customHeight="1"/>
    <row r="6953" ht="14.25" customHeight="1"/>
    <row r="6954" ht="14.25" customHeight="1"/>
    <row r="6955" ht="14.25" customHeight="1"/>
    <row r="6956" ht="14.25" customHeight="1"/>
    <row r="6957" ht="14.25" customHeight="1"/>
    <row r="6958" ht="14.25" customHeight="1"/>
    <row r="6959" ht="14.25" customHeight="1"/>
    <row r="6960" ht="14.25" customHeight="1"/>
    <row r="6961" ht="14.25" customHeight="1"/>
    <row r="6962" ht="14.25" customHeight="1"/>
    <row r="6963" ht="14.25" customHeight="1"/>
    <row r="6964" ht="14.25" customHeight="1"/>
    <row r="6965" ht="14.25" customHeight="1"/>
    <row r="6966" ht="14.25" customHeight="1"/>
    <row r="6967" ht="14.25" customHeight="1"/>
    <row r="6968" ht="14.25" customHeight="1"/>
    <row r="6969" ht="14.25" customHeight="1"/>
    <row r="6970" ht="14.25" customHeight="1"/>
    <row r="6971" ht="14.25" customHeight="1"/>
    <row r="6972" ht="14.25" customHeight="1"/>
    <row r="6973" ht="14.25" customHeight="1"/>
    <row r="6974" ht="14.25" customHeight="1"/>
    <row r="6975" ht="14.25" customHeight="1"/>
    <row r="6976" ht="14.25" customHeight="1"/>
    <row r="6977" ht="14.25" customHeight="1"/>
    <row r="6978" ht="14.25" customHeight="1"/>
    <row r="6979" ht="14.25" customHeight="1"/>
    <row r="6980" ht="14.25" customHeight="1"/>
    <row r="6981" ht="14.25" customHeight="1"/>
    <row r="6982" ht="14.25" customHeight="1"/>
    <row r="6983" ht="14.25" customHeight="1"/>
    <row r="6984" ht="14.25" customHeight="1"/>
    <row r="6985" ht="14.25" customHeight="1"/>
    <row r="6986" ht="14.25" customHeight="1"/>
    <row r="6987" ht="14.25" customHeight="1"/>
    <row r="6988" ht="14.25" customHeight="1"/>
    <row r="6989" ht="14.25" customHeight="1"/>
    <row r="6990" ht="14.25" customHeight="1"/>
    <row r="6991" ht="14.25" customHeight="1"/>
    <row r="6992" ht="14.25" customHeight="1"/>
    <row r="6993" ht="14.25" customHeight="1"/>
    <row r="6994" ht="14.25" customHeight="1"/>
    <row r="6995" ht="14.25" customHeight="1"/>
    <row r="6996" ht="14.25" customHeight="1"/>
    <row r="6997" ht="14.25" customHeight="1"/>
    <row r="6998" ht="14.25" customHeight="1"/>
    <row r="6999" ht="14.25" customHeight="1"/>
    <row r="7000" ht="14.25" customHeight="1"/>
    <row r="7001" ht="14.25" customHeight="1"/>
    <row r="7002" ht="14.25" customHeight="1"/>
    <row r="7003" ht="14.25" customHeight="1"/>
    <row r="7004" ht="14.25" customHeight="1"/>
    <row r="7005" ht="14.25" customHeight="1"/>
    <row r="7006" ht="14.25" customHeight="1"/>
    <row r="7007" ht="14.25" customHeight="1"/>
    <row r="7008" ht="14.25" customHeight="1"/>
    <row r="7009" ht="14.25" customHeight="1"/>
    <row r="7010" ht="14.25" customHeight="1"/>
    <row r="7011" ht="14.25" customHeight="1"/>
    <row r="7012" ht="14.25" customHeight="1"/>
    <row r="7013" ht="14.25" customHeight="1"/>
    <row r="7014" ht="14.25" customHeight="1"/>
    <row r="7015" ht="14.25" customHeight="1"/>
    <row r="7016" ht="14.25" customHeight="1"/>
    <row r="7017" ht="14.25" customHeight="1"/>
    <row r="7018" ht="14.25" customHeight="1"/>
    <row r="7019" ht="14.25" customHeight="1"/>
    <row r="7020" ht="14.25" customHeight="1"/>
    <row r="7021" ht="14.25" customHeight="1"/>
    <row r="7022" ht="14.25" customHeight="1"/>
    <row r="7023" ht="14.25" customHeight="1"/>
    <row r="7024" ht="14.25" customHeight="1"/>
    <row r="7025" ht="14.25" customHeight="1"/>
    <row r="7026" ht="14.25" customHeight="1"/>
    <row r="7027" ht="14.25" customHeight="1"/>
    <row r="7028" ht="14.25" customHeight="1"/>
    <row r="7029" ht="14.25" customHeight="1"/>
    <row r="7030" ht="14.25" customHeight="1"/>
    <row r="7031" ht="14.25" customHeight="1"/>
    <row r="7032" ht="14.25" customHeight="1"/>
    <row r="7033" ht="14.25" customHeight="1"/>
    <row r="7034" ht="14.25" customHeight="1"/>
    <row r="7035" ht="14.25" customHeight="1"/>
    <row r="7036" ht="14.25" customHeight="1"/>
    <row r="7037" ht="14.25" customHeight="1"/>
    <row r="7038" ht="14.25" customHeight="1"/>
    <row r="7039" ht="14.25" customHeight="1"/>
    <row r="7040" ht="14.25" customHeight="1"/>
    <row r="7041" ht="14.25" customHeight="1"/>
    <row r="7042" ht="14.25" customHeight="1"/>
    <row r="7043" ht="14.25" customHeight="1"/>
    <row r="7044" ht="14.25" customHeight="1"/>
    <row r="7045" ht="14.25" customHeight="1"/>
    <row r="7046" ht="14.25" customHeight="1"/>
    <row r="7047" ht="14.25" customHeight="1"/>
    <row r="7048" ht="14.25" customHeight="1"/>
    <row r="7049" ht="14.25" customHeight="1"/>
    <row r="7050" ht="14.25" customHeight="1"/>
    <row r="7051" ht="14.25" customHeight="1"/>
    <row r="7052" ht="14.25" customHeight="1"/>
    <row r="7053" ht="14.25" customHeight="1"/>
    <row r="7054" ht="14.25" customHeight="1"/>
    <row r="7055" ht="14.25" customHeight="1"/>
    <row r="7056" ht="14.25" customHeight="1"/>
    <row r="7057" ht="14.25" customHeight="1"/>
    <row r="7058" ht="14.25" customHeight="1"/>
    <row r="7059" ht="14.25" customHeight="1"/>
    <row r="7060" ht="14.25" customHeight="1"/>
    <row r="7061" ht="14.25" customHeight="1"/>
    <row r="7062" ht="14.25" customHeight="1"/>
    <row r="7063" ht="14.25" customHeight="1"/>
    <row r="7064" ht="14.25" customHeight="1"/>
    <row r="7065" ht="14.25" customHeight="1"/>
    <row r="7066" ht="14.25" customHeight="1"/>
    <row r="7067" ht="14.25" customHeight="1"/>
    <row r="7068" ht="14.25" customHeight="1"/>
    <row r="7069" ht="14.25" customHeight="1"/>
    <row r="7070" ht="14.25" customHeight="1"/>
    <row r="7071" ht="14.25" customHeight="1"/>
    <row r="7072" ht="14.25" customHeight="1"/>
    <row r="7073" ht="14.25" customHeight="1"/>
    <row r="7074" ht="14.25" customHeight="1"/>
    <row r="7075" ht="14.25" customHeight="1"/>
    <row r="7076" ht="14.25" customHeight="1"/>
    <row r="7077" ht="14.25" customHeight="1"/>
    <row r="7078" ht="14.25" customHeight="1"/>
    <row r="7079" ht="14.25" customHeight="1"/>
    <row r="7080" ht="14.25" customHeight="1"/>
    <row r="7081" ht="14.25" customHeight="1"/>
    <row r="7082" ht="14.25" customHeight="1"/>
    <row r="7083" ht="14.25" customHeight="1"/>
    <row r="7084" ht="14.25" customHeight="1"/>
    <row r="7085" ht="14.25" customHeight="1"/>
    <row r="7086" ht="14.25" customHeight="1"/>
    <row r="7087" ht="14.25" customHeight="1"/>
    <row r="7088" ht="14.25" customHeight="1"/>
    <row r="7089" ht="14.25" customHeight="1"/>
    <row r="7090" ht="14.25" customHeight="1"/>
    <row r="7091" ht="14.25" customHeight="1"/>
    <row r="7092" ht="14.25" customHeight="1"/>
    <row r="7093" ht="14.25" customHeight="1"/>
    <row r="7094" ht="14.25" customHeight="1"/>
    <row r="7095" ht="14.25" customHeight="1"/>
    <row r="7096" ht="14.25" customHeight="1"/>
    <row r="7097" ht="14.25" customHeight="1"/>
    <row r="7098" ht="14.25" customHeight="1"/>
    <row r="7099" ht="14.25" customHeight="1"/>
    <row r="7100" ht="14.25" customHeight="1"/>
    <row r="7101" ht="14.25" customHeight="1"/>
    <row r="7102" ht="14.25" customHeight="1"/>
    <row r="7103" ht="14.25" customHeight="1"/>
    <row r="7104" ht="14.25" customHeight="1"/>
    <row r="7105" ht="14.25" customHeight="1"/>
    <row r="7106" ht="14.25" customHeight="1"/>
    <row r="7107" ht="14.25" customHeight="1"/>
    <row r="7108" ht="14.25" customHeight="1"/>
    <row r="7109" ht="14.25" customHeight="1"/>
    <row r="7110" ht="14.25" customHeight="1"/>
    <row r="7111" ht="14.25" customHeight="1"/>
    <row r="7112" ht="14.25" customHeight="1"/>
    <row r="7113" ht="14.25" customHeight="1"/>
    <row r="7114" ht="14.25" customHeight="1"/>
    <row r="7115" ht="14.25" customHeight="1"/>
    <row r="7116" ht="14.25" customHeight="1"/>
    <row r="7117" ht="14.25" customHeight="1"/>
    <row r="7118" ht="14.25" customHeight="1"/>
    <row r="7119" ht="14.25" customHeight="1"/>
    <row r="7120" ht="14.25" customHeight="1"/>
    <row r="7121" ht="14.25" customHeight="1"/>
    <row r="7122" ht="14.25" customHeight="1"/>
    <row r="7123" ht="14.25" customHeight="1"/>
    <row r="7124" ht="14.25" customHeight="1"/>
    <row r="7125" ht="14.25" customHeight="1"/>
    <row r="7126" ht="14.25" customHeight="1"/>
    <row r="7127" ht="14.25" customHeight="1"/>
    <row r="7128" ht="14.25" customHeight="1"/>
    <row r="7129" ht="14.25" customHeight="1"/>
    <row r="7130" ht="14.25" customHeight="1"/>
    <row r="7131" ht="14.25" customHeight="1"/>
    <row r="7132" ht="14.25" customHeight="1"/>
    <row r="7133" ht="14.25" customHeight="1"/>
    <row r="7134" ht="14.25" customHeight="1"/>
    <row r="7135" ht="14.25" customHeight="1"/>
    <row r="7136" ht="14.25" customHeight="1"/>
    <row r="7137" ht="14.25" customHeight="1"/>
    <row r="7138" ht="14.25" customHeight="1"/>
    <row r="7139" ht="14.25" customHeight="1"/>
    <row r="7140" ht="14.25" customHeight="1"/>
    <row r="7141" ht="14.25" customHeight="1"/>
    <row r="7142" ht="14.25" customHeight="1"/>
    <row r="7143" ht="14.25" customHeight="1"/>
    <row r="7144" ht="14.25" customHeight="1"/>
    <row r="7145" ht="14.25" customHeight="1"/>
    <row r="7146" ht="14.25" customHeight="1"/>
    <row r="7147" ht="14.25" customHeight="1"/>
    <row r="7148" ht="14.25" customHeight="1"/>
    <row r="7149" ht="14.25" customHeight="1"/>
    <row r="7150" ht="14.25" customHeight="1"/>
    <row r="7151" ht="14.25" customHeight="1"/>
    <row r="7152" ht="14.25" customHeight="1"/>
    <row r="7153" ht="14.25" customHeight="1"/>
    <row r="7154" ht="14.25" customHeight="1"/>
    <row r="7155" ht="14.25" customHeight="1"/>
    <row r="7156" ht="14.25" customHeight="1"/>
    <row r="7157" ht="14.25" customHeight="1"/>
    <row r="7158" ht="14.25" customHeight="1"/>
    <row r="7159" ht="14.25" customHeight="1"/>
    <row r="7160" ht="14.25" customHeight="1"/>
    <row r="7161" ht="14.25" customHeight="1"/>
    <row r="7162" ht="14.25" customHeight="1"/>
    <row r="7163" ht="14.25" customHeight="1"/>
    <row r="7164" ht="14.25" customHeight="1"/>
    <row r="7165" ht="14.25" customHeight="1"/>
    <row r="7166" ht="14.25" customHeight="1"/>
    <row r="7167" ht="14.25" customHeight="1"/>
    <row r="7168" ht="14.25" customHeight="1"/>
    <row r="7169" ht="14.25" customHeight="1"/>
    <row r="7170" ht="14.25" customHeight="1"/>
    <row r="7171" ht="14.25" customHeight="1"/>
    <row r="7172" ht="14.25" customHeight="1"/>
    <row r="7173" ht="14.25" customHeight="1"/>
    <row r="7174" ht="14.25" customHeight="1"/>
    <row r="7175" ht="14.25" customHeight="1"/>
    <row r="7176" ht="14.25" customHeight="1"/>
    <row r="7177" ht="14.25" customHeight="1"/>
    <row r="7178" ht="14.25" customHeight="1"/>
    <row r="7179" ht="14.25" customHeight="1"/>
    <row r="7180" ht="14.25" customHeight="1"/>
    <row r="7181" ht="14.25" customHeight="1"/>
    <row r="7182" ht="14.25" customHeight="1"/>
    <row r="7183" ht="14.25" customHeight="1"/>
    <row r="7184" ht="14.25" customHeight="1"/>
    <row r="7185" ht="14.25" customHeight="1"/>
    <row r="7186" ht="14.25" customHeight="1"/>
    <row r="7187" ht="14.25" customHeight="1"/>
    <row r="7188" ht="14.25" customHeight="1"/>
    <row r="7189" ht="14.25" customHeight="1"/>
    <row r="7190" ht="14.25" customHeight="1"/>
    <row r="7191" ht="14.25" customHeight="1"/>
    <row r="7192" ht="14.25" customHeight="1"/>
    <row r="7193" ht="14.25" customHeight="1"/>
    <row r="7194" ht="14.25" customHeight="1"/>
    <row r="7195" ht="14.25" customHeight="1"/>
    <row r="7196" ht="14.25" customHeight="1"/>
    <row r="7197" ht="14.25" customHeight="1"/>
    <row r="7198" ht="14.25" customHeight="1"/>
    <row r="7199" ht="14.25" customHeight="1"/>
    <row r="7200" ht="14.25" customHeight="1"/>
    <row r="7201" ht="14.25" customHeight="1"/>
    <row r="7202" ht="14.25" customHeight="1"/>
    <row r="7203" ht="14.25" customHeight="1"/>
    <row r="7204" ht="14.25" customHeight="1"/>
    <row r="7205" ht="14.25" customHeight="1"/>
    <row r="7206" ht="14.25" customHeight="1"/>
    <row r="7207" ht="14.25" customHeight="1"/>
    <row r="7208" ht="14.25" customHeight="1"/>
    <row r="7209" ht="14.25" customHeight="1"/>
    <row r="7210" ht="14.25" customHeight="1"/>
    <row r="7211" ht="14.25" customHeight="1"/>
    <row r="7212" ht="14.25" customHeight="1"/>
    <row r="7213" ht="14.25" customHeight="1"/>
    <row r="7214" ht="14.25" customHeight="1"/>
    <row r="7215" ht="14.25" customHeight="1"/>
    <row r="7216" ht="14.25" customHeight="1"/>
    <row r="7217" ht="14.25" customHeight="1"/>
    <row r="7218" ht="14.25" customHeight="1"/>
    <row r="7219" ht="14.25" customHeight="1"/>
    <row r="7220" ht="14.25" customHeight="1"/>
    <row r="7221" ht="14.25" customHeight="1"/>
    <row r="7222" ht="14.25" customHeight="1"/>
    <row r="7223" ht="14.25" customHeight="1"/>
    <row r="7224" ht="14.25" customHeight="1"/>
    <row r="7225" ht="14.25" customHeight="1"/>
    <row r="7226" ht="14.25" customHeight="1"/>
    <row r="7227" ht="14.25" customHeight="1"/>
    <row r="7228" ht="14.25" customHeight="1"/>
    <row r="7229" ht="14.25" customHeight="1"/>
    <row r="7230" ht="14.25" customHeight="1"/>
    <row r="7231" ht="14.25" customHeight="1"/>
    <row r="7232" ht="14.25" customHeight="1"/>
    <row r="7233" ht="14.25" customHeight="1"/>
    <row r="7234" ht="14.25" customHeight="1"/>
    <row r="7235" ht="14.25" customHeight="1"/>
    <row r="7236" ht="14.25" customHeight="1"/>
    <row r="7237" ht="14.25" customHeight="1"/>
    <row r="7238" ht="14.25" customHeight="1"/>
    <row r="7239" ht="14.25" customHeight="1"/>
    <row r="7240" ht="14.25" customHeight="1"/>
    <row r="7241" ht="14.25" customHeight="1"/>
    <row r="7242" ht="14.25" customHeight="1"/>
    <row r="7243" ht="14.25" customHeight="1"/>
    <row r="7244" ht="14.25" customHeight="1"/>
    <row r="7245" ht="14.25" customHeight="1"/>
    <row r="7246" ht="14.25" customHeight="1"/>
    <row r="7247" ht="14.25" customHeight="1"/>
    <row r="7248" ht="14.25" customHeight="1"/>
    <row r="7249" ht="14.25" customHeight="1"/>
    <row r="7250" ht="14.25" customHeight="1"/>
    <row r="7251" ht="14.25" customHeight="1"/>
    <row r="7252" ht="14.25" customHeight="1"/>
    <row r="7253" ht="14.25" customHeight="1"/>
    <row r="7254" ht="14.25" customHeight="1"/>
    <row r="7255" ht="14.25" customHeight="1"/>
    <row r="7256" ht="14.25" customHeight="1"/>
    <row r="7257" ht="14.25" customHeight="1"/>
    <row r="7258" ht="14.25" customHeight="1"/>
    <row r="7259" ht="14.25" customHeight="1"/>
    <row r="7260" ht="14.25" customHeight="1"/>
    <row r="7261" ht="14.25" customHeight="1"/>
    <row r="7262" ht="14.25" customHeight="1"/>
    <row r="7263" ht="14.25" customHeight="1"/>
    <row r="7264" ht="14.25" customHeight="1"/>
    <row r="7265" ht="14.25" customHeight="1"/>
    <row r="7266" ht="14.25" customHeight="1"/>
    <row r="7267" ht="14.25" customHeight="1"/>
    <row r="7268" ht="14.25" customHeight="1"/>
    <row r="7269" ht="14.25" customHeight="1"/>
    <row r="7270" ht="14.25" customHeight="1"/>
    <row r="7271" ht="14.25" customHeight="1"/>
    <row r="7272" ht="14.25" customHeight="1"/>
    <row r="7273" ht="14.25" customHeight="1"/>
    <row r="7274" ht="14.25" customHeight="1"/>
    <row r="7275" ht="14.25" customHeight="1"/>
    <row r="7276" ht="14.25" customHeight="1"/>
    <row r="7277" ht="14.25" customHeight="1"/>
    <row r="7278" ht="14.25" customHeight="1"/>
    <row r="7279" ht="14.25" customHeight="1"/>
    <row r="7280" ht="14.25" customHeight="1"/>
    <row r="7281" ht="14.25" customHeight="1"/>
    <row r="7282" ht="14.25" customHeight="1"/>
    <row r="7283" ht="14.25" customHeight="1"/>
    <row r="7284" ht="14.25" customHeight="1"/>
    <row r="7285" ht="14.25" customHeight="1"/>
    <row r="7286" ht="14.25" customHeight="1"/>
    <row r="7287" ht="14.25" customHeight="1"/>
    <row r="7288" ht="14.25" customHeight="1"/>
    <row r="7289" ht="14.25" customHeight="1"/>
    <row r="7290" ht="14.25" customHeight="1"/>
    <row r="7291" ht="14.25" customHeight="1"/>
    <row r="7292" ht="14.25" customHeight="1"/>
    <row r="7293" ht="14.25" customHeight="1"/>
    <row r="7294" ht="14.25" customHeight="1"/>
    <row r="7295" ht="14.25" customHeight="1"/>
    <row r="7296" ht="14.25" customHeight="1"/>
    <row r="7297" ht="14.25" customHeight="1"/>
    <row r="7298" ht="14.25" customHeight="1"/>
    <row r="7299" ht="14.25" customHeight="1"/>
    <row r="7300" ht="14.25" customHeight="1"/>
    <row r="7301" ht="14.25" customHeight="1"/>
    <row r="7302" ht="14.25" customHeight="1"/>
    <row r="7303" ht="14.25" customHeight="1"/>
    <row r="7304" ht="14.25" customHeight="1"/>
    <row r="7305" ht="14.25" customHeight="1"/>
    <row r="7306" ht="14.25" customHeight="1"/>
    <row r="7307" ht="14.25" customHeight="1"/>
    <row r="7308" ht="14.25" customHeight="1"/>
    <row r="7309" ht="14.25" customHeight="1"/>
    <row r="7310" ht="14.25" customHeight="1"/>
    <row r="7311" ht="14.25" customHeight="1"/>
    <row r="7312" ht="14.25" customHeight="1"/>
    <row r="7313" ht="14.25" customHeight="1"/>
    <row r="7314" ht="14.25" customHeight="1"/>
    <row r="7315" ht="14.25" customHeight="1"/>
    <row r="7316" ht="14.25" customHeight="1"/>
    <row r="7317" ht="14.25" customHeight="1"/>
    <row r="7318" ht="14.25" customHeight="1"/>
    <row r="7319" ht="14.25" customHeight="1"/>
    <row r="7320" ht="14.25" customHeight="1"/>
    <row r="7321" ht="14.25" customHeight="1"/>
    <row r="7322" ht="14.25" customHeight="1"/>
    <row r="7323" ht="14.25" customHeight="1"/>
    <row r="7324" ht="14.25" customHeight="1"/>
    <row r="7325" ht="14.25" customHeight="1"/>
    <row r="7326" ht="14.25" customHeight="1"/>
    <row r="7327" ht="14.25" customHeight="1"/>
    <row r="7328" ht="14.25" customHeight="1"/>
    <row r="7329" ht="14.25" customHeight="1"/>
    <row r="7330" ht="14.25" customHeight="1"/>
    <row r="7331" ht="14.25" customHeight="1"/>
    <row r="7332" ht="14.25" customHeight="1"/>
    <row r="7333" ht="14.25" customHeight="1"/>
    <row r="7334" ht="14.25" customHeight="1"/>
    <row r="7335" ht="14.25" customHeight="1"/>
    <row r="7336" ht="14.25" customHeight="1"/>
    <row r="7337" ht="14.25" customHeight="1"/>
    <row r="7338" ht="14.25" customHeight="1"/>
    <row r="7339" ht="14.25" customHeight="1"/>
    <row r="7340" ht="14.25" customHeight="1"/>
    <row r="7341" ht="14.25" customHeight="1"/>
    <row r="7342" ht="14.25" customHeight="1"/>
    <row r="7343" ht="14.25" customHeight="1"/>
    <row r="7344" ht="14.25" customHeight="1"/>
    <row r="7345" ht="14.25" customHeight="1"/>
    <row r="7346" ht="14.25" customHeight="1"/>
    <row r="7347" ht="14.25" customHeight="1"/>
    <row r="7348" ht="14.25" customHeight="1"/>
    <row r="7349" ht="14.25" customHeight="1"/>
    <row r="7350" ht="14.25" customHeight="1"/>
    <row r="7351" ht="14.25" customHeight="1"/>
    <row r="7352" ht="14.25" customHeight="1"/>
    <row r="7353" ht="14.25" customHeight="1"/>
    <row r="7354" ht="14.25" customHeight="1"/>
    <row r="7355" ht="14.25" customHeight="1"/>
    <row r="7356" ht="14.25" customHeight="1"/>
    <row r="7357" ht="14.25" customHeight="1"/>
    <row r="7358" ht="14.25" customHeight="1"/>
    <row r="7359" ht="14.25" customHeight="1"/>
    <row r="7360" ht="14.25" customHeight="1"/>
    <row r="7361" ht="14.25" customHeight="1"/>
    <row r="7362" ht="14.25" customHeight="1"/>
    <row r="7363" ht="14.25" customHeight="1"/>
    <row r="7364" ht="14.25" customHeight="1"/>
    <row r="7365" ht="14.25" customHeight="1"/>
    <row r="7366" ht="14.25" customHeight="1"/>
    <row r="7367" ht="14.25" customHeight="1"/>
    <row r="7368" ht="14.25" customHeight="1"/>
    <row r="7369" ht="14.25" customHeight="1"/>
    <row r="7370" ht="14.25" customHeight="1"/>
    <row r="7371" ht="14.25" customHeight="1"/>
    <row r="7372" ht="14.25" customHeight="1"/>
    <row r="7373" ht="14.25" customHeight="1"/>
    <row r="7374" ht="14.25" customHeight="1"/>
    <row r="7375" ht="14.25" customHeight="1"/>
    <row r="7376" ht="14.25" customHeight="1"/>
    <row r="7377" ht="14.25" customHeight="1"/>
    <row r="7378" ht="14.25" customHeight="1"/>
    <row r="7379" ht="14.25" customHeight="1"/>
    <row r="7380" ht="14.25" customHeight="1"/>
    <row r="7381" ht="14.25" customHeight="1"/>
    <row r="7382" ht="14.25" customHeight="1"/>
    <row r="7383" ht="14.25" customHeight="1"/>
    <row r="7384" ht="14.25" customHeight="1"/>
    <row r="7385" ht="14.25" customHeight="1"/>
    <row r="7386" ht="14.25" customHeight="1"/>
    <row r="7387" ht="14.25" customHeight="1"/>
    <row r="7388" ht="14.25" customHeight="1"/>
    <row r="7389" ht="14.25" customHeight="1"/>
    <row r="7390" ht="14.25" customHeight="1"/>
    <row r="7391" ht="14.25" customHeight="1"/>
    <row r="7392" ht="14.25" customHeight="1"/>
    <row r="7393" ht="14.25" customHeight="1"/>
    <row r="7394" ht="14.25" customHeight="1"/>
    <row r="7395" ht="14.25" customHeight="1"/>
    <row r="7396" ht="14.25" customHeight="1"/>
    <row r="7397" ht="14.25" customHeight="1"/>
    <row r="7398" ht="14.25" customHeight="1"/>
    <row r="7399" ht="14.25" customHeight="1"/>
    <row r="7400" ht="14.25" customHeight="1"/>
    <row r="7401" ht="14.25" customHeight="1"/>
    <row r="7402" ht="14.25" customHeight="1"/>
    <row r="7403" ht="14.25" customHeight="1"/>
    <row r="7404" ht="14.25" customHeight="1"/>
    <row r="7405" ht="14.25" customHeight="1"/>
    <row r="7406" ht="14.25" customHeight="1"/>
    <row r="7407" ht="14.25" customHeight="1"/>
    <row r="7408" ht="14.25" customHeight="1"/>
    <row r="7409" ht="14.25" customHeight="1"/>
    <row r="7410" ht="14.25" customHeight="1"/>
    <row r="7411" ht="14.25" customHeight="1"/>
    <row r="7412" ht="14.25" customHeight="1"/>
    <row r="7413" ht="14.25" customHeight="1"/>
    <row r="7414" ht="14.25" customHeight="1"/>
    <row r="7415" ht="14.25" customHeight="1"/>
    <row r="7416" ht="14.25" customHeight="1"/>
    <row r="7417" ht="14.25" customHeight="1"/>
    <row r="7418" ht="14.25" customHeight="1"/>
    <row r="7419" ht="14.25" customHeight="1"/>
    <row r="7420" ht="14.25" customHeight="1"/>
    <row r="7421" ht="14.25" customHeight="1"/>
    <row r="7422" ht="14.25" customHeight="1"/>
    <row r="7423" ht="14.25" customHeight="1"/>
    <row r="7424" ht="14.25" customHeight="1"/>
    <row r="7425" ht="14.25" customHeight="1"/>
    <row r="7426" ht="14.25" customHeight="1"/>
    <row r="7427" ht="14.25" customHeight="1"/>
    <row r="7428" ht="14.25" customHeight="1"/>
    <row r="7429" ht="14.25" customHeight="1"/>
    <row r="7430" ht="14.25" customHeight="1"/>
    <row r="7431" ht="14.25" customHeight="1"/>
    <row r="7432" ht="14.25" customHeight="1"/>
    <row r="7433" ht="14.25" customHeight="1"/>
    <row r="7434" ht="14.25" customHeight="1"/>
    <row r="7435" ht="14.25" customHeight="1"/>
    <row r="7436" ht="14.25" customHeight="1"/>
    <row r="7437" ht="14.25" customHeight="1"/>
    <row r="7438" ht="14.25" customHeight="1"/>
    <row r="7439" ht="14.25" customHeight="1"/>
    <row r="7440" ht="14.25" customHeight="1"/>
    <row r="7441" ht="14.25" customHeight="1"/>
    <row r="7442" ht="14.25" customHeight="1"/>
    <row r="7443" ht="14.25" customHeight="1"/>
    <row r="7444" ht="14.25" customHeight="1"/>
    <row r="7445" ht="14.25" customHeight="1"/>
    <row r="7446" ht="14.25" customHeight="1"/>
    <row r="7447" ht="14.25" customHeight="1"/>
    <row r="7448" ht="14.25" customHeight="1"/>
    <row r="7449" ht="14.25" customHeight="1"/>
    <row r="7450" ht="14.25" customHeight="1"/>
    <row r="7451" ht="14.25" customHeight="1"/>
    <row r="7452" ht="14.25" customHeight="1"/>
    <row r="7453" ht="14.25" customHeight="1"/>
    <row r="7454" ht="14.25" customHeight="1"/>
    <row r="7455" ht="14.25" customHeight="1"/>
    <row r="7456" ht="14.25" customHeight="1"/>
    <row r="7457" ht="14.25" customHeight="1"/>
    <row r="7458" ht="14.25" customHeight="1"/>
    <row r="7459" ht="14.25" customHeight="1"/>
    <row r="7460" ht="14.25" customHeight="1"/>
    <row r="7461" ht="14.25" customHeight="1"/>
    <row r="7462" ht="14.25" customHeight="1"/>
    <row r="7463" ht="14.25" customHeight="1"/>
    <row r="7464" ht="14.25" customHeight="1"/>
    <row r="7465" ht="14.25" customHeight="1"/>
    <row r="7466" ht="14.25" customHeight="1"/>
    <row r="7467" ht="14.25" customHeight="1"/>
    <row r="7468" ht="14.25" customHeight="1"/>
    <row r="7469" ht="14.25" customHeight="1"/>
    <row r="7470" ht="14.25" customHeight="1"/>
    <row r="7471" ht="14.25" customHeight="1"/>
    <row r="7472" ht="14.25" customHeight="1"/>
    <row r="7473" ht="14.25" customHeight="1"/>
    <row r="7474" ht="14.25" customHeight="1"/>
    <row r="7475" ht="14.25" customHeight="1"/>
    <row r="7476" ht="14.25" customHeight="1"/>
    <row r="7477" ht="14.25" customHeight="1"/>
    <row r="7478" ht="14.25" customHeight="1"/>
    <row r="7479" ht="14.25" customHeight="1"/>
    <row r="7480" ht="14.25" customHeight="1"/>
    <row r="7481" ht="14.25" customHeight="1"/>
    <row r="7482" ht="14.25" customHeight="1"/>
    <row r="7483" ht="14.25" customHeight="1"/>
    <row r="7484" ht="14.25" customHeight="1"/>
    <row r="7485" ht="14.25" customHeight="1"/>
    <row r="7486" ht="14.25" customHeight="1"/>
    <row r="7487" ht="14.25" customHeight="1"/>
    <row r="7488" ht="14.25" customHeight="1"/>
    <row r="7489" ht="14.25" customHeight="1"/>
    <row r="7490" ht="14.25" customHeight="1"/>
    <row r="7491" ht="14.25" customHeight="1"/>
    <row r="7492" ht="14.25" customHeight="1"/>
    <row r="7493" ht="14.25" customHeight="1"/>
    <row r="7494" ht="14.25" customHeight="1"/>
    <row r="7495" ht="14.25" customHeight="1"/>
    <row r="7496" ht="14.25" customHeight="1"/>
    <row r="7497" ht="14.25" customHeight="1"/>
    <row r="7498" ht="14.25" customHeight="1"/>
    <row r="7499" ht="14.25" customHeight="1"/>
    <row r="7500" ht="14.25" customHeight="1"/>
    <row r="7501" ht="14.25" customHeight="1"/>
    <row r="7502" ht="14.25" customHeight="1"/>
    <row r="7503" ht="14.25" customHeight="1"/>
    <row r="7504" ht="14.25" customHeight="1"/>
    <row r="7505" ht="14.25" customHeight="1"/>
    <row r="7506" ht="14.25" customHeight="1"/>
    <row r="7507" ht="14.25" customHeight="1"/>
    <row r="7508" ht="14.25" customHeight="1"/>
    <row r="7509" ht="14.25" customHeight="1"/>
    <row r="7510" ht="14.25" customHeight="1"/>
    <row r="7511" ht="14.25" customHeight="1"/>
    <row r="7512" ht="14.25" customHeight="1"/>
    <row r="7513" ht="14.25" customHeight="1"/>
    <row r="7514" ht="14.25" customHeight="1"/>
    <row r="7515" ht="14.25" customHeight="1"/>
    <row r="7516" ht="14.25" customHeight="1"/>
    <row r="7517" ht="14.25" customHeight="1"/>
    <row r="7518" ht="14.25" customHeight="1"/>
    <row r="7519" ht="14.25" customHeight="1"/>
    <row r="7520" ht="14.25" customHeight="1"/>
    <row r="7521" ht="14.25" customHeight="1"/>
    <row r="7522" ht="14.25" customHeight="1"/>
    <row r="7523" ht="14.25" customHeight="1"/>
    <row r="7524" ht="14.25" customHeight="1"/>
    <row r="7525" ht="14.25" customHeight="1"/>
    <row r="7526" ht="14.25" customHeight="1"/>
    <row r="7527" ht="14.25" customHeight="1"/>
    <row r="7528" ht="14.25" customHeight="1"/>
    <row r="7529" ht="14.25" customHeight="1"/>
    <row r="7530" ht="14.25" customHeight="1"/>
    <row r="7531" ht="14.25" customHeight="1"/>
    <row r="7532" ht="14.25" customHeight="1"/>
    <row r="7533" ht="14.25" customHeight="1"/>
    <row r="7534" ht="14.25" customHeight="1"/>
    <row r="7535" ht="14.25" customHeight="1"/>
    <row r="7536" ht="14.25" customHeight="1"/>
    <row r="7537" ht="14.25" customHeight="1"/>
    <row r="7538" ht="14.25" customHeight="1"/>
    <row r="7539" ht="14.25" customHeight="1"/>
    <row r="7540" ht="14.25" customHeight="1"/>
    <row r="7541" ht="14.25" customHeight="1"/>
    <row r="7542" ht="14.25" customHeight="1"/>
    <row r="7543" ht="14.25" customHeight="1"/>
    <row r="7544" ht="14.25" customHeight="1"/>
    <row r="7545" ht="14.25" customHeight="1"/>
    <row r="7546" ht="14.25" customHeight="1"/>
    <row r="7547" ht="14.25" customHeight="1"/>
    <row r="7548" ht="14.25" customHeight="1"/>
    <row r="7549" ht="14.25" customHeight="1"/>
    <row r="7550" ht="14.25" customHeight="1"/>
    <row r="7551" ht="14.25" customHeight="1"/>
    <row r="7552" ht="14.25" customHeight="1"/>
    <row r="7553" ht="14.25" customHeight="1"/>
    <row r="7554" ht="14.25" customHeight="1"/>
    <row r="7555" ht="14.25" customHeight="1"/>
    <row r="7556" ht="14.25" customHeight="1"/>
    <row r="7557" ht="14.25" customHeight="1"/>
    <row r="7558" ht="14.25" customHeight="1"/>
    <row r="7559" ht="14.25" customHeight="1"/>
    <row r="7560" ht="14.25" customHeight="1"/>
    <row r="7561" ht="14.25" customHeight="1"/>
    <row r="7562" ht="14.25" customHeight="1"/>
    <row r="7563" ht="14.25" customHeight="1"/>
    <row r="7564" ht="14.25" customHeight="1"/>
    <row r="7565" ht="14.25" customHeight="1"/>
    <row r="7566" ht="14.25" customHeight="1"/>
    <row r="7567" ht="14.25" customHeight="1"/>
    <row r="7568" ht="14.25" customHeight="1"/>
    <row r="7569" ht="14.25" customHeight="1"/>
    <row r="7570" ht="14.25" customHeight="1"/>
    <row r="7571" ht="14.25" customHeight="1"/>
    <row r="7572" ht="14.25" customHeight="1"/>
    <row r="7573" ht="14.25" customHeight="1"/>
    <row r="7574" ht="14.25" customHeight="1"/>
    <row r="7575" ht="14.25" customHeight="1"/>
    <row r="7576" ht="14.25" customHeight="1"/>
    <row r="7577" ht="14.25" customHeight="1"/>
    <row r="7578" ht="14.25" customHeight="1"/>
    <row r="7579" ht="14.25" customHeight="1"/>
    <row r="7580" ht="14.25" customHeight="1"/>
    <row r="7581" ht="14.25" customHeight="1"/>
    <row r="7582" ht="14.25" customHeight="1"/>
    <row r="7583" ht="14.25" customHeight="1"/>
    <row r="7584" ht="14.25" customHeight="1"/>
    <row r="7585" ht="14.25" customHeight="1"/>
    <row r="7586" ht="14.25" customHeight="1"/>
    <row r="7587" ht="14.25" customHeight="1"/>
    <row r="7588" ht="14.25" customHeight="1"/>
    <row r="7589" ht="14.25" customHeight="1"/>
    <row r="7590" ht="14.25" customHeight="1"/>
    <row r="7591" ht="14.25" customHeight="1"/>
    <row r="7592" ht="14.25" customHeight="1"/>
    <row r="7593" ht="14.25" customHeight="1"/>
    <row r="7594" ht="14.25" customHeight="1"/>
    <row r="7595" ht="14.25" customHeight="1"/>
    <row r="7596" ht="14.25" customHeight="1"/>
    <row r="7597" ht="14.25" customHeight="1"/>
    <row r="7598" ht="14.25" customHeight="1"/>
    <row r="7599" ht="14.25" customHeight="1"/>
    <row r="7600" ht="14.25" customHeight="1"/>
    <row r="7601" ht="14.25" customHeight="1"/>
    <row r="7602" ht="14.25" customHeight="1"/>
    <row r="7603" ht="14.25" customHeight="1"/>
    <row r="7604" ht="14.25" customHeight="1"/>
    <row r="7605" ht="14.25" customHeight="1"/>
    <row r="7606" ht="14.25" customHeight="1"/>
    <row r="7607" ht="14.25" customHeight="1"/>
    <row r="7608" ht="14.25" customHeight="1"/>
    <row r="7609" ht="14.25" customHeight="1"/>
    <row r="7610" ht="14.25" customHeight="1"/>
    <row r="7611" ht="14.25" customHeight="1"/>
    <row r="7612" ht="14.25" customHeight="1"/>
    <row r="7613" ht="14.25" customHeight="1"/>
    <row r="7614" ht="14.25" customHeight="1"/>
    <row r="7615" ht="14.25" customHeight="1"/>
    <row r="7616" ht="14.25" customHeight="1"/>
    <row r="7617" ht="14.25" customHeight="1"/>
    <row r="7618" ht="14.25" customHeight="1"/>
    <row r="7619" ht="14.25" customHeight="1"/>
    <row r="7620" ht="14.25" customHeight="1"/>
    <row r="7621" ht="14.25" customHeight="1"/>
    <row r="7622" ht="14.25" customHeight="1"/>
    <row r="7623" ht="14.25" customHeight="1"/>
    <row r="7624" ht="14.25" customHeight="1"/>
    <row r="7625" ht="14.25" customHeight="1"/>
    <row r="7626" ht="14.25" customHeight="1"/>
    <row r="7627" ht="14.25" customHeight="1"/>
    <row r="7628" ht="14.25" customHeight="1"/>
    <row r="7629" ht="14.25" customHeight="1"/>
    <row r="7630" ht="14.25" customHeight="1"/>
    <row r="7631" ht="14.25" customHeight="1"/>
    <row r="7632" ht="14.25" customHeight="1"/>
    <row r="7633" ht="14.25" customHeight="1"/>
    <row r="7634" ht="14.25" customHeight="1"/>
    <row r="7635" ht="14.25" customHeight="1"/>
    <row r="7636" ht="14.25" customHeight="1"/>
    <row r="7637" ht="14.25" customHeight="1"/>
    <row r="7638" ht="14.25" customHeight="1"/>
    <row r="7639" ht="14.25" customHeight="1"/>
    <row r="7640" ht="14.25" customHeight="1"/>
    <row r="7641" ht="14.25" customHeight="1"/>
    <row r="7642" ht="14.25" customHeight="1"/>
    <row r="7643" ht="14.25" customHeight="1"/>
    <row r="7644" ht="14.25" customHeight="1"/>
    <row r="7645" ht="14.25" customHeight="1"/>
    <row r="7646" ht="14.25" customHeight="1"/>
    <row r="7647" ht="14.25" customHeight="1"/>
    <row r="7648" ht="14.25" customHeight="1"/>
    <row r="7649" ht="14.25" customHeight="1"/>
    <row r="7650" ht="14.25" customHeight="1"/>
    <row r="7651" ht="14.25" customHeight="1"/>
    <row r="7652" ht="14.25" customHeight="1"/>
    <row r="7653" ht="14.25" customHeight="1"/>
    <row r="7654" ht="14.25" customHeight="1"/>
    <row r="7655" ht="14.25" customHeight="1"/>
    <row r="7656" ht="14.25" customHeight="1"/>
    <row r="7657" ht="14.25" customHeight="1"/>
    <row r="7658" ht="14.25" customHeight="1"/>
    <row r="7659" ht="14.25" customHeight="1"/>
    <row r="7660" ht="14.25" customHeight="1"/>
    <row r="7661" ht="14.25" customHeight="1"/>
    <row r="7662" ht="14.25" customHeight="1"/>
    <row r="7663" ht="14.25" customHeight="1"/>
    <row r="7664" ht="14.25" customHeight="1"/>
    <row r="7665" ht="14.25" customHeight="1"/>
    <row r="7666" ht="14.25" customHeight="1"/>
    <row r="7667" ht="14.25" customHeight="1"/>
    <row r="7668" ht="14.25" customHeight="1"/>
    <row r="7669" ht="14.25" customHeight="1"/>
    <row r="7670" ht="14.25" customHeight="1"/>
    <row r="7671" ht="14.25" customHeight="1"/>
    <row r="7672" ht="14.25" customHeight="1"/>
    <row r="7673" ht="14.25" customHeight="1"/>
    <row r="7674" ht="14.25" customHeight="1"/>
    <row r="7675" ht="14.25" customHeight="1"/>
    <row r="7676" ht="14.25" customHeight="1"/>
    <row r="7677" ht="14.25" customHeight="1"/>
    <row r="7678" ht="14.25" customHeight="1"/>
    <row r="7679" ht="14.25" customHeight="1"/>
    <row r="7680" ht="14.25" customHeight="1"/>
    <row r="7681" ht="14.25" customHeight="1"/>
    <row r="7682" ht="14.25" customHeight="1"/>
    <row r="7683" ht="14.25" customHeight="1"/>
    <row r="7684" ht="14.25" customHeight="1"/>
    <row r="7685" ht="14.25" customHeight="1"/>
    <row r="7686" ht="14.25" customHeight="1"/>
    <row r="7687" ht="14.25" customHeight="1"/>
    <row r="7688" ht="14.25" customHeight="1"/>
    <row r="7689" ht="14.25" customHeight="1"/>
    <row r="7690" ht="14.25" customHeight="1"/>
    <row r="7691" ht="14.25" customHeight="1"/>
    <row r="7692" ht="14.25" customHeight="1"/>
    <row r="7693" ht="14.25" customHeight="1"/>
    <row r="7694" ht="14.25" customHeight="1"/>
    <row r="7695" ht="14.25" customHeight="1"/>
    <row r="7696" ht="14.25" customHeight="1"/>
    <row r="7697" ht="14.25" customHeight="1"/>
    <row r="7698" ht="14.25" customHeight="1"/>
    <row r="7699" ht="14.25" customHeight="1"/>
    <row r="7700" ht="14.25" customHeight="1"/>
    <row r="7701" ht="14.25" customHeight="1"/>
    <row r="7702" ht="14.25" customHeight="1"/>
    <row r="7703" ht="14.25" customHeight="1"/>
    <row r="7704" ht="14.25" customHeight="1"/>
    <row r="7705" ht="14.25" customHeight="1"/>
    <row r="7706" ht="14.25" customHeight="1"/>
    <row r="7707" ht="14.25" customHeight="1"/>
    <row r="7708" ht="14.25" customHeight="1"/>
    <row r="7709" ht="14.25" customHeight="1"/>
    <row r="7710" ht="14.25" customHeight="1"/>
    <row r="7711" ht="14.25" customHeight="1"/>
    <row r="7712" ht="14.25" customHeight="1"/>
    <row r="7713" ht="14.25" customHeight="1"/>
    <row r="7714" ht="14.25" customHeight="1"/>
    <row r="7715" ht="14.25" customHeight="1"/>
    <row r="7716" ht="14.25" customHeight="1"/>
    <row r="7717" ht="14.25" customHeight="1"/>
    <row r="7718" ht="14.25" customHeight="1"/>
    <row r="7719" ht="14.25" customHeight="1"/>
    <row r="7720" ht="14.25" customHeight="1"/>
    <row r="7721" ht="14.25" customHeight="1"/>
    <row r="7722" ht="14.25" customHeight="1"/>
    <row r="7723" ht="14.25" customHeight="1"/>
    <row r="7724" ht="14.25" customHeight="1"/>
    <row r="7725" ht="14.25" customHeight="1"/>
    <row r="7726" ht="14.25" customHeight="1"/>
    <row r="7727" ht="14.25" customHeight="1"/>
    <row r="7728" ht="14.25" customHeight="1"/>
    <row r="7729" ht="14.25" customHeight="1"/>
    <row r="7730" ht="14.25" customHeight="1"/>
    <row r="7731" ht="14.25" customHeight="1"/>
    <row r="7732" ht="14.25" customHeight="1"/>
    <row r="7733" ht="14.25" customHeight="1"/>
    <row r="7734" ht="14.25" customHeight="1"/>
    <row r="7735" ht="14.25" customHeight="1"/>
    <row r="7736" ht="14.25" customHeight="1"/>
    <row r="7737" ht="14.25" customHeight="1"/>
    <row r="7738" ht="14.25" customHeight="1"/>
    <row r="7739" ht="14.25" customHeight="1"/>
    <row r="7740" ht="14.25" customHeight="1"/>
    <row r="7741" ht="14.25" customHeight="1"/>
    <row r="7742" ht="14.25" customHeight="1"/>
    <row r="7743" ht="14.25" customHeight="1"/>
    <row r="7744" ht="14.25" customHeight="1"/>
    <row r="7745" ht="14.25" customHeight="1"/>
    <row r="7746" ht="14.25" customHeight="1"/>
    <row r="7747" ht="14.25" customHeight="1"/>
    <row r="7748" ht="14.25" customHeight="1"/>
    <row r="7749" ht="14.25" customHeight="1"/>
    <row r="7750" ht="14.25" customHeight="1"/>
    <row r="7751" ht="14.25" customHeight="1"/>
    <row r="7752" ht="14.25" customHeight="1"/>
    <row r="7753" ht="14.25" customHeight="1"/>
    <row r="7754" ht="14.25" customHeight="1"/>
    <row r="7755" ht="14.25" customHeight="1"/>
    <row r="7756" ht="14.25" customHeight="1"/>
    <row r="7757" ht="14.25" customHeight="1"/>
    <row r="7758" ht="14.25" customHeight="1"/>
    <row r="7759" ht="14.25" customHeight="1"/>
    <row r="7760" ht="14.25" customHeight="1"/>
    <row r="7761" ht="14.25" customHeight="1"/>
    <row r="7762" ht="14.25" customHeight="1"/>
    <row r="7763" ht="14.25" customHeight="1"/>
    <row r="7764" ht="14.25" customHeight="1"/>
    <row r="7765" ht="14.25" customHeight="1"/>
    <row r="7766" ht="14.25" customHeight="1"/>
    <row r="7767" ht="14.25" customHeight="1"/>
    <row r="7768" ht="14.25" customHeight="1"/>
    <row r="7769" ht="14.25" customHeight="1"/>
    <row r="7770" ht="14.25" customHeight="1"/>
    <row r="7771" ht="14.25" customHeight="1"/>
    <row r="7772" ht="14.25" customHeight="1"/>
    <row r="7773" ht="14.25" customHeight="1"/>
    <row r="7774" ht="14.25" customHeight="1"/>
    <row r="7775" ht="14.25" customHeight="1"/>
    <row r="7776" ht="14.25" customHeight="1"/>
    <row r="7777" ht="14.25" customHeight="1"/>
    <row r="7778" ht="14.25" customHeight="1"/>
    <row r="7779" ht="14.25" customHeight="1"/>
    <row r="7780" ht="14.25" customHeight="1"/>
    <row r="7781" ht="14.25" customHeight="1"/>
    <row r="7782" ht="14.25" customHeight="1"/>
    <row r="7783" ht="14.25" customHeight="1"/>
    <row r="7784" ht="14.25" customHeight="1"/>
    <row r="7785" ht="14.25" customHeight="1"/>
    <row r="7786" ht="14.25" customHeight="1"/>
    <row r="7787" ht="14.25" customHeight="1"/>
    <row r="7788" ht="14.25" customHeight="1"/>
    <row r="7789" ht="14.25" customHeight="1"/>
    <row r="7790" ht="14.25" customHeight="1"/>
    <row r="7791" ht="14.25" customHeight="1"/>
    <row r="7792" ht="14.25" customHeight="1"/>
    <row r="7793" ht="14.25" customHeight="1"/>
    <row r="7794" ht="14.25" customHeight="1"/>
    <row r="7795" ht="14.25" customHeight="1"/>
    <row r="7796" ht="14.25" customHeight="1"/>
    <row r="7797" ht="14.25" customHeight="1"/>
    <row r="7798" ht="14.25" customHeight="1"/>
    <row r="7799" ht="14.25" customHeight="1"/>
    <row r="7800" ht="14.25" customHeight="1"/>
    <row r="7801" ht="14.25" customHeight="1"/>
    <row r="7802" ht="14.25" customHeight="1"/>
    <row r="7803" ht="14.25" customHeight="1"/>
    <row r="7804" ht="14.25" customHeight="1"/>
    <row r="7805" ht="14.25" customHeight="1"/>
    <row r="7806" ht="14.25" customHeight="1"/>
    <row r="7807" ht="14.25" customHeight="1"/>
    <row r="7808" ht="14.25" customHeight="1"/>
    <row r="7809" ht="14.25" customHeight="1"/>
    <row r="7810" ht="14.25" customHeight="1"/>
    <row r="7811" ht="14.25" customHeight="1"/>
    <row r="7812" ht="14.25" customHeight="1"/>
    <row r="7813" ht="14.25" customHeight="1"/>
    <row r="7814" ht="14.25" customHeight="1"/>
    <row r="7815" ht="14.25" customHeight="1"/>
    <row r="7816" ht="14.25" customHeight="1"/>
    <row r="7817" ht="14.25" customHeight="1"/>
    <row r="7818" ht="14.25" customHeight="1"/>
    <row r="7819" ht="14.25" customHeight="1"/>
    <row r="7820" ht="14.25" customHeight="1"/>
    <row r="7821" ht="14.25" customHeight="1"/>
    <row r="7822" ht="14.25" customHeight="1"/>
    <row r="7823" ht="14.25" customHeight="1"/>
    <row r="7824" ht="14.25" customHeight="1"/>
    <row r="7825" ht="14.25" customHeight="1"/>
    <row r="7826" ht="14.25" customHeight="1"/>
    <row r="7827" ht="14.25" customHeight="1"/>
    <row r="7828" ht="14.25" customHeight="1"/>
    <row r="7829" ht="14.25" customHeight="1"/>
    <row r="7830" ht="14.25" customHeight="1"/>
    <row r="7831" ht="14.25" customHeight="1"/>
    <row r="7832" ht="14.25" customHeight="1"/>
    <row r="7833" ht="14.25" customHeight="1"/>
    <row r="7834" ht="14.25" customHeight="1"/>
    <row r="7835" ht="14.25" customHeight="1"/>
    <row r="7836" ht="14.25" customHeight="1"/>
    <row r="7837" ht="14.25" customHeight="1"/>
    <row r="7838" ht="14.25" customHeight="1"/>
    <row r="7839" ht="14.25" customHeight="1"/>
    <row r="7840" ht="14.25" customHeight="1"/>
    <row r="7841" ht="14.25" customHeight="1"/>
    <row r="7842" ht="14.25" customHeight="1"/>
    <row r="7843" ht="14.25" customHeight="1"/>
    <row r="7844" ht="14.25" customHeight="1"/>
    <row r="7845" ht="14.25" customHeight="1"/>
    <row r="7846" ht="14.25" customHeight="1"/>
    <row r="7847" ht="14.25" customHeight="1"/>
    <row r="7848" ht="14.25" customHeight="1"/>
    <row r="7849" ht="14.25" customHeight="1"/>
    <row r="7850" ht="14.25" customHeight="1"/>
    <row r="7851" ht="14.25" customHeight="1"/>
    <row r="7852" ht="14.25" customHeight="1"/>
    <row r="7853" ht="14.25" customHeight="1"/>
    <row r="7854" ht="14.25" customHeight="1"/>
    <row r="7855" ht="14.25" customHeight="1"/>
    <row r="7856" ht="14.25" customHeight="1"/>
    <row r="7857" ht="14.25" customHeight="1"/>
    <row r="7858" ht="14.25" customHeight="1"/>
    <row r="7859" ht="14.25" customHeight="1"/>
    <row r="7860" ht="14.25" customHeight="1"/>
    <row r="7861" ht="14.25" customHeight="1"/>
    <row r="7862" ht="14.25" customHeight="1"/>
    <row r="7863" ht="14.25" customHeight="1"/>
    <row r="7864" ht="14.25" customHeight="1"/>
    <row r="7865" ht="14.25" customHeight="1"/>
    <row r="7866" ht="14.25" customHeight="1"/>
    <row r="7867" ht="14.25" customHeight="1"/>
    <row r="7868" ht="14.25" customHeight="1"/>
    <row r="7869" ht="14.25" customHeight="1"/>
    <row r="7870" ht="14.25" customHeight="1"/>
    <row r="7871" ht="14.25" customHeight="1"/>
    <row r="7872" ht="14.25" customHeight="1"/>
    <row r="7873" ht="14.25" customHeight="1"/>
    <row r="7874" ht="14.25" customHeight="1"/>
    <row r="7875" ht="14.25" customHeight="1"/>
    <row r="7876" ht="14.25" customHeight="1"/>
    <row r="7877" ht="14.25" customHeight="1"/>
    <row r="7878" ht="14.25" customHeight="1"/>
    <row r="7879" ht="14.25" customHeight="1"/>
    <row r="7880" ht="14.25" customHeight="1"/>
    <row r="7881" ht="14.25" customHeight="1"/>
    <row r="7882" ht="14.25" customHeight="1"/>
    <row r="7883" ht="14.25" customHeight="1"/>
    <row r="7884" ht="14.25" customHeight="1"/>
    <row r="7885" ht="14.25" customHeight="1"/>
    <row r="7886" ht="14.25" customHeight="1"/>
    <row r="7887" ht="14.25" customHeight="1"/>
    <row r="7888" ht="14.25" customHeight="1"/>
    <row r="7889" ht="14.25" customHeight="1"/>
    <row r="7890" ht="14.25" customHeight="1"/>
    <row r="7891" ht="14.25" customHeight="1"/>
    <row r="7892" ht="14.25" customHeight="1"/>
    <row r="7893" ht="14.25" customHeight="1"/>
    <row r="7894" ht="14.25" customHeight="1"/>
    <row r="7895" ht="14.25" customHeight="1"/>
    <row r="7896" ht="14.25" customHeight="1"/>
    <row r="7897" ht="14.25" customHeight="1"/>
    <row r="7898" ht="14.25" customHeight="1"/>
    <row r="7899" ht="14.25" customHeight="1"/>
    <row r="7900" ht="14.25" customHeight="1"/>
    <row r="7901" ht="14.25" customHeight="1"/>
    <row r="7902" ht="14.25" customHeight="1"/>
    <row r="7903" ht="14.25" customHeight="1"/>
    <row r="7904" ht="14.25" customHeight="1"/>
    <row r="7905" ht="14.25" customHeight="1"/>
    <row r="7906" ht="14.25" customHeight="1"/>
    <row r="7907" ht="14.25" customHeight="1"/>
    <row r="7908" ht="14.25" customHeight="1"/>
    <row r="7909" ht="14.25" customHeight="1"/>
    <row r="7910" ht="14.25" customHeight="1"/>
    <row r="7911" ht="14.25" customHeight="1"/>
    <row r="7912" ht="14.25" customHeight="1"/>
    <row r="7913" ht="14.25" customHeight="1"/>
    <row r="7914" ht="14.25" customHeight="1"/>
    <row r="7915" ht="14.25" customHeight="1"/>
    <row r="7916" ht="14.25" customHeight="1"/>
    <row r="7917" ht="14.25" customHeight="1"/>
    <row r="7918" ht="14.25" customHeight="1"/>
    <row r="7919" ht="14.25" customHeight="1"/>
    <row r="7920" ht="14.25" customHeight="1"/>
    <row r="7921" ht="14.25" customHeight="1"/>
    <row r="7922" ht="14.25" customHeight="1"/>
    <row r="7923" ht="14.25" customHeight="1"/>
    <row r="7924" ht="14.25" customHeight="1"/>
    <row r="7925" ht="14.25" customHeight="1"/>
    <row r="7926" ht="14.25" customHeight="1"/>
    <row r="7927" ht="14.25" customHeight="1"/>
    <row r="7928" ht="14.25" customHeight="1"/>
    <row r="7929" ht="14.25" customHeight="1"/>
    <row r="7930" ht="14.25" customHeight="1"/>
    <row r="7931" ht="14.25" customHeight="1"/>
    <row r="7932" ht="14.25" customHeight="1"/>
    <row r="7933" ht="14.25" customHeight="1"/>
    <row r="7934" ht="14.25" customHeight="1"/>
    <row r="7935" ht="14.25" customHeight="1"/>
    <row r="7936" ht="14.25" customHeight="1"/>
    <row r="7937" ht="14.25" customHeight="1"/>
    <row r="7938" ht="14.25" customHeight="1"/>
    <row r="7939" ht="14.25" customHeight="1"/>
    <row r="7940" ht="14.25" customHeight="1"/>
    <row r="7941" ht="14.25" customHeight="1"/>
    <row r="7942" ht="14.25" customHeight="1"/>
    <row r="7943" ht="14.25" customHeight="1"/>
    <row r="7944" ht="14.25" customHeight="1"/>
    <row r="7945" ht="14.25" customHeight="1"/>
    <row r="7946" ht="14.25" customHeight="1"/>
    <row r="7947" ht="14.25" customHeight="1"/>
    <row r="7948" ht="14.25" customHeight="1"/>
    <row r="7949" ht="14.25" customHeight="1"/>
    <row r="7950" ht="14.25" customHeight="1"/>
    <row r="7951" ht="14.25" customHeight="1"/>
    <row r="7952" ht="14.25" customHeight="1"/>
    <row r="7953" ht="14.25" customHeight="1"/>
    <row r="7954" ht="14.25" customHeight="1"/>
    <row r="7955" ht="14.25" customHeight="1"/>
    <row r="7956" ht="14.25" customHeight="1"/>
    <row r="7957" ht="14.25" customHeight="1"/>
    <row r="7958" ht="14.25" customHeight="1"/>
    <row r="7959" ht="14.25" customHeight="1"/>
    <row r="7960" ht="14.25" customHeight="1"/>
    <row r="7961" ht="14.25" customHeight="1"/>
    <row r="7962" ht="14.25" customHeight="1"/>
    <row r="7963" ht="14.25" customHeight="1"/>
    <row r="7964" ht="14.25" customHeight="1"/>
    <row r="7965" ht="14.25" customHeight="1"/>
    <row r="7966" ht="14.25" customHeight="1"/>
    <row r="7967" ht="14.25" customHeight="1"/>
    <row r="7968" ht="14.25" customHeight="1"/>
    <row r="7969" ht="14.25" customHeight="1"/>
    <row r="7970" ht="14.25" customHeight="1"/>
    <row r="7971" ht="14.25" customHeight="1"/>
    <row r="7972" ht="14.25" customHeight="1"/>
    <row r="7973" ht="14.25" customHeight="1"/>
    <row r="7974" ht="14.25" customHeight="1"/>
    <row r="7975" ht="14.25" customHeight="1"/>
    <row r="7976" ht="14.25" customHeight="1"/>
    <row r="7977" ht="14.25" customHeight="1"/>
    <row r="7978" ht="14.25" customHeight="1"/>
    <row r="7979" ht="14.25" customHeight="1"/>
    <row r="7980" ht="14.25" customHeight="1"/>
    <row r="7981" ht="14.25" customHeight="1"/>
    <row r="7982" ht="14.25" customHeight="1"/>
    <row r="7983" ht="14.25" customHeight="1"/>
    <row r="7984" ht="14.25" customHeight="1"/>
    <row r="7985" ht="14.25" customHeight="1"/>
    <row r="7986" ht="14.25" customHeight="1"/>
    <row r="7987" ht="14.25" customHeight="1"/>
    <row r="7988" ht="14.25" customHeight="1"/>
    <row r="7989" ht="14.25" customHeight="1"/>
    <row r="7990" ht="14.25" customHeight="1"/>
    <row r="7991" ht="14.25" customHeight="1"/>
    <row r="7992" ht="14.25" customHeight="1"/>
    <row r="7993" ht="14.25" customHeight="1"/>
    <row r="7994" ht="14.25" customHeight="1"/>
    <row r="7995" ht="14.25" customHeight="1"/>
    <row r="7996" ht="14.25" customHeight="1"/>
    <row r="7997" ht="14.25" customHeight="1"/>
    <row r="7998" ht="14.25" customHeight="1"/>
    <row r="7999" ht="14.25" customHeight="1"/>
    <row r="8000" ht="14.25" customHeight="1"/>
    <row r="8001" ht="14.25" customHeight="1"/>
    <row r="8002" ht="14.25" customHeight="1"/>
    <row r="8003" ht="14.25" customHeight="1"/>
    <row r="8004" ht="14.25" customHeight="1"/>
    <row r="8005" ht="14.25" customHeight="1"/>
    <row r="8006" ht="14.25" customHeight="1"/>
    <row r="8007" ht="14.25" customHeight="1"/>
    <row r="8008" ht="14.25" customHeight="1"/>
    <row r="8009" ht="14.25" customHeight="1"/>
    <row r="8010" ht="14.25" customHeight="1"/>
    <row r="8011" ht="14.25" customHeight="1"/>
    <row r="8012" ht="14.25" customHeight="1"/>
    <row r="8013" ht="14.25" customHeight="1"/>
    <row r="8014" ht="14.25" customHeight="1"/>
    <row r="8015" ht="14.25" customHeight="1"/>
    <row r="8016" ht="14.25" customHeight="1"/>
    <row r="8017" ht="14.25" customHeight="1"/>
    <row r="8018" ht="14.25" customHeight="1"/>
    <row r="8019" ht="14.25" customHeight="1"/>
    <row r="8020" ht="14.25" customHeight="1"/>
    <row r="8021" ht="14.25" customHeight="1"/>
    <row r="8022" ht="14.25" customHeight="1"/>
    <row r="8023" ht="14.25" customHeight="1"/>
    <row r="8024" ht="14.25" customHeight="1"/>
    <row r="8025" ht="14.25" customHeight="1"/>
    <row r="8026" ht="14.25" customHeight="1"/>
    <row r="8027" ht="14.25" customHeight="1"/>
    <row r="8028" ht="14.25" customHeight="1"/>
    <row r="8029" ht="14.25" customHeight="1"/>
    <row r="8030" ht="14.25" customHeight="1"/>
    <row r="8031" ht="14.25" customHeight="1"/>
    <row r="8032" ht="14.25" customHeight="1"/>
    <row r="8033" ht="14.25" customHeight="1"/>
    <row r="8034" ht="14.25" customHeight="1"/>
    <row r="8035" ht="14.25" customHeight="1"/>
    <row r="8036" ht="14.25" customHeight="1"/>
    <row r="8037" ht="14.25" customHeight="1"/>
    <row r="8038" ht="14.25" customHeight="1"/>
    <row r="8039" ht="14.25" customHeight="1"/>
    <row r="8040" ht="14.25" customHeight="1"/>
    <row r="8041" ht="14.25" customHeight="1"/>
    <row r="8042" ht="14.25" customHeight="1"/>
    <row r="8043" ht="14.25" customHeight="1"/>
    <row r="8044" ht="14.25" customHeight="1"/>
    <row r="8045" ht="14.25" customHeight="1"/>
    <row r="8046" ht="14.25" customHeight="1"/>
    <row r="8047" ht="14.25" customHeight="1"/>
    <row r="8048" ht="14.25" customHeight="1"/>
    <row r="8049" ht="14.25" customHeight="1"/>
    <row r="8050" ht="14.25" customHeight="1"/>
    <row r="8051" ht="14.25" customHeight="1"/>
    <row r="8052" ht="14.25" customHeight="1"/>
    <row r="8053" ht="14.25" customHeight="1"/>
    <row r="8054" ht="14.25" customHeight="1"/>
    <row r="8055" ht="14.25" customHeight="1"/>
    <row r="8056" ht="14.25" customHeight="1"/>
    <row r="8057" ht="14.25" customHeight="1"/>
    <row r="8058" ht="14.25" customHeight="1"/>
    <row r="8059" ht="14.25" customHeight="1"/>
    <row r="8060" ht="14.25" customHeight="1"/>
    <row r="8061" ht="14.25" customHeight="1"/>
    <row r="8062" ht="14.25" customHeight="1"/>
    <row r="8063" ht="14.25" customHeight="1"/>
    <row r="8064" ht="14.25" customHeight="1"/>
    <row r="8065" ht="14.25" customHeight="1"/>
    <row r="8066" ht="14.25" customHeight="1"/>
    <row r="8067" ht="14.25" customHeight="1"/>
    <row r="8068" ht="14.25" customHeight="1"/>
    <row r="8069" ht="14.25" customHeight="1"/>
    <row r="8070" ht="14.25" customHeight="1"/>
    <row r="8071" ht="14.25" customHeight="1"/>
    <row r="8072" ht="14.25" customHeight="1"/>
    <row r="8073" ht="14.25" customHeight="1"/>
    <row r="8074" ht="14.25" customHeight="1"/>
    <row r="8075" ht="14.25" customHeight="1"/>
    <row r="8076" ht="14.25" customHeight="1"/>
    <row r="8077" ht="14.25" customHeight="1"/>
    <row r="8078" ht="14.25" customHeight="1"/>
    <row r="8079" ht="14.25" customHeight="1"/>
    <row r="8080" ht="14.25" customHeight="1"/>
    <row r="8081" ht="14.25" customHeight="1"/>
    <row r="8082" ht="14.25" customHeight="1"/>
    <row r="8083" ht="14.25" customHeight="1"/>
    <row r="8084" ht="14.25" customHeight="1"/>
    <row r="8085" ht="14.25" customHeight="1"/>
    <row r="8086" ht="14.25" customHeight="1"/>
    <row r="8087" ht="14.25" customHeight="1"/>
    <row r="8088" ht="14.25" customHeight="1"/>
    <row r="8089" ht="14.25" customHeight="1"/>
    <row r="8090" ht="14.25" customHeight="1"/>
    <row r="8091" ht="14.25" customHeight="1"/>
    <row r="8092" ht="14.25" customHeight="1"/>
    <row r="8093" ht="14.25" customHeight="1"/>
    <row r="8094" ht="14.25" customHeight="1"/>
    <row r="8095" ht="14.25" customHeight="1"/>
    <row r="8096" ht="14.25" customHeight="1"/>
    <row r="8097" ht="14.25" customHeight="1"/>
    <row r="8098" ht="14.25" customHeight="1"/>
    <row r="8099" ht="14.25" customHeight="1"/>
    <row r="8100" ht="14.25" customHeight="1"/>
    <row r="8101" ht="14.25" customHeight="1"/>
    <row r="8102" ht="14.25" customHeight="1"/>
    <row r="8103" ht="14.25" customHeight="1"/>
    <row r="8104" ht="14.25" customHeight="1"/>
    <row r="8105" ht="14.25" customHeight="1"/>
    <row r="8106" ht="14.25" customHeight="1"/>
    <row r="8107" ht="14.25" customHeight="1"/>
    <row r="8108" ht="14.25" customHeight="1"/>
    <row r="8109" ht="14.25" customHeight="1"/>
    <row r="8110" ht="14.25" customHeight="1"/>
    <row r="8111" ht="14.25" customHeight="1"/>
    <row r="8112" ht="14.25" customHeight="1"/>
    <row r="8113" ht="14.25" customHeight="1"/>
    <row r="8114" ht="14.25" customHeight="1"/>
    <row r="8115" ht="14.25" customHeight="1"/>
    <row r="8116" ht="14.25" customHeight="1"/>
    <row r="8117" ht="14.25" customHeight="1"/>
    <row r="8118" ht="14.25" customHeight="1"/>
    <row r="8119" ht="14.25" customHeight="1"/>
    <row r="8120" ht="14.25" customHeight="1"/>
    <row r="8121" ht="14.25" customHeight="1"/>
    <row r="8122" ht="14.25" customHeight="1"/>
    <row r="8123" ht="14.25" customHeight="1"/>
    <row r="8124" ht="14.25" customHeight="1"/>
    <row r="8125" ht="14.25" customHeight="1"/>
    <row r="8126" ht="14.25" customHeight="1"/>
    <row r="8127" ht="14.25" customHeight="1"/>
    <row r="8128" ht="14.25" customHeight="1"/>
    <row r="8129" ht="14.25" customHeight="1"/>
    <row r="8130" ht="14.25" customHeight="1"/>
    <row r="8131" ht="14.25" customHeight="1"/>
    <row r="8132" ht="14.25" customHeight="1"/>
    <row r="8133" ht="14.25" customHeight="1"/>
    <row r="8134" ht="14.25" customHeight="1"/>
    <row r="8135" ht="14.25" customHeight="1"/>
    <row r="8136" ht="14.25" customHeight="1"/>
    <row r="8137" ht="14.25" customHeight="1"/>
    <row r="8138" ht="14.25" customHeight="1"/>
    <row r="8139" ht="14.25" customHeight="1"/>
    <row r="8140" ht="14.25" customHeight="1"/>
    <row r="8141" ht="14.25" customHeight="1"/>
    <row r="8142" ht="14.25" customHeight="1"/>
    <row r="8143" ht="14.25" customHeight="1"/>
    <row r="8144" ht="14.25" customHeight="1"/>
    <row r="8145" ht="14.25" customHeight="1"/>
    <row r="8146" ht="14.25" customHeight="1"/>
    <row r="8147" ht="14.25" customHeight="1"/>
    <row r="8148" ht="14.25" customHeight="1"/>
    <row r="8149" ht="14.25" customHeight="1"/>
    <row r="8150" ht="14.25" customHeight="1"/>
    <row r="8151" ht="14.25" customHeight="1"/>
    <row r="8152" ht="14.25" customHeight="1"/>
    <row r="8153" ht="14.25" customHeight="1"/>
    <row r="8154" ht="14.25" customHeight="1"/>
    <row r="8155" ht="14.25" customHeight="1"/>
    <row r="8156" ht="14.25" customHeight="1"/>
    <row r="8157" ht="14.25" customHeight="1"/>
    <row r="8158" ht="14.25" customHeight="1"/>
    <row r="8159" ht="14.25" customHeight="1"/>
    <row r="8160" ht="14.25" customHeight="1"/>
    <row r="8161" ht="14.25" customHeight="1"/>
    <row r="8162" ht="14.25" customHeight="1"/>
    <row r="8163" ht="14.25" customHeight="1"/>
    <row r="8164" ht="14.25" customHeight="1"/>
    <row r="8165" ht="14.25" customHeight="1"/>
    <row r="8166" ht="14.25" customHeight="1"/>
    <row r="8167" ht="14.25" customHeight="1"/>
    <row r="8168" ht="14.25" customHeight="1"/>
    <row r="8169" ht="14.25" customHeight="1"/>
    <row r="8170" ht="14.25" customHeight="1"/>
    <row r="8171" ht="14.25" customHeight="1"/>
    <row r="8172" ht="14.25" customHeight="1"/>
    <row r="8173" ht="14.25" customHeight="1"/>
    <row r="8174" ht="14.25" customHeight="1"/>
    <row r="8175" ht="14.25" customHeight="1"/>
    <row r="8176" ht="14.25" customHeight="1"/>
    <row r="8177" ht="14.25" customHeight="1"/>
    <row r="8178" ht="14.25" customHeight="1"/>
    <row r="8179" ht="14.25" customHeight="1"/>
    <row r="8180" ht="14.25" customHeight="1"/>
    <row r="8181" ht="14.25" customHeight="1"/>
    <row r="8182" ht="14.25" customHeight="1"/>
    <row r="8183" ht="14.25" customHeight="1"/>
    <row r="8184" ht="14.25" customHeight="1"/>
    <row r="8185" ht="14.25" customHeight="1"/>
    <row r="8186" ht="14.25" customHeight="1"/>
    <row r="8187" ht="14.25" customHeight="1"/>
    <row r="8188" ht="14.25" customHeight="1"/>
    <row r="8189" ht="14.25" customHeight="1"/>
    <row r="8190" ht="14.25" customHeight="1"/>
    <row r="8191" ht="14.25" customHeight="1"/>
    <row r="8192" ht="14.25" customHeight="1"/>
    <row r="8193" ht="14.25" customHeight="1"/>
    <row r="8194" ht="14.25" customHeight="1"/>
    <row r="8195" ht="14.25" customHeight="1"/>
    <row r="8196" ht="14.25" customHeight="1"/>
    <row r="8197" ht="14.25" customHeight="1"/>
    <row r="8198" ht="14.25" customHeight="1"/>
    <row r="8199" ht="14.25" customHeight="1"/>
    <row r="8200" ht="14.25" customHeight="1"/>
    <row r="8201" ht="14.25" customHeight="1"/>
    <row r="8202" ht="14.25" customHeight="1"/>
    <row r="8203" ht="14.25" customHeight="1"/>
    <row r="8204" ht="14.25" customHeight="1"/>
    <row r="8205" ht="14.25" customHeight="1"/>
    <row r="8206" ht="14.25" customHeight="1"/>
    <row r="8207" ht="14.25" customHeight="1"/>
    <row r="8208" ht="14.25" customHeight="1"/>
    <row r="8209" ht="14.25" customHeight="1"/>
    <row r="8210" ht="14.25" customHeight="1"/>
    <row r="8211" ht="14.25" customHeight="1"/>
    <row r="8212" ht="14.25" customHeight="1"/>
    <row r="8213" ht="14.25" customHeight="1"/>
    <row r="8214" ht="14.25" customHeight="1"/>
    <row r="8215" ht="14.25" customHeight="1"/>
    <row r="8216" ht="14.25" customHeight="1"/>
    <row r="8217" ht="14.25" customHeight="1"/>
    <row r="8218" ht="14.25" customHeight="1"/>
    <row r="8219" ht="14.25" customHeight="1"/>
    <row r="8220" ht="14.25" customHeight="1"/>
    <row r="8221" ht="14.25" customHeight="1"/>
    <row r="8222" ht="14.25" customHeight="1"/>
    <row r="8223" ht="14.25" customHeight="1"/>
    <row r="8224" ht="14.25" customHeight="1"/>
    <row r="8225" ht="14.25" customHeight="1"/>
    <row r="8226" ht="14.25" customHeight="1"/>
    <row r="8227" ht="14.25" customHeight="1"/>
    <row r="8228" ht="14.25" customHeight="1"/>
    <row r="8229" ht="14.25" customHeight="1"/>
    <row r="8230" ht="14.25" customHeight="1"/>
    <row r="8231" ht="14.25" customHeight="1"/>
    <row r="8232" ht="14.25" customHeight="1"/>
    <row r="8233" ht="14.25" customHeight="1"/>
    <row r="8234" ht="14.25" customHeight="1"/>
    <row r="8235" ht="14.25" customHeight="1"/>
    <row r="8236" ht="14.25" customHeight="1"/>
    <row r="8237" ht="14.25" customHeight="1"/>
    <row r="8238" ht="14.25" customHeight="1"/>
    <row r="8239" ht="14.25" customHeight="1"/>
    <row r="8240" ht="14.25" customHeight="1"/>
    <row r="8241" ht="14.25" customHeight="1"/>
    <row r="8242" ht="14.25" customHeight="1"/>
    <row r="8243" ht="14.25" customHeight="1"/>
    <row r="8244" ht="14.25" customHeight="1"/>
    <row r="8245" ht="14.25" customHeight="1"/>
    <row r="8246" ht="14.25" customHeight="1"/>
    <row r="8247" ht="14.25" customHeight="1"/>
    <row r="8248" ht="14.25" customHeight="1"/>
    <row r="8249" ht="14.25" customHeight="1"/>
    <row r="8250" ht="14.25" customHeight="1"/>
    <row r="8251" ht="14.25" customHeight="1"/>
    <row r="8252" ht="14.25" customHeight="1"/>
    <row r="8253" ht="14.25" customHeight="1"/>
    <row r="8254" ht="14.25" customHeight="1"/>
    <row r="8255" ht="14.25" customHeight="1"/>
    <row r="8256" ht="14.25" customHeight="1"/>
    <row r="8257" ht="14.25" customHeight="1"/>
    <row r="8258" ht="14.25" customHeight="1"/>
    <row r="8259" ht="14.25" customHeight="1"/>
    <row r="8260" ht="14.25" customHeight="1"/>
    <row r="8261" ht="14.25" customHeight="1"/>
    <row r="8262" ht="14.25" customHeight="1"/>
    <row r="8263" ht="14.25" customHeight="1"/>
    <row r="8264" ht="14.25" customHeight="1"/>
    <row r="8265" ht="14.25" customHeight="1"/>
    <row r="8266" ht="14.25" customHeight="1"/>
    <row r="8267" ht="14.25" customHeight="1"/>
    <row r="8268" ht="14.25" customHeight="1"/>
    <row r="8269" ht="14.25" customHeight="1"/>
    <row r="8270" ht="14.25" customHeight="1"/>
    <row r="8271" ht="14.25" customHeight="1"/>
    <row r="8272" ht="14.25" customHeight="1"/>
    <row r="8273" ht="14.25" customHeight="1"/>
    <row r="8274" ht="14.25" customHeight="1"/>
    <row r="8275" ht="14.25" customHeight="1"/>
    <row r="8276" ht="14.25" customHeight="1"/>
    <row r="8277" ht="14.25" customHeight="1"/>
    <row r="8278" ht="14.25" customHeight="1"/>
    <row r="8279" ht="14.25" customHeight="1"/>
    <row r="8280" ht="14.25" customHeight="1"/>
    <row r="8281" ht="14.25" customHeight="1"/>
    <row r="8282" ht="14.25" customHeight="1"/>
    <row r="8283" ht="14.25" customHeight="1"/>
    <row r="8284" ht="14.25" customHeight="1"/>
    <row r="8285" ht="14.25" customHeight="1"/>
    <row r="8286" ht="14.25" customHeight="1"/>
    <row r="8287" ht="14.25" customHeight="1"/>
    <row r="8288" ht="14.25" customHeight="1"/>
    <row r="8289" ht="14.25" customHeight="1"/>
    <row r="8290" ht="14.25" customHeight="1"/>
    <row r="8291" ht="14.25" customHeight="1"/>
    <row r="8292" ht="14.25" customHeight="1"/>
    <row r="8293" ht="14.25" customHeight="1"/>
    <row r="8294" ht="14.25" customHeight="1"/>
    <row r="8295" ht="14.25" customHeight="1"/>
    <row r="8296" ht="14.25" customHeight="1"/>
    <row r="8297" ht="14.25" customHeight="1"/>
    <row r="8298" ht="14.25" customHeight="1"/>
    <row r="8299" ht="14.25" customHeight="1"/>
    <row r="8300" ht="14.25" customHeight="1"/>
    <row r="8301" ht="14.25" customHeight="1"/>
    <row r="8302" ht="14.25" customHeight="1"/>
    <row r="8303" ht="14.25" customHeight="1"/>
    <row r="8304" ht="14.25" customHeight="1"/>
    <row r="8305" ht="14.25" customHeight="1"/>
    <row r="8306" ht="14.25" customHeight="1"/>
    <row r="8307" ht="14.25" customHeight="1"/>
    <row r="8308" ht="14.25" customHeight="1"/>
    <row r="8309" ht="14.25" customHeight="1"/>
    <row r="8310" ht="14.25" customHeight="1"/>
    <row r="8311" ht="14.25" customHeight="1"/>
    <row r="8312" ht="14.25" customHeight="1"/>
    <row r="8313" ht="14.25" customHeight="1"/>
    <row r="8314" ht="14.25" customHeight="1"/>
    <row r="8315" ht="14.25" customHeight="1"/>
    <row r="8316" ht="14.25" customHeight="1"/>
    <row r="8317" ht="14.25" customHeight="1"/>
    <row r="8318" ht="14.25" customHeight="1"/>
    <row r="8319" ht="14.25" customHeight="1"/>
    <row r="8320" ht="14.25" customHeight="1"/>
    <row r="8321" ht="14.25" customHeight="1"/>
    <row r="8322" ht="14.25" customHeight="1"/>
    <row r="8323" ht="14.25" customHeight="1"/>
    <row r="8324" ht="14.25" customHeight="1"/>
    <row r="8325" ht="14.25" customHeight="1"/>
    <row r="8326" ht="14.25" customHeight="1"/>
    <row r="8327" ht="14.25" customHeight="1"/>
    <row r="8328" ht="14.25" customHeight="1"/>
    <row r="8329" ht="14.25" customHeight="1"/>
    <row r="8330" ht="14.25" customHeight="1"/>
    <row r="8331" ht="14.25" customHeight="1"/>
    <row r="8332" ht="14.25" customHeight="1"/>
    <row r="8333" ht="14.25" customHeight="1"/>
    <row r="8334" ht="14.25" customHeight="1"/>
    <row r="8335" ht="14.25" customHeight="1"/>
    <row r="8336" ht="14.25" customHeight="1"/>
    <row r="8337" ht="14.25" customHeight="1"/>
    <row r="8338" ht="14.25" customHeight="1"/>
    <row r="8339" ht="14.25" customHeight="1"/>
    <row r="8340" ht="14.25" customHeight="1"/>
    <row r="8341" ht="14.25" customHeight="1"/>
    <row r="8342" ht="14.25" customHeight="1"/>
    <row r="8343" ht="14.25" customHeight="1"/>
    <row r="8344" ht="14.25" customHeight="1"/>
    <row r="8345" ht="14.25" customHeight="1"/>
    <row r="8346" ht="14.25" customHeight="1"/>
    <row r="8347" ht="14.25" customHeight="1"/>
    <row r="8348" ht="14.25" customHeight="1"/>
    <row r="8349" ht="14.25" customHeight="1"/>
    <row r="8350" ht="14.25" customHeight="1"/>
    <row r="8351" ht="14.25" customHeight="1"/>
    <row r="8352" ht="14.25" customHeight="1"/>
    <row r="8353" ht="14.25" customHeight="1"/>
    <row r="8354" ht="14.25" customHeight="1"/>
    <row r="8355" ht="14.25" customHeight="1"/>
    <row r="8356" ht="14.25" customHeight="1"/>
    <row r="8357" ht="14.25" customHeight="1"/>
    <row r="8358" ht="14.25" customHeight="1"/>
    <row r="8359" ht="14.25" customHeight="1"/>
    <row r="8360" ht="14.25" customHeight="1"/>
    <row r="8361" ht="14.25" customHeight="1"/>
    <row r="8362" ht="14.25" customHeight="1"/>
    <row r="8363" ht="14.25" customHeight="1"/>
    <row r="8364" ht="14.25" customHeight="1"/>
    <row r="8365" ht="14.25" customHeight="1"/>
    <row r="8366" ht="14.25" customHeight="1"/>
    <row r="8367" ht="14.25" customHeight="1"/>
    <row r="8368" ht="14.25" customHeight="1"/>
    <row r="8369" ht="14.25" customHeight="1"/>
    <row r="8370" ht="14.25" customHeight="1"/>
    <row r="8371" ht="14.25" customHeight="1"/>
    <row r="8372" ht="14.25" customHeight="1"/>
    <row r="8373" ht="14.25" customHeight="1"/>
    <row r="8374" ht="14.25" customHeight="1"/>
    <row r="8375" ht="14.25" customHeight="1"/>
    <row r="8376" ht="14.25" customHeight="1"/>
    <row r="8377" ht="14.25" customHeight="1"/>
    <row r="8378" ht="14.25" customHeight="1"/>
    <row r="8379" ht="14.25" customHeight="1"/>
    <row r="8380" ht="14.25" customHeight="1"/>
    <row r="8381" ht="14.25" customHeight="1"/>
    <row r="8382" ht="14.25" customHeight="1"/>
    <row r="8383" ht="14.25" customHeight="1"/>
    <row r="8384" ht="14.25" customHeight="1"/>
    <row r="8385" ht="14.25" customHeight="1"/>
    <row r="8386" ht="14.25" customHeight="1"/>
    <row r="8387" ht="14.25" customHeight="1"/>
    <row r="8388" ht="14.25" customHeight="1"/>
    <row r="8389" ht="14.25" customHeight="1"/>
    <row r="8390" ht="14.25" customHeight="1"/>
    <row r="8391" ht="14.25" customHeight="1"/>
    <row r="8392" ht="14.25" customHeight="1"/>
    <row r="8393" ht="14.25" customHeight="1"/>
    <row r="8394" ht="14.25" customHeight="1"/>
    <row r="8395" ht="14.25" customHeight="1"/>
    <row r="8396" ht="14.25" customHeight="1"/>
    <row r="8397" ht="14.25" customHeight="1"/>
    <row r="8398" ht="14.25" customHeight="1"/>
    <row r="8399" ht="14.25" customHeight="1"/>
    <row r="8400" ht="14.25" customHeight="1"/>
    <row r="8401" ht="14.25" customHeight="1"/>
    <row r="8402" ht="14.25" customHeight="1"/>
    <row r="8403" ht="14.25" customHeight="1"/>
    <row r="8404" ht="14.25" customHeight="1"/>
    <row r="8405" ht="14.25" customHeight="1"/>
    <row r="8406" ht="14.25" customHeight="1"/>
    <row r="8407" ht="14.25" customHeight="1"/>
    <row r="8408" ht="14.25" customHeight="1"/>
    <row r="8409" ht="14.25" customHeight="1"/>
    <row r="8410" ht="14.25" customHeight="1"/>
    <row r="8411" ht="14.25" customHeight="1"/>
    <row r="8412" ht="14.25" customHeight="1"/>
    <row r="8413" ht="14.25" customHeight="1"/>
    <row r="8414" ht="14.25" customHeight="1"/>
    <row r="8415" ht="14.25" customHeight="1"/>
    <row r="8416" ht="14.25" customHeight="1"/>
    <row r="8417" ht="14.25" customHeight="1"/>
    <row r="8418" ht="14.25" customHeight="1"/>
    <row r="8419" ht="14.25" customHeight="1"/>
    <row r="8420" ht="14.25" customHeight="1"/>
    <row r="8421" ht="14.25" customHeight="1"/>
    <row r="8422" ht="14.25" customHeight="1"/>
    <row r="8423" ht="14.25" customHeight="1"/>
    <row r="8424" ht="14.25" customHeight="1"/>
    <row r="8425" ht="14.25" customHeight="1"/>
    <row r="8426" ht="14.25" customHeight="1"/>
    <row r="8427" ht="14.25" customHeight="1"/>
    <row r="8428" ht="14.25" customHeight="1"/>
    <row r="8429" ht="14.25" customHeight="1"/>
    <row r="8430" ht="14.25" customHeight="1"/>
    <row r="8431" ht="14.25" customHeight="1"/>
    <row r="8432" ht="14.25" customHeight="1"/>
    <row r="8433" ht="14.25" customHeight="1"/>
    <row r="8434" ht="14.25" customHeight="1"/>
    <row r="8435" ht="14.25" customHeight="1"/>
    <row r="8436" ht="14.25" customHeight="1"/>
    <row r="8437" ht="14.25" customHeight="1"/>
    <row r="8438" ht="14.25" customHeight="1"/>
    <row r="8439" ht="14.25" customHeight="1"/>
    <row r="8440" ht="14.25" customHeight="1"/>
    <row r="8441" ht="14.25" customHeight="1"/>
    <row r="8442" ht="14.25" customHeight="1"/>
    <row r="8443" ht="14.25" customHeight="1"/>
    <row r="8444" ht="14.25" customHeight="1"/>
    <row r="8445" ht="14.25" customHeight="1"/>
    <row r="8446" ht="14.25" customHeight="1"/>
    <row r="8447" ht="14.25" customHeight="1"/>
    <row r="8448" ht="14.25" customHeight="1"/>
    <row r="8449" ht="14.25" customHeight="1"/>
    <row r="8450" ht="14.25" customHeight="1"/>
    <row r="8451" ht="14.25" customHeight="1"/>
    <row r="8452" ht="14.25" customHeight="1"/>
    <row r="8453" ht="14.25" customHeight="1"/>
    <row r="8454" ht="14.25" customHeight="1"/>
    <row r="8455" ht="14.25" customHeight="1"/>
    <row r="8456" ht="14.25" customHeight="1"/>
    <row r="8457" ht="14.25" customHeight="1"/>
    <row r="8458" ht="14.25" customHeight="1"/>
    <row r="8459" ht="14.25" customHeight="1"/>
    <row r="8460" ht="14.25" customHeight="1"/>
    <row r="8461" ht="14.25" customHeight="1"/>
    <row r="8462" ht="14.25" customHeight="1"/>
    <row r="8463" ht="14.25" customHeight="1"/>
    <row r="8464" ht="14.25" customHeight="1"/>
    <row r="8465" ht="14.25" customHeight="1"/>
    <row r="8466" ht="14.25" customHeight="1"/>
    <row r="8467" ht="14.25" customHeight="1"/>
    <row r="8468" ht="14.25" customHeight="1"/>
    <row r="8469" ht="14.25" customHeight="1"/>
    <row r="8470" ht="14.25" customHeight="1"/>
    <row r="8471" ht="14.25" customHeight="1"/>
    <row r="8472" ht="14.25" customHeight="1"/>
    <row r="8473" ht="14.25" customHeight="1"/>
    <row r="8474" ht="14.25" customHeight="1"/>
    <row r="8475" ht="14.25" customHeight="1"/>
    <row r="8476" ht="14.25" customHeight="1"/>
    <row r="8477" ht="14.25" customHeight="1"/>
    <row r="8478" ht="14.25" customHeight="1"/>
    <row r="8479" ht="14.25" customHeight="1"/>
    <row r="8480" ht="14.25" customHeight="1"/>
    <row r="8481" ht="14.25" customHeight="1"/>
    <row r="8482" ht="14.25" customHeight="1"/>
    <row r="8483" ht="14.25" customHeight="1"/>
    <row r="8484" ht="14.25" customHeight="1"/>
    <row r="8485" ht="14.25" customHeight="1"/>
    <row r="8486" ht="14.25" customHeight="1"/>
    <row r="8487" ht="14.25" customHeight="1"/>
    <row r="8488" ht="14.25" customHeight="1"/>
    <row r="8489" ht="14.25" customHeight="1"/>
    <row r="8490" ht="14.25" customHeight="1"/>
    <row r="8491" ht="14.25" customHeight="1"/>
    <row r="8492" ht="14.25" customHeight="1"/>
    <row r="8493" ht="14.25" customHeight="1"/>
    <row r="8494" ht="14.25" customHeight="1"/>
    <row r="8495" ht="14.25" customHeight="1"/>
    <row r="8496" ht="14.25" customHeight="1"/>
    <row r="8497" ht="14.25" customHeight="1"/>
    <row r="8498" ht="14.25" customHeight="1"/>
    <row r="8499" ht="14.25" customHeight="1"/>
    <row r="8500" ht="14.25" customHeight="1"/>
    <row r="8501" ht="14.25" customHeight="1"/>
    <row r="8502" ht="14.25" customHeight="1"/>
    <row r="8503" ht="14.25" customHeight="1"/>
    <row r="8504" ht="14.25" customHeight="1"/>
    <row r="8505" ht="14.25" customHeight="1"/>
    <row r="8506" ht="14.25" customHeight="1"/>
    <row r="8507" ht="14.25" customHeight="1"/>
    <row r="8508" ht="14.25" customHeight="1"/>
    <row r="8509" ht="14.25" customHeight="1"/>
    <row r="8510" ht="14.25" customHeight="1"/>
    <row r="8511" ht="14.25" customHeight="1"/>
    <row r="8512" ht="14.25" customHeight="1"/>
    <row r="8513" ht="14.25" customHeight="1"/>
    <row r="8514" ht="14.25" customHeight="1"/>
    <row r="8515" ht="14.25" customHeight="1"/>
    <row r="8516" ht="14.25" customHeight="1"/>
    <row r="8517" ht="14.25" customHeight="1"/>
    <row r="8518" ht="14.25" customHeight="1"/>
    <row r="8519" ht="14.25" customHeight="1"/>
    <row r="8520" ht="14.25" customHeight="1"/>
    <row r="8521" ht="14.25" customHeight="1"/>
    <row r="8522" ht="14.25" customHeight="1"/>
    <row r="8523" ht="14.25" customHeight="1"/>
    <row r="8524" ht="14.25" customHeight="1"/>
    <row r="8525" ht="14.25" customHeight="1"/>
    <row r="8526" ht="14.25" customHeight="1"/>
    <row r="8527" ht="14.25" customHeight="1"/>
    <row r="8528" ht="14.25" customHeight="1"/>
    <row r="8529" ht="14.25" customHeight="1"/>
    <row r="8530" ht="14.25" customHeight="1"/>
    <row r="8531" ht="14.25" customHeight="1"/>
    <row r="8532" ht="14.25" customHeight="1"/>
    <row r="8533" ht="14.25" customHeight="1"/>
    <row r="8534" ht="14.25" customHeight="1"/>
    <row r="8535" ht="14.25" customHeight="1"/>
    <row r="8536" ht="14.25" customHeight="1"/>
    <row r="8537" ht="14.25" customHeight="1"/>
    <row r="8538" ht="14.25" customHeight="1"/>
    <row r="8539" ht="14.25" customHeight="1"/>
    <row r="8540" ht="14.25" customHeight="1"/>
    <row r="8541" ht="14.25" customHeight="1"/>
    <row r="8542" ht="14.25" customHeight="1"/>
    <row r="8543" ht="14.25" customHeight="1"/>
    <row r="8544" ht="14.25" customHeight="1"/>
    <row r="8545" ht="14.25" customHeight="1"/>
    <row r="8546" ht="14.25" customHeight="1"/>
    <row r="8547" ht="14.25" customHeight="1"/>
    <row r="8548" ht="14.25" customHeight="1"/>
    <row r="8549" ht="14.25" customHeight="1"/>
    <row r="8550" ht="14.25" customHeight="1"/>
    <row r="8551" ht="14.25" customHeight="1"/>
    <row r="8552" ht="14.25" customHeight="1"/>
    <row r="8553" ht="14.25" customHeight="1"/>
    <row r="8554" ht="14.25" customHeight="1"/>
    <row r="8555" ht="14.25" customHeight="1"/>
    <row r="8556" ht="14.25" customHeight="1"/>
    <row r="8557" ht="14.25" customHeight="1"/>
    <row r="8558" ht="14.25" customHeight="1"/>
    <row r="8559" ht="14.25" customHeight="1"/>
    <row r="8560" ht="14.25" customHeight="1"/>
    <row r="8561" ht="14.25" customHeight="1"/>
    <row r="8562" ht="14.25" customHeight="1"/>
    <row r="8563" ht="14.25" customHeight="1"/>
    <row r="8564" ht="14.25" customHeight="1"/>
    <row r="8565" ht="14.25" customHeight="1"/>
    <row r="8566" ht="14.25" customHeight="1"/>
    <row r="8567" ht="14.25" customHeight="1"/>
    <row r="8568" ht="14.25" customHeight="1"/>
    <row r="8569" ht="14.25" customHeight="1"/>
    <row r="8570" ht="14.25" customHeight="1"/>
    <row r="8571" ht="14.25" customHeight="1"/>
    <row r="8572" ht="14.25" customHeight="1"/>
    <row r="8573" ht="14.25" customHeight="1"/>
    <row r="8574" ht="14.25" customHeight="1"/>
    <row r="8575" ht="14.25" customHeight="1"/>
    <row r="8576" ht="14.25" customHeight="1"/>
    <row r="8577" ht="14.25" customHeight="1"/>
    <row r="8578" ht="14.25" customHeight="1"/>
    <row r="8579" ht="14.25" customHeight="1"/>
    <row r="8580" ht="14.25" customHeight="1"/>
    <row r="8581" ht="14.25" customHeight="1"/>
    <row r="8582" ht="14.25" customHeight="1"/>
    <row r="8583" ht="14.25" customHeight="1"/>
    <row r="8584" ht="14.25" customHeight="1"/>
    <row r="8585" ht="14.25" customHeight="1"/>
    <row r="8586" ht="14.25" customHeight="1"/>
    <row r="8587" ht="14.25" customHeight="1"/>
    <row r="8588" ht="14.25" customHeight="1"/>
    <row r="8589" ht="14.25" customHeight="1"/>
    <row r="8590" ht="14.25" customHeight="1"/>
    <row r="8591" ht="14.25" customHeight="1"/>
    <row r="8592" ht="14.25" customHeight="1"/>
    <row r="8593" ht="14.25" customHeight="1"/>
    <row r="8594" ht="14.25" customHeight="1"/>
    <row r="8595" ht="14.25" customHeight="1"/>
    <row r="8596" ht="14.25" customHeight="1"/>
    <row r="8597" ht="14.25" customHeight="1"/>
    <row r="8598" ht="14.25" customHeight="1"/>
    <row r="8599" ht="14.25" customHeight="1"/>
    <row r="8600" ht="14.25" customHeight="1"/>
    <row r="8601" ht="14.25" customHeight="1"/>
    <row r="8602" ht="14.25" customHeight="1"/>
    <row r="8603" ht="14.25" customHeight="1"/>
    <row r="8604" ht="14.25" customHeight="1"/>
    <row r="8605" ht="14.25" customHeight="1"/>
    <row r="8606" ht="14.25" customHeight="1"/>
    <row r="8607" ht="14.25" customHeight="1"/>
    <row r="8608" ht="14.25" customHeight="1"/>
    <row r="8609" ht="14.25" customHeight="1"/>
    <row r="8610" ht="14.25" customHeight="1"/>
    <row r="8611" ht="14.25" customHeight="1"/>
    <row r="8612" ht="14.25" customHeight="1"/>
    <row r="8613" ht="14.25" customHeight="1"/>
    <row r="8614" ht="14.25" customHeight="1"/>
    <row r="8615" ht="14.25" customHeight="1"/>
    <row r="8616" ht="14.25" customHeight="1"/>
    <row r="8617" ht="14.25" customHeight="1"/>
    <row r="8618" ht="14.25" customHeight="1"/>
    <row r="8619" ht="14.25" customHeight="1"/>
    <row r="8620" ht="14.25" customHeight="1"/>
    <row r="8621" ht="14.25" customHeight="1"/>
    <row r="8622" ht="14.25" customHeight="1"/>
    <row r="8623" ht="14.25" customHeight="1"/>
    <row r="8624" ht="14.25" customHeight="1"/>
    <row r="8625" ht="14.25" customHeight="1"/>
    <row r="8626" ht="14.25" customHeight="1"/>
    <row r="8627" ht="14.25" customHeight="1"/>
    <row r="8628" ht="14.25" customHeight="1"/>
    <row r="8629" ht="14.25" customHeight="1"/>
    <row r="8630" ht="14.25" customHeight="1"/>
    <row r="8631" ht="14.25" customHeight="1"/>
    <row r="8632" ht="14.25" customHeight="1"/>
    <row r="8633" ht="14.25" customHeight="1"/>
    <row r="8634" ht="14.25" customHeight="1"/>
    <row r="8635" ht="14.25" customHeight="1"/>
    <row r="8636" ht="14.25" customHeight="1"/>
    <row r="8637" ht="14.25" customHeight="1"/>
    <row r="8638" ht="14.25" customHeight="1"/>
    <row r="8639" ht="14.25" customHeight="1"/>
    <row r="8640" ht="14.25" customHeight="1"/>
    <row r="8641" ht="14.25" customHeight="1"/>
    <row r="8642" ht="14.25" customHeight="1"/>
    <row r="8643" ht="14.25" customHeight="1"/>
    <row r="8644" ht="14.25" customHeight="1"/>
    <row r="8645" ht="14.25" customHeight="1"/>
    <row r="8646" ht="14.25" customHeight="1"/>
    <row r="8647" ht="14.25" customHeight="1"/>
    <row r="8648" ht="14.25" customHeight="1"/>
    <row r="8649" ht="14.25" customHeight="1"/>
    <row r="8650" ht="14.25" customHeight="1"/>
    <row r="8651" ht="14.25" customHeight="1"/>
    <row r="8652" ht="14.25" customHeight="1"/>
    <row r="8653" ht="14.25" customHeight="1"/>
    <row r="8654" ht="14.25" customHeight="1"/>
    <row r="8655" ht="14.25" customHeight="1"/>
    <row r="8656" ht="14.25" customHeight="1"/>
    <row r="8657" ht="14.25" customHeight="1"/>
    <row r="8658" ht="14.25" customHeight="1"/>
    <row r="8659" ht="14.25" customHeight="1"/>
    <row r="8660" ht="14.25" customHeight="1"/>
    <row r="8661" ht="14.25" customHeight="1"/>
    <row r="8662" ht="14.25" customHeight="1"/>
    <row r="8663" ht="14.25" customHeight="1"/>
    <row r="8664" ht="14.25" customHeight="1"/>
    <row r="8665" ht="14.25" customHeight="1"/>
    <row r="8666" ht="14.25" customHeight="1"/>
    <row r="8667" ht="14.25" customHeight="1"/>
    <row r="8668" ht="14.25" customHeight="1"/>
    <row r="8669" ht="14.25" customHeight="1"/>
    <row r="8670" ht="14.25" customHeight="1"/>
    <row r="8671" ht="14.25" customHeight="1"/>
    <row r="8672" ht="14.25" customHeight="1"/>
    <row r="8673" ht="14.25" customHeight="1"/>
    <row r="8674" ht="14.25" customHeight="1"/>
    <row r="8675" ht="14.25" customHeight="1"/>
    <row r="8676" ht="14.25" customHeight="1"/>
    <row r="8677" ht="14.25" customHeight="1"/>
    <row r="8678" ht="14.25" customHeight="1"/>
    <row r="8679" ht="14.25" customHeight="1"/>
    <row r="8680" ht="14.25" customHeight="1"/>
    <row r="8681" ht="14.25" customHeight="1"/>
    <row r="8682" ht="14.25" customHeight="1"/>
    <row r="8683" ht="14.25" customHeight="1"/>
    <row r="8684" ht="14.25" customHeight="1"/>
    <row r="8685" ht="14.25" customHeight="1"/>
    <row r="8686" ht="14.25" customHeight="1"/>
    <row r="8687" ht="14.25" customHeight="1"/>
    <row r="8688" ht="14.25" customHeight="1"/>
    <row r="8689" ht="14.25" customHeight="1"/>
    <row r="8690" ht="14.25" customHeight="1"/>
    <row r="8691" ht="14.25" customHeight="1"/>
    <row r="8692" ht="14.25" customHeight="1"/>
    <row r="8693" ht="14.25" customHeight="1"/>
    <row r="8694" ht="14.25" customHeight="1"/>
    <row r="8695" ht="14.25" customHeight="1"/>
    <row r="8696" ht="14.25" customHeight="1"/>
    <row r="8697" ht="14.25" customHeight="1"/>
    <row r="8698" ht="14.25" customHeight="1"/>
    <row r="8699" ht="14.25" customHeight="1"/>
    <row r="8700" ht="14.25" customHeight="1"/>
    <row r="8701" ht="14.25" customHeight="1"/>
    <row r="8702" ht="14.25" customHeight="1"/>
    <row r="8703" ht="14.25" customHeight="1"/>
    <row r="8704" ht="14.25" customHeight="1"/>
    <row r="8705" ht="14.25" customHeight="1"/>
    <row r="8706" ht="14.25" customHeight="1"/>
    <row r="8707" ht="14.25" customHeight="1"/>
    <row r="8708" ht="14.25" customHeight="1"/>
    <row r="8709" ht="14.25" customHeight="1"/>
    <row r="8710" ht="14.25" customHeight="1"/>
    <row r="8711" ht="14.25" customHeight="1"/>
    <row r="8712" ht="14.25" customHeight="1"/>
    <row r="8713" ht="14.25" customHeight="1"/>
    <row r="8714" ht="14.25" customHeight="1"/>
    <row r="8715" ht="14.25" customHeight="1"/>
    <row r="8716" ht="14.25" customHeight="1"/>
    <row r="8717" ht="14.25" customHeight="1"/>
    <row r="8718" ht="14.25" customHeight="1"/>
    <row r="8719" ht="14.25" customHeight="1"/>
    <row r="8720" ht="14.25" customHeight="1"/>
    <row r="8721" ht="14.25" customHeight="1"/>
    <row r="8722" ht="14.25" customHeight="1"/>
    <row r="8723" ht="14.25" customHeight="1"/>
    <row r="8724" ht="14.25" customHeight="1"/>
    <row r="8725" ht="14.25" customHeight="1"/>
    <row r="8726" ht="14.25" customHeight="1"/>
    <row r="8727" ht="14.25" customHeight="1"/>
    <row r="8728" ht="14.25" customHeight="1"/>
    <row r="8729" ht="14.25" customHeight="1"/>
    <row r="8730" ht="14.25" customHeight="1"/>
    <row r="8731" ht="14.25" customHeight="1"/>
    <row r="8732" ht="14.25" customHeight="1"/>
    <row r="8733" ht="14.25" customHeight="1"/>
    <row r="8734" ht="14.25" customHeight="1"/>
    <row r="8735" ht="14.25" customHeight="1"/>
    <row r="8736" ht="14.25" customHeight="1"/>
    <row r="8737" ht="14.25" customHeight="1"/>
    <row r="8738" ht="14.25" customHeight="1"/>
    <row r="8739" ht="14.25" customHeight="1"/>
    <row r="8740" ht="14.25" customHeight="1"/>
    <row r="8741" ht="14.25" customHeight="1"/>
    <row r="8742" ht="14.25" customHeight="1"/>
    <row r="8743" ht="14.25" customHeight="1"/>
    <row r="8744" ht="14.25" customHeight="1"/>
    <row r="8745" ht="14.25" customHeight="1"/>
    <row r="8746" ht="14.25" customHeight="1"/>
    <row r="8747" ht="14.25" customHeight="1"/>
    <row r="8748" ht="14.25" customHeight="1"/>
    <row r="8749" ht="14.25" customHeight="1"/>
    <row r="8750" ht="14.25" customHeight="1"/>
    <row r="8751" ht="14.25" customHeight="1"/>
    <row r="8752" ht="14.25" customHeight="1"/>
    <row r="8753" ht="14.25" customHeight="1"/>
    <row r="8754" ht="14.25" customHeight="1"/>
    <row r="8755" ht="14.25" customHeight="1"/>
    <row r="8756" ht="14.25" customHeight="1"/>
    <row r="8757" ht="14.25" customHeight="1"/>
    <row r="8758" ht="14.25" customHeight="1"/>
    <row r="8759" ht="14.25" customHeight="1"/>
    <row r="8760" ht="14.25" customHeight="1"/>
    <row r="8761" ht="14.25" customHeight="1"/>
    <row r="8762" ht="14.25" customHeight="1"/>
    <row r="8763" ht="14.25" customHeight="1"/>
    <row r="8764" ht="14.25" customHeight="1"/>
    <row r="8765" ht="14.25" customHeight="1"/>
    <row r="8766" ht="14.25" customHeight="1"/>
    <row r="8767" ht="14.25" customHeight="1"/>
    <row r="8768" ht="14.25" customHeight="1"/>
    <row r="8769" ht="14.25" customHeight="1"/>
    <row r="8770" ht="14.25" customHeight="1"/>
    <row r="8771" ht="14.25" customHeight="1"/>
    <row r="8772" ht="14.25" customHeight="1"/>
    <row r="8773" ht="14.25" customHeight="1"/>
    <row r="8774" ht="14.25" customHeight="1"/>
    <row r="8775" ht="14.25" customHeight="1"/>
    <row r="8776" ht="14.25" customHeight="1"/>
    <row r="8777" ht="14.25" customHeight="1"/>
    <row r="8778" ht="14.25" customHeight="1"/>
    <row r="8779" ht="14.25" customHeight="1"/>
    <row r="8780" ht="14.25" customHeight="1"/>
    <row r="8781" ht="14.25" customHeight="1"/>
    <row r="8782" ht="14.25" customHeight="1"/>
    <row r="8783" ht="14.25" customHeight="1"/>
    <row r="8784" ht="14.25" customHeight="1"/>
    <row r="8785" ht="14.25" customHeight="1"/>
    <row r="8786" ht="14.25" customHeight="1"/>
    <row r="8787" ht="14.25" customHeight="1"/>
    <row r="8788" ht="14.25" customHeight="1"/>
    <row r="8789" ht="14.25" customHeight="1"/>
    <row r="8790" ht="14.25" customHeight="1"/>
    <row r="8791" ht="14.25" customHeight="1"/>
    <row r="8792" ht="14.25" customHeight="1"/>
    <row r="8793" ht="14.25" customHeight="1"/>
    <row r="8794" ht="14.25" customHeight="1"/>
    <row r="8795" ht="14.25" customHeight="1"/>
    <row r="8796" ht="14.25" customHeight="1"/>
    <row r="8797" ht="14.25" customHeight="1"/>
    <row r="8798" ht="14.25" customHeight="1"/>
    <row r="8799" ht="14.25" customHeight="1"/>
    <row r="8800" ht="14.25" customHeight="1"/>
    <row r="8801" ht="14.25" customHeight="1"/>
    <row r="8802" ht="14.25" customHeight="1"/>
    <row r="8803" ht="14.25" customHeight="1"/>
    <row r="8804" ht="14.25" customHeight="1"/>
    <row r="8805" ht="14.25" customHeight="1"/>
    <row r="8806" ht="14.25" customHeight="1"/>
    <row r="8807" ht="14.25" customHeight="1"/>
    <row r="8808" ht="14.25" customHeight="1"/>
    <row r="8809" ht="14.25" customHeight="1"/>
    <row r="8810" ht="14.25" customHeight="1"/>
    <row r="8811" ht="14.25" customHeight="1"/>
    <row r="8812" ht="14.25" customHeight="1"/>
    <row r="8813" ht="14.25" customHeight="1"/>
    <row r="8814" ht="14.25" customHeight="1"/>
    <row r="8815" ht="14.25" customHeight="1"/>
    <row r="8816" ht="14.25" customHeight="1"/>
    <row r="8817" ht="14.25" customHeight="1"/>
    <row r="8818" ht="14.25" customHeight="1"/>
    <row r="8819" ht="14.25" customHeight="1"/>
    <row r="8820" ht="14.25" customHeight="1"/>
    <row r="8821" ht="14.25" customHeight="1"/>
    <row r="8822" ht="14.25" customHeight="1"/>
    <row r="8823" ht="14.25" customHeight="1"/>
    <row r="8824" ht="14.25" customHeight="1"/>
    <row r="8825" ht="14.25" customHeight="1"/>
    <row r="8826" ht="14.25" customHeight="1"/>
    <row r="8827" ht="14.25" customHeight="1"/>
    <row r="8828" ht="14.25" customHeight="1"/>
    <row r="8829" ht="14.25" customHeight="1"/>
    <row r="8830" ht="14.25" customHeight="1"/>
    <row r="8831" ht="14.25" customHeight="1"/>
    <row r="8832" ht="14.25" customHeight="1"/>
    <row r="8833" ht="14.25" customHeight="1"/>
    <row r="8834" ht="14.25" customHeight="1"/>
    <row r="8835" ht="14.25" customHeight="1"/>
    <row r="8836" ht="14.25" customHeight="1"/>
    <row r="8837" ht="14.25" customHeight="1"/>
    <row r="8838" ht="14.25" customHeight="1"/>
    <row r="8839" ht="14.25" customHeight="1"/>
    <row r="8840" ht="14.25" customHeight="1"/>
    <row r="8841" ht="14.25" customHeight="1"/>
    <row r="8842" ht="14.25" customHeight="1"/>
    <row r="8843" ht="14.25" customHeight="1"/>
    <row r="8844" ht="14.25" customHeight="1"/>
    <row r="8845" ht="14.25" customHeight="1"/>
    <row r="8846" ht="14.25" customHeight="1"/>
    <row r="8847" ht="14.25" customHeight="1"/>
    <row r="8848" ht="14.25" customHeight="1"/>
    <row r="8849" ht="14.25" customHeight="1"/>
    <row r="8850" ht="14.25" customHeight="1"/>
    <row r="8851" ht="14.25" customHeight="1"/>
    <row r="8852" ht="14.25" customHeight="1"/>
    <row r="8853" ht="14.25" customHeight="1"/>
    <row r="8854" ht="14.25" customHeight="1"/>
    <row r="8855" ht="14.25" customHeight="1"/>
    <row r="8856" ht="14.25" customHeight="1"/>
    <row r="8857" ht="14.25" customHeight="1"/>
    <row r="8858" ht="14.25" customHeight="1"/>
    <row r="8859" ht="14.25" customHeight="1"/>
    <row r="8860" ht="14.25" customHeight="1"/>
    <row r="8861" ht="14.25" customHeight="1"/>
    <row r="8862" ht="14.25" customHeight="1"/>
    <row r="8863" ht="14.25" customHeight="1"/>
    <row r="8864" ht="14.25" customHeight="1"/>
    <row r="8865" ht="14.25" customHeight="1"/>
    <row r="8866" ht="14.25" customHeight="1"/>
    <row r="8867" ht="14.25" customHeight="1"/>
    <row r="8868" ht="14.25" customHeight="1"/>
    <row r="8869" ht="14.25" customHeight="1"/>
    <row r="8870" ht="14.25" customHeight="1"/>
    <row r="8871" ht="14.25" customHeight="1"/>
    <row r="8872" ht="14.25" customHeight="1"/>
    <row r="8873" ht="14.25" customHeight="1"/>
    <row r="8874" ht="14.25" customHeight="1"/>
    <row r="8875" ht="14.25" customHeight="1"/>
    <row r="8876" ht="14.25" customHeight="1"/>
    <row r="8877" ht="14.25" customHeight="1"/>
    <row r="8878" ht="14.25" customHeight="1"/>
    <row r="8879" ht="14.25" customHeight="1"/>
    <row r="8880" ht="14.25" customHeight="1"/>
    <row r="8881" ht="14.25" customHeight="1"/>
    <row r="8882" ht="14.25" customHeight="1"/>
    <row r="8883" ht="14.25" customHeight="1"/>
    <row r="8884" ht="14.25" customHeight="1"/>
    <row r="8885" ht="14.25" customHeight="1"/>
    <row r="8886" ht="14.25" customHeight="1"/>
    <row r="8887" ht="14.25" customHeight="1"/>
    <row r="8888" ht="14.25" customHeight="1"/>
    <row r="8889" ht="14.25" customHeight="1"/>
    <row r="8890" ht="14.25" customHeight="1"/>
    <row r="8891" ht="14.25" customHeight="1"/>
    <row r="8892" ht="14.25" customHeight="1"/>
    <row r="8893" ht="14.25" customHeight="1"/>
    <row r="8894" ht="14.25" customHeight="1"/>
    <row r="8895" ht="14.25" customHeight="1"/>
    <row r="8896" ht="14.25" customHeight="1"/>
    <row r="8897" ht="14.25" customHeight="1"/>
    <row r="8898" ht="14.25" customHeight="1"/>
    <row r="8899" ht="14.25" customHeight="1"/>
    <row r="8900" ht="14.25" customHeight="1"/>
    <row r="8901" ht="14.25" customHeight="1"/>
    <row r="8902" ht="14.25" customHeight="1"/>
    <row r="8903" ht="14.25" customHeight="1"/>
    <row r="8904" ht="14.25" customHeight="1"/>
    <row r="8905" ht="14.25" customHeight="1"/>
    <row r="8906" ht="14.25" customHeight="1"/>
    <row r="8907" ht="14.25" customHeight="1"/>
    <row r="8908" ht="14.25" customHeight="1"/>
    <row r="8909" ht="14.25" customHeight="1"/>
    <row r="8910" ht="14.25" customHeight="1"/>
    <row r="8911" ht="14.25" customHeight="1"/>
    <row r="8912" ht="14.25" customHeight="1"/>
    <row r="8913" ht="14.25" customHeight="1"/>
    <row r="8914" ht="14.25" customHeight="1"/>
    <row r="8915" ht="14.25" customHeight="1"/>
    <row r="8916" ht="14.25" customHeight="1"/>
    <row r="8917" ht="14.25" customHeight="1"/>
    <row r="8918" ht="14.25" customHeight="1"/>
    <row r="8919" ht="14.25" customHeight="1"/>
    <row r="8920" ht="14.25" customHeight="1"/>
    <row r="8921" ht="14.25" customHeight="1"/>
    <row r="8922" ht="14.25" customHeight="1"/>
    <row r="8923" ht="14.25" customHeight="1"/>
    <row r="8924" ht="14.25" customHeight="1"/>
    <row r="8925" ht="14.25" customHeight="1"/>
    <row r="8926" ht="14.25" customHeight="1"/>
    <row r="8927" ht="14.25" customHeight="1"/>
    <row r="8928" ht="14.25" customHeight="1"/>
    <row r="8929" ht="14.25" customHeight="1"/>
    <row r="8930" ht="14.25" customHeight="1"/>
    <row r="8931" ht="14.25" customHeight="1"/>
    <row r="8932" ht="14.25" customHeight="1"/>
    <row r="8933" ht="14.25" customHeight="1"/>
    <row r="8934" ht="14.25" customHeight="1"/>
    <row r="8935" ht="14.25" customHeight="1"/>
    <row r="8936" ht="14.25" customHeight="1"/>
    <row r="8937" ht="14.25" customHeight="1"/>
    <row r="8938" ht="14.25" customHeight="1"/>
    <row r="8939" ht="14.25" customHeight="1"/>
    <row r="8940" ht="14.25" customHeight="1"/>
    <row r="8941" ht="14.25" customHeight="1"/>
    <row r="8942" ht="14.25" customHeight="1"/>
    <row r="8943" ht="14.25" customHeight="1"/>
    <row r="8944" ht="14.25" customHeight="1"/>
    <row r="8945" ht="14.25" customHeight="1"/>
    <row r="8946" ht="14.25" customHeight="1"/>
    <row r="8947" ht="14.25" customHeight="1"/>
    <row r="8948" ht="14.25" customHeight="1"/>
    <row r="8949" ht="14.25" customHeight="1"/>
    <row r="8950" ht="14.25" customHeight="1"/>
    <row r="8951" ht="14.25" customHeight="1"/>
    <row r="8952" ht="14.25" customHeight="1"/>
    <row r="8953" ht="14.25" customHeight="1"/>
    <row r="8954" ht="14.25" customHeight="1"/>
    <row r="8955" ht="14.25" customHeight="1"/>
    <row r="8956" ht="14.25" customHeight="1"/>
    <row r="8957" ht="14.25" customHeight="1"/>
    <row r="8958" ht="14.25" customHeight="1"/>
    <row r="8959" ht="14.25" customHeight="1"/>
    <row r="8960" ht="14.25" customHeight="1"/>
    <row r="8961" ht="14.25" customHeight="1"/>
    <row r="8962" ht="14.25" customHeight="1"/>
    <row r="8963" ht="14.25" customHeight="1"/>
    <row r="8964" ht="14.25" customHeight="1"/>
    <row r="8965" ht="14.25" customHeight="1"/>
    <row r="8966" ht="14.25" customHeight="1"/>
    <row r="8967" ht="14.25" customHeight="1"/>
    <row r="8968" ht="14.25" customHeight="1"/>
    <row r="8969" ht="14.25" customHeight="1"/>
    <row r="8970" ht="14.25" customHeight="1"/>
    <row r="8971" ht="14.25" customHeight="1"/>
    <row r="8972" ht="14.25" customHeight="1"/>
    <row r="8973" ht="14.25" customHeight="1"/>
    <row r="8974" ht="14.25" customHeight="1"/>
    <row r="8975" ht="14.25" customHeight="1"/>
    <row r="8976" ht="14.25" customHeight="1"/>
    <row r="8977" ht="14.25" customHeight="1"/>
    <row r="8978" ht="14.25" customHeight="1"/>
    <row r="8979" ht="14.25" customHeight="1"/>
    <row r="8980" ht="14.25" customHeight="1"/>
    <row r="8981" ht="14.25" customHeight="1"/>
    <row r="8982" ht="14.25" customHeight="1"/>
    <row r="8983" ht="14.25" customHeight="1"/>
    <row r="8984" ht="14.25" customHeight="1"/>
    <row r="8985" ht="14.25" customHeight="1"/>
    <row r="8986" ht="14.25" customHeight="1"/>
    <row r="8987" ht="14.25" customHeight="1"/>
    <row r="8988" ht="14.25" customHeight="1"/>
    <row r="8989" ht="14.25" customHeight="1"/>
    <row r="8990" ht="14.25" customHeight="1"/>
    <row r="8991" ht="14.25" customHeight="1"/>
    <row r="8992" ht="14.25" customHeight="1"/>
    <row r="8993" ht="14.25" customHeight="1"/>
    <row r="8994" ht="14.25" customHeight="1"/>
    <row r="8995" ht="14.25" customHeight="1"/>
    <row r="8996" ht="14.25" customHeight="1"/>
    <row r="8997" ht="14.25" customHeight="1"/>
    <row r="8998" ht="14.25" customHeight="1"/>
    <row r="8999" ht="14.25" customHeight="1"/>
    <row r="9000" ht="14.25" customHeight="1"/>
    <row r="9001" ht="14.25" customHeight="1"/>
    <row r="9002" ht="14.25" customHeight="1"/>
    <row r="9003" ht="14.25" customHeight="1"/>
    <row r="9004" ht="14.25" customHeight="1"/>
    <row r="9005" ht="14.25" customHeight="1"/>
    <row r="9006" ht="14.25" customHeight="1"/>
    <row r="9007" ht="14.25" customHeight="1"/>
    <row r="9008" ht="14.25" customHeight="1"/>
    <row r="9009" ht="14.25" customHeight="1"/>
    <row r="9010" ht="14.25" customHeight="1"/>
    <row r="9011" ht="14.25" customHeight="1"/>
    <row r="9012" ht="14.25" customHeight="1"/>
    <row r="9013" ht="14.25" customHeight="1"/>
    <row r="9014" ht="14.25" customHeight="1"/>
    <row r="9015" ht="14.25" customHeight="1"/>
    <row r="9016" ht="14.25" customHeight="1"/>
    <row r="9017" ht="14.25" customHeight="1"/>
    <row r="9018" ht="14.25" customHeight="1"/>
    <row r="9019" ht="14.25" customHeight="1"/>
    <row r="9020" ht="14.25" customHeight="1"/>
    <row r="9021" ht="14.25" customHeight="1"/>
    <row r="9022" ht="14.25" customHeight="1"/>
    <row r="9023" ht="14.25" customHeight="1"/>
    <row r="9024" ht="14.25" customHeight="1"/>
    <row r="9025" ht="14.25" customHeight="1"/>
    <row r="9026" ht="14.25" customHeight="1"/>
    <row r="9027" ht="14.25" customHeight="1"/>
    <row r="9028" ht="14.25" customHeight="1"/>
    <row r="9029" ht="14.25" customHeight="1"/>
    <row r="9030" ht="14.25" customHeight="1"/>
    <row r="9031" ht="14.25" customHeight="1"/>
    <row r="9032" ht="14.25" customHeight="1"/>
    <row r="9033" ht="14.25" customHeight="1"/>
    <row r="9034" ht="14.25" customHeight="1"/>
    <row r="9035" ht="14.25" customHeight="1"/>
    <row r="9036" ht="14.25" customHeight="1"/>
    <row r="9037" ht="14.25" customHeight="1"/>
    <row r="9038" ht="14.25" customHeight="1"/>
    <row r="9039" ht="14.25" customHeight="1"/>
    <row r="9040" ht="14.25" customHeight="1"/>
    <row r="9041" ht="14.25" customHeight="1"/>
    <row r="9042" ht="14.25" customHeight="1"/>
    <row r="9043" ht="14.25" customHeight="1"/>
    <row r="9044" ht="14.25" customHeight="1"/>
    <row r="9045" ht="14.25" customHeight="1"/>
    <row r="9046" ht="14.25" customHeight="1"/>
    <row r="9047" ht="14.25" customHeight="1"/>
    <row r="9048" ht="14.25" customHeight="1"/>
    <row r="9049" ht="14.25" customHeight="1"/>
    <row r="9050" ht="14.25" customHeight="1"/>
    <row r="9051" ht="14.25" customHeight="1"/>
    <row r="9052" ht="14.25" customHeight="1"/>
    <row r="9053" ht="14.25" customHeight="1"/>
    <row r="9054" ht="14.25" customHeight="1"/>
    <row r="9055" ht="14.25" customHeight="1"/>
    <row r="9056" ht="14.25" customHeight="1"/>
    <row r="9057" ht="14.25" customHeight="1"/>
    <row r="9058" ht="14.25" customHeight="1"/>
    <row r="9059" ht="14.25" customHeight="1"/>
    <row r="9060" ht="14.25" customHeight="1"/>
    <row r="9061" ht="14.25" customHeight="1"/>
    <row r="9062" ht="14.25" customHeight="1"/>
    <row r="9063" ht="14.25" customHeight="1"/>
    <row r="9064" ht="14.25" customHeight="1"/>
    <row r="9065" ht="14.25" customHeight="1"/>
    <row r="9066" ht="14.25" customHeight="1"/>
    <row r="9067" ht="14.25" customHeight="1"/>
    <row r="9068" ht="14.25" customHeight="1"/>
    <row r="9069" ht="14.25" customHeight="1"/>
    <row r="9070" ht="14.25" customHeight="1"/>
    <row r="9071" ht="14.25" customHeight="1"/>
    <row r="9072" ht="14.25" customHeight="1"/>
    <row r="9073" ht="14.25" customHeight="1"/>
    <row r="9074" ht="14.25" customHeight="1"/>
    <row r="9075" ht="14.25" customHeight="1"/>
    <row r="9076" ht="14.25" customHeight="1"/>
    <row r="9077" ht="14.25" customHeight="1"/>
    <row r="9078" ht="14.25" customHeight="1"/>
    <row r="9079" ht="14.25" customHeight="1"/>
    <row r="9080" ht="14.25" customHeight="1"/>
    <row r="9081" ht="14.25" customHeight="1"/>
    <row r="9082" ht="14.25" customHeight="1"/>
    <row r="9083" ht="14.25" customHeight="1"/>
    <row r="9084" ht="14.25" customHeight="1"/>
    <row r="9085" ht="14.25" customHeight="1"/>
    <row r="9086" ht="14.25" customHeight="1"/>
    <row r="9087" ht="14.25" customHeight="1"/>
    <row r="9088" ht="14.25" customHeight="1"/>
    <row r="9089" ht="14.25" customHeight="1"/>
    <row r="9090" ht="14.25" customHeight="1"/>
    <row r="9091" ht="14.25" customHeight="1"/>
    <row r="9092" ht="14.25" customHeight="1"/>
    <row r="9093" ht="14.25" customHeight="1"/>
    <row r="9094" ht="14.25" customHeight="1"/>
    <row r="9095" ht="14.25" customHeight="1"/>
    <row r="9096" ht="14.25" customHeight="1"/>
    <row r="9097" ht="14.25" customHeight="1"/>
    <row r="9098" ht="14.25" customHeight="1"/>
    <row r="9099" ht="14.25" customHeight="1"/>
    <row r="9100" ht="14.25" customHeight="1"/>
    <row r="9101" ht="14.25" customHeight="1"/>
    <row r="9102" ht="14.25" customHeight="1"/>
    <row r="9103" ht="14.25" customHeight="1"/>
    <row r="9104" ht="14.25" customHeight="1"/>
    <row r="9105" ht="14.25" customHeight="1"/>
    <row r="9106" ht="14.25" customHeight="1"/>
    <row r="9107" ht="14.25" customHeight="1"/>
    <row r="9108" ht="14.25" customHeight="1"/>
    <row r="9109" ht="14.25" customHeight="1"/>
    <row r="9110" ht="14.25" customHeight="1"/>
    <row r="9111" ht="14.25" customHeight="1"/>
    <row r="9112" ht="14.25" customHeight="1"/>
    <row r="9113" ht="14.25" customHeight="1"/>
    <row r="9114" ht="14.25" customHeight="1"/>
    <row r="9115" ht="14.25" customHeight="1"/>
    <row r="9116" ht="14.25" customHeight="1"/>
    <row r="9117" ht="14.25" customHeight="1"/>
    <row r="9118" ht="14.25" customHeight="1"/>
    <row r="9119" ht="14.25" customHeight="1"/>
    <row r="9120" ht="14.25" customHeight="1"/>
    <row r="9121" ht="14.25" customHeight="1"/>
    <row r="9122" ht="14.25" customHeight="1"/>
    <row r="9123" ht="14.25" customHeight="1"/>
    <row r="9124" ht="14.25" customHeight="1"/>
    <row r="9125" ht="14.25" customHeight="1"/>
    <row r="9126" ht="14.25" customHeight="1"/>
    <row r="9127" ht="14.25" customHeight="1"/>
    <row r="9128" ht="14.25" customHeight="1"/>
    <row r="9129" ht="14.25" customHeight="1"/>
    <row r="9130" ht="14.25" customHeight="1"/>
    <row r="9131" ht="14.25" customHeight="1"/>
    <row r="9132" ht="14.25" customHeight="1"/>
    <row r="9133" ht="14.25" customHeight="1"/>
    <row r="9134" ht="14.25" customHeight="1"/>
    <row r="9135" ht="14.25" customHeight="1"/>
    <row r="9136" ht="14.25" customHeight="1"/>
    <row r="9137" ht="14.25" customHeight="1"/>
    <row r="9138" ht="14.25" customHeight="1"/>
    <row r="9139" ht="14.25" customHeight="1"/>
    <row r="9140" ht="14.25" customHeight="1"/>
    <row r="9141" ht="14.25" customHeight="1"/>
    <row r="9142" ht="14.25" customHeight="1"/>
    <row r="9143" ht="14.25" customHeight="1"/>
    <row r="9144" ht="14.25" customHeight="1"/>
    <row r="9145" ht="14.25" customHeight="1"/>
    <row r="9146" ht="14.25" customHeight="1"/>
    <row r="9147" ht="14.25" customHeight="1"/>
    <row r="9148" ht="14.25" customHeight="1"/>
    <row r="9149" ht="14.25" customHeight="1"/>
    <row r="9150" ht="14.25" customHeight="1"/>
    <row r="9151" ht="14.25" customHeight="1"/>
    <row r="9152" ht="14.25" customHeight="1"/>
    <row r="9153" ht="14.25" customHeight="1"/>
    <row r="9154" ht="14.25" customHeight="1"/>
    <row r="9155" ht="14.25" customHeight="1"/>
    <row r="9156" ht="14.25" customHeight="1"/>
    <row r="9157" ht="14.25" customHeight="1"/>
    <row r="9158" ht="14.25" customHeight="1"/>
    <row r="9159" ht="14.25" customHeight="1"/>
    <row r="9160" ht="14.25" customHeight="1"/>
    <row r="9161" ht="14.25" customHeight="1"/>
    <row r="9162" ht="14.25" customHeight="1"/>
    <row r="9163" ht="14.25" customHeight="1"/>
    <row r="9164" ht="14.25" customHeight="1"/>
    <row r="9165" ht="14.25" customHeight="1"/>
    <row r="9166" ht="14.25" customHeight="1"/>
    <row r="9167" ht="14.25" customHeight="1"/>
    <row r="9168" ht="14.25" customHeight="1"/>
    <row r="9169" ht="14.25" customHeight="1"/>
    <row r="9170" ht="14.25" customHeight="1"/>
    <row r="9171" ht="14.25" customHeight="1"/>
    <row r="9172" ht="14.25" customHeight="1"/>
    <row r="9173" ht="14.25" customHeight="1"/>
    <row r="9174" ht="14.25" customHeight="1"/>
    <row r="9175" ht="14.25" customHeight="1"/>
    <row r="9176" ht="14.25" customHeight="1"/>
    <row r="9177" ht="14.25" customHeight="1"/>
    <row r="9178" ht="14.25" customHeight="1"/>
    <row r="9179" ht="14.25" customHeight="1"/>
    <row r="9180" ht="14.25" customHeight="1"/>
    <row r="9181" ht="14.25" customHeight="1"/>
    <row r="9182" ht="14.25" customHeight="1"/>
    <row r="9183" ht="14.25" customHeight="1"/>
    <row r="9184" ht="14.25" customHeight="1"/>
    <row r="9185" ht="14.25" customHeight="1"/>
    <row r="9186" ht="14.25" customHeight="1"/>
    <row r="9187" ht="14.25" customHeight="1"/>
    <row r="9188" ht="14.25" customHeight="1"/>
    <row r="9189" ht="14.25" customHeight="1"/>
    <row r="9190" ht="14.25" customHeight="1"/>
    <row r="9191" ht="14.25" customHeight="1"/>
    <row r="9192" ht="14.25" customHeight="1"/>
    <row r="9193" ht="14.25" customHeight="1"/>
    <row r="9194" ht="14.25" customHeight="1"/>
    <row r="9195" ht="14.25" customHeight="1"/>
    <row r="9196" ht="14.25" customHeight="1"/>
    <row r="9197" ht="14.25" customHeight="1"/>
    <row r="9198" ht="14.25" customHeight="1"/>
    <row r="9199" ht="14.25" customHeight="1"/>
    <row r="9200" ht="14.25" customHeight="1"/>
    <row r="9201" ht="14.25" customHeight="1"/>
    <row r="9202" ht="14.25" customHeight="1"/>
    <row r="9203" ht="14.25" customHeight="1"/>
    <row r="9204" ht="14.25" customHeight="1"/>
    <row r="9205" ht="14.25" customHeight="1"/>
    <row r="9206" ht="14.25" customHeight="1"/>
    <row r="9207" ht="14.25" customHeight="1"/>
    <row r="9208" ht="14.25" customHeight="1"/>
    <row r="9209" ht="14.25" customHeight="1"/>
    <row r="9210" ht="14.25" customHeight="1"/>
    <row r="9211" ht="14.25" customHeight="1"/>
    <row r="9212" ht="14.25" customHeight="1"/>
    <row r="9213" ht="14.25" customHeight="1"/>
    <row r="9214" ht="14.25" customHeight="1"/>
    <row r="9215" ht="14.25" customHeight="1"/>
    <row r="9216" ht="14.25" customHeight="1"/>
    <row r="9217" ht="14.25" customHeight="1"/>
    <row r="9218" ht="14.25" customHeight="1"/>
    <row r="9219" ht="14.25" customHeight="1"/>
    <row r="9220" ht="14.25" customHeight="1"/>
    <row r="9221" ht="14.25" customHeight="1"/>
    <row r="9222" ht="14.25" customHeight="1"/>
    <row r="9223" ht="14.25" customHeight="1"/>
    <row r="9224" ht="14.25" customHeight="1"/>
    <row r="9225" ht="14.25" customHeight="1"/>
    <row r="9226" ht="14.25" customHeight="1"/>
    <row r="9227" ht="14.25" customHeight="1"/>
    <row r="9228" ht="14.25" customHeight="1"/>
    <row r="9229" ht="14.25" customHeight="1"/>
    <row r="9230" ht="14.25" customHeight="1"/>
    <row r="9231" ht="14.25" customHeight="1"/>
    <row r="9232" ht="14.25" customHeight="1"/>
    <row r="9233" ht="14.25" customHeight="1"/>
    <row r="9234" ht="14.25" customHeight="1"/>
    <row r="9235" ht="14.25" customHeight="1"/>
    <row r="9236" ht="14.25" customHeight="1"/>
    <row r="9237" ht="14.25" customHeight="1"/>
    <row r="9238" ht="14.25" customHeight="1"/>
    <row r="9239" ht="14.25" customHeight="1"/>
    <row r="9240" ht="14.25" customHeight="1"/>
    <row r="9241" ht="14.25" customHeight="1"/>
    <row r="9242" ht="14.25" customHeight="1"/>
    <row r="9243" ht="14.25" customHeight="1"/>
    <row r="9244" ht="14.25" customHeight="1"/>
    <row r="9245" ht="14.25" customHeight="1"/>
    <row r="9246" ht="14.25" customHeight="1"/>
    <row r="9247" ht="14.25" customHeight="1"/>
    <row r="9248" ht="14.25" customHeight="1"/>
    <row r="9249" ht="14.25" customHeight="1"/>
    <row r="9250" ht="14.25" customHeight="1"/>
    <row r="9251" ht="14.25" customHeight="1"/>
    <row r="9252" ht="14.25" customHeight="1"/>
    <row r="9253" ht="14.25" customHeight="1"/>
    <row r="9254" ht="14.25" customHeight="1"/>
    <row r="9255" ht="14.25" customHeight="1"/>
    <row r="9256" ht="14.25" customHeight="1"/>
    <row r="9257" ht="14.25" customHeight="1"/>
    <row r="9258" ht="14.25" customHeight="1"/>
    <row r="9259" ht="14.25" customHeight="1"/>
    <row r="9260" ht="14.25" customHeight="1"/>
    <row r="9261" ht="14.25" customHeight="1"/>
    <row r="9262" ht="14.25" customHeight="1"/>
    <row r="9263" ht="14.25" customHeight="1"/>
    <row r="9264" ht="14.25" customHeight="1"/>
    <row r="9265" ht="14.25" customHeight="1"/>
    <row r="9266" ht="14.25" customHeight="1"/>
    <row r="9267" ht="14.25" customHeight="1"/>
    <row r="9268" ht="14.25" customHeight="1"/>
    <row r="9269" ht="14.25" customHeight="1"/>
    <row r="9270" ht="14.25" customHeight="1"/>
    <row r="9271" ht="14.25" customHeight="1"/>
    <row r="9272" ht="14.25" customHeight="1"/>
    <row r="9273" ht="14.25" customHeight="1"/>
    <row r="9274" ht="14.25" customHeight="1"/>
    <row r="9275" ht="14.25" customHeight="1"/>
    <row r="9276" ht="14.25" customHeight="1"/>
    <row r="9277" ht="14.25" customHeight="1"/>
    <row r="9278" ht="14.25" customHeight="1"/>
    <row r="9279" ht="14.25" customHeight="1"/>
    <row r="9280" ht="14.25" customHeight="1"/>
    <row r="9281" ht="14.25" customHeight="1"/>
    <row r="9282" ht="14.25" customHeight="1"/>
    <row r="9283" ht="14.25" customHeight="1"/>
    <row r="9284" ht="14.25" customHeight="1"/>
    <row r="9285" ht="14.25" customHeight="1"/>
    <row r="9286" ht="14.25" customHeight="1"/>
    <row r="9287" ht="14.25" customHeight="1"/>
    <row r="9288" ht="14.25" customHeight="1"/>
    <row r="9289" ht="14.25" customHeight="1"/>
    <row r="9290" ht="14.25" customHeight="1"/>
    <row r="9291" ht="14.25" customHeight="1"/>
    <row r="9292" ht="14.25" customHeight="1"/>
    <row r="9293" ht="14.25" customHeight="1"/>
    <row r="9294" ht="14.25" customHeight="1"/>
    <row r="9295" ht="14.25" customHeight="1"/>
    <row r="9296" ht="14.25" customHeight="1"/>
    <row r="9297" ht="14.25" customHeight="1"/>
    <row r="9298" ht="14.25" customHeight="1"/>
    <row r="9299" ht="14.25" customHeight="1"/>
    <row r="9300" ht="14.25" customHeight="1"/>
    <row r="9301" ht="14.25" customHeight="1"/>
    <row r="9302" ht="14.25" customHeight="1"/>
    <row r="9303" ht="14.25" customHeight="1"/>
    <row r="9304" ht="14.25" customHeight="1"/>
    <row r="9305" ht="14.25" customHeight="1"/>
    <row r="9306" ht="14.25" customHeight="1"/>
    <row r="9307" ht="14.25" customHeight="1"/>
    <row r="9308" ht="14.25" customHeight="1"/>
    <row r="9309" ht="14.25" customHeight="1"/>
    <row r="9310" ht="14.25" customHeight="1"/>
    <row r="9311" ht="14.25" customHeight="1"/>
    <row r="9312" ht="14.25" customHeight="1"/>
    <row r="9313" ht="14.25" customHeight="1"/>
    <row r="9314" ht="14.25" customHeight="1"/>
    <row r="9315" ht="14.25" customHeight="1"/>
    <row r="9316" ht="14.25" customHeight="1"/>
    <row r="9317" ht="14.25" customHeight="1"/>
    <row r="9318" ht="14.25" customHeight="1"/>
    <row r="9319" ht="14.25" customHeight="1"/>
    <row r="9320" ht="14.25" customHeight="1"/>
    <row r="9321" ht="14.25" customHeight="1"/>
    <row r="9322" ht="14.25" customHeight="1"/>
    <row r="9323" ht="14.25" customHeight="1"/>
    <row r="9324" ht="14.25" customHeight="1"/>
    <row r="9325" ht="14.25" customHeight="1"/>
    <row r="9326" ht="14.25" customHeight="1"/>
    <row r="9327" ht="14.25" customHeight="1"/>
    <row r="9328" ht="14.25" customHeight="1"/>
    <row r="9329" ht="14.25" customHeight="1"/>
    <row r="9330" ht="14.25" customHeight="1"/>
    <row r="9331" ht="14.25" customHeight="1"/>
    <row r="9332" ht="14.25" customHeight="1"/>
    <row r="9333" ht="14.25" customHeight="1"/>
    <row r="9334" ht="14.25" customHeight="1"/>
    <row r="9335" ht="14.25" customHeight="1"/>
    <row r="9336" ht="14.25" customHeight="1"/>
    <row r="9337" ht="14.25" customHeight="1"/>
    <row r="9338" ht="14.25" customHeight="1"/>
    <row r="9339" ht="14.25" customHeight="1"/>
    <row r="9340" ht="14.25" customHeight="1"/>
    <row r="9341" ht="14.25" customHeight="1"/>
    <row r="9342" ht="14.25" customHeight="1"/>
    <row r="9343" ht="14.25" customHeight="1"/>
    <row r="9344" ht="14.25" customHeight="1"/>
    <row r="9345" ht="14.25" customHeight="1"/>
    <row r="9346" ht="14.25" customHeight="1"/>
    <row r="9347" ht="14.25" customHeight="1"/>
    <row r="9348" ht="14.25" customHeight="1"/>
    <row r="9349" ht="14.25" customHeight="1"/>
    <row r="9350" ht="14.25" customHeight="1"/>
    <row r="9351" ht="14.25" customHeight="1"/>
    <row r="9352" ht="14.25" customHeight="1"/>
    <row r="9353" ht="14.25" customHeight="1"/>
    <row r="9354" ht="14.25" customHeight="1"/>
    <row r="9355" ht="14.25" customHeight="1"/>
    <row r="9356" ht="14.25" customHeight="1"/>
    <row r="9357" ht="14.25" customHeight="1"/>
    <row r="9358" ht="14.25" customHeight="1"/>
    <row r="9359" ht="14.25" customHeight="1"/>
    <row r="9360" ht="14.25" customHeight="1"/>
    <row r="9361" ht="14.25" customHeight="1"/>
    <row r="9362" ht="14.25" customHeight="1"/>
    <row r="9363" ht="14.25" customHeight="1"/>
    <row r="9364" ht="14.25" customHeight="1"/>
    <row r="9365" ht="14.25" customHeight="1"/>
    <row r="9366" ht="14.25" customHeight="1"/>
    <row r="9367" ht="14.25" customHeight="1"/>
    <row r="9368" ht="14.25" customHeight="1"/>
    <row r="9369" ht="14.25" customHeight="1"/>
    <row r="9370" ht="14.25" customHeight="1"/>
    <row r="9371" ht="14.25" customHeight="1"/>
    <row r="9372" ht="14.25" customHeight="1"/>
    <row r="9373" ht="14.25" customHeight="1"/>
    <row r="9374" ht="14.25" customHeight="1"/>
    <row r="9375" ht="14.25" customHeight="1"/>
    <row r="9376" ht="14.25" customHeight="1"/>
    <row r="9377" ht="14.25" customHeight="1"/>
    <row r="9378" ht="14.25" customHeight="1"/>
    <row r="9379" ht="14.25" customHeight="1"/>
    <row r="9380" ht="14.25" customHeight="1"/>
    <row r="9381" ht="14.25" customHeight="1"/>
    <row r="9382" ht="14.25" customHeight="1"/>
    <row r="9383" ht="14.25" customHeight="1"/>
    <row r="9384" ht="14.25" customHeight="1"/>
    <row r="9385" ht="14.25" customHeight="1"/>
    <row r="9386" ht="14.25" customHeight="1"/>
    <row r="9387" ht="14.25" customHeight="1"/>
    <row r="9388" ht="14.25" customHeight="1"/>
    <row r="9389" ht="14.25" customHeight="1"/>
    <row r="9390" ht="14.25" customHeight="1"/>
    <row r="9391" ht="14.25" customHeight="1"/>
    <row r="9392" ht="14.25" customHeight="1"/>
    <row r="9393" ht="14.25" customHeight="1"/>
    <row r="9394" ht="14.25" customHeight="1"/>
    <row r="9395" ht="14.25" customHeight="1"/>
    <row r="9396" ht="14.25" customHeight="1"/>
    <row r="9397" ht="14.25" customHeight="1"/>
    <row r="9398" ht="14.25" customHeight="1"/>
    <row r="9399" ht="14.25" customHeight="1"/>
    <row r="9400" ht="14.25" customHeight="1"/>
    <row r="9401" ht="14.25" customHeight="1"/>
    <row r="9402" ht="14.25" customHeight="1"/>
    <row r="9403" ht="14.25" customHeight="1"/>
    <row r="9404" ht="14.25" customHeight="1"/>
    <row r="9405" ht="14.25" customHeight="1"/>
    <row r="9406" ht="14.25" customHeight="1"/>
    <row r="9407" ht="14.25" customHeight="1"/>
    <row r="9408" ht="14.25" customHeight="1"/>
    <row r="9409" ht="14.25" customHeight="1"/>
    <row r="9410" ht="14.25" customHeight="1"/>
    <row r="9411" ht="14.25" customHeight="1"/>
    <row r="9412" ht="14.25" customHeight="1"/>
    <row r="9413" ht="14.25" customHeight="1"/>
    <row r="9414" ht="14.25" customHeight="1"/>
    <row r="9415" ht="14.25" customHeight="1"/>
    <row r="9416" ht="14.25" customHeight="1"/>
    <row r="9417" ht="14.25" customHeight="1"/>
    <row r="9418" ht="14.25" customHeight="1"/>
    <row r="9419" ht="14.25" customHeight="1"/>
    <row r="9420" ht="14.25" customHeight="1"/>
    <row r="9421" ht="14.25" customHeight="1"/>
    <row r="9422" ht="14.25" customHeight="1"/>
    <row r="9423" ht="14.25" customHeight="1"/>
    <row r="9424" ht="14.25" customHeight="1"/>
    <row r="9425" ht="14.25" customHeight="1"/>
    <row r="9426" ht="14.25" customHeight="1"/>
    <row r="9427" ht="14.25" customHeight="1"/>
    <row r="9428" ht="14.25" customHeight="1"/>
    <row r="9429" ht="14.25" customHeight="1"/>
    <row r="9430" ht="14.25" customHeight="1"/>
    <row r="9431" ht="14.25" customHeight="1"/>
    <row r="9432" ht="14.25" customHeight="1"/>
    <row r="9433" ht="14.25" customHeight="1"/>
    <row r="9434" ht="14.25" customHeight="1"/>
    <row r="9435" ht="14.25" customHeight="1"/>
    <row r="9436" ht="14.25" customHeight="1"/>
    <row r="9437" ht="14.25" customHeight="1"/>
    <row r="9438" ht="14.25" customHeight="1"/>
    <row r="9439" ht="14.25" customHeight="1"/>
    <row r="9440" ht="14.25" customHeight="1"/>
    <row r="9441" ht="14.25" customHeight="1"/>
    <row r="9442" ht="14.25" customHeight="1"/>
    <row r="9443" ht="14.25" customHeight="1"/>
    <row r="9444" ht="14.25" customHeight="1"/>
    <row r="9445" ht="14.25" customHeight="1"/>
    <row r="9446" ht="14.25" customHeight="1"/>
    <row r="9447" ht="14.25" customHeight="1"/>
    <row r="9448" ht="14.25" customHeight="1"/>
    <row r="9449" ht="14.25" customHeight="1"/>
    <row r="9450" ht="14.25" customHeight="1"/>
    <row r="9451" ht="14.25" customHeight="1"/>
    <row r="9452" ht="14.25" customHeight="1"/>
    <row r="9453" ht="14.25" customHeight="1"/>
    <row r="9454" ht="14.25" customHeight="1"/>
    <row r="9455" ht="14.25" customHeight="1"/>
    <row r="9456" ht="14.25" customHeight="1"/>
    <row r="9457" ht="14.25" customHeight="1"/>
    <row r="9458" ht="14.25" customHeight="1"/>
    <row r="9459" ht="14.25" customHeight="1"/>
    <row r="9460" ht="14.25" customHeight="1"/>
    <row r="9461" ht="14.25" customHeight="1"/>
    <row r="9462" ht="14.25" customHeight="1"/>
    <row r="9463" ht="14.25" customHeight="1"/>
    <row r="9464" ht="14.25" customHeight="1"/>
    <row r="9465" ht="14.25" customHeight="1"/>
    <row r="9466" ht="14.25" customHeight="1"/>
    <row r="9467" ht="14.25" customHeight="1"/>
    <row r="9468" ht="14.25" customHeight="1"/>
    <row r="9469" ht="14.25" customHeight="1"/>
    <row r="9470" ht="14.25" customHeight="1"/>
    <row r="9471" ht="14.25" customHeight="1"/>
    <row r="9472" ht="14.25" customHeight="1"/>
    <row r="9473" ht="14.25" customHeight="1"/>
    <row r="9474" ht="14.25" customHeight="1"/>
    <row r="9475" ht="14.25" customHeight="1"/>
    <row r="9476" ht="14.25" customHeight="1"/>
    <row r="9477" ht="14.25" customHeight="1"/>
    <row r="9478" ht="14.25" customHeight="1"/>
    <row r="9479" ht="14.25" customHeight="1"/>
    <row r="9480" ht="14.25" customHeight="1"/>
    <row r="9481" ht="14.25" customHeight="1"/>
    <row r="9482" ht="14.25" customHeight="1"/>
    <row r="9483" ht="14.25" customHeight="1"/>
    <row r="9484" ht="14.25" customHeight="1"/>
    <row r="9485" ht="14.25" customHeight="1"/>
    <row r="9486" ht="14.25" customHeight="1"/>
    <row r="9487" ht="14.25" customHeight="1"/>
    <row r="9488" ht="14.25" customHeight="1"/>
    <row r="9489" ht="14.25" customHeight="1"/>
    <row r="9490" ht="14.25" customHeight="1"/>
    <row r="9491" ht="14.25" customHeight="1"/>
    <row r="9492" ht="14.25" customHeight="1"/>
    <row r="9493" ht="14.25" customHeight="1"/>
    <row r="9494" ht="14.25" customHeight="1"/>
    <row r="9495" ht="14.25" customHeight="1"/>
    <row r="9496" ht="14.25" customHeight="1"/>
    <row r="9497" ht="14.25" customHeight="1"/>
    <row r="9498" ht="14.25" customHeight="1"/>
    <row r="9499" ht="14.25" customHeight="1"/>
    <row r="9500" ht="14.25" customHeight="1"/>
    <row r="9501" ht="14.25" customHeight="1"/>
    <row r="9502" ht="14.25" customHeight="1"/>
    <row r="9503" ht="14.25" customHeight="1"/>
    <row r="9504" ht="14.25" customHeight="1"/>
    <row r="9505" ht="14.25" customHeight="1"/>
    <row r="9506" ht="14.25" customHeight="1"/>
    <row r="9507" ht="14.25" customHeight="1"/>
    <row r="9508" ht="14.25" customHeight="1"/>
    <row r="9509" ht="14.25" customHeight="1"/>
    <row r="9510" ht="14.25" customHeight="1"/>
    <row r="9511" ht="14.25" customHeight="1"/>
    <row r="9512" ht="14.25" customHeight="1"/>
    <row r="9513" ht="14.25" customHeight="1"/>
    <row r="9514" ht="14.25" customHeight="1"/>
    <row r="9515" ht="14.25" customHeight="1"/>
    <row r="9516" ht="14.25" customHeight="1"/>
    <row r="9517" ht="14.25" customHeight="1"/>
    <row r="9518" ht="14.25" customHeight="1"/>
    <row r="9519" ht="14.25" customHeight="1"/>
    <row r="9520" ht="14.25" customHeight="1"/>
    <row r="9521" ht="14.25" customHeight="1"/>
    <row r="9522" ht="14.25" customHeight="1"/>
    <row r="9523" ht="14.25" customHeight="1"/>
    <row r="9524" ht="14.25" customHeight="1"/>
    <row r="9525" ht="14.25" customHeight="1"/>
    <row r="9526" ht="14.25" customHeight="1"/>
    <row r="9527" ht="14.25" customHeight="1"/>
    <row r="9528" ht="14.25" customHeight="1"/>
    <row r="9529" ht="14.25" customHeight="1"/>
    <row r="9530" ht="14.25" customHeight="1"/>
    <row r="9531" ht="14.25" customHeight="1"/>
    <row r="9532" ht="14.25" customHeight="1"/>
    <row r="9533" ht="14.25" customHeight="1"/>
    <row r="9534" ht="14.25" customHeight="1"/>
    <row r="9535" ht="14.25" customHeight="1"/>
    <row r="9536" ht="14.25" customHeight="1"/>
    <row r="9537" ht="14.25" customHeight="1"/>
    <row r="9538" ht="14.25" customHeight="1"/>
    <row r="9539" ht="14.25" customHeight="1"/>
    <row r="9540" ht="14.25" customHeight="1"/>
    <row r="9541" ht="14.25" customHeight="1"/>
    <row r="9542" ht="14.25" customHeight="1"/>
    <row r="9543" ht="14.25" customHeight="1"/>
    <row r="9544" ht="14.25" customHeight="1"/>
    <row r="9545" ht="14.25" customHeight="1"/>
    <row r="9546" ht="14.25" customHeight="1"/>
    <row r="9547" ht="14.25" customHeight="1"/>
    <row r="9548" ht="14.25" customHeight="1"/>
    <row r="9549" ht="14.25" customHeight="1"/>
    <row r="9550" ht="14.25" customHeight="1"/>
    <row r="9551" ht="14.25" customHeight="1"/>
    <row r="9552" ht="14.25" customHeight="1"/>
    <row r="9553" ht="14.25" customHeight="1"/>
    <row r="9554" ht="14.25" customHeight="1"/>
    <row r="9555" ht="14.25" customHeight="1"/>
    <row r="9556" ht="14.25" customHeight="1"/>
    <row r="9557" ht="14.25" customHeight="1"/>
    <row r="9558" ht="14.25" customHeight="1"/>
    <row r="9559" ht="14.25" customHeight="1"/>
    <row r="9560" ht="14.25" customHeight="1"/>
    <row r="9561" ht="14.25" customHeight="1"/>
    <row r="9562" ht="14.25" customHeight="1"/>
    <row r="9563" ht="14.25" customHeight="1"/>
    <row r="9564" ht="14.25" customHeight="1"/>
    <row r="9565" ht="14.25" customHeight="1"/>
    <row r="9566" ht="14.25" customHeight="1"/>
    <row r="9567" ht="14.25" customHeight="1"/>
    <row r="9568" ht="14.25" customHeight="1"/>
    <row r="9569" ht="14.25" customHeight="1"/>
    <row r="9570" ht="14.25" customHeight="1"/>
    <row r="9571" ht="14.25" customHeight="1"/>
    <row r="9572" ht="14.25" customHeight="1"/>
    <row r="9573" ht="14.25" customHeight="1"/>
    <row r="9574" ht="14.25" customHeight="1"/>
    <row r="9575" ht="14.25" customHeight="1"/>
    <row r="9576" ht="14.25" customHeight="1"/>
    <row r="9577" ht="14.25" customHeight="1"/>
    <row r="9578" ht="14.25" customHeight="1"/>
    <row r="9579" ht="14.25" customHeight="1"/>
    <row r="9580" ht="14.25" customHeight="1"/>
    <row r="9581" ht="14.25" customHeight="1"/>
    <row r="9582" ht="14.25" customHeight="1"/>
    <row r="9583" ht="14.25" customHeight="1"/>
    <row r="9584" ht="14.25" customHeight="1"/>
    <row r="9585" ht="14.25" customHeight="1"/>
    <row r="9586" ht="14.25" customHeight="1"/>
    <row r="9587" ht="14.25" customHeight="1"/>
    <row r="9588" ht="14.25" customHeight="1"/>
    <row r="9589" ht="14.25" customHeight="1"/>
    <row r="9590" ht="14.25" customHeight="1"/>
    <row r="9591" ht="14.25" customHeight="1"/>
    <row r="9592" ht="14.25" customHeight="1"/>
    <row r="9593" ht="14.25" customHeight="1"/>
    <row r="9594" ht="14.25" customHeight="1"/>
    <row r="9595" ht="14.25" customHeight="1"/>
    <row r="9596" ht="14.25" customHeight="1"/>
    <row r="9597" ht="14.25" customHeight="1"/>
    <row r="9598" ht="14.25" customHeight="1"/>
    <row r="9599" ht="14.25" customHeight="1"/>
    <row r="9600" ht="14.25" customHeight="1"/>
    <row r="9601" ht="14.25" customHeight="1"/>
    <row r="9602" ht="14.25" customHeight="1"/>
    <row r="9603" ht="14.25" customHeight="1"/>
    <row r="9604" ht="14.25" customHeight="1"/>
    <row r="9605" ht="14.25" customHeight="1"/>
    <row r="9606" ht="14.25" customHeight="1"/>
    <row r="9607" ht="14.25" customHeight="1"/>
    <row r="9608" ht="14.25" customHeight="1"/>
    <row r="9609" ht="14.25" customHeight="1"/>
    <row r="9610" ht="14.25" customHeight="1"/>
    <row r="9611" ht="14.25" customHeight="1"/>
    <row r="9612" ht="14.25" customHeight="1"/>
    <row r="9613" ht="14.25" customHeight="1"/>
    <row r="9614" ht="14.25" customHeight="1"/>
    <row r="9615" ht="14.25" customHeight="1"/>
    <row r="9616" ht="14.25" customHeight="1"/>
    <row r="9617" ht="14.25" customHeight="1"/>
    <row r="9618" ht="14.25" customHeight="1"/>
    <row r="9619" ht="14.25" customHeight="1"/>
    <row r="9620" ht="14.25" customHeight="1"/>
    <row r="9621" ht="14.25" customHeight="1"/>
    <row r="9622" ht="14.25" customHeight="1"/>
    <row r="9623" ht="14.25" customHeight="1"/>
    <row r="9624" ht="14.25" customHeight="1"/>
    <row r="9625" ht="14.25" customHeight="1"/>
    <row r="9626" ht="14.25" customHeight="1"/>
    <row r="9627" ht="14.25" customHeight="1"/>
    <row r="9628" ht="14.25" customHeight="1"/>
    <row r="9629" ht="14.25" customHeight="1"/>
    <row r="9630" ht="14.25" customHeight="1"/>
    <row r="9631" ht="14.25" customHeight="1"/>
    <row r="9632" ht="14.25" customHeight="1"/>
    <row r="9633" ht="14.25" customHeight="1"/>
    <row r="9634" ht="14.25" customHeight="1"/>
    <row r="9635" ht="14.25" customHeight="1"/>
    <row r="9636" ht="14.25" customHeight="1"/>
    <row r="9637" ht="14.25" customHeight="1"/>
    <row r="9638" ht="14.25" customHeight="1"/>
    <row r="9639" ht="14.25" customHeight="1"/>
    <row r="9640" ht="14.25" customHeight="1"/>
    <row r="9641" ht="14.25" customHeight="1"/>
    <row r="9642" ht="14.25" customHeight="1"/>
    <row r="9643" ht="14.25" customHeight="1"/>
    <row r="9644" ht="14.25" customHeight="1"/>
    <row r="9645" ht="14.25" customHeight="1"/>
    <row r="9646" ht="14.25" customHeight="1"/>
    <row r="9647" ht="14.25" customHeight="1"/>
    <row r="9648" ht="14.25" customHeight="1"/>
    <row r="9649" ht="14.25" customHeight="1"/>
    <row r="9650" ht="14.25" customHeight="1"/>
    <row r="9651" ht="14.25" customHeight="1"/>
    <row r="9652" ht="14.25" customHeight="1"/>
    <row r="9653" ht="14.25" customHeight="1"/>
    <row r="9654" ht="14.25" customHeight="1"/>
    <row r="9655" ht="14.25" customHeight="1"/>
    <row r="9656" ht="14.25" customHeight="1"/>
    <row r="9657" ht="14.25" customHeight="1"/>
    <row r="9658" ht="14.25" customHeight="1"/>
    <row r="9659" ht="14.25" customHeight="1"/>
    <row r="9660" ht="14.25" customHeight="1"/>
    <row r="9661" ht="14.25" customHeight="1"/>
    <row r="9662" ht="14.25" customHeight="1"/>
    <row r="9663" ht="14.25" customHeight="1"/>
    <row r="9664" ht="14.25" customHeight="1"/>
    <row r="9665" ht="14.25" customHeight="1"/>
    <row r="9666" ht="14.25" customHeight="1"/>
    <row r="9667" ht="14.25" customHeight="1"/>
    <row r="9668" ht="14.25" customHeight="1"/>
    <row r="9669" ht="14.25" customHeight="1"/>
    <row r="9670" ht="14.25" customHeight="1"/>
    <row r="9671" ht="14.25" customHeight="1"/>
    <row r="9672" ht="14.25" customHeight="1"/>
    <row r="9673" ht="14.25" customHeight="1"/>
    <row r="9674" ht="14.25" customHeight="1"/>
    <row r="9675" ht="14.25" customHeight="1"/>
    <row r="9676" ht="14.25" customHeight="1"/>
    <row r="9677" ht="14.25" customHeight="1"/>
    <row r="9678" ht="14.25" customHeight="1"/>
    <row r="9679" ht="14.25" customHeight="1"/>
    <row r="9680" ht="14.25" customHeight="1"/>
    <row r="9681" ht="14.25" customHeight="1"/>
    <row r="9682" ht="14.25" customHeight="1"/>
    <row r="9683" ht="14.25" customHeight="1"/>
    <row r="9684" ht="14.25" customHeight="1"/>
    <row r="9685" ht="14.25" customHeight="1"/>
    <row r="9686" ht="14.25" customHeight="1"/>
    <row r="9687" ht="14.25" customHeight="1"/>
    <row r="9688" ht="14.25" customHeight="1"/>
    <row r="9689" ht="14.25" customHeight="1"/>
    <row r="9690" ht="14.25" customHeight="1"/>
    <row r="9691" ht="14.25" customHeight="1"/>
    <row r="9692" ht="14.25" customHeight="1"/>
    <row r="9693" ht="14.25" customHeight="1"/>
    <row r="9694" ht="14.25" customHeight="1"/>
    <row r="9695" ht="14.25" customHeight="1"/>
    <row r="9696" ht="14.25" customHeight="1"/>
    <row r="9697" ht="14.25" customHeight="1"/>
    <row r="9698" ht="14.25" customHeight="1"/>
    <row r="9699" ht="14.25" customHeight="1"/>
    <row r="9700" ht="14.25" customHeight="1"/>
    <row r="9701" ht="14.25" customHeight="1"/>
    <row r="9702" ht="14.25" customHeight="1"/>
    <row r="9703" ht="14.25" customHeight="1"/>
    <row r="9704" ht="14.25" customHeight="1"/>
    <row r="9705" ht="14.25" customHeight="1"/>
    <row r="9706" ht="14.25" customHeight="1"/>
    <row r="9707" ht="14.25" customHeight="1"/>
    <row r="9708" ht="14.25" customHeight="1"/>
    <row r="9709" ht="14.25" customHeight="1"/>
    <row r="9710" ht="14.25" customHeight="1"/>
    <row r="9711" ht="14.25" customHeight="1"/>
    <row r="9712" ht="14.25" customHeight="1"/>
    <row r="9713" ht="14.25" customHeight="1"/>
    <row r="9714" ht="14.25" customHeight="1"/>
    <row r="9715" ht="14.25" customHeight="1"/>
    <row r="9716" ht="14.25" customHeight="1"/>
    <row r="9717" ht="14.25" customHeight="1"/>
    <row r="9718" ht="14.25" customHeight="1"/>
    <row r="9719" ht="14.25" customHeight="1"/>
    <row r="9720" ht="14.25" customHeight="1"/>
    <row r="9721" ht="14.25" customHeight="1"/>
    <row r="9722" ht="14.25" customHeight="1"/>
    <row r="9723" ht="14.25" customHeight="1"/>
    <row r="9724" ht="14.25" customHeight="1"/>
    <row r="9725" ht="14.25" customHeight="1"/>
    <row r="9726" ht="14.25" customHeight="1"/>
    <row r="9727" ht="14.25" customHeight="1"/>
    <row r="9728" ht="14.25" customHeight="1"/>
    <row r="9729" ht="14.25" customHeight="1"/>
    <row r="9730" ht="14.25" customHeight="1"/>
    <row r="9731" ht="14.25" customHeight="1"/>
    <row r="9732" ht="14.25" customHeight="1"/>
    <row r="9733" ht="14.25" customHeight="1"/>
    <row r="9734" ht="14.25" customHeight="1"/>
    <row r="9735" ht="14.25" customHeight="1"/>
    <row r="9736" ht="14.25" customHeight="1"/>
    <row r="9737" ht="14.25" customHeight="1"/>
    <row r="9738" ht="14.25" customHeight="1"/>
    <row r="9739" ht="14.25" customHeight="1"/>
    <row r="9740" ht="14.25" customHeight="1"/>
    <row r="9741" ht="14.25" customHeight="1"/>
    <row r="9742" ht="14.25" customHeight="1"/>
    <row r="9743" ht="14.25" customHeight="1"/>
    <row r="9744" ht="14.25" customHeight="1"/>
    <row r="9745" ht="14.25" customHeight="1"/>
    <row r="9746" ht="14.25" customHeight="1"/>
    <row r="9747" ht="14.25" customHeight="1"/>
    <row r="9748" ht="14.25" customHeight="1"/>
    <row r="9749" ht="14.25" customHeight="1"/>
    <row r="9750" ht="14.25" customHeight="1"/>
    <row r="9751" ht="14.25" customHeight="1"/>
    <row r="9752" ht="14.25" customHeight="1"/>
    <row r="9753" ht="14.25" customHeight="1"/>
    <row r="9754" ht="14.25" customHeight="1"/>
    <row r="9755" ht="14.25" customHeight="1"/>
    <row r="9756" ht="14.25" customHeight="1"/>
    <row r="9757" ht="14.25" customHeight="1"/>
    <row r="9758" ht="14.25" customHeight="1"/>
    <row r="9759" ht="14.25" customHeight="1"/>
    <row r="9760" ht="14.25" customHeight="1"/>
    <row r="9761" ht="14.25" customHeight="1"/>
    <row r="9762" ht="14.25" customHeight="1"/>
    <row r="9763" ht="14.25" customHeight="1"/>
    <row r="9764" ht="14.25" customHeight="1"/>
    <row r="9765" ht="14.25" customHeight="1"/>
    <row r="9766" ht="14.25" customHeight="1"/>
    <row r="9767" ht="14.25" customHeight="1"/>
    <row r="9768" ht="14.25" customHeight="1"/>
    <row r="9769" ht="14.25" customHeight="1"/>
    <row r="9770" ht="14.25" customHeight="1"/>
    <row r="9771" ht="14.25" customHeight="1"/>
    <row r="9772" ht="14.25" customHeight="1"/>
    <row r="9773" ht="14.25" customHeight="1"/>
    <row r="9774" ht="14.25" customHeight="1"/>
    <row r="9775" ht="14.25" customHeight="1"/>
    <row r="9776" ht="14.25" customHeight="1"/>
    <row r="9777" ht="14.25" customHeight="1"/>
    <row r="9778" ht="14.25" customHeight="1"/>
    <row r="9779" ht="14.25" customHeight="1"/>
    <row r="9780" ht="14.25" customHeight="1"/>
    <row r="9781" ht="14.25" customHeight="1"/>
    <row r="9782" ht="14.25" customHeight="1"/>
    <row r="9783" ht="14.25" customHeight="1"/>
    <row r="9784" ht="14.25" customHeight="1"/>
    <row r="9785" ht="14.25" customHeight="1"/>
    <row r="9786" ht="14.25" customHeight="1"/>
    <row r="9787" ht="14.25" customHeight="1"/>
    <row r="9788" ht="14.25" customHeight="1"/>
    <row r="9789" ht="14.25" customHeight="1"/>
    <row r="9790" ht="14.25" customHeight="1"/>
    <row r="9791" ht="14.25" customHeight="1"/>
    <row r="9792" ht="14.25" customHeight="1"/>
    <row r="9793" ht="14.25" customHeight="1"/>
    <row r="9794" ht="14.25" customHeight="1"/>
    <row r="9795" ht="14.25" customHeight="1"/>
    <row r="9796" ht="14.25" customHeight="1"/>
    <row r="9797" ht="14.25" customHeight="1"/>
    <row r="9798" ht="14.25" customHeight="1"/>
    <row r="9799" ht="14.25" customHeight="1"/>
    <row r="9800" ht="14.25" customHeight="1"/>
    <row r="9801" ht="14.25" customHeight="1"/>
    <row r="9802" ht="14.25" customHeight="1"/>
    <row r="9803" ht="14.25" customHeight="1"/>
    <row r="9804" ht="14.25" customHeight="1"/>
    <row r="9805" ht="14.25" customHeight="1"/>
    <row r="9806" ht="14.25" customHeight="1"/>
    <row r="9807" ht="14.25" customHeight="1"/>
    <row r="9808" ht="14.25" customHeight="1"/>
    <row r="9809" ht="14.25" customHeight="1"/>
    <row r="9810" ht="14.25" customHeight="1"/>
    <row r="9811" ht="14.25" customHeight="1"/>
    <row r="9812" ht="14.25" customHeight="1"/>
    <row r="9813" ht="14.25" customHeight="1"/>
    <row r="9814" ht="14.25" customHeight="1"/>
    <row r="9815" ht="14.25" customHeight="1"/>
    <row r="9816" ht="14.25" customHeight="1"/>
    <row r="9817" ht="14.25" customHeight="1"/>
    <row r="9818" ht="14.25" customHeight="1"/>
    <row r="9819" ht="14.25" customHeight="1"/>
    <row r="9820" ht="14.25" customHeight="1"/>
    <row r="9821" ht="14.25" customHeight="1"/>
    <row r="9822" ht="14.25" customHeight="1"/>
    <row r="9823" ht="14.25" customHeight="1"/>
    <row r="9824" ht="14.25" customHeight="1"/>
    <row r="9825" ht="14.25" customHeight="1"/>
    <row r="9826" ht="14.25" customHeight="1"/>
    <row r="9827" ht="14.25" customHeight="1"/>
    <row r="9828" ht="14.25" customHeight="1"/>
    <row r="9829" ht="14.25" customHeight="1"/>
    <row r="9830" ht="14.25" customHeight="1"/>
    <row r="9831" ht="14.25" customHeight="1"/>
    <row r="9832" ht="14.25" customHeight="1"/>
    <row r="9833" ht="14.25" customHeight="1"/>
    <row r="9834" ht="14.25" customHeight="1"/>
    <row r="9835" ht="14.25" customHeight="1"/>
    <row r="9836" ht="14.25" customHeight="1"/>
    <row r="9837" ht="14.25" customHeight="1"/>
    <row r="9838" ht="14.25" customHeight="1"/>
    <row r="9839" ht="14.25" customHeight="1"/>
    <row r="9840" ht="14.25" customHeight="1"/>
    <row r="9841" ht="14.25" customHeight="1"/>
    <row r="9842" ht="14.25" customHeight="1"/>
    <row r="9843" ht="14.25" customHeight="1"/>
    <row r="9844" ht="14.25" customHeight="1"/>
    <row r="9845" ht="14.25" customHeight="1"/>
    <row r="9846" ht="14.25" customHeight="1"/>
    <row r="9847" ht="14.25" customHeight="1"/>
    <row r="9848" ht="14.25" customHeight="1"/>
    <row r="9849" ht="14.25" customHeight="1"/>
    <row r="9850" ht="14.25" customHeight="1"/>
    <row r="9851" ht="14.25" customHeight="1"/>
    <row r="9852" ht="14.25" customHeight="1"/>
    <row r="9853" ht="14.25" customHeight="1"/>
    <row r="9854" ht="14.25" customHeight="1"/>
    <row r="9855" ht="14.25" customHeight="1"/>
    <row r="9856" ht="14.25" customHeight="1"/>
    <row r="9857" ht="14.25" customHeight="1"/>
    <row r="9858" ht="14.25" customHeight="1"/>
    <row r="9859" ht="14.25" customHeight="1"/>
    <row r="9860" ht="14.25" customHeight="1"/>
    <row r="9861" ht="14.25" customHeight="1"/>
    <row r="9862" ht="14.25" customHeight="1"/>
    <row r="9863" ht="14.25" customHeight="1"/>
    <row r="9864" ht="14.25" customHeight="1"/>
    <row r="9865" ht="14.25" customHeight="1"/>
    <row r="9866" ht="14.25" customHeight="1"/>
    <row r="9867" ht="14.25" customHeight="1"/>
    <row r="9868" ht="14.25" customHeight="1"/>
    <row r="9869" ht="14.25" customHeight="1"/>
    <row r="9870" ht="14.25" customHeight="1"/>
    <row r="9871" ht="14.25" customHeight="1"/>
    <row r="9872" ht="14.25" customHeight="1"/>
    <row r="9873" ht="14.25" customHeight="1"/>
    <row r="9874" ht="14.25" customHeight="1"/>
    <row r="9875" ht="14.25" customHeight="1"/>
    <row r="9876" ht="14.25" customHeight="1"/>
    <row r="9877" ht="14.25" customHeight="1"/>
    <row r="9878" ht="14.25" customHeight="1"/>
    <row r="9879" ht="14.25" customHeight="1"/>
    <row r="9880" ht="14.25" customHeight="1"/>
    <row r="9881" ht="14.25" customHeight="1"/>
    <row r="9882" ht="14.25" customHeight="1"/>
    <row r="9883" ht="14.25" customHeight="1"/>
    <row r="9884" ht="14.25" customHeight="1"/>
    <row r="9885" ht="14.25" customHeight="1"/>
    <row r="9886" ht="14.25" customHeight="1"/>
    <row r="9887" ht="14.25" customHeight="1"/>
    <row r="9888" ht="14.25" customHeight="1"/>
    <row r="9889" ht="14.25" customHeight="1"/>
    <row r="9890" ht="14.25" customHeight="1"/>
    <row r="9891" ht="14.25" customHeight="1"/>
    <row r="9892" ht="14.25" customHeight="1"/>
    <row r="9893" ht="14.25" customHeight="1"/>
    <row r="9894" ht="14.25" customHeight="1"/>
    <row r="9895" ht="14.25" customHeight="1"/>
    <row r="9896" ht="14.25" customHeight="1"/>
    <row r="9897" ht="14.25" customHeight="1"/>
    <row r="9898" ht="14.25" customHeight="1"/>
    <row r="9899" ht="14.25" customHeight="1"/>
    <row r="9900" ht="14.25" customHeight="1"/>
    <row r="9901" ht="14.25" customHeight="1"/>
    <row r="9902" ht="14.25" customHeight="1"/>
    <row r="9903" ht="14.25" customHeight="1"/>
    <row r="9904" ht="14.25" customHeight="1"/>
    <row r="9905" ht="14.25" customHeight="1"/>
    <row r="9906" ht="14.25" customHeight="1"/>
    <row r="9907" ht="14.25" customHeight="1"/>
    <row r="9908" ht="14.25" customHeight="1"/>
    <row r="9909" ht="14.25" customHeight="1"/>
    <row r="9910" ht="14.25" customHeight="1"/>
    <row r="9911" ht="14.25" customHeight="1"/>
    <row r="9912" ht="14.25" customHeight="1"/>
    <row r="9913" ht="14.25" customHeight="1"/>
    <row r="9914" ht="14.25" customHeight="1"/>
    <row r="9915" ht="14.25" customHeight="1"/>
    <row r="9916" ht="14.25" customHeight="1"/>
    <row r="9917" ht="14.25" customHeight="1"/>
    <row r="9918" ht="14.25" customHeight="1"/>
    <row r="9919" ht="14.25" customHeight="1"/>
    <row r="9920" ht="14.25" customHeight="1"/>
    <row r="9921" ht="14.25" customHeight="1"/>
    <row r="9922" ht="14.25" customHeight="1"/>
    <row r="9923" ht="14.25" customHeight="1"/>
    <row r="9924" ht="14.25" customHeight="1"/>
    <row r="9925" ht="14.25" customHeight="1"/>
    <row r="9926" ht="14.25" customHeight="1"/>
    <row r="9927" ht="14.25" customHeight="1"/>
    <row r="9928" ht="14.25" customHeight="1"/>
    <row r="9929" ht="14.25" customHeight="1"/>
    <row r="9930" ht="14.25" customHeight="1"/>
    <row r="9931" ht="14.25" customHeight="1"/>
    <row r="9932" ht="14.25" customHeight="1"/>
    <row r="9933" ht="14.25" customHeight="1"/>
    <row r="9934" ht="14.25" customHeight="1"/>
    <row r="9935" ht="14.25" customHeight="1"/>
    <row r="9936" ht="14.25" customHeight="1"/>
    <row r="9937" ht="14.25" customHeight="1"/>
    <row r="9938" ht="14.25" customHeight="1"/>
    <row r="9939" ht="14.25" customHeight="1"/>
    <row r="9940" ht="14.25" customHeight="1"/>
    <row r="9941" ht="14.25" customHeight="1"/>
    <row r="9942" ht="14.25" customHeight="1"/>
    <row r="9943" ht="14.25" customHeight="1"/>
    <row r="9944" ht="14.25" customHeight="1"/>
    <row r="9945" ht="14.25" customHeight="1"/>
    <row r="9946" ht="14.25" customHeight="1"/>
    <row r="9947" ht="14.25" customHeight="1"/>
    <row r="9948" ht="14.25" customHeight="1"/>
    <row r="9949" ht="14.25" customHeight="1"/>
    <row r="9950" ht="14.25" customHeight="1"/>
    <row r="9951" ht="14.25" customHeight="1"/>
    <row r="9952" ht="14.25" customHeight="1"/>
    <row r="9953" ht="14.25" customHeight="1"/>
    <row r="9954" ht="14.25" customHeight="1"/>
    <row r="9955" ht="14.25" customHeight="1"/>
    <row r="9956" ht="14.25" customHeight="1"/>
    <row r="9957" ht="14.25" customHeight="1"/>
    <row r="9958" ht="14.25" customHeight="1"/>
    <row r="9959" ht="14.25" customHeight="1"/>
    <row r="9960" ht="14.25" customHeight="1"/>
    <row r="9961" ht="14.25" customHeight="1"/>
    <row r="9962" ht="14.25" customHeight="1"/>
    <row r="9963" ht="14.25" customHeight="1"/>
    <row r="9964" ht="14.25" customHeight="1"/>
    <row r="9965" ht="14.25" customHeight="1"/>
    <row r="9966" ht="14.25" customHeight="1"/>
    <row r="9967" ht="14.25" customHeight="1"/>
    <row r="9968" ht="14.25" customHeight="1"/>
    <row r="9969" ht="14.25" customHeight="1"/>
    <row r="9970" ht="14.25" customHeight="1"/>
    <row r="9971" ht="14.25" customHeight="1"/>
    <row r="9972" ht="14.25" customHeight="1"/>
    <row r="9973" ht="14.25" customHeight="1"/>
    <row r="9974" ht="14.25" customHeight="1"/>
    <row r="9975" ht="14.25" customHeight="1"/>
    <row r="9976" ht="14.25" customHeight="1"/>
    <row r="9977" ht="14.25" customHeight="1"/>
    <row r="9978" ht="14.25" customHeight="1"/>
    <row r="9979" ht="14.25" customHeight="1"/>
    <row r="9980" ht="14.25" customHeight="1"/>
    <row r="9981" ht="14.25" customHeight="1"/>
    <row r="9982" ht="14.25" customHeight="1"/>
    <row r="9983" ht="14.25" customHeight="1"/>
    <row r="9984" ht="14.25" customHeight="1"/>
    <row r="9985" ht="14.25" customHeight="1"/>
    <row r="9986" ht="14.25" customHeight="1"/>
    <row r="9987" ht="14.25" customHeight="1"/>
    <row r="9988" ht="14.25" customHeight="1"/>
    <row r="9989" ht="14.25" customHeight="1"/>
    <row r="9990" ht="14.25" customHeight="1"/>
    <row r="9991" ht="14.25" customHeight="1"/>
    <row r="9992" ht="14.25" customHeight="1"/>
    <row r="9993" ht="14.25" customHeight="1"/>
    <row r="9994" ht="14.25" customHeight="1"/>
    <row r="9995" ht="14.25" customHeight="1"/>
    <row r="9996" ht="14.25" customHeight="1"/>
    <row r="9997" ht="14.25" customHeight="1"/>
    <row r="9998" ht="14.25" customHeight="1"/>
    <row r="9999" ht="14.25" customHeight="1"/>
    <row r="10000" ht="14.25" customHeight="1"/>
    <row r="10001" ht="14.25" customHeight="1"/>
    <row r="10002" ht="14.25" customHeight="1"/>
    <row r="10003" ht="14.25" customHeight="1"/>
    <row r="10004" ht="14.25" customHeight="1"/>
    <row r="10005" ht="14.25" customHeight="1"/>
    <row r="10006" ht="14.25" customHeight="1"/>
    <row r="10007" ht="14.25" customHeight="1"/>
    <row r="10008" ht="14.25" customHeight="1"/>
    <row r="10009" ht="14.25" customHeight="1"/>
    <row r="10010" ht="14.25" customHeight="1"/>
    <row r="10011" ht="14.25" customHeight="1"/>
    <row r="10012" ht="14.25" customHeight="1"/>
    <row r="10013" ht="14.25" customHeight="1"/>
    <row r="10014" ht="14.25" customHeight="1"/>
    <row r="10015" ht="14.25" customHeight="1"/>
    <row r="10016" ht="14.25" customHeight="1"/>
    <row r="10017" ht="14.25" customHeight="1"/>
    <row r="10018" ht="14.25" customHeight="1"/>
    <row r="10019" ht="14.25" customHeight="1"/>
    <row r="10020" ht="14.25" customHeight="1"/>
    <row r="10021" ht="14.25" customHeight="1"/>
    <row r="10022" ht="14.25" customHeight="1"/>
    <row r="10023" ht="14.25" customHeight="1"/>
    <row r="10024" ht="14.25" customHeight="1"/>
    <row r="10025" ht="14.25" customHeight="1"/>
    <row r="10026" ht="14.25" customHeight="1"/>
    <row r="10027" ht="14.25" customHeight="1"/>
    <row r="10028" ht="14.25" customHeight="1"/>
    <row r="10029" ht="14.25" customHeight="1"/>
    <row r="10030" ht="14.25" customHeight="1"/>
    <row r="10031" ht="14.25" customHeight="1"/>
    <row r="10032" ht="14.25" customHeight="1"/>
    <row r="10033" ht="14.25" customHeight="1"/>
    <row r="10034" ht="14.25" customHeight="1"/>
    <row r="10035" ht="14.25" customHeight="1"/>
    <row r="10036" ht="14.25" customHeight="1"/>
    <row r="10037" ht="14.25" customHeight="1"/>
    <row r="10038" ht="14.25" customHeight="1"/>
    <row r="10039" ht="14.25" customHeight="1"/>
    <row r="10040" ht="14.25" customHeight="1"/>
    <row r="10041" ht="14.25" customHeight="1"/>
    <row r="10042" ht="14.25" customHeight="1"/>
    <row r="10043" ht="14.25" customHeight="1"/>
    <row r="10044" ht="14.25" customHeight="1"/>
    <row r="10045" ht="14.25" customHeight="1"/>
    <row r="10046" ht="14.25" customHeight="1"/>
    <row r="10047" ht="14.25" customHeight="1"/>
    <row r="10048" ht="14.25" customHeight="1"/>
    <row r="10049" ht="14.25" customHeight="1"/>
    <row r="10050" ht="14.25" customHeight="1"/>
    <row r="10051" ht="14.25" customHeight="1"/>
    <row r="10052" ht="14.25" customHeight="1"/>
    <row r="10053" ht="14.25" customHeight="1"/>
    <row r="10054" ht="14.25" customHeight="1"/>
    <row r="10055" ht="14.25" customHeight="1"/>
    <row r="10056" ht="14.25" customHeight="1"/>
    <row r="10057" ht="14.25" customHeight="1"/>
    <row r="10058" ht="14.25" customHeight="1"/>
    <row r="10059" ht="14.25" customHeight="1"/>
    <row r="10060" ht="14.25" customHeight="1"/>
    <row r="10061" ht="14.25" customHeight="1"/>
    <row r="10062" ht="14.25" customHeight="1"/>
    <row r="10063" ht="14.25" customHeight="1"/>
    <row r="10064" ht="14.25" customHeight="1"/>
    <row r="10065" ht="14.25" customHeight="1"/>
    <row r="10066" ht="14.25" customHeight="1"/>
    <row r="10067" ht="14.25" customHeight="1"/>
    <row r="10068" ht="14.25" customHeight="1"/>
    <row r="10069" ht="14.25" customHeight="1"/>
    <row r="10070" ht="14.25" customHeight="1"/>
    <row r="10071" ht="14.25" customHeight="1"/>
    <row r="10072" ht="14.25" customHeight="1"/>
    <row r="10073" ht="14.25" customHeight="1"/>
    <row r="10074" ht="14.25" customHeight="1"/>
    <row r="10075" ht="14.25" customHeight="1"/>
    <row r="10076" ht="14.25" customHeight="1"/>
    <row r="10077" ht="14.25" customHeight="1"/>
    <row r="10078" ht="14.25" customHeight="1"/>
    <row r="10079" ht="14.25" customHeight="1"/>
    <row r="10080" ht="14.25" customHeight="1"/>
    <row r="10081" ht="14.25" customHeight="1"/>
    <row r="10082" ht="14.25" customHeight="1"/>
    <row r="10083" ht="14.25" customHeight="1"/>
    <row r="10084" ht="14.25" customHeight="1"/>
    <row r="10085" ht="14.25" customHeight="1"/>
    <row r="10086" ht="14.25" customHeight="1"/>
    <row r="10087" ht="14.25" customHeight="1"/>
    <row r="10088" ht="14.25" customHeight="1"/>
    <row r="10089" ht="14.25" customHeight="1"/>
    <row r="10090" ht="14.25" customHeight="1"/>
    <row r="10091" ht="14.25" customHeight="1"/>
    <row r="10092" ht="14.25" customHeight="1"/>
    <row r="10093" ht="14.25" customHeight="1"/>
    <row r="10094" ht="14.25" customHeight="1"/>
    <row r="10095" ht="14.25" customHeight="1"/>
    <row r="10096" ht="14.25" customHeight="1"/>
    <row r="10097" ht="14.25" customHeight="1"/>
    <row r="10098" ht="14.25" customHeight="1"/>
    <row r="10099" ht="14.25" customHeight="1"/>
    <row r="10100" ht="14.25" customHeight="1"/>
    <row r="10101" ht="14.25" customHeight="1"/>
    <row r="10102" ht="14.25" customHeight="1"/>
    <row r="10103" ht="14.25" customHeight="1"/>
    <row r="10104" ht="14.25" customHeight="1"/>
    <row r="10105" ht="14.25" customHeight="1"/>
    <row r="10106" ht="14.25" customHeight="1"/>
    <row r="10107" ht="14.25" customHeight="1"/>
    <row r="10108" ht="14.25" customHeight="1"/>
    <row r="10109" ht="14.25" customHeight="1"/>
    <row r="10110" ht="14.25" customHeight="1"/>
    <row r="10111" ht="14.25" customHeight="1"/>
    <row r="10112" ht="14.25" customHeight="1"/>
    <row r="10113" ht="14.25" customHeight="1"/>
    <row r="10114" ht="14.25" customHeight="1"/>
    <row r="10115" ht="14.25" customHeight="1"/>
    <row r="10116" ht="14.25" customHeight="1"/>
    <row r="10117" ht="14.25" customHeight="1"/>
    <row r="10118" ht="14.25" customHeight="1"/>
    <row r="10119" ht="14.25" customHeight="1"/>
    <row r="10120" ht="14.25" customHeight="1"/>
    <row r="10121" ht="14.25" customHeight="1"/>
    <row r="10122" ht="14.25" customHeight="1"/>
    <row r="10123" ht="14.25" customHeight="1"/>
    <row r="10124" ht="14.25" customHeight="1"/>
    <row r="10125" ht="14.25" customHeight="1"/>
    <row r="10126" ht="14.25" customHeight="1"/>
    <row r="10127" ht="14.25" customHeight="1"/>
    <row r="10128" ht="14.25" customHeight="1"/>
    <row r="10129" ht="14.25" customHeight="1"/>
    <row r="10130" ht="14.25" customHeight="1"/>
    <row r="10131" ht="14.25" customHeight="1"/>
    <row r="10132" ht="14.25" customHeight="1"/>
    <row r="10133" ht="14.25" customHeight="1"/>
    <row r="10134" ht="14.25" customHeight="1"/>
    <row r="10135" ht="14.25" customHeight="1"/>
    <row r="10136" ht="14.25" customHeight="1"/>
    <row r="10137" ht="14.25" customHeight="1"/>
    <row r="10138" ht="14.25" customHeight="1"/>
    <row r="10139" ht="14.25" customHeight="1"/>
    <row r="10140" ht="14.25" customHeight="1"/>
    <row r="10141" ht="14.25" customHeight="1"/>
    <row r="10142" ht="14.25" customHeight="1"/>
    <row r="10143" ht="14.25" customHeight="1"/>
    <row r="10144" ht="14.25" customHeight="1"/>
    <row r="10145" ht="14.25" customHeight="1"/>
    <row r="10146" ht="14.25" customHeight="1"/>
    <row r="10147" ht="14.25" customHeight="1"/>
    <row r="10148" ht="14.25" customHeight="1"/>
    <row r="10149" ht="14.25" customHeight="1"/>
    <row r="10150" ht="14.25" customHeight="1"/>
    <row r="10151" ht="14.25" customHeight="1"/>
    <row r="10152" ht="14.25" customHeight="1"/>
    <row r="10153" ht="14.25" customHeight="1"/>
    <row r="10154" ht="14.25" customHeight="1"/>
    <row r="10155" ht="14.25" customHeight="1"/>
    <row r="10156" ht="14.25" customHeight="1"/>
    <row r="10157" ht="14.25" customHeight="1"/>
    <row r="10158" ht="14.25" customHeight="1"/>
    <row r="10159" ht="14.25" customHeight="1"/>
    <row r="10160" ht="14.25" customHeight="1"/>
    <row r="10161" ht="14.25" customHeight="1"/>
    <row r="10162" ht="14.25" customHeight="1"/>
    <row r="10163" ht="14.25" customHeight="1"/>
    <row r="10164" ht="14.25" customHeight="1"/>
    <row r="10165" ht="14.25" customHeight="1"/>
    <row r="10166" ht="14.25" customHeight="1"/>
    <row r="10167" ht="14.25" customHeight="1"/>
    <row r="10168" ht="14.25" customHeight="1"/>
    <row r="10169" ht="14.25" customHeight="1"/>
    <row r="10170" ht="14.25" customHeight="1"/>
    <row r="10171" ht="14.25" customHeight="1"/>
    <row r="10172" ht="14.25" customHeight="1"/>
    <row r="10173" ht="14.25" customHeight="1"/>
    <row r="10174" ht="14.25" customHeight="1"/>
    <row r="10175" ht="14.25" customHeight="1"/>
    <row r="10176" ht="14.25" customHeight="1"/>
    <row r="10177" ht="14.25" customHeight="1"/>
    <row r="10178" ht="14.25" customHeight="1"/>
    <row r="10179" ht="14.25" customHeight="1"/>
    <row r="10180" ht="14.25" customHeight="1"/>
    <row r="10181" ht="14.25" customHeight="1"/>
    <row r="10182" ht="14.25" customHeight="1"/>
    <row r="10183" ht="14.25" customHeight="1"/>
    <row r="10184" ht="14.25" customHeight="1"/>
    <row r="10185" ht="14.25" customHeight="1"/>
    <row r="10186" ht="14.25" customHeight="1"/>
    <row r="10187" ht="14.25" customHeight="1"/>
    <row r="10188" ht="14.25" customHeight="1"/>
    <row r="10189" ht="14.25" customHeight="1"/>
    <row r="10190" ht="14.25" customHeight="1"/>
    <row r="10191" ht="14.25" customHeight="1"/>
    <row r="10192" ht="14.25" customHeight="1"/>
    <row r="10193" ht="14.25" customHeight="1"/>
    <row r="10194" ht="14.25" customHeight="1"/>
    <row r="10195" ht="14.25" customHeight="1"/>
    <row r="10196" ht="14.25" customHeight="1"/>
    <row r="10197" ht="14.25" customHeight="1"/>
    <row r="10198" ht="14.25" customHeight="1"/>
    <row r="10199" ht="14.25" customHeight="1"/>
    <row r="10200" ht="14.25" customHeight="1"/>
    <row r="10201" ht="14.25" customHeight="1"/>
    <row r="10202" ht="14.25" customHeight="1"/>
    <row r="10203" ht="14.25" customHeight="1"/>
    <row r="10204" ht="14.25" customHeight="1"/>
    <row r="10205" ht="14.25" customHeight="1"/>
    <row r="10206" ht="14.25" customHeight="1"/>
    <row r="10207" ht="14.25" customHeight="1"/>
    <row r="10208" ht="14.25" customHeight="1"/>
    <row r="10209" ht="14.25" customHeight="1"/>
    <row r="10210" ht="14.25" customHeight="1"/>
    <row r="10211" ht="14.25" customHeight="1"/>
    <row r="10212" ht="14.25" customHeight="1"/>
    <row r="10213" ht="14.25" customHeight="1"/>
    <row r="10214" ht="14.25" customHeight="1"/>
    <row r="10215" ht="14.25" customHeight="1"/>
    <row r="10216" ht="14.25" customHeight="1"/>
    <row r="10217" ht="14.25" customHeight="1"/>
    <row r="10218" ht="14.25" customHeight="1"/>
    <row r="10219" ht="14.25" customHeight="1"/>
    <row r="10220" ht="14.25" customHeight="1"/>
    <row r="10221" ht="14.25" customHeight="1"/>
    <row r="10222" ht="14.25" customHeight="1"/>
    <row r="10223" ht="14.25" customHeight="1"/>
    <row r="10224" ht="14.25" customHeight="1"/>
    <row r="10225" ht="14.25" customHeight="1"/>
    <row r="10226" ht="14.25" customHeight="1"/>
    <row r="10227" ht="14.25" customHeight="1"/>
    <row r="10228" ht="14.25" customHeight="1"/>
    <row r="10229" ht="14.25" customHeight="1"/>
    <row r="10230" ht="14.25" customHeight="1"/>
    <row r="10231" ht="14.25" customHeight="1"/>
    <row r="10232" ht="14.25" customHeight="1"/>
    <row r="10233" ht="14.25" customHeight="1"/>
    <row r="10234" ht="14.25" customHeight="1"/>
    <row r="10235" ht="14.25" customHeight="1"/>
    <row r="10236" ht="14.25" customHeight="1"/>
    <row r="10237" ht="14.25" customHeight="1"/>
    <row r="10238" ht="14.25" customHeight="1"/>
    <row r="10239" ht="14.25" customHeight="1"/>
    <row r="10240" ht="14.25" customHeight="1"/>
    <row r="10241" ht="14.25" customHeight="1"/>
    <row r="10242" ht="14.25" customHeight="1"/>
    <row r="10243" ht="14.25" customHeight="1"/>
    <row r="10244" ht="14.25" customHeight="1"/>
    <row r="10245" ht="14.25" customHeight="1"/>
    <row r="10246" ht="14.25" customHeight="1"/>
    <row r="10247" ht="14.25" customHeight="1"/>
    <row r="10248" ht="14.25" customHeight="1"/>
    <row r="10249" ht="14.25" customHeight="1"/>
    <row r="10250" ht="14.25" customHeight="1"/>
    <row r="10251" ht="14.25" customHeight="1"/>
    <row r="10252" ht="14.25" customHeight="1"/>
    <row r="10253" ht="14.25" customHeight="1"/>
    <row r="10254" ht="14.25" customHeight="1"/>
    <row r="10255" ht="14.25" customHeight="1"/>
    <row r="10256" ht="14.25" customHeight="1"/>
    <row r="10257" ht="14.25" customHeight="1"/>
    <row r="10258" ht="14.25" customHeight="1"/>
    <row r="10259" ht="14.25" customHeight="1"/>
    <row r="10260" ht="14.25" customHeight="1"/>
    <row r="10261" ht="14.25" customHeight="1"/>
    <row r="10262" ht="14.25" customHeight="1"/>
    <row r="10263" ht="14.25" customHeight="1"/>
    <row r="10264" ht="14.25" customHeight="1"/>
    <row r="10265" ht="14.25" customHeight="1"/>
    <row r="10266" ht="14.25" customHeight="1"/>
    <row r="10267" ht="14.25" customHeight="1"/>
    <row r="10268" ht="14.25" customHeight="1"/>
    <row r="10269" ht="14.25" customHeight="1"/>
    <row r="10270" ht="14.25" customHeight="1"/>
    <row r="10271" ht="14.25" customHeight="1"/>
    <row r="10272" ht="14.25" customHeight="1"/>
    <row r="10273" ht="14.25" customHeight="1"/>
    <row r="10274" ht="14.25" customHeight="1"/>
    <row r="10275" ht="14.25" customHeight="1"/>
    <row r="10276" ht="14.25" customHeight="1"/>
    <row r="10277" ht="14.25" customHeight="1"/>
    <row r="10278" ht="14.25" customHeight="1"/>
    <row r="10279" ht="14.25" customHeight="1"/>
    <row r="10280" ht="14.25" customHeight="1"/>
    <row r="10281" ht="14.25" customHeight="1"/>
    <row r="10282" ht="14.25" customHeight="1"/>
    <row r="10283" ht="14.25" customHeight="1"/>
    <row r="10284" ht="14.25" customHeight="1"/>
    <row r="10285" ht="14.25" customHeight="1"/>
    <row r="10286" ht="14.25" customHeight="1"/>
    <row r="10287" ht="14.25" customHeight="1"/>
    <row r="10288" ht="14.25" customHeight="1"/>
    <row r="10289" ht="14.25" customHeight="1"/>
    <row r="10290" ht="14.25" customHeight="1"/>
    <row r="10291" ht="14.25" customHeight="1"/>
    <row r="10292" ht="14.25" customHeight="1"/>
    <row r="10293" ht="14.25" customHeight="1"/>
    <row r="10294" ht="14.25" customHeight="1"/>
    <row r="10295" ht="14.25" customHeight="1"/>
    <row r="10296" ht="14.25" customHeight="1"/>
    <row r="10297" ht="14.25" customHeight="1"/>
    <row r="10298" ht="14.25" customHeight="1"/>
    <row r="10299" ht="14.25" customHeight="1"/>
    <row r="10300" ht="14.25" customHeight="1"/>
    <row r="10301" ht="14.25" customHeight="1"/>
    <row r="10302" ht="14.25" customHeight="1"/>
    <row r="10303" ht="14.25" customHeight="1"/>
    <row r="10304" ht="14.25" customHeight="1"/>
    <row r="10305" ht="14.25" customHeight="1"/>
    <row r="10306" ht="14.25" customHeight="1"/>
    <row r="10307" ht="14.25" customHeight="1"/>
    <row r="10308" ht="14.25" customHeight="1"/>
    <row r="10309" ht="14.25" customHeight="1"/>
    <row r="10310" ht="14.25" customHeight="1"/>
    <row r="10311" ht="14.25" customHeight="1"/>
    <row r="10312" ht="14.25" customHeight="1"/>
    <row r="10313" ht="14.25" customHeight="1"/>
    <row r="10314" ht="14.25" customHeight="1"/>
    <row r="10315" ht="14.25" customHeight="1"/>
    <row r="10316" ht="14.25" customHeight="1"/>
    <row r="10317" ht="14.25" customHeight="1"/>
    <row r="10318" ht="14.25" customHeight="1"/>
    <row r="10319" ht="14.25" customHeight="1"/>
    <row r="10320" ht="14.25" customHeight="1"/>
    <row r="10321" ht="14.25" customHeight="1"/>
    <row r="10322" ht="14.25" customHeight="1"/>
    <row r="10323" ht="14.25" customHeight="1"/>
    <row r="10324" ht="14.25" customHeight="1"/>
    <row r="10325" ht="14.25" customHeight="1"/>
    <row r="10326" ht="14.25" customHeight="1"/>
    <row r="10327" ht="14.25" customHeight="1"/>
    <row r="10328" ht="14.25" customHeight="1"/>
    <row r="10329" ht="14.25" customHeight="1"/>
    <row r="10330" ht="14.25" customHeight="1"/>
    <row r="10331" ht="14.25" customHeight="1"/>
    <row r="10332" ht="14.25" customHeight="1"/>
    <row r="10333" ht="14.25" customHeight="1"/>
    <row r="10334" ht="14.25" customHeight="1"/>
    <row r="10335" ht="14.25" customHeight="1"/>
    <row r="10336" ht="14.25" customHeight="1"/>
    <row r="10337" ht="14.25" customHeight="1"/>
    <row r="10338" ht="14.25" customHeight="1"/>
    <row r="10339" ht="14.25" customHeight="1"/>
    <row r="10340" ht="14.25" customHeight="1"/>
    <row r="10341" ht="14.25" customHeight="1"/>
    <row r="10342" ht="14.25" customHeight="1"/>
    <row r="10343" ht="14.25" customHeight="1"/>
    <row r="10344" ht="14.25" customHeight="1"/>
    <row r="10345" ht="14.25" customHeight="1"/>
    <row r="10346" ht="14.25" customHeight="1"/>
    <row r="10347" ht="14.25" customHeight="1"/>
    <row r="10348" ht="14.25" customHeight="1"/>
    <row r="10349" ht="14.25" customHeight="1"/>
    <row r="10350" ht="14.25" customHeight="1"/>
    <row r="10351" ht="14.25" customHeight="1"/>
    <row r="10352" ht="14.25" customHeight="1"/>
    <row r="10353" ht="14.25" customHeight="1"/>
    <row r="10354" ht="14.25" customHeight="1"/>
    <row r="10355" ht="14.25" customHeight="1"/>
    <row r="10356" ht="14.25" customHeight="1"/>
    <row r="10357" ht="14.25" customHeight="1"/>
    <row r="10358" ht="14.25" customHeight="1"/>
    <row r="10359" ht="14.25" customHeight="1"/>
    <row r="10360" ht="14.25" customHeight="1"/>
    <row r="10361" ht="14.25" customHeight="1"/>
    <row r="10362" ht="14.25" customHeight="1"/>
    <row r="10363" ht="14.25" customHeight="1"/>
    <row r="10364" ht="14.25" customHeight="1"/>
    <row r="10365" ht="14.25" customHeight="1"/>
    <row r="10366" ht="14.25" customHeight="1"/>
    <row r="10367" ht="14.25" customHeight="1"/>
    <row r="10368" ht="14.25" customHeight="1"/>
    <row r="10369" ht="14.25" customHeight="1"/>
    <row r="10370" ht="14.25" customHeight="1"/>
    <row r="10371" ht="14.25" customHeight="1"/>
    <row r="10372" ht="14.25" customHeight="1"/>
    <row r="10373" ht="14.25" customHeight="1"/>
    <row r="10374" ht="14.25" customHeight="1"/>
    <row r="10375" ht="14.25" customHeight="1"/>
    <row r="10376" ht="14.25" customHeight="1"/>
    <row r="10377" ht="14.25" customHeight="1"/>
    <row r="10378" ht="14.25" customHeight="1"/>
    <row r="10379" ht="14.25" customHeight="1"/>
    <row r="10380" ht="14.25" customHeight="1"/>
    <row r="10381" ht="14.25" customHeight="1"/>
    <row r="10382" ht="14.25" customHeight="1"/>
    <row r="10383" ht="14.25" customHeight="1"/>
    <row r="10384" ht="14.25" customHeight="1"/>
    <row r="10385" ht="14.25" customHeight="1"/>
    <row r="10386" ht="14.25" customHeight="1"/>
    <row r="10387" ht="14.25" customHeight="1"/>
    <row r="10388" ht="14.25" customHeight="1"/>
    <row r="10389" ht="14.25" customHeight="1"/>
    <row r="10390" ht="14.25" customHeight="1"/>
    <row r="10391" ht="14.25" customHeight="1"/>
    <row r="10392" ht="14.25" customHeight="1"/>
    <row r="10393" ht="14.25" customHeight="1"/>
    <row r="10394" ht="14.25" customHeight="1"/>
    <row r="10395" ht="14.25" customHeight="1"/>
    <row r="10396" ht="14.25" customHeight="1"/>
    <row r="10397" ht="14.25" customHeight="1"/>
    <row r="10398" ht="14.25" customHeight="1"/>
    <row r="10399" ht="14.25" customHeight="1"/>
    <row r="10400" ht="14.25" customHeight="1"/>
    <row r="10401" ht="14.25" customHeight="1"/>
    <row r="10402" ht="14.25" customHeight="1"/>
    <row r="10403" ht="14.25" customHeight="1"/>
    <row r="10404" ht="14.25" customHeight="1"/>
    <row r="10405" ht="14.25" customHeight="1"/>
    <row r="10406" ht="14.25" customHeight="1"/>
    <row r="10407" ht="14.25" customHeight="1"/>
    <row r="10408" ht="14.25" customHeight="1"/>
    <row r="10409" ht="14.25" customHeight="1"/>
    <row r="10410" ht="14.25" customHeight="1"/>
    <row r="10411" ht="14.25" customHeight="1"/>
    <row r="10412" ht="14.25" customHeight="1"/>
    <row r="10413" ht="14.25" customHeight="1"/>
    <row r="10414" ht="14.25" customHeight="1"/>
    <row r="10415" ht="14.25" customHeight="1"/>
    <row r="10416" ht="14.25" customHeight="1"/>
    <row r="10417" ht="14.25" customHeight="1"/>
    <row r="10418" ht="14.25" customHeight="1"/>
    <row r="10419" ht="14.25" customHeight="1"/>
    <row r="10420" ht="14.25" customHeight="1"/>
    <row r="10421" ht="14.25" customHeight="1"/>
    <row r="10422" ht="14.25" customHeight="1"/>
    <row r="10423" ht="14.25" customHeight="1"/>
    <row r="10424" ht="14.25" customHeight="1"/>
    <row r="10425" ht="14.25" customHeight="1"/>
    <row r="10426" ht="14.25" customHeight="1"/>
    <row r="10427" ht="14.25" customHeight="1"/>
    <row r="10428" ht="14.25" customHeight="1"/>
    <row r="10429" ht="14.25" customHeight="1"/>
    <row r="10430" ht="14.25" customHeight="1"/>
    <row r="10431" ht="14.25" customHeight="1"/>
    <row r="10432" ht="14.25" customHeight="1"/>
    <row r="10433" ht="14.25" customHeight="1"/>
    <row r="10434" ht="14.25" customHeight="1"/>
    <row r="10435" ht="14.25" customHeight="1"/>
    <row r="10436" ht="14.25" customHeight="1"/>
    <row r="10437" ht="14.25" customHeight="1"/>
    <row r="10438" ht="14.25" customHeight="1"/>
    <row r="10439" ht="14.25" customHeight="1"/>
    <row r="10440" ht="14.25" customHeight="1"/>
    <row r="10441" ht="14.25" customHeight="1"/>
    <row r="10442" ht="14.25" customHeight="1"/>
    <row r="10443" ht="14.25" customHeight="1"/>
    <row r="10444" ht="14.25" customHeight="1"/>
    <row r="10445" ht="14.25" customHeight="1"/>
    <row r="10446" ht="14.25" customHeight="1"/>
    <row r="10447" ht="14.25" customHeight="1"/>
    <row r="10448" ht="14.25" customHeight="1"/>
    <row r="10449" ht="14.25" customHeight="1"/>
    <row r="10450" ht="14.25" customHeight="1"/>
    <row r="10451" ht="14.25" customHeight="1"/>
    <row r="10452" ht="14.25" customHeight="1"/>
    <row r="10453" ht="14.25" customHeight="1"/>
    <row r="10454" ht="14.25" customHeight="1"/>
    <row r="10455" ht="14.25" customHeight="1"/>
    <row r="10456" ht="14.25" customHeight="1"/>
    <row r="10457" ht="14.25" customHeight="1"/>
    <row r="10458" ht="14.25" customHeight="1"/>
    <row r="10459" ht="14.25" customHeight="1"/>
    <row r="10460" ht="14.25" customHeight="1"/>
    <row r="10461" ht="14.25" customHeight="1"/>
    <row r="10462" ht="14.25" customHeight="1"/>
    <row r="10463" ht="14.25" customHeight="1"/>
    <row r="10464" ht="14.25" customHeight="1"/>
    <row r="10465" ht="14.25" customHeight="1"/>
    <row r="10466" ht="14.25" customHeight="1"/>
    <row r="10467" ht="14.25" customHeight="1"/>
    <row r="10468" ht="14.25" customHeight="1"/>
    <row r="10469" ht="14.25" customHeight="1"/>
    <row r="10470" ht="14.25" customHeight="1"/>
    <row r="10471" ht="14.25" customHeight="1"/>
    <row r="10472" ht="14.25" customHeight="1"/>
    <row r="10473" ht="14.25" customHeight="1"/>
    <row r="10474" ht="14.25" customHeight="1"/>
    <row r="10475" ht="14.25" customHeight="1"/>
    <row r="10476" ht="14.25" customHeight="1"/>
    <row r="10477" ht="14.25" customHeight="1"/>
    <row r="10478" ht="14.25" customHeight="1"/>
    <row r="10479" ht="14.25" customHeight="1"/>
    <row r="10480" ht="14.25" customHeight="1"/>
    <row r="10481" ht="14.25" customHeight="1"/>
    <row r="10482" ht="14.25" customHeight="1"/>
    <row r="10483" ht="14.25" customHeight="1"/>
    <row r="10484" ht="14.25" customHeight="1"/>
    <row r="10485" ht="14.25" customHeight="1"/>
    <row r="10486" ht="14.25" customHeight="1"/>
    <row r="10487" ht="14.25" customHeight="1"/>
    <row r="10488" ht="14.25" customHeight="1"/>
    <row r="10489" ht="14.25" customHeight="1"/>
    <row r="10490" ht="14.25" customHeight="1"/>
    <row r="10491" ht="14.25" customHeight="1"/>
    <row r="10492" ht="14.25" customHeight="1"/>
    <row r="10493" ht="14.25" customHeight="1"/>
    <row r="10494" ht="14.25" customHeight="1"/>
    <row r="10495" ht="14.25" customHeight="1"/>
    <row r="10496" ht="14.25" customHeight="1"/>
    <row r="10497" ht="14.25" customHeight="1"/>
    <row r="10498" ht="14.25" customHeight="1"/>
    <row r="10499" ht="14.25" customHeight="1"/>
    <row r="10500" ht="14.25" customHeight="1"/>
    <row r="10501" ht="14.25" customHeight="1"/>
    <row r="10502" ht="14.25" customHeight="1"/>
    <row r="10503" ht="14.25" customHeight="1"/>
    <row r="10504" ht="14.25" customHeight="1"/>
    <row r="10505" ht="14.25" customHeight="1"/>
    <row r="10506" ht="14.25" customHeight="1"/>
    <row r="10507" ht="14.25" customHeight="1"/>
    <row r="10508" ht="14.25" customHeight="1"/>
    <row r="10509" ht="14.25" customHeight="1"/>
    <row r="10510" ht="14.25" customHeight="1"/>
    <row r="10511" ht="14.25" customHeight="1"/>
    <row r="10512" ht="14.25" customHeight="1"/>
    <row r="10513" ht="14.25" customHeight="1"/>
    <row r="10514" ht="14.25" customHeight="1"/>
    <row r="10515" ht="14.25" customHeight="1"/>
    <row r="10516" ht="14.25" customHeight="1"/>
    <row r="10517" ht="14.25" customHeight="1"/>
    <row r="10518" ht="14.25" customHeight="1"/>
    <row r="10519" ht="14.25" customHeight="1"/>
    <row r="10520" ht="14.25" customHeight="1"/>
    <row r="10521" ht="14.25" customHeight="1"/>
    <row r="10522" ht="14.25" customHeight="1"/>
    <row r="10523" ht="14.25" customHeight="1"/>
    <row r="10524" ht="14.25" customHeight="1"/>
    <row r="10525" ht="14.25" customHeight="1"/>
    <row r="10526" ht="14.25" customHeight="1"/>
    <row r="10527" ht="14.25" customHeight="1"/>
    <row r="10528" ht="14.25" customHeight="1"/>
    <row r="10529" ht="14.25" customHeight="1"/>
    <row r="10530" ht="14.25" customHeight="1"/>
    <row r="10531" ht="14.25" customHeight="1"/>
    <row r="10532" ht="14.25" customHeight="1"/>
    <row r="10533" ht="14.25" customHeight="1"/>
    <row r="10534" ht="14.25" customHeight="1"/>
    <row r="10535" ht="14.25" customHeight="1"/>
    <row r="10536" ht="14.25" customHeight="1"/>
    <row r="10537" ht="14.25" customHeight="1"/>
    <row r="10538" ht="14.25" customHeight="1"/>
    <row r="10539" ht="14.25" customHeight="1"/>
    <row r="10540" ht="14.25" customHeight="1"/>
    <row r="10541" ht="14.25" customHeight="1"/>
    <row r="10542" ht="14.25" customHeight="1"/>
    <row r="10543" ht="14.25" customHeight="1"/>
    <row r="10544" ht="14.25" customHeight="1"/>
    <row r="10545" ht="14.25" customHeight="1"/>
    <row r="10546" ht="14.25" customHeight="1"/>
    <row r="10547" ht="14.25" customHeight="1"/>
    <row r="10548" ht="14.25" customHeight="1"/>
    <row r="10549" ht="14.25" customHeight="1"/>
    <row r="10550" ht="14.25" customHeight="1"/>
    <row r="10551" ht="14.25" customHeight="1"/>
    <row r="10552" ht="14.25" customHeight="1"/>
    <row r="10553" ht="14.25" customHeight="1"/>
    <row r="10554" ht="14.25" customHeight="1"/>
    <row r="10555" ht="14.25" customHeight="1"/>
    <row r="10556" ht="14.25" customHeight="1"/>
    <row r="10557" ht="14.25" customHeight="1"/>
    <row r="10558" ht="14.25" customHeight="1"/>
    <row r="10559" ht="14.25" customHeight="1"/>
    <row r="10560" ht="14.25" customHeight="1"/>
    <row r="10561" ht="14.25" customHeight="1"/>
    <row r="10562" ht="14.25" customHeight="1"/>
    <row r="10563" ht="14.25" customHeight="1"/>
    <row r="10564" ht="14.25" customHeight="1"/>
    <row r="10565" ht="14.25" customHeight="1"/>
    <row r="10566" ht="14.25" customHeight="1"/>
    <row r="10567" ht="14.25" customHeight="1"/>
    <row r="10568" ht="14.25" customHeight="1"/>
    <row r="10569" ht="14.25" customHeight="1"/>
    <row r="10570" ht="14.25" customHeight="1"/>
    <row r="10571" ht="14.25" customHeight="1"/>
    <row r="10572" ht="14.25" customHeight="1"/>
    <row r="10573" ht="14.25" customHeight="1"/>
    <row r="10574" ht="14.25" customHeight="1"/>
    <row r="10575" ht="14.25" customHeight="1"/>
    <row r="10576" ht="14.25" customHeight="1"/>
    <row r="10577" ht="14.25" customHeight="1"/>
    <row r="10578" ht="14.25" customHeight="1"/>
    <row r="10579" ht="14.25" customHeight="1"/>
    <row r="10580" ht="14.25" customHeight="1"/>
    <row r="10581" ht="14.25" customHeight="1"/>
    <row r="10582" ht="14.25" customHeight="1"/>
    <row r="10583" ht="14.25" customHeight="1"/>
    <row r="10584" ht="14.25" customHeight="1"/>
    <row r="10585" ht="14.25" customHeight="1"/>
    <row r="10586" ht="14.25" customHeight="1"/>
    <row r="10587" ht="14.25" customHeight="1"/>
    <row r="10588" ht="14.25" customHeight="1"/>
    <row r="10589" ht="14.25" customHeight="1"/>
    <row r="10590" ht="14.25" customHeight="1"/>
    <row r="10591" ht="14.25" customHeight="1"/>
    <row r="10592" ht="14.25" customHeight="1"/>
    <row r="10593" ht="14.25" customHeight="1"/>
    <row r="10594" ht="14.25" customHeight="1"/>
    <row r="10595" ht="14.25" customHeight="1"/>
    <row r="10596" ht="14.25" customHeight="1"/>
    <row r="10597" ht="14.25" customHeight="1"/>
    <row r="10598" ht="14.25" customHeight="1"/>
    <row r="10599" ht="14.25" customHeight="1"/>
    <row r="10600" ht="14.25" customHeight="1"/>
    <row r="10601" ht="14.25" customHeight="1"/>
    <row r="10602" ht="14.25" customHeight="1"/>
    <row r="10603" ht="14.25" customHeight="1"/>
    <row r="10604" ht="14.25" customHeight="1"/>
    <row r="10605" ht="14.25" customHeight="1"/>
    <row r="10606" ht="14.25" customHeight="1"/>
    <row r="10607" ht="14.25" customHeight="1"/>
    <row r="10608" ht="14.25" customHeight="1"/>
    <row r="10609" ht="14.25" customHeight="1"/>
    <row r="10610" ht="14.25" customHeight="1"/>
    <row r="10611" ht="14.25" customHeight="1"/>
    <row r="10612" ht="14.25" customHeight="1"/>
    <row r="10613" ht="14.25" customHeight="1"/>
    <row r="10614" ht="14.25" customHeight="1"/>
    <row r="10615" ht="14.25" customHeight="1"/>
    <row r="10616" ht="14.25" customHeight="1"/>
    <row r="10617" ht="14.25" customHeight="1"/>
    <row r="10618" ht="14.25" customHeight="1"/>
    <row r="10619" ht="14.25" customHeight="1"/>
    <row r="10620" ht="14.25" customHeight="1"/>
    <row r="10621" ht="14.25" customHeight="1"/>
    <row r="10622" ht="14.25" customHeight="1"/>
    <row r="10623" ht="14.25" customHeight="1"/>
    <row r="10624" ht="14.25" customHeight="1"/>
    <row r="10625" ht="14.25" customHeight="1"/>
    <row r="10626" ht="14.25" customHeight="1"/>
    <row r="10627" ht="14.25" customHeight="1"/>
    <row r="10628" ht="14.25" customHeight="1"/>
    <row r="10629" ht="14.25" customHeight="1"/>
    <row r="10630" ht="14.25" customHeight="1"/>
    <row r="10631" ht="14.25" customHeight="1"/>
    <row r="10632" ht="14.25" customHeight="1"/>
    <row r="10633" ht="14.25" customHeight="1"/>
    <row r="10634" ht="14.25" customHeight="1"/>
    <row r="10635" ht="14.25" customHeight="1"/>
    <row r="10636" ht="14.25" customHeight="1"/>
    <row r="10637" ht="14.25" customHeight="1"/>
    <row r="10638" ht="14.25" customHeight="1"/>
    <row r="10639" ht="14.25" customHeight="1"/>
    <row r="10640" ht="14.25" customHeight="1"/>
    <row r="10641" ht="14.25" customHeight="1"/>
    <row r="10642" ht="14.25" customHeight="1"/>
    <row r="10643" ht="14.25" customHeight="1"/>
    <row r="10644" ht="14.25" customHeight="1"/>
    <row r="10645" ht="14.25" customHeight="1"/>
    <row r="10646" ht="14.25" customHeight="1"/>
    <row r="10647" ht="14.25" customHeight="1"/>
    <row r="10648" ht="14.25" customHeight="1"/>
    <row r="10649" ht="14.25" customHeight="1"/>
    <row r="10650" ht="14.25" customHeight="1"/>
    <row r="10651" ht="14.25" customHeight="1"/>
    <row r="10652" ht="14.25" customHeight="1"/>
    <row r="10653" ht="14.25" customHeight="1"/>
    <row r="10654" ht="14.25" customHeight="1"/>
    <row r="10655" ht="14.25" customHeight="1"/>
    <row r="10656" ht="14.25" customHeight="1"/>
    <row r="10657" ht="14.25" customHeight="1"/>
    <row r="10658" ht="14.25" customHeight="1"/>
    <row r="10659" ht="14.25" customHeight="1"/>
    <row r="10660" ht="14.25" customHeight="1"/>
    <row r="10661" ht="14.25" customHeight="1"/>
    <row r="10662" ht="14.25" customHeight="1"/>
    <row r="10663" ht="14.25" customHeight="1"/>
    <row r="10664" ht="14.25" customHeight="1"/>
    <row r="10665" ht="14.25" customHeight="1"/>
    <row r="10666" ht="14.25" customHeight="1"/>
    <row r="10667" ht="14.25" customHeight="1"/>
    <row r="10668" ht="14.25" customHeight="1"/>
    <row r="10669" ht="14.25" customHeight="1"/>
    <row r="10670" ht="14.25" customHeight="1"/>
    <row r="10671" ht="14.25" customHeight="1"/>
    <row r="10672" ht="14.25" customHeight="1"/>
    <row r="10673" ht="14.25" customHeight="1"/>
    <row r="10674" ht="14.25" customHeight="1"/>
    <row r="10675" ht="14.25" customHeight="1"/>
    <row r="10676" ht="14.25" customHeight="1"/>
    <row r="10677" ht="14.25" customHeight="1"/>
    <row r="10678" ht="14.25" customHeight="1"/>
    <row r="10679" ht="14.25" customHeight="1"/>
    <row r="10680" ht="14.25" customHeight="1"/>
    <row r="10681" ht="14.25" customHeight="1"/>
    <row r="10682" ht="14.25" customHeight="1"/>
    <row r="10683" ht="14.25" customHeight="1"/>
    <row r="10684" ht="14.25" customHeight="1"/>
    <row r="10685" ht="14.25" customHeight="1"/>
    <row r="10686" ht="14.25" customHeight="1"/>
    <row r="10687" ht="14.25" customHeight="1"/>
    <row r="10688" ht="14.25" customHeight="1"/>
    <row r="10689" ht="14.25" customHeight="1"/>
    <row r="10690" ht="14.25" customHeight="1"/>
    <row r="10691" ht="14.25" customHeight="1"/>
    <row r="10692" ht="14.25" customHeight="1"/>
    <row r="10693" ht="14.25" customHeight="1"/>
    <row r="10694" ht="14.25" customHeight="1"/>
    <row r="10695" ht="14.25" customHeight="1"/>
    <row r="10696" ht="14.25" customHeight="1"/>
    <row r="10697" ht="14.25" customHeight="1"/>
    <row r="10698" ht="14.25" customHeight="1"/>
    <row r="10699" ht="14.25" customHeight="1"/>
    <row r="10700" ht="14.25" customHeight="1"/>
    <row r="10701" ht="14.25" customHeight="1"/>
    <row r="10702" ht="14.25" customHeight="1"/>
    <row r="10703" ht="14.25" customHeight="1"/>
    <row r="10704" ht="14.25" customHeight="1"/>
    <row r="10705" ht="14.25" customHeight="1"/>
    <row r="10706" ht="14.25" customHeight="1"/>
    <row r="10707" ht="14.25" customHeight="1"/>
    <row r="10708" ht="14.25" customHeight="1"/>
    <row r="10709" ht="14.25" customHeight="1"/>
    <row r="10710" ht="14.25" customHeight="1"/>
    <row r="10711" ht="14.25" customHeight="1"/>
    <row r="10712" ht="14.25" customHeight="1"/>
    <row r="10713" ht="14.25" customHeight="1"/>
    <row r="10714" ht="14.25" customHeight="1"/>
    <row r="10715" ht="14.25" customHeight="1"/>
    <row r="10716" ht="14.25" customHeight="1"/>
    <row r="10717" ht="14.25" customHeight="1"/>
    <row r="10718" ht="14.25" customHeight="1"/>
    <row r="10719" ht="14.25" customHeight="1"/>
    <row r="10720" ht="14.25" customHeight="1"/>
    <row r="10721" ht="14.25" customHeight="1"/>
    <row r="10722" ht="14.25" customHeight="1"/>
    <row r="10723" ht="14.25" customHeight="1"/>
    <row r="10724" ht="14.25" customHeight="1"/>
    <row r="10725" ht="14.25" customHeight="1"/>
    <row r="10726" ht="14.25" customHeight="1"/>
    <row r="10727" ht="14.25" customHeight="1"/>
    <row r="10728" ht="14.25" customHeight="1"/>
    <row r="10729" ht="14.25" customHeight="1"/>
    <row r="10730" ht="14.25" customHeight="1"/>
    <row r="10731" ht="14.25" customHeight="1"/>
    <row r="10732" ht="14.25" customHeight="1"/>
    <row r="10733" ht="14.25" customHeight="1"/>
    <row r="10734" ht="14.25" customHeight="1"/>
    <row r="10735" ht="14.25" customHeight="1"/>
    <row r="10736" ht="14.25" customHeight="1"/>
    <row r="10737" ht="14.25" customHeight="1"/>
    <row r="10738" ht="14.25" customHeight="1"/>
    <row r="10739" ht="14.25" customHeight="1"/>
    <row r="10740" ht="14.25" customHeight="1"/>
    <row r="10741" ht="14.25" customHeight="1"/>
    <row r="10742" ht="14.25" customHeight="1"/>
    <row r="10743" ht="14.25" customHeight="1"/>
    <row r="10744" ht="14.25" customHeight="1"/>
    <row r="10745" ht="14.25" customHeight="1"/>
    <row r="10746" ht="14.25" customHeight="1"/>
    <row r="10747" ht="14.25" customHeight="1"/>
    <row r="10748" ht="14.25" customHeight="1"/>
    <row r="10749" ht="14.25" customHeight="1"/>
    <row r="10750" ht="14.25" customHeight="1"/>
    <row r="10751" ht="14.25" customHeight="1"/>
    <row r="10752" ht="14.25" customHeight="1"/>
    <row r="10753" ht="14.25" customHeight="1"/>
    <row r="10754" ht="14.25" customHeight="1"/>
    <row r="10755" ht="14.25" customHeight="1"/>
    <row r="10756" ht="14.25" customHeight="1"/>
    <row r="10757" ht="14.25" customHeight="1"/>
    <row r="10758" ht="14.25" customHeight="1"/>
    <row r="10759" ht="14.25" customHeight="1"/>
    <row r="10760" ht="14.25" customHeight="1"/>
    <row r="10761" ht="14.25" customHeight="1"/>
    <row r="10762" ht="14.25" customHeight="1"/>
    <row r="10763" ht="14.25" customHeight="1"/>
    <row r="10764" ht="14.25" customHeight="1"/>
    <row r="10765" ht="14.25" customHeight="1"/>
    <row r="10766" ht="14.25" customHeight="1"/>
    <row r="10767" ht="14.25" customHeight="1"/>
    <row r="10768" ht="14.25" customHeight="1"/>
    <row r="10769" ht="14.25" customHeight="1"/>
    <row r="10770" ht="14.25" customHeight="1"/>
    <row r="10771" ht="14.25" customHeight="1"/>
    <row r="10772" ht="14.25" customHeight="1"/>
    <row r="10773" ht="14.25" customHeight="1"/>
    <row r="10774" ht="14.25" customHeight="1"/>
    <row r="10775" ht="14.25" customHeight="1"/>
    <row r="10776" ht="14.25" customHeight="1"/>
    <row r="10777" ht="14.25" customHeight="1"/>
    <row r="10778" ht="14.25" customHeight="1"/>
    <row r="10779" ht="14.25" customHeight="1"/>
    <row r="10780" ht="14.25" customHeight="1"/>
    <row r="10781" ht="14.25" customHeight="1"/>
    <row r="10782" ht="14.25" customHeight="1"/>
    <row r="10783" ht="14.25" customHeight="1"/>
    <row r="10784" ht="14.25" customHeight="1"/>
    <row r="10785" ht="14.25" customHeight="1"/>
    <row r="10786" ht="14.25" customHeight="1"/>
    <row r="10787" ht="14.25" customHeight="1"/>
    <row r="10788" ht="14.25" customHeight="1"/>
    <row r="10789" ht="14.25" customHeight="1"/>
    <row r="10790" ht="14.25" customHeight="1"/>
    <row r="10791" ht="14.25" customHeight="1"/>
    <row r="10792" ht="14.25" customHeight="1"/>
    <row r="10793" ht="14.25" customHeight="1"/>
    <row r="10794" ht="14.25" customHeight="1"/>
    <row r="10795" ht="14.25" customHeight="1"/>
    <row r="10796" ht="14.25" customHeight="1"/>
    <row r="10797" ht="14.25" customHeight="1"/>
    <row r="10798" ht="14.25" customHeight="1"/>
    <row r="10799" ht="14.25" customHeight="1"/>
    <row r="10800" ht="14.25" customHeight="1"/>
    <row r="10801" ht="14.25" customHeight="1"/>
    <row r="10802" ht="14.25" customHeight="1"/>
    <row r="10803" ht="14.25" customHeight="1"/>
    <row r="10804" ht="14.25" customHeight="1"/>
    <row r="10805" ht="14.25" customHeight="1"/>
    <row r="10806" ht="14.25" customHeight="1"/>
    <row r="10807" ht="14.25" customHeight="1"/>
    <row r="10808" ht="14.25" customHeight="1"/>
    <row r="10809" ht="14.25" customHeight="1"/>
    <row r="10810" ht="14.25" customHeight="1"/>
    <row r="10811" ht="14.25" customHeight="1"/>
    <row r="10812" ht="14.25" customHeight="1"/>
    <row r="10813" ht="14.25" customHeight="1"/>
    <row r="10814" ht="14.25" customHeight="1"/>
    <row r="10815" ht="14.25" customHeight="1"/>
    <row r="10816" ht="14.25" customHeight="1"/>
    <row r="10817" ht="14.25" customHeight="1"/>
    <row r="10818" ht="14.25" customHeight="1"/>
    <row r="10819" ht="14.25" customHeight="1"/>
    <row r="10820" ht="14.25" customHeight="1"/>
    <row r="10821" ht="14.25" customHeight="1"/>
    <row r="10822" ht="14.25" customHeight="1"/>
    <row r="10823" ht="14.25" customHeight="1"/>
    <row r="10824" ht="14.25" customHeight="1"/>
    <row r="10825" ht="14.25" customHeight="1"/>
    <row r="10826" ht="14.25" customHeight="1"/>
    <row r="10827" ht="14.25" customHeight="1"/>
    <row r="10828" ht="14.25" customHeight="1"/>
    <row r="10829" ht="14.25" customHeight="1"/>
    <row r="10830" ht="14.25" customHeight="1"/>
    <row r="10831" ht="14.25" customHeight="1"/>
    <row r="10832" ht="14.25" customHeight="1"/>
    <row r="10833" ht="14.25" customHeight="1"/>
    <row r="10834" ht="14.25" customHeight="1"/>
    <row r="10835" ht="14.25" customHeight="1"/>
    <row r="10836" ht="14.25" customHeight="1"/>
    <row r="10837" ht="14.25" customHeight="1"/>
    <row r="10838" ht="14.25" customHeight="1"/>
    <row r="10839" ht="14.25" customHeight="1"/>
    <row r="10840" ht="14.25" customHeight="1"/>
    <row r="10841" ht="14.25" customHeight="1"/>
    <row r="10842" ht="14.25" customHeight="1"/>
    <row r="10843" ht="14.25" customHeight="1"/>
    <row r="10844" ht="14.25" customHeight="1"/>
    <row r="10845" ht="14.25" customHeight="1"/>
    <row r="10846" ht="14.25" customHeight="1"/>
    <row r="10847" ht="14.25" customHeight="1"/>
    <row r="10848" ht="14.25" customHeight="1"/>
    <row r="10849" ht="14.25" customHeight="1"/>
    <row r="10850" ht="14.25" customHeight="1"/>
    <row r="10851" ht="14.25" customHeight="1"/>
    <row r="10852" ht="14.25" customHeight="1"/>
    <row r="10853" ht="14.25" customHeight="1"/>
    <row r="10854" ht="14.25" customHeight="1"/>
    <row r="10855" ht="14.25" customHeight="1"/>
    <row r="10856" ht="14.25" customHeight="1"/>
    <row r="10857" ht="14.25" customHeight="1"/>
    <row r="10858" ht="14.25" customHeight="1"/>
    <row r="10859" ht="14.25" customHeight="1"/>
    <row r="10860" ht="14.25" customHeight="1"/>
    <row r="10861" ht="14.25" customHeight="1"/>
    <row r="10862" ht="14.25" customHeight="1"/>
    <row r="10863" ht="14.25" customHeight="1"/>
    <row r="10864" ht="14.25" customHeight="1"/>
    <row r="10865" ht="14.25" customHeight="1"/>
    <row r="10866" ht="14.25" customHeight="1"/>
    <row r="10867" ht="14.25" customHeight="1"/>
    <row r="10868" ht="14.25" customHeight="1"/>
    <row r="10869" ht="14.25" customHeight="1"/>
    <row r="10870" ht="14.25" customHeight="1"/>
    <row r="10871" ht="14.25" customHeight="1"/>
    <row r="10872" ht="14.25" customHeight="1"/>
    <row r="10873" ht="14.25" customHeight="1"/>
    <row r="10874" ht="14.25" customHeight="1"/>
    <row r="10875" ht="14.25" customHeight="1"/>
    <row r="10876" ht="14.25" customHeight="1"/>
    <row r="10877" ht="14.25" customHeight="1"/>
    <row r="10878" ht="14.25" customHeight="1"/>
    <row r="10879" ht="14.25" customHeight="1"/>
    <row r="10880" ht="14.25" customHeight="1"/>
    <row r="10881" ht="14.25" customHeight="1"/>
    <row r="10882" ht="14.25" customHeight="1"/>
    <row r="10883" ht="14.25" customHeight="1"/>
    <row r="10884" ht="14.25" customHeight="1"/>
    <row r="10885" ht="14.25" customHeight="1"/>
    <row r="10886" ht="14.25" customHeight="1"/>
    <row r="10887" ht="14.25" customHeight="1"/>
    <row r="10888" ht="14.25" customHeight="1"/>
    <row r="10889" ht="14.25" customHeight="1"/>
    <row r="10890" ht="14.25" customHeight="1"/>
    <row r="10891" ht="14.25" customHeight="1"/>
    <row r="10892" ht="14.25" customHeight="1"/>
    <row r="10893" ht="14.25" customHeight="1"/>
    <row r="10894" ht="14.25" customHeight="1"/>
    <row r="10895" ht="14.25" customHeight="1"/>
    <row r="10896" ht="14.25" customHeight="1"/>
    <row r="10897" ht="14.25" customHeight="1"/>
    <row r="10898" ht="14.25" customHeight="1"/>
    <row r="10899" ht="14.25" customHeight="1"/>
    <row r="10900" ht="14.25" customHeight="1"/>
    <row r="10901" ht="14.25" customHeight="1"/>
    <row r="10902" ht="14.25" customHeight="1"/>
    <row r="10903" ht="14.25" customHeight="1"/>
    <row r="10904" ht="14.25" customHeight="1"/>
    <row r="10905" ht="14.25" customHeight="1"/>
    <row r="10906" ht="14.25" customHeight="1"/>
    <row r="10907" ht="14.25" customHeight="1"/>
    <row r="10908" ht="14.25" customHeight="1"/>
    <row r="10909" ht="14.25" customHeight="1"/>
    <row r="10910" ht="14.25" customHeight="1"/>
    <row r="10911" ht="14.25" customHeight="1"/>
    <row r="10912" ht="14.25" customHeight="1"/>
    <row r="10913" ht="14.25" customHeight="1"/>
    <row r="10914" ht="14.25" customHeight="1"/>
    <row r="10915" ht="14.25" customHeight="1"/>
    <row r="10916" ht="14.25" customHeight="1"/>
    <row r="10917" ht="14.25" customHeight="1"/>
    <row r="10918" ht="14.25" customHeight="1"/>
    <row r="10919" ht="14.25" customHeight="1"/>
    <row r="10920" ht="14.25" customHeight="1"/>
    <row r="10921" ht="14.25" customHeight="1"/>
    <row r="10922" ht="14.25" customHeight="1"/>
    <row r="10923" ht="14.25" customHeight="1"/>
    <row r="10924" ht="14.25" customHeight="1"/>
    <row r="10925" ht="14.25" customHeight="1"/>
    <row r="10926" ht="14.25" customHeight="1"/>
    <row r="10927" ht="14.25" customHeight="1"/>
    <row r="10928" ht="14.25" customHeight="1"/>
    <row r="10929" ht="14.25" customHeight="1"/>
    <row r="10930" ht="14.25" customHeight="1"/>
    <row r="10931" ht="14.25" customHeight="1"/>
    <row r="10932" ht="14.25" customHeight="1"/>
    <row r="10933" ht="14.25" customHeight="1"/>
    <row r="10934" ht="14.25" customHeight="1"/>
    <row r="10935" ht="14.25" customHeight="1"/>
    <row r="10936" ht="14.25" customHeight="1"/>
    <row r="10937" ht="14.25" customHeight="1"/>
    <row r="10938" ht="14.25" customHeight="1"/>
    <row r="10939" ht="14.25" customHeight="1"/>
    <row r="10940" ht="14.25" customHeight="1"/>
    <row r="10941" ht="14.25" customHeight="1"/>
    <row r="10942" ht="14.25" customHeight="1"/>
    <row r="10943" ht="14.25" customHeight="1"/>
    <row r="10944" ht="14.25" customHeight="1"/>
    <row r="10945" ht="14.25" customHeight="1"/>
    <row r="10946" ht="14.25" customHeight="1"/>
    <row r="10947" ht="14.25" customHeight="1"/>
    <row r="10948" ht="14.25" customHeight="1"/>
    <row r="10949" ht="14.25" customHeight="1"/>
    <row r="10950" ht="14.25" customHeight="1"/>
    <row r="10951" ht="14.25" customHeight="1"/>
    <row r="10952" ht="14.25" customHeight="1"/>
    <row r="10953" ht="14.25" customHeight="1"/>
    <row r="10954" ht="14.25" customHeight="1"/>
    <row r="10955" ht="14.25" customHeight="1"/>
    <row r="10956" ht="14.25" customHeight="1"/>
    <row r="10957" ht="14.25" customHeight="1"/>
    <row r="10958" ht="14.25" customHeight="1"/>
    <row r="10959" ht="14.25" customHeight="1"/>
    <row r="10960" ht="14.25" customHeight="1"/>
    <row r="10961" ht="14.25" customHeight="1"/>
    <row r="10962" ht="14.25" customHeight="1"/>
    <row r="10963" ht="14.25" customHeight="1"/>
    <row r="10964" ht="14.25" customHeight="1"/>
    <row r="10965" ht="14.25" customHeight="1"/>
    <row r="10966" ht="14.25" customHeight="1"/>
    <row r="10967" ht="14.25" customHeight="1"/>
    <row r="10968" ht="14.25" customHeight="1"/>
    <row r="10969" ht="14.25" customHeight="1"/>
    <row r="10970" ht="14.25" customHeight="1"/>
    <row r="10971" ht="14.25" customHeight="1"/>
    <row r="10972" ht="14.25" customHeight="1"/>
    <row r="10973" ht="14.25" customHeight="1"/>
    <row r="10974" ht="14.25" customHeight="1"/>
    <row r="10975" ht="14.25" customHeight="1"/>
    <row r="10976" ht="14.25" customHeight="1"/>
    <row r="10977" ht="14.25" customHeight="1"/>
    <row r="10978" ht="14.25" customHeight="1"/>
    <row r="10979" ht="14.25" customHeight="1"/>
    <row r="10980" ht="14.25" customHeight="1"/>
    <row r="10981" ht="14.25" customHeight="1"/>
    <row r="10982" ht="14.25" customHeight="1"/>
    <row r="10983" ht="14.25" customHeight="1"/>
    <row r="10984" ht="14.25" customHeight="1"/>
    <row r="10985" ht="14.25" customHeight="1"/>
    <row r="10986" ht="14.25" customHeight="1"/>
    <row r="10987" ht="14.25" customHeight="1"/>
    <row r="10988" ht="14.25" customHeight="1"/>
    <row r="10989" ht="14.25" customHeight="1"/>
    <row r="10990" ht="14.25" customHeight="1"/>
    <row r="10991" ht="14.25" customHeight="1"/>
    <row r="10992" ht="14.25" customHeight="1"/>
    <row r="10993" ht="14.25" customHeight="1"/>
    <row r="10994" ht="14.25" customHeight="1"/>
    <row r="10995" ht="14.25" customHeight="1"/>
    <row r="10996" ht="14.25" customHeight="1"/>
    <row r="10997" ht="14.25" customHeight="1"/>
    <row r="10998" ht="14.25" customHeight="1"/>
    <row r="10999" ht="14.25" customHeight="1"/>
    <row r="11000" ht="14.25" customHeight="1"/>
    <row r="11001" ht="14.25" customHeight="1"/>
    <row r="11002" ht="14.25" customHeight="1"/>
    <row r="11003" ht="14.25" customHeight="1"/>
    <row r="11004" ht="14.25" customHeight="1"/>
    <row r="11005" ht="14.25" customHeight="1"/>
    <row r="11006" ht="14.25" customHeight="1"/>
    <row r="11007" ht="14.25" customHeight="1"/>
    <row r="11008" ht="14.25" customHeight="1"/>
    <row r="11009" ht="14.25" customHeight="1"/>
    <row r="11010" ht="14.25" customHeight="1"/>
    <row r="11011" ht="14.25" customHeight="1"/>
    <row r="11012" ht="14.25" customHeight="1"/>
    <row r="11013" ht="14.25" customHeight="1"/>
    <row r="11014" ht="14.25" customHeight="1"/>
    <row r="11015" ht="14.25" customHeight="1"/>
    <row r="11016" ht="14.25" customHeight="1"/>
    <row r="11017" ht="14.25" customHeight="1"/>
    <row r="11018" ht="14.25" customHeight="1"/>
    <row r="11019" ht="14.25" customHeight="1"/>
    <row r="11020" ht="14.25" customHeight="1"/>
    <row r="11021" ht="14.25" customHeight="1"/>
    <row r="11022" ht="14.25" customHeight="1"/>
    <row r="11023" ht="14.25" customHeight="1"/>
    <row r="11024" ht="14.25" customHeight="1"/>
    <row r="11025" ht="14.25" customHeight="1"/>
    <row r="11026" ht="14.25" customHeight="1"/>
    <row r="11027" ht="14.25" customHeight="1"/>
    <row r="11028" ht="14.25" customHeight="1"/>
    <row r="11029" ht="14.25" customHeight="1"/>
    <row r="11030" ht="14.25" customHeight="1"/>
    <row r="11031" ht="14.25" customHeight="1"/>
    <row r="11032" ht="14.25" customHeight="1"/>
    <row r="11033" ht="14.25" customHeight="1"/>
    <row r="11034" ht="14.25" customHeight="1"/>
    <row r="11035" ht="14.25" customHeight="1"/>
    <row r="11036" ht="14.25" customHeight="1"/>
    <row r="11037" ht="14.25" customHeight="1"/>
    <row r="11038" ht="14.25" customHeight="1"/>
    <row r="11039" ht="14.25" customHeight="1"/>
    <row r="11040" ht="14.25" customHeight="1"/>
    <row r="11041" ht="14.25" customHeight="1"/>
    <row r="11042" ht="14.25" customHeight="1"/>
    <row r="11043" ht="14.25" customHeight="1"/>
    <row r="11044" ht="14.25" customHeight="1"/>
    <row r="11045" ht="14.25" customHeight="1"/>
    <row r="11046" ht="14.25" customHeight="1"/>
    <row r="11047" ht="14.25" customHeight="1"/>
    <row r="11048" ht="14.25" customHeight="1"/>
    <row r="11049" ht="14.25" customHeight="1"/>
    <row r="11050" ht="14.25" customHeight="1"/>
    <row r="11051" ht="14.25" customHeight="1"/>
    <row r="11052" ht="14.25" customHeight="1"/>
    <row r="11053" ht="14.25" customHeight="1"/>
    <row r="11054" ht="14.25" customHeight="1"/>
    <row r="11055" ht="14.25" customHeight="1"/>
    <row r="11056" ht="14.25" customHeight="1"/>
    <row r="11057" ht="14.25" customHeight="1"/>
    <row r="11058" ht="14.25" customHeight="1"/>
    <row r="11059" ht="14.25" customHeight="1"/>
    <row r="11060" ht="14.25" customHeight="1"/>
    <row r="11061" ht="14.25" customHeight="1"/>
    <row r="11062" ht="14.25" customHeight="1"/>
    <row r="11063" ht="14.25" customHeight="1"/>
    <row r="11064" ht="14.25" customHeight="1"/>
    <row r="11065" ht="14.25" customHeight="1"/>
    <row r="11066" ht="14.25" customHeight="1"/>
    <row r="11067" ht="14.25" customHeight="1"/>
    <row r="11068" ht="14.25" customHeight="1"/>
    <row r="11069" ht="14.25" customHeight="1"/>
    <row r="11070" ht="14.25" customHeight="1"/>
    <row r="11071" ht="14.25" customHeight="1"/>
    <row r="11072" ht="14.25" customHeight="1"/>
    <row r="11073" ht="14.25" customHeight="1"/>
    <row r="11074" ht="14.25" customHeight="1"/>
    <row r="11075" ht="14.25" customHeight="1"/>
    <row r="11076" ht="14.25" customHeight="1"/>
    <row r="11077" ht="14.25" customHeight="1"/>
    <row r="11078" ht="14.25" customHeight="1"/>
    <row r="11079" ht="14.25" customHeight="1"/>
    <row r="11080" ht="14.25" customHeight="1"/>
    <row r="11081" ht="14.25" customHeight="1"/>
    <row r="11082" ht="14.25" customHeight="1"/>
    <row r="11083" ht="14.25" customHeight="1"/>
    <row r="11084" ht="14.25" customHeight="1"/>
    <row r="11085" ht="14.25" customHeight="1"/>
    <row r="11086" ht="14.25" customHeight="1"/>
    <row r="11087" ht="14.25" customHeight="1"/>
    <row r="11088" ht="14.25" customHeight="1"/>
    <row r="11089" ht="14.25" customHeight="1"/>
    <row r="11090" ht="14.25" customHeight="1"/>
    <row r="11091" ht="14.25" customHeight="1"/>
    <row r="11092" ht="14.25" customHeight="1"/>
    <row r="11093" ht="14.25" customHeight="1"/>
    <row r="11094" ht="14.25" customHeight="1"/>
    <row r="11095" ht="14.25" customHeight="1"/>
    <row r="11096" ht="14.25" customHeight="1"/>
    <row r="11097" ht="14.25" customHeight="1"/>
    <row r="11098" ht="14.25" customHeight="1"/>
    <row r="11099" ht="14.25" customHeight="1"/>
    <row r="11100" ht="14.25" customHeight="1"/>
    <row r="11101" ht="14.25" customHeight="1"/>
    <row r="11102" ht="14.25" customHeight="1"/>
    <row r="11103" ht="14.25" customHeight="1"/>
    <row r="11104" ht="14.25" customHeight="1"/>
    <row r="11105" ht="14.25" customHeight="1"/>
    <row r="11106" ht="14.25" customHeight="1"/>
    <row r="11107" ht="14.25" customHeight="1"/>
    <row r="11108" ht="14.25" customHeight="1"/>
    <row r="11109" ht="14.25" customHeight="1"/>
    <row r="11110" ht="14.25" customHeight="1"/>
    <row r="11111" ht="14.25" customHeight="1"/>
    <row r="11112" ht="14.25" customHeight="1"/>
    <row r="11113" ht="14.25" customHeight="1"/>
    <row r="11114" ht="14.25" customHeight="1"/>
    <row r="11115" ht="14.25" customHeight="1"/>
    <row r="11116" ht="14.25" customHeight="1"/>
    <row r="11117" ht="14.25" customHeight="1"/>
    <row r="11118" ht="14.25" customHeight="1"/>
    <row r="11119" ht="14.25" customHeight="1"/>
    <row r="11120" ht="14.25" customHeight="1"/>
    <row r="11121" ht="14.25" customHeight="1"/>
    <row r="11122" ht="14.25" customHeight="1"/>
    <row r="11123" ht="14.25" customHeight="1"/>
    <row r="11124" ht="14.25" customHeight="1"/>
    <row r="11125" ht="14.25" customHeight="1"/>
    <row r="11126" ht="14.25" customHeight="1"/>
    <row r="11127" ht="14.25" customHeight="1"/>
    <row r="11128" ht="14.25" customHeight="1"/>
    <row r="11129" ht="14.25" customHeight="1"/>
    <row r="11130" ht="14.25" customHeight="1"/>
    <row r="11131" ht="14.25" customHeight="1"/>
    <row r="11132" ht="14.25" customHeight="1"/>
    <row r="11133" ht="14.25" customHeight="1"/>
    <row r="11134" ht="14.25" customHeight="1"/>
    <row r="11135" ht="14.25" customHeight="1"/>
    <row r="11136" ht="14.25" customHeight="1"/>
    <row r="11137" ht="14.25" customHeight="1"/>
    <row r="11138" ht="14.25" customHeight="1"/>
    <row r="11139" ht="14.25" customHeight="1"/>
    <row r="11140" ht="14.25" customHeight="1"/>
    <row r="11141" ht="14.25" customHeight="1"/>
    <row r="11142" ht="14.25" customHeight="1"/>
    <row r="11143" ht="14.25" customHeight="1"/>
    <row r="11144" ht="14.25" customHeight="1"/>
    <row r="11145" ht="14.25" customHeight="1"/>
    <row r="11146" ht="14.25" customHeight="1"/>
    <row r="11147" ht="14.25" customHeight="1"/>
    <row r="11148" ht="14.25" customHeight="1"/>
    <row r="11149" ht="14.25" customHeight="1"/>
    <row r="11150" ht="14.25" customHeight="1"/>
    <row r="11151" ht="14.25" customHeight="1"/>
    <row r="11152" ht="14.25" customHeight="1"/>
    <row r="11153" ht="14.25" customHeight="1"/>
    <row r="11154" ht="14.25" customHeight="1"/>
    <row r="11155" ht="14.25" customHeight="1"/>
    <row r="11156" ht="14.25" customHeight="1"/>
    <row r="11157" ht="14.25" customHeight="1"/>
    <row r="11158" ht="14.25" customHeight="1"/>
    <row r="11159" ht="14.25" customHeight="1"/>
    <row r="11160" ht="14.25" customHeight="1"/>
    <row r="11161" ht="14.25" customHeight="1"/>
    <row r="11162" ht="14.25" customHeight="1"/>
    <row r="11163" ht="14.25" customHeight="1"/>
    <row r="11164" ht="14.25" customHeight="1"/>
    <row r="11165" ht="14.25" customHeight="1"/>
    <row r="11166" ht="14.25" customHeight="1"/>
    <row r="11167" ht="14.25" customHeight="1"/>
    <row r="11168" ht="14.25" customHeight="1"/>
    <row r="11169" ht="14.25" customHeight="1"/>
    <row r="11170" ht="14.25" customHeight="1"/>
    <row r="11171" ht="14.25" customHeight="1"/>
    <row r="11172" ht="14.25" customHeight="1"/>
    <row r="11173" ht="14.25" customHeight="1"/>
    <row r="11174" ht="14.25" customHeight="1"/>
    <row r="11175" ht="14.25" customHeight="1"/>
    <row r="11176" ht="14.25" customHeight="1"/>
    <row r="11177" ht="14.25" customHeight="1"/>
    <row r="11178" ht="14.25" customHeight="1"/>
    <row r="11179" ht="14.25" customHeight="1"/>
    <row r="11180" ht="14.25" customHeight="1"/>
    <row r="11181" ht="14.25" customHeight="1"/>
    <row r="11182" ht="14.25" customHeight="1"/>
    <row r="11183" ht="14.25" customHeight="1"/>
    <row r="11184" ht="14.25" customHeight="1"/>
    <row r="11185" ht="14.25" customHeight="1"/>
    <row r="11186" ht="14.25" customHeight="1"/>
    <row r="11187" ht="14.25" customHeight="1"/>
    <row r="11188" ht="14.25" customHeight="1"/>
    <row r="11189" ht="14.25" customHeight="1"/>
    <row r="11190" ht="14.25" customHeight="1"/>
    <row r="11191" ht="14.25" customHeight="1"/>
    <row r="11192" ht="14.25" customHeight="1"/>
    <row r="11193" ht="14.25" customHeight="1"/>
    <row r="11194" ht="14.25" customHeight="1"/>
    <row r="11195" ht="14.25" customHeight="1"/>
    <row r="11196" ht="14.25" customHeight="1"/>
    <row r="11197" ht="14.25" customHeight="1"/>
    <row r="11198" ht="14.25" customHeight="1"/>
    <row r="11199" ht="14.25" customHeight="1"/>
    <row r="11200" ht="14.25" customHeight="1"/>
    <row r="11201" ht="14.25" customHeight="1"/>
    <row r="11202" ht="14.25" customHeight="1"/>
    <row r="11203" ht="14.25" customHeight="1"/>
    <row r="11204" ht="14.25" customHeight="1"/>
    <row r="11205" ht="14.25" customHeight="1"/>
    <row r="11206" ht="14.25" customHeight="1"/>
    <row r="11207" ht="14.25" customHeight="1"/>
    <row r="11208" ht="14.25" customHeight="1"/>
    <row r="11209" ht="14.25" customHeight="1"/>
    <row r="11210" ht="14.25" customHeight="1"/>
    <row r="11211" ht="14.25" customHeight="1"/>
    <row r="11212" ht="14.25" customHeight="1"/>
    <row r="11213" ht="14.25" customHeight="1"/>
    <row r="11214" ht="14.25" customHeight="1"/>
    <row r="11215" ht="14.25" customHeight="1"/>
    <row r="11216" ht="14.25" customHeight="1"/>
    <row r="11217" ht="14.25" customHeight="1"/>
    <row r="11218" ht="14.25" customHeight="1"/>
    <row r="11219" ht="14.25" customHeight="1"/>
    <row r="11220" ht="14.25" customHeight="1"/>
    <row r="11221" ht="14.25" customHeight="1"/>
    <row r="11222" ht="14.25" customHeight="1"/>
    <row r="11223" ht="14.25" customHeight="1"/>
    <row r="11224" ht="14.25" customHeight="1"/>
    <row r="11225" ht="14.25" customHeight="1"/>
    <row r="11226" ht="14.25" customHeight="1"/>
    <row r="11227" ht="14.25" customHeight="1"/>
    <row r="11228" ht="14.25" customHeight="1"/>
    <row r="11229" ht="14.25" customHeight="1"/>
    <row r="11230" ht="14.25" customHeight="1"/>
    <row r="11231" ht="14.25" customHeight="1"/>
    <row r="11232" ht="14.25" customHeight="1"/>
    <row r="11233" ht="14.25" customHeight="1"/>
    <row r="11234" ht="14.25" customHeight="1"/>
    <row r="11235" ht="14.25" customHeight="1"/>
    <row r="11236" ht="14.25" customHeight="1"/>
    <row r="11237" ht="14.25" customHeight="1"/>
    <row r="11238" ht="14.25" customHeight="1"/>
    <row r="11239" ht="14.25" customHeight="1"/>
    <row r="11240" ht="14.25" customHeight="1"/>
    <row r="11241" ht="14.25" customHeight="1"/>
    <row r="11242" ht="14.25" customHeight="1"/>
    <row r="11243" ht="14.25" customHeight="1"/>
    <row r="11244" ht="14.25" customHeight="1"/>
    <row r="11245" ht="14.25" customHeight="1"/>
    <row r="11246" ht="14.25" customHeight="1"/>
    <row r="11247" ht="14.25" customHeight="1"/>
    <row r="11248" ht="14.25" customHeight="1"/>
    <row r="11249" ht="14.25" customHeight="1"/>
    <row r="11250" ht="14.25" customHeight="1"/>
    <row r="11251" ht="14.25" customHeight="1"/>
    <row r="11252" ht="14.25" customHeight="1"/>
    <row r="11253" ht="14.25" customHeight="1"/>
    <row r="11254" ht="14.25" customHeight="1"/>
    <row r="11255" ht="14.25" customHeight="1"/>
    <row r="11256" ht="14.25" customHeight="1"/>
    <row r="11257" ht="14.25" customHeight="1"/>
    <row r="11258" ht="14.25" customHeight="1"/>
    <row r="11259" ht="14.25" customHeight="1"/>
    <row r="11260" ht="14.25" customHeight="1"/>
    <row r="11261" ht="14.25" customHeight="1"/>
    <row r="11262" ht="14.25" customHeight="1"/>
    <row r="11263" ht="14.25" customHeight="1"/>
    <row r="11264" ht="14.25" customHeight="1"/>
    <row r="11265" ht="14.25" customHeight="1"/>
    <row r="11266" ht="14.25" customHeight="1"/>
    <row r="11267" ht="14.25" customHeight="1"/>
    <row r="11268" ht="14.25" customHeight="1"/>
    <row r="11269" ht="14.25" customHeight="1"/>
    <row r="11270" ht="14.25" customHeight="1"/>
    <row r="11271" ht="14.25" customHeight="1"/>
    <row r="11272" ht="14.25" customHeight="1"/>
    <row r="11273" ht="14.25" customHeight="1"/>
    <row r="11274" ht="14.25" customHeight="1"/>
    <row r="11275" ht="14.25" customHeight="1"/>
    <row r="11276" ht="14.25" customHeight="1"/>
    <row r="11277" ht="14.25" customHeight="1"/>
    <row r="11278" ht="14.25" customHeight="1"/>
    <row r="11279" ht="14.25" customHeight="1"/>
    <row r="11280" ht="14.25" customHeight="1"/>
    <row r="11281" ht="14.25" customHeight="1"/>
    <row r="11282" ht="14.25" customHeight="1"/>
    <row r="11283" ht="14.25" customHeight="1"/>
    <row r="11284" ht="14.25" customHeight="1"/>
    <row r="11285" ht="14.25" customHeight="1"/>
    <row r="11286" ht="14.25" customHeight="1"/>
    <row r="11287" ht="14.25" customHeight="1"/>
    <row r="11288" ht="14.25" customHeight="1"/>
    <row r="11289" ht="14.25" customHeight="1"/>
    <row r="11290" ht="14.25" customHeight="1"/>
    <row r="11291" ht="14.25" customHeight="1"/>
    <row r="11292" ht="14.25" customHeight="1"/>
    <row r="11293" ht="14.25" customHeight="1"/>
    <row r="11294" ht="14.25" customHeight="1"/>
    <row r="11295" ht="14.25" customHeight="1"/>
    <row r="11296" ht="14.25" customHeight="1"/>
    <row r="11297" ht="14.25" customHeight="1"/>
    <row r="11298" ht="14.25" customHeight="1"/>
    <row r="11299" ht="14.25" customHeight="1"/>
    <row r="11300" ht="14.25" customHeight="1"/>
    <row r="11301" ht="14.25" customHeight="1"/>
    <row r="11302" ht="14.25" customHeight="1"/>
    <row r="11303" ht="14.25" customHeight="1"/>
    <row r="11304" ht="14.25" customHeight="1"/>
    <row r="11305" ht="14.25" customHeight="1"/>
    <row r="11306" ht="14.25" customHeight="1"/>
    <row r="11307" ht="14.25" customHeight="1"/>
    <row r="11308" ht="14.25" customHeight="1"/>
    <row r="11309" ht="14.25" customHeight="1"/>
    <row r="11310" ht="14.25" customHeight="1"/>
    <row r="11311" ht="14.25" customHeight="1"/>
    <row r="11312" ht="14.25" customHeight="1"/>
    <row r="11313" ht="14.25" customHeight="1"/>
    <row r="11314" ht="14.25" customHeight="1"/>
    <row r="11315" ht="14.25" customHeight="1"/>
    <row r="11316" ht="14.25" customHeight="1"/>
    <row r="11317" ht="14.25" customHeight="1"/>
    <row r="11318" ht="14.25" customHeight="1"/>
    <row r="11319" ht="14.25" customHeight="1"/>
    <row r="11320" ht="14.25" customHeight="1"/>
    <row r="11321" ht="14.25" customHeight="1"/>
    <row r="11322" ht="14.25" customHeight="1"/>
    <row r="11323" ht="14.25" customHeight="1"/>
    <row r="11324" ht="14.25" customHeight="1"/>
    <row r="11325" ht="14.25" customHeight="1"/>
    <row r="11326" ht="14.25" customHeight="1"/>
    <row r="11327" ht="14.25" customHeight="1"/>
    <row r="11328" ht="14.25" customHeight="1"/>
    <row r="11329" ht="14.25" customHeight="1"/>
    <row r="11330" ht="14.25" customHeight="1"/>
    <row r="11331" ht="14.25" customHeight="1"/>
    <row r="11332" ht="14.25" customHeight="1"/>
    <row r="11333" ht="14.25" customHeight="1"/>
    <row r="11334" ht="14.25" customHeight="1"/>
    <row r="11335" ht="14.25" customHeight="1"/>
    <row r="11336" ht="14.25" customHeight="1"/>
    <row r="11337" ht="14.25" customHeight="1"/>
    <row r="11338" ht="14.25" customHeight="1"/>
    <row r="11339" ht="14.25" customHeight="1"/>
    <row r="11340" ht="14.25" customHeight="1"/>
    <row r="11341" ht="14.25" customHeight="1"/>
    <row r="11342" ht="14.25" customHeight="1"/>
    <row r="11343" ht="14.25" customHeight="1"/>
    <row r="11344" ht="14.25" customHeight="1"/>
    <row r="11345" ht="14.25" customHeight="1"/>
    <row r="11346" ht="14.25" customHeight="1"/>
    <row r="11347" ht="14.25" customHeight="1"/>
    <row r="11348" ht="14.25" customHeight="1"/>
    <row r="11349" ht="14.25" customHeight="1"/>
    <row r="11350" ht="14.25" customHeight="1"/>
    <row r="11351" ht="14.25" customHeight="1"/>
    <row r="11352" ht="14.25" customHeight="1"/>
    <row r="11353" ht="14.25" customHeight="1"/>
    <row r="11354" ht="14.25" customHeight="1"/>
    <row r="11355" ht="14.25" customHeight="1"/>
    <row r="11356" ht="14.25" customHeight="1"/>
    <row r="11357" ht="14.25" customHeight="1"/>
    <row r="11358" ht="14.25" customHeight="1"/>
    <row r="11359" ht="14.25" customHeight="1"/>
    <row r="11360" ht="14.25" customHeight="1"/>
    <row r="11361" ht="14.25" customHeight="1"/>
    <row r="11362" ht="14.25" customHeight="1"/>
    <row r="11363" ht="14.25" customHeight="1"/>
    <row r="11364" ht="14.25" customHeight="1"/>
    <row r="11365" ht="14.25" customHeight="1"/>
    <row r="11366" ht="14.25" customHeight="1"/>
    <row r="11367" ht="14.25" customHeight="1"/>
    <row r="11368" ht="14.25" customHeight="1"/>
    <row r="11369" ht="14.25" customHeight="1"/>
    <row r="11370" ht="14.25" customHeight="1"/>
    <row r="11371" ht="14.25" customHeight="1"/>
    <row r="11372" ht="14.25" customHeight="1"/>
    <row r="11373" ht="14.25" customHeight="1"/>
    <row r="11374" ht="14.25" customHeight="1"/>
    <row r="11375" ht="14.25" customHeight="1"/>
    <row r="11376" ht="14.25" customHeight="1"/>
    <row r="11377" ht="14.25" customHeight="1"/>
    <row r="11378" ht="14.25" customHeight="1"/>
    <row r="11379" ht="14.25" customHeight="1"/>
    <row r="11380" ht="14.25" customHeight="1"/>
    <row r="11381" ht="14.25" customHeight="1"/>
    <row r="11382" ht="14.25" customHeight="1"/>
    <row r="11383" ht="14.25" customHeight="1"/>
    <row r="11384" ht="14.25" customHeight="1"/>
    <row r="11385" ht="14.25" customHeight="1"/>
    <row r="11386" ht="14.25" customHeight="1"/>
    <row r="11387" ht="14.25" customHeight="1"/>
    <row r="11388" ht="14.25" customHeight="1"/>
    <row r="11389" ht="14.25" customHeight="1"/>
    <row r="11390" ht="14.25" customHeight="1"/>
    <row r="11391" ht="14.25" customHeight="1"/>
    <row r="11392" ht="14.25" customHeight="1"/>
    <row r="11393" ht="14.25" customHeight="1"/>
    <row r="11394" ht="14.25" customHeight="1"/>
    <row r="11395" ht="14.25" customHeight="1"/>
    <row r="11396" ht="14.25" customHeight="1"/>
    <row r="11397" ht="14.25" customHeight="1"/>
    <row r="11398" ht="14.25" customHeight="1"/>
    <row r="11399" ht="14.25" customHeight="1"/>
    <row r="11400" ht="14.25" customHeight="1"/>
    <row r="11401" ht="14.25" customHeight="1"/>
    <row r="11402" ht="14.25" customHeight="1"/>
    <row r="11403" ht="14.25" customHeight="1"/>
    <row r="11404" ht="14.25" customHeight="1"/>
    <row r="11405" ht="14.25" customHeight="1"/>
    <row r="11406" ht="14.25" customHeight="1"/>
    <row r="11407" ht="14.25" customHeight="1"/>
    <row r="11408" ht="14.25" customHeight="1"/>
    <row r="11409" ht="14.25" customHeight="1"/>
    <row r="11410" ht="14.25" customHeight="1"/>
    <row r="11411" ht="14.25" customHeight="1"/>
    <row r="11412" ht="14.25" customHeight="1"/>
    <row r="11413" ht="14.25" customHeight="1"/>
    <row r="11414" ht="14.25" customHeight="1"/>
    <row r="11415" ht="14.25" customHeight="1"/>
    <row r="11416" ht="14.25" customHeight="1"/>
    <row r="11417" ht="14.25" customHeight="1"/>
    <row r="11418" ht="14.25" customHeight="1"/>
    <row r="11419" ht="14.25" customHeight="1"/>
    <row r="11420" ht="14.25" customHeight="1"/>
    <row r="11421" ht="14.25" customHeight="1"/>
    <row r="11422" ht="14.25" customHeight="1"/>
    <row r="11423" ht="14.25" customHeight="1"/>
    <row r="11424" ht="14.25" customHeight="1"/>
    <row r="11425" ht="14.25" customHeight="1"/>
    <row r="11426" ht="14.25" customHeight="1"/>
    <row r="11427" ht="14.25" customHeight="1"/>
    <row r="11428" ht="14.25" customHeight="1"/>
    <row r="11429" ht="14.25" customHeight="1"/>
    <row r="11430" ht="14.25" customHeight="1"/>
    <row r="11431" ht="14.25" customHeight="1"/>
    <row r="11432" ht="14.25" customHeight="1"/>
    <row r="11433" ht="14.25" customHeight="1"/>
    <row r="11434" ht="14.25" customHeight="1"/>
    <row r="11435" ht="14.25" customHeight="1"/>
    <row r="11436" ht="14.25" customHeight="1"/>
    <row r="11437" ht="14.25" customHeight="1"/>
    <row r="11438" ht="14.25" customHeight="1"/>
    <row r="11439" ht="14.25" customHeight="1"/>
    <row r="11440" ht="14.25" customHeight="1"/>
    <row r="11441" ht="14.25" customHeight="1"/>
    <row r="11442" ht="14.25" customHeight="1"/>
    <row r="11443" ht="14.25" customHeight="1"/>
    <row r="11444" ht="14.25" customHeight="1"/>
    <row r="11445" ht="14.25" customHeight="1"/>
    <row r="11446" ht="14.25" customHeight="1"/>
    <row r="11447" ht="14.25" customHeight="1"/>
    <row r="11448" ht="14.25" customHeight="1"/>
    <row r="11449" ht="14.25" customHeight="1"/>
    <row r="11450" ht="14.25" customHeight="1"/>
    <row r="11451" ht="14.25" customHeight="1"/>
    <row r="11452" ht="14.25" customHeight="1"/>
    <row r="11453" ht="14.25" customHeight="1"/>
    <row r="11454" ht="14.25" customHeight="1"/>
    <row r="11455" ht="14.25" customHeight="1"/>
    <row r="11456" ht="14.25" customHeight="1"/>
    <row r="11457" ht="14.25" customHeight="1"/>
    <row r="11458" ht="14.25" customHeight="1"/>
    <row r="11459" ht="14.25" customHeight="1"/>
    <row r="11460" ht="14.25" customHeight="1"/>
    <row r="11461" ht="14.25" customHeight="1"/>
    <row r="11462" ht="14.25" customHeight="1"/>
    <row r="11463" ht="14.25" customHeight="1"/>
    <row r="11464" ht="14.25" customHeight="1"/>
    <row r="11465" ht="14.25" customHeight="1"/>
    <row r="11466" ht="14.25" customHeight="1"/>
    <row r="11467" ht="14.25" customHeight="1"/>
    <row r="11468" ht="14.25" customHeight="1"/>
    <row r="11469" ht="14.25" customHeight="1"/>
    <row r="11470" ht="14.25" customHeight="1"/>
    <row r="11471" ht="14.25" customHeight="1"/>
    <row r="11472" ht="14.25" customHeight="1"/>
    <row r="11473" ht="14.25" customHeight="1"/>
    <row r="11474" ht="14.25" customHeight="1"/>
    <row r="11475" ht="14.25" customHeight="1"/>
    <row r="11476" ht="14.25" customHeight="1"/>
    <row r="11477" ht="14.25" customHeight="1"/>
    <row r="11478" ht="14.25" customHeight="1"/>
    <row r="11479" ht="14.25" customHeight="1"/>
    <row r="11480" ht="14.25" customHeight="1"/>
    <row r="11481" ht="14.25" customHeight="1"/>
    <row r="11482" ht="14.25" customHeight="1"/>
    <row r="11483" ht="14.25" customHeight="1"/>
    <row r="11484" ht="14.25" customHeight="1"/>
    <row r="11485" ht="14.25" customHeight="1"/>
    <row r="11486" ht="14.25" customHeight="1"/>
    <row r="11487" ht="14.25" customHeight="1"/>
    <row r="11488" ht="14.25" customHeight="1"/>
    <row r="11489" ht="14.25" customHeight="1"/>
    <row r="11490" ht="14.25" customHeight="1"/>
    <row r="11491" ht="14.25" customHeight="1"/>
    <row r="11492" ht="14.25" customHeight="1"/>
    <row r="11493" ht="14.25" customHeight="1"/>
    <row r="11494" ht="14.25" customHeight="1"/>
    <row r="11495" ht="14.25" customHeight="1"/>
    <row r="11496" ht="14.25" customHeight="1"/>
    <row r="11497" ht="14.25" customHeight="1"/>
    <row r="11498" ht="14.25" customHeight="1"/>
    <row r="11499" ht="14.25" customHeight="1"/>
    <row r="11500" ht="14.25" customHeight="1"/>
    <row r="11501" ht="14.25" customHeight="1"/>
    <row r="11502" ht="14.25" customHeight="1"/>
    <row r="11503" ht="14.25" customHeight="1"/>
    <row r="11504" ht="14.25" customHeight="1"/>
    <row r="11505" ht="14.25" customHeight="1"/>
    <row r="11506" ht="14.25" customHeight="1"/>
    <row r="11507" ht="14.25" customHeight="1"/>
    <row r="11508" ht="14.25" customHeight="1"/>
    <row r="11509" ht="14.25" customHeight="1"/>
    <row r="11510" ht="14.25" customHeight="1"/>
    <row r="11511" ht="14.25" customHeight="1"/>
    <row r="11512" ht="14.25" customHeight="1"/>
    <row r="11513" ht="14.25" customHeight="1"/>
    <row r="11514" ht="14.25" customHeight="1"/>
    <row r="11515" ht="14.25" customHeight="1"/>
    <row r="11516" ht="14.25" customHeight="1"/>
    <row r="11517" ht="14.25" customHeight="1"/>
    <row r="11518" ht="14.25" customHeight="1"/>
    <row r="11519" ht="14.25" customHeight="1"/>
    <row r="11520" ht="14.25" customHeight="1"/>
    <row r="11521" ht="14.25" customHeight="1"/>
    <row r="11522" ht="14.25" customHeight="1"/>
    <row r="11523" ht="14.25" customHeight="1"/>
    <row r="11524" ht="14.25" customHeight="1"/>
    <row r="11525" ht="14.25" customHeight="1"/>
    <row r="11526" ht="14.25" customHeight="1"/>
    <row r="11527" ht="14.25" customHeight="1"/>
    <row r="11528" ht="14.25" customHeight="1"/>
    <row r="11529" ht="14.25" customHeight="1"/>
    <row r="11530" ht="14.25" customHeight="1"/>
    <row r="11531" ht="14.25" customHeight="1"/>
    <row r="11532" ht="14.25" customHeight="1"/>
    <row r="11533" ht="14.25" customHeight="1"/>
    <row r="11534" ht="14.25" customHeight="1"/>
    <row r="11535" ht="14.25" customHeight="1"/>
    <row r="11536" ht="14.25" customHeight="1"/>
    <row r="11537" ht="14.25" customHeight="1"/>
    <row r="11538" ht="14.25" customHeight="1"/>
    <row r="11539" ht="14.25" customHeight="1"/>
    <row r="11540" ht="14.25" customHeight="1"/>
    <row r="11541" ht="14.25" customHeight="1"/>
    <row r="11542" ht="14.25" customHeight="1"/>
    <row r="11543" ht="14.25" customHeight="1"/>
    <row r="11544" ht="14.25" customHeight="1"/>
    <row r="11545" ht="14.25" customHeight="1"/>
    <row r="11546" ht="14.25" customHeight="1"/>
    <row r="11547" ht="14.25" customHeight="1"/>
    <row r="11548" ht="14.25" customHeight="1"/>
    <row r="11549" ht="14.25" customHeight="1"/>
    <row r="11550" ht="14.25" customHeight="1"/>
    <row r="11551" ht="14.25" customHeight="1"/>
    <row r="11552" ht="14.25" customHeight="1"/>
    <row r="11553" ht="14.25" customHeight="1"/>
    <row r="11554" ht="14.25" customHeight="1"/>
    <row r="11555" ht="14.25" customHeight="1"/>
    <row r="11556" ht="14.25" customHeight="1"/>
    <row r="11557" ht="14.25" customHeight="1"/>
    <row r="11558" ht="14.25" customHeight="1"/>
    <row r="11559" ht="14.25" customHeight="1"/>
    <row r="11560" ht="14.25" customHeight="1"/>
    <row r="11561" ht="14.25" customHeight="1"/>
    <row r="11562" ht="14.25" customHeight="1"/>
    <row r="11563" ht="14.25" customHeight="1"/>
    <row r="11564" ht="14.25" customHeight="1"/>
    <row r="11565" ht="14.25" customHeight="1"/>
    <row r="11566" ht="14.25" customHeight="1"/>
    <row r="11567" ht="14.25" customHeight="1"/>
    <row r="11568" ht="14.25" customHeight="1"/>
    <row r="11569" ht="14.25" customHeight="1"/>
    <row r="11570" ht="14.25" customHeight="1"/>
    <row r="11571" ht="14.25" customHeight="1"/>
    <row r="11572" ht="14.25" customHeight="1"/>
    <row r="11573" ht="14.25" customHeight="1"/>
    <row r="11574" ht="14.25" customHeight="1"/>
    <row r="11575" ht="14.25" customHeight="1"/>
    <row r="11576" ht="14.25" customHeight="1"/>
    <row r="11577" ht="14.25" customHeight="1"/>
    <row r="11578" ht="14.25" customHeight="1"/>
    <row r="11579" ht="14.25" customHeight="1"/>
    <row r="11580" ht="14.25" customHeight="1"/>
    <row r="11581" ht="14.25" customHeight="1"/>
    <row r="11582" ht="14.25" customHeight="1"/>
    <row r="11583" ht="14.25" customHeight="1"/>
    <row r="11584" ht="14.25" customHeight="1"/>
    <row r="11585" ht="14.25" customHeight="1"/>
    <row r="11586" ht="14.25" customHeight="1"/>
    <row r="11587" ht="14.25" customHeight="1"/>
    <row r="11588" ht="14.25" customHeight="1"/>
    <row r="11589" ht="14.25" customHeight="1"/>
    <row r="11590" ht="14.25" customHeight="1"/>
    <row r="11591" ht="14.25" customHeight="1"/>
    <row r="11592" ht="14.25" customHeight="1"/>
    <row r="11593" ht="14.25" customHeight="1"/>
    <row r="11594" ht="14.25" customHeight="1"/>
    <row r="11595" ht="14.25" customHeight="1"/>
    <row r="11596" ht="14.25" customHeight="1"/>
    <row r="11597" ht="14.25" customHeight="1"/>
    <row r="11598" ht="14.25" customHeight="1"/>
    <row r="11599" ht="14.25" customHeight="1"/>
    <row r="11600" ht="14.25" customHeight="1"/>
    <row r="11601" ht="14.25" customHeight="1"/>
    <row r="11602" ht="14.25" customHeight="1"/>
    <row r="11603" ht="14.25" customHeight="1"/>
    <row r="11604" ht="14.25" customHeight="1"/>
    <row r="11605" ht="14.25" customHeight="1"/>
    <row r="11606" ht="14.25" customHeight="1"/>
    <row r="11607" ht="14.25" customHeight="1"/>
    <row r="11608" ht="14.25" customHeight="1"/>
    <row r="11609" ht="14.25" customHeight="1"/>
    <row r="11610" ht="14.25" customHeight="1"/>
    <row r="11611" ht="14.25" customHeight="1"/>
    <row r="11612" ht="14.25" customHeight="1"/>
    <row r="11613" ht="14.25" customHeight="1"/>
    <row r="11614" ht="14.25" customHeight="1"/>
    <row r="11615" ht="14.25" customHeight="1"/>
    <row r="11616" ht="14.25" customHeight="1"/>
    <row r="11617" ht="14.25" customHeight="1"/>
    <row r="11618" ht="14.25" customHeight="1"/>
    <row r="11619" ht="14.25" customHeight="1"/>
    <row r="11620" ht="14.25" customHeight="1"/>
    <row r="11621" ht="14.25" customHeight="1"/>
    <row r="11622" ht="14.25" customHeight="1"/>
    <row r="11623" ht="14.25" customHeight="1"/>
    <row r="11624" ht="14.25" customHeight="1"/>
    <row r="11625" ht="14.25" customHeight="1"/>
    <row r="11626" ht="14.25" customHeight="1"/>
    <row r="11627" ht="14.25" customHeight="1"/>
    <row r="11628" ht="14.25" customHeight="1"/>
    <row r="11629" ht="14.25" customHeight="1"/>
    <row r="11630" ht="14.25" customHeight="1"/>
    <row r="11631" ht="14.25" customHeight="1"/>
    <row r="11632" ht="14.25" customHeight="1"/>
    <row r="11633" ht="14.25" customHeight="1"/>
    <row r="11634" ht="14.25" customHeight="1"/>
    <row r="11635" ht="14.25" customHeight="1"/>
    <row r="11636" ht="14.25" customHeight="1"/>
    <row r="11637" ht="14.25" customHeight="1"/>
    <row r="11638" ht="14.25" customHeight="1"/>
    <row r="11639" ht="14.25" customHeight="1"/>
    <row r="11640" ht="14.25" customHeight="1"/>
    <row r="11641" ht="14.25" customHeight="1"/>
    <row r="11642" ht="14.25" customHeight="1"/>
    <row r="11643" ht="14.25" customHeight="1"/>
    <row r="11644" ht="14.25" customHeight="1"/>
    <row r="11645" ht="14.25" customHeight="1"/>
    <row r="11646" ht="14.25" customHeight="1"/>
    <row r="11647" ht="14.25" customHeight="1"/>
    <row r="11648" ht="14.25" customHeight="1"/>
    <row r="11649" ht="14.25" customHeight="1"/>
    <row r="11650" ht="14.25" customHeight="1"/>
    <row r="11651" ht="14.25" customHeight="1"/>
    <row r="11652" ht="14.25" customHeight="1"/>
    <row r="11653" ht="14.25" customHeight="1"/>
    <row r="11654" ht="14.25" customHeight="1"/>
    <row r="11655" ht="14.25" customHeight="1"/>
    <row r="11656" ht="14.25" customHeight="1"/>
    <row r="11657" ht="14.25" customHeight="1"/>
    <row r="11658" ht="14.25" customHeight="1"/>
    <row r="11659" ht="14.25" customHeight="1"/>
    <row r="11660" ht="14.25" customHeight="1"/>
    <row r="11661" ht="14.25" customHeight="1"/>
    <row r="11662" ht="14.25" customHeight="1"/>
    <row r="11663" ht="14.25" customHeight="1"/>
    <row r="11664" ht="14.25" customHeight="1"/>
    <row r="11665" ht="14.25" customHeight="1"/>
    <row r="11666" ht="14.25" customHeight="1"/>
    <row r="11667" ht="14.25" customHeight="1"/>
    <row r="11668" ht="14.25" customHeight="1"/>
    <row r="11669" ht="14.25" customHeight="1"/>
    <row r="11670" ht="14.25" customHeight="1"/>
    <row r="11671" ht="14.25" customHeight="1"/>
    <row r="11672" ht="14.25" customHeight="1"/>
    <row r="11673" ht="14.25" customHeight="1"/>
    <row r="11674" ht="14.25" customHeight="1"/>
    <row r="11675" ht="14.25" customHeight="1"/>
    <row r="11676" ht="14.25" customHeight="1"/>
    <row r="11677" ht="14.25" customHeight="1"/>
    <row r="11678" ht="14.25" customHeight="1"/>
    <row r="11679" ht="14.25" customHeight="1"/>
    <row r="11680" ht="14.25" customHeight="1"/>
    <row r="11681" ht="14.25" customHeight="1"/>
    <row r="11682" ht="14.25" customHeight="1"/>
    <row r="11683" ht="14.25" customHeight="1"/>
    <row r="11684" ht="14.25" customHeight="1"/>
    <row r="11685" ht="14.25" customHeight="1"/>
    <row r="11686" ht="14.25" customHeight="1"/>
    <row r="11687" ht="14.25" customHeight="1"/>
    <row r="11688" ht="14.25" customHeight="1"/>
    <row r="11689" ht="14.25" customHeight="1"/>
    <row r="11690" ht="14.25" customHeight="1"/>
    <row r="11691" ht="14.25" customHeight="1"/>
    <row r="11692" ht="14.25" customHeight="1"/>
    <row r="11693" ht="14.25" customHeight="1"/>
    <row r="11694" ht="14.25" customHeight="1"/>
    <row r="11695" ht="14.25" customHeight="1"/>
    <row r="11696" ht="14.25" customHeight="1"/>
    <row r="11697" ht="14.25" customHeight="1"/>
    <row r="11698" ht="14.25" customHeight="1"/>
    <row r="11699" ht="14.25" customHeight="1"/>
    <row r="11700" ht="14.25" customHeight="1"/>
    <row r="11701" ht="14.25" customHeight="1"/>
    <row r="11702" ht="14.25" customHeight="1"/>
    <row r="11703" ht="14.25" customHeight="1"/>
    <row r="11704" ht="14.25" customHeight="1"/>
    <row r="11705" ht="14.25" customHeight="1"/>
    <row r="11706" ht="14.25" customHeight="1"/>
    <row r="11707" ht="14.25" customHeight="1"/>
    <row r="11708" ht="14.25" customHeight="1"/>
    <row r="11709" ht="14.25" customHeight="1"/>
    <row r="11710" ht="14.25" customHeight="1"/>
    <row r="11711" ht="14.25" customHeight="1"/>
    <row r="11712" ht="14.25" customHeight="1"/>
    <row r="11713" ht="14.25" customHeight="1"/>
    <row r="11714" ht="14.25" customHeight="1"/>
    <row r="11715" ht="14.25" customHeight="1"/>
    <row r="11716" ht="14.25" customHeight="1"/>
    <row r="11717" ht="14.25" customHeight="1"/>
    <row r="11718" ht="14.25" customHeight="1"/>
    <row r="11719" ht="14.25" customHeight="1"/>
    <row r="11720" ht="14.25" customHeight="1"/>
    <row r="11721" ht="14.25" customHeight="1"/>
    <row r="11722" ht="14.25" customHeight="1"/>
    <row r="11723" ht="14.25" customHeight="1"/>
    <row r="11724" ht="14.25" customHeight="1"/>
    <row r="11725" ht="14.25" customHeight="1"/>
    <row r="11726" ht="14.25" customHeight="1"/>
    <row r="11727" ht="14.25" customHeight="1"/>
    <row r="11728" ht="14.25" customHeight="1"/>
    <row r="11729" ht="14.25" customHeight="1"/>
    <row r="11730" ht="14.25" customHeight="1"/>
    <row r="11731" ht="14.25" customHeight="1"/>
    <row r="11732" ht="14.25" customHeight="1"/>
    <row r="11733" ht="14.25" customHeight="1"/>
    <row r="11734" ht="14.25" customHeight="1"/>
    <row r="11735" ht="14.25" customHeight="1"/>
    <row r="11736" ht="14.25" customHeight="1"/>
    <row r="11737" ht="14.25" customHeight="1"/>
    <row r="11738" ht="14.25" customHeight="1"/>
    <row r="11739" ht="14.25" customHeight="1"/>
    <row r="11740" ht="14.25" customHeight="1"/>
    <row r="11741" ht="14.25" customHeight="1"/>
    <row r="11742" ht="14.25" customHeight="1"/>
    <row r="11743" ht="14.25" customHeight="1"/>
    <row r="11744" ht="14.25" customHeight="1"/>
    <row r="11745" ht="14.25" customHeight="1"/>
    <row r="11746" ht="14.25" customHeight="1"/>
    <row r="11747" ht="14.25" customHeight="1"/>
    <row r="11748" ht="14.25" customHeight="1"/>
    <row r="11749" ht="14.25" customHeight="1"/>
    <row r="11750" ht="14.25" customHeight="1"/>
    <row r="11751" ht="14.25" customHeight="1"/>
    <row r="11752" ht="14.25" customHeight="1"/>
    <row r="11753" ht="14.25" customHeight="1"/>
    <row r="11754" ht="14.25" customHeight="1"/>
    <row r="11755" ht="14.25" customHeight="1"/>
    <row r="11756" ht="14.25" customHeight="1"/>
    <row r="11757" ht="14.25" customHeight="1"/>
    <row r="11758" ht="14.25" customHeight="1"/>
    <row r="11759" ht="14.25" customHeight="1"/>
    <row r="11760" ht="14.25" customHeight="1"/>
    <row r="11761" ht="14.25" customHeight="1"/>
    <row r="11762" ht="14.25" customHeight="1"/>
    <row r="11763" ht="14.25" customHeight="1"/>
    <row r="11764" ht="14.25" customHeight="1"/>
    <row r="11765" ht="14.25" customHeight="1"/>
    <row r="11766" ht="14.25" customHeight="1"/>
    <row r="11767" ht="14.25" customHeight="1"/>
    <row r="11768" ht="14.25" customHeight="1"/>
    <row r="11769" ht="14.25" customHeight="1"/>
    <row r="11770" ht="14.25" customHeight="1"/>
    <row r="11771" ht="14.25" customHeight="1"/>
    <row r="11772" ht="14.25" customHeight="1"/>
    <row r="11773" ht="14.25" customHeight="1"/>
    <row r="11774" ht="14.25" customHeight="1"/>
    <row r="11775" ht="14.25" customHeight="1"/>
    <row r="11776" ht="14.25" customHeight="1"/>
    <row r="11777" ht="14.25" customHeight="1"/>
    <row r="11778" ht="14.25" customHeight="1"/>
    <row r="11779" ht="14.25" customHeight="1"/>
    <row r="11780" ht="14.25" customHeight="1"/>
    <row r="11781" ht="14.25" customHeight="1"/>
    <row r="11782" ht="14.25" customHeight="1"/>
    <row r="11783" ht="14.25" customHeight="1"/>
    <row r="11784" ht="14.25" customHeight="1"/>
    <row r="11785" ht="14.25" customHeight="1"/>
    <row r="11786" ht="14.25" customHeight="1"/>
    <row r="11787" ht="14.25" customHeight="1"/>
    <row r="11788" ht="14.25" customHeight="1"/>
    <row r="11789" ht="14.25" customHeight="1"/>
    <row r="11790" ht="14.25" customHeight="1"/>
    <row r="11791" ht="14.25" customHeight="1"/>
    <row r="11792" ht="14.25" customHeight="1"/>
    <row r="11793" ht="14.25" customHeight="1"/>
    <row r="11794" ht="14.25" customHeight="1"/>
    <row r="11795" ht="14.25" customHeight="1"/>
    <row r="11796" ht="14.25" customHeight="1"/>
    <row r="11797" ht="14.25" customHeight="1"/>
    <row r="11798" ht="14.25" customHeight="1"/>
    <row r="11799" ht="14.25" customHeight="1"/>
    <row r="11800" ht="14.25" customHeight="1"/>
    <row r="11801" ht="14.25" customHeight="1"/>
    <row r="11802" ht="14.25" customHeight="1"/>
    <row r="11803" ht="14.25" customHeight="1"/>
    <row r="11804" ht="14.25" customHeight="1"/>
    <row r="11805" ht="14.25" customHeight="1"/>
    <row r="11806" ht="14.25" customHeight="1"/>
    <row r="11807" ht="14.25" customHeight="1"/>
    <row r="11808" ht="14.25" customHeight="1"/>
    <row r="11809" ht="14.25" customHeight="1"/>
    <row r="11810" ht="14.25" customHeight="1"/>
    <row r="11811" ht="14.25" customHeight="1"/>
    <row r="11812" ht="14.25" customHeight="1"/>
    <row r="11813" ht="14.25" customHeight="1"/>
    <row r="11814" ht="14.25" customHeight="1"/>
    <row r="11815" ht="14.25" customHeight="1"/>
    <row r="11816" ht="14.25" customHeight="1"/>
    <row r="11817" ht="14.25" customHeight="1"/>
    <row r="11818" ht="14.25" customHeight="1"/>
    <row r="11819" ht="14.25" customHeight="1"/>
    <row r="11820" ht="14.25" customHeight="1"/>
    <row r="11821" ht="14.25" customHeight="1"/>
    <row r="11822" ht="14.25" customHeight="1"/>
    <row r="11823" ht="14.25" customHeight="1"/>
    <row r="11824" ht="14.25" customHeight="1"/>
    <row r="11825" ht="14.25" customHeight="1"/>
    <row r="11826" ht="14.25" customHeight="1"/>
    <row r="11827" ht="14.25" customHeight="1"/>
    <row r="11828" ht="14.25" customHeight="1"/>
    <row r="11829" ht="14.25" customHeight="1"/>
    <row r="11830" ht="14.25" customHeight="1"/>
    <row r="11831" ht="14.25" customHeight="1"/>
    <row r="11832" ht="14.25" customHeight="1"/>
    <row r="11833" ht="14.25" customHeight="1"/>
    <row r="11834" ht="14.25" customHeight="1"/>
    <row r="11835" ht="14.25" customHeight="1"/>
    <row r="11836" ht="14.25" customHeight="1"/>
    <row r="11837" ht="14.25" customHeight="1"/>
    <row r="11838" ht="14.25" customHeight="1"/>
    <row r="11839" ht="14.25" customHeight="1"/>
    <row r="11840" ht="14.25" customHeight="1"/>
    <row r="11841" ht="14.25" customHeight="1"/>
    <row r="11842" ht="14.25" customHeight="1"/>
    <row r="11843" ht="14.25" customHeight="1"/>
    <row r="11844" ht="14.25" customHeight="1"/>
    <row r="11845" ht="14.25" customHeight="1"/>
    <row r="11846" ht="14.25" customHeight="1"/>
    <row r="11847" ht="14.25" customHeight="1"/>
    <row r="11848" ht="14.25" customHeight="1"/>
    <row r="11849" ht="14.25" customHeight="1"/>
    <row r="11850" ht="14.25" customHeight="1"/>
    <row r="11851" ht="14.25" customHeight="1"/>
    <row r="11852" ht="14.25" customHeight="1"/>
    <row r="11853" ht="14.25" customHeight="1"/>
    <row r="11854" ht="14.25" customHeight="1"/>
    <row r="11855" ht="14.25" customHeight="1"/>
    <row r="11856" ht="14.25" customHeight="1"/>
    <row r="11857" ht="14.25" customHeight="1"/>
    <row r="11858" ht="14.25" customHeight="1"/>
    <row r="11859" ht="14.25" customHeight="1"/>
    <row r="11860" ht="14.25" customHeight="1"/>
    <row r="11861" ht="14.25" customHeight="1"/>
    <row r="11862" ht="14.25" customHeight="1"/>
    <row r="11863" ht="14.25" customHeight="1"/>
    <row r="11864" ht="14.25" customHeight="1"/>
    <row r="11865" ht="14.25" customHeight="1"/>
    <row r="11866" ht="14.25" customHeight="1"/>
    <row r="11867" ht="14.25" customHeight="1"/>
    <row r="11868" ht="14.25" customHeight="1"/>
    <row r="11869" ht="14.25" customHeight="1"/>
    <row r="11870" ht="14.25" customHeight="1"/>
    <row r="11871" ht="14.25" customHeight="1"/>
    <row r="11872" ht="14.25" customHeight="1"/>
    <row r="11873" ht="14.25" customHeight="1"/>
    <row r="11874" ht="14.25" customHeight="1"/>
    <row r="11875" ht="14.25" customHeight="1"/>
    <row r="11876" ht="14.25" customHeight="1"/>
    <row r="11877" ht="14.25" customHeight="1"/>
    <row r="11878" ht="14.25" customHeight="1"/>
    <row r="11879" ht="14.25" customHeight="1"/>
    <row r="11880" ht="14.25" customHeight="1"/>
    <row r="11881" ht="14.25" customHeight="1"/>
    <row r="11882" ht="14.25" customHeight="1"/>
    <row r="11883" ht="14.25" customHeight="1"/>
    <row r="11884" ht="14.25" customHeight="1"/>
    <row r="11885" ht="14.25" customHeight="1"/>
    <row r="11886" ht="14.25" customHeight="1"/>
    <row r="11887" ht="14.25" customHeight="1"/>
    <row r="11888" ht="14.25" customHeight="1"/>
    <row r="11889" ht="14.25" customHeight="1"/>
    <row r="11890" ht="14.25" customHeight="1"/>
    <row r="11891" ht="14.25" customHeight="1"/>
    <row r="11892" ht="14.25" customHeight="1"/>
    <row r="11893" ht="14.25" customHeight="1"/>
    <row r="11894" ht="14.25" customHeight="1"/>
    <row r="11895" ht="14.25" customHeight="1"/>
    <row r="11896" ht="14.25" customHeight="1"/>
    <row r="11897" ht="14.25" customHeight="1"/>
    <row r="11898" ht="14.25" customHeight="1"/>
    <row r="11899" ht="14.25" customHeight="1"/>
    <row r="11900" ht="14.25" customHeight="1"/>
    <row r="11901" ht="14.25" customHeight="1"/>
    <row r="11902" ht="14.25" customHeight="1"/>
    <row r="11903" ht="14.25" customHeight="1"/>
    <row r="11904" ht="14.25" customHeight="1"/>
    <row r="11905" ht="14.25" customHeight="1"/>
    <row r="11906" ht="14.25" customHeight="1"/>
    <row r="11907" ht="14.25" customHeight="1"/>
    <row r="11908" ht="14.25" customHeight="1"/>
    <row r="11909" ht="14.25" customHeight="1"/>
    <row r="11910" ht="14.25" customHeight="1"/>
    <row r="11911" ht="14.25" customHeight="1"/>
    <row r="11912" ht="14.25" customHeight="1"/>
    <row r="11913" ht="14.25" customHeight="1"/>
    <row r="11914" ht="14.25" customHeight="1"/>
    <row r="11915" ht="14.25" customHeight="1"/>
    <row r="11916" ht="14.25" customHeight="1"/>
    <row r="11917" ht="14.25" customHeight="1"/>
    <row r="11918" ht="14.25" customHeight="1"/>
    <row r="11919" ht="14.25" customHeight="1"/>
    <row r="11920" ht="14.25" customHeight="1"/>
    <row r="11921" ht="14.25" customHeight="1"/>
    <row r="11922" ht="14.25" customHeight="1"/>
    <row r="11923" ht="14.25" customHeight="1"/>
    <row r="11924" ht="14.25" customHeight="1"/>
    <row r="11925" ht="14.25" customHeight="1"/>
    <row r="11926" ht="14.25" customHeight="1"/>
    <row r="11927" ht="14.25" customHeight="1"/>
    <row r="11928" ht="14.25" customHeight="1"/>
    <row r="11929" ht="14.25" customHeight="1"/>
    <row r="11930" ht="14.25" customHeight="1"/>
    <row r="11931" ht="14.25" customHeight="1"/>
    <row r="11932" ht="14.25" customHeight="1"/>
    <row r="11933" ht="14.25" customHeight="1"/>
    <row r="11934" ht="14.25" customHeight="1"/>
    <row r="11935" ht="14.25" customHeight="1"/>
    <row r="11936" ht="14.25" customHeight="1"/>
    <row r="11937" ht="14.25" customHeight="1"/>
    <row r="11938" ht="14.25" customHeight="1"/>
    <row r="11939" ht="14.25" customHeight="1"/>
    <row r="11940" ht="14.25" customHeight="1"/>
    <row r="11941" ht="14.25" customHeight="1"/>
    <row r="11942" ht="14.25" customHeight="1"/>
    <row r="11943" ht="14.25" customHeight="1"/>
    <row r="11944" ht="14.25" customHeight="1"/>
    <row r="11945" ht="14.25" customHeight="1"/>
    <row r="11946" ht="14.25" customHeight="1"/>
    <row r="11947" ht="14.25" customHeight="1"/>
    <row r="11948" ht="14.25" customHeight="1"/>
    <row r="11949" ht="14.25" customHeight="1"/>
    <row r="11950" ht="14.25" customHeight="1"/>
    <row r="11951" ht="14.25" customHeight="1"/>
    <row r="11952" ht="14.25" customHeight="1"/>
    <row r="11953" ht="14.25" customHeight="1"/>
    <row r="11954" ht="14.25" customHeight="1"/>
    <row r="11955" ht="14.25" customHeight="1"/>
    <row r="11956" ht="14.25" customHeight="1"/>
    <row r="11957" ht="14.25" customHeight="1"/>
    <row r="11958" ht="14.25" customHeight="1"/>
    <row r="11959" ht="14.25" customHeight="1"/>
    <row r="11960" ht="14.25" customHeight="1"/>
    <row r="11961" ht="14.25" customHeight="1"/>
    <row r="11962" ht="14.25" customHeight="1"/>
    <row r="11963" ht="14.25" customHeight="1"/>
    <row r="11964" ht="14.25" customHeight="1"/>
    <row r="11965" ht="14.25" customHeight="1"/>
    <row r="11966" ht="14.25" customHeight="1"/>
    <row r="11967" ht="14.25" customHeight="1"/>
    <row r="11968" ht="14.25" customHeight="1"/>
    <row r="11969" ht="14.25" customHeight="1"/>
    <row r="11970" ht="14.25" customHeight="1"/>
    <row r="11971" ht="14.25" customHeight="1"/>
    <row r="11972" ht="14.25" customHeight="1"/>
    <row r="11973" ht="14.25" customHeight="1"/>
    <row r="11974" ht="14.25" customHeight="1"/>
    <row r="11975" ht="14.25" customHeight="1"/>
    <row r="11976" ht="14.25" customHeight="1"/>
    <row r="11977" ht="14.25" customHeight="1"/>
    <row r="11978" ht="14.25" customHeight="1"/>
    <row r="11979" ht="14.25" customHeight="1"/>
    <row r="11980" ht="14.25" customHeight="1"/>
    <row r="11981" ht="14.25" customHeight="1"/>
    <row r="11982" ht="14.25" customHeight="1"/>
    <row r="11983" ht="14.25" customHeight="1"/>
    <row r="11984" ht="14.25" customHeight="1"/>
    <row r="11985" ht="14.25" customHeight="1"/>
    <row r="11986" ht="14.25" customHeight="1"/>
    <row r="11987" ht="14.25" customHeight="1"/>
    <row r="11988" ht="14.25" customHeight="1"/>
    <row r="11989" ht="14.25" customHeight="1"/>
    <row r="11990" ht="14.25" customHeight="1"/>
    <row r="11991" ht="14.25" customHeight="1"/>
    <row r="11992" ht="14.25" customHeight="1"/>
    <row r="11993" ht="14.25" customHeight="1"/>
    <row r="11994" ht="14.25" customHeight="1"/>
    <row r="11995" ht="14.25" customHeight="1"/>
    <row r="11996" ht="14.25" customHeight="1"/>
    <row r="11997" ht="14.25" customHeight="1"/>
    <row r="11998" ht="14.25" customHeight="1"/>
    <row r="11999" ht="14.25" customHeight="1"/>
    <row r="12000" ht="14.25" customHeight="1"/>
    <row r="12001" ht="14.25" customHeight="1"/>
    <row r="12002" ht="14.25" customHeight="1"/>
    <row r="12003" ht="14.25" customHeight="1"/>
    <row r="12004" ht="14.25" customHeight="1"/>
    <row r="12005" ht="14.25" customHeight="1"/>
    <row r="12006" ht="14.25" customHeight="1"/>
    <row r="12007" ht="14.25" customHeight="1"/>
    <row r="12008" ht="14.25" customHeight="1"/>
    <row r="12009" ht="14.25" customHeight="1"/>
    <row r="12010" ht="14.25" customHeight="1"/>
    <row r="12011" ht="14.25" customHeight="1"/>
    <row r="12012" ht="14.25" customHeight="1"/>
    <row r="12013" ht="14.25" customHeight="1"/>
    <row r="12014" ht="14.25" customHeight="1"/>
    <row r="12015" ht="14.25" customHeight="1"/>
    <row r="12016" ht="14.25" customHeight="1"/>
    <row r="12017" ht="14.25" customHeight="1"/>
    <row r="12018" ht="14.25" customHeight="1"/>
    <row r="12019" ht="14.25" customHeight="1"/>
    <row r="12020" ht="14.25" customHeight="1"/>
    <row r="12021" ht="14.25" customHeight="1"/>
    <row r="12022" ht="14.25" customHeight="1"/>
    <row r="12023" ht="14.25" customHeight="1"/>
    <row r="12024" ht="14.25" customHeight="1"/>
    <row r="12025" ht="14.25" customHeight="1"/>
    <row r="12026" ht="14.25" customHeight="1"/>
    <row r="12027" ht="14.25" customHeight="1"/>
    <row r="12028" ht="14.25" customHeight="1"/>
    <row r="12029" ht="14.25" customHeight="1"/>
    <row r="12030" ht="14.25" customHeight="1"/>
    <row r="12031" ht="14.25" customHeight="1"/>
    <row r="12032" ht="14.25" customHeight="1"/>
    <row r="12033" ht="14.25" customHeight="1"/>
    <row r="12034" ht="14.25" customHeight="1"/>
    <row r="12035" ht="14.25" customHeight="1"/>
    <row r="12036" ht="14.25" customHeight="1"/>
    <row r="12037" ht="14.25" customHeight="1"/>
    <row r="12038" ht="14.25" customHeight="1"/>
    <row r="12039" ht="14.25" customHeight="1"/>
    <row r="12040" ht="14.25" customHeight="1"/>
    <row r="12041" ht="14.25" customHeight="1"/>
    <row r="12042" ht="14.25" customHeight="1"/>
    <row r="12043" ht="14.25" customHeight="1"/>
    <row r="12044" ht="14.25" customHeight="1"/>
    <row r="12045" ht="14.25" customHeight="1"/>
    <row r="12046" ht="14.25" customHeight="1"/>
    <row r="12047" ht="14.25" customHeight="1"/>
    <row r="12048" ht="14.25" customHeight="1"/>
    <row r="12049" ht="14.25" customHeight="1"/>
    <row r="12050" ht="14.25" customHeight="1"/>
    <row r="12051" ht="14.25" customHeight="1"/>
    <row r="12052" ht="14.25" customHeight="1"/>
    <row r="12053" ht="14.25" customHeight="1"/>
    <row r="12054" ht="14.25" customHeight="1"/>
    <row r="12055" ht="14.25" customHeight="1"/>
    <row r="12056" ht="14.25" customHeight="1"/>
    <row r="12057" ht="14.25" customHeight="1"/>
    <row r="12058" ht="14.25" customHeight="1"/>
    <row r="12059" ht="14.25" customHeight="1"/>
    <row r="12060" ht="14.25" customHeight="1"/>
    <row r="12061" ht="14.25" customHeight="1"/>
    <row r="12062" ht="14.25" customHeight="1"/>
    <row r="12063" ht="14.25" customHeight="1"/>
    <row r="12064" ht="14.25" customHeight="1"/>
    <row r="12065" ht="14.25" customHeight="1"/>
    <row r="12066" ht="14.25" customHeight="1"/>
    <row r="12067" ht="14.25" customHeight="1"/>
    <row r="12068" ht="14.25" customHeight="1"/>
    <row r="12069" ht="14.25" customHeight="1"/>
    <row r="12070" ht="14.25" customHeight="1"/>
    <row r="12071" ht="14.25" customHeight="1"/>
    <row r="12072" ht="14.25" customHeight="1"/>
    <row r="12073" ht="14.25" customHeight="1"/>
    <row r="12074" ht="14.25" customHeight="1"/>
    <row r="12075" ht="14.25" customHeight="1"/>
    <row r="12076" ht="14.25" customHeight="1"/>
    <row r="12077" ht="14.25" customHeight="1"/>
    <row r="12078" ht="14.25" customHeight="1"/>
    <row r="12079" ht="14.25" customHeight="1"/>
    <row r="12080" ht="14.25" customHeight="1"/>
    <row r="12081" ht="14.25" customHeight="1"/>
    <row r="12082" ht="14.25" customHeight="1"/>
    <row r="12083" ht="14.25" customHeight="1"/>
    <row r="12084" ht="14.25" customHeight="1"/>
    <row r="12085" ht="14.25" customHeight="1"/>
    <row r="12086" ht="14.25" customHeight="1"/>
    <row r="12087" ht="14.25" customHeight="1"/>
    <row r="12088" ht="14.25" customHeight="1"/>
    <row r="12089" ht="14.25" customHeight="1"/>
    <row r="12090" ht="14.25" customHeight="1"/>
    <row r="12091" ht="14.25" customHeight="1"/>
    <row r="12092" ht="14.25" customHeight="1"/>
    <row r="12093" ht="14.25" customHeight="1"/>
    <row r="12094" ht="14.25" customHeight="1"/>
    <row r="12095" ht="14.25" customHeight="1"/>
    <row r="12096" ht="14.25" customHeight="1"/>
    <row r="12097" ht="14.25" customHeight="1"/>
    <row r="12098" ht="14.25" customHeight="1"/>
    <row r="12099" ht="14.25" customHeight="1"/>
    <row r="12100" ht="14.25" customHeight="1"/>
    <row r="12101" ht="14.25" customHeight="1"/>
    <row r="12102" ht="14.25" customHeight="1"/>
    <row r="12103" ht="14.25" customHeight="1"/>
    <row r="12104" ht="14.25" customHeight="1"/>
    <row r="12105" ht="14.25" customHeight="1"/>
    <row r="12106" ht="14.25" customHeight="1"/>
    <row r="12107" ht="14.25" customHeight="1"/>
    <row r="12108" ht="14.25" customHeight="1"/>
    <row r="12109" ht="14.25" customHeight="1"/>
    <row r="12110" ht="14.25" customHeight="1"/>
    <row r="12111" ht="14.25" customHeight="1"/>
    <row r="12112" ht="14.25" customHeight="1"/>
    <row r="12113" ht="14.25" customHeight="1"/>
    <row r="12114" ht="14.25" customHeight="1"/>
    <row r="12115" ht="14.25" customHeight="1"/>
    <row r="12116" ht="14.25" customHeight="1"/>
    <row r="12117" ht="14.25" customHeight="1"/>
    <row r="12118" ht="14.25" customHeight="1"/>
    <row r="12119" ht="14.25" customHeight="1"/>
    <row r="12120" ht="14.25" customHeight="1"/>
    <row r="12121" ht="14.25" customHeight="1"/>
    <row r="12122" ht="14.25" customHeight="1"/>
    <row r="12123" ht="14.25" customHeight="1"/>
    <row r="12124" ht="14.25" customHeight="1"/>
    <row r="12125" ht="14.25" customHeight="1"/>
    <row r="12126" ht="14.25" customHeight="1"/>
    <row r="12127" ht="14.25" customHeight="1"/>
    <row r="12128" ht="14.25" customHeight="1"/>
    <row r="12129" ht="14.25" customHeight="1"/>
    <row r="12130" ht="14.25" customHeight="1"/>
    <row r="12131" ht="14.25" customHeight="1"/>
    <row r="12132" ht="14.25" customHeight="1"/>
    <row r="12133" ht="14.25" customHeight="1"/>
    <row r="12134" ht="14.25" customHeight="1"/>
    <row r="12135" ht="14.25" customHeight="1"/>
    <row r="12136" ht="14.25" customHeight="1"/>
    <row r="12137" ht="14.25" customHeight="1"/>
    <row r="12138" ht="14.25" customHeight="1"/>
    <row r="12139" ht="14.25" customHeight="1"/>
    <row r="12140" ht="14.25" customHeight="1"/>
    <row r="12141" ht="14.25" customHeight="1"/>
    <row r="12142" ht="14.25" customHeight="1"/>
    <row r="12143" ht="14.25" customHeight="1"/>
    <row r="12144" ht="14.25" customHeight="1"/>
    <row r="12145" ht="14.25" customHeight="1"/>
    <row r="12146" ht="14.25" customHeight="1"/>
    <row r="12147" ht="14.25" customHeight="1"/>
    <row r="12148" ht="14.25" customHeight="1"/>
    <row r="12149" ht="14.25" customHeight="1"/>
    <row r="12150" ht="14.25" customHeight="1"/>
    <row r="12151" ht="14.25" customHeight="1"/>
    <row r="12152" ht="14.25" customHeight="1"/>
    <row r="12153" ht="14.25" customHeight="1"/>
    <row r="12154" ht="14.25" customHeight="1"/>
    <row r="12155" ht="14.25" customHeight="1"/>
    <row r="12156" ht="14.25" customHeight="1"/>
    <row r="12157" ht="14.25" customHeight="1"/>
    <row r="12158" ht="14.25" customHeight="1"/>
    <row r="12159" ht="14.25" customHeight="1"/>
    <row r="12160" ht="14.25" customHeight="1"/>
    <row r="12161" ht="14.25" customHeight="1"/>
    <row r="12162" ht="14.25" customHeight="1"/>
    <row r="12163" ht="14.25" customHeight="1"/>
    <row r="12164" ht="14.25" customHeight="1"/>
    <row r="12165" ht="14.25" customHeight="1"/>
    <row r="12166" ht="14.25" customHeight="1"/>
    <row r="12167" ht="14.25" customHeight="1"/>
    <row r="12168" ht="14.25" customHeight="1"/>
    <row r="12169" ht="14.25" customHeight="1"/>
    <row r="12170" ht="14.25" customHeight="1"/>
    <row r="12171" ht="14.25" customHeight="1"/>
    <row r="12172" ht="14.25" customHeight="1"/>
    <row r="12173" ht="14.25" customHeight="1"/>
    <row r="12174" ht="14.25" customHeight="1"/>
    <row r="12175" ht="14.25" customHeight="1"/>
    <row r="12176" ht="14.25" customHeight="1"/>
    <row r="12177" ht="14.25" customHeight="1"/>
    <row r="12178" ht="14.25" customHeight="1"/>
    <row r="12179" ht="14.25" customHeight="1"/>
    <row r="12180" ht="14.25" customHeight="1"/>
    <row r="12181" ht="14.25" customHeight="1"/>
    <row r="12182" ht="14.25" customHeight="1"/>
    <row r="12183" ht="14.25" customHeight="1"/>
    <row r="12184" ht="14.25" customHeight="1"/>
    <row r="12185" ht="14.25" customHeight="1"/>
    <row r="12186" ht="14.25" customHeight="1"/>
    <row r="12187" ht="14.25" customHeight="1"/>
    <row r="12188" ht="14.25" customHeight="1"/>
    <row r="12189" ht="14.25" customHeight="1"/>
    <row r="12190" ht="14.25" customHeight="1"/>
    <row r="12191" ht="14.25" customHeight="1"/>
    <row r="12192" ht="14.25" customHeight="1"/>
    <row r="12193" ht="14.25" customHeight="1"/>
    <row r="12194" ht="14.25" customHeight="1"/>
    <row r="12195" ht="14.25" customHeight="1"/>
    <row r="12196" ht="14.25" customHeight="1"/>
    <row r="12197" ht="14.25" customHeight="1"/>
    <row r="12198" ht="14.25" customHeight="1"/>
    <row r="12199" ht="14.25" customHeight="1"/>
    <row r="12200" ht="14.25" customHeight="1"/>
    <row r="12201" ht="14.25" customHeight="1"/>
    <row r="12202" ht="14.25" customHeight="1"/>
    <row r="12203" ht="14.25" customHeight="1"/>
    <row r="12204" ht="14.25" customHeight="1"/>
    <row r="12205" ht="14.25" customHeight="1"/>
    <row r="12206" ht="14.25" customHeight="1"/>
    <row r="12207" ht="14.25" customHeight="1"/>
    <row r="12208" ht="14.25" customHeight="1"/>
    <row r="12209" ht="14.25" customHeight="1"/>
    <row r="12210" ht="14.25" customHeight="1"/>
    <row r="12211" ht="14.25" customHeight="1"/>
    <row r="12212" ht="14.25" customHeight="1"/>
    <row r="12213" ht="14.25" customHeight="1"/>
    <row r="12214" ht="14.25" customHeight="1"/>
    <row r="12215" ht="14.25" customHeight="1"/>
    <row r="12216" ht="14.25" customHeight="1"/>
    <row r="12217" ht="14.25" customHeight="1"/>
    <row r="12218" ht="14.25" customHeight="1"/>
    <row r="12219" ht="14.25" customHeight="1"/>
    <row r="12220" ht="14.25" customHeight="1"/>
    <row r="12221" ht="14.25" customHeight="1"/>
    <row r="12222" ht="14.25" customHeight="1"/>
    <row r="12223" ht="14.25" customHeight="1"/>
    <row r="12224" ht="14.25" customHeight="1"/>
    <row r="12225" ht="14.25" customHeight="1"/>
    <row r="12226" ht="14.25" customHeight="1"/>
    <row r="12227" ht="14.25" customHeight="1"/>
    <row r="12228" ht="14.25" customHeight="1"/>
    <row r="12229" ht="14.25" customHeight="1"/>
    <row r="12230" ht="14.25" customHeight="1"/>
    <row r="12231" ht="14.25" customHeight="1"/>
    <row r="12232" ht="14.25" customHeight="1"/>
    <row r="12233" ht="14.25" customHeight="1"/>
    <row r="12234" ht="14.25" customHeight="1"/>
    <row r="12235" ht="14.25" customHeight="1"/>
    <row r="12236" ht="14.25" customHeight="1"/>
    <row r="12237" ht="14.25" customHeight="1"/>
    <row r="12238" ht="14.25" customHeight="1"/>
    <row r="12239" ht="14.25" customHeight="1"/>
    <row r="12240" ht="14.25" customHeight="1"/>
    <row r="12241" ht="14.25" customHeight="1"/>
    <row r="12242" ht="14.25" customHeight="1"/>
    <row r="12243" ht="14.25" customHeight="1"/>
    <row r="12244" ht="14.25" customHeight="1"/>
    <row r="12245" ht="14.25" customHeight="1"/>
    <row r="12246" ht="14.25" customHeight="1"/>
  </sheetData>
  <sheetProtection formatCells="0"/>
  <mergeCells>
    <mergeCell ref="B11:G11"/>
    <mergeCell ref="B12:G12"/>
    <mergeCell ref="H139:L139"/>
    <mergeCell ref="FL130:IQ130"/>
    <mergeCell ref="H135:L135"/>
    <mergeCell ref="H136:L136"/>
    <mergeCell ref="H137:L137"/>
    <mergeCell ref="H138:L138"/>
    <mergeCell ref="FK22:FK23"/>
    <mergeCell ref="G15:J15"/>
    <mergeCell ref="G16:J16"/>
    <mergeCell ref="IQ16:IQ19"/>
    <mergeCell ref="B17:K21"/>
    <mergeCell ref="FA20:FA21"/>
    <mergeCell ref="IY22:IY23"/>
    <mergeCell ref="IW22:IW23"/>
    <mergeCell ref="IX22:IX23"/>
    <mergeCell ref="FL22:FL23"/>
    <mergeCell ref="IQ22:IQ23"/>
    <mergeCell ref="IR22:IR23"/>
    <mergeCell ref="IS22:IS23"/>
    <mergeCell ref="IZ22:IZ23"/>
    <mergeCell ref="JA22:JA23"/>
    <mergeCell ref="JB22:JB23"/>
    <mergeCell ref="JC22:JC23"/>
    <mergeCell ref="JD22:JD23"/>
    <mergeCell ref="JE22:JE23"/>
    <mergeCell ref="JF22:JF23"/>
    <mergeCell ref="JG22:JG23"/>
    <mergeCell ref="JH22:JH23"/>
    <mergeCell ref="JI22:JI23"/>
    <mergeCell ref="JJ22:JJ23"/>
    <mergeCell ref="JK22:JK23"/>
    <mergeCell ref="JL22:JL23"/>
    <mergeCell ref="JM22:JM23"/>
    <mergeCell ref="JN22:JN23"/>
    <mergeCell ref="JO22:JO23"/>
    <mergeCell ref="JP22:JP23"/>
    <mergeCell ref="JQ22:JQ23"/>
    <mergeCell ref="JR22:JR23"/>
    <mergeCell ref="JS22:JS23"/>
    <mergeCell ref="JY22:JY23"/>
    <mergeCell ref="JZ22:JZ23"/>
    <mergeCell ref="JT22:JT23"/>
    <mergeCell ref="JU22:JU23"/>
    <mergeCell ref="KF22:KF23"/>
    <mergeCell ref="JV22:JV23"/>
    <mergeCell ref="JW22:JW23"/>
    <mergeCell ref="JX22:JX23"/>
    <mergeCell ref="KG22:KG23"/>
    <mergeCell ref="KH22:KH23"/>
    <mergeCell ref="KI22:KI23"/>
    <mergeCell ref="KJ22:KJ23"/>
    <mergeCell ref="KA22:KA23"/>
    <mergeCell ref="KB22:KB23"/>
    <mergeCell ref="KC22:KC23"/>
    <mergeCell ref="KD22:KD23"/>
    <mergeCell ref="KE22:KE23"/>
  </mergeCells>
  <conditionalFormatting sqref="H24:I27 I25:I32 E29:F124 H29:I124">
    <cfRule type="expression" dxfId="55" priority="249" text="null">
      <formula>AND($B24="Vacant",ISBLANK($H24)=FALSE)</formula>
    </cfRule>
  </conditionalFormatting>
  <conditionalFormatting sqref="M24:M27 M29:M124">
    <cfRule type="expression" dxfId="55" priority="248" text="null">
      <formula>AND($B24="Vacant",OR($M24="Model",$M24="Office"))</formula>
    </cfRule>
  </conditionalFormatting>
  <conditionalFormatting sqref="I24:I124">
    <cfRule type="expression" dxfId="56" priority="247" text="null">
      <formula>AND($H24&gt;0,$N24&gt;0,$H24&gt;HLOOKUP($G24,$Q$20:$AJ$21,2))</formula>
    </cfRule>
  </conditionalFormatting>
  <conditionalFormatting sqref="Q24:CP27">
    <cfRule type="expression" dxfId="35" priority="245"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CQ24:EP27">
    <cfRule type="expression" dxfId="35" priority="244"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EQ24:EZ27">
    <cfRule type="expression" dxfId="35" priority="242"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G24:G125">
    <cfRule type="expression" dxfId="18" priority="240" text="null">
      <formula>AND(LEN($D24)&gt;0,ISNA(MATCH($G24,RentRoll_InputArea_DesignatedUnitType,0)))</formula>
    </cfRule>
  </conditionalFormatting>
  <conditionalFormatting sqref="H28:I28">
    <cfRule type="expression" dxfId="55" priority="238" text="null">
      <formula>AND($B28="Vacant",ISBLANK($H28)=FALSE)</formula>
    </cfRule>
  </conditionalFormatting>
  <conditionalFormatting sqref="M28">
    <cfRule type="expression" dxfId="55" priority="237" text="null">
      <formula>AND($B28="Vacant",OR($M28="Model",$M28="Office"))</formula>
    </cfRule>
  </conditionalFormatting>
  <conditionalFormatting sqref="Q28:CP28">
    <cfRule type="expression" dxfId="35" priority="235"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CQ28:EP28">
    <cfRule type="expression" dxfId="35" priority="234"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EQ28:EZ28">
    <cfRule type="expression" dxfId="35" priority="233"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Q29:CP124">
    <cfRule type="expression" dxfId="35" priority="228"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CQ29:EP124">
    <cfRule type="expression" dxfId="35" priority="227"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EQ29:EZ124">
    <cfRule type="expression" dxfId="35" priority="226" text="null">
      <formula>(ABS(INDIRECT(ADDRESS(ROW(),COLUMN()))-INDIRECT(SUBSTITUTE(ADDRESS(ROW(),COLUMN()),ROW(),"7")))&gt;=(2.5*INDIRECT(SUBSTITUTE(ADDRESS(ROW(),COLUMN()),ROW(),"8"))))*(ABS(INDIRECT(ADDRESS(ROW(),COLUMN()))-INDIRECT(SUBSTITUTE(ADDRESS(ROW(),COLUMN()),ROW(),"7")))/ABS(INDIRECT(SUBSTITUTE(ADDRESS(ROW(),COLUMN()),ROW(),"7")))&gt;=20%)*(ABS(INDIRECT(ADDRESS(ROW(),COLUMN())))&gt;=25)</formula>
    </cfRule>
  </conditionalFormatting>
  <conditionalFormatting sqref="G16:J16">
    <cfRule type="expression" dxfId="57" priority="151" stopIfTrue="1" text="null">
      <formula>AND(RentRollTotalUnits&gt;0,RentRoll_NmbrOfUnitTypesWithoutMatchingUnits=0)</formula>
    </cfRule>
  </conditionalFormatting>
  <conditionalFormatting sqref="G16:J16">
    <cfRule type="expression" dxfId="18" priority="152" text="null">
      <formula>AND(RentRollTotalUnits&gt;0,RentRoll_NmbrOfUnitTypesWithoutMatchingUnits&gt;0)</formula>
    </cfRule>
  </conditionalFormatting>
  <conditionalFormatting sqref="IQ16:IQ19">
    <cfRule type="expression" dxfId="54" priority="150" text="null">
      <formula>RentRoll_UnitTypeCount&gt;78</formula>
    </cfRule>
  </conditionalFormatting>
  <conditionalFormatting sqref="G15:J15">
    <cfRule type="expression" dxfId="57" priority="148" stopIfTrue="1" text="null">
      <formula>AND(RentRollTotalUnits&gt;0,RentRoll_NmbrOfUnitsWithoutMatchingUnitType=0)</formula>
    </cfRule>
  </conditionalFormatting>
  <conditionalFormatting sqref="G15:J15">
    <cfRule type="expression" dxfId="18" priority="149" text="null">
      <formula>AND(RentRollTotalUnits&gt;0,RentRoll_NmbrOfUnitsWithoutMatchingUnitType&gt;0)</formula>
    </cfRule>
  </conditionalFormatting>
  <conditionalFormatting sqref="E24:F27">
    <cfRule type="expression" dxfId="55" priority="3" text="null">
      <formula>AND($B24="Vacant",ISBLANK($H24)=FALSE)</formula>
    </cfRule>
  </conditionalFormatting>
  <conditionalFormatting sqref="E28:F28">
    <cfRule type="expression" dxfId="55" priority="2" text="null">
      <formula>AND($B28="Vacant",ISBLANK($H28)=FALSE)</formula>
    </cfRule>
  </conditionalFormatting>
  <conditionalFormatting sqref="Q3:EZ3">
    <cfRule type="expression" dxfId="18" priority="788" text="null">
      <formula>Q$3</formula>
    </cfRule>
  </conditionalFormatting>
  <conditionalFormatting sqref="FC20 IR20 JH20">
    <cfRule type="expression" dxfId="58" priority="1" text="null">
      <formula>$FC$20&lt;&gt;"Unit Type"</formula>
    </cfRule>
  </conditionalFormatting>
  <conditionalFormatting sqref="Q20:EZ20">
    <cfRule type="expression" dxfId="18" priority="1250" text="null">
      <formula>AND(RentRollTotalUnits&gt;0,CONCAT(Q$17,Q$18,Q$21,Q$22)&lt;&gt;"# Bedrooms# BathsMarket RentSquare Footage",ISNA(MATCH(Q$20,$G$24:$G$125,0)))</formula>
    </cfRule>
  </conditionalFormatting>
  <dataValidations count="11">
    <dataValidation allowBlank="1" error="Must be positive number." errorTitle="Invalid Adjustment" showErrorMessage="1" showInputMessage="1" sqref="K24:L125 N24:N125" type="decimal">
      <formula1>0</formula1>
      <formula2>9999</formula2>
    </dataValidation>
    <dataValidation allowBlank="1" error="Must be a positive number." errorTitle="Invalid Rent" showErrorMessage="1" showInputMessage="1" sqref="H24:H125" type="decimal">
      <formula1>0</formula1>
      <formula2>99999</formula2>
    </dataValidation>
    <dataValidation allowBlank="1" error="Must be a whole number,_x005F_x005F_x000A_between 100 and 9999." errorTitle="Invalid Square Footage" showErrorMessage="1" showInputMessage="1" sqref="Q22:EZ22 FA23" type="whole">
      <formula1>100</formula1>
      <formula2>9999</formula2>
    </dataValidation>
    <dataValidation allowBlank="1" showErrorMessage="1" showInputMessage="1" sqref="FA20" type="list">
      <formula1>"Unit Type,Rent Roll (if avail)"</formula1>
    </dataValidation>
    <dataValidation allowBlank="1" error="Must be a valid Excel date, not more than a year old." errorTitle="Invalid Date" showErrorMessage="1" showInputMessage="1" sqref="C15" type="date">
      <formula1>TODAY()-366</formula1>
      <formula2>TODAY()+30</formula2>
    </dataValidation>
    <dataValidation allowBlank="1" error="Must be a whole number,_x005F_x005F_x000A_between 0 and 19,999." errorTitle="Invalid Market Rent" showErrorMessage="1" showInputMessage="1" sqref="Q21:EZ21" type="whole">
      <formula1>0</formula1>
      <formula2>19999</formula2>
    </dataValidation>
    <dataValidation allowBlank="1" error="You must select from the list." errorTitle="Invalid Bath Count" showErrorMessage="1" showInputMessage="1" sqref="Q18:EZ18" type="list">
      <formula1>"# Baths,1,1.5,2,2.5,3,3.5,4"</formula1>
    </dataValidation>
    <dataValidation allowBlank="1" error="Must be a whole number,_x005F_x005F_x000A_not less than zero (0)." errorTitle="Invalid Bedroom Count" showErrorMessage="1" showInputMessage="1" sqref="Q17:EZ17" type="whole">
      <formula1>0</formula1>
      <formula2>9</formula2>
    </dataValidation>
    <dataValidation allowBlank="1" error="Must be whole number,_x005F_x005F_x000A_between 1 and 140." errorTitle="Invalid # of Unit Types" showErrorMessage="1" showInputMessage="1" sqref="Q15" type="whole">
      <formula1>1</formula1>
      <formula2>140</formula2>
    </dataValidation>
    <dataValidation allowBlank="1" showErrorMessage="1" showInputMessage="1" sqref="M24:M124" type="list">
      <formula1>"Model,Office"</formula1>
    </dataValidation>
    <dataValidation allowBlank="1" showErrorMessage="1" showInputMessage="1" sqref="B24:B124" type="list">
      <formula1>"Occupied,Vacant"</formula1>
    </dataValidation>
  </dataValidations>
  <printOptions/>
  <pageMargins left="0.7" right="0.7" top="0.75" bottom="0.75" header="0.3" footer="0.3"/>
  <pageSetup useFirstPageNumber="1" fitToHeight="-1" fitToWidth="1" paperSize="5" firstPageNumber="1" scale="59" pageOrder="downThenOver" orientation="landscape"/>
  <headerFooter>
    <oddHeader>&amp;L&amp;C&amp;R</oddHeader>
    <oddFooter>&amp;L&amp;C&amp;R</oddFooter>
  </headerFooter>
  <colBreaks count="1" manualBreakCount="1">
    <brk id="165" man="1" max="16384"/>
  </colBreaks>
  <drawing r:id="rId3"/>
  <legacyDrawing r:id="rId2"/>
  <mc:AlternateContent xmlns:mc="http://schemas.openxmlformats.org/markup-compatibility/2006">
    <mc:Choice Requires="x14">
      <controls>
        <mc:AlternateContent xmlns:mc="http://schemas.openxmlformats.org/markup-compatibility/2006">
          <mc:Choice Requires="x14">
            <control shapeId="3155" name="checkbox_ShowMarketRentColumn" r:id="rId4">
              <controlPr defaultSize="0" autoPict="0" print="0" locked="0">
                <anchor moveWithCells="1" sizeWithCells="1">
                  <from>
                    <xdr:col>6</xdr:col>
                    <xdr:colOff>50768</xdr:colOff>
                    <xdr:row>21</xdr:row>
                    <xdr:rowOff>254032</xdr:rowOff>
                  </from>
                  <to>
                    <xdr:col>8</xdr:col>
                    <xdr:colOff>177832</xdr:colOff>
                    <xdr:row>21</xdr:row>
                    <xdr:rowOff>520732</xdr:rowOff>
                  </to>
                </anchor>
              </controlPr>
            </control>
          </mc:Choice>
        </mc:AlternateContent>
      </controls>
    </mc:Choice>
  </mc:AlternateContent>
  <extLst/>
</worksheet>
</file>

<file path=xl/worksheets/sheet22.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24B020C6-C0EC-1BA5-594E-05D68E723CC6}" mc:Ignorable="x14ac xr xr2 xr3">
  <sheetPr>
    <tabColor theme="8" tint="-0.5"/>
  </sheetPr>
  <dimension ref="A1:DK1008"/>
  <sheetViews>
    <sheetView topLeftCell="A1" zoomScale="80" workbookViewId="0">
      <selection activeCell="B3" sqref="B3:B1001"/>
    </sheetView>
  </sheetViews>
  <sheetFormatPr defaultRowHeight="14.497499999999997" defaultColWidth="9.140625" customHeight="1" outlineLevelCol="1"/>
  <cols>
    <col min="1" max="1" style="696" width="20.7109375" customWidth="1"/>
    <col min="2" max="4" style="696" width="30.7109375" customWidth="1"/>
    <col min="5" max="17" style="696" width="15.7109375" customWidth="1"/>
    <col min="18" max="29" style="3075" width="15.7109375" hidden="1" customWidth="1" outlineLevel="1"/>
    <col min="30" max="30" style="696" width="2.7109375" collapsed="1" customWidth="1"/>
    <col min="31" max="33" style="696" width="30.7109375" customWidth="1"/>
    <col min="34" max="46" style="696" width="15.7109375" customWidth="1"/>
    <col min="47" max="47" style="696" width="2.7109375" customWidth="1"/>
    <col min="48" max="50" style="696" width="30.7109375" customWidth="1"/>
    <col min="51" max="63" style="696" width="15.7109375" customWidth="1"/>
    <col min="64" max="64" style="696" width="2.7109375" customWidth="1"/>
    <col min="65" max="67" style="696" width="30.7109375" customWidth="1"/>
    <col min="68" max="80" style="696" width="15.7109375" customWidth="1"/>
    <col min="81" max="81" style="696" width="2.7109375" customWidth="1"/>
    <col min="82" max="84" style="696" width="30.7109375" customWidth="1"/>
    <col min="85" max="97" style="696" width="15.7109375" customWidth="1"/>
    <col min="98" max="98" style="696" width="2.7109375" customWidth="1"/>
    <col min="99" max="102" style="696" width="30.7109375" customWidth="1"/>
    <col min="103" max="103" style="696" width="4.57421875" hidden="1" customWidth="1"/>
    <col min="104" max="113" style="696" width="14.00390625" hidden="1" customWidth="1" outlineLevel="1"/>
    <col min="114" max="114" style="696" width="4.57421875" collapsed="1" customWidth="1"/>
    <col min="115" max="115" style="696" width="9.140625" customWidth="1"/>
  </cols>
  <sheetData>
    <row r="1" ht="33" customHeight="1" s="3021" customFormat="1">
      <c r="A1" s="3022"/>
      <c r="B1" s="3023"/>
      <c r="C1" s="3022"/>
      <c r="D1" s="3022"/>
      <c r="E1" s="3024"/>
      <c r="F1" s="3024"/>
      <c r="G1" s="3024"/>
      <c r="H1" s="3024"/>
      <c r="I1" s="3024"/>
      <c r="J1" s="3024"/>
      <c r="K1" s="3024"/>
      <c r="L1" s="3024"/>
      <c r="M1" s="3024"/>
      <c r="N1" s="3024"/>
      <c r="O1" s="3024"/>
      <c r="P1" s="3025"/>
      <c r="Q1" s="3026"/>
      <c r="R1" s="3027"/>
      <c r="S1" s="3027"/>
      <c r="T1" s="3027"/>
      <c r="U1" s="3027"/>
      <c r="V1" s="3027"/>
      <c r="W1" s="3027"/>
      <c r="X1" s="3027"/>
      <c r="Y1" s="3027"/>
      <c r="Z1" s="3027"/>
      <c r="AA1" s="3027"/>
      <c r="AB1" s="3027"/>
      <c r="AC1" s="3027"/>
      <c r="AD1" s="3028"/>
      <c r="AE1" s="3029" t="s">
        <v>2989</v>
      </c>
      <c r="AF1" s="3030"/>
      <c r="AG1" s="3030"/>
      <c r="AH1" s="3031"/>
      <c r="AI1" s="3031"/>
      <c r="AJ1" s="3031"/>
      <c r="AK1" s="3031"/>
      <c r="AL1" s="3031"/>
      <c r="AM1" s="3031"/>
      <c r="AN1" s="3031"/>
      <c r="AO1" s="3031"/>
      <c r="AP1" s="3031"/>
      <c r="AQ1" s="3025"/>
      <c r="AR1" s="3025"/>
      <c r="AS1" s="3025"/>
      <c r="AT1" s="3028"/>
      <c r="AU1" s="3028"/>
      <c r="AV1" s="3029" t="s">
        <v>2990</v>
      </c>
      <c r="AW1" s="3028"/>
      <c r="AX1" s="3028"/>
      <c r="AY1" s="3025"/>
      <c r="AZ1" s="3025"/>
      <c r="BA1" s="3025"/>
      <c r="BB1" s="3025"/>
      <c r="BC1" s="3025"/>
      <c r="BD1" s="3025"/>
      <c r="BE1" s="3025"/>
      <c r="BF1" s="3025"/>
      <c r="BG1" s="3025"/>
      <c r="BH1" s="3025"/>
      <c r="BI1" s="3025"/>
      <c r="BJ1" s="3025"/>
      <c r="BK1" s="3029"/>
      <c r="BL1" s="3028"/>
      <c r="BM1" s="3029" t="s">
        <v>2991</v>
      </c>
      <c r="BN1" s="3028"/>
      <c r="BO1" s="3028"/>
      <c r="BP1" s="3025"/>
      <c r="BQ1" s="3025"/>
      <c r="BR1" s="3025"/>
      <c r="BS1" s="3025"/>
      <c r="BT1" s="3025"/>
      <c r="BU1" s="3025"/>
      <c r="BV1" s="3025"/>
      <c r="BW1" s="3025"/>
      <c r="BX1" s="3025"/>
      <c r="BY1" s="3025"/>
      <c r="BZ1" s="3025"/>
      <c r="CA1" s="3025"/>
      <c r="CB1" s="3028"/>
      <c r="CC1" s="3028"/>
      <c r="CD1" s="3029" t="s">
        <v>1865</v>
      </c>
      <c r="CE1" s="3032"/>
      <c r="CF1" s="3028"/>
      <c r="CG1" s="3032"/>
      <c r="CH1" s="3028"/>
      <c r="CI1" s="3028"/>
      <c r="CJ1" s="3033"/>
      <c r="CK1" s="3033"/>
      <c r="CL1" s="3033"/>
      <c r="CM1" s="3033"/>
      <c r="CN1" s="3033"/>
      <c r="CO1" s="3033"/>
      <c r="CP1" s="3033"/>
      <c r="CQ1" s="3033"/>
      <c r="CR1" s="3033"/>
      <c r="CS1" s="3033"/>
      <c r="CT1" s="3033"/>
      <c r="CU1" s="3034" t="s">
        <v>1866</v>
      </c>
      <c r="CV1" s="3033"/>
      <c r="CW1" s="3033"/>
      <c r="CX1" s="3033"/>
      <c r="CY1" s="3022"/>
      <c r="CZ1" s="3035" t="s">
        <v>1738</v>
      </c>
      <c r="DA1" s="3035"/>
      <c r="DB1" s="3035" t="s">
        <v>2992</v>
      </c>
      <c r="DC1" s="3035"/>
      <c r="DD1" s="3035" t="s">
        <v>2993</v>
      </c>
      <c r="DE1" s="3035"/>
      <c r="DF1" s="3035" t="s">
        <v>2994</v>
      </c>
      <c r="DG1" s="3035"/>
      <c r="DH1" s="3035" t="s">
        <v>1865</v>
      </c>
      <c r="DI1" s="3035"/>
      <c r="DJ1" s="3022"/>
    </row>
    <row r="2" ht="36.75" customHeight="1">
      <c r="A2" s="3036" t="s">
        <v>2995</v>
      </c>
      <c r="B2" s="3037" t="s">
        <v>2996</v>
      </c>
      <c r="C2" s="3038" t="s">
        <v>2997</v>
      </c>
      <c r="D2" s="3039" t="s">
        <v>2998</v>
      </c>
      <c r="E2" s="3040">
        <v>44470</v>
      </c>
      <c r="F2" s="3040">
        <v>44501</v>
      </c>
      <c r="G2" s="3040">
        <v>44531</v>
      </c>
      <c r="H2" s="3040">
        <v>44562</v>
      </c>
      <c r="I2" s="3040">
        <v>44593</v>
      </c>
      <c r="J2" s="3040">
        <v>44621</v>
      </c>
      <c r="K2" s="3040">
        <v>44652</v>
      </c>
      <c r="L2" s="3040">
        <v>44682</v>
      </c>
      <c r="M2" s="3040">
        <v>44713</v>
      </c>
      <c r="N2" s="3040">
        <v>44743</v>
      </c>
      <c r="O2" s="3040">
        <v>44774</v>
      </c>
      <c r="P2" s="3041">
        <v>44805</v>
      </c>
      <c r="Q2" s="3040" t="s">
        <v>2999</v>
      </c>
      <c r="R2" s="3042" t="s">
        <v>1735</v>
      </c>
      <c r="S2" s="3042" t="s">
        <v>1862</v>
      </c>
      <c r="T2" s="3042" t="s">
        <v>1736</v>
      </c>
      <c r="U2" s="3042" t="s">
        <v>1861</v>
      </c>
      <c r="V2" s="3042" t="s">
        <v>1860</v>
      </c>
      <c r="W2" s="3042" t="s">
        <v>1737</v>
      </c>
      <c r="X2" s="3042" t="s">
        <v>1859</v>
      </c>
      <c r="Y2" s="3042" t="s">
        <v>1858</v>
      </c>
      <c r="Z2" s="3042" t="s">
        <v>1857</v>
      </c>
      <c r="AA2" s="3042" t="s">
        <v>1856</v>
      </c>
      <c r="AB2" s="3042" t="s">
        <v>1855</v>
      </c>
      <c r="AC2" s="3042" t="s">
        <v>1738</v>
      </c>
      <c r="AD2" s="3043"/>
      <c r="AE2" s="3039" t="s">
        <v>3000</v>
      </c>
      <c r="AF2" s="3038" t="s">
        <v>2997</v>
      </c>
      <c r="AG2" s="3039" t="s">
        <v>2998</v>
      </c>
      <c r="AH2" s="3040">
        <v>44440</v>
      </c>
      <c r="AI2" s="3040">
        <v>44470</v>
      </c>
      <c r="AJ2" s="3040">
        <v>44501</v>
      </c>
      <c r="AK2" s="3040">
        <v>44531</v>
      </c>
      <c r="AL2" s="3040">
        <v>44562</v>
      </c>
      <c r="AM2" s="3040">
        <v>44593</v>
      </c>
      <c r="AN2" s="3040">
        <v>44621</v>
      </c>
      <c r="AO2" s="3040">
        <v>44652</v>
      </c>
      <c r="AP2" s="3040">
        <v>44682</v>
      </c>
      <c r="AQ2" s="3040">
        <v>44713</v>
      </c>
      <c r="AR2" s="3040">
        <v>44743</v>
      </c>
      <c r="AS2" s="3040">
        <v>44774</v>
      </c>
      <c r="AT2" s="3044" t="s">
        <v>2999</v>
      </c>
      <c r="AU2" s="3043"/>
      <c r="AV2" s="3039" t="s">
        <v>3000</v>
      </c>
      <c r="AW2" s="3038" t="s">
        <v>2997</v>
      </c>
      <c r="AX2" s="3039" t="s">
        <v>2998</v>
      </c>
      <c r="AY2" s="3040">
        <v>44075</v>
      </c>
      <c r="AZ2" s="3040">
        <v>44105</v>
      </c>
      <c r="BA2" s="3040">
        <v>44136</v>
      </c>
      <c r="BB2" s="3040">
        <v>44166</v>
      </c>
      <c r="BC2" s="3040">
        <v>44197</v>
      </c>
      <c r="BD2" s="3040">
        <v>44228</v>
      </c>
      <c r="BE2" s="3040">
        <v>44256</v>
      </c>
      <c r="BF2" s="3040">
        <v>44287</v>
      </c>
      <c r="BG2" s="3040">
        <v>44317</v>
      </c>
      <c r="BH2" s="3040">
        <v>44348</v>
      </c>
      <c r="BI2" s="3040">
        <v>44378</v>
      </c>
      <c r="BJ2" s="3040">
        <v>44409</v>
      </c>
      <c r="BK2" s="3044" t="s">
        <v>2999</v>
      </c>
      <c r="BL2" s="3043"/>
      <c r="BM2" s="3039" t="s">
        <v>3000</v>
      </c>
      <c r="BN2" s="3038" t="s">
        <v>2997</v>
      </c>
      <c r="BO2" s="3039" t="s">
        <v>2998</v>
      </c>
      <c r="BP2" s="3040">
        <v>43709</v>
      </c>
      <c r="BQ2" s="3040">
        <v>43739</v>
      </c>
      <c r="BR2" s="3040">
        <v>43770</v>
      </c>
      <c r="BS2" s="3040">
        <v>43800</v>
      </c>
      <c r="BT2" s="3040">
        <v>43831</v>
      </c>
      <c r="BU2" s="3040">
        <v>43862</v>
      </c>
      <c r="BV2" s="3040">
        <v>43891</v>
      </c>
      <c r="BW2" s="3040">
        <v>43922</v>
      </c>
      <c r="BX2" s="3040">
        <v>43952</v>
      </c>
      <c r="BY2" s="3040">
        <v>43983</v>
      </c>
      <c r="BZ2" s="3040">
        <v>44013</v>
      </c>
      <c r="CA2" s="3040">
        <v>44044</v>
      </c>
      <c r="CB2" s="3044" t="s">
        <v>2999</v>
      </c>
      <c r="CC2" s="3043"/>
      <c r="CD2" s="3039" t="s">
        <v>3000</v>
      </c>
      <c r="CE2" s="3038" t="s">
        <v>2997</v>
      </c>
      <c r="CF2" s="3039" t="s">
        <v>2998</v>
      </c>
      <c r="CG2" s="3045">
        <v>1</v>
      </c>
      <c r="CH2" s="3045">
        <v>2</v>
      </c>
      <c r="CI2" s="3045">
        <v>3</v>
      </c>
      <c r="CJ2" s="3045">
        <v>4</v>
      </c>
      <c r="CK2" s="3045">
        <v>5</v>
      </c>
      <c r="CL2" s="3045">
        <v>6</v>
      </c>
      <c r="CM2" s="3045">
        <v>7</v>
      </c>
      <c r="CN2" s="3045">
        <v>8</v>
      </c>
      <c r="CO2" s="3045">
        <v>9</v>
      </c>
      <c r="CP2" s="3045">
        <v>10</v>
      </c>
      <c r="CQ2" s="3045">
        <v>11</v>
      </c>
      <c r="CR2" s="3045">
        <v>12</v>
      </c>
      <c r="CS2" s="3046" t="s">
        <v>2999</v>
      </c>
      <c r="CT2" s="3047"/>
      <c r="CU2" s="3039" t="s">
        <v>3000</v>
      </c>
      <c r="CV2" s="3039" t="s">
        <v>3001</v>
      </c>
      <c r="CW2" s="3039" t="s">
        <v>3002</v>
      </c>
      <c r="CX2" s="3048" t="s">
        <v>3003</v>
      </c>
      <c r="CY2" s="3049"/>
      <c r="CZ2" s="3050" t="s">
        <v>3004</v>
      </c>
      <c r="DA2" s="3051" t="s">
        <v>3005</v>
      </c>
      <c r="DB2" s="3050" t="s">
        <v>3004</v>
      </c>
      <c r="DC2" s="3051" t="s">
        <v>3005</v>
      </c>
      <c r="DD2" s="3050" t="s">
        <v>3004</v>
      </c>
      <c r="DE2" s="3051" t="s">
        <v>3005</v>
      </c>
      <c r="DF2" s="3050" t="s">
        <v>3004</v>
      </c>
      <c r="DG2" s="3051" t="s">
        <v>3005</v>
      </c>
      <c r="DH2" s="3050" t="s">
        <v>3004</v>
      </c>
      <c r="DI2" s="3051" t="s">
        <v>3005</v>
      </c>
      <c r="DJ2" s="3049"/>
    </row>
    <row r="3" ht="15" customHeight="1" s="3052" customFormat="1">
      <c r="A3" s="3053"/>
      <c r="B3" s="3054" t="str">
        <f t="shared" si="2" ref="B3:B1003">IF(C3=0,"",IF(C3="NOI","Operating Statement NOI",C3))</f>
        <v>Gross Potential Rent (GPR)</v>
      </c>
      <c r="C3" s="3054" t="s">
        <v>1395</v>
      </c>
      <c r="D3" s="3054" t="s">
        <v>1395</v>
      </c>
      <c r="E3" s="3055">
        <v>423358</v>
      </c>
      <c r="F3" s="3055">
        <v>421974</v>
      </c>
      <c r="G3" s="3055">
        <v>391571</v>
      </c>
      <c r="H3" s="3055">
        <v>420163</v>
      </c>
      <c r="I3" s="3055">
        <v>424893</v>
      </c>
      <c r="J3" s="3055">
        <v>394849</v>
      </c>
      <c r="K3" s="3055">
        <v>407072</v>
      </c>
      <c r="L3" s="3055">
        <v>423823</v>
      </c>
      <c r="M3" s="3055">
        <v>436729</v>
      </c>
      <c r="N3" s="3055">
        <v>424353</v>
      </c>
      <c r="O3" s="3055">
        <v>433447</v>
      </c>
      <c r="P3" s="3055">
        <v>426092</v>
      </c>
      <c r="Q3" s="3055">
        <v>5028324</v>
      </c>
      <c r="R3" s="3055">
        <f t="shared" si="3" ref="R3:R1002">P3</f>
        <v>426092</v>
      </c>
      <c r="S3" s="3055">
        <f t="shared" si="4" ref="S3:S1002">SUM(O3:P3)</f>
        <v>859539</v>
      </c>
      <c r="T3" s="3055">
        <f t="shared" si="5" ref="T3:T1002">SUM(N3:P3)</f>
        <v>1283892</v>
      </c>
      <c r="U3" s="3055">
        <f t="shared" si="6" ref="U3:U1002">SUM(M3:P3)</f>
        <v>1720621</v>
      </c>
      <c r="V3" s="3055">
        <f t="shared" si="7" ref="V3:V1002">SUM(L3:P3)</f>
        <v>2144444</v>
      </c>
      <c r="W3" s="3055">
        <f t="shared" si="8" ref="W3:W1002">SUM(K3:P3)</f>
        <v>2551516</v>
      </c>
      <c r="X3" s="3055">
        <f t="shared" si="9" ref="X3:X1002">SUM(J3:P3)</f>
        <v>2946365</v>
      </c>
      <c r="Y3" s="3055">
        <f t="shared" si="10" ref="Y3:Y1002">SUM(I3:P3)</f>
        <v>3371258</v>
      </c>
      <c r="Z3" s="3055">
        <f t="shared" si="11" ref="Z3:Z1002">SUM(H3:P3)</f>
        <v>3791421</v>
      </c>
      <c r="AA3" s="3055">
        <f t="shared" si="12" ref="AA3:AA1002">SUM(G3:P3)</f>
        <v>4182992</v>
      </c>
      <c r="AB3" s="3055">
        <f t="shared" si="13" ref="AB3:AB1002">SUM(F3:P3)</f>
        <v>4604966</v>
      </c>
      <c r="AC3" s="3055">
        <f t="shared" si="14" ref="AC3:AC1002">SUM(E3:P3)</f>
        <v>5028324</v>
      </c>
      <c r="AD3" s="3056"/>
      <c r="AE3" s="3057">
        <f t="shared" si="0" ref="AE3:CD1003">_xlfn.IFERROR(IF(INDEX($B:$B,MATCH(AG3,$D:$D,0))=0,IF(AF3=0,"",AF3),INDEX($B:$B,MATCH(AG3,$D:$D,0))),IF(AF3=0,"",IF(AF3="NOI","Operating Statement NOI",AF3)))</f>
      </c>
      <c r="AF3" s="3054"/>
      <c r="AG3" s="3054"/>
      <c r="AH3" s="3058"/>
      <c r="AI3" s="3058"/>
      <c r="AJ3" s="3058"/>
      <c r="AK3" s="3058"/>
      <c r="AL3" s="3058"/>
      <c r="AM3" s="3058"/>
      <c r="AN3" s="3058"/>
      <c r="AO3" s="3058"/>
      <c r="AP3" s="3058"/>
      <c r="AQ3" s="3058"/>
      <c r="AR3" s="3058"/>
      <c r="AS3" s="3058"/>
      <c r="AT3" s="3055"/>
      <c r="AU3" s="3056"/>
      <c r="AV3" s="3057">
        <f t="shared" si="15" ref="AV3:AV1003">_xlfn.IFERROR(IF(INDEX($AE:$AE,MATCH(AX3,$AG:$AG,0))=0,IF(AW3=0,"",AW3),INDEX($AE:$AE,MATCH(AX3,$AG:$AG,0))),IF(AW3=0,"",IF(AW3="NOI","Operating Statement NOI",AW3)))</f>
      </c>
      <c r="AW3" s="3054"/>
      <c r="AX3" s="3054"/>
      <c r="AY3" s="3058"/>
      <c r="AZ3" s="3058"/>
      <c r="BA3" s="3058"/>
      <c r="BB3" s="3058"/>
      <c r="BC3" s="3058"/>
      <c r="BD3" s="3058"/>
      <c r="BE3" s="3058"/>
      <c r="BF3" s="3058"/>
      <c r="BG3" s="3058"/>
      <c r="BH3" s="3058"/>
      <c r="BI3" s="3058"/>
      <c r="BJ3" s="3058"/>
      <c r="BK3" s="3055"/>
      <c r="BL3" s="3056"/>
      <c r="BM3" s="3057">
        <f t="shared" si="16" ref="BM3:BM1003">_xlfn.IFERROR(IF(INDEX($AV:$AV,MATCH(BO3,$AX:$AX,0))=0,IF(BN3=0,"",BN3),INDEX($AV:$AV,MATCH(BO3,$AX:$AX,0))),IF(BN3=0,"",IF(BN3="NOI","Operating Statement NOI",BN3)))</f>
      </c>
      <c r="BN3" s="3054"/>
      <c r="BO3" s="3059"/>
      <c r="BP3" s="3058"/>
      <c r="BQ3" s="3058"/>
      <c r="BR3" s="3058"/>
      <c r="BS3" s="3058"/>
      <c r="BT3" s="3058"/>
      <c r="BU3" s="3058"/>
      <c r="BV3" s="3058"/>
      <c r="BW3" s="3058"/>
      <c r="BX3" s="3058"/>
      <c r="BY3" s="3058"/>
      <c r="BZ3" s="3058"/>
      <c r="CA3" s="3058"/>
      <c r="CB3" s="3055"/>
      <c r="CC3" s="3056"/>
      <c r="CD3" s="3057">
        <f t="shared" si="0"/>
      </c>
      <c r="CE3" s="3054"/>
      <c r="CF3" s="3054"/>
      <c r="CG3" s="3055"/>
      <c r="CH3" s="3055"/>
      <c r="CI3" s="3055"/>
      <c r="CJ3" s="3055"/>
      <c r="CK3" s="3055"/>
      <c r="CL3" s="3055"/>
      <c r="CM3" s="3055"/>
      <c r="CN3" s="3055"/>
      <c r="CO3" s="3055"/>
      <c r="CP3" s="3055"/>
      <c r="CQ3" s="3055"/>
      <c r="CR3" s="3055"/>
      <c r="CS3" s="3055"/>
      <c r="CU3" s="3054"/>
      <c r="CV3" s="696"/>
      <c r="CW3" s="696"/>
      <c r="CZ3" s="3060">
        <f t="shared" si="17" ref="CZ3:CZ1002">_xlfn.IFERROR(AVERAGE(INDIRECT("E"&amp;ROW()):INDIRECT("P"&amp;ROW())),"")</f>
        <v>419027</v>
      </c>
      <c r="DA3" s="3060">
        <f t="shared" si="1" ref="DA3:DI1002">_xlfn.IFERROR(_xlfn.STDEV.P(INDIRECT("E"&amp;ROW()):INDIRECT("P"&amp;ROW())),"")</f>
        <v>13438.290404660855</v>
      </c>
      <c r="DB3" s="3060">
        <f t="shared" si="18" ref="DB3:DB1002">_xlfn.IFERROR(AVERAGE(INDIRECT("AH"&amp;ROW()):INDIRECT("AS"&amp;ROW())),"")</f>
      </c>
      <c r="DC3" s="3060">
        <f t="shared" si="19" ref="DC3:DC1002">_xlfn.IFERROR(_xlfn.STDEV.P(INDIRECT("AH"&amp;ROW()):INDIRECT("AS"&amp;ROW())),"")</f>
      </c>
      <c r="DD3" s="3060">
        <f t="shared" si="20" ref="DD3:DD1002">_xlfn.IFERROR(AVERAGE(INDIRECT("AY"&amp;ROW()):INDIRECT("BJ"&amp;ROW())),"")</f>
      </c>
      <c r="DE3" s="3060">
        <f t="shared" si="21" ref="DE3:DE1002">_xlfn.IFERROR(_xlfn.STDEV.P(INDIRECT("AY"&amp;ROW()):INDIRECT("BJ"&amp;ROW())),"")</f>
      </c>
      <c r="DF3" s="3060">
        <f t="shared" si="22" ref="DF3:DF1002">_xlfn.IFERROR(AVERAGE(INDIRECT("BP"&amp;ROW()):INDIRECT("CA"&amp;ROW())),"")</f>
      </c>
      <c r="DG3" s="3060">
        <f t="shared" si="23" ref="DG3:DG1002">_xlfn.IFERROR(_xlfn.STDEV.P(INDIRECT("BP"&amp;ROW()):INDIRECT("CA"&amp;ROW())),"")</f>
      </c>
      <c r="DH3" s="3060">
        <f t="shared" si="24" ref="DH3:DH1002">_xlfn.IFERROR(AVERAGE(INDIRECT("CG"&amp;ROW()):INDIRECT("CR"&amp;ROW())),"")</f>
      </c>
      <c r="DI3" s="3060">
        <f t="shared" si="1"/>
        <v>13438.290404660855</v>
      </c>
    </row>
    <row r="4" ht="15" customHeight="1" s="3052" customFormat="1">
      <c r="A4" s="3061"/>
      <c r="B4" s="3054" t="str">
        <f t="shared" si="2"/>
        <v>Less Vacancy Loss</v>
      </c>
      <c r="C4" s="3054" t="s">
        <v>1884</v>
      </c>
      <c r="D4" s="3054" t="s">
        <v>1884</v>
      </c>
      <c r="E4" s="3055">
        <v>-15246</v>
      </c>
      <c r="F4" s="3055">
        <v>-20081</v>
      </c>
      <c r="G4" s="3055">
        <v>-15238</v>
      </c>
      <c r="H4" s="3055">
        <v>-23382</v>
      </c>
      <c r="I4" s="3052">
        <v>-16013</v>
      </c>
      <c r="J4" s="3052">
        <v>-10561</v>
      </c>
      <c r="K4" s="3052">
        <v>-5433</v>
      </c>
      <c r="L4" s="3052">
        <v>-8948</v>
      </c>
      <c r="M4" s="3052">
        <v>-13393</v>
      </c>
      <c r="N4" s="3052">
        <v>-12545</v>
      </c>
      <c r="O4" s="3052">
        <v>-14867</v>
      </c>
      <c r="P4" s="3052">
        <v>-19131</v>
      </c>
      <c r="Q4" s="3052">
        <v>-174838</v>
      </c>
      <c r="R4" s="3055">
        <f t="shared" si="3"/>
        <v>-19131</v>
      </c>
      <c r="S4" s="3055">
        <f t="shared" si="4"/>
        <v>-33998</v>
      </c>
      <c r="T4" s="3055">
        <f t="shared" si="5"/>
        <v>-46543</v>
      </c>
      <c r="U4" s="3055">
        <f t="shared" si="6"/>
        <v>-59936</v>
      </c>
      <c r="V4" s="3055">
        <f t="shared" si="7"/>
        <v>-68884</v>
      </c>
      <c r="W4" s="3055">
        <f t="shared" si="8"/>
        <v>-74317</v>
      </c>
      <c r="X4" s="3055">
        <f t="shared" si="9"/>
        <v>-84878</v>
      </c>
      <c r="Y4" s="3055">
        <f t="shared" si="10"/>
        <v>-100891</v>
      </c>
      <c r="Z4" s="3055">
        <f t="shared" si="11"/>
        <v>-124273</v>
      </c>
      <c r="AA4" s="3055">
        <f t="shared" si="12"/>
        <v>-139511</v>
      </c>
      <c r="AB4" s="3055">
        <f t="shared" si="13"/>
        <v>-159592</v>
      </c>
      <c r="AC4" s="3055">
        <f t="shared" si="14"/>
        <v>-174838</v>
      </c>
      <c r="AD4" s="3056"/>
      <c r="AE4" s="3057">
        <f t="shared" si="0"/>
      </c>
      <c r="AF4" s="3054"/>
      <c r="AG4" s="3059"/>
      <c r="AH4" s="3058"/>
      <c r="AI4" s="3058"/>
      <c r="AJ4" s="3058"/>
      <c r="AK4" s="3058"/>
      <c r="AL4" s="3058"/>
      <c r="AM4" s="3058"/>
      <c r="AN4" s="3058"/>
      <c r="AO4" s="3058"/>
      <c r="AP4" s="3058"/>
      <c r="AQ4" s="3058"/>
      <c r="AR4" s="3058"/>
      <c r="AS4" s="3058"/>
      <c r="AT4" s="3055"/>
      <c r="AU4" s="3056"/>
      <c r="AV4" s="3057">
        <f t="shared" si="15"/>
      </c>
      <c r="AW4" s="3054"/>
      <c r="AX4" s="3059"/>
      <c r="AY4" s="3058"/>
      <c r="AZ4" s="3058"/>
      <c r="BA4" s="3058"/>
      <c r="BB4" s="3058"/>
      <c r="BC4" s="3058"/>
      <c r="BD4" s="3058"/>
      <c r="BE4" s="3058"/>
      <c r="BF4" s="3058"/>
      <c r="BG4" s="3058"/>
      <c r="BH4" s="3058"/>
      <c r="BI4" s="3058"/>
      <c r="BJ4" s="3058"/>
      <c r="BK4" s="3055"/>
      <c r="BL4" s="3056"/>
      <c r="BM4" s="3057">
        <f t="shared" si="16"/>
      </c>
      <c r="BN4" s="3054"/>
      <c r="BO4" s="3059"/>
      <c r="BP4" s="3058"/>
      <c r="BQ4" s="3058"/>
      <c r="BR4" s="3058"/>
      <c r="BS4" s="3058"/>
      <c r="BT4" s="3058"/>
      <c r="BU4" s="3058"/>
      <c r="BV4" s="3058"/>
      <c r="BW4" s="3058"/>
      <c r="BX4" s="3058"/>
      <c r="BY4" s="3058"/>
      <c r="BZ4" s="3058"/>
      <c r="CA4" s="3058"/>
      <c r="CB4" s="3055"/>
      <c r="CC4" s="3056"/>
      <c r="CD4" s="3057">
        <f t="shared" si="0"/>
      </c>
      <c r="CE4" s="3054"/>
      <c r="CF4" s="3054"/>
      <c r="CG4" s="3055"/>
      <c r="CH4" s="3055"/>
      <c r="CI4" s="3055"/>
      <c r="CJ4" s="3055"/>
      <c r="CK4" s="3055"/>
      <c r="CL4" s="3055"/>
      <c r="CM4" s="3055"/>
      <c r="CN4" s="3055"/>
      <c r="CO4" s="3055"/>
      <c r="CP4" s="3055"/>
      <c r="CQ4" s="3055"/>
      <c r="CR4" s="3055"/>
      <c r="CS4" s="3055"/>
      <c r="CU4" s="3054"/>
      <c r="CV4" s="696"/>
      <c r="CW4" s="696"/>
      <c r="CZ4" s="3060">
        <f t="shared" si="17"/>
        <v>-14569.833333333334</v>
      </c>
      <c r="DA4" s="3060">
        <f t="shared" si="1"/>
        <v>4730.649459171072</v>
      </c>
      <c r="DB4" s="3060">
        <f t="shared" si="18"/>
      </c>
      <c r="DC4" s="3060">
        <f t="shared" si="19"/>
      </c>
      <c r="DD4" s="3060">
        <f t="shared" si="20"/>
      </c>
      <c r="DE4" s="3060">
        <f t="shared" si="21"/>
      </c>
      <c r="DF4" s="3060">
        <f t="shared" si="22"/>
      </c>
      <c r="DG4" s="3060">
        <f t="shared" si="23"/>
      </c>
      <c r="DH4" s="3060">
        <f t="shared" si="24"/>
      </c>
      <c r="DI4" s="3060">
        <f t="shared" si="1"/>
        <v>4730.649459171072</v>
      </c>
    </row>
    <row r="5" ht="15" customHeight="1" s="3052" customFormat="1">
      <c r="A5" s="3061"/>
      <c r="B5" s="3054" t="str">
        <f t="shared" si="2"/>
        <v>Less Bad Debt</v>
      </c>
      <c r="C5" s="3054" t="s">
        <v>1885</v>
      </c>
      <c r="D5" s="3054" t="s">
        <v>1885</v>
      </c>
      <c r="E5" s="3055">
        <v>21</v>
      </c>
      <c r="F5" s="3055">
        <v>327</v>
      </c>
      <c r="G5" s="3055">
        <v>-2555</v>
      </c>
      <c r="H5" s="3055">
        <v>-6240</v>
      </c>
      <c r="I5" s="3052">
        <v>-5812</v>
      </c>
      <c r="J5" s="3052">
        <v>-9388</v>
      </c>
      <c r="K5" s="3052">
        <v>-8547</v>
      </c>
      <c r="L5" s="3052">
        <v>-3771</v>
      </c>
      <c r="M5" s="3052">
        <v>741</v>
      </c>
      <c r="N5" s="3052">
        <v>-5254</v>
      </c>
      <c r="O5" s="3052">
        <v>-866</v>
      </c>
      <c r="P5" s="3052">
        <v>-5010</v>
      </c>
      <c r="Q5" s="3052">
        <v>-46354</v>
      </c>
      <c r="R5" s="3055">
        <f t="shared" si="3"/>
        <v>-5010</v>
      </c>
      <c r="S5" s="3055">
        <f t="shared" si="4"/>
        <v>-5876</v>
      </c>
      <c r="T5" s="3055">
        <f t="shared" si="5"/>
        <v>-11130</v>
      </c>
      <c r="U5" s="3055">
        <f t="shared" si="6"/>
        <v>-10389</v>
      </c>
      <c r="V5" s="3055">
        <f t="shared" si="7"/>
        <v>-14160</v>
      </c>
      <c r="W5" s="3055">
        <f t="shared" si="8"/>
        <v>-22707</v>
      </c>
      <c r="X5" s="3055">
        <f t="shared" si="9"/>
        <v>-32095</v>
      </c>
      <c r="Y5" s="3055">
        <f t="shared" si="10"/>
        <v>-37907</v>
      </c>
      <c r="Z5" s="3055">
        <f t="shared" si="11"/>
        <v>-44147</v>
      </c>
      <c r="AA5" s="3055">
        <f t="shared" si="12"/>
        <v>-46702</v>
      </c>
      <c r="AB5" s="3055">
        <f t="shared" si="13"/>
        <v>-46375</v>
      </c>
      <c r="AC5" s="3055">
        <f t="shared" si="14"/>
        <v>-46354</v>
      </c>
      <c r="AD5" s="3056"/>
      <c r="AE5" s="3057">
        <f t="shared" si="0"/>
      </c>
      <c r="AF5" s="3054"/>
      <c r="AG5" s="3059"/>
      <c r="AH5" s="3058"/>
      <c r="AI5" s="3058"/>
      <c r="AJ5" s="3058"/>
      <c r="AK5" s="3058"/>
      <c r="AL5" s="3058"/>
      <c r="AM5" s="3058"/>
      <c r="AN5" s="3058"/>
      <c r="AO5" s="3058"/>
      <c r="AP5" s="3058"/>
      <c r="AQ5" s="3058"/>
      <c r="AR5" s="3058"/>
      <c r="AS5" s="3058"/>
      <c r="AT5" s="3058"/>
      <c r="AU5" s="3056"/>
      <c r="AV5" s="3057">
        <f t="shared" si="15"/>
      </c>
      <c r="AW5" s="3054"/>
      <c r="AX5" s="3059"/>
      <c r="AY5" s="3058"/>
      <c r="AZ5" s="3058"/>
      <c r="BA5" s="3058"/>
      <c r="BB5" s="3058"/>
      <c r="BC5" s="3058"/>
      <c r="BD5" s="3058"/>
      <c r="BE5" s="3058"/>
      <c r="BF5" s="3058"/>
      <c r="BG5" s="3058"/>
      <c r="BH5" s="3058"/>
      <c r="BI5" s="3058"/>
      <c r="BJ5" s="3058"/>
      <c r="BK5" s="3058"/>
      <c r="BL5" s="3056"/>
      <c r="BM5" s="3057">
        <f t="shared" si="16"/>
      </c>
      <c r="BN5" s="3054"/>
      <c r="BO5" s="3059"/>
      <c r="BP5" s="3058"/>
      <c r="BQ5" s="3058"/>
      <c r="BR5" s="3058"/>
      <c r="BS5" s="3058"/>
      <c r="BT5" s="3058"/>
      <c r="BU5" s="3058"/>
      <c r="BV5" s="3058"/>
      <c r="BW5" s="3058"/>
      <c r="BX5" s="3058"/>
      <c r="BY5" s="3058"/>
      <c r="BZ5" s="3058"/>
      <c r="CA5" s="3058"/>
      <c r="CB5" s="3058"/>
      <c r="CC5" s="3056"/>
      <c r="CD5" s="3057">
        <f t="shared" si="0"/>
      </c>
      <c r="CE5" s="3054"/>
      <c r="CF5" s="3054"/>
      <c r="CG5" s="3055"/>
      <c r="CH5" s="3055"/>
      <c r="CI5" s="3055"/>
      <c r="CJ5" s="3055"/>
      <c r="CK5" s="3055"/>
      <c r="CL5" s="3055"/>
      <c r="CM5" s="3055"/>
      <c r="CN5" s="3055"/>
      <c r="CO5" s="3055"/>
      <c r="CP5" s="3055"/>
      <c r="CQ5" s="3055"/>
      <c r="CR5" s="3055"/>
      <c r="CS5" s="3055"/>
      <c r="CU5" s="3054"/>
      <c r="CV5" s="696"/>
      <c r="CW5" s="696"/>
      <c r="CZ5" s="3060">
        <f t="shared" si="17"/>
        <v>-3862.8333333333335</v>
      </c>
      <c r="DA5" s="3060">
        <f t="shared" si="1"/>
        <v>3287.658863926663</v>
      </c>
      <c r="DB5" s="3060">
        <f t="shared" si="18"/>
      </c>
      <c r="DC5" s="3060">
        <f t="shared" si="19"/>
      </c>
      <c r="DD5" s="3060">
        <f t="shared" si="20"/>
      </c>
      <c r="DE5" s="3060">
        <f t="shared" si="21"/>
      </c>
      <c r="DF5" s="3060">
        <f t="shared" si="22"/>
      </c>
      <c r="DG5" s="3060">
        <f t="shared" si="23"/>
      </c>
      <c r="DH5" s="3060">
        <f t="shared" si="24"/>
      </c>
      <c r="DI5" s="3060">
        <f t="shared" si="1"/>
        <v>3287.658863926663</v>
      </c>
    </row>
    <row r="6" ht="15" customHeight="1" s="3052" customFormat="1">
      <c r="A6" s="3055"/>
      <c r="B6" s="3054" t="str">
        <f t="shared" si="2"/>
        <v>Other Income (Allowable)</v>
      </c>
      <c r="C6" s="3054" t="s">
        <v>1896</v>
      </c>
      <c r="D6" s="3054" t="s">
        <v>3006</v>
      </c>
      <c r="E6" s="3055">
        <v>-3965</v>
      </c>
      <c r="F6" s="3055">
        <v>-2012</v>
      </c>
      <c r="G6" s="3055">
        <v>-252</v>
      </c>
      <c r="H6" s="3055">
        <v>-269</v>
      </c>
      <c r="I6" s="3052">
        <v>-257</v>
      </c>
      <c r="J6" s="3052">
        <v>-531</v>
      </c>
      <c r="K6" s="3052">
        <v>-266</v>
      </c>
      <c r="L6" s="3052">
        <v>-252</v>
      </c>
      <c r="M6" s="3052">
        <v>-269</v>
      </c>
      <c r="N6" s="3052">
        <v>-536</v>
      </c>
      <c r="O6" s="3052">
        <v>-656</v>
      </c>
      <c r="P6" s="3052">
        <v>-251</v>
      </c>
      <c r="Q6" s="3052">
        <v>-9516</v>
      </c>
      <c r="R6" s="3055">
        <f t="shared" si="3"/>
        <v>-251</v>
      </c>
      <c r="S6" s="3055">
        <f t="shared" si="4"/>
        <v>-907</v>
      </c>
      <c r="T6" s="3055">
        <f t="shared" si="5"/>
        <v>-1443</v>
      </c>
      <c r="U6" s="3055">
        <f t="shared" si="6"/>
        <v>-1712</v>
      </c>
      <c r="V6" s="3055">
        <f t="shared" si="7"/>
        <v>-1964</v>
      </c>
      <c r="W6" s="3055">
        <f t="shared" si="8"/>
        <v>-2230</v>
      </c>
      <c r="X6" s="3055">
        <f t="shared" si="9"/>
        <v>-2761</v>
      </c>
      <c r="Y6" s="3055">
        <f t="shared" si="10"/>
        <v>-3018</v>
      </c>
      <c r="Z6" s="3055">
        <f t="shared" si="11"/>
        <v>-3287</v>
      </c>
      <c r="AA6" s="3055">
        <f t="shared" si="12"/>
        <v>-3539</v>
      </c>
      <c r="AB6" s="3055">
        <f t="shared" si="13"/>
        <v>-5551</v>
      </c>
      <c r="AC6" s="3055">
        <f t="shared" si="14"/>
        <v>-9516</v>
      </c>
      <c r="AD6" s="3056"/>
      <c r="AE6" s="3057">
        <f t="shared" si="0"/>
      </c>
      <c r="AF6" s="3054"/>
      <c r="AG6" s="3059"/>
      <c r="AH6" s="3058"/>
      <c r="AI6" s="3058"/>
      <c r="AJ6" s="3058"/>
      <c r="AK6" s="3058"/>
      <c r="AL6" s="3058"/>
      <c r="AM6" s="3058"/>
      <c r="AN6" s="3058"/>
      <c r="AO6" s="3058"/>
      <c r="AP6" s="3058"/>
      <c r="AQ6" s="3058"/>
      <c r="AR6" s="3058"/>
      <c r="AS6" s="3058"/>
      <c r="AT6" s="3058"/>
      <c r="AU6" s="3056"/>
      <c r="AV6" s="3057">
        <f t="shared" si="15"/>
      </c>
      <c r="AW6" s="3054"/>
      <c r="AX6" s="3059"/>
      <c r="AY6" s="3058"/>
      <c r="AZ6" s="3058"/>
      <c r="BA6" s="3058"/>
      <c r="BB6" s="3058"/>
      <c r="BC6" s="3058"/>
      <c r="BD6" s="3058"/>
      <c r="BE6" s="3058"/>
      <c r="BF6" s="3058"/>
      <c r="BG6" s="3058"/>
      <c r="BH6" s="3058"/>
      <c r="BI6" s="3058"/>
      <c r="BJ6" s="3058"/>
      <c r="BK6" s="3058"/>
      <c r="BL6" s="3056"/>
      <c r="BM6" s="3057">
        <f t="shared" si="16"/>
      </c>
      <c r="BN6" s="3054"/>
      <c r="BO6" s="3059"/>
      <c r="BP6" s="3058"/>
      <c r="BQ6" s="3058"/>
      <c r="BR6" s="3058"/>
      <c r="BS6" s="3058"/>
      <c r="BT6" s="3058"/>
      <c r="BU6" s="3058"/>
      <c r="BV6" s="3058"/>
      <c r="BW6" s="3058"/>
      <c r="BX6" s="3058"/>
      <c r="BY6" s="3058"/>
      <c r="BZ6" s="3058"/>
      <c r="CA6" s="3058"/>
      <c r="CB6" s="3058"/>
      <c r="CC6" s="3056"/>
      <c r="CD6" s="3057">
        <f t="shared" si="0"/>
      </c>
      <c r="CE6" s="3054"/>
      <c r="CF6" s="3054"/>
      <c r="CG6" s="3055"/>
      <c r="CH6" s="3055"/>
      <c r="CI6" s="3055"/>
      <c r="CJ6" s="3055"/>
      <c r="CK6" s="3055"/>
      <c r="CL6" s="3055"/>
      <c r="CM6" s="3055"/>
      <c r="CN6" s="3055"/>
      <c r="CO6" s="3055"/>
      <c r="CP6" s="3055"/>
      <c r="CQ6" s="3055"/>
      <c r="CR6" s="3055"/>
      <c r="CS6" s="3055"/>
      <c r="CU6" s="3054"/>
      <c r="CV6" s="696"/>
      <c r="CW6" s="696"/>
      <c r="CZ6" s="3060">
        <f t="shared" si="17"/>
        <v>-793</v>
      </c>
      <c r="DA6" s="3060">
        <f t="shared" si="1"/>
        <v>1068.2661185303969</v>
      </c>
      <c r="DB6" s="3060">
        <f t="shared" si="18"/>
      </c>
      <c r="DC6" s="3060">
        <f t="shared" si="19"/>
      </c>
      <c r="DD6" s="3060">
        <f t="shared" si="20"/>
      </c>
      <c r="DE6" s="3060">
        <f t="shared" si="21"/>
      </c>
      <c r="DF6" s="3060">
        <f t="shared" si="22"/>
      </c>
      <c r="DG6" s="3060">
        <f t="shared" si="23"/>
      </c>
      <c r="DH6" s="3060">
        <f t="shared" si="24"/>
      </c>
      <c r="DI6" s="3060">
        <f t="shared" si="1"/>
        <v>1068.2661185303969</v>
      </c>
    </row>
    <row r="7" ht="15" customHeight="1" s="3052" customFormat="1">
      <c r="A7" s="3055"/>
      <c r="B7" s="3054" t="str">
        <f t="shared" si="2"/>
        <v>Laundry/Vending Income (Net)</v>
      </c>
      <c r="C7" s="3054" t="s">
        <v>1891</v>
      </c>
      <c r="D7" s="3054" t="s">
        <v>1891</v>
      </c>
      <c r="E7" s="3055">
        <v>3404</v>
      </c>
      <c r="F7" s="3055">
        <v>0</v>
      </c>
      <c r="G7" s="3055">
        <v>0</v>
      </c>
      <c r="H7" s="3055">
        <v>0</v>
      </c>
      <c r="I7" s="3052">
        <v>2314</v>
      </c>
      <c r="J7" s="3052">
        <v>7712</v>
      </c>
      <c r="K7" s="3052">
        <v>4376</v>
      </c>
      <c r="L7" s="3052">
        <v>2350</v>
      </c>
      <c r="M7" s="3052">
        <v>2261</v>
      </c>
      <c r="N7" s="3052">
        <v>2774</v>
      </c>
      <c r="O7" s="3052">
        <v>2381</v>
      </c>
      <c r="P7" s="3052">
        <v>2120</v>
      </c>
      <c r="Q7" s="3052">
        <v>29692</v>
      </c>
      <c r="R7" s="3055">
        <f t="shared" si="3"/>
        <v>2120</v>
      </c>
      <c r="S7" s="3055">
        <f t="shared" si="4"/>
        <v>4501</v>
      </c>
      <c r="T7" s="3055">
        <f t="shared" si="5"/>
        <v>7275</v>
      </c>
      <c r="U7" s="3055">
        <f t="shared" si="6"/>
        <v>9536</v>
      </c>
      <c r="V7" s="3055">
        <f t="shared" si="7"/>
        <v>11886</v>
      </c>
      <c r="W7" s="3055">
        <f t="shared" si="8"/>
        <v>16262</v>
      </c>
      <c r="X7" s="3055">
        <f t="shared" si="9"/>
        <v>23974</v>
      </c>
      <c r="Y7" s="3055">
        <f t="shared" si="10"/>
        <v>26288</v>
      </c>
      <c r="Z7" s="3055">
        <f t="shared" si="11"/>
        <v>26288</v>
      </c>
      <c r="AA7" s="3055">
        <f t="shared" si="12"/>
        <v>26288</v>
      </c>
      <c r="AB7" s="3055">
        <f t="shared" si="13"/>
        <v>26288</v>
      </c>
      <c r="AC7" s="3055">
        <f t="shared" si="14"/>
        <v>29692</v>
      </c>
      <c r="AD7" s="3056"/>
      <c r="AE7" s="3057">
        <f t="shared" si="0"/>
      </c>
      <c r="AF7" s="3054"/>
      <c r="AG7" s="3059"/>
      <c r="AH7" s="3058"/>
      <c r="AI7" s="3058"/>
      <c r="AJ7" s="3058"/>
      <c r="AK7" s="3058"/>
      <c r="AL7" s="3058"/>
      <c r="AM7" s="3058"/>
      <c r="AN7" s="3058"/>
      <c r="AO7" s="3058"/>
      <c r="AP7" s="3058"/>
      <c r="AQ7" s="3058"/>
      <c r="AR7" s="3058"/>
      <c r="AS7" s="3058"/>
      <c r="AT7" s="3058"/>
      <c r="AU7" s="3056"/>
      <c r="AV7" s="3057">
        <f t="shared" si="15"/>
      </c>
      <c r="AW7" s="3054"/>
      <c r="AX7" s="3059"/>
      <c r="AY7" s="3058"/>
      <c r="AZ7" s="3058"/>
      <c r="BA7" s="3058"/>
      <c r="BB7" s="3058"/>
      <c r="BC7" s="3058"/>
      <c r="BD7" s="3058"/>
      <c r="BE7" s="3058"/>
      <c r="BF7" s="3058"/>
      <c r="BG7" s="3058"/>
      <c r="BH7" s="3058"/>
      <c r="BI7" s="3058"/>
      <c r="BJ7" s="3058"/>
      <c r="BK7" s="3058"/>
      <c r="BL7" s="3056"/>
      <c r="BM7" s="3057">
        <f t="shared" si="16"/>
      </c>
      <c r="BN7" s="3054"/>
      <c r="BO7" s="3059"/>
      <c r="BP7" s="3058"/>
      <c r="BQ7" s="3058"/>
      <c r="BR7" s="3058"/>
      <c r="BS7" s="3058"/>
      <c r="BT7" s="3058"/>
      <c r="BU7" s="3058"/>
      <c r="BV7" s="3058"/>
      <c r="BW7" s="3058"/>
      <c r="BX7" s="3058"/>
      <c r="BY7" s="3058"/>
      <c r="BZ7" s="3058"/>
      <c r="CA7" s="3058"/>
      <c r="CB7" s="3058"/>
      <c r="CC7" s="3056"/>
      <c r="CD7" s="3057">
        <f t="shared" si="0"/>
      </c>
      <c r="CE7" s="3054"/>
      <c r="CF7" s="3054"/>
      <c r="CG7" s="3055"/>
      <c r="CH7" s="3055"/>
      <c r="CI7" s="3055"/>
      <c r="CJ7" s="3055"/>
      <c r="CK7" s="3055"/>
      <c r="CL7" s="3055"/>
      <c r="CM7" s="3055"/>
      <c r="CN7" s="3055"/>
      <c r="CO7" s="3055"/>
      <c r="CP7" s="3055"/>
      <c r="CQ7" s="3055"/>
      <c r="CR7" s="3055"/>
      <c r="CS7" s="3055"/>
      <c r="CU7" s="3054"/>
      <c r="CV7" s="696"/>
      <c r="CW7" s="696"/>
      <c r="CZ7" s="3060">
        <f t="shared" si="17"/>
        <v>2474.3333333333335</v>
      </c>
      <c r="DA7" s="3060">
        <f t="shared" si="1"/>
        <v>2053.2795853355083</v>
      </c>
      <c r="DB7" s="3060">
        <f t="shared" si="18"/>
      </c>
      <c r="DC7" s="3060">
        <f t="shared" si="19"/>
      </c>
      <c r="DD7" s="3060">
        <f t="shared" si="20"/>
      </c>
      <c r="DE7" s="3060">
        <f t="shared" si="21"/>
      </c>
      <c r="DF7" s="3060">
        <f t="shared" si="22"/>
      </c>
      <c r="DG7" s="3060">
        <f t="shared" si="23"/>
      </c>
      <c r="DH7" s="3060">
        <f t="shared" si="24"/>
      </c>
      <c r="DI7" s="3060">
        <f t="shared" si="1"/>
        <v>2053.2795853355083</v>
      </c>
    </row>
    <row r="8" ht="15" customHeight="1" s="3052" customFormat="1">
      <c r="A8" s="3055"/>
      <c r="B8" s="3054" t="str">
        <f t="shared" si="2"/>
        <v>RUBS (income line item)</v>
      </c>
      <c r="C8" s="3054" t="s">
        <v>3007</v>
      </c>
      <c r="D8" s="3054" t="s">
        <v>3008</v>
      </c>
      <c r="E8" s="3055">
        <v>-15595</v>
      </c>
      <c r="F8" s="3055">
        <v>-18456</v>
      </c>
      <c r="G8" s="3055">
        <v>-16382</v>
      </c>
      <c r="H8" s="3055">
        <v>-19461</v>
      </c>
      <c r="I8" s="3055">
        <v>-22641</v>
      </c>
      <c r="J8" s="3055">
        <v>-26124</v>
      </c>
      <c r="K8" s="3055">
        <v>-28310</v>
      </c>
      <c r="L8" s="3055">
        <v>-22430</v>
      </c>
      <c r="M8" s="3055">
        <v>-22754</v>
      </c>
      <c r="N8" s="3052">
        <v>-21147</v>
      </c>
      <c r="O8" s="3052">
        <v>-19374</v>
      </c>
      <c r="P8" s="3052">
        <v>-22028</v>
      </c>
      <c r="Q8" s="3052">
        <v>-254702</v>
      </c>
      <c r="R8" s="3055">
        <f t="shared" si="3"/>
        <v>-22028</v>
      </c>
      <c r="S8" s="3055">
        <f t="shared" si="4"/>
        <v>-41402</v>
      </c>
      <c r="T8" s="3055">
        <f t="shared" si="5"/>
        <v>-62549</v>
      </c>
      <c r="U8" s="3055">
        <f t="shared" si="6"/>
        <v>-85303</v>
      </c>
      <c r="V8" s="3055">
        <f t="shared" si="7"/>
        <v>-107733</v>
      </c>
      <c r="W8" s="3055">
        <f t="shared" si="8"/>
        <v>-136043</v>
      </c>
      <c r="X8" s="3055">
        <f t="shared" si="9"/>
        <v>-162167</v>
      </c>
      <c r="Y8" s="3055">
        <f t="shared" si="10"/>
        <v>-184808</v>
      </c>
      <c r="Z8" s="3055">
        <f t="shared" si="11"/>
        <v>-204269</v>
      </c>
      <c r="AA8" s="3055">
        <f t="shared" si="12"/>
        <v>-220651</v>
      </c>
      <c r="AB8" s="3055">
        <f t="shared" si="13"/>
        <v>-239107</v>
      </c>
      <c r="AC8" s="3055">
        <f t="shared" si="14"/>
        <v>-254702</v>
      </c>
      <c r="AD8" s="3056"/>
      <c r="AE8" s="3057">
        <f t="shared" si="0"/>
      </c>
      <c r="AF8" s="3054"/>
      <c r="AG8" s="3059"/>
      <c r="AH8" s="3058"/>
      <c r="AI8" s="3058"/>
      <c r="AJ8" s="3058"/>
      <c r="AK8" s="3058"/>
      <c r="AL8" s="3058"/>
      <c r="AM8" s="3058"/>
      <c r="AN8" s="3058"/>
      <c r="AO8" s="3058"/>
      <c r="AP8" s="3058"/>
      <c r="AQ8" s="3058"/>
      <c r="AR8" s="3058"/>
      <c r="AS8" s="3058"/>
      <c r="AT8" s="3058"/>
      <c r="AU8" s="3056"/>
      <c r="AV8" s="3057">
        <f t="shared" si="15"/>
      </c>
      <c r="AW8" s="3054"/>
      <c r="AX8" s="3059"/>
      <c r="AY8" s="3058"/>
      <c r="AZ8" s="3058"/>
      <c r="BA8" s="3058"/>
      <c r="BB8" s="3058"/>
      <c r="BC8" s="3058"/>
      <c r="BD8" s="3058"/>
      <c r="BE8" s="3058"/>
      <c r="BF8" s="3058"/>
      <c r="BG8" s="3058"/>
      <c r="BH8" s="3058"/>
      <c r="BI8" s="3058"/>
      <c r="BJ8" s="3058"/>
      <c r="BK8" s="3058"/>
      <c r="BL8" s="3056"/>
      <c r="BM8" s="3057">
        <f t="shared" si="16"/>
      </c>
      <c r="BN8" s="3054"/>
      <c r="BO8" s="3059"/>
      <c r="BP8" s="3058"/>
      <c r="BQ8" s="3058"/>
      <c r="BR8" s="3058"/>
      <c r="BS8" s="3058"/>
      <c r="BT8" s="3058"/>
      <c r="BU8" s="3058"/>
      <c r="BV8" s="3058"/>
      <c r="BW8" s="3058"/>
      <c r="BX8" s="3058"/>
      <c r="BY8" s="3058"/>
      <c r="BZ8" s="3058"/>
      <c r="CA8" s="3058"/>
      <c r="CB8" s="3058"/>
      <c r="CC8" s="3056"/>
      <c r="CD8" s="3057">
        <f t="shared" si="0"/>
      </c>
      <c r="CE8" s="3054"/>
      <c r="CF8" s="3054"/>
      <c r="CG8" s="3055"/>
      <c r="CH8" s="3055"/>
      <c r="CI8" s="3055"/>
      <c r="CJ8" s="3055"/>
      <c r="CK8" s="3055"/>
      <c r="CL8" s="3055"/>
      <c r="CM8" s="3055"/>
      <c r="CN8" s="3055"/>
      <c r="CO8" s="3055"/>
      <c r="CP8" s="3055"/>
      <c r="CQ8" s="3055"/>
      <c r="CR8" s="3055"/>
      <c r="CS8" s="3055"/>
      <c r="CU8" s="3054"/>
      <c r="CV8" s="696"/>
      <c r="CW8" s="696"/>
      <c r="CZ8" s="3060">
        <f t="shared" si="17"/>
        <v>-21225.166666666668</v>
      </c>
      <c r="DA8" s="3060">
        <f t="shared" si="1"/>
        <v>3535.534467689747</v>
      </c>
      <c r="DB8" s="3060">
        <f t="shared" si="18"/>
      </c>
      <c r="DC8" s="3060">
        <f t="shared" si="19"/>
      </c>
      <c r="DD8" s="3060">
        <f t="shared" si="20"/>
      </c>
      <c r="DE8" s="3060">
        <f t="shared" si="21"/>
      </c>
      <c r="DF8" s="3060">
        <f t="shared" si="22"/>
      </c>
      <c r="DG8" s="3060">
        <f t="shared" si="23"/>
      </c>
      <c r="DH8" s="3060">
        <f t="shared" si="24"/>
      </c>
      <c r="DI8" s="3060">
        <f t="shared" si="1"/>
        <v>3535.534467689747</v>
      </c>
    </row>
    <row r="9" ht="15" customHeight="1" s="3052" customFormat="1">
      <c r="A9" s="3055"/>
      <c r="B9" s="3054" t="str">
        <f t="shared" si="2"/>
        <v>Other Income (Allowable)</v>
      </c>
      <c r="C9" s="3054" t="s">
        <v>1896</v>
      </c>
      <c r="D9" s="3054" t="s">
        <v>1896</v>
      </c>
      <c r="E9" s="3055">
        <v>1159</v>
      </c>
      <c r="F9" s="3055">
        <v>739</v>
      </c>
      <c r="G9" s="3055">
        <v>1159</v>
      </c>
      <c r="H9" s="3055">
        <v>778</v>
      </c>
      <c r="I9" s="3052">
        <v>716</v>
      </c>
      <c r="J9" s="3052">
        <v>3137</v>
      </c>
      <c r="K9" s="3052">
        <v>1266</v>
      </c>
      <c r="L9" s="3052">
        <v>2140</v>
      </c>
      <c r="M9" s="3052">
        <v>1898</v>
      </c>
      <c r="N9" s="3052">
        <v>1673</v>
      </c>
      <c r="O9" s="3052">
        <v>1682</v>
      </c>
      <c r="P9" s="3052">
        <v>2129</v>
      </c>
      <c r="Q9" s="3052">
        <v>18476</v>
      </c>
      <c r="R9" s="3055">
        <f t="shared" si="3"/>
        <v>2129</v>
      </c>
      <c r="S9" s="3055">
        <f t="shared" si="4"/>
        <v>3811</v>
      </c>
      <c r="T9" s="3055">
        <f t="shared" si="5"/>
        <v>5484</v>
      </c>
      <c r="U9" s="3055">
        <f t="shared" si="6"/>
        <v>7382</v>
      </c>
      <c r="V9" s="3055">
        <f t="shared" si="7"/>
        <v>9522</v>
      </c>
      <c r="W9" s="3055">
        <f t="shared" si="8"/>
        <v>10788</v>
      </c>
      <c r="X9" s="3055">
        <f t="shared" si="9"/>
        <v>13925</v>
      </c>
      <c r="Y9" s="3055">
        <f t="shared" si="10"/>
        <v>14641</v>
      </c>
      <c r="Z9" s="3055">
        <f t="shared" si="11"/>
        <v>15419</v>
      </c>
      <c r="AA9" s="3055">
        <f t="shared" si="12"/>
        <v>16578</v>
      </c>
      <c r="AB9" s="3055">
        <f t="shared" si="13"/>
        <v>17317</v>
      </c>
      <c r="AC9" s="3055">
        <f t="shared" si="14"/>
        <v>18476</v>
      </c>
      <c r="AD9" s="3056"/>
      <c r="AE9" s="3057">
        <f t="shared" si="0"/>
      </c>
      <c r="AF9" s="3054"/>
      <c r="AG9" s="3059"/>
      <c r="AH9" s="3058"/>
      <c r="AI9" s="3058"/>
      <c r="AJ9" s="3058"/>
      <c r="AK9" s="3058"/>
      <c r="AL9" s="3058"/>
      <c r="AM9" s="3058"/>
      <c r="AN9" s="3058"/>
      <c r="AO9" s="3058"/>
      <c r="AP9" s="3058"/>
      <c r="AQ9" s="3058"/>
      <c r="AR9" s="3058"/>
      <c r="AS9" s="3058"/>
      <c r="AT9" s="3058"/>
      <c r="AU9" s="3056"/>
      <c r="AV9" s="3057">
        <f t="shared" si="15"/>
      </c>
      <c r="AW9" s="3054"/>
      <c r="AX9" s="3059"/>
      <c r="AY9" s="3058"/>
      <c r="AZ9" s="3058"/>
      <c r="BA9" s="3058"/>
      <c r="BB9" s="3058"/>
      <c r="BC9" s="3058"/>
      <c r="BD9" s="3058"/>
      <c r="BE9" s="3058"/>
      <c r="BF9" s="3058"/>
      <c r="BG9" s="3058"/>
      <c r="BH9" s="3058"/>
      <c r="BI9" s="3058"/>
      <c r="BJ9" s="3058"/>
      <c r="BK9" s="3058"/>
      <c r="BL9" s="3056"/>
      <c r="BM9" s="3057">
        <f t="shared" si="16"/>
      </c>
      <c r="BN9" s="3054"/>
      <c r="BO9" s="3059"/>
      <c r="BP9" s="3058"/>
      <c r="BQ9" s="3058"/>
      <c r="BR9" s="3058"/>
      <c r="BS9" s="3058"/>
      <c r="BT9" s="3058"/>
      <c r="BU9" s="3058"/>
      <c r="BV9" s="3058"/>
      <c r="BW9" s="3058"/>
      <c r="BX9" s="3058"/>
      <c r="BY9" s="3058"/>
      <c r="BZ9" s="3058"/>
      <c r="CA9" s="3058"/>
      <c r="CB9" s="3058"/>
      <c r="CC9" s="3056"/>
      <c r="CD9" s="3057">
        <f t="shared" si="0"/>
      </c>
      <c r="CE9" s="3054"/>
      <c r="CF9" s="3054"/>
      <c r="CG9" s="3055"/>
      <c r="CH9" s="3055"/>
      <c r="CI9" s="3055"/>
      <c r="CJ9" s="3055"/>
      <c r="CK9" s="3055"/>
      <c r="CL9" s="3055"/>
      <c r="CM9" s="3055"/>
      <c r="CN9" s="3055"/>
      <c r="CO9" s="3055"/>
      <c r="CP9" s="3055"/>
      <c r="CQ9" s="3055"/>
      <c r="CR9" s="3055"/>
      <c r="CS9" s="3055"/>
      <c r="CU9" s="3054"/>
      <c r="CV9" s="696"/>
      <c r="CW9" s="696"/>
      <c r="CZ9" s="3060">
        <f t="shared" si="17"/>
        <v>1539.6666666666667</v>
      </c>
      <c r="DA9" s="3060">
        <f t="shared" si="1"/>
        <v>688.5954706663574</v>
      </c>
      <c r="DB9" s="3060">
        <f t="shared" si="18"/>
      </c>
      <c r="DC9" s="3060">
        <f t="shared" si="19"/>
      </c>
      <c r="DD9" s="3060">
        <f t="shared" si="20"/>
      </c>
      <c r="DE9" s="3060">
        <f t="shared" si="21"/>
      </c>
      <c r="DF9" s="3060">
        <f t="shared" si="22"/>
      </c>
      <c r="DG9" s="3060">
        <f t="shared" si="23"/>
      </c>
      <c r="DH9" s="3060">
        <f t="shared" si="24"/>
      </c>
      <c r="DI9" s="3060">
        <f t="shared" si="1"/>
        <v>688.5954706663574</v>
      </c>
    </row>
    <row r="10" ht="15" customHeight="1" s="3052" customFormat="1">
      <c r="A10" s="3055"/>
      <c r="B10" s="3054" t="str">
        <f t="shared" si="2"/>
        <v>General Administrative</v>
      </c>
      <c r="C10" s="3054" t="s">
        <v>1933</v>
      </c>
      <c r="D10" s="3054" t="s">
        <v>1897</v>
      </c>
      <c r="E10" s="3055">
        <v>2233</v>
      </c>
      <c r="F10" s="3055">
        <v>3908</v>
      </c>
      <c r="G10" s="3055">
        <v>1468</v>
      </c>
      <c r="H10" s="3055">
        <v>4150</v>
      </c>
      <c r="I10" s="3052">
        <v>2757</v>
      </c>
      <c r="J10" s="3052">
        <v>2568</v>
      </c>
      <c r="K10" s="3052">
        <v>1857</v>
      </c>
      <c r="L10" s="3052">
        <v>2346</v>
      </c>
      <c r="M10" s="3052">
        <v>3170</v>
      </c>
      <c r="N10" s="3052">
        <v>3029</v>
      </c>
      <c r="O10" s="3052">
        <v>2797</v>
      </c>
      <c r="P10" s="3052">
        <v>1754</v>
      </c>
      <c r="Q10" s="3052">
        <v>32037</v>
      </c>
      <c r="R10" s="3055">
        <f t="shared" si="3"/>
        <v>1754</v>
      </c>
      <c r="S10" s="3055">
        <f t="shared" si="4"/>
        <v>4551</v>
      </c>
      <c r="T10" s="3055">
        <f t="shared" si="5"/>
        <v>7580</v>
      </c>
      <c r="U10" s="3055">
        <f t="shared" si="6"/>
        <v>10750</v>
      </c>
      <c r="V10" s="3055">
        <f t="shared" si="7"/>
        <v>13096</v>
      </c>
      <c r="W10" s="3055">
        <f t="shared" si="8"/>
        <v>14953</v>
      </c>
      <c r="X10" s="3055">
        <f t="shared" si="9"/>
        <v>17521</v>
      </c>
      <c r="Y10" s="3055">
        <f t="shared" si="10"/>
        <v>20278</v>
      </c>
      <c r="Z10" s="3055">
        <f t="shared" si="11"/>
        <v>24428</v>
      </c>
      <c r="AA10" s="3055">
        <f t="shared" si="12"/>
        <v>25896</v>
      </c>
      <c r="AB10" s="3055">
        <f t="shared" si="13"/>
        <v>29804</v>
      </c>
      <c r="AC10" s="3055">
        <f t="shared" si="14"/>
        <v>32037</v>
      </c>
      <c r="AD10" s="3056"/>
      <c r="AE10" s="3057">
        <f t="shared" si="0"/>
      </c>
      <c r="AF10" s="3054"/>
      <c r="AG10" s="3059"/>
      <c r="AH10" s="3058"/>
      <c r="AI10" s="3058"/>
      <c r="AJ10" s="3058"/>
      <c r="AK10" s="3058"/>
      <c r="AL10" s="3058"/>
      <c r="AM10" s="3058"/>
      <c r="AN10" s="3058"/>
      <c r="AO10" s="3058"/>
      <c r="AP10" s="3058"/>
      <c r="AQ10" s="3058"/>
      <c r="AR10" s="3058"/>
      <c r="AS10" s="3058"/>
      <c r="AT10" s="3058"/>
      <c r="AU10" s="3056"/>
      <c r="AV10" s="3057">
        <f t="shared" si="15"/>
      </c>
      <c r="AW10" s="3054"/>
      <c r="AX10" s="3059"/>
      <c r="AY10" s="3058"/>
      <c r="AZ10" s="3058"/>
      <c r="BA10" s="3058"/>
      <c r="BB10" s="3058"/>
      <c r="BC10" s="3058"/>
      <c r="BD10" s="3058"/>
      <c r="BE10" s="3058"/>
      <c r="BF10" s="3058"/>
      <c r="BG10" s="3058"/>
      <c r="BH10" s="3058"/>
      <c r="BI10" s="3058"/>
      <c r="BJ10" s="3058"/>
      <c r="BK10" s="3058"/>
      <c r="BL10" s="3056"/>
      <c r="BM10" s="3057">
        <f t="shared" si="16"/>
      </c>
      <c r="BN10" s="3054"/>
      <c r="BO10" s="3059"/>
      <c r="BP10" s="3058"/>
      <c r="BQ10" s="3058"/>
      <c r="BR10" s="3058"/>
      <c r="BS10" s="3058"/>
      <c r="BT10" s="3058"/>
      <c r="BU10" s="3058"/>
      <c r="BV10" s="3058"/>
      <c r="BW10" s="3058"/>
      <c r="BX10" s="3058"/>
      <c r="BY10" s="3058"/>
      <c r="BZ10" s="3058"/>
      <c r="CA10" s="3058"/>
      <c r="CB10" s="3058"/>
      <c r="CC10" s="3056"/>
      <c r="CD10" s="3057">
        <f t="shared" si="0"/>
      </c>
      <c r="CE10" s="3054"/>
      <c r="CF10" s="3054"/>
      <c r="CG10" s="3055"/>
      <c r="CH10" s="3055"/>
      <c r="CI10" s="3055"/>
      <c r="CJ10" s="3055"/>
      <c r="CK10" s="3055"/>
      <c r="CL10" s="3055"/>
      <c r="CM10" s="3055"/>
      <c r="CN10" s="3055"/>
      <c r="CO10" s="3055"/>
      <c r="CP10" s="3055"/>
      <c r="CQ10" s="3055"/>
      <c r="CR10" s="3055"/>
      <c r="CS10" s="3055"/>
      <c r="CU10" s="3054"/>
      <c r="CV10" s="696"/>
      <c r="CW10" s="696"/>
      <c r="CZ10" s="3060">
        <f t="shared" si="17"/>
        <v>2669.75</v>
      </c>
      <c r="DA10" s="3060">
        <f t="shared" si="1"/>
        <v>784.0493314624193</v>
      </c>
      <c r="DB10" s="3060">
        <f t="shared" si="18"/>
      </c>
      <c r="DC10" s="3060">
        <f t="shared" si="19"/>
      </c>
      <c r="DD10" s="3060">
        <f t="shared" si="20"/>
      </c>
      <c r="DE10" s="3060">
        <f t="shared" si="21"/>
      </c>
      <c r="DF10" s="3060">
        <f t="shared" si="22"/>
      </c>
      <c r="DG10" s="3060">
        <f t="shared" si="23"/>
      </c>
      <c r="DH10" s="3060">
        <f t="shared" si="24"/>
      </c>
      <c r="DI10" s="3060">
        <f t="shared" si="1"/>
        <v>784.0493314624193</v>
      </c>
    </row>
    <row r="11" ht="15" customHeight="1" s="3052" customFormat="1">
      <c r="A11" s="3055"/>
      <c r="B11" s="3054" t="str">
        <f t="shared" si="2"/>
        <v>Bldg. Maint. &amp; Repair</v>
      </c>
      <c r="C11" s="3054" t="s">
        <v>1824</v>
      </c>
      <c r="D11" s="3054" t="s">
        <v>1898</v>
      </c>
      <c r="E11" s="3055">
        <v>2318</v>
      </c>
      <c r="F11" s="3055">
        <v>4699</v>
      </c>
      <c r="G11" s="3055">
        <v>2727</v>
      </c>
      <c r="H11" s="3055">
        <v>2097</v>
      </c>
      <c r="I11" s="3052">
        <v>3321</v>
      </c>
      <c r="J11" s="3052">
        <v>2336</v>
      </c>
      <c r="K11" s="3052">
        <v>1105</v>
      </c>
      <c r="L11" s="3052">
        <v>1546</v>
      </c>
      <c r="M11" s="3052">
        <v>2270</v>
      </c>
      <c r="N11" s="3052">
        <v>5718</v>
      </c>
      <c r="O11" s="3052">
        <v>6173</v>
      </c>
      <c r="P11" s="3052">
        <v>5827</v>
      </c>
      <c r="Q11" s="3052">
        <v>40137</v>
      </c>
      <c r="R11" s="3055">
        <f t="shared" si="3"/>
        <v>5827</v>
      </c>
      <c r="S11" s="3055">
        <f t="shared" si="4"/>
        <v>12000</v>
      </c>
      <c r="T11" s="3055">
        <f t="shared" si="5"/>
        <v>17718</v>
      </c>
      <c r="U11" s="3055">
        <f t="shared" si="6"/>
        <v>19988</v>
      </c>
      <c r="V11" s="3055">
        <f t="shared" si="7"/>
        <v>21534</v>
      </c>
      <c r="W11" s="3055">
        <f t="shared" si="8"/>
        <v>22639</v>
      </c>
      <c r="X11" s="3055">
        <f t="shared" si="9"/>
        <v>24975</v>
      </c>
      <c r="Y11" s="3055">
        <f t="shared" si="10"/>
        <v>28296</v>
      </c>
      <c r="Z11" s="3055">
        <f t="shared" si="11"/>
        <v>30393</v>
      </c>
      <c r="AA11" s="3055">
        <f t="shared" si="12"/>
        <v>33120</v>
      </c>
      <c r="AB11" s="3055">
        <f t="shared" si="13"/>
        <v>37819</v>
      </c>
      <c r="AC11" s="3055">
        <f t="shared" si="14"/>
        <v>40137</v>
      </c>
      <c r="AD11" s="3056"/>
      <c r="AE11" s="3057">
        <f t="shared" si="0"/>
      </c>
      <c r="AF11" s="3054"/>
      <c r="AG11" s="3059"/>
      <c r="AH11" s="3058"/>
      <c r="AI11" s="3058"/>
      <c r="AJ11" s="3058"/>
      <c r="AK11" s="3058"/>
      <c r="AL11" s="3058"/>
      <c r="AM11" s="3058"/>
      <c r="AN11" s="3058"/>
      <c r="AO11" s="3058"/>
      <c r="AP11" s="3058"/>
      <c r="AQ11" s="3058"/>
      <c r="AR11" s="3058"/>
      <c r="AS11" s="3058"/>
      <c r="AT11" s="3058"/>
      <c r="AU11" s="3056"/>
      <c r="AV11" s="3057">
        <f t="shared" si="15"/>
      </c>
      <c r="AW11" s="3054"/>
      <c r="AX11" s="3059"/>
      <c r="AY11" s="3058"/>
      <c r="AZ11" s="3058"/>
      <c r="BA11" s="3058"/>
      <c r="BB11" s="3058"/>
      <c r="BC11" s="3058"/>
      <c r="BD11" s="3058"/>
      <c r="BE11" s="3058"/>
      <c r="BF11" s="3058"/>
      <c r="BG11" s="3058"/>
      <c r="BH11" s="3058"/>
      <c r="BI11" s="3058"/>
      <c r="BJ11" s="3058"/>
      <c r="BK11" s="3058"/>
      <c r="BL11" s="3056"/>
      <c r="BM11" s="3057">
        <f t="shared" si="16"/>
      </c>
      <c r="BN11" s="3054"/>
      <c r="BO11" s="3059"/>
      <c r="BP11" s="3058"/>
      <c r="BQ11" s="3058"/>
      <c r="BR11" s="3058"/>
      <c r="BS11" s="3058"/>
      <c r="BT11" s="3058"/>
      <c r="BU11" s="3058"/>
      <c r="BV11" s="3058"/>
      <c r="BW11" s="3058"/>
      <c r="BX11" s="3058"/>
      <c r="BY11" s="3058"/>
      <c r="BZ11" s="3058"/>
      <c r="CA11" s="3058"/>
      <c r="CB11" s="3058"/>
      <c r="CC11" s="3056"/>
      <c r="CD11" s="3057">
        <f t="shared" si="0"/>
      </c>
      <c r="CE11" s="3054"/>
      <c r="CF11" s="3054"/>
      <c r="CG11" s="3055"/>
      <c r="CH11" s="3055"/>
      <c r="CI11" s="3055"/>
      <c r="CJ11" s="3055"/>
      <c r="CK11" s="3055"/>
      <c r="CL11" s="3055"/>
      <c r="CM11" s="3055"/>
      <c r="CN11" s="3055"/>
      <c r="CO11" s="3055"/>
      <c r="CP11" s="3055"/>
      <c r="CQ11" s="3055"/>
      <c r="CR11" s="3055"/>
      <c r="CS11" s="3055"/>
      <c r="CU11" s="3054"/>
      <c r="CV11" s="696"/>
      <c r="CW11" s="696"/>
      <c r="CZ11" s="3060">
        <f t="shared" si="17"/>
        <v>3344.75</v>
      </c>
      <c r="DA11" s="3060">
        <f t="shared" si="1"/>
        <v>1708.9175972429643</v>
      </c>
      <c r="DB11" s="3060">
        <f t="shared" si="18"/>
      </c>
      <c r="DC11" s="3060">
        <f t="shared" si="19"/>
      </c>
      <c r="DD11" s="3060">
        <f t="shared" si="20"/>
      </c>
      <c r="DE11" s="3060">
        <f t="shared" si="21"/>
      </c>
      <c r="DF11" s="3060">
        <f t="shared" si="22"/>
      </c>
      <c r="DG11" s="3060">
        <f t="shared" si="23"/>
      </c>
      <c r="DH11" s="3060">
        <f t="shared" si="24"/>
      </c>
      <c r="DI11" s="3060">
        <f t="shared" si="1"/>
        <v>1708.9175972429643</v>
      </c>
    </row>
    <row r="12" ht="15" customHeight="1" s="3052" customFormat="1">
      <c r="A12" s="3055"/>
      <c r="B12" s="3054" t="str">
        <f t="shared" si="2"/>
        <v>General Administrative</v>
      </c>
      <c r="C12" s="3054" t="s">
        <v>1933</v>
      </c>
      <c r="D12" s="3054" t="s">
        <v>1899</v>
      </c>
      <c r="E12" s="3055">
        <v>14684</v>
      </c>
      <c r="F12" s="3055">
        <v>9163</v>
      </c>
      <c r="G12" s="3055">
        <v>5186</v>
      </c>
      <c r="H12" s="3055">
        <v>5867</v>
      </c>
      <c r="I12" s="3055">
        <v>5632</v>
      </c>
      <c r="J12" s="3055">
        <v>871</v>
      </c>
      <c r="K12" s="3055">
        <v>9062</v>
      </c>
      <c r="L12" s="3055">
        <v>-5056</v>
      </c>
      <c r="M12" s="3055">
        <v>470</v>
      </c>
      <c r="N12" s="3055">
        <v>1657</v>
      </c>
      <c r="O12" s="3055">
        <v>5036</v>
      </c>
      <c r="P12" s="3055">
        <v>4796</v>
      </c>
      <c r="Q12" s="3055">
        <v>57368</v>
      </c>
      <c r="R12" s="3055">
        <f t="shared" si="3"/>
        <v>4796</v>
      </c>
      <c r="S12" s="3055">
        <f t="shared" si="4"/>
        <v>9832</v>
      </c>
      <c r="T12" s="3055">
        <f t="shared" si="5"/>
        <v>11489</v>
      </c>
      <c r="U12" s="3055">
        <f t="shared" si="6"/>
        <v>11959</v>
      </c>
      <c r="V12" s="3055">
        <f t="shared" si="7"/>
        <v>6903</v>
      </c>
      <c r="W12" s="3055">
        <f t="shared" si="8"/>
        <v>15965</v>
      </c>
      <c r="X12" s="3055">
        <f t="shared" si="9"/>
        <v>16836</v>
      </c>
      <c r="Y12" s="3055">
        <f t="shared" si="10"/>
        <v>22468</v>
      </c>
      <c r="Z12" s="3055">
        <f t="shared" si="11"/>
        <v>28335</v>
      </c>
      <c r="AA12" s="3055">
        <f t="shared" si="12"/>
        <v>33521</v>
      </c>
      <c r="AB12" s="3055">
        <f t="shared" si="13"/>
        <v>42684</v>
      </c>
      <c r="AC12" s="3055">
        <f t="shared" si="14"/>
        <v>57368</v>
      </c>
      <c r="AD12" s="3056"/>
      <c r="AE12" s="3057">
        <f t="shared" si="0"/>
      </c>
      <c r="AF12" s="3054"/>
      <c r="AG12" s="3059"/>
      <c r="AH12" s="3058"/>
      <c r="AI12" s="3058"/>
      <c r="AJ12" s="3058"/>
      <c r="AK12" s="3058"/>
      <c r="AL12" s="3058"/>
      <c r="AM12" s="3058"/>
      <c r="AN12" s="3058"/>
      <c r="AO12" s="3058"/>
      <c r="AP12" s="3058"/>
      <c r="AQ12" s="3058"/>
      <c r="AR12" s="3058"/>
      <c r="AS12" s="3058"/>
      <c r="AT12" s="3058"/>
      <c r="AU12" s="3056"/>
      <c r="AV12" s="3057">
        <f t="shared" si="15"/>
      </c>
      <c r="AW12" s="3054"/>
      <c r="AX12" s="3059"/>
      <c r="AY12" s="3058"/>
      <c r="AZ12" s="3058"/>
      <c r="BA12" s="3058"/>
      <c r="BB12" s="3058"/>
      <c r="BC12" s="3058"/>
      <c r="BD12" s="3058"/>
      <c r="BE12" s="3058"/>
      <c r="BF12" s="3058"/>
      <c r="BG12" s="3058"/>
      <c r="BH12" s="3058"/>
      <c r="BI12" s="3058"/>
      <c r="BJ12" s="3058"/>
      <c r="BK12" s="3058"/>
      <c r="BL12" s="3056"/>
      <c r="BM12" s="3057">
        <f t="shared" si="16"/>
      </c>
      <c r="BN12" s="3054"/>
      <c r="BO12" s="3059"/>
      <c r="BP12" s="3058"/>
      <c r="BQ12" s="3058"/>
      <c r="BR12" s="3058"/>
      <c r="BS12" s="3058"/>
      <c r="BT12" s="3058"/>
      <c r="BU12" s="3058"/>
      <c r="BV12" s="3058"/>
      <c r="BW12" s="3058"/>
      <c r="BX12" s="3058"/>
      <c r="BY12" s="3058"/>
      <c r="BZ12" s="3058"/>
      <c r="CA12" s="3058"/>
      <c r="CB12" s="3058"/>
      <c r="CC12" s="3056"/>
      <c r="CD12" s="3057">
        <f t="shared" si="0"/>
      </c>
      <c r="CE12" s="3054"/>
      <c r="CF12" s="3054"/>
      <c r="CG12" s="3055"/>
      <c r="CH12" s="3055"/>
      <c r="CI12" s="3055"/>
      <c r="CJ12" s="3055"/>
      <c r="CK12" s="3055"/>
      <c r="CL12" s="3055"/>
      <c r="CM12" s="3055"/>
      <c r="CN12" s="3055"/>
      <c r="CO12" s="3055"/>
      <c r="CP12" s="3055"/>
      <c r="CQ12" s="3055"/>
      <c r="CR12" s="3055"/>
      <c r="CS12" s="3055"/>
      <c r="CU12" s="3054"/>
      <c r="CV12" s="696"/>
      <c r="CW12" s="696"/>
      <c r="CZ12" s="3060">
        <f t="shared" si="17"/>
        <v>4780.666666666667</v>
      </c>
      <c r="DA12" s="3060">
        <f t="shared" si="1"/>
        <v>4814.301010761814</v>
      </c>
      <c r="DB12" s="3060">
        <f t="shared" si="18"/>
      </c>
      <c r="DC12" s="3060">
        <f t="shared" si="19"/>
      </c>
      <c r="DD12" s="3060">
        <f t="shared" si="20"/>
      </c>
      <c r="DE12" s="3060">
        <f t="shared" si="21"/>
      </c>
      <c r="DF12" s="3060">
        <f t="shared" si="22"/>
      </c>
      <c r="DG12" s="3060">
        <f t="shared" si="23"/>
      </c>
      <c r="DH12" s="3060">
        <f t="shared" si="24"/>
      </c>
      <c r="DI12" s="3060">
        <f t="shared" si="1"/>
        <v>4814.301010761814</v>
      </c>
    </row>
    <row r="13" ht="15" customHeight="1" s="3052" customFormat="1">
      <c r="A13" s="3055"/>
      <c r="B13" s="3054" t="str">
        <f t="shared" si="2"/>
        <v>General Administrative</v>
      </c>
      <c r="C13" s="3054" t="s">
        <v>1933</v>
      </c>
      <c r="D13" s="3054" t="s">
        <v>1900</v>
      </c>
      <c r="E13" s="3055">
        <v>578</v>
      </c>
      <c r="F13" s="3055">
        <v>1045</v>
      </c>
      <c r="G13" s="3055">
        <v>622</v>
      </c>
      <c r="H13" s="3055">
        <v>385</v>
      </c>
      <c r="I13" s="3055">
        <v>203</v>
      </c>
      <c r="J13" s="3055">
        <v>399</v>
      </c>
      <c r="K13" s="3055">
        <v>810</v>
      </c>
      <c r="L13" s="3055">
        <v>981</v>
      </c>
      <c r="M13" s="3055">
        <v>316</v>
      </c>
      <c r="N13" s="3055">
        <v>668</v>
      </c>
      <c r="O13" s="3055">
        <v>2070</v>
      </c>
      <c r="P13" s="3055">
        <v>1168</v>
      </c>
      <c r="Q13" s="3055">
        <v>9245</v>
      </c>
      <c r="R13" s="3055">
        <f t="shared" si="3"/>
        <v>1168</v>
      </c>
      <c r="S13" s="3055">
        <f t="shared" si="4"/>
        <v>3238</v>
      </c>
      <c r="T13" s="3055">
        <f t="shared" si="5"/>
        <v>3906</v>
      </c>
      <c r="U13" s="3055">
        <f t="shared" si="6"/>
        <v>4222</v>
      </c>
      <c r="V13" s="3055">
        <f t="shared" si="7"/>
        <v>5203</v>
      </c>
      <c r="W13" s="3055">
        <f t="shared" si="8"/>
        <v>6013</v>
      </c>
      <c r="X13" s="3055">
        <f t="shared" si="9"/>
        <v>6412</v>
      </c>
      <c r="Y13" s="3055">
        <f t="shared" si="10"/>
        <v>6615</v>
      </c>
      <c r="Z13" s="3055">
        <f t="shared" si="11"/>
        <v>7000</v>
      </c>
      <c r="AA13" s="3055">
        <f t="shared" si="12"/>
        <v>7622</v>
      </c>
      <c r="AB13" s="3055">
        <f t="shared" si="13"/>
        <v>8667</v>
      </c>
      <c r="AC13" s="3055">
        <f t="shared" si="14"/>
        <v>9245</v>
      </c>
      <c r="AD13" s="3056"/>
      <c r="AE13" s="3057">
        <f t="shared" si="0"/>
      </c>
      <c r="AF13" s="3054"/>
      <c r="AG13" s="3059"/>
      <c r="AH13" s="3058"/>
      <c r="AI13" s="3058"/>
      <c r="AJ13" s="3058"/>
      <c r="AK13" s="3058"/>
      <c r="AL13" s="3058"/>
      <c r="AM13" s="3058"/>
      <c r="AN13" s="3058"/>
      <c r="AO13" s="3058"/>
      <c r="AP13" s="3058"/>
      <c r="AQ13" s="3058"/>
      <c r="AR13" s="3058"/>
      <c r="AS13" s="3058"/>
      <c r="AT13" s="3058"/>
      <c r="AU13" s="3056"/>
      <c r="AV13" s="3057">
        <f t="shared" si="15"/>
      </c>
      <c r="AW13" s="3054"/>
      <c r="AX13" s="3059"/>
      <c r="AY13" s="3058"/>
      <c r="AZ13" s="3058"/>
      <c r="BA13" s="3058"/>
      <c r="BB13" s="3058"/>
      <c r="BC13" s="3058"/>
      <c r="BD13" s="3058"/>
      <c r="BE13" s="3058"/>
      <c r="BF13" s="3058"/>
      <c r="BG13" s="3058"/>
      <c r="BH13" s="3058"/>
      <c r="BI13" s="3058"/>
      <c r="BJ13" s="3058"/>
      <c r="BK13" s="3058"/>
      <c r="BL13" s="3056"/>
      <c r="BM13" s="3057">
        <f t="shared" si="16"/>
      </c>
      <c r="BN13" s="3054"/>
      <c r="BO13" s="3059"/>
      <c r="BP13" s="3058"/>
      <c r="BQ13" s="3058"/>
      <c r="BR13" s="3058"/>
      <c r="BS13" s="3058"/>
      <c r="BT13" s="3058"/>
      <c r="BU13" s="3058"/>
      <c r="BV13" s="3058"/>
      <c r="BW13" s="3058"/>
      <c r="BX13" s="3058"/>
      <c r="BY13" s="3058"/>
      <c r="BZ13" s="3058"/>
      <c r="CA13" s="3058"/>
      <c r="CB13" s="3058"/>
      <c r="CC13" s="3056"/>
      <c r="CD13" s="3057">
        <f t="shared" si="0"/>
      </c>
      <c r="CE13" s="3054"/>
      <c r="CF13" s="3054"/>
      <c r="CG13" s="3055"/>
      <c r="CH13" s="3055"/>
      <c r="CI13" s="3055"/>
      <c r="CJ13" s="3055"/>
      <c r="CK13" s="3055"/>
      <c r="CL13" s="3055"/>
      <c r="CM13" s="3055"/>
      <c r="CN13" s="3055"/>
      <c r="CO13" s="3055"/>
      <c r="CP13" s="3055"/>
      <c r="CQ13" s="3055"/>
      <c r="CR13" s="3055"/>
      <c r="CS13" s="3055"/>
      <c r="CU13" s="3054"/>
      <c r="CV13" s="696"/>
      <c r="CW13" s="696"/>
      <c r="CZ13" s="3060">
        <f t="shared" si="17"/>
        <v>770.4166666666666</v>
      </c>
      <c r="DA13" s="3060">
        <f t="shared" si="1"/>
        <v>487.57827719135406</v>
      </c>
      <c r="DB13" s="3060">
        <f t="shared" si="18"/>
      </c>
      <c r="DC13" s="3060">
        <f t="shared" si="19"/>
      </c>
      <c r="DD13" s="3060">
        <f t="shared" si="20"/>
      </c>
      <c r="DE13" s="3060">
        <f t="shared" si="21"/>
      </c>
      <c r="DF13" s="3060">
        <f t="shared" si="22"/>
      </c>
      <c r="DG13" s="3060">
        <f t="shared" si="23"/>
      </c>
      <c r="DH13" s="3060">
        <f t="shared" si="24"/>
      </c>
      <c r="DI13" s="3060">
        <f t="shared" si="1"/>
        <v>487.57827719135406</v>
      </c>
    </row>
    <row r="14" ht="15" customHeight="1" s="3052" customFormat="1">
      <c r="A14" s="3055"/>
      <c r="B14" s="3054" t="str">
        <f t="shared" si="2"/>
        <v>Bldg. Maint. &amp; Repair</v>
      </c>
      <c r="C14" s="3054" t="s">
        <v>1824</v>
      </c>
      <c r="D14" s="3054" t="s">
        <v>1907</v>
      </c>
      <c r="E14" s="3055">
        <v>0</v>
      </c>
      <c r="F14" s="3055">
        <v>0</v>
      </c>
      <c r="G14" s="3055">
        <v>0</v>
      </c>
      <c r="H14" s="3055">
        <v>-1</v>
      </c>
      <c r="I14" s="3055">
        <v>-27</v>
      </c>
      <c r="J14" s="3055">
        <v>25</v>
      </c>
      <c r="K14" s="3055">
        <v>-1</v>
      </c>
      <c r="L14" s="3055">
        <v>-1</v>
      </c>
      <c r="M14" s="3055">
        <v>23</v>
      </c>
      <c r="N14" s="3055">
        <v>-1</v>
      </c>
      <c r="O14" s="3055">
        <v>-1</v>
      </c>
      <c r="P14" s="3055">
        <v>-1</v>
      </c>
      <c r="Q14" s="3055">
        <v>15</v>
      </c>
      <c r="R14" s="3055">
        <f t="shared" si="3"/>
        <v>-1</v>
      </c>
      <c r="S14" s="3055">
        <f t="shared" si="4"/>
        <v>-2</v>
      </c>
      <c r="T14" s="3055">
        <f t="shared" si="5"/>
        <v>-3</v>
      </c>
      <c r="U14" s="3055">
        <f t="shared" si="6"/>
        <v>20</v>
      </c>
      <c r="V14" s="3055">
        <f t="shared" si="7"/>
        <v>19</v>
      </c>
      <c r="W14" s="3055">
        <f t="shared" si="8"/>
        <v>18</v>
      </c>
      <c r="X14" s="3055">
        <f t="shared" si="9"/>
        <v>43</v>
      </c>
      <c r="Y14" s="3055">
        <f t="shared" si="10"/>
        <v>16</v>
      </c>
      <c r="Z14" s="3055">
        <f t="shared" si="11"/>
        <v>15</v>
      </c>
      <c r="AA14" s="3055">
        <f t="shared" si="12"/>
        <v>15</v>
      </c>
      <c r="AB14" s="3055">
        <f t="shared" si="13"/>
        <v>15</v>
      </c>
      <c r="AC14" s="3055">
        <f t="shared" si="14"/>
        <v>15</v>
      </c>
      <c r="AD14" s="3056"/>
      <c r="AE14" s="3057">
        <f t="shared" si="0"/>
      </c>
      <c r="AF14" s="3054"/>
      <c r="AG14" s="3059"/>
      <c r="AH14" s="3058"/>
      <c r="AI14" s="3058"/>
      <c r="AJ14" s="3058"/>
      <c r="AK14" s="3058"/>
      <c r="AL14" s="3058"/>
      <c r="AM14" s="3058"/>
      <c r="AN14" s="3058"/>
      <c r="AO14" s="3058"/>
      <c r="AP14" s="3058"/>
      <c r="AQ14" s="3058"/>
      <c r="AR14" s="3058"/>
      <c r="AS14" s="3058"/>
      <c r="AT14" s="3058"/>
      <c r="AU14" s="3056"/>
      <c r="AV14" s="3057">
        <f t="shared" si="15"/>
      </c>
      <c r="AW14" s="3054"/>
      <c r="AX14" s="3059"/>
      <c r="AY14" s="3058"/>
      <c r="AZ14" s="3058"/>
      <c r="BA14" s="3058"/>
      <c r="BB14" s="3058"/>
      <c r="BC14" s="3058"/>
      <c r="BD14" s="3058"/>
      <c r="BE14" s="3058"/>
      <c r="BF14" s="3058"/>
      <c r="BG14" s="3058"/>
      <c r="BH14" s="3058"/>
      <c r="BI14" s="3058"/>
      <c r="BJ14" s="3058"/>
      <c r="BK14" s="3058"/>
      <c r="BL14" s="3056"/>
      <c r="BM14" s="3057">
        <f t="shared" si="16"/>
      </c>
      <c r="BN14" s="3054"/>
      <c r="BO14" s="3059"/>
      <c r="BP14" s="3058"/>
      <c r="BQ14" s="3058"/>
      <c r="BR14" s="3058"/>
      <c r="BS14" s="3058"/>
      <c r="BT14" s="3058"/>
      <c r="BU14" s="3058"/>
      <c r="BV14" s="3058"/>
      <c r="BW14" s="3058"/>
      <c r="BX14" s="3058"/>
      <c r="BY14" s="3058"/>
      <c r="BZ14" s="3058"/>
      <c r="CA14" s="3058"/>
      <c r="CB14" s="3058"/>
      <c r="CC14" s="3056"/>
      <c r="CD14" s="3057">
        <f t="shared" si="0"/>
      </c>
      <c r="CE14" s="3054"/>
      <c r="CF14" s="3054"/>
      <c r="CG14" s="3055"/>
      <c r="CH14" s="3055"/>
      <c r="CI14" s="3055"/>
      <c r="CJ14" s="3055"/>
      <c r="CK14" s="3055"/>
      <c r="CL14" s="3055"/>
      <c r="CM14" s="3055"/>
      <c r="CN14" s="3055"/>
      <c r="CO14" s="3055"/>
      <c r="CP14" s="3055"/>
      <c r="CQ14" s="3055"/>
      <c r="CR14" s="3055"/>
      <c r="CS14" s="3055"/>
      <c r="CU14" s="3054"/>
      <c r="CV14" s="696"/>
      <c r="CW14" s="696"/>
      <c r="CZ14" s="3060">
        <f t="shared" si="17"/>
        <v>1.25</v>
      </c>
      <c r="DA14" s="3060">
        <f t="shared" si="1"/>
        <v>12.48415662616689</v>
      </c>
      <c r="DB14" s="3060">
        <f t="shared" si="18"/>
      </c>
      <c r="DC14" s="3060">
        <f t="shared" si="19"/>
      </c>
      <c r="DD14" s="3060">
        <f t="shared" si="20"/>
      </c>
      <c r="DE14" s="3060">
        <f t="shared" si="21"/>
      </c>
      <c r="DF14" s="3060">
        <f t="shared" si="22"/>
      </c>
      <c r="DG14" s="3060">
        <f t="shared" si="23"/>
      </c>
      <c r="DH14" s="3060">
        <f t="shared" si="24"/>
      </c>
      <c r="DI14" s="3060">
        <f t="shared" si="1"/>
        <v>12.48415662616689</v>
      </c>
    </row>
    <row r="15" ht="15" customHeight="1" s="3052" customFormat="1">
      <c r="A15" s="3055"/>
      <c r="B15" s="3054" t="str">
        <f t="shared" si="2"/>
        <v>Real Estate Taxes</v>
      </c>
      <c r="C15" s="3054" t="s">
        <v>1800</v>
      </c>
      <c r="D15" s="3054" t="s">
        <v>1800</v>
      </c>
      <c r="E15" s="3055">
        <v>86601</v>
      </c>
      <c r="F15" s="3055">
        <v>86294</v>
      </c>
      <c r="G15" s="3055">
        <v>87715</v>
      </c>
      <c r="H15" s="3055">
        <v>84545</v>
      </c>
      <c r="I15" s="3055">
        <v>88685</v>
      </c>
      <c r="J15" s="3055">
        <v>81812</v>
      </c>
      <c r="K15" s="3055">
        <v>85646</v>
      </c>
      <c r="L15" s="3055">
        <v>51045</v>
      </c>
      <c r="M15" s="3055">
        <v>88713</v>
      </c>
      <c r="N15" s="3055">
        <v>85363</v>
      </c>
      <c r="O15" s="3055">
        <v>89833</v>
      </c>
      <c r="P15" s="3055">
        <v>89945</v>
      </c>
      <c r="Q15" s="3055">
        <v>1006197</v>
      </c>
      <c r="R15" s="3055">
        <f t="shared" si="3"/>
        <v>89945</v>
      </c>
      <c r="S15" s="3055">
        <f t="shared" si="4"/>
        <v>179778</v>
      </c>
      <c r="T15" s="3055">
        <f t="shared" si="5"/>
        <v>265141</v>
      </c>
      <c r="U15" s="3055">
        <f t="shared" si="6"/>
        <v>353854</v>
      </c>
      <c r="V15" s="3055">
        <f t="shared" si="7"/>
        <v>404899</v>
      </c>
      <c r="W15" s="3055">
        <f t="shared" si="8"/>
        <v>490545</v>
      </c>
      <c r="X15" s="3055">
        <f t="shared" si="9"/>
        <v>572357</v>
      </c>
      <c r="Y15" s="3055">
        <f t="shared" si="10"/>
        <v>661042</v>
      </c>
      <c r="Z15" s="3055">
        <f t="shared" si="11"/>
        <v>745587</v>
      </c>
      <c r="AA15" s="3055">
        <f t="shared" si="12"/>
        <v>833302</v>
      </c>
      <c r="AB15" s="3055">
        <f t="shared" si="13"/>
        <v>919596</v>
      </c>
      <c r="AC15" s="3055">
        <f t="shared" si="14"/>
        <v>1006197</v>
      </c>
      <c r="AD15" s="3056"/>
      <c r="AE15" s="3057">
        <f t="shared" si="0"/>
      </c>
      <c r="AF15" s="3054"/>
      <c r="AG15" s="3059"/>
      <c r="AH15" s="3058"/>
      <c r="AI15" s="3058"/>
      <c r="AJ15" s="3058"/>
      <c r="AK15" s="3058"/>
      <c r="AL15" s="3058"/>
      <c r="AM15" s="3058"/>
      <c r="AN15" s="3058"/>
      <c r="AO15" s="3058"/>
      <c r="AP15" s="3058"/>
      <c r="AQ15" s="3058"/>
      <c r="AR15" s="3058"/>
      <c r="AS15" s="3058"/>
      <c r="AT15" s="3058"/>
      <c r="AU15" s="3056"/>
      <c r="AV15" s="3057">
        <f t="shared" si="15"/>
      </c>
      <c r="AW15" s="3054"/>
      <c r="AX15" s="3059"/>
      <c r="AY15" s="3058"/>
      <c r="AZ15" s="3058"/>
      <c r="BA15" s="3058"/>
      <c r="BB15" s="3058"/>
      <c r="BC15" s="3058"/>
      <c r="BD15" s="3058"/>
      <c r="BE15" s="3058"/>
      <c r="BF15" s="3058"/>
      <c r="BG15" s="3058"/>
      <c r="BH15" s="3058"/>
      <c r="BI15" s="3058"/>
      <c r="BJ15" s="3058"/>
      <c r="BK15" s="3058"/>
      <c r="BL15" s="3056"/>
      <c r="BM15" s="3057">
        <f t="shared" si="16"/>
      </c>
      <c r="BN15" s="3054"/>
      <c r="BO15" s="3059"/>
      <c r="BP15" s="3058"/>
      <c r="BQ15" s="3058"/>
      <c r="BR15" s="3058"/>
      <c r="BS15" s="3058"/>
      <c r="BT15" s="3058"/>
      <c r="BU15" s="3058"/>
      <c r="BV15" s="3058"/>
      <c r="BW15" s="3058"/>
      <c r="BX15" s="3058"/>
      <c r="BY15" s="3058"/>
      <c r="BZ15" s="3058"/>
      <c r="CA15" s="3058"/>
      <c r="CB15" s="3058"/>
      <c r="CC15" s="3056"/>
      <c r="CD15" s="3057">
        <f t="shared" si="0"/>
      </c>
      <c r="CE15" s="3054"/>
      <c r="CF15" s="3054"/>
      <c r="CG15" s="3055"/>
      <c r="CH15" s="3055"/>
      <c r="CI15" s="3055"/>
      <c r="CJ15" s="3055"/>
      <c r="CK15" s="3055"/>
      <c r="CL15" s="3055"/>
      <c r="CM15" s="3055"/>
      <c r="CN15" s="3055"/>
      <c r="CO15" s="3055"/>
      <c r="CP15" s="3055"/>
      <c r="CQ15" s="3055"/>
      <c r="CR15" s="3055"/>
      <c r="CS15" s="3055"/>
      <c r="CU15" s="3054"/>
      <c r="CV15" s="696"/>
      <c r="CW15" s="696"/>
      <c r="CZ15" s="3060">
        <f t="shared" si="17"/>
        <v>83849.75</v>
      </c>
      <c r="DA15" s="3060">
        <f t="shared" si="1"/>
        <v>10143.84028302398</v>
      </c>
      <c r="DB15" s="3060">
        <f t="shared" si="18"/>
      </c>
      <c r="DC15" s="3060">
        <f t="shared" si="19"/>
      </c>
      <c r="DD15" s="3060">
        <f t="shared" si="20"/>
      </c>
      <c r="DE15" s="3060">
        <f t="shared" si="21"/>
      </c>
      <c r="DF15" s="3060">
        <f t="shared" si="22"/>
      </c>
      <c r="DG15" s="3060">
        <f t="shared" si="23"/>
      </c>
      <c r="DH15" s="3060">
        <f t="shared" si="24"/>
      </c>
      <c r="DI15" s="3060">
        <f t="shared" si="1"/>
        <v>10143.84028302398</v>
      </c>
    </row>
    <row r="16" ht="15" customHeight="1" s="3052" customFormat="1">
      <c r="A16" s="3055"/>
      <c r="B16" s="3054" t="str">
        <f t="shared" si="2"/>
        <v>Property Insurance</v>
      </c>
      <c r="C16" s="3054" t="s">
        <v>1492</v>
      </c>
      <c r="D16" s="3054" t="s">
        <v>1492</v>
      </c>
      <c r="E16" s="3055">
        <v>20044</v>
      </c>
      <c r="F16" s="3055">
        <v>19561</v>
      </c>
      <c r="G16" s="3055">
        <v>19710</v>
      </c>
      <c r="H16" s="3055">
        <v>21201</v>
      </c>
      <c r="I16" s="3055">
        <v>19488</v>
      </c>
      <c r="J16" s="3055">
        <v>19483</v>
      </c>
      <c r="K16" s="3055">
        <v>20639</v>
      </c>
      <c r="L16" s="3055">
        <v>20929</v>
      </c>
      <c r="M16" s="3055">
        <v>20958</v>
      </c>
      <c r="N16" s="3055">
        <v>19855</v>
      </c>
      <c r="O16" s="3055">
        <v>21378</v>
      </c>
      <c r="P16" s="3055">
        <v>19847</v>
      </c>
      <c r="Q16" s="3055">
        <v>243093</v>
      </c>
      <c r="R16" s="3055">
        <f t="shared" si="3"/>
        <v>19847</v>
      </c>
      <c r="S16" s="3055">
        <f t="shared" si="4"/>
        <v>41225</v>
      </c>
      <c r="T16" s="3055">
        <f t="shared" si="5"/>
        <v>61080</v>
      </c>
      <c r="U16" s="3055">
        <f t="shared" si="6"/>
        <v>82038</v>
      </c>
      <c r="V16" s="3055">
        <f t="shared" si="7"/>
        <v>102967</v>
      </c>
      <c r="W16" s="3055">
        <f t="shared" si="8"/>
        <v>123606</v>
      </c>
      <c r="X16" s="3055">
        <f t="shared" si="9"/>
        <v>143089</v>
      </c>
      <c r="Y16" s="3055">
        <f t="shared" si="10"/>
        <v>162577</v>
      </c>
      <c r="Z16" s="3055">
        <f t="shared" si="11"/>
        <v>183778</v>
      </c>
      <c r="AA16" s="3055">
        <f t="shared" si="12"/>
        <v>203488</v>
      </c>
      <c r="AB16" s="3055">
        <f t="shared" si="13"/>
        <v>223049</v>
      </c>
      <c r="AC16" s="3055">
        <f t="shared" si="14"/>
        <v>243093</v>
      </c>
      <c r="AD16" s="3056"/>
      <c r="AE16" s="3057">
        <f t="shared" si="0"/>
      </c>
      <c r="AF16" s="3054"/>
      <c r="AG16" s="3059"/>
      <c r="AH16" s="3058"/>
      <c r="AI16" s="3058"/>
      <c r="AJ16" s="3058"/>
      <c r="AK16" s="3058"/>
      <c r="AL16" s="3058"/>
      <c r="AM16" s="3058"/>
      <c r="AN16" s="3058"/>
      <c r="AO16" s="3058"/>
      <c r="AP16" s="3058"/>
      <c r="AQ16" s="3058"/>
      <c r="AR16" s="3058"/>
      <c r="AS16" s="3058"/>
      <c r="AT16" s="3058"/>
      <c r="AU16" s="3056"/>
      <c r="AV16" s="3057">
        <f t="shared" si="15"/>
      </c>
      <c r="AW16" s="3054"/>
      <c r="AX16" s="3059"/>
      <c r="AY16" s="3058"/>
      <c r="AZ16" s="3058"/>
      <c r="BA16" s="3058"/>
      <c r="BB16" s="3058"/>
      <c r="BC16" s="3058"/>
      <c r="BD16" s="3058"/>
      <c r="BE16" s="3058"/>
      <c r="BF16" s="3058"/>
      <c r="BG16" s="3058"/>
      <c r="BH16" s="3058"/>
      <c r="BI16" s="3058"/>
      <c r="BJ16" s="3058"/>
      <c r="BK16" s="3058"/>
      <c r="BL16" s="3056"/>
      <c r="BM16" s="3057">
        <f t="shared" si="16"/>
      </c>
      <c r="BN16" s="3054"/>
      <c r="BO16" s="3059"/>
      <c r="BP16" s="3058"/>
      <c r="BQ16" s="3058"/>
      <c r="BR16" s="3058"/>
      <c r="BS16" s="3058"/>
      <c r="BT16" s="3058"/>
      <c r="BU16" s="3058"/>
      <c r="BV16" s="3058"/>
      <c r="BW16" s="3058"/>
      <c r="BX16" s="3058"/>
      <c r="BY16" s="3058"/>
      <c r="BZ16" s="3058"/>
      <c r="CA16" s="3058"/>
      <c r="CB16" s="3058"/>
      <c r="CC16" s="3056"/>
      <c r="CD16" s="3057">
        <f t="shared" si="0"/>
      </c>
      <c r="CE16" s="3054"/>
      <c r="CF16" s="3054"/>
      <c r="CG16" s="3055"/>
      <c r="CH16" s="3055"/>
      <c r="CI16" s="3055"/>
      <c r="CJ16" s="3055"/>
      <c r="CK16" s="3055"/>
      <c r="CL16" s="3055"/>
      <c r="CM16" s="3055"/>
      <c r="CN16" s="3055"/>
      <c r="CO16" s="3055"/>
      <c r="CP16" s="3055"/>
      <c r="CQ16" s="3055"/>
      <c r="CR16" s="3055"/>
      <c r="CS16" s="3055"/>
      <c r="CU16" s="3054"/>
      <c r="CV16" s="696"/>
      <c r="CW16" s="696"/>
      <c r="CZ16" s="3060">
        <f t="shared" si="17"/>
        <v>20257.75</v>
      </c>
      <c r="DA16" s="3060">
        <f t="shared" si="1"/>
        <v>682.2642602638169</v>
      </c>
      <c r="DB16" s="3060">
        <f t="shared" si="18"/>
      </c>
      <c r="DC16" s="3060">
        <f t="shared" si="19"/>
      </c>
      <c r="DD16" s="3060">
        <f t="shared" si="20"/>
      </c>
      <c r="DE16" s="3060">
        <f t="shared" si="21"/>
      </c>
      <c r="DF16" s="3060">
        <f t="shared" si="22"/>
      </c>
      <c r="DG16" s="3060">
        <f t="shared" si="23"/>
      </c>
      <c r="DH16" s="3060">
        <f t="shared" si="24"/>
      </c>
      <c r="DI16" s="3060">
        <f t="shared" si="1"/>
        <v>682.2642602638169</v>
      </c>
    </row>
    <row r="17" ht="15" customHeight="1" s="3052" customFormat="1">
      <c r="A17" s="3055"/>
      <c r="B17" s="3054" t="str">
        <f t="shared" si="2"/>
        <v>Licenses</v>
      </c>
      <c r="C17" s="3054" t="s">
        <v>1911</v>
      </c>
      <c r="D17" s="3054" t="s">
        <v>1911</v>
      </c>
      <c r="E17" s="3055">
        <v>0</v>
      </c>
      <c r="F17" s="3055">
        <v>0</v>
      </c>
      <c r="G17" s="3055">
        <v>101</v>
      </c>
      <c r="H17" s="3055">
        <v>0</v>
      </c>
      <c r="I17" s="3055">
        <v>0</v>
      </c>
      <c r="J17" s="3055">
        <v>407</v>
      </c>
      <c r="K17" s="3055">
        <v>856</v>
      </c>
      <c r="L17" s="3055">
        <v>302</v>
      </c>
      <c r="M17" s="3055">
        <v>0</v>
      </c>
      <c r="N17" s="3055">
        <v>904</v>
      </c>
      <c r="O17" s="3055">
        <v>0</v>
      </c>
      <c r="P17" s="3055">
        <v>153</v>
      </c>
      <c r="Q17" s="3055">
        <v>2723</v>
      </c>
      <c r="R17" s="3055">
        <f t="shared" si="3"/>
        <v>153</v>
      </c>
      <c r="S17" s="3055">
        <f t="shared" si="4"/>
        <v>153</v>
      </c>
      <c r="T17" s="3055">
        <f t="shared" si="5"/>
        <v>1057</v>
      </c>
      <c r="U17" s="3055">
        <f t="shared" si="6"/>
        <v>1057</v>
      </c>
      <c r="V17" s="3055">
        <f t="shared" si="7"/>
        <v>1359</v>
      </c>
      <c r="W17" s="3055">
        <f t="shared" si="8"/>
        <v>2215</v>
      </c>
      <c r="X17" s="3055">
        <f t="shared" si="9"/>
        <v>2622</v>
      </c>
      <c r="Y17" s="3055">
        <f t="shared" si="10"/>
        <v>2622</v>
      </c>
      <c r="Z17" s="3055">
        <f t="shared" si="11"/>
        <v>2622</v>
      </c>
      <c r="AA17" s="3055">
        <f t="shared" si="12"/>
        <v>2723</v>
      </c>
      <c r="AB17" s="3055">
        <f t="shared" si="13"/>
        <v>2723</v>
      </c>
      <c r="AC17" s="3055">
        <f t="shared" si="14"/>
        <v>2723</v>
      </c>
      <c r="AD17" s="3056"/>
      <c r="AE17" s="3057">
        <f t="shared" si="0"/>
      </c>
      <c r="AF17" s="3054"/>
      <c r="AG17" s="3059"/>
      <c r="AH17" s="3058"/>
      <c r="AI17" s="3058"/>
      <c r="AJ17" s="3058"/>
      <c r="AK17" s="3058"/>
      <c r="AL17" s="3058"/>
      <c r="AM17" s="3058"/>
      <c r="AN17" s="3058"/>
      <c r="AO17" s="3058"/>
      <c r="AP17" s="3058"/>
      <c r="AQ17" s="3058"/>
      <c r="AR17" s="3058"/>
      <c r="AS17" s="3058"/>
      <c r="AT17" s="3058"/>
      <c r="AU17" s="3056"/>
      <c r="AV17" s="3057">
        <f t="shared" si="15"/>
      </c>
      <c r="AW17" s="3054"/>
      <c r="AX17" s="3059"/>
      <c r="AY17" s="3058"/>
      <c r="AZ17" s="3058"/>
      <c r="BA17" s="3058"/>
      <c r="BB17" s="3058"/>
      <c r="BC17" s="3058"/>
      <c r="BD17" s="3058"/>
      <c r="BE17" s="3058"/>
      <c r="BF17" s="3058"/>
      <c r="BG17" s="3058"/>
      <c r="BH17" s="3058"/>
      <c r="BI17" s="3058"/>
      <c r="BJ17" s="3058"/>
      <c r="BK17" s="3058"/>
      <c r="BL17" s="3056"/>
      <c r="BM17" s="3057">
        <f t="shared" si="16"/>
      </c>
      <c r="BN17" s="3054"/>
      <c r="BO17" s="3059"/>
      <c r="BP17" s="3058"/>
      <c r="BQ17" s="3058"/>
      <c r="BR17" s="3058"/>
      <c r="BS17" s="3058"/>
      <c r="BT17" s="3058"/>
      <c r="BU17" s="3058"/>
      <c r="BV17" s="3058"/>
      <c r="BW17" s="3058"/>
      <c r="BX17" s="3058"/>
      <c r="BY17" s="3058"/>
      <c r="BZ17" s="3058"/>
      <c r="CA17" s="3058"/>
      <c r="CB17" s="3058"/>
      <c r="CC17" s="3056"/>
      <c r="CD17" s="3057">
        <f t="shared" si="0"/>
      </c>
      <c r="CE17" s="3054"/>
      <c r="CF17" s="3054"/>
      <c r="CG17" s="3055"/>
      <c r="CH17" s="3055"/>
      <c r="CI17" s="3055"/>
      <c r="CJ17" s="3055"/>
      <c r="CK17" s="3055"/>
      <c r="CL17" s="3055"/>
      <c r="CM17" s="3055"/>
      <c r="CN17" s="3055"/>
      <c r="CO17" s="3055"/>
      <c r="CP17" s="3055"/>
      <c r="CQ17" s="3055"/>
      <c r="CR17" s="3055"/>
      <c r="CS17" s="3055"/>
      <c r="CU17" s="3054"/>
      <c r="CV17" s="696"/>
      <c r="CW17" s="696"/>
      <c r="CZ17" s="3060">
        <f t="shared" si="17"/>
        <v>226.91666666666666</v>
      </c>
      <c r="DA17" s="3060">
        <f t="shared" si="1"/>
        <v>319.18136389137067</v>
      </c>
      <c r="DB17" s="3060">
        <f t="shared" si="18"/>
      </c>
      <c r="DC17" s="3060">
        <f t="shared" si="19"/>
      </c>
      <c r="DD17" s="3060">
        <f t="shared" si="20"/>
      </c>
      <c r="DE17" s="3060">
        <f t="shared" si="21"/>
      </c>
      <c r="DF17" s="3060">
        <f t="shared" si="22"/>
      </c>
      <c r="DG17" s="3060">
        <f t="shared" si="23"/>
      </c>
      <c r="DH17" s="3060">
        <f t="shared" si="24"/>
      </c>
      <c r="DI17" s="3060">
        <f t="shared" si="1"/>
        <v>319.18136389137067</v>
      </c>
    </row>
    <row r="18" ht="15" customHeight="1" s="3052" customFormat="1">
      <c r="A18" s="3055"/>
      <c r="B18" s="3054" t="str">
        <f t="shared" si="2"/>
        <v>Trash Removal (including contract)</v>
      </c>
      <c r="C18" s="3054" t="s">
        <v>1914</v>
      </c>
      <c r="D18" s="3054" t="s">
        <v>1914</v>
      </c>
      <c r="E18" s="3055">
        <v>51</v>
      </c>
      <c r="F18" s="3055">
        <v>3419</v>
      </c>
      <c r="G18" s="3055">
        <v>6723</v>
      </c>
      <c r="H18" s="3055">
        <v>3468</v>
      </c>
      <c r="I18" s="3055">
        <v>3569</v>
      </c>
      <c r="J18" s="3055">
        <v>3432</v>
      </c>
      <c r="K18" s="3055">
        <v>3507</v>
      </c>
      <c r="L18" s="3055">
        <v>49</v>
      </c>
      <c r="M18" s="3055">
        <v>7382</v>
      </c>
      <c r="N18" s="3055">
        <v>4349</v>
      </c>
      <c r="O18" s="3055">
        <v>3072</v>
      </c>
      <c r="P18" s="3055">
        <v>3607</v>
      </c>
      <c r="Q18" s="3055">
        <v>42628</v>
      </c>
      <c r="R18" s="3055">
        <f t="shared" si="3"/>
        <v>3607</v>
      </c>
      <c r="S18" s="3055">
        <f t="shared" si="4"/>
        <v>6679</v>
      </c>
      <c r="T18" s="3055">
        <f t="shared" si="5"/>
        <v>11028</v>
      </c>
      <c r="U18" s="3055">
        <f t="shared" si="6"/>
        <v>18410</v>
      </c>
      <c r="V18" s="3055">
        <f t="shared" si="7"/>
        <v>18459</v>
      </c>
      <c r="W18" s="3055">
        <f t="shared" si="8"/>
        <v>21966</v>
      </c>
      <c r="X18" s="3055">
        <f t="shared" si="9"/>
        <v>25398</v>
      </c>
      <c r="Y18" s="3055">
        <f t="shared" si="10"/>
        <v>28967</v>
      </c>
      <c r="Z18" s="3055">
        <f t="shared" si="11"/>
        <v>32435</v>
      </c>
      <c r="AA18" s="3055">
        <f t="shared" si="12"/>
        <v>39158</v>
      </c>
      <c r="AB18" s="3055">
        <f t="shared" si="13"/>
        <v>42577</v>
      </c>
      <c r="AC18" s="3055">
        <f t="shared" si="14"/>
        <v>42628</v>
      </c>
      <c r="AD18" s="3056"/>
      <c r="AE18" s="3057">
        <f t="shared" si="0"/>
      </c>
      <c r="AF18" s="3054"/>
      <c r="AG18" s="3059"/>
      <c r="AH18" s="3058"/>
      <c r="AI18" s="3058"/>
      <c r="AJ18" s="3058"/>
      <c r="AK18" s="3058"/>
      <c r="AL18" s="3058"/>
      <c r="AM18" s="3058"/>
      <c r="AN18" s="3058"/>
      <c r="AO18" s="3058"/>
      <c r="AP18" s="3058"/>
      <c r="AQ18" s="3058"/>
      <c r="AR18" s="3058"/>
      <c r="AS18" s="3058"/>
      <c r="AT18" s="3058"/>
      <c r="AU18" s="3056"/>
      <c r="AV18" s="3057">
        <f t="shared" si="15"/>
      </c>
      <c r="AW18" s="3054"/>
      <c r="AX18" s="3059"/>
      <c r="AY18" s="3058"/>
      <c r="AZ18" s="3058"/>
      <c r="BA18" s="3058"/>
      <c r="BB18" s="3058"/>
      <c r="BC18" s="3058"/>
      <c r="BD18" s="3058"/>
      <c r="BE18" s="3058"/>
      <c r="BF18" s="3058"/>
      <c r="BG18" s="3058"/>
      <c r="BH18" s="3058"/>
      <c r="BI18" s="3058"/>
      <c r="BJ18" s="3058"/>
      <c r="BK18" s="3058"/>
      <c r="BL18" s="3056"/>
      <c r="BM18" s="3057">
        <f t="shared" si="16"/>
      </c>
      <c r="BN18" s="3054"/>
      <c r="BO18" s="3059"/>
      <c r="BP18" s="3058"/>
      <c r="BQ18" s="3058"/>
      <c r="BR18" s="3058"/>
      <c r="BS18" s="3058"/>
      <c r="BT18" s="3058"/>
      <c r="BU18" s="3058"/>
      <c r="BV18" s="3058"/>
      <c r="BW18" s="3058"/>
      <c r="BX18" s="3058"/>
      <c r="BY18" s="3058"/>
      <c r="BZ18" s="3058"/>
      <c r="CA18" s="3058"/>
      <c r="CB18" s="3058"/>
      <c r="CC18" s="3056"/>
      <c r="CD18" s="3057">
        <f t="shared" si="0"/>
      </c>
      <c r="CE18" s="3054"/>
      <c r="CF18" s="3054"/>
      <c r="CG18" s="3055"/>
      <c r="CH18" s="3055"/>
      <c r="CI18" s="3055"/>
      <c r="CJ18" s="3055"/>
      <c r="CK18" s="3055"/>
      <c r="CL18" s="3055"/>
      <c r="CM18" s="3055"/>
      <c r="CN18" s="3055"/>
      <c r="CO18" s="3055"/>
      <c r="CP18" s="3055"/>
      <c r="CQ18" s="3055"/>
      <c r="CR18" s="3055"/>
      <c r="CS18" s="3055"/>
      <c r="CU18" s="3054"/>
      <c r="CV18" s="696"/>
      <c r="CW18" s="696"/>
      <c r="CZ18" s="3060">
        <f t="shared" si="17"/>
        <v>3552.3333333333335</v>
      </c>
      <c r="DA18" s="3060">
        <f t="shared" si="1"/>
        <v>2044.550534686998</v>
      </c>
      <c r="DB18" s="3060">
        <f t="shared" si="18"/>
      </c>
      <c r="DC18" s="3060">
        <f t="shared" si="19"/>
      </c>
      <c r="DD18" s="3060">
        <f t="shared" si="20"/>
      </c>
      <c r="DE18" s="3060">
        <f t="shared" si="21"/>
      </c>
      <c r="DF18" s="3060">
        <f t="shared" si="22"/>
      </c>
      <c r="DG18" s="3060">
        <f t="shared" si="23"/>
      </c>
      <c r="DH18" s="3060">
        <f t="shared" si="24"/>
      </c>
      <c r="DI18" s="3060">
        <f t="shared" si="1"/>
        <v>2044.550534686998</v>
      </c>
    </row>
    <row r="19" ht="15" customHeight="1" s="3052" customFormat="1">
      <c r="A19" s="3062"/>
      <c r="B19" s="3054" t="str">
        <f t="shared" si="2"/>
        <v>Gas / Fuel / Other</v>
      </c>
      <c r="C19" s="3054" t="s">
        <v>1915</v>
      </c>
      <c r="D19" s="3054" t="s">
        <v>1915</v>
      </c>
      <c r="E19" s="3055">
        <v>4432</v>
      </c>
      <c r="F19" s="3055">
        <v>7414</v>
      </c>
      <c r="G19" s="3055">
        <v>12331</v>
      </c>
      <c r="H19" s="3055">
        <v>16223</v>
      </c>
      <c r="I19" s="3055">
        <v>16565</v>
      </c>
      <c r="J19" s="3055">
        <v>13972</v>
      </c>
      <c r="K19" s="3055">
        <v>11109</v>
      </c>
      <c r="L19" s="3055">
        <v>0</v>
      </c>
      <c r="M19" s="3055">
        <v>17187</v>
      </c>
      <c r="N19" s="3055">
        <v>7682</v>
      </c>
      <c r="O19" s="3055">
        <v>304</v>
      </c>
      <c r="P19" s="3055">
        <v>14036</v>
      </c>
      <c r="Q19" s="3055">
        <v>121255</v>
      </c>
      <c r="R19" s="3055">
        <f t="shared" si="3"/>
        <v>14036</v>
      </c>
      <c r="S19" s="3055">
        <f t="shared" si="4"/>
        <v>14340</v>
      </c>
      <c r="T19" s="3055">
        <f t="shared" si="5"/>
        <v>22022</v>
      </c>
      <c r="U19" s="3055">
        <f t="shared" si="6"/>
        <v>39209</v>
      </c>
      <c r="V19" s="3055">
        <f t="shared" si="7"/>
        <v>39209</v>
      </c>
      <c r="W19" s="3055">
        <f t="shared" si="8"/>
        <v>50318</v>
      </c>
      <c r="X19" s="3055">
        <f t="shared" si="9"/>
        <v>64290</v>
      </c>
      <c r="Y19" s="3055">
        <f t="shared" si="10"/>
        <v>80855</v>
      </c>
      <c r="Z19" s="3055">
        <f t="shared" si="11"/>
        <v>97078</v>
      </c>
      <c r="AA19" s="3055">
        <f t="shared" si="12"/>
        <v>109409</v>
      </c>
      <c r="AB19" s="3055">
        <f t="shared" si="13"/>
        <v>116823</v>
      </c>
      <c r="AC19" s="3055">
        <f t="shared" si="14"/>
        <v>121255</v>
      </c>
      <c r="AD19" s="3056"/>
      <c r="AE19" s="3057">
        <f t="shared" si="0"/>
      </c>
      <c r="AF19" s="3054"/>
      <c r="AG19" s="3059"/>
      <c r="AH19" s="3058"/>
      <c r="AI19" s="3058"/>
      <c r="AJ19" s="3058"/>
      <c r="AK19" s="3058"/>
      <c r="AL19" s="3058"/>
      <c r="AM19" s="3058"/>
      <c r="AN19" s="3058"/>
      <c r="AO19" s="3058"/>
      <c r="AP19" s="3058"/>
      <c r="AQ19" s="3058"/>
      <c r="AR19" s="3058"/>
      <c r="AS19" s="3058"/>
      <c r="AT19" s="3058"/>
      <c r="AU19" s="3056"/>
      <c r="AV19" s="3057">
        <f t="shared" si="15"/>
      </c>
      <c r="AW19" s="3054"/>
      <c r="AX19" s="3059"/>
      <c r="AY19" s="3058"/>
      <c r="AZ19" s="3058"/>
      <c r="BA19" s="3058"/>
      <c r="BB19" s="3058"/>
      <c r="BC19" s="3058"/>
      <c r="BD19" s="3058"/>
      <c r="BE19" s="3058"/>
      <c r="BF19" s="3058"/>
      <c r="BG19" s="3058"/>
      <c r="BH19" s="3058"/>
      <c r="BI19" s="3058"/>
      <c r="BJ19" s="3058"/>
      <c r="BK19" s="3058"/>
      <c r="BL19" s="3056"/>
      <c r="BM19" s="3057">
        <f t="shared" si="16"/>
      </c>
      <c r="BN19" s="3054"/>
      <c r="BO19" s="3059"/>
      <c r="BP19" s="3058"/>
      <c r="BQ19" s="3058"/>
      <c r="BR19" s="3058"/>
      <c r="BS19" s="3058"/>
      <c r="BT19" s="3058"/>
      <c r="BU19" s="3058"/>
      <c r="BV19" s="3058"/>
      <c r="BW19" s="3058"/>
      <c r="BX19" s="3058"/>
      <c r="BY19" s="3058"/>
      <c r="BZ19" s="3058"/>
      <c r="CA19" s="3058"/>
      <c r="CB19" s="3058"/>
      <c r="CC19" s="3056"/>
      <c r="CD19" s="3057">
        <f t="shared" si="0"/>
      </c>
      <c r="CE19" s="3054"/>
      <c r="CF19" s="3054"/>
      <c r="CG19" s="3055"/>
      <c r="CH19" s="3055"/>
      <c r="CI19" s="3055"/>
      <c r="CJ19" s="3055"/>
      <c r="CK19" s="3055"/>
      <c r="CL19" s="3055"/>
      <c r="CM19" s="3055"/>
      <c r="CN19" s="3055"/>
      <c r="CO19" s="3055"/>
      <c r="CP19" s="3055"/>
      <c r="CQ19" s="3055"/>
      <c r="CR19" s="3055"/>
      <c r="CS19" s="3055"/>
      <c r="CU19" s="3054"/>
      <c r="CV19" s="696"/>
      <c r="CW19" s="696"/>
      <c r="CZ19" s="3060">
        <f t="shared" si="17"/>
        <v>10104.583333333334</v>
      </c>
      <c r="DA19" s="3060">
        <f t="shared" si="1"/>
        <v>5839.1762612308785</v>
      </c>
      <c r="DB19" s="3060">
        <f t="shared" si="18"/>
      </c>
      <c r="DC19" s="3060">
        <f t="shared" si="19"/>
      </c>
      <c r="DD19" s="3060">
        <f t="shared" si="20"/>
      </c>
      <c r="DE19" s="3060">
        <f t="shared" si="21"/>
      </c>
      <c r="DF19" s="3060">
        <f t="shared" si="22"/>
      </c>
      <c r="DG19" s="3060">
        <f t="shared" si="23"/>
      </c>
      <c r="DH19" s="3060">
        <f t="shared" si="24"/>
      </c>
      <c r="DI19" s="3060">
        <f t="shared" si="1"/>
        <v>5839.1762612308785</v>
      </c>
    </row>
    <row r="20" ht="15" customHeight="1" s="3052" customFormat="1">
      <c r="A20" s="3062"/>
      <c r="B20" s="3054" t="str">
        <f t="shared" si="2"/>
        <v>Electricity</v>
      </c>
      <c r="C20" s="3054" t="s">
        <v>1817</v>
      </c>
      <c r="D20" s="3054" t="s">
        <v>1817</v>
      </c>
      <c r="E20" s="3055">
        <v>949</v>
      </c>
      <c r="F20" s="3055">
        <v>1048</v>
      </c>
      <c r="G20" s="3055">
        <v>926</v>
      </c>
      <c r="H20" s="3055">
        <v>952</v>
      </c>
      <c r="I20" s="3055">
        <v>374</v>
      </c>
      <c r="J20" s="3055">
        <v>2288</v>
      </c>
      <c r="K20" s="3055">
        <v>1170</v>
      </c>
      <c r="L20" s="3055">
        <v>1198</v>
      </c>
      <c r="M20" s="3055">
        <v>1050</v>
      </c>
      <c r="N20" s="3055">
        <v>1019</v>
      </c>
      <c r="O20" s="3055">
        <v>269</v>
      </c>
      <c r="P20" s="3055">
        <v>2633</v>
      </c>
      <c r="Q20" s="3055">
        <v>13876</v>
      </c>
      <c r="R20" s="3055">
        <f t="shared" si="3"/>
        <v>2633</v>
      </c>
      <c r="S20" s="3055">
        <f t="shared" si="4"/>
        <v>2902</v>
      </c>
      <c r="T20" s="3055">
        <f t="shared" si="5"/>
        <v>3921</v>
      </c>
      <c r="U20" s="3055">
        <f t="shared" si="6"/>
        <v>4971</v>
      </c>
      <c r="V20" s="3055">
        <f t="shared" si="7"/>
        <v>6169</v>
      </c>
      <c r="W20" s="3055">
        <f t="shared" si="8"/>
        <v>7339</v>
      </c>
      <c r="X20" s="3055">
        <f t="shared" si="9"/>
        <v>9627</v>
      </c>
      <c r="Y20" s="3055">
        <f t="shared" si="10"/>
        <v>10001</v>
      </c>
      <c r="Z20" s="3055">
        <f t="shared" si="11"/>
        <v>10953</v>
      </c>
      <c r="AA20" s="3055">
        <f t="shared" si="12"/>
        <v>11879</v>
      </c>
      <c r="AB20" s="3055">
        <f t="shared" si="13"/>
        <v>12927</v>
      </c>
      <c r="AC20" s="3055">
        <f t="shared" si="14"/>
        <v>13876</v>
      </c>
      <c r="AD20" s="3056"/>
      <c r="AE20" s="3057">
        <f t="shared" si="0"/>
      </c>
      <c r="AF20" s="3054"/>
      <c r="AG20" s="3059"/>
      <c r="AH20" s="3058"/>
      <c r="AI20" s="3058"/>
      <c r="AJ20" s="3058"/>
      <c r="AK20" s="3058"/>
      <c r="AL20" s="3058"/>
      <c r="AM20" s="3058"/>
      <c r="AN20" s="3058"/>
      <c r="AO20" s="3058"/>
      <c r="AP20" s="3058"/>
      <c r="AQ20" s="3058"/>
      <c r="AR20" s="3058"/>
      <c r="AS20" s="3058"/>
      <c r="AT20" s="3058"/>
      <c r="AU20" s="3056"/>
      <c r="AV20" s="3057">
        <f t="shared" si="15"/>
      </c>
      <c r="AW20" s="3054"/>
      <c r="AX20" s="3059"/>
      <c r="AY20" s="3058"/>
      <c r="AZ20" s="3058"/>
      <c r="BA20" s="3058"/>
      <c r="BB20" s="3058"/>
      <c r="BC20" s="3058"/>
      <c r="BD20" s="3058"/>
      <c r="BE20" s="3058"/>
      <c r="BF20" s="3058"/>
      <c r="BG20" s="3058"/>
      <c r="BH20" s="3058"/>
      <c r="BI20" s="3058"/>
      <c r="BJ20" s="3058"/>
      <c r="BK20" s="3058"/>
      <c r="BL20" s="3056"/>
      <c r="BM20" s="3057">
        <f t="shared" si="16"/>
      </c>
      <c r="BN20" s="3054"/>
      <c r="BO20" s="3059"/>
      <c r="BP20" s="3058"/>
      <c r="BQ20" s="3058"/>
      <c r="BR20" s="3058"/>
      <c r="BS20" s="3058"/>
      <c r="BT20" s="3058"/>
      <c r="BU20" s="3058"/>
      <c r="BV20" s="3058"/>
      <c r="BW20" s="3058"/>
      <c r="BX20" s="3058"/>
      <c r="BY20" s="3058"/>
      <c r="BZ20" s="3058"/>
      <c r="CA20" s="3058"/>
      <c r="CB20" s="3058"/>
      <c r="CC20" s="3056"/>
      <c r="CD20" s="3057">
        <f t="shared" si="0"/>
      </c>
      <c r="CE20" s="3054"/>
      <c r="CF20" s="3054"/>
      <c r="CG20" s="3055"/>
      <c r="CH20" s="3055"/>
      <c r="CI20" s="3055"/>
      <c r="CJ20" s="3055"/>
      <c r="CK20" s="3055"/>
      <c r="CL20" s="3055"/>
      <c r="CM20" s="3055"/>
      <c r="CN20" s="3055"/>
      <c r="CO20" s="3055"/>
      <c r="CP20" s="3055"/>
      <c r="CQ20" s="3055"/>
      <c r="CR20" s="3055"/>
      <c r="CS20" s="3055"/>
      <c r="CU20" s="3054"/>
      <c r="CV20" s="696"/>
      <c r="CW20" s="696"/>
      <c r="CZ20" s="3060">
        <f t="shared" si="17"/>
        <v>1156.3333333333333</v>
      </c>
      <c r="DA20" s="3060">
        <f t="shared" si="1"/>
        <v>648.2179845974312</v>
      </c>
      <c r="DB20" s="3060">
        <f t="shared" si="18"/>
      </c>
      <c r="DC20" s="3060">
        <f t="shared" si="19"/>
      </c>
      <c r="DD20" s="3060">
        <f t="shared" si="20"/>
      </c>
      <c r="DE20" s="3060">
        <f t="shared" si="21"/>
      </c>
      <c r="DF20" s="3060">
        <f t="shared" si="22"/>
      </c>
      <c r="DG20" s="3060">
        <f t="shared" si="23"/>
      </c>
      <c r="DH20" s="3060">
        <f t="shared" si="24"/>
      </c>
      <c r="DI20" s="3060">
        <f t="shared" si="1"/>
        <v>648.2179845974312</v>
      </c>
    </row>
    <row r="21" ht="15" customHeight="1" s="3052" customFormat="1">
      <c r="A21" s="3062"/>
      <c r="B21" s="3054" t="str">
        <f t="shared" si="2"/>
        <v>Water &amp; Sewer</v>
      </c>
      <c r="C21" s="3054" t="s">
        <v>1419</v>
      </c>
      <c r="D21" s="3054" t="s">
        <v>1419</v>
      </c>
      <c r="E21" s="3055">
        <v>9150</v>
      </c>
      <c r="F21" s="3055">
        <v>9023</v>
      </c>
      <c r="G21" s="3055">
        <v>17831</v>
      </c>
      <c r="H21" s="3055">
        <v>383</v>
      </c>
      <c r="I21" s="3055">
        <v>11592</v>
      </c>
      <c r="J21" s="3055">
        <v>13125</v>
      </c>
      <c r="K21" s="3055">
        <v>2839</v>
      </c>
      <c r="L21" s="3055">
        <v>8824</v>
      </c>
      <c r="M21" s="3055">
        <v>8308</v>
      </c>
      <c r="N21" s="3055">
        <v>11112</v>
      </c>
      <c r="O21" s="3055">
        <v>12525</v>
      </c>
      <c r="P21" s="3055">
        <v>9462</v>
      </c>
      <c r="Q21" s="3055">
        <v>114174</v>
      </c>
      <c r="R21" s="3055">
        <f t="shared" si="3"/>
        <v>9462</v>
      </c>
      <c r="S21" s="3055">
        <f t="shared" si="4"/>
        <v>21987</v>
      </c>
      <c r="T21" s="3055">
        <f t="shared" si="5"/>
        <v>33099</v>
      </c>
      <c r="U21" s="3055">
        <f t="shared" si="6"/>
        <v>41407</v>
      </c>
      <c r="V21" s="3055">
        <f t="shared" si="7"/>
        <v>50231</v>
      </c>
      <c r="W21" s="3055">
        <f t="shared" si="8"/>
        <v>53070</v>
      </c>
      <c r="X21" s="3055">
        <f t="shared" si="9"/>
        <v>66195</v>
      </c>
      <c r="Y21" s="3055">
        <f t="shared" si="10"/>
        <v>77787</v>
      </c>
      <c r="Z21" s="3055">
        <f t="shared" si="11"/>
        <v>78170</v>
      </c>
      <c r="AA21" s="3055">
        <f t="shared" si="12"/>
        <v>96001</v>
      </c>
      <c r="AB21" s="3055">
        <f t="shared" si="13"/>
        <v>105024</v>
      </c>
      <c r="AC21" s="3055">
        <f t="shared" si="14"/>
        <v>114174</v>
      </c>
      <c r="AD21" s="3056"/>
      <c r="AE21" s="3057">
        <f t="shared" si="0"/>
      </c>
      <c r="AF21" s="3054"/>
      <c r="AG21" s="3059"/>
      <c r="AH21" s="3058"/>
      <c r="AI21" s="3058"/>
      <c r="AJ21" s="3058"/>
      <c r="AK21" s="3058"/>
      <c r="AL21" s="3058"/>
      <c r="AM21" s="3058"/>
      <c r="AN21" s="3058"/>
      <c r="AO21" s="3058"/>
      <c r="AP21" s="3058"/>
      <c r="AQ21" s="3058"/>
      <c r="AR21" s="3058"/>
      <c r="AS21" s="3058"/>
      <c r="AT21" s="3058"/>
      <c r="AU21" s="3056"/>
      <c r="AV21" s="3057">
        <f t="shared" si="15"/>
      </c>
      <c r="AW21" s="3054"/>
      <c r="AX21" s="3059"/>
      <c r="AY21" s="3058"/>
      <c r="AZ21" s="3058"/>
      <c r="BA21" s="3058"/>
      <c r="BB21" s="3058"/>
      <c r="BC21" s="3058"/>
      <c r="BD21" s="3058"/>
      <c r="BE21" s="3058"/>
      <c r="BF21" s="3058"/>
      <c r="BG21" s="3058"/>
      <c r="BH21" s="3058"/>
      <c r="BI21" s="3058"/>
      <c r="BJ21" s="3058"/>
      <c r="BK21" s="3058"/>
      <c r="BL21" s="3056"/>
      <c r="BM21" s="3057">
        <f t="shared" si="16"/>
      </c>
      <c r="BN21" s="3054"/>
      <c r="BO21" s="3059"/>
      <c r="BP21" s="3058"/>
      <c r="BQ21" s="3058"/>
      <c r="BR21" s="3058"/>
      <c r="BS21" s="3058"/>
      <c r="BT21" s="3058"/>
      <c r="BU21" s="3058"/>
      <c r="BV21" s="3058"/>
      <c r="BW21" s="3058"/>
      <c r="BX21" s="3058"/>
      <c r="BY21" s="3058"/>
      <c r="BZ21" s="3058"/>
      <c r="CA21" s="3058"/>
      <c r="CB21" s="3058"/>
      <c r="CC21" s="3056"/>
      <c r="CD21" s="3057">
        <f t="shared" si="0"/>
      </c>
      <c r="CE21" s="3054"/>
      <c r="CF21" s="3054"/>
      <c r="CG21" s="3055"/>
      <c r="CH21" s="3055"/>
      <c r="CI21" s="3055"/>
      <c r="CJ21" s="3055"/>
      <c r="CK21" s="3055"/>
      <c r="CL21" s="3055"/>
      <c r="CM21" s="3055"/>
      <c r="CN21" s="3055"/>
      <c r="CO21" s="3055"/>
      <c r="CP21" s="3055"/>
      <c r="CQ21" s="3055"/>
      <c r="CR21" s="3055"/>
      <c r="CS21" s="3055"/>
      <c r="CU21" s="3054"/>
      <c r="CV21" s="696"/>
      <c r="CW21" s="696"/>
      <c r="CZ21" s="3060">
        <f t="shared" si="17"/>
        <v>9514.5</v>
      </c>
      <c r="DA21" s="3060">
        <f t="shared" si="1"/>
        <v>4362.598795442918</v>
      </c>
      <c r="DB21" s="3060">
        <f t="shared" si="18"/>
      </c>
      <c r="DC21" s="3060">
        <f t="shared" si="19"/>
      </c>
      <c r="DD21" s="3060">
        <f t="shared" si="20"/>
      </c>
      <c r="DE21" s="3060">
        <f t="shared" si="21"/>
      </c>
      <c r="DF21" s="3060">
        <f t="shared" si="22"/>
      </c>
      <c r="DG21" s="3060">
        <f t="shared" si="23"/>
      </c>
      <c r="DH21" s="3060">
        <f t="shared" si="24"/>
      </c>
      <c r="DI21" s="3060">
        <f t="shared" si="1"/>
        <v>4362.598795442918</v>
      </c>
    </row>
    <row r="22" ht="15" customHeight="1" s="3052" customFormat="1">
      <c r="A22" s="3062"/>
      <c r="B22" s="3054" t="str">
        <f t="shared" si="2"/>
        <v>Pest Control</v>
      </c>
      <c r="C22" s="3054" t="s">
        <v>1823</v>
      </c>
      <c r="D22" s="3054" t="s">
        <v>1823</v>
      </c>
      <c r="E22" s="3055">
        <v>335</v>
      </c>
      <c r="F22" s="3055">
        <v>356</v>
      </c>
      <c r="G22" s="3055">
        <v>485</v>
      </c>
      <c r="H22" s="3055">
        <v>0</v>
      </c>
      <c r="I22" s="3055">
        <v>357</v>
      </c>
      <c r="J22" s="3055">
        <v>1487</v>
      </c>
      <c r="K22" s="3055">
        <v>214</v>
      </c>
      <c r="L22" s="3055">
        <v>356</v>
      </c>
      <c r="M22" s="3055">
        <v>352</v>
      </c>
      <c r="N22" s="3055">
        <v>181</v>
      </c>
      <c r="O22" s="3055">
        <v>415</v>
      </c>
      <c r="P22" s="3055">
        <v>2390</v>
      </c>
      <c r="Q22" s="3055">
        <v>6928</v>
      </c>
      <c r="R22" s="3055">
        <f t="shared" si="3"/>
        <v>2390</v>
      </c>
      <c r="S22" s="3055">
        <f t="shared" si="4"/>
        <v>2805</v>
      </c>
      <c r="T22" s="3055">
        <f t="shared" si="5"/>
        <v>2986</v>
      </c>
      <c r="U22" s="3055">
        <f t="shared" si="6"/>
        <v>3338</v>
      </c>
      <c r="V22" s="3055">
        <f t="shared" si="7"/>
        <v>3694</v>
      </c>
      <c r="W22" s="3055">
        <f t="shared" si="8"/>
        <v>3908</v>
      </c>
      <c r="X22" s="3055">
        <f t="shared" si="9"/>
        <v>5395</v>
      </c>
      <c r="Y22" s="3055">
        <f t="shared" si="10"/>
        <v>5752</v>
      </c>
      <c r="Z22" s="3055">
        <f t="shared" si="11"/>
        <v>5752</v>
      </c>
      <c r="AA22" s="3055">
        <f t="shared" si="12"/>
        <v>6237</v>
      </c>
      <c r="AB22" s="3055">
        <f t="shared" si="13"/>
        <v>6593</v>
      </c>
      <c r="AC22" s="3055">
        <f t="shared" si="14"/>
        <v>6928</v>
      </c>
      <c r="AD22" s="3056"/>
      <c r="AE22" s="3057">
        <f t="shared" si="0"/>
      </c>
      <c r="AF22" s="3054"/>
      <c r="AG22" s="3059"/>
      <c r="AH22" s="3058"/>
      <c r="AI22" s="3058"/>
      <c r="AJ22" s="3058"/>
      <c r="AK22" s="3058"/>
      <c r="AL22" s="3058"/>
      <c r="AM22" s="3058"/>
      <c r="AN22" s="3058"/>
      <c r="AO22" s="3058"/>
      <c r="AP22" s="3058"/>
      <c r="AQ22" s="3058"/>
      <c r="AR22" s="3058"/>
      <c r="AS22" s="3058"/>
      <c r="AT22" s="3058"/>
      <c r="AU22" s="3056"/>
      <c r="AV22" s="3057">
        <f t="shared" si="15"/>
      </c>
      <c r="AW22" s="3054"/>
      <c r="AX22" s="3059"/>
      <c r="AY22" s="3058"/>
      <c r="AZ22" s="3058"/>
      <c r="BA22" s="3058"/>
      <c r="BB22" s="3058"/>
      <c r="BC22" s="3058"/>
      <c r="BD22" s="3058"/>
      <c r="BE22" s="3058"/>
      <c r="BF22" s="3058"/>
      <c r="BG22" s="3058"/>
      <c r="BH22" s="3058"/>
      <c r="BI22" s="3058"/>
      <c r="BJ22" s="3058"/>
      <c r="BK22" s="3058"/>
      <c r="BL22" s="3056"/>
      <c r="BM22" s="3057">
        <f t="shared" si="16"/>
      </c>
      <c r="BN22" s="3054"/>
      <c r="BO22" s="3059"/>
      <c r="BP22" s="3058"/>
      <c r="BQ22" s="3058"/>
      <c r="BR22" s="3058"/>
      <c r="BS22" s="3058"/>
      <c r="BT22" s="3058"/>
      <c r="BU22" s="3058"/>
      <c r="BV22" s="3058"/>
      <c r="BW22" s="3058"/>
      <c r="BX22" s="3058"/>
      <c r="BY22" s="3058"/>
      <c r="BZ22" s="3058"/>
      <c r="CA22" s="3058"/>
      <c r="CB22" s="3058"/>
      <c r="CC22" s="3056"/>
      <c r="CD22" s="3057">
        <f t="shared" si="0"/>
      </c>
      <c r="CE22" s="3054"/>
      <c r="CF22" s="3054"/>
      <c r="CG22" s="3055"/>
      <c r="CH22" s="3055"/>
      <c r="CI22" s="3055"/>
      <c r="CJ22" s="3055"/>
      <c r="CK22" s="3055"/>
      <c r="CL22" s="3055"/>
      <c r="CM22" s="3055"/>
      <c r="CN22" s="3055"/>
      <c r="CO22" s="3055"/>
      <c r="CP22" s="3055"/>
      <c r="CQ22" s="3055"/>
      <c r="CR22" s="3055"/>
      <c r="CS22" s="3055"/>
      <c r="CU22" s="3054"/>
      <c r="CV22" s="696"/>
      <c r="CW22" s="696"/>
      <c r="CZ22" s="3060">
        <f t="shared" si="17"/>
        <v>577.3333333333334</v>
      </c>
      <c r="DA22" s="3060">
        <f t="shared" si="1"/>
        <v>647.2094371650923</v>
      </c>
      <c r="DB22" s="3060">
        <f t="shared" si="18"/>
      </c>
      <c r="DC22" s="3060">
        <f t="shared" si="19"/>
      </c>
      <c r="DD22" s="3060">
        <f t="shared" si="20"/>
      </c>
      <c r="DE22" s="3060">
        <f t="shared" si="21"/>
      </c>
      <c r="DF22" s="3060">
        <f t="shared" si="22"/>
      </c>
      <c r="DG22" s="3060">
        <f t="shared" si="23"/>
      </c>
      <c r="DH22" s="3060">
        <f t="shared" si="24"/>
      </c>
      <c r="DI22" s="3060">
        <f t="shared" si="1"/>
        <v>647.2094371650923</v>
      </c>
    </row>
    <row r="23" ht="15" customHeight="1" s="3052" customFormat="1">
      <c r="A23" s="3055"/>
      <c r="B23" s="3054" t="str">
        <f t="shared" si="2"/>
        <v>Bldg. Maint. &amp; Repair</v>
      </c>
      <c r="C23" s="3054" t="s">
        <v>1824</v>
      </c>
      <c r="D23" s="3054" t="s">
        <v>1824</v>
      </c>
      <c r="E23" s="3055">
        <v>11061</v>
      </c>
      <c r="F23" s="3055">
        <v>14939</v>
      </c>
      <c r="G23" s="3055">
        <v>23691</v>
      </c>
      <c r="H23" s="3055">
        <v>4400</v>
      </c>
      <c r="I23" s="3055">
        <v>13168</v>
      </c>
      <c r="J23" s="3055">
        <v>17364</v>
      </c>
      <c r="K23" s="3055">
        <v>3247</v>
      </c>
      <c r="L23" s="3055">
        <v>9234</v>
      </c>
      <c r="M23" s="3055">
        <v>16083</v>
      </c>
      <c r="N23" s="3055">
        <v>9671</v>
      </c>
      <c r="O23" s="3055">
        <v>11529</v>
      </c>
      <c r="P23" s="3055">
        <v>14098</v>
      </c>
      <c r="Q23" s="3055">
        <v>148485</v>
      </c>
      <c r="R23" s="3055">
        <f t="shared" si="3"/>
        <v>14098</v>
      </c>
      <c r="S23" s="3055">
        <f t="shared" si="4"/>
        <v>25627</v>
      </c>
      <c r="T23" s="3055">
        <f t="shared" si="5"/>
        <v>35298</v>
      </c>
      <c r="U23" s="3055">
        <f t="shared" si="6"/>
        <v>51381</v>
      </c>
      <c r="V23" s="3055">
        <f t="shared" si="7"/>
        <v>60615</v>
      </c>
      <c r="W23" s="3055">
        <f t="shared" si="8"/>
        <v>63862</v>
      </c>
      <c r="X23" s="3055">
        <f t="shared" si="9"/>
        <v>81226</v>
      </c>
      <c r="Y23" s="3055">
        <f t="shared" si="10"/>
        <v>94394</v>
      </c>
      <c r="Z23" s="3055">
        <f t="shared" si="11"/>
        <v>98794</v>
      </c>
      <c r="AA23" s="3055">
        <f t="shared" si="12"/>
        <v>122485</v>
      </c>
      <c r="AB23" s="3055">
        <f t="shared" si="13"/>
        <v>137424</v>
      </c>
      <c r="AC23" s="3055">
        <f t="shared" si="14"/>
        <v>148485</v>
      </c>
      <c r="AD23" s="3056"/>
      <c r="AE23" s="3057">
        <f t="shared" si="0"/>
      </c>
      <c r="AF23" s="3054"/>
      <c r="AG23" s="3059"/>
      <c r="AH23" s="3058"/>
      <c r="AI23" s="3058"/>
      <c r="AJ23" s="3058"/>
      <c r="AK23" s="3058"/>
      <c r="AL23" s="3058"/>
      <c r="AM23" s="3058"/>
      <c r="AN23" s="3058"/>
      <c r="AO23" s="3058"/>
      <c r="AP23" s="3058"/>
      <c r="AQ23" s="3058"/>
      <c r="AR23" s="3058"/>
      <c r="AS23" s="3058"/>
      <c r="AT23" s="3058"/>
      <c r="AU23" s="3056"/>
      <c r="AV23" s="3057">
        <f t="shared" si="15"/>
      </c>
      <c r="AW23" s="3054"/>
      <c r="AX23" s="3059"/>
      <c r="AY23" s="3058"/>
      <c r="AZ23" s="3058"/>
      <c r="BA23" s="3058"/>
      <c r="BB23" s="3058"/>
      <c r="BC23" s="3058"/>
      <c r="BD23" s="3058"/>
      <c r="BE23" s="3058"/>
      <c r="BF23" s="3058"/>
      <c r="BG23" s="3058"/>
      <c r="BH23" s="3058"/>
      <c r="BI23" s="3058"/>
      <c r="BJ23" s="3058"/>
      <c r="BK23" s="3058"/>
      <c r="BL23" s="3056"/>
      <c r="BM23" s="3057">
        <f t="shared" si="16"/>
      </c>
      <c r="BN23" s="3054"/>
      <c r="BO23" s="3059"/>
      <c r="BP23" s="3058"/>
      <c r="BQ23" s="3058"/>
      <c r="BR23" s="3058"/>
      <c r="BS23" s="3058"/>
      <c r="BT23" s="3058"/>
      <c r="BU23" s="3058"/>
      <c r="BV23" s="3058"/>
      <c r="BW23" s="3058"/>
      <c r="BX23" s="3058"/>
      <c r="BY23" s="3058"/>
      <c r="BZ23" s="3058"/>
      <c r="CA23" s="3058"/>
      <c r="CB23" s="3058"/>
      <c r="CC23" s="3056"/>
      <c r="CD23" s="3057">
        <f t="shared" si="0"/>
      </c>
      <c r="CE23" s="3054"/>
      <c r="CF23" s="3054"/>
      <c r="CG23" s="3055"/>
      <c r="CH23" s="3055"/>
      <c r="CI23" s="3055"/>
      <c r="CJ23" s="3055"/>
      <c r="CK23" s="3055"/>
      <c r="CL23" s="3055"/>
      <c r="CM23" s="3055"/>
      <c r="CN23" s="3055"/>
      <c r="CO23" s="3055"/>
      <c r="CP23" s="3055"/>
      <c r="CQ23" s="3055"/>
      <c r="CR23" s="3055"/>
      <c r="CS23" s="3055"/>
      <c r="CU23" s="3054"/>
      <c r="CV23" s="696"/>
      <c r="CW23" s="696"/>
      <c r="CZ23" s="3060">
        <f t="shared" si="17"/>
        <v>12373.75</v>
      </c>
      <c r="DA23" s="3060">
        <f t="shared" si="1"/>
        <v>5349.483730931425</v>
      </c>
      <c r="DB23" s="3060">
        <f t="shared" si="18"/>
      </c>
      <c r="DC23" s="3060">
        <f t="shared" si="19"/>
      </c>
      <c r="DD23" s="3060">
        <f t="shared" si="20"/>
      </c>
      <c r="DE23" s="3060">
        <f t="shared" si="21"/>
      </c>
      <c r="DF23" s="3060">
        <f t="shared" si="22"/>
      </c>
      <c r="DG23" s="3060">
        <f t="shared" si="23"/>
      </c>
      <c r="DH23" s="3060">
        <f t="shared" si="24"/>
      </c>
      <c r="DI23" s="3060">
        <f t="shared" si="1"/>
        <v>5349.483730931425</v>
      </c>
    </row>
    <row r="24" ht="15" customHeight="1" s="3052" customFormat="1">
      <c r="A24" s="3055"/>
      <c r="B24" s="3054" t="str">
        <f t="shared" si="2"/>
        <v>Paint/Decorating/Turnover</v>
      </c>
      <c r="C24" s="3054" t="s">
        <v>1916</v>
      </c>
      <c r="D24" s="3054" t="s">
        <v>1916</v>
      </c>
      <c r="E24" s="3055">
        <v>5454</v>
      </c>
      <c r="F24" s="3055">
        <v>13024</v>
      </c>
      <c r="G24" s="3055">
        <v>13362</v>
      </c>
      <c r="H24" s="3055">
        <v>7439</v>
      </c>
      <c r="I24" s="3055">
        <v>13048</v>
      </c>
      <c r="J24" s="3055">
        <v>2433</v>
      </c>
      <c r="K24" s="3055">
        <v>10008</v>
      </c>
      <c r="L24" s="3055">
        <v>4799</v>
      </c>
      <c r="M24" s="3055">
        <v>12828</v>
      </c>
      <c r="N24" s="3055">
        <v>10848</v>
      </c>
      <c r="O24" s="3055">
        <v>9017</v>
      </c>
      <c r="P24" s="3055">
        <v>12809</v>
      </c>
      <c r="Q24" s="3055">
        <v>115069</v>
      </c>
      <c r="R24" s="3055">
        <f t="shared" si="3"/>
        <v>12809</v>
      </c>
      <c r="S24" s="3055">
        <f t="shared" si="4"/>
        <v>21826</v>
      </c>
      <c r="T24" s="3055">
        <f t="shared" si="5"/>
        <v>32674</v>
      </c>
      <c r="U24" s="3055">
        <f t="shared" si="6"/>
        <v>45502</v>
      </c>
      <c r="V24" s="3055">
        <f t="shared" si="7"/>
        <v>50301</v>
      </c>
      <c r="W24" s="3055">
        <f t="shared" si="8"/>
        <v>60309</v>
      </c>
      <c r="X24" s="3055">
        <f t="shared" si="9"/>
        <v>62742</v>
      </c>
      <c r="Y24" s="3055">
        <f t="shared" si="10"/>
        <v>75790</v>
      </c>
      <c r="Z24" s="3055">
        <f t="shared" si="11"/>
        <v>83229</v>
      </c>
      <c r="AA24" s="3055">
        <f t="shared" si="12"/>
        <v>96591</v>
      </c>
      <c r="AB24" s="3055">
        <f t="shared" si="13"/>
        <v>109615</v>
      </c>
      <c r="AC24" s="3055">
        <f t="shared" si="14"/>
        <v>115069</v>
      </c>
      <c r="AD24" s="3056"/>
      <c r="AE24" s="3057">
        <f t="shared" si="0"/>
      </c>
      <c r="AF24" s="3054"/>
      <c r="AG24" s="3059"/>
      <c r="AH24" s="3058"/>
      <c r="AI24" s="3058"/>
      <c r="AJ24" s="3058"/>
      <c r="AK24" s="3058"/>
      <c r="AL24" s="3058"/>
      <c r="AM24" s="3058"/>
      <c r="AN24" s="3058"/>
      <c r="AO24" s="3058"/>
      <c r="AP24" s="3058"/>
      <c r="AQ24" s="3058"/>
      <c r="AR24" s="3058"/>
      <c r="AS24" s="3058"/>
      <c r="AT24" s="3058"/>
      <c r="AU24" s="3056"/>
      <c r="AV24" s="3057">
        <f t="shared" si="15"/>
      </c>
      <c r="AW24" s="3054"/>
      <c r="AX24" s="3059"/>
      <c r="AY24" s="3058"/>
      <c r="AZ24" s="3058"/>
      <c r="BA24" s="3058"/>
      <c r="BB24" s="3058"/>
      <c r="BC24" s="3058"/>
      <c r="BD24" s="3058"/>
      <c r="BE24" s="3058"/>
      <c r="BF24" s="3058"/>
      <c r="BG24" s="3058"/>
      <c r="BH24" s="3058"/>
      <c r="BI24" s="3058"/>
      <c r="BJ24" s="3058"/>
      <c r="BK24" s="3058"/>
      <c r="BL24" s="3056"/>
      <c r="BM24" s="3057">
        <f t="shared" si="16"/>
      </c>
      <c r="BN24" s="3054"/>
      <c r="BO24" s="3059"/>
      <c r="BP24" s="3058"/>
      <c r="BQ24" s="3058"/>
      <c r="BR24" s="3058"/>
      <c r="BS24" s="3058"/>
      <c r="BT24" s="3058"/>
      <c r="BU24" s="3058"/>
      <c r="BV24" s="3058"/>
      <c r="BW24" s="3058"/>
      <c r="BX24" s="3058"/>
      <c r="BY24" s="3058"/>
      <c r="BZ24" s="3058"/>
      <c r="CA24" s="3058"/>
      <c r="CB24" s="3058"/>
      <c r="CC24" s="3056"/>
      <c r="CD24" s="3057">
        <f t="shared" si="0"/>
      </c>
      <c r="CE24" s="3054"/>
      <c r="CF24" s="3054"/>
      <c r="CG24" s="3055"/>
      <c r="CH24" s="3055"/>
      <c r="CI24" s="3055"/>
      <c r="CJ24" s="3055"/>
      <c r="CK24" s="3055"/>
      <c r="CL24" s="3055"/>
      <c r="CM24" s="3055"/>
      <c r="CN24" s="3055"/>
      <c r="CO24" s="3055"/>
      <c r="CP24" s="3055"/>
      <c r="CQ24" s="3055"/>
      <c r="CR24" s="3055"/>
      <c r="CS24" s="3055"/>
      <c r="CU24" s="3054"/>
      <c r="CV24" s="696"/>
      <c r="CW24" s="696"/>
      <c r="CZ24" s="3060">
        <f t="shared" si="17"/>
        <v>9589.083333333334</v>
      </c>
      <c r="DA24" s="3060">
        <f t="shared" si="1"/>
        <v>3615.0143258898556</v>
      </c>
      <c r="DB24" s="3060">
        <f t="shared" si="18"/>
      </c>
      <c r="DC24" s="3060">
        <f t="shared" si="19"/>
      </c>
      <c r="DD24" s="3060">
        <f t="shared" si="20"/>
      </c>
      <c r="DE24" s="3060">
        <f t="shared" si="21"/>
      </c>
      <c r="DF24" s="3060">
        <f t="shared" si="22"/>
      </c>
      <c r="DG24" s="3060">
        <f t="shared" si="23"/>
      </c>
      <c r="DH24" s="3060">
        <f t="shared" si="24"/>
      </c>
      <c r="DI24" s="3060">
        <f t="shared" si="1"/>
        <v>3615.0143258898556</v>
      </c>
    </row>
    <row r="25" ht="15" customHeight="1" s="3052" customFormat="1">
      <c r="A25" s="3055"/>
      <c r="B25" s="3054" t="str">
        <f t="shared" si="2"/>
        <v>Pool Maintenance</v>
      </c>
      <c r="C25" s="3054" t="s">
        <v>1917</v>
      </c>
      <c r="D25" s="3054" t="s">
        <v>1917</v>
      </c>
      <c r="E25" s="3055">
        <v>176</v>
      </c>
      <c r="F25" s="3055">
        <v>0</v>
      </c>
      <c r="G25" s="3055">
        <v>0</v>
      </c>
      <c r="H25" s="3055">
        <v>0</v>
      </c>
      <c r="I25" s="3055">
        <v>0</v>
      </c>
      <c r="J25" s="3055">
        <v>3506</v>
      </c>
      <c r="K25" s="3055">
        <v>1964</v>
      </c>
      <c r="L25" s="3055">
        <v>2954</v>
      </c>
      <c r="M25" s="3055">
        <v>352</v>
      </c>
      <c r="N25" s="3055">
        <v>143</v>
      </c>
      <c r="O25" s="3055">
        <v>29</v>
      </c>
      <c r="P25" s="3055">
        <v>1030</v>
      </c>
      <c r="Q25" s="3055">
        <v>10154</v>
      </c>
      <c r="R25" s="3055">
        <f t="shared" si="3"/>
        <v>1030</v>
      </c>
      <c r="S25" s="3055">
        <f t="shared" si="4"/>
        <v>1059</v>
      </c>
      <c r="T25" s="3055">
        <f t="shared" si="5"/>
        <v>1202</v>
      </c>
      <c r="U25" s="3055">
        <f t="shared" si="6"/>
        <v>1554</v>
      </c>
      <c r="V25" s="3055">
        <f t="shared" si="7"/>
        <v>4508</v>
      </c>
      <c r="W25" s="3055">
        <f t="shared" si="8"/>
        <v>6472</v>
      </c>
      <c r="X25" s="3055">
        <f t="shared" si="9"/>
        <v>9978</v>
      </c>
      <c r="Y25" s="3055">
        <f t="shared" si="10"/>
        <v>9978</v>
      </c>
      <c r="Z25" s="3055">
        <f t="shared" si="11"/>
        <v>9978</v>
      </c>
      <c r="AA25" s="3055">
        <f t="shared" si="12"/>
        <v>9978</v>
      </c>
      <c r="AB25" s="3055">
        <f t="shared" si="13"/>
        <v>9978</v>
      </c>
      <c r="AC25" s="3055">
        <f t="shared" si="14"/>
        <v>10154</v>
      </c>
      <c r="AD25" s="3056"/>
      <c r="AE25" s="3057">
        <f t="shared" si="0"/>
      </c>
      <c r="AF25" s="3054"/>
      <c r="AG25" s="3059"/>
      <c r="AH25" s="3058"/>
      <c r="AI25" s="3058"/>
      <c r="AJ25" s="3058"/>
      <c r="AK25" s="3058"/>
      <c r="AL25" s="3058"/>
      <c r="AM25" s="3058"/>
      <c r="AN25" s="3058"/>
      <c r="AO25" s="3058"/>
      <c r="AP25" s="3058"/>
      <c r="AQ25" s="3058"/>
      <c r="AR25" s="3058"/>
      <c r="AS25" s="3058"/>
      <c r="AT25" s="3058"/>
      <c r="AU25" s="3056"/>
      <c r="AV25" s="3057">
        <f t="shared" si="15"/>
      </c>
      <c r="AW25" s="3054"/>
      <c r="AX25" s="3059"/>
      <c r="AY25" s="3058"/>
      <c r="AZ25" s="3058"/>
      <c r="BA25" s="3058"/>
      <c r="BB25" s="3058"/>
      <c r="BC25" s="3058"/>
      <c r="BD25" s="3058"/>
      <c r="BE25" s="3058"/>
      <c r="BF25" s="3058"/>
      <c r="BG25" s="3058"/>
      <c r="BH25" s="3058"/>
      <c r="BI25" s="3058"/>
      <c r="BJ25" s="3058"/>
      <c r="BK25" s="3058"/>
      <c r="BL25" s="3056"/>
      <c r="BM25" s="3057">
        <f t="shared" si="16"/>
      </c>
      <c r="BN25" s="3054"/>
      <c r="BO25" s="3059"/>
      <c r="BP25" s="3058"/>
      <c r="BQ25" s="3058"/>
      <c r="BR25" s="3058"/>
      <c r="BS25" s="3058"/>
      <c r="BT25" s="3058"/>
      <c r="BU25" s="3058"/>
      <c r="BV25" s="3058"/>
      <c r="BW25" s="3058"/>
      <c r="BX25" s="3058"/>
      <c r="BY25" s="3058"/>
      <c r="BZ25" s="3058"/>
      <c r="CA25" s="3058"/>
      <c r="CB25" s="3058"/>
      <c r="CC25" s="3056"/>
      <c r="CD25" s="3057">
        <f t="shared" si="0"/>
      </c>
      <c r="CE25" s="3054"/>
      <c r="CF25" s="3054"/>
      <c r="CG25" s="3055"/>
      <c r="CH25" s="3055"/>
      <c r="CI25" s="3055"/>
      <c r="CJ25" s="3055"/>
      <c r="CK25" s="3055"/>
      <c r="CL25" s="3055"/>
      <c r="CM25" s="3055"/>
      <c r="CN25" s="3055"/>
      <c r="CO25" s="3055"/>
      <c r="CP25" s="3055"/>
      <c r="CQ25" s="3055"/>
      <c r="CR25" s="3055"/>
      <c r="CS25" s="3055"/>
      <c r="CU25" s="3054"/>
      <c r="CV25" s="696"/>
      <c r="CW25" s="696"/>
      <c r="CZ25" s="3060">
        <f t="shared" si="17"/>
        <v>846.1666666666666</v>
      </c>
      <c r="DA25" s="3060">
        <f t="shared" si="1"/>
        <v>1208.3232758202123</v>
      </c>
      <c r="DB25" s="3060">
        <f t="shared" si="18"/>
      </c>
      <c r="DC25" s="3060">
        <f t="shared" si="19"/>
      </c>
      <c r="DD25" s="3060">
        <f t="shared" si="20"/>
      </c>
      <c r="DE25" s="3060">
        <f t="shared" si="21"/>
      </c>
      <c r="DF25" s="3060">
        <f t="shared" si="22"/>
      </c>
      <c r="DG25" s="3060">
        <f t="shared" si="23"/>
      </c>
      <c r="DH25" s="3060">
        <f t="shared" si="24"/>
      </c>
      <c r="DI25" s="3060">
        <f t="shared" si="1"/>
        <v>1208.3232758202123</v>
      </c>
    </row>
    <row r="26" ht="15" customHeight="1" s="3052" customFormat="1">
      <c r="A26" s="3055"/>
      <c r="B26" s="3054" t="str">
        <f t="shared" si="2"/>
        <v>Park'g Maint/Snow/Other</v>
      </c>
      <c r="C26" s="3054" t="s">
        <v>1918</v>
      </c>
      <c r="D26" s="3054" t="s">
        <v>1918</v>
      </c>
      <c r="E26" s="3055">
        <v>1107</v>
      </c>
      <c r="F26" s="3055">
        <v>1329</v>
      </c>
      <c r="G26" s="3055">
        <v>138</v>
      </c>
      <c r="H26" s="3055">
        <v>6046</v>
      </c>
      <c r="I26" s="3055">
        <v>1880</v>
      </c>
      <c r="J26" s="3055">
        <v>16434</v>
      </c>
      <c r="K26" s="3055">
        <v>0</v>
      </c>
      <c r="L26" s="3055">
        <v>0</v>
      </c>
      <c r="M26" s="3055">
        <v>0</v>
      </c>
      <c r="N26" s="3055">
        <v>0</v>
      </c>
      <c r="O26" s="3055">
        <v>0</v>
      </c>
      <c r="P26" s="3055">
        <v>0</v>
      </c>
      <c r="Q26" s="3055">
        <v>26934</v>
      </c>
      <c r="R26" s="3055">
        <f t="shared" si="3"/>
        <v>0</v>
      </c>
      <c r="S26" s="3055">
        <f t="shared" si="4"/>
        <v>0</v>
      </c>
      <c r="T26" s="3055">
        <f t="shared" si="5"/>
        <v>0</v>
      </c>
      <c r="U26" s="3055">
        <f t="shared" si="6"/>
        <v>0</v>
      </c>
      <c r="V26" s="3055">
        <f t="shared" si="7"/>
        <v>0</v>
      </c>
      <c r="W26" s="3055">
        <f t="shared" si="8"/>
        <v>0</v>
      </c>
      <c r="X26" s="3055">
        <f t="shared" si="9"/>
        <v>16434</v>
      </c>
      <c r="Y26" s="3055">
        <f t="shared" si="10"/>
        <v>18314</v>
      </c>
      <c r="Z26" s="3055">
        <f t="shared" si="11"/>
        <v>24360</v>
      </c>
      <c r="AA26" s="3055">
        <f t="shared" si="12"/>
        <v>24498</v>
      </c>
      <c r="AB26" s="3055">
        <f t="shared" si="13"/>
        <v>25827</v>
      </c>
      <c r="AC26" s="3055">
        <f t="shared" si="14"/>
        <v>26934</v>
      </c>
      <c r="AD26" s="3056"/>
      <c r="AE26" s="3057">
        <f t="shared" si="0"/>
      </c>
      <c r="AF26" s="3054"/>
      <c r="AG26" s="3059"/>
      <c r="AH26" s="3058"/>
      <c r="AI26" s="3058"/>
      <c r="AJ26" s="3058"/>
      <c r="AK26" s="3058"/>
      <c r="AL26" s="3058"/>
      <c r="AM26" s="3058"/>
      <c r="AN26" s="3058"/>
      <c r="AO26" s="3058"/>
      <c r="AP26" s="3058"/>
      <c r="AQ26" s="3058"/>
      <c r="AR26" s="3058"/>
      <c r="AS26" s="3058"/>
      <c r="AT26" s="3058"/>
      <c r="AU26" s="3056"/>
      <c r="AV26" s="3057">
        <f t="shared" si="15"/>
      </c>
      <c r="AW26" s="3054"/>
      <c r="AX26" s="3059"/>
      <c r="AY26" s="3058"/>
      <c r="AZ26" s="3058"/>
      <c r="BA26" s="3058"/>
      <c r="BB26" s="3058"/>
      <c r="BC26" s="3058"/>
      <c r="BD26" s="3058"/>
      <c r="BE26" s="3058"/>
      <c r="BF26" s="3058"/>
      <c r="BG26" s="3058"/>
      <c r="BH26" s="3058"/>
      <c r="BI26" s="3058"/>
      <c r="BJ26" s="3058"/>
      <c r="BK26" s="3058"/>
      <c r="BL26" s="3056"/>
      <c r="BM26" s="3057">
        <f t="shared" si="16"/>
      </c>
      <c r="BN26" s="3054"/>
      <c r="BO26" s="3059"/>
      <c r="BP26" s="3058"/>
      <c r="BQ26" s="3058"/>
      <c r="BR26" s="3058"/>
      <c r="BS26" s="3058"/>
      <c r="BT26" s="3058"/>
      <c r="BU26" s="3058"/>
      <c r="BV26" s="3058"/>
      <c r="BW26" s="3058"/>
      <c r="BX26" s="3058"/>
      <c r="BY26" s="3058"/>
      <c r="BZ26" s="3058"/>
      <c r="CA26" s="3058"/>
      <c r="CB26" s="3058"/>
      <c r="CC26" s="3056"/>
      <c r="CD26" s="3057">
        <f t="shared" si="0"/>
      </c>
      <c r="CE26" s="3054"/>
      <c r="CF26" s="3054"/>
      <c r="CG26" s="3055"/>
      <c r="CH26" s="3055"/>
      <c r="CI26" s="3055"/>
      <c r="CJ26" s="3055"/>
      <c r="CK26" s="3055"/>
      <c r="CL26" s="3055"/>
      <c r="CM26" s="3055"/>
      <c r="CN26" s="3055"/>
      <c r="CO26" s="3055"/>
      <c r="CP26" s="3055"/>
      <c r="CQ26" s="3055"/>
      <c r="CR26" s="3055"/>
      <c r="CS26" s="3055"/>
      <c r="CU26" s="3054"/>
      <c r="CV26" s="696"/>
      <c r="CW26" s="696"/>
      <c r="CZ26" s="3060">
        <f t="shared" si="17"/>
        <v>2244.5</v>
      </c>
      <c r="DA26" s="3060">
        <f t="shared" si="1"/>
        <v>4589.137927396241</v>
      </c>
      <c r="DB26" s="3060">
        <f t="shared" si="18"/>
      </c>
      <c r="DC26" s="3060">
        <f t="shared" si="19"/>
      </c>
      <c r="DD26" s="3060">
        <f t="shared" si="20"/>
      </c>
      <c r="DE26" s="3060">
        <f t="shared" si="21"/>
      </c>
      <c r="DF26" s="3060">
        <f t="shared" si="22"/>
      </c>
      <c r="DG26" s="3060">
        <f t="shared" si="23"/>
      </c>
      <c r="DH26" s="3060">
        <f t="shared" si="24"/>
      </c>
      <c r="DI26" s="3060">
        <f t="shared" si="1"/>
        <v>4589.137927396241</v>
      </c>
    </row>
    <row r="27" ht="15" customHeight="1" s="3052" customFormat="1">
      <c r="A27" s="3055"/>
      <c r="B27" s="3054" t="str">
        <f t="shared" si="2"/>
        <v>Gardening/Landscape</v>
      </c>
      <c r="C27" s="3054" t="s">
        <v>1919</v>
      </c>
      <c r="D27" s="3054" t="s">
        <v>1919</v>
      </c>
      <c r="E27" s="3055">
        <v>3055</v>
      </c>
      <c r="F27" s="3055">
        <v>2740</v>
      </c>
      <c r="G27" s="3055">
        <v>643</v>
      </c>
      <c r="H27" s="3055">
        <v>0</v>
      </c>
      <c r="I27" s="3055">
        <v>166</v>
      </c>
      <c r="J27" s="3055">
        <v>169</v>
      </c>
      <c r="K27" s="3055">
        <v>2934</v>
      </c>
      <c r="L27" s="3055">
        <v>14316</v>
      </c>
      <c r="M27" s="3055">
        <v>224</v>
      </c>
      <c r="N27" s="3055">
        <v>4851</v>
      </c>
      <c r="O27" s="3055">
        <v>3061</v>
      </c>
      <c r="P27" s="3055">
        <v>4358</v>
      </c>
      <c r="Q27" s="3055">
        <v>36517</v>
      </c>
      <c r="R27" s="3055">
        <f t="shared" si="3"/>
        <v>4358</v>
      </c>
      <c r="S27" s="3055">
        <f t="shared" si="4"/>
        <v>7419</v>
      </c>
      <c r="T27" s="3055">
        <f t="shared" si="5"/>
        <v>12270</v>
      </c>
      <c r="U27" s="3055">
        <f t="shared" si="6"/>
        <v>12494</v>
      </c>
      <c r="V27" s="3055">
        <f t="shared" si="7"/>
        <v>26810</v>
      </c>
      <c r="W27" s="3055">
        <f t="shared" si="8"/>
        <v>29744</v>
      </c>
      <c r="X27" s="3055">
        <f t="shared" si="9"/>
        <v>29913</v>
      </c>
      <c r="Y27" s="3055">
        <f t="shared" si="10"/>
        <v>30079</v>
      </c>
      <c r="Z27" s="3055">
        <f t="shared" si="11"/>
        <v>30079</v>
      </c>
      <c r="AA27" s="3055">
        <f t="shared" si="12"/>
        <v>30722</v>
      </c>
      <c r="AB27" s="3055">
        <f t="shared" si="13"/>
        <v>33462</v>
      </c>
      <c r="AC27" s="3055">
        <f t="shared" si="14"/>
        <v>36517</v>
      </c>
      <c r="AD27" s="3056"/>
      <c r="AE27" s="3057">
        <f t="shared" si="0"/>
      </c>
      <c r="AF27" s="3054"/>
      <c r="AG27" s="3059"/>
      <c r="AH27" s="3058"/>
      <c r="AI27" s="3058"/>
      <c r="AJ27" s="3058"/>
      <c r="AK27" s="3058"/>
      <c r="AL27" s="3058"/>
      <c r="AM27" s="3058"/>
      <c r="AN27" s="3058"/>
      <c r="AO27" s="3058"/>
      <c r="AP27" s="3058"/>
      <c r="AQ27" s="3058"/>
      <c r="AR27" s="3058"/>
      <c r="AS27" s="3058"/>
      <c r="AT27" s="3058"/>
      <c r="AU27" s="3056"/>
      <c r="AV27" s="3057">
        <f t="shared" si="15"/>
      </c>
      <c r="AW27" s="3054"/>
      <c r="AX27" s="3059"/>
      <c r="AY27" s="3058"/>
      <c r="AZ27" s="3058"/>
      <c r="BA27" s="3058"/>
      <c r="BB27" s="3058"/>
      <c r="BC27" s="3058"/>
      <c r="BD27" s="3058"/>
      <c r="BE27" s="3058"/>
      <c r="BF27" s="3058"/>
      <c r="BG27" s="3058"/>
      <c r="BH27" s="3058"/>
      <c r="BI27" s="3058"/>
      <c r="BJ27" s="3058"/>
      <c r="BK27" s="3058"/>
      <c r="BL27" s="3056"/>
      <c r="BM27" s="3057">
        <f t="shared" si="16"/>
      </c>
      <c r="BN27" s="3054"/>
      <c r="BO27" s="3059"/>
      <c r="BP27" s="3058"/>
      <c r="BQ27" s="3058"/>
      <c r="BR27" s="3058"/>
      <c r="BS27" s="3058"/>
      <c r="BT27" s="3058"/>
      <c r="BU27" s="3058"/>
      <c r="BV27" s="3058"/>
      <c r="BW27" s="3058"/>
      <c r="BX27" s="3058"/>
      <c r="BY27" s="3058"/>
      <c r="BZ27" s="3058"/>
      <c r="CA27" s="3058"/>
      <c r="CB27" s="3058"/>
      <c r="CC27" s="3056"/>
      <c r="CD27" s="3057">
        <f t="shared" si="0"/>
      </c>
      <c r="CE27" s="3054"/>
      <c r="CF27" s="3054"/>
      <c r="CG27" s="3055"/>
      <c r="CH27" s="3055"/>
      <c r="CI27" s="3055"/>
      <c r="CJ27" s="3055"/>
      <c r="CK27" s="3055"/>
      <c r="CL27" s="3055"/>
      <c r="CM27" s="3055"/>
      <c r="CN27" s="3055"/>
      <c r="CO27" s="3055"/>
      <c r="CP27" s="3055"/>
      <c r="CQ27" s="3055"/>
      <c r="CR27" s="3055"/>
      <c r="CS27" s="3055"/>
      <c r="CU27" s="3054"/>
      <c r="CV27" s="696"/>
      <c r="CW27" s="696"/>
      <c r="CZ27" s="3060">
        <f t="shared" si="17"/>
        <v>3043.0833333333335</v>
      </c>
      <c r="DA27" s="3060">
        <f t="shared" si="1"/>
        <v>3782.4858549709816</v>
      </c>
      <c r="DB27" s="3060">
        <f t="shared" si="18"/>
      </c>
      <c r="DC27" s="3060">
        <f t="shared" si="19"/>
      </c>
      <c r="DD27" s="3060">
        <f t="shared" si="20"/>
      </c>
      <c r="DE27" s="3060">
        <f t="shared" si="21"/>
      </c>
      <c r="DF27" s="3060">
        <f t="shared" si="22"/>
      </c>
      <c r="DG27" s="3060">
        <f t="shared" si="23"/>
      </c>
      <c r="DH27" s="3060">
        <f t="shared" si="24"/>
      </c>
      <c r="DI27" s="3060">
        <f t="shared" si="1"/>
        <v>3782.4858549709816</v>
      </c>
    </row>
    <row r="28" ht="15" customHeight="1" s="3052" customFormat="1">
      <c r="A28" s="3055"/>
      <c r="B28" s="3054" t="str">
        <f t="shared" si="2"/>
        <v>Management Fees</v>
      </c>
      <c r="C28" s="3054" t="s">
        <v>1920</v>
      </c>
      <c r="D28" s="3054" t="s">
        <v>1920</v>
      </c>
      <c r="E28" s="3055">
        <v>13820</v>
      </c>
      <c r="F28" s="3055">
        <v>13309</v>
      </c>
      <c r="G28" s="3055">
        <v>19700</v>
      </c>
      <c r="H28" s="3055">
        <v>14187</v>
      </c>
      <c r="I28" s="3055">
        <v>14107</v>
      </c>
      <c r="J28" s="3055">
        <v>14042</v>
      </c>
      <c r="K28" s="3055">
        <v>14087</v>
      </c>
      <c r="L28" s="3055">
        <v>14516</v>
      </c>
      <c r="M28" s="3055">
        <v>13658</v>
      </c>
      <c r="N28" s="3055">
        <v>13531</v>
      </c>
      <c r="O28" s="3055">
        <v>14732</v>
      </c>
      <c r="P28" s="3055">
        <v>13888</v>
      </c>
      <c r="Q28" s="3055">
        <v>173577</v>
      </c>
      <c r="R28" s="3055">
        <f t="shared" si="3"/>
        <v>13888</v>
      </c>
      <c r="S28" s="3055">
        <f t="shared" si="4"/>
        <v>28620</v>
      </c>
      <c r="T28" s="3055">
        <f t="shared" si="5"/>
        <v>42151</v>
      </c>
      <c r="U28" s="3055">
        <f t="shared" si="6"/>
        <v>55809</v>
      </c>
      <c r="V28" s="3055">
        <f t="shared" si="7"/>
        <v>70325</v>
      </c>
      <c r="W28" s="3055">
        <f t="shared" si="8"/>
        <v>84412</v>
      </c>
      <c r="X28" s="3055">
        <f t="shared" si="9"/>
        <v>98454</v>
      </c>
      <c r="Y28" s="3055">
        <f t="shared" si="10"/>
        <v>112561</v>
      </c>
      <c r="Z28" s="3055">
        <f t="shared" si="11"/>
        <v>126748</v>
      </c>
      <c r="AA28" s="3055">
        <f t="shared" si="12"/>
        <v>146448</v>
      </c>
      <c r="AB28" s="3055">
        <f t="shared" si="13"/>
        <v>159757</v>
      </c>
      <c r="AC28" s="3055">
        <f t="shared" si="14"/>
        <v>173577</v>
      </c>
      <c r="AD28" s="3056"/>
      <c r="AE28" s="3057">
        <f t="shared" si="0"/>
      </c>
      <c r="AF28" s="3054"/>
      <c r="AG28" s="3059"/>
      <c r="AH28" s="3058"/>
      <c r="AI28" s="3058"/>
      <c r="AJ28" s="3058"/>
      <c r="AK28" s="3058"/>
      <c r="AL28" s="3058"/>
      <c r="AM28" s="3058"/>
      <c r="AN28" s="3058"/>
      <c r="AO28" s="3058"/>
      <c r="AP28" s="3058"/>
      <c r="AQ28" s="3058"/>
      <c r="AR28" s="3058"/>
      <c r="AS28" s="3058"/>
      <c r="AT28" s="3058"/>
      <c r="AU28" s="3056"/>
      <c r="AV28" s="3057">
        <f t="shared" si="15"/>
      </c>
      <c r="AW28" s="3054"/>
      <c r="AX28" s="3059"/>
      <c r="AY28" s="3058"/>
      <c r="AZ28" s="3058"/>
      <c r="BA28" s="3058"/>
      <c r="BB28" s="3058"/>
      <c r="BC28" s="3058"/>
      <c r="BD28" s="3058"/>
      <c r="BE28" s="3058"/>
      <c r="BF28" s="3058"/>
      <c r="BG28" s="3058"/>
      <c r="BH28" s="3058"/>
      <c r="BI28" s="3058"/>
      <c r="BJ28" s="3058"/>
      <c r="BK28" s="3058"/>
      <c r="BL28" s="3056"/>
      <c r="BM28" s="3057">
        <f t="shared" si="16"/>
      </c>
      <c r="BN28" s="3054"/>
      <c r="BO28" s="3059"/>
      <c r="BP28" s="3058"/>
      <c r="BQ28" s="3058"/>
      <c r="BR28" s="3058"/>
      <c r="BS28" s="3058"/>
      <c r="BT28" s="3058"/>
      <c r="BU28" s="3058"/>
      <c r="BV28" s="3058"/>
      <c r="BW28" s="3058"/>
      <c r="BX28" s="3058"/>
      <c r="BY28" s="3058"/>
      <c r="BZ28" s="3058"/>
      <c r="CA28" s="3058"/>
      <c r="CB28" s="3058"/>
      <c r="CC28" s="3056"/>
      <c r="CD28" s="3057">
        <f t="shared" si="0"/>
      </c>
      <c r="CE28" s="3054"/>
      <c r="CF28" s="3054"/>
      <c r="CG28" s="3055"/>
      <c r="CH28" s="3055"/>
      <c r="CI28" s="3055"/>
      <c r="CJ28" s="3055"/>
      <c r="CK28" s="3055"/>
      <c r="CL28" s="3055"/>
      <c r="CM28" s="3055"/>
      <c r="CN28" s="3055"/>
      <c r="CO28" s="3055"/>
      <c r="CP28" s="3055"/>
      <c r="CQ28" s="3055"/>
      <c r="CR28" s="3055"/>
      <c r="CS28" s="3055"/>
      <c r="CU28" s="3054"/>
      <c r="CV28" s="696"/>
      <c r="CW28" s="696"/>
      <c r="CZ28" s="3060">
        <f t="shared" si="17"/>
        <v>14464.75</v>
      </c>
      <c r="DA28" s="3060">
        <f t="shared" si="1"/>
        <v>1623.1468985174035</v>
      </c>
      <c r="DB28" s="3060">
        <f t="shared" si="18"/>
      </c>
      <c r="DC28" s="3060">
        <f t="shared" si="19"/>
      </c>
      <c r="DD28" s="3060">
        <f t="shared" si="20"/>
      </c>
      <c r="DE28" s="3060">
        <f t="shared" si="21"/>
      </c>
      <c r="DF28" s="3060">
        <f t="shared" si="22"/>
      </c>
      <c r="DG28" s="3060">
        <f t="shared" si="23"/>
      </c>
      <c r="DH28" s="3060">
        <f t="shared" si="24"/>
      </c>
      <c r="DI28" s="3060">
        <f t="shared" si="1"/>
        <v>1623.1468985174035</v>
      </c>
    </row>
    <row r="29" ht="15" customHeight="1" s="3052" customFormat="1">
      <c r="A29" s="3055"/>
      <c r="B29" s="3054" t="str">
        <f t="shared" si="2"/>
        <v>Manager Salary</v>
      </c>
      <c r="C29" s="3054" t="s">
        <v>1922</v>
      </c>
      <c r="D29" s="3054" t="s">
        <v>1922</v>
      </c>
      <c r="E29" s="3055">
        <v>5282</v>
      </c>
      <c r="F29" s="3055">
        <v>6942</v>
      </c>
      <c r="G29" s="3055">
        <v>7733</v>
      </c>
      <c r="H29" s="3055">
        <v>5651</v>
      </c>
      <c r="I29" s="3055">
        <v>7480</v>
      </c>
      <c r="J29" s="3055">
        <v>5740</v>
      </c>
      <c r="K29" s="3055">
        <v>5770</v>
      </c>
      <c r="L29" s="3055">
        <v>7115</v>
      </c>
      <c r="M29" s="3055">
        <v>5789</v>
      </c>
      <c r="N29" s="3055">
        <v>8500</v>
      </c>
      <c r="O29" s="3055">
        <v>7430</v>
      </c>
      <c r="P29" s="3055">
        <v>5783</v>
      </c>
      <c r="Q29" s="3055">
        <v>79215</v>
      </c>
      <c r="R29" s="3055">
        <f t="shared" si="3"/>
        <v>5783</v>
      </c>
      <c r="S29" s="3055">
        <f t="shared" si="4"/>
        <v>13213</v>
      </c>
      <c r="T29" s="3055">
        <f t="shared" si="5"/>
        <v>21713</v>
      </c>
      <c r="U29" s="3055">
        <f t="shared" si="6"/>
        <v>27502</v>
      </c>
      <c r="V29" s="3055">
        <f t="shared" si="7"/>
        <v>34617</v>
      </c>
      <c r="W29" s="3055">
        <f t="shared" si="8"/>
        <v>40387</v>
      </c>
      <c r="X29" s="3055">
        <f t="shared" si="9"/>
        <v>46127</v>
      </c>
      <c r="Y29" s="3055">
        <f t="shared" si="10"/>
        <v>53607</v>
      </c>
      <c r="Z29" s="3055">
        <f t="shared" si="11"/>
        <v>59258</v>
      </c>
      <c r="AA29" s="3055">
        <f t="shared" si="12"/>
        <v>66991</v>
      </c>
      <c r="AB29" s="3055">
        <f t="shared" si="13"/>
        <v>73933</v>
      </c>
      <c r="AC29" s="3055">
        <f t="shared" si="14"/>
        <v>79215</v>
      </c>
      <c r="AD29" s="3056"/>
      <c r="AE29" s="3057">
        <f t="shared" si="0"/>
      </c>
      <c r="AF29" s="3054"/>
      <c r="AG29" s="3059"/>
      <c r="AH29" s="3058"/>
      <c r="AI29" s="3058"/>
      <c r="AJ29" s="3058"/>
      <c r="AK29" s="3058"/>
      <c r="AL29" s="3058"/>
      <c r="AM29" s="3058"/>
      <c r="AN29" s="3058"/>
      <c r="AO29" s="3058"/>
      <c r="AP29" s="3058"/>
      <c r="AQ29" s="3058"/>
      <c r="AR29" s="3058"/>
      <c r="AS29" s="3058"/>
      <c r="AT29" s="3058"/>
      <c r="AU29" s="3056"/>
      <c r="AV29" s="3057">
        <f t="shared" si="15"/>
      </c>
      <c r="AW29" s="3054"/>
      <c r="AX29" s="3059"/>
      <c r="AY29" s="3058"/>
      <c r="AZ29" s="3058"/>
      <c r="BA29" s="3058"/>
      <c r="BB29" s="3058"/>
      <c r="BC29" s="3058"/>
      <c r="BD29" s="3058"/>
      <c r="BE29" s="3058"/>
      <c r="BF29" s="3058"/>
      <c r="BG29" s="3058"/>
      <c r="BH29" s="3058"/>
      <c r="BI29" s="3058"/>
      <c r="BJ29" s="3058"/>
      <c r="BK29" s="3058"/>
      <c r="BL29" s="3056"/>
      <c r="BM29" s="3057">
        <f t="shared" si="16"/>
      </c>
      <c r="BN29" s="3054"/>
      <c r="BO29" s="3059"/>
      <c r="BP29" s="3058"/>
      <c r="BQ29" s="3058"/>
      <c r="BR29" s="3058"/>
      <c r="BS29" s="3058"/>
      <c r="BT29" s="3058"/>
      <c r="BU29" s="3058"/>
      <c r="BV29" s="3058"/>
      <c r="BW29" s="3058"/>
      <c r="BX29" s="3058"/>
      <c r="BY29" s="3058"/>
      <c r="BZ29" s="3058"/>
      <c r="CA29" s="3058"/>
      <c r="CB29" s="3058"/>
      <c r="CC29" s="3056"/>
      <c r="CD29" s="3057">
        <f t="shared" si="0"/>
      </c>
      <c r="CE29" s="3054"/>
      <c r="CF29" s="3054"/>
      <c r="CG29" s="3055"/>
      <c r="CH29" s="3055"/>
      <c r="CI29" s="3055"/>
      <c r="CJ29" s="3055"/>
      <c r="CK29" s="3055"/>
      <c r="CL29" s="3055"/>
      <c r="CM29" s="3055"/>
      <c r="CN29" s="3055"/>
      <c r="CO29" s="3055"/>
      <c r="CP29" s="3055"/>
      <c r="CQ29" s="3055"/>
      <c r="CR29" s="3055"/>
      <c r="CS29" s="3055"/>
      <c r="CU29" s="3054"/>
      <c r="CV29" s="696"/>
      <c r="CW29" s="696"/>
      <c r="CZ29" s="3060">
        <f t="shared" si="17"/>
        <v>6601.25</v>
      </c>
      <c r="DA29" s="3060">
        <f t="shared" si="1"/>
        <v>1005.4267025331417</v>
      </c>
      <c r="DB29" s="3060">
        <f t="shared" si="18"/>
      </c>
      <c r="DC29" s="3060">
        <f t="shared" si="19"/>
      </c>
      <c r="DD29" s="3060">
        <f t="shared" si="20"/>
      </c>
      <c r="DE29" s="3060">
        <f t="shared" si="21"/>
      </c>
      <c r="DF29" s="3060">
        <f t="shared" si="22"/>
      </c>
      <c r="DG29" s="3060">
        <f t="shared" si="23"/>
      </c>
      <c r="DH29" s="3060">
        <f t="shared" si="24"/>
      </c>
      <c r="DI29" s="3060">
        <f t="shared" si="1"/>
        <v>1005.4267025331417</v>
      </c>
    </row>
    <row r="30" ht="15" customHeight="1" s="3052" customFormat="1">
      <c r="A30" s="3055"/>
      <c r="B30" s="3054" t="str">
        <f t="shared" si="2"/>
        <v>Other Leasing Salaries</v>
      </c>
      <c r="C30" s="3054" t="s">
        <v>1923</v>
      </c>
      <c r="D30" s="3054" t="s">
        <v>1923</v>
      </c>
      <c r="E30" s="3055">
        <v>8025</v>
      </c>
      <c r="F30" s="3055">
        <v>8781</v>
      </c>
      <c r="G30" s="3055">
        <v>12732</v>
      </c>
      <c r="H30" s="3055">
        <v>9492</v>
      </c>
      <c r="I30" s="3055">
        <v>8561</v>
      </c>
      <c r="J30" s="3055">
        <v>9710</v>
      </c>
      <c r="K30" s="3055">
        <v>8921</v>
      </c>
      <c r="L30" s="3055">
        <v>8666</v>
      </c>
      <c r="M30" s="3055">
        <v>8594</v>
      </c>
      <c r="N30" s="3055">
        <v>13069</v>
      </c>
      <c r="O30" s="3055">
        <v>9218</v>
      </c>
      <c r="P30" s="3055">
        <v>8742</v>
      </c>
      <c r="Q30" s="3055">
        <v>114511</v>
      </c>
      <c r="R30" s="3055">
        <f t="shared" si="3"/>
        <v>8742</v>
      </c>
      <c r="S30" s="3055">
        <f t="shared" si="4"/>
        <v>17960</v>
      </c>
      <c r="T30" s="3055">
        <f t="shared" si="5"/>
        <v>31029</v>
      </c>
      <c r="U30" s="3055">
        <f t="shared" si="6"/>
        <v>39623</v>
      </c>
      <c r="V30" s="3055">
        <f t="shared" si="7"/>
        <v>48289</v>
      </c>
      <c r="W30" s="3055">
        <f t="shared" si="8"/>
        <v>57210</v>
      </c>
      <c r="X30" s="3055">
        <f t="shared" si="9"/>
        <v>66920</v>
      </c>
      <c r="Y30" s="3055">
        <f t="shared" si="10"/>
        <v>75481</v>
      </c>
      <c r="Z30" s="3055">
        <f t="shared" si="11"/>
        <v>84973</v>
      </c>
      <c r="AA30" s="3055">
        <f t="shared" si="12"/>
        <v>97705</v>
      </c>
      <c r="AB30" s="3055">
        <f t="shared" si="13"/>
        <v>106486</v>
      </c>
      <c r="AC30" s="3055">
        <f t="shared" si="14"/>
        <v>114511</v>
      </c>
      <c r="AD30" s="3056"/>
      <c r="AE30" s="3057">
        <f t="shared" si="0"/>
      </c>
      <c r="AF30" s="3054"/>
      <c r="AG30" s="3059"/>
      <c r="AH30" s="3058"/>
      <c r="AI30" s="3058"/>
      <c r="AJ30" s="3058"/>
      <c r="AK30" s="3058"/>
      <c r="AL30" s="3058"/>
      <c r="AM30" s="3058"/>
      <c r="AN30" s="3058"/>
      <c r="AO30" s="3058"/>
      <c r="AP30" s="3058"/>
      <c r="AQ30" s="3058"/>
      <c r="AR30" s="3058"/>
      <c r="AS30" s="3058"/>
      <c r="AT30" s="3058"/>
      <c r="AU30" s="3056"/>
      <c r="AV30" s="3057">
        <f t="shared" si="15"/>
      </c>
      <c r="AW30" s="3054"/>
      <c r="AX30" s="3059"/>
      <c r="AY30" s="3058"/>
      <c r="AZ30" s="3058"/>
      <c r="BA30" s="3058"/>
      <c r="BB30" s="3058"/>
      <c r="BC30" s="3058"/>
      <c r="BD30" s="3058"/>
      <c r="BE30" s="3058"/>
      <c r="BF30" s="3058"/>
      <c r="BG30" s="3058"/>
      <c r="BH30" s="3058"/>
      <c r="BI30" s="3058"/>
      <c r="BJ30" s="3058"/>
      <c r="BK30" s="3058"/>
      <c r="BL30" s="3056"/>
      <c r="BM30" s="3057">
        <f t="shared" si="16"/>
      </c>
      <c r="BN30" s="3054"/>
      <c r="BO30" s="3059"/>
      <c r="BP30" s="3058"/>
      <c r="BQ30" s="3058"/>
      <c r="BR30" s="3058"/>
      <c r="BS30" s="3058"/>
      <c r="BT30" s="3058"/>
      <c r="BU30" s="3058"/>
      <c r="BV30" s="3058"/>
      <c r="BW30" s="3058"/>
      <c r="BX30" s="3058"/>
      <c r="BY30" s="3058"/>
      <c r="BZ30" s="3058"/>
      <c r="CA30" s="3058"/>
      <c r="CB30" s="3058"/>
      <c r="CC30" s="3056"/>
      <c r="CD30" s="3057">
        <f t="shared" si="0"/>
      </c>
      <c r="CE30" s="3054"/>
      <c r="CF30" s="3054"/>
      <c r="CG30" s="3055"/>
      <c r="CH30" s="3055"/>
      <c r="CI30" s="3055"/>
      <c r="CJ30" s="3055"/>
      <c r="CK30" s="3055"/>
      <c r="CL30" s="3055"/>
      <c r="CM30" s="3055"/>
      <c r="CN30" s="3055"/>
      <c r="CO30" s="3055"/>
      <c r="CP30" s="3055"/>
      <c r="CQ30" s="3055"/>
      <c r="CR30" s="3055"/>
      <c r="CS30" s="3055"/>
      <c r="CU30" s="3054"/>
      <c r="CV30" s="696"/>
      <c r="CW30" s="696"/>
      <c r="CZ30" s="3060">
        <f t="shared" si="17"/>
        <v>9542.583333333334</v>
      </c>
      <c r="DA30" s="3060">
        <f t="shared" si="1"/>
        <v>1562.2104242777993</v>
      </c>
      <c r="DB30" s="3060">
        <f t="shared" si="18"/>
      </c>
      <c r="DC30" s="3060">
        <f t="shared" si="19"/>
      </c>
      <c r="DD30" s="3060">
        <f t="shared" si="20"/>
      </c>
      <c r="DE30" s="3060">
        <f t="shared" si="21"/>
      </c>
      <c r="DF30" s="3060">
        <f t="shared" si="22"/>
      </c>
      <c r="DG30" s="3060">
        <f t="shared" si="23"/>
      </c>
      <c r="DH30" s="3060">
        <f t="shared" si="24"/>
      </c>
      <c r="DI30" s="3060">
        <f t="shared" si="1"/>
        <v>1562.2104242777993</v>
      </c>
    </row>
    <row r="31" ht="15" customHeight="1" s="3052" customFormat="1">
      <c r="A31" s="3055"/>
      <c r="B31" s="3054" t="str">
        <f t="shared" si="2"/>
        <v>Other Maintenance Salaries</v>
      </c>
      <c r="C31" s="3054" t="s">
        <v>1925</v>
      </c>
      <c r="D31" s="3054" t="s">
        <v>1925</v>
      </c>
      <c r="E31" s="3055">
        <v>12325</v>
      </c>
      <c r="F31" s="3055">
        <v>16647</v>
      </c>
      <c r="G31" s="3055">
        <v>27623</v>
      </c>
      <c r="H31" s="3055">
        <v>15321</v>
      </c>
      <c r="I31" s="3055">
        <v>18017</v>
      </c>
      <c r="J31" s="3055">
        <v>14022</v>
      </c>
      <c r="K31" s="3055">
        <v>13652</v>
      </c>
      <c r="L31" s="3055">
        <v>17760</v>
      </c>
      <c r="M31" s="3055">
        <v>15840</v>
      </c>
      <c r="N31" s="3055">
        <v>26178</v>
      </c>
      <c r="O31" s="3055">
        <v>20226</v>
      </c>
      <c r="P31" s="3055">
        <v>15246</v>
      </c>
      <c r="Q31" s="3055">
        <v>212857</v>
      </c>
      <c r="R31" s="3055">
        <f t="shared" si="3"/>
        <v>15246</v>
      </c>
      <c r="S31" s="3055">
        <f t="shared" si="4"/>
        <v>35472</v>
      </c>
      <c r="T31" s="3055">
        <f t="shared" si="5"/>
        <v>61650</v>
      </c>
      <c r="U31" s="3055">
        <f t="shared" si="6"/>
        <v>77490</v>
      </c>
      <c r="V31" s="3055">
        <f t="shared" si="7"/>
        <v>95250</v>
      </c>
      <c r="W31" s="3055">
        <f t="shared" si="8"/>
        <v>108902</v>
      </c>
      <c r="X31" s="3055">
        <f t="shared" si="9"/>
        <v>122924</v>
      </c>
      <c r="Y31" s="3055">
        <f t="shared" si="10"/>
        <v>140941</v>
      </c>
      <c r="Z31" s="3055">
        <f t="shared" si="11"/>
        <v>156262</v>
      </c>
      <c r="AA31" s="3055">
        <f t="shared" si="12"/>
        <v>183885</v>
      </c>
      <c r="AB31" s="3055">
        <f t="shared" si="13"/>
        <v>200532</v>
      </c>
      <c r="AC31" s="3055">
        <f t="shared" si="14"/>
        <v>212857</v>
      </c>
      <c r="AD31" s="3056"/>
      <c r="AE31" s="3057">
        <f t="shared" si="0"/>
      </c>
      <c r="AF31" s="3054"/>
      <c r="AG31" s="3059"/>
      <c r="AH31" s="3058"/>
      <c r="AI31" s="3058"/>
      <c r="AJ31" s="3058"/>
      <c r="AK31" s="3058"/>
      <c r="AL31" s="3058"/>
      <c r="AM31" s="3058"/>
      <c r="AN31" s="3058"/>
      <c r="AO31" s="3058"/>
      <c r="AP31" s="3058"/>
      <c r="AQ31" s="3058"/>
      <c r="AR31" s="3058"/>
      <c r="AS31" s="3058"/>
      <c r="AT31" s="3058"/>
      <c r="AU31" s="3056"/>
      <c r="AV31" s="3057">
        <f t="shared" si="15"/>
      </c>
      <c r="AW31" s="3054"/>
      <c r="AX31" s="3059"/>
      <c r="AY31" s="3058"/>
      <c r="AZ31" s="3058"/>
      <c r="BA31" s="3058"/>
      <c r="BB31" s="3058"/>
      <c r="BC31" s="3058"/>
      <c r="BD31" s="3058"/>
      <c r="BE31" s="3058"/>
      <c r="BF31" s="3058"/>
      <c r="BG31" s="3058"/>
      <c r="BH31" s="3058"/>
      <c r="BI31" s="3058"/>
      <c r="BJ31" s="3058"/>
      <c r="BK31" s="3058"/>
      <c r="BL31" s="3056"/>
      <c r="BM31" s="3057">
        <f t="shared" si="16"/>
      </c>
      <c r="BN31" s="3054"/>
      <c r="BO31" s="3059"/>
      <c r="BP31" s="3058"/>
      <c r="BQ31" s="3058"/>
      <c r="BR31" s="3058"/>
      <c r="BS31" s="3058"/>
      <c r="BT31" s="3058"/>
      <c r="BU31" s="3058"/>
      <c r="BV31" s="3058"/>
      <c r="BW31" s="3058"/>
      <c r="BX31" s="3058"/>
      <c r="BY31" s="3058"/>
      <c r="BZ31" s="3058"/>
      <c r="CA31" s="3058"/>
      <c r="CB31" s="3058"/>
      <c r="CC31" s="3056"/>
      <c r="CD31" s="3057">
        <f t="shared" si="0"/>
      </c>
      <c r="CE31" s="3054"/>
      <c r="CF31" s="3054"/>
      <c r="CG31" s="3055"/>
      <c r="CH31" s="3055"/>
      <c r="CI31" s="3055"/>
      <c r="CJ31" s="3055"/>
      <c r="CK31" s="3055"/>
      <c r="CL31" s="3055"/>
      <c r="CM31" s="3055"/>
      <c r="CN31" s="3055"/>
      <c r="CO31" s="3055"/>
      <c r="CP31" s="3055"/>
      <c r="CQ31" s="3055"/>
      <c r="CR31" s="3055"/>
      <c r="CS31" s="3055"/>
      <c r="CU31" s="3054"/>
      <c r="CV31" s="696"/>
      <c r="CW31" s="696"/>
      <c r="CZ31" s="3060">
        <f t="shared" si="17"/>
        <v>17738.083333333332</v>
      </c>
      <c r="DA31" s="3060">
        <f t="shared" si="1"/>
        <v>4581.34398872815</v>
      </c>
      <c r="DB31" s="3060">
        <f t="shared" si="18"/>
      </c>
      <c r="DC31" s="3060">
        <f t="shared" si="19"/>
      </c>
      <c r="DD31" s="3060">
        <f t="shared" si="20"/>
      </c>
      <c r="DE31" s="3060">
        <f t="shared" si="21"/>
      </c>
      <c r="DF31" s="3060">
        <f t="shared" si="22"/>
      </c>
      <c r="DG31" s="3060">
        <f t="shared" si="23"/>
      </c>
      <c r="DH31" s="3060">
        <f t="shared" si="24"/>
      </c>
      <c r="DI31" s="3060">
        <f t="shared" si="1"/>
        <v>4581.34398872815</v>
      </c>
    </row>
    <row r="32" ht="15" customHeight="1" s="3052" customFormat="1">
      <c r="A32" s="3055"/>
      <c r="B32" s="3054" t="str">
        <f t="shared" si="2"/>
        <v>Benefits &amp; Payroll Taxes</v>
      </c>
      <c r="C32" s="3054" t="s">
        <v>1928</v>
      </c>
      <c r="D32" s="3054" t="s">
        <v>1928</v>
      </c>
      <c r="E32" s="3055">
        <v>4180</v>
      </c>
      <c r="F32" s="3055">
        <v>5295</v>
      </c>
      <c r="G32" s="3055">
        <v>5348</v>
      </c>
      <c r="H32" s="3055">
        <v>6149</v>
      </c>
      <c r="I32" s="3055">
        <v>8871</v>
      </c>
      <c r="J32" s="3055">
        <v>7057</v>
      </c>
      <c r="K32" s="3055">
        <v>5952</v>
      </c>
      <c r="L32" s="3055">
        <v>6838</v>
      </c>
      <c r="M32" s="3055">
        <v>5449</v>
      </c>
      <c r="N32" s="3055">
        <v>4987</v>
      </c>
      <c r="O32" s="3055">
        <v>6092</v>
      </c>
      <c r="P32" s="3055">
        <v>5348</v>
      </c>
      <c r="Q32" s="3055">
        <v>71566</v>
      </c>
      <c r="R32" s="3055">
        <f t="shared" si="3"/>
        <v>5348</v>
      </c>
      <c r="S32" s="3055">
        <f t="shared" si="4"/>
        <v>11440</v>
      </c>
      <c r="T32" s="3055">
        <f t="shared" si="5"/>
        <v>16427</v>
      </c>
      <c r="U32" s="3055">
        <f t="shared" si="6"/>
        <v>21876</v>
      </c>
      <c r="V32" s="3055">
        <f t="shared" si="7"/>
        <v>28714</v>
      </c>
      <c r="W32" s="3055">
        <f t="shared" si="8"/>
        <v>34666</v>
      </c>
      <c r="X32" s="3055">
        <f t="shared" si="9"/>
        <v>41723</v>
      </c>
      <c r="Y32" s="3055">
        <f t="shared" si="10"/>
        <v>50594</v>
      </c>
      <c r="Z32" s="3055">
        <f t="shared" si="11"/>
        <v>56743</v>
      </c>
      <c r="AA32" s="3055">
        <f t="shared" si="12"/>
        <v>62091</v>
      </c>
      <c r="AB32" s="3055">
        <f t="shared" si="13"/>
        <v>67386</v>
      </c>
      <c r="AC32" s="3055">
        <f t="shared" si="14"/>
        <v>71566</v>
      </c>
      <c r="AD32" s="3056"/>
      <c r="AE32" s="3057">
        <f t="shared" si="0"/>
      </c>
      <c r="AF32" s="3054"/>
      <c r="AG32" s="3059"/>
      <c r="AH32" s="3058"/>
      <c r="AI32" s="3058"/>
      <c r="AJ32" s="3058"/>
      <c r="AK32" s="3058"/>
      <c r="AL32" s="3058"/>
      <c r="AM32" s="3058"/>
      <c r="AN32" s="3058"/>
      <c r="AO32" s="3058"/>
      <c r="AP32" s="3058"/>
      <c r="AQ32" s="3058"/>
      <c r="AR32" s="3058"/>
      <c r="AS32" s="3058"/>
      <c r="AT32" s="3058"/>
      <c r="AU32" s="3056"/>
      <c r="AV32" s="3057">
        <f t="shared" si="15"/>
      </c>
      <c r="AW32" s="3054"/>
      <c r="AX32" s="3059"/>
      <c r="AY32" s="3058"/>
      <c r="AZ32" s="3058"/>
      <c r="BA32" s="3058"/>
      <c r="BB32" s="3058"/>
      <c r="BC32" s="3058"/>
      <c r="BD32" s="3058"/>
      <c r="BE32" s="3058"/>
      <c r="BF32" s="3058"/>
      <c r="BG32" s="3058"/>
      <c r="BH32" s="3058"/>
      <c r="BI32" s="3058"/>
      <c r="BJ32" s="3058"/>
      <c r="BK32" s="3058"/>
      <c r="BL32" s="3056"/>
      <c r="BM32" s="3057">
        <f t="shared" si="16"/>
      </c>
      <c r="BN32" s="3054"/>
      <c r="BO32" s="3059"/>
      <c r="BP32" s="3058"/>
      <c r="BQ32" s="3058"/>
      <c r="BR32" s="3058"/>
      <c r="BS32" s="3058"/>
      <c r="BT32" s="3058"/>
      <c r="BU32" s="3058"/>
      <c r="BV32" s="3058"/>
      <c r="BW32" s="3058"/>
      <c r="BX32" s="3058"/>
      <c r="BY32" s="3058"/>
      <c r="BZ32" s="3058"/>
      <c r="CA32" s="3058"/>
      <c r="CB32" s="3058"/>
      <c r="CC32" s="3056"/>
      <c r="CD32" s="3057">
        <f t="shared" si="0"/>
      </c>
      <c r="CE32" s="3054"/>
      <c r="CF32" s="3054"/>
      <c r="CG32" s="3055"/>
      <c r="CH32" s="3055"/>
      <c r="CI32" s="3055"/>
      <c r="CJ32" s="3055"/>
      <c r="CK32" s="3055"/>
      <c r="CL32" s="3055"/>
      <c r="CM32" s="3055"/>
      <c r="CN32" s="3055"/>
      <c r="CO32" s="3055"/>
      <c r="CP32" s="3055"/>
      <c r="CQ32" s="3055"/>
      <c r="CR32" s="3055"/>
      <c r="CS32" s="3055"/>
      <c r="CU32" s="3054"/>
      <c r="CV32" s="696"/>
      <c r="CW32" s="696"/>
      <c r="CZ32" s="3060">
        <f t="shared" si="17"/>
        <v>5963.833333333333</v>
      </c>
      <c r="DA32" s="3060">
        <f t="shared" si="1"/>
        <v>1157.180829525888</v>
      </c>
      <c r="DB32" s="3060">
        <f t="shared" si="18"/>
      </c>
      <c r="DC32" s="3060">
        <f t="shared" si="19"/>
      </c>
      <c r="DD32" s="3060">
        <f t="shared" si="20"/>
      </c>
      <c r="DE32" s="3060">
        <f t="shared" si="21"/>
      </c>
      <c r="DF32" s="3060">
        <f t="shared" si="22"/>
      </c>
      <c r="DG32" s="3060">
        <f t="shared" si="23"/>
      </c>
      <c r="DH32" s="3060">
        <f t="shared" si="24"/>
      </c>
      <c r="DI32" s="3060">
        <f t="shared" si="1"/>
        <v>1157.180829525888</v>
      </c>
    </row>
    <row r="33" ht="15" customHeight="1" s="3052" customFormat="1">
      <c r="A33" s="3055"/>
      <c r="B33" s="3054" t="str">
        <f t="shared" si="2"/>
        <v>Advertising &amp; Marketing</v>
      </c>
      <c r="C33" s="3054" t="s">
        <v>1929</v>
      </c>
      <c r="D33" s="3054" t="s">
        <v>1929</v>
      </c>
      <c r="E33" s="3055">
        <v>4155</v>
      </c>
      <c r="F33" s="3055">
        <v>3975</v>
      </c>
      <c r="G33" s="3055">
        <v>5617</v>
      </c>
      <c r="H33" s="3055">
        <v>4248</v>
      </c>
      <c r="I33" s="3055">
        <v>3498</v>
      </c>
      <c r="J33" s="3055">
        <v>5288</v>
      </c>
      <c r="K33" s="3055">
        <v>3268</v>
      </c>
      <c r="L33" s="3055">
        <v>4128</v>
      </c>
      <c r="M33" s="3055">
        <v>3647</v>
      </c>
      <c r="N33" s="3055">
        <v>3540</v>
      </c>
      <c r="O33" s="3055">
        <v>6372</v>
      </c>
      <c r="P33" s="3055">
        <v>1888</v>
      </c>
      <c r="Q33" s="3055">
        <v>49624</v>
      </c>
      <c r="R33" s="3055">
        <f t="shared" si="3"/>
        <v>1888</v>
      </c>
      <c r="S33" s="3055">
        <f t="shared" si="4"/>
        <v>8260</v>
      </c>
      <c r="T33" s="3055">
        <f t="shared" si="5"/>
        <v>11800</v>
      </c>
      <c r="U33" s="3055">
        <f t="shared" si="6"/>
        <v>15447</v>
      </c>
      <c r="V33" s="3055">
        <f t="shared" si="7"/>
        <v>19575</v>
      </c>
      <c r="W33" s="3055">
        <f t="shared" si="8"/>
        <v>22843</v>
      </c>
      <c r="X33" s="3055">
        <f t="shared" si="9"/>
        <v>28131</v>
      </c>
      <c r="Y33" s="3055">
        <f t="shared" si="10"/>
        <v>31629</v>
      </c>
      <c r="Z33" s="3055">
        <f t="shared" si="11"/>
        <v>35877</v>
      </c>
      <c r="AA33" s="3055">
        <f t="shared" si="12"/>
        <v>41494</v>
      </c>
      <c r="AB33" s="3055">
        <f t="shared" si="13"/>
        <v>45469</v>
      </c>
      <c r="AC33" s="3055">
        <f t="shared" si="14"/>
        <v>49624</v>
      </c>
      <c r="AD33" s="3056"/>
      <c r="AE33" s="3057">
        <f t="shared" si="0"/>
      </c>
      <c r="AF33" s="3054"/>
      <c r="AG33" s="3059"/>
      <c r="AH33" s="3058"/>
      <c r="AI33" s="3058"/>
      <c r="AJ33" s="3058"/>
      <c r="AK33" s="3058"/>
      <c r="AL33" s="3058"/>
      <c r="AM33" s="3058"/>
      <c r="AN33" s="3058"/>
      <c r="AO33" s="3058"/>
      <c r="AP33" s="3058"/>
      <c r="AQ33" s="3058"/>
      <c r="AR33" s="3058"/>
      <c r="AS33" s="3058"/>
      <c r="AT33" s="3058"/>
      <c r="AU33" s="3056"/>
      <c r="AV33" s="3057">
        <f t="shared" si="15"/>
      </c>
      <c r="AW33" s="3054"/>
      <c r="AX33" s="3059"/>
      <c r="AY33" s="3058"/>
      <c r="AZ33" s="3058"/>
      <c r="BA33" s="3058"/>
      <c r="BB33" s="3058"/>
      <c r="BC33" s="3058"/>
      <c r="BD33" s="3058"/>
      <c r="BE33" s="3058"/>
      <c r="BF33" s="3058"/>
      <c r="BG33" s="3058"/>
      <c r="BH33" s="3058"/>
      <c r="BI33" s="3058"/>
      <c r="BJ33" s="3058"/>
      <c r="BK33" s="3058"/>
      <c r="BL33" s="3056"/>
      <c r="BM33" s="3057">
        <f t="shared" si="16"/>
      </c>
      <c r="BN33" s="3054"/>
      <c r="BO33" s="3059"/>
      <c r="BP33" s="3058"/>
      <c r="BQ33" s="3058"/>
      <c r="BR33" s="3058"/>
      <c r="BS33" s="3058"/>
      <c r="BT33" s="3058"/>
      <c r="BU33" s="3058"/>
      <c r="BV33" s="3058"/>
      <c r="BW33" s="3058"/>
      <c r="BX33" s="3058"/>
      <c r="BY33" s="3058"/>
      <c r="BZ33" s="3058"/>
      <c r="CA33" s="3058"/>
      <c r="CB33" s="3058"/>
      <c r="CC33" s="3056"/>
      <c r="CD33" s="3057">
        <f t="shared" si="0"/>
      </c>
      <c r="CE33" s="3054"/>
      <c r="CF33" s="3054"/>
      <c r="CG33" s="3055"/>
      <c r="CH33" s="3055"/>
      <c r="CI33" s="3055"/>
      <c r="CJ33" s="3055"/>
      <c r="CK33" s="3055"/>
      <c r="CL33" s="3055"/>
      <c r="CM33" s="3055"/>
      <c r="CN33" s="3055"/>
      <c r="CO33" s="3055"/>
      <c r="CP33" s="3055"/>
      <c r="CQ33" s="3055"/>
      <c r="CR33" s="3055"/>
      <c r="CS33" s="3055"/>
      <c r="CU33" s="3054"/>
      <c r="CV33" s="696"/>
      <c r="CW33" s="696"/>
      <c r="CZ33" s="3060">
        <f t="shared" si="17"/>
        <v>4135.333333333333</v>
      </c>
      <c r="DA33" s="3060">
        <f t="shared" si="1"/>
        <v>1131.6416786637408</v>
      </c>
      <c r="DB33" s="3060">
        <f t="shared" si="18"/>
      </c>
      <c r="DC33" s="3060">
        <f t="shared" si="19"/>
      </c>
      <c r="DD33" s="3060">
        <f t="shared" si="20"/>
      </c>
      <c r="DE33" s="3060">
        <f t="shared" si="21"/>
      </c>
      <c r="DF33" s="3060">
        <f t="shared" si="22"/>
      </c>
      <c r="DG33" s="3060">
        <f t="shared" si="23"/>
      </c>
      <c r="DH33" s="3060">
        <f t="shared" si="24"/>
      </c>
      <c r="DI33" s="3060">
        <f t="shared" si="1"/>
        <v>1131.6416786637408</v>
      </c>
    </row>
    <row r="34" ht="15" customHeight="1" s="3052" customFormat="1">
      <c r="A34" s="3055"/>
      <c r="B34" s="3054" t="str">
        <f t="shared" si="2"/>
        <v>Professional Fees</v>
      </c>
      <c r="C34" s="3054" t="s">
        <v>1930</v>
      </c>
      <c r="D34" s="3054" t="s">
        <v>1930</v>
      </c>
      <c r="E34" s="3055">
        <v>2425</v>
      </c>
      <c r="F34" s="3055">
        <v>-907</v>
      </c>
      <c r="G34" s="3055">
        <v>952</v>
      </c>
      <c r="H34" s="3055">
        <v>3172</v>
      </c>
      <c r="I34" s="3055">
        <v>2260</v>
      </c>
      <c r="J34" s="3055">
        <v>-240</v>
      </c>
      <c r="K34" s="3055">
        <v>7176</v>
      </c>
      <c r="L34" s="3055">
        <v>2575</v>
      </c>
      <c r="M34" s="3055">
        <v>0</v>
      </c>
      <c r="N34" s="3055">
        <v>-414</v>
      </c>
      <c r="O34" s="3055">
        <v>1387</v>
      </c>
      <c r="P34" s="3055">
        <v>0</v>
      </c>
      <c r="Q34" s="3055">
        <v>18386</v>
      </c>
      <c r="R34" s="3055">
        <f t="shared" si="3"/>
        <v>0</v>
      </c>
      <c r="S34" s="3055">
        <f t="shared" si="4"/>
        <v>1387</v>
      </c>
      <c r="T34" s="3055">
        <f t="shared" si="5"/>
        <v>973</v>
      </c>
      <c r="U34" s="3055">
        <f t="shared" si="6"/>
        <v>973</v>
      </c>
      <c r="V34" s="3055">
        <f t="shared" si="7"/>
        <v>3548</v>
      </c>
      <c r="W34" s="3055">
        <f t="shared" si="8"/>
        <v>10724</v>
      </c>
      <c r="X34" s="3055">
        <f t="shared" si="9"/>
        <v>10484</v>
      </c>
      <c r="Y34" s="3055">
        <f t="shared" si="10"/>
        <v>12744</v>
      </c>
      <c r="Z34" s="3055">
        <f t="shared" si="11"/>
        <v>15916</v>
      </c>
      <c r="AA34" s="3055">
        <f t="shared" si="12"/>
        <v>16868</v>
      </c>
      <c r="AB34" s="3055">
        <f t="shared" si="13"/>
        <v>15961</v>
      </c>
      <c r="AC34" s="3055">
        <f t="shared" si="14"/>
        <v>18386</v>
      </c>
      <c r="AD34" s="3056"/>
      <c r="AE34" s="3057">
        <f t="shared" si="0"/>
      </c>
      <c r="AF34" s="3054"/>
      <c r="AG34" s="3059"/>
      <c r="AH34" s="3058"/>
      <c r="AI34" s="3058"/>
      <c r="AJ34" s="3058"/>
      <c r="AK34" s="3058"/>
      <c r="AL34" s="3058"/>
      <c r="AM34" s="3058"/>
      <c r="AN34" s="3058"/>
      <c r="AO34" s="3058"/>
      <c r="AP34" s="3058"/>
      <c r="AQ34" s="3058"/>
      <c r="AR34" s="3058"/>
      <c r="AS34" s="3058"/>
      <c r="AT34" s="3058"/>
      <c r="AU34" s="3056"/>
      <c r="AV34" s="3057">
        <f t="shared" si="15"/>
      </c>
      <c r="AW34" s="3054"/>
      <c r="AX34" s="3059"/>
      <c r="AY34" s="3058"/>
      <c r="AZ34" s="3058"/>
      <c r="BA34" s="3058"/>
      <c r="BB34" s="3058"/>
      <c r="BC34" s="3058"/>
      <c r="BD34" s="3058"/>
      <c r="BE34" s="3058"/>
      <c r="BF34" s="3058"/>
      <c r="BG34" s="3058"/>
      <c r="BH34" s="3058"/>
      <c r="BI34" s="3058"/>
      <c r="BJ34" s="3058"/>
      <c r="BK34" s="3058"/>
      <c r="BL34" s="3056"/>
      <c r="BM34" s="3057">
        <f t="shared" si="16"/>
      </c>
      <c r="BN34" s="3054"/>
      <c r="BO34" s="3059"/>
      <c r="BP34" s="3058"/>
      <c r="BQ34" s="3058"/>
      <c r="BR34" s="3058"/>
      <c r="BS34" s="3058"/>
      <c r="BT34" s="3058"/>
      <c r="BU34" s="3058"/>
      <c r="BV34" s="3058"/>
      <c r="BW34" s="3058"/>
      <c r="BX34" s="3058"/>
      <c r="BY34" s="3058"/>
      <c r="BZ34" s="3058"/>
      <c r="CA34" s="3058"/>
      <c r="CB34" s="3058"/>
      <c r="CC34" s="3056"/>
      <c r="CD34" s="3057">
        <f t="shared" si="0"/>
      </c>
      <c r="CE34" s="3054"/>
      <c r="CF34" s="3054"/>
      <c r="CG34" s="3055"/>
      <c r="CH34" s="3055"/>
      <c r="CI34" s="3055"/>
      <c r="CJ34" s="3055"/>
      <c r="CK34" s="3055"/>
      <c r="CL34" s="3055"/>
      <c r="CM34" s="3055"/>
      <c r="CN34" s="3055"/>
      <c r="CO34" s="3055"/>
      <c r="CP34" s="3055"/>
      <c r="CQ34" s="3055"/>
      <c r="CR34" s="3055"/>
      <c r="CS34" s="3055"/>
      <c r="CU34" s="3054"/>
      <c r="CV34" s="696"/>
      <c r="CW34" s="696"/>
      <c r="CZ34" s="3060">
        <f t="shared" si="17"/>
        <v>1532.1666666666667</v>
      </c>
      <c r="DA34" s="3060">
        <f t="shared" si="1"/>
        <v>2138.6660886844606</v>
      </c>
      <c r="DB34" s="3060">
        <f t="shared" si="18"/>
      </c>
      <c r="DC34" s="3060">
        <f t="shared" si="19"/>
      </c>
      <c r="DD34" s="3060">
        <f t="shared" si="20"/>
      </c>
      <c r="DE34" s="3060">
        <f t="shared" si="21"/>
      </c>
      <c r="DF34" s="3060">
        <f t="shared" si="22"/>
      </c>
      <c r="DG34" s="3060">
        <f t="shared" si="23"/>
      </c>
      <c r="DH34" s="3060">
        <f t="shared" si="24"/>
      </c>
      <c r="DI34" s="3060">
        <f t="shared" si="1"/>
        <v>2138.6660886844606</v>
      </c>
    </row>
    <row r="35" ht="15" customHeight="1" s="3052" customFormat="1">
      <c r="A35" s="3055"/>
      <c r="B35" s="3054" t="str">
        <f t="shared" si="2"/>
        <v>General Administrative</v>
      </c>
      <c r="C35" s="3054" t="s">
        <v>1933</v>
      </c>
      <c r="D35" s="3054" t="s">
        <v>1933</v>
      </c>
      <c r="E35" s="3055">
        <v>9850</v>
      </c>
      <c r="F35" s="3055">
        <v>5721</v>
      </c>
      <c r="G35" s="3055">
        <v>8826</v>
      </c>
      <c r="H35" s="3055">
        <v>12389</v>
      </c>
      <c r="I35" s="3055">
        <v>7187</v>
      </c>
      <c r="J35" s="3055">
        <v>9039</v>
      </c>
      <c r="K35" s="3055">
        <v>9602</v>
      </c>
      <c r="L35" s="3055">
        <v>6826</v>
      </c>
      <c r="M35" s="3055">
        <v>8743</v>
      </c>
      <c r="N35" s="3055">
        <v>8882</v>
      </c>
      <c r="O35" s="3055">
        <v>9964</v>
      </c>
      <c r="P35" s="3055">
        <v>8406</v>
      </c>
      <c r="Q35" s="3055">
        <v>105435</v>
      </c>
      <c r="R35" s="3055">
        <f t="shared" si="3"/>
        <v>8406</v>
      </c>
      <c r="S35" s="3055">
        <f t="shared" si="4"/>
        <v>18370</v>
      </c>
      <c r="T35" s="3055">
        <f t="shared" si="5"/>
        <v>27252</v>
      </c>
      <c r="U35" s="3055">
        <f t="shared" si="6"/>
        <v>35995</v>
      </c>
      <c r="V35" s="3055">
        <f t="shared" si="7"/>
        <v>42821</v>
      </c>
      <c r="W35" s="3055">
        <f t="shared" si="8"/>
        <v>52423</v>
      </c>
      <c r="X35" s="3055">
        <f t="shared" si="9"/>
        <v>61462</v>
      </c>
      <c r="Y35" s="3055">
        <f t="shared" si="10"/>
        <v>68649</v>
      </c>
      <c r="Z35" s="3055">
        <f t="shared" si="11"/>
        <v>81038</v>
      </c>
      <c r="AA35" s="3055">
        <f t="shared" si="12"/>
        <v>89864</v>
      </c>
      <c r="AB35" s="3055">
        <f t="shared" si="13"/>
        <v>95585</v>
      </c>
      <c r="AC35" s="3055">
        <f t="shared" si="14"/>
        <v>105435</v>
      </c>
      <c r="AD35" s="3056"/>
      <c r="AE35" s="3057">
        <f t="shared" si="0"/>
      </c>
      <c r="AF35" s="3054"/>
      <c r="AG35" s="3059"/>
      <c r="AH35" s="3058"/>
      <c r="AI35" s="3058"/>
      <c r="AJ35" s="3058"/>
      <c r="AK35" s="3058"/>
      <c r="AL35" s="3058"/>
      <c r="AM35" s="3058"/>
      <c r="AN35" s="3058"/>
      <c r="AO35" s="3058"/>
      <c r="AP35" s="3058"/>
      <c r="AQ35" s="3058"/>
      <c r="AR35" s="3058"/>
      <c r="AS35" s="3058"/>
      <c r="AT35" s="3058"/>
      <c r="AU35" s="3056"/>
      <c r="AV35" s="3057">
        <f t="shared" si="15"/>
      </c>
      <c r="AW35" s="3054"/>
      <c r="AX35" s="3059"/>
      <c r="AY35" s="3058"/>
      <c r="AZ35" s="3058"/>
      <c r="BA35" s="3058"/>
      <c r="BB35" s="3058"/>
      <c r="BC35" s="3058"/>
      <c r="BD35" s="3058"/>
      <c r="BE35" s="3058"/>
      <c r="BF35" s="3058"/>
      <c r="BG35" s="3058"/>
      <c r="BH35" s="3058"/>
      <c r="BI35" s="3058"/>
      <c r="BJ35" s="3058"/>
      <c r="BK35" s="3058"/>
      <c r="BL35" s="3056"/>
      <c r="BM35" s="3057">
        <f t="shared" si="16"/>
      </c>
      <c r="BN35" s="3054"/>
      <c r="BO35" s="3059"/>
      <c r="BP35" s="3058"/>
      <c r="BQ35" s="3058"/>
      <c r="BR35" s="3058"/>
      <c r="BS35" s="3058"/>
      <c r="BT35" s="3058"/>
      <c r="BU35" s="3058"/>
      <c r="BV35" s="3058"/>
      <c r="BW35" s="3058"/>
      <c r="BX35" s="3058"/>
      <c r="BY35" s="3058"/>
      <c r="BZ35" s="3058"/>
      <c r="CA35" s="3058"/>
      <c r="CB35" s="3058"/>
      <c r="CC35" s="3056"/>
      <c r="CD35" s="3057">
        <f t="shared" si="0"/>
      </c>
      <c r="CE35" s="3054"/>
      <c r="CF35" s="3054"/>
      <c r="CG35" s="3055"/>
      <c r="CH35" s="3055"/>
      <c r="CI35" s="3055"/>
      <c r="CJ35" s="3055"/>
      <c r="CK35" s="3055"/>
      <c r="CL35" s="3055"/>
      <c r="CM35" s="3055"/>
      <c r="CN35" s="3055"/>
      <c r="CO35" s="3055"/>
      <c r="CP35" s="3055"/>
      <c r="CQ35" s="3055"/>
      <c r="CR35" s="3055"/>
      <c r="CS35" s="3055"/>
      <c r="CU35" s="3054"/>
      <c r="CV35" s="696"/>
      <c r="CW35" s="696"/>
      <c r="CZ35" s="3060">
        <f t="shared" si="17"/>
        <v>8786.25</v>
      </c>
      <c r="DA35" s="3060">
        <f t="shared" si="1"/>
        <v>1637.6035399835537</v>
      </c>
      <c r="DB35" s="3060">
        <f t="shared" si="18"/>
      </c>
      <c r="DC35" s="3060">
        <f t="shared" si="19"/>
      </c>
      <c r="DD35" s="3060">
        <f t="shared" si="20"/>
      </c>
      <c r="DE35" s="3060">
        <f t="shared" si="21"/>
      </c>
      <c r="DF35" s="3060">
        <f t="shared" si="22"/>
      </c>
      <c r="DG35" s="3060">
        <f t="shared" si="23"/>
      </c>
      <c r="DH35" s="3060">
        <f t="shared" si="24"/>
      </c>
      <c r="DI35" s="3060">
        <f t="shared" si="1"/>
        <v>1637.6035399835537</v>
      </c>
    </row>
    <row r="36" ht="15" customHeight="1" s="3052" customFormat="1">
      <c r="A36" s="3055"/>
      <c r="B36" s="3054" t="str">
        <f t="shared" si="2"/>
        <v>Telephone / Cable</v>
      </c>
      <c r="C36" s="3054" t="s">
        <v>1935</v>
      </c>
      <c r="D36" s="3063" t="s">
        <v>1935</v>
      </c>
      <c r="E36" s="3055">
        <v>711</v>
      </c>
      <c r="F36" s="3055">
        <v>757</v>
      </c>
      <c r="G36" s="3055">
        <v>1195</v>
      </c>
      <c r="H36" s="3055">
        <v>370</v>
      </c>
      <c r="I36" s="3055">
        <v>1181</v>
      </c>
      <c r="J36" s="3055">
        <v>779</v>
      </c>
      <c r="K36" s="3055">
        <v>1170</v>
      </c>
      <c r="L36" s="3055">
        <v>1166</v>
      </c>
      <c r="M36" s="3055">
        <v>1052</v>
      </c>
      <c r="N36" s="3055">
        <v>1183</v>
      </c>
      <c r="O36" s="3055">
        <v>1039</v>
      </c>
      <c r="P36" s="3055">
        <v>964</v>
      </c>
      <c r="Q36" s="3055">
        <v>11567</v>
      </c>
      <c r="R36" s="3055">
        <f t="shared" si="3"/>
        <v>964</v>
      </c>
      <c r="S36" s="3055">
        <f t="shared" si="4"/>
        <v>2003</v>
      </c>
      <c r="T36" s="3055">
        <f t="shared" si="5"/>
        <v>3186</v>
      </c>
      <c r="U36" s="3055">
        <f t="shared" si="6"/>
        <v>4238</v>
      </c>
      <c r="V36" s="3055">
        <f t="shared" si="7"/>
        <v>5404</v>
      </c>
      <c r="W36" s="3055">
        <f t="shared" si="8"/>
        <v>6574</v>
      </c>
      <c r="X36" s="3055">
        <f t="shared" si="9"/>
        <v>7353</v>
      </c>
      <c r="Y36" s="3055">
        <f t="shared" si="10"/>
        <v>8534</v>
      </c>
      <c r="Z36" s="3055">
        <f t="shared" si="11"/>
        <v>8904</v>
      </c>
      <c r="AA36" s="3055">
        <f t="shared" si="12"/>
        <v>10099</v>
      </c>
      <c r="AB36" s="3055">
        <f t="shared" si="13"/>
        <v>10856</v>
      </c>
      <c r="AC36" s="3055">
        <f t="shared" si="14"/>
        <v>11567</v>
      </c>
      <c r="AD36" s="3056"/>
      <c r="AE36" s="3057">
        <f t="shared" si="0"/>
      </c>
      <c r="AF36" s="3054"/>
      <c r="AG36" s="3064"/>
      <c r="AH36" s="3058"/>
      <c r="AI36" s="3058"/>
      <c r="AJ36" s="3058"/>
      <c r="AK36" s="3058"/>
      <c r="AL36" s="3058"/>
      <c r="AM36" s="3058"/>
      <c r="AN36" s="3058"/>
      <c r="AO36" s="3058"/>
      <c r="AP36" s="3058"/>
      <c r="AQ36" s="3058"/>
      <c r="AR36" s="3058"/>
      <c r="AS36" s="3058"/>
      <c r="AT36" s="3058"/>
      <c r="AU36" s="3056"/>
      <c r="AV36" s="3057">
        <f t="shared" si="15"/>
      </c>
      <c r="AW36" s="3054"/>
      <c r="AX36" s="3064"/>
      <c r="AY36" s="3058"/>
      <c r="AZ36" s="3058"/>
      <c r="BA36" s="3058"/>
      <c r="BB36" s="3058"/>
      <c r="BC36" s="3058"/>
      <c r="BD36" s="3058"/>
      <c r="BE36" s="3058"/>
      <c r="BF36" s="3058"/>
      <c r="BG36" s="3058"/>
      <c r="BH36" s="3058"/>
      <c r="BI36" s="3058"/>
      <c r="BJ36" s="3058"/>
      <c r="BK36" s="3058"/>
      <c r="BL36" s="3056"/>
      <c r="BM36" s="3057">
        <f t="shared" si="16"/>
      </c>
      <c r="BN36" s="3054"/>
      <c r="BO36" s="3064"/>
      <c r="BP36" s="3058"/>
      <c r="BQ36" s="3058"/>
      <c r="BR36" s="3058"/>
      <c r="BS36" s="3058"/>
      <c r="BT36" s="3058"/>
      <c r="BU36" s="3058"/>
      <c r="BV36" s="3058"/>
      <c r="BW36" s="3058"/>
      <c r="BX36" s="3058"/>
      <c r="BY36" s="3058"/>
      <c r="BZ36" s="3058"/>
      <c r="CA36" s="3058"/>
      <c r="CB36" s="3058"/>
      <c r="CC36" s="3056"/>
      <c r="CD36" s="3057">
        <f t="shared" si="0"/>
      </c>
      <c r="CE36" s="3054"/>
      <c r="CF36" s="3054"/>
      <c r="CG36" s="3055"/>
      <c r="CH36" s="3055"/>
      <c r="CI36" s="3055"/>
      <c r="CJ36" s="3055"/>
      <c r="CK36" s="3055"/>
      <c r="CL36" s="3055"/>
      <c r="CM36" s="3055"/>
      <c r="CN36" s="3055"/>
      <c r="CO36" s="3055"/>
      <c r="CP36" s="3055"/>
      <c r="CQ36" s="3055"/>
      <c r="CR36" s="3055"/>
      <c r="CS36" s="3055"/>
      <c r="CU36" s="3054"/>
      <c r="CV36" s="696"/>
      <c r="CW36" s="696"/>
      <c r="CZ36" s="3060">
        <f t="shared" si="17"/>
        <v>963.9166666666666</v>
      </c>
      <c r="DA36" s="3060">
        <f t="shared" si="1"/>
        <v>248.14963843527065</v>
      </c>
      <c r="DB36" s="3060">
        <f t="shared" si="18"/>
      </c>
      <c r="DC36" s="3060">
        <f t="shared" si="19"/>
      </c>
      <c r="DD36" s="3060">
        <f t="shared" si="20"/>
      </c>
      <c r="DE36" s="3060">
        <f t="shared" si="21"/>
      </c>
      <c r="DF36" s="3060">
        <f t="shared" si="22"/>
      </c>
      <c r="DG36" s="3060">
        <f t="shared" si="23"/>
      </c>
      <c r="DH36" s="3060">
        <f t="shared" si="24"/>
      </c>
      <c r="DI36" s="3060">
        <f t="shared" si="1"/>
        <v>248.14963843527065</v>
      </c>
    </row>
    <row r="37" ht="15" customHeight="1" s="3052" customFormat="1">
      <c r="A37" s="3055"/>
      <c r="B37" s="3054">
        <f t="shared" si="2"/>
      </c>
      <c r="C37" s="3054"/>
      <c r="D37" s="3054"/>
      <c r="E37" s="3055"/>
      <c r="F37" s="3055"/>
      <c r="G37" s="3055"/>
      <c r="H37" s="3055"/>
      <c r="I37" s="3055"/>
      <c r="J37" s="3055"/>
      <c r="K37" s="3055"/>
      <c r="L37" s="3055"/>
      <c r="M37" s="3055"/>
      <c r="N37" s="3055"/>
      <c r="O37" s="3055"/>
      <c r="P37" s="3055"/>
      <c r="Q37" s="3055"/>
      <c r="R37" s="3055">
        <f t="shared" si="3"/>
        <v>0</v>
      </c>
      <c r="S37" s="3055">
        <f t="shared" si="4"/>
        <v>0</v>
      </c>
      <c r="T37" s="3055">
        <f t="shared" si="5"/>
        <v>0</v>
      </c>
      <c r="U37" s="3055">
        <f t="shared" si="6"/>
        <v>0</v>
      </c>
      <c r="V37" s="3055">
        <f t="shared" si="7"/>
        <v>0</v>
      </c>
      <c r="W37" s="3055">
        <f t="shared" si="8"/>
        <v>0</v>
      </c>
      <c r="X37" s="3055">
        <f t="shared" si="9"/>
        <v>0</v>
      </c>
      <c r="Y37" s="3055">
        <f t="shared" si="10"/>
        <v>0</v>
      </c>
      <c r="Z37" s="3055">
        <f t="shared" si="11"/>
        <v>0</v>
      </c>
      <c r="AA37" s="3055">
        <f t="shared" si="12"/>
        <v>0</v>
      </c>
      <c r="AB37" s="3055">
        <f t="shared" si="13"/>
        <v>0</v>
      </c>
      <c r="AC37" s="3055">
        <f t="shared" si="14"/>
        <v>0</v>
      </c>
      <c r="AD37" s="3056"/>
      <c r="AE37" s="3057">
        <f t="shared" si="0"/>
      </c>
      <c r="AF37" s="3054"/>
      <c r="AG37" s="3059"/>
      <c r="AH37" s="3058"/>
      <c r="AI37" s="3058"/>
      <c r="AJ37" s="3058"/>
      <c r="AK37" s="3058"/>
      <c r="AL37" s="3058"/>
      <c r="AM37" s="3058"/>
      <c r="AN37" s="3058"/>
      <c r="AO37" s="3058"/>
      <c r="AP37" s="3058"/>
      <c r="AQ37" s="3058"/>
      <c r="AR37" s="3058"/>
      <c r="AS37" s="3058"/>
      <c r="AT37" s="3058"/>
      <c r="AU37" s="3056"/>
      <c r="AV37" s="3057">
        <f t="shared" si="15"/>
      </c>
      <c r="AW37" s="3054"/>
      <c r="AX37" s="3059"/>
      <c r="AY37" s="3058"/>
      <c r="AZ37" s="3058"/>
      <c r="BA37" s="3058"/>
      <c r="BB37" s="3058"/>
      <c r="BC37" s="3058"/>
      <c r="BD37" s="3058"/>
      <c r="BE37" s="3058"/>
      <c r="BF37" s="3058"/>
      <c r="BG37" s="3058"/>
      <c r="BH37" s="3058"/>
      <c r="BI37" s="3058"/>
      <c r="BJ37" s="3058"/>
      <c r="BK37" s="3058"/>
      <c r="BL37" s="3056"/>
      <c r="BM37" s="3057">
        <f t="shared" si="16"/>
      </c>
      <c r="BN37" s="3054"/>
      <c r="BO37" s="3059"/>
      <c r="BP37" s="3058"/>
      <c r="BQ37" s="3058"/>
      <c r="BR37" s="3058"/>
      <c r="BS37" s="3058"/>
      <c r="BT37" s="3058"/>
      <c r="BU37" s="3058"/>
      <c r="BV37" s="3058"/>
      <c r="BW37" s="3058"/>
      <c r="BX37" s="3058"/>
      <c r="BY37" s="3058"/>
      <c r="BZ37" s="3058"/>
      <c r="CA37" s="3058"/>
      <c r="CB37" s="3058"/>
      <c r="CC37" s="3056"/>
      <c r="CD37" s="3057">
        <f t="shared" si="0"/>
      </c>
      <c r="CE37" s="3054"/>
      <c r="CF37" s="3054"/>
      <c r="CG37" s="3055"/>
      <c r="CH37" s="3055"/>
      <c r="CI37" s="3055"/>
      <c r="CJ37" s="3055"/>
      <c r="CK37" s="3055"/>
      <c r="CL37" s="3055"/>
      <c r="CM37" s="3055"/>
      <c r="CN37" s="3055"/>
      <c r="CO37" s="3055"/>
      <c r="CP37" s="3055"/>
      <c r="CQ37" s="3055"/>
      <c r="CR37" s="3055"/>
      <c r="CS37" s="3055"/>
      <c r="CU37" s="3054"/>
      <c r="CV37" s="696"/>
      <c r="CW37" s="696"/>
      <c r="CZ37" s="3060">
        <f t="shared" si="17"/>
      </c>
      <c r="DA37" s="3060">
        <f t="shared" si="1"/>
      </c>
      <c r="DB37" s="3060">
        <f t="shared" si="18"/>
      </c>
      <c r="DC37" s="3060">
        <f t="shared" si="19"/>
      </c>
      <c r="DD37" s="3060">
        <f t="shared" si="20"/>
      </c>
      <c r="DE37" s="3060">
        <f t="shared" si="21"/>
      </c>
      <c r="DF37" s="3060">
        <f t="shared" si="22"/>
      </c>
      <c r="DG37" s="3060">
        <f t="shared" si="23"/>
      </c>
      <c r="DH37" s="3060">
        <f t="shared" si="24"/>
      </c>
      <c r="DI37" s="3060">
        <f t="shared" si="1"/>
      </c>
    </row>
    <row r="38" ht="15" customHeight="1" s="3052" customFormat="1">
      <c r="A38" s="3055"/>
      <c r="B38" s="3054">
        <f t="shared" si="2"/>
      </c>
      <c r="C38" s="3054"/>
      <c r="D38" s="3054"/>
      <c r="E38" s="3055"/>
      <c r="F38" s="3055"/>
      <c r="G38" s="3055"/>
      <c r="H38" s="3055"/>
      <c r="I38" s="3055"/>
      <c r="J38" s="3055"/>
      <c r="K38" s="3055"/>
      <c r="L38" s="3055"/>
      <c r="M38" s="3055"/>
      <c r="N38" s="3055"/>
      <c r="O38" s="3055"/>
      <c r="P38" s="3055"/>
      <c r="Q38" s="3055"/>
      <c r="R38" s="3055">
        <f t="shared" si="3"/>
        <v>0</v>
      </c>
      <c r="S38" s="3055">
        <f t="shared" si="4"/>
        <v>0</v>
      </c>
      <c r="T38" s="3055">
        <f t="shared" si="5"/>
        <v>0</v>
      </c>
      <c r="U38" s="3055">
        <f t="shared" si="6"/>
        <v>0</v>
      </c>
      <c r="V38" s="3055">
        <f t="shared" si="7"/>
        <v>0</v>
      </c>
      <c r="W38" s="3055">
        <f t="shared" si="8"/>
        <v>0</v>
      </c>
      <c r="X38" s="3055">
        <f t="shared" si="9"/>
        <v>0</v>
      </c>
      <c r="Y38" s="3055">
        <f t="shared" si="10"/>
        <v>0</v>
      </c>
      <c r="Z38" s="3055">
        <f t="shared" si="11"/>
        <v>0</v>
      </c>
      <c r="AA38" s="3055">
        <f t="shared" si="12"/>
        <v>0</v>
      </c>
      <c r="AB38" s="3055">
        <f t="shared" si="13"/>
        <v>0</v>
      </c>
      <c r="AC38" s="3055">
        <f t="shared" si="14"/>
        <v>0</v>
      </c>
      <c r="AD38" s="3056"/>
      <c r="AE38" s="3057">
        <f t="shared" si="0"/>
      </c>
      <c r="AF38" s="3054"/>
      <c r="AG38" s="3059"/>
      <c r="AH38" s="3058"/>
      <c r="AI38" s="3058"/>
      <c r="AJ38" s="3058"/>
      <c r="AK38" s="3058"/>
      <c r="AL38" s="3058"/>
      <c r="AM38" s="3058"/>
      <c r="AN38" s="3058"/>
      <c r="AO38" s="3058"/>
      <c r="AP38" s="3058"/>
      <c r="AQ38" s="3058"/>
      <c r="AR38" s="3058"/>
      <c r="AS38" s="3058"/>
      <c r="AT38" s="3058"/>
      <c r="AU38" s="3056"/>
      <c r="AV38" s="3057">
        <f t="shared" si="15"/>
      </c>
      <c r="AW38" s="3054"/>
      <c r="AX38" s="3059"/>
      <c r="AY38" s="3058"/>
      <c r="AZ38" s="3058"/>
      <c r="BA38" s="3058"/>
      <c r="BB38" s="3058"/>
      <c r="BC38" s="3058"/>
      <c r="BD38" s="3058"/>
      <c r="BE38" s="3058"/>
      <c r="BF38" s="3058"/>
      <c r="BG38" s="3058"/>
      <c r="BH38" s="3058"/>
      <c r="BI38" s="3058"/>
      <c r="BJ38" s="3058"/>
      <c r="BK38" s="3058"/>
      <c r="BL38" s="3056"/>
      <c r="BM38" s="3057">
        <f t="shared" si="16"/>
      </c>
      <c r="BN38" s="3054"/>
      <c r="BO38" s="3059"/>
      <c r="BP38" s="3058"/>
      <c r="BQ38" s="3058"/>
      <c r="BR38" s="3058"/>
      <c r="BS38" s="3058"/>
      <c r="BT38" s="3058"/>
      <c r="BU38" s="3058"/>
      <c r="BV38" s="3058"/>
      <c r="BW38" s="3058"/>
      <c r="BX38" s="3058"/>
      <c r="BY38" s="3058"/>
      <c r="BZ38" s="3058"/>
      <c r="CA38" s="3058"/>
      <c r="CB38" s="3058"/>
      <c r="CC38" s="3056"/>
      <c r="CD38" s="3057">
        <f t="shared" si="0"/>
      </c>
      <c r="CE38" s="3054"/>
      <c r="CF38" s="3054"/>
      <c r="CG38" s="3055"/>
      <c r="CH38" s="3055"/>
      <c r="CI38" s="3055"/>
      <c r="CJ38" s="3055"/>
      <c r="CK38" s="3055"/>
      <c r="CL38" s="3055"/>
      <c r="CM38" s="3055"/>
      <c r="CN38" s="3055"/>
      <c r="CO38" s="3055"/>
      <c r="CP38" s="3055"/>
      <c r="CQ38" s="3055"/>
      <c r="CR38" s="3055"/>
      <c r="CS38" s="3055"/>
      <c r="CU38" s="3054"/>
      <c r="CV38" s="696"/>
      <c r="CW38" s="696"/>
      <c r="CZ38" s="3060">
        <f t="shared" si="17"/>
      </c>
      <c r="DA38" s="3060">
        <f t="shared" si="1"/>
      </c>
      <c r="DB38" s="3060">
        <f t="shared" si="18"/>
      </c>
      <c r="DC38" s="3060">
        <f t="shared" si="19"/>
      </c>
      <c r="DD38" s="3060">
        <f t="shared" si="20"/>
      </c>
      <c r="DE38" s="3060">
        <f t="shared" si="21"/>
      </c>
      <c r="DF38" s="3060">
        <f t="shared" si="22"/>
      </c>
      <c r="DG38" s="3060">
        <f t="shared" si="23"/>
      </c>
      <c r="DH38" s="3060">
        <f t="shared" si="24"/>
      </c>
      <c r="DI38" s="3060">
        <f t="shared" si="1"/>
      </c>
    </row>
    <row r="39" ht="15" customHeight="1" s="3052" customFormat="1">
      <c r="A39" s="3055"/>
      <c r="B39" s="3054">
        <f t="shared" si="2"/>
      </c>
      <c r="C39" s="3054"/>
      <c r="D39" s="3054"/>
      <c r="E39" s="3055"/>
      <c r="F39" s="3055"/>
      <c r="G39" s="3055"/>
      <c r="H39" s="3055"/>
      <c r="I39" s="3055"/>
      <c r="J39" s="3055"/>
      <c r="K39" s="3055"/>
      <c r="L39" s="3055"/>
      <c r="M39" s="3055"/>
      <c r="N39" s="3055"/>
      <c r="O39" s="3055"/>
      <c r="P39" s="3055"/>
      <c r="Q39" s="3055"/>
      <c r="R39" s="3055">
        <f t="shared" si="3"/>
        <v>0</v>
      </c>
      <c r="S39" s="3055">
        <f t="shared" si="4"/>
        <v>0</v>
      </c>
      <c r="T39" s="3055">
        <f t="shared" si="5"/>
        <v>0</v>
      </c>
      <c r="U39" s="3055">
        <f t="shared" si="6"/>
        <v>0</v>
      </c>
      <c r="V39" s="3055">
        <f t="shared" si="7"/>
        <v>0</v>
      </c>
      <c r="W39" s="3055">
        <f t="shared" si="8"/>
        <v>0</v>
      </c>
      <c r="X39" s="3055">
        <f t="shared" si="9"/>
        <v>0</v>
      </c>
      <c r="Y39" s="3055">
        <f t="shared" si="10"/>
        <v>0</v>
      </c>
      <c r="Z39" s="3055">
        <f t="shared" si="11"/>
        <v>0</v>
      </c>
      <c r="AA39" s="3055">
        <f t="shared" si="12"/>
        <v>0</v>
      </c>
      <c r="AB39" s="3055">
        <f t="shared" si="13"/>
        <v>0</v>
      </c>
      <c r="AC39" s="3055">
        <f t="shared" si="14"/>
        <v>0</v>
      </c>
      <c r="AD39" s="3056"/>
      <c r="AE39" s="3057">
        <f t="shared" si="0"/>
      </c>
      <c r="AF39" s="3054"/>
      <c r="AG39" s="3059"/>
      <c r="AH39" s="3058"/>
      <c r="AI39" s="3058"/>
      <c r="AJ39" s="3058"/>
      <c r="AK39" s="3058"/>
      <c r="AL39" s="3058"/>
      <c r="AM39" s="3058"/>
      <c r="AN39" s="3058"/>
      <c r="AO39" s="3058"/>
      <c r="AP39" s="3058"/>
      <c r="AQ39" s="3058"/>
      <c r="AR39" s="3058"/>
      <c r="AS39" s="3058"/>
      <c r="AT39" s="3058"/>
      <c r="AU39" s="3056"/>
      <c r="AV39" s="3057">
        <f t="shared" si="15"/>
      </c>
      <c r="AW39" s="3054"/>
      <c r="AX39" s="3059"/>
      <c r="AY39" s="3058"/>
      <c r="AZ39" s="3058"/>
      <c r="BA39" s="3058"/>
      <c r="BB39" s="3058"/>
      <c r="BC39" s="3058"/>
      <c r="BD39" s="3058"/>
      <c r="BE39" s="3058"/>
      <c r="BF39" s="3058"/>
      <c r="BG39" s="3058"/>
      <c r="BH39" s="3058"/>
      <c r="BI39" s="3058"/>
      <c r="BJ39" s="3058"/>
      <c r="BK39" s="3058"/>
      <c r="BL39" s="3056"/>
      <c r="BM39" s="3057">
        <f t="shared" si="16"/>
      </c>
      <c r="BN39" s="3054"/>
      <c r="BO39" s="3059"/>
      <c r="BP39" s="3058"/>
      <c r="BQ39" s="3058"/>
      <c r="BR39" s="3058"/>
      <c r="BS39" s="3058"/>
      <c r="BT39" s="3058"/>
      <c r="BU39" s="3058"/>
      <c r="BV39" s="3058"/>
      <c r="BW39" s="3058"/>
      <c r="BX39" s="3058"/>
      <c r="BY39" s="3058"/>
      <c r="BZ39" s="3058"/>
      <c r="CA39" s="3058"/>
      <c r="CB39" s="3058"/>
      <c r="CC39" s="3056"/>
      <c r="CD39" s="3057">
        <f t="shared" si="0"/>
      </c>
      <c r="CE39" s="3054"/>
      <c r="CF39" s="3054"/>
      <c r="CG39" s="3055"/>
      <c r="CH39" s="3055"/>
      <c r="CI39" s="3055"/>
      <c r="CJ39" s="3055"/>
      <c r="CK39" s="3055"/>
      <c r="CL39" s="3055"/>
      <c r="CM39" s="3055"/>
      <c r="CN39" s="3055"/>
      <c r="CO39" s="3055"/>
      <c r="CP39" s="3055"/>
      <c r="CQ39" s="3055"/>
      <c r="CR39" s="3055"/>
      <c r="CS39" s="3055"/>
      <c r="CU39" s="3054"/>
      <c r="CV39" s="696"/>
      <c r="CW39" s="696"/>
      <c r="CZ39" s="3060">
        <f t="shared" si="17"/>
      </c>
      <c r="DA39" s="3060">
        <f t="shared" si="1"/>
      </c>
      <c r="DB39" s="3060">
        <f t="shared" si="18"/>
      </c>
      <c r="DC39" s="3060">
        <f t="shared" si="19"/>
      </c>
      <c r="DD39" s="3060">
        <f t="shared" si="20"/>
      </c>
      <c r="DE39" s="3060">
        <f t="shared" si="21"/>
      </c>
      <c r="DF39" s="3060">
        <f t="shared" si="22"/>
      </c>
      <c r="DG39" s="3060">
        <f t="shared" si="23"/>
      </c>
      <c r="DH39" s="3060">
        <f t="shared" si="24"/>
      </c>
      <c r="DI39" s="3060">
        <f t="shared" si="1"/>
      </c>
    </row>
    <row r="40" ht="15" customHeight="1" s="3052" customFormat="1">
      <c r="A40" s="3055"/>
      <c r="B40" s="3054">
        <f t="shared" si="2"/>
      </c>
      <c r="C40" s="3054"/>
      <c r="D40" s="3054"/>
      <c r="E40" s="3055"/>
      <c r="F40" s="3055"/>
      <c r="G40" s="3055"/>
      <c r="H40" s="3055"/>
      <c r="I40" s="3055"/>
      <c r="J40" s="3055"/>
      <c r="K40" s="3055"/>
      <c r="L40" s="3055"/>
      <c r="M40" s="3055"/>
      <c r="N40" s="3055"/>
      <c r="O40" s="3055"/>
      <c r="P40" s="3055"/>
      <c r="Q40" s="3055"/>
      <c r="R40" s="3055">
        <f t="shared" si="3"/>
        <v>0</v>
      </c>
      <c r="S40" s="3055">
        <f t="shared" si="4"/>
        <v>0</v>
      </c>
      <c r="T40" s="3055">
        <f t="shared" si="5"/>
        <v>0</v>
      </c>
      <c r="U40" s="3055">
        <f t="shared" si="6"/>
        <v>0</v>
      </c>
      <c r="V40" s="3055">
        <f t="shared" si="7"/>
        <v>0</v>
      </c>
      <c r="W40" s="3055">
        <f t="shared" si="8"/>
        <v>0</v>
      </c>
      <c r="X40" s="3055">
        <f t="shared" si="9"/>
        <v>0</v>
      </c>
      <c r="Y40" s="3055">
        <f t="shared" si="10"/>
        <v>0</v>
      </c>
      <c r="Z40" s="3055">
        <f t="shared" si="11"/>
        <v>0</v>
      </c>
      <c r="AA40" s="3055">
        <f t="shared" si="12"/>
        <v>0</v>
      </c>
      <c r="AB40" s="3055">
        <f t="shared" si="13"/>
        <v>0</v>
      </c>
      <c r="AC40" s="3055">
        <f t="shared" si="14"/>
        <v>0</v>
      </c>
      <c r="AD40" s="3056"/>
      <c r="AE40" s="3057">
        <f t="shared" si="0"/>
      </c>
      <c r="AF40" s="3054"/>
      <c r="AG40" s="3059"/>
      <c r="AH40" s="3058"/>
      <c r="AI40" s="3058"/>
      <c r="AJ40" s="3058"/>
      <c r="AK40" s="3058"/>
      <c r="AL40" s="3058"/>
      <c r="AM40" s="3058"/>
      <c r="AN40" s="3058"/>
      <c r="AO40" s="3058"/>
      <c r="AP40" s="3058"/>
      <c r="AQ40" s="3058"/>
      <c r="AR40" s="3058"/>
      <c r="AS40" s="3058"/>
      <c r="AT40" s="3058"/>
      <c r="AU40" s="3056"/>
      <c r="AV40" s="3057">
        <f t="shared" si="15"/>
      </c>
      <c r="AW40" s="3054"/>
      <c r="AX40" s="3059"/>
      <c r="AY40" s="3058"/>
      <c r="AZ40" s="3058"/>
      <c r="BA40" s="3058"/>
      <c r="BB40" s="3058"/>
      <c r="BC40" s="3058"/>
      <c r="BD40" s="3058"/>
      <c r="BE40" s="3058"/>
      <c r="BF40" s="3058"/>
      <c r="BG40" s="3058"/>
      <c r="BH40" s="3058"/>
      <c r="BI40" s="3058"/>
      <c r="BJ40" s="3058"/>
      <c r="BK40" s="3058"/>
      <c r="BL40" s="3056"/>
      <c r="BM40" s="3057">
        <f t="shared" si="16"/>
      </c>
      <c r="BN40" s="3054"/>
      <c r="BO40" s="3059"/>
      <c r="BP40" s="3058"/>
      <c r="BQ40" s="3058"/>
      <c r="BR40" s="3058"/>
      <c r="BS40" s="3058"/>
      <c r="BT40" s="3058"/>
      <c r="BU40" s="3058"/>
      <c r="BV40" s="3058"/>
      <c r="BW40" s="3058"/>
      <c r="BX40" s="3058"/>
      <c r="BY40" s="3058"/>
      <c r="BZ40" s="3058"/>
      <c r="CA40" s="3058"/>
      <c r="CB40" s="3058"/>
      <c r="CC40" s="3056"/>
      <c r="CD40" s="3057">
        <f t="shared" si="0"/>
      </c>
      <c r="CE40" s="3054"/>
      <c r="CF40" s="3054"/>
      <c r="CG40" s="3055"/>
      <c r="CH40" s="3055"/>
      <c r="CI40" s="3055"/>
      <c r="CJ40" s="3055"/>
      <c r="CK40" s="3055"/>
      <c r="CL40" s="3055"/>
      <c r="CM40" s="3055"/>
      <c r="CN40" s="3055"/>
      <c r="CO40" s="3055"/>
      <c r="CP40" s="3055"/>
      <c r="CQ40" s="3055"/>
      <c r="CR40" s="3055"/>
      <c r="CS40" s="3055"/>
      <c r="CU40" s="3054"/>
      <c r="CV40" s="696"/>
      <c r="CW40" s="696"/>
      <c r="CZ40" s="3060">
        <f t="shared" si="17"/>
      </c>
      <c r="DA40" s="3060">
        <f t="shared" si="1"/>
      </c>
      <c r="DB40" s="3060">
        <f t="shared" si="18"/>
      </c>
      <c r="DC40" s="3060">
        <f t="shared" si="19"/>
      </c>
      <c r="DD40" s="3060">
        <f t="shared" si="20"/>
      </c>
      <c r="DE40" s="3060">
        <f t="shared" si="21"/>
      </c>
      <c r="DF40" s="3060">
        <f t="shared" si="22"/>
      </c>
      <c r="DG40" s="3060">
        <f t="shared" si="23"/>
      </c>
      <c r="DH40" s="3060">
        <f t="shared" si="24"/>
      </c>
      <c r="DI40" s="3060">
        <f t="shared" si="1"/>
      </c>
    </row>
    <row r="41" ht="15" customHeight="1" s="3052" customFormat="1">
      <c r="A41" s="3055"/>
      <c r="B41" s="3054">
        <f t="shared" si="2"/>
      </c>
      <c r="C41" s="3054"/>
      <c r="D41" s="3054"/>
      <c r="E41" s="3055"/>
      <c r="F41" s="3055"/>
      <c r="G41" s="3055"/>
      <c r="H41" s="3055"/>
      <c r="I41" s="3055"/>
      <c r="J41" s="3055"/>
      <c r="K41" s="3055"/>
      <c r="L41" s="3055"/>
      <c r="M41" s="3055"/>
      <c r="N41" s="3055"/>
      <c r="O41" s="3055"/>
      <c r="P41" s="3055"/>
      <c r="Q41" s="3055"/>
      <c r="R41" s="3055">
        <f t="shared" si="3"/>
        <v>0</v>
      </c>
      <c r="S41" s="3055">
        <f t="shared" si="4"/>
        <v>0</v>
      </c>
      <c r="T41" s="3055">
        <f t="shared" si="5"/>
        <v>0</v>
      </c>
      <c r="U41" s="3055">
        <f t="shared" si="6"/>
        <v>0</v>
      </c>
      <c r="V41" s="3055">
        <f t="shared" si="7"/>
        <v>0</v>
      </c>
      <c r="W41" s="3055">
        <f t="shared" si="8"/>
        <v>0</v>
      </c>
      <c r="X41" s="3055">
        <f t="shared" si="9"/>
        <v>0</v>
      </c>
      <c r="Y41" s="3055">
        <f t="shared" si="10"/>
        <v>0</v>
      </c>
      <c r="Z41" s="3055">
        <f t="shared" si="11"/>
        <v>0</v>
      </c>
      <c r="AA41" s="3055">
        <f t="shared" si="12"/>
        <v>0</v>
      </c>
      <c r="AB41" s="3055">
        <f t="shared" si="13"/>
        <v>0</v>
      </c>
      <c r="AC41" s="3055">
        <f t="shared" si="14"/>
        <v>0</v>
      </c>
      <c r="AD41" s="3056"/>
      <c r="AE41" s="3057">
        <f t="shared" si="0"/>
      </c>
      <c r="AF41" s="3054"/>
      <c r="AG41" s="3059"/>
      <c r="AH41" s="3058"/>
      <c r="AI41" s="3058"/>
      <c r="AJ41" s="3058"/>
      <c r="AK41" s="3058"/>
      <c r="AL41" s="3058"/>
      <c r="AM41" s="3058"/>
      <c r="AN41" s="3058"/>
      <c r="AO41" s="3058"/>
      <c r="AP41" s="3058"/>
      <c r="AQ41" s="3058"/>
      <c r="AR41" s="3058"/>
      <c r="AS41" s="3058"/>
      <c r="AT41" s="3058"/>
      <c r="AU41" s="3056"/>
      <c r="AV41" s="3057">
        <f t="shared" si="15"/>
      </c>
      <c r="AW41" s="3054"/>
      <c r="AX41" s="3059"/>
      <c r="AY41" s="3058"/>
      <c r="AZ41" s="3058"/>
      <c r="BA41" s="3058"/>
      <c r="BB41" s="3058"/>
      <c r="BC41" s="3058"/>
      <c r="BD41" s="3058"/>
      <c r="BE41" s="3058"/>
      <c r="BF41" s="3058"/>
      <c r="BG41" s="3058"/>
      <c r="BH41" s="3058"/>
      <c r="BI41" s="3058"/>
      <c r="BJ41" s="3058"/>
      <c r="BK41" s="3058"/>
      <c r="BL41" s="3056"/>
      <c r="BM41" s="3057">
        <f t="shared" si="16"/>
      </c>
      <c r="BN41" s="3054"/>
      <c r="BO41" s="3059"/>
      <c r="BP41" s="3058"/>
      <c r="BQ41" s="3058"/>
      <c r="BR41" s="3058"/>
      <c r="BS41" s="3058"/>
      <c r="BT41" s="3058"/>
      <c r="BU41" s="3058"/>
      <c r="BV41" s="3058"/>
      <c r="BW41" s="3058"/>
      <c r="BX41" s="3058"/>
      <c r="BY41" s="3058"/>
      <c r="BZ41" s="3058"/>
      <c r="CA41" s="3058"/>
      <c r="CB41" s="3058"/>
      <c r="CC41" s="3056"/>
      <c r="CD41" s="3057">
        <f t="shared" si="0"/>
      </c>
      <c r="CE41" s="3054"/>
      <c r="CF41" s="3054"/>
      <c r="CG41" s="3055"/>
      <c r="CH41" s="3055"/>
      <c r="CI41" s="3055"/>
      <c r="CJ41" s="3055"/>
      <c r="CK41" s="3055"/>
      <c r="CL41" s="3055"/>
      <c r="CM41" s="3055"/>
      <c r="CN41" s="3055"/>
      <c r="CO41" s="3055"/>
      <c r="CP41" s="3055"/>
      <c r="CQ41" s="3055"/>
      <c r="CR41" s="3055"/>
      <c r="CS41" s="3055"/>
      <c r="CU41" s="3054"/>
      <c r="CV41" s="696"/>
      <c r="CW41" s="696"/>
      <c r="CZ41" s="3060">
        <f t="shared" si="17"/>
      </c>
      <c r="DA41" s="3060">
        <f t="shared" si="1"/>
      </c>
      <c r="DB41" s="3060">
        <f t="shared" si="18"/>
      </c>
      <c r="DC41" s="3060">
        <f t="shared" si="19"/>
      </c>
      <c r="DD41" s="3060">
        <f t="shared" si="20"/>
      </c>
      <c r="DE41" s="3060">
        <f t="shared" si="21"/>
      </c>
      <c r="DF41" s="3060">
        <f t="shared" si="22"/>
      </c>
      <c r="DG41" s="3060">
        <f t="shared" si="23"/>
      </c>
      <c r="DH41" s="3060">
        <f t="shared" si="24"/>
      </c>
      <c r="DI41" s="3060">
        <f t="shared" si="1"/>
      </c>
    </row>
    <row r="42" ht="15" customHeight="1" s="3052" customFormat="1">
      <c r="A42" s="3055"/>
      <c r="B42" s="3054">
        <f t="shared" si="2"/>
      </c>
      <c r="C42" s="3054"/>
      <c r="D42" s="3054"/>
      <c r="E42" s="3055"/>
      <c r="F42" s="3055"/>
      <c r="G42" s="3055"/>
      <c r="H42" s="3055"/>
      <c r="I42" s="3055"/>
      <c r="J42" s="3055"/>
      <c r="K42" s="3055"/>
      <c r="L42" s="3055"/>
      <c r="M42" s="3055"/>
      <c r="N42" s="3055"/>
      <c r="O42" s="3055"/>
      <c r="P42" s="3055"/>
      <c r="Q42" s="3055"/>
      <c r="R42" s="3055">
        <f t="shared" si="3"/>
        <v>0</v>
      </c>
      <c r="S42" s="3055">
        <f t="shared" si="4"/>
        <v>0</v>
      </c>
      <c r="T42" s="3055">
        <f t="shared" si="5"/>
        <v>0</v>
      </c>
      <c r="U42" s="3055">
        <f t="shared" si="6"/>
        <v>0</v>
      </c>
      <c r="V42" s="3055">
        <f t="shared" si="7"/>
        <v>0</v>
      </c>
      <c r="W42" s="3055">
        <f t="shared" si="8"/>
        <v>0</v>
      </c>
      <c r="X42" s="3055">
        <f t="shared" si="9"/>
        <v>0</v>
      </c>
      <c r="Y42" s="3055">
        <f t="shared" si="10"/>
        <v>0</v>
      </c>
      <c r="Z42" s="3055">
        <f t="shared" si="11"/>
        <v>0</v>
      </c>
      <c r="AA42" s="3055">
        <f t="shared" si="12"/>
        <v>0</v>
      </c>
      <c r="AB42" s="3055">
        <f t="shared" si="13"/>
        <v>0</v>
      </c>
      <c r="AC42" s="3055">
        <f t="shared" si="14"/>
        <v>0</v>
      </c>
      <c r="AD42" s="3056"/>
      <c r="AE42" s="3057">
        <f t="shared" si="0"/>
      </c>
      <c r="AF42" s="3054"/>
      <c r="AG42" s="3059"/>
      <c r="AH42" s="3058"/>
      <c r="AI42" s="3058"/>
      <c r="AJ42" s="3058"/>
      <c r="AK42" s="3058"/>
      <c r="AL42" s="3058"/>
      <c r="AM42" s="3058"/>
      <c r="AN42" s="3058"/>
      <c r="AO42" s="3058"/>
      <c r="AP42" s="3058"/>
      <c r="AQ42" s="3058"/>
      <c r="AR42" s="3058"/>
      <c r="AS42" s="3058"/>
      <c r="AT42" s="3058"/>
      <c r="AU42" s="3056"/>
      <c r="AV42" s="3057">
        <f t="shared" si="15"/>
      </c>
      <c r="AW42" s="3054"/>
      <c r="AX42" s="3059"/>
      <c r="AY42" s="3058"/>
      <c r="AZ42" s="3058"/>
      <c r="BA42" s="3058"/>
      <c r="BB42" s="3058"/>
      <c r="BC42" s="3058"/>
      <c r="BD42" s="3058"/>
      <c r="BE42" s="3058"/>
      <c r="BF42" s="3058"/>
      <c r="BG42" s="3058"/>
      <c r="BH42" s="3058"/>
      <c r="BI42" s="3058"/>
      <c r="BJ42" s="3058"/>
      <c r="BK42" s="3058"/>
      <c r="BL42" s="3056"/>
      <c r="BM42" s="3057">
        <f t="shared" si="16"/>
      </c>
      <c r="BN42" s="3054"/>
      <c r="BO42" s="3059"/>
      <c r="BP42" s="3058"/>
      <c r="BQ42" s="3058"/>
      <c r="BR42" s="3058"/>
      <c r="BS42" s="3058"/>
      <c r="BT42" s="3058"/>
      <c r="BU42" s="3058"/>
      <c r="BV42" s="3058"/>
      <c r="BW42" s="3058"/>
      <c r="BX42" s="3058"/>
      <c r="BY42" s="3058"/>
      <c r="BZ42" s="3058"/>
      <c r="CA42" s="3058"/>
      <c r="CB42" s="3058"/>
      <c r="CC42" s="3056"/>
      <c r="CD42" s="3057">
        <f t="shared" si="0"/>
      </c>
      <c r="CE42" s="3054"/>
      <c r="CF42" s="3054"/>
      <c r="CG42" s="3055"/>
      <c r="CH42" s="3055"/>
      <c r="CI42" s="3055"/>
      <c r="CJ42" s="3055"/>
      <c r="CK42" s="3055"/>
      <c r="CL42" s="3055"/>
      <c r="CM42" s="3055"/>
      <c r="CN42" s="3055"/>
      <c r="CO42" s="3055"/>
      <c r="CP42" s="3055"/>
      <c r="CQ42" s="3055"/>
      <c r="CR42" s="3055"/>
      <c r="CS42" s="3055"/>
      <c r="CU42" s="3054"/>
      <c r="CV42" s="696"/>
      <c r="CW42" s="696"/>
      <c r="CZ42" s="3060">
        <f t="shared" si="17"/>
      </c>
      <c r="DA42" s="3060">
        <f t="shared" si="1"/>
      </c>
      <c r="DB42" s="3060">
        <f t="shared" si="18"/>
      </c>
      <c r="DC42" s="3060">
        <f t="shared" si="19"/>
      </c>
      <c r="DD42" s="3060">
        <f t="shared" si="20"/>
      </c>
      <c r="DE42" s="3060">
        <f t="shared" si="21"/>
      </c>
      <c r="DF42" s="3060">
        <f t="shared" si="22"/>
      </c>
      <c r="DG42" s="3060">
        <f t="shared" si="23"/>
      </c>
      <c r="DH42" s="3060">
        <f t="shared" si="24"/>
      </c>
      <c r="DI42" s="3060">
        <f t="shared" si="1"/>
      </c>
    </row>
    <row r="43" ht="15" customHeight="1" s="3052" customFormat="1">
      <c r="A43" s="3055"/>
      <c r="B43" s="3054">
        <f t="shared" si="2"/>
      </c>
      <c r="C43" s="3054"/>
      <c r="D43" s="3054"/>
      <c r="E43" s="3055"/>
      <c r="F43" s="3055"/>
      <c r="G43" s="3055"/>
      <c r="H43" s="3055"/>
      <c r="I43" s="3055"/>
      <c r="J43" s="3055"/>
      <c r="K43" s="3055"/>
      <c r="L43" s="3055"/>
      <c r="M43" s="3055"/>
      <c r="N43" s="3055"/>
      <c r="O43" s="3055"/>
      <c r="P43" s="3055"/>
      <c r="Q43" s="3055"/>
      <c r="R43" s="3055">
        <f t="shared" si="3"/>
        <v>0</v>
      </c>
      <c r="S43" s="3055">
        <f t="shared" si="4"/>
        <v>0</v>
      </c>
      <c r="T43" s="3055">
        <f t="shared" si="5"/>
        <v>0</v>
      </c>
      <c r="U43" s="3055">
        <f t="shared" si="6"/>
        <v>0</v>
      </c>
      <c r="V43" s="3055">
        <f t="shared" si="7"/>
        <v>0</v>
      </c>
      <c r="W43" s="3055">
        <f t="shared" si="8"/>
        <v>0</v>
      </c>
      <c r="X43" s="3055">
        <f t="shared" si="9"/>
        <v>0</v>
      </c>
      <c r="Y43" s="3055">
        <f t="shared" si="10"/>
        <v>0</v>
      </c>
      <c r="Z43" s="3055">
        <f t="shared" si="11"/>
        <v>0</v>
      </c>
      <c r="AA43" s="3055">
        <f t="shared" si="12"/>
        <v>0</v>
      </c>
      <c r="AB43" s="3055">
        <f t="shared" si="13"/>
        <v>0</v>
      </c>
      <c r="AC43" s="3055">
        <f t="shared" si="14"/>
        <v>0</v>
      </c>
      <c r="AD43" s="3056"/>
      <c r="AE43" s="3057">
        <f t="shared" si="0"/>
      </c>
      <c r="AF43" s="3054"/>
      <c r="AG43" s="3059"/>
      <c r="AH43" s="3058"/>
      <c r="AI43" s="3058"/>
      <c r="AJ43" s="3058"/>
      <c r="AK43" s="3058"/>
      <c r="AL43" s="3058"/>
      <c r="AM43" s="3058"/>
      <c r="AN43" s="3058"/>
      <c r="AO43" s="3058"/>
      <c r="AP43" s="3058"/>
      <c r="AQ43" s="3058"/>
      <c r="AR43" s="3058"/>
      <c r="AS43" s="3058"/>
      <c r="AT43" s="3058"/>
      <c r="AU43" s="3056"/>
      <c r="AV43" s="3057">
        <f t="shared" si="15"/>
      </c>
      <c r="AW43" s="3054"/>
      <c r="AX43" s="3059"/>
      <c r="AY43" s="3058"/>
      <c r="AZ43" s="3058"/>
      <c r="BA43" s="3058"/>
      <c r="BB43" s="3058"/>
      <c r="BC43" s="3058"/>
      <c r="BD43" s="3058"/>
      <c r="BE43" s="3058"/>
      <c r="BF43" s="3058"/>
      <c r="BG43" s="3058"/>
      <c r="BH43" s="3058"/>
      <c r="BI43" s="3058"/>
      <c r="BJ43" s="3058"/>
      <c r="BK43" s="3058"/>
      <c r="BL43" s="3056"/>
      <c r="BM43" s="3057">
        <f t="shared" si="16"/>
      </c>
      <c r="BN43" s="3054"/>
      <c r="BO43" s="3059"/>
      <c r="BP43" s="3058"/>
      <c r="BQ43" s="3058"/>
      <c r="BR43" s="3058"/>
      <c r="BS43" s="3058"/>
      <c r="BT43" s="3058"/>
      <c r="BU43" s="3058"/>
      <c r="BV43" s="3058"/>
      <c r="BW43" s="3058"/>
      <c r="BX43" s="3058"/>
      <c r="BY43" s="3058"/>
      <c r="BZ43" s="3058"/>
      <c r="CA43" s="3058"/>
      <c r="CB43" s="3058"/>
      <c r="CC43" s="3056"/>
      <c r="CD43" s="3057">
        <f t="shared" si="0"/>
      </c>
      <c r="CE43" s="3054"/>
      <c r="CF43" s="3054"/>
      <c r="CG43" s="3055"/>
      <c r="CH43" s="3055"/>
      <c r="CI43" s="3055"/>
      <c r="CJ43" s="3055"/>
      <c r="CK43" s="3055"/>
      <c r="CL43" s="3055"/>
      <c r="CM43" s="3055"/>
      <c r="CN43" s="3055"/>
      <c r="CO43" s="3055"/>
      <c r="CP43" s="3055"/>
      <c r="CQ43" s="3055"/>
      <c r="CR43" s="3055"/>
      <c r="CS43" s="3055"/>
      <c r="CU43" s="3054"/>
      <c r="CV43" s="696"/>
      <c r="CW43" s="696"/>
      <c r="CZ43" s="3060">
        <f t="shared" si="17"/>
      </c>
      <c r="DA43" s="3060">
        <f t="shared" si="1"/>
      </c>
      <c r="DB43" s="3060">
        <f t="shared" si="18"/>
      </c>
      <c r="DC43" s="3060">
        <f t="shared" si="19"/>
      </c>
      <c r="DD43" s="3060">
        <f t="shared" si="20"/>
      </c>
      <c r="DE43" s="3060">
        <f t="shared" si="21"/>
      </c>
      <c r="DF43" s="3060">
        <f t="shared" si="22"/>
      </c>
      <c r="DG43" s="3060">
        <f t="shared" si="23"/>
      </c>
      <c r="DH43" s="3060">
        <f t="shared" si="24"/>
      </c>
      <c r="DI43" s="3060">
        <f t="shared" si="1"/>
      </c>
    </row>
    <row r="44" ht="15" customHeight="1" s="3052" customFormat="1">
      <c r="A44" s="3055"/>
      <c r="B44" s="3054">
        <f t="shared" si="2"/>
      </c>
      <c r="C44" s="3054"/>
      <c r="D44" s="3054"/>
      <c r="E44" s="3055"/>
      <c r="F44" s="3055"/>
      <c r="G44" s="3055"/>
      <c r="H44" s="3055"/>
      <c r="I44" s="3055"/>
      <c r="J44" s="3055"/>
      <c r="K44" s="3055"/>
      <c r="L44" s="3055"/>
      <c r="M44" s="3055"/>
      <c r="N44" s="3055"/>
      <c r="O44" s="3055"/>
      <c r="P44" s="3055"/>
      <c r="Q44" s="3055"/>
      <c r="R44" s="3055">
        <f t="shared" si="3"/>
        <v>0</v>
      </c>
      <c r="S44" s="3055">
        <f t="shared" si="4"/>
        <v>0</v>
      </c>
      <c r="T44" s="3055">
        <f t="shared" si="5"/>
        <v>0</v>
      </c>
      <c r="U44" s="3055">
        <f t="shared" si="6"/>
        <v>0</v>
      </c>
      <c r="V44" s="3055">
        <f t="shared" si="7"/>
        <v>0</v>
      </c>
      <c r="W44" s="3055">
        <f t="shared" si="8"/>
        <v>0</v>
      </c>
      <c r="X44" s="3055">
        <f t="shared" si="9"/>
        <v>0</v>
      </c>
      <c r="Y44" s="3055">
        <f t="shared" si="10"/>
        <v>0</v>
      </c>
      <c r="Z44" s="3055">
        <f t="shared" si="11"/>
        <v>0</v>
      </c>
      <c r="AA44" s="3055">
        <f t="shared" si="12"/>
        <v>0</v>
      </c>
      <c r="AB44" s="3055">
        <f t="shared" si="13"/>
        <v>0</v>
      </c>
      <c r="AC44" s="3055">
        <f t="shared" si="14"/>
        <v>0</v>
      </c>
      <c r="AD44" s="3056"/>
      <c r="AE44" s="3057">
        <f t="shared" si="0"/>
      </c>
      <c r="AF44" s="3054"/>
      <c r="AG44" s="3059"/>
      <c r="AH44" s="3058"/>
      <c r="AI44" s="3058"/>
      <c r="AJ44" s="3058"/>
      <c r="AK44" s="3058"/>
      <c r="AL44" s="3058"/>
      <c r="AM44" s="3058"/>
      <c r="AN44" s="3058"/>
      <c r="AO44" s="3058"/>
      <c r="AP44" s="3058"/>
      <c r="AQ44" s="3058"/>
      <c r="AR44" s="3058"/>
      <c r="AS44" s="3058"/>
      <c r="AT44" s="3058"/>
      <c r="AU44" s="3056"/>
      <c r="AV44" s="3057">
        <f t="shared" si="15"/>
      </c>
      <c r="AW44" s="3054"/>
      <c r="AX44" s="3059"/>
      <c r="AY44" s="3058"/>
      <c r="AZ44" s="3058"/>
      <c r="BA44" s="3058"/>
      <c r="BB44" s="3058"/>
      <c r="BC44" s="3058"/>
      <c r="BD44" s="3058"/>
      <c r="BE44" s="3058"/>
      <c r="BF44" s="3058"/>
      <c r="BG44" s="3058"/>
      <c r="BH44" s="3058"/>
      <c r="BI44" s="3058"/>
      <c r="BJ44" s="3058"/>
      <c r="BK44" s="3058"/>
      <c r="BL44" s="3056"/>
      <c r="BM44" s="3057">
        <f t="shared" si="16"/>
      </c>
      <c r="BN44" s="3054"/>
      <c r="BO44" s="3059"/>
      <c r="BP44" s="3058"/>
      <c r="BQ44" s="3058"/>
      <c r="BR44" s="3058"/>
      <c r="BS44" s="3058"/>
      <c r="BT44" s="3058"/>
      <c r="BU44" s="3058"/>
      <c r="BV44" s="3058"/>
      <c r="BW44" s="3058"/>
      <c r="BX44" s="3058"/>
      <c r="BY44" s="3058"/>
      <c r="BZ44" s="3058"/>
      <c r="CA44" s="3058"/>
      <c r="CB44" s="3058"/>
      <c r="CC44" s="3056"/>
      <c r="CD44" s="3057">
        <f t="shared" si="0"/>
      </c>
      <c r="CE44" s="3054"/>
      <c r="CF44" s="3054"/>
      <c r="CG44" s="3055"/>
      <c r="CH44" s="3055"/>
      <c r="CI44" s="3055"/>
      <c r="CJ44" s="3055"/>
      <c r="CK44" s="3055"/>
      <c r="CL44" s="3055"/>
      <c r="CM44" s="3055"/>
      <c r="CN44" s="3055"/>
      <c r="CO44" s="3055"/>
      <c r="CP44" s="3055"/>
      <c r="CQ44" s="3055"/>
      <c r="CR44" s="3055"/>
      <c r="CS44" s="3055"/>
      <c r="CU44" s="3054"/>
      <c r="CV44" s="696"/>
      <c r="CW44" s="696"/>
      <c r="CZ44" s="3060">
        <f t="shared" si="17"/>
      </c>
      <c r="DA44" s="3060">
        <f t="shared" si="1"/>
      </c>
      <c r="DB44" s="3060">
        <f t="shared" si="18"/>
      </c>
      <c r="DC44" s="3060">
        <f t="shared" si="19"/>
      </c>
      <c r="DD44" s="3060">
        <f t="shared" si="20"/>
      </c>
      <c r="DE44" s="3060">
        <f t="shared" si="21"/>
      </c>
      <c r="DF44" s="3060">
        <f t="shared" si="22"/>
      </c>
      <c r="DG44" s="3060">
        <f t="shared" si="23"/>
      </c>
      <c r="DH44" s="3060">
        <f t="shared" si="24"/>
      </c>
      <c r="DI44" s="3060">
        <f t="shared" si="1"/>
      </c>
    </row>
    <row r="45" ht="15" customHeight="1" s="3052" customFormat="1">
      <c r="A45" s="3062"/>
      <c r="B45" s="3054">
        <f t="shared" si="2"/>
      </c>
      <c r="C45" s="3054"/>
      <c r="D45" s="3054"/>
      <c r="E45" s="3055"/>
      <c r="F45" s="3055"/>
      <c r="G45" s="3055"/>
      <c r="H45" s="3055"/>
      <c r="I45" s="3055"/>
      <c r="J45" s="3055"/>
      <c r="K45" s="3055"/>
      <c r="L45" s="3055"/>
      <c r="M45" s="3055"/>
      <c r="N45" s="3055"/>
      <c r="O45" s="3055"/>
      <c r="P45" s="3055"/>
      <c r="Q45" s="3055"/>
      <c r="R45" s="3055">
        <f t="shared" si="3"/>
        <v>0</v>
      </c>
      <c r="S45" s="3055">
        <f t="shared" si="4"/>
        <v>0</v>
      </c>
      <c r="T45" s="3055">
        <f t="shared" si="5"/>
        <v>0</v>
      </c>
      <c r="U45" s="3055">
        <f t="shared" si="6"/>
        <v>0</v>
      </c>
      <c r="V45" s="3055">
        <f t="shared" si="7"/>
        <v>0</v>
      </c>
      <c r="W45" s="3055">
        <f t="shared" si="8"/>
        <v>0</v>
      </c>
      <c r="X45" s="3055">
        <f t="shared" si="9"/>
        <v>0</v>
      </c>
      <c r="Y45" s="3055">
        <f t="shared" si="10"/>
        <v>0</v>
      </c>
      <c r="Z45" s="3055">
        <f t="shared" si="11"/>
        <v>0</v>
      </c>
      <c r="AA45" s="3055">
        <f t="shared" si="12"/>
        <v>0</v>
      </c>
      <c r="AB45" s="3055">
        <f t="shared" si="13"/>
        <v>0</v>
      </c>
      <c r="AC45" s="3055">
        <f t="shared" si="14"/>
        <v>0</v>
      </c>
      <c r="AD45" s="3056"/>
      <c r="AE45" s="3057">
        <f t="shared" si="0"/>
      </c>
      <c r="AF45" s="3054"/>
      <c r="AG45" s="3059"/>
      <c r="AH45" s="3058"/>
      <c r="AI45" s="3058"/>
      <c r="AJ45" s="3058"/>
      <c r="AK45" s="3058"/>
      <c r="AL45" s="3058"/>
      <c r="AM45" s="3058"/>
      <c r="AN45" s="3058"/>
      <c r="AO45" s="3058"/>
      <c r="AP45" s="3058"/>
      <c r="AQ45" s="3058"/>
      <c r="AR45" s="3058"/>
      <c r="AS45" s="3058"/>
      <c r="AT45" s="3058"/>
      <c r="AU45" s="3056"/>
      <c r="AV45" s="3057">
        <f t="shared" si="15"/>
      </c>
      <c r="AW45" s="3054"/>
      <c r="AX45" s="3059"/>
      <c r="AY45" s="3058"/>
      <c r="AZ45" s="3058"/>
      <c r="BA45" s="3058"/>
      <c r="BB45" s="3058"/>
      <c r="BC45" s="3058"/>
      <c r="BD45" s="3058"/>
      <c r="BE45" s="3058"/>
      <c r="BF45" s="3058"/>
      <c r="BG45" s="3058"/>
      <c r="BH45" s="3058"/>
      <c r="BI45" s="3058"/>
      <c r="BJ45" s="3058"/>
      <c r="BK45" s="3058"/>
      <c r="BL45" s="3056"/>
      <c r="BM45" s="3057">
        <f t="shared" si="16"/>
      </c>
      <c r="BN45" s="3054"/>
      <c r="BO45" s="3059"/>
      <c r="BP45" s="3058"/>
      <c r="BQ45" s="3058"/>
      <c r="BR45" s="3058"/>
      <c r="BS45" s="3058"/>
      <c r="BT45" s="3058"/>
      <c r="BU45" s="3058"/>
      <c r="BV45" s="3058"/>
      <c r="BW45" s="3058"/>
      <c r="BX45" s="3058"/>
      <c r="BY45" s="3058"/>
      <c r="BZ45" s="3058"/>
      <c r="CA45" s="3058"/>
      <c r="CB45" s="3058"/>
      <c r="CC45" s="3056"/>
      <c r="CD45" s="3057">
        <f t="shared" si="0"/>
      </c>
      <c r="CE45" s="3054"/>
      <c r="CF45" s="3054"/>
      <c r="CG45" s="3055"/>
      <c r="CH45" s="3055"/>
      <c r="CI45" s="3055"/>
      <c r="CJ45" s="3055"/>
      <c r="CK45" s="3055"/>
      <c r="CL45" s="3055"/>
      <c r="CM45" s="3055"/>
      <c r="CN45" s="3055"/>
      <c r="CO45" s="3055"/>
      <c r="CP45" s="3055"/>
      <c r="CQ45" s="3055"/>
      <c r="CR45" s="3055"/>
      <c r="CS45" s="3055"/>
      <c r="CU45" s="3054"/>
      <c r="CV45" s="696"/>
      <c r="CW45" s="696"/>
      <c r="CZ45" s="3060">
        <f t="shared" si="17"/>
      </c>
      <c r="DA45" s="3060">
        <f t="shared" si="1"/>
      </c>
      <c r="DB45" s="3060">
        <f t="shared" si="18"/>
      </c>
      <c r="DC45" s="3060">
        <f t="shared" si="19"/>
      </c>
      <c r="DD45" s="3060">
        <f t="shared" si="20"/>
      </c>
      <c r="DE45" s="3060">
        <f t="shared" si="21"/>
      </c>
      <c r="DF45" s="3060">
        <f t="shared" si="22"/>
      </c>
      <c r="DG45" s="3060">
        <f t="shared" si="23"/>
      </c>
      <c r="DH45" s="3060">
        <f t="shared" si="24"/>
      </c>
      <c r="DI45" s="3060">
        <f t="shared" si="1"/>
      </c>
    </row>
    <row r="46" ht="15" customHeight="1" s="3052" customFormat="1">
      <c r="A46" s="3062"/>
      <c r="B46" s="3054">
        <f t="shared" si="2"/>
      </c>
      <c r="C46" s="3054"/>
      <c r="D46" s="3054"/>
      <c r="E46" s="3055"/>
      <c r="F46" s="3055"/>
      <c r="G46" s="3055"/>
      <c r="H46" s="3055"/>
      <c r="I46" s="3055"/>
      <c r="J46" s="3055"/>
      <c r="K46" s="3055"/>
      <c r="L46" s="3055"/>
      <c r="M46" s="3055"/>
      <c r="N46" s="3055"/>
      <c r="O46" s="3055"/>
      <c r="P46" s="3055"/>
      <c r="Q46" s="3055"/>
      <c r="R46" s="3055">
        <f t="shared" si="3"/>
        <v>0</v>
      </c>
      <c r="S46" s="3055">
        <f t="shared" si="4"/>
        <v>0</v>
      </c>
      <c r="T46" s="3055">
        <f t="shared" si="5"/>
        <v>0</v>
      </c>
      <c r="U46" s="3055">
        <f t="shared" si="6"/>
        <v>0</v>
      </c>
      <c r="V46" s="3055">
        <f t="shared" si="7"/>
        <v>0</v>
      </c>
      <c r="W46" s="3055">
        <f t="shared" si="8"/>
        <v>0</v>
      </c>
      <c r="X46" s="3055">
        <f t="shared" si="9"/>
        <v>0</v>
      </c>
      <c r="Y46" s="3055">
        <f t="shared" si="10"/>
        <v>0</v>
      </c>
      <c r="Z46" s="3055">
        <f t="shared" si="11"/>
        <v>0</v>
      </c>
      <c r="AA46" s="3055">
        <f t="shared" si="12"/>
        <v>0</v>
      </c>
      <c r="AB46" s="3055">
        <f t="shared" si="13"/>
        <v>0</v>
      </c>
      <c r="AC46" s="3055">
        <f t="shared" si="14"/>
        <v>0</v>
      </c>
      <c r="AD46" s="3056"/>
      <c r="AE46" s="3057">
        <f t="shared" si="0"/>
      </c>
      <c r="AF46" s="3054"/>
      <c r="AG46" s="3059"/>
      <c r="AH46" s="3058"/>
      <c r="AI46" s="3058"/>
      <c r="AJ46" s="3058"/>
      <c r="AK46" s="3058"/>
      <c r="AL46" s="3058"/>
      <c r="AM46" s="3058"/>
      <c r="AN46" s="3058"/>
      <c r="AO46" s="3058"/>
      <c r="AP46" s="3058"/>
      <c r="AQ46" s="3058"/>
      <c r="AR46" s="3058"/>
      <c r="AS46" s="3058"/>
      <c r="AT46" s="3058"/>
      <c r="AU46" s="3056"/>
      <c r="AV46" s="3057">
        <f t="shared" si="15"/>
      </c>
      <c r="AW46" s="3054"/>
      <c r="AX46" s="3059"/>
      <c r="AY46" s="3058"/>
      <c r="AZ46" s="3058"/>
      <c r="BA46" s="3058"/>
      <c r="BB46" s="3058"/>
      <c r="BC46" s="3058"/>
      <c r="BD46" s="3058"/>
      <c r="BE46" s="3058"/>
      <c r="BF46" s="3058"/>
      <c r="BG46" s="3058"/>
      <c r="BH46" s="3058"/>
      <c r="BI46" s="3058"/>
      <c r="BJ46" s="3058"/>
      <c r="BK46" s="3058"/>
      <c r="BL46" s="3056"/>
      <c r="BM46" s="3057">
        <f t="shared" si="16"/>
      </c>
      <c r="BN46" s="3054"/>
      <c r="BO46" s="3059"/>
      <c r="BP46" s="3058"/>
      <c r="BQ46" s="3058"/>
      <c r="BR46" s="3058"/>
      <c r="BS46" s="3058"/>
      <c r="BT46" s="3058"/>
      <c r="BU46" s="3058"/>
      <c r="BV46" s="3058"/>
      <c r="BW46" s="3058"/>
      <c r="BX46" s="3058"/>
      <c r="BY46" s="3058"/>
      <c r="BZ46" s="3058"/>
      <c r="CA46" s="3058"/>
      <c r="CB46" s="3058"/>
      <c r="CC46" s="3056"/>
      <c r="CD46" s="3057">
        <f t="shared" si="0"/>
      </c>
      <c r="CE46" s="3054"/>
      <c r="CF46" s="3054"/>
      <c r="CG46" s="3055"/>
      <c r="CH46" s="3055"/>
      <c r="CI46" s="3055"/>
      <c r="CJ46" s="3055"/>
      <c r="CK46" s="3055"/>
      <c r="CL46" s="3055"/>
      <c r="CM46" s="3055"/>
      <c r="CN46" s="3055"/>
      <c r="CO46" s="3055"/>
      <c r="CP46" s="3055"/>
      <c r="CQ46" s="3055"/>
      <c r="CR46" s="3055"/>
      <c r="CS46" s="3055"/>
      <c r="CU46" s="3054"/>
      <c r="CV46" s="696"/>
      <c r="CW46" s="696"/>
      <c r="CZ46" s="3060">
        <f t="shared" si="17"/>
      </c>
      <c r="DA46" s="3060">
        <f t="shared" si="1"/>
      </c>
      <c r="DB46" s="3060">
        <f t="shared" si="18"/>
      </c>
      <c r="DC46" s="3060">
        <f t="shared" si="19"/>
      </c>
      <c r="DD46" s="3060">
        <f t="shared" si="20"/>
      </c>
      <c r="DE46" s="3060">
        <f t="shared" si="21"/>
      </c>
      <c r="DF46" s="3060">
        <f t="shared" si="22"/>
      </c>
      <c r="DG46" s="3060">
        <f t="shared" si="23"/>
      </c>
      <c r="DH46" s="3060">
        <f t="shared" si="24"/>
      </c>
      <c r="DI46" s="3060">
        <f t="shared" si="1"/>
      </c>
    </row>
    <row r="47" ht="15" customHeight="1" s="3052" customFormat="1">
      <c r="A47" s="3062"/>
      <c r="B47" s="3054">
        <f t="shared" si="2"/>
      </c>
      <c r="C47" s="3054"/>
      <c r="D47" s="3054"/>
      <c r="E47" s="3055"/>
      <c r="F47" s="3055"/>
      <c r="G47" s="3055"/>
      <c r="H47" s="3055"/>
      <c r="I47" s="3055"/>
      <c r="J47" s="3055"/>
      <c r="K47" s="3055"/>
      <c r="L47" s="3055"/>
      <c r="M47" s="3055"/>
      <c r="N47" s="3055"/>
      <c r="O47" s="3055"/>
      <c r="P47" s="3055"/>
      <c r="Q47" s="3055"/>
      <c r="R47" s="3055">
        <f t="shared" si="3"/>
        <v>0</v>
      </c>
      <c r="S47" s="3055">
        <f t="shared" si="4"/>
        <v>0</v>
      </c>
      <c r="T47" s="3055">
        <f t="shared" si="5"/>
        <v>0</v>
      </c>
      <c r="U47" s="3055">
        <f t="shared" si="6"/>
        <v>0</v>
      </c>
      <c r="V47" s="3055">
        <f t="shared" si="7"/>
        <v>0</v>
      </c>
      <c r="W47" s="3055">
        <f t="shared" si="8"/>
        <v>0</v>
      </c>
      <c r="X47" s="3055">
        <f t="shared" si="9"/>
        <v>0</v>
      </c>
      <c r="Y47" s="3055">
        <f t="shared" si="10"/>
        <v>0</v>
      </c>
      <c r="Z47" s="3055">
        <f t="shared" si="11"/>
        <v>0</v>
      </c>
      <c r="AA47" s="3055">
        <f t="shared" si="12"/>
        <v>0</v>
      </c>
      <c r="AB47" s="3055">
        <f t="shared" si="13"/>
        <v>0</v>
      </c>
      <c r="AC47" s="3055">
        <f t="shared" si="14"/>
        <v>0</v>
      </c>
      <c r="AD47" s="3056"/>
      <c r="AE47" s="3057">
        <f t="shared" si="0"/>
      </c>
      <c r="AF47" s="3054"/>
      <c r="AG47" s="3059"/>
      <c r="AH47" s="3058"/>
      <c r="AI47" s="3058"/>
      <c r="AJ47" s="3058"/>
      <c r="AK47" s="3058"/>
      <c r="AL47" s="3058"/>
      <c r="AM47" s="3058"/>
      <c r="AN47" s="3058"/>
      <c r="AO47" s="3058"/>
      <c r="AP47" s="3058"/>
      <c r="AQ47" s="3058"/>
      <c r="AR47" s="3058"/>
      <c r="AS47" s="3058"/>
      <c r="AT47" s="3058"/>
      <c r="AU47" s="3056"/>
      <c r="AV47" s="3057">
        <f t="shared" si="15"/>
      </c>
      <c r="AW47" s="3054"/>
      <c r="AX47" s="3059"/>
      <c r="AY47" s="3058"/>
      <c r="AZ47" s="3058"/>
      <c r="BA47" s="3058"/>
      <c r="BB47" s="3058"/>
      <c r="BC47" s="3058"/>
      <c r="BD47" s="3058"/>
      <c r="BE47" s="3058"/>
      <c r="BF47" s="3058"/>
      <c r="BG47" s="3058"/>
      <c r="BH47" s="3058"/>
      <c r="BI47" s="3058"/>
      <c r="BJ47" s="3058"/>
      <c r="BK47" s="3058"/>
      <c r="BL47" s="3056"/>
      <c r="BM47" s="3057">
        <f t="shared" si="16"/>
      </c>
      <c r="BN47" s="3054"/>
      <c r="BO47" s="3059"/>
      <c r="BP47" s="3058"/>
      <c r="BQ47" s="3058"/>
      <c r="BR47" s="3058"/>
      <c r="BS47" s="3058"/>
      <c r="BT47" s="3058"/>
      <c r="BU47" s="3058"/>
      <c r="BV47" s="3058"/>
      <c r="BW47" s="3058"/>
      <c r="BX47" s="3058"/>
      <c r="BY47" s="3058"/>
      <c r="BZ47" s="3058"/>
      <c r="CA47" s="3058"/>
      <c r="CB47" s="3058"/>
      <c r="CC47" s="3056"/>
      <c r="CD47" s="3057">
        <f t="shared" si="0"/>
      </c>
      <c r="CE47" s="3054"/>
      <c r="CF47" s="3054"/>
      <c r="CG47" s="3055"/>
      <c r="CH47" s="3055"/>
      <c r="CI47" s="3055"/>
      <c r="CJ47" s="3055"/>
      <c r="CK47" s="3055"/>
      <c r="CL47" s="3055"/>
      <c r="CM47" s="3055"/>
      <c r="CN47" s="3055"/>
      <c r="CO47" s="3055"/>
      <c r="CP47" s="3055"/>
      <c r="CQ47" s="3055"/>
      <c r="CR47" s="3055"/>
      <c r="CS47" s="3055"/>
      <c r="CU47" s="3054"/>
      <c r="CV47" s="696"/>
      <c r="CW47" s="696"/>
      <c r="CZ47" s="3060">
        <f t="shared" si="17"/>
      </c>
      <c r="DA47" s="3060">
        <f t="shared" si="1"/>
      </c>
      <c r="DB47" s="3060">
        <f t="shared" si="18"/>
      </c>
      <c r="DC47" s="3060">
        <f t="shared" si="19"/>
      </c>
      <c r="DD47" s="3060">
        <f t="shared" si="20"/>
      </c>
      <c r="DE47" s="3060">
        <f t="shared" si="21"/>
      </c>
      <c r="DF47" s="3060">
        <f t="shared" si="22"/>
      </c>
      <c r="DG47" s="3060">
        <f t="shared" si="23"/>
      </c>
      <c r="DH47" s="3060">
        <f t="shared" si="24"/>
      </c>
      <c r="DI47" s="3060">
        <f t="shared" si="1"/>
      </c>
    </row>
    <row r="48" ht="15" customHeight="1" s="3052" customFormat="1">
      <c r="A48" s="3062"/>
      <c r="B48" s="3054">
        <f t="shared" si="2"/>
      </c>
      <c r="C48" s="3054"/>
      <c r="D48" s="3054"/>
      <c r="E48" s="3055"/>
      <c r="F48" s="3055"/>
      <c r="G48" s="3055"/>
      <c r="H48" s="3055"/>
      <c r="I48" s="3055"/>
      <c r="J48" s="3055"/>
      <c r="K48" s="3055"/>
      <c r="L48" s="3055"/>
      <c r="M48" s="3055"/>
      <c r="N48" s="3055"/>
      <c r="O48" s="3055"/>
      <c r="P48" s="3055"/>
      <c r="Q48" s="3055"/>
      <c r="R48" s="3055">
        <f t="shared" si="3"/>
        <v>0</v>
      </c>
      <c r="S48" s="3055">
        <f t="shared" si="4"/>
        <v>0</v>
      </c>
      <c r="T48" s="3055">
        <f t="shared" si="5"/>
        <v>0</v>
      </c>
      <c r="U48" s="3055">
        <f t="shared" si="6"/>
        <v>0</v>
      </c>
      <c r="V48" s="3055">
        <f t="shared" si="7"/>
        <v>0</v>
      </c>
      <c r="W48" s="3055">
        <f t="shared" si="8"/>
        <v>0</v>
      </c>
      <c r="X48" s="3055">
        <f t="shared" si="9"/>
        <v>0</v>
      </c>
      <c r="Y48" s="3055">
        <f t="shared" si="10"/>
        <v>0</v>
      </c>
      <c r="Z48" s="3055">
        <f t="shared" si="11"/>
        <v>0</v>
      </c>
      <c r="AA48" s="3055">
        <f t="shared" si="12"/>
        <v>0</v>
      </c>
      <c r="AB48" s="3055">
        <f t="shared" si="13"/>
        <v>0</v>
      </c>
      <c r="AC48" s="3055">
        <f t="shared" si="14"/>
        <v>0</v>
      </c>
      <c r="AD48" s="3056"/>
      <c r="AE48" s="3057">
        <f t="shared" si="0"/>
      </c>
      <c r="AF48" s="3054"/>
      <c r="AG48" s="3059"/>
      <c r="AH48" s="3058"/>
      <c r="AI48" s="3058"/>
      <c r="AJ48" s="3058"/>
      <c r="AK48" s="3058"/>
      <c r="AL48" s="3058"/>
      <c r="AM48" s="3058"/>
      <c r="AN48" s="3058"/>
      <c r="AO48" s="3058"/>
      <c r="AP48" s="3058"/>
      <c r="AQ48" s="3058"/>
      <c r="AR48" s="3058"/>
      <c r="AS48" s="3058"/>
      <c r="AT48" s="3058"/>
      <c r="AU48" s="3056"/>
      <c r="AV48" s="3057">
        <f t="shared" si="15"/>
      </c>
      <c r="AW48" s="3054"/>
      <c r="AX48" s="3059"/>
      <c r="AY48" s="3058"/>
      <c r="AZ48" s="3058"/>
      <c r="BA48" s="3058"/>
      <c r="BB48" s="3058"/>
      <c r="BC48" s="3058"/>
      <c r="BD48" s="3058"/>
      <c r="BE48" s="3058"/>
      <c r="BF48" s="3058"/>
      <c r="BG48" s="3058"/>
      <c r="BH48" s="3058"/>
      <c r="BI48" s="3058"/>
      <c r="BJ48" s="3058"/>
      <c r="BK48" s="3058"/>
      <c r="BL48" s="3056"/>
      <c r="BM48" s="3057">
        <f t="shared" si="16"/>
      </c>
      <c r="BN48" s="3054"/>
      <c r="BO48" s="3059"/>
      <c r="BP48" s="3058"/>
      <c r="BQ48" s="3058"/>
      <c r="BR48" s="3058"/>
      <c r="BS48" s="3058"/>
      <c r="BT48" s="3058"/>
      <c r="BU48" s="3058"/>
      <c r="BV48" s="3058"/>
      <c r="BW48" s="3058"/>
      <c r="BX48" s="3058"/>
      <c r="BY48" s="3058"/>
      <c r="BZ48" s="3058"/>
      <c r="CA48" s="3058"/>
      <c r="CB48" s="3058"/>
      <c r="CC48" s="3056"/>
      <c r="CD48" s="3057">
        <f t="shared" si="0"/>
      </c>
      <c r="CE48" s="3054"/>
      <c r="CF48" s="3054"/>
      <c r="CG48" s="3055"/>
      <c r="CH48" s="3055"/>
      <c r="CI48" s="3055"/>
      <c r="CJ48" s="3055"/>
      <c r="CK48" s="3055"/>
      <c r="CL48" s="3055"/>
      <c r="CM48" s="3055"/>
      <c r="CN48" s="3055"/>
      <c r="CO48" s="3055"/>
      <c r="CP48" s="3055"/>
      <c r="CQ48" s="3055"/>
      <c r="CR48" s="3055"/>
      <c r="CS48" s="3055"/>
      <c r="CU48" s="3054"/>
      <c r="CV48" s="696"/>
      <c r="CW48" s="696"/>
      <c r="CZ48" s="3060">
        <f t="shared" si="17"/>
      </c>
      <c r="DA48" s="3060">
        <f t="shared" si="1"/>
      </c>
      <c r="DB48" s="3060">
        <f t="shared" si="18"/>
      </c>
      <c r="DC48" s="3060">
        <f t="shared" si="19"/>
      </c>
      <c r="DD48" s="3060">
        <f t="shared" si="20"/>
      </c>
      <c r="DE48" s="3060">
        <f t="shared" si="21"/>
      </c>
      <c r="DF48" s="3060">
        <f t="shared" si="22"/>
      </c>
      <c r="DG48" s="3060">
        <f t="shared" si="23"/>
      </c>
      <c r="DH48" s="3060">
        <f t="shared" si="24"/>
      </c>
      <c r="DI48" s="3060">
        <f t="shared" si="1"/>
      </c>
    </row>
    <row r="49" ht="15" customHeight="1" s="3052" customFormat="1">
      <c r="A49" s="3062"/>
      <c r="B49" s="3054">
        <f t="shared" si="2"/>
      </c>
      <c r="C49" s="3054"/>
      <c r="D49" s="3054"/>
      <c r="E49" s="3055"/>
      <c r="F49" s="3055"/>
      <c r="G49" s="3055"/>
      <c r="H49" s="3055"/>
      <c r="I49" s="3055"/>
      <c r="J49" s="3055"/>
      <c r="K49" s="3055"/>
      <c r="L49" s="3055"/>
      <c r="M49" s="3055"/>
      <c r="N49" s="3055"/>
      <c r="O49" s="3055"/>
      <c r="P49" s="3055"/>
      <c r="Q49" s="3055"/>
      <c r="R49" s="3055">
        <f t="shared" si="3"/>
        <v>0</v>
      </c>
      <c r="S49" s="3055">
        <f t="shared" si="4"/>
        <v>0</v>
      </c>
      <c r="T49" s="3055">
        <f t="shared" si="5"/>
        <v>0</v>
      </c>
      <c r="U49" s="3055">
        <f t="shared" si="6"/>
        <v>0</v>
      </c>
      <c r="V49" s="3055">
        <f t="shared" si="7"/>
        <v>0</v>
      </c>
      <c r="W49" s="3055">
        <f t="shared" si="8"/>
        <v>0</v>
      </c>
      <c r="X49" s="3055">
        <f t="shared" si="9"/>
        <v>0</v>
      </c>
      <c r="Y49" s="3055">
        <f t="shared" si="10"/>
        <v>0</v>
      </c>
      <c r="Z49" s="3055">
        <f t="shared" si="11"/>
        <v>0</v>
      </c>
      <c r="AA49" s="3055">
        <f t="shared" si="12"/>
        <v>0</v>
      </c>
      <c r="AB49" s="3055">
        <f t="shared" si="13"/>
        <v>0</v>
      </c>
      <c r="AC49" s="3055">
        <f t="shared" si="14"/>
        <v>0</v>
      </c>
      <c r="AD49" s="3056"/>
      <c r="AE49" s="3057">
        <f t="shared" si="0"/>
      </c>
      <c r="AF49" s="3054"/>
      <c r="AG49" s="3059"/>
      <c r="AH49" s="3058"/>
      <c r="AI49" s="3058"/>
      <c r="AJ49" s="3058"/>
      <c r="AK49" s="3058"/>
      <c r="AL49" s="3058"/>
      <c r="AM49" s="3058"/>
      <c r="AN49" s="3058"/>
      <c r="AO49" s="3058"/>
      <c r="AP49" s="3058"/>
      <c r="AQ49" s="3058"/>
      <c r="AR49" s="3058"/>
      <c r="AS49" s="3058"/>
      <c r="AT49" s="3058"/>
      <c r="AU49" s="3056"/>
      <c r="AV49" s="3057">
        <f t="shared" si="15"/>
      </c>
      <c r="AW49" s="3054"/>
      <c r="AX49" s="3059"/>
      <c r="AY49" s="3058"/>
      <c r="AZ49" s="3058"/>
      <c r="BA49" s="3058"/>
      <c r="BB49" s="3058"/>
      <c r="BC49" s="3058"/>
      <c r="BD49" s="3058"/>
      <c r="BE49" s="3058"/>
      <c r="BF49" s="3058"/>
      <c r="BG49" s="3058"/>
      <c r="BH49" s="3058"/>
      <c r="BI49" s="3058"/>
      <c r="BJ49" s="3058"/>
      <c r="BK49" s="3058"/>
      <c r="BL49" s="3056"/>
      <c r="BM49" s="3057">
        <f t="shared" si="16"/>
      </c>
      <c r="BN49" s="3054"/>
      <c r="BO49" s="3059"/>
      <c r="BP49" s="3058"/>
      <c r="BQ49" s="3058"/>
      <c r="BR49" s="3058"/>
      <c r="BS49" s="3058"/>
      <c r="BT49" s="3058"/>
      <c r="BU49" s="3058"/>
      <c r="BV49" s="3058"/>
      <c r="BW49" s="3058"/>
      <c r="BX49" s="3058"/>
      <c r="BY49" s="3058"/>
      <c r="BZ49" s="3058"/>
      <c r="CA49" s="3058"/>
      <c r="CB49" s="3058"/>
      <c r="CC49" s="3056"/>
      <c r="CD49" s="3057">
        <f t="shared" si="0"/>
      </c>
      <c r="CE49" s="3054"/>
      <c r="CF49" s="3054"/>
      <c r="CG49" s="3055"/>
      <c r="CH49" s="3055"/>
      <c r="CI49" s="3055"/>
      <c r="CJ49" s="3055"/>
      <c r="CK49" s="3055"/>
      <c r="CL49" s="3055"/>
      <c r="CM49" s="3055"/>
      <c r="CN49" s="3055"/>
      <c r="CO49" s="3055"/>
      <c r="CP49" s="3055"/>
      <c r="CQ49" s="3055"/>
      <c r="CR49" s="3055"/>
      <c r="CS49" s="3055"/>
      <c r="CU49" s="3054"/>
      <c r="CV49" s="696"/>
      <c r="CW49" s="696"/>
      <c r="CZ49" s="3060">
        <f t="shared" si="17"/>
      </c>
      <c r="DA49" s="3060">
        <f t="shared" si="1"/>
      </c>
      <c r="DB49" s="3060">
        <f t="shared" si="18"/>
      </c>
      <c r="DC49" s="3060">
        <f t="shared" si="19"/>
      </c>
      <c r="DD49" s="3060">
        <f t="shared" si="20"/>
      </c>
      <c r="DE49" s="3060">
        <f t="shared" si="21"/>
      </c>
      <c r="DF49" s="3060">
        <f t="shared" si="22"/>
      </c>
      <c r="DG49" s="3060">
        <f t="shared" si="23"/>
      </c>
      <c r="DH49" s="3060">
        <f t="shared" si="24"/>
      </c>
      <c r="DI49" s="3060">
        <f t="shared" si="1"/>
      </c>
    </row>
    <row r="50" ht="15" customHeight="1" s="3052" customFormat="1">
      <c r="A50" s="3062"/>
      <c r="B50" s="3054">
        <f t="shared" si="2"/>
      </c>
      <c r="C50" s="3054"/>
      <c r="D50" s="3054"/>
      <c r="E50" s="3055"/>
      <c r="F50" s="3055"/>
      <c r="G50" s="3055"/>
      <c r="H50" s="3055"/>
      <c r="I50" s="3055"/>
      <c r="J50" s="3055"/>
      <c r="K50" s="3055"/>
      <c r="L50" s="3055"/>
      <c r="M50" s="3055"/>
      <c r="N50" s="3055"/>
      <c r="O50" s="3055"/>
      <c r="P50" s="3055"/>
      <c r="Q50" s="3055"/>
      <c r="R50" s="3055">
        <f t="shared" si="3"/>
        <v>0</v>
      </c>
      <c r="S50" s="3055">
        <f t="shared" si="4"/>
        <v>0</v>
      </c>
      <c r="T50" s="3055">
        <f t="shared" si="5"/>
        <v>0</v>
      </c>
      <c r="U50" s="3055">
        <f t="shared" si="6"/>
        <v>0</v>
      </c>
      <c r="V50" s="3055">
        <f t="shared" si="7"/>
        <v>0</v>
      </c>
      <c r="W50" s="3055">
        <f t="shared" si="8"/>
        <v>0</v>
      </c>
      <c r="X50" s="3055">
        <f t="shared" si="9"/>
        <v>0</v>
      </c>
      <c r="Y50" s="3055">
        <f t="shared" si="10"/>
        <v>0</v>
      </c>
      <c r="Z50" s="3055">
        <f t="shared" si="11"/>
        <v>0</v>
      </c>
      <c r="AA50" s="3055">
        <f t="shared" si="12"/>
        <v>0</v>
      </c>
      <c r="AB50" s="3055">
        <f t="shared" si="13"/>
        <v>0</v>
      </c>
      <c r="AC50" s="3055">
        <f t="shared" si="14"/>
        <v>0</v>
      </c>
      <c r="AD50" s="3056"/>
      <c r="AE50" s="3057">
        <f t="shared" si="0"/>
      </c>
      <c r="AF50" s="3054"/>
      <c r="AG50" s="3059"/>
      <c r="AH50" s="3058"/>
      <c r="AI50" s="3058"/>
      <c r="AJ50" s="3058"/>
      <c r="AK50" s="3058"/>
      <c r="AL50" s="3058"/>
      <c r="AM50" s="3058"/>
      <c r="AN50" s="3058"/>
      <c r="AO50" s="3058"/>
      <c r="AP50" s="3058"/>
      <c r="AQ50" s="3058"/>
      <c r="AR50" s="3058"/>
      <c r="AS50" s="3058"/>
      <c r="AT50" s="3058"/>
      <c r="AU50" s="3056"/>
      <c r="AV50" s="3057">
        <f t="shared" si="15"/>
      </c>
      <c r="AW50" s="3054"/>
      <c r="AX50" s="3059"/>
      <c r="AY50" s="3058"/>
      <c r="AZ50" s="3058"/>
      <c r="BA50" s="3058"/>
      <c r="BB50" s="3058"/>
      <c r="BC50" s="3058"/>
      <c r="BD50" s="3058"/>
      <c r="BE50" s="3058"/>
      <c r="BF50" s="3058"/>
      <c r="BG50" s="3058"/>
      <c r="BH50" s="3058"/>
      <c r="BI50" s="3058"/>
      <c r="BJ50" s="3058"/>
      <c r="BK50" s="3058"/>
      <c r="BL50" s="3056"/>
      <c r="BM50" s="3057">
        <f t="shared" si="16"/>
      </c>
      <c r="BN50" s="3054"/>
      <c r="BO50" s="3059"/>
      <c r="BP50" s="3058"/>
      <c r="BQ50" s="3058"/>
      <c r="BR50" s="3058"/>
      <c r="BS50" s="3058"/>
      <c r="BT50" s="3058"/>
      <c r="BU50" s="3058"/>
      <c r="BV50" s="3058"/>
      <c r="BW50" s="3058"/>
      <c r="BX50" s="3058"/>
      <c r="BY50" s="3058"/>
      <c r="BZ50" s="3058"/>
      <c r="CA50" s="3058"/>
      <c r="CB50" s="3058"/>
      <c r="CC50" s="3056"/>
      <c r="CD50" s="3057">
        <f t="shared" si="0"/>
      </c>
      <c r="CE50" s="3054"/>
      <c r="CF50" s="3054"/>
      <c r="CG50" s="3055"/>
      <c r="CH50" s="3055"/>
      <c r="CI50" s="3055"/>
      <c r="CJ50" s="3055"/>
      <c r="CK50" s="3055"/>
      <c r="CL50" s="3055"/>
      <c r="CM50" s="3055"/>
      <c r="CN50" s="3055"/>
      <c r="CO50" s="3055"/>
      <c r="CP50" s="3055"/>
      <c r="CQ50" s="3055"/>
      <c r="CR50" s="3055"/>
      <c r="CS50" s="3055"/>
      <c r="CU50" s="3054"/>
      <c r="CV50" s="696"/>
      <c r="CW50" s="696"/>
      <c r="CZ50" s="3060">
        <f t="shared" si="17"/>
      </c>
      <c r="DA50" s="3060">
        <f t="shared" si="1"/>
      </c>
      <c r="DB50" s="3060">
        <f t="shared" si="18"/>
      </c>
      <c r="DC50" s="3060">
        <f t="shared" si="19"/>
      </c>
      <c r="DD50" s="3060">
        <f t="shared" si="20"/>
      </c>
      <c r="DE50" s="3060">
        <f t="shared" si="21"/>
      </c>
      <c r="DF50" s="3060">
        <f t="shared" si="22"/>
      </c>
      <c r="DG50" s="3060">
        <f t="shared" si="23"/>
      </c>
      <c r="DH50" s="3060">
        <f t="shared" si="24"/>
      </c>
      <c r="DI50" s="3060">
        <f t="shared" si="1"/>
      </c>
    </row>
    <row r="51" ht="15" customHeight="1" s="3052" customFormat="1">
      <c r="A51" s="3062"/>
      <c r="B51" s="3054">
        <f t="shared" si="2"/>
      </c>
      <c r="C51" s="3054"/>
      <c r="D51" s="3054"/>
      <c r="E51" s="3055"/>
      <c r="F51" s="3055"/>
      <c r="G51" s="3055"/>
      <c r="H51" s="3055"/>
      <c r="I51" s="3055"/>
      <c r="J51" s="3055"/>
      <c r="K51" s="3055"/>
      <c r="L51" s="3055"/>
      <c r="M51" s="3055"/>
      <c r="N51" s="3055"/>
      <c r="O51" s="3055"/>
      <c r="P51" s="3055"/>
      <c r="Q51" s="3055"/>
      <c r="R51" s="3055">
        <f t="shared" si="3"/>
        <v>0</v>
      </c>
      <c r="S51" s="3055">
        <f t="shared" si="4"/>
        <v>0</v>
      </c>
      <c r="T51" s="3055">
        <f t="shared" si="5"/>
        <v>0</v>
      </c>
      <c r="U51" s="3055">
        <f t="shared" si="6"/>
        <v>0</v>
      </c>
      <c r="V51" s="3055">
        <f t="shared" si="7"/>
        <v>0</v>
      </c>
      <c r="W51" s="3055">
        <f t="shared" si="8"/>
        <v>0</v>
      </c>
      <c r="X51" s="3055">
        <f t="shared" si="9"/>
        <v>0</v>
      </c>
      <c r="Y51" s="3055">
        <f t="shared" si="10"/>
        <v>0</v>
      </c>
      <c r="Z51" s="3055">
        <f t="shared" si="11"/>
        <v>0</v>
      </c>
      <c r="AA51" s="3055">
        <f t="shared" si="12"/>
        <v>0</v>
      </c>
      <c r="AB51" s="3055">
        <f t="shared" si="13"/>
        <v>0</v>
      </c>
      <c r="AC51" s="3055">
        <f t="shared" si="14"/>
        <v>0</v>
      </c>
      <c r="AD51" s="3056"/>
      <c r="AE51" s="3057">
        <f t="shared" si="0"/>
      </c>
      <c r="AF51" s="3054"/>
      <c r="AG51" s="3059"/>
      <c r="AH51" s="3058"/>
      <c r="AI51" s="3058"/>
      <c r="AJ51" s="3058"/>
      <c r="AK51" s="3058"/>
      <c r="AL51" s="3058"/>
      <c r="AM51" s="3058"/>
      <c r="AN51" s="3058"/>
      <c r="AO51" s="3058"/>
      <c r="AP51" s="3058"/>
      <c r="AQ51" s="3058"/>
      <c r="AR51" s="3058"/>
      <c r="AS51" s="3058"/>
      <c r="AT51" s="3058"/>
      <c r="AU51" s="3056"/>
      <c r="AV51" s="3057">
        <f t="shared" si="15"/>
      </c>
      <c r="AW51" s="3054"/>
      <c r="AX51" s="3059"/>
      <c r="AY51" s="3058"/>
      <c r="AZ51" s="3058"/>
      <c r="BA51" s="3058"/>
      <c r="BB51" s="3058"/>
      <c r="BC51" s="3058"/>
      <c r="BD51" s="3058"/>
      <c r="BE51" s="3058"/>
      <c r="BF51" s="3058"/>
      <c r="BG51" s="3058"/>
      <c r="BH51" s="3058"/>
      <c r="BI51" s="3058"/>
      <c r="BJ51" s="3058"/>
      <c r="BK51" s="3058"/>
      <c r="BL51" s="3056"/>
      <c r="BM51" s="3057">
        <f t="shared" si="16"/>
      </c>
      <c r="BN51" s="3054"/>
      <c r="BO51" s="3059"/>
      <c r="BP51" s="3058"/>
      <c r="BQ51" s="3058"/>
      <c r="BR51" s="3058"/>
      <c r="BS51" s="3058"/>
      <c r="BT51" s="3058"/>
      <c r="BU51" s="3058"/>
      <c r="BV51" s="3058"/>
      <c r="BW51" s="3058"/>
      <c r="BX51" s="3058"/>
      <c r="BY51" s="3058"/>
      <c r="BZ51" s="3058"/>
      <c r="CA51" s="3058"/>
      <c r="CB51" s="3058"/>
      <c r="CC51" s="3056"/>
      <c r="CD51" s="3057">
        <f t="shared" si="0"/>
      </c>
      <c r="CE51" s="3054"/>
      <c r="CF51" s="3054"/>
      <c r="CG51" s="3055"/>
      <c r="CH51" s="3055"/>
      <c r="CI51" s="3055"/>
      <c r="CJ51" s="3055"/>
      <c r="CK51" s="3055"/>
      <c r="CL51" s="3055"/>
      <c r="CM51" s="3055"/>
      <c r="CN51" s="3055"/>
      <c r="CO51" s="3055"/>
      <c r="CP51" s="3055"/>
      <c r="CQ51" s="3055"/>
      <c r="CR51" s="3055"/>
      <c r="CS51" s="3055"/>
      <c r="CU51" s="3054"/>
      <c r="CV51" s="696"/>
      <c r="CW51" s="696"/>
      <c r="CZ51" s="3060">
        <f t="shared" si="17"/>
      </c>
      <c r="DA51" s="3060">
        <f t="shared" si="1"/>
      </c>
      <c r="DB51" s="3060">
        <f t="shared" si="18"/>
      </c>
      <c r="DC51" s="3060">
        <f t="shared" si="19"/>
      </c>
      <c r="DD51" s="3060">
        <f t="shared" si="20"/>
      </c>
      <c r="DE51" s="3060">
        <f t="shared" si="21"/>
      </c>
      <c r="DF51" s="3060">
        <f t="shared" si="22"/>
      </c>
      <c r="DG51" s="3060">
        <f t="shared" si="23"/>
      </c>
      <c r="DH51" s="3060">
        <f t="shared" si="24"/>
      </c>
      <c r="DI51" s="3060">
        <f t="shared" si="1"/>
      </c>
    </row>
    <row r="52" ht="15" customHeight="1" s="3052" customFormat="1">
      <c r="A52" s="3062"/>
      <c r="B52" s="3054">
        <f t="shared" si="2"/>
      </c>
      <c r="C52" s="3054"/>
      <c r="D52" s="3054"/>
      <c r="E52" s="3055"/>
      <c r="F52" s="3055"/>
      <c r="G52" s="3055"/>
      <c r="H52" s="3055"/>
      <c r="I52" s="3055"/>
      <c r="J52" s="3055"/>
      <c r="K52" s="3055"/>
      <c r="L52" s="3055"/>
      <c r="M52" s="3055"/>
      <c r="N52" s="3055"/>
      <c r="O52" s="3055"/>
      <c r="P52" s="3055"/>
      <c r="Q52" s="3055"/>
      <c r="R52" s="3055">
        <f t="shared" si="3"/>
        <v>0</v>
      </c>
      <c r="S52" s="3055">
        <f t="shared" si="4"/>
        <v>0</v>
      </c>
      <c r="T52" s="3055">
        <f t="shared" si="5"/>
        <v>0</v>
      </c>
      <c r="U52" s="3055">
        <f t="shared" si="6"/>
        <v>0</v>
      </c>
      <c r="V52" s="3055">
        <f t="shared" si="7"/>
        <v>0</v>
      </c>
      <c r="W52" s="3055">
        <f t="shared" si="8"/>
        <v>0</v>
      </c>
      <c r="X52" s="3055">
        <f t="shared" si="9"/>
        <v>0</v>
      </c>
      <c r="Y52" s="3055">
        <f t="shared" si="10"/>
        <v>0</v>
      </c>
      <c r="Z52" s="3055">
        <f t="shared" si="11"/>
        <v>0</v>
      </c>
      <c r="AA52" s="3055">
        <f t="shared" si="12"/>
        <v>0</v>
      </c>
      <c r="AB52" s="3055">
        <f t="shared" si="13"/>
        <v>0</v>
      </c>
      <c r="AC52" s="3055">
        <f t="shared" si="14"/>
        <v>0</v>
      </c>
      <c r="AD52" s="3056"/>
      <c r="AE52" s="3057">
        <f t="shared" si="0"/>
      </c>
      <c r="AF52" s="3054"/>
      <c r="AG52" s="3059"/>
      <c r="AH52" s="3058"/>
      <c r="AI52" s="3058"/>
      <c r="AJ52" s="3058"/>
      <c r="AK52" s="3058"/>
      <c r="AL52" s="3058"/>
      <c r="AM52" s="3058"/>
      <c r="AN52" s="3058"/>
      <c r="AO52" s="3058"/>
      <c r="AP52" s="3058"/>
      <c r="AQ52" s="3058"/>
      <c r="AR52" s="3058"/>
      <c r="AS52" s="3058"/>
      <c r="AT52" s="3058"/>
      <c r="AU52" s="3056"/>
      <c r="AV52" s="3057">
        <f t="shared" si="15"/>
      </c>
      <c r="AW52" s="3054"/>
      <c r="AX52" s="3059"/>
      <c r="AY52" s="3058"/>
      <c r="AZ52" s="3058"/>
      <c r="BA52" s="3058"/>
      <c r="BB52" s="3058"/>
      <c r="BC52" s="3058"/>
      <c r="BD52" s="3058"/>
      <c r="BE52" s="3058"/>
      <c r="BF52" s="3058"/>
      <c r="BG52" s="3058"/>
      <c r="BH52" s="3058"/>
      <c r="BI52" s="3058"/>
      <c r="BJ52" s="3058"/>
      <c r="BK52" s="3058"/>
      <c r="BL52" s="3056"/>
      <c r="BM52" s="3057">
        <f t="shared" si="16"/>
      </c>
      <c r="BN52" s="3054"/>
      <c r="BO52" s="3059"/>
      <c r="BP52" s="3058"/>
      <c r="BQ52" s="3058"/>
      <c r="BR52" s="3058"/>
      <c r="BS52" s="3058"/>
      <c r="BT52" s="3058"/>
      <c r="BU52" s="3058"/>
      <c r="BV52" s="3058"/>
      <c r="BW52" s="3058"/>
      <c r="BX52" s="3058"/>
      <c r="BY52" s="3058"/>
      <c r="BZ52" s="3058"/>
      <c r="CA52" s="3058"/>
      <c r="CB52" s="3058"/>
      <c r="CC52" s="3056"/>
      <c r="CD52" s="3057">
        <f t="shared" si="0"/>
      </c>
      <c r="CE52" s="3054"/>
      <c r="CF52" s="3054"/>
      <c r="CG52" s="3055"/>
      <c r="CH52" s="3055"/>
      <c r="CI52" s="3055"/>
      <c r="CJ52" s="3055"/>
      <c r="CK52" s="3055"/>
      <c r="CL52" s="3055"/>
      <c r="CM52" s="3055"/>
      <c r="CN52" s="3055"/>
      <c r="CO52" s="3055"/>
      <c r="CP52" s="3055"/>
      <c r="CQ52" s="3055"/>
      <c r="CR52" s="3055"/>
      <c r="CS52" s="3055"/>
      <c r="CU52" s="3054"/>
      <c r="CV52" s="696"/>
      <c r="CW52" s="696"/>
      <c r="CZ52" s="3060">
        <f t="shared" si="17"/>
      </c>
      <c r="DA52" s="3060">
        <f t="shared" si="1"/>
      </c>
      <c r="DB52" s="3060">
        <f t="shared" si="18"/>
      </c>
      <c r="DC52" s="3060">
        <f t="shared" si="19"/>
      </c>
      <c r="DD52" s="3060">
        <f t="shared" si="20"/>
      </c>
      <c r="DE52" s="3060">
        <f t="shared" si="21"/>
      </c>
      <c r="DF52" s="3060">
        <f t="shared" si="22"/>
      </c>
      <c r="DG52" s="3060">
        <f t="shared" si="23"/>
      </c>
      <c r="DH52" s="3060">
        <f t="shared" si="24"/>
      </c>
      <c r="DI52" s="3060">
        <f t="shared" si="1"/>
      </c>
    </row>
    <row r="53" ht="15" customHeight="1" s="3052" customFormat="1">
      <c r="A53" s="3055"/>
      <c r="B53" s="3054">
        <f t="shared" si="2"/>
      </c>
      <c r="C53" s="3054"/>
      <c r="D53" s="3054"/>
      <c r="E53" s="3055"/>
      <c r="F53" s="3055"/>
      <c r="G53" s="3055"/>
      <c r="H53" s="3055"/>
      <c r="I53" s="3055"/>
      <c r="J53" s="3055"/>
      <c r="K53" s="3055"/>
      <c r="L53" s="3055"/>
      <c r="M53" s="3055"/>
      <c r="N53" s="3055"/>
      <c r="O53" s="3055"/>
      <c r="P53" s="3055"/>
      <c r="Q53" s="3055"/>
      <c r="R53" s="3055">
        <f t="shared" si="3"/>
        <v>0</v>
      </c>
      <c r="S53" s="3055">
        <f t="shared" si="4"/>
        <v>0</v>
      </c>
      <c r="T53" s="3055">
        <f t="shared" si="5"/>
        <v>0</v>
      </c>
      <c r="U53" s="3055">
        <f t="shared" si="6"/>
        <v>0</v>
      </c>
      <c r="V53" s="3055">
        <f t="shared" si="7"/>
        <v>0</v>
      </c>
      <c r="W53" s="3055">
        <f t="shared" si="8"/>
        <v>0</v>
      </c>
      <c r="X53" s="3055">
        <f t="shared" si="9"/>
        <v>0</v>
      </c>
      <c r="Y53" s="3055">
        <f t="shared" si="10"/>
        <v>0</v>
      </c>
      <c r="Z53" s="3055">
        <f t="shared" si="11"/>
        <v>0</v>
      </c>
      <c r="AA53" s="3055">
        <f t="shared" si="12"/>
        <v>0</v>
      </c>
      <c r="AB53" s="3055">
        <f t="shared" si="13"/>
        <v>0</v>
      </c>
      <c r="AC53" s="3055">
        <f t="shared" si="14"/>
        <v>0</v>
      </c>
      <c r="AD53" s="3056"/>
      <c r="AE53" s="3057">
        <f t="shared" si="0"/>
      </c>
      <c r="AF53" s="3054"/>
      <c r="AG53" s="3059"/>
      <c r="AH53" s="3058"/>
      <c r="AI53" s="3058"/>
      <c r="AJ53" s="3058"/>
      <c r="AK53" s="3058"/>
      <c r="AL53" s="3058"/>
      <c r="AM53" s="3058"/>
      <c r="AN53" s="3058"/>
      <c r="AO53" s="3058"/>
      <c r="AP53" s="3058"/>
      <c r="AQ53" s="3058"/>
      <c r="AR53" s="3058"/>
      <c r="AS53" s="3058"/>
      <c r="AT53" s="3058"/>
      <c r="AU53" s="3056"/>
      <c r="AV53" s="3057">
        <f t="shared" si="15"/>
      </c>
      <c r="AW53" s="3054"/>
      <c r="AX53" s="3059"/>
      <c r="AY53" s="3058"/>
      <c r="AZ53" s="3058"/>
      <c r="BA53" s="3058"/>
      <c r="BB53" s="3058"/>
      <c r="BC53" s="3058"/>
      <c r="BD53" s="3058"/>
      <c r="BE53" s="3058"/>
      <c r="BF53" s="3058"/>
      <c r="BG53" s="3058"/>
      <c r="BH53" s="3058"/>
      <c r="BI53" s="3058"/>
      <c r="BJ53" s="3058"/>
      <c r="BK53" s="3058"/>
      <c r="BL53" s="3056"/>
      <c r="BM53" s="3057">
        <f t="shared" si="16"/>
      </c>
      <c r="BN53" s="3054"/>
      <c r="BO53" s="3059"/>
      <c r="BP53" s="3058"/>
      <c r="BQ53" s="3058"/>
      <c r="BR53" s="3058"/>
      <c r="BS53" s="3058"/>
      <c r="BT53" s="3058"/>
      <c r="BU53" s="3058"/>
      <c r="BV53" s="3058"/>
      <c r="BW53" s="3058"/>
      <c r="BX53" s="3058"/>
      <c r="BY53" s="3058"/>
      <c r="BZ53" s="3058"/>
      <c r="CA53" s="3058"/>
      <c r="CB53" s="3058"/>
      <c r="CC53" s="3056"/>
      <c r="CD53" s="3057">
        <f t="shared" si="0"/>
      </c>
      <c r="CE53" s="3054"/>
      <c r="CF53" s="3054"/>
      <c r="CG53" s="3055"/>
      <c r="CH53" s="3055"/>
      <c r="CI53" s="3055"/>
      <c r="CJ53" s="3055"/>
      <c r="CK53" s="3055"/>
      <c r="CL53" s="3055"/>
      <c r="CM53" s="3055"/>
      <c r="CN53" s="3055"/>
      <c r="CO53" s="3055"/>
      <c r="CP53" s="3055"/>
      <c r="CQ53" s="3055"/>
      <c r="CR53" s="3055"/>
      <c r="CS53" s="3055"/>
      <c r="CU53" s="3054"/>
      <c r="CV53" s="696"/>
      <c r="CW53" s="696"/>
      <c r="CZ53" s="3060">
        <f t="shared" si="17"/>
      </c>
      <c r="DA53" s="3060">
        <f t="shared" si="1"/>
      </c>
      <c r="DB53" s="3060">
        <f t="shared" si="18"/>
      </c>
      <c r="DC53" s="3060">
        <f t="shared" si="19"/>
      </c>
      <c r="DD53" s="3060">
        <f t="shared" si="20"/>
      </c>
      <c r="DE53" s="3060">
        <f t="shared" si="21"/>
      </c>
      <c r="DF53" s="3060">
        <f t="shared" si="22"/>
      </c>
      <c r="DG53" s="3060">
        <f t="shared" si="23"/>
      </c>
      <c r="DH53" s="3060">
        <f t="shared" si="24"/>
      </c>
      <c r="DI53" s="3060">
        <f t="shared" si="1"/>
      </c>
    </row>
    <row r="54" ht="15" customHeight="1" s="3052" customFormat="1">
      <c r="A54" s="3055"/>
      <c r="B54" s="3054">
        <f t="shared" si="2"/>
      </c>
      <c r="C54" s="3054"/>
      <c r="D54" s="3054"/>
      <c r="E54" s="3055"/>
      <c r="F54" s="3055"/>
      <c r="G54" s="3055"/>
      <c r="H54" s="3055"/>
      <c r="I54" s="3055"/>
      <c r="J54" s="3055"/>
      <c r="K54" s="3055"/>
      <c r="L54" s="3055"/>
      <c r="M54" s="3055"/>
      <c r="N54" s="3055"/>
      <c r="O54" s="3055"/>
      <c r="P54" s="3055"/>
      <c r="Q54" s="3055"/>
      <c r="R54" s="3055">
        <f t="shared" si="3"/>
        <v>0</v>
      </c>
      <c r="S54" s="3055">
        <f t="shared" si="4"/>
        <v>0</v>
      </c>
      <c r="T54" s="3055">
        <f t="shared" si="5"/>
        <v>0</v>
      </c>
      <c r="U54" s="3055">
        <f t="shared" si="6"/>
        <v>0</v>
      </c>
      <c r="V54" s="3055">
        <f t="shared" si="7"/>
        <v>0</v>
      </c>
      <c r="W54" s="3055">
        <f t="shared" si="8"/>
        <v>0</v>
      </c>
      <c r="X54" s="3055">
        <f t="shared" si="9"/>
        <v>0</v>
      </c>
      <c r="Y54" s="3055">
        <f t="shared" si="10"/>
        <v>0</v>
      </c>
      <c r="Z54" s="3055">
        <f t="shared" si="11"/>
        <v>0</v>
      </c>
      <c r="AA54" s="3055">
        <f t="shared" si="12"/>
        <v>0</v>
      </c>
      <c r="AB54" s="3055">
        <f t="shared" si="13"/>
        <v>0</v>
      </c>
      <c r="AC54" s="3055">
        <f t="shared" si="14"/>
        <v>0</v>
      </c>
      <c r="AD54" s="3056"/>
      <c r="AE54" s="3057">
        <f t="shared" si="0"/>
      </c>
      <c r="AF54" s="3054"/>
      <c r="AG54" s="3059"/>
      <c r="AH54" s="3058"/>
      <c r="AI54" s="3058"/>
      <c r="AJ54" s="3058"/>
      <c r="AK54" s="3058"/>
      <c r="AL54" s="3058"/>
      <c r="AM54" s="3058"/>
      <c r="AN54" s="3058"/>
      <c r="AO54" s="3058"/>
      <c r="AP54" s="3058"/>
      <c r="AQ54" s="3058"/>
      <c r="AR54" s="3058"/>
      <c r="AS54" s="3058"/>
      <c r="AT54" s="3058"/>
      <c r="AU54" s="3056"/>
      <c r="AV54" s="3057">
        <f t="shared" si="15"/>
      </c>
      <c r="AW54" s="3054"/>
      <c r="AX54" s="3059"/>
      <c r="AY54" s="3058"/>
      <c r="AZ54" s="3058"/>
      <c r="BA54" s="3058"/>
      <c r="BB54" s="3058"/>
      <c r="BC54" s="3058"/>
      <c r="BD54" s="3058"/>
      <c r="BE54" s="3058"/>
      <c r="BF54" s="3058"/>
      <c r="BG54" s="3058"/>
      <c r="BH54" s="3058"/>
      <c r="BI54" s="3058"/>
      <c r="BJ54" s="3058"/>
      <c r="BK54" s="3058"/>
      <c r="BL54" s="3056"/>
      <c r="BM54" s="3057">
        <f t="shared" si="16"/>
      </c>
      <c r="BN54" s="3054"/>
      <c r="BO54" s="3059"/>
      <c r="BP54" s="3058"/>
      <c r="BQ54" s="3058"/>
      <c r="BR54" s="3058"/>
      <c r="BS54" s="3058"/>
      <c r="BT54" s="3058"/>
      <c r="BU54" s="3058"/>
      <c r="BV54" s="3058"/>
      <c r="BW54" s="3058"/>
      <c r="BX54" s="3058"/>
      <c r="BY54" s="3058"/>
      <c r="BZ54" s="3058"/>
      <c r="CA54" s="3058"/>
      <c r="CB54" s="3058"/>
      <c r="CC54" s="3056"/>
      <c r="CD54" s="3057">
        <f t="shared" si="0"/>
      </c>
      <c r="CE54" s="3054"/>
      <c r="CF54" s="3054"/>
      <c r="CG54" s="3055"/>
      <c r="CH54" s="3055"/>
      <c r="CI54" s="3055"/>
      <c r="CJ54" s="3055"/>
      <c r="CK54" s="3055"/>
      <c r="CL54" s="3055"/>
      <c r="CM54" s="3055"/>
      <c r="CN54" s="3055"/>
      <c r="CO54" s="3055"/>
      <c r="CP54" s="3055"/>
      <c r="CQ54" s="3055"/>
      <c r="CR54" s="3055"/>
      <c r="CS54" s="3055"/>
      <c r="CU54" s="3054"/>
      <c r="CV54" s="696"/>
      <c r="CW54" s="696"/>
      <c r="CZ54" s="3060">
        <f t="shared" si="17"/>
      </c>
      <c r="DA54" s="3060">
        <f t="shared" si="1"/>
      </c>
      <c r="DB54" s="3060">
        <f t="shared" si="18"/>
      </c>
      <c r="DC54" s="3060">
        <f t="shared" si="19"/>
      </c>
      <c r="DD54" s="3060">
        <f t="shared" si="20"/>
      </c>
      <c r="DE54" s="3060">
        <f t="shared" si="21"/>
      </c>
      <c r="DF54" s="3060">
        <f t="shared" si="22"/>
      </c>
      <c r="DG54" s="3060">
        <f t="shared" si="23"/>
      </c>
      <c r="DH54" s="3060">
        <f t="shared" si="24"/>
      </c>
      <c r="DI54" s="3060">
        <f t="shared" si="1"/>
      </c>
    </row>
    <row r="55" ht="15" customHeight="1" s="3052" customFormat="1">
      <c r="A55" s="3055"/>
      <c r="B55" s="3054">
        <f t="shared" si="2"/>
      </c>
      <c r="C55" s="3054"/>
      <c r="D55" s="3054"/>
      <c r="E55" s="3055"/>
      <c r="F55" s="3055"/>
      <c r="G55" s="3055"/>
      <c r="H55" s="3055"/>
      <c r="I55" s="3055"/>
      <c r="J55" s="3055"/>
      <c r="K55" s="3055"/>
      <c r="L55" s="3055"/>
      <c r="M55" s="3055"/>
      <c r="N55" s="3055"/>
      <c r="O55" s="3055"/>
      <c r="P55" s="3055"/>
      <c r="Q55" s="3055"/>
      <c r="R55" s="3055">
        <f t="shared" si="3"/>
        <v>0</v>
      </c>
      <c r="S55" s="3055">
        <f t="shared" si="4"/>
        <v>0</v>
      </c>
      <c r="T55" s="3055">
        <f t="shared" si="5"/>
        <v>0</v>
      </c>
      <c r="U55" s="3055">
        <f t="shared" si="6"/>
        <v>0</v>
      </c>
      <c r="V55" s="3055">
        <f t="shared" si="7"/>
        <v>0</v>
      </c>
      <c r="W55" s="3055">
        <f t="shared" si="8"/>
        <v>0</v>
      </c>
      <c r="X55" s="3055">
        <f t="shared" si="9"/>
        <v>0</v>
      </c>
      <c r="Y55" s="3055">
        <f t="shared" si="10"/>
        <v>0</v>
      </c>
      <c r="Z55" s="3055">
        <f t="shared" si="11"/>
        <v>0</v>
      </c>
      <c r="AA55" s="3055">
        <f t="shared" si="12"/>
        <v>0</v>
      </c>
      <c r="AB55" s="3055">
        <f t="shared" si="13"/>
        <v>0</v>
      </c>
      <c r="AC55" s="3055">
        <f t="shared" si="14"/>
        <v>0</v>
      </c>
      <c r="AD55" s="3056"/>
      <c r="AE55" s="3057">
        <f t="shared" si="0"/>
      </c>
      <c r="AF55" s="3054"/>
      <c r="AG55" s="3059"/>
      <c r="AH55" s="3058"/>
      <c r="AI55" s="3058"/>
      <c r="AJ55" s="3058"/>
      <c r="AK55" s="3058"/>
      <c r="AL55" s="3058"/>
      <c r="AM55" s="3058"/>
      <c r="AN55" s="3058"/>
      <c r="AO55" s="3058"/>
      <c r="AP55" s="3058"/>
      <c r="AQ55" s="3058"/>
      <c r="AR55" s="3058"/>
      <c r="AS55" s="3058"/>
      <c r="AT55" s="3058"/>
      <c r="AU55" s="3056"/>
      <c r="AV55" s="3057">
        <f t="shared" si="15"/>
      </c>
      <c r="AW55" s="3054"/>
      <c r="AX55" s="3059"/>
      <c r="AY55" s="3058"/>
      <c r="AZ55" s="3058"/>
      <c r="BA55" s="3058"/>
      <c r="BB55" s="3058"/>
      <c r="BC55" s="3058"/>
      <c r="BD55" s="3058"/>
      <c r="BE55" s="3058"/>
      <c r="BF55" s="3058"/>
      <c r="BG55" s="3058"/>
      <c r="BH55" s="3058"/>
      <c r="BI55" s="3058"/>
      <c r="BJ55" s="3058"/>
      <c r="BK55" s="3058"/>
      <c r="BL55" s="3056"/>
      <c r="BM55" s="3057">
        <f t="shared" si="16"/>
      </c>
      <c r="BN55" s="3054"/>
      <c r="BO55" s="3059"/>
      <c r="BP55" s="3058"/>
      <c r="BQ55" s="3058"/>
      <c r="BR55" s="3058"/>
      <c r="BS55" s="3058"/>
      <c r="BT55" s="3058"/>
      <c r="BU55" s="3058"/>
      <c r="BV55" s="3058"/>
      <c r="BW55" s="3058"/>
      <c r="BX55" s="3058"/>
      <c r="BY55" s="3058"/>
      <c r="BZ55" s="3058"/>
      <c r="CA55" s="3058"/>
      <c r="CB55" s="3058"/>
      <c r="CC55" s="3056"/>
      <c r="CD55" s="3057">
        <f t="shared" si="0"/>
      </c>
      <c r="CE55" s="3054"/>
      <c r="CF55" s="3054"/>
      <c r="CG55" s="3055"/>
      <c r="CH55" s="3055"/>
      <c r="CI55" s="3055"/>
      <c r="CJ55" s="3055"/>
      <c r="CK55" s="3055"/>
      <c r="CL55" s="3055"/>
      <c r="CM55" s="3055"/>
      <c r="CN55" s="3055"/>
      <c r="CO55" s="3055"/>
      <c r="CP55" s="3055"/>
      <c r="CQ55" s="3055"/>
      <c r="CR55" s="3055"/>
      <c r="CS55" s="3055"/>
      <c r="CU55" s="3054"/>
      <c r="CV55" s="696"/>
      <c r="CW55" s="696"/>
      <c r="CZ55" s="3060">
        <f t="shared" si="17"/>
      </c>
      <c r="DA55" s="3060">
        <f t="shared" si="1"/>
      </c>
      <c r="DB55" s="3060">
        <f t="shared" si="18"/>
      </c>
      <c r="DC55" s="3060">
        <f t="shared" si="19"/>
      </c>
      <c r="DD55" s="3060">
        <f t="shared" si="20"/>
      </c>
      <c r="DE55" s="3060">
        <f t="shared" si="21"/>
      </c>
      <c r="DF55" s="3060">
        <f t="shared" si="22"/>
      </c>
      <c r="DG55" s="3060">
        <f t="shared" si="23"/>
      </c>
      <c r="DH55" s="3060">
        <f t="shared" si="24"/>
      </c>
      <c r="DI55" s="3060">
        <f t="shared" si="1"/>
      </c>
    </row>
    <row r="56" ht="15" customHeight="1" s="3052" customFormat="1">
      <c r="A56" s="3055"/>
      <c r="B56" s="3054">
        <f t="shared" si="2"/>
      </c>
      <c r="C56" s="3054"/>
      <c r="D56" s="3054"/>
      <c r="E56" s="3055"/>
      <c r="F56" s="3055"/>
      <c r="G56" s="3055"/>
      <c r="H56" s="3055"/>
      <c r="I56" s="3055"/>
      <c r="J56" s="3055"/>
      <c r="K56" s="3055"/>
      <c r="L56" s="3055"/>
      <c r="M56" s="3055"/>
      <c r="N56" s="3055"/>
      <c r="O56" s="3055"/>
      <c r="P56" s="3055"/>
      <c r="Q56" s="3055"/>
      <c r="R56" s="3055">
        <f t="shared" si="3"/>
        <v>0</v>
      </c>
      <c r="S56" s="3055">
        <f t="shared" si="4"/>
        <v>0</v>
      </c>
      <c r="T56" s="3055">
        <f t="shared" si="5"/>
        <v>0</v>
      </c>
      <c r="U56" s="3055">
        <f t="shared" si="6"/>
        <v>0</v>
      </c>
      <c r="V56" s="3055">
        <f t="shared" si="7"/>
        <v>0</v>
      </c>
      <c r="W56" s="3055">
        <f t="shared" si="8"/>
        <v>0</v>
      </c>
      <c r="X56" s="3055">
        <f t="shared" si="9"/>
        <v>0</v>
      </c>
      <c r="Y56" s="3055">
        <f t="shared" si="10"/>
        <v>0</v>
      </c>
      <c r="Z56" s="3055">
        <f t="shared" si="11"/>
        <v>0</v>
      </c>
      <c r="AA56" s="3055">
        <f t="shared" si="12"/>
        <v>0</v>
      </c>
      <c r="AB56" s="3055">
        <f t="shared" si="13"/>
        <v>0</v>
      </c>
      <c r="AC56" s="3055">
        <f t="shared" si="14"/>
        <v>0</v>
      </c>
      <c r="AD56" s="3056"/>
      <c r="AE56" s="3057">
        <f t="shared" si="0"/>
      </c>
      <c r="AF56" s="3054"/>
      <c r="AG56" s="3059"/>
      <c r="AH56" s="3058"/>
      <c r="AI56" s="3058"/>
      <c r="AJ56" s="3058"/>
      <c r="AK56" s="3058"/>
      <c r="AL56" s="3058"/>
      <c r="AM56" s="3058"/>
      <c r="AN56" s="3058"/>
      <c r="AO56" s="3058"/>
      <c r="AP56" s="3058"/>
      <c r="AQ56" s="3058"/>
      <c r="AR56" s="3058"/>
      <c r="AS56" s="3058"/>
      <c r="AT56" s="3058"/>
      <c r="AU56" s="3056"/>
      <c r="AV56" s="3057">
        <f t="shared" si="15"/>
      </c>
      <c r="AW56" s="3054"/>
      <c r="AX56" s="3059"/>
      <c r="AY56" s="3058"/>
      <c r="AZ56" s="3058"/>
      <c r="BA56" s="3058"/>
      <c r="BB56" s="3058"/>
      <c r="BC56" s="3058"/>
      <c r="BD56" s="3058"/>
      <c r="BE56" s="3058"/>
      <c r="BF56" s="3058"/>
      <c r="BG56" s="3058"/>
      <c r="BH56" s="3058"/>
      <c r="BI56" s="3058"/>
      <c r="BJ56" s="3058"/>
      <c r="BK56" s="3058"/>
      <c r="BL56" s="3056"/>
      <c r="BM56" s="3057">
        <f t="shared" si="16"/>
      </c>
      <c r="BN56" s="3054"/>
      <c r="BO56" s="3059"/>
      <c r="BP56" s="3058"/>
      <c r="BQ56" s="3058"/>
      <c r="BR56" s="3058"/>
      <c r="BS56" s="3058"/>
      <c r="BT56" s="3058"/>
      <c r="BU56" s="3058"/>
      <c r="BV56" s="3058"/>
      <c r="BW56" s="3058"/>
      <c r="BX56" s="3058"/>
      <c r="BY56" s="3058"/>
      <c r="BZ56" s="3058"/>
      <c r="CA56" s="3058"/>
      <c r="CB56" s="3058"/>
      <c r="CC56" s="3056"/>
      <c r="CD56" s="3057">
        <f t="shared" si="0"/>
      </c>
      <c r="CE56" s="3054"/>
      <c r="CF56" s="3054"/>
      <c r="CG56" s="3055"/>
      <c r="CH56" s="3055"/>
      <c r="CI56" s="3055"/>
      <c r="CJ56" s="3055"/>
      <c r="CK56" s="3055"/>
      <c r="CL56" s="3055"/>
      <c r="CM56" s="3055"/>
      <c r="CN56" s="3055"/>
      <c r="CO56" s="3055"/>
      <c r="CP56" s="3055"/>
      <c r="CQ56" s="3055"/>
      <c r="CR56" s="3055"/>
      <c r="CS56" s="3055"/>
      <c r="CU56" s="3054"/>
      <c r="CV56" s="696"/>
      <c r="CW56" s="696"/>
      <c r="CZ56" s="3060">
        <f t="shared" si="17"/>
      </c>
      <c r="DA56" s="3060">
        <f t="shared" si="1"/>
      </c>
      <c r="DB56" s="3060">
        <f t="shared" si="18"/>
      </c>
      <c r="DC56" s="3060">
        <f t="shared" si="19"/>
      </c>
      <c r="DD56" s="3060">
        <f t="shared" si="20"/>
      </c>
      <c r="DE56" s="3060">
        <f t="shared" si="21"/>
      </c>
      <c r="DF56" s="3060">
        <f t="shared" si="22"/>
      </c>
      <c r="DG56" s="3060">
        <f t="shared" si="23"/>
      </c>
      <c r="DH56" s="3060">
        <f t="shared" si="24"/>
      </c>
      <c r="DI56" s="3060">
        <f t="shared" si="1"/>
      </c>
    </row>
    <row r="57" ht="15" customHeight="1" s="3052" customFormat="1">
      <c r="A57" s="3055"/>
      <c r="B57" s="3054">
        <f t="shared" si="2"/>
      </c>
      <c r="C57" s="3054"/>
      <c r="D57" s="3054"/>
      <c r="E57" s="3055"/>
      <c r="F57" s="3055"/>
      <c r="G57" s="3055"/>
      <c r="H57" s="3055"/>
      <c r="I57" s="3055"/>
      <c r="J57" s="3055"/>
      <c r="K57" s="3055"/>
      <c r="L57" s="3055"/>
      <c r="M57" s="3055"/>
      <c r="N57" s="3055"/>
      <c r="O57" s="3055"/>
      <c r="P57" s="3055"/>
      <c r="Q57" s="3055"/>
      <c r="R57" s="3055">
        <f t="shared" si="3"/>
        <v>0</v>
      </c>
      <c r="S57" s="3055">
        <f t="shared" si="4"/>
        <v>0</v>
      </c>
      <c r="T57" s="3055">
        <f t="shared" si="5"/>
        <v>0</v>
      </c>
      <c r="U57" s="3055">
        <f t="shared" si="6"/>
        <v>0</v>
      </c>
      <c r="V57" s="3055">
        <f t="shared" si="7"/>
        <v>0</v>
      </c>
      <c r="W57" s="3055">
        <f t="shared" si="8"/>
        <v>0</v>
      </c>
      <c r="X57" s="3055">
        <f t="shared" si="9"/>
        <v>0</v>
      </c>
      <c r="Y57" s="3055">
        <f t="shared" si="10"/>
        <v>0</v>
      </c>
      <c r="Z57" s="3055">
        <f t="shared" si="11"/>
        <v>0</v>
      </c>
      <c r="AA57" s="3055">
        <f t="shared" si="12"/>
        <v>0</v>
      </c>
      <c r="AB57" s="3055">
        <f t="shared" si="13"/>
        <v>0</v>
      </c>
      <c r="AC57" s="3055">
        <f t="shared" si="14"/>
        <v>0</v>
      </c>
      <c r="AD57" s="3056"/>
      <c r="AE57" s="3057">
        <f t="shared" si="0"/>
      </c>
      <c r="AF57" s="3054"/>
      <c r="AG57" s="3059"/>
      <c r="AH57" s="3058"/>
      <c r="AI57" s="3058"/>
      <c r="AJ57" s="3058"/>
      <c r="AK57" s="3058"/>
      <c r="AL57" s="3058"/>
      <c r="AM57" s="3058"/>
      <c r="AN57" s="3058"/>
      <c r="AO57" s="3058"/>
      <c r="AP57" s="3058"/>
      <c r="AQ57" s="3058"/>
      <c r="AR57" s="3058"/>
      <c r="AS57" s="3058"/>
      <c r="AT57" s="3058"/>
      <c r="AU57" s="3056"/>
      <c r="AV57" s="3057">
        <f t="shared" si="15"/>
      </c>
      <c r="AW57" s="3054"/>
      <c r="AX57" s="3059"/>
      <c r="AY57" s="3058"/>
      <c r="AZ57" s="3058"/>
      <c r="BA57" s="3058"/>
      <c r="BB57" s="3058"/>
      <c r="BC57" s="3058"/>
      <c r="BD57" s="3058"/>
      <c r="BE57" s="3058"/>
      <c r="BF57" s="3058"/>
      <c r="BG57" s="3058"/>
      <c r="BH57" s="3058"/>
      <c r="BI57" s="3058"/>
      <c r="BJ57" s="3058"/>
      <c r="BK57" s="3058"/>
      <c r="BL57" s="3056"/>
      <c r="BM57" s="3057">
        <f t="shared" si="16"/>
      </c>
      <c r="BN57" s="3054"/>
      <c r="BO57" s="3059"/>
      <c r="BP57" s="3058"/>
      <c r="BQ57" s="3058"/>
      <c r="BR57" s="3058"/>
      <c r="BS57" s="3058"/>
      <c r="BT57" s="3058"/>
      <c r="BU57" s="3058"/>
      <c r="BV57" s="3058"/>
      <c r="BW57" s="3058"/>
      <c r="BX57" s="3058"/>
      <c r="BY57" s="3058"/>
      <c r="BZ57" s="3058"/>
      <c r="CA57" s="3058"/>
      <c r="CB57" s="3058"/>
      <c r="CC57" s="3056"/>
      <c r="CD57" s="3057">
        <f t="shared" si="0"/>
      </c>
      <c r="CE57" s="3054"/>
      <c r="CF57" s="3054"/>
      <c r="CG57" s="3055"/>
      <c r="CH57" s="3055"/>
      <c r="CI57" s="3055"/>
      <c r="CJ57" s="3055"/>
      <c r="CK57" s="3055"/>
      <c r="CL57" s="3055"/>
      <c r="CM57" s="3055"/>
      <c r="CN57" s="3055"/>
      <c r="CO57" s="3055"/>
      <c r="CP57" s="3055"/>
      <c r="CQ57" s="3055"/>
      <c r="CR57" s="3055"/>
      <c r="CS57" s="3055"/>
      <c r="CU57" s="3054"/>
      <c r="CV57" s="696"/>
      <c r="CW57" s="696"/>
      <c r="CZ57" s="3060">
        <f t="shared" si="17"/>
      </c>
      <c r="DA57" s="3060">
        <f t="shared" si="1"/>
      </c>
      <c r="DB57" s="3060">
        <f t="shared" si="18"/>
      </c>
      <c r="DC57" s="3060">
        <f t="shared" si="19"/>
      </c>
      <c r="DD57" s="3060">
        <f t="shared" si="20"/>
      </c>
      <c r="DE57" s="3060">
        <f t="shared" si="21"/>
      </c>
      <c r="DF57" s="3060">
        <f t="shared" si="22"/>
      </c>
      <c r="DG57" s="3060">
        <f t="shared" si="23"/>
      </c>
      <c r="DH57" s="3060">
        <f t="shared" si="24"/>
      </c>
      <c r="DI57" s="3060">
        <f t="shared" si="1"/>
      </c>
    </row>
    <row r="58" ht="15" customHeight="1" s="3052" customFormat="1">
      <c r="A58" s="3055"/>
      <c r="B58" s="3054">
        <f t="shared" si="2"/>
      </c>
      <c r="C58" s="3054"/>
      <c r="D58" s="3054"/>
      <c r="E58" s="3055"/>
      <c r="F58" s="3055"/>
      <c r="G58" s="3055"/>
      <c r="H58" s="3055"/>
      <c r="I58" s="3055"/>
      <c r="J58" s="3055"/>
      <c r="K58" s="3055"/>
      <c r="L58" s="3055"/>
      <c r="M58" s="3055"/>
      <c r="N58" s="3055"/>
      <c r="O58" s="3055"/>
      <c r="P58" s="3055"/>
      <c r="Q58" s="3055"/>
      <c r="R58" s="3055">
        <f t="shared" si="3"/>
        <v>0</v>
      </c>
      <c r="S58" s="3055">
        <f t="shared" si="4"/>
        <v>0</v>
      </c>
      <c r="T58" s="3055">
        <f t="shared" si="5"/>
        <v>0</v>
      </c>
      <c r="U58" s="3055">
        <f t="shared" si="6"/>
        <v>0</v>
      </c>
      <c r="V58" s="3055">
        <f t="shared" si="7"/>
        <v>0</v>
      </c>
      <c r="W58" s="3055">
        <f t="shared" si="8"/>
        <v>0</v>
      </c>
      <c r="X58" s="3055">
        <f t="shared" si="9"/>
        <v>0</v>
      </c>
      <c r="Y58" s="3055">
        <f t="shared" si="10"/>
        <v>0</v>
      </c>
      <c r="Z58" s="3055">
        <f t="shared" si="11"/>
        <v>0</v>
      </c>
      <c r="AA58" s="3055">
        <f t="shared" si="12"/>
        <v>0</v>
      </c>
      <c r="AB58" s="3055">
        <f t="shared" si="13"/>
        <v>0</v>
      </c>
      <c r="AC58" s="3055">
        <f t="shared" si="14"/>
        <v>0</v>
      </c>
      <c r="AD58" s="3056"/>
      <c r="AE58" s="3057">
        <f t="shared" si="0"/>
      </c>
      <c r="AF58" s="3054"/>
      <c r="AG58" s="3059"/>
      <c r="AH58" s="3058"/>
      <c r="AI58" s="3058"/>
      <c r="AJ58" s="3058"/>
      <c r="AK58" s="3058"/>
      <c r="AL58" s="3058"/>
      <c r="AM58" s="3058"/>
      <c r="AN58" s="3058"/>
      <c r="AO58" s="3058"/>
      <c r="AP58" s="3058"/>
      <c r="AQ58" s="3058"/>
      <c r="AR58" s="3058"/>
      <c r="AS58" s="3058"/>
      <c r="AT58" s="3058"/>
      <c r="AU58" s="3056"/>
      <c r="AV58" s="3057">
        <f t="shared" si="15"/>
      </c>
      <c r="AW58" s="3054"/>
      <c r="AX58" s="3059"/>
      <c r="AY58" s="3058"/>
      <c r="AZ58" s="3058"/>
      <c r="BA58" s="3058"/>
      <c r="BB58" s="3058"/>
      <c r="BC58" s="3058"/>
      <c r="BD58" s="3058"/>
      <c r="BE58" s="3058"/>
      <c r="BF58" s="3058"/>
      <c r="BG58" s="3058"/>
      <c r="BH58" s="3058"/>
      <c r="BI58" s="3058"/>
      <c r="BJ58" s="3058"/>
      <c r="BK58" s="3058"/>
      <c r="BL58" s="3056"/>
      <c r="BM58" s="3057">
        <f t="shared" si="16"/>
      </c>
      <c r="BN58" s="3054"/>
      <c r="BO58" s="3059"/>
      <c r="BP58" s="3058"/>
      <c r="BQ58" s="3058"/>
      <c r="BR58" s="3058"/>
      <c r="BS58" s="3058"/>
      <c r="BT58" s="3058"/>
      <c r="BU58" s="3058"/>
      <c r="BV58" s="3058"/>
      <c r="BW58" s="3058"/>
      <c r="BX58" s="3058"/>
      <c r="BY58" s="3058"/>
      <c r="BZ58" s="3058"/>
      <c r="CA58" s="3058"/>
      <c r="CB58" s="3058"/>
      <c r="CC58" s="3056"/>
      <c r="CD58" s="3057">
        <f t="shared" si="0"/>
      </c>
      <c r="CE58" s="3054"/>
      <c r="CF58" s="3054"/>
      <c r="CG58" s="3055"/>
      <c r="CH58" s="3055"/>
      <c r="CI58" s="3055"/>
      <c r="CJ58" s="3055"/>
      <c r="CK58" s="3055"/>
      <c r="CL58" s="3055"/>
      <c r="CM58" s="3055"/>
      <c r="CN58" s="3055"/>
      <c r="CO58" s="3055"/>
      <c r="CP58" s="3055"/>
      <c r="CQ58" s="3055"/>
      <c r="CR58" s="3055"/>
      <c r="CS58" s="3055"/>
      <c r="CU58" s="3054"/>
      <c r="CV58" s="696"/>
      <c r="CW58" s="696"/>
      <c r="CZ58" s="3060">
        <f t="shared" si="17"/>
      </c>
      <c r="DA58" s="3060">
        <f t="shared" si="1"/>
      </c>
      <c r="DB58" s="3060">
        <f t="shared" si="18"/>
      </c>
      <c r="DC58" s="3060">
        <f t="shared" si="19"/>
      </c>
      <c r="DD58" s="3060">
        <f t="shared" si="20"/>
      </c>
      <c r="DE58" s="3060">
        <f t="shared" si="21"/>
      </c>
      <c r="DF58" s="3060">
        <f t="shared" si="22"/>
      </c>
      <c r="DG58" s="3060">
        <f t="shared" si="23"/>
      </c>
      <c r="DH58" s="3060">
        <f t="shared" si="24"/>
      </c>
      <c r="DI58" s="3060">
        <f t="shared" si="1"/>
      </c>
    </row>
    <row r="59" ht="15" customHeight="1" s="3052" customFormat="1">
      <c r="A59" s="3055"/>
      <c r="B59" s="3054">
        <f t="shared" si="2"/>
      </c>
      <c r="C59" s="3054"/>
      <c r="D59" s="3054"/>
      <c r="E59" s="3055"/>
      <c r="F59" s="3055"/>
      <c r="G59" s="3055"/>
      <c r="H59" s="3055"/>
      <c r="I59" s="3055"/>
      <c r="J59" s="3055"/>
      <c r="K59" s="3055"/>
      <c r="L59" s="3055"/>
      <c r="M59" s="3055"/>
      <c r="N59" s="3055"/>
      <c r="O59" s="3055"/>
      <c r="P59" s="3055"/>
      <c r="Q59" s="3055"/>
      <c r="R59" s="3055">
        <f t="shared" si="3"/>
        <v>0</v>
      </c>
      <c r="S59" s="3055">
        <f t="shared" si="4"/>
        <v>0</v>
      </c>
      <c r="T59" s="3055">
        <f t="shared" si="5"/>
        <v>0</v>
      </c>
      <c r="U59" s="3055">
        <f t="shared" si="6"/>
        <v>0</v>
      </c>
      <c r="V59" s="3055">
        <f t="shared" si="7"/>
        <v>0</v>
      </c>
      <c r="W59" s="3055">
        <f t="shared" si="8"/>
        <v>0</v>
      </c>
      <c r="X59" s="3055">
        <f t="shared" si="9"/>
        <v>0</v>
      </c>
      <c r="Y59" s="3055">
        <f t="shared" si="10"/>
        <v>0</v>
      </c>
      <c r="Z59" s="3055">
        <f t="shared" si="11"/>
        <v>0</v>
      </c>
      <c r="AA59" s="3055">
        <f t="shared" si="12"/>
        <v>0</v>
      </c>
      <c r="AB59" s="3055">
        <f t="shared" si="13"/>
        <v>0</v>
      </c>
      <c r="AC59" s="3055">
        <f t="shared" si="14"/>
        <v>0</v>
      </c>
      <c r="AD59" s="3056"/>
      <c r="AE59" s="3057">
        <f t="shared" si="0"/>
      </c>
      <c r="AF59" s="3054"/>
      <c r="AG59" s="3059"/>
      <c r="AH59" s="3058"/>
      <c r="AI59" s="3058"/>
      <c r="AJ59" s="3058"/>
      <c r="AK59" s="3058"/>
      <c r="AL59" s="3058"/>
      <c r="AM59" s="3058"/>
      <c r="AN59" s="3058"/>
      <c r="AO59" s="3058"/>
      <c r="AP59" s="3058"/>
      <c r="AQ59" s="3058"/>
      <c r="AR59" s="3058"/>
      <c r="AS59" s="3058"/>
      <c r="AT59" s="3058"/>
      <c r="AU59" s="3056"/>
      <c r="AV59" s="3057">
        <f t="shared" si="15"/>
      </c>
      <c r="AW59" s="3054"/>
      <c r="AX59" s="3059"/>
      <c r="AY59" s="3058"/>
      <c r="AZ59" s="3058"/>
      <c r="BA59" s="3058"/>
      <c r="BB59" s="3058"/>
      <c r="BC59" s="3058"/>
      <c r="BD59" s="3058"/>
      <c r="BE59" s="3058"/>
      <c r="BF59" s="3058"/>
      <c r="BG59" s="3058"/>
      <c r="BH59" s="3058"/>
      <c r="BI59" s="3058"/>
      <c r="BJ59" s="3058"/>
      <c r="BK59" s="3058"/>
      <c r="BL59" s="3056"/>
      <c r="BM59" s="3057">
        <f t="shared" si="16"/>
      </c>
      <c r="BN59" s="3054"/>
      <c r="BO59" s="3059"/>
      <c r="BP59" s="3058"/>
      <c r="BQ59" s="3058"/>
      <c r="BR59" s="3058"/>
      <c r="BS59" s="3058"/>
      <c r="BT59" s="3058"/>
      <c r="BU59" s="3058"/>
      <c r="BV59" s="3058"/>
      <c r="BW59" s="3058"/>
      <c r="BX59" s="3058"/>
      <c r="BY59" s="3058"/>
      <c r="BZ59" s="3058"/>
      <c r="CA59" s="3058"/>
      <c r="CB59" s="3058"/>
      <c r="CC59" s="3056"/>
      <c r="CD59" s="3057">
        <f t="shared" si="0"/>
      </c>
      <c r="CE59" s="3054"/>
      <c r="CF59" s="3054"/>
      <c r="CG59" s="3055"/>
      <c r="CH59" s="3055"/>
      <c r="CI59" s="3055"/>
      <c r="CJ59" s="3055"/>
      <c r="CK59" s="3055"/>
      <c r="CL59" s="3055"/>
      <c r="CM59" s="3055"/>
      <c r="CN59" s="3055"/>
      <c r="CO59" s="3055"/>
      <c r="CP59" s="3055"/>
      <c r="CQ59" s="3055"/>
      <c r="CR59" s="3055"/>
      <c r="CS59" s="3055"/>
      <c r="CU59" s="3054"/>
      <c r="CV59" s="696"/>
      <c r="CW59" s="696"/>
      <c r="CZ59" s="3060">
        <f t="shared" si="17"/>
      </c>
      <c r="DA59" s="3060">
        <f t="shared" si="1"/>
      </c>
      <c r="DB59" s="3060">
        <f t="shared" si="18"/>
      </c>
      <c r="DC59" s="3060">
        <f t="shared" si="19"/>
      </c>
      <c r="DD59" s="3060">
        <f t="shared" si="20"/>
      </c>
      <c r="DE59" s="3060">
        <f t="shared" si="21"/>
      </c>
      <c r="DF59" s="3060">
        <f t="shared" si="22"/>
      </c>
      <c r="DG59" s="3060">
        <f t="shared" si="23"/>
      </c>
      <c r="DH59" s="3060">
        <f t="shared" si="24"/>
      </c>
      <c r="DI59" s="3060">
        <f t="shared" si="1"/>
      </c>
    </row>
    <row r="60" ht="15" customHeight="1" s="3052" customFormat="1">
      <c r="A60" s="3062"/>
      <c r="B60" s="3054">
        <f t="shared" si="2"/>
      </c>
      <c r="C60" s="3054"/>
      <c r="D60" s="3054"/>
      <c r="E60" s="3055"/>
      <c r="F60" s="3055"/>
      <c r="G60" s="3055"/>
      <c r="H60" s="3055"/>
      <c r="I60" s="3055"/>
      <c r="J60" s="3055"/>
      <c r="K60" s="3055"/>
      <c r="L60" s="3055"/>
      <c r="M60" s="3055"/>
      <c r="N60" s="3055"/>
      <c r="O60" s="3055"/>
      <c r="P60" s="3055"/>
      <c r="Q60" s="3055"/>
      <c r="R60" s="3055">
        <f t="shared" si="3"/>
        <v>0</v>
      </c>
      <c r="S60" s="3055">
        <f t="shared" si="4"/>
        <v>0</v>
      </c>
      <c r="T60" s="3055">
        <f t="shared" si="5"/>
        <v>0</v>
      </c>
      <c r="U60" s="3055">
        <f t="shared" si="6"/>
        <v>0</v>
      </c>
      <c r="V60" s="3055">
        <f t="shared" si="7"/>
        <v>0</v>
      </c>
      <c r="W60" s="3055">
        <f t="shared" si="8"/>
        <v>0</v>
      </c>
      <c r="X60" s="3055">
        <f t="shared" si="9"/>
        <v>0</v>
      </c>
      <c r="Y60" s="3055">
        <f t="shared" si="10"/>
        <v>0</v>
      </c>
      <c r="Z60" s="3055">
        <f t="shared" si="11"/>
        <v>0</v>
      </c>
      <c r="AA60" s="3055">
        <f t="shared" si="12"/>
        <v>0</v>
      </c>
      <c r="AB60" s="3055">
        <f t="shared" si="13"/>
        <v>0</v>
      </c>
      <c r="AC60" s="3055">
        <f t="shared" si="14"/>
        <v>0</v>
      </c>
      <c r="AD60" s="3056"/>
      <c r="AE60" s="3057">
        <f t="shared" si="0"/>
      </c>
      <c r="AF60" s="3054"/>
      <c r="AG60" s="3059"/>
      <c r="AH60" s="3058"/>
      <c r="AI60" s="3058"/>
      <c r="AJ60" s="3058"/>
      <c r="AK60" s="3058"/>
      <c r="AL60" s="3058"/>
      <c r="AM60" s="3058"/>
      <c r="AN60" s="3058"/>
      <c r="AO60" s="3058"/>
      <c r="AP60" s="3058"/>
      <c r="AQ60" s="3058"/>
      <c r="AR60" s="3058"/>
      <c r="AS60" s="3058"/>
      <c r="AT60" s="3058"/>
      <c r="AU60" s="3056"/>
      <c r="AV60" s="3057">
        <f t="shared" si="15"/>
      </c>
      <c r="AW60" s="3054"/>
      <c r="AX60" s="3059"/>
      <c r="AY60" s="3058"/>
      <c r="AZ60" s="3058"/>
      <c r="BA60" s="3058"/>
      <c r="BB60" s="3058"/>
      <c r="BC60" s="3058"/>
      <c r="BD60" s="3058"/>
      <c r="BE60" s="3058"/>
      <c r="BF60" s="3058"/>
      <c r="BG60" s="3058"/>
      <c r="BH60" s="3058"/>
      <c r="BI60" s="3058"/>
      <c r="BJ60" s="3058"/>
      <c r="BK60" s="3058"/>
      <c r="BL60" s="3056"/>
      <c r="BM60" s="3057">
        <f t="shared" si="16"/>
      </c>
      <c r="BN60" s="3054"/>
      <c r="BO60" s="3059"/>
      <c r="BP60" s="3058"/>
      <c r="BQ60" s="3058"/>
      <c r="BR60" s="3058"/>
      <c r="BS60" s="3058"/>
      <c r="BT60" s="3058"/>
      <c r="BU60" s="3058"/>
      <c r="BV60" s="3058"/>
      <c r="BW60" s="3058"/>
      <c r="BX60" s="3058"/>
      <c r="BY60" s="3058"/>
      <c r="BZ60" s="3058"/>
      <c r="CA60" s="3058"/>
      <c r="CB60" s="3058"/>
      <c r="CC60" s="3056"/>
      <c r="CD60" s="3057">
        <f t="shared" si="0"/>
      </c>
      <c r="CE60" s="3054"/>
      <c r="CF60" s="3054"/>
      <c r="CG60" s="3055"/>
      <c r="CH60" s="3055"/>
      <c r="CI60" s="3055"/>
      <c r="CJ60" s="3055"/>
      <c r="CK60" s="3055"/>
      <c r="CL60" s="3055"/>
      <c r="CM60" s="3055"/>
      <c r="CN60" s="3055"/>
      <c r="CO60" s="3055"/>
      <c r="CP60" s="3055"/>
      <c r="CQ60" s="3055"/>
      <c r="CR60" s="3055"/>
      <c r="CS60" s="3055"/>
      <c r="CU60" s="3054"/>
      <c r="CV60" s="696"/>
      <c r="CW60" s="696"/>
      <c r="CZ60" s="3060">
        <f t="shared" si="17"/>
      </c>
      <c r="DA60" s="3060">
        <f t="shared" si="1"/>
      </c>
      <c r="DB60" s="3060">
        <f t="shared" si="18"/>
      </c>
      <c r="DC60" s="3060">
        <f t="shared" si="19"/>
      </c>
      <c r="DD60" s="3060">
        <f t="shared" si="20"/>
      </c>
      <c r="DE60" s="3060">
        <f t="shared" si="21"/>
      </c>
      <c r="DF60" s="3060">
        <f t="shared" si="22"/>
      </c>
      <c r="DG60" s="3060">
        <f t="shared" si="23"/>
      </c>
      <c r="DH60" s="3060">
        <f t="shared" si="24"/>
      </c>
      <c r="DI60" s="3060">
        <f t="shared" si="1"/>
      </c>
    </row>
    <row r="61" ht="15" customHeight="1" s="3052" customFormat="1">
      <c r="A61" s="3055"/>
      <c r="B61" s="3054">
        <f t="shared" si="2"/>
      </c>
      <c r="C61" s="3054"/>
      <c r="D61" s="3054"/>
      <c r="E61" s="3055"/>
      <c r="F61" s="3055"/>
      <c r="G61" s="3055"/>
      <c r="H61" s="3055"/>
      <c r="I61" s="3055"/>
      <c r="J61" s="3055"/>
      <c r="K61" s="3055"/>
      <c r="L61" s="3055"/>
      <c r="M61" s="3055"/>
      <c r="N61" s="3055"/>
      <c r="O61" s="3055"/>
      <c r="P61" s="3055"/>
      <c r="Q61" s="3055"/>
      <c r="R61" s="3055">
        <f t="shared" si="3"/>
        <v>0</v>
      </c>
      <c r="S61" s="3055">
        <f t="shared" si="4"/>
        <v>0</v>
      </c>
      <c r="T61" s="3055">
        <f t="shared" si="5"/>
        <v>0</v>
      </c>
      <c r="U61" s="3055">
        <f t="shared" si="6"/>
        <v>0</v>
      </c>
      <c r="V61" s="3055">
        <f t="shared" si="7"/>
        <v>0</v>
      </c>
      <c r="W61" s="3055">
        <f t="shared" si="8"/>
        <v>0</v>
      </c>
      <c r="X61" s="3055">
        <f t="shared" si="9"/>
        <v>0</v>
      </c>
      <c r="Y61" s="3055">
        <f t="shared" si="10"/>
        <v>0</v>
      </c>
      <c r="Z61" s="3055">
        <f t="shared" si="11"/>
        <v>0</v>
      </c>
      <c r="AA61" s="3055">
        <f t="shared" si="12"/>
        <v>0</v>
      </c>
      <c r="AB61" s="3055">
        <f t="shared" si="13"/>
        <v>0</v>
      </c>
      <c r="AC61" s="3055">
        <f t="shared" si="14"/>
        <v>0</v>
      </c>
      <c r="AD61" s="3056"/>
      <c r="AE61" s="3057">
        <f t="shared" si="0"/>
      </c>
      <c r="AF61" s="3054"/>
      <c r="AG61" s="3059"/>
      <c r="AH61" s="3058"/>
      <c r="AI61" s="3058"/>
      <c r="AJ61" s="3058"/>
      <c r="AK61" s="3058"/>
      <c r="AL61" s="3058"/>
      <c r="AM61" s="3058"/>
      <c r="AN61" s="3058"/>
      <c r="AO61" s="3058"/>
      <c r="AP61" s="3058"/>
      <c r="AQ61" s="3058"/>
      <c r="AR61" s="3058"/>
      <c r="AS61" s="3058"/>
      <c r="AT61" s="3058"/>
      <c r="AU61" s="3056"/>
      <c r="AV61" s="3057">
        <f t="shared" si="15"/>
      </c>
      <c r="AW61" s="3054"/>
      <c r="AX61" s="3059"/>
      <c r="AY61" s="3058"/>
      <c r="AZ61" s="3058"/>
      <c r="BA61" s="3058"/>
      <c r="BB61" s="3058"/>
      <c r="BC61" s="3058"/>
      <c r="BD61" s="3058"/>
      <c r="BE61" s="3058"/>
      <c r="BF61" s="3058"/>
      <c r="BG61" s="3058"/>
      <c r="BH61" s="3058"/>
      <c r="BI61" s="3058"/>
      <c r="BJ61" s="3058"/>
      <c r="BK61" s="3058"/>
      <c r="BL61" s="3056"/>
      <c r="BM61" s="3057">
        <f t="shared" si="16"/>
      </c>
      <c r="BN61" s="3054"/>
      <c r="BO61" s="3059"/>
      <c r="BP61" s="3058"/>
      <c r="BQ61" s="3058"/>
      <c r="BR61" s="3058"/>
      <c r="BS61" s="3058"/>
      <c r="BT61" s="3058"/>
      <c r="BU61" s="3058"/>
      <c r="BV61" s="3058"/>
      <c r="BW61" s="3058"/>
      <c r="BX61" s="3058"/>
      <c r="BY61" s="3058"/>
      <c r="BZ61" s="3058"/>
      <c r="CA61" s="3058"/>
      <c r="CB61" s="3058"/>
      <c r="CC61" s="3056"/>
      <c r="CD61" s="3057">
        <f t="shared" si="0"/>
      </c>
      <c r="CE61" s="3054"/>
      <c r="CF61" s="3054"/>
      <c r="CG61" s="3055"/>
      <c r="CH61" s="3055"/>
      <c r="CI61" s="3055"/>
      <c r="CJ61" s="3055"/>
      <c r="CK61" s="3055"/>
      <c r="CL61" s="3055"/>
      <c r="CM61" s="3055"/>
      <c r="CN61" s="3055"/>
      <c r="CO61" s="3055"/>
      <c r="CP61" s="3055"/>
      <c r="CQ61" s="3055"/>
      <c r="CR61" s="3055"/>
      <c r="CS61" s="3055"/>
      <c r="CU61" s="3054"/>
      <c r="CV61" s="696"/>
      <c r="CW61" s="696"/>
      <c r="CZ61" s="3060">
        <f t="shared" si="17"/>
      </c>
      <c r="DA61" s="3060">
        <f t="shared" si="1"/>
      </c>
      <c r="DB61" s="3060">
        <f t="shared" si="18"/>
      </c>
      <c r="DC61" s="3060">
        <f t="shared" si="19"/>
      </c>
      <c r="DD61" s="3060">
        <f t="shared" si="20"/>
      </c>
      <c r="DE61" s="3060">
        <f t="shared" si="21"/>
      </c>
      <c r="DF61" s="3060">
        <f t="shared" si="22"/>
      </c>
      <c r="DG61" s="3060">
        <f t="shared" si="23"/>
      </c>
      <c r="DH61" s="3060">
        <f t="shared" si="24"/>
      </c>
      <c r="DI61" s="3060">
        <f t="shared" si="1"/>
      </c>
    </row>
    <row r="62" ht="15" customHeight="1" s="3052" customFormat="1">
      <c r="A62" s="3055"/>
      <c r="B62" s="3054">
        <f t="shared" si="2"/>
      </c>
      <c r="C62" s="3054"/>
      <c r="D62" s="3054"/>
      <c r="E62" s="3055"/>
      <c r="F62" s="3055"/>
      <c r="G62" s="3055"/>
      <c r="H62" s="3055"/>
      <c r="I62" s="3055"/>
      <c r="J62" s="3055"/>
      <c r="K62" s="3055"/>
      <c r="L62" s="3055"/>
      <c r="M62" s="3055"/>
      <c r="N62" s="3055"/>
      <c r="O62" s="3055"/>
      <c r="P62" s="3055"/>
      <c r="Q62" s="3055"/>
      <c r="R62" s="3055">
        <f t="shared" si="3"/>
        <v>0</v>
      </c>
      <c r="S62" s="3055">
        <f t="shared" si="4"/>
        <v>0</v>
      </c>
      <c r="T62" s="3055">
        <f t="shared" si="5"/>
        <v>0</v>
      </c>
      <c r="U62" s="3055">
        <f t="shared" si="6"/>
        <v>0</v>
      </c>
      <c r="V62" s="3055">
        <f t="shared" si="7"/>
        <v>0</v>
      </c>
      <c r="W62" s="3055">
        <f t="shared" si="8"/>
        <v>0</v>
      </c>
      <c r="X62" s="3055">
        <f t="shared" si="9"/>
        <v>0</v>
      </c>
      <c r="Y62" s="3055">
        <f t="shared" si="10"/>
        <v>0</v>
      </c>
      <c r="Z62" s="3055">
        <f t="shared" si="11"/>
        <v>0</v>
      </c>
      <c r="AA62" s="3055">
        <f t="shared" si="12"/>
        <v>0</v>
      </c>
      <c r="AB62" s="3055">
        <f t="shared" si="13"/>
        <v>0</v>
      </c>
      <c r="AC62" s="3055">
        <f t="shared" si="14"/>
        <v>0</v>
      </c>
      <c r="AD62" s="3056"/>
      <c r="AE62" s="3057">
        <f t="shared" si="0"/>
      </c>
      <c r="AF62" s="3054"/>
      <c r="AG62" s="3059"/>
      <c r="AH62" s="3058"/>
      <c r="AI62" s="3058"/>
      <c r="AJ62" s="3058"/>
      <c r="AK62" s="3058"/>
      <c r="AL62" s="3058"/>
      <c r="AM62" s="3058"/>
      <c r="AN62" s="3058"/>
      <c r="AO62" s="3058"/>
      <c r="AP62" s="3058"/>
      <c r="AQ62" s="3058"/>
      <c r="AR62" s="3058"/>
      <c r="AS62" s="3058"/>
      <c r="AT62" s="3058"/>
      <c r="AU62" s="3056"/>
      <c r="AV62" s="3057">
        <f t="shared" si="15"/>
      </c>
      <c r="AW62" s="3054"/>
      <c r="AX62" s="3059"/>
      <c r="AY62" s="3058"/>
      <c r="AZ62" s="3058"/>
      <c r="BA62" s="3058"/>
      <c r="BB62" s="3058"/>
      <c r="BC62" s="3058"/>
      <c r="BD62" s="3058"/>
      <c r="BE62" s="3058"/>
      <c r="BF62" s="3058"/>
      <c r="BG62" s="3058"/>
      <c r="BH62" s="3058"/>
      <c r="BI62" s="3058"/>
      <c r="BJ62" s="3058"/>
      <c r="BK62" s="3058"/>
      <c r="BL62" s="3056"/>
      <c r="BM62" s="3057">
        <f t="shared" si="16"/>
      </c>
      <c r="BN62" s="3054"/>
      <c r="BO62" s="3059"/>
      <c r="BP62" s="3058"/>
      <c r="BQ62" s="3058"/>
      <c r="BR62" s="3058"/>
      <c r="BS62" s="3058"/>
      <c r="BT62" s="3058"/>
      <c r="BU62" s="3058"/>
      <c r="BV62" s="3058"/>
      <c r="BW62" s="3058"/>
      <c r="BX62" s="3058"/>
      <c r="BY62" s="3058"/>
      <c r="BZ62" s="3058"/>
      <c r="CA62" s="3058"/>
      <c r="CB62" s="3058"/>
      <c r="CC62" s="3056"/>
      <c r="CD62" s="3057">
        <f t="shared" si="0"/>
      </c>
      <c r="CE62" s="3054"/>
      <c r="CF62" s="3054"/>
      <c r="CG62" s="3055"/>
      <c r="CH62" s="3055"/>
      <c r="CI62" s="3055"/>
      <c r="CJ62" s="3055"/>
      <c r="CK62" s="3055"/>
      <c r="CL62" s="3055"/>
      <c r="CM62" s="3055"/>
      <c r="CN62" s="3055"/>
      <c r="CO62" s="3055"/>
      <c r="CP62" s="3055"/>
      <c r="CQ62" s="3055"/>
      <c r="CR62" s="3055"/>
      <c r="CS62" s="3055"/>
      <c r="CU62" s="3054"/>
      <c r="CV62" s="696"/>
      <c r="CW62" s="696"/>
      <c r="CZ62" s="3060">
        <f t="shared" si="17"/>
      </c>
      <c r="DA62" s="3060">
        <f t="shared" si="1"/>
      </c>
      <c r="DB62" s="3060">
        <f t="shared" si="18"/>
      </c>
      <c r="DC62" s="3060">
        <f t="shared" si="19"/>
      </c>
      <c r="DD62" s="3060">
        <f t="shared" si="20"/>
      </c>
      <c r="DE62" s="3060">
        <f t="shared" si="21"/>
      </c>
      <c r="DF62" s="3060">
        <f t="shared" si="22"/>
      </c>
      <c r="DG62" s="3060">
        <f t="shared" si="23"/>
      </c>
      <c r="DH62" s="3060">
        <f t="shared" si="24"/>
      </c>
      <c r="DI62" s="3060">
        <f t="shared" si="1"/>
      </c>
    </row>
    <row r="63" ht="15" customHeight="1" s="3052" customFormat="1">
      <c r="A63" s="3055"/>
      <c r="B63" s="3054">
        <f t="shared" si="2"/>
      </c>
      <c r="C63" s="3054"/>
      <c r="D63" s="3054"/>
      <c r="E63" s="3055"/>
      <c r="F63" s="3055"/>
      <c r="G63" s="3055"/>
      <c r="H63" s="3055"/>
      <c r="I63" s="3055"/>
      <c r="J63" s="3055"/>
      <c r="K63" s="3055"/>
      <c r="L63" s="3055"/>
      <c r="M63" s="3055"/>
      <c r="N63" s="3055"/>
      <c r="O63" s="3055"/>
      <c r="P63" s="3055"/>
      <c r="Q63" s="3055"/>
      <c r="R63" s="3055">
        <f t="shared" si="3"/>
        <v>0</v>
      </c>
      <c r="S63" s="3055">
        <f t="shared" si="4"/>
        <v>0</v>
      </c>
      <c r="T63" s="3055">
        <f t="shared" si="5"/>
        <v>0</v>
      </c>
      <c r="U63" s="3055">
        <f t="shared" si="6"/>
        <v>0</v>
      </c>
      <c r="V63" s="3055">
        <f t="shared" si="7"/>
        <v>0</v>
      </c>
      <c r="W63" s="3055">
        <f t="shared" si="8"/>
        <v>0</v>
      </c>
      <c r="X63" s="3055">
        <f t="shared" si="9"/>
        <v>0</v>
      </c>
      <c r="Y63" s="3055">
        <f t="shared" si="10"/>
        <v>0</v>
      </c>
      <c r="Z63" s="3055">
        <f t="shared" si="11"/>
        <v>0</v>
      </c>
      <c r="AA63" s="3055">
        <f t="shared" si="12"/>
        <v>0</v>
      </c>
      <c r="AB63" s="3055">
        <f t="shared" si="13"/>
        <v>0</v>
      </c>
      <c r="AC63" s="3055">
        <f t="shared" si="14"/>
        <v>0</v>
      </c>
      <c r="AD63" s="3056"/>
      <c r="AE63" s="3057">
        <f t="shared" si="0"/>
      </c>
      <c r="AF63" s="3054"/>
      <c r="AG63" s="3059"/>
      <c r="AH63" s="3058"/>
      <c r="AI63" s="3058"/>
      <c r="AJ63" s="3058"/>
      <c r="AK63" s="3058"/>
      <c r="AL63" s="3058"/>
      <c r="AM63" s="3058"/>
      <c r="AN63" s="3058"/>
      <c r="AO63" s="3058"/>
      <c r="AP63" s="3058"/>
      <c r="AQ63" s="3058"/>
      <c r="AR63" s="3058"/>
      <c r="AS63" s="3058"/>
      <c r="AT63" s="3058"/>
      <c r="AU63" s="3056"/>
      <c r="AV63" s="3057">
        <f t="shared" si="15"/>
      </c>
      <c r="AW63" s="3054"/>
      <c r="AX63" s="3059"/>
      <c r="AY63" s="3058"/>
      <c r="AZ63" s="3058"/>
      <c r="BA63" s="3058"/>
      <c r="BB63" s="3058"/>
      <c r="BC63" s="3058"/>
      <c r="BD63" s="3058"/>
      <c r="BE63" s="3058"/>
      <c r="BF63" s="3058"/>
      <c r="BG63" s="3058"/>
      <c r="BH63" s="3058"/>
      <c r="BI63" s="3058"/>
      <c r="BJ63" s="3058"/>
      <c r="BK63" s="3058"/>
      <c r="BL63" s="3056"/>
      <c r="BM63" s="3057">
        <f t="shared" si="16"/>
      </c>
      <c r="BN63" s="3054"/>
      <c r="BO63" s="3059"/>
      <c r="BP63" s="3058"/>
      <c r="BQ63" s="3058"/>
      <c r="BR63" s="3058"/>
      <c r="BS63" s="3058"/>
      <c r="BT63" s="3058"/>
      <c r="BU63" s="3058"/>
      <c r="BV63" s="3058"/>
      <c r="BW63" s="3058"/>
      <c r="BX63" s="3058"/>
      <c r="BY63" s="3058"/>
      <c r="BZ63" s="3058"/>
      <c r="CA63" s="3058"/>
      <c r="CB63" s="3058"/>
      <c r="CC63" s="3056"/>
      <c r="CD63" s="3057">
        <f t="shared" si="0"/>
      </c>
      <c r="CE63" s="3054"/>
      <c r="CF63" s="3054"/>
      <c r="CG63" s="3055"/>
      <c r="CH63" s="3055"/>
      <c r="CI63" s="3055"/>
      <c r="CJ63" s="3055"/>
      <c r="CK63" s="3055"/>
      <c r="CL63" s="3055"/>
      <c r="CM63" s="3055"/>
      <c r="CN63" s="3055"/>
      <c r="CO63" s="3055"/>
      <c r="CP63" s="3055"/>
      <c r="CQ63" s="3055"/>
      <c r="CR63" s="3055"/>
      <c r="CS63" s="3055"/>
      <c r="CU63" s="3054"/>
      <c r="CV63" s="696"/>
      <c r="CW63" s="696"/>
      <c r="CZ63" s="3060">
        <f t="shared" si="17"/>
      </c>
      <c r="DA63" s="3060">
        <f t="shared" si="1"/>
      </c>
      <c r="DB63" s="3060">
        <f t="shared" si="18"/>
      </c>
      <c r="DC63" s="3060">
        <f t="shared" si="19"/>
      </c>
      <c r="DD63" s="3060">
        <f t="shared" si="20"/>
      </c>
      <c r="DE63" s="3060">
        <f t="shared" si="21"/>
      </c>
      <c r="DF63" s="3060">
        <f t="shared" si="22"/>
      </c>
      <c r="DG63" s="3060">
        <f t="shared" si="23"/>
      </c>
      <c r="DH63" s="3060">
        <f t="shared" si="24"/>
      </c>
      <c r="DI63" s="3060">
        <f t="shared" si="1"/>
      </c>
    </row>
    <row r="64" ht="15" customHeight="1" s="3052" customFormat="1">
      <c r="A64" s="3055"/>
      <c r="B64" s="3054">
        <f t="shared" si="2"/>
      </c>
      <c r="C64" s="3054"/>
      <c r="D64" s="3054"/>
      <c r="E64" s="3055"/>
      <c r="F64" s="3055"/>
      <c r="G64" s="3055"/>
      <c r="H64" s="3055"/>
      <c r="I64" s="3055"/>
      <c r="J64" s="3055"/>
      <c r="K64" s="3055"/>
      <c r="L64" s="3055"/>
      <c r="M64" s="3055"/>
      <c r="N64" s="3055"/>
      <c r="O64" s="3055"/>
      <c r="P64" s="3055"/>
      <c r="Q64" s="3055"/>
      <c r="R64" s="3055">
        <f t="shared" si="3"/>
        <v>0</v>
      </c>
      <c r="S64" s="3055">
        <f t="shared" si="4"/>
        <v>0</v>
      </c>
      <c r="T64" s="3055">
        <f t="shared" si="5"/>
        <v>0</v>
      </c>
      <c r="U64" s="3055">
        <f t="shared" si="6"/>
        <v>0</v>
      </c>
      <c r="V64" s="3055">
        <f t="shared" si="7"/>
        <v>0</v>
      </c>
      <c r="W64" s="3055">
        <f t="shared" si="8"/>
        <v>0</v>
      </c>
      <c r="X64" s="3055">
        <f t="shared" si="9"/>
        <v>0</v>
      </c>
      <c r="Y64" s="3055">
        <f t="shared" si="10"/>
        <v>0</v>
      </c>
      <c r="Z64" s="3055">
        <f t="shared" si="11"/>
        <v>0</v>
      </c>
      <c r="AA64" s="3055">
        <f t="shared" si="12"/>
        <v>0</v>
      </c>
      <c r="AB64" s="3055">
        <f t="shared" si="13"/>
        <v>0</v>
      </c>
      <c r="AC64" s="3055">
        <f t="shared" si="14"/>
        <v>0</v>
      </c>
      <c r="AD64" s="3056"/>
      <c r="AE64" s="3057">
        <f t="shared" si="0"/>
      </c>
      <c r="AF64" s="3054"/>
      <c r="AG64" s="3059"/>
      <c r="AH64" s="3058"/>
      <c r="AI64" s="3058"/>
      <c r="AJ64" s="3058"/>
      <c r="AK64" s="3058"/>
      <c r="AL64" s="3058"/>
      <c r="AM64" s="3058"/>
      <c r="AN64" s="3058"/>
      <c r="AO64" s="3058"/>
      <c r="AP64" s="3058"/>
      <c r="AQ64" s="3058"/>
      <c r="AR64" s="3058"/>
      <c r="AS64" s="3058"/>
      <c r="AT64" s="3058"/>
      <c r="AU64" s="3056"/>
      <c r="AV64" s="3057">
        <f t="shared" si="15"/>
      </c>
      <c r="AW64" s="3054"/>
      <c r="AX64" s="3059"/>
      <c r="AY64" s="3058"/>
      <c r="AZ64" s="3058"/>
      <c r="BA64" s="3058"/>
      <c r="BB64" s="3058"/>
      <c r="BC64" s="3058"/>
      <c r="BD64" s="3058"/>
      <c r="BE64" s="3058"/>
      <c r="BF64" s="3058"/>
      <c r="BG64" s="3058"/>
      <c r="BH64" s="3058"/>
      <c r="BI64" s="3058"/>
      <c r="BJ64" s="3058"/>
      <c r="BK64" s="3058"/>
      <c r="BL64" s="3056"/>
      <c r="BM64" s="3057">
        <f t="shared" si="16"/>
      </c>
      <c r="BN64" s="3054"/>
      <c r="BO64" s="3059"/>
      <c r="BP64" s="3058"/>
      <c r="BQ64" s="3058"/>
      <c r="BR64" s="3058"/>
      <c r="BS64" s="3058"/>
      <c r="BT64" s="3058"/>
      <c r="BU64" s="3058"/>
      <c r="BV64" s="3058"/>
      <c r="BW64" s="3058"/>
      <c r="BX64" s="3058"/>
      <c r="BY64" s="3058"/>
      <c r="BZ64" s="3058"/>
      <c r="CA64" s="3058"/>
      <c r="CB64" s="3058"/>
      <c r="CC64" s="3056"/>
      <c r="CD64" s="3057">
        <f t="shared" si="0"/>
      </c>
      <c r="CE64" s="3054"/>
      <c r="CF64" s="3054"/>
      <c r="CG64" s="3055"/>
      <c r="CH64" s="3055"/>
      <c r="CI64" s="3055"/>
      <c r="CJ64" s="3055"/>
      <c r="CK64" s="3055"/>
      <c r="CL64" s="3055"/>
      <c r="CM64" s="3055"/>
      <c r="CN64" s="3055"/>
      <c r="CO64" s="3055"/>
      <c r="CP64" s="3055"/>
      <c r="CQ64" s="3055"/>
      <c r="CR64" s="3055"/>
      <c r="CS64" s="3055"/>
      <c r="CU64" s="3054"/>
      <c r="CV64" s="696"/>
      <c r="CW64" s="696"/>
      <c r="CZ64" s="3060">
        <f t="shared" si="17"/>
      </c>
      <c r="DA64" s="3060">
        <f t="shared" si="1"/>
      </c>
      <c r="DB64" s="3060">
        <f t="shared" si="18"/>
      </c>
      <c r="DC64" s="3060">
        <f t="shared" si="19"/>
      </c>
      <c r="DD64" s="3060">
        <f t="shared" si="20"/>
      </c>
      <c r="DE64" s="3060">
        <f t="shared" si="21"/>
      </c>
      <c r="DF64" s="3060">
        <f t="shared" si="22"/>
      </c>
      <c r="DG64" s="3060">
        <f t="shared" si="23"/>
      </c>
      <c r="DH64" s="3060">
        <f t="shared" si="24"/>
      </c>
      <c r="DI64" s="3060">
        <f t="shared" si="1"/>
      </c>
    </row>
    <row r="65" ht="15" customHeight="1" s="3052" customFormat="1">
      <c r="A65" s="3055"/>
      <c r="B65" s="3054">
        <f t="shared" si="2"/>
      </c>
      <c r="C65" s="3054"/>
      <c r="D65" s="3054"/>
      <c r="E65" s="3055"/>
      <c r="F65" s="3055"/>
      <c r="G65" s="3055"/>
      <c r="H65" s="3055"/>
      <c r="I65" s="3055"/>
      <c r="J65" s="3055"/>
      <c r="K65" s="3055"/>
      <c r="L65" s="3055"/>
      <c r="M65" s="3055"/>
      <c r="N65" s="3055"/>
      <c r="O65" s="3055"/>
      <c r="P65" s="3055"/>
      <c r="Q65" s="3055"/>
      <c r="R65" s="3055">
        <f t="shared" si="3"/>
        <v>0</v>
      </c>
      <c r="S65" s="3055">
        <f t="shared" si="4"/>
        <v>0</v>
      </c>
      <c r="T65" s="3055">
        <f t="shared" si="5"/>
        <v>0</v>
      </c>
      <c r="U65" s="3055">
        <f t="shared" si="6"/>
        <v>0</v>
      </c>
      <c r="V65" s="3055">
        <f t="shared" si="7"/>
        <v>0</v>
      </c>
      <c r="W65" s="3055">
        <f t="shared" si="8"/>
        <v>0</v>
      </c>
      <c r="X65" s="3055">
        <f t="shared" si="9"/>
        <v>0</v>
      </c>
      <c r="Y65" s="3055">
        <f t="shared" si="10"/>
        <v>0</v>
      </c>
      <c r="Z65" s="3055">
        <f t="shared" si="11"/>
        <v>0</v>
      </c>
      <c r="AA65" s="3055">
        <f t="shared" si="12"/>
        <v>0</v>
      </c>
      <c r="AB65" s="3055">
        <f t="shared" si="13"/>
        <v>0</v>
      </c>
      <c r="AC65" s="3055">
        <f t="shared" si="14"/>
        <v>0</v>
      </c>
      <c r="AD65" s="3056"/>
      <c r="AE65" s="3057">
        <f t="shared" si="0"/>
      </c>
      <c r="AF65" s="3054"/>
      <c r="AG65" s="3059"/>
      <c r="AH65" s="3058"/>
      <c r="AI65" s="3058"/>
      <c r="AJ65" s="3058"/>
      <c r="AK65" s="3058"/>
      <c r="AL65" s="3058"/>
      <c r="AM65" s="3058"/>
      <c r="AN65" s="3058"/>
      <c r="AO65" s="3058"/>
      <c r="AP65" s="3058"/>
      <c r="AQ65" s="3058"/>
      <c r="AR65" s="3058"/>
      <c r="AS65" s="3058"/>
      <c r="AT65" s="3058"/>
      <c r="AU65" s="3056"/>
      <c r="AV65" s="3057">
        <f t="shared" si="15"/>
      </c>
      <c r="AW65" s="3054"/>
      <c r="AX65" s="3059"/>
      <c r="AY65" s="3058"/>
      <c r="AZ65" s="3058"/>
      <c r="BA65" s="3058"/>
      <c r="BB65" s="3058"/>
      <c r="BC65" s="3058"/>
      <c r="BD65" s="3058"/>
      <c r="BE65" s="3058"/>
      <c r="BF65" s="3058"/>
      <c r="BG65" s="3058"/>
      <c r="BH65" s="3058"/>
      <c r="BI65" s="3058"/>
      <c r="BJ65" s="3058"/>
      <c r="BK65" s="3058"/>
      <c r="BL65" s="3056"/>
      <c r="BM65" s="3057">
        <f t="shared" si="16"/>
      </c>
      <c r="BN65" s="3054"/>
      <c r="BO65" s="3059"/>
      <c r="BP65" s="3058"/>
      <c r="BQ65" s="3058"/>
      <c r="BR65" s="3058"/>
      <c r="BS65" s="3058"/>
      <c r="BT65" s="3058"/>
      <c r="BU65" s="3058"/>
      <c r="BV65" s="3058"/>
      <c r="BW65" s="3058"/>
      <c r="BX65" s="3058"/>
      <c r="BY65" s="3058"/>
      <c r="BZ65" s="3058"/>
      <c r="CA65" s="3058"/>
      <c r="CB65" s="3058"/>
      <c r="CC65" s="3056"/>
      <c r="CD65" s="3057">
        <f t="shared" si="0"/>
      </c>
      <c r="CE65" s="3054"/>
      <c r="CF65" s="3054"/>
      <c r="CG65" s="3055"/>
      <c r="CH65" s="3055"/>
      <c r="CI65" s="3055"/>
      <c r="CJ65" s="3055"/>
      <c r="CK65" s="3055"/>
      <c r="CL65" s="3055"/>
      <c r="CM65" s="3055"/>
      <c r="CN65" s="3055"/>
      <c r="CO65" s="3055"/>
      <c r="CP65" s="3055"/>
      <c r="CQ65" s="3055"/>
      <c r="CR65" s="3055"/>
      <c r="CS65" s="3055"/>
      <c r="CU65" s="3054"/>
      <c r="CV65" s="696"/>
      <c r="CW65" s="696"/>
      <c r="CZ65" s="3060">
        <f t="shared" si="17"/>
      </c>
      <c r="DA65" s="3060">
        <f t="shared" si="1"/>
      </c>
      <c r="DB65" s="3060">
        <f t="shared" si="18"/>
      </c>
      <c r="DC65" s="3060">
        <f t="shared" si="19"/>
      </c>
      <c r="DD65" s="3060">
        <f t="shared" si="20"/>
      </c>
      <c r="DE65" s="3060">
        <f t="shared" si="21"/>
      </c>
      <c r="DF65" s="3060">
        <f t="shared" si="22"/>
      </c>
      <c r="DG65" s="3060">
        <f t="shared" si="23"/>
      </c>
      <c r="DH65" s="3060">
        <f t="shared" si="24"/>
      </c>
      <c r="DI65" s="3060">
        <f t="shared" si="1"/>
      </c>
    </row>
    <row r="66" ht="15" customHeight="1" s="3052" customFormat="1">
      <c r="A66" s="3055"/>
      <c r="B66" s="3054">
        <f t="shared" si="2"/>
      </c>
      <c r="C66" s="3054"/>
      <c r="D66" s="3054"/>
      <c r="E66" s="3055"/>
      <c r="F66" s="3055"/>
      <c r="G66" s="3055"/>
      <c r="H66" s="3055"/>
      <c r="I66" s="3055"/>
      <c r="J66" s="3055"/>
      <c r="K66" s="3055"/>
      <c r="L66" s="3055"/>
      <c r="M66" s="3055"/>
      <c r="N66" s="3055"/>
      <c r="O66" s="3055"/>
      <c r="P66" s="3055"/>
      <c r="Q66" s="3055"/>
      <c r="R66" s="3055">
        <f t="shared" si="3"/>
        <v>0</v>
      </c>
      <c r="S66" s="3055">
        <f t="shared" si="4"/>
        <v>0</v>
      </c>
      <c r="T66" s="3055">
        <f t="shared" si="5"/>
        <v>0</v>
      </c>
      <c r="U66" s="3055">
        <f t="shared" si="6"/>
        <v>0</v>
      </c>
      <c r="V66" s="3055">
        <f t="shared" si="7"/>
        <v>0</v>
      </c>
      <c r="W66" s="3055">
        <f t="shared" si="8"/>
        <v>0</v>
      </c>
      <c r="X66" s="3055">
        <f t="shared" si="9"/>
        <v>0</v>
      </c>
      <c r="Y66" s="3055">
        <f t="shared" si="10"/>
        <v>0</v>
      </c>
      <c r="Z66" s="3055">
        <f t="shared" si="11"/>
        <v>0</v>
      </c>
      <c r="AA66" s="3055">
        <f t="shared" si="12"/>
        <v>0</v>
      </c>
      <c r="AB66" s="3055">
        <f t="shared" si="13"/>
        <v>0</v>
      </c>
      <c r="AC66" s="3055">
        <f t="shared" si="14"/>
        <v>0</v>
      </c>
      <c r="AD66" s="3056"/>
      <c r="AE66" s="3057">
        <f t="shared" si="0"/>
      </c>
      <c r="AF66" s="3054"/>
      <c r="AG66" s="3059"/>
      <c r="AH66" s="3058"/>
      <c r="AI66" s="3058"/>
      <c r="AJ66" s="3058"/>
      <c r="AK66" s="3058"/>
      <c r="AL66" s="3058"/>
      <c r="AM66" s="3058"/>
      <c r="AN66" s="3058"/>
      <c r="AO66" s="3058"/>
      <c r="AP66" s="3058"/>
      <c r="AQ66" s="3058"/>
      <c r="AR66" s="3058"/>
      <c r="AS66" s="3058"/>
      <c r="AT66" s="3058"/>
      <c r="AU66" s="3056"/>
      <c r="AV66" s="3057">
        <f t="shared" si="15"/>
      </c>
      <c r="AW66" s="3054"/>
      <c r="AX66" s="3059"/>
      <c r="AY66" s="3058"/>
      <c r="AZ66" s="3058"/>
      <c r="BA66" s="3058"/>
      <c r="BB66" s="3058"/>
      <c r="BC66" s="3058"/>
      <c r="BD66" s="3058"/>
      <c r="BE66" s="3058"/>
      <c r="BF66" s="3058"/>
      <c r="BG66" s="3058"/>
      <c r="BH66" s="3058"/>
      <c r="BI66" s="3058"/>
      <c r="BJ66" s="3058"/>
      <c r="BK66" s="3058"/>
      <c r="BL66" s="3056"/>
      <c r="BM66" s="3057">
        <f t="shared" si="16"/>
      </c>
      <c r="BN66" s="3054"/>
      <c r="BO66" s="3059"/>
      <c r="BP66" s="3058"/>
      <c r="BQ66" s="3058"/>
      <c r="BR66" s="3058"/>
      <c r="BS66" s="3058"/>
      <c r="BT66" s="3058"/>
      <c r="BU66" s="3058"/>
      <c r="BV66" s="3058"/>
      <c r="BW66" s="3058"/>
      <c r="BX66" s="3058"/>
      <c r="BY66" s="3058"/>
      <c r="BZ66" s="3058"/>
      <c r="CA66" s="3058"/>
      <c r="CB66" s="3058"/>
      <c r="CC66" s="3056"/>
      <c r="CD66" s="3057">
        <f t="shared" si="0"/>
      </c>
      <c r="CE66" s="3054"/>
      <c r="CF66" s="3054"/>
      <c r="CG66" s="3055"/>
      <c r="CH66" s="3055"/>
      <c r="CI66" s="3055"/>
      <c r="CJ66" s="3055"/>
      <c r="CK66" s="3055"/>
      <c r="CL66" s="3055"/>
      <c r="CM66" s="3055"/>
      <c r="CN66" s="3055"/>
      <c r="CO66" s="3055"/>
      <c r="CP66" s="3055"/>
      <c r="CQ66" s="3055"/>
      <c r="CR66" s="3055"/>
      <c r="CS66" s="3055"/>
      <c r="CU66" s="3054"/>
      <c r="CV66" s="696"/>
      <c r="CW66" s="696"/>
      <c r="CZ66" s="3060">
        <f t="shared" si="17"/>
      </c>
      <c r="DA66" s="3060">
        <f t="shared" si="1"/>
      </c>
      <c r="DB66" s="3060">
        <f t="shared" si="18"/>
      </c>
      <c r="DC66" s="3060">
        <f t="shared" si="19"/>
      </c>
      <c r="DD66" s="3060">
        <f t="shared" si="20"/>
      </c>
      <c r="DE66" s="3060">
        <f t="shared" si="21"/>
      </c>
      <c r="DF66" s="3060">
        <f t="shared" si="22"/>
      </c>
      <c r="DG66" s="3060">
        <f t="shared" si="23"/>
      </c>
      <c r="DH66" s="3060">
        <f t="shared" si="24"/>
      </c>
      <c r="DI66" s="3060">
        <f t="shared" si="1"/>
      </c>
    </row>
    <row r="67" ht="15" customHeight="1" s="3052" customFormat="1">
      <c r="A67" s="3055"/>
      <c r="B67" s="3054">
        <f t="shared" si="2"/>
      </c>
      <c r="C67" s="3054"/>
      <c r="D67" s="3054"/>
      <c r="E67" s="3055"/>
      <c r="F67" s="3055"/>
      <c r="G67" s="3055"/>
      <c r="H67" s="3055"/>
      <c r="I67" s="3055"/>
      <c r="J67" s="3055"/>
      <c r="K67" s="3055"/>
      <c r="L67" s="3055"/>
      <c r="M67" s="3055"/>
      <c r="N67" s="3055"/>
      <c r="O67" s="3055"/>
      <c r="P67" s="3055"/>
      <c r="Q67" s="3055"/>
      <c r="R67" s="3055">
        <f t="shared" si="3"/>
        <v>0</v>
      </c>
      <c r="S67" s="3055">
        <f t="shared" si="4"/>
        <v>0</v>
      </c>
      <c r="T67" s="3055">
        <f t="shared" si="5"/>
        <v>0</v>
      </c>
      <c r="U67" s="3055">
        <f t="shared" si="6"/>
        <v>0</v>
      </c>
      <c r="V67" s="3055">
        <f t="shared" si="7"/>
        <v>0</v>
      </c>
      <c r="W67" s="3055">
        <f t="shared" si="8"/>
        <v>0</v>
      </c>
      <c r="X67" s="3055">
        <f t="shared" si="9"/>
        <v>0</v>
      </c>
      <c r="Y67" s="3055">
        <f t="shared" si="10"/>
        <v>0</v>
      </c>
      <c r="Z67" s="3055">
        <f t="shared" si="11"/>
        <v>0</v>
      </c>
      <c r="AA67" s="3055">
        <f t="shared" si="12"/>
        <v>0</v>
      </c>
      <c r="AB67" s="3055">
        <f t="shared" si="13"/>
        <v>0</v>
      </c>
      <c r="AC67" s="3055">
        <f t="shared" si="14"/>
        <v>0</v>
      </c>
      <c r="AD67" s="3056"/>
      <c r="AE67" s="3057">
        <f t="shared" si="0"/>
      </c>
      <c r="AF67" s="3054"/>
      <c r="AG67" s="3059"/>
      <c r="AH67" s="3058"/>
      <c r="AI67" s="3058"/>
      <c r="AJ67" s="3058"/>
      <c r="AK67" s="3058"/>
      <c r="AL67" s="3058"/>
      <c r="AM67" s="3058"/>
      <c r="AN67" s="3058"/>
      <c r="AO67" s="3058"/>
      <c r="AP67" s="3058"/>
      <c r="AQ67" s="3058"/>
      <c r="AR67" s="3058"/>
      <c r="AS67" s="3058"/>
      <c r="AT67" s="3058"/>
      <c r="AU67" s="3056"/>
      <c r="AV67" s="3057">
        <f t="shared" si="15"/>
      </c>
      <c r="AW67" s="3054"/>
      <c r="AX67" s="3059"/>
      <c r="AY67" s="3058"/>
      <c r="AZ67" s="3058"/>
      <c r="BA67" s="3058"/>
      <c r="BB67" s="3058"/>
      <c r="BC67" s="3058"/>
      <c r="BD67" s="3058"/>
      <c r="BE67" s="3058"/>
      <c r="BF67" s="3058"/>
      <c r="BG67" s="3058"/>
      <c r="BH67" s="3058"/>
      <c r="BI67" s="3058"/>
      <c r="BJ67" s="3058"/>
      <c r="BK67" s="3058"/>
      <c r="BL67" s="3056"/>
      <c r="BM67" s="3057">
        <f t="shared" si="16"/>
      </c>
      <c r="BN67" s="3054"/>
      <c r="BO67" s="3059"/>
      <c r="BP67" s="3058"/>
      <c r="BQ67" s="3058"/>
      <c r="BR67" s="3058"/>
      <c r="BS67" s="3058"/>
      <c r="BT67" s="3058"/>
      <c r="BU67" s="3058"/>
      <c r="BV67" s="3058"/>
      <c r="BW67" s="3058"/>
      <c r="BX67" s="3058"/>
      <c r="BY67" s="3058"/>
      <c r="BZ67" s="3058"/>
      <c r="CA67" s="3058"/>
      <c r="CB67" s="3058"/>
      <c r="CC67" s="3056"/>
      <c r="CD67" s="3057">
        <f t="shared" si="0"/>
      </c>
      <c r="CE67" s="3054"/>
      <c r="CF67" s="3054"/>
      <c r="CG67" s="3055"/>
      <c r="CH67" s="3055"/>
      <c r="CI67" s="3055"/>
      <c r="CJ67" s="3055"/>
      <c r="CK67" s="3055"/>
      <c r="CL67" s="3055"/>
      <c r="CM67" s="3055"/>
      <c r="CN67" s="3055"/>
      <c r="CO67" s="3055"/>
      <c r="CP67" s="3055"/>
      <c r="CQ67" s="3055"/>
      <c r="CR67" s="3055"/>
      <c r="CS67" s="3055"/>
      <c r="CU67" s="3054"/>
      <c r="CV67" s="696"/>
      <c r="CW67" s="696"/>
      <c r="CZ67" s="3060">
        <f t="shared" si="17"/>
      </c>
      <c r="DA67" s="3060">
        <f t="shared" si="1"/>
      </c>
      <c r="DB67" s="3060">
        <f t="shared" si="18"/>
      </c>
      <c r="DC67" s="3060">
        <f t="shared" si="19"/>
      </c>
      <c r="DD67" s="3060">
        <f t="shared" si="20"/>
      </c>
      <c r="DE67" s="3060">
        <f t="shared" si="21"/>
      </c>
      <c r="DF67" s="3060">
        <f t="shared" si="22"/>
      </c>
      <c r="DG67" s="3060">
        <f t="shared" si="23"/>
      </c>
      <c r="DH67" s="3060">
        <f t="shared" si="24"/>
      </c>
      <c r="DI67" s="3060">
        <f t="shared" si="1"/>
      </c>
    </row>
    <row r="68" ht="15" customHeight="1" s="3052" customFormat="1">
      <c r="A68" s="3055"/>
      <c r="B68" s="3054">
        <f t="shared" si="2"/>
      </c>
      <c r="C68" s="3054"/>
      <c r="D68" s="3054"/>
      <c r="E68" s="3055"/>
      <c r="F68" s="3055"/>
      <c r="G68" s="3055"/>
      <c r="H68" s="3055"/>
      <c r="I68" s="3055"/>
      <c r="J68" s="3055"/>
      <c r="K68" s="3055"/>
      <c r="L68" s="3055"/>
      <c r="M68" s="3055"/>
      <c r="N68" s="3055"/>
      <c r="O68" s="3055"/>
      <c r="P68" s="3055"/>
      <c r="Q68" s="3055"/>
      <c r="R68" s="3055">
        <f t="shared" si="3"/>
        <v>0</v>
      </c>
      <c r="S68" s="3055">
        <f t="shared" si="4"/>
        <v>0</v>
      </c>
      <c r="T68" s="3055">
        <f t="shared" si="5"/>
        <v>0</v>
      </c>
      <c r="U68" s="3055">
        <f t="shared" si="6"/>
        <v>0</v>
      </c>
      <c r="V68" s="3055">
        <f t="shared" si="7"/>
        <v>0</v>
      </c>
      <c r="W68" s="3055">
        <f t="shared" si="8"/>
        <v>0</v>
      </c>
      <c r="X68" s="3055">
        <f t="shared" si="9"/>
        <v>0</v>
      </c>
      <c r="Y68" s="3055">
        <f t="shared" si="10"/>
        <v>0</v>
      </c>
      <c r="Z68" s="3055">
        <f t="shared" si="11"/>
        <v>0</v>
      </c>
      <c r="AA68" s="3055">
        <f t="shared" si="12"/>
        <v>0</v>
      </c>
      <c r="AB68" s="3055">
        <f t="shared" si="13"/>
        <v>0</v>
      </c>
      <c r="AC68" s="3055">
        <f t="shared" si="14"/>
        <v>0</v>
      </c>
      <c r="AD68" s="3056"/>
      <c r="AE68" s="3057">
        <f t="shared" si="0"/>
      </c>
      <c r="AF68" s="3054"/>
      <c r="AG68" s="3059"/>
      <c r="AH68" s="3058"/>
      <c r="AI68" s="3058"/>
      <c r="AJ68" s="3058"/>
      <c r="AK68" s="3058"/>
      <c r="AL68" s="3058"/>
      <c r="AM68" s="3058"/>
      <c r="AN68" s="3058"/>
      <c r="AO68" s="3058"/>
      <c r="AP68" s="3058"/>
      <c r="AQ68" s="3058"/>
      <c r="AR68" s="3058"/>
      <c r="AS68" s="3058"/>
      <c r="AT68" s="3058"/>
      <c r="AU68" s="3056"/>
      <c r="AV68" s="3057">
        <f t="shared" si="15"/>
      </c>
      <c r="AW68" s="3054"/>
      <c r="AX68" s="3059"/>
      <c r="AY68" s="3058"/>
      <c r="AZ68" s="3058"/>
      <c r="BA68" s="3058"/>
      <c r="BB68" s="3058"/>
      <c r="BC68" s="3058"/>
      <c r="BD68" s="3058"/>
      <c r="BE68" s="3058"/>
      <c r="BF68" s="3058"/>
      <c r="BG68" s="3058"/>
      <c r="BH68" s="3058"/>
      <c r="BI68" s="3058"/>
      <c r="BJ68" s="3058"/>
      <c r="BK68" s="3058"/>
      <c r="BL68" s="3056"/>
      <c r="BM68" s="3057">
        <f t="shared" si="16"/>
      </c>
      <c r="BN68" s="3054"/>
      <c r="BO68" s="3059"/>
      <c r="BP68" s="3058"/>
      <c r="BQ68" s="3058"/>
      <c r="BR68" s="3058"/>
      <c r="BS68" s="3058"/>
      <c r="BT68" s="3058"/>
      <c r="BU68" s="3058"/>
      <c r="BV68" s="3058"/>
      <c r="BW68" s="3058"/>
      <c r="BX68" s="3058"/>
      <c r="BY68" s="3058"/>
      <c r="BZ68" s="3058"/>
      <c r="CA68" s="3058"/>
      <c r="CB68" s="3058"/>
      <c r="CC68" s="3056"/>
      <c r="CD68" s="3057">
        <f t="shared" si="0"/>
      </c>
      <c r="CE68" s="3054"/>
      <c r="CF68" s="3054"/>
      <c r="CG68" s="3055"/>
      <c r="CH68" s="3055"/>
      <c r="CI68" s="3055"/>
      <c r="CJ68" s="3055"/>
      <c r="CK68" s="3055"/>
      <c r="CL68" s="3055"/>
      <c r="CM68" s="3055"/>
      <c r="CN68" s="3055"/>
      <c r="CO68" s="3055"/>
      <c r="CP68" s="3055"/>
      <c r="CQ68" s="3055"/>
      <c r="CR68" s="3055"/>
      <c r="CS68" s="3055"/>
      <c r="CU68" s="3054"/>
      <c r="CV68" s="696"/>
      <c r="CW68" s="696"/>
      <c r="CZ68" s="3060">
        <f t="shared" si="17"/>
      </c>
      <c r="DA68" s="3060">
        <f t="shared" si="1"/>
      </c>
      <c r="DB68" s="3060">
        <f t="shared" si="18"/>
      </c>
      <c r="DC68" s="3060">
        <f t="shared" si="19"/>
      </c>
      <c r="DD68" s="3060">
        <f t="shared" si="20"/>
      </c>
      <c r="DE68" s="3060">
        <f t="shared" si="21"/>
      </c>
      <c r="DF68" s="3060">
        <f t="shared" si="22"/>
      </c>
      <c r="DG68" s="3060">
        <f t="shared" si="23"/>
      </c>
      <c r="DH68" s="3060">
        <f t="shared" si="24"/>
      </c>
      <c r="DI68" s="3060">
        <f t="shared" si="1"/>
      </c>
    </row>
    <row r="69" ht="15" customHeight="1" s="3052" customFormat="1">
      <c r="A69" s="3055"/>
      <c r="B69" s="3054">
        <f t="shared" si="2"/>
      </c>
      <c r="C69" s="3054"/>
      <c r="D69" s="3054"/>
      <c r="E69" s="3055"/>
      <c r="F69" s="3055"/>
      <c r="G69" s="3055"/>
      <c r="H69" s="3055"/>
      <c r="I69" s="3055"/>
      <c r="J69" s="3055"/>
      <c r="K69" s="3055"/>
      <c r="L69" s="3055"/>
      <c r="M69" s="3055"/>
      <c r="N69" s="3055"/>
      <c r="O69" s="3055"/>
      <c r="P69" s="3055"/>
      <c r="Q69" s="3055"/>
      <c r="R69" s="3055">
        <f t="shared" si="3"/>
        <v>0</v>
      </c>
      <c r="S69" s="3055">
        <f t="shared" si="4"/>
        <v>0</v>
      </c>
      <c r="T69" s="3055">
        <f t="shared" si="5"/>
        <v>0</v>
      </c>
      <c r="U69" s="3055">
        <f t="shared" si="6"/>
        <v>0</v>
      </c>
      <c r="V69" s="3055">
        <f t="shared" si="7"/>
        <v>0</v>
      </c>
      <c r="W69" s="3055">
        <f t="shared" si="8"/>
        <v>0</v>
      </c>
      <c r="X69" s="3055">
        <f t="shared" si="9"/>
        <v>0</v>
      </c>
      <c r="Y69" s="3055">
        <f t="shared" si="10"/>
        <v>0</v>
      </c>
      <c r="Z69" s="3055">
        <f t="shared" si="11"/>
        <v>0</v>
      </c>
      <c r="AA69" s="3055">
        <f t="shared" si="12"/>
        <v>0</v>
      </c>
      <c r="AB69" s="3055">
        <f t="shared" si="13"/>
        <v>0</v>
      </c>
      <c r="AC69" s="3055">
        <f t="shared" si="14"/>
        <v>0</v>
      </c>
      <c r="AD69" s="3056"/>
      <c r="AE69" s="3057">
        <f t="shared" si="0"/>
      </c>
      <c r="AF69" s="3054"/>
      <c r="AG69" s="3059"/>
      <c r="AH69" s="3058"/>
      <c r="AI69" s="3058"/>
      <c r="AJ69" s="3058"/>
      <c r="AK69" s="3058"/>
      <c r="AL69" s="3058"/>
      <c r="AM69" s="3058"/>
      <c r="AN69" s="3058"/>
      <c r="AO69" s="3058"/>
      <c r="AP69" s="3058"/>
      <c r="AQ69" s="3058"/>
      <c r="AR69" s="3058"/>
      <c r="AS69" s="3058"/>
      <c r="AT69" s="3058"/>
      <c r="AU69" s="3056"/>
      <c r="AV69" s="3057">
        <f t="shared" si="15"/>
      </c>
      <c r="AW69" s="3054"/>
      <c r="AX69" s="3059"/>
      <c r="AY69" s="3058"/>
      <c r="AZ69" s="3058"/>
      <c r="BA69" s="3058"/>
      <c r="BB69" s="3058"/>
      <c r="BC69" s="3058"/>
      <c r="BD69" s="3058"/>
      <c r="BE69" s="3058"/>
      <c r="BF69" s="3058"/>
      <c r="BG69" s="3058"/>
      <c r="BH69" s="3058"/>
      <c r="BI69" s="3058"/>
      <c r="BJ69" s="3058"/>
      <c r="BK69" s="3058"/>
      <c r="BL69" s="3056"/>
      <c r="BM69" s="3057">
        <f t="shared" si="16"/>
      </c>
      <c r="BN69" s="3054"/>
      <c r="BO69" s="3059"/>
      <c r="BP69" s="3058"/>
      <c r="BQ69" s="3058"/>
      <c r="BR69" s="3058"/>
      <c r="BS69" s="3058"/>
      <c r="BT69" s="3058"/>
      <c r="BU69" s="3058"/>
      <c r="BV69" s="3058"/>
      <c r="BW69" s="3058"/>
      <c r="BX69" s="3058"/>
      <c r="BY69" s="3058"/>
      <c r="BZ69" s="3058"/>
      <c r="CA69" s="3058"/>
      <c r="CB69" s="3058"/>
      <c r="CC69" s="3056"/>
      <c r="CD69" s="3057">
        <f t="shared" si="0"/>
      </c>
      <c r="CE69" s="3054"/>
      <c r="CF69" s="3054"/>
      <c r="CG69" s="3055"/>
      <c r="CH69" s="3055"/>
      <c r="CI69" s="3055"/>
      <c r="CJ69" s="3055"/>
      <c r="CK69" s="3055"/>
      <c r="CL69" s="3055"/>
      <c r="CM69" s="3055"/>
      <c r="CN69" s="3055"/>
      <c r="CO69" s="3055"/>
      <c r="CP69" s="3055"/>
      <c r="CQ69" s="3055"/>
      <c r="CR69" s="3055"/>
      <c r="CS69" s="3055"/>
      <c r="CU69" s="3054"/>
      <c r="CV69" s="696"/>
      <c r="CW69" s="696"/>
      <c r="CZ69" s="3060">
        <f t="shared" si="17"/>
      </c>
      <c r="DA69" s="3060">
        <f t="shared" si="1"/>
      </c>
      <c r="DB69" s="3060">
        <f t="shared" si="18"/>
      </c>
      <c r="DC69" s="3060">
        <f t="shared" si="19"/>
      </c>
      <c r="DD69" s="3060">
        <f t="shared" si="20"/>
      </c>
      <c r="DE69" s="3060">
        <f t="shared" si="21"/>
      </c>
      <c r="DF69" s="3060">
        <f t="shared" si="22"/>
      </c>
      <c r="DG69" s="3060">
        <f t="shared" si="23"/>
      </c>
      <c r="DH69" s="3060">
        <f t="shared" si="24"/>
      </c>
      <c r="DI69" s="3060">
        <f t="shared" si="1"/>
      </c>
    </row>
    <row r="70" ht="15" customHeight="1" s="3052" customFormat="1">
      <c r="A70" s="3055"/>
      <c r="B70" s="3054">
        <f t="shared" si="2"/>
      </c>
      <c r="C70" s="3054"/>
      <c r="D70" s="3054"/>
      <c r="E70" s="3055"/>
      <c r="F70" s="3055"/>
      <c r="G70" s="3055"/>
      <c r="H70" s="3055"/>
      <c r="I70" s="3055"/>
      <c r="J70" s="3055"/>
      <c r="K70" s="3055"/>
      <c r="L70" s="3055"/>
      <c r="M70" s="3055"/>
      <c r="N70" s="3055"/>
      <c r="O70" s="3055"/>
      <c r="P70" s="3055"/>
      <c r="Q70" s="3055"/>
      <c r="R70" s="3055">
        <f t="shared" si="3"/>
        <v>0</v>
      </c>
      <c r="S70" s="3055">
        <f t="shared" si="4"/>
        <v>0</v>
      </c>
      <c r="T70" s="3055">
        <f t="shared" si="5"/>
        <v>0</v>
      </c>
      <c r="U70" s="3055">
        <f t="shared" si="6"/>
        <v>0</v>
      </c>
      <c r="V70" s="3055">
        <f t="shared" si="7"/>
        <v>0</v>
      </c>
      <c r="W70" s="3055">
        <f t="shared" si="8"/>
        <v>0</v>
      </c>
      <c r="X70" s="3055">
        <f t="shared" si="9"/>
        <v>0</v>
      </c>
      <c r="Y70" s="3055">
        <f t="shared" si="10"/>
        <v>0</v>
      </c>
      <c r="Z70" s="3055">
        <f t="shared" si="11"/>
        <v>0</v>
      </c>
      <c r="AA70" s="3055">
        <f t="shared" si="12"/>
        <v>0</v>
      </c>
      <c r="AB70" s="3055">
        <f t="shared" si="13"/>
        <v>0</v>
      </c>
      <c r="AC70" s="3055">
        <f t="shared" si="14"/>
        <v>0</v>
      </c>
      <c r="AD70" s="3056"/>
      <c r="AE70" s="3057">
        <f t="shared" si="0"/>
      </c>
      <c r="AF70" s="3054"/>
      <c r="AG70" s="3059"/>
      <c r="AH70" s="3058"/>
      <c r="AI70" s="3058"/>
      <c r="AJ70" s="3058"/>
      <c r="AK70" s="3058"/>
      <c r="AL70" s="3058"/>
      <c r="AM70" s="3058"/>
      <c r="AN70" s="3058"/>
      <c r="AO70" s="3058"/>
      <c r="AP70" s="3058"/>
      <c r="AQ70" s="3058"/>
      <c r="AR70" s="3058"/>
      <c r="AS70" s="3058"/>
      <c r="AT70" s="3058"/>
      <c r="AU70" s="3056"/>
      <c r="AV70" s="3057">
        <f t="shared" si="15"/>
      </c>
      <c r="AW70" s="3054"/>
      <c r="AX70" s="3059"/>
      <c r="AY70" s="3058"/>
      <c r="AZ70" s="3058"/>
      <c r="BA70" s="3058"/>
      <c r="BB70" s="3058"/>
      <c r="BC70" s="3058"/>
      <c r="BD70" s="3058"/>
      <c r="BE70" s="3058"/>
      <c r="BF70" s="3058"/>
      <c r="BG70" s="3058"/>
      <c r="BH70" s="3058"/>
      <c r="BI70" s="3058"/>
      <c r="BJ70" s="3058"/>
      <c r="BK70" s="3058"/>
      <c r="BL70" s="3056"/>
      <c r="BM70" s="3057">
        <f t="shared" si="16"/>
      </c>
      <c r="BN70" s="3054"/>
      <c r="BO70" s="3059"/>
      <c r="BP70" s="3058"/>
      <c r="BQ70" s="3058"/>
      <c r="BR70" s="3058"/>
      <c r="BS70" s="3058"/>
      <c r="BT70" s="3058"/>
      <c r="BU70" s="3058"/>
      <c r="BV70" s="3058"/>
      <c r="BW70" s="3058"/>
      <c r="BX70" s="3058"/>
      <c r="BY70" s="3058"/>
      <c r="BZ70" s="3058"/>
      <c r="CA70" s="3058"/>
      <c r="CB70" s="3058"/>
      <c r="CC70" s="3056"/>
      <c r="CD70" s="3057">
        <f t="shared" si="0"/>
      </c>
      <c r="CE70" s="3054"/>
      <c r="CF70" s="3054"/>
      <c r="CG70" s="3055"/>
      <c r="CH70" s="3055"/>
      <c r="CI70" s="3055"/>
      <c r="CJ70" s="3055"/>
      <c r="CK70" s="3055"/>
      <c r="CL70" s="3055"/>
      <c r="CM70" s="3055"/>
      <c r="CN70" s="3055"/>
      <c r="CO70" s="3055"/>
      <c r="CP70" s="3055"/>
      <c r="CQ70" s="3055"/>
      <c r="CR70" s="3055"/>
      <c r="CS70" s="3055"/>
      <c r="CU70" s="3054"/>
      <c r="CV70" s="696"/>
      <c r="CW70" s="696"/>
      <c r="CZ70" s="3060">
        <f t="shared" si="17"/>
      </c>
      <c r="DA70" s="3060">
        <f t="shared" si="1"/>
      </c>
      <c r="DB70" s="3060">
        <f t="shared" si="18"/>
      </c>
      <c r="DC70" s="3060">
        <f t="shared" si="19"/>
      </c>
      <c r="DD70" s="3060">
        <f t="shared" si="20"/>
      </c>
      <c r="DE70" s="3060">
        <f t="shared" si="21"/>
      </c>
      <c r="DF70" s="3060">
        <f t="shared" si="22"/>
      </c>
      <c r="DG70" s="3060">
        <f t="shared" si="23"/>
      </c>
      <c r="DH70" s="3060">
        <f t="shared" si="24"/>
      </c>
      <c r="DI70" s="3060">
        <f t="shared" si="1"/>
      </c>
    </row>
    <row r="71" ht="15" customHeight="1" s="3052" customFormat="1">
      <c r="A71" s="3055"/>
      <c r="B71" s="3054">
        <f t="shared" si="2"/>
      </c>
      <c r="C71" s="3054"/>
      <c r="D71" s="3054"/>
      <c r="E71" s="3055"/>
      <c r="F71" s="3055"/>
      <c r="G71" s="3055"/>
      <c r="H71" s="3055"/>
      <c r="I71" s="3055"/>
      <c r="J71" s="3055"/>
      <c r="K71" s="3055"/>
      <c r="L71" s="3055"/>
      <c r="M71" s="3055"/>
      <c r="N71" s="3055"/>
      <c r="O71" s="3055"/>
      <c r="P71" s="3055"/>
      <c r="Q71" s="3055"/>
      <c r="R71" s="3055">
        <f t="shared" si="3"/>
        <v>0</v>
      </c>
      <c r="S71" s="3055">
        <f t="shared" si="4"/>
        <v>0</v>
      </c>
      <c r="T71" s="3055">
        <f t="shared" si="5"/>
        <v>0</v>
      </c>
      <c r="U71" s="3055">
        <f t="shared" si="6"/>
        <v>0</v>
      </c>
      <c r="V71" s="3055">
        <f t="shared" si="7"/>
        <v>0</v>
      </c>
      <c r="W71" s="3055">
        <f t="shared" si="8"/>
        <v>0</v>
      </c>
      <c r="X71" s="3055">
        <f t="shared" si="9"/>
        <v>0</v>
      </c>
      <c r="Y71" s="3055">
        <f t="shared" si="10"/>
        <v>0</v>
      </c>
      <c r="Z71" s="3055">
        <f t="shared" si="11"/>
        <v>0</v>
      </c>
      <c r="AA71" s="3055">
        <f t="shared" si="12"/>
        <v>0</v>
      </c>
      <c r="AB71" s="3055">
        <f t="shared" si="13"/>
        <v>0</v>
      </c>
      <c r="AC71" s="3055">
        <f t="shared" si="14"/>
        <v>0</v>
      </c>
      <c r="AD71" s="3056"/>
      <c r="AE71" s="3057">
        <f t="shared" si="0"/>
      </c>
      <c r="AF71" s="3054"/>
      <c r="AG71" s="3059"/>
      <c r="AH71" s="3058"/>
      <c r="AI71" s="3058"/>
      <c r="AJ71" s="3058"/>
      <c r="AK71" s="3058"/>
      <c r="AL71" s="3058"/>
      <c r="AM71" s="3058"/>
      <c r="AN71" s="3058"/>
      <c r="AO71" s="3058"/>
      <c r="AP71" s="3058"/>
      <c r="AQ71" s="3058"/>
      <c r="AR71" s="3058"/>
      <c r="AS71" s="3058"/>
      <c r="AT71" s="3058"/>
      <c r="AU71" s="3056"/>
      <c r="AV71" s="3057">
        <f t="shared" si="15"/>
      </c>
      <c r="AW71" s="3054"/>
      <c r="AX71" s="3059"/>
      <c r="AY71" s="3058"/>
      <c r="AZ71" s="3058"/>
      <c r="BA71" s="3058"/>
      <c r="BB71" s="3058"/>
      <c r="BC71" s="3058"/>
      <c r="BD71" s="3058"/>
      <c r="BE71" s="3058"/>
      <c r="BF71" s="3058"/>
      <c r="BG71" s="3058"/>
      <c r="BH71" s="3058"/>
      <c r="BI71" s="3058"/>
      <c r="BJ71" s="3058"/>
      <c r="BK71" s="3058"/>
      <c r="BL71" s="3056"/>
      <c r="BM71" s="3057">
        <f t="shared" si="16"/>
      </c>
      <c r="BN71" s="3054"/>
      <c r="BO71" s="3059"/>
      <c r="BP71" s="3058"/>
      <c r="BQ71" s="3058"/>
      <c r="BR71" s="3058"/>
      <c r="BS71" s="3058"/>
      <c r="BT71" s="3058"/>
      <c r="BU71" s="3058"/>
      <c r="BV71" s="3058"/>
      <c r="BW71" s="3058"/>
      <c r="BX71" s="3058"/>
      <c r="BY71" s="3058"/>
      <c r="BZ71" s="3058"/>
      <c r="CA71" s="3058"/>
      <c r="CB71" s="3058"/>
      <c r="CC71" s="3056"/>
      <c r="CD71" s="3057">
        <f t="shared" si="0"/>
      </c>
      <c r="CE71" s="3054"/>
      <c r="CF71" s="3054"/>
      <c r="CG71" s="3055"/>
      <c r="CH71" s="3055"/>
      <c r="CI71" s="3055"/>
      <c r="CJ71" s="3055"/>
      <c r="CK71" s="3055"/>
      <c r="CL71" s="3055"/>
      <c r="CM71" s="3055"/>
      <c r="CN71" s="3055"/>
      <c r="CO71" s="3055"/>
      <c r="CP71" s="3055"/>
      <c r="CQ71" s="3055"/>
      <c r="CR71" s="3055"/>
      <c r="CS71" s="3055"/>
      <c r="CU71" s="3054"/>
      <c r="CV71" s="696"/>
      <c r="CW71" s="696"/>
      <c r="CZ71" s="3060">
        <f t="shared" si="17"/>
      </c>
      <c r="DA71" s="3060">
        <f t="shared" si="1"/>
      </c>
      <c r="DB71" s="3060">
        <f t="shared" si="18"/>
      </c>
      <c r="DC71" s="3060">
        <f t="shared" si="19"/>
      </c>
      <c r="DD71" s="3060">
        <f t="shared" si="20"/>
      </c>
      <c r="DE71" s="3060">
        <f t="shared" si="21"/>
      </c>
      <c r="DF71" s="3060">
        <f t="shared" si="22"/>
      </c>
      <c r="DG71" s="3060">
        <f t="shared" si="23"/>
      </c>
      <c r="DH71" s="3060">
        <f t="shared" si="24"/>
      </c>
      <c r="DI71" s="3060">
        <f t="shared" si="1"/>
      </c>
    </row>
    <row r="72" ht="15" customHeight="1" s="3052" customFormat="1">
      <c r="A72" s="3055"/>
      <c r="B72" s="3054">
        <f t="shared" si="2"/>
      </c>
      <c r="C72" s="3054"/>
      <c r="D72" s="3054"/>
      <c r="E72" s="3055"/>
      <c r="F72" s="3055"/>
      <c r="G72" s="3055"/>
      <c r="H72" s="3055"/>
      <c r="I72" s="3055"/>
      <c r="J72" s="3055"/>
      <c r="K72" s="3055"/>
      <c r="L72" s="3055"/>
      <c r="M72" s="3055"/>
      <c r="N72" s="3055"/>
      <c r="O72" s="3055"/>
      <c r="P72" s="3055"/>
      <c r="Q72" s="3055"/>
      <c r="R72" s="3055">
        <f t="shared" si="3"/>
        <v>0</v>
      </c>
      <c r="S72" s="3055">
        <f t="shared" si="4"/>
        <v>0</v>
      </c>
      <c r="T72" s="3055">
        <f t="shared" si="5"/>
        <v>0</v>
      </c>
      <c r="U72" s="3055">
        <f t="shared" si="6"/>
        <v>0</v>
      </c>
      <c r="V72" s="3055">
        <f t="shared" si="7"/>
        <v>0</v>
      </c>
      <c r="W72" s="3055">
        <f t="shared" si="8"/>
        <v>0</v>
      </c>
      <c r="X72" s="3055">
        <f t="shared" si="9"/>
        <v>0</v>
      </c>
      <c r="Y72" s="3055">
        <f t="shared" si="10"/>
        <v>0</v>
      </c>
      <c r="Z72" s="3055">
        <f t="shared" si="11"/>
        <v>0</v>
      </c>
      <c r="AA72" s="3055">
        <f t="shared" si="12"/>
        <v>0</v>
      </c>
      <c r="AB72" s="3055">
        <f t="shared" si="13"/>
        <v>0</v>
      </c>
      <c r="AC72" s="3055">
        <f t="shared" si="14"/>
        <v>0</v>
      </c>
      <c r="AD72" s="3056"/>
      <c r="AE72" s="3057">
        <f t="shared" si="0"/>
      </c>
      <c r="AF72" s="3054"/>
      <c r="AG72" s="3059"/>
      <c r="AH72" s="3058"/>
      <c r="AI72" s="3058"/>
      <c r="AJ72" s="3058"/>
      <c r="AK72" s="3058"/>
      <c r="AL72" s="3058"/>
      <c r="AM72" s="3058"/>
      <c r="AN72" s="3058"/>
      <c r="AO72" s="3058"/>
      <c r="AP72" s="3058"/>
      <c r="AQ72" s="3058"/>
      <c r="AR72" s="3058"/>
      <c r="AS72" s="3058"/>
      <c r="AT72" s="3058"/>
      <c r="AU72" s="3056"/>
      <c r="AV72" s="3057">
        <f t="shared" si="15"/>
      </c>
      <c r="AW72" s="3054"/>
      <c r="AX72" s="3059"/>
      <c r="AY72" s="3058"/>
      <c r="AZ72" s="3058"/>
      <c r="BA72" s="3058"/>
      <c r="BB72" s="3058"/>
      <c r="BC72" s="3058"/>
      <c r="BD72" s="3058"/>
      <c r="BE72" s="3058"/>
      <c r="BF72" s="3058"/>
      <c r="BG72" s="3058"/>
      <c r="BH72" s="3058"/>
      <c r="BI72" s="3058"/>
      <c r="BJ72" s="3058"/>
      <c r="BK72" s="3058"/>
      <c r="BL72" s="3056"/>
      <c r="BM72" s="3057">
        <f t="shared" si="16"/>
      </c>
      <c r="BN72" s="3054"/>
      <c r="BO72" s="3059"/>
      <c r="BP72" s="3058"/>
      <c r="BQ72" s="3058"/>
      <c r="BR72" s="3058"/>
      <c r="BS72" s="3058"/>
      <c r="BT72" s="3058"/>
      <c r="BU72" s="3058"/>
      <c r="BV72" s="3058"/>
      <c r="BW72" s="3058"/>
      <c r="BX72" s="3058"/>
      <c r="BY72" s="3058"/>
      <c r="BZ72" s="3058"/>
      <c r="CA72" s="3058"/>
      <c r="CB72" s="3058"/>
      <c r="CC72" s="3056"/>
      <c r="CD72" s="3057">
        <f t="shared" si="0"/>
      </c>
      <c r="CE72" s="3054"/>
      <c r="CF72" s="3054"/>
      <c r="CG72" s="3055"/>
      <c r="CH72" s="3055"/>
      <c r="CI72" s="3055"/>
      <c r="CJ72" s="3055"/>
      <c r="CK72" s="3055"/>
      <c r="CL72" s="3055"/>
      <c r="CM72" s="3055"/>
      <c r="CN72" s="3055"/>
      <c r="CO72" s="3055"/>
      <c r="CP72" s="3055"/>
      <c r="CQ72" s="3055"/>
      <c r="CR72" s="3055"/>
      <c r="CS72" s="3055"/>
      <c r="CU72" s="3054"/>
      <c r="CV72" s="696"/>
      <c r="CW72" s="696"/>
      <c r="CZ72" s="3060">
        <f t="shared" si="17"/>
      </c>
      <c r="DA72" s="3060">
        <f t="shared" si="1"/>
      </c>
      <c r="DB72" s="3060">
        <f t="shared" si="18"/>
      </c>
      <c r="DC72" s="3060">
        <f t="shared" si="19"/>
      </c>
      <c r="DD72" s="3060">
        <f t="shared" si="20"/>
      </c>
      <c r="DE72" s="3060">
        <f t="shared" si="21"/>
      </c>
      <c r="DF72" s="3060">
        <f t="shared" si="22"/>
      </c>
      <c r="DG72" s="3060">
        <f t="shared" si="23"/>
      </c>
      <c r="DH72" s="3060">
        <f t="shared" si="24"/>
      </c>
      <c r="DI72" s="3060">
        <f t="shared" si="1"/>
      </c>
    </row>
    <row r="73" ht="15" customHeight="1" s="3052" customFormat="1">
      <c r="A73" s="3055"/>
      <c r="B73" s="3054">
        <f t="shared" si="2"/>
      </c>
      <c r="C73" s="3054"/>
      <c r="D73" s="3054"/>
      <c r="E73" s="3055"/>
      <c r="F73" s="3055"/>
      <c r="G73" s="3055"/>
      <c r="H73" s="3055"/>
      <c r="I73" s="3055"/>
      <c r="J73" s="3055"/>
      <c r="K73" s="3055"/>
      <c r="L73" s="3055"/>
      <c r="M73" s="3055"/>
      <c r="N73" s="3055"/>
      <c r="O73" s="3055"/>
      <c r="P73" s="3055"/>
      <c r="Q73" s="3055"/>
      <c r="R73" s="3055">
        <f t="shared" si="3"/>
        <v>0</v>
      </c>
      <c r="S73" s="3055">
        <f t="shared" si="4"/>
        <v>0</v>
      </c>
      <c r="T73" s="3055">
        <f t="shared" si="5"/>
        <v>0</v>
      </c>
      <c r="U73" s="3055">
        <f t="shared" si="6"/>
        <v>0</v>
      </c>
      <c r="V73" s="3055">
        <f t="shared" si="7"/>
        <v>0</v>
      </c>
      <c r="W73" s="3055">
        <f t="shared" si="8"/>
        <v>0</v>
      </c>
      <c r="X73" s="3055">
        <f t="shared" si="9"/>
        <v>0</v>
      </c>
      <c r="Y73" s="3055">
        <f t="shared" si="10"/>
        <v>0</v>
      </c>
      <c r="Z73" s="3055">
        <f t="shared" si="11"/>
        <v>0</v>
      </c>
      <c r="AA73" s="3055">
        <f t="shared" si="12"/>
        <v>0</v>
      </c>
      <c r="AB73" s="3055">
        <f t="shared" si="13"/>
        <v>0</v>
      </c>
      <c r="AC73" s="3055">
        <f t="shared" si="14"/>
        <v>0</v>
      </c>
      <c r="AD73" s="3056"/>
      <c r="AE73" s="3057">
        <f t="shared" si="0"/>
      </c>
      <c r="AF73" s="3054"/>
      <c r="AG73" s="3059"/>
      <c r="AH73" s="3058"/>
      <c r="AI73" s="3058"/>
      <c r="AJ73" s="3058"/>
      <c r="AK73" s="3058"/>
      <c r="AL73" s="3058"/>
      <c r="AM73" s="3058"/>
      <c r="AN73" s="3058"/>
      <c r="AO73" s="3058"/>
      <c r="AP73" s="3058"/>
      <c r="AQ73" s="3058"/>
      <c r="AR73" s="3058"/>
      <c r="AS73" s="3058"/>
      <c r="AT73" s="3058"/>
      <c r="AU73" s="3056"/>
      <c r="AV73" s="3057">
        <f t="shared" si="15"/>
      </c>
      <c r="AW73" s="3054"/>
      <c r="AX73" s="3059"/>
      <c r="AY73" s="3058"/>
      <c r="AZ73" s="3058"/>
      <c r="BA73" s="3058"/>
      <c r="BB73" s="3058"/>
      <c r="BC73" s="3058"/>
      <c r="BD73" s="3058"/>
      <c r="BE73" s="3058"/>
      <c r="BF73" s="3058"/>
      <c r="BG73" s="3058"/>
      <c r="BH73" s="3058"/>
      <c r="BI73" s="3058"/>
      <c r="BJ73" s="3058"/>
      <c r="BK73" s="3058"/>
      <c r="BL73" s="3056"/>
      <c r="BM73" s="3057">
        <f t="shared" si="16"/>
      </c>
      <c r="BN73" s="3054"/>
      <c r="BO73" s="3059"/>
      <c r="BP73" s="3058"/>
      <c r="BQ73" s="3058"/>
      <c r="BR73" s="3058"/>
      <c r="BS73" s="3058"/>
      <c r="BT73" s="3058"/>
      <c r="BU73" s="3058"/>
      <c r="BV73" s="3058"/>
      <c r="BW73" s="3058"/>
      <c r="BX73" s="3058"/>
      <c r="BY73" s="3058"/>
      <c r="BZ73" s="3058"/>
      <c r="CA73" s="3058"/>
      <c r="CB73" s="3058"/>
      <c r="CC73" s="3056"/>
      <c r="CD73" s="3057">
        <f t="shared" si="0"/>
      </c>
      <c r="CE73" s="3054"/>
      <c r="CF73" s="3054"/>
      <c r="CG73" s="3055"/>
      <c r="CH73" s="3055"/>
      <c r="CI73" s="3055"/>
      <c r="CJ73" s="3055"/>
      <c r="CK73" s="3055"/>
      <c r="CL73" s="3055"/>
      <c r="CM73" s="3055"/>
      <c r="CN73" s="3055"/>
      <c r="CO73" s="3055"/>
      <c r="CP73" s="3055"/>
      <c r="CQ73" s="3055"/>
      <c r="CR73" s="3055"/>
      <c r="CS73" s="3055"/>
      <c r="CU73" s="3054"/>
      <c r="CV73" s="696"/>
      <c r="CW73" s="696"/>
      <c r="CZ73" s="3060">
        <f t="shared" si="17"/>
      </c>
      <c r="DA73" s="3060">
        <f t="shared" si="1"/>
      </c>
      <c r="DB73" s="3060">
        <f t="shared" si="18"/>
      </c>
      <c r="DC73" s="3060">
        <f t="shared" si="19"/>
      </c>
      <c r="DD73" s="3060">
        <f t="shared" si="20"/>
      </c>
      <c r="DE73" s="3060">
        <f t="shared" si="21"/>
      </c>
      <c r="DF73" s="3060">
        <f t="shared" si="22"/>
      </c>
      <c r="DG73" s="3060">
        <f t="shared" si="23"/>
      </c>
      <c r="DH73" s="3060">
        <f t="shared" si="24"/>
      </c>
      <c r="DI73" s="3060">
        <f t="shared" si="1"/>
      </c>
    </row>
    <row r="74" ht="15" customHeight="1" s="3052" customFormat="1">
      <c r="A74" s="3055"/>
      <c r="B74" s="3054">
        <f t="shared" si="2"/>
      </c>
      <c r="C74" s="3054"/>
      <c r="D74" s="3054"/>
      <c r="E74" s="3055"/>
      <c r="F74" s="3055"/>
      <c r="G74" s="3055"/>
      <c r="H74" s="3055"/>
      <c r="I74" s="3055"/>
      <c r="J74" s="3055"/>
      <c r="K74" s="3055"/>
      <c r="L74" s="3055"/>
      <c r="M74" s="3055"/>
      <c r="N74" s="3055"/>
      <c r="O74" s="3055"/>
      <c r="P74" s="3055"/>
      <c r="Q74" s="3055"/>
      <c r="R74" s="3055">
        <f t="shared" si="3"/>
        <v>0</v>
      </c>
      <c r="S74" s="3055">
        <f t="shared" si="4"/>
        <v>0</v>
      </c>
      <c r="T74" s="3055">
        <f t="shared" si="5"/>
        <v>0</v>
      </c>
      <c r="U74" s="3055">
        <f t="shared" si="6"/>
        <v>0</v>
      </c>
      <c r="V74" s="3055">
        <f t="shared" si="7"/>
        <v>0</v>
      </c>
      <c r="W74" s="3055">
        <f t="shared" si="8"/>
        <v>0</v>
      </c>
      <c r="X74" s="3055">
        <f t="shared" si="9"/>
        <v>0</v>
      </c>
      <c r="Y74" s="3055">
        <f t="shared" si="10"/>
        <v>0</v>
      </c>
      <c r="Z74" s="3055">
        <f t="shared" si="11"/>
        <v>0</v>
      </c>
      <c r="AA74" s="3055">
        <f t="shared" si="12"/>
        <v>0</v>
      </c>
      <c r="AB74" s="3055">
        <f t="shared" si="13"/>
        <v>0</v>
      </c>
      <c r="AC74" s="3055">
        <f t="shared" si="14"/>
        <v>0</v>
      </c>
      <c r="AD74" s="3056"/>
      <c r="AE74" s="3057">
        <f t="shared" si="0"/>
      </c>
      <c r="AF74" s="3054"/>
      <c r="AG74" s="3059"/>
      <c r="AH74" s="3058"/>
      <c r="AI74" s="3058"/>
      <c r="AJ74" s="3058"/>
      <c r="AK74" s="3058"/>
      <c r="AL74" s="3058"/>
      <c r="AM74" s="3058"/>
      <c r="AN74" s="3058"/>
      <c r="AO74" s="3058"/>
      <c r="AP74" s="3058"/>
      <c r="AQ74" s="3058"/>
      <c r="AR74" s="3058"/>
      <c r="AS74" s="3058"/>
      <c r="AT74" s="3058"/>
      <c r="AU74" s="3056"/>
      <c r="AV74" s="3057">
        <f t="shared" si="15"/>
      </c>
      <c r="AW74" s="3054"/>
      <c r="AX74" s="3059"/>
      <c r="AY74" s="3058"/>
      <c r="AZ74" s="3058"/>
      <c r="BA74" s="3058"/>
      <c r="BB74" s="3058"/>
      <c r="BC74" s="3058"/>
      <c r="BD74" s="3058"/>
      <c r="BE74" s="3058"/>
      <c r="BF74" s="3058"/>
      <c r="BG74" s="3058"/>
      <c r="BH74" s="3058"/>
      <c r="BI74" s="3058"/>
      <c r="BJ74" s="3058"/>
      <c r="BK74" s="3058"/>
      <c r="BL74" s="3056"/>
      <c r="BM74" s="3057">
        <f t="shared" si="16"/>
      </c>
      <c r="BN74" s="3054"/>
      <c r="BO74" s="3059"/>
      <c r="BP74" s="3058"/>
      <c r="BQ74" s="3058"/>
      <c r="BR74" s="3058"/>
      <c r="BS74" s="3058"/>
      <c r="BT74" s="3058"/>
      <c r="BU74" s="3058"/>
      <c r="BV74" s="3058"/>
      <c r="BW74" s="3058"/>
      <c r="BX74" s="3058"/>
      <c r="BY74" s="3058"/>
      <c r="BZ74" s="3058"/>
      <c r="CA74" s="3058"/>
      <c r="CB74" s="3058"/>
      <c r="CC74" s="3056"/>
      <c r="CD74" s="3057">
        <f t="shared" si="0"/>
      </c>
      <c r="CE74" s="3054"/>
      <c r="CF74" s="3054"/>
      <c r="CG74" s="3055"/>
      <c r="CH74" s="3055"/>
      <c r="CI74" s="3055"/>
      <c r="CJ74" s="3055"/>
      <c r="CK74" s="3055"/>
      <c r="CL74" s="3055"/>
      <c r="CM74" s="3055"/>
      <c r="CN74" s="3055"/>
      <c r="CO74" s="3055"/>
      <c r="CP74" s="3055"/>
      <c r="CQ74" s="3055"/>
      <c r="CR74" s="3055"/>
      <c r="CS74" s="3055"/>
      <c r="CU74" s="3054"/>
      <c r="CV74" s="696"/>
      <c r="CW74" s="696"/>
      <c r="CZ74" s="3060">
        <f t="shared" si="17"/>
      </c>
      <c r="DA74" s="3060">
        <f t="shared" si="1"/>
      </c>
      <c r="DB74" s="3060">
        <f t="shared" si="18"/>
      </c>
      <c r="DC74" s="3060">
        <f t="shared" si="19"/>
      </c>
      <c r="DD74" s="3060">
        <f t="shared" si="20"/>
      </c>
      <c r="DE74" s="3060">
        <f t="shared" si="21"/>
      </c>
      <c r="DF74" s="3060">
        <f t="shared" si="22"/>
      </c>
      <c r="DG74" s="3060">
        <f t="shared" si="23"/>
      </c>
      <c r="DH74" s="3060">
        <f t="shared" si="24"/>
      </c>
      <c r="DI74" s="3060">
        <f t="shared" si="1"/>
      </c>
    </row>
    <row r="75" ht="15" customHeight="1" s="3052" customFormat="1">
      <c r="A75" s="3062"/>
      <c r="B75" s="3054">
        <f t="shared" si="2"/>
      </c>
      <c r="C75" s="3054"/>
      <c r="D75" s="3054"/>
      <c r="E75" s="3055"/>
      <c r="F75" s="3055"/>
      <c r="G75" s="3055"/>
      <c r="H75" s="3055"/>
      <c r="I75" s="3055"/>
      <c r="J75" s="3055"/>
      <c r="K75" s="3055"/>
      <c r="L75" s="3055"/>
      <c r="M75" s="3055"/>
      <c r="N75" s="3055"/>
      <c r="O75" s="3055"/>
      <c r="P75" s="3055"/>
      <c r="Q75" s="3055"/>
      <c r="R75" s="3055">
        <f t="shared" si="3"/>
        <v>0</v>
      </c>
      <c r="S75" s="3055">
        <f t="shared" si="4"/>
        <v>0</v>
      </c>
      <c r="T75" s="3055">
        <f t="shared" si="5"/>
        <v>0</v>
      </c>
      <c r="U75" s="3055">
        <f t="shared" si="6"/>
        <v>0</v>
      </c>
      <c r="V75" s="3055">
        <f t="shared" si="7"/>
        <v>0</v>
      </c>
      <c r="W75" s="3055">
        <f t="shared" si="8"/>
        <v>0</v>
      </c>
      <c r="X75" s="3055">
        <f t="shared" si="9"/>
        <v>0</v>
      </c>
      <c r="Y75" s="3055">
        <f t="shared" si="10"/>
        <v>0</v>
      </c>
      <c r="Z75" s="3055">
        <f t="shared" si="11"/>
        <v>0</v>
      </c>
      <c r="AA75" s="3055">
        <f t="shared" si="12"/>
        <v>0</v>
      </c>
      <c r="AB75" s="3055">
        <f t="shared" si="13"/>
        <v>0</v>
      </c>
      <c r="AC75" s="3055">
        <f t="shared" si="14"/>
        <v>0</v>
      </c>
      <c r="AD75" s="3056"/>
      <c r="AE75" s="3057">
        <f t="shared" si="0"/>
      </c>
      <c r="AF75" s="3054"/>
      <c r="AG75" s="3059"/>
      <c r="AH75" s="3058"/>
      <c r="AI75" s="3058"/>
      <c r="AJ75" s="3058"/>
      <c r="AK75" s="3058"/>
      <c r="AL75" s="3058"/>
      <c r="AM75" s="3058"/>
      <c r="AN75" s="3058"/>
      <c r="AO75" s="3058"/>
      <c r="AP75" s="3058"/>
      <c r="AQ75" s="3058"/>
      <c r="AR75" s="3058"/>
      <c r="AS75" s="3058"/>
      <c r="AT75" s="3058"/>
      <c r="AU75" s="3056"/>
      <c r="AV75" s="3057">
        <f t="shared" si="15"/>
      </c>
      <c r="AW75" s="3054"/>
      <c r="AX75" s="3059"/>
      <c r="AY75" s="3058"/>
      <c r="AZ75" s="3058"/>
      <c r="BA75" s="3058"/>
      <c r="BB75" s="3058"/>
      <c r="BC75" s="3058"/>
      <c r="BD75" s="3058"/>
      <c r="BE75" s="3058"/>
      <c r="BF75" s="3058"/>
      <c r="BG75" s="3058"/>
      <c r="BH75" s="3058"/>
      <c r="BI75" s="3058"/>
      <c r="BJ75" s="3058"/>
      <c r="BK75" s="3058"/>
      <c r="BL75" s="3056"/>
      <c r="BM75" s="3057">
        <f t="shared" si="16"/>
      </c>
      <c r="BN75" s="3054"/>
      <c r="BO75" s="3059"/>
      <c r="BP75" s="3058"/>
      <c r="BQ75" s="3058"/>
      <c r="BR75" s="3058"/>
      <c r="BS75" s="3058"/>
      <c r="BT75" s="3058"/>
      <c r="BU75" s="3058"/>
      <c r="BV75" s="3058"/>
      <c r="BW75" s="3058"/>
      <c r="BX75" s="3058"/>
      <c r="BY75" s="3058"/>
      <c r="BZ75" s="3058"/>
      <c r="CA75" s="3058"/>
      <c r="CB75" s="3058"/>
      <c r="CC75" s="3056"/>
      <c r="CD75" s="3057">
        <f t="shared" si="0"/>
      </c>
      <c r="CE75" s="3054"/>
      <c r="CF75" s="3054"/>
      <c r="CG75" s="3055"/>
      <c r="CH75" s="3055"/>
      <c r="CI75" s="3055"/>
      <c r="CJ75" s="3055"/>
      <c r="CK75" s="3055"/>
      <c r="CL75" s="3055"/>
      <c r="CM75" s="3055"/>
      <c r="CN75" s="3055"/>
      <c r="CO75" s="3055"/>
      <c r="CP75" s="3055"/>
      <c r="CQ75" s="3055"/>
      <c r="CR75" s="3055"/>
      <c r="CS75" s="3055"/>
      <c r="CU75" s="3054"/>
      <c r="CV75" s="696"/>
      <c r="CW75" s="696"/>
      <c r="CZ75" s="3060">
        <f t="shared" si="17"/>
      </c>
      <c r="DA75" s="3060">
        <f t="shared" si="1"/>
      </c>
      <c r="DB75" s="3060">
        <f t="shared" si="18"/>
      </c>
      <c r="DC75" s="3060">
        <f t="shared" si="19"/>
      </c>
      <c r="DD75" s="3060">
        <f t="shared" si="20"/>
      </c>
      <c r="DE75" s="3060">
        <f t="shared" si="21"/>
      </c>
      <c r="DF75" s="3060">
        <f t="shared" si="22"/>
      </c>
      <c r="DG75" s="3060">
        <f t="shared" si="23"/>
      </c>
      <c r="DH75" s="3060">
        <f t="shared" si="24"/>
      </c>
      <c r="DI75" s="3060">
        <f t="shared" si="1"/>
      </c>
    </row>
    <row r="76" ht="15" customHeight="1" s="3052" customFormat="1">
      <c r="A76" s="3062"/>
      <c r="B76" s="3054">
        <f t="shared" si="2"/>
      </c>
      <c r="C76" s="3054"/>
      <c r="D76" s="3054"/>
      <c r="E76" s="3055"/>
      <c r="F76" s="3055"/>
      <c r="G76" s="3055"/>
      <c r="H76" s="3055"/>
      <c r="I76" s="3055"/>
      <c r="J76" s="3055"/>
      <c r="K76" s="3055"/>
      <c r="L76" s="3055"/>
      <c r="M76" s="3055"/>
      <c r="N76" s="3055"/>
      <c r="O76" s="3055"/>
      <c r="P76" s="3055"/>
      <c r="Q76" s="3055"/>
      <c r="R76" s="3055">
        <f t="shared" si="3"/>
        <v>0</v>
      </c>
      <c r="S76" s="3055">
        <f t="shared" si="4"/>
        <v>0</v>
      </c>
      <c r="T76" s="3055">
        <f t="shared" si="5"/>
        <v>0</v>
      </c>
      <c r="U76" s="3055">
        <f t="shared" si="6"/>
        <v>0</v>
      </c>
      <c r="V76" s="3055">
        <f t="shared" si="7"/>
        <v>0</v>
      </c>
      <c r="W76" s="3055">
        <f t="shared" si="8"/>
        <v>0</v>
      </c>
      <c r="X76" s="3055">
        <f t="shared" si="9"/>
        <v>0</v>
      </c>
      <c r="Y76" s="3055">
        <f t="shared" si="10"/>
        <v>0</v>
      </c>
      <c r="Z76" s="3055">
        <f t="shared" si="11"/>
        <v>0</v>
      </c>
      <c r="AA76" s="3055">
        <f t="shared" si="12"/>
        <v>0</v>
      </c>
      <c r="AB76" s="3055">
        <f t="shared" si="13"/>
        <v>0</v>
      </c>
      <c r="AC76" s="3055">
        <f t="shared" si="14"/>
        <v>0</v>
      </c>
      <c r="AD76" s="3056"/>
      <c r="AE76" s="3057">
        <f t="shared" si="0"/>
      </c>
      <c r="AF76" s="3054"/>
      <c r="AG76" s="3059"/>
      <c r="AH76" s="3058"/>
      <c r="AI76" s="3058"/>
      <c r="AJ76" s="3058"/>
      <c r="AK76" s="3058"/>
      <c r="AL76" s="3058"/>
      <c r="AM76" s="3058"/>
      <c r="AN76" s="3058"/>
      <c r="AO76" s="3058"/>
      <c r="AP76" s="3058"/>
      <c r="AQ76" s="3058"/>
      <c r="AR76" s="3058"/>
      <c r="AS76" s="3058"/>
      <c r="AT76" s="3058"/>
      <c r="AU76" s="3056"/>
      <c r="AV76" s="3057">
        <f t="shared" si="15"/>
      </c>
      <c r="AW76" s="3054"/>
      <c r="AX76" s="3059"/>
      <c r="AY76" s="3058"/>
      <c r="AZ76" s="3058"/>
      <c r="BA76" s="3058"/>
      <c r="BB76" s="3058"/>
      <c r="BC76" s="3058"/>
      <c r="BD76" s="3058"/>
      <c r="BE76" s="3058"/>
      <c r="BF76" s="3058"/>
      <c r="BG76" s="3058"/>
      <c r="BH76" s="3058"/>
      <c r="BI76" s="3058"/>
      <c r="BJ76" s="3058"/>
      <c r="BK76" s="3058"/>
      <c r="BL76" s="3056"/>
      <c r="BM76" s="3057">
        <f t="shared" si="16"/>
      </c>
      <c r="BN76" s="3054"/>
      <c r="BO76" s="3059"/>
      <c r="BP76" s="3058"/>
      <c r="BQ76" s="3058"/>
      <c r="BR76" s="3058"/>
      <c r="BS76" s="3058"/>
      <c r="BT76" s="3058"/>
      <c r="BU76" s="3058"/>
      <c r="BV76" s="3058"/>
      <c r="BW76" s="3058"/>
      <c r="BX76" s="3058"/>
      <c r="BY76" s="3058"/>
      <c r="BZ76" s="3058"/>
      <c r="CA76" s="3058"/>
      <c r="CB76" s="3058"/>
      <c r="CC76" s="3056"/>
      <c r="CD76" s="3057">
        <f t="shared" si="0"/>
      </c>
      <c r="CE76" s="3054"/>
      <c r="CF76" s="3054"/>
      <c r="CG76" s="3055"/>
      <c r="CH76" s="3055"/>
      <c r="CI76" s="3055"/>
      <c r="CJ76" s="3055"/>
      <c r="CK76" s="3055"/>
      <c r="CL76" s="3055"/>
      <c r="CM76" s="3055"/>
      <c r="CN76" s="3055"/>
      <c r="CO76" s="3055"/>
      <c r="CP76" s="3055"/>
      <c r="CQ76" s="3055"/>
      <c r="CR76" s="3055"/>
      <c r="CS76" s="3055"/>
      <c r="CU76" s="3054"/>
      <c r="CV76" s="696"/>
      <c r="CW76" s="696"/>
      <c r="CZ76" s="3060">
        <f t="shared" si="17"/>
      </c>
      <c r="DA76" s="3060">
        <f t="shared" si="1"/>
      </c>
      <c r="DB76" s="3060">
        <f t="shared" si="18"/>
      </c>
      <c r="DC76" s="3060">
        <f t="shared" si="19"/>
      </c>
      <c r="DD76" s="3060">
        <f t="shared" si="20"/>
      </c>
      <c r="DE76" s="3060">
        <f t="shared" si="21"/>
      </c>
      <c r="DF76" s="3060">
        <f t="shared" si="22"/>
      </c>
      <c r="DG76" s="3060">
        <f t="shared" si="23"/>
      </c>
      <c r="DH76" s="3060">
        <f t="shared" si="24"/>
      </c>
      <c r="DI76" s="3060">
        <f t="shared" si="1"/>
      </c>
    </row>
    <row r="77" ht="15" customHeight="1" s="3052" customFormat="1">
      <c r="A77" s="3062"/>
      <c r="B77" s="3054">
        <f t="shared" si="2"/>
      </c>
      <c r="C77" s="3054"/>
      <c r="D77" s="3054"/>
      <c r="E77" s="3055"/>
      <c r="F77" s="3055"/>
      <c r="G77" s="3055"/>
      <c r="H77" s="3055"/>
      <c r="I77" s="3055"/>
      <c r="J77" s="3055"/>
      <c r="K77" s="3055"/>
      <c r="L77" s="3055"/>
      <c r="M77" s="3055"/>
      <c r="N77" s="3055"/>
      <c r="O77" s="3055"/>
      <c r="P77" s="3055"/>
      <c r="Q77" s="3055"/>
      <c r="R77" s="3055">
        <f t="shared" si="3"/>
        <v>0</v>
      </c>
      <c r="S77" s="3055">
        <f t="shared" si="4"/>
        <v>0</v>
      </c>
      <c r="T77" s="3055">
        <f t="shared" si="5"/>
        <v>0</v>
      </c>
      <c r="U77" s="3055">
        <f t="shared" si="6"/>
        <v>0</v>
      </c>
      <c r="V77" s="3055">
        <f t="shared" si="7"/>
        <v>0</v>
      </c>
      <c r="W77" s="3055">
        <f t="shared" si="8"/>
        <v>0</v>
      </c>
      <c r="X77" s="3055">
        <f t="shared" si="9"/>
        <v>0</v>
      </c>
      <c r="Y77" s="3055">
        <f t="shared" si="10"/>
        <v>0</v>
      </c>
      <c r="Z77" s="3055">
        <f t="shared" si="11"/>
        <v>0</v>
      </c>
      <c r="AA77" s="3055">
        <f t="shared" si="12"/>
        <v>0</v>
      </c>
      <c r="AB77" s="3055">
        <f t="shared" si="13"/>
        <v>0</v>
      </c>
      <c r="AC77" s="3055">
        <f t="shared" si="14"/>
        <v>0</v>
      </c>
      <c r="AD77" s="3056"/>
      <c r="AE77" s="3057">
        <f t="shared" si="0"/>
      </c>
      <c r="AF77" s="3054"/>
      <c r="AG77" s="3059"/>
      <c r="AH77" s="3058"/>
      <c r="AI77" s="3058"/>
      <c r="AJ77" s="3058"/>
      <c r="AK77" s="3058"/>
      <c r="AL77" s="3058"/>
      <c r="AM77" s="3058"/>
      <c r="AN77" s="3058"/>
      <c r="AO77" s="3058"/>
      <c r="AP77" s="3058"/>
      <c r="AQ77" s="3058"/>
      <c r="AR77" s="3058"/>
      <c r="AS77" s="3058"/>
      <c r="AT77" s="3058"/>
      <c r="AU77" s="3056"/>
      <c r="AV77" s="3057">
        <f t="shared" si="15"/>
      </c>
      <c r="AW77" s="3054"/>
      <c r="AX77" s="3059"/>
      <c r="AY77" s="3058"/>
      <c r="AZ77" s="3058"/>
      <c r="BA77" s="3058"/>
      <c r="BB77" s="3058"/>
      <c r="BC77" s="3058"/>
      <c r="BD77" s="3058"/>
      <c r="BE77" s="3058"/>
      <c r="BF77" s="3058"/>
      <c r="BG77" s="3058"/>
      <c r="BH77" s="3058"/>
      <c r="BI77" s="3058"/>
      <c r="BJ77" s="3058"/>
      <c r="BK77" s="3058"/>
      <c r="BL77" s="3056"/>
      <c r="BM77" s="3057">
        <f t="shared" si="16"/>
      </c>
      <c r="BN77" s="3054"/>
      <c r="BO77" s="3059"/>
      <c r="BP77" s="3058"/>
      <c r="BQ77" s="3058"/>
      <c r="BR77" s="3058"/>
      <c r="BS77" s="3058"/>
      <c r="BT77" s="3058"/>
      <c r="BU77" s="3058"/>
      <c r="BV77" s="3058"/>
      <c r="BW77" s="3058"/>
      <c r="BX77" s="3058"/>
      <c r="BY77" s="3058"/>
      <c r="BZ77" s="3058"/>
      <c r="CA77" s="3058"/>
      <c r="CB77" s="3058"/>
      <c r="CC77" s="3056"/>
      <c r="CD77" s="3057">
        <f t="shared" si="0"/>
      </c>
      <c r="CE77" s="3054"/>
      <c r="CF77" s="3054"/>
      <c r="CG77" s="3055"/>
      <c r="CH77" s="3055"/>
      <c r="CI77" s="3055"/>
      <c r="CJ77" s="3055"/>
      <c r="CK77" s="3055"/>
      <c r="CL77" s="3055"/>
      <c r="CM77" s="3055"/>
      <c r="CN77" s="3055"/>
      <c r="CO77" s="3055"/>
      <c r="CP77" s="3055"/>
      <c r="CQ77" s="3055"/>
      <c r="CR77" s="3055"/>
      <c r="CS77" s="3055"/>
      <c r="CU77" s="3054"/>
      <c r="CV77" s="696"/>
      <c r="CW77" s="696"/>
      <c r="CZ77" s="3060">
        <f t="shared" si="17"/>
      </c>
      <c r="DA77" s="3060">
        <f t="shared" si="1"/>
      </c>
      <c r="DB77" s="3060">
        <f t="shared" si="18"/>
      </c>
      <c r="DC77" s="3060">
        <f t="shared" si="19"/>
      </c>
      <c r="DD77" s="3060">
        <f t="shared" si="20"/>
      </c>
      <c r="DE77" s="3060">
        <f t="shared" si="21"/>
      </c>
      <c r="DF77" s="3060">
        <f t="shared" si="22"/>
      </c>
      <c r="DG77" s="3060">
        <f t="shared" si="23"/>
      </c>
      <c r="DH77" s="3060">
        <f t="shared" si="24"/>
      </c>
      <c r="DI77" s="3060">
        <f t="shared" si="1"/>
      </c>
    </row>
    <row r="78" ht="15" customHeight="1" s="3052" customFormat="1">
      <c r="A78" s="3062"/>
      <c r="B78" s="3054">
        <f t="shared" si="2"/>
      </c>
      <c r="C78" s="3054"/>
      <c r="D78" s="3054"/>
      <c r="E78" s="3055"/>
      <c r="F78" s="3055"/>
      <c r="G78" s="3055"/>
      <c r="H78" s="3055"/>
      <c r="I78" s="3055"/>
      <c r="J78" s="3055"/>
      <c r="K78" s="3055"/>
      <c r="L78" s="3055"/>
      <c r="M78" s="3055"/>
      <c r="N78" s="3055"/>
      <c r="O78" s="3055"/>
      <c r="P78" s="3055"/>
      <c r="Q78" s="3055"/>
      <c r="R78" s="3055">
        <f t="shared" si="3"/>
        <v>0</v>
      </c>
      <c r="S78" s="3055">
        <f t="shared" si="4"/>
        <v>0</v>
      </c>
      <c r="T78" s="3055">
        <f t="shared" si="5"/>
        <v>0</v>
      </c>
      <c r="U78" s="3055">
        <f t="shared" si="6"/>
        <v>0</v>
      </c>
      <c r="V78" s="3055">
        <f t="shared" si="7"/>
        <v>0</v>
      </c>
      <c r="W78" s="3055">
        <f t="shared" si="8"/>
        <v>0</v>
      </c>
      <c r="X78" s="3055">
        <f t="shared" si="9"/>
        <v>0</v>
      </c>
      <c r="Y78" s="3055">
        <f t="shared" si="10"/>
        <v>0</v>
      </c>
      <c r="Z78" s="3055">
        <f t="shared" si="11"/>
        <v>0</v>
      </c>
      <c r="AA78" s="3055">
        <f t="shared" si="12"/>
        <v>0</v>
      </c>
      <c r="AB78" s="3055">
        <f t="shared" si="13"/>
        <v>0</v>
      </c>
      <c r="AC78" s="3055">
        <f t="shared" si="14"/>
        <v>0</v>
      </c>
      <c r="AD78" s="3056"/>
      <c r="AE78" s="3057">
        <f t="shared" si="0"/>
      </c>
      <c r="AF78" s="3054"/>
      <c r="AG78" s="3059"/>
      <c r="AH78" s="3058"/>
      <c r="AI78" s="3058"/>
      <c r="AJ78" s="3058"/>
      <c r="AK78" s="3058"/>
      <c r="AL78" s="3058"/>
      <c r="AM78" s="3058"/>
      <c r="AN78" s="3058"/>
      <c r="AO78" s="3058"/>
      <c r="AP78" s="3058"/>
      <c r="AQ78" s="3058"/>
      <c r="AR78" s="3058"/>
      <c r="AS78" s="3058"/>
      <c r="AT78" s="3058"/>
      <c r="AU78" s="3056"/>
      <c r="AV78" s="3057">
        <f t="shared" si="15"/>
      </c>
      <c r="AW78" s="3054"/>
      <c r="AX78" s="3059"/>
      <c r="AY78" s="3058"/>
      <c r="AZ78" s="3058"/>
      <c r="BA78" s="3058"/>
      <c r="BB78" s="3058"/>
      <c r="BC78" s="3058"/>
      <c r="BD78" s="3058"/>
      <c r="BE78" s="3058"/>
      <c r="BF78" s="3058"/>
      <c r="BG78" s="3058"/>
      <c r="BH78" s="3058"/>
      <c r="BI78" s="3058"/>
      <c r="BJ78" s="3058"/>
      <c r="BK78" s="3058"/>
      <c r="BL78" s="3056"/>
      <c r="BM78" s="3057">
        <f t="shared" si="16"/>
      </c>
      <c r="BN78" s="3054"/>
      <c r="BO78" s="3059"/>
      <c r="BP78" s="3058"/>
      <c r="BQ78" s="3058"/>
      <c r="BR78" s="3058"/>
      <c r="BS78" s="3058"/>
      <c r="BT78" s="3058"/>
      <c r="BU78" s="3058"/>
      <c r="BV78" s="3058"/>
      <c r="BW78" s="3058"/>
      <c r="BX78" s="3058"/>
      <c r="BY78" s="3058"/>
      <c r="BZ78" s="3058"/>
      <c r="CA78" s="3058"/>
      <c r="CB78" s="3058"/>
      <c r="CC78" s="3056"/>
      <c r="CD78" s="3057">
        <f t="shared" si="0"/>
      </c>
      <c r="CE78" s="3054"/>
      <c r="CF78" s="3054"/>
      <c r="CG78" s="3055"/>
      <c r="CH78" s="3055"/>
      <c r="CI78" s="3055"/>
      <c r="CJ78" s="3055"/>
      <c r="CK78" s="3055"/>
      <c r="CL78" s="3055"/>
      <c r="CM78" s="3055"/>
      <c r="CN78" s="3055"/>
      <c r="CO78" s="3055"/>
      <c r="CP78" s="3055"/>
      <c r="CQ78" s="3055"/>
      <c r="CR78" s="3055"/>
      <c r="CS78" s="3055"/>
      <c r="CU78" s="3054"/>
      <c r="CV78" s="696"/>
      <c r="CW78" s="696"/>
      <c r="CZ78" s="3060">
        <f t="shared" si="17"/>
      </c>
      <c r="DA78" s="3060">
        <f t="shared" si="1"/>
      </c>
      <c r="DB78" s="3060">
        <f t="shared" si="18"/>
      </c>
      <c r="DC78" s="3060">
        <f t="shared" si="19"/>
      </c>
      <c r="DD78" s="3060">
        <f t="shared" si="20"/>
      </c>
      <c r="DE78" s="3060">
        <f t="shared" si="21"/>
      </c>
      <c r="DF78" s="3060">
        <f t="shared" si="22"/>
      </c>
      <c r="DG78" s="3060">
        <f t="shared" si="23"/>
      </c>
      <c r="DH78" s="3060">
        <f t="shared" si="24"/>
      </c>
      <c r="DI78" s="3060">
        <f t="shared" si="1"/>
      </c>
    </row>
    <row r="79" ht="15" customHeight="1" s="3052" customFormat="1">
      <c r="A79" s="3055"/>
      <c r="B79" s="3054">
        <f t="shared" si="2"/>
      </c>
      <c r="C79" s="3054"/>
      <c r="D79" s="3054"/>
      <c r="E79" s="3055"/>
      <c r="F79" s="3055"/>
      <c r="G79" s="3055"/>
      <c r="H79" s="3055"/>
      <c r="I79" s="3055"/>
      <c r="J79" s="3055"/>
      <c r="K79" s="3055"/>
      <c r="L79" s="3055"/>
      <c r="M79" s="3055"/>
      <c r="N79" s="3055"/>
      <c r="O79" s="3055"/>
      <c r="P79" s="3055"/>
      <c r="Q79" s="3055"/>
      <c r="R79" s="3055">
        <f t="shared" si="3"/>
        <v>0</v>
      </c>
      <c r="S79" s="3055">
        <f t="shared" si="4"/>
        <v>0</v>
      </c>
      <c r="T79" s="3055">
        <f t="shared" si="5"/>
        <v>0</v>
      </c>
      <c r="U79" s="3055">
        <f t="shared" si="6"/>
        <v>0</v>
      </c>
      <c r="V79" s="3055">
        <f t="shared" si="7"/>
        <v>0</v>
      </c>
      <c r="W79" s="3055">
        <f t="shared" si="8"/>
        <v>0</v>
      </c>
      <c r="X79" s="3055">
        <f t="shared" si="9"/>
        <v>0</v>
      </c>
      <c r="Y79" s="3055">
        <f t="shared" si="10"/>
        <v>0</v>
      </c>
      <c r="Z79" s="3055">
        <f t="shared" si="11"/>
        <v>0</v>
      </c>
      <c r="AA79" s="3055">
        <f t="shared" si="12"/>
        <v>0</v>
      </c>
      <c r="AB79" s="3055">
        <f t="shared" si="13"/>
        <v>0</v>
      </c>
      <c r="AC79" s="3055">
        <f t="shared" si="14"/>
        <v>0</v>
      </c>
      <c r="AD79" s="3056"/>
      <c r="AE79" s="3057">
        <f t="shared" si="0"/>
      </c>
      <c r="AF79" s="3054"/>
      <c r="AG79" s="3059"/>
      <c r="AH79" s="3058"/>
      <c r="AI79" s="3058"/>
      <c r="AJ79" s="3058"/>
      <c r="AK79" s="3058"/>
      <c r="AL79" s="3058"/>
      <c r="AM79" s="3058"/>
      <c r="AN79" s="3058"/>
      <c r="AO79" s="3058"/>
      <c r="AP79" s="3058"/>
      <c r="AQ79" s="3058"/>
      <c r="AR79" s="3058"/>
      <c r="AS79" s="3058"/>
      <c r="AT79" s="3058"/>
      <c r="AU79" s="3056"/>
      <c r="AV79" s="3057">
        <f t="shared" si="15"/>
      </c>
      <c r="AW79" s="3054"/>
      <c r="AX79" s="3059"/>
      <c r="AY79" s="3058"/>
      <c r="AZ79" s="3058"/>
      <c r="BA79" s="3058"/>
      <c r="BB79" s="3058"/>
      <c r="BC79" s="3058"/>
      <c r="BD79" s="3058"/>
      <c r="BE79" s="3058"/>
      <c r="BF79" s="3058"/>
      <c r="BG79" s="3058"/>
      <c r="BH79" s="3058"/>
      <c r="BI79" s="3058"/>
      <c r="BJ79" s="3058"/>
      <c r="BK79" s="3058"/>
      <c r="BL79" s="3056"/>
      <c r="BM79" s="3057">
        <f t="shared" si="16"/>
      </c>
      <c r="BN79" s="3054"/>
      <c r="BO79" s="3059"/>
      <c r="BP79" s="3058"/>
      <c r="BQ79" s="3058"/>
      <c r="BR79" s="3058"/>
      <c r="BS79" s="3058"/>
      <c r="BT79" s="3058"/>
      <c r="BU79" s="3058"/>
      <c r="BV79" s="3058"/>
      <c r="BW79" s="3058"/>
      <c r="BX79" s="3058"/>
      <c r="BY79" s="3058"/>
      <c r="BZ79" s="3058"/>
      <c r="CA79" s="3058"/>
      <c r="CB79" s="3058"/>
      <c r="CC79" s="3056"/>
      <c r="CD79" s="3057">
        <f t="shared" si="0"/>
      </c>
      <c r="CE79" s="3054"/>
      <c r="CF79" s="3054"/>
      <c r="CG79" s="3055"/>
      <c r="CH79" s="3055"/>
      <c r="CI79" s="3055"/>
      <c r="CJ79" s="3055"/>
      <c r="CK79" s="3055"/>
      <c r="CL79" s="3055"/>
      <c r="CM79" s="3055"/>
      <c r="CN79" s="3055"/>
      <c r="CO79" s="3055"/>
      <c r="CP79" s="3055"/>
      <c r="CQ79" s="3055"/>
      <c r="CR79" s="3055"/>
      <c r="CS79" s="3055"/>
      <c r="CU79" s="3054"/>
      <c r="CV79" s="696"/>
      <c r="CW79" s="696"/>
      <c r="CZ79" s="3060">
        <f t="shared" si="17"/>
      </c>
      <c r="DA79" s="3060">
        <f t="shared" si="1"/>
      </c>
      <c r="DB79" s="3060">
        <f t="shared" si="18"/>
      </c>
      <c r="DC79" s="3060">
        <f t="shared" si="19"/>
      </c>
      <c r="DD79" s="3060">
        <f t="shared" si="20"/>
      </c>
      <c r="DE79" s="3060">
        <f t="shared" si="21"/>
      </c>
      <c r="DF79" s="3060">
        <f t="shared" si="22"/>
      </c>
      <c r="DG79" s="3060">
        <f t="shared" si="23"/>
      </c>
      <c r="DH79" s="3060">
        <f t="shared" si="24"/>
      </c>
      <c r="DI79" s="3060">
        <f t="shared" si="1"/>
      </c>
    </row>
    <row r="80" ht="15" customHeight="1" s="3052" customFormat="1">
      <c r="A80" s="3055"/>
      <c r="B80" s="3054">
        <f t="shared" si="2"/>
      </c>
      <c r="C80" s="3054"/>
      <c r="D80" s="3054"/>
      <c r="E80" s="3055"/>
      <c r="F80" s="3055"/>
      <c r="G80" s="3055"/>
      <c r="H80" s="3055"/>
      <c r="I80" s="3055"/>
      <c r="J80" s="3055"/>
      <c r="K80" s="3055"/>
      <c r="L80" s="3055"/>
      <c r="M80" s="3055"/>
      <c r="N80" s="3055"/>
      <c r="O80" s="3055"/>
      <c r="P80" s="3055"/>
      <c r="Q80" s="3055"/>
      <c r="R80" s="3055">
        <f t="shared" si="3"/>
        <v>0</v>
      </c>
      <c r="S80" s="3055">
        <f t="shared" si="4"/>
        <v>0</v>
      </c>
      <c r="T80" s="3055">
        <f t="shared" si="5"/>
        <v>0</v>
      </c>
      <c r="U80" s="3055">
        <f t="shared" si="6"/>
        <v>0</v>
      </c>
      <c r="V80" s="3055">
        <f t="shared" si="7"/>
        <v>0</v>
      </c>
      <c r="W80" s="3055">
        <f t="shared" si="8"/>
        <v>0</v>
      </c>
      <c r="X80" s="3055">
        <f t="shared" si="9"/>
        <v>0</v>
      </c>
      <c r="Y80" s="3055">
        <f t="shared" si="10"/>
        <v>0</v>
      </c>
      <c r="Z80" s="3055">
        <f t="shared" si="11"/>
        <v>0</v>
      </c>
      <c r="AA80" s="3055">
        <f t="shared" si="12"/>
        <v>0</v>
      </c>
      <c r="AB80" s="3055">
        <f t="shared" si="13"/>
        <v>0</v>
      </c>
      <c r="AC80" s="3055">
        <f t="shared" si="14"/>
        <v>0</v>
      </c>
      <c r="AD80" s="3056"/>
      <c r="AE80" s="3057">
        <f t="shared" si="0"/>
      </c>
      <c r="AF80" s="3054"/>
      <c r="AG80" s="3059"/>
      <c r="AH80" s="3058"/>
      <c r="AI80" s="3058"/>
      <c r="AJ80" s="3058"/>
      <c r="AK80" s="3058"/>
      <c r="AL80" s="3058"/>
      <c r="AM80" s="3058"/>
      <c r="AN80" s="3058"/>
      <c r="AO80" s="3058"/>
      <c r="AP80" s="3058"/>
      <c r="AQ80" s="3058"/>
      <c r="AR80" s="3058"/>
      <c r="AS80" s="3058"/>
      <c r="AT80" s="3058"/>
      <c r="AU80" s="3056"/>
      <c r="AV80" s="3057">
        <f t="shared" si="15"/>
      </c>
      <c r="AW80" s="3054"/>
      <c r="AX80" s="3059"/>
      <c r="AY80" s="3058"/>
      <c r="AZ80" s="3058"/>
      <c r="BA80" s="3058"/>
      <c r="BB80" s="3058"/>
      <c r="BC80" s="3058"/>
      <c r="BD80" s="3058"/>
      <c r="BE80" s="3058"/>
      <c r="BF80" s="3058"/>
      <c r="BG80" s="3058"/>
      <c r="BH80" s="3058"/>
      <c r="BI80" s="3058"/>
      <c r="BJ80" s="3058"/>
      <c r="BK80" s="3058"/>
      <c r="BL80" s="3056"/>
      <c r="BM80" s="3057">
        <f t="shared" si="16"/>
      </c>
      <c r="BN80" s="3054"/>
      <c r="BO80" s="3059"/>
      <c r="BP80" s="3058"/>
      <c r="BQ80" s="3058"/>
      <c r="BR80" s="3058"/>
      <c r="BS80" s="3058"/>
      <c r="BT80" s="3058"/>
      <c r="BU80" s="3058"/>
      <c r="BV80" s="3058"/>
      <c r="BW80" s="3058"/>
      <c r="BX80" s="3058"/>
      <c r="BY80" s="3058"/>
      <c r="BZ80" s="3058"/>
      <c r="CA80" s="3058"/>
      <c r="CB80" s="3058"/>
      <c r="CC80" s="3056"/>
      <c r="CD80" s="3057">
        <f t="shared" si="0"/>
      </c>
      <c r="CE80" s="3054"/>
      <c r="CF80" s="3054"/>
      <c r="CG80" s="3055"/>
      <c r="CH80" s="3055"/>
      <c r="CI80" s="3055"/>
      <c r="CJ80" s="3055"/>
      <c r="CK80" s="3055"/>
      <c r="CL80" s="3055"/>
      <c r="CM80" s="3055"/>
      <c r="CN80" s="3055"/>
      <c r="CO80" s="3055"/>
      <c r="CP80" s="3055"/>
      <c r="CQ80" s="3055"/>
      <c r="CR80" s="3055"/>
      <c r="CS80" s="3055"/>
      <c r="CU80" s="3054"/>
      <c r="CV80" s="696"/>
      <c r="CW80" s="696"/>
      <c r="CZ80" s="3060">
        <f t="shared" si="17"/>
      </c>
      <c r="DA80" s="3060">
        <f t="shared" si="1"/>
      </c>
      <c r="DB80" s="3060">
        <f t="shared" si="18"/>
      </c>
      <c r="DC80" s="3060">
        <f t="shared" si="19"/>
      </c>
      <c r="DD80" s="3060">
        <f t="shared" si="20"/>
      </c>
      <c r="DE80" s="3060">
        <f t="shared" si="21"/>
      </c>
      <c r="DF80" s="3060">
        <f t="shared" si="22"/>
      </c>
      <c r="DG80" s="3060">
        <f t="shared" si="23"/>
      </c>
      <c r="DH80" s="3060">
        <f t="shared" si="24"/>
      </c>
      <c r="DI80" s="3060">
        <f t="shared" si="1"/>
      </c>
    </row>
    <row r="81" ht="15" customHeight="1" s="3052" customFormat="1">
      <c r="A81" s="3055"/>
      <c r="B81" s="3054">
        <f t="shared" si="2"/>
      </c>
      <c r="C81" s="3054"/>
      <c r="D81" s="3054"/>
      <c r="E81" s="3055"/>
      <c r="F81" s="3055"/>
      <c r="G81" s="3055"/>
      <c r="H81" s="3055"/>
      <c r="I81" s="3055"/>
      <c r="J81" s="3055"/>
      <c r="K81" s="3055"/>
      <c r="L81" s="3055"/>
      <c r="M81" s="3055"/>
      <c r="N81" s="3055"/>
      <c r="O81" s="3055"/>
      <c r="P81" s="3055"/>
      <c r="Q81" s="3055"/>
      <c r="R81" s="3055">
        <f t="shared" si="3"/>
        <v>0</v>
      </c>
      <c r="S81" s="3055">
        <f t="shared" si="4"/>
        <v>0</v>
      </c>
      <c r="T81" s="3055">
        <f t="shared" si="5"/>
        <v>0</v>
      </c>
      <c r="U81" s="3055">
        <f t="shared" si="6"/>
        <v>0</v>
      </c>
      <c r="V81" s="3055">
        <f t="shared" si="7"/>
        <v>0</v>
      </c>
      <c r="W81" s="3055">
        <f t="shared" si="8"/>
        <v>0</v>
      </c>
      <c r="X81" s="3055">
        <f t="shared" si="9"/>
        <v>0</v>
      </c>
      <c r="Y81" s="3055">
        <f t="shared" si="10"/>
        <v>0</v>
      </c>
      <c r="Z81" s="3055">
        <f t="shared" si="11"/>
        <v>0</v>
      </c>
      <c r="AA81" s="3055">
        <f t="shared" si="12"/>
        <v>0</v>
      </c>
      <c r="AB81" s="3055">
        <f t="shared" si="13"/>
        <v>0</v>
      </c>
      <c r="AC81" s="3055">
        <f t="shared" si="14"/>
        <v>0</v>
      </c>
      <c r="AD81" s="3056"/>
      <c r="AE81" s="3057">
        <f t="shared" si="0"/>
      </c>
      <c r="AF81" s="3054"/>
      <c r="AG81" s="3059"/>
      <c r="AH81" s="3058"/>
      <c r="AI81" s="3058"/>
      <c r="AJ81" s="3058"/>
      <c r="AK81" s="3058"/>
      <c r="AL81" s="3058"/>
      <c r="AM81" s="3058"/>
      <c r="AN81" s="3058"/>
      <c r="AO81" s="3058"/>
      <c r="AP81" s="3058"/>
      <c r="AQ81" s="3058"/>
      <c r="AR81" s="3058"/>
      <c r="AS81" s="3058"/>
      <c r="AT81" s="3058"/>
      <c r="AU81" s="3056"/>
      <c r="AV81" s="3057">
        <f t="shared" si="15"/>
      </c>
      <c r="AW81" s="3054"/>
      <c r="AX81" s="3059"/>
      <c r="AY81" s="3058"/>
      <c r="AZ81" s="3058"/>
      <c r="BA81" s="3058"/>
      <c r="BB81" s="3058"/>
      <c r="BC81" s="3058"/>
      <c r="BD81" s="3058"/>
      <c r="BE81" s="3058"/>
      <c r="BF81" s="3058"/>
      <c r="BG81" s="3058"/>
      <c r="BH81" s="3058"/>
      <c r="BI81" s="3058"/>
      <c r="BJ81" s="3058"/>
      <c r="BK81" s="3058"/>
      <c r="BL81" s="3056"/>
      <c r="BM81" s="3057">
        <f t="shared" si="16"/>
      </c>
      <c r="BN81" s="3054"/>
      <c r="BO81" s="3059"/>
      <c r="BP81" s="3058"/>
      <c r="BQ81" s="3058"/>
      <c r="BR81" s="3058"/>
      <c r="BS81" s="3058"/>
      <c r="BT81" s="3058"/>
      <c r="BU81" s="3058"/>
      <c r="BV81" s="3058"/>
      <c r="BW81" s="3058"/>
      <c r="BX81" s="3058"/>
      <c r="BY81" s="3058"/>
      <c r="BZ81" s="3058"/>
      <c r="CA81" s="3058"/>
      <c r="CB81" s="3058"/>
      <c r="CC81" s="3056"/>
      <c r="CD81" s="3057">
        <f t="shared" si="0"/>
      </c>
      <c r="CE81" s="3054"/>
      <c r="CF81" s="3054"/>
      <c r="CG81" s="3055"/>
      <c r="CH81" s="3055"/>
      <c r="CI81" s="3055"/>
      <c r="CJ81" s="3055"/>
      <c r="CK81" s="3055"/>
      <c r="CL81" s="3055"/>
      <c r="CM81" s="3055"/>
      <c r="CN81" s="3055"/>
      <c r="CO81" s="3055"/>
      <c r="CP81" s="3055"/>
      <c r="CQ81" s="3055"/>
      <c r="CR81" s="3055"/>
      <c r="CS81" s="3055"/>
      <c r="CU81" s="3054"/>
      <c r="CV81" s="696"/>
      <c r="CW81" s="696"/>
      <c r="CZ81" s="3060">
        <f t="shared" si="17"/>
      </c>
      <c r="DA81" s="3060">
        <f t="shared" si="1"/>
      </c>
      <c r="DB81" s="3060">
        <f t="shared" si="18"/>
      </c>
      <c r="DC81" s="3060">
        <f t="shared" si="19"/>
      </c>
      <c r="DD81" s="3060">
        <f t="shared" si="20"/>
      </c>
      <c r="DE81" s="3060">
        <f t="shared" si="21"/>
      </c>
      <c r="DF81" s="3060">
        <f t="shared" si="22"/>
      </c>
      <c r="DG81" s="3060">
        <f t="shared" si="23"/>
      </c>
      <c r="DH81" s="3060">
        <f t="shared" si="24"/>
      </c>
      <c r="DI81" s="3060">
        <f t="shared" si="1"/>
      </c>
    </row>
    <row r="82" ht="15" customHeight="1" s="3052" customFormat="1">
      <c r="A82" s="3062"/>
      <c r="B82" s="3054">
        <f t="shared" si="2"/>
      </c>
      <c r="C82" s="3054"/>
      <c r="D82" s="3054"/>
      <c r="E82" s="3055"/>
      <c r="F82" s="3055"/>
      <c r="G82" s="3055"/>
      <c r="H82" s="3055"/>
      <c r="I82" s="3055"/>
      <c r="J82" s="3055"/>
      <c r="K82" s="3055"/>
      <c r="L82" s="3055"/>
      <c r="M82" s="3055"/>
      <c r="N82" s="3055"/>
      <c r="O82" s="3055"/>
      <c r="P82" s="3055"/>
      <c r="Q82" s="3055"/>
      <c r="R82" s="3055">
        <f t="shared" si="3"/>
        <v>0</v>
      </c>
      <c r="S82" s="3055">
        <f t="shared" si="4"/>
        <v>0</v>
      </c>
      <c r="T82" s="3055">
        <f t="shared" si="5"/>
        <v>0</v>
      </c>
      <c r="U82" s="3055">
        <f t="shared" si="6"/>
        <v>0</v>
      </c>
      <c r="V82" s="3055">
        <f t="shared" si="7"/>
        <v>0</v>
      </c>
      <c r="W82" s="3055">
        <f t="shared" si="8"/>
        <v>0</v>
      </c>
      <c r="X82" s="3055">
        <f t="shared" si="9"/>
        <v>0</v>
      </c>
      <c r="Y82" s="3055">
        <f t="shared" si="10"/>
        <v>0</v>
      </c>
      <c r="Z82" s="3055">
        <f t="shared" si="11"/>
        <v>0</v>
      </c>
      <c r="AA82" s="3055">
        <f t="shared" si="12"/>
        <v>0</v>
      </c>
      <c r="AB82" s="3055">
        <f t="shared" si="13"/>
        <v>0</v>
      </c>
      <c r="AC82" s="3055">
        <f t="shared" si="14"/>
        <v>0</v>
      </c>
      <c r="AD82" s="3056"/>
      <c r="AE82" s="3057">
        <f t="shared" si="0"/>
      </c>
      <c r="AF82" s="3054"/>
      <c r="AG82" s="3059"/>
      <c r="AH82" s="3058"/>
      <c r="AI82" s="3058"/>
      <c r="AJ82" s="3058"/>
      <c r="AK82" s="3058"/>
      <c r="AL82" s="3058"/>
      <c r="AM82" s="3058"/>
      <c r="AN82" s="3058"/>
      <c r="AO82" s="3058"/>
      <c r="AP82" s="3058"/>
      <c r="AQ82" s="3058"/>
      <c r="AR82" s="3058"/>
      <c r="AS82" s="3058"/>
      <c r="AT82" s="3058"/>
      <c r="AU82" s="3056"/>
      <c r="AV82" s="3057">
        <f t="shared" si="15"/>
      </c>
      <c r="AW82" s="3054"/>
      <c r="AX82" s="3059"/>
      <c r="AY82" s="3058"/>
      <c r="AZ82" s="3058"/>
      <c r="BA82" s="3058"/>
      <c r="BB82" s="3058"/>
      <c r="BC82" s="3058"/>
      <c r="BD82" s="3058"/>
      <c r="BE82" s="3058"/>
      <c r="BF82" s="3058"/>
      <c r="BG82" s="3058"/>
      <c r="BH82" s="3058"/>
      <c r="BI82" s="3058"/>
      <c r="BJ82" s="3058"/>
      <c r="BK82" s="3058"/>
      <c r="BL82" s="3056"/>
      <c r="BM82" s="3057">
        <f t="shared" si="16"/>
      </c>
      <c r="BN82" s="3054"/>
      <c r="BO82" s="3059"/>
      <c r="BP82" s="3058"/>
      <c r="BQ82" s="3058"/>
      <c r="BR82" s="3058"/>
      <c r="BS82" s="3058"/>
      <c r="BT82" s="3058"/>
      <c r="BU82" s="3058"/>
      <c r="BV82" s="3058"/>
      <c r="BW82" s="3058"/>
      <c r="BX82" s="3058"/>
      <c r="BY82" s="3058"/>
      <c r="BZ82" s="3058"/>
      <c r="CA82" s="3058"/>
      <c r="CB82" s="3058"/>
      <c r="CC82" s="3056"/>
      <c r="CD82" s="3057">
        <f t="shared" si="0"/>
      </c>
      <c r="CE82" s="3054"/>
      <c r="CF82" s="3054"/>
      <c r="CG82" s="3055"/>
      <c r="CH82" s="3055"/>
      <c r="CI82" s="3055"/>
      <c r="CJ82" s="3055"/>
      <c r="CK82" s="3055"/>
      <c r="CL82" s="3055"/>
      <c r="CM82" s="3055"/>
      <c r="CN82" s="3055"/>
      <c r="CO82" s="3055"/>
      <c r="CP82" s="3055"/>
      <c r="CQ82" s="3055"/>
      <c r="CR82" s="3055"/>
      <c r="CS82" s="3055"/>
      <c r="CU82" s="3054"/>
      <c r="CV82" s="696"/>
      <c r="CW82" s="696"/>
      <c r="CZ82" s="3060">
        <f t="shared" si="17"/>
      </c>
      <c r="DA82" s="3060">
        <f t="shared" si="1"/>
      </c>
      <c r="DB82" s="3060">
        <f t="shared" si="18"/>
      </c>
      <c r="DC82" s="3060">
        <f t="shared" si="19"/>
      </c>
      <c r="DD82" s="3060">
        <f t="shared" si="20"/>
      </c>
      <c r="DE82" s="3060">
        <f t="shared" si="21"/>
      </c>
      <c r="DF82" s="3060">
        <f t="shared" si="22"/>
      </c>
      <c r="DG82" s="3060">
        <f t="shared" si="23"/>
      </c>
      <c r="DH82" s="3060">
        <f t="shared" si="24"/>
      </c>
      <c r="DI82" s="3060">
        <f t="shared" si="1"/>
      </c>
    </row>
    <row r="83" ht="15" customHeight="1" s="3052" customFormat="1">
      <c r="A83" s="3062"/>
      <c r="B83" s="3054">
        <f t="shared" si="2"/>
      </c>
      <c r="C83" s="3054"/>
      <c r="D83" s="3054"/>
      <c r="E83" s="3055"/>
      <c r="F83" s="3055"/>
      <c r="G83" s="3055"/>
      <c r="H83" s="3055"/>
      <c r="I83" s="3055"/>
      <c r="J83" s="3055"/>
      <c r="K83" s="3055"/>
      <c r="L83" s="3055"/>
      <c r="M83" s="3055"/>
      <c r="N83" s="3055"/>
      <c r="O83" s="3055"/>
      <c r="P83" s="3055"/>
      <c r="Q83" s="3055"/>
      <c r="R83" s="3055">
        <f t="shared" si="3"/>
        <v>0</v>
      </c>
      <c r="S83" s="3055">
        <f t="shared" si="4"/>
        <v>0</v>
      </c>
      <c r="T83" s="3055">
        <f t="shared" si="5"/>
        <v>0</v>
      </c>
      <c r="U83" s="3055">
        <f t="shared" si="6"/>
        <v>0</v>
      </c>
      <c r="V83" s="3055">
        <f t="shared" si="7"/>
        <v>0</v>
      </c>
      <c r="W83" s="3055">
        <f t="shared" si="8"/>
        <v>0</v>
      </c>
      <c r="X83" s="3055">
        <f t="shared" si="9"/>
        <v>0</v>
      </c>
      <c r="Y83" s="3055">
        <f t="shared" si="10"/>
        <v>0</v>
      </c>
      <c r="Z83" s="3055">
        <f t="shared" si="11"/>
        <v>0</v>
      </c>
      <c r="AA83" s="3055">
        <f t="shared" si="12"/>
        <v>0</v>
      </c>
      <c r="AB83" s="3055">
        <f t="shared" si="13"/>
        <v>0</v>
      </c>
      <c r="AC83" s="3055">
        <f t="shared" si="14"/>
        <v>0</v>
      </c>
      <c r="AD83" s="3056"/>
      <c r="AE83" s="3057">
        <f t="shared" si="0"/>
      </c>
      <c r="AF83" s="3054"/>
      <c r="AG83" s="3059"/>
      <c r="AH83" s="3058"/>
      <c r="AI83" s="3058"/>
      <c r="AJ83" s="3058"/>
      <c r="AK83" s="3058"/>
      <c r="AL83" s="3058"/>
      <c r="AM83" s="3058"/>
      <c r="AN83" s="3058"/>
      <c r="AO83" s="3058"/>
      <c r="AP83" s="3058"/>
      <c r="AQ83" s="3058"/>
      <c r="AR83" s="3058"/>
      <c r="AS83" s="3058"/>
      <c r="AT83" s="3058"/>
      <c r="AU83" s="3056"/>
      <c r="AV83" s="3057">
        <f t="shared" si="15"/>
      </c>
      <c r="AW83" s="3054"/>
      <c r="AX83" s="3059"/>
      <c r="AY83" s="3058"/>
      <c r="AZ83" s="3058"/>
      <c r="BA83" s="3058"/>
      <c r="BB83" s="3058"/>
      <c r="BC83" s="3058"/>
      <c r="BD83" s="3058"/>
      <c r="BE83" s="3058"/>
      <c r="BF83" s="3058"/>
      <c r="BG83" s="3058"/>
      <c r="BH83" s="3058"/>
      <c r="BI83" s="3058"/>
      <c r="BJ83" s="3058"/>
      <c r="BK83" s="3058"/>
      <c r="BL83" s="3056"/>
      <c r="BM83" s="3057">
        <f t="shared" si="16"/>
      </c>
      <c r="BN83" s="3054"/>
      <c r="BO83" s="3059"/>
      <c r="BP83" s="3058"/>
      <c r="BQ83" s="3058"/>
      <c r="BR83" s="3058"/>
      <c r="BS83" s="3058"/>
      <c r="BT83" s="3058"/>
      <c r="BU83" s="3058"/>
      <c r="BV83" s="3058"/>
      <c r="BW83" s="3058"/>
      <c r="BX83" s="3058"/>
      <c r="BY83" s="3058"/>
      <c r="BZ83" s="3058"/>
      <c r="CA83" s="3058"/>
      <c r="CB83" s="3058"/>
      <c r="CC83" s="3056"/>
      <c r="CD83" s="3057">
        <f t="shared" si="0"/>
      </c>
      <c r="CE83" s="3054"/>
      <c r="CF83" s="3054"/>
      <c r="CG83" s="3055"/>
      <c r="CH83" s="3055"/>
      <c r="CI83" s="3055"/>
      <c r="CJ83" s="3055"/>
      <c r="CK83" s="3055"/>
      <c r="CL83" s="3055"/>
      <c r="CM83" s="3055"/>
      <c r="CN83" s="3055"/>
      <c r="CO83" s="3055"/>
      <c r="CP83" s="3055"/>
      <c r="CQ83" s="3055"/>
      <c r="CR83" s="3055"/>
      <c r="CS83" s="3055"/>
      <c r="CU83" s="3054"/>
      <c r="CV83" s="696"/>
      <c r="CW83" s="696"/>
      <c r="CZ83" s="3060">
        <f t="shared" si="17"/>
      </c>
      <c r="DA83" s="3060">
        <f t="shared" si="1"/>
      </c>
      <c r="DB83" s="3060">
        <f t="shared" si="18"/>
      </c>
      <c r="DC83" s="3060">
        <f t="shared" si="19"/>
      </c>
      <c r="DD83" s="3060">
        <f t="shared" si="20"/>
      </c>
      <c r="DE83" s="3060">
        <f t="shared" si="21"/>
      </c>
      <c r="DF83" s="3060">
        <f t="shared" si="22"/>
      </c>
      <c r="DG83" s="3060">
        <f t="shared" si="23"/>
      </c>
      <c r="DH83" s="3060">
        <f t="shared" si="24"/>
      </c>
      <c r="DI83" s="3060">
        <f t="shared" si="1"/>
      </c>
    </row>
    <row r="84" ht="15" customHeight="1" s="3052" customFormat="1">
      <c r="A84" s="3062"/>
      <c r="B84" s="3054">
        <f t="shared" si="2"/>
      </c>
      <c r="C84" s="3054"/>
      <c r="D84" s="3054"/>
      <c r="E84" s="3055"/>
      <c r="F84" s="3055"/>
      <c r="G84" s="3055"/>
      <c r="H84" s="3055"/>
      <c r="I84" s="3055"/>
      <c r="J84" s="3055"/>
      <c r="K84" s="3055"/>
      <c r="L84" s="3055"/>
      <c r="M84" s="3055"/>
      <c r="N84" s="3055"/>
      <c r="O84" s="3055"/>
      <c r="P84" s="3055"/>
      <c r="Q84" s="3055"/>
      <c r="R84" s="3055">
        <f t="shared" si="3"/>
        <v>0</v>
      </c>
      <c r="S84" s="3055">
        <f t="shared" si="4"/>
        <v>0</v>
      </c>
      <c r="T84" s="3055">
        <f t="shared" si="5"/>
        <v>0</v>
      </c>
      <c r="U84" s="3055">
        <f t="shared" si="6"/>
        <v>0</v>
      </c>
      <c r="V84" s="3055">
        <f t="shared" si="7"/>
        <v>0</v>
      </c>
      <c r="W84" s="3055">
        <f t="shared" si="8"/>
        <v>0</v>
      </c>
      <c r="X84" s="3055">
        <f t="shared" si="9"/>
        <v>0</v>
      </c>
      <c r="Y84" s="3055">
        <f t="shared" si="10"/>
        <v>0</v>
      </c>
      <c r="Z84" s="3055">
        <f t="shared" si="11"/>
        <v>0</v>
      </c>
      <c r="AA84" s="3055">
        <f t="shared" si="12"/>
        <v>0</v>
      </c>
      <c r="AB84" s="3055">
        <f t="shared" si="13"/>
        <v>0</v>
      </c>
      <c r="AC84" s="3055">
        <f t="shared" si="14"/>
        <v>0</v>
      </c>
      <c r="AD84" s="3056"/>
      <c r="AE84" s="3057">
        <f t="shared" si="0"/>
      </c>
      <c r="AF84" s="3054"/>
      <c r="AG84" s="3059"/>
      <c r="AH84" s="3058"/>
      <c r="AI84" s="3058"/>
      <c r="AJ84" s="3058"/>
      <c r="AK84" s="3058"/>
      <c r="AL84" s="3058"/>
      <c r="AM84" s="3058"/>
      <c r="AN84" s="3058"/>
      <c r="AO84" s="3058"/>
      <c r="AP84" s="3058"/>
      <c r="AQ84" s="3058"/>
      <c r="AR84" s="3058"/>
      <c r="AS84" s="3058"/>
      <c r="AT84" s="3058"/>
      <c r="AU84" s="3056"/>
      <c r="AV84" s="3057">
        <f t="shared" si="15"/>
      </c>
      <c r="AW84" s="3054"/>
      <c r="AX84" s="3059"/>
      <c r="AY84" s="3058"/>
      <c r="AZ84" s="3058"/>
      <c r="BA84" s="3058"/>
      <c r="BB84" s="3058"/>
      <c r="BC84" s="3058"/>
      <c r="BD84" s="3058"/>
      <c r="BE84" s="3058"/>
      <c r="BF84" s="3058"/>
      <c r="BG84" s="3058"/>
      <c r="BH84" s="3058"/>
      <c r="BI84" s="3058"/>
      <c r="BJ84" s="3058"/>
      <c r="BK84" s="3058"/>
      <c r="BL84" s="3056"/>
      <c r="BM84" s="3057">
        <f t="shared" si="16"/>
      </c>
      <c r="BN84" s="3054"/>
      <c r="BO84" s="3059"/>
      <c r="BP84" s="3058"/>
      <c r="BQ84" s="3058"/>
      <c r="BR84" s="3058"/>
      <c r="BS84" s="3058"/>
      <c r="BT84" s="3058"/>
      <c r="BU84" s="3058"/>
      <c r="BV84" s="3058"/>
      <c r="BW84" s="3058"/>
      <c r="BX84" s="3058"/>
      <c r="BY84" s="3058"/>
      <c r="BZ84" s="3058"/>
      <c r="CA84" s="3058"/>
      <c r="CB84" s="3058"/>
      <c r="CC84" s="3056"/>
      <c r="CD84" s="3057">
        <f t="shared" si="0"/>
      </c>
      <c r="CE84" s="3054"/>
      <c r="CF84" s="3054"/>
      <c r="CG84" s="3055"/>
      <c r="CH84" s="3055"/>
      <c r="CI84" s="3055"/>
      <c r="CJ84" s="3055"/>
      <c r="CK84" s="3055"/>
      <c r="CL84" s="3055"/>
      <c r="CM84" s="3055"/>
      <c r="CN84" s="3055"/>
      <c r="CO84" s="3055"/>
      <c r="CP84" s="3055"/>
      <c r="CQ84" s="3055"/>
      <c r="CR84" s="3055"/>
      <c r="CS84" s="3055"/>
      <c r="CU84" s="3054"/>
      <c r="CV84" s="696"/>
      <c r="CW84" s="696"/>
      <c r="CZ84" s="3060">
        <f t="shared" si="17"/>
      </c>
      <c r="DA84" s="3060">
        <f t="shared" si="1"/>
      </c>
      <c r="DB84" s="3060">
        <f t="shared" si="18"/>
      </c>
      <c r="DC84" s="3060">
        <f t="shared" si="19"/>
      </c>
      <c r="DD84" s="3060">
        <f t="shared" si="20"/>
      </c>
      <c r="DE84" s="3060">
        <f t="shared" si="21"/>
      </c>
      <c r="DF84" s="3060">
        <f t="shared" si="22"/>
      </c>
      <c r="DG84" s="3060">
        <f t="shared" si="23"/>
      </c>
      <c r="DH84" s="3060">
        <f t="shared" si="24"/>
      </c>
      <c r="DI84" s="3060">
        <f t="shared" si="1"/>
      </c>
    </row>
    <row r="85" ht="15" customHeight="1" s="3052" customFormat="1">
      <c r="A85" s="3062"/>
      <c r="B85" s="3054">
        <f t="shared" si="2"/>
      </c>
      <c r="C85" s="3054"/>
      <c r="D85" s="3054"/>
      <c r="E85" s="3055"/>
      <c r="F85" s="3055"/>
      <c r="G85" s="3055"/>
      <c r="H85" s="3055"/>
      <c r="I85" s="3055"/>
      <c r="J85" s="3055"/>
      <c r="K85" s="3055"/>
      <c r="L85" s="3055"/>
      <c r="M85" s="3055"/>
      <c r="N85" s="3055"/>
      <c r="O85" s="3055"/>
      <c r="P85" s="3055"/>
      <c r="Q85" s="3055"/>
      <c r="R85" s="3055">
        <f t="shared" si="3"/>
        <v>0</v>
      </c>
      <c r="S85" s="3055">
        <f t="shared" si="4"/>
        <v>0</v>
      </c>
      <c r="T85" s="3055">
        <f t="shared" si="5"/>
        <v>0</v>
      </c>
      <c r="U85" s="3055">
        <f t="shared" si="6"/>
        <v>0</v>
      </c>
      <c r="V85" s="3055">
        <f t="shared" si="7"/>
        <v>0</v>
      </c>
      <c r="W85" s="3055">
        <f t="shared" si="8"/>
        <v>0</v>
      </c>
      <c r="X85" s="3055">
        <f t="shared" si="9"/>
        <v>0</v>
      </c>
      <c r="Y85" s="3055">
        <f t="shared" si="10"/>
        <v>0</v>
      </c>
      <c r="Z85" s="3055">
        <f t="shared" si="11"/>
        <v>0</v>
      </c>
      <c r="AA85" s="3055">
        <f t="shared" si="12"/>
        <v>0</v>
      </c>
      <c r="AB85" s="3055">
        <f t="shared" si="13"/>
        <v>0</v>
      </c>
      <c r="AC85" s="3055">
        <f t="shared" si="14"/>
        <v>0</v>
      </c>
      <c r="AD85" s="3056"/>
      <c r="AE85" s="3057">
        <f t="shared" si="0"/>
      </c>
      <c r="AF85" s="3054"/>
      <c r="AG85" s="3059"/>
      <c r="AH85" s="3058"/>
      <c r="AI85" s="3058"/>
      <c r="AJ85" s="3058"/>
      <c r="AK85" s="3058"/>
      <c r="AL85" s="3058"/>
      <c r="AM85" s="3058"/>
      <c r="AN85" s="3058"/>
      <c r="AO85" s="3058"/>
      <c r="AP85" s="3058"/>
      <c r="AQ85" s="3058"/>
      <c r="AR85" s="3058"/>
      <c r="AS85" s="3058"/>
      <c r="AT85" s="3058"/>
      <c r="AU85" s="3056"/>
      <c r="AV85" s="3057">
        <f t="shared" si="15"/>
      </c>
      <c r="AW85" s="3054"/>
      <c r="AX85" s="3059"/>
      <c r="AY85" s="3058"/>
      <c r="AZ85" s="3058"/>
      <c r="BA85" s="3058"/>
      <c r="BB85" s="3058"/>
      <c r="BC85" s="3058"/>
      <c r="BD85" s="3058"/>
      <c r="BE85" s="3058"/>
      <c r="BF85" s="3058"/>
      <c r="BG85" s="3058"/>
      <c r="BH85" s="3058"/>
      <c r="BI85" s="3058"/>
      <c r="BJ85" s="3058"/>
      <c r="BK85" s="3058"/>
      <c r="BL85" s="3056"/>
      <c r="BM85" s="3057">
        <f t="shared" si="16"/>
      </c>
      <c r="BN85" s="3054"/>
      <c r="BO85" s="3059"/>
      <c r="BP85" s="3058"/>
      <c r="BQ85" s="3058"/>
      <c r="BR85" s="3058"/>
      <c r="BS85" s="3058"/>
      <c r="BT85" s="3058"/>
      <c r="BU85" s="3058"/>
      <c r="BV85" s="3058"/>
      <c r="BW85" s="3058"/>
      <c r="BX85" s="3058"/>
      <c r="BY85" s="3058"/>
      <c r="BZ85" s="3058"/>
      <c r="CA85" s="3058"/>
      <c r="CB85" s="3058"/>
      <c r="CC85" s="3056"/>
      <c r="CD85" s="3057">
        <f t="shared" si="0"/>
      </c>
      <c r="CE85" s="3054"/>
      <c r="CF85" s="3054"/>
      <c r="CG85" s="3055"/>
      <c r="CH85" s="3055"/>
      <c r="CI85" s="3055"/>
      <c r="CJ85" s="3055"/>
      <c r="CK85" s="3055"/>
      <c r="CL85" s="3055"/>
      <c r="CM85" s="3055"/>
      <c r="CN85" s="3055"/>
      <c r="CO85" s="3055"/>
      <c r="CP85" s="3055"/>
      <c r="CQ85" s="3055"/>
      <c r="CR85" s="3055"/>
      <c r="CS85" s="3055"/>
      <c r="CU85" s="3054"/>
      <c r="CV85" s="696"/>
      <c r="CW85" s="696"/>
      <c r="CZ85" s="3060">
        <f t="shared" si="17"/>
      </c>
      <c r="DA85" s="3060">
        <f t="shared" si="1"/>
      </c>
      <c r="DB85" s="3060">
        <f t="shared" si="18"/>
      </c>
      <c r="DC85" s="3060">
        <f t="shared" si="19"/>
      </c>
      <c r="DD85" s="3060">
        <f t="shared" si="20"/>
      </c>
      <c r="DE85" s="3060">
        <f t="shared" si="21"/>
      </c>
      <c r="DF85" s="3060">
        <f t="shared" si="22"/>
      </c>
      <c r="DG85" s="3060">
        <f t="shared" si="23"/>
      </c>
      <c r="DH85" s="3060">
        <f t="shared" si="24"/>
      </c>
      <c r="DI85" s="3060">
        <f t="shared" si="1"/>
      </c>
    </row>
    <row r="86" ht="15" customHeight="1" s="3052" customFormat="1">
      <c r="A86" s="3055"/>
      <c r="B86" s="3054">
        <f t="shared" si="2"/>
      </c>
      <c r="C86" s="3054"/>
      <c r="D86" s="3054"/>
      <c r="E86" s="3055"/>
      <c r="F86" s="3055"/>
      <c r="G86" s="3055"/>
      <c r="H86" s="3055"/>
      <c r="I86" s="3055"/>
      <c r="J86" s="3055"/>
      <c r="K86" s="3055"/>
      <c r="L86" s="3055"/>
      <c r="M86" s="3055"/>
      <c r="N86" s="3055"/>
      <c r="O86" s="3055"/>
      <c r="P86" s="3055"/>
      <c r="Q86" s="3055"/>
      <c r="R86" s="3055">
        <f t="shared" si="3"/>
        <v>0</v>
      </c>
      <c r="S86" s="3055">
        <f t="shared" si="4"/>
        <v>0</v>
      </c>
      <c r="T86" s="3055">
        <f t="shared" si="5"/>
        <v>0</v>
      </c>
      <c r="U86" s="3055">
        <f t="shared" si="6"/>
        <v>0</v>
      </c>
      <c r="V86" s="3055">
        <f t="shared" si="7"/>
        <v>0</v>
      </c>
      <c r="W86" s="3055">
        <f t="shared" si="8"/>
        <v>0</v>
      </c>
      <c r="X86" s="3055">
        <f t="shared" si="9"/>
        <v>0</v>
      </c>
      <c r="Y86" s="3055">
        <f t="shared" si="10"/>
        <v>0</v>
      </c>
      <c r="Z86" s="3055">
        <f t="shared" si="11"/>
        <v>0</v>
      </c>
      <c r="AA86" s="3055">
        <f t="shared" si="12"/>
        <v>0</v>
      </c>
      <c r="AB86" s="3055">
        <f t="shared" si="13"/>
        <v>0</v>
      </c>
      <c r="AC86" s="3055">
        <f t="shared" si="14"/>
        <v>0</v>
      </c>
      <c r="AD86" s="3056"/>
      <c r="AE86" s="3057">
        <f t="shared" si="0"/>
      </c>
      <c r="AF86" s="3054"/>
      <c r="AG86" s="3059"/>
      <c r="AH86" s="3058"/>
      <c r="AI86" s="3058"/>
      <c r="AJ86" s="3058"/>
      <c r="AK86" s="3058"/>
      <c r="AL86" s="3058"/>
      <c r="AM86" s="3058"/>
      <c r="AN86" s="3058"/>
      <c r="AO86" s="3058"/>
      <c r="AP86" s="3058"/>
      <c r="AQ86" s="3058"/>
      <c r="AR86" s="3058"/>
      <c r="AS86" s="3058"/>
      <c r="AT86" s="3058"/>
      <c r="AU86" s="3056"/>
      <c r="AV86" s="3057">
        <f t="shared" si="15"/>
      </c>
      <c r="AW86" s="3054"/>
      <c r="AX86" s="3059"/>
      <c r="AY86" s="3058"/>
      <c r="AZ86" s="3058"/>
      <c r="BA86" s="3058"/>
      <c r="BB86" s="3058"/>
      <c r="BC86" s="3058"/>
      <c r="BD86" s="3058"/>
      <c r="BE86" s="3058"/>
      <c r="BF86" s="3058"/>
      <c r="BG86" s="3058"/>
      <c r="BH86" s="3058"/>
      <c r="BI86" s="3058"/>
      <c r="BJ86" s="3058"/>
      <c r="BK86" s="3058"/>
      <c r="BL86" s="3056"/>
      <c r="BM86" s="3057">
        <f t="shared" si="16"/>
      </c>
      <c r="BN86" s="3054"/>
      <c r="BO86" s="3059"/>
      <c r="BP86" s="3058"/>
      <c r="BQ86" s="3058"/>
      <c r="BR86" s="3058"/>
      <c r="BS86" s="3058"/>
      <c r="BT86" s="3058"/>
      <c r="BU86" s="3058"/>
      <c r="BV86" s="3058"/>
      <c r="BW86" s="3058"/>
      <c r="BX86" s="3058"/>
      <c r="BY86" s="3058"/>
      <c r="BZ86" s="3058"/>
      <c r="CA86" s="3058"/>
      <c r="CB86" s="3058"/>
      <c r="CC86" s="3056"/>
      <c r="CD86" s="3057">
        <f t="shared" si="0"/>
      </c>
      <c r="CE86" s="3054"/>
      <c r="CF86" s="3054"/>
      <c r="CG86" s="3055"/>
      <c r="CH86" s="3055"/>
      <c r="CI86" s="3055"/>
      <c r="CJ86" s="3055"/>
      <c r="CK86" s="3055"/>
      <c r="CL86" s="3055"/>
      <c r="CM86" s="3055"/>
      <c r="CN86" s="3055"/>
      <c r="CO86" s="3055"/>
      <c r="CP86" s="3055"/>
      <c r="CQ86" s="3055"/>
      <c r="CR86" s="3055"/>
      <c r="CS86" s="3055"/>
      <c r="CU86" s="3054"/>
      <c r="CV86" s="696"/>
      <c r="CW86" s="696"/>
      <c r="CZ86" s="3060">
        <f t="shared" si="17"/>
      </c>
      <c r="DA86" s="3060">
        <f t="shared" si="1"/>
      </c>
      <c r="DB86" s="3060">
        <f t="shared" si="18"/>
      </c>
      <c r="DC86" s="3060">
        <f t="shared" si="19"/>
      </c>
      <c r="DD86" s="3060">
        <f t="shared" si="20"/>
      </c>
      <c r="DE86" s="3060">
        <f t="shared" si="21"/>
      </c>
      <c r="DF86" s="3060">
        <f t="shared" si="22"/>
      </c>
      <c r="DG86" s="3060">
        <f t="shared" si="23"/>
      </c>
      <c r="DH86" s="3060">
        <f t="shared" si="24"/>
      </c>
      <c r="DI86" s="3060">
        <f t="shared" si="1"/>
      </c>
    </row>
    <row r="87" ht="15" customHeight="1" s="3052" customFormat="1">
      <c r="A87" s="3055"/>
      <c r="B87" s="3054">
        <f t="shared" si="2"/>
      </c>
      <c r="C87" s="3054"/>
      <c r="D87" s="3054"/>
      <c r="E87" s="3055"/>
      <c r="F87" s="3055"/>
      <c r="G87" s="3055"/>
      <c r="H87" s="3055"/>
      <c r="I87" s="3055"/>
      <c r="J87" s="3055"/>
      <c r="K87" s="3055"/>
      <c r="L87" s="3055"/>
      <c r="M87" s="3055"/>
      <c r="N87" s="3055"/>
      <c r="O87" s="3055"/>
      <c r="P87" s="3055"/>
      <c r="Q87" s="3055"/>
      <c r="R87" s="3055">
        <f t="shared" si="3"/>
        <v>0</v>
      </c>
      <c r="S87" s="3055">
        <f t="shared" si="4"/>
        <v>0</v>
      </c>
      <c r="T87" s="3055">
        <f t="shared" si="5"/>
        <v>0</v>
      </c>
      <c r="U87" s="3055">
        <f t="shared" si="6"/>
        <v>0</v>
      </c>
      <c r="V87" s="3055">
        <f t="shared" si="7"/>
        <v>0</v>
      </c>
      <c r="W87" s="3055">
        <f t="shared" si="8"/>
        <v>0</v>
      </c>
      <c r="X87" s="3055">
        <f t="shared" si="9"/>
        <v>0</v>
      </c>
      <c r="Y87" s="3055">
        <f t="shared" si="10"/>
        <v>0</v>
      </c>
      <c r="Z87" s="3055">
        <f t="shared" si="11"/>
        <v>0</v>
      </c>
      <c r="AA87" s="3055">
        <f t="shared" si="12"/>
        <v>0</v>
      </c>
      <c r="AB87" s="3055">
        <f t="shared" si="13"/>
        <v>0</v>
      </c>
      <c r="AC87" s="3055">
        <f t="shared" si="14"/>
        <v>0</v>
      </c>
      <c r="AD87" s="3056"/>
      <c r="AE87" s="3057">
        <f t="shared" si="0"/>
      </c>
      <c r="AF87" s="3054"/>
      <c r="AG87" s="3059"/>
      <c r="AH87" s="3058"/>
      <c r="AI87" s="3058"/>
      <c r="AJ87" s="3058"/>
      <c r="AK87" s="3058"/>
      <c r="AL87" s="3058"/>
      <c r="AM87" s="3058"/>
      <c r="AN87" s="3058"/>
      <c r="AO87" s="3058"/>
      <c r="AP87" s="3058"/>
      <c r="AQ87" s="3058"/>
      <c r="AR87" s="3058"/>
      <c r="AS87" s="3058"/>
      <c r="AT87" s="3058"/>
      <c r="AU87" s="3056"/>
      <c r="AV87" s="3057">
        <f t="shared" si="15"/>
      </c>
      <c r="AW87" s="3054"/>
      <c r="AX87" s="3059"/>
      <c r="AY87" s="3058"/>
      <c r="AZ87" s="3058"/>
      <c r="BA87" s="3058"/>
      <c r="BB87" s="3058"/>
      <c r="BC87" s="3058"/>
      <c r="BD87" s="3058"/>
      <c r="BE87" s="3058"/>
      <c r="BF87" s="3058"/>
      <c r="BG87" s="3058"/>
      <c r="BH87" s="3058"/>
      <c r="BI87" s="3058"/>
      <c r="BJ87" s="3058"/>
      <c r="BK87" s="3058"/>
      <c r="BL87" s="3056"/>
      <c r="BM87" s="3057">
        <f t="shared" si="16"/>
      </c>
      <c r="BN87" s="3054"/>
      <c r="BO87" s="3059"/>
      <c r="BP87" s="3058"/>
      <c r="BQ87" s="3058"/>
      <c r="BR87" s="3058"/>
      <c r="BS87" s="3058"/>
      <c r="BT87" s="3058"/>
      <c r="BU87" s="3058"/>
      <c r="BV87" s="3058"/>
      <c r="BW87" s="3058"/>
      <c r="BX87" s="3058"/>
      <c r="BY87" s="3058"/>
      <c r="BZ87" s="3058"/>
      <c r="CA87" s="3058"/>
      <c r="CB87" s="3058"/>
      <c r="CC87" s="3056"/>
      <c r="CD87" s="3057">
        <f t="shared" si="0"/>
      </c>
      <c r="CE87" s="3054"/>
      <c r="CF87" s="3054"/>
      <c r="CG87" s="3055"/>
      <c r="CH87" s="3055"/>
      <c r="CI87" s="3055"/>
      <c r="CJ87" s="3055"/>
      <c r="CK87" s="3055"/>
      <c r="CL87" s="3055"/>
      <c r="CM87" s="3055"/>
      <c r="CN87" s="3055"/>
      <c r="CO87" s="3055"/>
      <c r="CP87" s="3055"/>
      <c r="CQ87" s="3055"/>
      <c r="CR87" s="3055"/>
      <c r="CS87" s="3055"/>
      <c r="CU87" s="3054"/>
      <c r="CV87" s="696"/>
      <c r="CW87" s="696"/>
      <c r="CZ87" s="3060">
        <f t="shared" si="17"/>
      </c>
      <c r="DA87" s="3060">
        <f t="shared" si="1"/>
      </c>
      <c r="DB87" s="3060">
        <f t="shared" si="18"/>
      </c>
      <c r="DC87" s="3060">
        <f t="shared" si="19"/>
      </c>
      <c r="DD87" s="3060">
        <f t="shared" si="20"/>
      </c>
      <c r="DE87" s="3060">
        <f t="shared" si="21"/>
      </c>
      <c r="DF87" s="3060">
        <f t="shared" si="22"/>
      </c>
      <c r="DG87" s="3060">
        <f t="shared" si="23"/>
      </c>
      <c r="DH87" s="3060">
        <f t="shared" si="24"/>
      </c>
      <c r="DI87" s="3060">
        <f t="shared" si="1"/>
      </c>
    </row>
    <row r="88" ht="15" customHeight="1" s="3052" customFormat="1">
      <c r="A88" s="3055"/>
      <c r="B88" s="3054">
        <f t="shared" si="2"/>
      </c>
      <c r="C88" s="3054"/>
      <c r="D88" s="3054"/>
      <c r="E88" s="3055"/>
      <c r="F88" s="3055"/>
      <c r="G88" s="3055"/>
      <c r="H88" s="3055"/>
      <c r="I88" s="3055"/>
      <c r="J88" s="3055"/>
      <c r="K88" s="3055"/>
      <c r="L88" s="3055"/>
      <c r="M88" s="3055"/>
      <c r="N88" s="3055"/>
      <c r="O88" s="3055"/>
      <c r="P88" s="3055"/>
      <c r="Q88" s="3055"/>
      <c r="R88" s="3055">
        <f t="shared" si="3"/>
        <v>0</v>
      </c>
      <c r="S88" s="3055">
        <f t="shared" si="4"/>
        <v>0</v>
      </c>
      <c r="T88" s="3055">
        <f t="shared" si="5"/>
        <v>0</v>
      </c>
      <c r="U88" s="3055">
        <f t="shared" si="6"/>
        <v>0</v>
      </c>
      <c r="V88" s="3055">
        <f t="shared" si="7"/>
        <v>0</v>
      </c>
      <c r="W88" s="3055">
        <f t="shared" si="8"/>
        <v>0</v>
      </c>
      <c r="X88" s="3055">
        <f t="shared" si="9"/>
        <v>0</v>
      </c>
      <c r="Y88" s="3055">
        <f t="shared" si="10"/>
        <v>0</v>
      </c>
      <c r="Z88" s="3055">
        <f t="shared" si="11"/>
        <v>0</v>
      </c>
      <c r="AA88" s="3055">
        <f t="shared" si="12"/>
        <v>0</v>
      </c>
      <c r="AB88" s="3055">
        <f t="shared" si="13"/>
        <v>0</v>
      </c>
      <c r="AC88" s="3055">
        <f t="shared" si="14"/>
        <v>0</v>
      </c>
      <c r="AD88" s="3056"/>
      <c r="AE88" s="3057">
        <f t="shared" si="0"/>
      </c>
      <c r="AF88" s="3054"/>
      <c r="AG88" s="3059"/>
      <c r="AH88" s="3058"/>
      <c r="AI88" s="3058"/>
      <c r="AJ88" s="3058"/>
      <c r="AK88" s="3058"/>
      <c r="AL88" s="3058"/>
      <c r="AM88" s="3058"/>
      <c r="AN88" s="3058"/>
      <c r="AO88" s="3058"/>
      <c r="AP88" s="3058"/>
      <c r="AQ88" s="3058"/>
      <c r="AR88" s="3058"/>
      <c r="AS88" s="3058"/>
      <c r="AT88" s="3058"/>
      <c r="AU88" s="3056"/>
      <c r="AV88" s="3057">
        <f t="shared" si="15"/>
      </c>
      <c r="AW88" s="3054"/>
      <c r="AX88" s="3059"/>
      <c r="AY88" s="3058"/>
      <c r="AZ88" s="3058"/>
      <c r="BA88" s="3058"/>
      <c r="BB88" s="3058"/>
      <c r="BC88" s="3058"/>
      <c r="BD88" s="3058"/>
      <c r="BE88" s="3058"/>
      <c r="BF88" s="3058"/>
      <c r="BG88" s="3058"/>
      <c r="BH88" s="3058"/>
      <c r="BI88" s="3058"/>
      <c r="BJ88" s="3058"/>
      <c r="BK88" s="3058"/>
      <c r="BL88" s="3056"/>
      <c r="BM88" s="3057">
        <f t="shared" si="16"/>
      </c>
      <c r="BN88" s="3054"/>
      <c r="BO88" s="3059"/>
      <c r="BP88" s="3058"/>
      <c r="BQ88" s="3058"/>
      <c r="BR88" s="3058"/>
      <c r="BS88" s="3058"/>
      <c r="BT88" s="3058"/>
      <c r="BU88" s="3058"/>
      <c r="BV88" s="3058"/>
      <c r="BW88" s="3058"/>
      <c r="BX88" s="3058"/>
      <c r="BY88" s="3058"/>
      <c r="BZ88" s="3058"/>
      <c r="CA88" s="3058"/>
      <c r="CB88" s="3058"/>
      <c r="CC88" s="3056"/>
      <c r="CD88" s="3057">
        <f t="shared" si="0"/>
      </c>
      <c r="CE88" s="3054"/>
      <c r="CF88" s="3054"/>
      <c r="CG88" s="3055"/>
      <c r="CH88" s="3055"/>
      <c r="CI88" s="3055"/>
      <c r="CJ88" s="3055"/>
      <c r="CK88" s="3055"/>
      <c r="CL88" s="3055"/>
      <c r="CM88" s="3055"/>
      <c r="CN88" s="3055"/>
      <c r="CO88" s="3055"/>
      <c r="CP88" s="3055"/>
      <c r="CQ88" s="3055"/>
      <c r="CR88" s="3055"/>
      <c r="CS88" s="3055"/>
      <c r="CU88" s="3054"/>
      <c r="CV88" s="696"/>
      <c r="CW88" s="696"/>
      <c r="CZ88" s="3060">
        <f t="shared" si="17"/>
      </c>
      <c r="DA88" s="3060">
        <f t="shared" si="1"/>
      </c>
      <c r="DB88" s="3060">
        <f t="shared" si="18"/>
      </c>
      <c r="DC88" s="3060">
        <f t="shared" si="19"/>
      </c>
      <c r="DD88" s="3060">
        <f t="shared" si="20"/>
      </c>
      <c r="DE88" s="3060">
        <f t="shared" si="21"/>
      </c>
      <c r="DF88" s="3060">
        <f t="shared" si="22"/>
      </c>
      <c r="DG88" s="3060">
        <f t="shared" si="23"/>
      </c>
      <c r="DH88" s="3060">
        <f t="shared" si="24"/>
      </c>
      <c r="DI88" s="3060">
        <f t="shared" si="1"/>
      </c>
    </row>
    <row r="89" ht="15" customHeight="1" s="3052" customFormat="1">
      <c r="A89" s="3055"/>
      <c r="B89" s="3054">
        <f t="shared" si="2"/>
      </c>
      <c r="C89" s="3054"/>
      <c r="D89" s="3054"/>
      <c r="E89" s="3055"/>
      <c r="F89" s="3055"/>
      <c r="G89" s="3055"/>
      <c r="H89" s="3055"/>
      <c r="I89" s="3055"/>
      <c r="J89" s="3055"/>
      <c r="K89" s="3055"/>
      <c r="L89" s="3055"/>
      <c r="M89" s="3055"/>
      <c r="N89" s="3055"/>
      <c r="O89" s="3055"/>
      <c r="P89" s="3055"/>
      <c r="Q89" s="3055"/>
      <c r="R89" s="3055">
        <f t="shared" si="3"/>
        <v>0</v>
      </c>
      <c r="S89" s="3055">
        <f t="shared" si="4"/>
        <v>0</v>
      </c>
      <c r="T89" s="3055">
        <f t="shared" si="5"/>
        <v>0</v>
      </c>
      <c r="U89" s="3055">
        <f t="shared" si="6"/>
        <v>0</v>
      </c>
      <c r="V89" s="3055">
        <f t="shared" si="7"/>
        <v>0</v>
      </c>
      <c r="W89" s="3055">
        <f t="shared" si="8"/>
        <v>0</v>
      </c>
      <c r="X89" s="3055">
        <f t="shared" si="9"/>
        <v>0</v>
      </c>
      <c r="Y89" s="3055">
        <f t="shared" si="10"/>
        <v>0</v>
      </c>
      <c r="Z89" s="3055">
        <f t="shared" si="11"/>
        <v>0</v>
      </c>
      <c r="AA89" s="3055">
        <f t="shared" si="12"/>
        <v>0</v>
      </c>
      <c r="AB89" s="3055">
        <f t="shared" si="13"/>
        <v>0</v>
      </c>
      <c r="AC89" s="3055">
        <f t="shared" si="14"/>
        <v>0</v>
      </c>
      <c r="AD89" s="3056"/>
      <c r="AE89" s="3057">
        <f t="shared" si="0"/>
      </c>
      <c r="AF89" s="3054"/>
      <c r="AG89" s="3059"/>
      <c r="AH89" s="3058"/>
      <c r="AI89" s="3058"/>
      <c r="AJ89" s="3058"/>
      <c r="AK89" s="3058"/>
      <c r="AL89" s="3058"/>
      <c r="AM89" s="3058"/>
      <c r="AN89" s="3058"/>
      <c r="AO89" s="3058"/>
      <c r="AP89" s="3058"/>
      <c r="AQ89" s="3058"/>
      <c r="AR89" s="3058"/>
      <c r="AS89" s="3058"/>
      <c r="AT89" s="3058"/>
      <c r="AU89" s="3056"/>
      <c r="AV89" s="3057">
        <f t="shared" si="15"/>
      </c>
      <c r="AW89" s="3054"/>
      <c r="AX89" s="3059"/>
      <c r="AY89" s="3058"/>
      <c r="AZ89" s="3058"/>
      <c r="BA89" s="3058"/>
      <c r="BB89" s="3058"/>
      <c r="BC89" s="3058"/>
      <c r="BD89" s="3058"/>
      <c r="BE89" s="3058"/>
      <c r="BF89" s="3058"/>
      <c r="BG89" s="3058"/>
      <c r="BH89" s="3058"/>
      <c r="BI89" s="3058"/>
      <c r="BJ89" s="3058"/>
      <c r="BK89" s="3058"/>
      <c r="BL89" s="3056"/>
      <c r="BM89" s="3057">
        <f t="shared" si="16"/>
      </c>
      <c r="BN89" s="3054"/>
      <c r="BO89" s="3059"/>
      <c r="BP89" s="3058"/>
      <c r="BQ89" s="3058"/>
      <c r="BR89" s="3058"/>
      <c r="BS89" s="3058"/>
      <c r="BT89" s="3058"/>
      <c r="BU89" s="3058"/>
      <c r="BV89" s="3058"/>
      <c r="BW89" s="3058"/>
      <c r="BX89" s="3058"/>
      <c r="BY89" s="3058"/>
      <c r="BZ89" s="3058"/>
      <c r="CA89" s="3058"/>
      <c r="CB89" s="3058"/>
      <c r="CC89" s="3056"/>
      <c r="CD89" s="3057">
        <f t="shared" si="0"/>
      </c>
      <c r="CE89" s="3054"/>
      <c r="CF89" s="3054"/>
      <c r="CG89" s="3055"/>
      <c r="CH89" s="3055"/>
      <c r="CI89" s="3055"/>
      <c r="CJ89" s="3055"/>
      <c r="CK89" s="3055"/>
      <c r="CL89" s="3055"/>
      <c r="CM89" s="3055"/>
      <c r="CN89" s="3055"/>
      <c r="CO89" s="3055"/>
      <c r="CP89" s="3055"/>
      <c r="CQ89" s="3055"/>
      <c r="CR89" s="3055"/>
      <c r="CS89" s="3055"/>
      <c r="CU89" s="3054"/>
      <c r="CV89" s="696"/>
      <c r="CW89" s="696"/>
      <c r="CZ89" s="3060">
        <f t="shared" si="17"/>
      </c>
      <c r="DA89" s="3060">
        <f t="shared" si="1"/>
      </c>
      <c r="DB89" s="3060">
        <f t="shared" si="18"/>
      </c>
      <c r="DC89" s="3060">
        <f t="shared" si="19"/>
      </c>
      <c r="DD89" s="3060">
        <f t="shared" si="20"/>
      </c>
      <c r="DE89" s="3060">
        <f t="shared" si="21"/>
      </c>
      <c r="DF89" s="3060">
        <f t="shared" si="22"/>
      </c>
      <c r="DG89" s="3060">
        <f t="shared" si="23"/>
      </c>
      <c r="DH89" s="3060">
        <f t="shared" si="24"/>
      </c>
      <c r="DI89" s="3060">
        <f t="shared" si="1"/>
      </c>
    </row>
    <row r="90" ht="15" customHeight="1" s="3052" customFormat="1">
      <c r="A90" s="3061"/>
      <c r="B90" s="3054">
        <f t="shared" si="2"/>
      </c>
      <c r="C90" s="3054"/>
      <c r="D90" s="3054"/>
      <c r="E90" s="3055"/>
      <c r="F90" s="3055"/>
      <c r="G90" s="3055"/>
      <c r="H90" s="3055"/>
      <c r="I90" s="3055"/>
      <c r="J90" s="3055"/>
      <c r="K90" s="3055"/>
      <c r="L90" s="3055"/>
      <c r="M90" s="3055"/>
      <c r="N90" s="3055"/>
      <c r="O90" s="3055"/>
      <c r="P90" s="3055"/>
      <c r="Q90" s="3055"/>
      <c r="R90" s="3055">
        <f t="shared" si="3"/>
        <v>0</v>
      </c>
      <c r="S90" s="3055">
        <f t="shared" si="4"/>
        <v>0</v>
      </c>
      <c r="T90" s="3055">
        <f t="shared" si="5"/>
        <v>0</v>
      </c>
      <c r="U90" s="3055">
        <f t="shared" si="6"/>
        <v>0</v>
      </c>
      <c r="V90" s="3055">
        <f t="shared" si="7"/>
        <v>0</v>
      </c>
      <c r="W90" s="3055">
        <f t="shared" si="8"/>
        <v>0</v>
      </c>
      <c r="X90" s="3055">
        <f t="shared" si="9"/>
        <v>0</v>
      </c>
      <c r="Y90" s="3055">
        <f t="shared" si="10"/>
        <v>0</v>
      </c>
      <c r="Z90" s="3055">
        <f t="shared" si="11"/>
        <v>0</v>
      </c>
      <c r="AA90" s="3055">
        <f t="shared" si="12"/>
        <v>0</v>
      </c>
      <c r="AB90" s="3055">
        <f t="shared" si="13"/>
        <v>0</v>
      </c>
      <c r="AC90" s="3055">
        <f t="shared" si="14"/>
        <v>0</v>
      </c>
      <c r="AD90" s="3056"/>
      <c r="AE90" s="3057">
        <f t="shared" si="0"/>
      </c>
      <c r="AF90" s="3054"/>
      <c r="AG90" s="3059"/>
      <c r="AH90" s="3058"/>
      <c r="AI90" s="3058"/>
      <c r="AJ90" s="3058"/>
      <c r="AK90" s="3058"/>
      <c r="AL90" s="3058"/>
      <c r="AM90" s="3058"/>
      <c r="AN90" s="3058"/>
      <c r="AO90" s="3058"/>
      <c r="AP90" s="3058"/>
      <c r="AQ90" s="3058"/>
      <c r="AR90" s="3058"/>
      <c r="AS90" s="3058"/>
      <c r="AT90" s="3058"/>
      <c r="AU90" s="3056"/>
      <c r="AV90" s="3057">
        <f t="shared" si="15"/>
      </c>
      <c r="AW90" s="3054"/>
      <c r="AX90" s="3059"/>
      <c r="AY90" s="3058"/>
      <c r="AZ90" s="3058"/>
      <c r="BA90" s="3058"/>
      <c r="BB90" s="3058"/>
      <c r="BC90" s="3058"/>
      <c r="BD90" s="3058"/>
      <c r="BE90" s="3058"/>
      <c r="BF90" s="3058"/>
      <c r="BG90" s="3058"/>
      <c r="BH90" s="3058"/>
      <c r="BI90" s="3058"/>
      <c r="BJ90" s="3058"/>
      <c r="BK90" s="3058"/>
      <c r="BL90" s="3056"/>
      <c r="BM90" s="3057">
        <f t="shared" si="16"/>
      </c>
      <c r="BN90" s="3054"/>
      <c r="BO90" s="3059"/>
      <c r="BP90" s="3058"/>
      <c r="BQ90" s="3058"/>
      <c r="BR90" s="3058"/>
      <c r="BS90" s="3058"/>
      <c r="BT90" s="3058"/>
      <c r="BU90" s="3058"/>
      <c r="BV90" s="3058"/>
      <c r="BW90" s="3058"/>
      <c r="BX90" s="3058"/>
      <c r="BY90" s="3058"/>
      <c r="BZ90" s="3058"/>
      <c r="CA90" s="3058"/>
      <c r="CB90" s="3058"/>
      <c r="CC90" s="3056"/>
      <c r="CD90" s="3057">
        <f t="shared" si="0"/>
      </c>
      <c r="CE90" s="3054"/>
      <c r="CF90" s="3054"/>
      <c r="CG90" s="3055"/>
      <c r="CH90" s="3055"/>
      <c r="CI90" s="3055"/>
      <c r="CJ90" s="3055"/>
      <c r="CK90" s="3055"/>
      <c r="CL90" s="3055"/>
      <c r="CM90" s="3055"/>
      <c r="CN90" s="3055"/>
      <c r="CO90" s="3055"/>
      <c r="CP90" s="3055"/>
      <c r="CQ90" s="3055"/>
      <c r="CR90" s="3055"/>
      <c r="CS90" s="3055"/>
      <c r="CU90" s="3054"/>
      <c r="CV90" s="696"/>
      <c r="CW90" s="696"/>
      <c r="CZ90" s="3060">
        <f t="shared" si="17"/>
      </c>
      <c r="DA90" s="3060">
        <f t="shared" si="1"/>
      </c>
      <c r="DB90" s="3060">
        <f t="shared" si="18"/>
      </c>
      <c r="DC90" s="3060">
        <f t="shared" si="19"/>
      </c>
      <c r="DD90" s="3060">
        <f t="shared" si="20"/>
      </c>
      <c r="DE90" s="3060">
        <f t="shared" si="21"/>
      </c>
      <c r="DF90" s="3060">
        <f t="shared" si="22"/>
      </c>
      <c r="DG90" s="3060">
        <f t="shared" si="23"/>
      </c>
      <c r="DH90" s="3060">
        <f t="shared" si="24"/>
      </c>
      <c r="DI90" s="3060">
        <f t="shared" si="1"/>
      </c>
    </row>
    <row r="91" ht="15" customHeight="1" s="3052" customFormat="1">
      <c r="A91" s="3061"/>
      <c r="B91" s="3054">
        <f t="shared" si="2"/>
      </c>
      <c r="C91" s="3054"/>
      <c r="D91" s="3054"/>
      <c r="E91" s="3055"/>
      <c r="F91" s="3055"/>
      <c r="G91" s="3055"/>
      <c r="H91" s="3055"/>
      <c r="I91" s="3055"/>
      <c r="J91" s="3055"/>
      <c r="K91" s="3055"/>
      <c r="L91" s="3055"/>
      <c r="M91" s="3055"/>
      <c r="N91" s="3055"/>
      <c r="O91" s="3055"/>
      <c r="P91" s="3055"/>
      <c r="Q91" s="3055"/>
      <c r="R91" s="3055">
        <f t="shared" si="3"/>
        <v>0</v>
      </c>
      <c r="S91" s="3055">
        <f t="shared" si="4"/>
        <v>0</v>
      </c>
      <c r="T91" s="3055">
        <f t="shared" si="5"/>
        <v>0</v>
      </c>
      <c r="U91" s="3055">
        <f t="shared" si="6"/>
        <v>0</v>
      </c>
      <c r="V91" s="3055">
        <f t="shared" si="7"/>
        <v>0</v>
      </c>
      <c r="W91" s="3055">
        <f t="shared" si="8"/>
        <v>0</v>
      </c>
      <c r="X91" s="3055">
        <f t="shared" si="9"/>
        <v>0</v>
      </c>
      <c r="Y91" s="3055">
        <f t="shared" si="10"/>
        <v>0</v>
      </c>
      <c r="Z91" s="3055">
        <f t="shared" si="11"/>
        <v>0</v>
      </c>
      <c r="AA91" s="3055">
        <f t="shared" si="12"/>
        <v>0</v>
      </c>
      <c r="AB91" s="3055">
        <f t="shared" si="13"/>
        <v>0</v>
      </c>
      <c r="AC91" s="3055">
        <f t="shared" si="14"/>
        <v>0</v>
      </c>
      <c r="AD91" s="3056"/>
      <c r="AE91" s="3057">
        <f t="shared" si="0"/>
      </c>
      <c r="AF91" s="3054"/>
      <c r="AG91" s="3059"/>
      <c r="AH91" s="3058"/>
      <c r="AI91" s="3058"/>
      <c r="AJ91" s="3058"/>
      <c r="AK91" s="3058"/>
      <c r="AL91" s="3058"/>
      <c r="AM91" s="3058"/>
      <c r="AN91" s="3058"/>
      <c r="AO91" s="3058"/>
      <c r="AP91" s="3058"/>
      <c r="AQ91" s="3058"/>
      <c r="AR91" s="3058"/>
      <c r="AS91" s="3058"/>
      <c r="AT91" s="3058"/>
      <c r="AU91" s="3056"/>
      <c r="AV91" s="3057">
        <f t="shared" si="15"/>
      </c>
      <c r="AW91" s="3054"/>
      <c r="AX91" s="3059"/>
      <c r="AY91" s="3058"/>
      <c r="AZ91" s="3058"/>
      <c r="BA91" s="3058"/>
      <c r="BB91" s="3058"/>
      <c r="BC91" s="3058"/>
      <c r="BD91" s="3058"/>
      <c r="BE91" s="3058"/>
      <c r="BF91" s="3058"/>
      <c r="BG91" s="3058"/>
      <c r="BH91" s="3058"/>
      <c r="BI91" s="3058"/>
      <c r="BJ91" s="3058"/>
      <c r="BK91" s="3058"/>
      <c r="BL91" s="3056"/>
      <c r="BM91" s="3057">
        <f t="shared" si="16"/>
      </c>
      <c r="BN91" s="3054"/>
      <c r="BO91" s="3059"/>
      <c r="BP91" s="3058"/>
      <c r="BQ91" s="3058"/>
      <c r="BR91" s="3058"/>
      <c r="BS91" s="3058"/>
      <c r="BT91" s="3058"/>
      <c r="BU91" s="3058"/>
      <c r="BV91" s="3058"/>
      <c r="BW91" s="3058"/>
      <c r="BX91" s="3058"/>
      <c r="BY91" s="3058"/>
      <c r="BZ91" s="3058"/>
      <c r="CA91" s="3058"/>
      <c r="CB91" s="3058"/>
      <c r="CC91" s="3056"/>
      <c r="CD91" s="3057">
        <f t="shared" si="0"/>
      </c>
      <c r="CE91" s="3054"/>
      <c r="CF91" s="3054"/>
      <c r="CG91" s="3055"/>
      <c r="CH91" s="3055"/>
      <c r="CI91" s="3055"/>
      <c r="CJ91" s="3055"/>
      <c r="CK91" s="3055"/>
      <c r="CL91" s="3055"/>
      <c r="CM91" s="3055"/>
      <c r="CN91" s="3055"/>
      <c r="CO91" s="3055"/>
      <c r="CP91" s="3055"/>
      <c r="CQ91" s="3055"/>
      <c r="CR91" s="3055"/>
      <c r="CS91" s="3055"/>
      <c r="CU91" s="3054"/>
      <c r="CV91" s="696"/>
      <c r="CW91" s="696"/>
      <c r="CZ91" s="3060">
        <f t="shared" si="17"/>
      </c>
      <c r="DA91" s="3060">
        <f t="shared" si="1"/>
      </c>
      <c r="DB91" s="3060">
        <f t="shared" si="18"/>
      </c>
      <c r="DC91" s="3060">
        <f t="shared" si="19"/>
      </c>
      <c r="DD91" s="3060">
        <f t="shared" si="20"/>
      </c>
      <c r="DE91" s="3060">
        <f t="shared" si="21"/>
      </c>
      <c r="DF91" s="3060">
        <f t="shared" si="22"/>
      </c>
      <c r="DG91" s="3060">
        <f t="shared" si="23"/>
      </c>
      <c r="DH91" s="3060">
        <f t="shared" si="24"/>
      </c>
      <c r="DI91" s="3060">
        <f t="shared" si="1"/>
      </c>
    </row>
    <row r="92" ht="15" customHeight="1" s="3052" customFormat="1">
      <c r="A92" s="3061"/>
      <c r="B92" s="3054">
        <f t="shared" si="2"/>
      </c>
      <c r="C92" s="3054"/>
      <c r="D92" s="3054"/>
      <c r="E92" s="3055"/>
      <c r="F92" s="3055"/>
      <c r="G92" s="3055"/>
      <c r="H92" s="3055"/>
      <c r="I92" s="3055"/>
      <c r="J92" s="3055"/>
      <c r="K92" s="3055"/>
      <c r="L92" s="3055"/>
      <c r="M92" s="3055"/>
      <c r="N92" s="3055"/>
      <c r="O92" s="3055"/>
      <c r="P92" s="3055"/>
      <c r="Q92" s="3055"/>
      <c r="R92" s="3055">
        <f t="shared" si="3"/>
        <v>0</v>
      </c>
      <c r="S92" s="3055">
        <f t="shared" si="4"/>
        <v>0</v>
      </c>
      <c r="T92" s="3055">
        <f t="shared" si="5"/>
        <v>0</v>
      </c>
      <c r="U92" s="3055">
        <f t="shared" si="6"/>
        <v>0</v>
      </c>
      <c r="V92" s="3055">
        <f t="shared" si="7"/>
        <v>0</v>
      </c>
      <c r="W92" s="3055">
        <f t="shared" si="8"/>
        <v>0</v>
      </c>
      <c r="X92" s="3055">
        <f t="shared" si="9"/>
        <v>0</v>
      </c>
      <c r="Y92" s="3055">
        <f t="shared" si="10"/>
        <v>0</v>
      </c>
      <c r="Z92" s="3055">
        <f t="shared" si="11"/>
        <v>0</v>
      </c>
      <c r="AA92" s="3055">
        <f t="shared" si="12"/>
        <v>0</v>
      </c>
      <c r="AB92" s="3055">
        <f t="shared" si="13"/>
        <v>0</v>
      </c>
      <c r="AC92" s="3055">
        <f t="shared" si="14"/>
        <v>0</v>
      </c>
      <c r="AD92" s="3056"/>
      <c r="AE92" s="3057">
        <f t="shared" si="0"/>
      </c>
      <c r="AF92" s="3054"/>
      <c r="AG92" s="3059"/>
      <c r="AH92" s="3058"/>
      <c r="AI92" s="3058"/>
      <c r="AJ92" s="3058"/>
      <c r="AK92" s="3058"/>
      <c r="AL92" s="3058"/>
      <c r="AM92" s="3058"/>
      <c r="AN92" s="3058"/>
      <c r="AO92" s="3058"/>
      <c r="AP92" s="3058"/>
      <c r="AQ92" s="3058"/>
      <c r="AR92" s="3058"/>
      <c r="AS92" s="3058"/>
      <c r="AT92" s="3058"/>
      <c r="AU92" s="3056"/>
      <c r="AV92" s="3057">
        <f t="shared" si="15"/>
      </c>
      <c r="AW92" s="3054"/>
      <c r="AX92" s="3059"/>
      <c r="AY92" s="3058"/>
      <c r="AZ92" s="3058"/>
      <c r="BA92" s="3058"/>
      <c r="BB92" s="3058"/>
      <c r="BC92" s="3058"/>
      <c r="BD92" s="3058"/>
      <c r="BE92" s="3058"/>
      <c r="BF92" s="3058"/>
      <c r="BG92" s="3058"/>
      <c r="BH92" s="3058"/>
      <c r="BI92" s="3058"/>
      <c r="BJ92" s="3058"/>
      <c r="BK92" s="3058"/>
      <c r="BL92" s="3056"/>
      <c r="BM92" s="3057">
        <f t="shared" si="16"/>
      </c>
      <c r="BN92" s="3054"/>
      <c r="BO92" s="3059"/>
      <c r="BP92" s="3058"/>
      <c r="BQ92" s="3058"/>
      <c r="BR92" s="3058"/>
      <c r="BS92" s="3058"/>
      <c r="BT92" s="3058"/>
      <c r="BU92" s="3058"/>
      <c r="BV92" s="3058"/>
      <c r="BW92" s="3058"/>
      <c r="BX92" s="3058"/>
      <c r="BY92" s="3058"/>
      <c r="BZ92" s="3058"/>
      <c r="CA92" s="3058"/>
      <c r="CB92" s="3058"/>
      <c r="CC92" s="3056"/>
      <c r="CD92" s="3057">
        <f t="shared" si="0"/>
      </c>
      <c r="CE92" s="3054"/>
      <c r="CF92" s="3054"/>
      <c r="CG92" s="3055"/>
      <c r="CH92" s="3055"/>
      <c r="CI92" s="3055"/>
      <c r="CJ92" s="3055"/>
      <c r="CK92" s="3055"/>
      <c r="CL92" s="3055"/>
      <c r="CM92" s="3055"/>
      <c r="CN92" s="3055"/>
      <c r="CO92" s="3055"/>
      <c r="CP92" s="3055"/>
      <c r="CQ92" s="3055"/>
      <c r="CR92" s="3055"/>
      <c r="CS92" s="3055"/>
      <c r="CU92" s="3054"/>
      <c r="CV92" s="696"/>
      <c r="CW92" s="696"/>
      <c r="CZ92" s="3060">
        <f t="shared" si="17"/>
      </c>
      <c r="DA92" s="3060">
        <f t="shared" si="1"/>
      </c>
      <c r="DB92" s="3060">
        <f t="shared" si="18"/>
      </c>
      <c r="DC92" s="3060">
        <f t="shared" si="19"/>
      </c>
      <c r="DD92" s="3060">
        <f t="shared" si="20"/>
      </c>
      <c r="DE92" s="3060">
        <f t="shared" si="21"/>
      </c>
      <c r="DF92" s="3060">
        <f t="shared" si="22"/>
      </c>
      <c r="DG92" s="3060">
        <f t="shared" si="23"/>
      </c>
      <c r="DH92" s="3060">
        <f t="shared" si="24"/>
      </c>
      <c r="DI92" s="3060">
        <f t="shared" si="1"/>
      </c>
    </row>
    <row r="93" ht="15" customHeight="1" s="3052" customFormat="1">
      <c r="A93" s="3061"/>
      <c r="B93" s="3054">
        <f t="shared" si="2"/>
      </c>
      <c r="C93" s="3054"/>
      <c r="D93" s="3054"/>
      <c r="E93" s="3055"/>
      <c r="F93" s="3055"/>
      <c r="G93" s="3055"/>
      <c r="H93" s="3055"/>
      <c r="I93" s="3055"/>
      <c r="J93" s="3055"/>
      <c r="K93" s="3055"/>
      <c r="L93" s="3055"/>
      <c r="M93" s="3055"/>
      <c r="N93" s="3055"/>
      <c r="O93" s="3055"/>
      <c r="P93" s="3055"/>
      <c r="Q93" s="3055"/>
      <c r="R93" s="3055">
        <f t="shared" si="3"/>
        <v>0</v>
      </c>
      <c r="S93" s="3055">
        <f t="shared" si="4"/>
        <v>0</v>
      </c>
      <c r="T93" s="3055">
        <f t="shared" si="5"/>
        <v>0</v>
      </c>
      <c r="U93" s="3055">
        <f t="shared" si="6"/>
        <v>0</v>
      </c>
      <c r="V93" s="3055">
        <f t="shared" si="7"/>
        <v>0</v>
      </c>
      <c r="W93" s="3055">
        <f t="shared" si="8"/>
        <v>0</v>
      </c>
      <c r="X93" s="3055">
        <f t="shared" si="9"/>
        <v>0</v>
      </c>
      <c r="Y93" s="3055">
        <f t="shared" si="10"/>
        <v>0</v>
      </c>
      <c r="Z93" s="3055">
        <f t="shared" si="11"/>
        <v>0</v>
      </c>
      <c r="AA93" s="3055">
        <f t="shared" si="12"/>
        <v>0</v>
      </c>
      <c r="AB93" s="3055">
        <f t="shared" si="13"/>
        <v>0</v>
      </c>
      <c r="AC93" s="3055">
        <f t="shared" si="14"/>
        <v>0</v>
      </c>
      <c r="AD93" s="3056"/>
      <c r="AE93" s="3057">
        <f t="shared" si="0"/>
      </c>
      <c r="AF93" s="3054"/>
      <c r="AG93" s="3059"/>
      <c r="AH93" s="3058"/>
      <c r="AI93" s="3058"/>
      <c r="AJ93" s="3058"/>
      <c r="AK93" s="3058"/>
      <c r="AL93" s="3058"/>
      <c r="AM93" s="3058"/>
      <c r="AN93" s="3058"/>
      <c r="AO93" s="3058"/>
      <c r="AP93" s="3058"/>
      <c r="AQ93" s="3058"/>
      <c r="AR93" s="3058"/>
      <c r="AS93" s="3058"/>
      <c r="AT93" s="3058"/>
      <c r="AU93" s="3056"/>
      <c r="AV93" s="3057">
        <f t="shared" si="15"/>
      </c>
      <c r="AW93" s="3054"/>
      <c r="AX93" s="3059"/>
      <c r="AY93" s="3058"/>
      <c r="AZ93" s="3058"/>
      <c r="BA93" s="3058"/>
      <c r="BB93" s="3058"/>
      <c r="BC93" s="3058"/>
      <c r="BD93" s="3058"/>
      <c r="BE93" s="3058"/>
      <c r="BF93" s="3058"/>
      <c r="BG93" s="3058"/>
      <c r="BH93" s="3058"/>
      <c r="BI93" s="3058"/>
      <c r="BJ93" s="3058"/>
      <c r="BK93" s="3058"/>
      <c r="BL93" s="3056"/>
      <c r="BM93" s="3057">
        <f t="shared" si="16"/>
      </c>
      <c r="BN93" s="3054"/>
      <c r="BO93" s="3059"/>
      <c r="BP93" s="3058"/>
      <c r="BQ93" s="3058"/>
      <c r="BR93" s="3058"/>
      <c r="BS93" s="3058"/>
      <c r="BT93" s="3058"/>
      <c r="BU93" s="3058"/>
      <c r="BV93" s="3058"/>
      <c r="BW93" s="3058"/>
      <c r="BX93" s="3058"/>
      <c r="BY93" s="3058"/>
      <c r="BZ93" s="3058"/>
      <c r="CA93" s="3058"/>
      <c r="CB93" s="3058"/>
      <c r="CC93" s="3056"/>
      <c r="CD93" s="3057">
        <f t="shared" si="0"/>
      </c>
      <c r="CE93" s="3054"/>
      <c r="CF93" s="3054"/>
      <c r="CG93" s="3055"/>
      <c r="CH93" s="3055"/>
      <c r="CI93" s="3055"/>
      <c r="CJ93" s="3055"/>
      <c r="CK93" s="3055"/>
      <c r="CL93" s="3055"/>
      <c r="CM93" s="3055"/>
      <c r="CN93" s="3055"/>
      <c r="CO93" s="3055"/>
      <c r="CP93" s="3055"/>
      <c r="CQ93" s="3055"/>
      <c r="CR93" s="3055"/>
      <c r="CS93" s="3055"/>
      <c r="CU93" s="3054"/>
      <c r="CV93" s="696"/>
      <c r="CW93" s="696"/>
      <c r="CZ93" s="3060">
        <f t="shared" si="17"/>
      </c>
      <c r="DA93" s="3060">
        <f t="shared" si="1"/>
      </c>
      <c r="DB93" s="3060">
        <f t="shared" si="18"/>
      </c>
      <c r="DC93" s="3060">
        <f t="shared" si="19"/>
      </c>
      <c r="DD93" s="3060">
        <f t="shared" si="20"/>
      </c>
      <c r="DE93" s="3060">
        <f t="shared" si="21"/>
      </c>
      <c r="DF93" s="3060">
        <f t="shared" si="22"/>
      </c>
      <c r="DG93" s="3060">
        <f t="shared" si="23"/>
      </c>
      <c r="DH93" s="3060">
        <f t="shared" si="24"/>
      </c>
      <c r="DI93" s="3060">
        <f t="shared" si="1"/>
      </c>
    </row>
    <row r="94" ht="15" customHeight="1" s="3052" customFormat="1">
      <c r="A94" s="3061"/>
      <c r="B94" s="3054">
        <f t="shared" si="2"/>
      </c>
      <c r="C94" s="3054"/>
      <c r="D94" s="3054"/>
      <c r="E94" s="3055"/>
      <c r="F94" s="3055"/>
      <c r="G94" s="3055"/>
      <c r="H94" s="3055"/>
      <c r="I94" s="3055"/>
      <c r="J94" s="3055"/>
      <c r="K94" s="3055"/>
      <c r="L94" s="3055"/>
      <c r="M94" s="3055"/>
      <c r="N94" s="3055"/>
      <c r="O94" s="3055"/>
      <c r="P94" s="3055"/>
      <c r="Q94" s="3055"/>
      <c r="R94" s="3055">
        <f t="shared" si="3"/>
        <v>0</v>
      </c>
      <c r="S94" s="3055">
        <f t="shared" si="4"/>
        <v>0</v>
      </c>
      <c r="T94" s="3055">
        <f t="shared" si="5"/>
        <v>0</v>
      </c>
      <c r="U94" s="3055">
        <f t="shared" si="6"/>
        <v>0</v>
      </c>
      <c r="V94" s="3055">
        <f t="shared" si="7"/>
        <v>0</v>
      </c>
      <c r="W94" s="3055">
        <f t="shared" si="8"/>
        <v>0</v>
      </c>
      <c r="X94" s="3055">
        <f t="shared" si="9"/>
        <v>0</v>
      </c>
      <c r="Y94" s="3055">
        <f t="shared" si="10"/>
        <v>0</v>
      </c>
      <c r="Z94" s="3055">
        <f t="shared" si="11"/>
        <v>0</v>
      </c>
      <c r="AA94" s="3055">
        <f t="shared" si="12"/>
        <v>0</v>
      </c>
      <c r="AB94" s="3055">
        <f t="shared" si="13"/>
        <v>0</v>
      </c>
      <c r="AC94" s="3055">
        <f t="shared" si="14"/>
        <v>0</v>
      </c>
      <c r="AD94" s="3056"/>
      <c r="AE94" s="3057">
        <f t="shared" si="0"/>
      </c>
      <c r="AF94" s="3054"/>
      <c r="AG94" s="3059"/>
      <c r="AH94" s="3058"/>
      <c r="AI94" s="3058"/>
      <c r="AJ94" s="3058"/>
      <c r="AK94" s="3058"/>
      <c r="AL94" s="3058"/>
      <c r="AM94" s="3058"/>
      <c r="AN94" s="3058"/>
      <c r="AO94" s="3058"/>
      <c r="AP94" s="3058"/>
      <c r="AQ94" s="3058"/>
      <c r="AR94" s="3058"/>
      <c r="AS94" s="3058"/>
      <c r="AT94" s="3058"/>
      <c r="AU94" s="3056"/>
      <c r="AV94" s="3057">
        <f t="shared" si="15"/>
      </c>
      <c r="AW94" s="3054"/>
      <c r="AX94" s="3059"/>
      <c r="AY94" s="3058"/>
      <c r="AZ94" s="3058"/>
      <c r="BA94" s="3058"/>
      <c r="BB94" s="3058"/>
      <c r="BC94" s="3058"/>
      <c r="BD94" s="3058"/>
      <c r="BE94" s="3058"/>
      <c r="BF94" s="3058"/>
      <c r="BG94" s="3058"/>
      <c r="BH94" s="3058"/>
      <c r="BI94" s="3058"/>
      <c r="BJ94" s="3058"/>
      <c r="BK94" s="3058"/>
      <c r="BL94" s="3056"/>
      <c r="BM94" s="3057">
        <f t="shared" si="16"/>
      </c>
      <c r="BN94" s="3054"/>
      <c r="BO94" s="3059"/>
      <c r="BP94" s="3058"/>
      <c r="BQ94" s="3058"/>
      <c r="BR94" s="3058"/>
      <c r="BS94" s="3058"/>
      <c r="BT94" s="3058"/>
      <c r="BU94" s="3058"/>
      <c r="BV94" s="3058"/>
      <c r="BW94" s="3058"/>
      <c r="BX94" s="3058"/>
      <c r="BY94" s="3058"/>
      <c r="BZ94" s="3058"/>
      <c r="CA94" s="3058"/>
      <c r="CB94" s="3058"/>
      <c r="CC94" s="3056"/>
      <c r="CD94" s="3057">
        <f t="shared" si="0"/>
      </c>
      <c r="CE94" s="3054"/>
      <c r="CF94" s="3054"/>
      <c r="CG94" s="3055"/>
      <c r="CH94" s="3055"/>
      <c r="CI94" s="3055"/>
      <c r="CJ94" s="3055"/>
      <c r="CK94" s="3055"/>
      <c r="CL94" s="3055"/>
      <c r="CM94" s="3055"/>
      <c r="CN94" s="3055"/>
      <c r="CO94" s="3055"/>
      <c r="CP94" s="3055"/>
      <c r="CQ94" s="3055"/>
      <c r="CR94" s="3055"/>
      <c r="CS94" s="3055"/>
      <c r="CU94" s="3054"/>
      <c r="CV94" s="696"/>
      <c r="CW94" s="696"/>
      <c r="CZ94" s="3060">
        <f t="shared" si="17"/>
      </c>
      <c r="DA94" s="3060">
        <f t="shared" si="1"/>
      </c>
      <c r="DB94" s="3060">
        <f t="shared" si="18"/>
      </c>
      <c r="DC94" s="3060">
        <f t="shared" si="19"/>
      </c>
      <c r="DD94" s="3060">
        <f t="shared" si="20"/>
      </c>
      <c r="DE94" s="3060">
        <f t="shared" si="21"/>
      </c>
      <c r="DF94" s="3060">
        <f t="shared" si="22"/>
      </c>
      <c r="DG94" s="3060">
        <f t="shared" si="23"/>
      </c>
      <c r="DH94" s="3060">
        <f t="shared" si="24"/>
      </c>
      <c r="DI94" s="3060">
        <f t="shared" si="1"/>
      </c>
    </row>
    <row r="95" ht="15" customHeight="1" s="3052" customFormat="1">
      <c r="A95" s="3061"/>
      <c r="B95" s="3054">
        <f t="shared" si="2"/>
      </c>
      <c r="C95" s="3054"/>
      <c r="D95" s="3054"/>
      <c r="E95" s="3055"/>
      <c r="F95" s="3055"/>
      <c r="G95" s="3055"/>
      <c r="H95" s="3055"/>
      <c r="I95" s="3055"/>
      <c r="J95" s="3055"/>
      <c r="K95" s="3055"/>
      <c r="L95" s="3055"/>
      <c r="M95" s="3055"/>
      <c r="N95" s="3055"/>
      <c r="O95" s="3055"/>
      <c r="P95" s="3055"/>
      <c r="Q95" s="3055"/>
      <c r="R95" s="3055">
        <f t="shared" si="3"/>
        <v>0</v>
      </c>
      <c r="S95" s="3055">
        <f t="shared" si="4"/>
        <v>0</v>
      </c>
      <c r="T95" s="3055">
        <f t="shared" si="5"/>
        <v>0</v>
      </c>
      <c r="U95" s="3055">
        <f t="shared" si="6"/>
        <v>0</v>
      </c>
      <c r="V95" s="3055">
        <f t="shared" si="7"/>
        <v>0</v>
      </c>
      <c r="W95" s="3055">
        <f t="shared" si="8"/>
        <v>0</v>
      </c>
      <c r="X95" s="3055">
        <f t="shared" si="9"/>
        <v>0</v>
      </c>
      <c r="Y95" s="3055">
        <f t="shared" si="10"/>
        <v>0</v>
      </c>
      <c r="Z95" s="3055">
        <f t="shared" si="11"/>
        <v>0</v>
      </c>
      <c r="AA95" s="3055">
        <f t="shared" si="12"/>
        <v>0</v>
      </c>
      <c r="AB95" s="3055">
        <f t="shared" si="13"/>
        <v>0</v>
      </c>
      <c r="AC95" s="3055">
        <f t="shared" si="14"/>
        <v>0</v>
      </c>
      <c r="AD95" s="3056"/>
      <c r="AE95" s="3057">
        <f t="shared" si="0"/>
      </c>
      <c r="AF95" s="3054"/>
      <c r="AG95" s="3059"/>
      <c r="AH95" s="3058"/>
      <c r="AI95" s="3058"/>
      <c r="AJ95" s="3058"/>
      <c r="AK95" s="3058"/>
      <c r="AL95" s="3058"/>
      <c r="AM95" s="3058"/>
      <c r="AN95" s="3058"/>
      <c r="AO95" s="3058"/>
      <c r="AP95" s="3058"/>
      <c r="AQ95" s="3058"/>
      <c r="AR95" s="3058"/>
      <c r="AS95" s="3058"/>
      <c r="AT95" s="3058"/>
      <c r="AU95" s="3056"/>
      <c r="AV95" s="3057">
        <f t="shared" si="15"/>
      </c>
      <c r="AW95" s="3054"/>
      <c r="AX95" s="3059"/>
      <c r="AY95" s="3058"/>
      <c r="AZ95" s="3058"/>
      <c r="BA95" s="3058"/>
      <c r="BB95" s="3058"/>
      <c r="BC95" s="3058"/>
      <c r="BD95" s="3058"/>
      <c r="BE95" s="3058"/>
      <c r="BF95" s="3058"/>
      <c r="BG95" s="3058"/>
      <c r="BH95" s="3058"/>
      <c r="BI95" s="3058"/>
      <c r="BJ95" s="3058"/>
      <c r="BK95" s="3058"/>
      <c r="BL95" s="3056"/>
      <c r="BM95" s="3057">
        <f t="shared" si="16"/>
      </c>
      <c r="BN95" s="3054"/>
      <c r="BO95" s="3059"/>
      <c r="BP95" s="3058"/>
      <c r="BQ95" s="3058"/>
      <c r="BR95" s="3058"/>
      <c r="BS95" s="3058"/>
      <c r="BT95" s="3058"/>
      <c r="BU95" s="3058"/>
      <c r="BV95" s="3058"/>
      <c r="BW95" s="3058"/>
      <c r="BX95" s="3058"/>
      <c r="BY95" s="3058"/>
      <c r="BZ95" s="3058"/>
      <c r="CA95" s="3058"/>
      <c r="CB95" s="3058"/>
      <c r="CC95" s="3056"/>
      <c r="CD95" s="3057">
        <f t="shared" si="0"/>
      </c>
      <c r="CE95" s="3054"/>
      <c r="CF95" s="3054"/>
      <c r="CG95" s="3055"/>
      <c r="CH95" s="3055"/>
      <c r="CI95" s="3055"/>
      <c r="CJ95" s="3055"/>
      <c r="CK95" s="3055"/>
      <c r="CL95" s="3055"/>
      <c r="CM95" s="3055"/>
      <c r="CN95" s="3055"/>
      <c r="CO95" s="3055"/>
      <c r="CP95" s="3055"/>
      <c r="CQ95" s="3055"/>
      <c r="CR95" s="3055"/>
      <c r="CS95" s="3055"/>
      <c r="CU95" s="3054"/>
      <c r="CV95" s="696"/>
      <c r="CW95" s="696"/>
      <c r="CZ95" s="3060">
        <f t="shared" si="17"/>
      </c>
      <c r="DA95" s="3060">
        <f t="shared" si="1"/>
      </c>
      <c r="DB95" s="3060">
        <f t="shared" si="18"/>
      </c>
      <c r="DC95" s="3060">
        <f t="shared" si="19"/>
      </c>
      <c r="DD95" s="3060">
        <f t="shared" si="20"/>
      </c>
      <c r="DE95" s="3060">
        <f t="shared" si="21"/>
      </c>
      <c r="DF95" s="3060">
        <f t="shared" si="22"/>
      </c>
      <c r="DG95" s="3060">
        <f t="shared" si="23"/>
      </c>
      <c r="DH95" s="3060">
        <f t="shared" si="24"/>
      </c>
      <c r="DI95" s="3060">
        <f t="shared" si="1"/>
      </c>
    </row>
    <row r="96" ht="15" customHeight="1" s="3052" customFormat="1">
      <c r="A96" s="3061"/>
      <c r="B96" s="3054">
        <f t="shared" si="2"/>
      </c>
      <c r="C96" s="3054"/>
      <c r="D96" s="3054"/>
      <c r="E96" s="3055"/>
      <c r="F96" s="3055"/>
      <c r="G96" s="3055"/>
      <c r="H96" s="3055"/>
      <c r="I96" s="3055"/>
      <c r="J96" s="3055"/>
      <c r="K96" s="3055"/>
      <c r="L96" s="3055"/>
      <c r="M96" s="3055"/>
      <c r="N96" s="3055"/>
      <c r="O96" s="3055"/>
      <c r="P96" s="3055"/>
      <c r="Q96" s="3055"/>
      <c r="R96" s="3055">
        <f t="shared" si="3"/>
        <v>0</v>
      </c>
      <c r="S96" s="3055">
        <f t="shared" si="4"/>
        <v>0</v>
      </c>
      <c r="T96" s="3055">
        <f t="shared" si="5"/>
        <v>0</v>
      </c>
      <c r="U96" s="3055">
        <f t="shared" si="6"/>
        <v>0</v>
      </c>
      <c r="V96" s="3055">
        <f t="shared" si="7"/>
        <v>0</v>
      </c>
      <c r="W96" s="3055">
        <f t="shared" si="8"/>
        <v>0</v>
      </c>
      <c r="X96" s="3055">
        <f t="shared" si="9"/>
        <v>0</v>
      </c>
      <c r="Y96" s="3055">
        <f t="shared" si="10"/>
        <v>0</v>
      </c>
      <c r="Z96" s="3055">
        <f t="shared" si="11"/>
        <v>0</v>
      </c>
      <c r="AA96" s="3055">
        <f t="shared" si="12"/>
        <v>0</v>
      </c>
      <c r="AB96" s="3055">
        <f t="shared" si="13"/>
        <v>0</v>
      </c>
      <c r="AC96" s="3055">
        <f t="shared" si="14"/>
        <v>0</v>
      </c>
      <c r="AD96" s="3056"/>
      <c r="AE96" s="3057">
        <f t="shared" si="0"/>
      </c>
      <c r="AF96" s="3054"/>
      <c r="AG96" s="3059"/>
      <c r="AH96" s="3058"/>
      <c r="AI96" s="3058"/>
      <c r="AJ96" s="3058"/>
      <c r="AK96" s="3058"/>
      <c r="AL96" s="3058"/>
      <c r="AM96" s="3058"/>
      <c r="AN96" s="3058"/>
      <c r="AO96" s="3058"/>
      <c r="AP96" s="3058"/>
      <c r="AQ96" s="3058"/>
      <c r="AR96" s="3058"/>
      <c r="AS96" s="3058"/>
      <c r="AT96" s="3058"/>
      <c r="AU96" s="3056"/>
      <c r="AV96" s="3057">
        <f t="shared" si="15"/>
      </c>
      <c r="AW96" s="3054"/>
      <c r="AX96" s="3059"/>
      <c r="AY96" s="3058"/>
      <c r="AZ96" s="3058"/>
      <c r="BA96" s="3058"/>
      <c r="BB96" s="3058"/>
      <c r="BC96" s="3058"/>
      <c r="BD96" s="3058"/>
      <c r="BE96" s="3058"/>
      <c r="BF96" s="3058"/>
      <c r="BG96" s="3058"/>
      <c r="BH96" s="3058"/>
      <c r="BI96" s="3058"/>
      <c r="BJ96" s="3058"/>
      <c r="BK96" s="3058"/>
      <c r="BL96" s="3056"/>
      <c r="BM96" s="3057">
        <f t="shared" si="16"/>
      </c>
      <c r="BN96" s="3054"/>
      <c r="BO96" s="3059"/>
      <c r="BP96" s="3058"/>
      <c r="BQ96" s="3058"/>
      <c r="BR96" s="3058"/>
      <c r="BS96" s="3058"/>
      <c r="BT96" s="3058"/>
      <c r="BU96" s="3058"/>
      <c r="BV96" s="3058"/>
      <c r="BW96" s="3058"/>
      <c r="BX96" s="3058"/>
      <c r="BY96" s="3058"/>
      <c r="BZ96" s="3058"/>
      <c r="CA96" s="3058"/>
      <c r="CB96" s="3058"/>
      <c r="CC96" s="3056"/>
      <c r="CD96" s="3057">
        <f t="shared" si="0"/>
      </c>
      <c r="CE96" s="3054"/>
      <c r="CF96" s="3054"/>
      <c r="CG96" s="3055"/>
      <c r="CH96" s="3055"/>
      <c r="CI96" s="3055"/>
      <c r="CJ96" s="3055"/>
      <c r="CK96" s="3055"/>
      <c r="CL96" s="3055"/>
      <c r="CM96" s="3055"/>
      <c r="CN96" s="3055"/>
      <c r="CO96" s="3055"/>
      <c r="CP96" s="3055"/>
      <c r="CQ96" s="3055"/>
      <c r="CR96" s="3055"/>
      <c r="CS96" s="3055"/>
      <c r="CU96" s="3054"/>
      <c r="CV96" s="696"/>
      <c r="CW96" s="696"/>
      <c r="CZ96" s="3060">
        <f t="shared" si="17"/>
      </c>
      <c r="DA96" s="3060">
        <f t="shared" si="1"/>
      </c>
      <c r="DB96" s="3060">
        <f t="shared" si="18"/>
      </c>
      <c r="DC96" s="3060">
        <f t="shared" si="19"/>
      </c>
      <c r="DD96" s="3060">
        <f t="shared" si="20"/>
      </c>
      <c r="DE96" s="3060">
        <f t="shared" si="21"/>
      </c>
      <c r="DF96" s="3060">
        <f t="shared" si="22"/>
      </c>
      <c r="DG96" s="3060">
        <f t="shared" si="23"/>
      </c>
      <c r="DH96" s="3060">
        <f t="shared" si="24"/>
      </c>
      <c r="DI96" s="3060">
        <f t="shared" si="1"/>
      </c>
    </row>
    <row r="97" ht="15" customHeight="1" s="3052" customFormat="1">
      <c r="A97" s="3061"/>
      <c r="B97" s="3054">
        <f t="shared" si="2"/>
      </c>
      <c r="C97" s="3054"/>
      <c r="D97" s="3054"/>
      <c r="E97" s="3055"/>
      <c r="F97" s="3055"/>
      <c r="G97" s="3055"/>
      <c r="H97" s="3055"/>
      <c r="I97" s="3055"/>
      <c r="J97" s="3055"/>
      <c r="K97" s="3055"/>
      <c r="L97" s="3055"/>
      <c r="M97" s="3055"/>
      <c r="N97" s="3055"/>
      <c r="O97" s="3055"/>
      <c r="P97" s="3055"/>
      <c r="Q97" s="3055"/>
      <c r="R97" s="3055">
        <f t="shared" si="3"/>
        <v>0</v>
      </c>
      <c r="S97" s="3055">
        <f t="shared" si="4"/>
        <v>0</v>
      </c>
      <c r="T97" s="3055">
        <f t="shared" si="5"/>
        <v>0</v>
      </c>
      <c r="U97" s="3055">
        <f t="shared" si="6"/>
        <v>0</v>
      </c>
      <c r="V97" s="3055">
        <f t="shared" si="7"/>
        <v>0</v>
      </c>
      <c r="W97" s="3055">
        <f t="shared" si="8"/>
        <v>0</v>
      </c>
      <c r="X97" s="3055">
        <f t="shared" si="9"/>
        <v>0</v>
      </c>
      <c r="Y97" s="3055">
        <f t="shared" si="10"/>
        <v>0</v>
      </c>
      <c r="Z97" s="3055">
        <f t="shared" si="11"/>
        <v>0</v>
      </c>
      <c r="AA97" s="3055">
        <f t="shared" si="12"/>
        <v>0</v>
      </c>
      <c r="AB97" s="3055">
        <f t="shared" si="13"/>
        <v>0</v>
      </c>
      <c r="AC97" s="3055">
        <f t="shared" si="14"/>
        <v>0</v>
      </c>
      <c r="AD97" s="3056"/>
      <c r="AE97" s="3057">
        <f t="shared" si="0"/>
      </c>
      <c r="AF97" s="3054"/>
      <c r="AG97" s="3059"/>
      <c r="AH97" s="3058"/>
      <c r="AI97" s="3058"/>
      <c r="AJ97" s="3058"/>
      <c r="AK97" s="3058"/>
      <c r="AL97" s="3058"/>
      <c r="AM97" s="3058"/>
      <c r="AN97" s="3058"/>
      <c r="AO97" s="3058"/>
      <c r="AP97" s="3058"/>
      <c r="AQ97" s="3058"/>
      <c r="AR97" s="3058"/>
      <c r="AS97" s="3058"/>
      <c r="AT97" s="3058"/>
      <c r="AU97" s="3056"/>
      <c r="AV97" s="3057">
        <f t="shared" si="15"/>
      </c>
      <c r="AW97" s="3054"/>
      <c r="AX97" s="3059"/>
      <c r="AY97" s="3058"/>
      <c r="AZ97" s="3058"/>
      <c r="BA97" s="3058"/>
      <c r="BB97" s="3058"/>
      <c r="BC97" s="3058"/>
      <c r="BD97" s="3058"/>
      <c r="BE97" s="3058"/>
      <c r="BF97" s="3058"/>
      <c r="BG97" s="3058"/>
      <c r="BH97" s="3058"/>
      <c r="BI97" s="3058"/>
      <c r="BJ97" s="3058"/>
      <c r="BK97" s="3058"/>
      <c r="BL97" s="3056"/>
      <c r="BM97" s="3057">
        <f t="shared" si="16"/>
      </c>
      <c r="BN97" s="3054"/>
      <c r="BO97" s="3059"/>
      <c r="BP97" s="3058"/>
      <c r="BQ97" s="3058"/>
      <c r="BR97" s="3058"/>
      <c r="BS97" s="3058"/>
      <c r="BT97" s="3058"/>
      <c r="BU97" s="3058"/>
      <c r="BV97" s="3058"/>
      <c r="BW97" s="3058"/>
      <c r="BX97" s="3058"/>
      <c r="BY97" s="3058"/>
      <c r="BZ97" s="3058"/>
      <c r="CA97" s="3058"/>
      <c r="CB97" s="3058"/>
      <c r="CC97" s="3056"/>
      <c r="CD97" s="3057">
        <f t="shared" si="0"/>
      </c>
      <c r="CE97" s="3054"/>
      <c r="CF97" s="3054"/>
      <c r="CG97" s="3055"/>
      <c r="CH97" s="3055"/>
      <c r="CI97" s="3055"/>
      <c r="CJ97" s="3055"/>
      <c r="CK97" s="3055"/>
      <c r="CL97" s="3055"/>
      <c r="CM97" s="3055"/>
      <c r="CN97" s="3055"/>
      <c r="CO97" s="3055"/>
      <c r="CP97" s="3055"/>
      <c r="CQ97" s="3055"/>
      <c r="CR97" s="3055"/>
      <c r="CS97" s="3055"/>
      <c r="CU97" s="3054"/>
      <c r="CV97" s="696"/>
      <c r="CW97" s="696"/>
      <c r="CZ97" s="3060">
        <f t="shared" si="17"/>
      </c>
      <c r="DA97" s="3060">
        <f t="shared" si="1"/>
      </c>
      <c r="DB97" s="3060">
        <f t="shared" si="18"/>
      </c>
      <c r="DC97" s="3060">
        <f t="shared" si="19"/>
      </c>
      <c r="DD97" s="3060">
        <f t="shared" si="20"/>
      </c>
      <c r="DE97" s="3060">
        <f t="shared" si="21"/>
      </c>
      <c r="DF97" s="3060">
        <f t="shared" si="22"/>
      </c>
      <c r="DG97" s="3060">
        <f t="shared" si="23"/>
      </c>
      <c r="DH97" s="3060">
        <f t="shared" si="24"/>
      </c>
      <c r="DI97" s="3060">
        <f t="shared" si="1"/>
      </c>
    </row>
    <row r="98" ht="15" customHeight="1" s="3052" customFormat="1">
      <c r="A98" s="3061"/>
      <c r="B98" s="3054">
        <f t="shared" si="2"/>
      </c>
      <c r="C98" s="3054"/>
      <c r="D98" s="3054"/>
      <c r="E98" s="3055"/>
      <c r="F98" s="3055"/>
      <c r="G98" s="3055"/>
      <c r="H98" s="3055"/>
      <c r="I98" s="3055"/>
      <c r="J98" s="3055"/>
      <c r="K98" s="3055"/>
      <c r="L98" s="3055"/>
      <c r="M98" s="3055"/>
      <c r="N98" s="3055"/>
      <c r="O98" s="3055"/>
      <c r="P98" s="3055"/>
      <c r="Q98" s="3055"/>
      <c r="R98" s="3055">
        <f t="shared" si="3"/>
        <v>0</v>
      </c>
      <c r="S98" s="3055">
        <f t="shared" si="4"/>
        <v>0</v>
      </c>
      <c r="T98" s="3055">
        <f t="shared" si="5"/>
        <v>0</v>
      </c>
      <c r="U98" s="3055">
        <f t="shared" si="6"/>
        <v>0</v>
      </c>
      <c r="V98" s="3055">
        <f t="shared" si="7"/>
        <v>0</v>
      </c>
      <c r="W98" s="3055">
        <f t="shared" si="8"/>
        <v>0</v>
      </c>
      <c r="X98" s="3055">
        <f t="shared" si="9"/>
        <v>0</v>
      </c>
      <c r="Y98" s="3055">
        <f t="shared" si="10"/>
        <v>0</v>
      </c>
      <c r="Z98" s="3055">
        <f t="shared" si="11"/>
        <v>0</v>
      </c>
      <c r="AA98" s="3055">
        <f t="shared" si="12"/>
        <v>0</v>
      </c>
      <c r="AB98" s="3055">
        <f t="shared" si="13"/>
        <v>0</v>
      </c>
      <c r="AC98" s="3055">
        <f t="shared" si="14"/>
        <v>0</v>
      </c>
      <c r="AD98" s="3056"/>
      <c r="AE98" s="3057">
        <f t="shared" si="0"/>
      </c>
      <c r="AF98" s="3054"/>
      <c r="AG98" s="3059"/>
      <c r="AH98" s="3058"/>
      <c r="AI98" s="3058"/>
      <c r="AJ98" s="3058"/>
      <c r="AK98" s="3058"/>
      <c r="AL98" s="3058"/>
      <c r="AM98" s="3058"/>
      <c r="AN98" s="3058"/>
      <c r="AO98" s="3058"/>
      <c r="AP98" s="3058"/>
      <c r="AQ98" s="3058"/>
      <c r="AR98" s="3058"/>
      <c r="AS98" s="3058"/>
      <c r="AT98" s="3058"/>
      <c r="AU98" s="3056"/>
      <c r="AV98" s="3057">
        <f t="shared" si="15"/>
      </c>
      <c r="AW98" s="3054"/>
      <c r="AX98" s="3059"/>
      <c r="AY98" s="3058"/>
      <c r="AZ98" s="3058"/>
      <c r="BA98" s="3058"/>
      <c r="BB98" s="3058"/>
      <c r="BC98" s="3058"/>
      <c r="BD98" s="3058"/>
      <c r="BE98" s="3058"/>
      <c r="BF98" s="3058"/>
      <c r="BG98" s="3058"/>
      <c r="BH98" s="3058"/>
      <c r="BI98" s="3058"/>
      <c r="BJ98" s="3058"/>
      <c r="BK98" s="3058"/>
      <c r="BL98" s="3056"/>
      <c r="BM98" s="3057">
        <f t="shared" si="16"/>
      </c>
      <c r="BN98" s="3054"/>
      <c r="BO98" s="3059"/>
      <c r="BP98" s="3058"/>
      <c r="BQ98" s="3058"/>
      <c r="BR98" s="3058"/>
      <c r="BS98" s="3058"/>
      <c r="BT98" s="3058"/>
      <c r="BU98" s="3058"/>
      <c r="BV98" s="3058"/>
      <c r="BW98" s="3058"/>
      <c r="BX98" s="3058"/>
      <c r="BY98" s="3058"/>
      <c r="BZ98" s="3058"/>
      <c r="CA98" s="3058"/>
      <c r="CB98" s="3058"/>
      <c r="CC98" s="3056"/>
      <c r="CD98" s="3057">
        <f t="shared" si="0"/>
      </c>
      <c r="CE98" s="3054"/>
      <c r="CF98" s="3054"/>
      <c r="CG98" s="3055"/>
      <c r="CH98" s="3055"/>
      <c r="CI98" s="3055"/>
      <c r="CJ98" s="3055"/>
      <c r="CK98" s="3055"/>
      <c r="CL98" s="3055"/>
      <c r="CM98" s="3055"/>
      <c r="CN98" s="3055"/>
      <c r="CO98" s="3055"/>
      <c r="CP98" s="3055"/>
      <c r="CQ98" s="3055"/>
      <c r="CR98" s="3055"/>
      <c r="CS98" s="3055"/>
      <c r="CU98" s="3054"/>
      <c r="CV98" s="696"/>
      <c r="CW98" s="696"/>
      <c r="CZ98" s="3060">
        <f t="shared" si="17"/>
      </c>
      <c r="DA98" s="3060">
        <f t="shared" si="1"/>
      </c>
      <c r="DB98" s="3060">
        <f t="shared" si="18"/>
      </c>
      <c r="DC98" s="3060">
        <f t="shared" si="19"/>
      </c>
      <c r="DD98" s="3060">
        <f t="shared" si="20"/>
      </c>
      <c r="DE98" s="3060">
        <f t="shared" si="21"/>
      </c>
      <c r="DF98" s="3060">
        <f t="shared" si="22"/>
      </c>
      <c r="DG98" s="3060">
        <f t="shared" si="23"/>
      </c>
      <c r="DH98" s="3060">
        <f t="shared" si="24"/>
      </c>
      <c r="DI98" s="3060">
        <f t="shared" si="1"/>
      </c>
    </row>
    <row r="99" ht="15" customHeight="1" s="3052" customFormat="1">
      <c r="A99" s="3061"/>
      <c r="B99" s="3054">
        <f t="shared" si="2"/>
      </c>
      <c r="C99" s="3054"/>
      <c r="D99" s="3054"/>
      <c r="E99" s="3055"/>
      <c r="F99" s="3055"/>
      <c r="G99" s="3055"/>
      <c r="H99" s="3055"/>
      <c r="I99" s="3055"/>
      <c r="J99" s="3055"/>
      <c r="K99" s="3055"/>
      <c r="L99" s="3055"/>
      <c r="M99" s="3055"/>
      <c r="N99" s="3055"/>
      <c r="O99" s="3055"/>
      <c r="P99" s="3055"/>
      <c r="Q99" s="3055"/>
      <c r="R99" s="3055">
        <f t="shared" si="3"/>
        <v>0</v>
      </c>
      <c r="S99" s="3055">
        <f t="shared" si="4"/>
        <v>0</v>
      </c>
      <c r="T99" s="3055">
        <f t="shared" si="5"/>
        <v>0</v>
      </c>
      <c r="U99" s="3055">
        <f t="shared" si="6"/>
        <v>0</v>
      </c>
      <c r="V99" s="3055">
        <f t="shared" si="7"/>
        <v>0</v>
      </c>
      <c r="W99" s="3055">
        <f t="shared" si="8"/>
        <v>0</v>
      </c>
      <c r="X99" s="3055">
        <f t="shared" si="9"/>
        <v>0</v>
      </c>
      <c r="Y99" s="3055">
        <f t="shared" si="10"/>
        <v>0</v>
      </c>
      <c r="Z99" s="3055">
        <f t="shared" si="11"/>
        <v>0</v>
      </c>
      <c r="AA99" s="3055">
        <f t="shared" si="12"/>
        <v>0</v>
      </c>
      <c r="AB99" s="3055">
        <f t="shared" si="13"/>
        <v>0</v>
      </c>
      <c r="AC99" s="3055">
        <f t="shared" si="14"/>
        <v>0</v>
      </c>
      <c r="AD99" s="3056"/>
      <c r="AE99" s="3057">
        <f t="shared" si="0"/>
      </c>
      <c r="AF99" s="3054"/>
      <c r="AG99" s="3059"/>
      <c r="AH99" s="3058"/>
      <c r="AI99" s="3058"/>
      <c r="AJ99" s="3058"/>
      <c r="AK99" s="3058"/>
      <c r="AL99" s="3058"/>
      <c r="AM99" s="3058"/>
      <c r="AN99" s="3058"/>
      <c r="AO99" s="3058"/>
      <c r="AP99" s="3058"/>
      <c r="AQ99" s="3058"/>
      <c r="AR99" s="3058"/>
      <c r="AS99" s="3058"/>
      <c r="AT99" s="3058"/>
      <c r="AU99" s="3056"/>
      <c r="AV99" s="3057">
        <f t="shared" si="15"/>
      </c>
      <c r="AW99" s="3054"/>
      <c r="AX99" s="3059"/>
      <c r="AY99" s="3058"/>
      <c r="AZ99" s="3058"/>
      <c r="BA99" s="3058"/>
      <c r="BB99" s="3058"/>
      <c r="BC99" s="3058"/>
      <c r="BD99" s="3058"/>
      <c r="BE99" s="3058"/>
      <c r="BF99" s="3058"/>
      <c r="BG99" s="3058"/>
      <c r="BH99" s="3058"/>
      <c r="BI99" s="3058"/>
      <c r="BJ99" s="3058"/>
      <c r="BK99" s="3058"/>
      <c r="BL99" s="3056"/>
      <c r="BM99" s="3057">
        <f t="shared" si="16"/>
      </c>
      <c r="BN99" s="3054"/>
      <c r="BO99" s="3059"/>
      <c r="BP99" s="3058"/>
      <c r="BQ99" s="3058"/>
      <c r="BR99" s="3058"/>
      <c r="BS99" s="3058"/>
      <c r="BT99" s="3058"/>
      <c r="BU99" s="3058"/>
      <c r="BV99" s="3058"/>
      <c r="BW99" s="3058"/>
      <c r="BX99" s="3058"/>
      <c r="BY99" s="3058"/>
      <c r="BZ99" s="3058"/>
      <c r="CA99" s="3058"/>
      <c r="CB99" s="3058"/>
      <c r="CC99" s="3056"/>
      <c r="CD99" s="3057">
        <f t="shared" si="0"/>
      </c>
      <c r="CE99" s="3054"/>
      <c r="CF99" s="3054"/>
      <c r="CG99" s="3055"/>
      <c r="CH99" s="3055"/>
      <c r="CI99" s="3055"/>
      <c r="CJ99" s="3055"/>
      <c r="CK99" s="3055"/>
      <c r="CL99" s="3055"/>
      <c r="CM99" s="3055"/>
      <c r="CN99" s="3055"/>
      <c r="CO99" s="3055"/>
      <c r="CP99" s="3055"/>
      <c r="CQ99" s="3055"/>
      <c r="CR99" s="3055"/>
      <c r="CS99" s="3055"/>
      <c r="CU99" s="3054"/>
      <c r="CV99" s="696"/>
      <c r="CW99" s="696"/>
      <c r="CZ99" s="3060">
        <f t="shared" si="17"/>
      </c>
      <c r="DA99" s="3060">
        <f t="shared" si="1"/>
      </c>
      <c r="DB99" s="3060">
        <f t="shared" si="18"/>
      </c>
      <c r="DC99" s="3060">
        <f t="shared" si="19"/>
      </c>
      <c r="DD99" s="3060">
        <f t="shared" si="20"/>
      </c>
      <c r="DE99" s="3060">
        <f t="shared" si="21"/>
      </c>
      <c r="DF99" s="3060">
        <f t="shared" si="22"/>
      </c>
      <c r="DG99" s="3060">
        <f t="shared" si="23"/>
      </c>
      <c r="DH99" s="3060">
        <f t="shared" si="24"/>
      </c>
      <c r="DI99" s="3060">
        <f t="shared" si="1"/>
      </c>
    </row>
    <row r="100" ht="15" customHeight="1" s="3052" customFormat="1">
      <c r="A100" s="3061"/>
      <c r="B100" s="3054">
        <f t="shared" si="2"/>
      </c>
      <c r="C100" s="3054"/>
      <c r="D100" s="3054"/>
      <c r="E100" s="3055"/>
      <c r="F100" s="3055"/>
      <c r="G100" s="3055"/>
      <c r="H100" s="3055"/>
      <c r="I100" s="3055"/>
      <c r="J100" s="3055"/>
      <c r="K100" s="3055"/>
      <c r="L100" s="3055"/>
      <c r="M100" s="3055"/>
      <c r="N100" s="3055"/>
      <c r="O100" s="3055"/>
      <c r="P100" s="3055"/>
      <c r="Q100" s="3055"/>
      <c r="R100" s="3055">
        <f t="shared" si="3"/>
        <v>0</v>
      </c>
      <c r="S100" s="3055">
        <f t="shared" si="4"/>
        <v>0</v>
      </c>
      <c r="T100" s="3055">
        <f t="shared" si="5"/>
        <v>0</v>
      </c>
      <c r="U100" s="3055">
        <f t="shared" si="6"/>
        <v>0</v>
      </c>
      <c r="V100" s="3055">
        <f t="shared" si="7"/>
        <v>0</v>
      </c>
      <c r="W100" s="3055">
        <f t="shared" si="8"/>
        <v>0</v>
      </c>
      <c r="X100" s="3055">
        <f t="shared" si="9"/>
        <v>0</v>
      </c>
      <c r="Y100" s="3055">
        <f t="shared" si="10"/>
        <v>0</v>
      </c>
      <c r="Z100" s="3055">
        <f t="shared" si="11"/>
        <v>0</v>
      </c>
      <c r="AA100" s="3055">
        <f t="shared" si="12"/>
        <v>0</v>
      </c>
      <c r="AB100" s="3055">
        <f t="shared" si="13"/>
        <v>0</v>
      </c>
      <c r="AC100" s="3055">
        <f t="shared" si="14"/>
        <v>0</v>
      </c>
      <c r="AD100" s="3056"/>
      <c r="AE100" s="3057">
        <f t="shared" si="0"/>
      </c>
      <c r="AF100" s="3054"/>
      <c r="AG100" s="3059"/>
      <c r="AH100" s="3058"/>
      <c r="AI100" s="3058"/>
      <c r="AJ100" s="3058"/>
      <c r="AK100" s="3058"/>
      <c r="AL100" s="3058"/>
      <c r="AM100" s="3058"/>
      <c r="AN100" s="3058"/>
      <c r="AO100" s="3058"/>
      <c r="AP100" s="3058"/>
      <c r="AQ100" s="3058"/>
      <c r="AR100" s="3058"/>
      <c r="AS100" s="3058"/>
      <c r="AT100" s="3058"/>
      <c r="AU100" s="3056"/>
      <c r="AV100" s="3057">
        <f t="shared" si="15"/>
      </c>
      <c r="AW100" s="3054"/>
      <c r="AX100" s="3059"/>
      <c r="AY100" s="3058"/>
      <c r="AZ100" s="3058"/>
      <c r="BA100" s="3058"/>
      <c r="BB100" s="3058"/>
      <c r="BC100" s="3058"/>
      <c r="BD100" s="3058"/>
      <c r="BE100" s="3058"/>
      <c r="BF100" s="3058"/>
      <c r="BG100" s="3058"/>
      <c r="BH100" s="3058"/>
      <c r="BI100" s="3058"/>
      <c r="BJ100" s="3058"/>
      <c r="BK100" s="3058"/>
      <c r="BL100" s="3056"/>
      <c r="BM100" s="3057">
        <f t="shared" si="16"/>
      </c>
      <c r="BN100" s="3054"/>
      <c r="BO100" s="3059"/>
      <c r="BP100" s="3058"/>
      <c r="BQ100" s="3058"/>
      <c r="BR100" s="3058"/>
      <c r="BS100" s="3058"/>
      <c r="BT100" s="3058"/>
      <c r="BU100" s="3058"/>
      <c r="BV100" s="3058"/>
      <c r="BW100" s="3058"/>
      <c r="BX100" s="3058"/>
      <c r="BY100" s="3058"/>
      <c r="BZ100" s="3058"/>
      <c r="CA100" s="3058"/>
      <c r="CB100" s="3058"/>
      <c r="CC100" s="3056"/>
      <c r="CD100" s="3057">
        <f t="shared" si="0"/>
      </c>
      <c r="CE100" s="3054"/>
      <c r="CF100" s="3054"/>
      <c r="CG100" s="3055"/>
      <c r="CH100" s="3055"/>
      <c r="CI100" s="3055"/>
      <c r="CJ100" s="3055"/>
      <c r="CK100" s="3055"/>
      <c r="CL100" s="3055"/>
      <c r="CM100" s="3055"/>
      <c r="CN100" s="3055"/>
      <c r="CO100" s="3055"/>
      <c r="CP100" s="3055"/>
      <c r="CQ100" s="3055"/>
      <c r="CR100" s="3055"/>
      <c r="CS100" s="3055"/>
      <c r="CU100" s="3054"/>
      <c r="CV100" s="696"/>
      <c r="CW100" s="696"/>
      <c r="CZ100" s="3060">
        <f t="shared" si="17"/>
      </c>
      <c r="DA100" s="3060">
        <f t="shared" si="1"/>
      </c>
      <c r="DB100" s="3060">
        <f t="shared" si="18"/>
      </c>
      <c r="DC100" s="3060">
        <f t="shared" si="19"/>
      </c>
      <c r="DD100" s="3060">
        <f t="shared" si="20"/>
      </c>
      <c r="DE100" s="3060">
        <f t="shared" si="21"/>
      </c>
      <c r="DF100" s="3060">
        <f t="shared" si="22"/>
      </c>
      <c r="DG100" s="3060">
        <f t="shared" si="23"/>
      </c>
      <c r="DH100" s="3060">
        <f t="shared" si="24"/>
      </c>
      <c r="DI100" s="3060">
        <f t="shared" si="1"/>
      </c>
    </row>
    <row r="101" ht="15" customHeight="1" s="3052" customFormat="1">
      <c r="A101" s="3061"/>
      <c r="B101" s="3054">
        <f t="shared" si="2"/>
      </c>
      <c r="C101" s="3054"/>
      <c r="D101" s="3054"/>
      <c r="E101" s="3055"/>
      <c r="F101" s="3055"/>
      <c r="G101" s="3055"/>
      <c r="H101" s="3055"/>
      <c r="I101" s="3055"/>
      <c r="J101" s="3055"/>
      <c r="K101" s="3055"/>
      <c r="L101" s="3055"/>
      <c r="M101" s="3055"/>
      <c r="N101" s="3055"/>
      <c r="O101" s="3055"/>
      <c r="P101" s="3055"/>
      <c r="Q101" s="3055"/>
      <c r="R101" s="3055">
        <f t="shared" si="3"/>
        <v>0</v>
      </c>
      <c r="S101" s="3055">
        <f t="shared" si="4"/>
        <v>0</v>
      </c>
      <c r="T101" s="3055">
        <f t="shared" si="5"/>
        <v>0</v>
      </c>
      <c r="U101" s="3055">
        <f t="shared" si="6"/>
        <v>0</v>
      </c>
      <c r="V101" s="3055">
        <f t="shared" si="7"/>
        <v>0</v>
      </c>
      <c r="W101" s="3055">
        <f t="shared" si="8"/>
        <v>0</v>
      </c>
      <c r="X101" s="3055">
        <f t="shared" si="9"/>
        <v>0</v>
      </c>
      <c r="Y101" s="3055">
        <f t="shared" si="10"/>
        <v>0</v>
      </c>
      <c r="Z101" s="3055">
        <f t="shared" si="11"/>
        <v>0</v>
      </c>
      <c r="AA101" s="3055">
        <f t="shared" si="12"/>
        <v>0</v>
      </c>
      <c r="AB101" s="3055">
        <f t="shared" si="13"/>
        <v>0</v>
      </c>
      <c r="AC101" s="3055">
        <f t="shared" si="14"/>
        <v>0</v>
      </c>
      <c r="AD101" s="3056"/>
      <c r="AE101" s="3057">
        <f t="shared" si="0"/>
      </c>
      <c r="AF101" s="3054"/>
      <c r="AG101" s="3059"/>
      <c r="AH101" s="3058"/>
      <c r="AI101" s="3058"/>
      <c r="AJ101" s="3058"/>
      <c r="AK101" s="3058"/>
      <c r="AL101" s="3058"/>
      <c r="AM101" s="3058"/>
      <c r="AN101" s="3058"/>
      <c r="AO101" s="3058"/>
      <c r="AP101" s="3058"/>
      <c r="AQ101" s="3058"/>
      <c r="AR101" s="3058"/>
      <c r="AS101" s="3058"/>
      <c r="AT101" s="3058"/>
      <c r="AU101" s="3056"/>
      <c r="AV101" s="3057">
        <f t="shared" si="15"/>
      </c>
      <c r="AW101" s="3054"/>
      <c r="AX101" s="3059"/>
      <c r="AY101" s="3058"/>
      <c r="AZ101" s="3058"/>
      <c r="BA101" s="3058"/>
      <c r="BB101" s="3058"/>
      <c r="BC101" s="3058"/>
      <c r="BD101" s="3058"/>
      <c r="BE101" s="3058"/>
      <c r="BF101" s="3058"/>
      <c r="BG101" s="3058"/>
      <c r="BH101" s="3058"/>
      <c r="BI101" s="3058"/>
      <c r="BJ101" s="3058"/>
      <c r="BK101" s="3058"/>
      <c r="BL101" s="3056"/>
      <c r="BM101" s="3057">
        <f t="shared" si="16"/>
      </c>
      <c r="BN101" s="3054"/>
      <c r="BO101" s="3059"/>
      <c r="BP101" s="3058"/>
      <c r="BQ101" s="3058"/>
      <c r="BR101" s="3058"/>
      <c r="BS101" s="3058"/>
      <c r="BT101" s="3058"/>
      <c r="BU101" s="3058"/>
      <c r="BV101" s="3058"/>
      <c r="BW101" s="3058"/>
      <c r="BX101" s="3058"/>
      <c r="BY101" s="3058"/>
      <c r="BZ101" s="3058"/>
      <c r="CA101" s="3058"/>
      <c r="CB101" s="3058"/>
      <c r="CC101" s="3056"/>
      <c r="CD101" s="3057">
        <f t="shared" si="0"/>
      </c>
      <c r="CE101" s="3054"/>
      <c r="CF101" s="3054"/>
      <c r="CG101" s="3055"/>
      <c r="CH101" s="3055"/>
      <c r="CI101" s="3055"/>
      <c r="CJ101" s="3055"/>
      <c r="CK101" s="3055"/>
      <c r="CL101" s="3055"/>
      <c r="CM101" s="3055"/>
      <c r="CN101" s="3055"/>
      <c r="CO101" s="3055"/>
      <c r="CP101" s="3055"/>
      <c r="CQ101" s="3055"/>
      <c r="CR101" s="3055"/>
      <c r="CS101" s="3055"/>
      <c r="CU101" s="3054"/>
      <c r="CV101" s="696"/>
      <c r="CW101" s="696"/>
      <c r="CZ101" s="3060">
        <f t="shared" si="17"/>
      </c>
      <c r="DA101" s="3060">
        <f t="shared" si="1"/>
      </c>
      <c r="DB101" s="3060">
        <f t="shared" si="18"/>
      </c>
      <c r="DC101" s="3060">
        <f t="shared" si="19"/>
      </c>
      <c r="DD101" s="3060">
        <f t="shared" si="20"/>
      </c>
      <c r="DE101" s="3060">
        <f t="shared" si="21"/>
      </c>
      <c r="DF101" s="3060">
        <f t="shared" si="22"/>
      </c>
      <c r="DG101" s="3060">
        <f t="shared" si="23"/>
      </c>
      <c r="DH101" s="3060">
        <f t="shared" si="24"/>
      </c>
      <c r="DI101" s="3060">
        <f t="shared" si="1"/>
      </c>
    </row>
    <row r="102" ht="15" customHeight="1" s="3052" customFormat="1">
      <c r="A102" s="3061"/>
      <c r="B102" s="3054">
        <f t="shared" si="2"/>
      </c>
      <c r="C102" s="3054"/>
      <c r="D102" s="3054"/>
      <c r="E102" s="3055"/>
      <c r="F102" s="3055"/>
      <c r="G102" s="3055"/>
      <c r="H102" s="3055"/>
      <c r="I102" s="3055"/>
      <c r="J102" s="3055"/>
      <c r="K102" s="3055"/>
      <c r="L102" s="3055"/>
      <c r="M102" s="3055"/>
      <c r="N102" s="3055"/>
      <c r="O102" s="3055"/>
      <c r="P102" s="3055"/>
      <c r="Q102" s="3055"/>
      <c r="R102" s="3055">
        <f t="shared" si="3"/>
        <v>0</v>
      </c>
      <c r="S102" s="3055">
        <f t="shared" si="4"/>
        <v>0</v>
      </c>
      <c r="T102" s="3055">
        <f t="shared" si="5"/>
        <v>0</v>
      </c>
      <c r="U102" s="3055">
        <f t="shared" si="6"/>
        <v>0</v>
      </c>
      <c r="V102" s="3055">
        <f t="shared" si="7"/>
        <v>0</v>
      </c>
      <c r="W102" s="3055">
        <f t="shared" si="8"/>
        <v>0</v>
      </c>
      <c r="X102" s="3055">
        <f t="shared" si="9"/>
        <v>0</v>
      </c>
      <c r="Y102" s="3055">
        <f t="shared" si="10"/>
        <v>0</v>
      </c>
      <c r="Z102" s="3055">
        <f t="shared" si="11"/>
        <v>0</v>
      </c>
      <c r="AA102" s="3055">
        <f t="shared" si="12"/>
        <v>0</v>
      </c>
      <c r="AB102" s="3055">
        <f t="shared" si="13"/>
        <v>0</v>
      </c>
      <c r="AC102" s="3055">
        <f t="shared" si="14"/>
        <v>0</v>
      </c>
      <c r="AD102" s="3056"/>
      <c r="AE102" s="3057">
        <f t="shared" si="0"/>
      </c>
      <c r="AF102" s="3054"/>
      <c r="AG102" s="3059"/>
      <c r="AH102" s="3058"/>
      <c r="AI102" s="3058"/>
      <c r="AJ102" s="3058"/>
      <c r="AK102" s="3058"/>
      <c r="AL102" s="3058"/>
      <c r="AM102" s="3058"/>
      <c r="AN102" s="3058"/>
      <c r="AO102" s="3058"/>
      <c r="AP102" s="3058"/>
      <c r="AQ102" s="3058"/>
      <c r="AR102" s="3058"/>
      <c r="AS102" s="3058"/>
      <c r="AT102" s="3058"/>
      <c r="AU102" s="3056"/>
      <c r="AV102" s="3057">
        <f t="shared" si="15"/>
      </c>
      <c r="AW102" s="3054"/>
      <c r="AX102" s="3059"/>
      <c r="AY102" s="3058"/>
      <c r="AZ102" s="3058"/>
      <c r="BA102" s="3058"/>
      <c r="BB102" s="3058"/>
      <c r="BC102" s="3058"/>
      <c r="BD102" s="3058"/>
      <c r="BE102" s="3058"/>
      <c r="BF102" s="3058"/>
      <c r="BG102" s="3058"/>
      <c r="BH102" s="3058"/>
      <c r="BI102" s="3058"/>
      <c r="BJ102" s="3058"/>
      <c r="BK102" s="3058"/>
      <c r="BL102" s="3056"/>
      <c r="BM102" s="3057">
        <f t="shared" si="16"/>
      </c>
      <c r="BN102" s="3054"/>
      <c r="BO102" s="3059"/>
      <c r="BP102" s="3058"/>
      <c r="BQ102" s="3058"/>
      <c r="BR102" s="3058"/>
      <c r="BS102" s="3058"/>
      <c r="BT102" s="3058"/>
      <c r="BU102" s="3058"/>
      <c r="BV102" s="3058"/>
      <c r="BW102" s="3058"/>
      <c r="BX102" s="3058"/>
      <c r="BY102" s="3058"/>
      <c r="BZ102" s="3058"/>
      <c r="CA102" s="3058"/>
      <c r="CB102" s="3058"/>
      <c r="CC102" s="3056"/>
      <c r="CD102" s="3057">
        <f t="shared" si="0"/>
      </c>
      <c r="CE102" s="3054"/>
      <c r="CF102" s="3054"/>
      <c r="CG102" s="3055"/>
      <c r="CH102" s="3055"/>
      <c r="CI102" s="3055"/>
      <c r="CJ102" s="3055"/>
      <c r="CK102" s="3055"/>
      <c r="CL102" s="3055"/>
      <c r="CM102" s="3055"/>
      <c r="CN102" s="3055"/>
      <c r="CO102" s="3055"/>
      <c r="CP102" s="3055"/>
      <c r="CQ102" s="3055"/>
      <c r="CR102" s="3055"/>
      <c r="CS102" s="3055"/>
      <c r="CU102" s="3054"/>
      <c r="CV102" s="696"/>
      <c r="CW102" s="696"/>
      <c r="CZ102" s="3060">
        <f t="shared" si="17"/>
      </c>
      <c r="DA102" s="3060">
        <f t="shared" si="1"/>
      </c>
      <c r="DB102" s="3060">
        <f t="shared" si="18"/>
      </c>
      <c r="DC102" s="3060">
        <f t="shared" si="19"/>
      </c>
      <c r="DD102" s="3060">
        <f t="shared" si="20"/>
      </c>
      <c r="DE102" s="3060">
        <f t="shared" si="21"/>
      </c>
      <c r="DF102" s="3060">
        <f t="shared" si="22"/>
      </c>
      <c r="DG102" s="3060">
        <f t="shared" si="23"/>
      </c>
      <c r="DH102" s="3060">
        <f t="shared" si="24"/>
      </c>
      <c r="DI102" s="3060">
        <f t="shared" si="1"/>
      </c>
    </row>
    <row r="103" ht="15" customHeight="1" s="3052" customFormat="1">
      <c r="A103" s="3061"/>
      <c r="B103" s="3054">
        <f t="shared" si="2"/>
      </c>
      <c r="C103" s="3054"/>
      <c r="D103" s="3054"/>
      <c r="E103" s="3055"/>
      <c r="F103" s="3055"/>
      <c r="G103" s="3055"/>
      <c r="H103" s="3055"/>
      <c r="I103" s="3055"/>
      <c r="J103" s="3055"/>
      <c r="K103" s="3055"/>
      <c r="L103" s="3055"/>
      <c r="M103" s="3055"/>
      <c r="N103" s="3055"/>
      <c r="O103" s="3055"/>
      <c r="P103" s="3055"/>
      <c r="Q103" s="3055"/>
      <c r="R103" s="3055">
        <f t="shared" si="3"/>
        <v>0</v>
      </c>
      <c r="S103" s="3055">
        <f t="shared" si="4"/>
        <v>0</v>
      </c>
      <c r="T103" s="3055">
        <f t="shared" si="5"/>
        <v>0</v>
      </c>
      <c r="U103" s="3055">
        <f t="shared" si="6"/>
        <v>0</v>
      </c>
      <c r="V103" s="3055">
        <f t="shared" si="7"/>
        <v>0</v>
      </c>
      <c r="W103" s="3055">
        <f t="shared" si="8"/>
        <v>0</v>
      </c>
      <c r="X103" s="3055">
        <f t="shared" si="9"/>
        <v>0</v>
      </c>
      <c r="Y103" s="3055">
        <f t="shared" si="10"/>
        <v>0</v>
      </c>
      <c r="Z103" s="3055">
        <f t="shared" si="11"/>
        <v>0</v>
      </c>
      <c r="AA103" s="3055">
        <f t="shared" si="12"/>
        <v>0</v>
      </c>
      <c r="AB103" s="3055">
        <f t="shared" si="13"/>
        <v>0</v>
      </c>
      <c r="AC103" s="3055">
        <f t="shared" si="14"/>
        <v>0</v>
      </c>
      <c r="AD103" s="3056"/>
      <c r="AE103" s="3057">
        <f t="shared" si="0"/>
      </c>
      <c r="AF103" s="3054"/>
      <c r="AG103" s="3059"/>
      <c r="AH103" s="3058"/>
      <c r="AI103" s="3058"/>
      <c r="AJ103" s="3058"/>
      <c r="AK103" s="3058"/>
      <c r="AL103" s="3058"/>
      <c r="AM103" s="3058"/>
      <c r="AN103" s="3058"/>
      <c r="AO103" s="3058"/>
      <c r="AP103" s="3058"/>
      <c r="AQ103" s="3058"/>
      <c r="AR103" s="3058"/>
      <c r="AS103" s="3058"/>
      <c r="AT103" s="3058"/>
      <c r="AU103" s="3056"/>
      <c r="AV103" s="3057">
        <f t="shared" si="15"/>
      </c>
      <c r="AW103" s="3054"/>
      <c r="AX103" s="3059"/>
      <c r="AY103" s="3058"/>
      <c r="AZ103" s="3058"/>
      <c r="BA103" s="3058"/>
      <c r="BB103" s="3058"/>
      <c r="BC103" s="3058"/>
      <c r="BD103" s="3058"/>
      <c r="BE103" s="3058"/>
      <c r="BF103" s="3058"/>
      <c r="BG103" s="3058"/>
      <c r="BH103" s="3058"/>
      <c r="BI103" s="3058"/>
      <c r="BJ103" s="3058"/>
      <c r="BK103" s="3058"/>
      <c r="BL103" s="3056"/>
      <c r="BM103" s="3057">
        <f t="shared" si="16"/>
      </c>
      <c r="BN103" s="3054"/>
      <c r="BO103" s="3059"/>
      <c r="BP103" s="3058"/>
      <c r="BQ103" s="3058"/>
      <c r="BR103" s="3058"/>
      <c r="BS103" s="3058"/>
      <c r="BT103" s="3058"/>
      <c r="BU103" s="3058"/>
      <c r="BV103" s="3058"/>
      <c r="BW103" s="3058"/>
      <c r="BX103" s="3058"/>
      <c r="BY103" s="3058"/>
      <c r="BZ103" s="3058"/>
      <c r="CA103" s="3058"/>
      <c r="CB103" s="3058"/>
      <c r="CC103" s="3056"/>
      <c r="CD103" s="3057">
        <f t="shared" si="0"/>
      </c>
      <c r="CE103" s="3054"/>
      <c r="CF103" s="3054"/>
      <c r="CG103" s="3055"/>
      <c r="CH103" s="3055"/>
      <c r="CI103" s="3055"/>
      <c r="CJ103" s="3055"/>
      <c r="CK103" s="3055"/>
      <c r="CL103" s="3055"/>
      <c r="CM103" s="3055"/>
      <c r="CN103" s="3055"/>
      <c r="CO103" s="3055"/>
      <c r="CP103" s="3055"/>
      <c r="CQ103" s="3055"/>
      <c r="CR103" s="3055"/>
      <c r="CS103" s="3055"/>
      <c r="CU103" s="3054"/>
      <c r="CV103" s="696"/>
      <c r="CW103" s="696"/>
      <c r="CZ103" s="3060">
        <f t="shared" si="17"/>
      </c>
      <c r="DA103" s="3060">
        <f t="shared" si="1"/>
      </c>
      <c r="DB103" s="3060">
        <f t="shared" si="18"/>
      </c>
      <c r="DC103" s="3060">
        <f t="shared" si="19"/>
      </c>
      <c r="DD103" s="3060">
        <f t="shared" si="20"/>
      </c>
      <c r="DE103" s="3060">
        <f t="shared" si="21"/>
      </c>
      <c r="DF103" s="3060">
        <f t="shared" si="22"/>
      </c>
      <c r="DG103" s="3060">
        <f t="shared" si="23"/>
      </c>
      <c r="DH103" s="3060">
        <f t="shared" si="24"/>
      </c>
      <c r="DI103" s="3060">
        <f t="shared" si="1"/>
      </c>
    </row>
    <row r="104" ht="15" customHeight="1" s="3052" customFormat="1">
      <c r="A104" s="3061"/>
      <c r="B104" s="3054">
        <f t="shared" si="2"/>
      </c>
      <c r="C104" s="3054"/>
      <c r="D104" s="3054"/>
      <c r="E104" s="3055"/>
      <c r="F104" s="3055"/>
      <c r="G104" s="3055"/>
      <c r="H104" s="3055"/>
      <c r="I104" s="3055"/>
      <c r="J104" s="3055"/>
      <c r="K104" s="3055"/>
      <c r="L104" s="3055"/>
      <c r="M104" s="3055"/>
      <c r="N104" s="3055"/>
      <c r="O104" s="3055"/>
      <c r="P104" s="3055"/>
      <c r="Q104" s="3055"/>
      <c r="R104" s="3055">
        <f t="shared" si="3"/>
        <v>0</v>
      </c>
      <c r="S104" s="3055">
        <f t="shared" si="4"/>
        <v>0</v>
      </c>
      <c r="T104" s="3055">
        <f t="shared" si="5"/>
        <v>0</v>
      </c>
      <c r="U104" s="3055">
        <f t="shared" si="6"/>
        <v>0</v>
      </c>
      <c r="V104" s="3055">
        <f t="shared" si="7"/>
        <v>0</v>
      </c>
      <c r="W104" s="3055">
        <f t="shared" si="8"/>
        <v>0</v>
      </c>
      <c r="X104" s="3055">
        <f t="shared" si="9"/>
        <v>0</v>
      </c>
      <c r="Y104" s="3055">
        <f t="shared" si="10"/>
        <v>0</v>
      </c>
      <c r="Z104" s="3055">
        <f t="shared" si="11"/>
        <v>0</v>
      </c>
      <c r="AA104" s="3055">
        <f t="shared" si="12"/>
        <v>0</v>
      </c>
      <c r="AB104" s="3055">
        <f t="shared" si="13"/>
        <v>0</v>
      </c>
      <c r="AC104" s="3055">
        <f t="shared" si="14"/>
        <v>0</v>
      </c>
      <c r="AD104" s="3056"/>
      <c r="AE104" s="3057">
        <f t="shared" si="0"/>
      </c>
      <c r="AF104" s="3054"/>
      <c r="AG104" s="3059"/>
      <c r="AH104" s="3058"/>
      <c r="AI104" s="3058"/>
      <c r="AJ104" s="3058"/>
      <c r="AK104" s="3058"/>
      <c r="AL104" s="3058"/>
      <c r="AM104" s="3058"/>
      <c r="AN104" s="3058"/>
      <c r="AO104" s="3058"/>
      <c r="AP104" s="3058"/>
      <c r="AQ104" s="3058"/>
      <c r="AR104" s="3058"/>
      <c r="AS104" s="3058"/>
      <c r="AT104" s="3058"/>
      <c r="AU104" s="3056"/>
      <c r="AV104" s="3057">
        <f t="shared" si="15"/>
      </c>
      <c r="AW104" s="3054"/>
      <c r="AX104" s="3059"/>
      <c r="AY104" s="3058"/>
      <c r="AZ104" s="3058"/>
      <c r="BA104" s="3058"/>
      <c r="BB104" s="3058"/>
      <c r="BC104" s="3058"/>
      <c r="BD104" s="3058"/>
      <c r="BE104" s="3058"/>
      <c r="BF104" s="3058"/>
      <c r="BG104" s="3058"/>
      <c r="BH104" s="3058"/>
      <c r="BI104" s="3058"/>
      <c r="BJ104" s="3058"/>
      <c r="BK104" s="3058"/>
      <c r="BL104" s="3056"/>
      <c r="BM104" s="3057">
        <f t="shared" si="16"/>
      </c>
      <c r="BN104" s="3054"/>
      <c r="BO104" s="3059"/>
      <c r="BP104" s="3058"/>
      <c r="BQ104" s="3058"/>
      <c r="BR104" s="3058"/>
      <c r="BS104" s="3058"/>
      <c r="BT104" s="3058"/>
      <c r="BU104" s="3058"/>
      <c r="BV104" s="3058"/>
      <c r="BW104" s="3058"/>
      <c r="BX104" s="3058"/>
      <c r="BY104" s="3058"/>
      <c r="BZ104" s="3058"/>
      <c r="CA104" s="3058"/>
      <c r="CB104" s="3058"/>
      <c r="CC104" s="3056"/>
      <c r="CD104" s="3057">
        <f t="shared" si="0"/>
      </c>
      <c r="CE104" s="3054"/>
      <c r="CF104" s="3054"/>
      <c r="CG104" s="3055"/>
      <c r="CH104" s="3055"/>
      <c r="CI104" s="3055"/>
      <c r="CJ104" s="3055"/>
      <c r="CK104" s="3055"/>
      <c r="CL104" s="3055"/>
      <c r="CM104" s="3055"/>
      <c r="CN104" s="3055"/>
      <c r="CO104" s="3055"/>
      <c r="CP104" s="3055"/>
      <c r="CQ104" s="3055"/>
      <c r="CR104" s="3055"/>
      <c r="CS104" s="3055"/>
      <c r="CU104" s="3054"/>
      <c r="CV104" s="696"/>
      <c r="CW104" s="696"/>
      <c r="CZ104" s="3060">
        <f t="shared" si="17"/>
      </c>
      <c r="DA104" s="3060">
        <f t="shared" si="1"/>
      </c>
      <c r="DB104" s="3060">
        <f t="shared" si="18"/>
      </c>
      <c r="DC104" s="3060">
        <f t="shared" si="19"/>
      </c>
      <c r="DD104" s="3060">
        <f t="shared" si="20"/>
      </c>
      <c r="DE104" s="3060">
        <f t="shared" si="21"/>
      </c>
      <c r="DF104" s="3060">
        <f t="shared" si="22"/>
      </c>
      <c r="DG104" s="3060">
        <f t="shared" si="23"/>
      </c>
      <c r="DH104" s="3060">
        <f t="shared" si="24"/>
      </c>
      <c r="DI104" s="3060">
        <f t="shared" si="1"/>
      </c>
    </row>
    <row r="105" ht="15" customHeight="1" s="3052" customFormat="1">
      <c r="A105" s="3061"/>
      <c r="B105" s="3054">
        <f t="shared" si="2"/>
      </c>
      <c r="C105" s="3054"/>
      <c r="D105" s="3054"/>
      <c r="E105" s="3055"/>
      <c r="F105" s="3055"/>
      <c r="G105" s="3055"/>
      <c r="H105" s="3055"/>
      <c r="I105" s="3055"/>
      <c r="J105" s="3055"/>
      <c r="K105" s="3055"/>
      <c r="L105" s="3055"/>
      <c r="M105" s="3055"/>
      <c r="N105" s="3055"/>
      <c r="O105" s="3055"/>
      <c r="P105" s="3055"/>
      <c r="Q105" s="3055"/>
      <c r="R105" s="3055">
        <f t="shared" si="3"/>
        <v>0</v>
      </c>
      <c r="S105" s="3055">
        <f t="shared" si="4"/>
        <v>0</v>
      </c>
      <c r="T105" s="3055">
        <f t="shared" si="5"/>
        <v>0</v>
      </c>
      <c r="U105" s="3055">
        <f t="shared" si="6"/>
        <v>0</v>
      </c>
      <c r="V105" s="3055">
        <f t="shared" si="7"/>
        <v>0</v>
      </c>
      <c r="W105" s="3055">
        <f t="shared" si="8"/>
        <v>0</v>
      </c>
      <c r="X105" s="3055">
        <f t="shared" si="9"/>
        <v>0</v>
      </c>
      <c r="Y105" s="3055">
        <f t="shared" si="10"/>
        <v>0</v>
      </c>
      <c r="Z105" s="3055">
        <f t="shared" si="11"/>
        <v>0</v>
      </c>
      <c r="AA105" s="3055">
        <f t="shared" si="12"/>
        <v>0</v>
      </c>
      <c r="AB105" s="3055">
        <f t="shared" si="13"/>
        <v>0</v>
      </c>
      <c r="AC105" s="3055">
        <f t="shared" si="14"/>
        <v>0</v>
      </c>
      <c r="AD105" s="3056"/>
      <c r="AE105" s="3057">
        <f t="shared" si="0"/>
      </c>
      <c r="AF105" s="3054"/>
      <c r="AG105" s="3059"/>
      <c r="AH105" s="3058"/>
      <c r="AI105" s="3058"/>
      <c r="AJ105" s="3058"/>
      <c r="AK105" s="3058"/>
      <c r="AL105" s="3058"/>
      <c r="AM105" s="3058"/>
      <c r="AN105" s="3058"/>
      <c r="AO105" s="3058"/>
      <c r="AP105" s="3058"/>
      <c r="AQ105" s="3058"/>
      <c r="AR105" s="3058"/>
      <c r="AS105" s="3058"/>
      <c r="AT105" s="3058"/>
      <c r="AU105" s="3056"/>
      <c r="AV105" s="3057">
        <f t="shared" si="15"/>
      </c>
      <c r="AW105" s="3054"/>
      <c r="AX105" s="3059"/>
      <c r="AY105" s="3058"/>
      <c r="AZ105" s="3058"/>
      <c r="BA105" s="3058"/>
      <c r="BB105" s="3058"/>
      <c r="BC105" s="3058"/>
      <c r="BD105" s="3058"/>
      <c r="BE105" s="3058"/>
      <c r="BF105" s="3058"/>
      <c r="BG105" s="3058"/>
      <c r="BH105" s="3058"/>
      <c r="BI105" s="3058"/>
      <c r="BJ105" s="3058"/>
      <c r="BK105" s="3058"/>
      <c r="BL105" s="3056"/>
      <c r="BM105" s="3057">
        <f t="shared" si="16"/>
      </c>
      <c r="BN105" s="3054"/>
      <c r="BO105" s="3059"/>
      <c r="BP105" s="3058"/>
      <c r="BQ105" s="3058"/>
      <c r="BR105" s="3058"/>
      <c r="BS105" s="3058"/>
      <c r="BT105" s="3058"/>
      <c r="BU105" s="3058"/>
      <c r="BV105" s="3058"/>
      <c r="BW105" s="3058"/>
      <c r="BX105" s="3058"/>
      <c r="BY105" s="3058"/>
      <c r="BZ105" s="3058"/>
      <c r="CA105" s="3058"/>
      <c r="CB105" s="3058"/>
      <c r="CC105" s="3056"/>
      <c r="CD105" s="3057">
        <f t="shared" si="0"/>
      </c>
      <c r="CE105" s="3054"/>
      <c r="CF105" s="3054"/>
      <c r="CG105" s="3055"/>
      <c r="CH105" s="3055"/>
      <c r="CI105" s="3055"/>
      <c r="CJ105" s="3055"/>
      <c r="CK105" s="3055"/>
      <c r="CL105" s="3055"/>
      <c r="CM105" s="3055"/>
      <c r="CN105" s="3055"/>
      <c r="CO105" s="3055"/>
      <c r="CP105" s="3055"/>
      <c r="CQ105" s="3055"/>
      <c r="CR105" s="3055"/>
      <c r="CS105" s="3055"/>
      <c r="CU105" s="3054"/>
      <c r="CV105" s="696"/>
      <c r="CW105" s="696"/>
      <c r="CZ105" s="3060">
        <f t="shared" si="17"/>
      </c>
      <c r="DA105" s="3060">
        <f t="shared" si="1"/>
      </c>
      <c r="DB105" s="3060">
        <f t="shared" si="18"/>
      </c>
      <c r="DC105" s="3060">
        <f t="shared" si="19"/>
      </c>
      <c r="DD105" s="3060">
        <f t="shared" si="20"/>
      </c>
      <c r="DE105" s="3060">
        <f t="shared" si="21"/>
      </c>
      <c r="DF105" s="3060">
        <f t="shared" si="22"/>
      </c>
      <c r="DG105" s="3060">
        <f t="shared" si="23"/>
      </c>
      <c r="DH105" s="3060">
        <f t="shared" si="24"/>
      </c>
      <c r="DI105" s="3060">
        <f t="shared" si="1"/>
      </c>
    </row>
    <row r="106" ht="15" customHeight="1" s="3052" customFormat="1">
      <c r="A106" s="3061"/>
      <c r="B106" s="3054">
        <f t="shared" si="2"/>
      </c>
      <c r="C106" s="3054"/>
      <c r="D106" s="3054"/>
      <c r="E106" s="3055"/>
      <c r="F106" s="3055"/>
      <c r="G106" s="3055"/>
      <c r="H106" s="3055"/>
      <c r="I106" s="3055"/>
      <c r="J106" s="3055"/>
      <c r="K106" s="3055"/>
      <c r="L106" s="3055"/>
      <c r="M106" s="3055"/>
      <c r="N106" s="3055"/>
      <c r="O106" s="3055"/>
      <c r="P106" s="3055"/>
      <c r="Q106" s="3055"/>
      <c r="R106" s="3055">
        <f t="shared" si="3"/>
        <v>0</v>
      </c>
      <c r="S106" s="3055">
        <f t="shared" si="4"/>
        <v>0</v>
      </c>
      <c r="T106" s="3055">
        <f t="shared" si="5"/>
        <v>0</v>
      </c>
      <c r="U106" s="3055">
        <f t="shared" si="6"/>
        <v>0</v>
      </c>
      <c r="V106" s="3055">
        <f t="shared" si="7"/>
        <v>0</v>
      </c>
      <c r="W106" s="3055">
        <f t="shared" si="8"/>
        <v>0</v>
      </c>
      <c r="X106" s="3055">
        <f t="shared" si="9"/>
        <v>0</v>
      </c>
      <c r="Y106" s="3055">
        <f t="shared" si="10"/>
        <v>0</v>
      </c>
      <c r="Z106" s="3055">
        <f t="shared" si="11"/>
        <v>0</v>
      </c>
      <c r="AA106" s="3055">
        <f t="shared" si="12"/>
        <v>0</v>
      </c>
      <c r="AB106" s="3055">
        <f t="shared" si="13"/>
        <v>0</v>
      </c>
      <c r="AC106" s="3055">
        <f t="shared" si="14"/>
        <v>0</v>
      </c>
      <c r="AD106" s="3056"/>
      <c r="AE106" s="3057">
        <f t="shared" si="0"/>
      </c>
      <c r="AF106" s="3054"/>
      <c r="AG106" s="3059"/>
      <c r="AH106" s="3058"/>
      <c r="AI106" s="3058"/>
      <c r="AJ106" s="3058"/>
      <c r="AK106" s="3058"/>
      <c r="AL106" s="3058"/>
      <c r="AM106" s="3058"/>
      <c r="AN106" s="3058"/>
      <c r="AO106" s="3058"/>
      <c r="AP106" s="3058"/>
      <c r="AQ106" s="3058"/>
      <c r="AR106" s="3058"/>
      <c r="AS106" s="3058"/>
      <c r="AT106" s="3058"/>
      <c r="AU106" s="3056"/>
      <c r="AV106" s="3057">
        <f t="shared" si="15"/>
      </c>
      <c r="AW106" s="3054"/>
      <c r="AX106" s="3059"/>
      <c r="AY106" s="3058"/>
      <c r="AZ106" s="3058"/>
      <c r="BA106" s="3058"/>
      <c r="BB106" s="3058"/>
      <c r="BC106" s="3058"/>
      <c r="BD106" s="3058"/>
      <c r="BE106" s="3058"/>
      <c r="BF106" s="3058"/>
      <c r="BG106" s="3058"/>
      <c r="BH106" s="3058"/>
      <c r="BI106" s="3058"/>
      <c r="BJ106" s="3058"/>
      <c r="BK106" s="3058"/>
      <c r="BL106" s="3056"/>
      <c r="BM106" s="3057">
        <f t="shared" si="16"/>
      </c>
      <c r="BN106" s="3054"/>
      <c r="BO106" s="3059"/>
      <c r="BP106" s="3058"/>
      <c r="BQ106" s="3058"/>
      <c r="BR106" s="3058"/>
      <c r="BS106" s="3058"/>
      <c r="BT106" s="3058"/>
      <c r="BU106" s="3058"/>
      <c r="BV106" s="3058"/>
      <c r="BW106" s="3058"/>
      <c r="BX106" s="3058"/>
      <c r="BY106" s="3058"/>
      <c r="BZ106" s="3058"/>
      <c r="CA106" s="3058"/>
      <c r="CB106" s="3058"/>
      <c r="CC106" s="3056"/>
      <c r="CD106" s="3057">
        <f t="shared" si="0"/>
      </c>
      <c r="CE106" s="3054"/>
      <c r="CF106" s="3054"/>
      <c r="CG106" s="3055"/>
      <c r="CH106" s="3055"/>
      <c r="CI106" s="3055"/>
      <c r="CJ106" s="3055"/>
      <c r="CK106" s="3055"/>
      <c r="CL106" s="3055"/>
      <c r="CM106" s="3055"/>
      <c r="CN106" s="3055"/>
      <c r="CO106" s="3055"/>
      <c r="CP106" s="3055"/>
      <c r="CQ106" s="3055"/>
      <c r="CR106" s="3055"/>
      <c r="CS106" s="3055"/>
      <c r="CU106" s="3054"/>
      <c r="CV106" s="696"/>
      <c r="CW106" s="696"/>
      <c r="CZ106" s="3060">
        <f t="shared" si="17"/>
      </c>
      <c r="DA106" s="3060">
        <f t="shared" si="1"/>
      </c>
      <c r="DB106" s="3060">
        <f t="shared" si="18"/>
      </c>
      <c r="DC106" s="3060">
        <f t="shared" si="19"/>
      </c>
      <c r="DD106" s="3060">
        <f t="shared" si="20"/>
      </c>
      <c r="DE106" s="3060">
        <f t="shared" si="21"/>
      </c>
      <c r="DF106" s="3060">
        <f t="shared" si="22"/>
      </c>
      <c r="DG106" s="3060">
        <f t="shared" si="23"/>
      </c>
      <c r="DH106" s="3060">
        <f t="shared" si="24"/>
      </c>
      <c r="DI106" s="3060">
        <f t="shared" si="1"/>
      </c>
    </row>
    <row r="107" ht="15" customHeight="1" s="3052" customFormat="1">
      <c r="A107" s="3061"/>
      <c r="B107" s="3054">
        <f t="shared" si="2"/>
      </c>
      <c r="C107" s="3054"/>
      <c r="D107" s="3054"/>
      <c r="E107" s="3055"/>
      <c r="F107" s="3055"/>
      <c r="G107" s="3055"/>
      <c r="H107" s="3055"/>
      <c r="I107" s="3055"/>
      <c r="J107" s="3055"/>
      <c r="K107" s="3055"/>
      <c r="L107" s="3055"/>
      <c r="M107" s="3055"/>
      <c r="N107" s="3055"/>
      <c r="O107" s="3055"/>
      <c r="P107" s="3055"/>
      <c r="Q107" s="3055"/>
      <c r="R107" s="3055">
        <f t="shared" si="3"/>
        <v>0</v>
      </c>
      <c r="S107" s="3055">
        <f t="shared" si="4"/>
        <v>0</v>
      </c>
      <c r="T107" s="3055">
        <f t="shared" si="5"/>
        <v>0</v>
      </c>
      <c r="U107" s="3055">
        <f t="shared" si="6"/>
        <v>0</v>
      </c>
      <c r="V107" s="3055">
        <f t="shared" si="7"/>
        <v>0</v>
      </c>
      <c r="W107" s="3055">
        <f t="shared" si="8"/>
        <v>0</v>
      </c>
      <c r="X107" s="3055">
        <f t="shared" si="9"/>
        <v>0</v>
      </c>
      <c r="Y107" s="3055">
        <f t="shared" si="10"/>
        <v>0</v>
      </c>
      <c r="Z107" s="3055">
        <f t="shared" si="11"/>
        <v>0</v>
      </c>
      <c r="AA107" s="3055">
        <f t="shared" si="12"/>
        <v>0</v>
      </c>
      <c r="AB107" s="3055">
        <f t="shared" si="13"/>
        <v>0</v>
      </c>
      <c r="AC107" s="3055">
        <f t="shared" si="14"/>
        <v>0</v>
      </c>
      <c r="AD107" s="3056"/>
      <c r="AE107" s="3057">
        <f t="shared" si="0"/>
      </c>
      <c r="AF107" s="3054"/>
      <c r="AG107" s="3059"/>
      <c r="AH107" s="3058"/>
      <c r="AI107" s="3058"/>
      <c r="AJ107" s="3058"/>
      <c r="AK107" s="3058"/>
      <c r="AL107" s="3058"/>
      <c r="AM107" s="3058"/>
      <c r="AN107" s="3058"/>
      <c r="AO107" s="3058"/>
      <c r="AP107" s="3058"/>
      <c r="AQ107" s="3058"/>
      <c r="AR107" s="3058"/>
      <c r="AS107" s="3058"/>
      <c r="AT107" s="3058"/>
      <c r="AU107" s="3056"/>
      <c r="AV107" s="3057">
        <f t="shared" si="15"/>
      </c>
      <c r="AW107" s="3054"/>
      <c r="AX107" s="3059"/>
      <c r="AY107" s="3058"/>
      <c r="AZ107" s="3058"/>
      <c r="BA107" s="3058"/>
      <c r="BB107" s="3058"/>
      <c r="BC107" s="3058"/>
      <c r="BD107" s="3058"/>
      <c r="BE107" s="3058"/>
      <c r="BF107" s="3058"/>
      <c r="BG107" s="3058"/>
      <c r="BH107" s="3058"/>
      <c r="BI107" s="3058"/>
      <c r="BJ107" s="3058"/>
      <c r="BK107" s="3058"/>
      <c r="BL107" s="3056"/>
      <c r="BM107" s="3057">
        <f t="shared" si="16"/>
      </c>
      <c r="BN107" s="3054"/>
      <c r="BO107" s="3059"/>
      <c r="BP107" s="3058"/>
      <c r="BQ107" s="3058"/>
      <c r="BR107" s="3058"/>
      <c r="BS107" s="3058"/>
      <c r="BT107" s="3058"/>
      <c r="BU107" s="3058"/>
      <c r="BV107" s="3058"/>
      <c r="BW107" s="3058"/>
      <c r="BX107" s="3058"/>
      <c r="BY107" s="3058"/>
      <c r="BZ107" s="3058"/>
      <c r="CA107" s="3058"/>
      <c r="CB107" s="3058"/>
      <c r="CC107" s="3056"/>
      <c r="CD107" s="3057">
        <f t="shared" si="0"/>
      </c>
      <c r="CE107" s="3054"/>
      <c r="CF107" s="3054"/>
      <c r="CG107" s="3055"/>
      <c r="CH107" s="3055"/>
      <c r="CI107" s="3055"/>
      <c r="CJ107" s="3055"/>
      <c r="CK107" s="3055"/>
      <c r="CL107" s="3055"/>
      <c r="CM107" s="3055"/>
      <c r="CN107" s="3055"/>
      <c r="CO107" s="3055"/>
      <c r="CP107" s="3055"/>
      <c r="CQ107" s="3055"/>
      <c r="CR107" s="3055"/>
      <c r="CS107" s="3055"/>
      <c r="CU107" s="3054"/>
      <c r="CV107" s="696"/>
      <c r="CW107" s="696"/>
      <c r="CZ107" s="3060">
        <f t="shared" si="17"/>
      </c>
      <c r="DA107" s="3060">
        <f t="shared" si="1"/>
      </c>
      <c r="DB107" s="3060">
        <f t="shared" si="18"/>
      </c>
      <c r="DC107" s="3060">
        <f t="shared" si="19"/>
      </c>
      <c r="DD107" s="3060">
        <f t="shared" si="20"/>
      </c>
      <c r="DE107" s="3060">
        <f t="shared" si="21"/>
      </c>
      <c r="DF107" s="3060">
        <f t="shared" si="22"/>
      </c>
      <c r="DG107" s="3060">
        <f t="shared" si="23"/>
      </c>
      <c r="DH107" s="3060">
        <f t="shared" si="24"/>
      </c>
      <c r="DI107" s="3060">
        <f t="shared" si="1"/>
      </c>
    </row>
    <row r="108" ht="15" customHeight="1" s="3052" customFormat="1">
      <c r="A108" s="3061"/>
      <c r="B108" s="3054">
        <f t="shared" si="2"/>
      </c>
      <c r="C108" s="3054"/>
      <c r="D108" s="3054"/>
      <c r="E108" s="3055"/>
      <c r="F108" s="3055"/>
      <c r="G108" s="3055"/>
      <c r="H108" s="3055"/>
      <c r="I108" s="3055"/>
      <c r="J108" s="3055"/>
      <c r="K108" s="3055"/>
      <c r="L108" s="3055"/>
      <c r="M108" s="3055"/>
      <c r="N108" s="3055"/>
      <c r="O108" s="3055"/>
      <c r="P108" s="3055"/>
      <c r="Q108" s="3055"/>
      <c r="R108" s="3055">
        <f t="shared" si="3"/>
        <v>0</v>
      </c>
      <c r="S108" s="3055">
        <f t="shared" si="4"/>
        <v>0</v>
      </c>
      <c r="T108" s="3055">
        <f t="shared" si="5"/>
        <v>0</v>
      </c>
      <c r="U108" s="3055">
        <f t="shared" si="6"/>
        <v>0</v>
      </c>
      <c r="V108" s="3055">
        <f t="shared" si="7"/>
        <v>0</v>
      </c>
      <c r="W108" s="3055">
        <f t="shared" si="8"/>
        <v>0</v>
      </c>
      <c r="X108" s="3055">
        <f t="shared" si="9"/>
        <v>0</v>
      </c>
      <c r="Y108" s="3055">
        <f t="shared" si="10"/>
        <v>0</v>
      </c>
      <c r="Z108" s="3055">
        <f t="shared" si="11"/>
        <v>0</v>
      </c>
      <c r="AA108" s="3055">
        <f t="shared" si="12"/>
        <v>0</v>
      </c>
      <c r="AB108" s="3055">
        <f t="shared" si="13"/>
        <v>0</v>
      </c>
      <c r="AC108" s="3055">
        <f t="shared" si="14"/>
        <v>0</v>
      </c>
      <c r="AD108" s="3056"/>
      <c r="AE108" s="3057">
        <f t="shared" si="0"/>
      </c>
      <c r="AF108" s="3054"/>
      <c r="AG108" s="3059"/>
      <c r="AH108" s="3058"/>
      <c r="AI108" s="3058"/>
      <c r="AJ108" s="3058"/>
      <c r="AK108" s="3058"/>
      <c r="AL108" s="3058"/>
      <c r="AM108" s="3058"/>
      <c r="AN108" s="3058"/>
      <c r="AO108" s="3058"/>
      <c r="AP108" s="3058"/>
      <c r="AQ108" s="3058"/>
      <c r="AR108" s="3058"/>
      <c r="AS108" s="3058"/>
      <c r="AT108" s="3058"/>
      <c r="AU108" s="3056"/>
      <c r="AV108" s="3057">
        <f t="shared" si="15"/>
      </c>
      <c r="AW108" s="3054"/>
      <c r="AX108" s="3059"/>
      <c r="AY108" s="3058"/>
      <c r="AZ108" s="3058"/>
      <c r="BA108" s="3058"/>
      <c r="BB108" s="3058"/>
      <c r="BC108" s="3058"/>
      <c r="BD108" s="3058"/>
      <c r="BE108" s="3058"/>
      <c r="BF108" s="3058"/>
      <c r="BG108" s="3058"/>
      <c r="BH108" s="3058"/>
      <c r="BI108" s="3058"/>
      <c r="BJ108" s="3058"/>
      <c r="BK108" s="3058"/>
      <c r="BL108" s="3056"/>
      <c r="BM108" s="3057">
        <f t="shared" si="16"/>
      </c>
      <c r="BN108" s="3054"/>
      <c r="BO108" s="3059"/>
      <c r="BP108" s="3058"/>
      <c r="BQ108" s="3058"/>
      <c r="BR108" s="3058"/>
      <c r="BS108" s="3058"/>
      <c r="BT108" s="3058"/>
      <c r="BU108" s="3058"/>
      <c r="BV108" s="3058"/>
      <c r="BW108" s="3058"/>
      <c r="BX108" s="3058"/>
      <c r="BY108" s="3058"/>
      <c r="BZ108" s="3058"/>
      <c r="CA108" s="3058"/>
      <c r="CB108" s="3058"/>
      <c r="CC108" s="3056"/>
      <c r="CD108" s="3057">
        <f t="shared" si="0"/>
      </c>
      <c r="CE108" s="3054"/>
      <c r="CF108" s="3054"/>
      <c r="CG108" s="3055"/>
      <c r="CH108" s="3055"/>
      <c r="CI108" s="3055"/>
      <c r="CJ108" s="3055"/>
      <c r="CK108" s="3055"/>
      <c r="CL108" s="3055"/>
      <c r="CM108" s="3055"/>
      <c r="CN108" s="3055"/>
      <c r="CO108" s="3055"/>
      <c r="CP108" s="3055"/>
      <c r="CQ108" s="3055"/>
      <c r="CR108" s="3055"/>
      <c r="CS108" s="3055"/>
      <c r="CU108" s="3054"/>
      <c r="CV108" s="696"/>
      <c r="CW108" s="696"/>
      <c r="CZ108" s="3060">
        <f t="shared" si="17"/>
      </c>
      <c r="DA108" s="3060">
        <f t="shared" si="1"/>
      </c>
      <c r="DB108" s="3060">
        <f t="shared" si="18"/>
      </c>
      <c r="DC108" s="3060">
        <f t="shared" si="19"/>
      </c>
      <c r="DD108" s="3060">
        <f t="shared" si="20"/>
      </c>
      <c r="DE108" s="3060">
        <f t="shared" si="21"/>
      </c>
      <c r="DF108" s="3060">
        <f t="shared" si="22"/>
      </c>
      <c r="DG108" s="3060">
        <f t="shared" si="23"/>
      </c>
      <c r="DH108" s="3060">
        <f t="shared" si="24"/>
      </c>
      <c r="DI108" s="3060">
        <f t="shared" si="1"/>
      </c>
    </row>
    <row r="109" ht="15" customHeight="1" s="3052" customFormat="1">
      <c r="A109" s="3061"/>
      <c r="B109" s="3054">
        <f t="shared" si="2"/>
      </c>
      <c r="C109" s="3054"/>
      <c r="D109" s="3054"/>
      <c r="E109" s="3055"/>
      <c r="F109" s="3055"/>
      <c r="G109" s="3055"/>
      <c r="H109" s="3055"/>
      <c r="I109" s="3055"/>
      <c r="J109" s="3055"/>
      <c r="K109" s="3055"/>
      <c r="L109" s="3055"/>
      <c r="M109" s="3055"/>
      <c r="N109" s="3055"/>
      <c r="O109" s="3055"/>
      <c r="P109" s="3055"/>
      <c r="Q109" s="3055"/>
      <c r="R109" s="3055">
        <f t="shared" si="3"/>
        <v>0</v>
      </c>
      <c r="S109" s="3055">
        <f t="shared" si="4"/>
        <v>0</v>
      </c>
      <c r="T109" s="3055">
        <f t="shared" si="5"/>
        <v>0</v>
      </c>
      <c r="U109" s="3055">
        <f t="shared" si="6"/>
        <v>0</v>
      </c>
      <c r="V109" s="3055">
        <f t="shared" si="7"/>
        <v>0</v>
      </c>
      <c r="W109" s="3055">
        <f t="shared" si="8"/>
        <v>0</v>
      </c>
      <c r="X109" s="3055">
        <f t="shared" si="9"/>
        <v>0</v>
      </c>
      <c r="Y109" s="3055">
        <f t="shared" si="10"/>
        <v>0</v>
      </c>
      <c r="Z109" s="3055">
        <f t="shared" si="11"/>
        <v>0</v>
      </c>
      <c r="AA109" s="3055">
        <f t="shared" si="12"/>
        <v>0</v>
      </c>
      <c r="AB109" s="3055">
        <f t="shared" si="13"/>
        <v>0</v>
      </c>
      <c r="AC109" s="3055">
        <f t="shared" si="14"/>
        <v>0</v>
      </c>
      <c r="AD109" s="3056"/>
      <c r="AE109" s="3057">
        <f t="shared" si="0"/>
      </c>
      <c r="AF109" s="3054"/>
      <c r="AG109" s="3059"/>
      <c r="AH109" s="3058"/>
      <c r="AI109" s="3058"/>
      <c r="AJ109" s="3058"/>
      <c r="AK109" s="3058"/>
      <c r="AL109" s="3058"/>
      <c r="AM109" s="3058"/>
      <c r="AN109" s="3058"/>
      <c r="AO109" s="3058"/>
      <c r="AP109" s="3058"/>
      <c r="AQ109" s="3058"/>
      <c r="AR109" s="3058"/>
      <c r="AS109" s="3058"/>
      <c r="AT109" s="3058"/>
      <c r="AU109" s="3056"/>
      <c r="AV109" s="3057">
        <f t="shared" si="15"/>
      </c>
      <c r="AW109" s="3054"/>
      <c r="AX109" s="3059"/>
      <c r="AY109" s="3058"/>
      <c r="AZ109" s="3058"/>
      <c r="BA109" s="3058"/>
      <c r="BB109" s="3058"/>
      <c r="BC109" s="3058"/>
      <c r="BD109" s="3058"/>
      <c r="BE109" s="3058"/>
      <c r="BF109" s="3058"/>
      <c r="BG109" s="3058"/>
      <c r="BH109" s="3058"/>
      <c r="BI109" s="3058"/>
      <c r="BJ109" s="3058"/>
      <c r="BK109" s="3058"/>
      <c r="BL109" s="3056"/>
      <c r="BM109" s="3057">
        <f t="shared" si="16"/>
      </c>
      <c r="BN109" s="3054"/>
      <c r="BO109" s="3059"/>
      <c r="BP109" s="3058"/>
      <c r="BQ109" s="3058"/>
      <c r="BR109" s="3058"/>
      <c r="BS109" s="3058"/>
      <c r="BT109" s="3058"/>
      <c r="BU109" s="3058"/>
      <c r="BV109" s="3058"/>
      <c r="BW109" s="3058"/>
      <c r="BX109" s="3058"/>
      <c r="BY109" s="3058"/>
      <c r="BZ109" s="3058"/>
      <c r="CA109" s="3058"/>
      <c r="CB109" s="3058"/>
      <c r="CC109" s="3056"/>
      <c r="CD109" s="3057">
        <f t="shared" si="0"/>
      </c>
      <c r="CE109" s="3054"/>
      <c r="CF109" s="3054"/>
      <c r="CG109" s="3055"/>
      <c r="CH109" s="3055"/>
      <c r="CI109" s="3055"/>
      <c r="CJ109" s="3055"/>
      <c r="CK109" s="3055"/>
      <c r="CL109" s="3055"/>
      <c r="CM109" s="3055"/>
      <c r="CN109" s="3055"/>
      <c r="CO109" s="3055"/>
      <c r="CP109" s="3055"/>
      <c r="CQ109" s="3055"/>
      <c r="CR109" s="3055"/>
      <c r="CS109" s="3055"/>
      <c r="CU109" s="3054"/>
      <c r="CV109" s="696"/>
      <c r="CW109" s="696"/>
      <c r="CZ109" s="3060">
        <f t="shared" si="17"/>
      </c>
      <c r="DA109" s="3060">
        <f t="shared" si="1"/>
      </c>
      <c r="DB109" s="3060">
        <f t="shared" si="18"/>
      </c>
      <c r="DC109" s="3060">
        <f t="shared" si="19"/>
      </c>
      <c r="DD109" s="3060">
        <f t="shared" si="20"/>
      </c>
      <c r="DE109" s="3060">
        <f t="shared" si="21"/>
      </c>
      <c r="DF109" s="3060">
        <f t="shared" si="22"/>
      </c>
      <c r="DG109" s="3060">
        <f t="shared" si="23"/>
      </c>
      <c r="DH109" s="3060">
        <f t="shared" si="24"/>
      </c>
      <c r="DI109" s="3060">
        <f t="shared" si="1"/>
      </c>
    </row>
    <row r="110" ht="15" customHeight="1" s="3052" customFormat="1">
      <c r="A110" s="3061"/>
      <c r="B110" s="3054">
        <f t="shared" si="2"/>
      </c>
      <c r="C110" s="3054"/>
      <c r="D110" s="3054"/>
      <c r="E110" s="3055"/>
      <c r="F110" s="3055"/>
      <c r="G110" s="3055"/>
      <c r="H110" s="3055"/>
      <c r="I110" s="3055"/>
      <c r="J110" s="3055"/>
      <c r="K110" s="3055"/>
      <c r="L110" s="3055"/>
      <c r="M110" s="3055"/>
      <c r="N110" s="3055"/>
      <c r="O110" s="3055"/>
      <c r="P110" s="3055"/>
      <c r="Q110" s="3055"/>
      <c r="R110" s="3055">
        <f t="shared" si="3"/>
        <v>0</v>
      </c>
      <c r="S110" s="3055">
        <f t="shared" si="4"/>
        <v>0</v>
      </c>
      <c r="T110" s="3055">
        <f t="shared" si="5"/>
        <v>0</v>
      </c>
      <c r="U110" s="3055">
        <f t="shared" si="6"/>
        <v>0</v>
      </c>
      <c r="V110" s="3055">
        <f t="shared" si="7"/>
        <v>0</v>
      </c>
      <c r="W110" s="3055">
        <f t="shared" si="8"/>
        <v>0</v>
      </c>
      <c r="X110" s="3055">
        <f t="shared" si="9"/>
        <v>0</v>
      </c>
      <c r="Y110" s="3055">
        <f t="shared" si="10"/>
        <v>0</v>
      </c>
      <c r="Z110" s="3055">
        <f t="shared" si="11"/>
        <v>0</v>
      </c>
      <c r="AA110" s="3055">
        <f t="shared" si="12"/>
        <v>0</v>
      </c>
      <c r="AB110" s="3055">
        <f t="shared" si="13"/>
        <v>0</v>
      </c>
      <c r="AC110" s="3055">
        <f t="shared" si="14"/>
        <v>0</v>
      </c>
      <c r="AD110" s="3056"/>
      <c r="AE110" s="3057">
        <f t="shared" si="0"/>
      </c>
      <c r="AF110" s="3054"/>
      <c r="AG110" s="3059"/>
      <c r="AH110" s="3058"/>
      <c r="AI110" s="3058"/>
      <c r="AJ110" s="3058"/>
      <c r="AK110" s="3058"/>
      <c r="AL110" s="3058"/>
      <c r="AM110" s="3058"/>
      <c r="AN110" s="3058"/>
      <c r="AO110" s="3058"/>
      <c r="AP110" s="3058"/>
      <c r="AQ110" s="3058"/>
      <c r="AR110" s="3058"/>
      <c r="AS110" s="3058"/>
      <c r="AT110" s="3058"/>
      <c r="AU110" s="3056"/>
      <c r="AV110" s="3057">
        <f t="shared" si="15"/>
      </c>
      <c r="AW110" s="3054"/>
      <c r="AX110" s="3059"/>
      <c r="AY110" s="3058"/>
      <c r="AZ110" s="3058"/>
      <c r="BA110" s="3058"/>
      <c r="BB110" s="3058"/>
      <c r="BC110" s="3058"/>
      <c r="BD110" s="3058"/>
      <c r="BE110" s="3058"/>
      <c r="BF110" s="3058"/>
      <c r="BG110" s="3058"/>
      <c r="BH110" s="3058"/>
      <c r="BI110" s="3058"/>
      <c r="BJ110" s="3058"/>
      <c r="BK110" s="3058"/>
      <c r="BL110" s="3056"/>
      <c r="BM110" s="3057">
        <f t="shared" si="16"/>
      </c>
      <c r="BN110" s="3054"/>
      <c r="BO110" s="3059"/>
      <c r="BP110" s="3058"/>
      <c r="BQ110" s="3058"/>
      <c r="BR110" s="3058"/>
      <c r="BS110" s="3058"/>
      <c r="BT110" s="3058"/>
      <c r="BU110" s="3058"/>
      <c r="BV110" s="3058"/>
      <c r="BW110" s="3058"/>
      <c r="BX110" s="3058"/>
      <c r="BY110" s="3058"/>
      <c r="BZ110" s="3058"/>
      <c r="CA110" s="3058"/>
      <c r="CB110" s="3058"/>
      <c r="CC110" s="3056"/>
      <c r="CD110" s="3057">
        <f t="shared" si="0"/>
      </c>
      <c r="CE110" s="3054"/>
      <c r="CF110" s="3054"/>
      <c r="CG110" s="3055"/>
      <c r="CH110" s="3055"/>
      <c r="CI110" s="3055"/>
      <c r="CJ110" s="3055"/>
      <c r="CK110" s="3055"/>
      <c r="CL110" s="3055"/>
      <c r="CM110" s="3055"/>
      <c r="CN110" s="3055"/>
      <c r="CO110" s="3055"/>
      <c r="CP110" s="3055"/>
      <c r="CQ110" s="3055"/>
      <c r="CR110" s="3055"/>
      <c r="CS110" s="3055"/>
      <c r="CU110" s="3054"/>
      <c r="CV110" s="696"/>
      <c r="CW110" s="696"/>
      <c r="CZ110" s="3060">
        <f t="shared" si="17"/>
      </c>
      <c r="DA110" s="3060">
        <f t="shared" si="1"/>
      </c>
      <c r="DB110" s="3060">
        <f t="shared" si="18"/>
      </c>
      <c r="DC110" s="3060">
        <f t="shared" si="19"/>
      </c>
      <c r="DD110" s="3060">
        <f t="shared" si="20"/>
      </c>
      <c r="DE110" s="3060">
        <f t="shared" si="21"/>
      </c>
      <c r="DF110" s="3060">
        <f t="shared" si="22"/>
      </c>
      <c r="DG110" s="3060">
        <f t="shared" si="23"/>
      </c>
      <c r="DH110" s="3060">
        <f t="shared" si="24"/>
      </c>
      <c r="DI110" s="3060">
        <f t="shared" si="1"/>
      </c>
    </row>
    <row r="111" ht="15" customHeight="1" s="3052" customFormat="1">
      <c r="A111" s="3061"/>
      <c r="B111" s="3054">
        <f t="shared" si="2"/>
      </c>
      <c r="C111" s="3054"/>
      <c r="D111" s="3054"/>
      <c r="E111" s="3055"/>
      <c r="F111" s="3055"/>
      <c r="G111" s="3055"/>
      <c r="H111" s="3055"/>
      <c r="I111" s="3055"/>
      <c r="J111" s="3055"/>
      <c r="K111" s="3055"/>
      <c r="L111" s="3055"/>
      <c r="M111" s="3055"/>
      <c r="N111" s="3055"/>
      <c r="O111" s="3055"/>
      <c r="P111" s="3055"/>
      <c r="Q111" s="3055"/>
      <c r="R111" s="3055">
        <f t="shared" si="3"/>
        <v>0</v>
      </c>
      <c r="S111" s="3055">
        <f t="shared" si="4"/>
        <v>0</v>
      </c>
      <c r="T111" s="3055">
        <f t="shared" si="5"/>
        <v>0</v>
      </c>
      <c r="U111" s="3055">
        <f t="shared" si="6"/>
        <v>0</v>
      </c>
      <c r="V111" s="3055">
        <f t="shared" si="7"/>
        <v>0</v>
      </c>
      <c r="W111" s="3055">
        <f t="shared" si="8"/>
        <v>0</v>
      </c>
      <c r="X111" s="3055">
        <f t="shared" si="9"/>
        <v>0</v>
      </c>
      <c r="Y111" s="3055">
        <f t="shared" si="10"/>
        <v>0</v>
      </c>
      <c r="Z111" s="3055">
        <f t="shared" si="11"/>
        <v>0</v>
      </c>
      <c r="AA111" s="3055">
        <f t="shared" si="12"/>
        <v>0</v>
      </c>
      <c r="AB111" s="3055">
        <f t="shared" si="13"/>
        <v>0</v>
      </c>
      <c r="AC111" s="3055">
        <f t="shared" si="14"/>
        <v>0</v>
      </c>
      <c r="AD111" s="3056"/>
      <c r="AE111" s="3057">
        <f t="shared" si="0"/>
      </c>
      <c r="AF111" s="3054"/>
      <c r="AG111" s="3059"/>
      <c r="AH111" s="3058"/>
      <c r="AI111" s="3058"/>
      <c r="AJ111" s="3058"/>
      <c r="AK111" s="3058"/>
      <c r="AL111" s="3058"/>
      <c r="AM111" s="3058"/>
      <c r="AN111" s="3058"/>
      <c r="AO111" s="3058"/>
      <c r="AP111" s="3058"/>
      <c r="AQ111" s="3058"/>
      <c r="AR111" s="3058"/>
      <c r="AS111" s="3058"/>
      <c r="AT111" s="3058"/>
      <c r="AU111" s="3056"/>
      <c r="AV111" s="3057">
        <f t="shared" si="15"/>
      </c>
      <c r="AW111" s="3054"/>
      <c r="AX111" s="3059"/>
      <c r="AY111" s="3058"/>
      <c r="AZ111" s="3058"/>
      <c r="BA111" s="3058"/>
      <c r="BB111" s="3058"/>
      <c r="BC111" s="3058"/>
      <c r="BD111" s="3058"/>
      <c r="BE111" s="3058"/>
      <c r="BF111" s="3058"/>
      <c r="BG111" s="3058"/>
      <c r="BH111" s="3058"/>
      <c r="BI111" s="3058"/>
      <c r="BJ111" s="3058"/>
      <c r="BK111" s="3058"/>
      <c r="BL111" s="3056"/>
      <c r="BM111" s="3057">
        <f t="shared" si="16"/>
      </c>
      <c r="BN111" s="3054"/>
      <c r="BO111" s="3059"/>
      <c r="BP111" s="3058"/>
      <c r="BQ111" s="3058"/>
      <c r="BR111" s="3058"/>
      <c r="BS111" s="3058"/>
      <c r="BT111" s="3058"/>
      <c r="BU111" s="3058"/>
      <c r="BV111" s="3058"/>
      <c r="BW111" s="3058"/>
      <c r="BX111" s="3058"/>
      <c r="BY111" s="3058"/>
      <c r="BZ111" s="3058"/>
      <c r="CA111" s="3058"/>
      <c r="CB111" s="3058"/>
      <c r="CC111" s="3056"/>
      <c r="CD111" s="3057">
        <f t="shared" si="0"/>
      </c>
      <c r="CE111" s="3054"/>
      <c r="CF111" s="3054"/>
      <c r="CG111" s="3055"/>
      <c r="CH111" s="3055"/>
      <c r="CI111" s="3055"/>
      <c r="CJ111" s="3055"/>
      <c r="CK111" s="3055"/>
      <c r="CL111" s="3055"/>
      <c r="CM111" s="3055"/>
      <c r="CN111" s="3055"/>
      <c r="CO111" s="3055"/>
      <c r="CP111" s="3055"/>
      <c r="CQ111" s="3055"/>
      <c r="CR111" s="3055"/>
      <c r="CS111" s="3055"/>
      <c r="CU111" s="3054"/>
      <c r="CV111" s="696"/>
      <c r="CW111" s="696"/>
      <c r="CZ111" s="3060">
        <f t="shared" si="17"/>
      </c>
      <c r="DA111" s="3060">
        <f t="shared" si="1"/>
      </c>
      <c r="DB111" s="3060">
        <f t="shared" si="18"/>
      </c>
      <c r="DC111" s="3060">
        <f t="shared" si="19"/>
      </c>
      <c r="DD111" s="3060">
        <f t="shared" si="20"/>
      </c>
      <c r="DE111" s="3060">
        <f t="shared" si="21"/>
      </c>
      <c r="DF111" s="3060">
        <f t="shared" si="22"/>
      </c>
      <c r="DG111" s="3060">
        <f t="shared" si="23"/>
      </c>
      <c r="DH111" s="3060">
        <f t="shared" si="24"/>
      </c>
      <c r="DI111" s="3060">
        <f t="shared" si="1"/>
      </c>
    </row>
    <row r="112" ht="15" customHeight="1" s="3052" customFormat="1">
      <c r="A112" s="3061"/>
      <c r="B112" s="3054">
        <f t="shared" si="2"/>
      </c>
      <c r="C112" s="3054"/>
      <c r="D112" s="3054"/>
      <c r="E112" s="3055"/>
      <c r="F112" s="3055"/>
      <c r="G112" s="3055"/>
      <c r="H112" s="3055"/>
      <c r="I112" s="3055"/>
      <c r="J112" s="3055"/>
      <c r="K112" s="3055"/>
      <c r="L112" s="3055"/>
      <c r="M112" s="3055"/>
      <c r="N112" s="3055"/>
      <c r="O112" s="3055"/>
      <c r="P112" s="3055"/>
      <c r="Q112" s="3055"/>
      <c r="R112" s="3055">
        <f t="shared" si="3"/>
        <v>0</v>
      </c>
      <c r="S112" s="3055">
        <f t="shared" si="4"/>
        <v>0</v>
      </c>
      <c r="T112" s="3055">
        <f t="shared" si="5"/>
        <v>0</v>
      </c>
      <c r="U112" s="3055">
        <f t="shared" si="6"/>
        <v>0</v>
      </c>
      <c r="V112" s="3055">
        <f t="shared" si="7"/>
        <v>0</v>
      </c>
      <c r="W112" s="3055">
        <f t="shared" si="8"/>
        <v>0</v>
      </c>
      <c r="X112" s="3055">
        <f t="shared" si="9"/>
        <v>0</v>
      </c>
      <c r="Y112" s="3055">
        <f t="shared" si="10"/>
        <v>0</v>
      </c>
      <c r="Z112" s="3055">
        <f t="shared" si="11"/>
        <v>0</v>
      </c>
      <c r="AA112" s="3055">
        <f t="shared" si="12"/>
        <v>0</v>
      </c>
      <c r="AB112" s="3055">
        <f t="shared" si="13"/>
        <v>0</v>
      </c>
      <c r="AC112" s="3055">
        <f t="shared" si="14"/>
        <v>0</v>
      </c>
      <c r="AD112" s="3056"/>
      <c r="AE112" s="3057">
        <f t="shared" si="0"/>
      </c>
      <c r="AF112" s="3054"/>
      <c r="AG112" s="3059"/>
      <c r="AH112" s="3058"/>
      <c r="AI112" s="3058"/>
      <c r="AJ112" s="3058"/>
      <c r="AK112" s="3058"/>
      <c r="AL112" s="3058"/>
      <c r="AM112" s="3058"/>
      <c r="AN112" s="3058"/>
      <c r="AO112" s="3058"/>
      <c r="AP112" s="3058"/>
      <c r="AQ112" s="3058"/>
      <c r="AR112" s="3058"/>
      <c r="AS112" s="3058"/>
      <c r="AT112" s="3058"/>
      <c r="AU112" s="3056"/>
      <c r="AV112" s="3057">
        <f t="shared" si="15"/>
      </c>
      <c r="AW112" s="3054"/>
      <c r="AX112" s="3059"/>
      <c r="AY112" s="3058"/>
      <c r="AZ112" s="3058"/>
      <c r="BA112" s="3058"/>
      <c r="BB112" s="3058"/>
      <c r="BC112" s="3058"/>
      <c r="BD112" s="3058"/>
      <c r="BE112" s="3058"/>
      <c r="BF112" s="3058"/>
      <c r="BG112" s="3058"/>
      <c r="BH112" s="3058"/>
      <c r="BI112" s="3058"/>
      <c r="BJ112" s="3058"/>
      <c r="BK112" s="3058"/>
      <c r="BL112" s="3056"/>
      <c r="BM112" s="3057">
        <f t="shared" si="16"/>
      </c>
      <c r="BN112" s="3054"/>
      <c r="BO112" s="3059"/>
      <c r="BP112" s="3058"/>
      <c r="BQ112" s="3058"/>
      <c r="BR112" s="3058"/>
      <c r="BS112" s="3058"/>
      <c r="BT112" s="3058"/>
      <c r="BU112" s="3058"/>
      <c r="BV112" s="3058"/>
      <c r="BW112" s="3058"/>
      <c r="BX112" s="3058"/>
      <c r="BY112" s="3058"/>
      <c r="BZ112" s="3058"/>
      <c r="CA112" s="3058"/>
      <c r="CB112" s="3058"/>
      <c r="CC112" s="3056"/>
      <c r="CD112" s="3057">
        <f t="shared" si="0"/>
      </c>
      <c r="CE112" s="3054"/>
      <c r="CF112" s="3054"/>
      <c r="CG112" s="3055"/>
      <c r="CH112" s="3055"/>
      <c r="CI112" s="3055"/>
      <c r="CJ112" s="3055"/>
      <c r="CK112" s="3055"/>
      <c r="CL112" s="3055"/>
      <c r="CM112" s="3055"/>
      <c r="CN112" s="3055"/>
      <c r="CO112" s="3055"/>
      <c r="CP112" s="3055"/>
      <c r="CQ112" s="3055"/>
      <c r="CR112" s="3055"/>
      <c r="CS112" s="3055"/>
      <c r="CU112" s="3054"/>
      <c r="CV112" s="696"/>
      <c r="CW112" s="696"/>
      <c r="CZ112" s="3060">
        <f t="shared" si="17"/>
      </c>
      <c r="DA112" s="3060">
        <f t="shared" si="1"/>
      </c>
      <c r="DB112" s="3060">
        <f t="shared" si="18"/>
      </c>
      <c r="DC112" s="3060">
        <f t="shared" si="19"/>
      </c>
      <c r="DD112" s="3060">
        <f t="shared" si="20"/>
      </c>
      <c r="DE112" s="3060">
        <f t="shared" si="21"/>
      </c>
      <c r="DF112" s="3060">
        <f t="shared" si="22"/>
      </c>
      <c r="DG112" s="3060">
        <f t="shared" si="23"/>
      </c>
      <c r="DH112" s="3060">
        <f t="shared" si="24"/>
      </c>
      <c r="DI112" s="3060">
        <f t="shared" si="1"/>
      </c>
    </row>
    <row r="113" ht="15" customHeight="1" s="3052" customFormat="1">
      <c r="A113" s="3061"/>
      <c r="B113" s="3054">
        <f t="shared" si="2"/>
      </c>
      <c r="C113" s="3054"/>
      <c r="D113" s="3054"/>
      <c r="E113" s="3055"/>
      <c r="F113" s="3055"/>
      <c r="G113" s="3055"/>
      <c r="H113" s="3055"/>
      <c r="I113" s="3055"/>
      <c r="J113" s="3055"/>
      <c r="K113" s="3055"/>
      <c r="L113" s="3055"/>
      <c r="M113" s="3055"/>
      <c r="N113" s="3055"/>
      <c r="O113" s="3055"/>
      <c r="P113" s="3055"/>
      <c r="Q113" s="3055"/>
      <c r="R113" s="3055">
        <f t="shared" si="3"/>
        <v>0</v>
      </c>
      <c r="S113" s="3055">
        <f t="shared" si="4"/>
        <v>0</v>
      </c>
      <c r="T113" s="3055">
        <f t="shared" si="5"/>
        <v>0</v>
      </c>
      <c r="U113" s="3055">
        <f t="shared" si="6"/>
        <v>0</v>
      </c>
      <c r="V113" s="3055">
        <f t="shared" si="7"/>
        <v>0</v>
      </c>
      <c r="W113" s="3055">
        <f t="shared" si="8"/>
        <v>0</v>
      </c>
      <c r="X113" s="3055">
        <f t="shared" si="9"/>
        <v>0</v>
      </c>
      <c r="Y113" s="3055">
        <f t="shared" si="10"/>
        <v>0</v>
      </c>
      <c r="Z113" s="3055">
        <f t="shared" si="11"/>
        <v>0</v>
      </c>
      <c r="AA113" s="3055">
        <f t="shared" si="12"/>
        <v>0</v>
      </c>
      <c r="AB113" s="3055">
        <f t="shared" si="13"/>
        <v>0</v>
      </c>
      <c r="AC113" s="3055">
        <f t="shared" si="14"/>
        <v>0</v>
      </c>
      <c r="AD113" s="3056"/>
      <c r="AE113" s="3057">
        <f t="shared" si="0"/>
      </c>
      <c r="AF113" s="3054"/>
      <c r="AG113" s="3059"/>
      <c r="AH113" s="3058"/>
      <c r="AI113" s="3058"/>
      <c r="AJ113" s="3058"/>
      <c r="AK113" s="3058"/>
      <c r="AL113" s="3058"/>
      <c r="AM113" s="3058"/>
      <c r="AN113" s="3058"/>
      <c r="AO113" s="3058"/>
      <c r="AP113" s="3058"/>
      <c r="AQ113" s="3058"/>
      <c r="AR113" s="3058"/>
      <c r="AS113" s="3058"/>
      <c r="AT113" s="3058"/>
      <c r="AU113" s="3056"/>
      <c r="AV113" s="3057">
        <f t="shared" si="15"/>
      </c>
      <c r="AW113" s="3054"/>
      <c r="AX113" s="3059"/>
      <c r="AY113" s="3058"/>
      <c r="AZ113" s="3058"/>
      <c r="BA113" s="3058"/>
      <c r="BB113" s="3058"/>
      <c r="BC113" s="3058"/>
      <c r="BD113" s="3058"/>
      <c r="BE113" s="3058"/>
      <c r="BF113" s="3058"/>
      <c r="BG113" s="3058"/>
      <c r="BH113" s="3058"/>
      <c r="BI113" s="3058"/>
      <c r="BJ113" s="3058"/>
      <c r="BK113" s="3058"/>
      <c r="BL113" s="3056"/>
      <c r="BM113" s="3057">
        <f t="shared" si="16"/>
      </c>
      <c r="BN113" s="3054"/>
      <c r="BO113" s="3059"/>
      <c r="BP113" s="3058"/>
      <c r="BQ113" s="3058"/>
      <c r="BR113" s="3058"/>
      <c r="BS113" s="3058"/>
      <c r="BT113" s="3058"/>
      <c r="BU113" s="3058"/>
      <c r="BV113" s="3058"/>
      <c r="BW113" s="3058"/>
      <c r="BX113" s="3058"/>
      <c r="BY113" s="3058"/>
      <c r="BZ113" s="3058"/>
      <c r="CA113" s="3058"/>
      <c r="CB113" s="3058"/>
      <c r="CC113" s="3056"/>
      <c r="CD113" s="3057">
        <f t="shared" si="0"/>
      </c>
      <c r="CE113" s="3054"/>
      <c r="CF113" s="3054"/>
      <c r="CG113" s="3055"/>
      <c r="CH113" s="3055"/>
      <c r="CI113" s="3055"/>
      <c r="CJ113" s="3055"/>
      <c r="CK113" s="3055"/>
      <c r="CL113" s="3055"/>
      <c r="CM113" s="3055"/>
      <c r="CN113" s="3055"/>
      <c r="CO113" s="3055"/>
      <c r="CP113" s="3055"/>
      <c r="CQ113" s="3055"/>
      <c r="CR113" s="3055"/>
      <c r="CS113" s="3055"/>
      <c r="CU113" s="3054"/>
      <c r="CV113" s="696"/>
      <c r="CW113" s="696"/>
      <c r="CZ113" s="3060">
        <f t="shared" si="17"/>
      </c>
      <c r="DA113" s="3060">
        <f t="shared" si="1"/>
      </c>
      <c r="DB113" s="3060">
        <f t="shared" si="18"/>
      </c>
      <c r="DC113" s="3060">
        <f t="shared" si="19"/>
      </c>
      <c r="DD113" s="3060">
        <f t="shared" si="20"/>
      </c>
      <c r="DE113" s="3060">
        <f t="shared" si="21"/>
      </c>
      <c r="DF113" s="3060">
        <f t="shared" si="22"/>
      </c>
      <c r="DG113" s="3060">
        <f t="shared" si="23"/>
      </c>
      <c r="DH113" s="3060">
        <f t="shared" si="24"/>
      </c>
      <c r="DI113" s="3060">
        <f t="shared" si="1"/>
      </c>
    </row>
    <row r="114" ht="15" customHeight="1" s="3052" customFormat="1">
      <c r="A114" s="3061"/>
      <c r="B114" s="3054">
        <f t="shared" si="2"/>
      </c>
      <c r="C114" s="3054"/>
      <c r="D114" s="3054"/>
      <c r="E114" s="3055"/>
      <c r="F114" s="3055"/>
      <c r="G114" s="3055"/>
      <c r="H114" s="3055"/>
      <c r="I114" s="3055"/>
      <c r="J114" s="3055"/>
      <c r="K114" s="3055"/>
      <c r="L114" s="3055"/>
      <c r="M114" s="3055"/>
      <c r="N114" s="3055"/>
      <c r="O114" s="3055"/>
      <c r="P114" s="3055"/>
      <c r="Q114" s="3055"/>
      <c r="R114" s="3055">
        <f t="shared" si="3"/>
        <v>0</v>
      </c>
      <c r="S114" s="3055">
        <f t="shared" si="4"/>
        <v>0</v>
      </c>
      <c r="T114" s="3055">
        <f t="shared" si="5"/>
        <v>0</v>
      </c>
      <c r="U114" s="3055">
        <f t="shared" si="6"/>
        <v>0</v>
      </c>
      <c r="V114" s="3055">
        <f t="shared" si="7"/>
        <v>0</v>
      </c>
      <c r="W114" s="3055">
        <f t="shared" si="8"/>
        <v>0</v>
      </c>
      <c r="X114" s="3055">
        <f t="shared" si="9"/>
        <v>0</v>
      </c>
      <c r="Y114" s="3055">
        <f t="shared" si="10"/>
        <v>0</v>
      </c>
      <c r="Z114" s="3055">
        <f t="shared" si="11"/>
        <v>0</v>
      </c>
      <c r="AA114" s="3055">
        <f t="shared" si="12"/>
        <v>0</v>
      </c>
      <c r="AB114" s="3055">
        <f t="shared" si="13"/>
        <v>0</v>
      </c>
      <c r="AC114" s="3055">
        <f t="shared" si="14"/>
        <v>0</v>
      </c>
      <c r="AD114" s="3056"/>
      <c r="AE114" s="3057">
        <f t="shared" si="0"/>
      </c>
      <c r="AF114" s="3054"/>
      <c r="AG114" s="3059"/>
      <c r="AH114" s="3058"/>
      <c r="AI114" s="3058"/>
      <c r="AJ114" s="3058"/>
      <c r="AK114" s="3058"/>
      <c r="AL114" s="3058"/>
      <c r="AM114" s="3058"/>
      <c r="AN114" s="3058"/>
      <c r="AO114" s="3058"/>
      <c r="AP114" s="3058"/>
      <c r="AQ114" s="3058"/>
      <c r="AR114" s="3058"/>
      <c r="AS114" s="3058"/>
      <c r="AT114" s="3058"/>
      <c r="AU114" s="3056"/>
      <c r="AV114" s="3057">
        <f t="shared" si="15"/>
      </c>
      <c r="AW114" s="3054"/>
      <c r="AX114" s="3059"/>
      <c r="AY114" s="3058"/>
      <c r="AZ114" s="3058"/>
      <c r="BA114" s="3058"/>
      <c r="BB114" s="3058"/>
      <c r="BC114" s="3058"/>
      <c r="BD114" s="3058"/>
      <c r="BE114" s="3058"/>
      <c r="BF114" s="3058"/>
      <c r="BG114" s="3058"/>
      <c r="BH114" s="3058"/>
      <c r="BI114" s="3058"/>
      <c r="BJ114" s="3058"/>
      <c r="BK114" s="3058"/>
      <c r="BL114" s="3056"/>
      <c r="BM114" s="3057">
        <f t="shared" si="16"/>
      </c>
      <c r="BN114" s="3054"/>
      <c r="BO114" s="3059"/>
      <c r="BP114" s="3058"/>
      <c r="BQ114" s="3058"/>
      <c r="BR114" s="3058"/>
      <c r="BS114" s="3058"/>
      <c r="BT114" s="3058"/>
      <c r="BU114" s="3058"/>
      <c r="BV114" s="3058"/>
      <c r="BW114" s="3058"/>
      <c r="BX114" s="3058"/>
      <c r="BY114" s="3058"/>
      <c r="BZ114" s="3058"/>
      <c r="CA114" s="3058"/>
      <c r="CB114" s="3058"/>
      <c r="CC114" s="3056"/>
      <c r="CD114" s="3057">
        <f t="shared" si="0"/>
      </c>
      <c r="CE114" s="3054"/>
      <c r="CF114" s="3054"/>
      <c r="CG114" s="3055"/>
      <c r="CH114" s="3055"/>
      <c r="CI114" s="3055"/>
      <c r="CJ114" s="3055"/>
      <c r="CK114" s="3055"/>
      <c r="CL114" s="3055"/>
      <c r="CM114" s="3055"/>
      <c r="CN114" s="3055"/>
      <c r="CO114" s="3055"/>
      <c r="CP114" s="3055"/>
      <c r="CQ114" s="3055"/>
      <c r="CR114" s="3055"/>
      <c r="CS114" s="3055"/>
      <c r="CU114" s="3054"/>
      <c r="CV114" s="696"/>
      <c r="CW114" s="696"/>
      <c r="CZ114" s="3060">
        <f t="shared" si="17"/>
      </c>
      <c r="DA114" s="3060">
        <f t="shared" si="1"/>
      </c>
      <c r="DB114" s="3060">
        <f t="shared" si="18"/>
      </c>
      <c r="DC114" s="3060">
        <f t="shared" si="19"/>
      </c>
      <c r="DD114" s="3060">
        <f t="shared" si="20"/>
      </c>
      <c r="DE114" s="3060">
        <f t="shared" si="21"/>
      </c>
      <c r="DF114" s="3060">
        <f t="shared" si="22"/>
      </c>
      <c r="DG114" s="3060">
        <f t="shared" si="23"/>
      </c>
      <c r="DH114" s="3060">
        <f t="shared" si="24"/>
      </c>
      <c r="DI114" s="3060">
        <f t="shared" si="1"/>
      </c>
    </row>
    <row r="115" ht="15" customHeight="1" s="3052" customFormat="1">
      <c r="A115" s="3061"/>
      <c r="B115" s="3054">
        <f t="shared" si="2"/>
      </c>
      <c r="C115" s="3054"/>
      <c r="D115" s="3054"/>
      <c r="E115" s="3055"/>
      <c r="F115" s="3055"/>
      <c r="G115" s="3055"/>
      <c r="H115" s="3055"/>
      <c r="I115" s="3055"/>
      <c r="J115" s="3055"/>
      <c r="K115" s="3055"/>
      <c r="L115" s="3055"/>
      <c r="M115" s="3055"/>
      <c r="N115" s="3055"/>
      <c r="O115" s="3055"/>
      <c r="P115" s="3055"/>
      <c r="Q115" s="3055"/>
      <c r="R115" s="3055">
        <f t="shared" si="3"/>
        <v>0</v>
      </c>
      <c r="S115" s="3055">
        <f t="shared" si="4"/>
        <v>0</v>
      </c>
      <c r="T115" s="3055">
        <f t="shared" si="5"/>
        <v>0</v>
      </c>
      <c r="U115" s="3055">
        <f t="shared" si="6"/>
        <v>0</v>
      </c>
      <c r="V115" s="3055">
        <f t="shared" si="7"/>
        <v>0</v>
      </c>
      <c r="W115" s="3055">
        <f t="shared" si="8"/>
        <v>0</v>
      </c>
      <c r="X115" s="3055">
        <f t="shared" si="9"/>
        <v>0</v>
      </c>
      <c r="Y115" s="3055">
        <f t="shared" si="10"/>
        <v>0</v>
      </c>
      <c r="Z115" s="3055">
        <f t="shared" si="11"/>
        <v>0</v>
      </c>
      <c r="AA115" s="3055">
        <f t="shared" si="12"/>
        <v>0</v>
      </c>
      <c r="AB115" s="3055">
        <f t="shared" si="13"/>
        <v>0</v>
      </c>
      <c r="AC115" s="3055">
        <f t="shared" si="14"/>
        <v>0</v>
      </c>
      <c r="AD115" s="3056"/>
      <c r="AE115" s="3057">
        <f t="shared" si="0"/>
      </c>
      <c r="AF115" s="3054"/>
      <c r="AG115" s="3059"/>
      <c r="AH115" s="3058"/>
      <c r="AI115" s="3058"/>
      <c r="AJ115" s="3058"/>
      <c r="AK115" s="3058"/>
      <c r="AL115" s="3058"/>
      <c r="AM115" s="3058"/>
      <c r="AN115" s="3058"/>
      <c r="AO115" s="3058"/>
      <c r="AP115" s="3058"/>
      <c r="AQ115" s="3058"/>
      <c r="AR115" s="3058"/>
      <c r="AS115" s="3058"/>
      <c r="AT115" s="3058"/>
      <c r="AU115" s="3056"/>
      <c r="AV115" s="3057">
        <f t="shared" si="15"/>
      </c>
      <c r="AW115" s="3054"/>
      <c r="AX115" s="3059"/>
      <c r="AY115" s="3058"/>
      <c r="AZ115" s="3058"/>
      <c r="BA115" s="3058"/>
      <c r="BB115" s="3058"/>
      <c r="BC115" s="3058"/>
      <c r="BD115" s="3058"/>
      <c r="BE115" s="3058"/>
      <c r="BF115" s="3058"/>
      <c r="BG115" s="3058"/>
      <c r="BH115" s="3058"/>
      <c r="BI115" s="3058"/>
      <c r="BJ115" s="3058"/>
      <c r="BK115" s="3058"/>
      <c r="BL115" s="3056"/>
      <c r="BM115" s="3057">
        <f t="shared" si="16"/>
      </c>
      <c r="BN115" s="3054"/>
      <c r="BO115" s="3059"/>
      <c r="BP115" s="3058"/>
      <c r="BQ115" s="3058"/>
      <c r="BR115" s="3058"/>
      <c r="BS115" s="3058"/>
      <c r="BT115" s="3058"/>
      <c r="BU115" s="3058"/>
      <c r="BV115" s="3058"/>
      <c r="BW115" s="3058"/>
      <c r="BX115" s="3058"/>
      <c r="BY115" s="3058"/>
      <c r="BZ115" s="3058"/>
      <c r="CA115" s="3058"/>
      <c r="CB115" s="3058"/>
      <c r="CC115" s="3056"/>
      <c r="CD115" s="3057">
        <f t="shared" si="0"/>
      </c>
      <c r="CE115" s="3054"/>
      <c r="CF115" s="3054"/>
      <c r="CG115" s="3055"/>
      <c r="CH115" s="3055"/>
      <c r="CI115" s="3055"/>
      <c r="CJ115" s="3055"/>
      <c r="CK115" s="3055"/>
      <c r="CL115" s="3055"/>
      <c r="CM115" s="3055"/>
      <c r="CN115" s="3055"/>
      <c r="CO115" s="3055"/>
      <c r="CP115" s="3055"/>
      <c r="CQ115" s="3055"/>
      <c r="CR115" s="3055"/>
      <c r="CS115" s="3055"/>
      <c r="CU115" s="3054"/>
      <c r="CV115" s="696"/>
      <c r="CW115" s="696"/>
      <c r="CZ115" s="3060">
        <f t="shared" si="17"/>
      </c>
      <c r="DA115" s="3060">
        <f t="shared" si="1"/>
      </c>
      <c r="DB115" s="3060">
        <f t="shared" si="18"/>
      </c>
      <c r="DC115" s="3060">
        <f t="shared" si="19"/>
      </c>
      <c r="DD115" s="3060">
        <f t="shared" si="20"/>
      </c>
      <c r="DE115" s="3060">
        <f t="shared" si="21"/>
      </c>
      <c r="DF115" s="3060">
        <f t="shared" si="22"/>
      </c>
      <c r="DG115" s="3060">
        <f t="shared" si="23"/>
      </c>
      <c r="DH115" s="3060">
        <f t="shared" si="24"/>
      </c>
      <c r="DI115" s="3060">
        <f t="shared" si="1"/>
      </c>
    </row>
    <row r="116" ht="15" customHeight="1" s="3052" customFormat="1">
      <c r="A116" s="3061"/>
      <c r="B116" s="3054">
        <f t="shared" si="2"/>
      </c>
      <c r="C116" s="3054"/>
      <c r="D116" s="3054"/>
      <c r="E116" s="3055"/>
      <c r="F116" s="3055"/>
      <c r="G116" s="3055"/>
      <c r="H116" s="3055"/>
      <c r="I116" s="3055"/>
      <c r="J116" s="3055"/>
      <c r="K116" s="3055"/>
      <c r="L116" s="3055"/>
      <c r="M116" s="3055"/>
      <c r="N116" s="3055"/>
      <c r="O116" s="3055"/>
      <c r="P116" s="3055"/>
      <c r="Q116" s="3055"/>
      <c r="R116" s="3055">
        <f t="shared" si="3"/>
        <v>0</v>
      </c>
      <c r="S116" s="3055">
        <f t="shared" si="4"/>
        <v>0</v>
      </c>
      <c r="T116" s="3055">
        <f t="shared" si="5"/>
        <v>0</v>
      </c>
      <c r="U116" s="3055">
        <f t="shared" si="6"/>
        <v>0</v>
      </c>
      <c r="V116" s="3055">
        <f t="shared" si="7"/>
        <v>0</v>
      </c>
      <c r="W116" s="3055">
        <f t="shared" si="8"/>
        <v>0</v>
      </c>
      <c r="X116" s="3055">
        <f t="shared" si="9"/>
        <v>0</v>
      </c>
      <c r="Y116" s="3055">
        <f t="shared" si="10"/>
        <v>0</v>
      </c>
      <c r="Z116" s="3055">
        <f t="shared" si="11"/>
        <v>0</v>
      </c>
      <c r="AA116" s="3055">
        <f t="shared" si="12"/>
        <v>0</v>
      </c>
      <c r="AB116" s="3055">
        <f t="shared" si="13"/>
        <v>0</v>
      </c>
      <c r="AC116" s="3055">
        <f t="shared" si="14"/>
        <v>0</v>
      </c>
      <c r="AD116" s="3056"/>
      <c r="AE116" s="3057">
        <f t="shared" si="0"/>
      </c>
      <c r="AF116" s="3054"/>
      <c r="AG116" s="3059"/>
      <c r="AH116" s="3058"/>
      <c r="AI116" s="3058"/>
      <c r="AJ116" s="3058"/>
      <c r="AK116" s="3058"/>
      <c r="AL116" s="3058"/>
      <c r="AM116" s="3058"/>
      <c r="AN116" s="3058"/>
      <c r="AO116" s="3058"/>
      <c r="AP116" s="3058"/>
      <c r="AQ116" s="3058"/>
      <c r="AR116" s="3058"/>
      <c r="AS116" s="3058"/>
      <c r="AT116" s="3058"/>
      <c r="AU116" s="3056"/>
      <c r="AV116" s="3057">
        <f t="shared" si="15"/>
      </c>
      <c r="AW116" s="3054"/>
      <c r="AX116" s="3059"/>
      <c r="AY116" s="3058"/>
      <c r="AZ116" s="3058"/>
      <c r="BA116" s="3058"/>
      <c r="BB116" s="3058"/>
      <c r="BC116" s="3058"/>
      <c r="BD116" s="3058"/>
      <c r="BE116" s="3058"/>
      <c r="BF116" s="3058"/>
      <c r="BG116" s="3058"/>
      <c r="BH116" s="3058"/>
      <c r="BI116" s="3058"/>
      <c r="BJ116" s="3058"/>
      <c r="BK116" s="3058"/>
      <c r="BL116" s="3056"/>
      <c r="BM116" s="3057">
        <f t="shared" si="16"/>
      </c>
      <c r="BN116" s="3054"/>
      <c r="BO116" s="3059"/>
      <c r="BP116" s="3058"/>
      <c r="BQ116" s="3058"/>
      <c r="BR116" s="3058"/>
      <c r="BS116" s="3058"/>
      <c r="BT116" s="3058"/>
      <c r="BU116" s="3058"/>
      <c r="BV116" s="3058"/>
      <c r="BW116" s="3058"/>
      <c r="BX116" s="3058"/>
      <c r="BY116" s="3058"/>
      <c r="BZ116" s="3058"/>
      <c r="CA116" s="3058"/>
      <c r="CB116" s="3058"/>
      <c r="CC116" s="3056"/>
      <c r="CD116" s="3057">
        <f t="shared" si="0"/>
      </c>
      <c r="CE116" s="3054"/>
      <c r="CF116" s="3054"/>
      <c r="CG116" s="3055"/>
      <c r="CH116" s="3055"/>
      <c r="CI116" s="3055"/>
      <c r="CJ116" s="3055"/>
      <c r="CK116" s="3055"/>
      <c r="CL116" s="3055"/>
      <c r="CM116" s="3055"/>
      <c r="CN116" s="3055"/>
      <c r="CO116" s="3055"/>
      <c r="CP116" s="3055"/>
      <c r="CQ116" s="3055"/>
      <c r="CR116" s="3055"/>
      <c r="CS116" s="3055"/>
      <c r="CU116" s="3054"/>
      <c r="CV116" s="696"/>
      <c r="CW116" s="696"/>
      <c r="CZ116" s="3060">
        <f t="shared" si="17"/>
      </c>
      <c r="DA116" s="3060">
        <f t="shared" si="1"/>
      </c>
      <c r="DB116" s="3060">
        <f t="shared" si="18"/>
      </c>
      <c r="DC116" s="3060">
        <f t="shared" si="19"/>
      </c>
      <c r="DD116" s="3060">
        <f t="shared" si="20"/>
      </c>
      <c r="DE116" s="3060">
        <f t="shared" si="21"/>
      </c>
      <c r="DF116" s="3060">
        <f t="shared" si="22"/>
      </c>
      <c r="DG116" s="3060">
        <f t="shared" si="23"/>
      </c>
      <c r="DH116" s="3060">
        <f t="shared" si="24"/>
      </c>
      <c r="DI116" s="3060">
        <f t="shared" si="1"/>
      </c>
    </row>
    <row r="117" ht="15" customHeight="1" s="3052" customFormat="1">
      <c r="A117" s="3061"/>
      <c r="B117" s="3054">
        <f t="shared" si="2"/>
      </c>
      <c r="C117" s="3054"/>
      <c r="D117" s="3054"/>
      <c r="E117" s="3055"/>
      <c r="F117" s="3055"/>
      <c r="G117" s="3055"/>
      <c r="H117" s="3055"/>
      <c r="I117" s="3055"/>
      <c r="J117" s="3055"/>
      <c r="K117" s="3055"/>
      <c r="L117" s="3055"/>
      <c r="M117" s="3055"/>
      <c r="N117" s="3055"/>
      <c r="O117" s="3055"/>
      <c r="P117" s="3055"/>
      <c r="Q117" s="3055"/>
      <c r="R117" s="3055">
        <f t="shared" si="3"/>
        <v>0</v>
      </c>
      <c r="S117" s="3055">
        <f t="shared" si="4"/>
        <v>0</v>
      </c>
      <c r="T117" s="3055">
        <f t="shared" si="5"/>
        <v>0</v>
      </c>
      <c r="U117" s="3055">
        <f t="shared" si="6"/>
        <v>0</v>
      </c>
      <c r="V117" s="3055">
        <f t="shared" si="7"/>
        <v>0</v>
      </c>
      <c r="W117" s="3055">
        <f t="shared" si="8"/>
        <v>0</v>
      </c>
      <c r="X117" s="3055">
        <f t="shared" si="9"/>
        <v>0</v>
      </c>
      <c r="Y117" s="3055">
        <f t="shared" si="10"/>
        <v>0</v>
      </c>
      <c r="Z117" s="3055">
        <f t="shared" si="11"/>
        <v>0</v>
      </c>
      <c r="AA117" s="3055">
        <f t="shared" si="12"/>
        <v>0</v>
      </c>
      <c r="AB117" s="3055">
        <f t="shared" si="13"/>
        <v>0</v>
      </c>
      <c r="AC117" s="3055">
        <f t="shared" si="14"/>
        <v>0</v>
      </c>
      <c r="AD117" s="3056"/>
      <c r="AE117" s="3057">
        <f t="shared" si="0"/>
      </c>
      <c r="AF117" s="3054"/>
      <c r="AG117" s="3059"/>
      <c r="AH117" s="3058"/>
      <c r="AI117" s="3058"/>
      <c r="AJ117" s="3058"/>
      <c r="AK117" s="3058"/>
      <c r="AL117" s="3058"/>
      <c r="AM117" s="3058"/>
      <c r="AN117" s="3058"/>
      <c r="AO117" s="3058"/>
      <c r="AP117" s="3058"/>
      <c r="AQ117" s="3058"/>
      <c r="AR117" s="3058"/>
      <c r="AS117" s="3058"/>
      <c r="AT117" s="3058"/>
      <c r="AU117" s="3056"/>
      <c r="AV117" s="3057">
        <f t="shared" si="15"/>
      </c>
      <c r="AW117" s="3054"/>
      <c r="AX117" s="3059"/>
      <c r="AY117" s="3058"/>
      <c r="AZ117" s="3058"/>
      <c r="BA117" s="3058"/>
      <c r="BB117" s="3058"/>
      <c r="BC117" s="3058"/>
      <c r="BD117" s="3058"/>
      <c r="BE117" s="3058"/>
      <c r="BF117" s="3058"/>
      <c r="BG117" s="3058"/>
      <c r="BH117" s="3058"/>
      <c r="BI117" s="3058"/>
      <c r="BJ117" s="3058"/>
      <c r="BK117" s="3058"/>
      <c r="BL117" s="3056"/>
      <c r="BM117" s="3057">
        <f t="shared" si="16"/>
      </c>
      <c r="BN117" s="3054"/>
      <c r="BO117" s="3059"/>
      <c r="BP117" s="3058"/>
      <c r="BQ117" s="3058"/>
      <c r="BR117" s="3058"/>
      <c r="BS117" s="3058"/>
      <c r="BT117" s="3058"/>
      <c r="BU117" s="3058"/>
      <c r="BV117" s="3058"/>
      <c r="BW117" s="3058"/>
      <c r="BX117" s="3058"/>
      <c r="BY117" s="3058"/>
      <c r="BZ117" s="3058"/>
      <c r="CA117" s="3058"/>
      <c r="CB117" s="3058"/>
      <c r="CC117" s="3056"/>
      <c r="CD117" s="3057">
        <f t="shared" si="0"/>
      </c>
      <c r="CE117" s="3054"/>
      <c r="CF117" s="3054"/>
      <c r="CG117" s="3055"/>
      <c r="CH117" s="3055"/>
      <c r="CI117" s="3055"/>
      <c r="CJ117" s="3055"/>
      <c r="CK117" s="3055"/>
      <c r="CL117" s="3055"/>
      <c r="CM117" s="3055"/>
      <c r="CN117" s="3055"/>
      <c r="CO117" s="3055"/>
      <c r="CP117" s="3055"/>
      <c r="CQ117" s="3055"/>
      <c r="CR117" s="3055"/>
      <c r="CS117" s="3055"/>
      <c r="CU117" s="3054"/>
      <c r="CV117" s="696"/>
      <c r="CW117" s="696"/>
      <c r="CZ117" s="3060">
        <f t="shared" si="17"/>
      </c>
      <c r="DA117" s="3060">
        <f t="shared" si="1"/>
      </c>
      <c r="DB117" s="3060">
        <f t="shared" si="18"/>
      </c>
      <c r="DC117" s="3060">
        <f t="shared" si="19"/>
      </c>
      <c r="DD117" s="3060">
        <f t="shared" si="20"/>
      </c>
      <c r="DE117" s="3060">
        <f t="shared" si="21"/>
      </c>
      <c r="DF117" s="3060">
        <f t="shared" si="22"/>
      </c>
      <c r="DG117" s="3060">
        <f t="shared" si="23"/>
      </c>
      <c r="DH117" s="3060">
        <f t="shared" si="24"/>
      </c>
      <c r="DI117" s="3060">
        <f t="shared" si="1"/>
      </c>
    </row>
    <row r="118" ht="15" customHeight="1" s="3052" customFormat="1">
      <c r="A118" s="3061"/>
      <c r="B118" s="3054">
        <f t="shared" si="2"/>
      </c>
      <c r="C118" s="3054"/>
      <c r="D118" s="3054"/>
      <c r="E118" s="3055"/>
      <c r="F118" s="3055"/>
      <c r="G118" s="3055"/>
      <c r="H118" s="3055"/>
      <c r="I118" s="3055"/>
      <c r="J118" s="3055"/>
      <c r="K118" s="3055"/>
      <c r="L118" s="3055"/>
      <c r="M118" s="3055"/>
      <c r="N118" s="3055"/>
      <c r="O118" s="3055"/>
      <c r="P118" s="3055"/>
      <c r="Q118" s="3055"/>
      <c r="R118" s="3055">
        <f t="shared" si="3"/>
        <v>0</v>
      </c>
      <c r="S118" s="3055">
        <f t="shared" si="4"/>
        <v>0</v>
      </c>
      <c r="T118" s="3055">
        <f t="shared" si="5"/>
        <v>0</v>
      </c>
      <c r="U118" s="3055">
        <f t="shared" si="6"/>
        <v>0</v>
      </c>
      <c r="V118" s="3055">
        <f t="shared" si="7"/>
        <v>0</v>
      </c>
      <c r="W118" s="3055">
        <f t="shared" si="8"/>
        <v>0</v>
      </c>
      <c r="X118" s="3055">
        <f t="shared" si="9"/>
        <v>0</v>
      </c>
      <c r="Y118" s="3055">
        <f t="shared" si="10"/>
        <v>0</v>
      </c>
      <c r="Z118" s="3055">
        <f t="shared" si="11"/>
        <v>0</v>
      </c>
      <c r="AA118" s="3055">
        <f t="shared" si="12"/>
        <v>0</v>
      </c>
      <c r="AB118" s="3055">
        <f t="shared" si="13"/>
        <v>0</v>
      </c>
      <c r="AC118" s="3055">
        <f t="shared" si="14"/>
        <v>0</v>
      </c>
      <c r="AD118" s="3056"/>
      <c r="AE118" s="3057">
        <f t="shared" si="0"/>
      </c>
      <c r="AF118" s="3054"/>
      <c r="AG118" s="3059"/>
      <c r="AH118" s="3058"/>
      <c r="AI118" s="3058"/>
      <c r="AJ118" s="3058"/>
      <c r="AK118" s="3058"/>
      <c r="AL118" s="3058"/>
      <c r="AM118" s="3058"/>
      <c r="AN118" s="3058"/>
      <c r="AO118" s="3058"/>
      <c r="AP118" s="3058"/>
      <c r="AQ118" s="3058"/>
      <c r="AR118" s="3058"/>
      <c r="AS118" s="3058"/>
      <c r="AT118" s="3058"/>
      <c r="AU118" s="3056"/>
      <c r="AV118" s="3057">
        <f t="shared" si="15"/>
      </c>
      <c r="AW118" s="3054"/>
      <c r="AX118" s="3059"/>
      <c r="AY118" s="3058"/>
      <c r="AZ118" s="3058"/>
      <c r="BA118" s="3058"/>
      <c r="BB118" s="3058"/>
      <c r="BC118" s="3058"/>
      <c r="BD118" s="3058"/>
      <c r="BE118" s="3058"/>
      <c r="BF118" s="3058"/>
      <c r="BG118" s="3058"/>
      <c r="BH118" s="3058"/>
      <c r="BI118" s="3058"/>
      <c r="BJ118" s="3058"/>
      <c r="BK118" s="3058"/>
      <c r="BL118" s="3056"/>
      <c r="BM118" s="3057">
        <f t="shared" si="16"/>
      </c>
      <c r="BN118" s="3054"/>
      <c r="BO118" s="3059"/>
      <c r="BP118" s="3058"/>
      <c r="BQ118" s="3058"/>
      <c r="BR118" s="3058"/>
      <c r="BS118" s="3058"/>
      <c r="BT118" s="3058"/>
      <c r="BU118" s="3058"/>
      <c r="BV118" s="3058"/>
      <c r="BW118" s="3058"/>
      <c r="BX118" s="3058"/>
      <c r="BY118" s="3058"/>
      <c r="BZ118" s="3058"/>
      <c r="CA118" s="3058"/>
      <c r="CB118" s="3058"/>
      <c r="CC118" s="3056"/>
      <c r="CD118" s="3057">
        <f t="shared" si="0"/>
      </c>
      <c r="CE118" s="3054"/>
      <c r="CF118" s="3054"/>
      <c r="CG118" s="3055"/>
      <c r="CH118" s="3055"/>
      <c r="CI118" s="3055"/>
      <c r="CJ118" s="3055"/>
      <c r="CK118" s="3055"/>
      <c r="CL118" s="3055"/>
      <c r="CM118" s="3055"/>
      <c r="CN118" s="3055"/>
      <c r="CO118" s="3055"/>
      <c r="CP118" s="3055"/>
      <c r="CQ118" s="3055"/>
      <c r="CR118" s="3055"/>
      <c r="CS118" s="3055"/>
      <c r="CU118" s="3054"/>
      <c r="CV118" s="696"/>
      <c r="CW118" s="696"/>
      <c r="CZ118" s="3060">
        <f t="shared" si="17"/>
      </c>
      <c r="DA118" s="3060">
        <f t="shared" si="1"/>
      </c>
      <c r="DB118" s="3060">
        <f t="shared" si="18"/>
      </c>
      <c r="DC118" s="3060">
        <f t="shared" si="19"/>
      </c>
      <c r="DD118" s="3060">
        <f t="shared" si="20"/>
      </c>
      <c r="DE118" s="3060">
        <f t="shared" si="21"/>
      </c>
      <c r="DF118" s="3060">
        <f t="shared" si="22"/>
      </c>
      <c r="DG118" s="3060">
        <f t="shared" si="23"/>
      </c>
      <c r="DH118" s="3060">
        <f t="shared" si="24"/>
      </c>
      <c r="DI118" s="3060">
        <f t="shared" si="1"/>
      </c>
    </row>
    <row r="119" ht="15" customHeight="1" s="3052" customFormat="1">
      <c r="A119" s="3061"/>
      <c r="B119" s="3054">
        <f t="shared" si="2"/>
      </c>
      <c r="C119" s="3054"/>
      <c r="D119" s="3054"/>
      <c r="E119" s="3055"/>
      <c r="F119" s="3055"/>
      <c r="G119" s="3055"/>
      <c r="H119" s="3055"/>
      <c r="I119" s="3055"/>
      <c r="J119" s="3055"/>
      <c r="K119" s="3055"/>
      <c r="L119" s="3055"/>
      <c r="M119" s="3055"/>
      <c r="N119" s="3055"/>
      <c r="O119" s="3055"/>
      <c r="P119" s="3055"/>
      <c r="Q119" s="3055"/>
      <c r="R119" s="3055">
        <f t="shared" si="3"/>
        <v>0</v>
      </c>
      <c r="S119" s="3055">
        <f t="shared" si="4"/>
        <v>0</v>
      </c>
      <c r="T119" s="3055">
        <f t="shared" si="5"/>
        <v>0</v>
      </c>
      <c r="U119" s="3055">
        <f t="shared" si="6"/>
        <v>0</v>
      </c>
      <c r="V119" s="3055">
        <f t="shared" si="7"/>
        <v>0</v>
      </c>
      <c r="W119" s="3055">
        <f t="shared" si="8"/>
        <v>0</v>
      </c>
      <c r="X119" s="3055">
        <f t="shared" si="9"/>
        <v>0</v>
      </c>
      <c r="Y119" s="3055">
        <f t="shared" si="10"/>
        <v>0</v>
      </c>
      <c r="Z119" s="3055">
        <f t="shared" si="11"/>
        <v>0</v>
      </c>
      <c r="AA119" s="3055">
        <f t="shared" si="12"/>
        <v>0</v>
      </c>
      <c r="AB119" s="3055">
        <f t="shared" si="13"/>
        <v>0</v>
      </c>
      <c r="AC119" s="3055">
        <f t="shared" si="14"/>
        <v>0</v>
      </c>
      <c r="AD119" s="3056"/>
      <c r="AE119" s="3057">
        <f t="shared" si="0"/>
      </c>
      <c r="AF119" s="3054"/>
      <c r="AG119" s="3059"/>
      <c r="AH119" s="3058"/>
      <c r="AI119" s="3058"/>
      <c r="AJ119" s="3058"/>
      <c r="AK119" s="3058"/>
      <c r="AL119" s="3058"/>
      <c r="AM119" s="3058"/>
      <c r="AN119" s="3058"/>
      <c r="AO119" s="3058"/>
      <c r="AP119" s="3058"/>
      <c r="AQ119" s="3058"/>
      <c r="AR119" s="3058"/>
      <c r="AS119" s="3058"/>
      <c r="AT119" s="3058"/>
      <c r="AU119" s="3056"/>
      <c r="AV119" s="3057">
        <f t="shared" si="15"/>
      </c>
      <c r="AW119" s="3054"/>
      <c r="AX119" s="3059"/>
      <c r="AY119" s="3058"/>
      <c r="AZ119" s="3058"/>
      <c r="BA119" s="3058"/>
      <c r="BB119" s="3058"/>
      <c r="BC119" s="3058"/>
      <c r="BD119" s="3058"/>
      <c r="BE119" s="3058"/>
      <c r="BF119" s="3058"/>
      <c r="BG119" s="3058"/>
      <c r="BH119" s="3058"/>
      <c r="BI119" s="3058"/>
      <c r="BJ119" s="3058"/>
      <c r="BK119" s="3058"/>
      <c r="BL119" s="3056"/>
      <c r="BM119" s="3057">
        <f t="shared" si="16"/>
      </c>
      <c r="BN119" s="3054"/>
      <c r="BO119" s="3059"/>
      <c r="BP119" s="3058"/>
      <c r="BQ119" s="3058"/>
      <c r="BR119" s="3058"/>
      <c r="BS119" s="3058"/>
      <c r="BT119" s="3058"/>
      <c r="BU119" s="3058"/>
      <c r="BV119" s="3058"/>
      <c r="BW119" s="3058"/>
      <c r="BX119" s="3058"/>
      <c r="BY119" s="3058"/>
      <c r="BZ119" s="3058"/>
      <c r="CA119" s="3058"/>
      <c r="CB119" s="3058"/>
      <c r="CC119" s="3056"/>
      <c r="CD119" s="3057">
        <f t="shared" si="0"/>
      </c>
      <c r="CE119" s="3054"/>
      <c r="CF119" s="3054"/>
      <c r="CG119" s="3055"/>
      <c r="CH119" s="3055"/>
      <c r="CI119" s="3055"/>
      <c r="CJ119" s="3055"/>
      <c r="CK119" s="3055"/>
      <c r="CL119" s="3055"/>
      <c r="CM119" s="3055"/>
      <c r="CN119" s="3055"/>
      <c r="CO119" s="3055"/>
      <c r="CP119" s="3055"/>
      <c r="CQ119" s="3055"/>
      <c r="CR119" s="3055"/>
      <c r="CS119" s="3055"/>
      <c r="CU119" s="3054"/>
      <c r="CV119" s="696"/>
      <c r="CW119" s="696"/>
      <c r="CZ119" s="3060">
        <f t="shared" si="17"/>
      </c>
      <c r="DA119" s="3060">
        <f t="shared" si="1"/>
      </c>
      <c r="DB119" s="3060">
        <f t="shared" si="18"/>
      </c>
      <c r="DC119" s="3060">
        <f t="shared" si="19"/>
      </c>
      <c r="DD119" s="3060">
        <f t="shared" si="20"/>
      </c>
      <c r="DE119" s="3060">
        <f t="shared" si="21"/>
      </c>
      <c r="DF119" s="3060">
        <f t="shared" si="22"/>
      </c>
      <c r="DG119" s="3060">
        <f t="shared" si="23"/>
      </c>
      <c r="DH119" s="3060">
        <f t="shared" si="24"/>
      </c>
      <c r="DI119" s="3060">
        <f t="shared" si="1"/>
      </c>
    </row>
    <row r="120" ht="15" customHeight="1" s="3052" customFormat="1">
      <c r="A120" s="3065"/>
      <c r="B120" s="3054">
        <f t="shared" si="2"/>
      </c>
      <c r="C120" s="3054"/>
      <c r="D120" s="3054"/>
      <c r="E120" s="3055"/>
      <c r="F120" s="3055"/>
      <c r="G120" s="3055"/>
      <c r="H120" s="3055"/>
      <c r="I120" s="3055"/>
      <c r="J120" s="3055"/>
      <c r="K120" s="3055"/>
      <c r="L120" s="3055"/>
      <c r="M120" s="3055"/>
      <c r="N120" s="3055"/>
      <c r="O120" s="3055"/>
      <c r="P120" s="3055"/>
      <c r="Q120" s="3055"/>
      <c r="R120" s="3055">
        <f t="shared" si="3"/>
        <v>0</v>
      </c>
      <c r="S120" s="3055">
        <f t="shared" si="4"/>
        <v>0</v>
      </c>
      <c r="T120" s="3055">
        <f t="shared" si="5"/>
        <v>0</v>
      </c>
      <c r="U120" s="3055">
        <f t="shared" si="6"/>
        <v>0</v>
      </c>
      <c r="V120" s="3055">
        <f t="shared" si="7"/>
        <v>0</v>
      </c>
      <c r="W120" s="3055">
        <f t="shared" si="8"/>
        <v>0</v>
      </c>
      <c r="X120" s="3055">
        <f t="shared" si="9"/>
        <v>0</v>
      </c>
      <c r="Y120" s="3055">
        <f t="shared" si="10"/>
        <v>0</v>
      </c>
      <c r="Z120" s="3055">
        <f t="shared" si="11"/>
        <v>0</v>
      </c>
      <c r="AA120" s="3055">
        <f t="shared" si="12"/>
        <v>0</v>
      </c>
      <c r="AB120" s="3055">
        <f t="shared" si="13"/>
        <v>0</v>
      </c>
      <c r="AC120" s="3055">
        <f t="shared" si="14"/>
        <v>0</v>
      </c>
      <c r="AD120" s="3056"/>
      <c r="AE120" s="3057">
        <f t="shared" si="0"/>
      </c>
      <c r="AF120" s="3054"/>
      <c r="AG120" s="3059"/>
      <c r="AH120" s="3058"/>
      <c r="AI120" s="3058"/>
      <c r="AJ120" s="3058"/>
      <c r="AK120" s="3058"/>
      <c r="AL120" s="3058"/>
      <c r="AM120" s="3058"/>
      <c r="AN120" s="3058"/>
      <c r="AO120" s="3058"/>
      <c r="AP120" s="3058"/>
      <c r="AQ120" s="3058"/>
      <c r="AR120" s="3058"/>
      <c r="AS120" s="3058"/>
      <c r="AT120" s="3058"/>
      <c r="AU120" s="3056"/>
      <c r="AV120" s="3057">
        <f t="shared" si="15"/>
      </c>
      <c r="AW120" s="3054"/>
      <c r="AX120" s="3059"/>
      <c r="AY120" s="3058"/>
      <c r="AZ120" s="3058"/>
      <c r="BA120" s="3058"/>
      <c r="BB120" s="3058"/>
      <c r="BC120" s="3058"/>
      <c r="BD120" s="3058"/>
      <c r="BE120" s="3058"/>
      <c r="BF120" s="3058"/>
      <c r="BG120" s="3058"/>
      <c r="BH120" s="3058"/>
      <c r="BI120" s="3058"/>
      <c r="BJ120" s="3058"/>
      <c r="BK120" s="3058"/>
      <c r="BL120" s="3056"/>
      <c r="BM120" s="3057">
        <f t="shared" si="16"/>
      </c>
      <c r="BN120" s="3054"/>
      <c r="BO120" s="3059"/>
      <c r="BP120" s="3058"/>
      <c r="BQ120" s="3058"/>
      <c r="BR120" s="3058"/>
      <c r="BS120" s="3058"/>
      <c r="BT120" s="3058"/>
      <c r="BU120" s="3058"/>
      <c r="BV120" s="3058"/>
      <c r="BW120" s="3058"/>
      <c r="BX120" s="3058"/>
      <c r="BY120" s="3058"/>
      <c r="BZ120" s="3058"/>
      <c r="CA120" s="3058"/>
      <c r="CB120" s="3058"/>
      <c r="CC120" s="3056"/>
      <c r="CD120" s="3057">
        <f t="shared" si="0"/>
      </c>
      <c r="CE120" s="3054"/>
      <c r="CF120" s="3054"/>
      <c r="CG120" s="3055"/>
      <c r="CH120" s="3055"/>
      <c r="CI120" s="3055"/>
      <c r="CJ120" s="3055"/>
      <c r="CK120" s="3055"/>
      <c r="CL120" s="3055"/>
      <c r="CM120" s="3055"/>
      <c r="CN120" s="3055"/>
      <c r="CO120" s="3055"/>
      <c r="CP120" s="3055"/>
      <c r="CQ120" s="3055"/>
      <c r="CR120" s="3055"/>
      <c r="CS120" s="3055"/>
      <c r="CU120" s="3054"/>
      <c r="CV120" s="696"/>
      <c r="CW120" s="696"/>
      <c r="CZ120" s="3060">
        <f t="shared" si="17"/>
      </c>
      <c r="DA120" s="3060">
        <f t="shared" si="1"/>
      </c>
      <c r="DB120" s="3060">
        <f t="shared" si="18"/>
      </c>
      <c r="DC120" s="3060">
        <f t="shared" si="19"/>
      </c>
      <c r="DD120" s="3060">
        <f t="shared" si="20"/>
      </c>
      <c r="DE120" s="3060">
        <f t="shared" si="21"/>
      </c>
      <c r="DF120" s="3060">
        <f t="shared" si="22"/>
      </c>
      <c r="DG120" s="3060">
        <f t="shared" si="23"/>
      </c>
      <c r="DH120" s="3060">
        <f t="shared" si="24"/>
      </c>
      <c r="DI120" s="3060">
        <f t="shared" si="1"/>
      </c>
    </row>
    <row r="121" ht="15" customHeight="1" s="3052" customFormat="1">
      <c r="A121" s="3065"/>
      <c r="B121" s="3054">
        <f t="shared" si="2"/>
      </c>
      <c r="C121" s="3054"/>
      <c r="D121" s="3054"/>
      <c r="E121" s="3055"/>
      <c r="F121" s="3055"/>
      <c r="G121" s="3055"/>
      <c r="H121" s="3055"/>
      <c r="I121" s="3055"/>
      <c r="J121" s="3055"/>
      <c r="K121" s="3055"/>
      <c r="L121" s="3055"/>
      <c r="M121" s="3055"/>
      <c r="N121" s="3055"/>
      <c r="O121" s="3055"/>
      <c r="P121" s="3055"/>
      <c r="Q121" s="3055"/>
      <c r="R121" s="3055">
        <f t="shared" si="3"/>
        <v>0</v>
      </c>
      <c r="S121" s="3055">
        <f t="shared" si="4"/>
        <v>0</v>
      </c>
      <c r="T121" s="3055">
        <f t="shared" si="5"/>
        <v>0</v>
      </c>
      <c r="U121" s="3055">
        <f t="shared" si="6"/>
        <v>0</v>
      </c>
      <c r="V121" s="3055">
        <f t="shared" si="7"/>
        <v>0</v>
      </c>
      <c r="W121" s="3055">
        <f t="shared" si="8"/>
        <v>0</v>
      </c>
      <c r="X121" s="3055">
        <f t="shared" si="9"/>
        <v>0</v>
      </c>
      <c r="Y121" s="3055">
        <f t="shared" si="10"/>
        <v>0</v>
      </c>
      <c r="Z121" s="3055">
        <f t="shared" si="11"/>
        <v>0</v>
      </c>
      <c r="AA121" s="3055">
        <f t="shared" si="12"/>
        <v>0</v>
      </c>
      <c r="AB121" s="3055">
        <f t="shared" si="13"/>
        <v>0</v>
      </c>
      <c r="AC121" s="3055">
        <f t="shared" si="14"/>
        <v>0</v>
      </c>
      <c r="AD121" s="3056"/>
      <c r="AE121" s="3057">
        <f t="shared" si="0"/>
      </c>
      <c r="AF121" s="3054"/>
      <c r="AG121" s="3059"/>
      <c r="AH121" s="3058"/>
      <c r="AI121" s="3058"/>
      <c r="AJ121" s="3058"/>
      <c r="AK121" s="3058"/>
      <c r="AL121" s="3058"/>
      <c r="AM121" s="3058"/>
      <c r="AN121" s="3058"/>
      <c r="AO121" s="3058"/>
      <c r="AP121" s="3058"/>
      <c r="AQ121" s="3058"/>
      <c r="AR121" s="3058"/>
      <c r="AS121" s="3058"/>
      <c r="AT121" s="3058"/>
      <c r="AU121" s="3056"/>
      <c r="AV121" s="3057">
        <f t="shared" si="15"/>
      </c>
      <c r="AW121" s="3054"/>
      <c r="AX121" s="3059"/>
      <c r="AY121" s="3058"/>
      <c r="AZ121" s="3058"/>
      <c r="BA121" s="3058"/>
      <c r="BB121" s="3058"/>
      <c r="BC121" s="3058"/>
      <c r="BD121" s="3058"/>
      <c r="BE121" s="3058"/>
      <c r="BF121" s="3058"/>
      <c r="BG121" s="3058"/>
      <c r="BH121" s="3058"/>
      <c r="BI121" s="3058"/>
      <c r="BJ121" s="3058"/>
      <c r="BK121" s="3058"/>
      <c r="BL121" s="3056"/>
      <c r="BM121" s="3057">
        <f t="shared" si="16"/>
      </c>
      <c r="BN121" s="3054"/>
      <c r="BO121" s="3059"/>
      <c r="BP121" s="3058"/>
      <c r="BQ121" s="3058"/>
      <c r="BR121" s="3058"/>
      <c r="BS121" s="3058"/>
      <c r="BT121" s="3058"/>
      <c r="BU121" s="3058"/>
      <c r="BV121" s="3058"/>
      <c r="BW121" s="3058"/>
      <c r="BX121" s="3058"/>
      <c r="BY121" s="3058"/>
      <c r="BZ121" s="3058"/>
      <c r="CA121" s="3058"/>
      <c r="CB121" s="3058"/>
      <c r="CC121" s="3056"/>
      <c r="CD121" s="3057">
        <f t="shared" si="0"/>
      </c>
      <c r="CE121" s="3054"/>
      <c r="CF121" s="3054"/>
      <c r="CG121" s="3055"/>
      <c r="CH121" s="3055"/>
      <c r="CI121" s="3055"/>
      <c r="CJ121" s="3055"/>
      <c r="CK121" s="3055"/>
      <c r="CL121" s="3055"/>
      <c r="CM121" s="3055"/>
      <c r="CN121" s="3055"/>
      <c r="CO121" s="3055"/>
      <c r="CP121" s="3055"/>
      <c r="CQ121" s="3055"/>
      <c r="CR121" s="3055"/>
      <c r="CS121" s="3055"/>
      <c r="CU121" s="3054"/>
      <c r="CV121" s="696"/>
      <c r="CW121" s="696"/>
      <c r="CZ121" s="3060">
        <f t="shared" si="17"/>
      </c>
      <c r="DA121" s="3060">
        <f t="shared" si="1"/>
      </c>
      <c r="DB121" s="3060">
        <f t="shared" si="18"/>
      </c>
      <c r="DC121" s="3060">
        <f t="shared" si="19"/>
      </c>
      <c r="DD121" s="3060">
        <f t="shared" si="20"/>
      </c>
      <c r="DE121" s="3060">
        <f t="shared" si="21"/>
      </c>
      <c r="DF121" s="3060">
        <f t="shared" si="22"/>
      </c>
      <c r="DG121" s="3060">
        <f t="shared" si="23"/>
      </c>
      <c r="DH121" s="3060">
        <f t="shared" si="24"/>
      </c>
      <c r="DI121" s="3060">
        <f t="shared" si="1"/>
      </c>
    </row>
    <row r="122" ht="15" customHeight="1" s="3052" customFormat="1">
      <c r="A122" s="3065"/>
      <c r="B122" s="3054">
        <f t="shared" si="2"/>
      </c>
      <c r="C122" s="3054"/>
      <c r="D122" s="3054"/>
      <c r="E122" s="3055"/>
      <c r="F122" s="3055"/>
      <c r="G122" s="3055"/>
      <c r="H122" s="3055"/>
      <c r="I122" s="3055"/>
      <c r="J122" s="3055"/>
      <c r="K122" s="3055"/>
      <c r="L122" s="3055"/>
      <c r="M122" s="3055"/>
      <c r="N122" s="3055"/>
      <c r="O122" s="3055"/>
      <c r="P122" s="3055"/>
      <c r="Q122" s="3055"/>
      <c r="R122" s="3055">
        <f t="shared" si="3"/>
        <v>0</v>
      </c>
      <c r="S122" s="3055">
        <f t="shared" si="4"/>
        <v>0</v>
      </c>
      <c r="T122" s="3055">
        <f t="shared" si="5"/>
        <v>0</v>
      </c>
      <c r="U122" s="3055">
        <f t="shared" si="6"/>
        <v>0</v>
      </c>
      <c r="V122" s="3055">
        <f t="shared" si="7"/>
        <v>0</v>
      </c>
      <c r="W122" s="3055">
        <f t="shared" si="8"/>
        <v>0</v>
      </c>
      <c r="X122" s="3055">
        <f t="shared" si="9"/>
        <v>0</v>
      </c>
      <c r="Y122" s="3055">
        <f t="shared" si="10"/>
        <v>0</v>
      </c>
      <c r="Z122" s="3055">
        <f t="shared" si="11"/>
        <v>0</v>
      </c>
      <c r="AA122" s="3055">
        <f t="shared" si="12"/>
        <v>0</v>
      </c>
      <c r="AB122" s="3055">
        <f t="shared" si="13"/>
        <v>0</v>
      </c>
      <c r="AC122" s="3055">
        <f t="shared" si="14"/>
        <v>0</v>
      </c>
      <c r="AD122" s="3056"/>
      <c r="AE122" s="3057">
        <f t="shared" si="0"/>
      </c>
      <c r="AF122" s="3054"/>
      <c r="AG122" s="3059"/>
      <c r="AH122" s="3058"/>
      <c r="AI122" s="3058"/>
      <c r="AJ122" s="3058"/>
      <c r="AK122" s="3058"/>
      <c r="AL122" s="3058"/>
      <c r="AM122" s="3058"/>
      <c r="AN122" s="3058"/>
      <c r="AO122" s="3058"/>
      <c r="AP122" s="3058"/>
      <c r="AQ122" s="3058"/>
      <c r="AR122" s="3058"/>
      <c r="AS122" s="3058"/>
      <c r="AT122" s="3058"/>
      <c r="AU122" s="3056"/>
      <c r="AV122" s="3057">
        <f t="shared" si="15"/>
      </c>
      <c r="AW122" s="3054"/>
      <c r="AX122" s="3059"/>
      <c r="AY122" s="3058"/>
      <c r="AZ122" s="3058"/>
      <c r="BA122" s="3058"/>
      <c r="BB122" s="3058"/>
      <c r="BC122" s="3058"/>
      <c r="BD122" s="3058"/>
      <c r="BE122" s="3058"/>
      <c r="BF122" s="3058"/>
      <c r="BG122" s="3058"/>
      <c r="BH122" s="3058"/>
      <c r="BI122" s="3058"/>
      <c r="BJ122" s="3058"/>
      <c r="BK122" s="3058"/>
      <c r="BL122" s="3056"/>
      <c r="BM122" s="3057">
        <f t="shared" si="16"/>
      </c>
      <c r="BN122" s="3054"/>
      <c r="BO122" s="3059"/>
      <c r="BP122" s="3058"/>
      <c r="BQ122" s="3058"/>
      <c r="BR122" s="3058"/>
      <c r="BS122" s="3058"/>
      <c r="BT122" s="3058"/>
      <c r="BU122" s="3058"/>
      <c r="BV122" s="3058"/>
      <c r="BW122" s="3058"/>
      <c r="BX122" s="3058"/>
      <c r="BY122" s="3058"/>
      <c r="BZ122" s="3058"/>
      <c r="CA122" s="3058"/>
      <c r="CB122" s="3058"/>
      <c r="CC122" s="3056"/>
      <c r="CD122" s="3057">
        <f t="shared" si="0"/>
      </c>
      <c r="CE122" s="3054"/>
      <c r="CF122" s="3054"/>
      <c r="CG122" s="3055"/>
      <c r="CH122" s="3055"/>
      <c r="CI122" s="3055"/>
      <c r="CJ122" s="3055"/>
      <c r="CK122" s="3055"/>
      <c r="CL122" s="3055"/>
      <c r="CM122" s="3055"/>
      <c r="CN122" s="3055"/>
      <c r="CO122" s="3055"/>
      <c r="CP122" s="3055"/>
      <c r="CQ122" s="3055"/>
      <c r="CR122" s="3055"/>
      <c r="CS122" s="3055"/>
      <c r="CU122" s="3054"/>
      <c r="CV122" s="696"/>
      <c r="CW122" s="696"/>
      <c r="CZ122" s="3060">
        <f t="shared" si="17"/>
      </c>
      <c r="DA122" s="3060">
        <f t="shared" si="1"/>
      </c>
      <c r="DB122" s="3060">
        <f t="shared" si="18"/>
      </c>
      <c r="DC122" s="3060">
        <f t="shared" si="19"/>
      </c>
      <c r="DD122" s="3060">
        <f t="shared" si="20"/>
      </c>
      <c r="DE122" s="3060">
        <f t="shared" si="21"/>
      </c>
      <c r="DF122" s="3060">
        <f t="shared" si="22"/>
      </c>
      <c r="DG122" s="3060">
        <f t="shared" si="23"/>
      </c>
      <c r="DH122" s="3060">
        <f t="shared" si="24"/>
      </c>
      <c r="DI122" s="3060">
        <f t="shared" si="1"/>
      </c>
    </row>
    <row r="123" ht="15" customHeight="1" s="3052" customFormat="1">
      <c r="A123" s="3065"/>
      <c r="B123" s="3054">
        <f t="shared" si="2"/>
      </c>
      <c r="C123" s="3054"/>
      <c r="D123" s="3054"/>
      <c r="E123" s="3055"/>
      <c r="F123" s="3055"/>
      <c r="G123" s="3055"/>
      <c r="H123" s="3055"/>
      <c r="I123" s="3055"/>
      <c r="J123" s="3055"/>
      <c r="K123" s="3055"/>
      <c r="L123" s="3055"/>
      <c r="M123" s="3055"/>
      <c r="N123" s="3055"/>
      <c r="O123" s="3055"/>
      <c r="P123" s="3055"/>
      <c r="Q123" s="3055"/>
      <c r="R123" s="3055">
        <f t="shared" si="3"/>
        <v>0</v>
      </c>
      <c r="S123" s="3055">
        <f t="shared" si="4"/>
        <v>0</v>
      </c>
      <c r="T123" s="3055">
        <f t="shared" si="5"/>
        <v>0</v>
      </c>
      <c r="U123" s="3055">
        <f t="shared" si="6"/>
        <v>0</v>
      </c>
      <c r="V123" s="3055">
        <f t="shared" si="7"/>
        <v>0</v>
      </c>
      <c r="W123" s="3055">
        <f t="shared" si="8"/>
        <v>0</v>
      </c>
      <c r="X123" s="3055">
        <f t="shared" si="9"/>
        <v>0</v>
      </c>
      <c r="Y123" s="3055">
        <f t="shared" si="10"/>
        <v>0</v>
      </c>
      <c r="Z123" s="3055">
        <f t="shared" si="11"/>
        <v>0</v>
      </c>
      <c r="AA123" s="3055">
        <f t="shared" si="12"/>
        <v>0</v>
      </c>
      <c r="AB123" s="3055">
        <f t="shared" si="13"/>
        <v>0</v>
      </c>
      <c r="AC123" s="3055">
        <f t="shared" si="14"/>
        <v>0</v>
      </c>
      <c r="AD123" s="3056"/>
      <c r="AE123" s="3057">
        <f t="shared" si="0"/>
      </c>
      <c r="AF123" s="3054"/>
      <c r="AG123" s="3059"/>
      <c r="AH123" s="3058"/>
      <c r="AI123" s="3058"/>
      <c r="AJ123" s="3058"/>
      <c r="AK123" s="3058"/>
      <c r="AL123" s="3058"/>
      <c r="AM123" s="3058"/>
      <c r="AN123" s="3058"/>
      <c r="AO123" s="3058"/>
      <c r="AP123" s="3058"/>
      <c r="AQ123" s="3058"/>
      <c r="AR123" s="3058"/>
      <c r="AS123" s="3058"/>
      <c r="AT123" s="3058"/>
      <c r="AU123" s="3056"/>
      <c r="AV123" s="3057">
        <f t="shared" si="15"/>
      </c>
      <c r="AW123" s="3054"/>
      <c r="AX123" s="3059"/>
      <c r="AY123" s="3058"/>
      <c r="AZ123" s="3058"/>
      <c r="BA123" s="3058"/>
      <c r="BB123" s="3058"/>
      <c r="BC123" s="3058"/>
      <c r="BD123" s="3058"/>
      <c r="BE123" s="3058"/>
      <c r="BF123" s="3058"/>
      <c r="BG123" s="3058"/>
      <c r="BH123" s="3058"/>
      <c r="BI123" s="3058"/>
      <c r="BJ123" s="3058"/>
      <c r="BK123" s="3058"/>
      <c r="BL123" s="3056"/>
      <c r="BM123" s="3057">
        <f t="shared" si="16"/>
      </c>
      <c r="BN123" s="3054"/>
      <c r="BO123" s="3059"/>
      <c r="BP123" s="3058"/>
      <c r="BQ123" s="3058"/>
      <c r="BR123" s="3058"/>
      <c r="BS123" s="3058"/>
      <c r="BT123" s="3058"/>
      <c r="BU123" s="3058"/>
      <c r="BV123" s="3058"/>
      <c r="BW123" s="3058"/>
      <c r="BX123" s="3058"/>
      <c r="BY123" s="3058"/>
      <c r="BZ123" s="3058"/>
      <c r="CA123" s="3058"/>
      <c r="CB123" s="3058"/>
      <c r="CC123" s="3056"/>
      <c r="CD123" s="3057">
        <f t="shared" si="0"/>
      </c>
      <c r="CE123" s="3054"/>
      <c r="CF123" s="3054"/>
      <c r="CG123" s="3055"/>
      <c r="CH123" s="3055"/>
      <c r="CI123" s="3055"/>
      <c r="CJ123" s="3055"/>
      <c r="CK123" s="3055"/>
      <c r="CL123" s="3055"/>
      <c r="CM123" s="3055"/>
      <c r="CN123" s="3055"/>
      <c r="CO123" s="3055"/>
      <c r="CP123" s="3055"/>
      <c r="CQ123" s="3055"/>
      <c r="CR123" s="3055"/>
      <c r="CS123" s="3055"/>
      <c r="CU123" s="3054"/>
      <c r="CV123" s="696"/>
      <c r="CW123" s="696"/>
      <c r="CZ123" s="3060">
        <f t="shared" si="17"/>
      </c>
      <c r="DA123" s="3060">
        <f t="shared" si="1"/>
      </c>
      <c r="DB123" s="3060">
        <f t="shared" si="18"/>
      </c>
      <c r="DC123" s="3060">
        <f t="shared" si="19"/>
      </c>
      <c r="DD123" s="3060">
        <f t="shared" si="20"/>
      </c>
      <c r="DE123" s="3060">
        <f t="shared" si="21"/>
      </c>
      <c r="DF123" s="3060">
        <f t="shared" si="22"/>
      </c>
      <c r="DG123" s="3060">
        <f t="shared" si="23"/>
      </c>
      <c r="DH123" s="3060">
        <f t="shared" si="24"/>
      </c>
      <c r="DI123" s="3060">
        <f t="shared" si="1"/>
      </c>
    </row>
    <row r="124" ht="15" customHeight="1" s="3052" customFormat="1">
      <c r="A124" s="3065"/>
      <c r="B124" s="3054">
        <f t="shared" si="2"/>
      </c>
      <c r="C124" s="3054"/>
      <c r="D124" s="3054"/>
      <c r="E124" s="3055"/>
      <c r="F124" s="3055"/>
      <c r="G124" s="3055"/>
      <c r="H124" s="3055"/>
      <c r="I124" s="3055"/>
      <c r="J124" s="3055"/>
      <c r="K124" s="3055"/>
      <c r="L124" s="3055"/>
      <c r="M124" s="3055"/>
      <c r="N124" s="3055"/>
      <c r="O124" s="3055"/>
      <c r="P124" s="3055"/>
      <c r="Q124" s="3055"/>
      <c r="R124" s="3055">
        <f t="shared" si="3"/>
        <v>0</v>
      </c>
      <c r="S124" s="3055">
        <f t="shared" si="4"/>
        <v>0</v>
      </c>
      <c r="T124" s="3055">
        <f t="shared" si="5"/>
        <v>0</v>
      </c>
      <c r="U124" s="3055">
        <f t="shared" si="6"/>
        <v>0</v>
      </c>
      <c r="V124" s="3055">
        <f t="shared" si="7"/>
        <v>0</v>
      </c>
      <c r="W124" s="3055">
        <f t="shared" si="8"/>
        <v>0</v>
      </c>
      <c r="X124" s="3055">
        <f t="shared" si="9"/>
        <v>0</v>
      </c>
      <c r="Y124" s="3055">
        <f t="shared" si="10"/>
        <v>0</v>
      </c>
      <c r="Z124" s="3055">
        <f t="shared" si="11"/>
        <v>0</v>
      </c>
      <c r="AA124" s="3055">
        <f t="shared" si="12"/>
        <v>0</v>
      </c>
      <c r="AB124" s="3055">
        <f t="shared" si="13"/>
        <v>0</v>
      </c>
      <c r="AC124" s="3055">
        <f t="shared" si="14"/>
        <v>0</v>
      </c>
      <c r="AD124" s="3056"/>
      <c r="AE124" s="3057">
        <f t="shared" si="0"/>
      </c>
      <c r="AF124" s="3054"/>
      <c r="AG124" s="3059"/>
      <c r="AH124" s="3058"/>
      <c r="AI124" s="3058"/>
      <c r="AJ124" s="3058"/>
      <c r="AK124" s="3058"/>
      <c r="AL124" s="3058"/>
      <c r="AM124" s="3058"/>
      <c r="AN124" s="3058"/>
      <c r="AO124" s="3058"/>
      <c r="AP124" s="3058"/>
      <c r="AQ124" s="3058"/>
      <c r="AR124" s="3058"/>
      <c r="AS124" s="3058"/>
      <c r="AT124" s="3058"/>
      <c r="AU124" s="3056"/>
      <c r="AV124" s="3057">
        <f t="shared" si="15"/>
      </c>
      <c r="AW124" s="3054"/>
      <c r="AX124" s="3059"/>
      <c r="AY124" s="3058"/>
      <c r="AZ124" s="3058"/>
      <c r="BA124" s="3058"/>
      <c r="BB124" s="3058"/>
      <c r="BC124" s="3058"/>
      <c r="BD124" s="3058"/>
      <c r="BE124" s="3058"/>
      <c r="BF124" s="3058"/>
      <c r="BG124" s="3058"/>
      <c r="BH124" s="3058"/>
      <c r="BI124" s="3058"/>
      <c r="BJ124" s="3058"/>
      <c r="BK124" s="3058"/>
      <c r="BL124" s="3056"/>
      <c r="BM124" s="3057">
        <f t="shared" si="16"/>
      </c>
      <c r="BN124" s="3054"/>
      <c r="BO124" s="3059"/>
      <c r="BP124" s="3058"/>
      <c r="BQ124" s="3058"/>
      <c r="BR124" s="3058"/>
      <c r="BS124" s="3058"/>
      <c r="BT124" s="3058"/>
      <c r="BU124" s="3058"/>
      <c r="BV124" s="3058"/>
      <c r="BW124" s="3058"/>
      <c r="BX124" s="3058"/>
      <c r="BY124" s="3058"/>
      <c r="BZ124" s="3058"/>
      <c r="CA124" s="3058"/>
      <c r="CB124" s="3058"/>
      <c r="CC124" s="3056"/>
      <c r="CD124" s="3057">
        <f t="shared" si="0"/>
      </c>
      <c r="CE124" s="3054"/>
      <c r="CF124" s="3054"/>
      <c r="CG124" s="3055"/>
      <c r="CH124" s="3055"/>
      <c r="CI124" s="3055"/>
      <c r="CJ124" s="3055"/>
      <c r="CK124" s="3055"/>
      <c r="CL124" s="3055"/>
      <c r="CM124" s="3055"/>
      <c r="CN124" s="3055"/>
      <c r="CO124" s="3055"/>
      <c r="CP124" s="3055"/>
      <c r="CQ124" s="3055"/>
      <c r="CR124" s="3055"/>
      <c r="CS124" s="3055"/>
      <c r="CU124" s="3054"/>
      <c r="CV124" s="696"/>
      <c r="CW124" s="696"/>
      <c r="CZ124" s="3060">
        <f t="shared" si="17"/>
      </c>
      <c r="DA124" s="3060">
        <f t="shared" si="1"/>
      </c>
      <c r="DB124" s="3060">
        <f t="shared" si="18"/>
      </c>
      <c r="DC124" s="3060">
        <f t="shared" si="19"/>
      </c>
      <c r="DD124" s="3060">
        <f t="shared" si="20"/>
      </c>
      <c r="DE124" s="3060">
        <f t="shared" si="21"/>
      </c>
      <c r="DF124" s="3060">
        <f t="shared" si="22"/>
      </c>
      <c r="DG124" s="3060">
        <f t="shared" si="23"/>
      </c>
      <c r="DH124" s="3060">
        <f t="shared" si="24"/>
      </c>
      <c r="DI124" s="3060">
        <f t="shared" si="1"/>
      </c>
    </row>
    <row r="125" ht="15" customHeight="1" s="3052" customFormat="1">
      <c r="A125" s="3065"/>
      <c r="B125" s="3054">
        <f t="shared" si="2"/>
      </c>
      <c r="C125" s="3054"/>
      <c r="D125" s="3054"/>
      <c r="E125" s="3055"/>
      <c r="F125" s="3055"/>
      <c r="G125" s="3055"/>
      <c r="H125" s="3055"/>
      <c r="I125" s="3055"/>
      <c r="J125" s="3055"/>
      <c r="K125" s="3055"/>
      <c r="L125" s="3055"/>
      <c r="M125" s="3055"/>
      <c r="N125" s="3055"/>
      <c r="O125" s="3055"/>
      <c r="P125" s="3055"/>
      <c r="Q125" s="3055"/>
      <c r="R125" s="3055">
        <f t="shared" si="3"/>
        <v>0</v>
      </c>
      <c r="S125" s="3055">
        <f t="shared" si="4"/>
        <v>0</v>
      </c>
      <c r="T125" s="3055">
        <f t="shared" si="5"/>
        <v>0</v>
      </c>
      <c r="U125" s="3055">
        <f t="shared" si="6"/>
        <v>0</v>
      </c>
      <c r="V125" s="3055">
        <f t="shared" si="7"/>
        <v>0</v>
      </c>
      <c r="W125" s="3055">
        <f t="shared" si="8"/>
        <v>0</v>
      </c>
      <c r="X125" s="3055">
        <f t="shared" si="9"/>
        <v>0</v>
      </c>
      <c r="Y125" s="3055">
        <f t="shared" si="10"/>
        <v>0</v>
      </c>
      <c r="Z125" s="3055">
        <f t="shared" si="11"/>
        <v>0</v>
      </c>
      <c r="AA125" s="3055">
        <f t="shared" si="12"/>
        <v>0</v>
      </c>
      <c r="AB125" s="3055">
        <f t="shared" si="13"/>
        <v>0</v>
      </c>
      <c r="AC125" s="3055">
        <f t="shared" si="14"/>
        <v>0</v>
      </c>
      <c r="AD125" s="3056"/>
      <c r="AE125" s="3057">
        <f t="shared" si="0"/>
      </c>
      <c r="AF125" s="3054"/>
      <c r="AG125" s="3059"/>
      <c r="AH125" s="3058"/>
      <c r="AI125" s="3058"/>
      <c r="AJ125" s="3058"/>
      <c r="AK125" s="3058"/>
      <c r="AL125" s="3058"/>
      <c r="AM125" s="3058"/>
      <c r="AN125" s="3058"/>
      <c r="AO125" s="3058"/>
      <c r="AP125" s="3058"/>
      <c r="AQ125" s="3058"/>
      <c r="AR125" s="3058"/>
      <c r="AS125" s="3058"/>
      <c r="AT125" s="3058"/>
      <c r="AU125" s="3056"/>
      <c r="AV125" s="3057">
        <f t="shared" si="15"/>
      </c>
      <c r="AW125" s="3054"/>
      <c r="AX125" s="3059"/>
      <c r="AY125" s="3058"/>
      <c r="AZ125" s="3058"/>
      <c r="BA125" s="3058"/>
      <c r="BB125" s="3058"/>
      <c r="BC125" s="3058"/>
      <c r="BD125" s="3058"/>
      <c r="BE125" s="3058"/>
      <c r="BF125" s="3058"/>
      <c r="BG125" s="3058"/>
      <c r="BH125" s="3058"/>
      <c r="BI125" s="3058"/>
      <c r="BJ125" s="3058"/>
      <c r="BK125" s="3058"/>
      <c r="BL125" s="3056"/>
      <c r="BM125" s="3057">
        <f t="shared" si="16"/>
      </c>
      <c r="BN125" s="3054"/>
      <c r="BO125" s="3059"/>
      <c r="BP125" s="3058"/>
      <c r="BQ125" s="3058"/>
      <c r="BR125" s="3058"/>
      <c r="BS125" s="3058"/>
      <c r="BT125" s="3058"/>
      <c r="BU125" s="3058"/>
      <c r="BV125" s="3058"/>
      <c r="BW125" s="3058"/>
      <c r="BX125" s="3058"/>
      <c r="BY125" s="3058"/>
      <c r="BZ125" s="3058"/>
      <c r="CA125" s="3058"/>
      <c r="CB125" s="3058"/>
      <c r="CC125" s="3056"/>
      <c r="CD125" s="3057">
        <f t="shared" si="0"/>
      </c>
      <c r="CE125" s="3054"/>
      <c r="CF125" s="3054"/>
      <c r="CG125" s="3055"/>
      <c r="CH125" s="3055"/>
      <c r="CI125" s="3055"/>
      <c r="CJ125" s="3055"/>
      <c r="CK125" s="3055"/>
      <c r="CL125" s="3055"/>
      <c r="CM125" s="3055"/>
      <c r="CN125" s="3055"/>
      <c r="CO125" s="3055"/>
      <c r="CP125" s="3055"/>
      <c r="CQ125" s="3055"/>
      <c r="CR125" s="3055"/>
      <c r="CS125" s="3055"/>
      <c r="CU125" s="3054"/>
      <c r="CV125" s="696"/>
      <c r="CW125" s="696"/>
      <c r="CZ125" s="3060">
        <f t="shared" si="17"/>
      </c>
      <c r="DA125" s="3060">
        <f t="shared" si="1"/>
      </c>
      <c r="DB125" s="3060">
        <f t="shared" si="18"/>
      </c>
      <c r="DC125" s="3060">
        <f t="shared" si="19"/>
      </c>
      <c r="DD125" s="3060">
        <f t="shared" si="20"/>
      </c>
      <c r="DE125" s="3060">
        <f t="shared" si="21"/>
      </c>
      <c r="DF125" s="3060">
        <f t="shared" si="22"/>
      </c>
      <c r="DG125" s="3060">
        <f t="shared" si="23"/>
      </c>
      <c r="DH125" s="3060">
        <f t="shared" si="24"/>
      </c>
      <c r="DI125" s="3060">
        <f t="shared" si="1"/>
      </c>
    </row>
    <row r="126" ht="15" customHeight="1" s="3052" customFormat="1">
      <c r="A126" s="3065"/>
      <c r="B126" s="3054">
        <f t="shared" si="2"/>
      </c>
      <c r="C126" s="3054"/>
      <c r="D126" s="3054"/>
      <c r="E126" s="3055"/>
      <c r="F126" s="3055"/>
      <c r="G126" s="3055"/>
      <c r="H126" s="3055"/>
      <c r="I126" s="3055"/>
      <c r="J126" s="3055"/>
      <c r="K126" s="3055"/>
      <c r="L126" s="3055"/>
      <c r="M126" s="3055"/>
      <c r="N126" s="3055"/>
      <c r="O126" s="3055"/>
      <c r="P126" s="3055"/>
      <c r="Q126" s="3055"/>
      <c r="R126" s="3055">
        <f t="shared" si="3"/>
        <v>0</v>
      </c>
      <c r="S126" s="3055">
        <f t="shared" si="4"/>
        <v>0</v>
      </c>
      <c r="T126" s="3055">
        <f t="shared" si="5"/>
        <v>0</v>
      </c>
      <c r="U126" s="3055">
        <f t="shared" si="6"/>
        <v>0</v>
      </c>
      <c r="V126" s="3055">
        <f t="shared" si="7"/>
        <v>0</v>
      </c>
      <c r="W126" s="3055">
        <f t="shared" si="8"/>
        <v>0</v>
      </c>
      <c r="X126" s="3055">
        <f t="shared" si="9"/>
        <v>0</v>
      </c>
      <c r="Y126" s="3055">
        <f t="shared" si="10"/>
        <v>0</v>
      </c>
      <c r="Z126" s="3055">
        <f t="shared" si="11"/>
        <v>0</v>
      </c>
      <c r="AA126" s="3055">
        <f t="shared" si="12"/>
        <v>0</v>
      </c>
      <c r="AB126" s="3055">
        <f t="shared" si="13"/>
        <v>0</v>
      </c>
      <c r="AC126" s="3055">
        <f t="shared" si="14"/>
        <v>0</v>
      </c>
      <c r="AD126" s="3056"/>
      <c r="AE126" s="3057">
        <f t="shared" si="0"/>
      </c>
      <c r="AF126" s="3054"/>
      <c r="AG126" s="3059"/>
      <c r="AH126" s="3058"/>
      <c r="AI126" s="3058"/>
      <c r="AJ126" s="3058"/>
      <c r="AK126" s="3058"/>
      <c r="AL126" s="3058"/>
      <c r="AM126" s="3058"/>
      <c r="AN126" s="3058"/>
      <c r="AO126" s="3058"/>
      <c r="AP126" s="3058"/>
      <c r="AQ126" s="3058"/>
      <c r="AR126" s="3058"/>
      <c r="AS126" s="3058"/>
      <c r="AT126" s="3058"/>
      <c r="AU126" s="3056"/>
      <c r="AV126" s="3057">
        <f t="shared" si="15"/>
      </c>
      <c r="AW126" s="3054"/>
      <c r="AX126" s="3059"/>
      <c r="AY126" s="3058"/>
      <c r="AZ126" s="3058"/>
      <c r="BA126" s="3058"/>
      <c r="BB126" s="3058"/>
      <c r="BC126" s="3058"/>
      <c r="BD126" s="3058"/>
      <c r="BE126" s="3058"/>
      <c r="BF126" s="3058"/>
      <c r="BG126" s="3058"/>
      <c r="BH126" s="3058"/>
      <c r="BI126" s="3058"/>
      <c r="BJ126" s="3058"/>
      <c r="BK126" s="3058"/>
      <c r="BL126" s="3056"/>
      <c r="BM126" s="3057">
        <f t="shared" si="16"/>
      </c>
      <c r="BN126" s="3054"/>
      <c r="BO126" s="3059"/>
      <c r="BP126" s="3058"/>
      <c r="BQ126" s="3058"/>
      <c r="BR126" s="3058"/>
      <c r="BS126" s="3058"/>
      <c r="BT126" s="3058"/>
      <c r="BU126" s="3058"/>
      <c r="BV126" s="3058"/>
      <c r="BW126" s="3058"/>
      <c r="BX126" s="3058"/>
      <c r="BY126" s="3058"/>
      <c r="BZ126" s="3058"/>
      <c r="CA126" s="3058"/>
      <c r="CB126" s="3058"/>
      <c r="CC126" s="3056"/>
      <c r="CD126" s="3057">
        <f t="shared" si="0"/>
      </c>
      <c r="CE126" s="3054"/>
      <c r="CF126" s="3054"/>
      <c r="CG126" s="3055"/>
      <c r="CH126" s="3055"/>
      <c r="CI126" s="3055"/>
      <c r="CJ126" s="3055"/>
      <c r="CK126" s="3055"/>
      <c r="CL126" s="3055"/>
      <c r="CM126" s="3055"/>
      <c r="CN126" s="3055"/>
      <c r="CO126" s="3055"/>
      <c r="CP126" s="3055"/>
      <c r="CQ126" s="3055"/>
      <c r="CR126" s="3055"/>
      <c r="CS126" s="3055"/>
      <c r="CU126" s="3054"/>
      <c r="CV126" s="696"/>
      <c r="CW126" s="696"/>
      <c r="CZ126" s="3060">
        <f t="shared" si="17"/>
      </c>
      <c r="DA126" s="3060">
        <f t="shared" si="1"/>
      </c>
      <c r="DB126" s="3060">
        <f t="shared" si="18"/>
      </c>
      <c r="DC126" s="3060">
        <f t="shared" si="19"/>
      </c>
      <c r="DD126" s="3060">
        <f t="shared" si="20"/>
      </c>
      <c r="DE126" s="3060">
        <f t="shared" si="21"/>
      </c>
      <c r="DF126" s="3060">
        <f t="shared" si="22"/>
      </c>
      <c r="DG126" s="3060">
        <f t="shared" si="23"/>
      </c>
      <c r="DH126" s="3060">
        <f t="shared" si="24"/>
      </c>
      <c r="DI126" s="3060">
        <f t="shared" si="1"/>
      </c>
    </row>
    <row r="127" ht="15" customHeight="1" s="3052" customFormat="1">
      <c r="A127" s="3065"/>
      <c r="B127" s="3054">
        <f t="shared" si="2"/>
      </c>
      <c r="C127" s="3054"/>
      <c r="D127" s="3054"/>
      <c r="E127" s="3055"/>
      <c r="F127" s="3055"/>
      <c r="G127" s="3055"/>
      <c r="H127" s="3055"/>
      <c r="I127" s="3055"/>
      <c r="J127" s="3055"/>
      <c r="K127" s="3055"/>
      <c r="L127" s="3055"/>
      <c r="M127" s="3055"/>
      <c r="N127" s="3055"/>
      <c r="O127" s="3055"/>
      <c r="P127" s="3055"/>
      <c r="Q127" s="3055"/>
      <c r="R127" s="3055">
        <f t="shared" si="3"/>
        <v>0</v>
      </c>
      <c r="S127" s="3055">
        <f t="shared" si="4"/>
        <v>0</v>
      </c>
      <c r="T127" s="3055">
        <f t="shared" si="5"/>
        <v>0</v>
      </c>
      <c r="U127" s="3055">
        <f t="shared" si="6"/>
        <v>0</v>
      </c>
      <c r="V127" s="3055">
        <f t="shared" si="7"/>
        <v>0</v>
      </c>
      <c r="W127" s="3055">
        <f t="shared" si="8"/>
        <v>0</v>
      </c>
      <c r="X127" s="3055">
        <f t="shared" si="9"/>
        <v>0</v>
      </c>
      <c r="Y127" s="3055">
        <f t="shared" si="10"/>
        <v>0</v>
      </c>
      <c r="Z127" s="3055">
        <f t="shared" si="11"/>
        <v>0</v>
      </c>
      <c r="AA127" s="3055">
        <f t="shared" si="12"/>
        <v>0</v>
      </c>
      <c r="AB127" s="3055">
        <f t="shared" si="13"/>
        <v>0</v>
      </c>
      <c r="AC127" s="3055">
        <f t="shared" si="14"/>
        <v>0</v>
      </c>
      <c r="AD127" s="3056"/>
      <c r="AE127" s="3057">
        <f t="shared" si="0"/>
      </c>
      <c r="AF127" s="3054"/>
      <c r="AG127" s="3059"/>
      <c r="AH127" s="3058"/>
      <c r="AI127" s="3058"/>
      <c r="AJ127" s="3058"/>
      <c r="AK127" s="3058"/>
      <c r="AL127" s="3058"/>
      <c r="AM127" s="3058"/>
      <c r="AN127" s="3058"/>
      <c r="AO127" s="3058"/>
      <c r="AP127" s="3058"/>
      <c r="AQ127" s="3058"/>
      <c r="AR127" s="3058"/>
      <c r="AS127" s="3058"/>
      <c r="AT127" s="3058"/>
      <c r="AU127" s="3056"/>
      <c r="AV127" s="3057">
        <f t="shared" si="15"/>
      </c>
      <c r="AW127" s="3054"/>
      <c r="AX127" s="3059"/>
      <c r="AY127" s="3058"/>
      <c r="AZ127" s="3058"/>
      <c r="BA127" s="3058"/>
      <c r="BB127" s="3058"/>
      <c r="BC127" s="3058"/>
      <c r="BD127" s="3058"/>
      <c r="BE127" s="3058"/>
      <c r="BF127" s="3058"/>
      <c r="BG127" s="3058"/>
      <c r="BH127" s="3058"/>
      <c r="BI127" s="3058"/>
      <c r="BJ127" s="3058"/>
      <c r="BK127" s="3058"/>
      <c r="BL127" s="3056"/>
      <c r="BM127" s="3057">
        <f t="shared" si="16"/>
      </c>
      <c r="BN127" s="3054"/>
      <c r="BO127" s="3059"/>
      <c r="BP127" s="3058"/>
      <c r="BQ127" s="3058"/>
      <c r="BR127" s="3058"/>
      <c r="BS127" s="3058"/>
      <c r="BT127" s="3058"/>
      <c r="BU127" s="3058"/>
      <c r="BV127" s="3058"/>
      <c r="BW127" s="3058"/>
      <c r="BX127" s="3058"/>
      <c r="BY127" s="3058"/>
      <c r="BZ127" s="3058"/>
      <c r="CA127" s="3058"/>
      <c r="CB127" s="3058"/>
      <c r="CC127" s="3056"/>
      <c r="CD127" s="3057">
        <f t="shared" si="0"/>
      </c>
      <c r="CE127" s="3054"/>
      <c r="CF127" s="3054"/>
      <c r="CG127" s="3055"/>
      <c r="CH127" s="3055"/>
      <c r="CI127" s="3055"/>
      <c r="CJ127" s="3055"/>
      <c r="CK127" s="3055"/>
      <c r="CL127" s="3055"/>
      <c r="CM127" s="3055"/>
      <c r="CN127" s="3055"/>
      <c r="CO127" s="3055"/>
      <c r="CP127" s="3055"/>
      <c r="CQ127" s="3055"/>
      <c r="CR127" s="3055"/>
      <c r="CS127" s="3055"/>
      <c r="CU127" s="3054"/>
      <c r="CV127" s="696"/>
      <c r="CW127" s="696"/>
      <c r="CZ127" s="3060">
        <f t="shared" si="17"/>
      </c>
      <c r="DA127" s="3060">
        <f t="shared" si="1"/>
      </c>
      <c r="DB127" s="3060">
        <f t="shared" si="18"/>
      </c>
      <c r="DC127" s="3060">
        <f t="shared" si="19"/>
      </c>
      <c r="DD127" s="3060">
        <f t="shared" si="20"/>
      </c>
      <c r="DE127" s="3060">
        <f t="shared" si="21"/>
      </c>
      <c r="DF127" s="3060">
        <f t="shared" si="22"/>
      </c>
      <c r="DG127" s="3060">
        <f t="shared" si="23"/>
      </c>
      <c r="DH127" s="3060">
        <f t="shared" si="24"/>
      </c>
      <c r="DI127" s="3060">
        <f t="shared" si="1"/>
      </c>
    </row>
    <row r="128" ht="15" customHeight="1" s="3052" customFormat="1">
      <c r="A128" s="3065"/>
      <c r="B128" s="3054">
        <f t="shared" si="2"/>
      </c>
      <c r="C128" s="3054"/>
      <c r="D128" s="3054"/>
      <c r="E128" s="3055"/>
      <c r="F128" s="3055"/>
      <c r="G128" s="3055"/>
      <c r="H128" s="3055"/>
      <c r="I128" s="3055"/>
      <c r="J128" s="3055"/>
      <c r="K128" s="3055"/>
      <c r="L128" s="3055"/>
      <c r="M128" s="3055"/>
      <c r="N128" s="3055"/>
      <c r="O128" s="3055"/>
      <c r="P128" s="3055"/>
      <c r="Q128" s="3055"/>
      <c r="R128" s="3055">
        <f t="shared" si="3"/>
        <v>0</v>
      </c>
      <c r="S128" s="3055">
        <f t="shared" si="4"/>
        <v>0</v>
      </c>
      <c r="T128" s="3055">
        <f t="shared" si="5"/>
        <v>0</v>
      </c>
      <c r="U128" s="3055">
        <f t="shared" si="6"/>
        <v>0</v>
      </c>
      <c r="V128" s="3055">
        <f t="shared" si="7"/>
        <v>0</v>
      </c>
      <c r="W128" s="3055">
        <f t="shared" si="8"/>
        <v>0</v>
      </c>
      <c r="X128" s="3055">
        <f t="shared" si="9"/>
        <v>0</v>
      </c>
      <c r="Y128" s="3055">
        <f t="shared" si="10"/>
        <v>0</v>
      </c>
      <c r="Z128" s="3055">
        <f t="shared" si="11"/>
        <v>0</v>
      </c>
      <c r="AA128" s="3055">
        <f t="shared" si="12"/>
        <v>0</v>
      </c>
      <c r="AB128" s="3055">
        <f t="shared" si="13"/>
        <v>0</v>
      </c>
      <c r="AC128" s="3055">
        <f t="shared" si="14"/>
        <v>0</v>
      </c>
      <c r="AD128" s="3056"/>
      <c r="AE128" s="3057">
        <f t="shared" si="0"/>
      </c>
      <c r="AF128" s="3054"/>
      <c r="AG128" s="3059"/>
      <c r="AH128" s="3058"/>
      <c r="AI128" s="3058"/>
      <c r="AJ128" s="3058"/>
      <c r="AK128" s="3058"/>
      <c r="AL128" s="3058"/>
      <c r="AM128" s="3058"/>
      <c r="AN128" s="3058"/>
      <c r="AO128" s="3058"/>
      <c r="AP128" s="3058"/>
      <c r="AQ128" s="3058"/>
      <c r="AR128" s="3058"/>
      <c r="AS128" s="3058"/>
      <c r="AT128" s="3058"/>
      <c r="AU128" s="3056"/>
      <c r="AV128" s="3057">
        <f t="shared" si="15"/>
      </c>
      <c r="AW128" s="3054"/>
      <c r="AX128" s="3059"/>
      <c r="AY128" s="3058"/>
      <c r="AZ128" s="3058"/>
      <c r="BA128" s="3058"/>
      <c r="BB128" s="3058"/>
      <c r="BC128" s="3058"/>
      <c r="BD128" s="3058"/>
      <c r="BE128" s="3058"/>
      <c r="BF128" s="3058"/>
      <c r="BG128" s="3058"/>
      <c r="BH128" s="3058"/>
      <c r="BI128" s="3058"/>
      <c r="BJ128" s="3058"/>
      <c r="BK128" s="3058"/>
      <c r="BL128" s="3056"/>
      <c r="BM128" s="3057">
        <f t="shared" si="16"/>
      </c>
      <c r="BN128" s="3054"/>
      <c r="BO128" s="3059"/>
      <c r="BP128" s="3058"/>
      <c r="BQ128" s="3058"/>
      <c r="BR128" s="3058"/>
      <c r="BS128" s="3058"/>
      <c r="BT128" s="3058"/>
      <c r="BU128" s="3058"/>
      <c r="BV128" s="3058"/>
      <c r="BW128" s="3058"/>
      <c r="BX128" s="3058"/>
      <c r="BY128" s="3058"/>
      <c r="BZ128" s="3058"/>
      <c r="CA128" s="3058"/>
      <c r="CB128" s="3058"/>
      <c r="CC128" s="3056"/>
      <c r="CD128" s="3057">
        <f t="shared" si="0"/>
      </c>
      <c r="CE128" s="3054"/>
      <c r="CF128" s="3054"/>
      <c r="CG128" s="3055"/>
      <c r="CH128" s="3055"/>
      <c r="CI128" s="3055"/>
      <c r="CJ128" s="3055"/>
      <c r="CK128" s="3055"/>
      <c r="CL128" s="3055"/>
      <c r="CM128" s="3055"/>
      <c r="CN128" s="3055"/>
      <c r="CO128" s="3055"/>
      <c r="CP128" s="3055"/>
      <c r="CQ128" s="3055"/>
      <c r="CR128" s="3055"/>
      <c r="CS128" s="3055"/>
      <c r="CU128" s="3054"/>
      <c r="CV128" s="696"/>
      <c r="CW128" s="696"/>
      <c r="CZ128" s="3060">
        <f t="shared" si="17"/>
      </c>
      <c r="DA128" s="3060">
        <f t="shared" si="1"/>
      </c>
      <c r="DB128" s="3060">
        <f t="shared" si="18"/>
      </c>
      <c r="DC128" s="3060">
        <f t="shared" si="19"/>
      </c>
      <c r="DD128" s="3060">
        <f t="shared" si="20"/>
      </c>
      <c r="DE128" s="3060">
        <f t="shared" si="21"/>
      </c>
      <c r="DF128" s="3060">
        <f t="shared" si="22"/>
      </c>
      <c r="DG128" s="3060">
        <f t="shared" si="23"/>
      </c>
      <c r="DH128" s="3060">
        <f t="shared" si="24"/>
      </c>
      <c r="DI128" s="3060">
        <f t="shared" si="1"/>
      </c>
    </row>
    <row r="129" ht="15" customHeight="1" s="3052" customFormat="1">
      <c r="A129" s="3065"/>
      <c r="B129" s="3054">
        <f t="shared" si="2"/>
      </c>
      <c r="C129" s="3054"/>
      <c r="D129" s="3054"/>
      <c r="E129" s="3055"/>
      <c r="F129" s="3055"/>
      <c r="G129" s="3055"/>
      <c r="H129" s="3055"/>
      <c r="I129" s="3055"/>
      <c r="J129" s="3055"/>
      <c r="K129" s="3055"/>
      <c r="L129" s="3055"/>
      <c r="M129" s="3055"/>
      <c r="N129" s="3055"/>
      <c r="O129" s="3055"/>
      <c r="P129" s="3055"/>
      <c r="Q129" s="3055"/>
      <c r="R129" s="3055">
        <f t="shared" si="3"/>
        <v>0</v>
      </c>
      <c r="S129" s="3055">
        <f t="shared" si="4"/>
        <v>0</v>
      </c>
      <c r="T129" s="3055">
        <f t="shared" si="5"/>
        <v>0</v>
      </c>
      <c r="U129" s="3055">
        <f t="shared" si="6"/>
        <v>0</v>
      </c>
      <c r="V129" s="3055">
        <f t="shared" si="7"/>
        <v>0</v>
      </c>
      <c r="W129" s="3055">
        <f t="shared" si="8"/>
        <v>0</v>
      </c>
      <c r="X129" s="3055">
        <f t="shared" si="9"/>
        <v>0</v>
      </c>
      <c r="Y129" s="3055">
        <f t="shared" si="10"/>
        <v>0</v>
      </c>
      <c r="Z129" s="3055">
        <f t="shared" si="11"/>
        <v>0</v>
      </c>
      <c r="AA129" s="3055">
        <f t="shared" si="12"/>
        <v>0</v>
      </c>
      <c r="AB129" s="3055">
        <f t="shared" si="13"/>
        <v>0</v>
      </c>
      <c r="AC129" s="3055">
        <f t="shared" si="14"/>
        <v>0</v>
      </c>
      <c r="AD129" s="3056"/>
      <c r="AE129" s="3057">
        <f t="shared" si="0"/>
      </c>
      <c r="AF129" s="3054"/>
      <c r="AG129" s="3059"/>
      <c r="AH129" s="3058"/>
      <c r="AI129" s="3058"/>
      <c r="AJ129" s="3058"/>
      <c r="AK129" s="3058"/>
      <c r="AL129" s="3058"/>
      <c r="AM129" s="3058"/>
      <c r="AN129" s="3058"/>
      <c r="AO129" s="3058"/>
      <c r="AP129" s="3058"/>
      <c r="AQ129" s="3058"/>
      <c r="AR129" s="3058"/>
      <c r="AS129" s="3058"/>
      <c r="AT129" s="3058"/>
      <c r="AU129" s="3056"/>
      <c r="AV129" s="3057">
        <f t="shared" si="15"/>
      </c>
      <c r="AW129" s="3054"/>
      <c r="AX129" s="3059"/>
      <c r="AY129" s="3058"/>
      <c r="AZ129" s="3058"/>
      <c r="BA129" s="3058"/>
      <c r="BB129" s="3058"/>
      <c r="BC129" s="3058"/>
      <c r="BD129" s="3058"/>
      <c r="BE129" s="3058"/>
      <c r="BF129" s="3058"/>
      <c r="BG129" s="3058"/>
      <c r="BH129" s="3058"/>
      <c r="BI129" s="3058"/>
      <c r="BJ129" s="3058"/>
      <c r="BK129" s="3058"/>
      <c r="BL129" s="3056"/>
      <c r="BM129" s="3057">
        <f t="shared" si="16"/>
      </c>
      <c r="BN129" s="3054"/>
      <c r="BO129" s="3059"/>
      <c r="BP129" s="3058"/>
      <c r="BQ129" s="3058"/>
      <c r="BR129" s="3058"/>
      <c r="BS129" s="3058"/>
      <c r="BT129" s="3058"/>
      <c r="BU129" s="3058"/>
      <c r="BV129" s="3058"/>
      <c r="BW129" s="3058"/>
      <c r="BX129" s="3058"/>
      <c r="BY129" s="3058"/>
      <c r="BZ129" s="3058"/>
      <c r="CA129" s="3058"/>
      <c r="CB129" s="3058"/>
      <c r="CC129" s="3056"/>
      <c r="CD129" s="3057">
        <f t="shared" si="0"/>
      </c>
      <c r="CE129" s="3054"/>
      <c r="CF129" s="3054"/>
      <c r="CG129" s="3055"/>
      <c r="CH129" s="3055"/>
      <c r="CI129" s="3055"/>
      <c r="CJ129" s="3055"/>
      <c r="CK129" s="3055"/>
      <c r="CL129" s="3055"/>
      <c r="CM129" s="3055"/>
      <c r="CN129" s="3055"/>
      <c r="CO129" s="3055"/>
      <c r="CP129" s="3055"/>
      <c r="CQ129" s="3055"/>
      <c r="CR129" s="3055"/>
      <c r="CS129" s="3055"/>
      <c r="CU129" s="3054"/>
      <c r="CV129" s="696"/>
      <c r="CW129" s="696"/>
      <c r="CZ129" s="3060">
        <f t="shared" si="17"/>
      </c>
      <c r="DA129" s="3060">
        <f t="shared" si="1"/>
      </c>
      <c r="DB129" s="3060">
        <f t="shared" si="18"/>
      </c>
      <c r="DC129" s="3060">
        <f t="shared" si="19"/>
      </c>
      <c r="DD129" s="3060">
        <f t="shared" si="20"/>
      </c>
      <c r="DE129" s="3060">
        <f t="shared" si="21"/>
      </c>
      <c r="DF129" s="3060">
        <f t="shared" si="22"/>
      </c>
      <c r="DG129" s="3060">
        <f t="shared" si="23"/>
      </c>
      <c r="DH129" s="3060">
        <f t="shared" si="24"/>
      </c>
      <c r="DI129" s="3060">
        <f t="shared" si="1"/>
      </c>
    </row>
    <row r="130" ht="15" customHeight="1" s="3052" customFormat="1">
      <c r="A130" s="3065"/>
      <c r="B130" s="3054">
        <f t="shared" si="2"/>
      </c>
      <c r="C130" s="3054"/>
      <c r="D130" s="3054"/>
      <c r="E130" s="3055"/>
      <c r="F130" s="3055"/>
      <c r="G130" s="3055"/>
      <c r="H130" s="3055"/>
      <c r="I130" s="3055"/>
      <c r="J130" s="3055"/>
      <c r="K130" s="3055"/>
      <c r="L130" s="3055"/>
      <c r="M130" s="3055"/>
      <c r="N130" s="3055"/>
      <c r="O130" s="3055"/>
      <c r="P130" s="3055"/>
      <c r="Q130" s="3055"/>
      <c r="R130" s="3055">
        <f t="shared" si="3"/>
        <v>0</v>
      </c>
      <c r="S130" s="3055">
        <f t="shared" si="4"/>
        <v>0</v>
      </c>
      <c r="T130" s="3055">
        <f t="shared" si="5"/>
        <v>0</v>
      </c>
      <c r="U130" s="3055">
        <f t="shared" si="6"/>
        <v>0</v>
      </c>
      <c r="V130" s="3055">
        <f t="shared" si="7"/>
        <v>0</v>
      </c>
      <c r="W130" s="3055">
        <f t="shared" si="8"/>
        <v>0</v>
      </c>
      <c r="X130" s="3055">
        <f t="shared" si="9"/>
        <v>0</v>
      </c>
      <c r="Y130" s="3055">
        <f t="shared" si="10"/>
        <v>0</v>
      </c>
      <c r="Z130" s="3055">
        <f t="shared" si="11"/>
        <v>0</v>
      </c>
      <c r="AA130" s="3055">
        <f t="shared" si="12"/>
        <v>0</v>
      </c>
      <c r="AB130" s="3055">
        <f t="shared" si="13"/>
        <v>0</v>
      </c>
      <c r="AC130" s="3055">
        <f t="shared" si="14"/>
        <v>0</v>
      </c>
      <c r="AD130" s="3056"/>
      <c r="AE130" s="3057">
        <f t="shared" si="0"/>
      </c>
      <c r="AF130" s="3054"/>
      <c r="AG130" s="3059"/>
      <c r="AH130" s="3058"/>
      <c r="AI130" s="3058"/>
      <c r="AJ130" s="3058"/>
      <c r="AK130" s="3058"/>
      <c r="AL130" s="3058"/>
      <c r="AM130" s="3058"/>
      <c r="AN130" s="3058"/>
      <c r="AO130" s="3058"/>
      <c r="AP130" s="3058"/>
      <c r="AQ130" s="3058"/>
      <c r="AR130" s="3058"/>
      <c r="AS130" s="3058"/>
      <c r="AT130" s="3058"/>
      <c r="AU130" s="3056"/>
      <c r="AV130" s="3057">
        <f t="shared" si="15"/>
      </c>
      <c r="AW130" s="3054"/>
      <c r="AX130" s="3059"/>
      <c r="AY130" s="3058"/>
      <c r="AZ130" s="3058"/>
      <c r="BA130" s="3058"/>
      <c r="BB130" s="3058"/>
      <c r="BC130" s="3058"/>
      <c r="BD130" s="3058"/>
      <c r="BE130" s="3058"/>
      <c r="BF130" s="3058"/>
      <c r="BG130" s="3058"/>
      <c r="BH130" s="3058"/>
      <c r="BI130" s="3058"/>
      <c r="BJ130" s="3058"/>
      <c r="BK130" s="3058"/>
      <c r="BL130" s="3056"/>
      <c r="BM130" s="3057">
        <f t="shared" si="16"/>
      </c>
      <c r="BN130" s="3054"/>
      <c r="BO130" s="3059"/>
      <c r="BP130" s="3058"/>
      <c r="BQ130" s="3058"/>
      <c r="BR130" s="3058"/>
      <c r="BS130" s="3058"/>
      <c r="BT130" s="3058"/>
      <c r="BU130" s="3058"/>
      <c r="BV130" s="3058"/>
      <c r="BW130" s="3058"/>
      <c r="BX130" s="3058"/>
      <c r="BY130" s="3058"/>
      <c r="BZ130" s="3058"/>
      <c r="CA130" s="3058"/>
      <c r="CB130" s="3058"/>
      <c r="CC130" s="3056"/>
      <c r="CD130" s="3057">
        <f t="shared" si="0"/>
      </c>
      <c r="CE130" s="3054"/>
      <c r="CF130" s="3054"/>
      <c r="CG130" s="3055"/>
      <c r="CH130" s="3055"/>
      <c r="CI130" s="3055"/>
      <c r="CJ130" s="3055"/>
      <c r="CK130" s="3055"/>
      <c r="CL130" s="3055"/>
      <c r="CM130" s="3055"/>
      <c r="CN130" s="3055"/>
      <c r="CO130" s="3055"/>
      <c r="CP130" s="3055"/>
      <c r="CQ130" s="3055"/>
      <c r="CR130" s="3055"/>
      <c r="CS130" s="3055"/>
      <c r="CU130" s="3054"/>
      <c r="CV130" s="696"/>
      <c r="CW130" s="696"/>
      <c r="CZ130" s="3060">
        <f t="shared" si="17"/>
      </c>
      <c r="DA130" s="3060">
        <f t="shared" si="1"/>
      </c>
      <c r="DB130" s="3060">
        <f t="shared" si="18"/>
      </c>
      <c r="DC130" s="3060">
        <f t="shared" si="19"/>
      </c>
      <c r="DD130" s="3060">
        <f t="shared" si="20"/>
      </c>
      <c r="DE130" s="3060">
        <f t="shared" si="21"/>
      </c>
      <c r="DF130" s="3060">
        <f t="shared" si="22"/>
      </c>
      <c r="DG130" s="3060">
        <f t="shared" si="23"/>
      </c>
      <c r="DH130" s="3060">
        <f t="shared" si="24"/>
      </c>
      <c r="DI130" s="3060">
        <f t="shared" si="1"/>
      </c>
    </row>
    <row r="131" ht="15" customHeight="1" s="3052" customFormat="1">
      <c r="A131" s="3065"/>
      <c r="B131" s="3054">
        <f t="shared" si="2"/>
      </c>
      <c r="C131" s="3054"/>
      <c r="D131" s="3054"/>
      <c r="E131" s="3055"/>
      <c r="F131" s="3055"/>
      <c r="G131" s="3055"/>
      <c r="H131" s="3055"/>
      <c r="I131" s="3055"/>
      <c r="J131" s="3055"/>
      <c r="K131" s="3055"/>
      <c r="L131" s="3055"/>
      <c r="M131" s="3055"/>
      <c r="N131" s="3055"/>
      <c r="O131" s="3055"/>
      <c r="P131" s="3055"/>
      <c r="Q131" s="3055"/>
      <c r="R131" s="3055">
        <f t="shared" si="3"/>
        <v>0</v>
      </c>
      <c r="S131" s="3055">
        <f t="shared" si="4"/>
        <v>0</v>
      </c>
      <c r="T131" s="3055">
        <f t="shared" si="5"/>
        <v>0</v>
      </c>
      <c r="U131" s="3055">
        <f t="shared" si="6"/>
        <v>0</v>
      </c>
      <c r="V131" s="3055">
        <f t="shared" si="7"/>
        <v>0</v>
      </c>
      <c r="W131" s="3055">
        <f t="shared" si="8"/>
        <v>0</v>
      </c>
      <c r="X131" s="3055">
        <f t="shared" si="9"/>
        <v>0</v>
      </c>
      <c r="Y131" s="3055">
        <f t="shared" si="10"/>
        <v>0</v>
      </c>
      <c r="Z131" s="3055">
        <f t="shared" si="11"/>
        <v>0</v>
      </c>
      <c r="AA131" s="3055">
        <f t="shared" si="12"/>
        <v>0</v>
      </c>
      <c r="AB131" s="3055">
        <f t="shared" si="13"/>
        <v>0</v>
      </c>
      <c r="AC131" s="3055">
        <f t="shared" si="14"/>
        <v>0</v>
      </c>
      <c r="AD131" s="3056"/>
      <c r="AE131" s="3057">
        <f t="shared" si="0"/>
      </c>
      <c r="AF131" s="3054"/>
      <c r="AG131" s="3059"/>
      <c r="AH131" s="3058"/>
      <c r="AI131" s="3058"/>
      <c r="AJ131" s="3058"/>
      <c r="AK131" s="3058"/>
      <c r="AL131" s="3058"/>
      <c r="AM131" s="3058"/>
      <c r="AN131" s="3058"/>
      <c r="AO131" s="3058"/>
      <c r="AP131" s="3058"/>
      <c r="AQ131" s="3058"/>
      <c r="AR131" s="3058"/>
      <c r="AS131" s="3058"/>
      <c r="AT131" s="3058"/>
      <c r="AU131" s="3056"/>
      <c r="AV131" s="3057">
        <f t="shared" si="15"/>
      </c>
      <c r="AW131" s="3054"/>
      <c r="AX131" s="3059"/>
      <c r="AY131" s="3058"/>
      <c r="AZ131" s="3058"/>
      <c r="BA131" s="3058"/>
      <c r="BB131" s="3058"/>
      <c r="BC131" s="3058"/>
      <c r="BD131" s="3058"/>
      <c r="BE131" s="3058"/>
      <c r="BF131" s="3058"/>
      <c r="BG131" s="3058"/>
      <c r="BH131" s="3058"/>
      <c r="BI131" s="3058"/>
      <c r="BJ131" s="3058"/>
      <c r="BK131" s="3058"/>
      <c r="BL131" s="3056"/>
      <c r="BM131" s="3057">
        <f t="shared" si="16"/>
      </c>
      <c r="BN131" s="3054"/>
      <c r="BO131" s="3059"/>
      <c r="BP131" s="3058"/>
      <c r="BQ131" s="3058"/>
      <c r="BR131" s="3058"/>
      <c r="BS131" s="3058"/>
      <c r="BT131" s="3058"/>
      <c r="BU131" s="3058"/>
      <c r="BV131" s="3058"/>
      <c r="BW131" s="3058"/>
      <c r="BX131" s="3058"/>
      <c r="BY131" s="3058"/>
      <c r="BZ131" s="3058"/>
      <c r="CA131" s="3058"/>
      <c r="CB131" s="3058"/>
      <c r="CC131" s="3056"/>
      <c r="CD131" s="3057">
        <f t="shared" si="0"/>
      </c>
      <c r="CE131" s="3054"/>
      <c r="CF131" s="3054"/>
      <c r="CG131" s="3055"/>
      <c r="CH131" s="3055"/>
      <c r="CI131" s="3055"/>
      <c r="CJ131" s="3055"/>
      <c r="CK131" s="3055"/>
      <c r="CL131" s="3055"/>
      <c r="CM131" s="3055"/>
      <c r="CN131" s="3055"/>
      <c r="CO131" s="3055"/>
      <c r="CP131" s="3055"/>
      <c r="CQ131" s="3055"/>
      <c r="CR131" s="3055"/>
      <c r="CS131" s="3055"/>
      <c r="CU131" s="3054"/>
      <c r="CV131" s="696"/>
      <c r="CW131" s="696"/>
      <c r="CZ131" s="3060">
        <f t="shared" si="17"/>
      </c>
      <c r="DA131" s="3060">
        <f t="shared" si="1"/>
      </c>
      <c r="DB131" s="3060">
        <f t="shared" si="18"/>
      </c>
      <c r="DC131" s="3060">
        <f t="shared" si="19"/>
      </c>
      <c r="DD131" s="3060">
        <f t="shared" si="20"/>
      </c>
      <c r="DE131" s="3060">
        <f t="shared" si="21"/>
      </c>
      <c r="DF131" s="3060">
        <f t="shared" si="22"/>
      </c>
      <c r="DG131" s="3060">
        <f t="shared" si="23"/>
      </c>
      <c r="DH131" s="3060">
        <f t="shared" si="24"/>
      </c>
      <c r="DI131" s="3060">
        <f t="shared" si="1"/>
      </c>
    </row>
    <row r="132" ht="15" customHeight="1" s="3052" customFormat="1">
      <c r="A132" s="3065"/>
      <c r="B132" s="3054">
        <f t="shared" si="2"/>
      </c>
      <c r="C132" s="3054"/>
      <c r="D132" s="3054"/>
      <c r="E132" s="3055"/>
      <c r="F132" s="3055"/>
      <c r="G132" s="3055"/>
      <c r="H132" s="3055"/>
      <c r="I132" s="3055"/>
      <c r="J132" s="3055"/>
      <c r="K132" s="3055"/>
      <c r="L132" s="3055"/>
      <c r="M132" s="3055"/>
      <c r="N132" s="3055"/>
      <c r="O132" s="3055"/>
      <c r="P132" s="3055"/>
      <c r="Q132" s="3055"/>
      <c r="R132" s="3055">
        <f t="shared" si="3"/>
        <v>0</v>
      </c>
      <c r="S132" s="3055">
        <f t="shared" si="4"/>
        <v>0</v>
      </c>
      <c r="T132" s="3055">
        <f t="shared" si="5"/>
        <v>0</v>
      </c>
      <c r="U132" s="3055">
        <f t="shared" si="6"/>
        <v>0</v>
      </c>
      <c r="V132" s="3055">
        <f t="shared" si="7"/>
        <v>0</v>
      </c>
      <c r="W132" s="3055">
        <f t="shared" si="8"/>
        <v>0</v>
      </c>
      <c r="X132" s="3055">
        <f t="shared" si="9"/>
        <v>0</v>
      </c>
      <c r="Y132" s="3055">
        <f t="shared" si="10"/>
        <v>0</v>
      </c>
      <c r="Z132" s="3055">
        <f t="shared" si="11"/>
        <v>0</v>
      </c>
      <c r="AA132" s="3055">
        <f t="shared" si="12"/>
        <v>0</v>
      </c>
      <c r="AB132" s="3055">
        <f t="shared" si="13"/>
        <v>0</v>
      </c>
      <c r="AC132" s="3055">
        <f t="shared" si="14"/>
        <v>0</v>
      </c>
      <c r="AD132" s="3056"/>
      <c r="AE132" s="3057">
        <f t="shared" si="0"/>
      </c>
      <c r="AF132" s="3054"/>
      <c r="AG132" s="3059"/>
      <c r="AH132" s="3058"/>
      <c r="AI132" s="3058"/>
      <c r="AJ132" s="3058"/>
      <c r="AK132" s="3058"/>
      <c r="AL132" s="3058"/>
      <c r="AM132" s="3058"/>
      <c r="AN132" s="3058"/>
      <c r="AO132" s="3058"/>
      <c r="AP132" s="3058"/>
      <c r="AQ132" s="3058"/>
      <c r="AR132" s="3058"/>
      <c r="AS132" s="3058"/>
      <c r="AT132" s="3058"/>
      <c r="AU132" s="3056"/>
      <c r="AV132" s="3057">
        <f t="shared" si="15"/>
      </c>
      <c r="AW132" s="3054"/>
      <c r="AX132" s="3059"/>
      <c r="AY132" s="3058"/>
      <c r="AZ132" s="3058"/>
      <c r="BA132" s="3058"/>
      <c r="BB132" s="3058"/>
      <c r="BC132" s="3058"/>
      <c r="BD132" s="3058"/>
      <c r="BE132" s="3058"/>
      <c r="BF132" s="3058"/>
      <c r="BG132" s="3058"/>
      <c r="BH132" s="3058"/>
      <c r="BI132" s="3058"/>
      <c r="BJ132" s="3058"/>
      <c r="BK132" s="3058"/>
      <c r="BL132" s="3056"/>
      <c r="BM132" s="3057">
        <f t="shared" si="16"/>
      </c>
      <c r="BN132" s="3054"/>
      <c r="BO132" s="3059"/>
      <c r="BP132" s="3058"/>
      <c r="BQ132" s="3058"/>
      <c r="BR132" s="3058"/>
      <c r="BS132" s="3058"/>
      <c r="BT132" s="3058"/>
      <c r="BU132" s="3058"/>
      <c r="BV132" s="3058"/>
      <c r="BW132" s="3058"/>
      <c r="BX132" s="3058"/>
      <c r="BY132" s="3058"/>
      <c r="BZ132" s="3058"/>
      <c r="CA132" s="3058"/>
      <c r="CB132" s="3058"/>
      <c r="CC132" s="3056"/>
      <c r="CD132" s="3057">
        <f t="shared" si="0"/>
      </c>
      <c r="CE132" s="3054"/>
      <c r="CF132" s="3054"/>
      <c r="CG132" s="3055"/>
      <c r="CH132" s="3055"/>
      <c r="CI132" s="3055"/>
      <c r="CJ132" s="3055"/>
      <c r="CK132" s="3055"/>
      <c r="CL132" s="3055"/>
      <c r="CM132" s="3055"/>
      <c r="CN132" s="3055"/>
      <c r="CO132" s="3055"/>
      <c r="CP132" s="3055"/>
      <c r="CQ132" s="3055"/>
      <c r="CR132" s="3055"/>
      <c r="CS132" s="3055"/>
      <c r="CU132" s="3054"/>
      <c r="CV132" s="696"/>
      <c r="CW132" s="696"/>
      <c r="CZ132" s="3060">
        <f t="shared" si="17"/>
      </c>
      <c r="DA132" s="3060">
        <f t="shared" si="1"/>
      </c>
      <c r="DB132" s="3060">
        <f t="shared" si="18"/>
      </c>
      <c r="DC132" s="3060">
        <f t="shared" si="19"/>
      </c>
      <c r="DD132" s="3060">
        <f t="shared" si="20"/>
      </c>
      <c r="DE132" s="3060">
        <f t="shared" si="21"/>
      </c>
      <c r="DF132" s="3060">
        <f t="shared" si="22"/>
      </c>
      <c r="DG132" s="3060">
        <f t="shared" si="23"/>
      </c>
      <c r="DH132" s="3060">
        <f t="shared" si="24"/>
      </c>
      <c r="DI132" s="3060">
        <f t="shared" si="1"/>
      </c>
    </row>
    <row r="133" ht="15" customHeight="1" s="3052" customFormat="1">
      <c r="A133" s="3065"/>
      <c r="B133" s="3054">
        <f t="shared" si="2"/>
      </c>
      <c r="C133" s="3054"/>
      <c r="D133" s="3054"/>
      <c r="E133" s="3055"/>
      <c r="F133" s="3055"/>
      <c r="G133" s="3055"/>
      <c r="H133" s="3055"/>
      <c r="I133" s="3055"/>
      <c r="J133" s="3055"/>
      <c r="K133" s="3055"/>
      <c r="L133" s="3055"/>
      <c r="M133" s="3055"/>
      <c r="N133" s="3055"/>
      <c r="O133" s="3055"/>
      <c r="P133" s="3055"/>
      <c r="Q133" s="3055"/>
      <c r="R133" s="3055">
        <f t="shared" si="3"/>
        <v>0</v>
      </c>
      <c r="S133" s="3055">
        <f t="shared" si="4"/>
        <v>0</v>
      </c>
      <c r="T133" s="3055">
        <f t="shared" si="5"/>
        <v>0</v>
      </c>
      <c r="U133" s="3055">
        <f t="shared" si="6"/>
        <v>0</v>
      </c>
      <c r="V133" s="3055">
        <f t="shared" si="7"/>
        <v>0</v>
      </c>
      <c r="W133" s="3055">
        <f t="shared" si="8"/>
        <v>0</v>
      </c>
      <c r="X133" s="3055">
        <f t="shared" si="9"/>
        <v>0</v>
      </c>
      <c r="Y133" s="3055">
        <f t="shared" si="10"/>
        <v>0</v>
      </c>
      <c r="Z133" s="3055">
        <f t="shared" si="11"/>
        <v>0</v>
      </c>
      <c r="AA133" s="3055">
        <f t="shared" si="12"/>
        <v>0</v>
      </c>
      <c r="AB133" s="3055">
        <f t="shared" si="13"/>
        <v>0</v>
      </c>
      <c r="AC133" s="3055">
        <f t="shared" si="14"/>
        <v>0</v>
      </c>
      <c r="AD133" s="3056"/>
      <c r="AE133" s="3057">
        <f t="shared" si="0"/>
      </c>
      <c r="AF133" s="3054"/>
      <c r="AG133" s="3059"/>
      <c r="AH133" s="3058"/>
      <c r="AI133" s="3058"/>
      <c r="AJ133" s="3058"/>
      <c r="AK133" s="3058"/>
      <c r="AL133" s="3058"/>
      <c r="AM133" s="3058"/>
      <c r="AN133" s="3058"/>
      <c r="AO133" s="3058"/>
      <c r="AP133" s="3058"/>
      <c r="AQ133" s="3058"/>
      <c r="AR133" s="3058"/>
      <c r="AS133" s="3058"/>
      <c r="AT133" s="3058"/>
      <c r="AU133" s="3056"/>
      <c r="AV133" s="3057">
        <f t="shared" si="15"/>
      </c>
      <c r="AW133" s="3054"/>
      <c r="AX133" s="3059"/>
      <c r="AY133" s="3058"/>
      <c r="AZ133" s="3058"/>
      <c r="BA133" s="3058"/>
      <c r="BB133" s="3058"/>
      <c r="BC133" s="3058"/>
      <c r="BD133" s="3058"/>
      <c r="BE133" s="3058"/>
      <c r="BF133" s="3058"/>
      <c r="BG133" s="3058"/>
      <c r="BH133" s="3058"/>
      <c r="BI133" s="3058"/>
      <c r="BJ133" s="3058"/>
      <c r="BK133" s="3058"/>
      <c r="BL133" s="3056"/>
      <c r="BM133" s="3057">
        <f t="shared" si="16"/>
      </c>
      <c r="BN133" s="3054"/>
      <c r="BO133" s="3059"/>
      <c r="BP133" s="3058"/>
      <c r="BQ133" s="3058"/>
      <c r="BR133" s="3058"/>
      <c r="BS133" s="3058"/>
      <c r="BT133" s="3058"/>
      <c r="BU133" s="3058"/>
      <c r="BV133" s="3058"/>
      <c r="BW133" s="3058"/>
      <c r="BX133" s="3058"/>
      <c r="BY133" s="3058"/>
      <c r="BZ133" s="3058"/>
      <c r="CA133" s="3058"/>
      <c r="CB133" s="3058"/>
      <c r="CC133" s="3056"/>
      <c r="CD133" s="3057">
        <f t="shared" si="0"/>
      </c>
      <c r="CE133" s="3054"/>
      <c r="CF133" s="3054"/>
      <c r="CG133" s="3055"/>
      <c r="CH133" s="3055"/>
      <c r="CI133" s="3055"/>
      <c r="CJ133" s="3055"/>
      <c r="CK133" s="3055"/>
      <c r="CL133" s="3055"/>
      <c r="CM133" s="3055"/>
      <c r="CN133" s="3055"/>
      <c r="CO133" s="3055"/>
      <c r="CP133" s="3055"/>
      <c r="CQ133" s="3055"/>
      <c r="CR133" s="3055"/>
      <c r="CS133" s="3055"/>
      <c r="CU133" s="3054"/>
      <c r="CV133" s="696"/>
      <c r="CW133" s="696"/>
      <c r="CZ133" s="3060">
        <f t="shared" si="17"/>
      </c>
      <c r="DA133" s="3060">
        <f t="shared" si="1"/>
      </c>
      <c r="DB133" s="3060">
        <f t="shared" si="18"/>
      </c>
      <c r="DC133" s="3060">
        <f t="shared" si="19"/>
      </c>
      <c r="DD133" s="3060">
        <f t="shared" si="20"/>
      </c>
      <c r="DE133" s="3060">
        <f t="shared" si="21"/>
      </c>
      <c r="DF133" s="3060">
        <f t="shared" si="22"/>
      </c>
      <c r="DG133" s="3060">
        <f t="shared" si="23"/>
      </c>
      <c r="DH133" s="3060">
        <f t="shared" si="24"/>
      </c>
      <c r="DI133" s="3060">
        <f t="shared" si="1"/>
      </c>
    </row>
    <row r="134" ht="15" customHeight="1" s="3052" customFormat="1">
      <c r="A134" s="3065"/>
      <c r="B134" s="3054">
        <f t="shared" si="2"/>
      </c>
      <c r="C134" s="3054"/>
      <c r="D134" s="3054"/>
      <c r="E134" s="3055"/>
      <c r="F134" s="3055"/>
      <c r="G134" s="3055"/>
      <c r="H134" s="3055"/>
      <c r="I134" s="3055"/>
      <c r="J134" s="3055"/>
      <c r="K134" s="3055"/>
      <c r="L134" s="3055"/>
      <c r="M134" s="3055"/>
      <c r="N134" s="3055"/>
      <c r="O134" s="3055"/>
      <c r="P134" s="3055"/>
      <c r="Q134" s="3055"/>
      <c r="R134" s="3055">
        <f t="shared" si="3"/>
        <v>0</v>
      </c>
      <c r="S134" s="3055">
        <f t="shared" si="4"/>
        <v>0</v>
      </c>
      <c r="T134" s="3055">
        <f t="shared" si="5"/>
        <v>0</v>
      </c>
      <c r="U134" s="3055">
        <f t="shared" si="6"/>
        <v>0</v>
      </c>
      <c r="V134" s="3055">
        <f t="shared" si="7"/>
        <v>0</v>
      </c>
      <c r="W134" s="3055">
        <f t="shared" si="8"/>
        <v>0</v>
      </c>
      <c r="X134" s="3055">
        <f t="shared" si="9"/>
        <v>0</v>
      </c>
      <c r="Y134" s="3055">
        <f t="shared" si="10"/>
        <v>0</v>
      </c>
      <c r="Z134" s="3055">
        <f t="shared" si="11"/>
        <v>0</v>
      </c>
      <c r="AA134" s="3055">
        <f t="shared" si="12"/>
        <v>0</v>
      </c>
      <c r="AB134" s="3055">
        <f t="shared" si="13"/>
        <v>0</v>
      </c>
      <c r="AC134" s="3055">
        <f t="shared" si="14"/>
        <v>0</v>
      </c>
      <c r="AD134" s="3056"/>
      <c r="AE134" s="3057">
        <f t="shared" si="0"/>
      </c>
      <c r="AF134" s="3054"/>
      <c r="AG134" s="3059"/>
      <c r="AH134" s="3058"/>
      <c r="AI134" s="3058"/>
      <c r="AJ134" s="3058"/>
      <c r="AK134" s="3058"/>
      <c r="AL134" s="3058"/>
      <c r="AM134" s="3058"/>
      <c r="AN134" s="3058"/>
      <c r="AO134" s="3058"/>
      <c r="AP134" s="3058"/>
      <c r="AQ134" s="3058"/>
      <c r="AR134" s="3058"/>
      <c r="AS134" s="3058"/>
      <c r="AT134" s="3058"/>
      <c r="AU134" s="3056"/>
      <c r="AV134" s="3057">
        <f t="shared" si="15"/>
      </c>
      <c r="AW134" s="3054"/>
      <c r="AX134" s="3059"/>
      <c r="AY134" s="3058"/>
      <c r="AZ134" s="3058"/>
      <c r="BA134" s="3058"/>
      <c r="BB134" s="3058"/>
      <c r="BC134" s="3058"/>
      <c r="BD134" s="3058"/>
      <c r="BE134" s="3058"/>
      <c r="BF134" s="3058"/>
      <c r="BG134" s="3058"/>
      <c r="BH134" s="3058"/>
      <c r="BI134" s="3058"/>
      <c r="BJ134" s="3058"/>
      <c r="BK134" s="3058"/>
      <c r="BL134" s="3056"/>
      <c r="BM134" s="3057">
        <f t="shared" si="16"/>
      </c>
      <c r="BN134" s="3054"/>
      <c r="BO134" s="3059"/>
      <c r="BP134" s="3058"/>
      <c r="BQ134" s="3058"/>
      <c r="BR134" s="3058"/>
      <c r="BS134" s="3058"/>
      <c r="BT134" s="3058"/>
      <c r="BU134" s="3058"/>
      <c r="BV134" s="3058"/>
      <c r="BW134" s="3058"/>
      <c r="BX134" s="3058"/>
      <c r="BY134" s="3058"/>
      <c r="BZ134" s="3058"/>
      <c r="CA134" s="3058"/>
      <c r="CB134" s="3058"/>
      <c r="CC134" s="3056"/>
      <c r="CD134" s="3057">
        <f t="shared" si="0"/>
      </c>
      <c r="CE134" s="3054"/>
      <c r="CF134" s="3054"/>
      <c r="CG134" s="3055"/>
      <c r="CH134" s="3055"/>
      <c r="CI134" s="3055"/>
      <c r="CJ134" s="3055"/>
      <c r="CK134" s="3055"/>
      <c r="CL134" s="3055"/>
      <c r="CM134" s="3055"/>
      <c r="CN134" s="3055"/>
      <c r="CO134" s="3055"/>
      <c r="CP134" s="3055"/>
      <c r="CQ134" s="3055"/>
      <c r="CR134" s="3055"/>
      <c r="CS134" s="3055"/>
      <c r="CU134" s="3054"/>
      <c r="CV134" s="696"/>
      <c r="CW134" s="696"/>
      <c r="CZ134" s="3060">
        <f t="shared" si="17"/>
      </c>
      <c r="DA134" s="3060">
        <f t="shared" si="1"/>
      </c>
      <c r="DB134" s="3060">
        <f t="shared" si="18"/>
      </c>
      <c r="DC134" s="3060">
        <f t="shared" si="19"/>
      </c>
      <c r="DD134" s="3060">
        <f t="shared" si="20"/>
      </c>
      <c r="DE134" s="3060">
        <f t="shared" si="21"/>
      </c>
      <c r="DF134" s="3060">
        <f t="shared" si="22"/>
      </c>
      <c r="DG134" s="3060">
        <f t="shared" si="23"/>
      </c>
      <c r="DH134" s="3060">
        <f t="shared" si="24"/>
      </c>
      <c r="DI134" s="3060">
        <f t="shared" si="1"/>
      </c>
    </row>
    <row r="135" ht="15" customHeight="1" s="3052" customFormat="1">
      <c r="A135" s="3065"/>
      <c r="B135" s="3054">
        <f t="shared" si="2"/>
      </c>
      <c r="C135" s="3054"/>
      <c r="D135" s="3054"/>
      <c r="E135" s="3055"/>
      <c r="F135" s="3055"/>
      <c r="G135" s="3055"/>
      <c r="H135" s="3055"/>
      <c r="I135" s="3055"/>
      <c r="J135" s="3055"/>
      <c r="K135" s="3055"/>
      <c r="L135" s="3055"/>
      <c r="M135" s="3055"/>
      <c r="N135" s="3055"/>
      <c r="O135" s="3055"/>
      <c r="P135" s="3055"/>
      <c r="Q135" s="3055"/>
      <c r="R135" s="3055">
        <f t="shared" si="3"/>
        <v>0</v>
      </c>
      <c r="S135" s="3055">
        <f t="shared" si="4"/>
        <v>0</v>
      </c>
      <c r="T135" s="3055">
        <f t="shared" si="5"/>
        <v>0</v>
      </c>
      <c r="U135" s="3055">
        <f t="shared" si="6"/>
        <v>0</v>
      </c>
      <c r="V135" s="3055">
        <f t="shared" si="7"/>
        <v>0</v>
      </c>
      <c r="W135" s="3055">
        <f t="shared" si="8"/>
        <v>0</v>
      </c>
      <c r="X135" s="3055">
        <f t="shared" si="9"/>
        <v>0</v>
      </c>
      <c r="Y135" s="3055">
        <f t="shared" si="10"/>
        <v>0</v>
      </c>
      <c r="Z135" s="3055">
        <f t="shared" si="11"/>
        <v>0</v>
      </c>
      <c r="AA135" s="3055">
        <f t="shared" si="12"/>
        <v>0</v>
      </c>
      <c r="AB135" s="3055">
        <f t="shared" si="13"/>
        <v>0</v>
      </c>
      <c r="AC135" s="3055">
        <f t="shared" si="14"/>
        <v>0</v>
      </c>
      <c r="AD135" s="3056"/>
      <c r="AE135" s="3057">
        <f t="shared" si="0"/>
      </c>
      <c r="AF135" s="3054"/>
      <c r="AG135" s="3059"/>
      <c r="AH135" s="3058"/>
      <c r="AI135" s="3058"/>
      <c r="AJ135" s="3058"/>
      <c r="AK135" s="3058"/>
      <c r="AL135" s="3058"/>
      <c r="AM135" s="3058"/>
      <c r="AN135" s="3058"/>
      <c r="AO135" s="3058"/>
      <c r="AP135" s="3058"/>
      <c r="AQ135" s="3058"/>
      <c r="AR135" s="3058"/>
      <c r="AS135" s="3058"/>
      <c r="AT135" s="3058"/>
      <c r="AU135" s="3056"/>
      <c r="AV135" s="3057">
        <f t="shared" si="15"/>
      </c>
      <c r="AW135" s="3054"/>
      <c r="AX135" s="3059"/>
      <c r="AY135" s="3058"/>
      <c r="AZ135" s="3058"/>
      <c r="BA135" s="3058"/>
      <c r="BB135" s="3058"/>
      <c r="BC135" s="3058"/>
      <c r="BD135" s="3058"/>
      <c r="BE135" s="3058"/>
      <c r="BF135" s="3058"/>
      <c r="BG135" s="3058"/>
      <c r="BH135" s="3058"/>
      <c r="BI135" s="3058"/>
      <c r="BJ135" s="3058"/>
      <c r="BK135" s="3058"/>
      <c r="BL135" s="3056"/>
      <c r="BM135" s="3057">
        <f t="shared" si="16"/>
      </c>
      <c r="BN135" s="3054"/>
      <c r="BO135" s="3059"/>
      <c r="BP135" s="3058"/>
      <c r="BQ135" s="3058"/>
      <c r="BR135" s="3058"/>
      <c r="BS135" s="3058"/>
      <c r="BT135" s="3058"/>
      <c r="BU135" s="3058"/>
      <c r="BV135" s="3058"/>
      <c r="BW135" s="3058"/>
      <c r="BX135" s="3058"/>
      <c r="BY135" s="3058"/>
      <c r="BZ135" s="3058"/>
      <c r="CA135" s="3058"/>
      <c r="CB135" s="3058"/>
      <c r="CC135" s="3056"/>
      <c r="CD135" s="3057">
        <f t="shared" si="0"/>
      </c>
      <c r="CE135" s="3054"/>
      <c r="CF135" s="3054"/>
      <c r="CG135" s="3055"/>
      <c r="CH135" s="3055"/>
      <c r="CI135" s="3055"/>
      <c r="CJ135" s="3055"/>
      <c r="CK135" s="3055"/>
      <c r="CL135" s="3055"/>
      <c r="CM135" s="3055"/>
      <c r="CN135" s="3055"/>
      <c r="CO135" s="3055"/>
      <c r="CP135" s="3055"/>
      <c r="CQ135" s="3055"/>
      <c r="CR135" s="3055"/>
      <c r="CS135" s="3055"/>
      <c r="CU135" s="3054"/>
      <c r="CV135" s="696"/>
      <c r="CW135" s="696"/>
      <c r="CZ135" s="3060">
        <f t="shared" si="17"/>
      </c>
      <c r="DA135" s="3060">
        <f t="shared" si="1"/>
      </c>
      <c r="DB135" s="3060">
        <f t="shared" si="18"/>
      </c>
      <c r="DC135" s="3060">
        <f t="shared" si="19"/>
      </c>
      <c r="DD135" s="3060">
        <f t="shared" si="20"/>
      </c>
      <c r="DE135" s="3060">
        <f t="shared" si="21"/>
      </c>
      <c r="DF135" s="3060">
        <f t="shared" si="22"/>
      </c>
      <c r="DG135" s="3060">
        <f t="shared" si="23"/>
      </c>
      <c r="DH135" s="3060">
        <f t="shared" si="24"/>
      </c>
      <c r="DI135" s="3060">
        <f t="shared" si="1"/>
      </c>
    </row>
    <row r="136" ht="15" customHeight="1" s="3052" customFormat="1">
      <c r="A136" s="3065"/>
      <c r="B136" s="3054">
        <f t="shared" si="2"/>
      </c>
      <c r="C136" s="3054"/>
      <c r="D136" s="3054"/>
      <c r="E136" s="3055"/>
      <c r="F136" s="3055"/>
      <c r="G136" s="3055"/>
      <c r="H136" s="3055"/>
      <c r="I136" s="3055"/>
      <c r="J136" s="3055"/>
      <c r="K136" s="3055"/>
      <c r="L136" s="3055"/>
      <c r="M136" s="3055"/>
      <c r="N136" s="3055"/>
      <c r="O136" s="3055"/>
      <c r="P136" s="3055"/>
      <c r="Q136" s="3055"/>
      <c r="R136" s="3055">
        <f t="shared" si="3"/>
        <v>0</v>
      </c>
      <c r="S136" s="3055">
        <f t="shared" si="4"/>
        <v>0</v>
      </c>
      <c r="T136" s="3055">
        <f t="shared" si="5"/>
        <v>0</v>
      </c>
      <c r="U136" s="3055">
        <f t="shared" si="6"/>
        <v>0</v>
      </c>
      <c r="V136" s="3055">
        <f t="shared" si="7"/>
        <v>0</v>
      </c>
      <c r="W136" s="3055">
        <f t="shared" si="8"/>
        <v>0</v>
      </c>
      <c r="X136" s="3055">
        <f t="shared" si="9"/>
        <v>0</v>
      </c>
      <c r="Y136" s="3055">
        <f t="shared" si="10"/>
        <v>0</v>
      </c>
      <c r="Z136" s="3055">
        <f t="shared" si="11"/>
        <v>0</v>
      </c>
      <c r="AA136" s="3055">
        <f t="shared" si="12"/>
        <v>0</v>
      </c>
      <c r="AB136" s="3055">
        <f t="shared" si="13"/>
        <v>0</v>
      </c>
      <c r="AC136" s="3055">
        <f t="shared" si="14"/>
        <v>0</v>
      </c>
      <c r="AD136" s="3056"/>
      <c r="AE136" s="3057">
        <f t="shared" si="0"/>
      </c>
      <c r="AF136" s="3054"/>
      <c r="AG136" s="3059"/>
      <c r="AH136" s="3058"/>
      <c r="AI136" s="3058"/>
      <c r="AJ136" s="3058"/>
      <c r="AK136" s="3058"/>
      <c r="AL136" s="3058"/>
      <c r="AM136" s="3058"/>
      <c r="AN136" s="3058"/>
      <c r="AO136" s="3058"/>
      <c r="AP136" s="3058"/>
      <c r="AQ136" s="3058"/>
      <c r="AR136" s="3058"/>
      <c r="AS136" s="3058"/>
      <c r="AT136" s="3058"/>
      <c r="AU136" s="3056"/>
      <c r="AV136" s="3057">
        <f t="shared" si="15"/>
      </c>
      <c r="AW136" s="3054"/>
      <c r="AX136" s="3059"/>
      <c r="AY136" s="3058"/>
      <c r="AZ136" s="3058"/>
      <c r="BA136" s="3058"/>
      <c r="BB136" s="3058"/>
      <c r="BC136" s="3058"/>
      <c r="BD136" s="3058"/>
      <c r="BE136" s="3058"/>
      <c r="BF136" s="3058"/>
      <c r="BG136" s="3058"/>
      <c r="BH136" s="3058"/>
      <c r="BI136" s="3058"/>
      <c r="BJ136" s="3058"/>
      <c r="BK136" s="3058"/>
      <c r="BL136" s="3056"/>
      <c r="BM136" s="3057">
        <f t="shared" si="16"/>
      </c>
      <c r="BN136" s="3054"/>
      <c r="BO136" s="3059"/>
      <c r="BP136" s="3058"/>
      <c r="BQ136" s="3058"/>
      <c r="BR136" s="3058"/>
      <c r="BS136" s="3058"/>
      <c r="BT136" s="3058"/>
      <c r="BU136" s="3058"/>
      <c r="BV136" s="3058"/>
      <c r="BW136" s="3058"/>
      <c r="BX136" s="3058"/>
      <c r="BY136" s="3058"/>
      <c r="BZ136" s="3058"/>
      <c r="CA136" s="3058"/>
      <c r="CB136" s="3058"/>
      <c r="CC136" s="3056"/>
      <c r="CD136" s="3057">
        <f t="shared" si="0"/>
      </c>
      <c r="CE136" s="3054"/>
      <c r="CF136" s="3054"/>
      <c r="CG136" s="3055"/>
      <c r="CH136" s="3055"/>
      <c r="CI136" s="3055"/>
      <c r="CJ136" s="3055"/>
      <c r="CK136" s="3055"/>
      <c r="CL136" s="3055"/>
      <c r="CM136" s="3055"/>
      <c r="CN136" s="3055"/>
      <c r="CO136" s="3055"/>
      <c r="CP136" s="3055"/>
      <c r="CQ136" s="3055"/>
      <c r="CR136" s="3055"/>
      <c r="CS136" s="3055"/>
      <c r="CU136" s="3054"/>
      <c r="CV136" s="696"/>
      <c r="CW136" s="696"/>
      <c r="CZ136" s="3060">
        <f t="shared" si="17"/>
      </c>
      <c r="DA136" s="3060">
        <f t="shared" si="1"/>
      </c>
      <c r="DB136" s="3060">
        <f t="shared" si="18"/>
      </c>
      <c r="DC136" s="3060">
        <f t="shared" si="19"/>
      </c>
      <c r="DD136" s="3060">
        <f t="shared" si="20"/>
      </c>
      <c r="DE136" s="3060">
        <f t="shared" si="21"/>
      </c>
      <c r="DF136" s="3060">
        <f t="shared" si="22"/>
      </c>
      <c r="DG136" s="3060">
        <f t="shared" si="23"/>
      </c>
      <c r="DH136" s="3060">
        <f t="shared" si="24"/>
      </c>
      <c r="DI136" s="3060">
        <f t="shared" si="1"/>
      </c>
    </row>
    <row r="137" ht="15" customHeight="1" s="3052" customFormat="1">
      <c r="A137" s="3065"/>
      <c r="B137" s="3054">
        <f t="shared" si="2"/>
      </c>
      <c r="C137" s="3054"/>
      <c r="D137" s="3054"/>
      <c r="E137" s="3055"/>
      <c r="F137" s="3055"/>
      <c r="G137" s="3055"/>
      <c r="H137" s="3055"/>
      <c r="I137" s="3055"/>
      <c r="J137" s="3055"/>
      <c r="K137" s="3055"/>
      <c r="L137" s="3055"/>
      <c r="M137" s="3055"/>
      <c r="N137" s="3055"/>
      <c r="O137" s="3055"/>
      <c r="P137" s="3055"/>
      <c r="Q137" s="3055"/>
      <c r="R137" s="3055">
        <f t="shared" si="3"/>
        <v>0</v>
      </c>
      <c r="S137" s="3055">
        <f t="shared" si="4"/>
        <v>0</v>
      </c>
      <c r="T137" s="3055">
        <f t="shared" si="5"/>
        <v>0</v>
      </c>
      <c r="U137" s="3055">
        <f t="shared" si="6"/>
        <v>0</v>
      </c>
      <c r="V137" s="3055">
        <f t="shared" si="7"/>
        <v>0</v>
      </c>
      <c r="W137" s="3055">
        <f t="shared" si="8"/>
        <v>0</v>
      </c>
      <c r="X137" s="3055">
        <f t="shared" si="9"/>
        <v>0</v>
      </c>
      <c r="Y137" s="3055">
        <f t="shared" si="10"/>
        <v>0</v>
      </c>
      <c r="Z137" s="3055">
        <f t="shared" si="11"/>
        <v>0</v>
      </c>
      <c r="AA137" s="3055">
        <f t="shared" si="12"/>
        <v>0</v>
      </c>
      <c r="AB137" s="3055">
        <f t="shared" si="13"/>
        <v>0</v>
      </c>
      <c r="AC137" s="3055">
        <f t="shared" si="14"/>
        <v>0</v>
      </c>
      <c r="AD137" s="3056"/>
      <c r="AE137" s="3057">
        <f t="shared" si="0"/>
      </c>
      <c r="AF137" s="3054"/>
      <c r="AG137" s="3059"/>
      <c r="AH137" s="3058"/>
      <c r="AI137" s="3058"/>
      <c r="AJ137" s="3058"/>
      <c r="AK137" s="3058"/>
      <c r="AL137" s="3058"/>
      <c r="AM137" s="3058"/>
      <c r="AN137" s="3058"/>
      <c r="AO137" s="3058"/>
      <c r="AP137" s="3058"/>
      <c r="AQ137" s="3058"/>
      <c r="AR137" s="3058"/>
      <c r="AS137" s="3058"/>
      <c r="AT137" s="3058"/>
      <c r="AU137" s="3056"/>
      <c r="AV137" s="3057">
        <f t="shared" si="15"/>
      </c>
      <c r="AW137" s="3054"/>
      <c r="AX137" s="3059"/>
      <c r="AY137" s="3058"/>
      <c r="AZ137" s="3058"/>
      <c r="BA137" s="3058"/>
      <c r="BB137" s="3058"/>
      <c r="BC137" s="3058"/>
      <c r="BD137" s="3058"/>
      <c r="BE137" s="3058"/>
      <c r="BF137" s="3058"/>
      <c r="BG137" s="3058"/>
      <c r="BH137" s="3058"/>
      <c r="BI137" s="3058"/>
      <c r="BJ137" s="3058"/>
      <c r="BK137" s="3058"/>
      <c r="BL137" s="3056"/>
      <c r="BM137" s="3057">
        <f t="shared" si="16"/>
      </c>
      <c r="BN137" s="3054"/>
      <c r="BO137" s="3059"/>
      <c r="BP137" s="3058"/>
      <c r="BQ137" s="3058"/>
      <c r="BR137" s="3058"/>
      <c r="BS137" s="3058"/>
      <c r="BT137" s="3058"/>
      <c r="BU137" s="3058"/>
      <c r="BV137" s="3058"/>
      <c r="BW137" s="3058"/>
      <c r="BX137" s="3058"/>
      <c r="BY137" s="3058"/>
      <c r="BZ137" s="3058"/>
      <c r="CA137" s="3058"/>
      <c r="CB137" s="3058"/>
      <c r="CC137" s="3056"/>
      <c r="CD137" s="3057">
        <f t="shared" si="0"/>
      </c>
      <c r="CE137" s="3054"/>
      <c r="CF137" s="3054"/>
      <c r="CG137" s="3055"/>
      <c r="CH137" s="3055"/>
      <c r="CI137" s="3055"/>
      <c r="CJ137" s="3055"/>
      <c r="CK137" s="3055"/>
      <c r="CL137" s="3055"/>
      <c r="CM137" s="3055"/>
      <c r="CN137" s="3055"/>
      <c r="CO137" s="3055"/>
      <c r="CP137" s="3055"/>
      <c r="CQ137" s="3055"/>
      <c r="CR137" s="3055"/>
      <c r="CS137" s="3055"/>
      <c r="CU137" s="3054"/>
      <c r="CV137" s="696"/>
      <c r="CW137" s="696"/>
      <c r="CZ137" s="3060">
        <f t="shared" si="17"/>
      </c>
      <c r="DA137" s="3060">
        <f t="shared" si="1"/>
      </c>
      <c r="DB137" s="3060">
        <f t="shared" si="18"/>
      </c>
      <c r="DC137" s="3060">
        <f t="shared" si="19"/>
      </c>
      <c r="DD137" s="3060">
        <f t="shared" si="20"/>
      </c>
      <c r="DE137" s="3060">
        <f t="shared" si="21"/>
      </c>
      <c r="DF137" s="3060">
        <f t="shared" si="22"/>
      </c>
      <c r="DG137" s="3060">
        <f t="shared" si="23"/>
      </c>
      <c r="DH137" s="3060">
        <f t="shared" si="24"/>
      </c>
      <c r="DI137" s="3060">
        <f t="shared" si="1"/>
      </c>
    </row>
    <row r="138" ht="15" customHeight="1" s="3052" customFormat="1">
      <c r="A138" s="3065"/>
      <c r="B138" s="3054">
        <f t="shared" si="2"/>
      </c>
      <c r="C138" s="3054"/>
      <c r="D138" s="3054"/>
      <c r="E138" s="3055"/>
      <c r="F138" s="3055"/>
      <c r="G138" s="3055"/>
      <c r="H138" s="3055"/>
      <c r="I138" s="3055"/>
      <c r="J138" s="3055"/>
      <c r="K138" s="3055"/>
      <c r="L138" s="3055"/>
      <c r="M138" s="3055"/>
      <c r="N138" s="3055"/>
      <c r="O138" s="3055"/>
      <c r="P138" s="3055"/>
      <c r="Q138" s="3055"/>
      <c r="R138" s="3055">
        <f t="shared" si="3"/>
        <v>0</v>
      </c>
      <c r="S138" s="3055">
        <f t="shared" si="4"/>
        <v>0</v>
      </c>
      <c r="T138" s="3055">
        <f t="shared" si="5"/>
        <v>0</v>
      </c>
      <c r="U138" s="3055">
        <f t="shared" si="6"/>
        <v>0</v>
      </c>
      <c r="V138" s="3055">
        <f t="shared" si="7"/>
        <v>0</v>
      </c>
      <c r="W138" s="3055">
        <f t="shared" si="8"/>
        <v>0</v>
      </c>
      <c r="X138" s="3055">
        <f t="shared" si="9"/>
        <v>0</v>
      </c>
      <c r="Y138" s="3055">
        <f t="shared" si="10"/>
        <v>0</v>
      </c>
      <c r="Z138" s="3055">
        <f t="shared" si="11"/>
        <v>0</v>
      </c>
      <c r="AA138" s="3055">
        <f t="shared" si="12"/>
        <v>0</v>
      </c>
      <c r="AB138" s="3055">
        <f t="shared" si="13"/>
        <v>0</v>
      </c>
      <c r="AC138" s="3055">
        <f t="shared" si="14"/>
        <v>0</v>
      </c>
      <c r="AD138" s="3056"/>
      <c r="AE138" s="3057">
        <f t="shared" si="0"/>
      </c>
      <c r="AF138" s="3054"/>
      <c r="AG138" s="3059"/>
      <c r="AH138" s="3058"/>
      <c r="AI138" s="3058"/>
      <c r="AJ138" s="3058"/>
      <c r="AK138" s="3058"/>
      <c r="AL138" s="3058"/>
      <c r="AM138" s="3058"/>
      <c r="AN138" s="3058"/>
      <c r="AO138" s="3058"/>
      <c r="AP138" s="3058"/>
      <c r="AQ138" s="3058"/>
      <c r="AR138" s="3058"/>
      <c r="AS138" s="3058"/>
      <c r="AT138" s="3058"/>
      <c r="AU138" s="3056"/>
      <c r="AV138" s="3057">
        <f t="shared" si="15"/>
      </c>
      <c r="AW138" s="3054"/>
      <c r="AX138" s="3059"/>
      <c r="AY138" s="3058"/>
      <c r="AZ138" s="3058"/>
      <c r="BA138" s="3058"/>
      <c r="BB138" s="3058"/>
      <c r="BC138" s="3058"/>
      <c r="BD138" s="3058"/>
      <c r="BE138" s="3058"/>
      <c r="BF138" s="3058"/>
      <c r="BG138" s="3058"/>
      <c r="BH138" s="3058"/>
      <c r="BI138" s="3058"/>
      <c r="BJ138" s="3058"/>
      <c r="BK138" s="3058"/>
      <c r="BL138" s="3056"/>
      <c r="BM138" s="3057">
        <f t="shared" si="16"/>
      </c>
      <c r="BN138" s="3054"/>
      <c r="BO138" s="3059"/>
      <c r="BP138" s="3058"/>
      <c r="BQ138" s="3058"/>
      <c r="BR138" s="3058"/>
      <c r="BS138" s="3058"/>
      <c r="BT138" s="3058"/>
      <c r="BU138" s="3058"/>
      <c r="BV138" s="3058"/>
      <c r="BW138" s="3058"/>
      <c r="BX138" s="3058"/>
      <c r="BY138" s="3058"/>
      <c r="BZ138" s="3058"/>
      <c r="CA138" s="3058"/>
      <c r="CB138" s="3058"/>
      <c r="CC138" s="3056"/>
      <c r="CD138" s="3057">
        <f t="shared" si="0"/>
      </c>
      <c r="CE138" s="3054"/>
      <c r="CF138" s="3054"/>
      <c r="CG138" s="3055"/>
      <c r="CH138" s="3055"/>
      <c r="CI138" s="3055"/>
      <c r="CJ138" s="3055"/>
      <c r="CK138" s="3055"/>
      <c r="CL138" s="3055"/>
      <c r="CM138" s="3055"/>
      <c r="CN138" s="3055"/>
      <c r="CO138" s="3055"/>
      <c r="CP138" s="3055"/>
      <c r="CQ138" s="3055"/>
      <c r="CR138" s="3055"/>
      <c r="CS138" s="3055"/>
      <c r="CU138" s="3054"/>
      <c r="CV138" s="696"/>
      <c r="CW138" s="696"/>
      <c r="CZ138" s="3060">
        <f t="shared" si="17"/>
      </c>
      <c r="DA138" s="3060">
        <f t="shared" si="1"/>
      </c>
      <c r="DB138" s="3060">
        <f t="shared" si="18"/>
      </c>
      <c r="DC138" s="3060">
        <f t="shared" si="19"/>
      </c>
      <c r="DD138" s="3060">
        <f t="shared" si="20"/>
      </c>
      <c r="DE138" s="3060">
        <f t="shared" si="21"/>
      </c>
      <c r="DF138" s="3060">
        <f t="shared" si="22"/>
      </c>
      <c r="DG138" s="3060">
        <f t="shared" si="23"/>
      </c>
      <c r="DH138" s="3060">
        <f t="shared" si="24"/>
      </c>
      <c r="DI138" s="3060">
        <f t="shared" si="1"/>
      </c>
    </row>
    <row r="139" ht="15" customHeight="1" s="3052" customFormat="1">
      <c r="A139" s="3065"/>
      <c r="B139" s="3054">
        <f t="shared" si="2"/>
      </c>
      <c r="C139" s="3054"/>
      <c r="D139" s="3054"/>
      <c r="E139" s="3055"/>
      <c r="F139" s="3055"/>
      <c r="G139" s="3055"/>
      <c r="H139" s="3055"/>
      <c r="I139" s="3055"/>
      <c r="J139" s="3055"/>
      <c r="K139" s="3055"/>
      <c r="L139" s="3055"/>
      <c r="M139" s="3055"/>
      <c r="N139" s="3055"/>
      <c r="O139" s="3055"/>
      <c r="P139" s="3055"/>
      <c r="Q139" s="3055"/>
      <c r="R139" s="3055">
        <f t="shared" si="3"/>
        <v>0</v>
      </c>
      <c r="S139" s="3055">
        <f t="shared" si="4"/>
        <v>0</v>
      </c>
      <c r="T139" s="3055">
        <f t="shared" si="5"/>
        <v>0</v>
      </c>
      <c r="U139" s="3055">
        <f t="shared" si="6"/>
        <v>0</v>
      </c>
      <c r="V139" s="3055">
        <f t="shared" si="7"/>
        <v>0</v>
      </c>
      <c r="W139" s="3055">
        <f t="shared" si="8"/>
        <v>0</v>
      </c>
      <c r="X139" s="3055">
        <f t="shared" si="9"/>
        <v>0</v>
      </c>
      <c r="Y139" s="3055">
        <f t="shared" si="10"/>
        <v>0</v>
      </c>
      <c r="Z139" s="3055">
        <f t="shared" si="11"/>
        <v>0</v>
      </c>
      <c r="AA139" s="3055">
        <f t="shared" si="12"/>
        <v>0</v>
      </c>
      <c r="AB139" s="3055">
        <f t="shared" si="13"/>
        <v>0</v>
      </c>
      <c r="AC139" s="3055">
        <f t="shared" si="14"/>
        <v>0</v>
      </c>
      <c r="AD139" s="3056"/>
      <c r="AE139" s="3057">
        <f t="shared" si="0"/>
      </c>
      <c r="AF139" s="3054"/>
      <c r="AG139" s="3059"/>
      <c r="AH139" s="3058"/>
      <c r="AI139" s="3058"/>
      <c r="AJ139" s="3058"/>
      <c r="AK139" s="3058"/>
      <c r="AL139" s="3058"/>
      <c r="AM139" s="3058"/>
      <c r="AN139" s="3058"/>
      <c r="AO139" s="3058"/>
      <c r="AP139" s="3058"/>
      <c r="AQ139" s="3058"/>
      <c r="AR139" s="3058"/>
      <c r="AS139" s="3058"/>
      <c r="AT139" s="3058"/>
      <c r="AU139" s="3056"/>
      <c r="AV139" s="3057">
        <f t="shared" si="15"/>
      </c>
      <c r="AW139" s="3054"/>
      <c r="AX139" s="3059"/>
      <c r="AY139" s="3058"/>
      <c r="AZ139" s="3058"/>
      <c r="BA139" s="3058"/>
      <c r="BB139" s="3058"/>
      <c r="BC139" s="3058"/>
      <c r="BD139" s="3058"/>
      <c r="BE139" s="3058"/>
      <c r="BF139" s="3058"/>
      <c r="BG139" s="3058"/>
      <c r="BH139" s="3058"/>
      <c r="BI139" s="3058"/>
      <c r="BJ139" s="3058"/>
      <c r="BK139" s="3058"/>
      <c r="BL139" s="3056"/>
      <c r="BM139" s="3057">
        <f t="shared" si="16"/>
      </c>
      <c r="BN139" s="3054"/>
      <c r="BO139" s="3059"/>
      <c r="BP139" s="3058"/>
      <c r="BQ139" s="3058"/>
      <c r="BR139" s="3058"/>
      <c r="BS139" s="3058"/>
      <c r="BT139" s="3058"/>
      <c r="BU139" s="3058"/>
      <c r="BV139" s="3058"/>
      <c r="BW139" s="3058"/>
      <c r="BX139" s="3058"/>
      <c r="BY139" s="3058"/>
      <c r="BZ139" s="3058"/>
      <c r="CA139" s="3058"/>
      <c r="CB139" s="3058"/>
      <c r="CC139" s="3056"/>
      <c r="CD139" s="3057">
        <f t="shared" si="0"/>
      </c>
      <c r="CE139" s="3054"/>
      <c r="CF139" s="3054"/>
      <c r="CG139" s="3055"/>
      <c r="CH139" s="3055"/>
      <c r="CI139" s="3055"/>
      <c r="CJ139" s="3055"/>
      <c r="CK139" s="3055"/>
      <c r="CL139" s="3055"/>
      <c r="CM139" s="3055"/>
      <c r="CN139" s="3055"/>
      <c r="CO139" s="3055"/>
      <c r="CP139" s="3055"/>
      <c r="CQ139" s="3055"/>
      <c r="CR139" s="3055"/>
      <c r="CS139" s="3055"/>
      <c r="CU139" s="3054"/>
      <c r="CV139" s="696"/>
      <c r="CW139" s="696"/>
      <c r="CZ139" s="3060">
        <f t="shared" si="17"/>
      </c>
      <c r="DA139" s="3060">
        <f t="shared" si="1"/>
      </c>
      <c r="DB139" s="3060">
        <f t="shared" si="18"/>
      </c>
      <c r="DC139" s="3060">
        <f t="shared" si="19"/>
      </c>
      <c r="DD139" s="3060">
        <f t="shared" si="20"/>
      </c>
      <c r="DE139" s="3060">
        <f t="shared" si="21"/>
      </c>
      <c r="DF139" s="3060">
        <f t="shared" si="22"/>
      </c>
      <c r="DG139" s="3060">
        <f t="shared" si="23"/>
      </c>
      <c r="DH139" s="3060">
        <f t="shared" si="24"/>
      </c>
      <c r="DI139" s="3060">
        <f t="shared" si="1"/>
      </c>
    </row>
    <row r="140" ht="15" customHeight="1" s="3052" customFormat="1">
      <c r="A140" s="3065"/>
      <c r="B140" s="3054">
        <f t="shared" si="2"/>
      </c>
      <c r="C140" s="3054"/>
      <c r="D140" s="3054"/>
      <c r="E140" s="3055"/>
      <c r="F140" s="3055"/>
      <c r="G140" s="3055"/>
      <c r="H140" s="3055"/>
      <c r="I140" s="3055"/>
      <c r="J140" s="3055"/>
      <c r="K140" s="3055"/>
      <c r="L140" s="3055"/>
      <c r="M140" s="3055"/>
      <c r="N140" s="3055"/>
      <c r="O140" s="3055"/>
      <c r="P140" s="3055"/>
      <c r="Q140" s="3055"/>
      <c r="R140" s="3055">
        <f t="shared" si="3"/>
        <v>0</v>
      </c>
      <c r="S140" s="3055">
        <f t="shared" si="4"/>
        <v>0</v>
      </c>
      <c r="T140" s="3055">
        <f t="shared" si="5"/>
        <v>0</v>
      </c>
      <c r="U140" s="3055">
        <f t="shared" si="6"/>
        <v>0</v>
      </c>
      <c r="V140" s="3055">
        <f t="shared" si="7"/>
        <v>0</v>
      </c>
      <c r="W140" s="3055">
        <f t="shared" si="8"/>
        <v>0</v>
      </c>
      <c r="X140" s="3055">
        <f t="shared" si="9"/>
        <v>0</v>
      </c>
      <c r="Y140" s="3055">
        <f t="shared" si="10"/>
        <v>0</v>
      </c>
      <c r="Z140" s="3055">
        <f t="shared" si="11"/>
        <v>0</v>
      </c>
      <c r="AA140" s="3055">
        <f t="shared" si="12"/>
        <v>0</v>
      </c>
      <c r="AB140" s="3055">
        <f t="shared" si="13"/>
        <v>0</v>
      </c>
      <c r="AC140" s="3055">
        <f t="shared" si="14"/>
        <v>0</v>
      </c>
      <c r="AD140" s="3056"/>
      <c r="AE140" s="3057">
        <f t="shared" si="0"/>
      </c>
      <c r="AF140" s="3054"/>
      <c r="AG140" s="3059"/>
      <c r="AH140" s="3058"/>
      <c r="AI140" s="3058"/>
      <c r="AJ140" s="3058"/>
      <c r="AK140" s="3058"/>
      <c r="AL140" s="3058"/>
      <c r="AM140" s="3058"/>
      <c r="AN140" s="3058"/>
      <c r="AO140" s="3058"/>
      <c r="AP140" s="3058"/>
      <c r="AQ140" s="3058"/>
      <c r="AR140" s="3058"/>
      <c r="AS140" s="3058"/>
      <c r="AT140" s="3058"/>
      <c r="AU140" s="3056"/>
      <c r="AV140" s="3057">
        <f t="shared" si="15"/>
      </c>
      <c r="AW140" s="3054"/>
      <c r="AX140" s="3059"/>
      <c r="AY140" s="3058"/>
      <c r="AZ140" s="3058"/>
      <c r="BA140" s="3058"/>
      <c r="BB140" s="3058"/>
      <c r="BC140" s="3058"/>
      <c r="BD140" s="3058"/>
      <c r="BE140" s="3058"/>
      <c r="BF140" s="3058"/>
      <c r="BG140" s="3058"/>
      <c r="BH140" s="3058"/>
      <c r="BI140" s="3058"/>
      <c r="BJ140" s="3058"/>
      <c r="BK140" s="3058"/>
      <c r="BL140" s="3056"/>
      <c r="BM140" s="3057">
        <f t="shared" si="16"/>
      </c>
      <c r="BN140" s="3054"/>
      <c r="BO140" s="3059"/>
      <c r="BP140" s="3058"/>
      <c r="BQ140" s="3058"/>
      <c r="BR140" s="3058"/>
      <c r="BS140" s="3058"/>
      <c r="BT140" s="3058"/>
      <c r="BU140" s="3058"/>
      <c r="BV140" s="3058"/>
      <c r="BW140" s="3058"/>
      <c r="BX140" s="3058"/>
      <c r="BY140" s="3058"/>
      <c r="BZ140" s="3058"/>
      <c r="CA140" s="3058"/>
      <c r="CB140" s="3058"/>
      <c r="CC140" s="3056"/>
      <c r="CD140" s="3057">
        <f t="shared" si="0"/>
      </c>
      <c r="CE140" s="3054"/>
      <c r="CF140" s="3054"/>
      <c r="CG140" s="3055"/>
      <c r="CH140" s="3055"/>
      <c r="CI140" s="3055"/>
      <c r="CJ140" s="3055"/>
      <c r="CK140" s="3055"/>
      <c r="CL140" s="3055"/>
      <c r="CM140" s="3055"/>
      <c r="CN140" s="3055"/>
      <c r="CO140" s="3055"/>
      <c r="CP140" s="3055"/>
      <c r="CQ140" s="3055"/>
      <c r="CR140" s="3055"/>
      <c r="CS140" s="3055"/>
      <c r="CU140" s="3054"/>
      <c r="CV140" s="696"/>
      <c r="CW140" s="696"/>
      <c r="CZ140" s="3060">
        <f t="shared" si="17"/>
      </c>
      <c r="DA140" s="3060">
        <f t="shared" si="1"/>
      </c>
      <c r="DB140" s="3060">
        <f t="shared" si="18"/>
      </c>
      <c r="DC140" s="3060">
        <f t="shared" si="19"/>
      </c>
      <c r="DD140" s="3060">
        <f t="shared" si="20"/>
      </c>
      <c r="DE140" s="3060">
        <f t="shared" si="21"/>
      </c>
      <c r="DF140" s="3060">
        <f t="shared" si="22"/>
      </c>
      <c r="DG140" s="3060">
        <f t="shared" si="23"/>
      </c>
      <c r="DH140" s="3060">
        <f t="shared" si="24"/>
      </c>
      <c r="DI140" s="3060">
        <f t="shared" si="1"/>
      </c>
    </row>
    <row r="141" ht="15" customHeight="1" s="3052" customFormat="1">
      <c r="A141" s="3065"/>
      <c r="B141" s="3054">
        <f t="shared" si="2"/>
      </c>
      <c r="C141" s="3054"/>
      <c r="D141" s="3054"/>
      <c r="E141" s="3055"/>
      <c r="F141" s="3055"/>
      <c r="G141" s="3055"/>
      <c r="H141" s="3055"/>
      <c r="I141" s="3055"/>
      <c r="J141" s="3055"/>
      <c r="K141" s="3055"/>
      <c r="L141" s="3055"/>
      <c r="M141" s="3055"/>
      <c r="N141" s="3055"/>
      <c r="O141" s="3055"/>
      <c r="P141" s="3055"/>
      <c r="Q141" s="3055"/>
      <c r="R141" s="3055">
        <f t="shared" si="3"/>
        <v>0</v>
      </c>
      <c r="S141" s="3055">
        <f t="shared" si="4"/>
        <v>0</v>
      </c>
      <c r="T141" s="3055">
        <f t="shared" si="5"/>
        <v>0</v>
      </c>
      <c r="U141" s="3055">
        <f t="shared" si="6"/>
        <v>0</v>
      </c>
      <c r="V141" s="3055">
        <f t="shared" si="7"/>
        <v>0</v>
      </c>
      <c r="W141" s="3055">
        <f t="shared" si="8"/>
        <v>0</v>
      </c>
      <c r="X141" s="3055">
        <f t="shared" si="9"/>
        <v>0</v>
      </c>
      <c r="Y141" s="3055">
        <f t="shared" si="10"/>
        <v>0</v>
      </c>
      <c r="Z141" s="3055">
        <f t="shared" si="11"/>
        <v>0</v>
      </c>
      <c r="AA141" s="3055">
        <f t="shared" si="12"/>
        <v>0</v>
      </c>
      <c r="AB141" s="3055">
        <f t="shared" si="13"/>
        <v>0</v>
      </c>
      <c r="AC141" s="3055">
        <f t="shared" si="14"/>
        <v>0</v>
      </c>
      <c r="AD141" s="3056"/>
      <c r="AE141" s="3057">
        <f t="shared" si="0"/>
      </c>
      <c r="AF141" s="3054"/>
      <c r="AG141" s="3059"/>
      <c r="AH141" s="3058"/>
      <c r="AI141" s="3058"/>
      <c r="AJ141" s="3058"/>
      <c r="AK141" s="3058"/>
      <c r="AL141" s="3058"/>
      <c r="AM141" s="3058"/>
      <c r="AN141" s="3058"/>
      <c r="AO141" s="3058"/>
      <c r="AP141" s="3058"/>
      <c r="AQ141" s="3058"/>
      <c r="AR141" s="3058"/>
      <c r="AS141" s="3058"/>
      <c r="AT141" s="3058"/>
      <c r="AU141" s="3056"/>
      <c r="AV141" s="3057">
        <f t="shared" si="15"/>
      </c>
      <c r="AW141" s="3054"/>
      <c r="AX141" s="3059"/>
      <c r="AY141" s="3058"/>
      <c r="AZ141" s="3058"/>
      <c r="BA141" s="3058"/>
      <c r="BB141" s="3058"/>
      <c r="BC141" s="3058"/>
      <c r="BD141" s="3058"/>
      <c r="BE141" s="3058"/>
      <c r="BF141" s="3058"/>
      <c r="BG141" s="3058"/>
      <c r="BH141" s="3058"/>
      <c r="BI141" s="3058"/>
      <c r="BJ141" s="3058"/>
      <c r="BK141" s="3058"/>
      <c r="BL141" s="3056"/>
      <c r="BM141" s="3057">
        <f t="shared" si="16"/>
      </c>
      <c r="BN141" s="3054"/>
      <c r="BO141" s="3059"/>
      <c r="BP141" s="3058"/>
      <c r="BQ141" s="3058"/>
      <c r="BR141" s="3058"/>
      <c r="BS141" s="3058"/>
      <c r="BT141" s="3058"/>
      <c r="BU141" s="3058"/>
      <c r="BV141" s="3058"/>
      <c r="BW141" s="3058"/>
      <c r="BX141" s="3058"/>
      <c r="BY141" s="3058"/>
      <c r="BZ141" s="3058"/>
      <c r="CA141" s="3058"/>
      <c r="CB141" s="3058"/>
      <c r="CC141" s="3056"/>
      <c r="CD141" s="3057">
        <f t="shared" si="0"/>
      </c>
      <c r="CE141" s="3054"/>
      <c r="CF141" s="3054"/>
      <c r="CG141" s="3055"/>
      <c r="CH141" s="3055"/>
      <c r="CI141" s="3055"/>
      <c r="CJ141" s="3055"/>
      <c r="CK141" s="3055"/>
      <c r="CL141" s="3055"/>
      <c r="CM141" s="3055"/>
      <c r="CN141" s="3055"/>
      <c r="CO141" s="3055"/>
      <c r="CP141" s="3055"/>
      <c r="CQ141" s="3055"/>
      <c r="CR141" s="3055"/>
      <c r="CS141" s="3055"/>
      <c r="CU141" s="3054"/>
      <c r="CV141" s="696"/>
      <c r="CW141" s="696"/>
      <c r="CZ141" s="3060">
        <f t="shared" si="17"/>
      </c>
      <c r="DA141" s="3060">
        <f t="shared" si="1"/>
      </c>
      <c r="DB141" s="3060">
        <f t="shared" si="18"/>
      </c>
      <c r="DC141" s="3060">
        <f t="shared" si="19"/>
      </c>
      <c r="DD141" s="3060">
        <f t="shared" si="20"/>
      </c>
      <c r="DE141" s="3060">
        <f t="shared" si="21"/>
      </c>
      <c r="DF141" s="3060">
        <f t="shared" si="22"/>
      </c>
      <c r="DG141" s="3060">
        <f t="shared" si="23"/>
      </c>
      <c r="DH141" s="3060">
        <f t="shared" si="24"/>
      </c>
      <c r="DI141" s="3060">
        <f t="shared" si="1"/>
      </c>
    </row>
    <row r="142" ht="15" customHeight="1" s="3052" customFormat="1">
      <c r="A142" s="3065"/>
      <c r="B142" s="3054">
        <f t="shared" si="2"/>
      </c>
      <c r="C142" s="3054"/>
      <c r="D142" s="3054"/>
      <c r="E142" s="3055"/>
      <c r="F142" s="3055"/>
      <c r="G142" s="3055"/>
      <c r="H142" s="3055"/>
      <c r="I142" s="3055"/>
      <c r="J142" s="3055"/>
      <c r="K142" s="3055"/>
      <c r="L142" s="3055"/>
      <c r="M142" s="3055"/>
      <c r="N142" s="3055"/>
      <c r="O142" s="3055"/>
      <c r="P142" s="3055"/>
      <c r="Q142" s="3055"/>
      <c r="R142" s="3055">
        <f t="shared" si="3"/>
        <v>0</v>
      </c>
      <c r="S142" s="3055">
        <f t="shared" si="4"/>
        <v>0</v>
      </c>
      <c r="T142" s="3055">
        <f t="shared" si="5"/>
        <v>0</v>
      </c>
      <c r="U142" s="3055">
        <f t="shared" si="6"/>
        <v>0</v>
      </c>
      <c r="V142" s="3055">
        <f t="shared" si="7"/>
        <v>0</v>
      </c>
      <c r="W142" s="3055">
        <f t="shared" si="8"/>
        <v>0</v>
      </c>
      <c r="X142" s="3055">
        <f t="shared" si="9"/>
        <v>0</v>
      </c>
      <c r="Y142" s="3055">
        <f t="shared" si="10"/>
        <v>0</v>
      </c>
      <c r="Z142" s="3055">
        <f t="shared" si="11"/>
        <v>0</v>
      </c>
      <c r="AA142" s="3055">
        <f t="shared" si="12"/>
        <v>0</v>
      </c>
      <c r="AB142" s="3055">
        <f t="shared" si="13"/>
        <v>0</v>
      </c>
      <c r="AC142" s="3055">
        <f t="shared" si="14"/>
        <v>0</v>
      </c>
      <c r="AD142" s="3056"/>
      <c r="AE142" s="3057">
        <f t="shared" si="0"/>
      </c>
      <c r="AF142" s="3054"/>
      <c r="AG142" s="3059"/>
      <c r="AH142" s="3058"/>
      <c r="AI142" s="3058"/>
      <c r="AJ142" s="3058"/>
      <c r="AK142" s="3058"/>
      <c r="AL142" s="3058"/>
      <c r="AM142" s="3058"/>
      <c r="AN142" s="3058"/>
      <c r="AO142" s="3058"/>
      <c r="AP142" s="3058"/>
      <c r="AQ142" s="3058"/>
      <c r="AR142" s="3058"/>
      <c r="AS142" s="3058"/>
      <c r="AT142" s="3058"/>
      <c r="AU142" s="3056"/>
      <c r="AV142" s="3057">
        <f t="shared" si="15"/>
      </c>
      <c r="AW142" s="3054"/>
      <c r="AX142" s="3059"/>
      <c r="AY142" s="3058"/>
      <c r="AZ142" s="3058"/>
      <c r="BA142" s="3058"/>
      <c r="BB142" s="3058"/>
      <c r="BC142" s="3058"/>
      <c r="BD142" s="3058"/>
      <c r="BE142" s="3058"/>
      <c r="BF142" s="3058"/>
      <c r="BG142" s="3058"/>
      <c r="BH142" s="3058"/>
      <c r="BI142" s="3058"/>
      <c r="BJ142" s="3058"/>
      <c r="BK142" s="3058"/>
      <c r="BL142" s="3056"/>
      <c r="BM142" s="3057">
        <f t="shared" si="16"/>
      </c>
      <c r="BN142" s="3054"/>
      <c r="BO142" s="3059"/>
      <c r="BP142" s="3058"/>
      <c r="BQ142" s="3058"/>
      <c r="BR142" s="3058"/>
      <c r="BS142" s="3058"/>
      <c r="BT142" s="3058"/>
      <c r="BU142" s="3058"/>
      <c r="BV142" s="3058"/>
      <c r="BW142" s="3058"/>
      <c r="BX142" s="3058"/>
      <c r="BY142" s="3058"/>
      <c r="BZ142" s="3058"/>
      <c r="CA142" s="3058"/>
      <c r="CB142" s="3058"/>
      <c r="CC142" s="3056"/>
      <c r="CD142" s="3057">
        <f t="shared" si="0"/>
      </c>
      <c r="CE142" s="3054"/>
      <c r="CF142" s="3054"/>
      <c r="CG142" s="3055"/>
      <c r="CH142" s="3055"/>
      <c r="CI142" s="3055"/>
      <c r="CJ142" s="3055"/>
      <c r="CK142" s="3055"/>
      <c r="CL142" s="3055"/>
      <c r="CM142" s="3055"/>
      <c r="CN142" s="3055"/>
      <c r="CO142" s="3055"/>
      <c r="CP142" s="3055"/>
      <c r="CQ142" s="3055"/>
      <c r="CR142" s="3055"/>
      <c r="CS142" s="3055"/>
      <c r="CU142" s="3054"/>
      <c r="CV142" s="696"/>
      <c r="CW142" s="696"/>
      <c r="CZ142" s="3060">
        <f t="shared" si="17"/>
      </c>
      <c r="DA142" s="3060">
        <f t="shared" si="1"/>
      </c>
      <c r="DB142" s="3060">
        <f t="shared" si="18"/>
      </c>
      <c r="DC142" s="3060">
        <f t="shared" si="19"/>
      </c>
      <c r="DD142" s="3060">
        <f t="shared" si="20"/>
      </c>
      <c r="DE142" s="3060">
        <f t="shared" si="21"/>
      </c>
      <c r="DF142" s="3060">
        <f t="shared" si="22"/>
      </c>
      <c r="DG142" s="3060">
        <f t="shared" si="23"/>
      </c>
      <c r="DH142" s="3060">
        <f t="shared" si="24"/>
      </c>
      <c r="DI142" s="3060">
        <f t="shared" si="1"/>
      </c>
    </row>
    <row r="143" ht="15" customHeight="1" s="3052" customFormat="1">
      <c r="A143" s="3065"/>
      <c r="B143" s="3054">
        <f t="shared" si="2"/>
      </c>
      <c r="C143" s="3054"/>
      <c r="D143" s="3054"/>
      <c r="E143" s="3055"/>
      <c r="F143" s="3055"/>
      <c r="G143" s="3055"/>
      <c r="H143" s="3055"/>
      <c r="I143" s="3055"/>
      <c r="J143" s="3055"/>
      <c r="K143" s="3055"/>
      <c r="L143" s="3055"/>
      <c r="M143" s="3055"/>
      <c r="N143" s="3055"/>
      <c r="O143" s="3055"/>
      <c r="P143" s="3055"/>
      <c r="Q143" s="3055"/>
      <c r="R143" s="3055">
        <f t="shared" si="3"/>
        <v>0</v>
      </c>
      <c r="S143" s="3055">
        <f t="shared" si="4"/>
        <v>0</v>
      </c>
      <c r="T143" s="3055">
        <f t="shared" si="5"/>
        <v>0</v>
      </c>
      <c r="U143" s="3055">
        <f t="shared" si="6"/>
        <v>0</v>
      </c>
      <c r="V143" s="3055">
        <f t="shared" si="7"/>
        <v>0</v>
      </c>
      <c r="W143" s="3055">
        <f t="shared" si="8"/>
        <v>0</v>
      </c>
      <c r="X143" s="3055">
        <f t="shared" si="9"/>
        <v>0</v>
      </c>
      <c r="Y143" s="3055">
        <f t="shared" si="10"/>
        <v>0</v>
      </c>
      <c r="Z143" s="3055">
        <f t="shared" si="11"/>
        <v>0</v>
      </c>
      <c r="AA143" s="3055">
        <f t="shared" si="12"/>
        <v>0</v>
      </c>
      <c r="AB143" s="3055">
        <f t="shared" si="13"/>
        <v>0</v>
      </c>
      <c r="AC143" s="3055">
        <f t="shared" si="14"/>
        <v>0</v>
      </c>
      <c r="AD143" s="3056"/>
      <c r="AE143" s="3057">
        <f t="shared" si="0"/>
      </c>
      <c r="AF143" s="3054"/>
      <c r="AG143" s="3059"/>
      <c r="AH143" s="3058"/>
      <c r="AI143" s="3058"/>
      <c r="AJ143" s="3058"/>
      <c r="AK143" s="3058"/>
      <c r="AL143" s="3058"/>
      <c r="AM143" s="3058"/>
      <c r="AN143" s="3058"/>
      <c r="AO143" s="3058"/>
      <c r="AP143" s="3058"/>
      <c r="AQ143" s="3058"/>
      <c r="AR143" s="3058"/>
      <c r="AS143" s="3058"/>
      <c r="AT143" s="3058"/>
      <c r="AU143" s="3056"/>
      <c r="AV143" s="3057">
        <f t="shared" si="15"/>
      </c>
      <c r="AW143" s="3054"/>
      <c r="AX143" s="3059"/>
      <c r="AY143" s="3058"/>
      <c r="AZ143" s="3058"/>
      <c r="BA143" s="3058"/>
      <c r="BB143" s="3058"/>
      <c r="BC143" s="3058"/>
      <c r="BD143" s="3058"/>
      <c r="BE143" s="3058"/>
      <c r="BF143" s="3058"/>
      <c r="BG143" s="3058"/>
      <c r="BH143" s="3058"/>
      <c r="BI143" s="3058"/>
      <c r="BJ143" s="3058"/>
      <c r="BK143" s="3058"/>
      <c r="BL143" s="3056"/>
      <c r="BM143" s="3057">
        <f t="shared" si="16"/>
      </c>
      <c r="BN143" s="3054"/>
      <c r="BO143" s="3059"/>
      <c r="BP143" s="3058"/>
      <c r="BQ143" s="3058"/>
      <c r="BR143" s="3058"/>
      <c r="BS143" s="3058"/>
      <c r="BT143" s="3058"/>
      <c r="BU143" s="3058"/>
      <c r="BV143" s="3058"/>
      <c r="BW143" s="3058"/>
      <c r="BX143" s="3058"/>
      <c r="BY143" s="3058"/>
      <c r="BZ143" s="3058"/>
      <c r="CA143" s="3058"/>
      <c r="CB143" s="3058"/>
      <c r="CC143" s="3056"/>
      <c r="CD143" s="3057">
        <f t="shared" si="0"/>
      </c>
      <c r="CE143" s="3054"/>
      <c r="CF143" s="3054"/>
      <c r="CG143" s="3055"/>
      <c r="CH143" s="3055"/>
      <c r="CI143" s="3055"/>
      <c r="CJ143" s="3055"/>
      <c r="CK143" s="3055"/>
      <c r="CL143" s="3055"/>
      <c r="CM143" s="3055"/>
      <c r="CN143" s="3055"/>
      <c r="CO143" s="3055"/>
      <c r="CP143" s="3055"/>
      <c r="CQ143" s="3055"/>
      <c r="CR143" s="3055"/>
      <c r="CS143" s="3055"/>
      <c r="CU143" s="3054"/>
      <c r="CV143" s="696"/>
      <c r="CW143" s="696"/>
      <c r="CZ143" s="3060">
        <f t="shared" si="17"/>
      </c>
      <c r="DA143" s="3060">
        <f t="shared" si="1"/>
      </c>
      <c r="DB143" s="3060">
        <f t="shared" si="18"/>
      </c>
      <c r="DC143" s="3060">
        <f t="shared" si="19"/>
      </c>
      <c r="DD143" s="3060">
        <f t="shared" si="20"/>
      </c>
      <c r="DE143" s="3060">
        <f t="shared" si="21"/>
      </c>
      <c r="DF143" s="3060">
        <f t="shared" si="22"/>
      </c>
      <c r="DG143" s="3060">
        <f t="shared" si="23"/>
      </c>
      <c r="DH143" s="3060">
        <f t="shared" si="24"/>
      </c>
      <c r="DI143" s="3060">
        <f t="shared" si="1"/>
      </c>
    </row>
    <row r="144" ht="15" customHeight="1" s="3052" customFormat="1">
      <c r="A144" s="3065"/>
      <c r="B144" s="3054">
        <f t="shared" si="2"/>
      </c>
      <c r="C144" s="3054"/>
      <c r="D144" s="3054"/>
      <c r="E144" s="3055"/>
      <c r="F144" s="3055"/>
      <c r="G144" s="3055"/>
      <c r="H144" s="3055"/>
      <c r="I144" s="3055"/>
      <c r="J144" s="3055"/>
      <c r="K144" s="3055"/>
      <c r="L144" s="3055"/>
      <c r="M144" s="3055"/>
      <c r="N144" s="3055"/>
      <c r="O144" s="3055"/>
      <c r="P144" s="3055"/>
      <c r="Q144" s="3055"/>
      <c r="R144" s="3055">
        <f t="shared" si="3"/>
        <v>0</v>
      </c>
      <c r="S144" s="3055">
        <f t="shared" si="4"/>
        <v>0</v>
      </c>
      <c r="T144" s="3055">
        <f t="shared" si="5"/>
        <v>0</v>
      </c>
      <c r="U144" s="3055">
        <f t="shared" si="6"/>
        <v>0</v>
      </c>
      <c r="V144" s="3055">
        <f t="shared" si="7"/>
        <v>0</v>
      </c>
      <c r="W144" s="3055">
        <f t="shared" si="8"/>
        <v>0</v>
      </c>
      <c r="X144" s="3055">
        <f t="shared" si="9"/>
        <v>0</v>
      </c>
      <c r="Y144" s="3055">
        <f t="shared" si="10"/>
        <v>0</v>
      </c>
      <c r="Z144" s="3055">
        <f t="shared" si="11"/>
        <v>0</v>
      </c>
      <c r="AA144" s="3055">
        <f t="shared" si="12"/>
        <v>0</v>
      </c>
      <c r="AB144" s="3055">
        <f t="shared" si="13"/>
        <v>0</v>
      </c>
      <c r="AC144" s="3055">
        <f t="shared" si="14"/>
        <v>0</v>
      </c>
      <c r="AD144" s="3056"/>
      <c r="AE144" s="3057">
        <f t="shared" si="0"/>
      </c>
      <c r="AF144" s="3054"/>
      <c r="AG144" s="3059"/>
      <c r="AH144" s="3058"/>
      <c r="AI144" s="3058"/>
      <c r="AJ144" s="3058"/>
      <c r="AK144" s="3058"/>
      <c r="AL144" s="3058"/>
      <c r="AM144" s="3058"/>
      <c r="AN144" s="3058"/>
      <c r="AO144" s="3058"/>
      <c r="AP144" s="3058"/>
      <c r="AQ144" s="3058"/>
      <c r="AR144" s="3058"/>
      <c r="AS144" s="3058"/>
      <c r="AT144" s="3058"/>
      <c r="AU144" s="3056"/>
      <c r="AV144" s="3057">
        <f t="shared" si="15"/>
      </c>
      <c r="AW144" s="3054"/>
      <c r="AX144" s="3059"/>
      <c r="AY144" s="3058"/>
      <c r="AZ144" s="3058"/>
      <c r="BA144" s="3058"/>
      <c r="BB144" s="3058"/>
      <c r="BC144" s="3058"/>
      <c r="BD144" s="3058"/>
      <c r="BE144" s="3058"/>
      <c r="BF144" s="3058"/>
      <c r="BG144" s="3058"/>
      <c r="BH144" s="3058"/>
      <c r="BI144" s="3058"/>
      <c r="BJ144" s="3058"/>
      <c r="BK144" s="3058"/>
      <c r="BL144" s="3056"/>
      <c r="BM144" s="3057">
        <f t="shared" si="16"/>
      </c>
      <c r="BN144" s="3054"/>
      <c r="BO144" s="3059"/>
      <c r="BP144" s="3058"/>
      <c r="BQ144" s="3058"/>
      <c r="BR144" s="3058"/>
      <c r="BS144" s="3058"/>
      <c r="BT144" s="3058"/>
      <c r="BU144" s="3058"/>
      <c r="BV144" s="3058"/>
      <c r="BW144" s="3058"/>
      <c r="BX144" s="3058"/>
      <c r="BY144" s="3058"/>
      <c r="BZ144" s="3058"/>
      <c r="CA144" s="3058"/>
      <c r="CB144" s="3058"/>
      <c r="CC144" s="3056"/>
      <c r="CD144" s="3057">
        <f t="shared" si="0"/>
      </c>
      <c r="CE144" s="3054"/>
      <c r="CF144" s="3054"/>
      <c r="CG144" s="3055"/>
      <c r="CH144" s="3055"/>
      <c r="CI144" s="3055"/>
      <c r="CJ144" s="3055"/>
      <c r="CK144" s="3055"/>
      <c r="CL144" s="3055"/>
      <c r="CM144" s="3055"/>
      <c r="CN144" s="3055"/>
      <c r="CO144" s="3055"/>
      <c r="CP144" s="3055"/>
      <c r="CQ144" s="3055"/>
      <c r="CR144" s="3055"/>
      <c r="CS144" s="3055"/>
      <c r="CU144" s="3054"/>
      <c r="CV144" s="696"/>
      <c r="CW144" s="696"/>
      <c r="CZ144" s="3060">
        <f t="shared" si="17"/>
      </c>
      <c r="DA144" s="3060">
        <f t="shared" si="1"/>
      </c>
      <c r="DB144" s="3060">
        <f t="shared" si="18"/>
      </c>
      <c r="DC144" s="3060">
        <f t="shared" si="19"/>
      </c>
      <c r="DD144" s="3060">
        <f t="shared" si="20"/>
      </c>
      <c r="DE144" s="3060">
        <f t="shared" si="21"/>
      </c>
      <c r="DF144" s="3060">
        <f t="shared" si="22"/>
      </c>
      <c r="DG144" s="3060">
        <f t="shared" si="23"/>
      </c>
      <c r="DH144" s="3060">
        <f t="shared" si="24"/>
      </c>
      <c r="DI144" s="3060">
        <f t="shared" si="1"/>
      </c>
    </row>
    <row r="145" ht="15" customHeight="1" s="3052" customFormat="1">
      <c r="A145" s="3065"/>
      <c r="B145" s="3054">
        <f t="shared" si="2"/>
      </c>
      <c r="C145" s="3054"/>
      <c r="D145" s="3054"/>
      <c r="E145" s="3055"/>
      <c r="F145" s="3055"/>
      <c r="G145" s="3055"/>
      <c r="H145" s="3055"/>
      <c r="I145" s="3055"/>
      <c r="J145" s="3055"/>
      <c r="K145" s="3055"/>
      <c r="L145" s="3055"/>
      <c r="M145" s="3055"/>
      <c r="N145" s="3055"/>
      <c r="O145" s="3055"/>
      <c r="P145" s="3055"/>
      <c r="Q145" s="3055"/>
      <c r="R145" s="3055">
        <f t="shared" si="3"/>
        <v>0</v>
      </c>
      <c r="S145" s="3055">
        <f t="shared" si="4"/>
        <v>0</v>
      </c>
      <c r="T145" s="3055">
        <f t="shared" si="5"/>
        <v>0</v>
      </c>
      <c r="U145" s="3055">
        <f t="shared" si="6"/>
        <v>0</v>
      </c>
      <c r="V145" s="3055">
        <f t="shared" si="7"/>
        <v>0</v>
      </c>
      <c r="W145" s="3055">
        <f t="shared" si="8"/>
        <v>0</v>
      </c>
      <c r="X145" s="3055">
        <f t="shared" si="9"/>
        <v>0</v>
      </c>
      <c r="Y145" s="3055">
        <f t="shared" si="10"/>
        <v>0</v>
      </c>
      <c r="Z145" s="3055">
        <f t="shared" si="11"/>
        <v>0</v>
      </c>
      <c r="AA145" s="3055">
        <f t="shared" si="12"/>
        <v>0</v>
      </c>
      <c r="AB145" s="3055">
        <f t="shared" si="13"/>
        <v>0</v>
      </c>
      <c r="AC145" s="3055">
        <f t="shared" si="14"/>
        <v>0</v>
      </c>
      <c r="AD145" s="3056"/>
      <c r="AE145" s="3057">
        <f t="shared" si="0"/>
      </c>
      <c r="AF145" s="3054"/>
      <c r="AG145" s="3059"/>
      <c r="AH145" s="3058"/>
      <c r="AI145" s="3058"/>
      <c r="AJ145" s="3058"/>
      <c r="AK145" s="3058"/>
      <c r="AL145" s="3058"/>
      <c r="AM145" s="3058"/>
      <c r="AN145" s="3058"/>
      <c r="AO145" s="3058"/>
      <c r="AP145" s="3058"/>
      <c r="AQ145" s="3058"/>
      <c r="AR145" s="3058"/>
      <c r="AS145" s="3058"/>
      <c r="AT145" s="3058"/>
      <c r="AU145" s="3056"/>
      <c r="AV145" s="3057">
        <f t="shared" si="15"/>
      </c>
      <c r="AW145" s="3054"/>
      <c r="AX145" s="3059"/>
      <c r="AY145" s="3058"/>
      <c r="AZ145" s="3058"/>
      <c r="BA145" s="3058"/>
      <c r="BB145" s="3058"/>
      <c r="BC145" s="3058"/>
      <c r="BD145" s="3058"/>
      <c r="BE145" s="3058"/>
      <c r="BF145" s="3058"/>
      <c r="BG145" s="3058"/>
      <c r="BH145" s="3058"/>
      <c r="BI145" s="3058"/>
      <c r="BJ145" s="3058"/>
      <c r="BK145" s="3058"/>
      <c r="BL145" s="3056"/>
      <c r="BM145" s="3057">
        <f t="shared" si="16"/>
      </c>
      <c r="BN145" s="3054"/>
      <c r="BO145" s="3059"/>
      <c r="BP145" s="3058"/>
      <c r="BQ145" s="3058"/>
      <c r="BR145" s="3058"/>
      <c r="BS145" s="3058"/>
      <c r="BT145" s="3058"/>
      <c r="BU145" s="3058"/>
      <c r="BV145" s="3058"/>
      <c r="BW145" s="3058"/>
      <c r="BX145" s="3058"/>
      <c r="BY145" s="3058"/>
      <c r="BZ145" s="3058"/>
      <c r="CA145" s="3058"/>
      <c r="CB145" s="3058"/>
      <c r="CC145" s="3056"/>
      <c r="CD145" s="3057">
        <f t="shared" si="0"/>
      </c>
      <c r="CE145" s="3054"/>
      <c r="CF145" s="3054"/>
      <c r="CG145" s="3055"/>
      <c r="CH145" s="3055"/>
      <c r="CI145" s="3055"/>
      <c r="CJ145" s="3055"/>
      <c r="CK145" s="3055"/>
      <c r="CL145" s="3055"/>
      <c r="CM145" s="3055"/>
      <c r="CN145" s="3055"/>
      <c r="CO145" s="3055"/>
      <c r="CP145" s="3055"/>
      <c r="CQ145" s="3055"/>
      <c r="CR145" s="3055"/>
      <c r="CS145" s="3055"/>
      <c r="CU145" s="3054"/>
      <c r="CV145" s="696"/>
      <c r="CW145" s="696"/>
      <c r="CZ145" s="3060">
        <f t="shared" si="17"/>
      </c>
      <c r="DA145" s="3060">
        <f t="shared" si="1"/>
      </c>
      <c r="DB145" s="3060">
        <f t="shared" si="18"/>
      </c>
      <c r="DC145" s="3060">
        <f t="shared" si="19"/>
      </c>
      <c r="DD145" s="3060">
        <f t="shared" si="20"/>
      </c>
      <c r="DE145" s="3060">
        <f t="shared" si="21"/>
      </c>
      <c r="DF145" s="3060">
        <f t="shared" si="22"/>
      </c>
      <c r="DG145" s="3060">
        <f t="shared" si="23"/>
      </c>
      <c r="DH145" s="3060">
        <f t="shared" si="24"/>
      </c>
      <c r="DI145" s="3060">
        <f t="shared" si="1"/>
      </c>
    </row>
    <row r="146" ht="15" customHeight="1" s="3052" customFormat="1">
      <c r="A146" s="3065"/>
      <c r="B146" s="3054">
        <f t="shared" si="2"/>
      </c>
      <c r="C146" s="3054"/>
      <c r="D146" s="3054"/>
      <c r="E146" s="3055"/>
      <c r="F146" s="3055"/>
      <c r="G146" s="3055"/>
      <c r="H146" s="3055"/>
      <c r="I146" s="3055"/>
      <c r="J146" s="3055"/>
      <c r="K146" s="3055"/>
      <c r="L146" s="3055"/>
      <c r="M146" s="3055"/>
      <c r="N146" s="3055"/>
      <c r="O146" s="3055"/>
      <c r="P146" s="3055"/>
      <c r="Q146" s="3055"/>
      <c r="R146" s="3055">
        <f t="shared" si="3"/>
        <v>0</v>
      </c>
      <c r="S146" s="3055">
        <f t="shared" si="4"/>
        <v>0</v>
      </c>
      <c r="T146" s="3055">
        <f t="shared" si="5"/>
        <v>0</v>
      </c>
      <c r="U146" s="3055">
        <f t="shared" si="6"/>
        <v>0</v>
      </c>
      <c r="V146" s="3055">
        <f t="shared" si="7"/>
        <v>0</v>
      </c>
      <c r="W146" s="3055">
        <f t="shared" si="8"/>
        <v>0</v>
      </c>
      <c r="X146" s="3055">
        <f t="shared" si="9"/>
        <v>0</v>
      </c>
      <c r="Y146" s="3055">
        <f t="shared" si="10"/>
        <v>0</v>
      </c>
      <c r="Z146" s="3055">
        <f t="shared" si="11"/>
        <v>0</v>
      </c>
      <c r="AA146" s="3055">
        <f t="shared" si="12"/>
        <v>0</v>
      </c>
      <c r="AB146" s="3055">
        <f t="shared" si="13"/>
        <v>0</v>
      </c>
      <c r="AC146" s="3055">
        <f t="shared" si="14"/>
        <v>0</v>
      </c>
      <c r="AD146" s="3056"/>
      <c r="AE146" s="3057">
        <f t="shared" si="0"/>
      </c>
      <c r="AF146" s="3054"/>
      <c r="AG146" s="3059"/>
      <c r="AH146" s="3058"/>
      <c r="AI146" s="3058"/>
      <c r="AJ146" s="3058"/>
      <c r="AK146" s="3058"/>
      <c r="AL146" s="3058"/>
      <c r="AM146" s="3058"/>
      <c r="AN146" s="3058"/>
      <c r="AO146" s="3058"/>
      <c r="AP146" s="3058"/>
      <c r="AQ146" s="3058"/>
      <c r="AR146" s="3058"/>
      <c r="AS146" s="3058"/>
      <c r="AT146" s="3058"/>
      <c r="AU146" s="3056"/>
      <c r="AV146" s="3057">
        <f t="shared" si="15"/>
      </c>
      <c r="AW146" s="3054"/>
      <c r="AX146" s="3059"/>
      <c r="AY146" s="3058"/>
      <c r="AZ146" s="3058"/>
      <c r="BA146" s="3058"/>
      <c r="BB146" s="3058"/>
      <c r="BC146" s="3058"/>
      <c r="BD146" s="3058"/>
      <c r="BE146" s="3058"/>
      <c r="BF146" s="3058"/>
      <c r="BG146" s="3058"/>
      <c r="BH146" s="3058"/>
      <c r="BI146" s="3058"/>
      <c r="BJ146" s="3058"/>
      <c r="BK146" s="3058"/>
      <c r="BL146" s="3056"/>
      <c r="BM146" s="3057">
        <f t="shared" si="16"/>
      </c>
      <c r="BN146" s="3054"/>
      <c r="BO146" s="3059"/>
      <c r="BP146" s="3058"/>
      <c r="BQ146" s="3058"/>
      <c r="BR146" s="3058"/>
      <c r="BS146" s="3058"/>
      <c r="BT146" s="3058"/>
      <c r="BU146" s="3058"/>
      <c r="BV146" s="3058"/>
      <c r="BW146" s="3058"/>
      <c r="BX146" s="3058"/>
      <c r="BY146" s="3058"/>
      <c r="BZ146" s="3058"/>
      <c r="CA146" s="3058"/>
      <c r="CB146" s="3058"/>
      <c r="CC146" s="3056"/>
      <c r="CD146" s="3057">
        <f t="shared" si="0"/>
      </c>
      <c r="CE146" s="3054"/>
      <c r="CF146" s="3054"/>
      <c r="CG146" s="3055"/>
      <c r="CH146" s="3055"/>
      <c r="CI146" s="3055"/>
      <c r="CJ146" s="3055"/>
      <c r="CK146" s="3055"/>
      <c r="CL146" s="3055"/>
      <c r="CM146" s="3055"/>
      <c r="CN146" s="3055"/>
      <c r="CO146" s="3055"/>
      <c r="CP146" s="3055"/>
      <c r="CQ146" s="3055"/>
      <c r="CR146" s="3055"/>
      <c r="CS146" s="3055"/>
      <c r="CU146" s="3054"/>
      <c r="CV146" s="696"/>
      <c r="CW146" s="696"/>
      <c r="CZ146" s="3060">
        <f t="shared" si="17"/>
      </c>
      <c r="DA146" s="3060">
        <f t="shared" si="1"/>
      </c>
      <c r="DB146" s="3060">
        <f t="shared" si="18"/>
      </c>
      <c r="DC146" s="3060">
        <f t="shared" si="19"/>
      </c>
      <c r="DD146" s="3060">
        <f t="shared" si="20"/>
      </c>
      <c r="DE146" s="3060">
        <f t="shared" si="21"/>
      </c>
      <c r="DF146" s="3060">
        <f t="shared" si="22"/>
      </c>
      <c r="DG146" s="3060">
        <f t="shared" si="23"/>
      </c>
      <c r="DH146" s="3060">
        <f t="shared" si="24"/>
      </c>
      <c r="DI146" s="3060">
        <f t="shared" si="1"/>
      </c>
    </row>
    <row r="147" ht="15" customHeight="1" s="3052" customFormat="1">
      <c r="A147" s="3065"/>
      <c r="B147" s="3054">
        <f t="shared" si="2"/>
      </c>
      <c r="C147" s="3054"/>
      <c r="D147" s="3054"/>
      <c r="E147" s="3055"/>
      <c r="F147" s="3055"/>
      <c r="G147" s="3055"/>
      <c r="H147" s="3055"/>
      <c r="I147" s="3055"/>
      <c r="J147" s="3055"/>
      <c r="K147" s="3055"/>
      <c r="L147" s="3055"/>
      <c r="M147" s="3055"/>
      <c r="N147" s="3055"/>
      <c r="O147" s="3055"/>
      <c r="P147" s="3055"/>
      <c r="Q147" s="3055"/>
      <c r="R147" s="3055">
        <f t="shared" si="3"/>
        <v>0</v>
      </c>
      <c r="S147" s="3055">
        <f t="shared" si="4"/>
        <v>0</v>
      </c>
      <c r="T147" s="3055">
        <f t="shared" si="5"/>
        <v>0</v>
      </c>
      <c r="U147" s="3055">
        <f t="shared" si="6"/>
        <v>0</v>
      </c>
      <c r="V147" s="3055">
        <f t="shared" si="7"/>
        <v>0</v>
      </c>
      <c r="W147" s="3055">
        <f t="shared" si="8"/>
        <v>0</v>
      </c>
      <c r="X147" s="3055">
        <f t="shared" si="9"/>
        <v>0</v>
      </c>
      <c r="Y147" s="3055">
        <f t="shared" si="10"/>
        <v>0</v>
      </c>
      <c r="Z147" s="3055">
        <f t="shared" si="11"/>
        <v>0</v>
      </c>
      <c r="AA147" s="3055">
        <f t="shared" si="12"/>
        <v>0</v>
      </c>
      <c r="AB147" s="3055">
        <f t="shared" si="13"/>
        <v>0</v>
      </c>
      <c r="AC147" s="3055">
        <f t="shared" si="14"/>
        <v>0</v>
      </c>
      <c r="AD147" s="3056"/>
      <c r="AE147" s="3057">
        <f t="shared" si="0"/>
      </c>
      <c r="AF147" s="3054"/>
      <c r="AG147" s="3059"/>
      <c r="AH147" s="3058"/>
      <c r="AI147" s="3058"/>
      <c r="AJ147" s="3058"/>
      <c r="AK147" s="3058"/>
      <c r="AL147" s="3058"/>
      <c r="AM147" s="3058"/>
      <c r="AN147" s="3058"/>
      <c r="AO147" s="3058"/>
      <c r="AP147" s="3058"/>
      <c r="AQ147" s="3058"/>
      <c r="AR147" s="3058"/>
      <c r="AS147" s="3058"/>
      <c r="AT147" s="3058"/>
      <c r="AU147" s="3056"/>
      <c r="AV147" s="3057">
        <f t="shared" si="15"/>
      </c>
      <c r="AW147" s="3054"/>
      <c r="AX147" s="3059"/>
      <c r="AY147" s="3058"/>
      <c r="AZ147" s="3058"/>
      <c r="BA147" s="3058"/>
      <c r="BB147" s="3058"/>
      <c r="BC147" s="3058"/>
      <c r="BD147" s="3058"/>
      <c r="BE147" s="3058"/>
      <c r="BF147" s="3058"/>
      <c r="BG147" s="3058"/>
      <c r="BH147" s="3058"/>
      <c r="BI147" s="3058"/>
      <c r="BJ147" s="3058"/>
      <c r="BK147" s="3058"/>
      <c r="BL147" s="3056"/>
      <c r="BM147" s="3057">
        <f t="shared" si="16"/>
      </c>
      <c r="BN147" s="3054"/>
      <c r="BO147" s="3059"/>
      <c r="BP147" s="3058"/>
      <c r="BQ147" s="3058"/>
      <c r="BR147" s="3058"/>
      <c r="BS147" s="3058"/>
      <c r="BT147" s="3058"/>
      <c r="BU147" s="3058"/>
      <c r="BV147" s="3058"/>
      <c r="BW147" s="3058"/>
      <c r="BX147" s="3058"/>
      <c r="BY147" s="3058"/>
      <c r="BZ147" s="3058"/>
      <c r="CA147" s="3058"/>
      <c r="CB147" s="3058"/>
      <c r="CC147" s="3056"/>
      <c r="CD147" s="3057">
        <f t="shared" si="0"/>
      </c>
      <c r="CE147" s="3054"/>
      <c r="CF147" s="3054"/>
      <c r="CG147" s="3055"/>
      <c r="CH147" s="3055"/>
      <c r="CI147" s="3055"/>
      <c r="CJ147" s="3055"/>
      <c r="CK147" s="3055"/>
      <c r="CL147" s="3055"/>
      <c r="CM147" s="3055"/>
      <c r="CN147" s="3055"/>
      <c r="CO147" s="3055"/>
      <c r="CP147" s="3055"/>
      <c r="CQ147" s="3055"/>
      <c r="CR147" s="3055"/>
      <c r="CS147" s="3055"/>
      <c r="CU147" s="3054"/>
      <c r="CV147" s="696"/>
      <c r="CW147" s="696"/>
      <c r="CZ147" s="3060">
        <f t="shared" si="17"/>
      </c>
      <c r="DA147" s="3060">
        <f t="shared" si="1"/>
      </c>
      <c r="DB147" s="3060">
        <f t="shared" si="18"/>
      </c>
      <c r="DC147" s="3060">
        <f t="shared" si="19"/>
      </c>
      <c r="DD147" s="3060">
        <f t="shared" si="20"/>
      </c>
      <c r="DE147" s="3060">
        <f t="shared" si="21"/>
      </c>
      <c r="DF147" s="3060">
        <f t="shared" si="22"/>
      </c>
      <c r="DG147" s="3060">
        <f t="shared" si="23"/>
      </c>
      <c r="DH147" s="3060">
        <f t="shared" si="24"/>
      </c>
      <c r="DI147" s="3060">
        <f t="shared" si="1"/>
      </c>
    </row>
    <row r="148" ht="15" customHeight="1" s="3052" customFormat="1">
      <c r="A148" s="3065"/>
      <c r="B148" s="3054">
        <f t="shared" si="2"/>
      </c>
      <c r="C148" s="3054"/>
      <c r="D148" s="3054"/>
      <c r="E148" s="3055"/>
      <c r="F148" s="3055"/>
      <c r="G148" s="3055"/>
      <c r="H148" s="3055"/>
      <c r="I148" s="3055"/>
      <c r="J148" s="3055"/>
      <c r="K148" s="3055"/>
      <c r="L148" s="3055"/>
      <c r="M148" s="3055"/>
      <c r="N148" s="3055"/>
      <c r="O148" s="3055"/>
      <c r="P148" s="3055"/>
      <c r="Q148" s="3055"/>
      <c r="R148" s="3055">
        <f t="shared" si="3"/>
        <v>0</v>
      </c>
      <c r="S148" s="3055">
        <f t="shared" si="4"/>
        <v>0</v>
      </c>
      <c r="T148" s="3055">
        <f t="shared" si="5"/>
        <v>0</v>
      </c>
      <c r="U148" s="3055">
        <f t="shared" si="6"/>
        <v>0</v>
      </c>
      <c r="V148" s="3055">
        <f t="shared" si="7"/>
        <v>0</v>
      </c>
      <c r="W148" s="3055">
        <f t="shared" si="8"/>
        <v>0</v>
      </c>
      <c r="X148" s="3055">
        <f t="shared" si="9"/>
        <v>0</v>
      </c>
      <c r="Y148" s="3055">
        <f t="shared" si="10"/>
        <v>0</v>
      </c>
      <c r="Z148" s="3055">
        <f t="shared" si="11"/>
        <v>0</v>
      </c>
      <c r="AA148" s="3055">
        <f t="shared" si="12"/>
        <v>0</v>
      </c>
      <c r="AB148" s="3055">
        <f t="shared" si="13"/>
        <v>0</v>
      </c>
      <c r="AC148" s="3055">
        <f t="shared" si="14"/>
        <v>0</v>
      </c>
      <c r="AD148" s="3056"/>
      <c r="AE148" s="3057">
        <f t="shared" si="0"/>
      </c>
      <c r="AF148" s="3054"/>
      <c r="AG148" s="3059"/>
      <c r="AH148" s="3058"/>
      <c r="AI148" s="3058"/>
      <c r="AJ148" s="3058"/>
      <c r="AK148" s="3058"/>
      <c r="AL148" s="3058"/>
      <c r="AM148" s="3058"/>
      <c r="AN148" s="3058"/>
      <c r="AO148" s="3058"/>
      <c r="AP148" s="3058"/>
      <c r="AQ148" s="3058"/>
      <c r="AR148" s="3058"/>
      <c r="AS148" s="3058"/>
      <c r="AT148" s="3058"/>
      <c r="AU148" s="3056"/>
      <c r="AV148" s="3057">
        <f t="shared" si="15"/>
      </c>
      <c r="AW148" s="3054"/>
      <c r="AX148" s="3059"/>
      <c r="AY148" s="3058"/>
      <c r="AZ148" s="3058"/>
      <c r="BA148" s="3058"/>
      <c r="BB148" s="3058"/>
      <c r="BC148" s="3058"/>
      <c r="BD148" s="3058"/>
      <c r="BE148" s="3058"/>
      <c r="BF148" s="3058"/>
      <c r="BG148" s="3058"/>
      <c r="BH148" s="3058"/>
      <c r="BI148" s="3058"/>
      <c r="BJ148" s="3058"/>
      <c r="BK148" s="3058"/>
      <c r="BL148" s="3056"/>
      <c r="BM148" s="3057">
        <f t="shared" si="16"/>
      </c>
      <c r="BN148" s="3054"/>
      <c r="BO148" s="3059"/>
      <c r="BP148" s="3058"/>
      <c r="BQ148" s="3058"/>
      <c r="BR148" s="3058"/>
      <c r="BS148" s="3058"/>
      <c r="BT148" s="3058"/>
      <c r="BU148" s="3058"/>
      <c r="BV148" s="3058"/>
      <c r="BW148" s="3058"/>
      <c r="BX148" s="3058"/>
      <c r="BY148" s="3058"/>
      <c r="BZ148" s="3058"/>
      <c r="CA148" s="3058"/>
      <c r="CB148" s="3058"/>
      <c r="CC148" s="3056"/>
      <c r="CD148" s="3057">
        <f t="shared" si="0"/>
      </c>
      <c r="CE148" s="3054"/>
      <c r="CF148" s="3054"/>
      <c r="CG148" s="3055"/>
      <c r="CH148" s="3055"/>
      <c r="CI148" s="3055"/>
      <c r="CJ148" s="3055"/>
      <c r="CK148" s="3055"/>
      <c r="CL148" s="3055"/>
      <c r="CM148" s="3055"/>
      <c r="CN148" s="3055"/>
      <c r="CO148" s="3055"/>
      <c r="CP148" s="3055"/>
      <c r="CQ148" s="3055"/>
      <c r="CR148" s="3055"/>
      <c r="CS148" s="3055"/>
      <c r="CU148" s="3054"/>
      <c r="CV148" s="696"/>
      <c r="CW148" s="696"/>
      <c r="CZ148" s="3060">
        <f t="shared" si="17"/>
      </c>
      <c r="DA148" s="3060">
        <f t="shared" si="1"/>
      </c>
      <c r="DB148" s="3060">
        <f t="shared" si="18"/>
      </c>
      <c r="DC148" s="3060">
        <f t="shared" si="19"/>
      </c>
      <c r="DD148" s="3060">
        <f t="shared" si="20"/>
      </c>
      <c r="DE148" s="3060">
        <f t="shared" si="21"/>
      </c>
      <c r="DF148" s="3060">
        <f t="shared" si="22"/>
      </c>
      <c r="DG148" s="3060">
        <f t="shared" si="23"/>
      </c>
      <c r="DH148" s="3060">
        <f t="shared" si="24"/>
      </c>
      <c r="DI148" s="3060">
        <f t="shared" si="1"/>
      </c>
    </row>
    <row r="149" ht="15" customHeight="1" s="3052" customFormat="1">
      <c r="A149" s="3065"/>
      <c r="B149" s="3054">
        <f t="shared" si="2"/>
      </c>
      <c r="C149" s="3054"/>
      <c r="D149" s="3054"/>
      <c r="E149" s="3055"/>
      <c r="F149" s="3055"/>
      <c r="G149" s="3055"/>
      <c r="H149" s="3055"/>
      <c r="I149" s="3055"/>
      <c r="J149" s="3055"/>
      <c r="K149" s="3055"/>
      <c r="L149" s="3055"/>
      <c r="M149" s="3055"/>
      <c r="N149" s="3055"/>
      <c r="O149" s="3055"/>
      <c r="P149" s="3055"/>
      <c r="Q149" s="3055"/>
      <c r="R149" s="3055">
        <f t="shared" si="3"/>
        <v>0</v>
      </c>
      <c r="S149" s="3055">
        <f t="shared" si="4"/>
        <v>0</v>
      </c>
      <c r="T149" s="3055">
        <f t="shared" si="5"/>
        <v>0</v>
      </c>
      <c r="U149" s="3055">
        <f t="shared" si="6"/>
        <v>0</v>
      </c>
      <c r="V149" s="3055">
        <f t="shared" si="7"/>
        <v>0</v>
      </c>
      <c r="W149" s="3055">
        <f t="shared" si="8"/>
        <v>0</v>
      </c>
      <c r="X149" s="3055">
        <f t="shared" si="9"/>
        <v>0</v>
      </c>
      <c r="Y149" s="3055">
        <f t="shared" si="10"/>
        <v>0</v>
      </c>
      <c r="Z149" s="3055">
        <f t="shared" si="11"/>
        <v>0</v>
      </c>
      <c r="AA149" s="3055">
        <f t="shared" si="12"/>
        <v>0</v>
      </c>
      <c r="AB149" s="3055">
        <f t="shared" si="13"/>
        <v>0</v>
      </c>
      <c r="AC149" s="3055">
        <f t="shared" si="14"/>
        <v>0</v>
      </c>
      <c r="AD149" s="3056"/>
      <c r="AE149" s="3057">
        <f t="shared" si="0"/>
      </c>
      <c r="AF149" s="3054"/>
      <c r="AG149" s="3059"/>
      <c r="AH149" s="3058"/>
      <c r="AI149" s="3058"/>
      <c r="AJ149" s="3058"/>
      <c r="AK149" s="3058"/>
      <c r="AL149" s="3058"/>
      <c r="AM149" s="3058"/>
      <c r="AN149" s="3058"/>
      <c r="AO149" s="3058"/>
      <c r="AP149" s="3058"/>
      <c r="AQ149" s="3058"/>
      <c r="AR149" s="3058"/>
      <c r="AS149" s="3058"/>
      <c r="AT149" s="3058"/>
      <c r="AU149" s="3056"/>
      <c r="AV149" s="3057">
        <f t="shared" si="15"/>
      </c>
      <c r="AW149" s="3054"/>
      <c r="AX149" s="3059"/>
      <c r="AY149" s="3058"/>
      <c r="AZ149" s="3058"/>
      <c r="BA149" s="3058"/>
      <c r="BB149" s="3058"/>
      <c r="BC149" s="3058"/>
      <c r="BD149" s="3058"/>
      <c r="BE149" s="3058"/>
      <c r="BF149" s="3058"/>
      <c r="BG149" s="3058"/>
      <c r="BH149" s="3058"/>
      <c r="BI149" s="3058"/>
      <c r="BJ149" s="3058"/>
      <c r="BK149" s="3058"/>
      <c r="BL149" s="3056"/>
      <c r="BM149" s="3057">
        <f t="shared" si="16"/>
      </c>
      <c r="BN149" s="3054"/>
      <c r="BO149" s="3059"/>
      <c r="BP149" s="3058"/>
      <c r="BQ149" s="3058"/>
      <c r="BR149" s="3058"/>
      <c r="BS149" s="3058"/>
      <c r="BT149" s="3058"/>
      <c r="BU149" s="3058"/>
      <c r="BV149" s="3058"/>
      <c r="BW149" s="3058"/>
      <c r="BX149" s="3058"/>
      <c r="BY149" s="3058"/>
      <c r="BZ149" s="3058"/>
      <c r="CA149" s="3058"/>
      <c r="CB149" s="3058"/>
      <c r="CC149" s="3056"/>
      <c r="CD149" s="3057">
        <f t="shared" si="0"/>
      </c>
      <c r="CE149" s="3054"/>
      <c r="CF149" s="3054"/>
      <c r="CG149" s="3055"/>
      <c r="CH149" s="3055"/>
      <c r="CI149" s="3055"/>
      <c r="CJ149" s="3055"/>
      <c r="CK149" s="3055"/>
      <c r="CL149" s="3055"/>
      <c r="CM149" s="3055"/>
      <c r="CN149" s="3055"/>
      <c r="CO149" s="3055"/>
      <c r="CP149" s="3055"/>
      <c r="CQ149" s="3055"/>
      <c r="CR149" s="3055"/>
      <c r="CS149" s="3055"/>
      <c r="CU149" s="3054"/>
      <c r="CV149" s="696"/>
      <c r="CW149" s="696"/>
      <c r="CZ149" s="3060">
        <f t="shared" si="17"/>
      </c>
      <c r="DA149" s="3060">
        <f t="shared" si="1"/>
      </c>
      <c r="DB149" s="3060">
        <f t="shared" si="18"/>
      </c>
      <c r="DC149" s="3060">
        <f t="shared" si="19"/>
      </c>
      <c r="DD149" s="3060">
        <f t="shared" si="20"/>
      </c>
      <c r="DE149" s="3060">
        <f t="shared" si="21"/>
      </c>
      <c r="DF149" s="3060">
        <f t="shared" si="22"/>
      </c>
      <c r="DG149" s="3060">
        <f t="shared" si="23"/>
      </c>
      <c r="DH149" s="3060">
        <f t="shared" si="24"/>
      </c>
      <c r="DI149" s="3060">
        <f t="shared" si="1"/>
      </c>
    </row>
    <row r="150" ht="15" customHeight="1" s="3052" customFormat="1">
      <c r="A150" s="3065"/>
      <c r="B150" s="3054">
        <f t="shared" si="2"/>
      </c>
      <c r="C150" s="3054"/>
      <c r="D150" s="3054"/>
      <c r="E150" s="3055"/>
      <c r="F150" s="3055"/>
      <c r="G150" s="3055"/>
      <c r="H150" s="3055"/>
      <c r="I150" s="3055"/>
      <c r="J150" s="3055"/>
      <c r="K150" s="3055"/>
      <c r="L150" s="3055"/>
      <c r="M150" s="3055"/>
      <c r="N150" s="3055"/>
      <c r="O150" s="3055"/>
      <c r="P150" s="3055"/>
      <c r="Q150" s="3055"/>
      <c r="R150" s="3055">
        <f t="shared" si="3"/>
        <v>0</v>
      </c>
      <c r="S150" s="3055">
        <f t="shared" si="4"/>
        <v>0</v>
      </c>
      <c r="T150" s="3055">
        <f t="shared" si="5"/>
        <v>0</v>
      </c>
      <c r="U150" s="3055">
        <f t="shared" si="6"/>
        <v>0</v>
      </c>
      <c r="V150" s="3055">
        <f t="shared" si="7"/>
        <v>0</v>
      </c>
      <c r="W150" s="3055">
        <f t="shared" si="8"/>
        <v>0</v>
      </c>
      <c r="X150" s="3055">
        <f t="shared" si="9"/>
        <v>0</v>
      </c>
      <c r="Y150" s="3055">
        <f t="shared" si="10"/>
        <v>0</v>
      </c>
      <c r="Z150" s="3055">
        <f t="shared" si="11"/>
        <v>0</v>
      </c>
      <c r="AA150" s="3055">
        <f t="shared" si="12"/>
        <v>0</v>
      </c>
      <c r="AB150" s="3055">
        <f t="shared" si="13"/>
        <v>0</v>
      </c>
      <c r="AC150" s="3055">
        <f t="shared" si="14"/>
        <v>0</v>
      </c>
      <c r="AD150" s="3056"/>
      <c r="AE150" s="3057">
        <f t="shared" si="0"/>
      </c>
      <c r="AF150" s="3054"/>
      <c r="AG150" s="3059"/>
      <c r="AH150" s="3058"/>
      <c r="AI150" s="3058"/>
      <c r="AJ150" s="3058"/>
      <c r="AK150" s="3058"/>
      <c r="AL150" s="3058"/>
      <c r="AM150" s="3058"/>
      <c r="AN150" s="3058"/>
      <c r="AO150" s="3058"/>
      <c r="AP150" s="3058"/>
      <c r="AQ150" s="3058"/>
      <c r="AR150" s="3058"/>
      <c r="AS150" s="3058"/>
      <c r="AT150" s="3058"/>
      <c r="AU150" s="3056"/>
      <c r="AV150" s="3057">
        <f t="shared" si="15"/>
      </c>
      <c r="AW150" s="3054"/>
      <c r="AX150" s="3059"/>
      <c r="AY150" s="3058"/>
      <c r="AZ150" s="3058"/>
      <c r="BA150" s="3058"/>
      <c r="BB150" s="3058"/>
      <c r="BC150" s="3058"/>
      <c r="BD150" s="3058"/>
      <c r="BE150" s="3058"/>
      <c r="BF150" s="3058"/>
      <c r="BG150" s="3058"/>
      <c r="BH150" s="3058"/>
      <c r="BI150" s="3058"/>
      <c r="BJ150" s="3058"/>
      <c r="BK150" s="3058"/>
      <c r="BL150" s="3056"/>
      <c r="BM150" s="3057">
        <f t="shared" si="16"/>
      </c>
      <c r="BN150" s="3054"/>
      <c r="BO150" s="3059"/>
      <c r="BP150" s="3058"/>
      <c r="BQ150" s="3058"/>
      <c r="BR150" s="3058"/>
      <c r="BS150" s="3058"/>
      <c r="BT150" s="3058"/>
      <c r="BU150" s="3058"/>
      <c r="BV150" s="3058"/>
      <c r="BW150" s="3058"/>
      <c r="BX150" s="3058"/>
      <c r="BY150" s="3058"/>
      <c r="BZ150" s="3058"/>
      <c r="CA150" s="3058"/>
      <c r="CB150" s="3058"/>
      <c r="CC150" s="3056"/>
      <c r="CD150" s="3057">
        <f t="shared" si="0"/>
      </c>
      <c r="CE150" s="3054"/>
      <c r="CF150" s="3054"/>
      <c r="CG150" s="3055"/>
      <c r="CH150" s="3055"/>
      <c r="CI150" s="3055"/>
      <c r="CJ150" s="3055"/>
      <c r="CK150" s="3055"/>
      <c r="CL150" s="3055"/>
      <c r="CM150" s="3055"/>
      <c r="CN150" s="3055"/>
      <c r="CO150" s="3055"/>
      <c r="CP150" s="3055"/>
      <c r="CQ150" s="3055"/>
      <c r="CR150" s="3055"/>
      <c r="CS150" s="3055"/>
      <c r="CU150" s="3054"/>
      <c r="CV150" s="696"/>
      <c r="CW150" s="696"/>
      <c r="CZ150" s="3060">
        <f t="shared" si="17"/>
      </c>
      <c r="DA150" s="3060">
        <f t="shared" si="1"/>
      </c>
      <c r="DB150" s="3060">
        <f t="shared" si="18"/>
      </c>
      <c r="DC150" s="3060">
        <f t="shared" si="19"/>
      </c>
      <c r="DD150" s="3060">
        <f t="shared" si="20"/>
      </c>
      <c r="DE150" s="3060">
        <f t="shared" si="21"/>
      </c>
      <c r="DF150" s="3060">
        <f t="shared" si="22"/>
      </c>
      <c r="DG150" s="3060">
        <f t="shared" si="23"/>
      </c>
      <c r="DH150" s="3060">
        <f t="shared" si="24"/>
      </c>
      <c r="DI150" s="3060">
        <f t="shared" si="1"/>
      </c>
    </row>
    <row r="151" ht="15" customHeight="1" s="3052" customFormat="1">
      <c r="A151" s="3065"/>
      <c r="B151" s="3054">
        <f t="shared" si="2"/>
      </c>
      <c r="C151" s="3054"/>
      <c r="D151" s="3054"/>
      <c r="E151" s="3055"/>
      <c r="F151" s="3055"/>
      <c r="G151" s="3055"/>
      <c r="H151" s="3055"/>
      <c r="I151" s="3055"/>
      <c r="J151" s="3055"/>
      <c r="K151" s="3055"/>
      <c r="L151" s="3055"/>
      <c r="M151" s="3055"/>
      <c r="N151" s="3055"/>
      <c r="O151" s="3055"/>
      <c r="P151" s="3055"/>
      <c r="Q151" s="3055"/>
      <c r="R151" s="3055">
        <f t="shared" si="3"/>
        <v>0</v>
      </c>
      <c r="S151" s="3055">
        <f t="shared" si="4"/>
        <v>0</v>
      </c>
      <c r="T151" s="3055">
        <f t="shared" si="5"/>
        <v>0</v>
      </c>
      <c r="U151" s="3055">
        <f t="shared" si="6"/>
        <v>0</v>
      </c>
      <c r="V151" s="3055">
        <f t="shared" si="7"/>
        <v>0</v>
      </c>
      <c r="W151" s="3055">
        <f t="shared" si="8"/>
        <v>0</v>
      </c>
      <c r="X151" s="3055">
        <f t="shared" si="9"/>
        <v>0</v>
      </c>
      <c r="Y151" s="3055">
        <f t="shared" si="10"/>
        <v>0</v>
      </c>
      <c r="Z151" s="3055">
        <f t="shared" si="11"/>
        <v>0</v>
      </c>
      <c r="AA151" s="3055">
        <f t="shared" si="12"/>
        <v>0</v>
      </c>
      <c r="AB151" s="3055">
        <f t="shared" si="13"/>
        <v>0</v>
      </c>
      <c r="AC151" s="3055">
        <f t="shared" si="14"/>
        <v>0</v>
      </c>
      <c r="AD151" s="3056"/>
      <c r="AE151" s="3057">
        <f t="shared" si="0"/>
      </c>
      <c r="AF151" s="3054"/>
      <c r="AG151" s="3059"/>
      <c r="AH151" s="3058"/>
      <c r="AI151" s="3058"/>
      <c r="AJ151" s="3058"/>
      <c r="AK151" s="3058"/>
      <c r="AL151" s="3058"/>
      <c r="AM151" s="3058"/>
      <c r="AN151" s="3058"/>
      <c r="AO151" s="3058"/>
      <c r="AP151" s="3058"/>
      <c r="AQ151" s="3058"/>
      <c r="AR151" s="3058"/>
      <c r="AS151" s="3058"/>
      <c r="AT151" s="3058"/>
      <c r="AU151" s="3056"/>
      <c r="AV151" s="3057">
        <f t="shared" si="15"/>
      </c>
      <c r="AW151" s="3054"/>
      <c r="AX151" s="3059"/>
      <c r="AY151" s="3058"/>
      <c r="AZ151" s="3058"/>
      <c r="BA151" s="3058"/>
      <c r="BB151" s="3058"/>
      <c r="BC151" s="3058"/>
      <c r="BD151" s="3058"/>
      <c r="BE151" s="3058"/>
      <c r="BF151" s="3058"/>
      <c r="BG151" s="3058"/>
      <c r="BH151" s="3058"/>
      <c r="BI151" s="3058"/>
      <c r="BJ151" s="3058"/>
      <c r="BK151" s="3058"/>
      <c r="BL151" s="3056"/>
      <c r="BM151" s="3057">
        <f t="shared" si="16"/>
      </c>
      <c r="BN151" s="3054"/>
      <c r="BO151" s="3059"/>
      <c r="BP151" s="3058"/>
      <c r="BQ151" s="3058"/>
      <c r="BR151" s="3058"/>
      <c r="BS151" s="3058"/>
      <c r="BT151" s="3058"/>
      <c r="BU151" s="3058"/>
      <c r="BV151" s="3058"/>
      <c r="BW151" s="3058"/>
      <c r="BX151" s="3058"/>
      <c r="BY151" s="3058"/>
      <c r="BZ151" s="3058"/>
      <c r="CA151" s="3058"/>
      <c r="CB151" s="3058"/>
      <c r="CC151" s="3056"/>
      <c r="CD151" s="3057">
        <f t="shared" si="0"/>
      </c>
      <c r="CE151" s="3054"/>
      <c r="CF151" s="3054"/>
      <c r="CG151" s="3055"/>
      <c r="CH151" s="3055"/>
      <c r="CI151" s="3055"/>
      <c r="CJ151" s="3055"/>
      <c r="CK151" s="3055"/>
      <c r="CL151" s="3055"/>
      <c r="CM151" s="3055"/>
      <c r="CN151" s="3055"/>
      <c r="CO151" s="3055"/>
      <c r="CP151" s="3055"/>
      <c r="CQ151" s="3055"/>
      <c r="CR151" s="3055"/>
      <c r="CS151" s="3055"/>
      <c r="CU151" s="3054"/>
      <c r="CV151" s="696"/>
      <c r="CW151" s="696"/>
      <c r="CZ151" s="3060">
        <f t="shared" si="17"/>
      </c>
      <c r="DA151" s="3060">
        <f t="shared" si="1"/>
      </c>
      <c r="DB151" s="3060">
        <f t="shared" si="18"/>
      </c>
      <c r="DC151" s="3060">
        <f t="shared" si="19"/>
      </c>
      <c r="DD151" s="3060">
        <f t="shared" si="20"/>
      </c>
      <c r="DE151" s="3060">
        <f t="shared" si="21"/>
      </c>
      <c r="DF151" s="3060">
        <f t="shared" si="22"/>
      </c>
      <c r="DG151" s="3060">
        <f t="shared" si="23"/>
      </c>
      <c r="DH151" s="3060">
        <f t="shared" si="24"/>
      </c>
      <c r="DI151" s="3060">
        <f t="shared" si="1"/>
      </c>
    </row>
    <row r="152" ht="15" customHeight="1" s="3052" customFormat="1">
      <c r="A152" s="3065"/>
      <c r="B152" s="3054">
        <f t="shared" si="2"/>
      </c>
      <c r="C152" s="3054"/>
      <c r="D152" s="3054"/>
      <c r="E152" s="3055"/>
      <c r="F152" s="3055"/>
      <c r="G152" s="3055"/>
      <c r="H152" s="3055"/>
      <c r="I152" s="3055"/>
      <c r="J152" s="3055"/>
      <c r="K152" s="3055"/>
      <c r="L152" s="3055"/>
      <c r="M152" s="3055"/>
      <c r="N152" s="3055"/>
      <c r="O152" s="3055"/>
      <c r="P152" s="3055"/>
      <c r="Q152" s="3055"/>
      <c r="R152" s="3055">
        <f t="shared" si="3"/>
        <v>0</v>
      </c>
      <c r="S152" s="3055">
        <f t="shared" si="4"/>
        <v>0</v>
      </c>
      <c r="T152" s="3055">
        <f t="shared" si="5"/>
        <v>0</v>
      </c>
      <c r="U152" s="3055">
        <f t="shared" si="6"/>
        <v>0</v>
      </c>
      <c r="V152" s="3055">
        <f t="shared" si="7"/>
        <v>0</v>
      </c>
      <c r="W152" s="3055">
        <f t="shared" si="8"/>
        <v>0</v>
      </c>
      <c r="X152" s="3055">
        <f t="shared" si="9"/>
        <v>0</v>
      </c>
      <c r="Y152" s="3055">
        <f t="shared" si="10"/>
        <v>0</v>
      </c>
      <c r="Z152" s="3055">
        <f t="shared" si="11"/>
        <v>0</v>
      </c>
      <c r="AA152" s="3055">
        <f t="shared" si="12"/>
        <v>0</v>
      </c>
      <c r="AB152" s="3055">
        <f t="shared" si="13"/>
        <v>0</v>
      </c>
      <c r="AC152" s="3055">
        <f t="shared" si="14"/>
        <v>0</v>
      </c>
      <c r="AD152" s="3056"/>
      <c r="AE152" s="3057">
        <f t="shared" si="0"/>
      </c>
      <c r="AF152" s="3054"/>
      <c r="AG152" s="3059"/>
      <c r="AH152" s="3058"/>
      <c r="AI152" s="3058"/>
      <c r="AJ152" s="3058"/>
      <c r="AK152" s="3058"/>
      <c r="AL152" s="3058"/>
      <c r="AM152" s="3058"/>
      <c r="AN152" s="3058"/>
      <c r="AO152" s="3058"/>
      <c r="AP152" s="3058"/>
      <c r="AQ152" s="3058"/>
      <c r="AR152" s="3058"/>
      <c r="AS152" s="3058"/>
      <c r="AT152" s="3058"/>
      <c r="AU152" s="3056"/>
      <c r="AV152" s="3057">
        <f t="shared" si="15"/>
      </c>
      <c r="AW152" s="3054"/>
      <c r="AX152" s="3059"/>
      <c r="AY152" s="3058"/>
      <c r="AZ152" s="3058"/>
      <c r="BA152" s="3058"/>
      <c r="BB152" s="3058"/>
      <c r="BC152" s="3058"/>
      <c r="BD152" s="3058"/>
      <c r="BE152" s="3058"/>
      <c r="BF152" s="3058"/>
      <c r="BG152" s="3058"/>
      <c r="BH152" s="3058"/>
      <c r="BI152" s="3058"/>
      <c r="BJ152" s="3058"/>
      <c r="BK152" s="3058"/>
      <c r="BL152" s="3056"/>
      <c r="BM152" s="3057">
        <f t="shared" si="16"/>
      </c>
      <c r="BN152" s="3054"/>
      <c r="BO152" s="3059"/>
      <c r="BP152" s="3058"/>
      <c r="BQ152" s="3058"/>
      <c r="BR152" s="3058"/>
      <c r="BS152" s="3058"/>
      <c r="BT152" s="3058"/>
      <c r="BU152" s="3058"/>
      <c r="BV152" s="3058"/>
      <c r="BW152" s="3058"/>
      <c r="BX152" s="3058"/>
      <c r="BY152" s="3058"/>
      <c r="BZ152" s="3058"/>
      <c r="CA152" s="3058"/>
      <c r="CB152" s="3058"/>
      <c r="CC152" s="3056"/>
      <c r="CD152" s="3057">
        <f t="shared" si="0"/>
      </c>
      <c r="CE152" s="3054"/>
      <c r="CF152" s="3054"/>
      <c r="CG152" s="3055"/>
      <c r="CH152" s="3055"/>
      <c r="CI152" s="3055"/>
      <c r="CJ152" s="3055"/>
      <c r="CK152" s="3055"/>
      <c r="CL152" s="3055"/>
      <c r="CM152" s="3055"/>
      <c r="CN152" s="3055"/>
      <c r="CO152" s="3055"/>
      <c r="CP152" s="3055"/>
      <c r="CQ152" s="3055"/>
      <c r="CR152" s="3055"/>
      <c r="CS152" s="3055"/>
      <c r="CU152" s="3054"/>
      <c r="CV152" s="696"/>
      <c r="CW152" s="696"/>
      <c r="CZ152" s="3060">
        <f t="shared" si="17"/>
      </c>
      <c r="DA152" s="3060">
        <f t="shared" si="1"/>
      </c>
      <c r="DB152" s="3060">
        <f t="shared" si="18"/>
      </c>
      <c r="DC152" s="3060">
        <f t="shared" si="19"/>
      </c>
      <c r="DD152" s="3060">
        <f t="shared" si="20"/>
      </c>
      <c r="DE152" s="3060">
        <f t="shared" si="21"/>
      </c>
      <c r="DF152" s="3060">
        <f t="shared" si="22"/>
      </c>
      <c r="DG152" s="3060">
        <f t="shared" si="23"/>
      </c>
      <c r="DH152" s="3060">
        <f t="shared" si="24"/>
      </c>
      <c r="DI152" s="3060">
        <f t="shared" si="1"/>
      </c>
    </row>
    <row r="153" ht="15" customHeight="1" s="3052" customFormat="1">
      <c r="A153" s="3065"/>
      <c r="B153" s="3054">
        <f t="shared" si="2"/>
      </c>
      <c r="C153" s="3054"/>
      <c r="D153" s="3054"/>
      <c r="E153" s="3055"/>
      <c r="F153" s="3055"/>
      <c r="G153" s="3055"/>
      <c r="H153" s="3055"/>
      <c r="I153" s="3055"/>
      <c r="J153" s="3055"/>
      <c r="K153" s="3055"/>
      <c r="L153" s="3055"/>
      <c r="M153" s="3055"/>
      <c r="N153" s="3055"/>
      <c r="O153" s="3055"/>
      <c r="P153" s="3055"/>
      <c r="Q153" s="3055"/>
      <c r="R153" s="3055">
        <f t="shared" si="3"/>
        <v>0</v>
      </c>
      <c r="S153" s="3055">
        <f t="shared" si="4"/>
        <v>0</v>
      </c>
      <c r="T153" s="3055">
        <f t="shared" si="5"/>
        <v>0</v>
      </c>
      <c r="U153" s="3055">
        <f t="shared" si="6"/>
        <v>0</v>
      </c>
      <c r="V153" s="3055">
        <f t="shared" si="7"/>
        <v>0</v>
      </c>
      <c r="W153" s="3055">
        <f t="shared" si="8"/>
        <v>0</v>
      </c>
      <c r="X153" s="3055">
        <f t="shared" si="9"/>
        <v>0</v>
      </c>
      <c r="Y153" s="3055">
        <f t="shared" si="10"/>
        <v>0</v>
      </c>
      <c r="Z153" s="3055">
        <f t="shared" si="11"/>
        <v>0</v>
      </c>
      <c r="AA153" s="3055">
        <f t="shared" si="12"/>
        <v>0</v>
      </c>
      <c r="AB153" s="3055">
        <f t="shared" si="13"/>
        <v>0</v>
      </c>
      <c r="AC153" s="3055">
        <f t="shared" si="14"/>
        <v>0</v>
      </c>
      <c r="AD153" s="3056"/>
      <c r="AE153" s="3057">
        <f t="shared" si="0"/>
      </c>
      <c r="AF153" s="3054"/>
      <c r="AG153" s="3059"/>
      <c r="AH153" s="3058"/>
      <c r="AI153" s="3058"/>
      <c r="AJ153" s="3058"/>
      <c r="AK153" s="3058"/>
      <c r="AL153" s="3058"/>
      <c r="AM153" s="3058"/>
      <c r="AN153" s="3058"/>
      <c r="AO153" s="3058"/>
      <c r="AP153" s="3058"/>
      <c r="AQ153" s="3058"/>
      <c r="AR153" s="3058"/>
      <c r="AS153" s="3058"/>
      <c r="AT153" s="3058"/>
      <c r="AU153" s="3056"/>
      <c r="AV153" s="3057">
        <f t="shared" si="15"/>
      </c>
      <c r="AW153" s="3054"/>
      <c r="AX153" s="3059"/>
      <c r="AY153" s="3058"/>
      <c r="AZ153" s="3058"/>
      <c r="BA153" s="3058"/>
      <c r="BB153" s="3058"/>
      <c r="BC153" s="3058"/>
      <c r="BD153" s="3058"/>
      <c r="BE153" s="3058"/>
      <c r="BF153" s="3058"/>
      <c r="BG153" s="3058"/>
      <c r="BH153" s="3058"/>
      <c r="BI153" s="3058"/>
      <c r="BJ153" s="3058"/>
      <c r="BK153" s="3058"/>
      <c r="BL153" s="3056"/>
      <c r="BM153" s="3057">
        <f t="shared" si="16"/>
      </c>
      <c r="BN153" s="3054"/>
      <c r="BO153" s="3059"/>
      <c r="BP153" s="3058"/>
      <c r="BQ153" s="3058"/>
      <c r="BR153" s="3058"/>
      <c r="BS153" s="3058"/>
      <c r="BT153" s="3058"/>
      <c r="BU153" s="3058"/>
      <c r="BV153" s="3058"/>
      <c r="BW153" s="3058"/>
      <c r="BX153" s="3058"/>
      <c r="BY153" s="3058"/>
      <c r="BZ153" s="3058"/>
      <c r="CA153" s="3058"/>
      <c r="CB153" s="3058"/>
      <c r="CC153" s="3056"/>
      <c r="CD153" s="3057">
        <f t="shared" si="0"/>
      </c>
      <c r="CE153" s="3054"/>
      <c r="CF153" s="3054"/>
      <c r="CG153" s="3055"/>
      <c r="CH153" s="3055"/>
      <c r="CI153" s="3055"/>
      <c r="CJ153" s="3055"/>
      <c r="CK153" s="3055"/>
      <c r="CL153" s="3055"/>
      <c r="CM153" s="3055"/>
      <c r="CN153" s="3055"/>
      <c r="CO153" s="3055"/>
      <c r="CP153" s="3055"/>
      <c r="CQ153" s="3055"/>
      <c r="CR153" s="3055"/>
      <c r="CS153" s="3055"/>
      <c r="CU153" s="3054"/>
      <c r="CV153" s="696"/>
      <c r="CW153" s="696"/>
      <c r="CZ153" s="3060">
        <f t="shared" si="17"/>
      </c>
      <c r="DA153" s="3060">
        <f t="shared" si="1"/>
      </c>
      <c r="DB153" s="3060">
        <f t="shared" si="18"/>
      </c>
      <c r="DC153" s="3060">
        <f t="shared" si="19"/>
      </c>
      <c r="DD153" s="3060">
        <f t="shared" si="20"/>
      </c>
      <c r="DE153" s="3060">
        <f t="shared" si="21"/>
      </c>
      <c r="DF153" s="3060">
        <f t="shared" si="22"/>
      </c>
      <c r="DG153" s="3060">
        <f t="shared" si="23"/>
      </c>
      <c r="DH153" s="3060">
        <f t="shared" si="24"/>
      </c>
      <c r="DI153" s="3060">
        <f t="shared" si="1"/>
      </c>
    </row>
    <row r="154" ht="15" customHeight="1" s="3052" customFormat="1">
      <c r="A154" s="3065"/>
      <c r="B154" s="3054">
        <f t="shared" si="2"/>
      </c>
      <c r="C154" s="3054"/>
      <c r="D154" s="3054"/>
      <c r="E154" s="3055"/>
      <c r="F154" s="3055"/>
      <c r="G154" s="3055"/>
      <c r="H154" s="3055"/>
      <c r="I154" s="3055"/>
      <c r="J154" s="3055"/>
      <c r="K154" s="3055"/>
      <c r="L154" s="3055"/>
      <c r="M154" s="3055"/>
      <c r="N154" s="3055"/>
      <c r="O154" s="3055"/>
      <c r="P154" s="3055"/>
      <c r="Q154" s="3055"/>
      <c r="R154" s="3055">
        <f t="shared" si="3"/>
        <v>0</v>
      </c>
      <c r="S154" s="3055">
        <f t="shared" si="4"/>
        <v>0</v>
      </c>
      <c r="T154" s="3055">
        <f t="shared" si="5"/>
        <v>0</v>
      </c>
      <c r="U154" s="3055">
        <f t="shared" si="6"/>
        <v>0</v>
      </c>
      <c r="V154" s="3055">
        <f t="shared" si="7"/>
        <v>0</v>
      </c>
      <c r="W154" s="3055">
        <f t="shared" si="8"/>
        <v>0</v>
      </c>
      <c r="X154" s="3055">
        <f t="shared" si="9"/>
        <v>0</v>
      </c>
      <c r="Y154" s="3055">
        <f t="shared" si="10"/>
        <v>0</v>
      </c>
      <c r="Z154" s="3055">
        <f t="shared" si="11"/>
        <v>0</v>
      </c>
      <c r="AA154" s="3055">
        <f t="shared" si="12"/>
        <v>0</v>
      </c>
      <c r="AB154" s="3055">
        <f t="shared" si="13"/>
        <v>0</v>
      </c>
      <c r="AC154" s="3055">
        <f t="shared" si="14"/>
        <v>0</v>
      </c>
      <c r="AD154" s="3056"/>
      <c r="AE154" s="3057">
        <f t="shared" si="0"/>
      </c>
      <c r="AF154" s="3054"/>
      <c r="AG154" s="3059"/>
      <c r="AH154" s="3058"/>
      <c r="AI154" s="3058"/>
      <c r="AJ154" s="3058"/>
      <c r="AK154" s="3058"/>
      <c r="AL154" s="3058"/>
      <c r="AM154" s="3058"/>
      <c r="AN154" s="3058"/>
      <c r="AO154" s="3058"/>
      <c r="AP154" s="3058"/>
      <c r="AQ154" s="3058"/>
      <c r="AR154" s="3058"/>
      <c r="AS154" s="3058"/>
      <c r="AT154" s="3058"/>
      <c r="AU154" s="3056"/>
      <c r="AV154" s="3057">
        <f t="shared" si="15"/>
      </c>
      <c r="AW154" s="3054"/>
      <c r="AX154" s="3059"/>
      <c r="AY154" s="3058"/>
      <c r="AZ154" s="3058"/>
      <c r="BA154" s="3058"/>
      <c r="BB154" s="3058"/>
      <c r="BC154" s="3058"/>
      <c r="BD154" s="3058"/>
      <c r="BE154" s="3058"/>
      <c r="BF154" s="3058"/>
      <c r="BG154" s="3058"/>
      <c r="BH154" s="3058"/>
      <c r="BI154" s="3058"/>
      <c r="BJ154" s="3058"/>
      <c r="BK154" s="3058"/>
      <c r="BL154" s="3056"/>
      <c r="BM154" s="3057">
        <f t="shared" si="16"/>
      </c>
      <c r="BN154" s="3054"/>
      <c r="BO154" s="3059"/>
      <c r="BP154" s="3058"/>
      <c r="BQ154" s="3058"/>
      <c r="BR154" s="3058"/>
      <c r="BS154" s="3058"/>
      <c r="BT154" s="3058"/>
      <c r="BU154" s="3058"/>
      <c r="BV154" s="3058"/>
      <c r="BW154" s="3058"/>
      <c r="BX154" s="3058"/>
      <c r="BY154" s="3058"/>
      <c r="BZ154" s="3058"/>
      <c r="CA154" s="3058"/>
      <c r="CB154" s="3058"/>
      <c r="CC154" s="3056"/>
      <c r="CD154" s="3057">
        <f t="shared" si="0"/>
      </c>
      <c r="CE154" s="3054"/>
      <c r="CF154" s="3054"/>
      <c r="CG154" s="3055"/>
      <c r="CH154" s="3055"/>
      <c r="CI154" s="3055"/>
      <c r="CJ154" s="3055"/>
      <c r="CK154" s="3055"/>
      <c r="CL154" s="3055"/>
      <c r="CM154" s="3055"/>
      <c r="CN154" s="3055"/>
      <c r="CO154" s="3055"/>
      <c r="CP154" s="3055"/>
      <c r="CQ154" s="3055"/>
      <c r="CR154" s="3055"/>
      <c r="CS154" s="3055"/>
      <c r="CU154" s="3054"/>
      <c r="CV154" s="696"/>
      <c r="CW154" s="696"/>
      <c r="CZ154" s="3060">
        <f t="shared" si="17"/>
      </c>
      <c r="DA154" s="3060">
        <f t="shared" si="1"/>
      </c>
      <c r="DB154" s="3060">
        <f t="shared" si="18"/>
      </c>
      <c r="DC154" s="3060">
        <f t="shared" si="19"/>
      </c>
      <c r="DD154" s="3060">
        <f t="shared" si="20"/>
      </c>
      <c r="DE154" s="3060">
        <f t="shared" si="21"/>
      </c>
      <c r="DF154" s="3060">
        <f t="shared" si="22"/>
      </c>
      <c r="DG154" s="3060">
        <f t="shared" si="23"/>
      </c>
      <c r="DH154" s="3060">
        <f t="shared" si="24"/>
      </c>
      <c r="DI154" s="3060">
        <f t="shared" si="1"/>
      </c>
    </row>
    <row r="155" ht="15" customHeight="1" s="3052" customFormat="1">
      <c r="A155" s="3065"/>
      <c r="B155" s="3054">
        <f t="shared" si="2"/>
      </c>
      <c r="C155" s="3054"/>
      <c r="D155" s="3054"/>
      <c r="E155" s="3055"/>
      <c r="F155" s="3055"/>
      <c r="G155" s="3055"/>
      <c r="H155" s="3055"/>
      <c r="I155" s="3055"/>
      <c r="J155" s="3055"/>
      <c r="K155" s="3055"/>
      <c r="L155" s="3055"/>
      <c r="M155" s="3055"/>
      <c r="N155" s="3055"/>
      <c r="O155" s="3055"/>
      <c r="P155" s="3055"/>
      <c r="Q155" s="3055"/>
      <c r="R155" s="3055">
        <f t="shared" si="3"/>
        <v>0</v>
      </c>
      <c r="S155" s="3055">
        <f t="shared" si="4"/>
        <v>0</v>
      </c>
      <c r="T155" s="3055">
        <f t="shared" si="5"/>
        <v>0</v>
      </c>
      <c r="U155" s="3055">
        <f t="shared" si="6"/>
        <v>0</v>
      </c>
      <c r="V155" s="3055">
        <f t="shared" si="7"/>
        <v>0</v>
      </c>
      <c r="W155" s="3055">
        <f t="shared" si="8"/>
        <v>0</v>
      </c>
      <c r="X155" s="3055">
        <f t="shared" si="9"/>
        <v>0</v>
      </c>
      <c r="Y155" s="3055">
        <f t="shared" si="10"/>
        <v>0</v>
      </c>
      <c r="Z155" s="3055">
        <f t="shared" si="11"/>
        <v>0</v>
      </c>
      <c r="AA155" s="3055">
        <f t="shared" si="12"/>
        <v>0</v>
      </c>
      <c r="AB155" s="3055">
        <f t="shared" si="13"/>
        <v>0</v>
      </c>
      <c r="AC155" s="3055">
        <f t="shared" si="14"/>
        <v>0</v>
      </c>
      <c r="AD155" s="3056"/>
      <c r="AE155" s="3057">
        <f t="shared" si="0"/>
      </c>
      <c r="AF155" s="3054"/>
      <c r="AG155" s="3059"/>
      <c r="AH155" s="3058"/>
      <c r="AI155" s="3058"/>
      <c r="AJ155" s="3058"/>
      <c r="AK155" s="3058"/>
      <c r="AL155" s="3058"/>
      <c r="AM155" s="3058"/>
      <c r="AN155" s="3058"/>
      <c r="AO155" s="3058"/>
      <c r="AP155" s="3058"/>
      <c r="AQ155" s="3058"/>
      <c r="AR155" s="3058"/>
      <c r="AS155" s="3058"/>
      <c r="AT155" s="3058"/>
      <c r="AU155" s="3056"/>
      <c r="AV155" s="3057">
        <f t="shared" si="15"/>
      </c>
      <c r="AW155" s="3054"/>
      <c r="AX155" s="3059"/>
      <c r="AY155" s="3058"/>
      <c r="AZ155" s="3058"/>
      <c r="BA155" s="3058"/>
      <c r="BB155" s="3058"/>
      <c r="BC155" s="3058"/>
      <c r="BD155" s="3058"/>
      <c r="BE155" s="3058"/>
      <c r="BF155" s="3058"/>
      <c r="BG155" s="3058"/>
      <c r="BH155" s="3058"/>
      <c r="BI155" s="3058"/>
      <c r="BJ155" s="3058"/>
      <c r="BK155" s="3058"/>
      <c r="BL155" s="3056"/>
      <c r="BM155" s="3057">
        <f t="shared" si="16"/>
      </c>
      <c r="BN155" s="3054"/>
      <c r="BO155" s="3059"/>
      <c r="BP155" s="3058"/>
      <c r="BQ155" s="3058"/>
      <c r="BR155" s="3058"/>
      <c r="BS155" s="3058"/>
      <c r="BT155" s="3058"/>
      <c r="BU155" s="3058"/>
      <c r="BV155" s="3058"/>
      <c r="BW155" s="3058"/>
      <c r="BX155" s="3058"/>
      <c r="BY155" s="3058"/>
      <c r="BZ155" s="3058"/>
      <c r="CA155" s="3058"/>
      <c r="CB155" s="3058"/>
      <c r="CC155" s="3056"/>
      <c r="CD155" s="3057">
        <f t="shared" si="0"/>
      </c>
      <c r="CE155" s="3054"/>
      <c r="CF155" s="3054"/>
      <c r="CG155" s="3055"/>
      <c r="CH155" s="3055"/>
      <c r="CI155" s="3055"/>
      <c r="CJ155" s="3055"/>
      <c r="CK155" s="3055"/>
      <c r="CL155" s="3055"/>
      <c r="CM155" s="3055"/>
      <c r="CN155" s="3055"/>
      <c r="CO155" s="3055"/>
      <c r="CP155" s="3055"/>
      <c r="CQ155" s="3055"/>
      <c r="CR155" s="3055"/>
      <c r="CS155" s="3055"/>
      <c r="CU155" s="3054"/>
      <c r="CV155" s="696"/>
      <c r="CW155" s="696"/>
      <c r="CZ155" s="3060">
        <f t="shared" si="17"/>
      </c>
      <c r="DA155" s="3060">
        <f t="shared" si="1"/>
      </c>
      <c r="DB155" s="3060">
        <f t="shared" si="18"/>
      </c>
      <c r="DC155" s="3060">
        <f t="shared" si="19"/>
      </c>
      <c r="DD155" s="3060">
        <f t="shared" si="20"/>
      </c>
      <c r="DE155" s="3060">
        <f t="shared" si="21"/>
      </c>
      <c r="DF155" s="3060">
        <f t="shared" si="22"/>
      </c>
      <c r="DG155" s="3060">
        <f t="shared" si="23"/>
      </c>
      <c r="DH155" s="3060">
        <f t="shared" si="24"/>
      </c>
      <c r="DI155" s="3060">
        <f t="shared" si="1"/>
      </c>
    </row>
    <row r="156" ht="15" customHeight="1" s="3052" customFormat="1">
      <c r="A156" s="3065"/>
      <c r="B156" s="3054">
        <f t="shared" si="2"/>
      </c>
      <c r="C156" s="3054"/>
      <c r="D156" s="3054"/>
      <c r="E156" s="3055"/>
      <c r="F156" s="3055"/>
      <c r="G156" s="3055"/>
      <c r="H156" s="3055"/>
      <c r="I156" s="3055"/>
      <c r="J156" s="3055"/>
      <c r="K156" s="3055"/>
      <c r="L156" s="3055"/>
      <c r="M156" s="3055"/>
      <c r="N156" s="3055"/>
      <c r="O156" s="3055"/>
      <c r="P156" s="3055"/>
      <c r="Q156" s="3055"/>
      <c r="R156" s="3055">
        <f t="shared" si="3"/>
        <v>0</v>
      </c>
      <c r="S156" s="3055">
        <f t="shared" si="4"/>
        <v>0</v>
      </c>
      <c r="T156" s="3055">
        <f t="shared" si="5"/>
        <v>0</v>
      </c>
      <c r="U156" s="3055">
        <f t="shared" si="6"/>
        <v>0</v>
      </c>
      <c r="V156" s="3055">
        <f t="shared" si="7"/>
        <v>0</v>
      </c>
      <c r="W156" s="3055">
        <f t="shared" si="8"/>
        <v>0</v>
      </c>
      <c r="X156" s="3055">
        <f t="shared" si="9"/>
        <v>0</v>
      </c>
      <c r="Y156" s="3055">
        <f t="shared" si="10"/>
        <v>0</v>
      </c>
      <c r="Z156" s="3055">
        <f t="shared" si="11"/>
        <v>0</v>
      </c>
      <c r="AA156" s="3055">
        <f t="shared" si="12"/>
        <v>0</v>
      </c>
      <c r="AB156" s="3055">
        <f t="shared" si="13"/>
        <v>0</v>
      </c>
      <c r="AC156" s="3055">
        <f t="shared" si="14"/>
        <v>0</v>
      </c>
      <c r="AD156" s="3056"/>
      <c r="AE156" s="3057">
        <f t="shared" si="0"/>
      </c>
      <c r="AF156" s="3054"/>
      <c r="AG156" s="3059"/>
      <c r="AH156" s="3058"/>
      <c r="AI156" s="3058"/>
      <c r="AJ156" s="3058"/>
      <c r="AK156" s="3058"/>
      <c r="AL156" s="3058"/>
      <c r="AM156" s="3058"/>
      <c r="AN156" s="3058"/>
      <c r="AO156" s="3058"/>
      <c r="AP156" s="3058"/>
      <c r="AQ156" s="3058"/>
      <c r="AR156" s="3058"/>
      <c r="AS156" s="3058"/>
      <c r="AT156" s="3058"/>
      <c r="AU156" s="3056"/>
      <c r="AV156" s="3057">
        <f t="shared" si="15"/>
      </c>
      <c r="AW156" s="3054"/>
      <c r="AX156" s="3059"/>
      <c r="AY156" s="3058"/>
      <c r="AZ156" s="3058"/>
      <c r="BA156" s="3058"/>
      <c r="BB156" s="3058"/>
      <c r="BC156" s="3058"/>
      <c r="BD156" s="3058"/>
      <c r="BE156" s="3058"/>
      <c r="BF156" s="3058"/>
      <c r="BG156" s="3058"/>
      <c r="BH156" s="3058"/>
      <c r="BI156" s="3058"/>
      <c r="BJ156" s="3058"/>
      <c r="BK156" s="3058"/>
      <c r="BL156" s="3056"/>
      <c r="BM156" s="3057">
        <f t="shared" si="16"/>
      </c>
      <c r="BN156" s="3054"/>
      <c r="BO156" s="3059"/>
      <c r="BP156" s="3058"/>
      <c r="BQ156" s="3058"/>
      <c r="BR156" s="3058"/>
      <c r="BS156" s="3058"/>
      <c r="BT156" s="3058"/>
      <c r="BU156" s="3058"/>
      <c r="BV156" s="3058"/>
      <c r="BW156" s="3058"/>
      <c r="BX156" s="3058"/>
      <c r="BY156" s="3058"/>
      <c r="BZ156" s="3058"/>
      <c r="CA156" s="3058"/>
      <c r="CB156" s="3058"/>
      <c r="CC156" s="3056"/>
      <c r="CD156" s="3057">
        <f t="shared" si="0"/>
      </c>
      <c r="CE156" s="3054"/>
      <c r="CF156" s="3054"/>
      <c r="CG156" s="3055"/>
      <c r="CH156" s="3055"/>
      <c r="CI156" s="3055"/>
      <c r="CJ156" s="3055"/>
      <c r="CK156" s="3055"/>
      <c r="CL156" s="3055"/>
      <c r="CM156" s="3055"/>
      <c r="CN156" s="3055"/>
      <c r="CO156" s="3055"/>
      <c r="CP156" s="3055"/>
      <c r="CQ156" s="3055"/>
      <c r="CR156" s="3055"/>
      <c r="CS156" s="3055"/>
      <c r="CU156" s="3054"/>
      <c r="CV156" s="696"/>
      <c r="CW156" s="696"/>
      <c r="CZ156" s="3060">
        <f t="shared" si="17"/>
      </c>
      <c r="DA156" s="3060">
        <f t="shared" si="1"/>
      </c>
      <c r="DB156" s="3060">
        <f t="shared" si="18"/>
      </c>
      <c r="DC156" s="3060">
        <f t="shared" si="19"/>
      </c>
      <c r="DD156" s="3060">
        <f t="shared" si="20"/>
      </c>
      <c r="DE156" s="3060">
        <f t="shared" si="21"/>
      </c>
      <c r="DF156" s="3060">
        <f t="shared" si="22"/>
      </c>
      <c r="DG156" s="3060">
        <f t="shared" si="23"/>
      </c>
      <c r="DH156" s="3060">
        <f t="shared" si="24"/>
      </c>
      <c r="DI156" s="3060">
        <f t="shared" si="1"/>
      </c>
    </row>
    <row r="157" ht="15" customHeight="1" s="3052" customFormat="1">
      <c r="A157" s="3065"/>
      <c r="B157" s="3054">
        <f t="shared" si="2"/>
      </c>
      <c r="C157" s="3054"/>
      <c r="D157" s="3054"/>
      <c r="E157" s="3055"/>
      <c r="F157" s="3055"/>
      <c r="G157" s="3055"/>
      <c r="H157" s="3055"/>
      <c r="I157" s="3055"/>
      <c r="J157" s="3055"/>
      <c r="K157" s="3055"/>
      <c r="L157" s="3055"/>
      <c r="M157" s="3055"/>
      <c r="N157" s="3055"/>
      <c r="O157" s="3055"/>
      <c r="P157" s="3055"/>
      <c r="Q157" s="3055"/>
      <c r="R157" s="3055">
        <f t="shared" si="3"/>
        <v>0</v>
      </c>
      <c r="S157" s="3055">
        <f t="shared" si="4"/>
        <v>0</v>
      </c>
      <c r="T157" s="3055">
        <f t="shared" si="5"/>
        <v>0</v>
      </c>
      <c r="U157" s="3055">
        <f t="shared" si="6"/>
        <v>0</v>
      </c>
      <c r="V157" s="3055">
        <f t="shared" si="7"/>
        <v>0</v>
      </c>
      <c r="W157" s="3055">
        <f t="shared" si="8"/>
        <v>0</v>
      </c>
      <c r="X157" s="3055">
        <f t="shared" si="9"/>
        <v>0</v>
      </c>
      <c r="Y157" s="3055">
        <f t="shared" si="10"/>
        <v>0</v>
      </c>
      <c r="Z157" s="3055">
        <f t="shared" si="11"/>
        <v>0</v>
      </c>
      <c r="AA157" s="3055">
        <f t="shared" si="12"/>
        <v>0</v>
      </c>
      <c r="AB157" s="3055">
        <f t="shared" si="13"/>
        <v>0</v>
      </c>
      <c r="AC157" s="3055">
        <f t="shared" si="14"/>
        <v>0</v>
      </c>
      <c r="AD157" s="3056"/>
      <c r="AE157" s="3057">
        <f t="shared" si="0"/>
      </c>
      <c r="AF157" s="3054"/>
      <c r="AG157" s="3059"/>
      <c r="AH157" s="3058"/>
      <c r="AI157" s="3058"/>
      <c r="AJ157" s="3058"/>
      <c r="AK157" s="3058"/>
      <c r="AL157" s="3058"/>
      <c r="AM157" s="3058"/>
      <c r="AN157" s="3058"/>
      <c r="AO157" s="3058"/>
      <c r="AP157" s="3058"/>
      <c r="AQ157" s="3058"/>
      <c r="AR157" s="3058"/>
      <c r="AS157" s="3058"/>
      <c r="AT157" s="3058"/>
      <c r="AU157" s="3056"/>
      <c r="AV157" s="3057">
        <f t="shared" si="15"/>
      </c>
      <c r="AW157" s="3054"/>
      <c r="AX157" s="3059"/>
      <c r="AY157" s="3058"/>
      <c r="AZ157" s="3058"/>
      <c r="BA157" s="3058"/>
      <c r="BB157" s="3058"/>
      <c r="BC157" s="3058"/>
      <c r="BD157" s="3058"/>
      <c r="BE157" s="3058"/>
      <c r="BF157" s="3058"/>
      <c r="BG157" s="3058"/>
      <c r="BH157" s="3058"/>
      <c r="BI157" s="3058"/>
      <c r="BJ157" s="3058"/>
      <c r="BK157" s="3058"/>
      <c r="BL157" s="3056"/>
      <c r="BM157" s="3057">
        <f t="shared" si="16"/>
      </c>
      <c r="BN157" s="3054"/>
      <c r="BO157" s="3059"/>
      <c r="BP157" s="3058"/>
      <c r="BQ157" s="3058"/>
      <c r="BR157" s="3058"/>
      <c r="BS157" s="3058"/>
      <c r="BT157" s="3058"/>
      <c r="BU157" s="3058"/>
      <c r="BV157" s="3058"/>
      <c r="BW157" s="3058"/>
      <c r="BX157" s="3058"/>
      <c r="BY157" s="3058"/>
      <c r="BZ157" s="3058"/>
      <c r="CA157" s="3058"/>
      <c r="CB157" s="3058"/>
      <c r="CC157" s="3056"/>
      <c r="CD157" s="3057">
        <f t="shared" si="0"/>
      </c>
      <c r="CE157" s="3054"/>
      <c r="CF157" s="3054"/>
      <c r="CG157" s="3055"/>
      <c r="CH157" s="3055"/>
      <c r="CI157" s="3055"/>
      <c r="CJ157" s="3055"/>
      <c r="CK157" s="3055"/>
      <c r="CL157" s="3055"/>
      <c r="CM157" s="3055"/>
      <c r="CN157" s="3055"/>
      <c r="CO157" s="3055"/>
      <c r="CP157" s="3055"/>
      <c r="CQ157" s="3055"/>
      <c r="CR157" s="3055"/>
      <c r="CS157" s="3055"/>
      <c r="CU157" s="3054"/>
      <c r="CV157" s="696"/>
      <c r="CW157" s="696"/>
      <c r="CZ157" s="3060">
        <f t="shared" si="17"/>
      </c>
      <c r="DA157" s="3060">
        <f t="shared" si="1"/>
      </c>
      <c r="DB157" s="3060">
        <f t="shared" si="18"/>
      </c>
      <c r="DC157" s="3060">
        <f t="shared" si="19"/>
      </c>
      <c r="DD157" s="3060">
        <f t="shared" si="20"/>
      </c>
      <c r="DE157" s="3060">
        <f t="shared" si="21"/>
      </c>
      <c r="DF157" s="3060">
        <f t="shared" si="22"/>
      </c>
      <c r="DG157" s="3060">
        <f t="shared" si="23"/>
      </c>
      <c r="DH157" s="3060">
        <f t="shared" si="24"/>
      </c>
      <c r="DI157" s="3060">
        <f t="shared" si="1"/>
      </c>
    </row>
    <row r="158" ht="15" customHeight="1" s="3052" customFormat="1">
      <c r="A158" s="3065"/>
      <c r="B158" s="3054">
        <f t="shared" si="2"/>
      </c>
      <c r="C158" s="3054"/>
      <c r="D158" s="3054"/>
      <c r="E158" s="3055"/>
      <c r="F158" s="3055"/>
      <c r="G158" s="3055"/>
      <c r="H158" s="3055"/>
      <c r="I158" s="3055"/>
      <c r="J158" s="3055"/>
      <c r="K158" s="3055"/>
      <c r="L158" s="3055"/>
      <c r="M158" s="3055"/>
      <c r="N158" s="3055"/>
      <c r="O158" s="3055"/>
      <c r="P158" s="3055"/>
      <c r="Q158" s="3055"/>
      <c r="R158" s="3055">
        <f t="shared" si="3"/>
        <v>0</v>
      </c>
      <c r="S158" s="3055">
        <f t="shared" si="4"/>
        <v>0</v>
      </c>
      <c r="T158" s="3055">
        <f t="shared" si="5"/>
        <v>0</v>
      </c>
      <c r="U158" s="3055">
        <f t="shared" si="6"/>
        <v>0</v>
      </c>
      <c r="V158" s="3055">
        <f t="shared" si="7"/>
        <v>0</v>
      </c>
      <c r="W158" s="3055">
        <f t="shared" si="8"/>
        <v>0</v>
      </c>
      <c r="X158" s="3055">
        <f t="shared" si="9"/>
        <v>0</v>
      </c>
      <c r="Y158" s="3055">
        <f t="shared" si="10"/>
        <v>0</v>
      </c>
      <c r="Z158" s="3055">
        <f t="shared" si="11"/>
        <v>0</v>
      </c>
      <c r="AA158" s="3055">
        <f t="shared" si="12"/>
        <v>0</v>
      </c>
      <c r="AB158" s="3055">
        <f t="shared" si="13"/>
        <v>0</v>
      </c>
      <c r="AC158" s="3055">
        <f t="shared" si="14"/>
        <v>0</v>
      </c>
      <c r="AD158" s="3056"/>
      <c r="AE158" s="3057">
        <f t="shared" si="0"/>
      </c>
      <c r="AF158" s="3054"/>
      <c r="AG158" s="3059"/>
      <c r="AH158" s="3058"/>
      <c r="AI158" s="3058"/>
      <c r="AJ158" s="3058"/>
      <c r="AK158" s="3058"/>
      <c r="AL158" s="3058"/>
      <c r="AM158" s="3058"/>
      <c r="AN158" s="3058"/>
      <c r="AO158" s="3058"/>
      <c r="AP158" s="3058"/>
      <c r="AQ158" s="3058"/>
      <c r="AR158" s="3058"/>
      <c r="AS158" s="3058"/>
      <c r="AT158" s="3058"/>
      <c r="AU158" s="3056"/>
      <c r="AV158" s="3057">
        <f t="shared" si="15"/>
      </c>
      <c r="AW158" s="3054"/>
      <c r="AX158" s="3059"/>
      <c r="AY158" s="3058"/>
      <c r="AZ158" s="3058"/>
      <c r="BA158" s="3058"/>
      <c r="BB158" s="3058"/>
      <c r="BC158" s="3058"/>
      <c r="BD158" s="3058"/>
      <c r="BE158" s="3058"/>
      <c r="BF158" s="3058"/>
      <c r="BG158" s="3058"/>
      <c r="BH158" s="3058"/>
      <c r="BI158" s="3058"/>
      <c r="BJ158" s="3058"/>
      <c r="BK158" s="3058"/>
      <c r="BL158" s="3056"/>
      <c r="BM158" s="3057">
        <f t="shared" si="16"/>
      </c>
      <c r="BN158" s="3054"/>
      <c r="BO158" s="3059"/>
      <c r="BP158" s="3058"/>
      <c r="BQ158" s="3058"/>
      <c r="BR158" s="3058"/>
      <c r="BS158" s="3058"/>
      <c r="BT158" s="3058"/>
      <c r="BU158" s="3058"/>
      <c r="BV158" s="3058"/>
      <c r="BW158" s="3058"/>
      <c r="BX158" s="3058"/>
      <c r="BY158" s="3058"/>
      <c r="BZ158" s="3058"/>
      <c r="CA158" s="3058"/>
      <c r="CB158" s="3058"/>
      <c r="CC158" s="3056"/>
      <c r="CD158" s="3057">
        <f t="shared" si="0"/>
      </c>
      <c r="CE158" s="3054"/>
      <c r="CF158" s="3054"/>
      <c r="CG158" s="3055"/>
      <c r="CH158" s="3055"/>
      <c r="CI158" s="3055"/>
      <c r="CJ158" s="3055"/>
      <c r="CK158" s="3055"/>
      <c r="CL158" s="3055"/>
      <c r="CM158" s="3055"/>
      <c r="CN158" s="3055"/>
      <c r="CO158" s="3055"/>
      <c r="CP158" s="3055"/>
      <c r="CQ158" s="3055"/>
      <c r="CR158" s="3055"/>
      <c r="CS158" s="3055"/>
      <c r="CU158" s="3054"/>
      <c r="CV158" s="696"/>
      <c r="CW158" s="696"/>
      <c r="CZ158" s="3060">
        <f t="shared" si="17"/>
      </c>
      <c r="DA158" s="3060">
        <f t="shared" si="1"/>
      </c>
      <c r="DB158" s="3060">
        <f t="shared" si="18"/>
      </c>
      <c r="DC158" s="3060">
        <f t="shared" si="19"/>
      </c>
      <c r="DD158" s="3060">
        <f t="shared" si="20"/>
      </c>
      <c r="DE158" s="3060">
        <f t="shared" si="21"/>
      </c>
      <c r="DF158" s="3060">
        <f t="shared" si="22"/>
      </c>
      <c r="DG158" s="3060">
        <f t="shared" si="23"/>
      </c>
      <c r="DH158" s="3060">
        <f t="shared" si="24"/>
      </c>
      <c r="DI158" s="3060">
        <f t="shared" si="1"/>
      </c>
    </row>
    <row r="159" ht="15" customHeight="1" s="3052" customFormat="1">
      <c r="A159" s="3065"/>
      <c r="B159" s="3054">
        <f t="shared" si="2"/>
      </c>
      <c r="C159" s="3054"/>
      <c r="D159" s="3054"/>
      <c r="E159" s="3055"/>
      <c r="F159" s="3055"/>
      <c r="G159" s="3055"/>
      <c r="H159" s="3055"/>
      <c r="I159" s="3055"/>
      <c r="J159" s="3055"/>
      <c r="K159" s="3055"/>
      <c r="L159" s="3055"/>
      <c r="M159" s="3055"/>
      <c r="N159" s="3055"/>
      <c r="O159" s="3055"/>
      <c r="P159" s="3055"/>
      <c r="Q159" s="3055"/>
      <c r="R159" s="3055">
        <f t="shared" si="3"/>
        <v>0</v>
      </c>
      <c r="S159" s="3055">
        <f t="shared" si="4"/>
        <v>0</v>
      </c>
      <c r="T159" s="3055">
        <f t="shared" si="5"/>
        <v>0</v>
      </c>
      <c r="U159" s="3055">
        <f t="shared" si="6"/>
        <v>0</v>
      </c>
      <c r="V159" s="3055">
        <f t="shared" si="7"/>
        <v>0</v>
      </c>
      <c r="W159" s="3055">
        <f t="shared" si="8"/>
        <v>0</v>
      </c>
      <c r="X159" s="3055">
        <f t="shared" si="9"/>
        <v>0</v>
      </c>
      <c r="Y159" s="3055">
        <f t="shared" si="10"/>
        <v>0</v>
      </c>
      <c r="Z159" s="3055">
        <f t="shared" si="11"/>
        <v>0</v>
      </c>
      <c r="AA159" s="3055">
        <f t="shared" si="12"/>
        <v>0</v>
      </c>
      <c r="AB159" s="3055">
        <f t="shared" si="13"/>
        <v>0</v>
      </c>
      <c r="AC159" s="3055">
        <f t="shared" si="14"/>
        <v>0</v>
      </c>
      <c r="AD159" s="3056"/>
      <c r="AE159" s="3057">
        <f t="shared" si="0"/>
      </c>
      <c r="AF159" s="3054"/>
      <c r="AG159" s="3059"/>
      <c r="AH159" s="3058"/>
      <c r="AI159" s="3058"/>
      <c r="AJ159" s="3058"/>
      <c r="AK159" s="3058"/>
      <c r="AL159" s="3058"/>
      <c r="AM159" s="3058"/>
      <c r="AN159" s="3058"/>
      <c r="AO159" s="3058"/>
      <c r="AP159" s="3058"/>
      <c r="AQ159" s="3058"/>
      <c r="AR159" s="3058"/>
      <c r="AS159" s="3058"/>
      <c r="AT159" s="3058"/>
      <c r="AU159" s="3056"/>
      <c r="AV159" s="3057">
        <f t="shared" si="15"/>
      </c>
      <c r="AW159" s="3054"/>
      <c r="AX159" s="3059"/>
      <c r="AY159" s="3058"/>
      <c r="AZ159" s="3058"/>
      <c r="BA159" s="3058"/>
      <c r="BB159" s="3058"/>
      <c r="BC159" s="3058"/>
      <c r="BD159" s="3058"/>
      <c r="BE159" s="3058"/>
      <c r="BF159" s="3058"/>
      <c r="BG159" s="3058"/>
      <c r="BH159" s="3058"/>
      <c r="BI159" s="3058"/>
      <c r="BJ159" s="3058"/>
      <c r="BK159" s="3058"/>
      <c r="BL159" s="3056"/>
      <c r="BM159" s="3057">
        <f t="shared" si="16"/>
      </c>
      <c r="BN159" s="3054"/>
      <c r="BO159" s="3059"/>
      <c r="BP159" s="3058"/>
      <c r="BQ159" s="3058"/>
      <c r="BR159" s="3058"/>
      <c r="BS159" s="3058"/>
      <c r="BT159" s="3058"/>
      <c r="BU159" s="3058"/>
      <c r="BV159" s="3058"/>
      <c r="BW159" s="3058"/>
      <c r="BX159" s="3058"/>
      <c r="BY159" s="3058"/>
      <c r="BZ159" s="3058"/>
      <c r="CA159" s="3058"/>
      <c r="CB159" s="3058"/>
      <c r="CC159" s="3056"/>
      <c r="CD159" s="3057">
        <f t="shared" si="0"/>
      </c>
      <c r="CE159" s="3054"/>
      <c r="CF159" s="3054"/>
      <c r="CG159" s="3055"/>
      <c r="CH159" s="3055"/>
      <c r="CI159" s="3055"/>
      <c r="CJ159" s="3055"/>
      <c r="CK159" s="3055"/>
      <c r="CL159" s="3055"/>
      <c r="CM159" s="3055"/>
      <c r="CN159" s="3055"/>
      <c r="CO159" s="3055"/>
      <c r="CP159" s="3055"/>
      <c r="CQ159" s="3055"/>
      <c r="CR159" s="3055"/>
      <c r="CS159" s="3055"/>
      <c r="CU159" s="3054"/>
      <c r="CV159" s="696"/>
      <c r="CW159" s="696"/>
      <c r="CZ159" s="3060">
        <f t="shared" si="17"/>
      </c>
      <c r="DA159" s="3060">
        <f t="shared" si="1"/>
      </c>
      <c r="DB159" s="3060">
        <f t="shared" si="18"/>
      </c>
      <c r="DC159" s="3060">
        <f t="shared" si="19"/>
      </c>
      <c r="DD159" s="3060">
        <f t="shared" si="20"/>
      </c>
      <c r="DE159" s="3060">
        <f t="shared" si="21"/>
      </c>
      <c r="DF159" s="3060">
        <f t="shared" si="22"/>
      </c>
      <c r="DG159" s="3060">
        <f t="shared" si="23"/>
      </c>
      <c r="DH159" s="3060">
        <f t="shared" si="24"/>
      </c>
      <c r="DI159" s="3060">
        <f t="shared" si="1"/>
      </c>
    </row>
    <row r="160" ht="15" customHeight="1" s="3052" customFormat="1">
      <c r="A160" s="3065"/>
      <c r="B160" s="3054">
        <f t="shared" si="2"/>
      </c>
      <c r="C160" s="3054"/>
      <c r="D160" s="3054"/>
      <c r="E160" s="3055"/>
      <c r="F160" s="3055"/>
      <c r="G160" s="3055"/>
      <c r="H160" s="3055"/>
      <c r="I160" s="3055"/>
      <c r="J160" s="3055"/>
      <c r="K160" s="3055"/>
      <c r="L160" s="3055"/>
      <c r="M160" s="3055"/>
      <c r="N160" s="3055"/>
      <c r="O160" s="3055"/>
      <c r="P160" s="3055"/>
      <c r="Q160" s="3055"/>
      <c r="R160" s="3055">
        <f t="shared" si="3"/>
        <v>0</v>
      </c>
      <c r="S160" s="3055">
        <f t="shared" si="4"/>
        <v>0</v>
      </c>
      <c r="T160" s="3055">
        <f t="shared" si="5"/>
        <v>0</v>
      </c>
      <c r="U160" s="3055">
        <f t="shared" si="6"/>
        <v>0</v>
      </c>
      <c r="V160" s="3055">
        <f t="shared" si="7"/>
        <v>0</v>
      </c>
      <c r="W160" s="3055">
        <f t="shared" si="8"/>
        <v>0</v>
      </c>
      <c r="X160" s="3055">
        <f t="shared" si="9"/>
        <v>0</v>
      </c>
      <c r="Y160" s="3055">
        <f t="shared" si="10"/>
        <v>0</v>
      </c>
      <c r="Z160" s="3055">
        <f t="shared" si="11"/>
        <v>0</v>
      </c>
      <c r="AA160" s="3055">
        <f t="shared" si="12"/>
        <v>0</v>
      </c>
      <c r="AB160" s="3055">
        <f t="shared" si="13"/>
        <v>0</v>
      </c>
      <c r="AC160" s="3055">
        <f t="shared" si="14"/>
        <v>0</v>
      </c>
      <c r="AD160" s="3056"/>
      <c r="AE160" s="3057">
        <f t="shared" si="0"/>
      </c>
      <c r="AF160" s="3054"/>
      <c r="AG160" s="3059"/>
      <c r="AH160" s="3058"/>
      <c r="AI160" s="3058"/>
      <c r="AJ160" s="3058"/>
      <c r="AK160" s="3058"/>
      <c r="AL160" s="3058"/>
      <c r="AM160" s="3058"/>
      <c r="AN160" s="3058"/>
      <c r="AO160" s="3058"/>
      <c r="AP160" s="3058"/>
      <c r="AQ160" s="3058"/>
      <c r="AR160" s="3058"/>
      <c r="AS160" s="3058"/>
      <c r="AT160" s="3058"/>
      <c r="AU160" s="3056"/>
      <c r="AV160" s="3057">
        <f t="shared" si="15"/>
      </c>
      <c r="AW160" s="3054"/>
      <c r="AX160" s="3059"/>
      <c r="AY160" s="3058"/>
      <c r="AZ160" s="3058"/>
      <c r="BA160" s="3058"/>
      <c r="BB160" s="3058"/>
      <c r="BC160" s="3058"/>
      <c r="BD160" s="3058"/>
      <c r="BE160" s="3058"/>
      <c r="BF160" s="3058"/>
      <c r="BG160" s="3058"/>
      <c r="BH160" s="3058"/>
      <c r="BI160" s="3058"/>
      <c r="BJ160" s="3058"/>
      <c r="BK160" s="3058"/>
      <c r="BL160" s="3056"/>
      <c r="BM160" s="3057">
        <f t="shared" si="16"/>
      </c>
      <c r="BN160" s="3054"/>
      <c r="BO160" s="3059"/>
      <c r="BP160" s="3058"/>
      <c r="BQ160" s="3058"/>
      <c r="BR160" s="3058"/>
      <c r="BS160" s="3058"/>
      <c r="BT160" s="3058"/>
      <c r="BU160" s="3058"/>
      <c r="BV160" s="3058"/>
      <c r="BW160" s="3058"/>
      <c r="BX160" s="3058"/>
      <c r="BY160" s="3058"/>
      <c r="BZ160" s="3058"/>
      <c r="CA160" s="3058"/>
      <c r="CB160" s="3058"/>
      <c r="CC160" s="3056"/>
      <c r="CD160" s="3057">
        <f t="shared" si="0"/>
      </c>
      <c r="CE160" s="3054"/>
      <c r="CF160" s="3054"/>
      <c r="CG160" s="3055"/>
      <c r="CH160" s="3055"/>
      <c r="CI160" s="3055"/>
      <c r="CJ160" s="3055"/>
      <c r="CK160" s="3055"/>
      <c r="CL160" s="3055"/>
      <c r="CM160" s="3055"/>
      <c r="CN160" s="3055"/>
      <c r="CO160" s="3055"/>
      <c r="CP160" s="3055"/>
      <c r="CQ160" s="3055"/>
      <c r="CR160" s="3055"/>
      <c r="CS160" s="3055"/>
      <c r="CU160" s="3054"/>
      <c r="CV160" s="696"/>
      <c r="CW160" s="696"/>
      <c r="CZ160" s="3060">
        <f t="shared" si="17"/>
      </c>
      <c r="DA160" s="3060">
        <f t="shared" si="1"/>
      </c>
      <c r="DB160" s="3060">
        <f t="shared" si="18"/>
      </c>
      <c r="DC160" s="3060">
        <f t="shared" si="19"/>
      </c>
      <c r="DD160" s="3060">
        <f t="shared" si="20"/>
      </c>
      <c r="DE160" s="3060">
        <f t="shared" si="21"/>
      </c>
      <c r="DF160" s="3060">
        <f t="shared" si="22"/>
      </c>
      <c r="DG160" s="3060">
        <f t="shared" si="23"/>
      </c>
      <c r="DH160" s="3060">
        <f t="shared" si="24"/>
      </c>
      <c r="DI160" s="3060">
        <f t="shared" si="1"/>
      </c>
    </row>
    <row r="161" ht="15" customHeight="1" s="3052" customFormat="1">
      <c r="A161" s="3065"/>
      <c r="B161" s="3054">
        <f t="shared" si="2"/>
      </c>
      <c r="C161" s="3054"/>
      <c r="D161" s="3054"/>
      <c r="E161" s="3055"/>
      <c r="F161" s="3055"/>
      <c r="G161" s="3055"/>
      <c r="H161" s="3055"/>
      <c r="I161" s="3055"/>
      <c r="J161" s="3055"/>
      <c r="K161" s="3055"/>
      <c r="L161" s="3055"/>
      <c r="M161" s="3055"/>
      <c r="N161" s="3055"/>
      <c r="O161" s="3055"/>
      <c r="P161" s="3055"/>
      <c r="Q161" s="3055"/>
      <c r="R161" s="3055">
        <f t="shared" si="3"/>
        <v>0</v>
      </c>
      <c r="S161" s="3055">
        <f t="shared" si="4"/>
        <v>0</v>
      </c>
      <c r="T161" s="3055">
        <f t="shared" si="5"/>
        <v>0</v>
      </c>
      <c r="U161" s="3055">
        <f t="shared" si="6"/>
        <v>0</v>
      </c>
      <c r="V161" s="3055">
        <f t="shared" si="7"/>
        <v>0</v>
      </c>
      <c r="W161" s="3055">
        <f t="shared" si="8"/>
        <v>0</v>
      </c>
      <c r="X161" s="3055">
        <f t="shared" si="9"/>
        <v>0</v>
      </c>
      <c r="Y161" s="3055">
        <f t="shared" si="10"/>
        <v>0</v>
      </c>
      <c r="Z161" s="3055">
        <f t="shared" si="11"/>
        <v>0</v>
      </c>
      <c r="AA161" s="3055">
        <f t="shared" si="12"/>
        <v>0</v>
      </c>
      <c r="AB161" s="3055">
        <f t="shared" si="13"/>
        <v>0</v>
      </c>
      <c r="AC161" s="3055">
        <f t="shared" si="14"/>
        <v>0</v>
      </c>
      <c r="AD161" s="3056"/>
      <c r="AE161" s="3057">
        <f t="shared" si="0"/>
      </c>
      <c r="AF161" s="3054"/>
      <c r="AG161" s="3059"/>
      <c r="AH161" s="3058"/>
      <c r="AI161" s="3058"/>
      <c r="AJ161" s="3058"/>
      <c r="AK161" s="3058"/>
      <c r="AL161" s="3058"/>
      <c r="AM161" s="3058"/>
      <c r="AN161" s="3058"/>
      <c r="AO161" s="3058"/>
      <c r="AP161" s="3058"/>
      <c r="AQ161" s="3058"/>
      <c r="AR161" s="3058"/>
      <c r="AS161" s="3058"/>
      <c r="AT161" s="3058"/>
      <c r="AU161" s="3056"/>
      <c r="AV161" s="3057">
        <f t="shared" si="15"/>
      </c>
      <c r="AW161" s="3054"/>
      <c r="AX161" s="3059"/>
      <c r="AY161" s="3058"/>
      <c r="AZ161" s="3058"/>
      <c r="BA161" s="3058"/>
      <c r="BB161" s="3058"/>
      <c r="BC161" s="3058"/>
      <c r="BD161" s="3058"/>
      <c r="BE161" s="3058"/>
      <c r="BF161" s="3058"/>
      <c r="BG161" s="3058"/>
      <c r="BH161" s="3058"/>
      <c r="BI161" s="3058"/>
      <c r="BJ161" s="3058"/>
      <c r="BK161" s="3058"/>
      <c r="BL161" s="3056"/>
      <c r="BM161" s="3057">
        <f t="shared" si="16"/>
      </c>
      <c r="BN161" s="3054"/>
      <c r="BO161" s="3059"/>
      <c r="BP161" s="3058"/>
      <c r="BQ161" s="3058"/>
      <c r="BR161" s="3058"/>
      <c r="BS161" s="3058"/>
      <c r="BT161" s="3058"/>
      <c r="BU161" s="3058"/>
      <c r="BV161" s="3058"/>
      <c r="BW161" s="3058"/>
      <c r="BX161" s="3058"/>
      <c r="BY161" s="3058"/>
      <c r="BZ161" s="3058"/>
      <c r="CA161" s="3058"/>
      <c r="CB161" s="3058"/>
      <c r="CC161" s="3056"/>
      <c r="CD161" s="3057">
        <f t="shared" si="0"/>
      </c>
      <c r="CE161" s="3054"/>
      <c r="CF161" s="3054"/>
      <c r="CG161" s="3055"/>
      <c r="CH161" s="3055"/>
      <c r="CI161" s="3055"/>
      <c r="CJ161" s="3055"/>
      <c r="CK161" s="3055"/>
      <c r="CL161" s="3055"/>
      <c r="CM161" s="3055"/>
      <c r="CN161" s="3055"/>
      <c r="CO161" s="3055"/>
      <c r="CP161" s="3055"/>
      <c r="CQ161" s="3055"/>
      <c r="CR161" s="3055"/>
      <c r="CS161" s="3055"/>
      <c r="CU161" s="3054"/>
      <c r="CV161" s="696"/>
      <c r="CW161" s="696"/>
      <c r="CZ161" s="3060">
        <f t="shared" si="17"/>
      </c>
      <c r="DA161" s="3060">
        <f t="shared" si="1"/>
      </c>
      <c r="DB161" s="3060">
        <f t="shared" si="18"/>
      </c>
      <c r="DC161" s="3060">
        <f t="shared" si="19"/>
      </c>
      <c r="DD161" s="3060">
        <f t="shared" si="20"/>
      </c>
      <c r="DE161" s="3060">
        <f t="shared" si="21"/>
      </c>
      <c r="DF161" s="3060">
        <f t="shared" si="22"/>
      </c>
      <c r="DG161" s="3060">
        <f t="shared" si="23"/>
      </c>
      <c r="DH161" s="3060">
        <f t="shared" si="24"/>
      </c>
      <c r="DI161" s="3060">
        <f t="shared" si="1"/>
      </c>
    </row>
    <row r="162" ht="15" customHeight="1" s="3052" customFormat="1">
      <c r="A162" s="3065"/>
      <c r="B162" s="3054">
        <f t="shared" si="2"/>
      </c>
      <c r="C162" s="3054"/>
      <c r="D162" s="3054"/>
      <c r="E162" s="3055"/>
      <c r="F162" s="3055"/>
      <c r="G162" s="3055"/>
      <c r="H162" s="3055"/>
      <c r="I162" s="3055"/>
      <c r="J162" s="3055"/>
      <c r="K162" s="3055"/>
      <c r="L162" s="3055"/>
      <c r="M162" s="3055"/>
      <c r="N162" s="3055"/>
      <c r="O162" s="3055"/>
      <c r="P162" s="3055"/>
      <c r="Q162" s="3055"/>
      <c r="R162" s="3055">
        <f t="shared" si="3"/>
        <v>0</v>
      </c>
      <c r="S162" s="3055">
        <f t="shared" si="4"/>
        <v>0</v>
      </c>
      <c r="T162" s="3055">
        <f t="shared" si="5"/>
        <v>0</v>
      </c>
      <c r="U162" s="3055">
        <f t="shared" si="6"/>
        <v>0</v>
      </c>
      <c r="V162" s="3055">
        <f t="shared" si="7"/>
        <v>0</v>
      </c>
      <c r="W162" s="3055">
        <f t="shared" si="8"/>
        <v>0</v>
      </c>
      <c r="X162" s="3055">
        <f t="shared" si="9"/>
        <v>0</v>
      </c>
      <c r="Y162" s="3055">
        <f t="shared" si="10"/>
        <v>0</v>
      </c>
      <c r="Z162" s="3055">
        <f t="shared" si="11"/>
        <v>0</v>
      </c>
      <c r="AA162" s="3055">
        <f t="shared" si="12"/>
        <v>0</v>
      </c>
      <c r="AB162" s="3055">
        <f t="shared" si="13"/>
        <v>0</v>
      </c>
      <c r="AC162" s="3055">
        <f t="shared" si="14"/>
        <v>0</v>
      </c>
      <c r="AD162" s="3056"/>
      <c r="AE162" s="3057">
        <f t="shared" si="0"/>
      </c>
      <c r="AF162" s="3054"/>
      <c r="AG162" s="3059"/>
      <c r="AH162" s="3058"/>
      <c r="AI162" s="3058"/>
      <c r="AJ162" s="3058"/>
      <c r="AK162" s="3058"/>
      <c r="AL162" s="3058"/>
      <c r="AM162" s="3058"/>
      <c r="AN162" s="3058"/>
      <c r="AO162" s="3058"/>
      <c r="AP162" s="3058"/>
      <c r="AQ162" s="3058"/>
      <c r="AR162" s="3058"/>
      <c r="AS162" s="3058"/>
      <c r="AT162" s="3058"/>
      <c r="AU162" s="3056"/>
      <c r="AV162" s="3057">
        <f t="shared" si="15"/>
      </c>
      <c r="AW162" s="3054"/>
      <c r="AX162" s="3059"/>
      <c r="AY162" s="3058"/>
      <c r="AZ162" s="3058"/>
      <c r="BA162" s="3058"/>
      <c r="BB162" s="3058"/>
      <c r="BC162" s="3058"/>
      <c r="BD162" s="3058"/>
      <c r="BE162" s="3058"/>
      <c r="BF162" s="3058"/>
      <c r="BG162" s="3058"/>
      <c r="BH162" s="3058"/>
      <c r="BI162" s="3058"/>
      <c r="BJ162" s="3058"/>
      <c r="BK162" s="3058"/>
      <c r="BL162" s="3056"/>
      <c r="BM162" s="3057">
        <f t="shared" si="16"/>
      </c>
      <c r="BN162" s="3054"/>
      <c r="BO162" s="3059"/>
      <c r="BP162" s="3058"/>
      <c r="BQ162" s="3058"/>
      <c r="BR162" s="3058"/>
      <c r="BS162" s="3058"/>
      <c r="BT162" s="3058"/>
      <c r="BU162" s="3058"/>
      <c r="BV162" s="3058"/>
      <c r="BW162" s="3058"/>
      <c r="BX162" s="3058"/>
      <c r="BY162" s="3058"/>
      <c r="BZ162" s="3058"/>
      <c r="CA162" s="3058"/>
      <c r="CB162" s="3058"/>
      <c r="CC162" s="3056"/>
      <c r="CD162" s="3057">
        <f t="shared" si="0"/>
      </c>
      <c r="CE162" s="3054"/>
      <c r="CF162" s="3054"/>
      <c r="CG162" s="3055"/>
      <c r="CH162" s="3055"/>
      <c r="CI162" s="3055"/>
      <c r="CJ162" s="3055"/>
      <c r="CK162" s="3055"/>
      <c r="CL162" s="3055"/>
      <c r="CM162" s="3055"/>
      <c r="CN162" s="3055"/>
      <c r="CO162" s="3055"/>
      <c r="CP162" s="3055"/>
      <c r="CQ162" s="3055"/>
      <c r="CR162" s="3055"/>
      <c r="CS162" s="3055"/>
      <c r="CU162" s="3054"/>
      <c r="CV162" s="696"/>
      <c r="CW162" s="696"/>
      <c r="CZ162" s="3060">
        <f t="shared" si="17"/>
      </c>
      <c r="DA162" s="3060">
        <f t="shared" si="1"/>
      </c>
      <c r="DB162" s="3060">
        <f t="shared" si="18"/>
      </c>
      <c r="DC162" s="3060">
        <f t="shared" si="19"/>
      </c>
      <c r="DD162" s="3060">
        <f t="shared" si="20"/>
      </c>
      <c r="DE162" s="3060">
        <f t="shared" si="21"/>
      </c>
      <c r="DF162" s="3060">
        <f t="shared" si="22"/>
      </c>
      <c r="DG162" s="3060">
        <f t="shared" si="23"/>
      </c>
      <c r="DH162" s="3060">
        <f t="shared" si="24"/>
      </c>
      <c r="DI162" s="3060">
        <f t="shared" si="1"/>
      </c>
    </row>
    <row r="163" ht="15" customHeight="1" s="3052" customFormat="1">
      <c r="A163" s="3065"/>
      <c r="B163" s="3054">
        <f t="shared" si="2"/>
      </c>
      <c r="C163" s="3054"/>
      <c r="D163" s="3054"/>
      <c r="E163" s="3055"/>
      <c r="F163" s="3055"/>
      <c r="G163" s="3055"/>
      <c r="H163" s="3055"/>
      <c r="I163" s="3055"/>
      <c r="J163" s="3055"/>
      <c r="K163" s="3055"/>
      <c r="L163" s="3055"/>
      <c r="M163" s="3055"/>
      <c r="N163" s="3055"/>
      <c r="O163" s="3055"/>
      <c r="P163" s="3055"/>
      <c r="Q163" s="3055"/>
      <c r="R163" s="3055">
        <f t="shared" si="3"/>
        <v>0</v>
      </c>
      <c r="S163" s="3055">
        <f t="shared" si="4"/>
        <v>0</v>
      </c>
      <c r="T163" s="3055">
        <f t="shared" si="5"/>
        <v>0</v>
      </c>
      <c r="U163" s="3055">
        <f t="shared" si="6"/>
        <v>0</v>
      </c>
      <c r="V163" s="3055">
        <f t="shared" si="7"/>
        <v>0</v>
      </c>
      <c r="W163" s="3055">
        <f t="shared" si="8"/>
        <v>0</v>
      </c>
      <c r="X163" s="3055">
        <f t="shared" si="9"/>
        <v>0</v>
      </c>
      <c r="Y163" s="3055">
        <f t="shared" si="10"/>
        <v>0</v>
      </c>
      <c r="Z163" s="3055">
        <f t="shared" si="11"/>
        <v>0</v>
      </c>
      <c r="AA163" s="3055">
        <f t="shared" si="12"/>
        <v>0</v>
      </c>
      <c r="AB163" s="3055">
        <f t="shared" si="13"/>
        <v>0</v>
      </c>
      <c r="AC163" s="3055">
        <f t="shared" si="14"/>
        <v>0</v>
      </c>
      <c r="AD163" s="3056"/>
      <c r="AE163" s="3057">
        <f t="shared" si="0"/>
      </c>
      <c r="AF163" s="3054"/>
      <c r="AG163" s="3059"/>
      <c r="AH163" s="3058"/>
      <c r="AI163" s="3058"/>
      <c r="AJ163" s="3058"/>
      <c r="AK163" s="3058"/>
      <c r="AL163" s="3058"/>
      <c r="AM163" s="3058"/>
      <c r="AN163" s="3058"/>
      <c r="AO163" s="3058"/>
      <c r="AP163" s="3058"/>
      <c r="AQ163" s="3058"/>
      <c r="AR163" s="3058"/>
      <c r="AS163" s="3058"/>
      <c r="AT163" s="3058"/>
      <c r="AU163" s="3056"/>
      <c r="AV163" s="3057">
        <f t="shared" si="15"/>
      </c>
      <c r="AW163" s="3054"/>
      <c r="AX163" s="3059"/>
      <c r="AY163" s="3058"/>
      <c r="AZ163" s="3058"/>
      <c r="BA163" s="3058"/>
      <c r="BB163" s="3058"/>
      <c r="BC163" s="3058"/>
      <c r="BD163" s="3058"/>
      <c r="BE163" s="3058"/>
      <c r="BF163" s="3058"/>
      <c r="BG163" s="3058"/>
      <c r="BH163" s="3058"/>
      <c r="BI163" s="3058"/>
      <c r="BJ163" s="3058"/>
      <c r="BK163" s="3058"/>
      <c r="BL163" s="3056"/>
      <c r="BM163" s="3057">
        <f t="shared" si="16"/>
      </c>
      <c r="BN163" s="3054"/>
      <c r="BO163" s="3059"/>
      <c r="BP163" s="3058"/>
      <c r="BQ163" s="3058"/>
      <c r="BR163" s="3058"/>
      <c r="BS163" s="3058"/>
      <c r="BT163" s="3058"/>
      <c r="BU163" s="3058"/>
      <c r="BV163" s="3058"/>
      <c r="BW163" s="3058"/>
      <c r="BX163" s="3058"/>
      <c r="BY163" s="3058"/>
      <c r="BZ163" s="3058"/>
      <c r="CA163" s="3058"/>
      <c r="CB163" s="3058"/>
      <c r="CC163" s="3056"/>
      <c r="CD163" s="3057">
        <f t="shared" si="0"/>
      </c>
      <c r="CE163" s="3054"/>
      <c r="CF163" s="3054"/>
      <c r="CG163" s="3055"/>
      <c r="CH163" s="3055"/>
      <c r="CI163" s="3055"/>
      <c r="CJ163" s="3055"/>
      <c r="CK163" s="3055"/>
      <c r="CL163" s="3055"/>
      <c r="CM163" s="3055"/>
      <c r="CN163" s="3055"/>
      <c r="CO163" s="3055"/>
      <c r="CP163" s="3055"/>
      <c r="CQ163" s="3055"/>
      <c r="CR163" s="3055"/>
      <c r="CS163" s="3055"/>
      <c r="CU163" s="3054"/>
      <c r="CV163" s="696"/>
      <c r="CW163" s="696"/>
      <c r="CZ163" s="3060">
        <f t="shared" si="17"/>
      </c>
      <c r="DA163" s="3060">
        <f t="shared" si="1"/>
      </c>
      <c r="DB163" s="3060">
        <f t="shared" si="18"/>
      </c>
      <c r="DC163" s="3060">
        <f t="shared" si="19"/>
      </c>
      <c r="DD163" s="3060">
        <f t="shared" si="20"/>
      </c>
      <c r="DE163" s="3060">
        <f t="shared" si="21"/>
      </c>
      <c r="DF163" s="3060">
        <f t="shared" si="22"/>
      </c>
      <c r="DG163" s="3060">
        <f t="shared" si="23"/>
      </c>
      <c r="DH163" s="3060">
        <f t="shared" si="24"/>
      </c>
      <c r="DI163" s="3060">
        <f t="shared" si="1"/>
      </c>
    </row>
    <row r="164" ht="15" customHeight="1" s="3052" customFormat="1">
      <c r="A164" s="3065"/>
      <c r="B164" s="3054">
        <f t="shared" si="2"/>
      </c>
      <c r="C164" s="3054"/>
      <c r="D164" s="3054"/>
      <c r="E164" s="3055"/>
      <c r="F164" s="3055"/>
      <c r="G164" s="3055"/>
      <c r="H164" s="3055"/>
      <c r="I164" s="3055"/>
      <c r="J164" s="3055"/>
      <c r="K164" s="3055"/>
      <c r="L164" s="3055"/>
      <c r="M164" s="3055"/>
      <c r="N164" s="3055"/>
      <c r="O164" s="3055"/>
      <c r="P164" s="3055"/>
      <c r="Q164" s="3055"/>
      <c r="R164" s="3055">
        <f t="shared" si="3"/>
        <v>0</v>
      </c>
      <c r="S164" s="3055">
        <f t="shared" si="4"/>
        <v>0</v>
      </c>
      <c r="T164" s="3055">
        <f t="shared" si="5"/>
        <v>0</v>
      </c>
      <c r="U164" s="3055">
        <f t="shared" si="6"/>
        <v>0</v>
      </c>
      <c r="V164" s="3055">
        <f t="shared" si="7"/>
        <v>0</v>
      </c>
      <c r="W164" s="3055">
        <f t="shared" si="8"/>
        <v>0</v>
      </c>
      <c r="X164" s="3055">
        <f t="shared" si="9"/>
        <v>0</v>
      </c>
      <c r="Y164" s="3055">
        <f t="shared" si="10"/>
        <v>0</v>
      </c>
      <c r="Z164" s="3055">
        <f t="shared" si="11"/>
        <v>0</v>
      </c>
      <c r="AA164" s="3055">
        <f t="shared" si="12"/>
        <v>0</v>
      </c>
      <c r="AB164" s="3055">
        <f t="shared" si="13"/>
        <v>0</v>
      </c>
      <c r="AC164" s="3055">
        <f t="shared" si="14"/>
        <v>0</v>
      </c>
      <c r="AD164" s="3056"/>
      <c r="AE164" s="3057">
        <f t="shared" si="0"/>
      </c>
      <c r="AF164" s="3054"/>
      <c r="AG164" s="3059"/>
      <c r="AH164" s="3058"/>
      <c r="AI164" s="3058"/>
      <c r="AJ164" s="3058"/>
      <c r="AK164" s="3058"/>
      <c r="AL164" s="3058"/>
      <c r="AM164" s="3058"/>
      <c r="AN164" s="3058"/>
      <c r="AO164" s="3058"/>
      <c r="AP164" s="3058"/>
      <c r="AQ164" s="3058"/>
      <c r="AR164" s="3058"/>
      <c r="AS164" s="3058"/>
      <c r="AT164" s="3058"/>
      <c r="AU164" s="3056"/>
      <c r="AV164" s="3057">
        <f t="shared" si="15"/>
      </c>
      <c r="AW164" s="3054"/>
      <c r="AX164" s="3059"/>
      <c r="AY164" s="3058"/>
      <c r="AZ164" s="3058"/>
      <c r="BA164" s="3058"/>
      <c r="BB164" s="3058"/>
      <c r="BC164" s="3058"/>
      <c r="BD164" s="3058"/>
      <c r="BE164" s="3058"/>
      <c r="BF164" s="3058"/>
      <c r="BG164" s="3058"/>
      <c r="BH164" s="3058"/>
      <c r="BI164" s="3058"/>
      <c r="BJ164" s="3058"/>
      <c r="BK164" s="3058"/>
      <c r="BL164" s="3056"/>
      <c r="BM164" s="3057">
        <f t="shared" si="16"/>
      </c>
      <c r="BN164" s="3054"/>
      <c r="BO164" s="3059"/>
      <c r="BP164" s="3058"/>
      <c r="BQ164" s="3058"/>
      <c r="BR164" s="3058"/>
      <c r="BS164" s="3058"/>
      <c r="BT164" s="3058"/>
      <c r="BU164" s="3058"/>
      <c r="BV164" s="3058"/>
      <c r="BW164" s="3058"/>
      <c r="BX164" s="3058"/>
      <c r="BY164" s="3058"/>
      <c r="BZ164" s="3058"/>
      <c r="CA164" s="3058"/>
      <c r="CB164" s="3058"/>
      <c r="CC164" s="3056"/>
      <c r="CD164" s="3057">
        <f t="shared" si="0"/>
      </c>
      <c r="CE164" s="3054"/>
      <c r="CF164" s="3054"/>
      <c r="CG164" s="3055"/>
      <c r="CH164" s="3055"/>
      <c r="CI164" s="3055"/>
      <c r="CJ164" s="3055"/>
      <c r="CK164" s="3055"/>
      <c r="CL164" s="3055"/>
      <c r="CM164" s="3055"/>
      <c r="CN164" s="3055"/>
      <c r="CO164" s="3055"/>
      <c r="CP164" s="3055"/>
      <c r="CQ164" s="3055"/>
      <c r="CR164" s="3055"/>
      <c r="CS164" s="3055"/>
      <c r="CU164" s="3054"/>
      <c r="CV164" s="696"/>
      <c r="CW164" s="696"/>
      <c r="CZ164" s="3060">
        <f t="shared" si="17"/>
      </c>
      <c r="DA164" s="3060">
        <f t="shared" si="1"/>
      </c>
      <c r="DB164" s="3060">
        <f t="shared" si="18"/>
      </c>
      <c r="DC164" s="3060">
        <f t="shared" si="19"/>
      </c>
      <c r="DD164" s="3060">
        <f t="shared" si="20"/>
      </c>
      <c r="DE164" s="3060">
        <f t="shared" si="21"/>
      </c>
      <c r="DF164" s="3060">
        <f t="shared" si="22"/>
      </c>
      <c r="DG164" s="3060">
        <f t="shared" si="23"/>
      </c>
      <c r="DH164" s="3060">
        <f t="shared" si="24"/>
      </c>
      <c r="DI164" s="3060">
        <f t="shared" si="1"/>
      </c>
    </row>
    <row r="165" ht="15" customHeight="1" s="3052" customFormat="1">
      <c r="A165" s="3065"/>
      <c r="B165" s="3054">
        <f t="shared" si="2"/>
      </c>
      <c r="C165" s="3054"/>
      <c r="D165" s="3054"/>
      <c r="E165" s="3055"/>
      <c r="F165" s="3055"/>
      <c r="G165" s="3055"/>
      <c r="H165" s="3055"/>
      <c r="I165" s="3055"/>
      <c r="J165" s="3055"/>
      <c r="K165" s="3055"/>
      <c r="L165" s="3055"/>
      <c r="M165" s="3055"/>
      <c r="N165" s="3055"/>
      <c r="O165" s="3055"/>
      <c r="P165" s="3055"/>
      <c r="Q165" s="3055"/>
      <c r="R165" s="3055">
        <f t="shared" si="3"/>
        <v>0</v>
      </c>
      <c r="S165" s="3055">
        <f t="shared" si="4"/>
        <v>0</v>
      </c>
      <c r="T165" s="3055">
        <f t="shared" si="5"/>
        <v>0</v>
      </c>
      <c r="U165" s="3055">
        <f t="shared" si="6"/>
        <v>0</v>
      </c>
      <c r="V165" s="3055">
        <f t="shared" si="7"/>
        <v>0</v>
      </c>
      <c r="W165" s="3055">
        <f t="shared" si="8"/>
        <v>0</v>
      </c>
      <c r="X165" s="3055">
        <f t="shared" si="9"/>
        <v>0</v>
      </c>
      <c r="Y165" s="3055">
        <f t="shared" si="10"/>
        <v>0</v>
      </c>
      <c r="Z165" s="3055">
        <f t="shared" si="11"/>
        <v>0</v>
      </c>
      <c r="AA165" s="3055">
        <f t="shared" si="12"/>
        <v>0</v>
      </c>
      <c r="AB165" s="3055">
        <f t="shared" si="13"/>
        <v>0</v>
      </c>
      <c r="AC165" s="3055">
        <f t="shared" si="14"/>
        <v>0</v>
      </c>
      <c r="AD165" s="3056"/>
      <c r="AE165" s="3057">
        <f t="shared" si="0"/>
      </c>
      <c r="AF165" s="3054"/>
      <c r="AG165" s="3059"/>
      <c r="AH165" s="3058"/>
      <c r="AI165" s="3058"/>
      <c r="AJ165" s="3058"/>
      <c r="AK165" s="3058"/>
      <c r="AL165" s="3058"/>
      <c r="AM165" s="3058"/>
      <c r="AN165" s="3058"/>
      <c r="AO165" s="3058"/>
      <c r="AP165" s="3058"/>
      <c r="AQ165" s="3058"/>
      <c r="AR165" s="3058"/>
      <c r="AS165" s="3058"/>
      <c r="AT165" s="3058"/>
      <c r="AU165" s="3056"/>
      <c r="AV165" s="3057">
        <f t="shared" si="15"/>
      </c>
      <c r="AW165" s="3054"/>
      <c r="AX165" s="3059"/>
      <c r="AY165" s="3058"/>
      <c r="AZ165" s="3058"/>
      <c r="BA165" s="3058"/>
      <c r="BB165" s="3058"/>
      <c r="BC165" s="3058"/>
      <c r="BD165" s="3058"/>
      <c r="BE165" s="3058"/>
      <c r="BF165" s="3058"/>
      <c r="BG165" s="3058"/>
      <c r="BH165" s="3058"/>
      <c r="BI165" s="3058"/>
      <c r="BJ165" s="3058"/>
      <c r="BK165" s="3058"/>
      <c r="BL165" s="3056"/>
      <c r="BM165" s="3057">
        <f t="shared" si="16"/>
      </c>
      <c r="BN165" s="3054"/>
      <c r="BO165" s="3059"/>
      <c r="BP165" s="3058"/>
      <c r="BQ165" s="3058"/>
      <c r="BR165" s="3058"/>
      <c r="BS165" s="3058"/>
      <c r="BT165" s="3058"/>
      <c r="BU165" s="3058"/>
      <c r="BV165" s="3058"/>
      <c r="BW165" s="3058"/>
      <c r="BX165" s="3058"/>
      <c r="BY165" s="3058"/>
      <c r="BZ165" s="3058"/>
      <c r="CA165" s="3058"/>
      <c r="CB165" s="3058"/>
      <c r="CC165" s="3056"/>
      <c r="CD165" s="3057">
        <f t="shared" si="0"/>
      </c>
      <c r="CE165" s="3054"/>
      <c r="CF165" s="3054"/>
      <c r="CG165" s="3055"/>
      <c r="CH165" s="3055"/>
      <c r="CI165" s="3055"/>
      <c r="CJ165" s="3055"/>
      <c r="CK165" s="3055"/>
      <c r="CL165" s="3055"/>
      <c r="CM165" s="3055"/>
      <c r="CN165" s="3055"/>
      <c r="CO165" s="3055"/>
      <c r="CP165" s="3055"/>
      <c r="CQ165" s="3055"/>
      <c r="CR165" s="3055"/>
      <c r="CS165" s="3055"/>
      <c r="CU165" s="3054"/>
      <c r="CV165" s="696"/>
      <c r="CW165" s="696"/>
      <c r="CZ165" s="3060">
        <f t="shared" si="17"/>
      </c>
      <c r="DA165" s="3060">
        <f t="shared" si="1"/>
      </c>
      <c r="DB165" s="3060">
        <f t="shared" si="18"/>
      </c>
      <c r="DC165" s="3060">
        <f t="shared" si="19"/>
      </c>
      <c r="DD165" s="3060">
        <f t="shared" si="20"/>
      </c>
      <c r="DE165" s="3060">
        <f t="shared" si="21"/>
      </c>
      <c r="DF165" s="3060">
        <f t="shared" si="22"/>
      </c>
      <c r="DG165" s="3060">
        <f t="shared" si="23"/>
      </c>
      <c r="DH165" s="3060">
        <f t="shared" si="24"/>
      </c>
      <c r="DI165" s="3060">
        <f t="shared" si="1"/>
      </c>
    </row>
    <row r="166" ht="15" customHeight="1" s="3052" customFormat="1">
      <c r="A166" s="3065"/>
      <c r="B166" s="3054">
        <f t="shared" si="2"/>
      </c>
      <c r="C166" s="3054"/>
      <c r="D166" s="3054"/>
      <c r="E166" s="3055"/>
      <c r="F166" s="3055"/>
      <c r="G166" s="3055"/>
      <c r="H166" s="3055"/>
      <c r="I166" s="3055"/>
      <c r="J166" s="3055"/>
      <c r="K166" s="3055"/>
      <c r="L166" s="3055"/>
      <c r="M166" s="3055"/>
      <c r="N166" s="3055"/>
      <c r="O166" s="3055"/>
      <c r="P166" s="3055"/>
      <c r="Q166" s="3055"/>
      <c r="R166" s="3055">
        <f t="shared" si="3"/>
        <v>0</v>
      </c>
      <c r="S166" s="3055">
        <f t="shared" si="4"/>
        <v>0</v>
      </c>
      <c r="T166" s="3055">
        <f t="shared" si="5"/>
        <v>0</v>
      </c>
      <c r="U166" s="3055">
        <f t="shared" si="6"/>
        <v>0</v>
      </c>
      <c r="V166" s="3055">
        <f t="shared" si="7"/>
        <v>0</v>
      </c>
      <c r="W166" s="3055">
        <f t="shared" si="8"/>
        <v>0</v>
      </c>
      <c r="X166" s="3055">
        <f t="shared" si="9"/>
        <v>0</v>
      </c>
      <c r="Y166" s="3055">
        <f t="shared" si="10"/>
        <v>0</v>
      </c>
      <c r="Z166" s="3055">
        <f t="shared" si="11"/>
        <v>0</v>
      </c>
      <c r="AA166" s="3055">
        <f t="shared" si="12"/>
        <v>0</v>
      </c>
      <c r="AB166" s="3055">
        <f t="shared" si="13"/>
        <v>0</v>
      </c>
      <c r="AC166" s="3055">
        <f t="shared" si="14"/>
        <v>0</v>
      </c>
      <c r="AD166" s="3056"/>
      <c r="AE166" s="3057">
        <f t="shared" si="0"/>
      </c>
      <c r="AF166" s="3054"/>
      <c r="AG166" s="3059"/>
      <c r="AH166" s="3058"/>
      <c r="AI166" s="3058"/>
      <c r="AJ166" s="3058"/>
      <c r="AK166" s="3058"/>
      <c r="AL166" s="3058"/>
      <c r="AM166" s="3058"/>
      <c r="AN166" s="3058"/>
      <c r="AO166" s="3058"/>
      <c r="AP166" s="3058"/>
      <c r="AQ166" s="3058"/>
      <c r="AR166" s="3058"/>
      <c r="AS166" s="3058"/>
      <c r="AT166" s="3058"/>
      <c r="AU166" s="3056"/>
      <c r="AV166" s="3057">
        <f t="shared" si="15"/>
      </c>
      <c r="AW166" s="3054"/>
      <c r="AX166" s="3059"/>
      <c r="AY166" s="3058"/>
      <c r="AZ166" s="3058"/>
      <c r="BA166" s="3058"/>
      <c r="BB166" s="3058"/>
      <c r="BC166" s="3058"/>
      <c r="BD166" s="3058"/>
      <c r="BE166" s="3058"/>
      <c r="BF166" s="3058"/>
      <c r="BG166" s="3058"/>
      <c r="BH166" s="3058"/>
      <c r="BI166" s="3058"/>
      <c r="BJ166" s="3058"/>
      <c r="BK166" s="3058"/>
      <c r="BL166" s="3056"/>
      <c r="BM166" s="3057">
        <f t="shared" si="16"/>
      </c>
      <c r="BN166" s="3054"/>
      <c r="BO166" s="3059"/>
      <c r="BP166" s="3058"/>
      <c r="BQ166" s="3058"/>
      <c r="BR166" s="3058"/>
      <c r="BS166" s="3058"/>
      <c r="BT166" s="3058"/>
      <c r="BU166" s="3058"/>
      <c r="BV166" s="3058"/>
      <c r="BW166" s="3058"/>
      <c r="BX166" s="3058"/>
      <c r="BY166" s="3058"/>
      <c r="BZ166" s="3058"/>
      <c r="CA166" s="3058"/>
      <c r="CB166" s="3058"/>
      <c r="CC166" s="3056"/>
      <c r="CD166" s="3057">
        <f t="shared" si="0"/>
      </c>
      <c r="CE166" s="3054"/>
      <c r="CF166" s="3054"/>
      <c r="CG166" s="3055"/>
      <c r="CH166" s="3055"/>
      <c r="CI166" s="3055"/>
      <c r="CJ166" s="3055"/>
      <c r="CK166" s="3055"/>
      <c r="CL166" s="3055"/>
      <c r="CM166" s="3055"/>
      <c r="CN166" s="3055"/>
      <c r="CO166" s="3055"/>
      <c r="CP166" s="3055"/>
      <c r="CQ166" s="3055"/>
      <c r="CR166" s="3055"/>
      <c r="CS166" s="3055"/>
      <c r="CU166" s="3054"/>
      <c r="CV166" s="696"/>
      <c r="CW166" s="696"/>
      <c r="CZ166" s="3060">
        <f t="shared" si="17"/>
      </c>
      <c r="DA166" s="3060">
        <f t="shared" si="1"/>
      </c>
      <c r="DB166" s="3060">
        <f t="shared" si="18"/>
      </c>
      <c r="DC166" s="3060">
        <f t="shared" si="19"/>
      </c>
      <c r="DD166" s="3060">
        <f t="shared" si="20"/>
      </c>
      <c r="DE166" s="3060">
        <f t="shared" si="21"/>
      </c>
      <c r="DF166" s="3060">
        <f t="shared" si="22"/>
      </c>
      <c r="DG166" s="3060">
        <f t="shared" si="23"/>
      </c>
      <c r="DH166" s="3060">
        <f t="shared" si="24"/>
      </c>
      <c r="DI166" s="3060">
        <f t="shared" si="1"/>
      </c>
    </row>
    <row r="167" ht="15" customHeight="1" s="3052" customFormat="1">
      <c r="A167" s="3065"/>
      <c r="B167" s="3054">
        <f t="shared" si="2"/>
      </c>
      <c r="C167" s="3054"/>
      <c r="D167" s="3054"/>
      <c r="E167" s="3055"/>
      <c r="F167" s="3055"/>
      <c r="G167" s="3055"/>
      <c r="H167" s="3055"/>
      <c r="I167" s="3055"/>
      <c r="J167" s="3055"/>
      <c r="K167" s="3055"/>
      <c r="L167" s="3055"/>
      <c r="M167" s="3055"/>
      <c r="N167" s="3055"/>
      <c r="O167" s="3055"/>
      <c r="P167" s="3055"/>
      <c r="Q167" s="3055"/>
      <c r="R167" s="3055">
        <f t="shared" si="3"/>
        <v>0</v>
      </c>
      <c r="S167" s="3055">
        <f t="shared" si="4"/>
        <v>0</v>
      </c>
      <c r="T167" s="3055">
        <f t="shared" si="5"/>
        <v>0</v>
      </c>
      <c r="U167" s="3055">
        <f t="shared" si="6"/>
        <v>0</v>
      </c>
      <c r="V167" s="3055">
        <f t="shared" si="7"/>
        <v>0</v>
      </c>
      <c r="W167" s="3055">
        <f t="shared" si="8"/>
        <v>0</v>
      </c>
      <c r="X167" s="3055">
        <f t="shared" si="9"/>
        <v>0</v>
      </c>
      <c r="Y167" s="3055">
        <f t="shared" si="10"/>
        <v>0</v>
      </c>
      <c r="Z167" s="3055">
        <f t="shared" si="11"/>
        <v>0</v>
      </c>
      <c r="AA167" s="3055">
        <f t="shared" si="12"/>
        <v>0</v>
      </c>
      <c r="AB167" s="3055">
        <f t="shared" si="13"/>
        <v>0</v>
      </c>
      <c r="AC167" s="3055">
        <f t="shared" si="14"/>
        <v>0</v>
      </c>
      <c r="AD167" s="3056"/>
      <c r="AE167" s="3057">
        <f t="shared" si="0"/>
      </c>
      <c r="AF167" s="3054"/>
      <c r="AG167" s="3059"/>
      <c r="AH167" s="3058"/>
      <c r="AI167" s="3058"/>
      <c r="AJ167" s="3058"/>
      <c r="AK167" s="3058"/>
      <c r="AL167" s="3058"/>
      <c r="AM167" s="3058"/>
      <c r="AN167" s="3058"/>
      <c r="AO167" s="3058"/>
      <c r="AP167" s="3058"/>
      <c r="AQ167" s="3058"/>
      <c r="AR167" s="3058"/>
      <c r="AS167" s="3058"/>
      <c r="AT167" s="3058"/>
      <c r="AU167" s="3056"/>
      <c r="AV167" s="3057">
        <f t="shared" si="15"/>
      </c>
      <c r="AW167" s="3054"/>
      <c r="AX167" s="3059"/>
      <c r="AY167" s="3058"/>
      <c r="AZ167" s="3058"/>
      <c r="BA167" s="3058"/>
      <c r="BB167" s="3058"/>
      <c r="BC167" s="3058"/>
      <c r="BD167" s="3058"/>
      <c r="BE167" s="3058"/>
      <c r="BF167" s="3058"/>
      <c r="BG167" s="3058"/>
      <c r="BH167" s="3058"/>
      <c r="BI167" s="3058"/>
      <c r="BJ167" s="3058"/>
      <c r="BK167" s="3058"/>
      <c r="BL167" s="3056"/>
      <c r="BM167" s="3057">
        <f t="shared" si="16"/>
      </c>
      <c r="BN167" s="3054"/>
      <c r="BO167" s="3059"/>
      <c r="BP167" s="3058"/>
      <c r="BQ167" s="3058"/>
      <c r="BR167" s="3058"/>
      <c r="BS167" s="3058"/>
      <c r="BT167" s="3058"/>
      <c r="BU167" s="3058"/>
      <c r="BV167" s="3058"/>
      <c r="BW167" s="3058"/>
      <c r="BX167" s="3058"/>
      <c r="BY167" s="3058"/>
      <c r="BZ167" s="3058"/>
      <c r="CA167" s="3058"/>
      <c r="CB167" s="3058"/>
      <c r="CC167" s="3056"/>
      <c r="CD167" s="3057">
        <f t="shared" si="0"/>
      </c>
      <c r="CE167" s="3054"/>
      <c r="CF167" s="3054"/>
      <c r="CG167" s="3055"/>
      <c r="CH167" s="3055"/>
      <c r="CI167" s="3055"/>
      <c r="CJ167" s="3055"/>
      <c r="CK167" s="3055"/>
      <c r="CL167" s="3055"/>
      <c r="CM167" s="3055"/>
      <c r="CN167" s="3055"/>
      <c r="CO167" s="3055"/>
      <c r="CP167" s="3055"/>
      <c r="CQ167" s="3055"/>
      <c r="CR167" s="3055"/>
      <c r="CS167" s="3055"/>
      <c r="CU167" s="3054"/>
      <c r="CV167" s="696"/>
      <c r="CW167" s="696"/>
      <c r="CZ167" s="3060">
        <f t="shared" si="17"/>
      </c>
      <c r="DA167" s="3060">
        <f t="shared" si="1"/>
      </c>
      <c r="DB167" s="3060">
        <f t="shared" si="18"/>
      </c>
      <c r="DC167" s="3060">
        <f t="shared" si="19"/>
      </c>
      <c r="DD167" s="3060">
        <f t="shared" si="20"/>
      </c>
      <c r="DE167" s="3060">
        <f t="shared" si="21"/>
      </c>
      <c r="DF167" s="3060">
        <f t="shared" si="22"/>
      </c>
      <c r="DG167" s="3060">
        <f t="shared" si="23"/>
      </c>
      <c r="DH167" s="3060">
        <f t="shared" si="24"/>
      </c>
      <c r="DI167" s="3060">
        <f t="shared" si="1"/>
      </c>
    </row>
    <row r="168" ht="15" customHeight="1" s="3052" customFormat="1">
      <c r="A168" s="3065"/>
      <c r="B168" s="3054">
        <f t="shared" si="2"/>
      </c>
      <c r="C168" s="3054"/>
      <c r="D168" s="3054"/>
      <c r="E168" s="3055"/>
      <c r="F168" s="3055"/>
      <c r="G168" s="3055"/>
      <c r="H168" s="3055"/>
      <c r="I168" s="3055"/>
      <c r="J168" s="3055"/>
      <c r="K168" s="3055"/>
      <c r="L168" s="3055"/>
      <c r="M168" s="3055"/>
      <c r="N168" s="3055"/>
      <c r="O168" s="3055"/>
      <c r="P168" s="3055"/>
      <c r="Q168" s="3055"/>
      <c r="R168" s="3055">
        <f t="shared" si="3"/>
        <v>0</v>
      </c>
      <c r="S168" s="3055">
        <f t="shared" si="4"/>
        <v>0</v>
      </c>
      <c r="T168" s="3055">
        <f t="shared" si="5"/>
        <v>0</v>
      </c>
      <c r="U168" s="3055">
        <f t="shared" si="6"/>
        <v>0</v>
      </c>
      <c r="V168" s="3055">
        <f t="shared" si="7"/>
        <v>0</v>
      </c>
      <c r="W168" s="3055">
        <f t="shared" si="8"/>
        <v>0</v>
      </c>
      <c r="X168" s="3055">
        <f t="shared" si="9"/>
        <v>0</v>
      </c>
      <c r="Y168" s="3055">
        <f t="shared" si="10"/>
        <v>0</v>
      </c>
      <c r="Z168" s="3055">
        <f t="shared" si="11"/>
        <v>0</v>
      </c>
      <c r="AA168" s="3055">
        <f t="shared" si="12"/>
        <v>0</v>
      </c>
      <c r="AB168" s="3055">
        <f t="shared" si="13"/>
        <v>0</v>
      </c>
      <c r="AC168" s="3055">
        <f t="shared" si="14"/>
        <v>0</v>
      </c>
      <c r="AD168" s="3056"/>
      <c r="AE168" s="3057">
        <f t="shared" si="0"/>
      </c>
      <c r="AF168" s="3054"/>
      <c r="AG168" s="3059"/>
      <c r="AH168" s="3058"/>
      <c r="AI168" s="3058"/>
      <c r="AJ168" s="3058"/>
      <c r="AK168" s="3058"/>
      <c r="AL168" s="3058"/>
      <c r="AM168" s="3058"/>
      <c r="AN168" s="3058"/>
      <c r="AO168" s="3058"/>
      <c r="AP168" s="3058"/>
      <c r="AQ168" s="3058"/>
      <c r="AR168" s="3058"/>
      <c r="AS168" s="3058"/>
      <c r="AT168" s="3058"/>
      <c r="AU168" s="3056"/>
      <c r="AV168" s="3057">
        <f t="shared" si="15"/>
      </c>
      <c r="AW168" s="3054"/>
      <c r="AX168" s="3059"/>
      <c r="AY168" s="3058"/>
      <c r="AZ168" s="3058"/>
      <c r="BA168" s="3058"/>
      <c r="BB168" s="3058"/>
      <c r="BC168" s="3058"/>
      <c r="BD168" s="3058"/>
      <c r="BE168" s="3058"/>
      <c r="BF168" s="3058"/>
      <c r="BG168" s="3058"/>
      <c r="BH168" s="3058"/>
      <c r="BI168" s="3058"/>
      <c r="BJ168" s="3058"/>
      <c r="BK168" s="3058"/>
      <c r="BL168" s="3056"/>
      <c r="BM168" s="3057">
        <f t="shared" si="16"/>
      </c>
      <c r="BN168" s="3054"/>
      <c r="BO168" s="3059"/>
      <c r="BP168" s="3058"/>
      <c r="BQ168" s="3058"/>
      <c r="BR168" s="3058"/>
      <c r="BS168" s="3058"/>
      <c r="BT168" s="3058"/>
      <c r="BU168" s="3058"/>
      <c r="BV168" s="3058"/>
      <c r="BW168" s="3058"/>
      <c r="BX168" s="3058"/>
      <c r="BY168" s="3058"/>
      <c r="BZ168" s="3058"/>
      <c r="CA168" s="3058"/>
      <c r="CB168" s="3058"/>
      <c r="CC168" s="3056"/>
      <c r="CD168" s="3057">
        <f t="shared" si="0"/>
      </c>
      <c r="CE168" s="3054"/>
      <c r="CF168" s="3054"/>
      <c r="CG168" s="3055"/>
      <c r="CH168" s="3055"/>
      <c r="CI168" s="3055"/>
      <c r="CJ168" s="3055"/>
      <c r="CK168" s="3055"/>
      <c r="CL168" s="3055"/>
      <c r="CM168" s="3055"/>
      <c r="CN168" s="3055"/>
      <c r="CO168" s="3055"/>
      <c r="CP168" s="3055"/>
      <c r="CQ168" s="3055"/>
      <c r="CR168" s="3055"/>
      <c r="CS168" s="3055"/>
      <c r="CU168" s="3054"/>
      <c r="CV168" s="696"/>
      <c r="CW168" s="696"/>
      <c r="CZ168" s="3060">
        <f t="shared" si="17"/>
      </c>
      <c r="DA168" s="3060">
        <f t="shared" si="1"/>
      </c>
      <c r="DB168" s="3060">
        <f t="shared" si="18"/>
      </c>
      <c r="DC168" s="3060">
        <f t="shared" si="19"/>
      </c>
      <c r="DD168" s="3060">
        <f t="shared" si="20"/>
      </c>
      <c r="DE168" s="3060">
        <f t="shared" si="21"/>
      </c>
      <c r="DF168" s="3060">
        <f t="shared" si="22"/>
      </c>
      <c r="DG168" s="3060">
        <f t="shared" si="23"/>
      </c>
      <c r="DH168" s="3060">
        <f t="shared" si="24"/>
      </c>
      <c r="DI168" s="3060">
        <f t="shared" si="1"/>
      </c>
    </row>
    <row r="169" ht="15" customHeight="1" s="3052" customFormat="1">
      <c r="A169" s="3065"/>
      <c r="B169" s="3054">
        <f t="shared" si="2"/>
      </c>
      <c r="C169" s="3054"/>
      <c r="D169" s="3054"/>
      <c r="E169" s="3055"/>
      <c r="F169" s="3055"/>
      <c r="G169" s="3055"/>
      <c r="H169" s="3055"/>
      <c r="I169" s="3055"/>
      <c r="J169" s="3055"/>
      <c r="K169" s="3055"/>
      <c r="L169" s="3055"/>
      <c r="M169" s="3055"/>
      <c r="N169" s="3055"/>
      <c r="O169" s="3055"/>
      <c r="P169" s="3055"/>
      <c r="Q169" s="3055"/>
      <c r="R169" s="3055">
        <f t="shared" si="3"/>
        <v>0</v>
      </c>
      <c r="S169" s="3055">
        <f t="shared" si="4"/>
        <v>0</v>
      </c>
      <c r="T169" s="3055">
        <f t="shared" si="5"/>
        <v>0</v>
      </c>
      <c r="U169" s="3055">
        <f t="shared" si="6"/>
        <v>0</v>
      </c>
      <c r="V169" s="3055">
        <f t="shared" si="7"/>
        <v>0</v>
      </c>
      <c r="W169" s="3055">
        <f t="shared" si="8"/>
        <v>0</v>
      </c>
      <c r="X169" s="3055">
        <f t="shared" si="9"/>
        <v>0</v>
      </c>
      <c r="Y169" s="3055">
        <f t="shared" si="10"/>
        <v>0</v>
      </c>
      <c r="Z169" s="3055">
        <f t="shared" si="11"/>
        <v>0</v>
      </c>
      <c r="AA169" s="3055">
        <f t="shared" si="12"/>
        <v>0</v>
      </c>
      <c r="AB169" s="3055">
        <f t="shared" si="13"/>
        <v>0</v>
      </c>
      <c r="AC169" s="3055">
        <f t="shared" si="14"/>
        <v>0</v>
      </c>
      <c r="AD169" s="3056"/>
      <c r="AE169" s="3057">
        <f t="shared" si="0"/>
      </c>
      <c r="AF169" s="3054"/>
      <c r="AG169" s="3059"/>
      <c r="AH169" s="3058"/>
      <c r="AI169" s="3058"/>
      <c r="AJ169" s="3058"/>
      <c r="AK169" s="3058"/>
      <c r="AL169" s="3058"/>
      <c r="AM169" s="3058"/>
      <c r="AN169" s="3058"/>
      <c r="AO169" s="3058"/>
      <c r="AP169" s="3058"/>
      <c r="AQ169" s="3058"/>
      <c r="AR169" s="3058"/>
      <c r="AS169" s="3058"/>
      <c r="AT169" s="3058"/>
      <c r="AU169" s="3056"/>
      <c r="AV169" s="3057">
        <f t="shared" si="15"/>
      </c>
      <c r="AW169" s="3054"/>
      <c r="AX169" s="3059"/>
      <c r="AY169" s="3058"/>
      <c r="AZ169" s="3058"/>
      <c r="BA169" s="3058"/>
      <c r="BB169" s="3058"/>
      <c r="BC169" s="3058"/>
      <c r="BD169" s="3058"/>
      <c r="BE169" s="3058"/>
      <c r="BF169" s="3058"/>
      <c r="BG169" s="3058"/>
      <c r="BH169" s="3058"/>
      <c r="BI169" s="3058"/>
      <c r="BJ169" s="3058"/>
      <c r="BK169" s="3058"/>
      <c r="BL169" s="3056"/>
      <c r="BM169" s="3057">
        <f t="shared" si="16"/>
      </c>
      <c r="BN169" s="3054"/>
      <c r="BO169" s="3059"/>
      <c r="BP169" s="3058"/>
      <c r="BQ169" s="3058"/>
      <c r="BR169" s="3058"/>
      <c r="BS169" s="3058"/>
      <c r="BT169" s="3058"/>
      <c r="BU169" s="3058"/>
      <c r="BV169" s="3058"/>
      <c r="BW169" s="3058"/>
      <c r="BX169" s="3058"/>
      <c r="BY169" s="3058"/>
      <c r="BZ169" s="3058"/>
      <c r="CA169" s="3058"/>
      <c r="CB169" s="3058"/>
      <c r="CC169" s="3056"/>
      <c r="CD169" s="3057">
        <f t="shared" si="0"/>
      </c>
      <c r="CE169" s="3054"/>
      <c r="CF169" s="3054"/>
      <c r="CG169" s="3055"/>
      <c r="CH169" s="3055"/>
      <c r="CI169" s="3055"/>
      <c r="CJ169" s="3055"/>
      <c r="CK169" s="3055"/>
      <c r="CL169" s="3055"/>
      <c r="CM169" s="3055"/>
      <c r="CN169" s="3055"/>
      <c r="CO169" s="3055"/>
      <c r="CP169" s="3055"/>
      <c r="CQ169" s="3055"/>
      <c r="CR169" s="3055"/>
      <c r="CS169" s="3055"/>
      <c r="CU169" s="3054"/>
      <c r="CV169" s="696"/>
      <c r="CW169" s="696"/>
      <c r="CZ169" s="3060">
        <f t="shared" si="17"/>
      </c>
      <c r="DA169" s="3060">
        <f t="shared" si="1"/>
      </c>
      <c r="DB169" s="3060">
        <f t="shared" si="18"/>
      </c>
      <c r="DC169" s="3060">
        <f t="shared" si="19"/>
      </c>
      <c r="DD169" s="3060">
        <f t="shared" si="20"/>
      </c>
      <c r="DE169" s="3060">
        <f t="shared" si="21"/>
      </c>
      <c r="DF169" s="3060">
        <f t="shared" si="22"/>
      </c>
      <c r="DG169" s="3060">
        <f t="shared" si="23"/>
      </c>
      <c r="DH169" s="3060">
        <f t="shared" si="24"/>
      </c>
      <c r="DI169" s="3060">
        <f t="shared" si="1"/>
      </c>
    </row>
    <row r="170" ht="15" customHeight="1" s="3052" customFormat="1">
      <c r="A170" s="3065"/>
      <c r="B170" s="3054">
        <f t="shared" si="2"/>
      </c>
      <c r="C170" s="3054"/>
      <c r="D170" s="3054"/>
      <c r="E170" s="3055"/>
      <c r="F170" s="3055"/>
      <c r="G170" s="3055"/>
      <c r="H170" s="3055"/>
      <c r="I170" s="3055"/>
      <c r="J170" s="3055"/>
      <c r="K170" s="3055"/>
      <c r="L170" s="3055"/>
      <c r="M170" s="3055"/>
      <c r="N170" s="3055"/>
      <c r="O170" s="3055"/>
      <c r="P170" s="3055"/>
      <c r="Q170" s="3055"/>
      <c r="R170" s="3055">
        <f t="shared" si="3"/>
        <v>0</v>
      </c>
      <c r="S170" s="3055">
        <f t="shared" si="4"/>
        <v>0</v>
      </c>
      <c r="T170" s="3055">
        <f t="shared" si="5"/>
        <v>0</v>
      </c>
      <c r="U170" s="3055">
        <f t="shared" si="6"/>
        <v>0</v>
      </c>
      <c r="V170" s="3055">
        <f t="shared" si="7"/>
        <v>0</v>
      </c>
      <c r="W170" s="3055">
        <f t="shared" si="8"/>
        <v>0</v>
      </c>
      <c r="X170" s="3055">
        <f t="shared" si="9"/>
        <v>0</v>
      </c>
      <c r="Y170" s="3055">
        <f t="shared" si="10"/>
        <v>0</v>
      </c>
      <c r="Z170" s="3055">
        <f t="shared" si="11"/>
        <v>0</v>
      </c>
      <c r="AA170" s="3055">
        <f t="shared" si="12"/>
        <v>0</v>
      </c>
      <c r="AB170" s="3055">
        <f t="shared" si="13"/>
        <v>0</v>
      </c>
      <c r="AC170" s="3055">
        <f t="shared" si="14"/>
        <v>0</v>
      </c>
      <c r="AD170" s="3056"/>
      <c r="AE170" s="3057">
        <f t="shared" si="0"/>
      </c>
      <c r="AF170" s="3054"/>
      <c r="AG170" s="3059"/>
      <c r="AH170" s="3058"/>
      <c r="AI170" s="3058"/>
      <c r="AJ170" s="3058"/>
      <c r="AK170" s="3058"/>
      <c r="AL170" s="3058"/>
      <c r="AM170" s="3058"/>
      <c r="AN170" s="3058"/>
      <c r="AO170" s="3058"/>
      <c r="AP170" s="3058"/>
      <c r="AQ170" s="3058"/>
      <c r="AR170" s="3058"/>
      <c r="AS170" s="3058"/>
      <c r="AT170" s="3058"/>
      <c r="AU170" s="3056"/>
      <c r="AV170" s="3057">
        <f t="shared" si="15"/>
      </c>
      <c r="AW170" s="3054"/>
      <c r="AX170" s="3059"/>
      <c r="AY170" s="3058"/>
      <c r="AZ170" s="3058"/>
      <c r="BA170" s="3058"/>
      <c r="BB170" s="3058"/>
      <c r="BC170" s="3058"/>
      <c r="BD170" s="3058"/>
      <c r="BE170" s="3058"/>
      <c r="BF170" s="3058"/>
      <c r="BG170" s="3058"/>
      <c r="BH170" s="3058"/>
      <c r="BI170" s="3058"/>
      <c r="BJ170" s="3058"/>
      <c r="BK170" s="3058"/>
      <c r="BL170" s="3056"/>
      <c r="BM170" s="3057">
        <f t="shared" si="16"/>
      </c>
      <c r="BN170" s="3054"/>
      <c r="BO170" s="3059"/>
      <c r="BP170" s="3058"/>
      <c r="BQ170" s="3058"/>
      <c r="BR170" s="3058"/>
      <c r="BS170" s="3058"/>
      <c r="BT170" s="3058"/>
      <c r="BU170" s="3058"/>
      <c r="BV170" s="3058"/>
      <c r="BW170" s="3058"/>
      <c r="BX170" s="3058"/>
      <c r="BY170" s="3058"/>
      <c r="BZ170" s="3058"/>
      <c r="CA170" s="3058"/>
      <c r="CB170" s="3058"/>
      <c r="CC170" s="3056"/>
      <c r="CD170" s="3057">
        <f t="shared" si="0"/>
      </c>
      <c r="CE170" s="3054"/>
      <c r="CF170" s="3054"/>
      <c r="CG170" s="3055"/>
      <c r="CH170" s="3055"/>
      <c r="CI170" s="3055"/>
      <c r="CJ170" s="3055"/>
      <c r="CK170" s="3055"/>
      <c r="CL170" s="3055"/>
      <c r="CM170" s="3055"/>
      <c r="CN170" s="3055"/>
      <c r="CO170" s="3055"/>
      <c r="CP170" s="3055"/>
      <c r="CQ170" s="3055"/>
      <c r="CR170" s="3055"/>
      <c r="CS170" s="3055"/>
      <c r="CU170" s="3054"/>
      <c r="CV170" s="696"/>
      <c r="CW170" s="696"/>
      <c r="CZ170" s="3060">
        <f t="shared" si="17"/>
      </c>
      <c r="DA170" s="3060">
        <f t="shared" si="1"/>
      </c>
      <c r="DB170" s="3060">
        <f t="shared" si="18"/>
      </c>
      <c r="DC170" s="3060">
        <f t="shared" si="19"/>
      </c>
      <c r="DD170" s="3060">
        <f t="shared" si="20"/>
      </c>
      <c r="DE170" s="3060">
        <f t="shared" si="21"/>
      </c>
      <c r="DF170" s="3060">
        <f t="shared" si="22"/>
      </c>
      <c r="DG170" s="3060">
        <f t="shared" si="23"/>
      </c>
      <c r="DH170" s="3060">
        <f t="shared" si="24"/>
      </c>
      <c r="DI170" s="3060">
        <f t="shared" si="1"/>
      </c>
    </row>
    <row r="171" ht="15" customHeight="1" s="3052" customFormat="1">
      <c r="A171" s="3065"/>
      <c r="B171" s="3054">
        <f t="shared" si="2"/>
      </c>
      <c r="C171" s="3054"/>
      <c r="D171" s="3054"/>
      <c r="E171" s="3055"/>
      <c r="F171" s="3055"/>
      <c r="G171" s="3055"/>
      <c r="H171" s="3055"/>
      <c r="I171" s="3055"/>
      <c r="J171" s="3055"/>
      <c r="K171" s="3055"/>
      <c r="L171" s="3055"/>
      <c r="M171" s="3055"/>
      <c r="N171" s="3055"/>
      <c r="O171" s="3055"/>
      <c r="P171" s="3055"/>
      <c r="Q171" s="3055"/>
      <c r="R171" s="3055">
        <f t="shared" si="3"/>
        <v>0</v>
      </c>
      <c r="S171" s="3055">
        <f t="shared" si="4"/>
        <v>0</v>
      </c>
      <c r="T171" s="3055">
        <f t="shared" si="5"/>
        <v>0</v>
      </c>
      <c r="U171" s="3055">
        <f t="shared" si="6"/>
        <v>0</v>
      </c>
      <c r="V171" s="3055">
        <f t="shared" si="7"/>
        <v>0</v>
      </c>
      <c r="W171" s="3055">
        <f t="shared" si="8"/>
        <v>0</v>
      </c>
      <c r="X171" s="3055">
        <f t="shared" si="9"/>
        <v>0</v>
      </c>
      <c r="Y171" s="3055">
        <f t="shared" si="10"/>
        <v>0</v>
      </c>
      <c r="Z171" s="3055">
        <f t="shared" si="11"/>
        <v>0</v>
      </c>
      <c r="AA171" s="3055">
        <f t="shared" si="12"/>
        <v>0</v>
      </c>
      <c r="AB171" s="3055">
        <f t="shared" si="13"/>
        <v>0</v>
      </c>
      <c r="AC171" s="3055">
        <f t="shared" si="14"/>
        <v>0</v>
      </c>
      <c r="AD171" s="3056"/>
      <c r="AE171" s="3057">
        <f t="shared" si="0"/>
      </c>
      <c r="AF171" s="3054"/>
      <c r="AG171" s="3059"/>
      <c r="AH171" s="3058"/>
      <c r="AI171" s="3058"/>
      <c r="AJ171" s="3058"/>
      <c r="AK171" s="3058"/>
      <c r="AL171" s="3058"/>
      <c r="AM171" s="3058"/>
      <c r="AN171" s="3058"/>
      <c r="AO171" s="3058"/>
      <c r="AP171" s="3058"/>
      <c r="AQ171" s="3058"/>
      <c r="AR171" s="3058"/>
      <c r="AS171" s="3058"/>
      <c r="AT171" s="3058"/>
      <c r="AU171" s="3056"/>
      <c r="AV171" s="3057">
        <f t="shared" si="15"/>
      </c>
      <c r="AW171" s="3054"/>
      <c r="AX171" s="3059"/>
      <c r="AY171" s="3058"/>
      <c r="AZ171" s="3058"/>
      <c r="BA171" s="3058"/>
      <c r="BB171" s="3058"/>
      <c r="BC171" s="3058"/>
      <c r="BD171" s="3058"/>
      <c r="BE171" s="3058"/>
      <c r="BF171" s="3058"/>
      <c r="BG171" s="3058"/>
      <c r="BH171" s="3058"/>
      <c r="BI171" s="3058"/>
      <c r="BJ171" s="3058"/>
      <c r="BK171" s="3058"/>
      <c r="BL171" s="3056"/>
      <c r="BM171" s="3057">
        <f t="shared" si="16"/>
      </c>
      <c r="BN171" s="3054"/>
      <c r="BO171" s="3059"/>
      <c r="BP171" s="3058"/>
      <c r="BQ171" s="3058"/>
      <c r="BR171" s="3058"/>
      <c r="BS171" s="3058"/>
      <c r="BT171" s="3058"/>
      <c r="BU171" s="3058"/>
      <c r="BV171" s="3058"/>
      <c r="BW171" s="3058"/>
      <c r="BX171" s="3058"/>
      <c r="BY171" s="3058"/>
      <c r="BZ171" s="3058"/>
      <c r="CA171" s="3058"/>
      <c r="CB171" s="3058"/>
      <c r="CC171" s="3056"/>
      <c r="CD171" s="3057">
        <f t="shared" si="0"/>
      </c>
      <c r="CE171" s="3054"/>
      <c r="CF171" s="3054"/>
      <c r="CG171" s="3055"/>
      <c r="CH171" s="3055"/>
      <c r="CI171" s="3055"/>
      <c r="CJ171" s="3055"/>
      <c r="CK171" s="3055"/>
      <c r="CL171" s="3055"/>
      <c r="CM171" s="3055"/>
      <c r="CN171" s="3055"/>
      <c r="CO171" s="3055"/>
      <c r="CP171" s="3055"/>
      <c r="CQ171" s="3055"/>
      <c r="CR171" s="3055"/>
      <c r="CS171" s="3055"/>
      <c r="CU171" s="3054"/>
      <c r="CV171" s="696"/>
      <c r="CW171" s="696"/>
      <c r="CZ171" s="3060">
        <f t="shared" si="17"/>
      </c>
      <c r="DA171" s="3060">
        <f t="shared" si="1"/>
      </c>
      <c r="DB171" s="3060">
        <f t="shared" si="18"/>
      </c>
      <c r="DC171" s="3060">
        <f t="shared" si="19"/>
      </c>
      <c r="DD171" s="3060">
        <f t="shared" si="20"/>
      </c>
      <c r="DE171" s="3060">
        <f t="shared" si="21"/>
      </c>
      <c r="DF171" s="3060">
        <f t="shared" si="22"/>
      </c>
      <c r="DG171" s="3060">
        <f t="shared" si="23"/>
      </c>
      <c r="DH171" s="3060">
        <f t="shared" si="24"/>
      </c>
      <c r="DI171" s="3060">
        <f t="shared" si="1"/>
      </c>
    </row>
    <row r="172" ht="15" customHeight="1" s="3052" customFormat="1">
      <c r="A172" s="3065"/>
      <c r="B172" s="3054">
        <f t="shared" si="2"/>
      </c>
      <c r="C172" s="3054"/>
      <c r="D172" s="3054"/>
      <c r="E172" s="3055"/>
      <c r="F172" s="3055"/>
      <c r="G172" s="3055"/>
      <c r="H172" s="3055"/>
      <c r="I172" s="3055"/>
      <c r="J172" s="3055"/>
      <c r="K172" s="3055"/>
      <c r="L172" s="3055"/>
      <c r="M172" s="3055"/>
      <c r="N172" s="3055"/>
      <c r="O172" s="3055"/>
      <c r="P172" s="3055"/>
      <c r="Q172" s="3055"/>
      <c r="R172" s="3055">
        <f t="shared" si="3"/>
        <v>0</v>
      </c>
      <c r="S172" s="3055">
        <f t="shared" si="4"/>
        <v>0</v>
      </c>
      <c r="T172" s="3055">
        <f t="shared" si="5"/>
        <v>0</v>
      </c>
      <c r="U172" s="3055">
        <f t="shared" si="6"/>
        <v>0</v>
      </c>
      <c r="V172" s="3055">
        <f t="shared" si="7"/>
        <v>0</v>
      </c>
      <c r="W172" s="3055">
        <f t="shared" si="8"/>
        <v>0</v>
      </c>
      <c r="X172" s="3055">
        <f t="shared" si="9"/>
        <v>0</v>
      </c>
      <c r="Y172" s="3055">
        <f t="shared" si="10"/>
        <v>0</v>
      </c>
      <c r="Z172" s="3055">
        <f t="shared" si="11"/>
        <v>0</v>
      </c>
      <c r="AA172" s="3055">
        <f t="shared" si="12"/>
        <v>0</v>
      </c>
      <c r="AB172" s="3055">
        <f t="shared" si="13"/>
        <v>0</v>
      </c>
      <c r="AC172" s="3055">
        <f t="shared" si="14"/>
        <v>0</v>
      </c>
      <c r="AD172" s="3056"/>
      <c r="AE172" s="3057">
        <f t="shared" si="0"/>
      </c>
      <c r="AF172" s="3054"/>
      <c r="AG172" s="3059"/>
      <c r="AH172" s="3058"/>
      <c r="AI172" s="3058"/>
      <c r="AJ172" s="3058"/>
      <c r="AK172" s="3058"/>
      <c r="AL172" s="3058"/>
      <c r="AM172" s="3058"/>
      <c r="AN172" s="3058"/>
      <c r="AO172" s="3058"/>
      <c r="AP172" s="3058"/>
      <c r="AQ172" s="3058"/>
      <c r="AR172" s="3058"/>
      <c r="AS172" s="3058"/>
      <c r="AT172" s="3058"/>
      <c r="AU172" s="3056"/>
      <c r="AV172" s="3057">
        <f t="shared" si="15"/>
      </c>
      <c r="AW172" s="3054"/>
      <c r="AX172" s="3059"/>
      <c r="AY172" s="3058"/>
      <c r="AZ172" s="3058"/>
      <c r="BA172" s="3058"/>
      <c r="BB172" s="3058"/>
      <c r="BC172" s="3058"/>
      <c r="BD172" s="3058"/>
      <c r="BE172" s="3058"/>
      <c r="BF172" s="3058"/>
      <c r="BG172" s="3058"/>
      <c r="BH172" s="3058"/>
      <c r="BI172" s="3058"/>
      <c r="BJ172" s="3058"/>
      <c r="BK172" s="3058"/>
      <c r="BL172" s="3056"/>
      <c r="BM172" s="3057">
        <f t="shared" si="16"/>
      </c>
      <c r="BN172" s="3054"/>
      <c r="BO172" s="3059"/>
      <c r="BP172" s="3058"/>
      <c r="BQ172" s="3058"/>
      <c r="BR172" s="3058"/>
      <c r="BS172" s="3058"/>
      <c r="BT172" s="3058"/>
      <c r="BU172" s="3058"/>
      <c r="BV172" s="3058"/>
      <c r="BW172" s="3058"/>
      <c r="BX172" s="3058"/>
      <c r="BY172" s="3058"/>
      <c r="BZ172" s="3058"/>
      <c r="CA172" s="3058"/>
      <c r="CB172" s="3058"/>
      <c r="CC172" s="3056"/>
      <c r="CD172" s="3057">
        <f t="shared" si="0"/>
      </c>
      <c r="CE172" s="3054"/>
      <c r="CF172" s="3054"/>
      <c r="CG172" s="3055"/>
      <c r="CH172" s="3055"/>
      <c r="CI172" s="3055"/>
      <c r="CJ172" s="3055"/>
      <c r="CK172" s="3055"/>
      <c r="CL172" s="3055"/>
      <c r="CM172" s="3055"/>
      <c r="CN172" s="3055"/>
      <c r="CO172" s="3055"/>
      <c r="CP172" s="3055"/>
      <c r="CQ172" s="3055"/>
      <c r="CR172" s="3055"/>
      <c r="CS172" s="3055"/>
      <c r="CU172" s="3054"/>
      <c r="CV172" s="696"/>
      <c r="CW172" s="696"/>
      <c r="CZ172" s="3060">
        <f t="shared" si="17"/>
      </c>
      <c r="DA172" s="3060">
        <f t="shared" si="1"/>
      </c>
      <c r="DB172" s="3060">
        <f t="shared" si="18"/>
      </c>
      <c r="DC172" s="3060">
        <f t="shared" si="19"/>
      </c>
      <c r="DD172" s="3060">
        <f t="shared" si="20"/>
      </c>
      <c r="DE172" s="3060">
        <f t="shared" si="21"/>
      </c>
      <c r="DF172" s="3060">
        <f t="shared" si="22"/>
      </c>
      <c r="DG172" s="3060">
        <f t="shared" si="23"/>
      </c>
      <c r="DH172" s="3060">
        <f t="shared" si="24"/>
      </c>
      <c r="DI172" s="3060">
        <f t="shared" si="1"/>
      </c>
    </row>
    <row r="173" ht="15" customHeight="1" s="3052" customFormat="1">
      <c r="A173" s="3065"/>
      <c r="B173" s="3054">
        <f t="shared" si="2"/>
      </c>
      <c r="C173" s="3054"/>
      <c r="D173" s="3054"/>
      <c r="E173" s="3055"/>
      <c r="F173" s="3055"/>
      <c r="G173" s="3055"/>
      <c r="H173" s="3055"/>
      <c r="I173" s="3055"/>
      <c r="J173" s="3055"/>
      <c r="K173" s="3055"/>
      <c r="L173" s="3055"/>
      <c r="M173" s="3055"/>
      <c r="N173" s="3055"/>
      <c r="O173" s="3055"/>
      <c r="P173" s="3055"/>
      <c r="Q173" s="3055"/>
      <c r="R173" s="3055">
        <f t="shared" si="3"/>
        <v>0</v>
      </c>
      <c r="S173" s="3055">
        <f t="shared" si="4"/>
        <v>0</v>
      </c>
      <c r="T173" s="3055">
        <f t="shared" si="5"/>
        <v>0</v>
      </c>
      <c r="U173" s="3055">
        <f t="shared" si="6"/>
        <v>0</v>
      </c>
      <c r="V173" s="3055">
        <f t="shared" si="7"/>
        <v>0</v>
      </c>
      <c r="W173" s="3055">
        <f t="shared" si="8"/>
        <v>0</v>
      </c>
      <c r="X173" s="3055">
        <f t="shared" si="9"/>
        <v>0</v>
      </c>
      <c r="Y173" s="3055">
        <f t="shared" si="10"/>
        <v>0</v>
      </c>
      <c r="Z173" s="3055">
        <f t="shared" si="11"/>
        <v>0</v>
      </c>
      <c r="AA173" s="3055">
        <f t="shared" si="12"/>
        <v>0</v>
      </c>
      <c r="AB173" s="3055">
        <f t="shared" si="13"/>
        <v>0</v>
      </c>
      <c r="AC173" s="3055">
        <f t="shared" si="14"/>
        <v>0</v>
      </c>
      <c r="AD173" s="3056"/>
      <c r="AE173" s="3057">
        <f t="shared" si="0"/>
      </c>
      <c r="AF173" s="3054"/>
      <c r="AG173" s="3059"/>
      <c r="AH173" s="3058"/>
      <c r="AI173" s="3058"/>
      <c r="AJ173" s="3058"/>
      <c r="AK173" s="3058"/>
      <c r="AL173" s="3058"/>
      <c r="AM173" s="3058"/>
      <c r="AN173" s="3058"/>
      <c r="AO173" s="3058"/>
      <c r="AP173" s="3058"/>
      <c r="AQ173" s="3058"/>
      <c r="AR173" s="3058"/>
      <c r="AS173" s="3058"/>
      <c r="AT173" s="3058"/>
      <c r="AU173" s="3056"/>
      <c r="AV173" s="3057">
        <f t="shared" si="15"/>
      </c>
      <c r="AW173" s="3054"/>
      <c r="AX173" s="3059"/>
      <c r="AY173" s="3058"/>
      <c r="AZ173" s="3058"/>
      <c r="BA173" s="3058"/>
      <c r="BB173" s="3058"/>
      <c r="BC173" s="3058"/>
      <c r="BD173" s="3058"/>
      <c r="BE173" s="3058"/>
      <c r="BF173" s="3058"/>
      <c r="BG173" s="3058"/>
      <c r="BH173" s="3058"/>
      <c r="BI173" s="3058"/>
      <c r="BJ173" s="3058"/>
      <c r="BK173" s="3058"/>
      <c r="BL173" s="3056"/>
      <c r="BM173" s="3057">
        <f t="shared" si="16"/>
      </c>
      <c r="BN173" s="3054"/>
      <c r="BO173" s="3059"/>
      <c r="BP173" s="3058"/>
      <c r="BQ173" s="3058"/>
      <c r="BR173" s="3058"/>
      <c r="BS173" s="3058"/>
      <c r="BT173" s="3058"/>
      <c r="BU173" s="3058"/>
      <c r="BV173" s="3058"/>
      <c r="BW173" s="3058"/>
      <c r="BX173" s="3058"/>
      <c r="BY173" s="3058"/>
      <c r="BZ173" s="3058"/>
      <c r="CA173" s="3058"/>
      <c r="CB173" s="3058"/>
      <c r="CC173" s="3056"/>
      <c r="CD173" s="3057">
        <f t="shared" si="0"/>
      </c>
      <c r="CE173" s="3054"/>
      <c r="CF173" s="3054"/>
      <c r="CG173" s="3055"/>
      <c r="CH173" s="3055"/>
      <c r="CI173" s="3055"/>
      <c r="CJ173" s="3055"/>
      <c r="CK173" s="3055"/>
      <c r="CL173" s="3055"/>
      <c r="CM173" s="3055"/>
      <c r="CN173" s="3055"/>
      <c r="CO173" s="3055"/>
      <c r="CP173" s="3055"/>
      <c r="CQ173" s="3055"/>
      <c r="CR173" s="3055"/>
      <c r="CS173" s="3055"/>
      <c r="CU173" s="3054"/>
      <c r="CV173" s="696"/>
      <c r="CW173" s="696"/>
      <c r="CZ173" s="3060">
        <f t="shared" si="17"/>
      </c>
      <c r="DA173" s="3060">
        <f t="shared" si="1"/>
      </c>
      <c r="DB173" s="3060">
        <f t="shared" si="18"/>
      </c>
      <c r="DC173" s="3060">
        <f t="shared" si="19"/>
      </c>
      <c r="DD173" s="3060">
        <f t="shared" si="20"/>
      </c>
      <c r="DE173" s="3060">
        <f t="shared" si="21"/>
      </c>
      <c r="DF173" s="3060">
        <f t="shared" si="22"/>
      </c>
      <c r="DG173" s="3060">
        <f t="shared" si="23"/>
      </c>
      <c r="DH173" s="3060">
        <f t="shared" si="24"/>
      </c>
      <c r="DI173" s="3060">
        <f t="shared" si="1"/>
      </c>
    </row>
    <row r="174" ht="15" customHeight="1" s="3052" customFormat="1">
      <c r="A174" s="3065"/>
      <c r="B174" s="3054">
        <f t="shared" si="2"/>
      </c>
      <c r="C174" s="3054"/>
      <c r="D174" s="3054"/>
      <c r="E174" s="3055"/>
      <c r="F174" s="3055"/>
      <c r="G174" s="3055"/>
      <c r="H174" s="3055"/>
      <c r="I174" s="3055"/>
      <c r="J174" s="3055"/>
      <c r="K174" s="3055"/>
      <c r="L174" s="3055"/>
      <c r="M174" s="3055"/>
      <c r="N174" s="3055"/>
      <c r="O174" s="3055"/>
      <c r="P174" s="3055"/>
      <c r="Q174" s="3055"/>
      <c r="R174" s="3055">
        <f t="shared" si="3"/>
        <v>0</v>
      </c>
      <c r="S174" s="3055">
        <f t="shared" si="4"/>
        <v>0</v>
      </c>
      <c r="T174" s="3055">
        <f t="shared" si="5"/>
        <v>0</v>
      </c>
      <c r="U174" s="3055">
        <f t="shared" si="6"/>
        <v>0</v>
      </c>
      <c r="V174" s="3055">
        <f t="shared" si="7"/>
        <v>0</v>
      </c>
      <c r="W174" s="3055">
        <f t="shared" si="8"/>
        <v>0</v>
      </c>
      <c r="X174" s="3055">
        <f t="shared" si="9"/>
        <v>0</v>
      </c>
      <c r="Y174" s="3055">
        <f t="shared" si="10"/>
        <v>0</v>
      </c>
      <c r="Z174" s="3055">
        <f t="shared" si="11"/>
        <v>0</v>
      </c>
      <c r="AA174" s="3055">
        <f t="shared" si="12"/>
        <v>0</v>
      </c>
      <c r="AB174" s="3055">
        <f t="shared" si="13"/>
        <v>0</v>
      </c>
      <c r="AC174" s="3055">
        <f t="shared" si="14"/>
        <v>0</v>
      </c>
      <c r="AD174" s="3056"/>
      <c r="AE174" s="3057">
        <f t="shared" si="0"/>
      </c>
      <c r="AF174" s="3054"/>
      <c r="AG174" s="3059"/>
      <c r="AH174" s="3058"/>
      <c r="AI174" s="3058"/>
      <c r="AJ174" s="3058"/>
      <c r="AK174" s="3058"/>
      <c r="AL174" s="3058"/>
      <c r="AM174" s="3058"/>
      <c r="AN174" s="3058"/>
      <c r="AO174" s="3058"/>
      <c r="AP174" s="3058"/>
      <c r="AQ174" s="3058"/>
      <c r="AR174" s="3058"/>
      <c r="AS174" s="3058"/>
      <c r="AT174" s="3058"/>
      <c r="AU174" s="3056"/>
      <c r="AV174" s="3057">
        <f t="shared" si="15"/>
      </c>
      <c r="AW174" s="3054"/>
      <c r="AX174" s="3059"/>
      <c r="AY174" s="3058"/>
      <c r="AZ174" s="3058"/>
      <c r="BA174" s="3058"/>
      <c r="BB174" s="3058"/>
      <c r="BC174" s="3058"/>
      <c r="BD174" s="3058"/>
      <c r="BE174" s="3058"/>
      <c r="BF174" s="3058"/>
      <c r="BG174" s="3058"/>
      <c r="BH174" s="3058"/>
      <c r="BI174" s="3058"/>
      <c r="BJ174" s="3058"/>
      <c r="BK174" s="3058"/>
      <c r="BL174" s="3056"/>
      <c r="BM174" s="3057">
        <f t="shared" si="16"/>
      </c>
      <c r="BN174" s="3054"/>
      <c r="BO174" s="3059"/>
      <c r="BP174" s="3058"/>
      <c r="BQ174" s="3058"/>
      <c r="BR174" s="3058"/>
      <c r="BS174" s="3058"/>
      <c r="BT174" s="3058"/>
      <c r="BU174" s="3058"/>
      <c r="BV174" s="3058"/>
      <c r="BW174" s="3058"/>
      <c r="BX174" s="3058"/>
      <c r="BY174" s="3058"/>
      <c r="BZ174" s="3058"/>
      <c r="CA174" s="3058"/>
      <c r="CB174" s="3058"/>
      <c r="CC174" s="3056"/>
      <c r="CD174" s="3057">
        <f t="shared" si="0"/>
      </c>
      <c r="CE174" s="3054"/>
      <c r="CF174" s="3054"/>
      <c r="CG174" s="3055"/>
      <c r="CH174" s="3055"/>
      <c r="CI174" s="3055"/>
      <c r="CJ174" s="3055"/>
      <c r="CK174" s="3055"/>
      <c r="CL174" s="3055"/>
      <c r="CM174" s="3055"/>
      <c r="CN174" s="3055"/>
      <c r="CO174" s="3055"/>
      <c r="CP174" s="3055"/>
      <c r="CQ174" s="3055"/>
      <c r="CR174" s="3055"/>
      <c r="CS174" s="3055"/>
      <c r="CU174" s="3054"/>
      <c r="CV174" s="696"/>
      <c r="CW174" s="696"/>
      <c r="CZ174" s="3060">
        <f t="shared" si="17"/>
      </c>
      <c r="DA174" s="3060">
        <f t="shared" si="1"/>
      </c>
      <c r="DB174" s="3060">
        <f t="shared" si="18"/>
      </c>
      <c r="DC174" s="3060">
        <f t="shared" si="19"/>
      </c>
      <c r="DD174" s="3060">
        <f t="shared" si="20"/>
      </c>
      <c r="DE174" s="3060">
        <f t="shared" si="21"/>
      </c>
      <c r="DF174" s="3060">
        <f t="shared" si="22"/>
      </c>
      <c r="DG174" s="3060">
        <f t="shared" si="23"/>
      </c>
      <c r="DH174" s="3060">
        <f t="shared" si="24"/>
      </c>
      <c r="DI174" s="3060">
        <f t="shared" si="1"/>
      </c>
    </row>
    <row r="175" ht="15" customHeight="1" s="3052" customFormat="1">
      <c r="A175" s="3065"/>
      <c r="B175" s="3054">
        <f t="shared" si="2"/>
      </c>
      <c r="C175" s="3054"/>
      <c r="D175" s="3054"/>
      <c r="E175" s="3055"/>
      <c r="F175" s="3055"/>
      <c r="G175" s="3055"/>
      <c r="H175" s="3055"/>
      <c r="I175" s="3055"/>
      <c r="J175" s="3055"/>
      <c r="K175" s="3055"/>
      <c r="L175" s="3055"/>
      <c r="M175" s="3055"/>
      <c r="N175" s="3055"/>
      <c r="O175" s="3055"/>
      <c r="P175" s="3055"/>
      <c r="Q175" s="3055"/>
      <c r="R175" s="3055">
        <f t="shared" si="3"/>
        <v>0</v>
      </c>
      <c r="S175" s="3055">
        <f t="shared" si="4"/>
        <v>0</v>
      </c>
      <c r="T175" s="3055">
        <f t="shared" si="5"/>
        <v>0</v>
      </c>
      <c r="U175" s="3055">
        <f t="shared" si="6"/>
        <v>0</v>
      </c>
      <c r="V175" s="3055">
        <f t="shared" si="7"/>
        <v>0</v>
      </c>
      <c r="W175" s="3055">
        <f t="shared" si="8"/>
        <v>0</v>
      </c>
      <c r="X175" s="3055">
        <f t="shared" si="9"/>
        <v>0</v>
      </c>
      <c r="Y175" s="3055">
        <f t="shared" si="10"/>
        <v>0</v>
      </c>
      <c r="Z175" s="3055">
        <f t="shared" si="11"/>
        <v>0</v>
      </c>
      <c r="AA175" s="3055">
        <f t="shared" si="12"/>
        <v>0</v>
      </c>
      <c r="AB175" s="3055">
        <f t="shared" si="13"/>
        <v>0</v>
      </c>
      <c r="AC175" s="3055">
        <f t="shared" si="14"/>
        <v>0</v>
      </c>
      <c r="AD175" s="3056"/>
      <c r="AE175" s="3057">
        <f t="shared" si="0"/>
      </c>
      <c r="AF175" s="3054"/>
      <c r="AG175" s="3059"/>
      <c r="AH175" s="3058"/>
      <c r="AI175" s="3058"/>
      <c r="AJ175" s="3058"/>
      <c r="AK175" s="3058"/>
      <c r="AL175" s="3058"/>
      <c r="AM175" s="3058"/>
      <c r="AN175" s="3058"/>
      <c r="AO175" s="3058"/>
      <c r="AP175" s="3058"/>
      <c r="AQ175" s="3058"/>
      <c r="AR175" s="3058"/>
      <c r="AS175" s="3058"/>
      <c r="AT175" s="3058"/>
      <c r="AU175" s="3056"/>
      <c r="AV175" s="3057">
        <f t="shared" si="15"/>
      </c>
      <c r="AW175" s="3054"/>
      <c r="AX175" s="3059"/>
      <c r="AY175" s="3058"/>
      <c r="AZ175" s="3058"/>
      <c r="BA175" s="3058"/>
      <c r="BB175" s="3058"/>
      <c r="BC175" s="3058"/>
      <c r="BD175" s="3058"/>
      <c r="BE175" s="3058"/>
      <c r="BF175" s="3058"/>
      <c r="BG175" s="3058"/>
      <c r="BH175" s="3058"/>
      <c r="BI175" s="3058"/>
      <c r="BJ175" s="3058"/>
      <c r="BK175" s="3058"/>
      <c r="BL175" s="3056"/>
      <c r="BM175" s="3057">
        <f t="shared" si="16"/>
      </c>
      <c r="BN175" s="3054"/>
      <c r="BO175" s="3059"/>
      <c r="BP175" s="3058"/>
      <c r="BQ175" s="3058"/>
      <c r="BR175" s="3058"/>
      <c r="BS175" s="3058"/>
      <c r="BT175" s="3058"/>
      <c r="BU175" s="3058"/>
      <c r="BV175" s="3058"/>
      <c r="BW175" s="3058"/>
      <c r="BX175" s="3058"/>
      <c r="BY175" s="3058"/>
      <c r="BZ175" s="3058"/>
      <c r="CA175" s="3058"/>
      <c r="CB175" s="3058"/>
      <c r="CC175" s="3056"/>
      <c r="CD175" s="3057">
        <f t="shared" si="0"/>
      </c>
      <c r="CE175" s="3054"/>
      <c r="CF175" s="3054"/>
      <c r="CG175" s="3055"/>
      <c r="CH175" s="3055"/>
      <c r="CI175" s="3055"/>
      <c r="CJ175" s="3055"/>
      <c r="CK175" s="3055"/>
      <c r="CL175" s="3055"/>
      <c r="CM175" s="3055"/>
      <c r="CN175" s="3055"/>
      <c r="CO175" s="3055"/>
      <c r="CP175" s="3055"/>
      <c r="CQ175" s="3055"/>
      <c r="CR175" s="3055"/>
      <c r="CS175" s="3055"/>
      <c r="CU175" s="3054"/>
      <c r="CV175" s="696"/>
      <c r="CW175" s="696"/>
      <c r="CZ175" s="3060">
        <f t="shared" si="17"/>
      </c>
      <c r="DA175" s="3060">
        <f t="shared" si="1"/>
      </c>
      <c r="DB175" s="3060">
        <f t="shared" si="18"/>
      </c>
      <c r="DC175" s="3060">
        <f t="shared" si="19"/>
      </c>
      <c r="DD175" s="3060">
        <f t="shared" si="20"/>
      </c>
      <c r="DE175" s="3060">
        <f t="shared" si="21"/>
      </c>
      <c r="DF175" s="3060">
        <f t="shared" si="22"/>
      </c>
      <c r="DG175" s="3060">
        <f t="shared" si="23"/>
      </c>
      <c r="DH175" s="3060">
        <f t="shared" si="24"/>
      </c>
      <c r="DI175" s="3060">
        <f t="shared" si="1"/>
      </c>
    </row>
    <row r="176" ht="15" customHeight="1" s="3052" customFormat="1">
      <c r="A176" s="3065"/>
      <c r="B176" s="3054">
        <f t="shared" si="2"/>
      </c>
      <c r="C176" s="3054"/>
      <c r="D176" s="3054"/>
      <c r="E176" s="3055"/>
      <c r="F176" s="3055"/>
      <c r="G176" s="3055"/>
      <c r="H176" s="3055"/>
      <c r="I176" s="3055"/>
      <c r="J176" s="3055"/>
      <c r="K176" s="3055"/>
      <c r="L176" s="3055"/>
      <c r="M176" s="3055"/>
      <c r="N176" s="3055"/>
      <c r="O176" s="3055"/>
      <c r="P176" s="3055"/>
      <c r="Q176" s="3055"/>
      <c r="R176" s="3055">
        <f t="shared" si="3"/>
        <v>0</v>
      </c>
      <c r="S176" s="3055">
        <f t="shared" si="4"/>
        <v>0</v>
      </c>
      <c r="T176" s="3055">
        <f t="shared" si="5"/>
        <v>0</v>
      </c>
      <c r="U176" s="3055">
        <f t="shared" si="6"/>
        <v>0</v>
      </c>
      <c r="V176" s="3055">
        <f t="shared" si="7"/>
        <v>0</v>
      </c>
      <c r="W176" s="3055">
        <f t="shared" si="8"/>
        <v>0</v>
      </c>
      <c r="X176" s="3055">
        <f t="shared" si="9"/>
        <v>0</v>
      </c>
      <c r="Y176" s="3055">
        <f t="shared" si="10"/>
        <v>0</v>
      </c>
      <c r="Z176" s="3055">
        <f t="shared" si="11"/>
        <v>0</v>
      </c>
      <c r="AA176" s="3055">
        <f t="shared" si="12"/>
        <v>0</v>
      </c>
      <c r="AB176" s="3055">
        <f t="shared" si="13"/>
        <v>0</v>
      </c>
      <c r="AC176" s="3055">
        <f t="shared" si="14"/>
        <v>0</v>
      </c>
      <c r="AD176" s="3056"/>
      <c r="AE176" s="3057">
        <f t="shared" si="0"/>
      </c>
      <c r="AF176" s="3054"/>
      <c r="AG176" s="3059"/>
      <c r="AH176" s="3058"/>
      <c r="AI176" s="3058"/>
      <c r="AJ176" s="3058"/>
      <c r="AK176" s="3058"/>
      <c r="AL176" s="3058"/>
      <c r="AM176" s="3058"/>
      <c r="AN176" s="3058"/>
      <c r="AO176" s="3058"/>
      <c r="AP176" s="3058"/>
      <c r="AQ176" s="3058"/>
      <c r="AR176" s="3058"/>
      <c r="AS176" s="3058"/>
      <c r="AT176" s="3058"/>
      <c r="AU176" s="3056"/>
      <c r="AV176" s="3057">
        <f t="shared" si="15"/>
      </c>
      <c r="AW176" s="3054"/>
      <c r="AX176" s="3059"/>
      <c r="AY176" s="3058"/>
      <c r="AZ176" s="3058"/>
      <c r="BA176" s="3058"/>
      <c r="BB176" s="3058"/>
      <c r="BC176" s="3058"/>
      <c r="BD176" s="3058"/>
      <c r="BE176" s="3058"/>
      <c r="BF176" s="3058"/>
      <c r="BG176" s="3058"/>
      <c r="BH176" s="3058"/>
      <c r="BI176" s="3058"/>
      <c r="BJ176" s="3058"/>
      <c r="BK176" s="3058"/>
      <c r="BL176" s="3056"/>
      <c r="BM176" s="3057">
        <f t="shared" si="16"/>
      </c>
      <c r="BN176" s="3054"/>
      <c r="BO176" s="3059"/>
      <c r="BP176" s="3058"/>
      <c r="BQ176" s="3058"/>
      <c r="BR176" s="3058"/>
      <c r="BS176" s="3058"/>
      <c r="BT176" s="3058"/>
      <c r="BU176" s="3058"/>
      <c r="BV176" s="3058"/>
      <c r="BW176" s="3058"/>
      <c r="BX176" s="3058"/>
      <c r="BY176" s="3058"/>
      <c r="BZ176" s="3058"/>
      <c r="CA176" s="3058"/>
      <c r="CB176" s="3058"/>
      <c r="CC176" s="3056"/>
      <c r="CD176" s="3057">
        <f t="shared" si="0"/>
      </c>
      <c r="CE176" s="3054"/>
      <c r="CF176" s="3054"/>
      <c r="CG176" s="3055"/>
      <c r="CH176" s="3055"/>
      <c r="CI176" s="3055"/>
      <c r="CJ176" s="3055"/>
      <c r="CK176" s="3055"/>
      <c r="CL176" s="3055"/>
      <c r="CM176" s="3055"/>
      <c r="CN176" s="3055"/>
      <c r="CO176" s="3055"/>
      <c r="CP176" s="3055"/>
      <c r="CQ176" s="3055"/>
      <c r="CR176" s="3055"/>
      <c r="CS176" s="3055"/>
      <c r="CU176" s="3054"/>
      <c r="CV176" s="696"/>
      <c r="CW176" s="696"/>
      <c r="CZ176" s="3060">
        <f t="shared" si="17"/>
      </c>
      <c r="DA176" s="3060">
        <f t="shared" si="1"/>
      </c>
      <c r="DB176" s="3060">
        <f t="shared" si="18"/>
      </c>
      <c r="DC176" s="3060">
        <f t="shared" si="19"/>
      </c>
      <c r="DD176" s="3060">
        <f t="shared" si="20"/>
      </c>
      <c r="DE176" s="3060">
        <f t="shared" si="21"/>
      </c>
      <c r="DF176" s="3060">
        <f t="shared" si="22"/>
      </c>
      <c r="DG176" s="3060">
        <f t="shared" si="23"/>
      </c>
      <c r="DH176" s="3060">
        <f t="shared" si="24"/>
      </c>
      <c r="DI176" s="3060">
        <f t="shared" si="1"/>
      </c>
    </row>
    <row r="177" ht="15" customHeight="1" s="3052" customFormat="1">
      <c r="A177" s="3065"/>
      <c r="B177" s="3054">
        <f t="shared" si="2"/>
      </c>
      <c r="C177" s="3054"/>
      <c r="D177" s="3054"/>
      <c r="E177" s="3055"/>
      <c r="F177" s="3055"/>
      <c r="G177" s="3055"/>
      <c r="H177" s="3055"/>
      <c r="I177" s="3055"/>
      <c r="J177" s="3055"/>
      <c r="K177" s="3055"/>
      <c r="L177" s="3055"/>
      <c r="M177" s="3055"/>
      <c r="N177" s="3055"/>
      <c r="O177" s="3055"/>
      <c r="P177" s="3055"/>
      <c r="Q177" s="3055"/>
      <c r="R177" s="3055">
        <f t="shared" si="3"/>
        <v>0</v>
      </c>
      <c r="S177" s="3055">
        <f t="shared" si="4"/>
        <v>0</v>
      </c>
      <c r="T177" s="3055">
        <f t="shared" si="5"/>
        <v>0</v>
      </c>
      <c r="U177" s="3055">
        <f t="shared" si="6"/>
        <v>0</v>
      </c>
      <c r="V177" s="3055">
        <f t="shared" si="7"/>
        <v>0</v>
      </c>
      <c r="W177" s="3055">
        <f t="shared" si="8"/>
        <v>0</v>
      </c>
      <c r="X177" s="3055">
        <f t="shared" si="9"/>
        <v>0</v>
      </c>
      <c r="Y177" s="3055">
        <f t="shared" si="10"/>
        <v>0</v>
      </c>
      <c r="Z177" s="3055">
        <f t="shared" si="11"/>
        <v>0</v>
      </c>
      <c r="AA177" s="3055">
        <f t="shared" si="12"/>
        <v>0</v>
      </c>
      <c r="AB177" s="3055">
        <f t="shared" si="13"/>
        <v>0</v>
      </c>
      <c r="AC177" s="3055">
        <f t="shared" si="14"/>
        <v>0</v>
      </c>
      <c r="AD177" s="3056"/>
      <c r="AE177" s="3057">
        <f t="shared" si="0"/>
      </c>
      <c r="AF177" s="3054"/>
      <c r="AG177" s="3059"/>
      <c r="AH177" s="3058"/>
      <c r="AI177" s="3058"/>
      <c r="AJ177" s="3058"/>
      <c r="AK177" s="3058"/>
      <c r="AL177" s="3058"/>
      <c r="AM177" s="3058"/>
      <c r="AN177" s="3058"/>
      <c r="AO177" s="3058"/>
      <c r="AP177" s="3058"/>
      <c r="AQ177" s="3058"/>
      <c r="AR177" s="3058"/>
      <c r="AS177" s="3058"/>
      <c r="AT177" s="3058"/>
      <c r="AU177" s="3056"/>
      <c r="AV177" s="3057">
        <f t="shared" si="15"/>
      </c>
      <c r="AW177" s="3054"/>
      <c r="AX177" s="3059"/>
      <c r="AY177" s="3058"/>
      <c r="AZ177" s="3058"/>
      <c r="BA177" s="3058"/>
      <c r="BB177" s="3058"/>
      <c r="BC177" s="3058"/>
      <c r="BD177" s="3058"/>
      <c r="BE177" s="3058"/>
      <c r="BF177" s="3058"/>
      <c r="BG177" s="3058"/>
      <c r="BH177" s="3058"/>
      <c r="BI177" s="3058"/>
      <c r="BJ177" s="3058"/>
      <c r="BK177" s="3058"/>
      <c r="BL177" s="3056"/>
      <c r="BM177" s="3057">
        <f t="shared" si="16"/>
      </c>
      <c r="BN177" s="3054"/>
      <c r="BO177" s="3059"/>
      <c r="BP177" s="3058"/>
      <c r="BQ177" s="3058"/>
      <c r="BR177" s="3058"/>
      <c r="BS177" s="3058"/>
      <c r="BT177" s="3058"/>
      <c r="BU177" s="3058"/>
      <c r="BV177" s="3058"/>
      <c r="BW177" s="3058"/>
      <c r="BX177" s="3058"/>
      <c r="BY177" s="3058"/>
      <c r="BZ177" s="3058"/>
      <c r="CA177" s="3058"/>
      <c r="CB177" s="3058"/>
      <c r="CC177" s="3056"/>
      <c r="CD177" s="3057">
        <f t="shared" si="0"/>
      </c>
      <c r="CE177" s="3054"/>
      <c r="CF177" s="3054"/>
      <c r="CG177" s="3055"/>
      <c r="CH177" s="3055"/>
      <c r="CI177" s="3055"/>
      <c r="CJ177" s="3055"/>
      <c r="CK177" s="3055"/>
      <c r="CL177" s="3055"/>
      <c r="CM177" s="3055"/>
      <c r="CN177" s="3055"/>
      <c r="CO177" s="3055"/>
      <c r="CP177" s="3055"/>
      <c r="CQ177" s="3055"/>
      <c r="CR177" s="3055"/>
      <c r="CS177" s="3055"/>
      <c r="CU177" s="3054"/>
      <c r="CV177" s="696"/>
      <c r="CW177" s="696"/>
      <c r="CZ177" s="3060">
        <f t="shared" si="17"/>
      </c>
      <c r="DA177" s="3060">
        <f t="shared" si="1"/>
      </c>
      <c r="DB177" s="3060">
        <f t="shared" si="18"/>
      </c>
      <c r="DC177" s="3060">
        <f t="shared" si="19"/>
      </c>
      <c r="DD177" s="3060">
        <f t="shared" si="20"/>
      </c>
      <c r="DE177" s="3060">
        <f t="shared" si="21"/>
      </c>
      <c r="DF177" s="3060">
        <f t="shared" si="22"/>
      </c>
      <c r="DG177" s="3060">
        <f t="shared" si="23"/>
      </c>
      <c r="DH177" s="3060">
        <f t="shared" si="24"/>
      </c>
      <c r="DI177" s="3060">
        <f t="shared" si="1"/>
      </c>
    </row>
    <row r="178" ht="15" customHeight="1" s="3052" customFormat="1">
      <c r="A178" s="3065"/>
      <c r="B178" s="3054">
        <f t="shared" si="2"/>
      </c>
      <c r="C178" s="3054"/>
      <c r="D178" s="3054"/>
      <c r="E178" s="3055"/>
      <c r="F178" s="3055"/>
      <c r="G178" s="3055"/>
      <c r="H178" s="3055"/>
      <c r="I178" s="3055"/>
      <c r="J178" s="3055"/>
      <c r="K178" s="3055"/>
      <c r="L178" s="3055"/>
      <c r="M178" s="3055"/>
      <c r="N178" s="3055"/>
      <c r="O178" s="3055"/>
      <c r="P178" s="3055"/>
      <c r="Q178" s="3055"/>
      <c r="R178" s="3055">
        <f t="shared" si="3"/>
        <v>0</v>
      </c>
      <c r="S178" s="3055">
        <f t="shared" si="4"/>
        <v>0</v>
      </c>
      <c r="T178" s="3055">
        <f t="shared" si="5"/>
        <v>0</v>
      </c>
      <c r="U178" s="3055">
        <f t="shared" si="6"/>
        <v>0</v>
      </c>
      <c r="V178" s="3055">
        <f t="shared" si="7"/>
        <v>0</v>
      </c>
      <c r="W178" s="3055">
        <f t="shared" si="8"/>
        <v>0</v>
      </c>
      <c r="X178" s="3055">
        <f t="shared" si="9"/>
        <v>0</v>
      </c>
      <c r="Y178" s="3055">
        <f t="shared" si="10"/>
        <v>0</v>
      </c>
      <c r="Z178" s="3055">
        <f t="shared" si="11"/>
        <v>0</v>
      </c>
      <c r="AA178" s="3055">
        <f t="shared" si="12"/>
        <v>0</v>
      </c>
      <c r="AB178" s="3055">
        <f t="shared" si="13"/>
        <v>0</v>
      </c>
      <c r="AC178" s="3055">
        <f t="shared" si="14"/>
        <v>0</v>
      </c>
      <c r="AD178" s="3056"/>
      <c r="AE178" s="3057">
        <f t="shared" si="0"/>
      </c>
      <c r="AF178" s="3054"/>
      <c r="AG178" s="3059"/>
      <c r="AH178" s="3058"/>
      <c r="AI178" s="3058"/>
      <c r="AJ178" s="3058"/>
      <c r="AK178" s="3058"/>
      <c r="AL178" s="3058"/>
      <c r="AM178" s="3058"/>
      <c r="AN178" s="3058"/>
      <c r="AO178" s="3058"/>
      <c r="AP178" s="3058"/>
      <c r="AQ178" s="3058"/>
      <c r="AR178" s="3058"/>
      <c r="AS178" s="3058"/>
      <c r="AT178" s="3058"/>
      <c r="AU178" s="3056"/>
      <c r="AV178" s="3057">
        <f t="shared" si="15"/>
      </c>
      <c r="AW178" s="3054"/>
      <c r="AX178" s="3059"/>
      <c r="AY178" s="3058"/>
      <c r="AZ178" s="3058"/>
      <c r="BA178" s="3058"/>
      <c r="BB178" s="3058"/>
      <c r="BC178" s="3058"/>
      <c r="BD178" s="3058"/>
      <c r="BE178" s="3058"/>
      <c r="BF178" s="3058"/>
      <c r="BG178" s="3058"/>
      <c r="BH178" s="3058"/>
      <c r="BI178" s="3058"/>
      <c r="BJ178" s="3058"/>
      <c r="BK178" s="3058"/>
      <c r="BL178" s="3056"/>
      <c r="BM178" s="3057">
        <f t="shared" si="16"/>
      </c>
      <c r="BN178" s="3054"/>
      <c r="BO178" s="3059"/>
      <c r="BP178" s="3058"/>
      <c r="BQ178" s="3058"/>
      <c r="BR178" s="3058"/>
      <c r="BS178" s="3058"/>
      <c r="BT178" s="3058"/>
      <c r="BU178" s="3058"/>
      <c r="BV178" s="3058"/>
      <c r="BW178" s="3058"/>
      <c r="BX178" s="3058"/>
      <c r="BY178" s="3058"/>
      <c r="BZ178" s="3058"/>
      <c r="CA178" s="3058"/>
      <c r="CB178" s="3058"/>
      <c r="CC178" s="3056"/>
      <c r="CD178" s="3057">
        <f t="shared" si="0"/>
      </c>
      <c r="CE178" s="3054"/>
      <c r="CF178" s="3054"/>
      <c r="CG178" s="3055"/>
      <c r="CH178" s="3055"/>
      <c r="CI178" s="3055"/>
      <c r="CJ178" s="3055"/>
      <c r="CK178" s="3055"/>
      <c r="CL178" s="3055"/>
      <c r="CM178" s="3055"/>
      <c r="CN178" s="3055"/>
      <c r="CO178" s="3055"/>
      <c r="CP178" s="3055"/>
      <c r="CQ178" s="3055"/>
      <c r="CR178" s="3055"/>
      <c r="CS178" s="3055"/>
      <c r="CU178" s="3054"/>
      <c r="CV178" s="696"/>
      <c r="CW178" s="696"/>
      <c r="CZ178" s="3060">
        <f t="shared" si="17"/>
      </c>
      <c r="DA178" s="3060">
        <f t="shared" si="1"/>
      </c>
      <c r="DB178" s="3060">
        <f t="shared" si="18"/>
      </c>
      <c r="DC178" s="3060">
        <f t="shared" si="19"/>
      </c>
      <c r="DD178" s="3060">
        <f t="shared" si="20"/>
      </c>
      <c r="DE178" s="3060">
        <f t="shared" si="21"/>
      </c>
      <c r="DF178" s="3060">
        <f t="shared" si="22"/>
      </c>
      <c r="DG178" s="3060">
        <f t="shared" si="23"/>
      </c>
      <c r="DH178" s="3060">
        <f t="shared" si="24"/>
      </c>
      <c r="DI178" s="3060">
        <f t="shared" si="1"/>
      </c>
    </row>
    <row r="179" ht="15" customHeight="1" s="3052" customFormat="1">
      <c r="A179" s="3065"/>
      <c r="B179" s="3054">
        <f t="shared" si="2"/>
      </c>
      <c r="C179" s="3054"/>
      <c r="D179" s="3054"/>
      <c r="E179" s="3055"/>
      <c r="F179" s="3055"/>
      <c r="G179" s="3055"/>
      <c r="H179" s="3055"/>
      <c r="I179" s="3055"/>
      <c r="J179" s="3055"/>
      <c r="K179" s="3055"/>
      <c r="L179" s="3055"/>
      <c r="M179" s="3055"/>
      <c r="N179" s="3055"/>
      <c r="O179" s="3055"/>
      <c r="P179" s="3055"/>
      <c r="Q179" s="3055"/>
      <c r="R179" s="3055">
        <f t="shared" si="3"/>
        <v>0</v>
      </c>
      <c r="S179" s="3055">
        <f t="shared" si="4"/>
        <v>0</v>
      </c>
      <c r="T179" s="3055">
        <f t="shared" si="5"/>
        <v>0</v>
      </c>
      <c r="U179" s="3055">
        <f t="shared" si="6"/>
        <v>0</v>
      </c>
      <c r="V179" s="3055">
        <f t="shared" si="7"/>
        <v>0</v>
      </c>
      <c r="W179" s="3055">
        <f t="shared" si="8"/>
        <v>0</v>
      </c>
      <c r="X179" s="3055">
        <f t="shared" si="9"/>
        <v>0</v>
      </c>
      <c r="Y179" s="3055">
        <f t="shared" si="10"/>
        <v>0</v>
      </c>
      <c r="Z179" s="3055">
        <f t="shared" si="11"/>
        <v>0</v>
      </c>
      <c r="AA179" s="3055">
        <f t="shared" si="12"/>
        <v>0</v>
      </c>
      <c r="AB179" s="3055">
        <f t="shared" si="13"/>
        <v>0</v>
      </c>
      <c r="AC179" s="3055">
        <f t="shared" si="14"/>
        <v>0</v>
      </c>
      <c r="AD179" s="3056"/>
      <c r="AE179" s="3057">
        <f t="shared" si="0"/>
      </c>
      <c r="AF179" s="3054"/>
      <c r="AG179" s="3059"/>
      <c r="AH179" s="3058"/>
      <c r="AI179" s="3058"/>
      <c r="AJ179" s="3058"/>
      <c r="AK179" s="3058"/>
      <c r="AL179" s="3058"/>
      <c r="AM179" s="3058"/>
      <c r="AN179" s="3058"/>
      <c r="AO179" s="3058"/>
      <c r="AP179" s="3058"/>
      <c r="AQ179" s="3058"/>
      <c r="AR179" s="3058"/>
      <c r="AS179" s="3058"/>
      <c r="AT179" s="3058"/>
      <c r="AU179" s="3056"/>
      <c r="AV179" s="3057">
        <f t="shared" si="15"/>
      </c>
      <c r="AW179" s="3054"/>
      <c r="AX179" s="3059"/>
      <c r="AY179" s="3058"/>
      <c r="AZ179" s="3058"/>
      <c r="BA179" s="3058"/>
      <c r="BB179" s="3058"/>
      <c r="BC179" s="3058"/>
      <c r="BD179" s="3058"/>
      <c r="BE179" s="3058"/>
      <c r="BF179" s="3058"/>
      <c r="BG179" s="3058"/>
      <c r="BH179" s="3058"/>
      <c r="BI179" s="3058"/>
      <c r="BJ179" s="3058"/>
      <c r="BK179" s="3058"/>
      <c r="BL179" s="3056"/>
      <c r="BM179" s="3057">
        <f t="shared" si="16"/>
      </c>
      <c r="BN179" s="3054"/>
      <c r="BO179" s="3059"/>
      <c r="BP179" s="3058"/>
      <c r="BQ179" s="3058"/>
      <c r="BR179" s="3058"/>
      <c r="BS179" s="3058"/>
      <c r="BT179" s="3058"/>
      <c r="BU179" s="3058"/>
      <c r="BV179" s="3058"/>
      <c r="BW179" s="3058"/>
      <c r="BX179" s="3058"/>
      <c r="BY179" s="3058"/>
      <c r="BZ179" s="3058"/>
      <c r="CA179" s="3058"/>
      <c r="CB179" s="3058"/>
      <c r="CC179" s="3056"/>
      <c r="CD179" s="3057">
        <f t="shared" si="0"/>
      </c>
      <c r="CE179" s="3054"/>
      <c r="CF179" s="3054"/>
      <c r="CG179" s="3055"/>
      <c r="CH179" s="3055"/>
      <c r="CI179" s="3055"/>
      <c r="CJ179" s="3055"/>
      <c r="CK179" s="3055"/>
      <c r="CL179" s="3055"/>
      <c r="CM179" s="3055"/>
      <c r="CN179" s="3055"/>
      <c r="CO179" s="3055"/>
      <c r="CP179" s="3055"/>
      <c r="CQ179" s="3055"/>
      <c r="CR179" s="3055"/>
      <c r="CS179" s="3055"/>
      <c r="CU179" s="3054"/>
      <c r="CV179" s="696"/>
      <c r="CW179" s="696"/>
      <c r="CZ179" s="3060">
        <f t="shared" si="17"/>
      </c>
      <c r="DA179" s="3060">
        <f t="shared" si="1"/>
      </c>
      <c r="DB179" s="3060">
        <f t="shared" si="18"/>
      </c>
      <c r="DC179" s="3060">
        <f t="shared" si="19"/>
      </c>
      <c r="DD179" s="3060">
        <f t="shared" si="20"/>
      </c>
      <c r="DE179" s="3060">
        <f t="shared" si="21"/>
      </c>
      <c r="DF179" s="3060">
        <f t="shared" si="22"/>
      </c>
      <c r="DG179" s="3060">
        <f t="shared" si="23"/>
      </c>
      <c r="DH179" s="3060">
        <f t="shared" si="24"/>
      </c>
      <c r="DI179" s="3060">
        <f t="shared" si="1"/>
      </c>
    </row>
    <row r="180" ht="15" customHeight="1" s="3052" customFormat="1">
      <c r="A180" s="3065"/>
      <c r="B180" s="3054">
        <f t="shared" si="2"/>
      </c>
      <c r="C180" s="3054"/>
      <c r="D180" s="3054"/>
      <c r="E180" s="3055"/>
      <c r="F180" s="3055"/>
      <c r="G180" s="3055"/>
      <c r="H180" s="3055"/>
      <c r="I180" s="3055"/>
      <c r="J180" s="3055"/>
      <c r="K180" s="3055"/>
      <c r="L180" s="3055"/>
      <c r="M180" s="3055"/>
      <c r="N180" s="3055"/>
      <c r="O180" s="3055"/>
      <c r="P180" s="3055"/>
      <c r="Q180" s="3055"/>
      <c r="R180" s="3055">
        <f t="shared" si="3"/>
        <v>0</v>
      </c>
      <c r="S180" s="3055">
        <f t="shared" si="4"/>
        <v>0</v>
      </c>
      <c r="T180" s="3055">
        <f t="shared" si="5"/>
        <v>0</v>
      </c>
      <c r="U180" s="3055">
        <f t="shared" si="6"/>
        <v>0</v>
      </c>
      <c r="V180" s="3055">
        <f t="shared" si="7"/>
        <v>0</v>
      </c>
      <c r="W180" s="3055">
        <f t="shared" si="8"/>
        <v>0</v>
      </c>
      <c r="X180" s="3055">
        <f t="shared" si="9"/>
        <v>0</v>
      </c>
      <c r="Y180" s="3055">
        <f t="shared" si="10"/>
        <v>0</v>
      </c>
      <c r="Z180" s="3055">
        <f t="shared" si="11"/>
        <v>0</v>
      </c>
      <c r="AA180" s="3055">
        <f t="shared" si="12"/>
        <v>0</v>
      </c>
      <c r="AB180" s="3055">
        <f t="shared" si="13"/>
        <v>0</v>
      </c>
      <c r="AC180" s="3055">
        <f t="shared" si="14"/>
        <v>0</v>
      </c>
      <c r="AD180" s="3056"/>
      <c r="AE180" s="3057">
        <f t="shared" si="0"/>
      </c>
      <c r="AF180" s="3054"/>
      <c r="AG180" s="3059"/>
      <c r="AH180" s="3058"/>
      <c r="AI180" s="3058"/>
      <c r="AJ180" s="3058"/>
      <c r="AK180" s="3058"/>
      <c r="AL180" s="3058"/>
      <c r="AM180" s="3058"/>
      <c r="AN180" s="3058"/>
      <c r="AO180" s="3058"/>
      <c r="AP180" s="3058"/>
      <c r="AQ180" s="3058"/>
      <c r="AR180" s="3058"/>
      <c r="AS180" s="3058"/>
      <c r="AT180" s="3058"/>
      <c r="AU180" s="3056"/>
      <c r="AV180" s="3057">
        <f t="shared" si="15"/>
      </c>
      <c r="AW180" s="3054"/>
      <c r="AX180" s="3059"/>
      <c r="AY180" s="3058"/>
      <c r="AZ180" s="3058"/>
      <c r="BA180" s="3058"/>
      <c r="BB180" s="3058"/>
      <c r="BC180" s="3058"/>
      <c r="BD180" s="3058"/>
      <c r="BE180" s="3058"/>
      <c r="BF180" s="3058"/>
      <c r="BG180" s="3058"/>
      <c r="BH180" s="3058"/>
      <c r="BI180" s="3058"/>
      <c r="BJ180" s="3058"/>
      <c r="BK180" s="3058"/>
      <c r="BL180" s="3056"/>
      <c r="BM180" s="3057">
        <f t="shared" si="16"/>
      </c>
      <c r="BN180" s="3054"/>
      <c r="BO180" s="3059"/>
      <c r="BP180" s="3058"/>
      <c r="BQ180" s="3058"/>
      <c r="BR180" s="3058"/>
      <c r="BS180" s="3058"/>
      <c r="BT180" s="3058"/>
      <c r="BU180" s="3058"/>
      <c r="BV180" s="3058"/>
      <c r="BW180" s="3058"/>
      <c r="BX180" s="3058"/>
      <c r="BY180" s="3058"/>
      <c r="BZ180" s="3058"/>
      <c r="CA180" s="3058"/>
      <c r="CB180" s="3058"/>
      <c r="CC180" s="3056"/>
      <c r="CD180" s="3057">
        <f t="shared" si="0"/>
      </c>
      <c r="CE180" s="3054"/>
      <c r="CF180" s="3054"/>
      <c r="CG180" s="3055"/>
      <c r="CH180" s="3055"/>
      <c r="CI180" s="3055"/>
      <c r="CJ180" s="3055"/>
      <c r="CK180" s="3055"/>
      <c r="CL180" s="3055"/>
      <c r="CM180" s="3055"/>
      <c r="CN180" s="3055"/>
      <c r="CO180" s="3055"/>
      <c r="CP180" s="3055"/>
      <c r="CQ180" s="3055"/>
      <c r="CR180" s="3055"/>
      <c r="CS180" s="3055"/>
      <c r="CU180" s="3054"/>
      <c r="CV180" s="696"/>
      <c r="CW180" s="696"/>
      <c r="CZ180" s="3060">
        <f t="shared" si="17"/>
      </c>
      <c r="DA180" s="3060">
        <f t="shared" si="1"/>
      </c>
      <c r="DB180" s="3060">
        <f t="shared" si="18"/>
      </c>
      <c r="DC180" s="3060">
        <f t="shared" si="19"/>
      </c>
      <c r="DD180" s="3060">
        <f t="shared" si="20"/>
      </c>
      <c r="DE180" s="3060">
        <f t="shared" si="21"/>
      </c>
      <c r="DF180" s="3060">
        <f t="shared" si="22"/>
      </c>
      <c r="DG180" s="3060">
        <f t="shared" si="23"/>
      </c>
      <c r="DH180" s="3060">
        <f t="shared" si="24"/>
      </c>
      <c r="DI180" s="3060">
        <f t="shared" si="1"/>
      </c>
    </row>
    <row r="181" ht="15" customHeight="1" s="3052" customFormat="1">
      <c r="A181" s="3065"/>
      <c r="B181" s="3054">
        <f t="shared" si="2"/>
      </c>
      <c r="C181" s="3054"/>
      <c r="D181" s="3054"/>
      <c r="E181" s="3055"/>
      <c r="F181" s="3055"/>
      <c r="G181" s="3055"/>
      <c r="H181" s="3055"/>
      <c r="I181" s="3055"/>
      <c r="J181" s="3055"/>
      <c r="K181" s="3055"/>
      <c r="L181" s="3055"/>
      <c r="M181" s="3055"/>
      <c r="N181" s="3055"/>
      <c r="O181" s="3055"/>
      <c r="P181" s="3055"/>
      <c r="Q181" s="3055"/>
      <c r="R181" s="3055">
        <f t="shared" si="3"/>
        <v>0</v>
      </c>
      <c r="S181" s="3055">
        <f t="shared" si="4"/>
        <v>0</v>
      </c>
      <c r="T181" s="3055">
        <f t="shared" si="5"/>
        <v>0</v>
      </c>
      <c r="U181" s="3055">
        <f t="shared" si="6"/>
        <v>0</v>
      </c>
      <c r="V181" s="3055">
        <f t="shared" si="7"/>
        <v>0</v>
      </c>
      <c r="W181" s="3055">
        <f t="shared" si="8"/>
        <v>0</v>
      </c>
      <c r="X181" s="3055">
        <f t="shared" si="9"/>
        <v>0</v>
      </c>
      <c r="Y181" s="3055">
        <f t="shared" si="10"/>
        <v>0</v>
      </c>
      <c r="Z181" s="3055">
        <f t="shared" si="11"/>
        <v>0</v>
      </c>
      <c r="AA181" s="3055">
        <f t="shared" si="12"/>
        <v>0</v>
      </c>
      <c r="AB181" s="3055">
        <f t="shared" si="13"/>
        <v>0</v>
      </c>
      <c r="AC181" s="3055">
        <f t="shared" si="14"/>
        <v>0</v>
      </c>
      <c r="AD181" s="3056"/>
      <c r="AE181" s="3057">
        <f t="shared" si="0"/>
      </c>
      <c r="AF181" s="3054"/>
      <c r="AG181" s="3059"/>
      <c r="AH181" s="3058"/>
      <c r="AI181" s="3058"/>
      <c r="AJ181" s="3058"/>
      <c r="AK181" s="3058"/>
      <c r="AL181" s="3058"/>
      <c r="AM181" s="3058"/>
      <c r="AN181" s="3058"/>
      <c r="AO181" s="3058"/>
      <c r="AP181" s="3058"/>
      <c r="AQ181" s="3058"/>
      <c r="AR181" s="3058"/>
      <c r="AS181" s="3058"/>
      <c r="AT181" s="3058"/>
      <c r="AU181" s="3056"/>
      <c r="AV181" s="3057">
        <f t="shared" si="15"/>
      </c>
      <c r="AW181" s="3054"/>
      <c r="AX181" s="3059"/>
      <c r="AY181" s="3058"/>
      <c r="AZ181" s="3058"/>
      <c r="BA181" s="3058"/>
      <c r="BB181" s="3058"/>
      <c r="BC181" s="3058"/>
      <c r="BD181" s="3058"/>
      <c r="BE181" s="3058"/>
      <c r="BF181" s="3058"/>
      <c r="BG181" s="3058"/>
      <c r="BH181" s="3058"/>
      <c r="BI181" s="3058"/>
      <c r="BJ181" s="3058"/>
      <c r="BK181" s="3058"/>
      <c r="BL181" s="3056"/>
      <c r="BM181" s="3057">
        <f t="shared" si="16"/>
      </c>
      <c r="BN181" s="3054"/>
      <c r="BO181" s="3059"/>
      <c r="BP181" s="3058"/>
      <c r="BQ181" s="3058"/>
      <c r="BR181" s="3058"/>
      <c r="BS181" s="3058"/>
      <c r="BT181" s="3058"/>
      <c r="BU181" s="3058"/>
      <c r="BV181" s="3058"/>
      <c r="BW181" s="3058"/>
      <c r="BX181" s="3058"/>
      <c r="BY181" s="3058"/>
      <c r="BZ181" s="3058"/>
      <c r="CA181" s="3058"/>
      <c r="CB181" s="3058"/>
      <c r="CC181" s="3056"/>
      <c r="CD181" s="3057">
        <f t="shared" si="0"/>
      </c>
      <c r="CE181" s="3054"/>
      <c r="CF181" s="3054"/>
      <c r="CG181" s="3055"/>
      <c r="CH181" s="3055"/>
      <c r="CI181" s="3055"/>
      <c r="CJ181" s="3055"/>
      <c r="CK181" s="3055"/>
      <c r="CL181" s="3055"/>
      <c r="CM181" s="3055"/>
      <c r="CN181" s="3055"/>
      <c r="CO181" s="3055"/>
      <c r="CP181" s="3055"/>
      <c r="CQ181" s="3055"/>
      <c r="CR181" s="3055"/>
      <c r="CS181" s="3055"/>
      <c r="CU181" s="3054"/>
      <c r="CV181" s="696"/>
      <c r="CW181" s="696"/>
      <c r="CZ181" s="3060">
        <f t="shared" si="17"/>
      </c>
      <c r="DA181" s="3060">
        <f t="shared" si="1"/>
      </c>
      <c r="DB181" s="3060">
        <f t="shared" si="18"/>
      </c>
      <c r="DC181" s="3060">
        <f t="shared" si="19"/>
      </c>
      <c r="DD181" s="3060">
        <f t="shared" si="20"/>
      </c>
      <c r="DE181" s="3060">
        <f t="shared" si="21"/>
      </c>
      <c r="DF181" s="3060">
        <f t="shared" si="22"/>
      </c>
      <c r="DG181" s="3060">
        <f t="shared" si="23"/>
      </c>
      <c r="DH181" s="3060">
        <f t="shared" si="24"/>
      </c>
      <c r="DI181" s="3060">
        <f t="shared" si="1"/>
      </c>
    </row>
    <row r="182" ht="15" customHeight="1" s="3052" customFormat="1">
      <c r="A182" s="3065"/>
      <c r="B182" s="3054">
        <f t="shared" si="2"/>
      </c>
      <c r="C182" s="3054"/>
      <c r="D182" s="3054"/>
      <c r="E182" s="3055"/>
      <c r="F182" s="3055"/>
      <c r="G182" s="3055"/>
      <c r="H182" s="3055"/>
      <c r="I182" s="3055"/>
      <c r="J182" s="3055"/>
      <c r="K182" s="3055"/>
      <c r="L182" s="3055"/>
      <c r="M182" s="3055"/>
      <c r="N182" s="3055"/>
      <c r="O182" s="3055"/>
      <c r="P182" s="3055"/>
      <c r="Q182" s="3055"/>
      <c r="R182" s="3055">
        <f t="shared" si="3"/>
        <v>0</v>
      </c>
      <c r="S182" s="3055">
        <f t="shared" si="4"/>
        <v>0</v>
      </c>
      <c r="T182" s="3055">
        <f t="shared" si="5"/>
        <v>0</v>
      </c>
      <c r="U182" s="3055">
        <f t="shared" si="6"/>
        <v>0</v>
      </c>
      <c r="V182" s="3055">
        <f t="shared" si="7"/>
        <v>0</v>
      </c>
      <c r="W182" s="3055">
        <f t="shared" si="8"/>
        <v>0</v>
      </c>
      <c r="X182" s="3055">
        <f t="shared" si="9"/>
        <v>0</v>
      </c>
      <c r="Y182" s="3055">
        <f t="shared" si="10"/>
        <v>0</v>
      </c>
      <c r="Z182" s="3055">
        <f t="shared" si="11"/>
        <v>0</v>
      </c>
      <c r="AA182" s="3055">
        <f t="shared" si="12"/>
        <v>0</v>
      </c>
      <c r="AB182" s="3055">
        <f t="shared" si="13"/>
        <v>0</v>
      </c>
      <c r="AC182" s="3055">
        <f t="shared" si="14"/>
        <v>0</v>
      </c>
      <c r="AD182" s="3056"/>
      <c r="AE182" s="3057">
        <f t="shared" si="0"/>
      </c>
      <c r="AF182" s="3054"/>
      <c r="AG182" s="3059"/>
      <c r="AH182" s="3058"/>
      <c r="AI182" s="3058"/>
      <c r="AJ182" s="3058"/>
      <c r="AK182" s="3058"/>
      <c r="AL182" s="3058"/>
      <c r="AM182" s="3058"/>
      <c r="AN182" s="3058"/>
      <c r="AO182" s="3058"/>
      <c r="AP182" s="3058"/>
      <c r="AQ182" s="3058"/>
      <c r="AR182" s="3058"/>
      <c r="AS182" s="3058"/>
      <c r="AT182" s="3058"/>
      <c r="AU182" s="3056"/>
      <c r="AV182" s="3057">
        <f t="shared" si="15"/>
      </c>
      <c r="AW182" s="3054"/>
      <c r="AX182" s="3059"/>
      <c r="AY182" s="3058"/>
      <c r="AZ182" s="3058"/>
      <c r="BA182" s="3058"/>
      <c r="BB182" s="3058"/>
      <c r="BC182" s="3058"/>
      <c r="BD182" s="3058"/>
      <c r="BE182" s="3058"/>
      <c r="BF182" s="3058"/>
      <c r="BG182" s="3058"/>
      <c r="BH182" s="3058"/>
      <c r="BI182" s="3058"/>
      <c r="BJ182" s="3058"/>
      <c r="BK182" s="3058"/>
      <c r="BL182" s="3056"/>
      <c r="BM182" s="3057">
        <f t="shared" si="16"/>
      </c>
      <c r="BN182" s="3054"/>
      <c r="BO182" s="3059"/>
      <c r="BP182" s="3058"/>
      <c r="BQ182" s="3058"/>
      <c r="BR182" s="3058"/>
      <c r="BS182" s="3058"/>
      <c r="BT182" s="3058"/>
      <c r="BU182" s="3058"/>
      <c r="BV182" s="3058"/>
      <c r="BW182" s="3058"/>
      <c r="BX182" s="3058"/>
      <c r="BY182" s="3058"/>
      <c r="BZ182" s="3058"/>
      <c r="CA182" s="3058"/>
      <c r="CB182" s="3058"/>
      <c r="CC182" s="3056"/>
      <c r="CD182" s="3057">
        <f t="shared" si="0"/>
      </c>
      <c r="CE182" s="3054"/>
      <c r="CF182" s="3054"/>
      <c r="CG182" s="3055"/>
      <c r="CH182" s="3055"/>
      <c r="CI182" s="3055"/>
      <c r="CJ182" s="3055"/>
      <c r="CK182" s="3055"/>
      <c r="CL182" s="3055"/>
      <c r="CM182" s="3055"/>
      <c r="CN182" s="3055"/>
      <c r="CO182" s="3055"/>
      <c r="CP182" s="3055"/>
      <c r="CQ182" s="3055"/>
      <c r="CR182" s="3055"/>
      <c r="CS182" s="3055"/>
      <c r="CU182" s="3054"/>
      <c r="CV182" s="696"/>
      <c r="CW182" s="696"/>
      <c r="CZ182" s="3060">
        <f t="shared" si="17"/>
      </c>
      <c r="DA182" s="3060">
        <f t="shared" si="1"/>
      </c>
      <c r="DB182" s="3060">
        <f t="shared" si="18"/>
      </c>
      <c r="DC182" s="3060">
        <f t="shared" si="19"/>
      </c>
      <c r="DD182" s="3060">
        <f t="shared" si="20"/>
      </c>
      <c r="DE182" s="3060">
        <f t="shared" si="21"/>
      </c>
      <c r="DF182" s="3060">
        <f t="shared" si="22"/>
      </c>
      <c r="DG182" s="3060">
        <f t="shared" si="23"/>
      </c>
      <c r="DH182" s="3060">
        <f t="shared" si="24"/>
      </c>
      <c r="DI182" s="3060">
        <f t="shared" si="1"/>
      </c>
    </row>
    <row r="183" ht="15" customHeight="1" s="3052" customFormat="1">
      <c r="A183" s="3065"/>
      <c r="B183" s="3054">
        <f t="shared" si="2"/>
      </c>
      <c r="C183" s="3054"/>
      <c r="D183" s="3054"/>
      <c r="E183" s="3055"/>
      <c r="F183" s="3055"/>
      <c r="G183" s="3055"/>
      <c r="H183" s="3055"/>
      <c r="I183" s="3055"/>
      <c r="J183" s="3055"/>
      <c r="K183" s="3055"/>
      <c r="L183" s="3055"/>
      <c r="M183" s="3055"/>
      <c r="N183" s="3055"/>
      <c r="O183" s="3055"/>
      <c r="P183" s="3055"/>
      <c r="Q183" s="3055"/>
      <c r="R183" s="3055">
        <f t="shared" si="3"/>
        <v>0</v>
      </c>
      <c r="S183" s="3055">
        <f t="shared" si="4"/>
        <v>0</v>
      </c>
      <c r="T183" s="3055">
        <f t="shared" si="5"/>
        <v>0</v>
      </c>
      <c r="U183" s="3055">
        <f t="shared" si="6"/>
        <v>0</v>
      </c>
      <c r="V183" s="3055">
        <f t="shared" si="7"/>
        <v>0</v>
      </c>
      <c r="W183" s="3055">
        <f t="shared" si="8"/>
        <v>0</v>
      </c>
      <c r="X183" s="3055">
        <f t="shared" si="9"/>
        <v>0</v>
      </c>
      <c r="Y183" s="3055">
        <f t="shared" si="10"/>
        <v>0</v>
      </c>
      <c r="Z183" s="3055">
        <f t="shared" si="11"/>
        <v>0</v>
      </c>
      <c r="AA183" s="3055">
        <f t="shared" si="12"/>
        <v>0</v>
      </c>
      <c r="AB183" s="3055">
        <f t="shared" si="13"/>
        <v>0</v>
      </c>
      <c r="AC183" s="3055">
        <f t="shared" si="14"/>
        <v>0</v>
      </c>
      <c r="AD183" s="3056"/>
      <c r="AE183" s="3057">
        <f t="shared" si="0"/>
      </c>
      <c r="AF183" s="3054"/>
      <c r="AG183" s="3059"/>
      <c r="AH183" s="3058"/>
      <c r="AI183" s="3058"/>
      <c r="AJ183" s="3058"/>
      <c r="AK183" s="3058"/>
      <c r="AL183" s="3058"/>
      <c r="AM183" s="3058"/>
      <c r="AN183" s="3058"/>
      <c r="AO183" s="3058"/>
      <c r="AP183" s="3058"/>
      <c r="AQ183" s="3058"/>
      <c r="AR183" s="3058"/>
      <c r="AS183" s="3058"/>
      <c r="AT183" s="3058"/>
      <c r="AU183" s="3056"/>
      <c r="AV183" s="3057">
        <f t="shared" si="15"/>
      </c>
      <c r="AW183" s="3054"/>
      <c r="AX183" s="3059"/>
      <c r="AY183" s="3058"/>
      <c r="AZ183" s="3058"/>
      <c r="BA183" s="3058"/>
      <c r="BB183" s="3058"/>
      <c r="BC183" s="3058"/>
      <c r="BD183" s="3058"/>
      <c r="BE183" s="3058"/>
      <c r="BF183" s="3058"/>
      <c r="BG183" s="3058"/>
      <c r="BH183" s="3058"/>
      <c r="BI183" s="3058"/>
      <c r="BJ183" s="3058"/>
      <c r="BK183" s="3058"/>
      <c r="BL183" s="3056"/>
      <c r="BM183" s="3057">
        <f t="shared" si="16"/>
      </c>
      <c r="BN183" s="3054"/>
      <c r="BO183" s="3054"/>
      <c r="BP183" s="3055"/>
      <c r="BQ183" s="3055"/>
      <c r="BR183" s="3055"/>
      <c r="BS183" s="3055"/>
      <c r="BT183" s="3055"/>
      <c r="BU183" s="3055"/>
      <c r="BV183" s="3055"/>
      <c r="BW183" s="3055"/>
      <c r="BX183" s="3055"/>
      <c r="BY183" s="3055"/>
      <c r="BZ183" s="3055"/>
      <c r="CA183" s="3055"/>
      <c r="CB183" s="3055"/>
      <c r="CC183" s="3056"/>
      <c r="CD183" s="3057">
        <f t="shared" si="0"/>
      </c>
      <c r="CE183" s="3054"/>
      <c r="CF183" s="3054"/>
      <c r="CG183" s="3055"/>
      <c r="CH183" s="3055"/>
      <c r="CI183" s="3055"/>
      <c r="CJ183" s="3055"/>
      <c r="CK183" s="3055"/>
      <c r="CL183" s="3055"/>
      <c r="CM183" s="3055"/>
      <c r="CN183" s="3055"/>
      <c r="CO183" s="3055"/>
      <c r="CP183" s="3055"/>
      <c r="CQ183" s="3055"/>
      <c r="CR183" s="3055"/>
      <c r="CS183" s="3055"/>
      <c r="CU183" s="3054"/>
      <c r="CV183" s="696"/>
      <c r="CW183" s="696"/>
      <c r="CZ183" s="3060">
        <f t="shared" si="17"/>
      </c>
      <c r="DA183" s="3060">
        <f t="shared" si="1"/>
      </c>
      <c r="DB183" s="3060">
        <f t="shared" si="18"/>
      </c>
      <c r="DC183" s="3060">
        <f t="shared" si="19"/>
      </c>
      <c r="DD183" s="3060">
        <f t="shared" si="20"/>
      </c>
      <c r="DE183" s="3060">
        <f t="shared" si="21"/>
      </c>
      <c r="DF183" s="3060">
        <f t="shared" si="22"/>
      </c>
      <c r="DG183" s="3060">
        <f t="shared" si="23"/>
      </c>
      <c r="DH183" s="3060">
        <f t="shared" si="24"/>
      </c>
      <c r="DI183" s="3060">
        <f t="shared" si="1"/>
      </c>
    </row>
    <row r="184" ht="15" customHeight="1" s="3052" customFormat="1">
      <c r="A184" s="3065"/>
      <c r="B184" s="3054">
        <f t="shared" si="2"/>
      </c>
      <c r="C184" s="3054"/>
      <c r="D184" s="3054"/>
      <c r="E184" s="3055"/>
      <c r="F184" s="3055"/>
      <c r="G184" s="3055"/>
      <c r="H184" s="3055"/>
      <c r="I184" s="3055"/>
      <c r="J184" s="3055"/>
      <c r="K184" s="3055"/>
      <c r="L184" s="3055"/>
      <c r="M184" s="3055"/>
      <c r="N184" s="3055"/>
      <c r="O184" s="3055"/>
      <c r="P184" s="3055"/>
      <c r="Q184" s="3055"/>
      <c r="R184" s="3055">
        <f t="shared" si="3"/>
        <v>0</v>
      </c>
      <c r="S184" s="3055">
        <f t="shared" si="4"/>
        <v>0</v>
      </c>
      <c r="T184" s="3055">
        <f t="shared" si="5"/>
        <v>0</v>
      </c>
      <c r="U184" s="3055">
        <f t="shared" si="6"/>
        <v>0</v>
      </c>
      <c r="V184" s="3055">
        <f t="shared" si="7"/>
        <v>0</v>
      </c>
      <c r="W184" s="3055">
        <f t="shared" si="8"/>
        <v>0</v>
      </c>
      <c r="X184" s="3055">
        <f t="shared" si="9"/>
        <v>0</v>
      </c>
      <c r="Y184" s="3055">
        <f t="shared" si="10"/>
        <v>0</v>
      </c>
      <c r="Z184" s="3055">
        <f t="shared" si="11"/>
        <v>0</v>
      </c>
      <c r="AA184" s="3055">
        <f t="shared" si="12"/>
        <v>0</v>
      </c>
      <c r="AB184" s="3055">
        <f t="shared" si="13"/>
        <v>0</v>
      </c>
      <c r="AC184" s="3055">
        <f t="shared" si="14"/>
        <v>0</v>
      </c>
      <c r="AD184" s="3056"/>
      <c r="AE184" s="3057">
        <f t="shared" si="0"/>
      </c>
      <c r="AF184" s="3054"/>
      <c r="AG184" s="3059"/>
      <c r="AH184" s="3058"/>
      <c r="AI184" s="3058"/>
      <c r="AJ184" s="3058"/>
      <c r="AK184" s="3058"/>
      <c r="AL184" s="3058"/>
      <c r="AM184" s="3058"/>
      <c r="AN184" s="3058"/>
      <c r="AO184" s="3058"/>
      <c r="AP184" s="3058"/>
      <c r="AQ184" s="3058"/>
      <c r="AR184" s="3058"/>
      <c r="AS184" s="3058"/>
      <c r="AT184" s="3058"/>
      <c r="AU184" s="3056"/>
      <c r="AV184" s="3057">
        <f t="shared" si="15"/>
      </c>
      <c r="AW184" s="3054"/>
      <c r="AX184" s="3059"/>
      <c r="AY184" s="3058"/>
      <c r="AZ184" s="3058"/>
      <c r="BA184" s="3058"/>
      <c r="BB184" s="3058"/>
      <c r="BC184" s="3058"/>
      <c r="BD184" s="3058"/>
      <c r="BE184" s="3058"/>
      <c r="BF184" s="3058"/>
      <c r="BG184" s="3058"/>
      <c r="BH184" s="3058"/>
      <c r="BI184" s="3058"/>
      <c r="BJ184" s="3058"/>
      <c r="BK184" s="3058"/>
      <c r="BL184" s="3056"/>
      <c r="BM184" s="3057">
        <f t="shared" si="16"/>
      </c>
      <c r="BN184" s="3054"/>
      <c r="BO184" s="3054"/>
      <c r="BP184" s="3055"/>
      <c r="BQ184" s="3055"/>
      <c r="BR184" s="3055"/>
      <c r="BS184" s="3055"/>
      <c r="BT184" s="3055"/>
      <c r="BU184" s="3055"/>
      <c r="BV184" s="3055"/>
      <c r="BW184" s="3055"/>
      <c r="BX184" s="3055"/>
      <c r="BY184" s="3055"/>
      <c r="BZ184" s="3055"/>
      <c r="CA184" s="3055"/>
      <c r="CB184" s="3055"/>
      <c r="CC184" s="3056"/>
      <c r="CD184" s="3057">
        <f t="shared" si="0"/>
      </c>
      <c r="CE184" s="3054"/>
      <c r="CF184" s="3054"/>
      <c r="CG184" s="3055"/>
      <c r="CH184" s="3055"/>
      <c r="CI184" s="3055"/>
      <c r="CJ184" s="3055"/>
      <c r="CK184" s="3055"/>
      <c r="CL184" s="3055"/>
      <c r="CM184" s="3055"/>
      <c r="CN184" s="3055"/>
      <c r="CO184" s="3055"/>
      <c r="CP184" s="3055"/>
      <c r="CQ184" s="3055"/>
      <c r="CR184" s="3055"/>
      <c r="CS184" s="3055"/>
      <c r="CU184" s="3054"/>
      <c r="CV184" s="696"/>
      <c r="CW184" s="696"/>
      <c r="CZ184" s="3060">
        <f t="shared" si="17"/>
      </c>
      <c r="DA184" s="3060">
        <f t="shared" si="1"/>
      </c>
      <c r="DB184" s="3060">
        <f t="shared" si="18"/>
      </c>
      <c r="DC184" s="3060">
        <f t="shared" si="19"/>
      </c>
      <c r="DD184" s="3060">
        <f t="shared" si="20"/>
      </c>
      <c r="DE184" s="3060">
        <f t="shared" si="21"/>
      </c>
      <c r="DF184" s="3060">
        <f t="shared" si="22"/>
      </c>
      <c r="DG184" s="3060">
        <f t="shared" si="23"/>
      </c>
      <c r="DH184" s="3060">
        <f t="shared" si="24"/>
      </c>
      <c r="DI184" s="3060">
        <f t="shared" si="1"/>
      </c>
    </row>
    <row r="185" ht="15" customHeight="1" s="3052" customFormat="1">
      <c r="A185" s="3065"/>
      <c r="B185" s="3054">
        <f t="shared" si="2"/>
      </c>
      <c r="C185" s="3054"/>
      <c r="D185" s="3054"/>
      <c r="E185" s="3055"/>
      <c r="F185" s="3055"/>
      <c r="G185" s="3055"/>
      <c r="H185" s="3055"/>
      <c r="I185" s="3055"/>
      <c r="J185" s="3055"/>
      <c r="K185" s="3055"/>
      <c r="L185" s="3055"/>
      <c r="M185" s="3055"/>
      <c r="N185" s="3055"/>
      <c r="O185" s="3055"/>
      <c r="P185" s="3055"/>
      <c r="Q185" s="3055"/>
      <c r="R185" s="3055">
        <f t="shared" si="3"/>
        <v>0</v>
      </c>
      <c r="S185" s="3055">
        <f t="shared" si="4"/>
        <v>0</v>
      </c>
      <c r="T185" s="3055">
        <f t="shared" si="5"/>
        <v>0</v>
      </c>
      <c r="U185" s="3055">
        <f t="shared" si="6"/>
        <v>0</v>
      </c>
      <c r="V185" s="3055">
        <f t="shared" si="7"/>
        <v>0</v>
      </c>
      <c r="W185" s="3055">
        <f t="shared" si="8"/>
        <v>0</v>
      </c>
      <c r="X185" s="3055">
        <f t="shared" si="9"/>
        <v>0</v>
      </c>
      <c r="Y185" s="3055">
        <f t="shared" si="10"/>
        <v>0</v>
      </c>
      <c r="Z185" s="3055">
        <f t="shared" si="11"/>
        <v>0</v>
      </c>
      <c r="AA185" s="3055">
        <f t="shared" si="12"/>
        <v>0</v>
      </c>
      <c r="AB185" s="3055">
        <f t="shared" si="13"/>
        <v>0</v>
      </c>
      <c r="AC185" s="3055">
        <f t="shared" si="14"/>
        <v>0</v>
      </c>
      <c r="AD185" s="3056"/>
      <c r="AE185" s="3057">
        <f t="shared" si="0"/>
      </c>
      <c r="AF185" s="3054"/>
      <c r="AG185" s="3059"/>
      <c r="AH185" s="3058"/>
      <c r="AI185" s="3058"/>
      <c r="AJ185" s="3058"/>
      <c r="AK185" s="3058"/>
      <c r="AL185" s="3058"/>
      <c r="AM185" s="3058"/>
      <c r="AN185" s="3058"/>
      <c r="AO185" s="3058"/>
      <c r="AP185" s="3058"/>
      <c r="AQ185" s="3058"/>
      <c r="AR185" s="3058"/>
      <c r="AS185" s="3058"/>
      <c r="AT185" s="3058"/>
      <c r="AU185" s="3056"/>
      <c r="AV185" s="3057">
        <f t="shared" si="15"/>
      </c>
      <c r="AW185" s="3054"/>
      <c r="AX185" s="3059"/>
      <c r="AY185" s="3058"/>
      <c r="AZ185" s="3058"/>
      <c r="BA185" s="3058"/>
      <c r="BB185" s="3058"/>
      <c r="BC185" s="3058"/>
      <c r="BD185" s="3058"/>
      <c r="BE185" s="3058"/>
      <c r="BF185" s="3058"/>
      <c r="BG185" s="3058"/>
      <c r="BH185" s="3058"/>
      <c r="BI185" s="3058"/>
      <c r="BJ185" s="3058"/>
      <c r="BK185" s="3058"/>
      <c r="BL185" s="3056"/>
      <c r="BM185" s="3057">
        <f t="shared" si="16"/>
      </c>
      <c r="BN185" s="3054"/>
      <c r="BO185" s="3054"/>
      <c r="BP185" s="3055"/>
      <c r="BQ185" s="3055"/>
      <c r="BR185" s="3055"/>
      <c r="BS185" s="3055"/>
      <c r="BT185" s="3055"/>
      <c r="BU185" s="3055"/>
      <c r="BV185" s="3055"/>
      <c r="BW185" s="3055"/>
      <c r="BX185" s="3055"/>
      <c r="BY185" s="3055"/>
      <c r="BZ185" s="3055"/>
      <c r="CA185" s="3055"/>
      <c r="CB185" s="3055"/>
      <c r="CC185" s="3056"/>
      <c r="CD185" s="3057">
        <f t="shared" si="0"/>
      </c>
      <c r="CE185" s="3054"/>
      <c r="CF185" s="3054"/>
      <c r="CG185" s="3055"/>
      <c r="CH185" s="3055"/>
      <c r="CI185" s="3055"/>
      <c r="CJ185" s="3055"/>
      <c r="CK185" s="3055"/>
      <c r="CL185" s="3055"/>
      <c r="CM185" s="3055"/>
      <c r="CN185" s="3055"/>
      <c r="CO185" s="3055"/>
      <c r="CP185" s="3055"/>
      <c r="CQ185" s="3055"/>
      <c r="CR185" s="3055"/>
      <c r="CS185" s="3055"/>
      <c r="CU185" s="3054"/>
      <c r="CV185" s="696"/>
      <c r="CW185" s="696"/>
      <c r="CZ185" s="3060">
        <f t="shared" si="17"/>
      </c>
      <c r="DA185" s="3060">
        <f t="shared" si="1"/>
      </c>
      <c r="DB185" s="3060">
        <f t="shared" si="18"/>
      </c>
      <c r="DC185" s="3060">
        <f t="shared" si="19"/>
      </c>
      <c r="DD185" s="3060">
        <f t="shared" si="20"/>
      </c>
      <c r="DE185" s="3060">
        <f t="shared" si="21"/>
      </c>
      <c r="DF185" s="3060">
        <f t="shared" si="22"/>
      </c>
      <c r="DG185" s="3060">
        <f t="shared" si="23"/>
      </c>
      <c r="DH185" s="3060">
        <f t="shared" si="24"/>
      </c>
      <c r="DI185" s="3060">
        <f t="shared" si="1"/>
      </c>
    </row>
    <row r="186" ht="15" customHeight="1" s="3052" customFormat="1">
      <c r="A186" s="3065"/>
      <c r="B186" s="3054">
        <f t="shared" si="2"/>
      </c>
      <c r="C186" s="3054"/>
      <c r="D186" s="3054"/>
      <c r="E186" s="3055"/>
      <c r="F186" s="3055"/>
      <c r="G186" s="3055"/>
      <c r="H186" s="3055"/>
      <c r="I186" s="3055"/>
      <c r="J186" s="3055"/>
      <c r="K186" s="3055"/>
      <c r="L186" s="3055"/>
      <c r="M186" s="3055"/>
      <c r="N186" s="3055"/>
      <c r="O186" s="3055"/>
      <c r="P186" s="3055"/>
      <c r="Q186" s="3055"/>
      <c r="R186" s="3055">
        <f t="shared" si="3"/>
        <v>0</v>
      </c>
      <c r="S186" s="3055">
        <f t="shared" si="4"/>
        <v>0</v>
      </c>
      <c r="T186" s="3055">
        <f t="shared" si="5"/>
        <v>0</v>
      </c>
      <c r="U186" s="3055">
        <f t="shared" si="6"/>
        <v>0</v>
      </c>
      <c r="V186" s="3055">
        <f t="shared" si="7"/>
        <v>0</v>
      </c>
      <c r="W186" s="3055">
        <f t="shared" si="8"/>
        <v>0</v>
      </c>
      <c r="X186" s="3055">
        <f t="shared" si="9"/>
        <v>0</v>
      </c>
      <c r="Y186" s="3055">
        <f t="shared" si="10"/>
        <v>0</v>
      </c>
      <c r="Z186" s="3055">
        <f t="shared" si="11"/>
        <v>0</v>
      </c>
      <c r="AA186" s="3055">
        <f t="shared" si="12"/>
        <v>0</v>
      </c>
      <c r="AB186" s="3055">
        <f t="shared" si="13"/>
        <v>0</v>
      </c>
      <c r="AC186" s="3055">
        <f t="shared" si="14"/>
        <v>0</v>
      </c>
      <c r="AD186" s="3056"/>
      <c r="AE186" s="3057">
        <f t="shared" si="0"/>
      </c>
      <c r="AF186" s="3054"/>
      <c r="AG186" s="3059"/>
      <c r="AH186" s="3058"/>
      <c r="AI186" s="3058"/>
      <c r="AJ186" s="3058"/>
      <c r="AK186" s="3058"/>
      <c r="AL186" s="3058"/>
      <c r="AM186" s="3058"/>
      <c r="AN186" s="3058"/>
      <c r="AO186" s="3058"/>
      <c r="AP186" s="3058"/>
      <c r="AQ186" s="3058"/>
      <c r="AR186" s="3058"/>
      <c r="AS186" s="3058"/>
      <c r="AT186" s="3058"/>
      <c r="AU186" s="3056"/>
      <c r="AV186" s="3057">
        <f t="shared" si="15"/>
      </c>
      <c r="AW186" s="3054"/>
      <c r="AX186" s="3059"/>
      <c r="AY186" s="3058"/>
      <c r="AZ186" s="3058"/>
      <c r="BA186" s="3058"/>
      <c r="BB186" s="3058"/>
      <c r="BC186" s="3058"/>
      <c r="BD186" s="3058"/>
      <c r="BE186" s="3058"/>
      <c r="BF186" s="3058"/>
      <c r="BG186" s="3058"/>
      <c r="BH186" s="3058"/>
      <c r="BI186" s="3058"/>
      <c r="BJ186" s="3058"/>
      <c r="BK186" s="3058"/>
      <c r="BL186" s="3056"/>
      <c r="BM186" s="3057">
        <f t="shared" si="16"/>
      </c>
      <c r="BN186" s="3054"/>
      <c r="BO186" s="3054"/>
      <c r="BP186" s="3055"/>
      <c r="BQ186" s="3055"/>
      <c r="BR186" s="3055"/>
      <c r="BS186" s="3055"/>
      <c r="BT186" s="3055"/>
      <c r="BU186" s="3055"/>
      <c r="BV186" s="3055"/>
      <c r="BW186" s="3055"/>
      <c r="BX186" s="3055"/>
      <c r="BY186" s="3055"/>
      <c r="BZ186" s="3055"/>
      <c r="CA186" s="3055"/>
      <c r="CB186" s="3055"/>
      <c r="CC186" s="3056"/>
      <c r="CD186" s="3057">
        <f t="shared" si="0"/>
      </c>
      <c r="CE186" s="3054"/>
      <c r="CF186" s="3054"/>
      <c r="CG186" s="3055"/>
      <c r="CH186" s="3055"/>
      <c r="CI186" s="3055"/>
      <c r="CJ186" s="3055"/>
      <c r="CK186" s="3055"/>
      <c r="CL186" s="3055"/>
      <c r="CM186" s="3055"/>
      <c r="CN186" s="3055"/>
      <c r="CO186" s="3055"/>
      <c r="CP186" s="3055"/>
      <c r="CQ186" s="3055"/>
      <c r="CR186" s="3055"/>
      <c r="CS186" s="3055"/>
      <c r="CU186" s="3054"/>
      <c r="CV186" s="696"/>
      <c r="CW186" s="696"/>
      <c r="CZ186" s="3060">
        <f t="shared" si="17"/>
      </c>
      <c r="DA186" s="3060">
        <f t="shared" si="1"/>
      </c>
      <c r="DB186" s="3060">
        <f t="shared" si="18"/>
      </c>
      <c r="DC186" s="3060">
        <f t="shared" si="19"/>
      </c>
      <c r="DD186" s="3060">
        <f t="shared" si="20"/>
      </c>
      <c r="DE186" s="3060">
        <f t="shared" si="21"/>
      </c>
      <c r="DF186" s="3060">
        <f t="shared" si="22"/>
      </c>
      <c r="DG186" s="3060">
        <f t="shared" si="23"/>
      </c>
      <c r="DH186" s="3060">
        <f t="shared" si="24"/>
      </c>
      <c r="DI186" s="3060">
        <f t="shared" si="1"/>
      </c>
    </row>
    <row r="187" ht="15" customHeight="1" s="3052" customFormat="1">
      <c r="A187" s="3065"/>
      <c r="B187" s="3054">
        <f t="shared" si="2"/>
      </c>
      <c r="C187" s="3054"/>
      <c r="D187" s="3054"/>
      <c r="E187" s="3055"/>
      <c r="F187" s="3055"/>
      <c r="G187" s="3055"/>
      <c r="H187" s="3055"/>
      <c r="I187" s="3055"/>
      <c r="J187" s="3055"/>
      <c r="K187" s="3055"/>
      <c r="L187" s="3055"/>
      <c r="M187" s="3055"/>
      <c r="N187" s="3055"/>
      <c r="O187" s="3055"/>
      <c r="P187" s="3055"/>
      <c r="Q187" s="3055"/>
      <c r="R187" s="3055">
        <f t="shared" si="3"/>
        <v>0</v>
      </c>
      <c r="S187" s="3055">
        <f t="shared" si="4"/>
        <v>0</v>
      </c>
      <c r="T187" s="3055">
        <f t="shared" si="5"/>
        <v>0</v>
      </c>
      <c r="U187" s="3055">
        <f t="shared" si="6"/>
        <v>0</v>
      </c>
      <c r="V187" s="3055">
        <f t="shared" si="7"/>
        <v>0</v>
      </c>
      <c r="W187" s="3055">
        <f t="shared" si="8"/>
        <v>0</v>
      </c>
      <c r="X187" s="3055">
        <f t="shared" si="9"/>
        <v>0</v>
      </c>
      <c r="Y187" s="3055">
        <f t="shared" si="10"/>
        <v>0</v>
      </c>
      <c r="Z187" s="3055">
        <f t="shared" si="11"/>
        <v>0</v>
      </c>
      <c r="AA187" s="3055">
        <f t="shared" si="12"/>
        <v>0</v>
      </c>
      <c r="AB187" s="3055">
        <f t="shared" si="13"/>
        <v>0</v>
      </c>
      <c r="AC187" s="3055">
        <f t="shared" si="14"/>
        <v>0</v>
      </c>
      <c r="AD187" s="3056"/>
      <c r="AE187" s="3057">
        <f t="shared" si="0"/>
      </c>
      <c r="AF187" s="3054"/>
      <c r="AG187" s="3059"/>
      <c r="AH187" s="3058"/>
      <c r="AI187" s="3058"/>
      <c r="AJ187" s="3058"/>
      <c r="AK187" s="3058"/>
      <c r="AL187" s="3058"/>
      <c r="AM187" s="3058"/>
      <c r="AN187" s="3058"/>
      <c r="AO187" s="3058"/>
      <c r="AP187" s="3058"/>
      <c r="AQ187" s="3058"/>
      <c r="AR187" s="3058"/>
      <c r="AS187" s="3058"/>
      <c r="AT187" s="3058"/>
      <c r="AU187" s="3056"/>
      <c r="AV187" s="3057">
        <f t="shared" si="15"/>
      </c>
      <c r="AW187" s="3054"/>
      <c r="AX187" s="3059"/>
      <c r="AY187" s="3058"/>
      <c r="AZ187" s="3058"/>
      <c r="BA187" s="3058"/>
      <c r="BB187" s="3058"/>
      <c r="BC187" s="3058"/>
      <c r="BD187" s="3058"/>
      <c r="BE187" s="3058"/>
      <c r="BF187" s="3058"/>
      <c r="BG187" s="3058"/>
      <c r="BH187" s="3058"/>
      <c r="BI187" s="3058"/>
      <c r="BJ187" s="3058"/>
      <c r="BK187" s="3058"/>
      <c r="BL187" s="3056"/>
      <c r="BM187" s="3057">
        <f t="shared" si="16"/>
      </c>
      <c r="BN187" s="3054"/>
      <c r="BO187" s="3054"/>
      <c r="BP187" s="3055"/>
      <c r="BQ187" s="3055"/>
      <c r="BR187" s="3055"/>
      <c r="BS187" s="3055"/>
      <c r="BT187" s="3055"/>
      <c r="BU187" s="3055"/>
      <c r="BV187" s="3055"/>
      <c r="BW187" s="3055"/>
      <c r="BX187" s="3055"/>
      <c r="BY187" s="3055"/>
      <c r="BZ187" s="3055"/>
      <c r="CA187" s="3055"/>
      <c r="CB187" s="3055"/>
      <c r="CC187" s="3056"/>
      <c r="CD187" s="3057">
        <f t="shared" si="0"/>
      </c>
      <c r="CE187" s="3054"/>
      <c r="CF187" s="3054"/>
      <c r="CG187" s="3055"/>
      <c r="CH187" s="3055"/>
      <c r="CI187" s="3055"/>
      <c r="CJ187" s="3055"/>
      <c r="CK187" s="3055"/>
      <c r="CL187" s="3055"/>
      <c r="CM187" s="3055"/>
      <c r="CN187" s="3055"/>
      <c r="CO187" s="3055"/>
      <c r="CP187" s="3055"/>
      <c r="CQ187" s="3055"/>
      <c r="CR187" s="3055"/>
      <c r="CS187" s="3055"/>
      <c r="CU187" s="3054"/>
      <c r="CV187" s="696"/>
      <c r="CW187" s="696"/>
      <c r="CZ187" s="3060">
        <f t="shared" si="17"/>
      </c>
      <c r="DA187" s="3060">
        <f t="shared" si="1"/>
      </c>
      <c r="DB187" s="3060">
        <f t="shared" si="18"/>
      </c>
      <c r="DC187" s="3060">
        <f t="shared" si="19"/>
      </c>
      <c r="DD187" s="3060">
        <f t="shared" si="20"/>
      </c>
      <c r="DE187" s="3060">
        <f t="shared" si="21"/>
      </c>
      <c r="DF187" s="3060">
        <f t="shared" si="22"/>
      </c>
      <c r="DG187" s="3060">
        <f t="shared" si="23"/>
      </c>
      <c r="DH187" s="3060">
        <f t="shared" si="24"/>
      </c>
      <c r="DI187" s="3060">
        <f t="shared" si="1"/>
      </c>
    </row>
    <row r="188" ht="15" customHeight="1" s="3052" customFormat="1">
      <c r="A188" s="3065"/>
      <c r="B188" s="3054">
        <f t="shared" si="2"/>
      </c>
      <c r="C188" s="3054"/>
      <c r="D188" s="3054"/>
      <c r="E188" s="3055"/>
      <c r="F188" s="3055"/>
      <c r="G188" s="3055"/>
      <c r="H188" s="3055"/>
      <c r="I188" s="3055"/>
      <c r="J188" s="3055"/>
      <c r="K188" s="3055"/>
      <c r="L188" s="3055"/>
      <c r="M188" s="3055"/>
      <c r="N188" s="3055"/>
      <c r="O188" s="3055"/>
      <c r="P188" s="3055"/>
      <c r="Q188" s="3055"/>
      <c r="R188" s="3055">
        <f t="shared" si="3"/>
        <v>0</v>
      </c>
      <c r="S188" s="3055">
        <f t="shared" si="4"/>
        <v>0</v>
      </c>
      <c r="T188" s="3055">
        <f t="shared" si="5"/>
        <v>0</v>
      </c>
      <c r="U188" s="3055">
        <f t="shared" si="6"/>
        <v>0</v>
      </c>
      <c r="V188" s="3055">
        <f t="shared" si="7"/>
        <v>0</v>
      </c>
      <c r="W188" s="3055">
        <f t="shared" si="8"/>
        <v>0</v>
      </c>
      <c r="X188" s="3055">
        <f t="shared" si="9"/>
        <v>0</v>
      </c>
      <c r="Y188" s="3055">
        <f t="shared" si="10"/>
        <v>0</v>
      </c>
      <c r="Z188" s="3055">
        <f t="shared" si="11"/>
        <v>0</v>
      </c>
      <c r="AA188" s="3055">
        <f t="shared" si="12"/>
        <v>0</v>
      </c>
      <c r="AB188" s="3055">
        <f t="shared" si="13"/>
        <v>0</v>
      </c>
      <c r="AC188" s="3055">
        <f t="shared" si="14"/>
        <v>0</v>
      </c>
      <c r="AD188" s="3056"/>
      <c r="AE188" s="3057">
        <f t="shared" si="0"/>
      </c>
      <c r="AF188" s="3054"/>
      <c r="AG188" s="3059"/>
      <c r="AH188" s="3058"/>
      <c r="AI188" s="3058"/>
      <c r="AJ188" s="3058"/>
      <c r="AK188" s="3058"/>
      <c r="AL188" s="3058"/>
      <c r="AM188" s="3058"/>
      <c r="AN188" s="3058"/>
      <c r="AO188" s="3058"/>
      <c r="AP188" s="3058"/>
      <c r="AQ188" s="3058"/>
      <c r="AR188" s="3058"/>
      <c r="AS188" s="3058"/>
      <c r="AT188" s="3058"/>
      <c r="AU188" s="3056"/>
      <c r="AV188" s="3057">
        <f t="shared" si="15"/>
      </c>
      <c r="AW188" s="3054"/>
      <c r="AX188" s="3059"/>
      <c r="AY188" s="3058"/>
      <c r="AZ188" s="3058"/>
      <c r="BA188" s="3058"/>
      <c r="BB188" s="3058"/>
      <c r="BC188" s="3058"/>
      <c r="BD188" s="3058"/>
      <c r="BE188" s="3058"/>
      <c r="BF188" s="3058"/>
      <c r="BG188" s="3058"/>
      <c r="BH188" s="3058"/>
      <c r="BI188" s="3058"/>
      <c r="BJ188" s="3058"/>
      <c r="BK188" s="3058"/>
      <c r="BL188" s="3056"/>
      <c r="BM188" s="3057">
        <f t="shared" si="16"/>
      </c>
      <c r="BN188" s="3054"/>
      <c r="BO188" s="3054"/>
      <c r="BP188" s="3055"/>
      <c r="BQ188" s="3055"/>
      <c r="BR188" s="3055"/>
      <c r="BS188" s="3055"/>
      <c r="BT188" s="3055"/>
      <c r="BU188" s="3055"/>
      <c r="BV188" s="3055"/>
      <c r="BW188" s="3055"/>
      <c r="BX188" s="3055"/>
      <c r="BY188" s="3055"/>
      <c r="BZ188" s="3055"/>
      <c r="CA188" s="3055"/>
      <c r="CB188" s="3055"/>
      <c r="CC188" s="3056"/>
      <c r="CD188" s="3057">
        <f t="shared" si="0"/>
      </c>
      <c r="CE188" s="3054"/>
      <c r="CF188" s="3054"/>
      <c r="CG188" s="3055"/>
      <c r="CH188" s="3055"/>
      <c r="CI188" s="3055"/>
      <c r="CJ188" s="3055"/>
      <c r="CK188" s="3055"/>
      <c r="CL188" s="3055"/>
      <c r="CM188" s="3055"/>
      <c r="CN188" s="3055"/>
      <c r="CO188" s="3055"/>
      <c r="CP188" s="3055"/>
      <c r="CQ188" s="3055"/>
      <c r="CR188" s="3055"/>
      <c r="CS188" s="3055"/>
      <c r="CU188" s="3054"/>
      <c r="CV188" s="696"/>
      <c r="CW188" s="696"/>
      <c r="CZ188" s="3060">
        <f t="shared" si="17"/>
      </c>
      <c r="DA188" s="3060">
        <f t="shared" si="1"/>
      </c>
      <c r="DB188" s="3060">
        <f t="shared" si="18"/>
      </c>
      <c r="DC188" s="3060">
        <f t="shared" si="19"/>
      </c>
      <c r="DD188" s="3060">
        <f t="shared" si="20"/>
      </c>
      <c r="DE188" s="3060">
        <f t="shared" si="21"/>
      </c>
      <c r="DF188" s="3060">
        <f t="shared" si="22"/>
      </c>
      <c r="DG188" s="3060">
        <f t="shared" si="23"/>
      </c>
      <c r="DH188" s="3060">
        <f t="shared" si="24"/>
      </c>
      <c r="DI188" s="3060">
        <f t="shared" si="1"/>
      </c>
    </row>
    <row r="189" ht="15" customHeight="1" s="3052" customFormat="1">
      <c r="A189" s="3065"/>
      <c r="B189" s="3054">
        <f t="shared" si="2"/>
      </c>
      <c r="C189" s="3054"/>
      <c r="D189" s="3054"/>
      <c r="E189" s="3055"/>
      <c r="F189" s="3055"/>
      <c r="G189" s="3055"/>
      <c r="H189" s="3055"/>
      <c r="I189" s="3055"/>
      <c r="J189" s="3055"/>
      <c r="K189" s="3055"/>
      <c r="L189" s="3055"/>
      <c r="M189" s="3055"/>
      <c r="N189" s="3055"/>
      <c r="O189" s="3055"/>
      <c r="P189" s="3055"/>
      <c r="Q189" s="3055"/>
      <c r="R189" s="3055">
        <f t="shared" si="3"/>
        <v>0</v>
      </c>
      <c r="S189" s="3055">
        <f t="shared" si="4"/>
        <v>0</v>
      </c>
      <c r="T189" s="3055">
        <f t="shared" si="5"/>
        <v>0</v>
      </c>
      <c r="U189" s="3055">
        <f t="shared" si="6"/>
        <v>0</v>
      </c>
      <c r="V189" s="3055">
        <f t="shared" si="7"/>
        <v>0</v>
      </c>
      <c r="W189" s="3055">
        <f t="shared" si="8"/>
        <v>0</v>
      </c>
      <c r="X189" s="3055">
        <f t="shared" si="9"/>
        <v>0</v>
      </c>
      <c r="Y189" s="3055">
        <f t="shared" si="10"/>
        <v>0</v>
      </c>
      <c r="Z189" s="3055">
        <f t="shared" si="11"/>
        <v>0</v>
      </c>
      <c r="AA189" s="3055">
        <f t="shared" si="12"/>
        <v>0</v>
      </c>
      <c r="AB189" s="3055">
        <f t="shared" si="13"/>
        <v>0</v>
      </c>
      <c r="AC189" s="3055">
        <f t="shared" si="14"/>
        <v>0</v>
      </c>
      <c r="AD189" s="3056"/>
      <c r="AE189" s="3057">
        <f t="shared" si="0"/>
      </c>
      <c r="AF189" s="3054"/>
      <c r="AG189" s="3059"/>
      <c r="AH189" s="3058"/>
      <c r="AI189" s="3058"/>
      <c r="AJ189" s="3058"/>
      <c r="AK189" s="3058"/>
      <c r="AL189" s="3058"/>
      <c r="AM189" s="3058"/>
      <c r="AN189" s="3058"/>
      <c r="AO189" s="3058"/>
      <c r="AP189" s="3058"/>
      <c r="AQ189" s="3058"/>
      <c r="AR189" s="3058"/>
      <c r="AS189" s="3058"/>
      <c r="AT189" s="3058"/>
      <c r="AU189" s="3056"/>
      <c r="AV189" s="3057">
        <f t="shared" si="15"/>
      </c>
      <c r="AW189" s="3054"/>
      <c r="AX189" s="3059"/>
      <c r="AY189" s="3058"/>
      <c r="AZ189" s="3058"/>
      <c r="BA189" s="3058"/>
      <c r="BB189" s="3058"/>
      <c r="BC189" s="3058"/>
      <c r="BD189" s="3058"/>
      <c r="BE189" s="3058"/>
      <c r="BF189" s="3058"/>
      <c r="BG189" s="3058"/>
      <c r="BH189" s="3058"/>
      <c r="BI189" s="3058"/>
      <c r="BJ189" s="3058"/>
      <c r="BK189" s="3058"/>
      <c r="BL189" s="3056"/>
      <c r="BM189" s="3057">
        <f t="shared" si="16"/>
      </c>
      <c r="BN189" s="3054"/>
      <c r="BO189" s="3054"/>
      <c r="BP189" s="3055"/>
      <c r="BQ189" s="3055"/>
      <c r="BR189" s="3055"/>
      <c r="BS189" s="3055"/>
      <c r="BT189" s="3055"/>
      <c r="BU189" s="3055"/>
      <c r="BV189" s="3055"/>
      <c r="BW189" s="3055"/>
      <c r="BX189" s="3055"/>
      <c r="BY189" s="3055"/>
      <c r="BZ189" s="3055"/>
      <c r="CA189" s="3055"/>
      <c r="CB189" s="3055"/>
      <c r="CC189" s="3056"/>
      <c r="CD189" s="3057">
        <f t="shared" si="0"/>
      </c>
      <c r="CE189" s="3054"/>
      <c r="CF189" s="3054"/>
      <c r="CG189" s="3055"/>
      <c r="CH189" s="3055"/>
      <c r="CI189" s="3055"/>
      <c r="CJ189" s="3055"/>
      <c r="CK189" s="3055"/>
      <c r="CL189" s="3055"/>
      <c r="CM189" s="3055"/>
      <c r="CN189" s="3055"/>
      <c r="CO189" s="3055"/>
      <c r="CP189" s="3055"/>
      <c r="CQ189" s="3055"/>
      <c r="CR189" s="3055"/>
      <c r="CS189" s="3055"/>
      <c r="CU189" s="3054"/>
      <c r="CV189" s="696"/>
      <c r="CW189" s="696"/>
      <c r="CZ189" s="3060">
        <f t="shared" si="17"/>
      </c>
      <c r="DA189" s="3060">
        <f t="shared" si="1"/>
      </c>
      <c r="DB189" s="3060">
        <f t="shared" si="18"/>
      </c>
      <c r="DC189" s="3060">
        <f t="shared" si="19"/>
      </c>
      <c r="DD189" s="3060">
        <f t="shared" si="20"/>
      </c>
      <c r="DE189" s="3060">
        <f t="shared" si="21"/>
      </c>
      <c r="DF189" s="3060">
        <f t="shared" si="22"/>
      </c>
      <c r="DG189" s="3060">
        <f t="shared" si="23"/>
      </c>
      <c r="DH189" s="3060">
        <f t="shared" si="24"/>
      </c>
      <c r="DI189" s="3060">
        <f t="shared" si="1"/>
      </c>
    </row>
    <row r="190" ht="15" customHeight="1" s="3052" customFormat="1">
      <c r="A190" s="3065"/>
      <c r="B190" s="3054">
        <f t="shared" si="2"/>
      </c>
      <c r="C190" s="3054"/>
      <c r="D190" s="3054"/>
      <c r="E190" s="3055"/>
      <c r="F190" s="3055"/>
      <c r="G190" s="3055"/>
      <c r="H190" s="3055"/>
      <c r="I190" s="3055"/>
      <c r="J190" s="3055"/>
      <c r="K190" s="3055"/>
      <c r="L190" s="3055"/>
      <c r="M190" s="3055"/>
      <c r="N190" s="3055"/>
      <c r="O190" s="3055"/>
      <c r="P190" s="3055"/>
      <c r="Q190" s="3055"/>
      <c r="R190" s="3055">
        <f t="shared" si="3"/>
        <v>0</v>
      </c>
      <c r="S190" s="3055">
        <f t="shared" si="4"/>
        <v>0</v>
      </c>
      <c r="T190" s="3055">
        <f t="shared" si="5"/>
        <v>0</v>
      </c>
      <c r="U190" s="3055">
        <f t="shared" si="6"/>
        <v>0</v>
      </c>
      <c r="V190" s="3055">
        <f t="shared" si="7"/>
        <v>0</v>
      </c>
      <c r="W190" s="3055">
        <f t="shared" si="8"/>
        <v>0</v>
      </c>
      <c r="X190" s="3055">
        <f t="shared" si="9"/>
        <v>0</v>
      </c>
      <c r="Y190" s="3055">
        <f t="shared" si="10"/>
        <v>0</v>
      </c>
      <c r="Z190" s="3055">
        <f t="shared" si="11"/>
        <v>0</v>
      </c>
      <c r="AA190" s="3055">
        <f t="shared" si="12"/>
        <v>0</v>
      </c>
      <c r="AB190" s="3055">
        <f t="shared" si="13"/>
        <v>0</v>
      </c>
      <c r="AC190" s="3055">
        <f t="shared" si="14"/>
        <v>0</v>
      </c>
      <c r="AD190" s="3056"/>
      <c r="AE190" s="3057">
        <f t="shared" si="0"/>
      </c>
      <c r="AF190" s="3054"/>
      <c r="AG190" s="3054"/>
      <c r="AH190" s="3055"/>
      <c r="AI190" s="3055"/>
      <c r="AJ190" s="3055"/>
      <c r="AK190" s="3055"/>
      <c r="AL190" s="3055"/>
      <c r="AM190" s="3055"/>
      <c r="AN190" s="3055"/>
      <c r="AO190" s="3055"/>
      <c r="AP190" s="3055"/>
      <c r="AQ190" s="3055"/>
      <c r="AR190" s="3055"/>
      <c r="AS190" s="3055"/>
      <c r="AT190" s="3055"/>
      <c r="AU190" s="3056"/>
      <c r="AV190" s="3057">
        <f t="shared" si="15"/>
      </c>
      <c r="AW190" s="3054"/>
      <c r="AX190" s="3059"/>
      <c r="AY190" s="3058"/>
      <c r="AZ190" s="3058"/>
      <c r="BA190" s="3058"/>
      <c r="BB190" s="3058"/>
      <c r="BC190" s="3058"/>
      <c r="BD190" s="3058"/>
      <c r="BE190" s="3058"/>
      <c r="BF190" s="3058"/>
      <c r="BG190" s="3058"/>
      <c r="BH190" s="3058"/>
      <c r="BI190" s="3058"/>
      <c r="BJ190" s="3058"/>
      <c r="BK190" s="3058"/>
      <c r="BL190" s="3056"/>
      <c r="BM190" s="3057">
        <f t="shared" si="16"/>
      </c>
      <c r="BN190" s="3054"/>
      <c r="BO190" s="3054"/>
      <c r="BP190" s="3055"/>
      <c r="BQ190" s="3055"/>
      <c r="BR190" s="3055"/>
      <c r="BS190" s="3055"/>
      <c r="BT190" s="3055"/>
      <c r="BU190" s="3055"/>
      <c r="BV190" s="3055"/>
      <c r="BW190" s="3055"/>
      <c r="BX190" s="3055"/>
      <c r="BY190" s="3055"/>
      <c r="BZ190" s="3055"/>
      <c r="CA190" s="3055"/>
      <c r="CB190" s="3055"/>
      <c r="CC190" s="3056"/>
      <c r="CD190" s="3057">
        <f t="shared" si="0"/>
      </c>
      <c r="CE190" s="3054"/>
      <c r="CF190" s="3054"/>
      <c r="CG190" s="3055"/>
      <c r="CH190" s="3055"/>
      <c r="CI190" s="3055"/>
      <c r="CJ190" s="3055"/>
      <c r="CK190" s="3055"/>
      <c r="CL190" s="3055"/>
      <c r="CM190" s="3055"/>
      <c r="CN190" s="3055"/>
      <c r="CO190" s="3055"/>
      <c r="CP190" s="3055"/>
      <c r="CQ190" s="3055"/>
      <c r="CR190" s="3055"/>
      <c r="CS190" s="3055"/>
      <c r="CU190" s="3054"/>
      <c r="CV190" s="696"/>
      <c r="CW190" s="696"/>
      <c r="CZ190" s="3060">
        <f t="shared" si="17"/>
      </c>
      <c r="DA190" s="3060">
        <f t="shared" si="1"/>
      </c>
      <c r="DB190" s="3060">
        <f t="shared" si="18"/>
      </c>
      <c r="DC190" s="3060">
        <f t="shared" si="19"/>
      </c>
      <c r="DD190" s="3060">
        <f t="shared" si="20"/>
      </c>
      <c r="DE190" s="3060">
        <f t="shared" si="21"/>
      </c>
      <c r="DF190" s="3060">
        <f t="shared" si="22"/>
      </c>
      <c r="DG190" s="3060">
        <f t="shared" si="23"/>
      </c>
      <c r="DH190" s="3060">
        <f t="shared" si="24"/>
      </c>
      <c r="DI190" s="3060">
        <f t="shared" si="1"/>
      </c>
    </row>
    <row r="191" ht="15" customHeight="1" s="3052" customFormat="1">
      <c r="A191" s="3065"/>
      <c r="B191" s="3054">
        <f t="shared" si="2"/>
      </c>
      <c r="C191" s="3054"/>
      <c r="D191" s="3054"/>
      <c r="E191" s="3055"/>
      <c r="F191" s="3055"/>
      <c r="G191" s="3055"/>
      <c r="H191" s="3055"/>
      <c r="I191" s="3055"/>
      <c r="J191" s="3055"/>
      <c r="K191" s="3055"/>
      <c r="L191" s="3055"/>
      <c r="M191" s="3055"/>
      <c r="N191" s="3055"/>
      <c r="O191" s="3055"/>
      <c r="P191" s="3055"/>
      <c r="Q191" s="3055"/>
      <c r="R191" s="3055">
        <f t="shared" si="3"/>
        <v>0</v>
      </c>
      <c r="S191" s="3055">
        <f t="shared" si="4"/>
        <v>0</v>
      </c>
      <c r="T191" s="3055">
        <f t="shared" si="5"/>
        <v>0</v>
      </c>
      <c r="U191" s="3055">
        <f t="shared" si="6"/>
        <v>0</v>
      </c>
      <c r="V191" s="3055">
        <f t="shared" si="7"/>
        <v>0</v>
      </c>
      <c r="W191" s="3055">
        <f t="shared" si="8"/>
        <v>0</v>
      </c>
      <c r="X191" s="3055">
        <f t="shared" si="9"/>
        <v>0</v>
      </c>
      <c r="Y191" s="3055">
        <f t="shared" si="10"/>
        <v>0</v>
      </c>
      <c r="Z191" s="3055">
        <f t="shared" si="11"/>
        <v>0</v>
      </c>
      <c r="AA191" s="3055">
        <f t="shared" si="12"/>
        <v>0</v>
      </c>
      <c r="AB191" s="3055">
        <f t="shared" si="13"/>
        <v>0</v>
      </c>
      <c r="AC191" s="3055">
        <f t="shared" si="14"/>
        <v>0</v>
      </c>
      <c r="AD191" s="3056"/>
      <c r="AE191" s="3057">
        <f t="shared" si="0"/>
      </c>
      <c r="AF191" s="3054"/>
      <c r="AG191" s="3054"/>
      <c r="AH191" s="3055"/>
      <c r="AI191" s="3055"/>
      <c r="AJ191" s="3055"/>
      <c r="AK191" s="3055"/>
      <c r="AL191" s="3055"/>
      <c r="AM191" s="3055"/>
      <c r="AN191" s="3055"/>
      <c r="AO191" s="3055"/>
      <c r="AP191" s="3055"/>
      <c r="AQ191" s="3055"/>
      <c r="AR191" s="3055"/>
      <c r="AS191" s="3055"/>
      <c r="AT191" s="3055"/>
      <c r="AU191" s="3056"/>
      <c r="AV191" s="3057">
        <f t="shared" si="15"/>
      </c>
      <c r="AW191" s="3054"/>
      <c r="AX191" s="3059"/>
      <c r="AY191" s="3058"/>
      <c r="AZ191" s="3058"/>
      <c r="BA191" s="3058"/>
      <c r="BB191" s="3058"/>
      <c r="BC191" s="3058"/>
      <c r="BD191" s="3058"/>
      <c r="BE191" s="3058"/>
      <c r="BF191" s="3058"/>
      <c r="BG191" s="3058"/>
      <c r="BH191" s="3058"/>
      <c r="BI191" s="3058"/>
      <c r="BJ191" s="3058"/>
      <c r="BK191" s="3058"/>
      <c r="BL191" s="3056"/>
      <c r="BM191" s="3057">
        <f t="shared" si="16"/>
      </c>
      <c r="BN191" s="3054"/>
      <c r="BO191" s="3054"/>
      <c r="BP191" s="3055"/>
      <c r="BQ191" s="3055"/>
      <c r="BR191" s="3055"/>
      <c r="BS191" s="3055"/>
      <c r="BT191" s="3055"/>
      <c r="BU191" s="3055"/>
      <c r="BV191" s="3055"/>
      <c r="BW191" s="3055"/>
      <c r="BX191" s="3055"/>
      <c r="BY191" s="3055"/>
      <c r="BZ191" s="3055"/>
      <c r="CA191" s="3055"/>
      <c r="CB191" s="3055"/>
      <c r="CC191" s="3056"/>
      <c r="CD191" s="3057">
        <f t="shared" si="0"/>
      </c>
      <c r="CE191" s="3054"/>
      <c r="CF191" s="3054"/>
      <c r="CG191" s="3055"/>
      <c r="CH191" s="3055"/>
      <c r="CI191" s="3055"/>
      <c r="CJ191" s="3055"/>
      <c r="CK191" s="3055"/>
      <c r="CL191" s="3055"/>
      <c r="CM191" s="3055"/>
      <c r="CN191" s="3055"/>
      <c r="CO191" s="3055"/>
      <c r="CP191" s="3055"/>
      <c r="CQ191" s="3055"/>
      <c r="CR191" s="3055"/>
      <c r="CS191" s="3055"/>
      <c r="CU191" s="3054"/>
      <c r="CV191" s="696"/>
      <c r="CW191" s="696"/>
      <c r="CZ191" s="3060">
        <f t="shared" si="17"/>
      </c>
      <c r="DA191" s="3060">
        <f t="shared" si="1"/>
      </c>
      <c r="DB191" s="3060">
        <f t="shared" si="18"/>
      </c>
      <c r="DC191" s="3060">
        <f t="shared" si="19"/>
      </c>
      <c r="DD191" s="3060">
        <f t="shared" si="20"/>
      </c>
      <c r="DE191" s="3060">
        <f t="shared" si="21"/>
      </c>
      <c r="DF191" s="3060">
        <f t="shared" si="22"/>
      </c>
      <c r="DG191" s="3060">
        <f t="shared" si="23"/>
      </c>
      <c r="DH191" s="3060">
        <f t="shared" si="24"/>
      </c>
      <c r="DI191" s="3060">
        <f t="shared" si="1"/>
      </c>
    </row>
    <row r="192" ht="15" customHeight="1" s="3052" customFormat="1">
      <c r="A192" s="3065"/>
      <c r="B192" s="3054">
        <f t="shared" si="2"/>
      </c>
      <c r="C192" s="3054"/>
      <c r="D192" s="3054"/>
      <c r="E192" s="3055"/>
      <c r="F192" s="3055"/>
      <c r="G192" s="3055"/>
      <c r="H192" s="3055"/>
      <c r="I192" s="3055"/>
      <c r="J192" s="3055"/>
      <c r="K192" s="3055"/>
      <c r="L192" s="3055"/>
      <c r="M192" s="3055"/>
      <c r="N192" s="3055"/>
      <c r="O192" s="3055"/>
      <c r="P192" s="3055"/>
      <c r="Q192" s="3055"/>
      <c r="R192" s="3055">
        <f t="shared" si="3"/>
        <v>0</v>
      </c>
      <c r="S192" s="3055">
        <f t="shared" si="4"/>
        <v>0</v>
      </c>
      <c r="T192" s="3055">
        <f t="shared" si="5"/>
        <v>0</v>
      </c>
      <c r="U192" s="3055">
        <f t="shared" si="6"/>
        <v>0</v>
      </c>
      <c r="V192" s="3055">
        <f t="shared" si="7"/>
        <v>0</v>
      </c>
      <c r="W192" s="3055">
        <f t="shared" si="8"/>
        <v>0</v>
      </c>
      <c r="X192" s="3055">
        <f t="shared" si="9"/>
        <v>0</v>
      </c>
      <c r="Y192" s="3055">
        <f t="shared" si="10"/>
        <v>0</v>
      </c>
      <c r="Z192" s="3055">
        <f t="shared" si="11"/>
        <v>0</v>
      </c>
      <c r="AA192" s="3055">
        <f t="shared" si="12"/>
        <v>0</v>
      </c>
      <c r="AB192" s="3055">
        <f t="shared" si="13"/>
        <v>0</v>
      </c>
      <c r="AC192" s="3055">
        <f t="shared" si="14"/>
        <v>0</v>
      </c>
      <c r="AD192" s="3056"/>
      <c r="AE192" s="3057">
        <f t="shared" si="0"/>
      </c>
      <c r="AF192" s="3054"/>
      <c r="AG192" s="3054"/>
      <c r="AH192" s="3055"/>
      <c r="AI192" s="3055"/>
      <c r="AJ192" s="3055"/>
      <c r="AK192" s="3055"/>
      <c r="AL192" s="3055"/>
      <c r="AM192" s="3055"/>
      <c r="AN192" s="3055"/>
      <c r="AO192" s="3055"/>
      <c r="AP192" s="3055"/>
      <c r="AQ192" s="3055"/>
      <c r="AR192" s="3055"/>
      <c r="AS192" s="3055"/>
      <c r="AT192" s="3055"/>
      <c r="AU192" s="3056"/>
      <c r="AV192" s="3057">
        <f t="shared" si="15"/>
      </c>
      <c r="AW192" s="3054"/>
      <c r="AX192" s="3059"/>
      <c r="AY192" s="3058"/>
      <c r="AZ192" s="3058"/>
      <c r="BA192" s="3058"/>
      <c r="BB192" s="3058"/>
      <c r="BC192" s="3058"/>
      <c r="BD192" s="3058"/>
      <c r="BE192" s="3058"/>
      <c r="BF192" s="3058"/>
      <c r="BG192" s="3058"/>
      <c r="BH192" s="3058"/>
      <c r="BI192" s="3058"/>
      <c r="BJ192" s="3058"/>
      <c r="BK192" s="3058"/>
      <c r="BL192" s="3056"/>
      <c r="BM192" s="3057">
        <f t="shared" si="16"/>
      </c>
      <c r="BN192" s="3054"/>
      <c r="BO192" s="3054"/>
      <c r="BP192" s="3055"/>
      <c r="BQ192" s="3055"/>
      <c r="BR192" s="3055"/>
      <c r="BS192" s="3055"/>
      <c r="BT192" s="3055"/>
      <c r="BU192" s="3055"/>
      <c r="BV192" s="3055"/>
      <c r="BW192" s="3055"/>
      <c r="BX192" s="3055"/>
      <c r="BY192" s="3055"/>
      <c r="BZ192" s="3055"/>
      <c r="CA192" s="3055"/>
      <c r="CB192" s="3055"/>
      <c r="CC192" s="3056"/>
      <c r="CD192" s="3057">
        <f t="shared" si="0"/>
      </c>
      <c r="CE192" s="3054"/>
      <c r="CF192" s="3054"/>
      <c r="CG192" s="3055"/>
      <c r="CH192" s="3055"/>
      <c r="CI192" s="3055"/>
      <c r="CJ192" s="3055"/>
      <c r="CK192" s="3055"/>
      <c r="CL192" s="3055"/>
      <c r="CM192" s="3055"/>
      <c r="CN192" s="3055"/>
      <c r="CO192" s="3055"/>
      <c r="CP192" s="3055"/>
      <c r="CQ192" s="3055"/>
      <c r="CR192" s="3055"/>
      <c r="CS192" s="3055"/>
      <c r="CU192" s="3054"/>
      <c r="CV192" s="696"/>
      <c r="CW192" s="696"/>
      <c r="CZ192" s="3060">
        <f t="shared" si="17"/>
      </c>
      <c r="DA192" s="3060">
        <f t="shared" si="1"/>
      </c>
      <c r="DB192" s="3060">
        <f t="shared" si="18"/>
      </c>
      <c r="DC192" s="3060">
        <f t="shared" si="19"/>
      </c>
      <c r="DD192" s="3060">
        <f t="shared" si="20"/>
      </c>
      <c r="DE192" s="3060">
        <f t="shared" si="21"/>
      </c>
      <c r="DF192" s="3060">
        <f t="shared" si="22"/>
      </c>
      <c r="DG192" s="3060">
        <f t="shared" si="23"/>
      </c>
      <c r="DH192" s="3060">
        <f t="shared" si="24"/>
      </c>
      <c r="DI192" s="3060">
        <f t="shared" si="1"/>
      </c>
    </row>
    <row r="193" ht="15" customHeight="1" s="3052" customFormat="1">
      <c r="A193" s="3065"/>
      <c r="B193" s="3054">
        <f t="shared" si="2"/>
      </c>
      <c r="C193" s="3054"/>
      <c r="D193" s="3054"/>
      <c r="E193" s="3055"/>
      <c r="F193" s="3055"/>
      <c r="G193" s="3055"/>
      <c r="H193" s="3055"/>
      <c r="I193" s="3055"/>
      <c r="J193" s="3055"/>
      <c r="K193" s="3055"/>
      <c r="L193" s="3055"/>
      <c r="M193" s="3055"/>
      <c r="N193" s="3055"/>
      <c r="O193" s="3055"/>
      <c r="P193" s="3055"/>
      <c r="Q193" s="3055"/>
      <c r="R193" s="3055">
        <f t="shared" si="3"/>
        <v>0</v>
      </c>
      <c r="S193" s="3055">
        <f t="shared" si="4"/>
        <v>0</v>
      </c>
      <c r="T193" s="3055">
        <f t="shared" si="5"/>
        <v>0</v>
      </c>
      <c r="U193" s="3055">
        <f t="shared" si="6"/>
        <v>0</v>
      </c>
      <c r="V193" s="3055">
        <f t="shared" si="7"/>
        <v>0</v>
      </c>
      <c r="W193" s="3055">
        <f t="shared" si="8"/>
        <v>0</v>
      </c>
      <c r="X193" s="3055">
        <f t="shared" si="9"/>
        <v>0</v>
      </c>
      <c r="Y193" s="3055">
        <f t="shared" si="10"/>
        <v>0</v>
      </c>
      <c r="Z193" s="3055">
        <f t="shared" si="11"/>
        <v>0</v>
      </c>
      <c r="AA193" s="3055">
        <f t="shared" si="12"/>
        <v>0</v>
      </c>
      <c r="AB193" s="3055">
        <f t="shared" si="13"/>
        <v>0</v>
      </c>
      <c r="AC193" s="3055">
        <f t="shared" si="14"/>
        <v>0</v>
      </c>
      <c r="AD193" s="3056"/>
      <c r="AE193" s="3057">
        <f t="shared" si="0"/>
      </c>
      <c r="AF193" s="3054"/>
      <c r="AG193" s="3054"/>
      <c r="AH193" s="3055"/>
      <c r="AI193" s="3055"/>
      <c r="AJ193" s="3055"/>
      <c r="AK193" s="3055"/>
      <c r="AL193" s="3055"/>
      <c r="AM193" s="3055"/>
      <c r="AN193" s="3055"/>
      <c r="AO193" s="3055"/>
      <c r="AP193" s="3055"/>
      <c r="AQ193" s="3055"/>
      <c r="AR193" s="3055"/>
      <c r="AS193" s="3055"/>
      <c r="AT193" s="3055"/>
      <c r="AU193" s="3056"/>
      <c r="AV193" s="3057">
        <f t="shared" si="15"/>
      </c>
      <c r="AW193" s="3054"/>
      <c r="AX193" s="3059"/>
      <c r="AY193" s="3058"/>
      <c r="AZ193" s="3058"/>
      <c r="BA193" s="3058"/>
      <c r="BB193" s="3058"/>
      <c r="BC193" s="3058"/>
      <c r="BD193" s="3058"/>
      <c r="BE193" s="3058"/>
      <c r="BF193" s="3058"/>
      <c r="BG193" s="3058"/>
      <c r="BH193" s="3058"/>
      <c r="BI193" s="3058"/>
      <c r="BJ193" s="3058"/>
      <c r="BK193" s="3058"/>
      <c r="BL193" s="3056"/>
      <c r="BM193" s="3057">
        <f t="shared" si="16"/>
      </c>
      <c r="BN193" s="3054"/>
      <c r="BO193" s="3054"/>
      <c r="BP193" s="3055"/>
      <c r="BQ193" s="3055"/>
      <c r="BR193" s="3055"/>
      <c r="BS193" s="3055"/>
      <c r="BT193" s="3055"/>
      <c r="BU193" s="3055"/>
      <c r="BV193" s="3055"/>
      <c r="BW193" s="3055"/>
      <c r="BX193" s="3055"/>
      <c r="BY193" s="3055"/>
      <c r="BZ193" s="3055"/>
      <c r="CA193" s="3055"/>
      <c r="CB193" s="3055"/>
      <c r="CC193" s="3056"/>
      <c r="CD193" s="3057">
        <f t="shared" si="0"/>
      </c>
      <c r="CE193" s="3054"/>
      <c r="CF193" s="3054"/>
      <c r="CG193" s="3055"/>
      <c r="CH193" s="3055"/>
      <c r="CI193" s="3055"/>
      <c r="CJ193" s="3055"/>
      <c r="CK193" s="3055"/>
      <c r="CL193" s="3055"/>
      <c r="CM193" s="3055"/>
      <c r="CN193" s="3055"/>
      <c r="CO193" s="3055"/>
      <c r="CP193" s="3055"/>
      <c r="CQ193" s="3055"/>
      <c r="CR193" s="3055"/>
      <c r="CS193" s="3055"/>
      <c r="CU193" s="3054"/>
      <c r="CV193" s="696"/>
      <c r="CW193" s="696"/>
      <c r="CZ193" s="3060">
        <f t="shared" si="17"/>
      </c>
      <c r="DA193" s="3060">
        <f t="shared" si="1"/>
      </c>
      <c r="DB193" s="3060">
        <f t="shared" si="18"/>
      </c>
      <c r="DC193" s="3060">
        <f t="shared" si="19"/>
      </c>
      <c r="DD193" s="3060">
        <f t="shared" si="20"/>
      </c>
      <c r="DE193" s="3060">
        <f t="shared" si="21"/>
      </c>
      <c r="DF193" s="3060">
        <f t="shared" si="22"/>
      </c>
      <c r="DG193" s="3060">
        <f t="shared" si="23"/>
      </c>
      <c r="DH193" s="3060">
        <f t="shared" si="24"/>
      </c>
      <c r="DI193" s="3060">
        <f t="shared" si="1"/>
      </c>
    </row>
    <row r="194" ht="15" customHeight="1" s="3052" customFormat="1">
      <c r="A194" s="3065"/>
      <c r="B194" s="3054">
        <f t="shared" si="2"/>
      </c>
      <c r="C194" s="3054"/>
      <c r="D194" s="3054"/>
      <c r="E194" s="3055"/>
      <c r="F194" s="3055"/>
      <c r="G194" s="3055"/>
      <c r="H194" s="3055"/>
      <c r="I194" s="3055"/>
      <c r="J194" s="3055"/>
      <c r="K194" s="3055"/>
      <c r="L194" s="3055"/>
      <c r="M194" s="3055"/>
      <c r="N194" s="3055"/>
      <c r="O194" s="3055"/>
      <c r="P194" s="3055"/>
      <c r="Q194" s="3055"/>
      <c r="R194" s="3055">
        <f t="shared" si="3"/>
        <v>0</v>
      </c>
      <c r="S194" s="3055">
        <f t="shared" si="4"/>
        <v>0</v>
      </c>
      <c r="T194" s="3055">
        <f t="shared" si="5"/>
        <v>0</v>
      </c>
      <c r="U194" s="3055">
        <f t="shared" si="6"/>
        <v>0</v>
      </c>
      <c r="V194" s="3055">
        <f t="shared" si="7"/>
        <v>0</v>
      </c>
      <c r="W194" s="3055">
        <f t="shared" si="8"/>
        <v>0</v>
      </c>
      <c r="X194" s="3055">
        <f t="shared" si="9"/>
        <v>0</v>
      </c>
      <c r="Y194" s="3055">
        <f t="shared" si="10"/>
        <v>0</v>
      </c>
      <c r="Z194" s="3055">
        <f t="shared" si="11"/>
        <v>0</v>
      </c>
      <c r="AA194" s="3055">
        <f t="shared" si="12"/>
        <v>0</v>
      </c>
      <c r="AB194" s="3055">
        <f t="shared" si="13"/>
        <v>0</v>
      </c>
      <c r="AC194" s="3055">
        <f t="shared" si="14"/>
        <v>0</v>
      </c>
      <c r="AD194" s="3056"/>
      <c r="AE194" s="3057">
        <f t="shared" si="0"/>
      </c>
      <c r="AF194" s="3054"/>
      <c r="AG194" s="3054"/>
      <c r="AH194" s="3055"/>
      <c r="AI194" s="3055"/>
      <c r="AJ194" s="3055"/>
      <c r="AK194" s="3055"/>
      <c r="AL194" s="3055"/>
      <c r="AM194" s="3055"/>
      <c r="AN194" s="3055"/>
      <c r="AO194" s="3055"/>
      <c r="AP194" s="3055"/>
      <c r="AQ194" s="3055"/>
      <c r="AR194" s="3055"/>
      <c r="AS194" s="3055"/>
      <c r="AT194" s="3055"/>
      <c r="AU194" s="3056"/>
      <c r="AV194" s="3057">
        <f t="shared" si="15"/>
      </c>
      <c r="AW194" s="3054"/>
      <c r="AX194" s="3059"/>
      <c r="AY194" s="3058"/>
      <c r="AZ194" s="3058"/>
      <c r="BA194" s="3058"/>
      <c r="BB194" s="3058"/>
      <c r="BC194" s="3058"/>
      <c r="BD194" s="3058"/>
      <c r="BE194" s="3058"/>
      <c r="BF194" s="3058"/>
      <c r="BG194" s="3058"/>
      <c r="BH194" s="3058"/>
      <c r="BI194" s="3058"/>
      <c r="BJ194" s="3058"/>
      <c r="BK194" s="3058"/>
      <c r="BL194" s="3056"/>
      <c r="BM194" s="3057">
        <f t="shared" si="16"/>
      </c>
      <c r="BN194" s="3054"/>
      <c r="BO194" s="3054"/>
      <c r="BP194" s="3055"/>
      <c r="BQ194" s="3055"/>
      <c r="BR194" s="3055"/>
      <c r="BS194" s="3055"/>
      <c r="BT194" s="3055"/>
      <c r="BU194" s="3055"/>
      <c r="BV194" s="3055"/>
      <c r="BW194" s="3055"/>
      <c r="BX194" s="3055"/>
      <c r="BY194" s="3055"/>
      <c r="BZ194" s="3055"/>
      <c r="CA194" s="3055"/>
      <c r="CB194" s="3055"/>
      <c r="CC194" s="3056"/>
      <c r="CD194" s="3057">
        <f t="shared" si="0"/>
      </c>
      <c r="CE194" s="3054"/>
      <c r="CF194" s="3054"/>
      <c r="CG194" s="3055"/>
      <c r="CH194" s="3055"/>
      <c r="CI194" s="3055"/>
      <c r="CJ194" s="3055"/>
      <c r="CK194" s="3055"/>
      <c r="CL194" s="3055"/>
      <c r="CM194" s="3055"/>
      <c r="CN194" s="3055"/>
      <c r="CO194" s="3055"/>
      <c r="CP194" s="3055"/>
      <c r="CQ194" s="3055"/>
      <c r="CR194" s="3055"/>
      <c r="CS194" s="3055"/>
      <c r="CU194" s="3054"/>
      <c r="CV194" s="696"/>
      <c r="CW194" s="696"/>
      <c r="CZ194" s="3060">
        <f t="shared" si="17"/>
      </c>
      <c r="DA194" s="3060">
        <f t="shared" si="1"/>
      </c>
      <c r="DB194" s="3060">
        <f t="shared" si="18"/>
      </c>
      <c r="DC194" s="3060">
        <f t="shared" si="19"/>
      </c>
      <c r="DD194" s="3060">
        <f t="shared" si="20"/>
      </c>
      <c r="DE194" s="3060">
        <f t="shared" si="21"/>
      </c>
      <c r="DF194" s="3060">
        <f t="shared" si="22"/>
      </c>
      <c r="DG194" s="3060">
        <f t="shared" si="23"/>
      </c>
      <c r="DH194" s="3060">
        <f t="shared" si="24"/>
      </c>
      <c r="DI194" s="3060">
        <f t="shared" si="1"/>
      </c>
    </row>
    <row r="195" ht="15" customHeight="1" s="3052" customFormat="1">
      <c r="A195" s="3065"/>
      <c r="B195" s="3054">
        <f t="shared" si="2"/>
      </c>
      <c r="C195" s="3054"/>
      <c r="D195" s="3054"/>
      <c r="E195" s="3055"/>
      <c r="F195" s="3055"/>
      <c r="G195" s="3055"/>
      <c r="H195" s="3055"/>
      <c r="I195" s="3055"/>
      <c r="J195" s="3055"/>
      <c r="K195" s="3055"/>
      <c r="L195" s="3055"/>
      <c r="M195" s="3055"/>
      <c r="N195" s="3055"/>
      <c r="O195" s="3055"/>
      <c r="P195" s="3055"/>
      <c r="Q195" s="3055"/>
      <c r="R195" s="3055">
        <f t="shared" si="3"/>
        <v>0</v>
      </c>
      <c r="S195" s="3055">
        <f t="shared" si="4"/>
        <v>0</v>
      </c>
      <c r="T195" s="3055">
        <f t="shared" si="5"/>
        <v>0</v>
      </c>
      <c r="U195" s="3055">
        <f t="shared" si="6"/>
        <v>0</v>
      </c>
      <c r="V195" s="3055">
        <f t="shared" si="7"/>
        <v>0</v>
      </c>
      <c r="W195" s="3055">
        <f t="shared" si="8"/>
        <v>0</v>
      </c>
      <c r="X195" s="3055">
        <f t="shared" si="9"/>
        <v>0</v>
      </c>
      <c r="Y195" s="3055">
        <f t="shared" si="10"/>
        <v>0</v>
      </c>
      <c r="Z195" s="3055">
        <f t="shared" si="11"/>
        <v>0</v>
      </c>
      <c r="AA195" s="3055">
        <f t="shared" si="12"/>
        <v>0</v>
      </c>
      <c r="AB195" s="3055">
        <f t="shared" si="13"/>
        <v>0</v>
      </c>
      <c r="AC195" s="3055">
        <f t="shared" si="14"/>
        <v>0</v>
      </c>
      <c r="AD195" s="3056"/>
      <c r="AE195" s="3057">
        <f t="shared" si="0"/>
      </c>
      <c r="AF195" s="3054"/>
      <c r="AG195" s="3054"/>
      <c r="AH195" s="3055"/>
      <c r="AI195" s="3055"/>
      <c r="AJ195" s="3055"/>
      <c r="AK195" s="3055"/>
      <c r="AL195" s="3055"/>
      <c r="AM195" s="3055"/>
      <c r="AN195" s="3055"/>
      <c r="AO195" s="3055"/>
      <c r="AP195" s="3055"/>
      <c r="AQ195" s="3055"/>
      <c r="AR195" s="3055"/>
      <c r="AS195" s="3055"/>
      <c r="AT195" s="3055"/>
      <c r="AU195" s="3056"/>
      <c r="AV195" s="3057">
        <f t="shared" si="15"/>
      </c>
      <c r="AW195" s="3054"/>
      <c r="AX195" s="3059"/>
      <c r="AY195" s="3058"/>
      <c r="AZ195" s="3058"/>
      <c r="BA195" s="3058"/>
      <c r="BB195" s="3058"/>
      <c r="BC195" s="3058"/>
      <c r="BD195" s="3058"/>
      <c r="BE195" s="3058"/>
      <c r="BF195" s="3058"/>
      <c r="BG195" s="3058"/>
      <c r="BH195" s="3058"/>
      <c r="BI195" s="3058"/>
      <c r="BJ195" s="3058"/>
      <c r="BK195" s="3058"/>
      <c r="BL195" s="3056"/>
      <c r="BM195" s="3057">
        <f t="shared" si="16"/>
      </c>
      <c r="BN195" s="3054"/>
      <c r="BO195" s="3054"/>
      <c r="BP195" s="3055"/>
      <c r="BQ195" s="3055"/>
      <c r="BR195" s="3055"/>
      <c r="BS195" s="3055"/>
      <c r="BT195" s="3055"/>
      <c r="BU195" s="3055"/>
      <c r="BV195" s="3055"/>
      <c r="BW195" s="3055"/>
      <c r="BX195" s="3055"/>
      <c r="BY195" s="3055"/>
      <c r="BZ195" s="3055"/>
      <c r="CA195" s="3055"/>
      <c r="CB195" s="3055"/>
      <c r="CC195" s="3056"/>
      <c r="CD195" s="3057">
        <f t="shared" si="0"/>
      </c>
      <c r="CE195" s="3054"/>
      <c r="CF195" s="3054"/>
      <c r="CG195" s="3055"/>
      <c r="CH195" s="3055"/>
      <c r="CI195" s="3055"/>
      <c r="CJ195" s="3055"/>
      <c r="CK195" s="3055"/>
      <c r="CL195" s="3055"/>
      <c r="CM195" s="3055"/>
      <c r="CN195" s="3055"/>
      <c r="CO195" s="3055"/>
      <c r="CP195" s="3055"/>
      <c r="CQ195" s="3055"/>
      <c r="CR195" s="3055"/>
      <c r="CS195" s="3055"/>
      <c r="CU195" s="3054"/>
      <c r="CV195" s="696"/>
      <c r="CW195" s="696"/>
      <c r="CZ195" s="3060">
        <f t="shared" si="17"/>
      </c>
      <c r="DA195" s="3060">
        <f t="shared" si="1"/>
      </c>
      <c r="DB195" s="3060">
        <f t="shared" si="18"/>
      </c>
      <c r="DC195" s="3060">
        <f t="shared" si="19"/>
      </c>
      <c r="DD195" s="3060">
        <f t="shared" si="20"/>
      </c>
      <c r="DE195" s="3060">
        <f t="shared" si="21"/>
      </c>
      <c r="DF195" s="3060">
        <f t="shared" si="22"/>
      </c>
      <c r="DG195" s="3060">
        <f t="shared" si="23"/>
      </c>
      <c r="DH195" s="3060">
        <f t="shared" si="24"/>
      </c>
      <c r="DI195" s="3060">
        <f t="shared" si="1"/>
      </c>
    </row>
    <row r="196" ht="15" customHeight="1" s="3052" customFormat="1">
      <c r="A196" s="3065"/>
      <c r="B196" s="3054">
        <f t="shared" si="2"/>
      </c>
      <c r="C196" s="3054"/>
      <c r="D196" s="3054"/>
      <c r="E196" s="3055"/>
      <c r="F196" s="3055"/>
      <c r="G196" s="3055"/>
      <c r="H196" s="3055"/>
      <c r="I196" s="3055"/>
      <c r="J196" s="3055"/>
      <c r="K196" s="3055"/>
      <c r="L196" s="3055"/>
      <c r="M196" s="3055"/>
      <c r="N196" s="3055"/>
      <c r="O196" s="3055"/>
      <c r="P196" s="3055"/>
      <c r="Q196" s="3055"/>
      <c r="R196" s="3055">
        <f t="shared" si="3"/>
        <v>0</v>
      </c>
      <c r="S196" s="3055">
        <f t="shared" si="4"/>
        <v>0</v>
      </c>
      <c r="T196" s="3055">
        <f t="shared" si="5"/>
        <v>0</v>
      </c>
      <c r="U196" s="3055">
        <f t="shared" si="6"/>
        <v>0</v>
      </c>
      <c r="V196" s="3055">
        <f t="shared" si="7"/>
        <v>0</v>
      </c>
      <c r="W196" s="3055">
        <f t="shared" si="8"/>
        <v>0</v>
      </c>
      <c r="X196" s="3055">
        <f t="shared" si="9"/>
        <v>0</v>
      </c>
      <c r="Y196" s="3055">
        <f t="shared" si="10"/>
        <v>0</v>
      </c>
      <c r="Z196" s="3055">
        <f t="shared" si="11"/>
        <v>0</v>
      </c>
      <c r="AA196" s="3055">
        <f t="shared" si="12"/>
        <v>0</v>
      </c>
      <c r="AB196" s="3055">
        <f t="shared" si="13"/>
        <v>0</v>
      </c>
      <c r="AC196" s="3055">
        <f t="shared" si="14"/>
        <v>0</v>
      </c>
      <c r="AD196" s="3056"/>
      <c r="AE196" s="3057">
        <f t="shared" si="0"/>
      </c>
      <c r="AF196" s="3054"/>
      <c r="AG196" s="3054"/>
      <c r="AH196" s="3055"/>
      <c r="AI196" s="3055"/>
      <c r="AJ196" s="3055"/>
      <c r="AK196" s="3055"/>
      <c r="AL196" s="3055"/>
      <c r="AM196" s="3055"/>
      <c r="AN196" s="3055"/>
      <c r="AO196" s="3055"/>
      <c r="AP196" s="3055"/>
      <c r="AQ196" s="3055"/>
      <c r="AR196" s="3055"/>
      <c r="AS196" s="3055"/>
      <c r="AT196" s="3055"/>
      <c r="AU196" s="3056"/>
      <c r="AV196" s="3057">
        <f t="shared" si="15"/>
      </c>
      <c r="AW196" s="3054"/>
      <c r="AX196" s="3059"/>
      <c r="AY196" s="3058"/>
      <c r="AZ196" s="3058"/>
      <c r="BA196" s="3058"/>
      <c r="BB196" s="3058"/>
      <c r="BC196" s="3058"/>
      <c r="BD196" s="3058"/>
      <c r="BE196" s="3058"/>
      <c r="BF196" s="3058"/>
      <c r="BG196" s="3058"/>
      <c r="BH196" s="3058"/>
      <c r="BI196" s="3058"/>
      <c r="BJ196" s="3058"/>
      <c r="BK196" s="3058"/>
      <c r="BL196" s="3056"/>
      <c r="BM196" s="3057">
        <f t="shared" si="16"/>
      </c>
      <c r="BN196" s="3054"/>
      <c r="BO196" s="3054"/>
      <c r="BP196" s="3055"/>
      <c r="BQ196" s="3055"/>
      <c r="BR196" s="3055"/>
      <c r="BS196" s="3055"/>
      <c r="BT196" s="3055"/>
      <c r="BU196" s="3055"/>
      <c r="BV196" s="3055"/>
      <c r="BW196" s="3055"/>
      <c r="BX196" s="3055"/>
      <c r="BY196" s="3055"/>
      <c r="BZ196" s="3055"/>
      <c r="CA196" s="3055"/>
      <c r="CB196" s="3055"/>
      <c r="CC196" s="3056"/>
      <c r="CD196" s="3057">
        <f t="shared" si="0"/>
      </c>
      <c r="CE196" s="3054"/>
      <c r="CF196" s="3054"/>
      <c r="CG196" s="3055"/>
      <c r="CH196" s="3055"/>
      <c r="CI196" s="3055"/>
      <c r="CJ196" s="3055"/>
      <c r="CK196" s="3055"/>
      <c r="CL196" s="3055"/>
      <c r="CM196" s="3055"/>
      <c r="CN196" s="3055"/>
      <c r="CO196" s="3055"/>
      <c r="CP196" s="3055"/>
      <c r="CQ196" s="3055"/>
      <c r="CR196" s="3055"/>
      <c r="CS196" s="3055"/>
      <c r="CU196" s="3054"/>
      <c r="CV196" s="696"/>
      <c r="CW196" s="696"/>
      <c r="CZ196" s="3060">
        <f t="shared" si="17"/>
      </c>
      <c r="DA196" s="3060">
        <f t="shared" si="1"/>
      </c>
      <c r="DB196" s="3060">
        <f t="shared" si="18"/>
      </c>
      <c r="DC196" s="3060">
        <f t="shared" si="19"/>
      </c>
      <c r="DD196" s="3060">
        <f t="shared" si="20"/>
      </c>
      <c r="DE196" s="3060">
        <f t="shared" si="21"/>
      </c>
      <c r="DF196" s="3060">
        <f t="shared" si="22"/>
      </c>
      <c r="DG196" s="3060">
        <f t="shared" si="23"/>
      </c>
      <c r="DH196" s="3060">
        <f t="shared" si="24"/>
      </c>
      <c r="DI196" s="3060">
        <f t="shared" si="1"/>
      </c>
    </row>
    <row r="197" ht="15" customHeight="1" s="3052" customFormat="1">
      <c r="A197" s="3065"/>
      <c r="B197" s="3054">
        <f t="shared" si="2"/>
      </c>
      <c r="C197" s="3054"/>
      <c r="D197" s="3054"/>
      <c r="E197" s="3055"/>
      <c r="F197" s="3055"/>
      <c r="G197" s="3055"/>
      <c r="H197" s="3055"/>
      <c r="I197" s="3055"/>
      <c r="J197" s="3055"/>
      <c r="K197" s="3055"/>
      <c r="L197" s="3055"/>
      <c r="M197" s="3055"/>
      <c r="N197" s="3055"/>
      <c r="O197" s="3055"/>
      <c r="P197" s="3055"/>
      <c r="Q197" s="3055"/>
      <c r="R197" s="3055">
        <f t="shared" si="3"/>
        <v>0</v>
      </c>
      <c r="S197" s="3055">
        <f t="shared" si="4"/>
        <v>0</v>
      </c>
      <c r="T197" s="3055">
        <f t="shared" si="5"/>
        <v>0</v>
      </c>
      <c r="U197" s="3055">
        <f t="shared" si="6"/>
        <v>0</v>
      </c>
      <c r="V197" s="3055">
        <f t="shared" si="7"/>
        <v>0</v>
      </c>
      <c r="W197" s="3055">
        <f t="shared" si="8"/>
        <v>0</v>
      </c>
      <c r="X197" s="3055">
        <f t="shared" si="9"/>
        <v>0</v>
      </c>
      <c r="Y197" s="3055">
        <f t="shared" si="10"/>
        <v>0</v>
      </c>
      <c r="Z197" s="3055">
        <f t="shared" si="11"/>
        <v>0</v>
      </c>
      <c r="AA197" s="3055">
        <f t="shared" si="12"/>
        <v>0</v>
      </c>
      <c r="AB197" s="3055">
        <f t="shared" si="13"/>
        <v>0</v>
      </c>
      <c r="AC197" s="3055">
        <f t="shared" si="14"/>
        <v>0</v>
      </c>
      <c r="AD197" s="3056"/>
      <c r="AE197" s="3057">
        <f t="shared" si="0"/>
      </c>
      <c r="AF197" s="3054"/>
      <c r="AG197" s="3054"/>
      <c r="AH197" s="3055"/>
      <c r="AI197" s="3055"/>
      <c r="AJ197" s="3055"/>
      <c r="AK197" s="3055"/>
      <c r="AL197" s="3055"/>
      <c r="AM197" s="3055"/>
      <c r="AN197" s="3055"/>
      <c r="AO197" s="3055"/>
      <c r="AP197" s="3055"/>
      <c r="AQ197" s="3055"/>
      <c r="AR197" s="3055"/>
      <c r="AS197" s="3055"/>
      <c r="AT197" s="3055"/>
      <c r="AU197" s="3056"/>
      <c r="AV197" s="3057">
        <f t="shared" si="15"/>
      </c>
      <c r="AW197" s="3054"/>
      <c r="AX197" s="3059"/>
      <c r="AY197" s="3058"/>
      <c r="AZ197" s="3058"/>
      <c r="BA197" s="3058"/>
      <c r="BB197" s="3058"/>
      <c r="BC197" s="3058"/>
      <c r="BD197" s="3058"/>
      <c r="BE197" s="3058"/>
      <c r="BF197" s="3058"/>
      <c r="BG197" s="3058"/>
      <c r="BH197" s="3058"/>
      <c r="BI197" s="3058"/>
      <c r="BJ197" s="3058"/>
      <c r="BK197" s="3058"/>
      <c r="BL197" s="3056"/>
      <c r="BM197" s="3057">
        <f t="shared" si="16"/>
      </c>
      <c r="BN197" s="3054"/>
      <c r="BO197" s="3054"/>
      <c r="BP197" s="3055"/>
      <c r="BQ197" s="3055"/>
      <c r="BR197" s="3055"/>
      <c r="BS197" s="3055"/>
      <c r="BT197" s="3055"/>
      <c r="BU197" s="3055"/>
      <c r="BV197" s="3055"/>
      <c r="BW197" s="3055"/>
      <c r="BX197" s="3055"/>
      <c r="BY197" s="3055"/>
      <c r="BZ197" s="3055"/>
      <c r="CA197" s="3055"/>
      <c r="CB197" s="3055"/>
      <c r="CC197" s="3056"/>
      <c r="CD197" s="3057">
        <f t="shared" si="0"/>
      </c>
      <c r="CE197" s="3054"/>
      <c r="CF197" s="3054"/>
      <c r="CG197" s="3055"/>
      <c r="CH197" s="3055"/>
      <c r="CI197" s="3055"/>
      <c r="CJ197" s="3055"/>
      <c r="CK197" s="3055"/>
      <c r="CL197" s="3055"/>
      <c r="CM197" s="3055"/>
      <c r="CN197" s="3055"/>
      <c r="CO197" s="3055"/>
      <c r="CP197" s="3055"/>
      <c r="CQ197" s="3055"/>
      <c r="CR197" s="3055"/>
      <c r="CS197" s="3055"/>
      <c r="CU197" s="3054"/>
      <c r="CV197" s="696"/>
      <c r="CW197" s="696"/>
      <c r="CZ197" s="3060">
        <f t="shared" si="17"/>
      </c>
      <c r="DA197" s="3060">
        <f t="shared" si="1"/>
      </c>
      <c r="DB197" s="3060">
        <f t="shared" si="18"/>
      </c>
      <c r="DC197" s="3060">
        <f t="shared" si="19"/>
      </c>
      <c r="DD197" s="3060">
        <f t="shared" si="20"/>
      </c>
      <c r="DE197" s="3060">
        <f t="shared" si="21"/>
      </c>
      <c r="DF197" s="3060">
        <f t="shared" si="22"/>
      </c>
      <c r="DG197" s="3060">
        <f t="shared" si="23"/>
      </c>
      <c r="DH197" s="3060">
        <f t="shared" si="24"/>
      </c>
      <c r="DI197" s="3060">
        <f t="shared" si="1"/>
      </c>
    </row>
    <row r="198" ht="15" customHeight="1" s="3052" customFormat="1">
      <c r="A198" s="3065"/>
      <c r="B198" s="3054">
        <f t="shared" si="2"/>
      </c>
      <c r="C198" s="3054"/>
      <c r="D198" s="3054"/>
      <c r="E198" s="3055"/>
      <c r="F198" s="3055"/>
      <c r="G198" s="3055"/>
      <c r="H198" s="3055"/>
      <c r="I198" s="3055"/>
      <c r="J198" s="3055"/>
      <c r="K198" s="3055"/>
      <c r="L198" s="3055"/>
      <c r="M198" s="3055"/>
      <c r="N198" s="3055"/>
      <c r="O198" s="3055"/>
      <c r="P198" s="3055"/>
      <c r="Q198" s="3055"/>
      <c r="R198" s="3055">
        <f t="shared" si="3"/>
        <v>0</v>
      </c>
      <c r="S198" s="3055">
        <f t="shared" si="4"/>
        <v>0</v>
      </c>
      <c r="T198" s="3055">
        <f t="shared" si="5"/>
        <v>0</v>
      </c>
      <c r="U198" s="3055">
        <f t="shared" si="6"/>
        <v>0</v>
      </c>
      <c r="V198" s="3055">
        <f t="shared" si="7"/>
        <v>0</v>
      </c>
      <c r="W198" s="3055">
        <f t="shared" si="8"/>
        <v>0</v>
      </c>
      <c r="X198" s="3055">
        <f t="shared" si="9"/>
        <v>0</v>
      </c>
      <c r="Y198" s="3055">
        <f t="shared" si="10"/>
        <v>0</v>
      </c>
      <c r="Z198" s="3055">
        <f t="shared" si="11"/>
        <v>0</v>
      </c>
      <c r="AA198" s="3055">
        <f t="shared" si="12"/>
        <v>0</v>
      </c>
      <c r="AB198" s="3055">
        <f t="shared" si="13"/>
        <v>0</v>
      </c>
      <c r="AC198" s="3055">
        <f t="shared" si="14"/>
        <v>0</v>
      </c>
      <c r="AD198" s="3056"/>
      <c r="AE198" s="3057">
        <f t="shared" si="0"/>
      </c>
      <c r="AF198" s="3054"/>
      <c r="AG198" s="3054"/>
      <c r="AH198" s="3055"/>
      <c r="AI198" s="3055"/>
      <c r="AJ198" s="3055"/>
      <c r="AK198" s="3055"/>
      <c r="AL198" s="3055"/>
      <c r="AM198" s="3055"/>
      <c r="AN198" s="3055"/>
      <c r="AO198" s="3055"/>
      <c r="AP198" s="3055"/>
      <c r="AQ198" s="3055"/>
      <c r="AR198" s="3055"/>
      <c r="AS198" s="3055"/>
      <c r="AT198" s="3055"/>
      <c r="AU198" s="3056"/>
      <c r="AV198" s="3057">
        <f t="shared" si="15"/>
      </c>
      <c r="AW198" s="3054"/>
      <c r="AX198" s="3059"/>
      <c r="AY198" s="3058"/>
      <c r="AZ198" s="3058"/>
      <c r="BA198" s="3058"/>
      <c r="BB198" s="3058"/>
      <c r="BC198" s="3058"/>
      <c r="BD198" s="3058"/>
      <c r="BE198" s="3058"/>
      <c r="BF198" s="3058"/>
      <c r="BG198" s="3058"/>
      <c r="BH198" s="3058"/>
      <c r="BI198" s="3058"/>
      <c r="BJ198" s="3058"/>
      <c r="BK198" s="3058"/>
      <c r="BL198" s="3056"/>
      <c r="BM198" s="3057">
        <f t="shared" si="16"/>
      </c>
      <c r="BN198" s="3054"/>
      <c r="BO198" s="3054"/>
      <c r="BP198" s="3055"/>
      <c r="BQ198" s="3055"/>
      <c r="BR198" s="3055"/>
      <c r="BS198" s="3055"/>
      <c r="BT198" s="3055"/>
      <c r="BU198" s="3055"/>
      <c r="BV198" s="3055"/>
      <c r="BW198" s="3055"/>
      <c r="BX198" s="3055"/>
      <c r="BY198" s="3055"/>
      <c r="BZ198" s="3055"/>
      <c r="CA198" s="3055"/>
      <c r="CB198" s="3055"/>
      <c r="CC198" s="3056"/>
      <c r="CD198" s="3057">
        <f t="shared" si="0"/>
      </c>
      <c r="CE198" s="3054"/>
      <c r="CF198" s="3054"/>
      <c r="CG198" s="3055"/>
      <c r="CH198" s="3055"/>
      <c r="CI198" s="3055"/>
      <c r="CJ198" s="3055"/>
      <c r="CK198" s="3055"/>
      <c r="CL198" s="3055"/>
      <c r="CM198" s="3055"/>
      <c r="CN198" s="3055"/>
      <c r="CO198" s="3055"/>
      <c r="CP198" s="3055"/>
      <c r="CQ198" s="3055"/>
      <c r="CR198" s="3055"/>
      <c r="CS198" s="3055"/>
      <c r="CU198" s="3054"/>
      <c r="CV198" s="696"/>
      <c r="CW198" s="696"/>
      <c r="CZ198" s="3060">
        <f t="shared" si="17"/>
      </c>
      <c r="DA198" s="3060">
        <f t="shared" si="1"/>
      </c>
      <c r="DB198" s="3060">
        <f t="shared" si="18"/>
      </c>
      <c r="DC198" s="3060">
        <f t="shared" si="19"/>
      </c>
      <c r="DD198" s="3060">
        <f t="shared" si="20"/>
      </c>
      <c r="DE198" s="3060">
        <f t="shared" si="21"/>
      </c>
      <c r="DF198" s="3060">
        <f t="shared" si="22"/>
      </c>
      <c r="DG198" s="3060">
        <f t="shared" si="23"/>
      </c>
      <c r="DH198" s="3060">
        <f t="shared" si="24"/>
      </c>
      <c r="DI198" s="3060">
        <f t="shared" si="1"/>
      </c>
    </row>
    <row r="199" ht="15" customHeight="1" s="3052" customFormat="1">
      <c r="A199" s="3065"/>
      <c r="B199" s="3054">
        <f t="shared" si="2"/>
      </c>
      <c r="C199" s="3054"/>
      <c r="D199" s="3054"/>
      <c r="E199" s="3055"/>
      <c r="F199" s="3055"/>
      <c r="G199" s="3055"/>
      <c r="H199" s="3055"/>
      <c r="I199" s="3055"/>
      <c r="J199" s="3055"/>
      <c r="K199" s="3055"/>
      <c r="L199" s="3055"/>
      <c r="M199" s="3055"/>
      <c r="N199" s="3055"/>
      <c r="O199" s="3055"/>
      <c r="P199" s="3055"/>
      <c r="Q199" s="3055"/>
      <c r="R199" s="3055">
        <f t="shared" si="3"/>
        <v>0</v>
      </c>
      <c r="S199" s="3055">
        <f t="shared" si="4"/>
        <v>0</v>
      </c>
      <c r="T199" s="3055">
        <f t="shared" si="5"/>
        <v>0</v>
      </c>
      <c r="U199" s="3055">
        <f t="shared" si="6"/>
        <v>0</v>
      </c>
      <c r="V199" s="3055">
        <f t="shared" si="7"/>
        <v>0</v>
      </c>
      <c r="W199" s="3055">
        <f t="shared" si="8"/>
        <v>0</v>
      </c>
      <c r="X199" s="3055">
        <f t="shared" si="9"/>
        <v>0</v>
      </c>
      <c r="Y199" s="3055">
        <f t="shared" si="10"/>
        <v>0</v>
      </c>
      <c r="Z199" s="3055">
        <f t="shared" si="11"/>
        <v>0</v>
      </c>
      <c r="AA199" s="3055">
        <f t="shared" si="12"/>
        <v>0</v>
      </c>
      <c r="AB199" s="3055">
        <f t="shared" si="13"/>
        <v>0</v>
      </c>
      <c r="AC199" s="3055">
        <f t="shared" si="14"/>
        <v>0</v>
      </c>
      <c r="AD199" s="3056"/>
      <c r="AE199" s="3057">
        <f t="shared" si="0"/>
      </c>
      <c r="AF199" s="3054"/>
      <c r="AG199" s="3054"/>
      <c r="AH199" s="3055"/>
      <c r="AI199" s="3055"/>
      <c r="AJ199" s="3055"/>
      <c r="AK199" s="3055"/>
      <c r="AL199" s="3055"/>
      <c r="AM199" s="3055"/>
      <c r="AN199" s="3055"/>
      <c r="AO199" s="3055"/>
      <c r="AP199" s="3055"/>
      <c r="AQ199" s="3055"/>
      <c r="AR199" s="3055"/>
      <c r="AS199" s="3055"/>
      <c r="AT199" s="3055"/>
      <c r="AU199" s="3056"/>
      <c r="AV199" s="3057">
        <f t="shared" si="15"/>
      </c>
      <c r="AW199" s="3054"/>
      <c r="AX199" s="3054"/>
      <c r="AY199" s="3055"/>
      <c r="AZ199" s="3055"/>
      <c r="BA199" s="3055"/>
      <c r="BB199" s="3055"/>
      <c r="BC199" s="3055"/>
      <c r="BD199" s="3055"/>
      <c r="BE199" s="3055"/>
      <c r="BF199" s="3055"/>
      <c r="BG199" s="3055"/>
      <c r="BH199" s="3055"/>
      <c r="BI199" s="3055"/>
      <c r="BJ199" s="3055"/>
      <c r="BK199" s="3055"/>
      <c r="BL199" s="3056"/>
      <c r="BM199" s="3057">
        <f t="shared" si="16"/>
      </c>
      <c r="BN199" s="3054"/>
      <c r="BO199" s="3054"/>
      <c r="BP199" s="3055"/>
      <c r="BQ199" s="3055"/>
      <c r="BR199" s="3055"/>
      <c r="BS199" s="3055"/>
      <c r="BT199" s="3055"/>
      <c r="BU199" s="3055"/>
      <c r="BV199" s="3055"/>
      <c r="BW199" s="3055"/>
      <c r="BX199" s="3055"/>
      <c r="BY199" s="3055"/>
      <c r="BZ199" s="3055"/>
      <c r="CA199" s="3055"/>
      <c r="CB199" s="3055"/>
      <c r="CC199" s="3056"/>
      <c r="CD199" s="3057">
        <f t="shared" si="0"/>
      </c>
      <c r="CE199" s="3054"/>
      <c r="CF199" s="3054"/>
      <c r="CG199" s="3055"/>
      <c r="CH199" s="3055"/>
      <c r="CI199" s="3055"/>
      <c r="CJ199" s="3055"/>
      <c r="CK199" s="3055"/>
      <c r="CL199" s="3055"/>
      <c r="CM199" s="3055"/>
      <c r="CN199" s="3055"/>
      <c r="CO199" s="3055"/>
      <c r="CP199" s="3055"/>
      <c r="CQ199" s="3055"/>
      <c r="CR199" s="3055"/>
      <c r="CS199" s="3055"/>
      <c r="CU199" s="3054"/>
      <c r="CV199" s="696"/>
      <c r="CW199" s="696"/>
      <c r="CZ199" s="3060">
        <f t="shared" si="17"/>
      </c>
      <c r="DA199" s="3060">
        <f t="shared" si="1"/>
      </c>
      <c r="DB199" s="3060">
        <f t="shared" si="18"/>
      </c>
      <c r="DC199" s="3060">
        <f t="shared" si="19"/>
      </c>
      <c r="DD199" s="3060">
        <f t="shared" si="20"/>
      </c>
      <c r="DE199" s="3060">
        <f t="shared" si="21"/>
      </c>
      <c r="DF199" s="3060">
        <f t="shared" si="22"/>
      </c>
      <c r="DG199" s="3060">
        <f t="shared" si="23"/>
      </c>
      <c r="DH199" s="3060">
        <f t="shared" si="24"/>
      </c>
      <c r="DI199" s="3060">
        <f t="shared" si="1"/>
      </c>
    </row>
    <row r="200" ht="15" customHeight="1" s="3052" customFormat="1">
      <c r="A200" s="3065"/>
      <c r="B200" s="3054">
        <f t="shared" si="2"/>
      </c>
      <c r="C200" s="3054"/>
      <c r="D200" s="3054"/>
      <c r="E200" s="3055"/>
      <c r="F200" s="3055"/>
      <c r="G200" s="3055"/>
      <c r="H200" s="3055"/>
      <c r="I200" s="3055"/>
      <c r="J200" s="3055"/>
      <c r="K200" s="3055"/>
      <c r="L200" s="3055"/>
      <c r="M200" s="3055"/>
      <c r="N200" s="3055"/>
      <c r="O200" s="3055"/>
      <c r="P200" s="3055"/>
      <c r="Q200" s="3055"/>
      <c r="R200" s="3055">
        <f t="shared" si="3"/>
        <v>0</v>
      </c>
      <c r="S200" s="3055">
        <f t="shared" si="4"/>
        <v>0</v>
      </c>
      <c r="T200" s="3055">
        <f t="shared" si="5"/>
        <v>0</v>
      </c>
      <c r="U200" s="3055">
        <f t="shared" si="6"/>
        <v>0</v>
      </c>
      <c r="V200" s="3055">
        <f t="shared" si="7"/>
        <v>0</v>
      </c>
      <c r="W200" s="3055">
        <f t="shared" si="8"/>
        <v>0</v>
      </c>
      <c r="X200" s="3055">
        <f t="shared" si="9"/>
        <v>0</v>
      </c>
      <c r="Y200" s="3055">
        <f t="shared" si="10"/>
        <v>0</v>
      </c>
      <c r="Z200" s="3055">
        <f t="shared" si="11"/>
        <v>0</v>
      </c>
      <c r="AA200" s="3055">
        <f t="shared" si="12"/>
        <v>0</v>
      </c>
      <c r="AB200" s="3055">
        <f t="shared" si="13"/>
        <v>0</v>
      </c>
      <c r="AC200" s="3055">
        <f t="shared" si="14"/>
        <v>0</v>
      </c>
      <c r="AD200" s="3056"/>
      <c r="AE200" s="3057">
        <f t="shared" si="0"/>
      </c>
      <c r="AF200" s="3054"/>
      <c r="AG200" s="3054"/>
      <c r="AH200" s="3055"/>
      <c r="AI200" s="3055"/>
      <c r="AJ200" s="3055"/>
      <c r="AK200" s="3055"/>
      <c r="AL200" s="3055"/>
      <c r="AM200" s="3055"/>
      <c r="AN200" s="3055"/>
      <c r="AO200" s="3055"/>
      <c r="AP200" s="3055"/>
      <c r="AQ200" s="3055"/>
      <c r="AR200" s="3055"/>
      <c r="AS200" s="3055"/>
      <c r="AT200" s="3055"/>
      <c r="AU200" s="3056"/>
      <c r="AV200" s="3057">
        <f t="shared" si="15"/>
      </c>
      <c r="AW200" s="3054"/>
      <c r="AX200" s="3054"/>
      <c r="AY200" s="3055"/>
      <c r="AZ200" s="3055"/>
      <c r="BA200" s="3055"/>
      <c r="BB200" s="3055"/>
      <c r="BC200" s="3055"/>
      <c r="BD200" s="3055"/>
      <c r="BE200" s="3055"/>
      <c r="BF200" s="3055"/>
      <c r="BG200" s="3055"/>
      <c r="BH200" s="3055"/>
      <c r="BI200" s="3055"/>
      <c r="BJ200" s="3055"/>
      <c r="BK200" s="3055"/>
      <c r="BL200" s="3056"/>
      <c r="BM200" s="3057">
        <f t="shared" si="16"/>
      </c>
      <c r="BN200" s="3054"/>
      <c r="BO200" s="3054"/>
      <c r="BP200" s="3055"/>
      <c r="BQ200" s="3055"/>
      <c r="BR200" s="3055"/>
      <c r="BS200" s="3055"/>
      <c r="BT200" s="3055"/>
      <c r="BU200" s="3055"/>
      <c r="BV200" s="3055"/>
      <c r="BW200" s="3055"/>
      <c r="BX200" s="3055"/>
      <c r="BY200" s="3055"/>
      <c r="BZ200" s="3055"/>
      <c r="CA200" s="3055"/>
      <c r="CB200" s="3055"/>
      <c r="CC200" s="3056"/>
      <c r="CD200" s="3057">
        <f t="shared" si="0"/>
      </c>
      <c r="CE200" s="3054"/>
      <c r="CF200" s="3054"/>
      <c r="CG200" s="3055"/>
      <c r="CH200" s="3055"/>
      <c r="CI200" s="3055"/>
      <c r="CJ200" s="3055"/>
      <c r="CK200" s="3055"/>
      <c r="CL200" s="3055"/>
      <c r="CM200" s="3055"/>
      <c r="CN200" s="3055"/>
      <c r="CO200" s="3055"/>
      <c r="CP200" s="3055"/>
      <c r="CQ200" s="3055"/>
      <c r="CR200" s="3055"/>
      <c r="CS200" s="3055"/>
      <c r="CU200" s="3054"/>
      <c r="CV200" s="696"/>
      <c r="CW200" s="696"/>
      <c r="CZ200" s="3060">
        <f t="shared" si="17"/>
      </c>
      <c r="DA200" s="3060">
        <f t="shared" si="1"/>
      </c>
      <c r="DB200" s="3060">
        <f t="shared" si="18"/>
      </c>
      <c r="DC200" s="3060">
        <f t="shared" si="19"/>
      </c>
      <c r="DD200" s="3060">
        <f t="shared" si="20"/>
      </c>
      <c r="DE200" s="3060">
        <f t="shared" si="21"/>
      </c>
      <c r="DF200" s="3060">
        <f t="shared" si="22"/>
      </c>
      <c r="DG200" s="3060">
        <f t="shared" si="23"/>
      </c>
      <c r="DH200" s="3060">
        <f t="shared" si="24"/>
      </c>
      <c r="DI200" s="3060">
        <f t="shared" si="1"/>
      </c>
    </row>
    <row r="201" ht="15" customHeight="1" s="3052" customFormat="1">
      <c r="A201" s="3065"/>
      <c r="B201" s="3054">
        <f t="shared" si="2"/>
      </c>
      <c r="C201" s="3054"/>
      <c r="D201" s="3054"/>
      <c r="E201" s="3055"/>
      <c r="F201" s="3055"/>
      <c r="G201" s="3055"/>
      <c r="H201" s="3055"/>
      <c r="I201" s="3055"/>
      <c r="J201" s="3055"/>
      <c r="K201" s="3055"/>
      <c r="L201" s="3055"/>
      <c r="M201" s="3055"/>
      <c r="N201" s="3055"/>
      <c r="O201" s="3055"/>
      <c r="P201" s="3055"/>
      <c r="Q201" s="3055"/>
      <c r="R201" s="3055">
        <f t="shared" si="3"/>
        <v>0</v>
      </c>
      <c r="S201" s="3055">
        <f t="shared" si="4"/>
        <v>0</v>
      </c>
      <c r="T201" s="3055">
        <f t="shared" si="5"/>
        <v>0</v>
      </c>
      <c r="U201" s="3055">
        <f t="shared" si="6"/>
        <v>0</v>
      </c>
      <c r="V201" s="3055">
        <f t="shared" si="7"/>
        <v>0</v>
      </c>
      <c r="W201" s="3055">
        <f t="shared" si="8"/>
        <v>0</v>
      </c>
      <c r="X201" s="3055">
        <f t="shared" si="9"/>
        <v>0</v>
      </c>
      <c r="Y201" s="3055">
        <f t="shared" si="10"/>
        <v>0</v>
      </c>
      <c r="Z201" s="3055">
        <f t="shared" si="11"/>
        <v>0</v>
      </c>
      <c r="AA201" s="3055">
        <f t="shared" si="12"/>
        <v>0</v>
      </c>
      <c r="AB201" s="3055">
        <f t="shared" si="13"/>
        <v>0</v>
      </c>
      <c r="AC201" s="3055">
        <f t="shared" si="14"/>
        <v>0</v>
      </c>
      <c r="AD201" s="3056"/>
      <c r="AE201" s="3057">
        <f t="shared" si="0"/>
      </c>
      <c r="AF201" s="3054"/>
      <c r="AG201" s="3054"/>
      <c r="AH201" s="3055"/>
      <c r="AI201" s="3055"/>
      <c r="AJ201" s="3055"/>
      <c r="AK201" s="3055"/>
      <c r="AL201" s="3055"/>
      <c r="AM201" s="3055"/>
      <c r="AN201" s="3055"/>
      <c r="AO201" s="3055"/>
      <c r="AP201" s="3055"/>
      <c r="AQ201" s="3055"/>
      <c r="AR201" s="3055"/>
      <c r="AS201" s="3055"/>
      <c r="AT201" s="3055"/>
      <c r="AU201" s="3056"/>
      <c r="AV201" s="3057">
        <f t="shared" si="15"/>
      </c>
      <c r="AW201" s="3054"/>
      <c r="AX201" s="3054"/>
      <c r="AY201" s="3055"/>
      <c r="AZ201" s="3055"/>
      <c r="BA201" s="3055"/>
      <c r="BB201" s="3055"/>
      <c r="BC201" s="3055"/>
      <c r="BD201" s="3055"/>
      <c r="BE201" s="3055"/>
      <c r="BF201" s="3055"/>
      <c r="BG201" s="3055"/>
      <c r="BH201" s="3055"/>
      <c r="BI201" s="3055"/>
      <c r="BJ201" s="3055"/>
      <c r="BK201" s="3055"/>
      <c r="BL201" s="3056"/>
      <c r="BM201" s="3057">
        <f t="shared" si="16"/>
      </c>
      <c r="BN201" s="3054"/>
      <c r="BO201" s="3054"/>
      <c r="BP201" s="3055"/>
      <c r="BQ201" s="3055"/>
      <c r="BR201" s="3055"/>
      <c r="BS201" s="3055"/>
      <c r="BT201" s="3055"/>
      <c r="BU201" s="3055"/>
      <c r="BV201" s="3055"/>
      <c r="BW201" s="3055"/>
      <c r="BX201" s="3055"/>
      <c r="BY201" s="3055"/>
      <c r="BZ201" s="3055"/>
      <c r="CA201" s="3055"/>
      <c r="CB201" s="3055"/>
      <c r="CC201" s="3056"/>
      <c r="CD201" s="3057">
        <f t="shared" si="0"/>
      </c>
      <c r="CE201" s="3054"/>
      <c r="CF201" s="3054"/>
      <c r="CG201" s="3055"/>
      <c r="CH201" s="3055"/>
      <c r="CI201" s="3055"/>
      <c r="CJ201" s="3055"/>
      <c r="CK201" s="3055"/>
      <c r="CL201" s="3055"/>
      <c r="CM201" s="3055"/>
      <c r="CN201" s="3055"/>
      <c r="CO201" s="3055"/>
      <c r="CP201" s="3055"/>
      <c r="CQ201" s="3055"/>
      <c r="CR201" s="3055"/>
      <c r="CS201" s="3055"/>
      <c r="CU201" s="3054"/>
      <c r="CV201" s="696"/>
      <c r="CW201" s="696"/>
      <c r="CZ201" s="3060">
        <f t="shared" si="17"/>
      </c>
      <c r="DA201" s="3060">
        <f t="shared" si="1"/>
      </c>
      <c r="DB201" s="3060">
        <f t="shared" si="18"/>
      </c>
      <c r="DC201" s="3060">
        <f t="shared" si="19"/>
      </c>
      <c r="DD201" s="3060">
        <f t="shared" si="20"/>
      </c>
      <c r="DE201" s="3060">
        <f t="shared" si="21"/>
      </c>
      <c r="DF201" s="3060">
        <f t="shared" si="22"/>
      </c>
      <c r="DG201" s="3060">
        <f t="shared" si="23"/>
      </c>
      <c r="DH201" s="3060">
        <f t="shared" si="24"/>
      </c>
      <c r="DI201" s="3060">
        <f t="shared" si="1"/>
      </c>
    </row>
    <row r="202" ht="15" customHeight="1" s="3052" customFormat="1">
      <c r="A202" s="3065"/>
      <c r="B202" s="3054">
        <f t="shared" si="2"/>
      </c>
      <c r="C202" s="3054"/>
      <c r="D202" s="3054"/>
      <c r="E202" s="3055"/>
      <c r="F202" s="3055"/>
      <c r="G202" s="3055"/>
      <c r="H202" s="3055"/>
      <c r="I202" s="3055"/>
      <c r="J202" s="3055"/>
      <c r="K202" s="3055"/>
      <c r="L202" s="3055"/>
      <c r="M202" s="3055"/>
      <c r="N202" s="3055"/>
      <c r="O202" s="3055"/>
      <c r="P202" s="3055"/>
      <c r="Q202" s="3055"/>
      <c r="R202" s="3055">
        <f t="shared" si="3"/>
        <v>0</v>
      </c>
      <c r="S202" s="3055">
        <f t="shared" si="4"/>
        <v>0</v>
      </c>
      <c r="T202" s="3055">
        <f t="shared" si="5"/>
        <v>0</v>
      </c>
      <c r="U202" s="3055">
        <f t="shared" si="6"/>
        <v>0</v>
      </c>
      <c r="V202" s="3055">
        <f t="shared" si="7"/>
        <v>0</v>
      </c>
      <c r="W202" s="3055">
        <f t="shared" si="8"/>
        <v>0</v>
      </c>
      <c r="X202" s="3055">
        <f t="shared" si="9"/>
        <v>0</v>
      </c>
      <c r="Y202" s="3055">
        <f t="shared" si="10"/>
        <v>0</v>
      </c>
      <c r="Z202" s="3055">
        <f t="shared" si="11"/>
        <v>0</v>
      </c>
      <c r="AA202" s="3055">
        <f t="shared" si="12"/>
        <v>0</v>
      </c>
      <c r="AB202" s="3055">
        <f t="shared" si="13"/>
        <v>0</v>
      </c>
      <c r="AC202" s="3055">
        <f t="shared" si="14"/>
        <v>0</v>
      </c>
      <c r="AD202" s="3056"/>
      <c r="AE202" s="3057">
        <f t="shared" si="0"/>
      </c>
      <c r="AF202" s="3054"/>
      <c r="AG202" s="3054"/>
      <c r="AH202" s="3055"/>
      <c r="AI202" s="3055"/>
      <c r="AJ202" s="3055"/>
      <c r="AK202" s="3055"/>
      <c r="AL202" s="3055"/>
      <c r="AM202" s="3055"/>
      <c r="AN202" s="3055"/>
      <c r="AO202" s="3055"/>
      <c r="AP202" s="3055"/>
      <c r="AQ202" s="3055"/>
      <c r="AR202" s="3055"/>
      <c r="AS202" s="3055"/>
      <c r="AT202" s="3055"/>
      <c r="AU202" s="3056"/>
      <c r="AV202" s="3057">
        <f t="shared" si="15"/>
      </c>
      <c r="AW202" s="3054"/>
      <c r="AX202" s="3054"/>
      <c r="AY202" s="3055"/>
      <c r="AZ202" s="3055"/>
      <c r="BA202" s="3055"/>
      <c r="BB202" s="3055"/>
      <c r="BC202" s="3055"/>
      <c r="BD202" s="3055"/>
      <c r="BE202" s="3055"/>
      <c r="BF202" s="3055"/>
      <c r="BG202" s="3055"/>
      <c r="BH202" s="3055"/>
      <c r="BI202" s="3055"/>
      <c r="BJ202" s="3055"/>
      <c r="BK202" s="3055"/>
      <c r="BL202" s="3056"/>
      <c r="BM202" s="3057">
        <f t="shared" si="16"/>
      </c>
      <c r="BN202" s="3054"/>
      <c r="BO202" s="3054"/>
      <c r="BP202" s="3055"/>
      <c r="BQ202" s="3055"/>
      <c r="BR202" s="3055"/>
      <c r="BS202" s="3055"/>
      <c r="BT202" s="3055"/>
      <c r="BU202" s="3055"/>
      <c r="BV202" s="3055"/>
      <c r="BW202" s="3055"/>
      <c r="BX202" s="3055"/>
      <c r="BY202" s="3055"/>
      <c r="BZ202" s="3055"/>
      <c r="CA202" s="3055"/>
      <c r="CB202" s="3055"/>
      <c r="CC202" s="3056"/>
      <c r="CD202" s="3057">
        <f t="shared" si="0"/>
      </c>
      <c r="CE202" s="3054"/>
      <c r="CF202" s="3054"/>
      <c r="CG202" s="3055"/>
      <c r="CH202" s="3055"/>
      <c r="CI202" s="3055"/>
      <c r="CJ202" s="3055"/>
      <c r="CK202" s="3055"/>
      <c r="CL202" s="3055"/>
      <c r="CM202" s="3055"/>
      <c r="CN202" s="3055"/>
      <c r="CO202" s="3055"/>
      <c r="CP202" s="3055"/>
      <c r="CQ202" s="3055"/>
      <c r="CR202" s="3055"/>
      <c r="CS202" s="3055"/>
      <c r="CU202" s="3054"/>
      <c r="CV202" s="696"/>
      <c r="CW202" s="696"/>
      <c r="CZ202" s="3060">
        <f t="shared" si="17"/>
      </c>
      <c r="DA202" s="3060">
        <f t="shared" si="1"/>
      </c>
      <c r="DB202" s="3060">
        <f t="shared" si="18"/>
      </c>
      <c r="DC202" s="3060">
        <f t="shared" si="19"/>
      </c>
      <c r="DD202" s="3060">
        <f t="shared" si="20"/>
      </c>
      <c r="DE202" s="3060">
        <f t="shared" si="21"/>
      </c>
      <c r="DF202" s="3060">
        <f t="shared" si="22"/>
      </c>
      <c r="DG202" s="3060">
        <f t="shared" si="23"/>
      </c>
      <c r="DH202" s="3060">
        <f t="shared" si="24"/>
      </c>
      <c r="DI202" s="3060">
        <f t="shared" si="1"/>
      </c>
    </row>
    <row r="203" ht="15" customHeight="1" s="3052" customFormat="1">
      <c r="A203" s="3065"/>
      <c r="B203" s="3054">
        <f t="shared" si="2"/>
      </c>
      <c r="C203" s="3054"/>
      <c r="D203" s="3054"/>
      <c r="E203" s="3055"/>
      <c r="F203" s="3055"/>
      <c r="G203" s="3055"/>
      <c r="H203" s="3055"/>
      <c r="I203" s="3055"/>
      <c r="J203" s="3055"/>
      <c r="K203" s="3055"/>
      <c r="L203" s="3055"/>
      <c r="M203" s="3055"/>
      <c r="N203" s="3055"/>
      <c r="O203" s="3055"/>
      <c r="P203" s="3055"/>
      <c r="Q203" s="3055"/>
      <c r="R203" s="3055">
        <f t="shared" si="3"/>
        <v>0</v>
      </c>
      <c r="S203" s="3055">
        <f t="shared" si="4"/>
        <v>0</v>
      </c>
      <c r="T203" s="3055">
        <f t="shared" si="5"/>
        <v>0</v>
      </c>
      <c r="U203" s="3055">
        <f t="shared" si="6"/>
        <v>0</v>
      </c>
      <c r="V203" s="3055">
        <f t="shared" si="7"/>
        <v>0</v>
      </c>
      <c r="W203" s="3055">
        <f t="shared" si="8"/>
        <v>0</v>
      </c>
      <c r="X203" s="3055">
        <f t="shared" si="9"/>
        <v>0</v>
      </c>
      <c r="Y203" s="3055">
        <f t="shared" si="10"/>
        <v>0</v>
      </c>
      <c r="Z203" s="3055">
        <f t="shared" si="11"/>
        <v>0</v>
      </c>
      <c r="AA203" s="3055">
        <f t="shared" si="12"/>
        <v>0</v>
      </c>
      <c r="AB203" s="3055">
        <f t="shared" si="13"/>
        <v>0</v>
      </c>
      <c r="AC203" s="3055">
        <f t="shared" si="14"/>
        <v>0</v>
      </c>
      <c r="AD203" s="3056"/>
      <c r="AE203" s="3057">
        <f t="shared" si="0"/>
      </c>
      <c r="AF203" s="3054"/>
      <c r="AG203" s="3054"/>
      <c r="AH203" s="3055"/>
      <c r="AI203" s="3055"/>
      <c r="AJ203" s="3055"/>
      <c r="AK203" s="3055"/>
      <c r="AL203" s="3055"/>
      <c r="AM203" s="3055"/>
      <c r="AN203" s="3055"/>
      <c r="AO203" s="3055"/>
      <c r="AP203" s="3055"/>
      <c r="AQ203" s="3055"/>
      <c r="AR203" s="3055"/>
      <c r="AS203" s="3055"/>
      <c r="AT203" s="3055"/>
      <c r="AU203" s="3056"/>
      <c r="AV203" s="3057">
        <f t="shared" si="15"/>
      </c>
      <c r="AW203" s="3054"/>
      <c r="AX203" s="3054"/>
      <c r="AY203" s="3055"/>
      <c r="AZ203" s="3055"/>
      <c r="BA203" s="3055"/>
      <c r="BB203" s="3055"/>
      <c r="BC203" s="3055"/>
      <c r="BD203" s="3055"/>
      <c r="BE203" s="3055"/>
      <c r="BF203" s="3055"/>
      <c r="BG203" s="3055"/>
      <c r="BH203" s="3055"/>
      <c r="BI203" s="3055"/>
      <c r="BJ203" s="3055"/>
      <c r="BK203" s="3055"/>
      <c r="BL203" s="3056"/>
      <c r="BM203" s="3057">
        <f t="shared" si="16"/>
      </c>
      <c r="BN203" s="3054"/>
      <c r="BO203" s="3054"/>
      <c r="BP203" s="3055"/>
      <c r="BQ203" s="3055"/>
      <c r="BR203" s="3055"/>
      <c r="BS203" s="3055"/>
      <c r="BT203" s="3055"/>
      <c r="BU203" s="3055"/>
      <c r="BV203" s="3055"/>
      <c r="BW203" s="3055"/>
      <c r="BX203" s="3055"/>
      <c r="BY203" s="3055"/>
      <c r="BZ203" s="3055"/>
      <c r="CA203" s="3055"/>
      <c r="CB203" s="3055"/>
      <c r="CC203" s="3056"/>
      <c r="CD203" s="3057">
        <f t="shared" si="0"/>
      </c>
      <c r="CE203" s="3054"/>
      <c r="CF203" s="3054"/>
      <c r="CG203" s="3055"/>
      <c r="CH203" s="3055"/>
      <c r="CI203" s="3055"/>
      <c r="CJ203" s="3055"/>
      <c r="CK203" s="3055"/>
      <c r="CL203" s="3055"/>
      <c r="CM203" s="3055"/>
      <c r="CN203" s="3055"/>
      <c r="CO203" s="3055"/>
      <c r="CP203" s="3055"/>
      <c r="CQ203" s="3055"/>
      <c r="CR203" s="3055"/>
      <c r="CS203" s="3055"/>
      <c r="CU203" s="3054"/>
      <c r="CV203" s="696"/>
      <c r="CW203" s="696"/>
      <c r="CZ203" s="3060">
        <f t="shared" si="17"/>
      </c>
      <c r="DA203" s="3060">
        <f t="shared" si="1"/>
      </c>
      <c r="DB203" s="3060">
        <f t="shared" si="18"/>
      </c>
      <c r="DC203" s="3060">
        <f t="shared" si="19"/>
      </c>
      <c r="DD203" s="3060">
        <f t="shared" si="20"/>
      </c>
      <c r="DE203" s="3060">
        <f t="shared" si="21"/>
      </c>
      <c r="DF203" s="3060">
        <f t="shared" si="22"/>
      </c>
      <c r="DG203" s="3060">
        <f t="shared" si="23"/>
      </c>
      <c r="DH203" s="3060">
        <f t="shared" si="24"/>
      </c>
      <c r="DI203" s="3060">
        <f t="shared" si="1"/>
      </c>
    </row>
    <row r="204" ht="15" customHeight="1" s="3052" customFormat="1">
      <c r="A204" s="3065"/>
      <c r="B204" s="3054">
        <f t="shared" si="2"/>
      </c>
      <c r="C204" s="3054"/>
      <c r="D204" s="3054"/>
      <c r="E204" s="3055"/>
      <c r="F204" s="3055"/>
      <c r="G204" s="3055"/>
      <c r="H204" s="3055"/>
      <c r="I204" s="3055"/>
      <c r="J204" s="3055"/>
      <c r="K204" s="3055"/>
      <c r="L204" s="3055"/>
      <c r="M204" s="3055"/>
      <c r="N204" s="3055"/>
      <c r="O204" s="3055"/>
      <c r="P204" s="3055"/>
      <c r="Q204" s="3055"/>
      <c r="R204" s="3055">
        <f t="shared" si="3"/>
        <v>0</v>
      </c>
      <c r="S204" s="3055">
        <f t="shared" si="4"/>
        <v>0</v>
      </c>
      <c r="T204" s="3055">
        <f t="shared" si="5"/>
        <v>0</v>
      </c>
      <c r="U204" s="3055">
        <f t="shared" si="6"/>
        <v>0</v>
      </c>
      <c r="V204" s="3055">
        <f t="shared" si="7"/>
        <v>0</v>
      </c>
      <c r="W204" s="3055">
        <f t="shared" si="8"/>
        <v>0</v>
      </c>
      <c r="X204" s="3055">
        <f t="shared" si="9"/>
        <v>0</v>
      </c>
      <c r="Y204" s="3055">
        <f t="shared" si="10"/>
        <v>0</v>
      </c>
      <c r="Z204" s="3055">
        <f t="shared" si="11"/>
        <v>0</v>
      </c>
      <c r="AA204" s="3055">
        <f t="shared" si="12"/>
        <v>0</v>
      </c>
      <c r="AB204" s="3055">
        <f t="shared" si="13"/>
        <v>0</v>
      </c>
      <c r="AC204" s="3055">
        <f t="shared" si="14"/>
        <v>0</v>
      </c>
      <c r="AD204" s="3056"/>
      <c r="AE204" s="3057">
        <f t="shared" si="0"/>
      </c>
      <c r="AF204" s="3054"/>
      <c r="AG204" s="3054"/>
      <c r="AH204" s="3055"/>
      <c r="AI204" s="3055"/>
      <c r="AJ204" s="3055"/>
      <c r="AK204" s="3055"/>
      <c r="AL204" s="3055"/>
      <c r="AM204" s="3055"/>
      <c r="AN204" s="3055"/>
      <c r="AO204" s="3055"/>
      <c r="AP204" s="3055"/>
      <c r="AQ204" s="3055"/>
      <c r="AR204" s="3055"/>
      <c r="AS204" s="3055"/>
      <c r="AT204" s="3055"/>
      <c r="AU204" s="3056"/>
      <c r="AV204" s="3057">
        <f t="shared" si="15"/>
      </c>
      <c r="AW204" s="3054"/>
      <c r="AX204" s="3054"/>
      <c r="AY204" s="3055"/>
      <c r="AZ204" s="3055"/>
      <c r="BA204" s="3055"/>
      <c r="BB204" s="3055"/>
      <c r="BC204" s="3055"/>
      <c r="BD204" s="3055"/>
      <c r="BE204" s="3055"/>
      <c r="BF204" s="3055"/>
      <c r="BG204" s="3055"/>
      <c r="BH204" s="3055"/>
      <c r="BI204" s="3055"/>
      <c r="BJ204" s="3055"/>
      <c r="BK204" s="3055"/>
      <c r="BL204" s="3056"/>
      <c r="BM204" s="3057">
        <f t="shared" si="16"/>
      </c>
      <c r="BN204" s="3054"/>
      <c r="BO204" s="3054"/>
      <c r="BP204" s="3055"/>
      <c r="BQ204" s="3055"/>
      <c r="BR204" s="3055"/>
      <c r="BS204" s="3055"/>
      <c r="BT204" s="3055"/>
      <c r="BU204" s="3055"/>
      <c r="BV204" s="3055"/>
      <c r="BW204" s="3055"/>
      <c r="BX204" s="3055"/>
      <c r="BY204" s="3055"/>
      <c r="BZ204" s="3055"/>
      <c r="CA204" s="3055"/>
      <c r="CB204" s="3055"/>
      <c r="CC204" s="3056"/>
      <c r="CD204" s="3057">
        <f t="shared" si="0"/>
      </c>
      <c r="CE204" s="3054"/>
      <c r="CF204" s="3054"/>
      <c r="CG204" s="3055"/>
      <c r="CH204" s="3055"/>
      <c r="CI204" s="3055"/>
      <c r="CJ204" s="3055"/>
      <c r="CK204" s="3055"/>
      <c r="CL204" s="3055"/>
      <c r="CM204" s="3055"/>
      <c r="CN204" s="3055"/>
      <c r="CO204" s="3055"/>
      <c r="CP204" s="3055"/>
      <c r="CQ204" s="3055"/>
      <c r="CR204" s="3055"/>
      <c r="CS204" s="3055"/>
      <c r="CU204" s="3054"/>
      <c r="CV204" s="696"/>
      <c r="CW204" s="696"/>
      <c r="CZ204" s="3060">
        <f t="shared" si="17"/>
      </c>
      <c r="DA204" s="3060">
        <f t="shared" si="1"/>
      </c>
      <c r="DB204" s="3060">
        <f t="shared" si="18"/>
      </c>
      <c r="DC204" s="3060">
        <f t="shared" si="19"/>
      </c>
      <c r="DD204" s="3060">
        <f t="shared" si="20"/>
      </c>
      <c r="DE204" s="3060">
        <f t="shared" si="21"/>
      </c>
      <c r="DF204" s="3060">
        <f t="shared" si="22"/>
      </c>
      <c r="DG204" s="3060">
        <f t="shared" si="23"/>
      </c>
      <c r="DH204" s="3060">
        <f t="shared" si="24"/>
      </c>
      <c r="DI204" s="3060">
        <f t="shared" si="1"/>
      </c>
    </row>
    <row r="205" ht="15" customHeight="1" s="3052" customFormat="1">
      <c r="A205" s="3065"/>
      <c r="B205" s="3054">
        <f t="shared" si="2"/>
      </c>
      <c r="C205" s="3054"/>
      <c r="D205" s="3054"/>
      <c r="E205" s="3055"/>
      <c r="F205" s="3055"/>
      <c r="G205" s="3055"/>
      <c r="H205" s="3055"/>
      <c r="I205" s="3055"/>
      <c r="J205" s="3055"/>
      <c r="K205" s="3055"/>
      <c r="L205" s="3055"/>
      <c r="M205" s="3055"/>
      <c r="N205" s="3055"/>
      <c r="O205" s="3055"/>
      <c r="P205" s="3055"/>
      <c r="Q205" s="3055"/>
      <c r="R205" s="3055">
        <f t="shared" si="3"/>
        <v>0</v>
      </c>
      <c r="S205" s="3055">
        <f t="shared" si="4"/>
        <v>0</v>
      </c>
      <c r="T205" s="3055">
        <f t="shared" si="5"/>
        <v>0</v>
      </c>
      <c r="U205" s="3055">
        <f t="shared" si="6"/>
        <v>0</v>
      </c>
      <c r="V205" s="3055">
        <f t="shared" si="7"/>
        <v>0</v>
      </c>
      <c r="W205" s="3055">
        <f t="shared" si="8"/>
        <v>0</v>
      </c>
      <c r="X205" s="3055">
        <f t="shared" si="9"/>
        <v>0</v>
      </c>
      <c r="Y205" s="3055">
        <f t="shared" si="10"/>
        <v>0</v>
      </c>
      <c r="Z205" s="3055">
        <f t="shared" si="11"/>
        <v>0</v>
      </c>
      <c r="AA205" s="3055">
        <f t="shared" si="12"/>
        <v>0</v>
      </c>
      <c r="AB205" s="3055">
        <f t="shared" si="13"/>
        <v>0</v>
      </c>
      <c r="AC205" s="3055">
        <f t="shared" si="14"/>
        <v>0</v>
      </c>
      <c r="AD205" s="3056"/>
      <c r="AE205" s="3057">
        <f t="shared" si="0"/>
      </c>
      <c r="AF205" s="3054"/>
      <c r="AG205" s="3054"/>
      <c r="AH205" s="3055"/>
      <c r="AI205" s="3055"/>
      <c r="AJ205" s="3055"/>
      <c r="AK205" s="3055"/>
      <c r="AL205" s="3055"/>
      <c r="AM205" s="3055"/>
      <c r="AN205" s="3055"/>
      <c r="AO205" s="3055"/>
      <c r="AP205" s="3055"/>
      <c r="AQ205" s="3055"/>
      <c r="AR205" s="3055"/>
      <c r="AS205" s="3055"/>
      <c r="AT205" s="3055"/>
      <c r="AU205" s="3056"/>
      <c r="AV205" s="3057">
        <f t="shared" si="15"/>
      </c>
      <c r="AW205" s="3054"/>
      <c r="AX205" s="3054"/>
      <c r="AY205" s="3055"/>
      <c r="AZ205" s="3055"/>
      <c r="BA205" s="3055"/>
      <c r="BB205" s="3055"/>
      <c r="BC205" s="3055"/>
      <c r="BD205" s="3055"/>
      <c r="BE205" s="3055"/>
      <c r="BF205" s="3055"/>
      <c r="BG205" s="3055"/>
      <c r="BH205" s="3055"/>
      <c r="BI205" s="3055"/>
      <c r="BJ205" s="3055"/>
      <c r="BK205" s="3055"/>
      <c r="BL205" s="3056"/>
      <c r="BM205" s="3057">
        <f t="shared" si="16"/>
      </c>
      <c r="BN205" s="3054"/>
      <c r="BO205" s="3054"/>
      <c r="BP205" s="3055"/>
      <c r="BQ205" s="3055"/>
      <c r="BR205" s="3055"/>
      <c r="BS205" s="3055"/>
      <c r="BT205" s="3055"/>
      <c r="BU205" s="3055"/>
      <c r="BV205" s="3055"/>
      <c r="BW205" s="3055"/>
      <c r="BX205" s="3055"/>
      <c r="BY205" s="3055"/>
      <c r="BZ205" s="3055"/>
      <c r="CA205" s="3055"/>
      <c r="CB205" s="3055"/>
      <c r="CC205" s="3056"/>
      <c r="CD205" s="3057">
        <f t="shared" si="0"/>
      </c>
      <c r="CE205" s="3054"/>
      <c r="CF205" s="3054"/>
      <c r="CG205" s="3055"/>
      <c r="CH205" s="3055"/>
      <c r="CI205" s="3055"/>
      <c r="CJ205" s="3055"/>
      <c r="CK205" s="3055"/>
      <c r="CL205" s="3055"/>
      <c r="CM205" s="3055"/>
      <c r="CN205" s="3055"/>
      <c r="CO205" s="3055"/>
      <c r="CP205" s="3055"/>
      <c r="CQ205" s="3055"/>
      <c r="CR205" s="3055"/>
      <c r="CS205" s="3055"/>
      <c r="CU205" s="3054"/>
      <c r="CV205" s="696"/>
      <c r="CW205" s="696"/>
      <c r="CZ205" s="3060">
        <f t="shared" si="17"/>
      </c>
      <c r="DA205" s="3060">
        <f t="shared" si="1"/>
      </c>
      <c r="DB205" s="3060">
        <f t="shared" si="18"/>
      </c>
      <c r="DC205" s="3060">
        <f t="shared" si="19"/>
      </c>
      <c r="DD205" s="3060">
        <f t="shared" si="20"/>
      </c>
      <c r="DE205" s="3060">
        <f t="shared" si="21"/>
      </c>
      <c r="DF205" s="3060">
        <f t="shared" si="22"/>
      </c>
      <c r="DG205" s="3060">
        <f t="shared" si="23"/>
      </c>
      <c r="DH205" s="3060">
        <f t="shared" si="24"/>
      </c>
      <c r="DI205" s="3060">
        <f t="shared" si="1"/>
      </c>
    </row>
    <row r="206" ht="15" customHeight="1" s="3052" customFormat="1">
      <c r="A206" s="3065"/>
      <c r="B206" s="3054">
        <f t="shared" si="2"/>
      </c>
      <c r="C206" s="3054"/>
      <c r="D206" s="3054"/>
      <c r="E206" s="3055"/>
      <c r="F206" s="3055"/>
      <c r="G206" s="3055"/>
      <c r="H206" s="3055"/>
      <c r="I206" s="3055"/>
      <c r="J206" s="3055"/>
      <c r="K206" s="3055"/>
      <c r="L206" s="3055"/>
      <c r="M206" s="3055"/>
      <c r="N206" s="3055"/>
      <c r="O206" s="3055"/>
      <c r="P206" s="3055"/>
      <c r="Q206" s="3055"/>
      <c r="R206" s="3055">
        <f t="shared" si="3"/>
        <v>0</v>
      </c>
      <c r="S206" s="3055">
        <f t="shared" si="4"/>
        <v>0</v>
      </c>
      <c r="T206" s="3055">
        <f t="shared" si="5"/>
        <v>0</v>
      </c>
      <c r="U206" s="3055">
        <f t="shared" si="6"/>
        <v>0</v>
      </c>
      <c r="V206" s="3055">
        <f t="shared" si="7"/>
        <v>0</v>
      </c>
      <c r="W206" s="3055">
        <f t="shared" si="8"/>
        <v>0</v>
      </c>
      <c r="X206" s="3055">
        <f t="shared" si="9"/>
        <v>0</v>
      </c>
      <c r="Y206" s="3055">
        <f t="shared" si="10"/>
        <v>0</v>
      </c>
      <c r="Z206" s="3055">
        <f t="shared" si="11"/>
        <v>0</v>
      </c>
      <c r="AA206" s="3055">
        <f t="shared" si="12"/>
        <v>0</v>
      </c>
      <c r="AB206" s="3055">
        <f t="shared" si="13"/>
        <v>0</v>
      </c>
      <c r="AC206" s="3055">
        <f t="shared" si="14"/>
        <v>0</v>
      </c>
      <c r="AD206" s="3056"/>
      <c r="AE206" s="3057">
        <f t="shared" si="0"/>
      </c>
      <c r="AF206" s="3054"/>
      <c r="AG206" s="3054"/>
      <c r="AH206" s="3055"/>
      <c r="AI206" s="3055"/>
      <c r="AJ206" s="3055"/>
      <c r="AK206" s="3055"/>
      <c r="AL206" s="3055"/>
      <c r="AM206" s="3055"/>
      <c r="AN206" s="3055"/>
      <c r="AO206" s="3055"/>
      <c r="AP206" s="3055"/>
      <c r="AQ206" s="3055"/>
      <c r="AR206" s="3055"/>
      <c r="AS206" s="3055"/>
      <c r="AT206" s="3055"/>
      <c r="AU206" s="3056"/>
      <c r="AV206" s="3057">
        <f t="shared" si="15"/>
      </c>
      <c r="AW206" s="3054"/>
      <c r="AX206" s="3054"/>
      <c r="AY206" s="3055"/>
      <c r="AZ206" s="3055"/>
      <c r="BA206" s="3055"/>
      <c r="BB206" s="3055"/>
      <c r="BC206" s="3055"/>
      <c r="BD206" s="3055"/>
      <c r="BE206" s="3055"/>
      <c r="BF206" s="3055"/>
      <c r="BG206" s="3055"/>
      <c r="BH206" s="3055"/>
      <c r="BI206" s="3055"/>
      <c r="BJ206" s="3055"/>
      <c r="BK206" s="3055"/>
      <c r="BL206" s="3056"/>
      <c r="BM206" s="3057">
        <f t="shared" si="16"/>
      </c>
      <c r="BN206" s="3054"/>
      <c r="BO206" s="3054"/>
      <c r="BP206" s="3055"/>
      <c r="BQ206" s="3055"/>
      <c r="BR206" s="3055"/>
      <c r="BS206" s="3055"/>
      <c r="BT206" s="3055"/>
      <c r="BU206" s="3055"/>
      <c r="BV206" s="3055"/>
      <c r="BW206" s="3055"/>
      <c r="BX206" s="3055"/>
      <c r="BY206" s="3055"/>
      <c r="BZ206" s="3055"/>
      <c r="CA206" s="3055"/>
      <c r="CB206" s="3055"/>
      <c r="CC206" s="3056"/>
      <c r="CD206" s="3057">
        <f t="shared" si="0"/>
      </c>
      <c r="CE206" s="3054"/>
      <c r="CF206" s="3054"/>
      <c r="CG206" s="3055"/>
      <c r="CH206" s="3055"/>
      <c r="CI206" s="3055"/>
      <c r="CJ206" s="3055"/>
      <c r="CK206" s="3055"/>
      <c r="CL206" s="3055"/>
      <c r="CM206" s="3055"/>
      <c r="CN206" s="3055"/>
      <c r="CO206" s="3055"/>
      <c r="CP206" s="3055"/>
      <c r="CQ206" s="3055"/>
      <c r="CR206" s="3055"/>
      <c r="CS206" s="3055"/>
      <c r="CU206" s="3054"/>
      <c r="CV206" s="696"/>
      <c r="CW206" s="696"/>
      <c r="CZ206" s="3060">
        <f t="shared" si="17"/>
      </c>
      <c r="DA206" s="3060">
        <f t="shared" si="1"/>
      </c>
      <c r="DB206" s="3060">
        <f t="shared" si="18"/>
      </c>
      <c r="DC206" s="3060">
        <f t="shared" si="19"/>
      </c>
      <c r="DD206" s="3060">
        <f t="shared" si="20"/>
      </c>
      <c r="DE206" s="3060">
        <f t="shared" si="21"/>
      </c>
      <c r="DF206" s="3060">
        <f t="shared" si="22"/>
      </c>
      <c r="DG206" s="3060">
        <f t="shared" si="23"/>
      </c>
      <c r="DH206" s="3060">
        <f t="shared" si="24"/>
      </c>
      <c r="DI206" s="3060">
        <f t="shared" si="1"/>
      </c>
    </row>
    <row r="207" ht="15" customHeight="1" s="3052" customFormat="1">
      <c r="A207" s="3065"/>
      <c r="B207" s="3054">
        <f t="shared" si="2"/>
      </c>
      <c r="C207" s="3054"/>
      <c r="D207" s="3054"/>
      <c r="E207" s="3055"/>
      <c r="F207" s="3055"/>
      <c r="G207" s="3055"/>
      <c r="H207" s="3055"/>
      <c r="I207" s="3055"/>
      <c r="J207" s="3055"/>
      <c r="K207" s="3055"/>
      <c r="L207" s="3055"/>
      <c r="M207" s="3055"/>
      <c r="N207" s="3055"/>
      <c r="O207" s="3055"/>
      <c r="P207" s="3055"/>
      <c r="Q207" s="3055"/>
      <c r="R207" s="3055">
        <f t="shared" si="3"/>
        <v>0</v>
      </c>
      <c r="S207" s="3055">
        <f t="shared" si="4"/>
        <v>0</v>
      </c>
      <c r="T207" s="3055">
        <f t="shared" si="5"/>
        <v>0</v>
      </c>
      <c r="U207" s="3055">
        <f t="shared" si="6"/>
        <v>0</v>
      </c>
      <c r="V207" s="3055">
        <f t="shared" si="7"/>
        <v>0</v>
      </c>
      <c r="W207" s="3055">
        <f t="shared" si="8"/>
        <v>0</v>
      </c>
      <c r="X207" s="3055">
        <f t="shared" si="9"/>
        <v>0</v>
      </c>
      <c r="Y207" s="3055">
        <f t="shared" si="10"/>
        <v>0</v>
      </c>
      <c r="Z207" s="3055">
        <f t="shared" si="11"/>
        <v>0</v>
      </c>
      <c r="AA207" s="3055">
        <f t="shared" si="12"/>
        <v>0</v>
      </c>
      <c r="AB207" s="3055">
        <f t="shared" si="13"/>
        <v>0</v>
      </c>
      <c r="AC207" s="3055">
        <f t="shared" si="14"/>
        <v>0</v>
      </c>
      <c r="AD207" s="3056"/>
      <c r="AE207" s="3057">
        <f t="shared" si="0"/>
      </c>
      <c r="AF207" s="3054"/>
      <c r="AG207" s="3054"/>
      <c r="AH207" s="3055"/>
      <c r="AI207" s="3055"/>
      <c r="AJ207" s="3055"/>
      <c r="AK207" s="3055"/>
      <c r="AL207" s="3055"/>
      <c r="AM207" s="3055"/>
      <c r="AN207" s="3055"/>
      <c r="AO207" s="3055"/>
      <c r="AP207" s="3055"/>
      <c r="AQ207" s="3055"/>
      <c r="AR207" s="3055"/>
      <c r="AS207" s="3055"/>
      <c r="AT207" s="3055"/>
      <c r="AU207" s="3056"/>
      <c r="AV207" s="3057">
        <f t="shared" si="15"/>
      </c>
      <c r="AW207" s="3054"/>
      <c r="AX207" s="3054"/>
      <c r="AY207" s="3055"/>
      <c r="AZ207" s="3055"/>
      <c r="BA207" s="3055"/>
      <c r="BB207" s="3055"/>
      <c r="BC207" s="3055"/>
      <c r="BD207" s="3055"/>
      <c r="BE207" s="3055"/>
      <c r="BF207" s="3055"/>
      <c r="BG207" s="3055"/>
      <c r="BH207" s="3055"/>
      <c r="BI207" s="3055"/>
      <c r="BJ207" s="3055"/>
      <c r="BK207" s="3055"/>
      <c r="BL207" s="3056"/>
      <c r="BM207" s="3057">
        <f t="shared" si="16"/>
      </c>
      <c r="BN207" s="3054"/>
      <c r="BO207" s="3054"/>
      <c r="BP207" s="3055"/>
      <c r="BQ207" s="3055"/>
      <c r="BR207" s="3055"/>
      <c r="BS207" s="3055"/>
      <c r="BT207" s="3055"/>
      <c r="BU207" s="3055"/>
      <c r="BV207" s="3055"/>
      <c r="BW207" s="3055"/>
      <c r="BX207" s="3055"/>
      <c r="BY207" s="3055"/>
      <c r="BZ207" s="3055"/>
      <c r="CA207" s="3055"/>
      <c r="CB207" s="3055"/>
      <c r="CC207" s="3056"/>
      <c r="CD207" s="3057">
        <f t="shared" si="0"/>
      </c>
      <c r="CE207" s="3054"/>
      <c r="CF207" s="3054"/>
      <c r="CG207" s="3055"/>
      <c r="CH207" s="3055"/>
      <c r="CI207" s="3055"/>
      <c r="CJ207" s="3055"/>
      <c r="CK207" s="3055"/>
      <c r="CL207" s="3055"/>
      <c r="CM207" s="3055"/>
      <c r="CN207" s="3055"/>
      <c r="CO207" s="3055"/>
      <c r="CP207" s="3055"/>
      <c r="CQ207" s="3055"/>
      <c r="CR207" s="3055"/>
      <c r="CS207" s="3055"/>
      <c r="CU207" s="3054"/>
      <c r="CV207" s="696"/>
      <c r="CW207" s="696"/>
      <c r="CZ207" s="3060">
        <f t="shared" si="17"/>
      </c>
      <c r="DA207" s="3060">
        <f t="shared" si="1"/>
      </c>
      <c r="DB207" s="3060">
        <f t="shared" si="18"/>
      </c>
      <c r="DC207" s="3060">
        <f t="shared" si="19"/>
      </c>
      <c r="DD207" s="3060">
        <f t="shared" si="20"/>
      </c>
      <c r="DE207" s="3060">
        <f t="shared" si="21"/>
      </c>
      <c r="DF207" s="3060">
        <f t="shared" si="22"/>
      </c>
      <c r="DG207" s="3060">
        <f t="shared" si="23"/>
      </c>
      <c r="DH207" s="3060">
        <f t="shared" si="24"/>
      </c>
      <c r="DI207" s="3060">
        <f t="shared" si="1"/>
      </c>
    </row>
    <row r="208" ht="15" customHeight="1" s="3052" customFormat="1">
      <c r="A208" s="3065"/>
      <c r="B208" s="3054">
        <f t="shared" si="2"/>
      </c>
      <c r="C208" s="3054"/>
      <c r="D208" s="3054"/>
      <c r="E208" s="3055"/>
      <c r="F208" s="3055"/>
      <c r="G208" s="3055"/>
      <c r="H208" s="3055"/>
      <c r="I208" s="3055"/>
      <c r="J208" s="3055"/>
      <c r="K208" s="3055"/>
      <c r="L208" s="3055"/>
      <c r="M208" s="3055"/>
      <c r="N208" s="3055"/>
      <c r="O208" s="3055"/>
      <c r="P208" s="3055"/>
      <c r="Q208" s="3055"/>
      <c r="R208" s="3055">
        <f t="shared" si="3"/>
        <v>0</v>
      </c>
      <c r="S208" s="3055">
        <f t="shared" si="4"/>
        <v>0</v>
      </c>
      <c r="T208" s="3055">
        <f t="shared" si="5"/>
        <v>0</v>
      </c>
      <c r="U208" s="3055">
        <f t="shared" si="6"/>
        <v>0</v>
      </c>
      <c r="V208" s="3055">
        <f t="shared" si="7"/>
        <v>0</v>
      </c>
      <c r="W208" s="3055">
        <f t="shared" si="8"/>
        <v>0</v>
      </c>
      <c r="X208" s="3055">
        <f t="shared" si="9"/>
        <v>0</v>
      </c>
      <c r="Y208" s="3055">
        <f t="shared" si="10"/>
        <v>0</v>
      </c>
      <c r="Z208" s="3055">
        <f t="shared" si="11"/>
        <v>0</v>
      </c>
      <c r="AA208" s="3055">
        <f t="shared" si="12"/>
        <v>0</v>
      </c>
      <c r="AB208" s="3055">
        <f t="shared" si="13"/>
        <v>0</v>
      </c>
      <c r="AC208" s="3055">
        <f t="shared" si="14"/>
        <v>0</v>
      </c>
      <c r="AD208" s="3056"/>
      <c r="AE208" s="3057">
        <f t="shared" si="0"/>
      </c>
      <c r="AF208" s="3054"/>
      <c r="AG208" s="3054"/>
      <c r="AH208" s="3055"/>
      <c r="AI208" s="3055"/>
      <c r="AJ208" s="3055"/>
      <c r="AK208" s="3055"/>
      <c r="AL208" s="3055"/>
      <c r="AM208" s="3055"/>
      <c r="AN208" s="3055"/>
      <c r="AO208" s="3055"/>
      <c r="AP208" s="3055"/>
      <c r="AQ208" s="3055"/>
      <c r="AR208" s="3055"/>
      <c r="AS208" s="3055"/>
      <c r="AT208" s="3055"/>
      <c r="AU208" s="3056"/>
      <c r="AV208" s="3057">
        <f t="shared" si="15"/>
      </c>
      <c r="AW208" s="3054"/>
      <c r="AX208" s="3054"/>
      <c r="AY208" s="3055"/>
      <c r="AZ208" s="3055"/>
      <c r="BA208" s="3055"/>
      <c r="BB208" s="3055"/>
      <c r="BC208" s="3055"/>
      <c r="BD208" s="3055"/>
      <c r="BE208" s="3055"/>
      <c r="BF208" s="3055"/>
      <c r="BG208" s="3055"/>
      <c r="BH208" s="3055"/>
      <c r="BI208" s="3055"/>
      <c r="BJ208" s="3055"/>
      <c r="BK208" s="3055"/>
      <c r="BL208" s="3056"/>
      <c r="BM208" s="3057">
        <f t="shared" si="16"/>
      </c>
      <c r="BN208" s="3054"/>
      <c r="BO208" s="3054"/>
      <c r="BP208" s="3055"/>
      <c r="BQ208" s="3055"/>
      <c r="BR208" s="3055"/>
      <c r="BS208" s="3055"/>
      <c r="BT208" s="3055"/>
      <c r="BU208" s="3055"/>
      <c r="BV208" s="3055"/>
      <c r="BW208" s="3055"/>
      <c r="BX208" s="3055"/>
      <c r="BY208" s="3055"/>
      <c r="BZ208" s="3055"/>
      <c r="CA208" s="3055"/>
      <c r="CB208" s="3055"/>
      <c r="CC208" s="3056"/>
      <c r="CD208" s="3057">
        <f t="shared" si="0"/>
      </c>
      <c r="CE208" s="3054"/>
      <c r="CF208" s="3054"/>
      <c r="CG208" s="3055"/>
      <c r="CH208" s="3055"/>
      <c r="CI208" s="3055"/>
      <c r="CJ208" s="3055"/>
      <c r="CK208" s="3055"/>
      <c r="CL208" s="3055"/>
      <c r="CM208" s="3055"/>
      <c r="CN208" s="3055"/>
      <c r="CO208" s="3055"/>
      <c r="CP208" s="3055"/>
      <c r="CQ208" s="3055"/>
      <c r="CR208" s="3055"/>
      <c r="CS208" s="3055"/>
      <c r="CU208" s="3054"/>
      <c r="CV208" s="696"/>
      <c r="CW208" s="696"/>
      <c r="CZ208" s="3060">
        <f t="shared" si="17"/>
      </c>
      <c r="DA208" s="3060">
        <f t="shared" si="1"/>
      </c>
      <c r="DB208" s="3060">
        <f t="shared" si="18"/>
      </c>
      <c r="DC208" s="3060">
        <f t="shared" si="19"/>
      </c>
      <c r="DD208" s="3060">
        <f t="shared" si="20"/>
      </c>
      <c r="DE208" s="3060">
        <f t="shared" si="21"/>
      </c>
      <c r="DF208" s="3060">
        <f t="shared" si="22"/>
      </c>
      <c r="DG208" s="3060">
        <f t="shared" si="23"/>
      </c>
      <c r="DH208" s="3060">
        <f t="shared" si="24"/>
      </c>
      <c r="DI208" s="3060">
        <f t="shared" si="1"/>
      </c>
    </row>
    <row r="209" ht="15" customHeight="1" s="3052" customFormat="1">
      <c r="A209" s="3065"/>
      <c r="B209" s="3054">
        <f t="shared" si="2"/>
      </c>
      <c r="C209" s="3054"/>
      <c r="D209" s="3054"/>
      <c r="E209" s="3055"/>
      <c r="F209" s="3055"/>
      <c r="G209" s="3055"/>
      <c r="H209" s="3055"/>
      <c r="I209" s="3055"/>
      <c r="J209" s="3055"/>
      <c r="K209" s="3055"/>
      <c r="L209" s="3055"/>
      <c r="M209" s="3055"/>
      <c r="N209" s="3055"/>
      <c r="O209" s="3055"/>
      <c r="P209" s="3055"/>
      <c r="Q209" s="3055"/>
      <c r="R209" s="3055">
        <f t="shared" si="3"/>
        <v>0</v>
      </c>
      <c r="S209" s="3055">
        <f t="shared" si="4"/>
        <v>0</v>
      </c>
      <c r="T209" s="3055">
        <f t="shared" si="5"/>
        <v>0</v>
      </c>
      <c r="U209" s="3055">
        <f t="shared" si="6"/>
        <v>0</v>
      </c>
      <c r="V209" s="3055">
        <f t="shared" si="7"/>
        <v>0</v>
      </c>
      <c r="W209" s="3055">
        <f t="shared" si="8"/>
        <v>0</v>
      </c>
      <c r="X209" s="3055">
        <f t="shared" si="9"/>
        <v>0</v>
      </c>
      <c r="Y209" s="3055">
        <f t="shared" si="10"/>
        <v>0</v>
      </c>
      <c r="Z209" s="3055">
        <f t="shared" si="11"/>
        <v>0</v>
      </c>
      <c r="AA209" s="3055">
        <f t="shared" si="12"/>
        <v>0</v>
      </c>
      <c r="AB209" s="3055">
        <f t="shared" si="13"/>
        <v>0</v>
      </c>
      <c r="AC209" s="3055">
        <f t="shared" si="14"/>
        <v>0</v>
      </c>
      <c r="AD209" s="3056"/>
      <c r="AE209" s="3057">
        <f t="shared" si="0"/>
      </c>
      <c r="AF209" s="3054"/>
      <c r="AG209" s="3054"/>
      <c r="AH209" s="3055"/>
      <c r="AI209" s="3055"/>
      <c r="AJ209" s="3055"/>
      <c r="AK209" s="3055"/>
      <c r="AL209" s="3055"/>
      <c r="AM209" s="3055"/>
      <c r="AN209" s="3055"/>
      <c r="AO209" s="3055"/>
      <c r="AP209" s="3055"/>
      <c r="AQ209" s="3055"/>
      <c r="AR209" s="3055"/>
      <c r="AS209" s="3055"/>
      <c r="AT209" s="3055"/>
      <c r="AU209" s="3056"/>
      <c r="AV209" s="3057">
        <f t="shared" si="15"/>
      </c>
      <c r="AW209" s="3054"/>
      <c r="AX209" s="3054"/>
      <c r="AY209" s="3055"/>
      <c r="AZ209" s="3055"/>
      <c r="BA209" s="3055"/>
      <c r="BB209" s="3055"/>
      <c r="BC209" s="3055"/>
      <c r="BD209" s="3055"/>
      <c r="BE209" s="3055"/>
      <c r="BF209" s="3055"/>
      <c r="BG209" s="3055"/>
      <c r="BH209" s="3055"/>
      <c r="BI209" s="3055"/>
      <c r="BJ209" s="3055"/>
      <c r="BK209" s="3055"/>
      <c r="BL209" s="3056"/>
      <c r="BM209" s="3057">
        <f t="shared" si="16"/>
      </c>
      <c r="BN209" s="3054"/>
      <c r="BO209" s="3054"/>
      <c r="BP209" s="3055"/>
      <c r="BQ209" s="3055"/>
      <c r="BR209" s="3055"/>
      <c r="BS209" s="3055"/>
      <c r="BT209" s="3055"/>
      <c r="BU209" s="3055"/>
      <c r="BV209" s="3055"/>
      <c r="BW209" s="3055"/>
      <c r="BX209" s="3055"/>
      <c r="BY209" s="3055"/>
      <c r="BZ209" s="3055"/>
      <c r="CA209" s="3055"/>
      <c r="CB209" s="3055"/>
      <c r="CC209" s="3056"/>
      <c r="CD209" s="3057">
        <f t="shared" si="0"/>
      </c>
      <c r="CE209" s="3054"/>
      <c r="CF209" s="3054"/>
      <c r="CG209" s="3055"/>
      <c r="CH209" s="3055"/>
      <c r="CI209" s="3055"/>
      <c r="CJ209" s="3055"/>
      <c r="CK209" s="3055"/>
      <c r="CL209" s="3055"/>
      <c r="CM209" s="3055"/>
      <c r="CN209" s="3055"/>
      <c r="CO209" s="3055"/>
      <c r="CP209" s="3055"/>
      <c r="CQ209" s="3055"/>
      <c r="CR209" s="3055"/>
      <c r="CS209" s="3055"/>
      <c r="CU209" s="3054"/>
      <c r="CV209" s="696"/>
      <c r="CW209" s="696"/>
      <c r="CZ209" s="3060">
        <f t="shared" si="17"/>
      </c>
      <c r="DA209" s="3060">
        <f t="shared" si="1"/>
      </c>
      <c r="DB209" s="3060">
        <f t="shared" si="18"/>
      </c>
      <c r="DC209" s="3060">
        <f t="shared" si="19"/>
      </c>
      <c r="DD209" s="3060">
        <f t="shared" si="20"/>
      </c>
      <c r="DE209" s="3060">
        <f t="shared" si="21"/>
      </c>
      <c r="DF209" s="3060">
        <f t="shared" si="22"/>
      </c>
      <c r="DG209" s="3060">
        <f t="shared" si="23"/>
      </c>
      <c r="DH209" s="3060">
        <f t="shared" si="24"/>
      </c>
      <c r="DI209" s="3060">
        <f t="shared" si="1"/>
      </c>
    </row>
    <row r="210" ht="15" customHeight="1" s="3052" customFormat="1">
      <c r="A210" s="3065"/>
      <c r="B210" s="3054">
        <f t="shared" si="2"/>
      </c>
      <c r="C210" s="3054"/>
      <c r="D210" s="3054"/>
      <c r="E210" s="3055"/>
      <c r="F210" s="3055"/>
      <c r="G210" s="3055"/>
      <c r="H210" s="3055"/>
      <c r="I210" s="3055"/>
      <c r="J210" s="3055"/>
      <c r="K210" s="3055"/>
      <c r="L210" s="3055"/>
      <c r="M210" s="3055"/>
      <c r="N210" s="3055"/>
      <c r="O210" s="3055"/>
      <c r="P210" s="3055"/>
      <c r="Q210" s="3055"/>
      <c r="R210" s="3055">
        <f t="shared" si="3"/>
        <v>0</v>
      </c>
      <c r="S210" s="3055">
        <f t="shared" si="4"/>
        <v>0</v>
      </c>
      <c r="T210" s="3055">
        <f t="shared" si="5"/>
        <v>0</v>
      </c>
      <c r="U210" s="3055">
        <f t="shared" si="6"/>
        <v>0</v>
      </c>
      <c r="V210" s="3055">
        <f t="shared" si="7"/>
        <v>0</v>
      </c>
      <c r="W210" s="3055">
        <f t="shared" si="8"/>
        <v>0</v>
      </c>
      <c r="X210" s="3055">
        <f t="shared" si="9"/>
        <v>0</v>
      </c>
      <c r="Y210" s="3055">
        <f t="shared" si="10"/>
        <v>0</v>
      </c>
      <c r="Z210" s="3055">
        <f t="shared" si="11"/>
        <v>0</v>
      </c>
      <c r="AA210" s="3055">
        <f t="shared" si="12"/>
        <v>0</v>
      </c>
      <c r="AB210" s="3055">
        <f t="shared" si="13"/>
        <v>0</v>
      </c>
      <c r="AC210" s="3055">
        <f t="shared" si="14"/>
        <v>0</v>
      </c>
      <c r="AD210" s="3056"/>
      <c r="AE210" s="3057">
        <f t="shared" si="0"/>
      </c>
      <c r="AF210" s="3054"/>
      <c r="AG210" s="3054"/>
      <c r="AH210" s="3055"/>
      <c r="AI210" s="3055"/>
      <c r="AJ210" s="3055"/>
      <c r="AK210" s="3055"/>
      <c r="AL210" s="3055"/>
      <c r="AM210" s="3055"/>
      <c r="AN210" s="3055"/>
      <c r="AO210" s="3055"/>
      <c r="AP210" s="3055"/>
      <c r="AQ210" s="3055"/>
      <c r="AR210" s="3055"/>
      <c r="AS210" s="3055"/>
      <c r="AT210" s="3055"/>
      <c r="AU210" s="3056"/>
      <c r="AV210" s="3057">
        <f t="shared" si="15"/>
      </c>
      <c r="AW210" s="3054"/>
      <c r="AX210" s="3054"/>
      <c r="AY210" s="3055"/>
      <c r="AZ210" s="3055"/>
      <c r="BA210" s="3055"/>
      <c r="BB210" s="3055"/>
      <c r="BC210" s="3055"/>
      <c r="BD210" s="3055"/>
      <c r="BE210" s="3055"/>
      <c r="BF210" s="3055"/>
      <c r="BG210" s="3055"/>
      <c r="BH210" s="3055"/>
      <c r="BI210" s="3055"/>
      <c r="BJ210" s="3055"/>
      <c r="BK210" s="3055"/>
      <c r="BL210" s="3056"/>
      <c r="BM210" s="3057">
        <f t="shared" si="16"/>
      </c>
      <c r="BN210" s="3054"/>
      <c r="BO210" s="3054"/>
      <c r="BP210" s="3055"/>
      <c r="BQ210" s="3055"/>
      <c r="BR210" s="3055"/>
      <c r="BS210" s="3055"/>
      <c r="BT210" s="3055"/>
      <c r="BU210" s="3055"/>
      <c r="BV210" s="3055"/>
      <c r="BW210" s="3055"/>
      <c r="BX210" s="3055"/>
      <c r="BY210" s="3055"/>
      <c r="BZ210" s="3055"/>
      <c r="CA210" s="3055"/>
      <c r="CB210" s="3055"/>
      <c r="CC210" s="3056"/>
      <c r="CD210" s="3057">
        <f t="shared" si="0"/>
      </c>
      <c r="CE210" s="3054"/>
      <c r="CF210" s="3054"/>
      <c r="CG210" s="3055"/>
      <c r="CH210" s="3055"/>
      <c r="CI210" s="3055"/>
      <c r="CJ210" s="3055"/>
      <c r="CK210" s="3055"/>
      <c r="CL210" s="3055"/>
      <c r="CM210" s="3055"/>
      <c r="CN210" s="3055"/>
      <c r="CO210" s="3055"/>
      <c r="CP210" s="3055"/>
      <c r="CQ210" s="3055"/>
      <c r="CR210" s="3055"/>
      <c r="CS210" s="3055"/>
      <c r="CU210" s="3054"/>
      <c r="CV210" s="696"/>
      <c r="CW210" s="696"/>
      <c r="CZ210" s="3060">
        <f t="shared" si="17"/>
      </c>
      <c r="DA210" s="3060">
        <f t="shared" si="1"/>
      </c>
      <c r="DB210" s="3060">
        <f t="shared" si="18"/>
      </c>
      <c r="DC210" s="3060">
        <f t="shared" si="19"/>
      </c>
      <c r="DD210" s="3060">
        <f t="shared" si="20"/>
      </c>
      <c r="DE210" s="3060">
        <f t="shared" si="21"/>
      </c>
      <c r="DF210" s="3060">
        <f t="shared" si="22"/>
      </c>
      <c r="DG210" s="3060">
        <f t="shared" si="23"/>
      </c>
      <c r="DH210" s="3060">
        <f t="shared" si="24"/>
      </c>
      <c r="DI210" s="3060">
        <f t="shared" si="1"/>
      </c>
    </row>
    <row r="211" ht="15" customHeight="1" s="3052" customFormat="1">
      <c r="A211" s="3065"/>
      <c r="B211" s="3054">
        <f t="shared" si="2"/>
      </c>
      <c r="C211" s="3054"/>
      <c r="D211" s="3054"/>
      <c r="E211" s="3055"/>
      <c r="F211" s="3055"/>
      <c r="G211" s="3055"/>
      <c r="H211" s="3055"/>
      <c r="I211" s="3055"/>
      <c r="J211" s="3055"/>
      <c r="K211" s="3055"/>
      <c r="L211" s="3055"/>
      <c r="M211" s="3055"/>
      <c r="N211" s="3055"/>
      <c r="O211" s="3055"/>
      <c r="P211" s="3055"/>
      <c r="Q211" s="3055"/>
      <c r="R211" s="3055">
        <f t="shared" si="3"/>
        <v>0</v>
      </c>
      <c r="S211" s="3055">
        <f t="shared" si="4"/>
        <v>0</v>
      </c>
      <c r="T211" s="3055">
        <f t="shared" si="5"/>
        <v>0</v>
      </c>
      <c r="U211" s="3055">
        <f t="shared" si="6"/>
        <v>0</v>
      </c>
      <c r="V211" s="3055">
        <f t="shared" si="7"/>
        <v>0</v>
      </c>
      <c r="W211" s="3055">
        <f t="shared" si="8"/>
        <v>0</v>
      </c>
      <c r="X211" s="3055">
        <f t="shared" si="9"/>
        <v>0</v>
      </c>
      <c r="Y211" s="3055">
        <f t="shared" si="10"/>
        <v>0</v>
      </c>
      <c r="Z211" s="3055">
        <f t="shared" si="11"/>
        <v>0</v>
      </c>
      <c r="AA211" s="3055">
        <f t="shared" si="12"/>
        <v>0</v>
      </c>
      <c r="AB211" s="3055">
        <f t="shared" si="13"/>
        <v>0</v>
      </c>
      <c r="AC211" s="3055">
        <f t="shared" si="14"/>
        <v>0</v>
      </c>
      <c r="AD211" s="3056"/>
      <c r="AE211" s="3057">
        <f t="shared" si="0"/>
      </c>
      <c r="AF211" s="3054"/>
      <c r="AG211" s="3054"/>
      <c r="AH211" s="3055"/>
      <c r="AI211" s="3055"/>
      <c r="AJ211" s="3055"/>
      <c r="AK211" s="3055"/>
      <c r="AL211" s="3055"/>
      <c r="AM211" s="3055"/>
      <c r="AN211" s="3055"/>
      <c r="AO211" s="3055"/>
      <c r="AP211" s="3055"/>
      <c r="AQ211" s="3055"/>
      <c r="AR211" s="3055"/>
      <c r="AS211" s="3055"/>
      <c r="AT211" s="3055"/>
      <c r="AU211" s="3056"/>
      <c r="AV211" s="3057">
        <f t="shared" si="15"/>
      </c>
      <c r="AW211" s="3054"/>
      <c r="AX211" s="3054"/>
      <c r="AY211" s="3055"/>
      <c r="AZ211" s="3055"/>
      <c r="BA211" s="3055"/>
      <c r="BB211" s="3055"/>
      <c r="BC211" s="3055"/>
      <c r="BD211" s="3055"/>
      <c r="BE211" s="3055"/>
      <c r="BF211" s="3055"/>
      <c r="BG211" s="3055"/>
      <c r="BH211" s="3055"/>
      <c r="BI211" s="3055"/>
      <c r="BJ211" s="3055"/>
      <c r="BK211" s="3055"/>
      <c r="BL211" s="3056"/>
      <c r="BM211" s="3057">
        <f t="shared" si="16"/>
      </c>
      <c r="BN211" s="3054"/>
      <c r="BO211" s="3054"/>
      <c r="BP211" s="3055"/>
      <c r="BQ211" s="3055"/>
      <c r="BR211" s="3055"/>
      <c r="BS211" s="3055"/>
      <c r="BT211" s="3055"/>
      <c r="BU211" s="3055"/>
      <c r="BV211" s="3055"/>
      <c r="BW211" s="3055"/>
      <c r="BX211" s="3055"/>
      <c r="BY211" s="3055"/>
      <c r="BZ211" s="3055"/>
      <c r="CA211" s="3055"/>
      <c r="CB211" s="3055"/>
      <c r="CC211" s="3056"/>
      <c r="CD211" s="3057">
        <f t="shared" si="0"/>
      </c>
      <c r="CE211" s="3054"/>
      <c r="CF211" s="3054"/>
      <c r="CG211" s="3055"/>
      <c r="CH211" s="3055"/>
      <c r="CI211" s="3055"/>
      <c r="CJ211" s="3055"/>
      <c r="CK211" s="3055"/>
      <c r="CL211" s="3055"/>
      <c r="CM211" s="3055"/>
      <c r="CN211" s="3055"/>
      <c r="CO211" s="3055"/>
      <c r="CP211" s="3055"/>
      <c r="CQ211" s="3055"/>
      <c r="CR211" s="3055"/>
      <c r="CS211" s="3055"/>
      <c r="CU211" s="3054"/>
      <c r="CV211" s="696"/>
      <c r="CW211" s="696"/>
      <c r="CZ211" s="3060">
        <f t="shared" si="17"/>
      </c>
      <c r="DA211" s="3060">
        <f t="shared" si="1"/>
      </c>
      <c r="DB211" s="3060">
        <f t="shared" si="18"/>
      </c>
      <c r="DC211" s="3060">
        <f t="shared" si="19"/>
      </c>
      <c r="DD211" s="3060">
        <f t="shared" si="20"/>
      </c>
      <c r="DE211" s="3060">
        <f t="shared" si="21"/>
      </c>
      <c r="DF211" s="3060">
        <f t="shared" si="22"/>
      </c>
      <c r="DG211" s="3060">
        <f t="shared" si="23"/>
      </c>
      <c r="DH211" s="3060">
        <f t="shared" si="24"/>
      </c>
      <c r="DI211" s="3060">
        <f t="shared" si="1"/>
      </c>
    </row>
    <row r="212" ht="15" customHeight="1" s="3052" customFormat="1">
      <c r="A212" s="3065"/>
      <c r="B212" s="3054">
        <f t="shared" si="2"/>
      </c>
      <c r="C212" s="3054"/>
      <c r="D212" s="3054"/>
      <c r="E212" s="3055"/>
      <c r="F212" s="3055"/>
      <c r="G212" s="3055"/>
      <c r="H212" s="3055"/>
      <c r="I212" s="3055"/>
      <c r="J212" s="3055"/>
      <c r="K212" s="3055"/>
      <c r="L212" s="3055"/>
      <c r="M212" s="3055"/>
      <c r="N212" s="3055"/>
      <c r="O212" s="3055"/>
      <c r="P212" s="3055"/>
      <c r="Q212" s="3055"/>
      <c r="R212" s="3055">
        <f t="shared" si="3"/>
        <v>0</v>
      </c>
      <c r="S212" s="3055">
        <f t="shared" si="4"/>
        <v>0</v>
      </c>
      <c r="T212" s="3055">
        <f t="shared" si="5"/>
        <v>0</v>
      </c>
      <c r="U212" s="3055">
        <f t="shared" si="6"/>
        <v>0</v>
      </c>
      <c r="V212" s="3055">
        <f t="shared" si="7"/>
        <v>0</v>
      </c>
      <c r="W212" s="3055">
        <f t="shared" si="8"/>
        <v>0</v>
      </c>
      <c r="X212" s="3055">
        <f t="shared" si="9"/>
        <v>0</v>
      </c>
      <c r="Y212" s="3055">
        <f t="shared" si="10"/>
        <v>0</v>
      </c>
      <c r="Z212" s="3055">
        <f t="shared" si="11"/>
        <v>0</v>
      </c>
      <c r="AA212" s="3055">
        <f t="shared" si="12"/>
        <v>0</v>
      </c>
      <c r="AB212" s="3055">
        <f t="shared" si="13"/>
        <v>0</v>
      </c>
      <c r="AC212" s="3055">
        <f t="shared" si="14"/>
        <v>0</v>
      </c>
      <c r="AD212" s="3056"/>
      <c r="AE212" s="3057">
        <f t="shared" si="0"/>
      </c>
      <c r="AF212" s="3054"/>
      <c r="AG212" s="3054"/>
      <c r="AH212" s="3055"/>
      <c r="AI212" s="3055"/>
      <c r="AJ212" s="3055"/>
      <c r="AK212" s="3055"/>
      <c r="AL212" s="3055"/>
      <c r="AM212" s="3055"/>
      <c r="AN212" s="3055"/>
      <c r="AO212" s="3055"/>
      <c r="AP212" s="3055"/>
      <c r="AQ212" s="3055"/>
      <c r="AR212" s="3055"/>
      <c r="AS212" s="3055"/>
      <c r="AT212" s="3055"/>
      <c r="AU212" s="3056"/>
      <c r="AV212" s="3057">
        <f t="shared" si="15"/>
      </c>
      <c r="AW212" s="3054"/>
      <c r="AX212" s="3054"/>
      <c r="AY212" s="3055"/>
      <c r="AZ212" s="3055"/>
      <c r="BA212" s="3055"/>
      <c r="BB212" s="3055"/>
      <c r="BC212" s="3055"/>
      <c r="BD212" s="3055"/>
      <c r="BE212" s="3055"/>
      <c r="BF212" s="3055"/>
      <c r="BG212" s="3055"/>
      <c r="BH212" s="3055"/>
      <c r="BI212" s="3055"/>
      <c r="BJ212" s="3055"/>
      <c r="BK212" s="3055"/>
      <c r="BL212" s="3056"/>
      <c r="BM212" s="3057">
        <f t="shared" si="16"/>
      </c>
      <c r="BN212" s="3054"/>
      <c r="BO212" s="3054"/>
      <c r="BP212" s="3055"/>
      <c r="BQ212" s="3055"/>
      <c r="BR212" s="3055"/>
      <c r="BS212" s="3055"/>
      <c r="BT212" s="3055"/>
      <c r="BU212" s="3055"/>
      <c r="BV212" s="3055"/>
      <c r="BW212" s="3055"/>
      <c r="BX212" s="3055"/>
      <c r="BY212" s="3055"/>
      <c r="BZ212" s="3055"/>
      <c r="CA212" s="3055"/>
      <c r="CB212" s="3055"/>
      <c r="CC212" s="3056"/>
      <c r="CD212" s="3057">
        <f t="shared" si="0"/>
      </c>
      <c r="CE212" s="3054"/>
      <c r="CF212" s="3054"/>
      <c r="CG212" s="3055"/>
      <c r="CH212" s="3055"/>
      <c r="CI212" s="3055"/>
      <c r="CJ212" s="3055"/>
      <c r="CK212" s="3055"/>
      <c r="CL212" s="3055"/>
      <c r="CM212" s="3055"/>
      <c r="CN212" s="3055"/>
      <c r="CO212" s="3055"/>
      <c r="CP212" s="3055"/>
      <c r="CQ212" s="3055"/>
      <c r="CR212" s="3055"/>
      <c r="CS212" s="3055"/>
      <c r="CU212" s="3054"/>
      <c r="CV212" s="696"/>
      <c r="CW212" s="696"/>
      <c r="CZ212" s="3060">
        <f t="shared" si="17"/>
      </c>
      <c r="DA212" s="3060">
        <f t="shared" si="1"/>
      </c>
      <c r="DB212" s="3060">
        <f t="shared" si="18"/>
      </c>
      <c r="DC212" s="3060">
        <f t="shared" si="19"/>
      </c>
      <c r="DD212" s="3060">
        <f t="shared" si="20"/>
      </c>
      <c r="DE212" s="3060">
        <f t="shared" si="21"/>
      </c>
      <c r="DF212" s="3060">
        <f t="shared" si="22"/>
      </c>
      <c r="DG212" s="3060">
        <f t="shared" si="23"/>
      </c>
      <c r="DH212" s="3060">
        <f t="shared" si="24"/>
      </c>
      <c r="DI212" s="3060">
        <f t="shared" si="1"/>
      </c>
    </row>
    <row r="213" ht="15" customHeight="1" s="3052" customFormat="1">
      <c r="A213" s="3065"/>
      <c r="B213" s="3054">
        <f t="shared" si="2"/>
      </c>
      <c r="C213" s="3054"/>
      <c r="D213" s="3054"/>
      <c r="E213" s="3055"/>
      <c r="F213" s="3055"/>
      <c r="G213" s="3055"/>
      <c r="H213" s="3055"/>
      <c r="I213" s="3055"/>
      <c r="J213" s="3055"/>
      <c r="K213" s="3055"/>
      <c r="L213" s="3055"/>
      <c r="M213" s="3055"/>
      <c r="N213" s="3055"/>
      <c r="O213" s="3055"/>
      <c r="P213" s="3055"/>
      <c r="Q213" s="3055"/>
      <c r="R213" s="3055">
        <f t="shared" si="3"/>
        <v>0</v>
      </c>
      <c r="S213" s="3055">
        <f t="shared" si="4"/>
        <v>0</v>
      </c>
      <c r="T213" s="3055">
        <f t="shared" si="5"/>
        <v>0</v>
      </c>
      <c r="U213" s="3055">
        <f t="shared" si="6"/>
        <v>0</v>
      </c>
      <c r="V213" s="3055">
        <f t="shared" si="7"/>
        <v>0</v>
      </c>
      <c r="W213" s="3055">
        <f t="shared" si="8"/>
        <v>0</v>
      </c>
      <c r="X213" s="3055">
        <f t="shared" si="9"/>
        <v>0</v>
      </c>
      <c r="Y213" s="3055">
        <f t="shared" si="10"/>
        <v>0</v>
      </c>
      <c r="Z213" s="3055">
        <f t="shared" si="11"/>
        <v>0</v>
      </c>
      <c r="AA213" s="3055">
        <f t="shared" si="12"/>
        <v>0</v>
      </c>
      <c r="AB213" s="3055">
        <f t="shared" si="13"/>
        <v>0</v>
      </c>
      <c r="AC213" s="3055">
        <f t="shared" si="14"/>
        <v>0</v>
      </c>
      <c r="AD213" s="3056"/>
      <c r="AE213" s="3057">
        <f t="shared" si="0"/>
      </c>
      <c r="AF213" s="3054"/>
      <c r="AG213" s="3054"/>
      <c r="AH213" s="3055"/>
      <c r="AI213" s="3055"/>
      <c r="AJ213" s="3055"/>
      <c r="AK213" s="3055"/>
      <c r="AL213" s="3055"/>
      <c r="AM213" s="3055"/>
      <c r="AN213" s="3055"/>
      <c r="AO213" s="3055"/>
      <c r="AP213" s="3055"/>
      <c r="AQ213" s="3055"/>
      <c r="AR213" s="3055"/>
      <c r="AS213" s="3055"/>
      <c r="AT213" s="3055"/>
      <c r="AU213" s="3056"/>
      <c r="AV213" s="3057">
        <f t="shared" si="15"/>
      </c>
      <c r="AW213" s="3054"/>
      <c r="AX213" s="3054"/>
      <c r="AY213" s="3055"/>
      <c r="AZ213" s="3055"/>
      <c r="BA213" s="3055"/>
      <c r="BB213" s="3055"/>
      <c r="BC213" s="3055"/>
      <c r="BD213" s="3055"/>
      <c r="BE213" s="3055"/>
      <c r="BF213" s="3055"/>
      <c r="BG213" s="3055"/>
      <c r="BH213" s="3055"/>
      <c r="BI213" s="3055"/>
      <c r="BJ213" s="3055"/>
      <c r="BK213" s="3055"/>
      <c r="BL213" s="3056"/>
      <c r="BM213" s="3057">
        <f t="shared" si="16"/>
      </c>
      <c r="BN213" s="3054"/>
      <c r="BO213" s="3054"/>
      <c r="BP213" s="3055"/>
      <c r="BQ213" s="3055"/>
      <c r="BR213" s="3055"/>
      <c r="BS213" s="3055"/>
      <c r="BT213" s="3055"/>
      <c r="BU213" s="3055"/>
      <c r="BV213" s="3055"/>
      <c r="BW213" s="3055"/>
      <c r="BX213" s="3055"/>
      <c r="BY213" s="3055"/>
      <c r="BZ213" s="3055"/>
      <c r="CA213" s="3055"/>
      <c r="CB213" s="3055"/>
      <c r="CC213" s="3056"/>
      <c r="CD213" s="3057">
        <f t="shared" si="0"/>
      </c>
      <c r="CE213" s="3054"/>
      <c r="CF213" s="3054"/>
      <c r="CG213" s="3055"/>
      <c r="CH213" s="3055"/>
      <c r="CI213" s="3055"/>
      <c r="CJ213" s="3055"/>
      <c r="CK213" s="3055"/>
      <c r="CL213" s="3055"/>
      <c r="CM213" s="3055"/>
      <c r="CN213" s="3055"/>
      <c r="CO213" s="3055"/>
      <c r="CP213" s="3055"/>
      <c r="CQ213" s="3055"/>
      <c r="CR213" s="3055"/>
      <c r="CS213" s="3055"/>
      <c r="CU213" s="3054"/>
      <c r="CV213" s="696"/>
      <c r="CW213" s="696"/>
      <c r="CZ213" s="3060">
        <f t="shared" si="17"/>
      </c>
      <c r="DA213" s="3060">
        <f t="shared" si="1"/>
      </c>
      <c r="DB213" s="3060">
        <f t="shared" si="18"/>
      </c>
      <c r="DC213" s="3060">
        <f t="shared" si="19"/>
      </c>
      <c r="DD213" s="3060">
        <f t="shared" si="20"/>
      </c>
      <c r="DE213" s="3060">
        <f t="shared" si="21"/>
      </c>
      <c r="DF213" s="3060">
        <f t="shared" si="22"/>
      </c>
      <c r="DG213" s="3060">
        <f t="shared" si="23"/>
      </c>
      <c r="DH213" s="3060">
        <f t="shared" si="24"/>
      </c>
      <c r="DI213" s="3060">
        <f t="shared" si="1"/>
      </c>
    </row>
    <row r="214" ht="15" customHeight="1" s="3052" customFormat="1">
      <c r="A214" s="3065"/>
      <c r="B214" s="3054">
        <f t="shared" si="2"/>
      </c>
      <c r="C214" s="3054"/>
      <c r="D214" s="3054"/>
      <c r="E214" s="3055"/>
      <c r="F214" s="3055"/>
      <c r="G214" s="3055"/>
      <c r="H214" s="3055"/>
      <c r="I214" s="3055"/>
      <c r="J214" s="3055"/>
      <c r="K214" s="3055"/>
      <c r="L214" s="3055"/>
      <c r="M214" s="3055"/>
      <c r="N214" s="3055"/>
      <c r="O214" s="3055"/>
      <c r="P214" s="3055"/>
      <c r="Q214" s="3055"/>
      <c r="R214" s="3055">
        <f t="shared" si="3"/>
        <v>0</v>
      </c>
      <c r="S214" s="3055">
        <f t="shared" si="4"/>
        <v>0</v>
      </c>
      <c r="T214" s="3055">
        <f t="shared" si="5"/>
        <v>0</v>
      </c>
      <c r="U214" s="3055">
        <f t="shared" si="6"/>
        <v>0</v>
      </c>
      <c r="V214" s="3055">
        <f t="shared" si="7"/>
        <v>0</v>
      </c>
      <c r="W214" s="3055">
        <f t="shared" si="8"/>
        <v>0</v>
      </c>
      <c r="X214" s="3055">
        <f t="shared" si="9"/>
        <v>0</v>
      </c>
      <c r="Y214" s="3055">
        <f t="shared" si="10"/>
        <v>0</v>
      </c>
      <c r="Z214" s="3055">
        <f t="shared" si="11"/>
        <v>0</v>
      </c>
      <c r="AA214" s="3055">
        <f t="shared" si="12"/>
        <v>0</v>
      </c>
      <c r="AB214" s="3055">
        <f t="shared" si="13"/>
        <v>0</v>
      </c>
      <c r="AC214" s="3055">
        <f t="shared" si="14"/>
        <v>0</v>
      </c>
      <c r="AD214" s="3056"/>
      <c r="AE214" s="3057">
        <f t="shared" si="0"/>
      </c>
      <c r="AF214" s="3054"/>
      <c r="AG214" s="3054"/>
      <c r="AH214" s="3055"/>
      <c r="AI214" s="3055"/>
      <c r="AJ214" s="3055"/>
      <c r="AK214" s="3055"/>
      <c r="AL214" s="3055"/>
      <c r="AM214" s="3055"/>
      <c r="AN214" s="3055"/>
      <c r="AO214" s="3055"/>
      <c r="AP214" s="3055"/>
      <c r="AQ214" s="3055"/>
      <c r="AR214" s="3055"/>
      <c r="AS214" s="3055"/>
      <c r="AT214" s="3055"/>
      <c r="AU214" s="3056"/>
      <c r="AV214" s="3057">
        <f t="shared" si="15"/>
      </c>
      <c r="AW214" s="3054"/>
      <c r="AX214" s="3054"/>
      <c r="AY214" s="3055"/>
      <c r="AZ214" s="3055"/>
      <c r="BA214" s="3055"/>
      <c r="BB214" s="3055"/>
      <c r="BC214" s="3055"/>
      <c r="BD214" s="3055"/>
      <c r="BE214" s="3055"/>
      <c r="BF214" s="3055"/>
      <c r="BG214" s="3055"/>
      <c r="BH214" s="3055"/>
      <c r="BI214" s="3055"/>
      <c r="BJ214" s="3055"/>
      <c r="BK214" s="3055"/>
      <c r="BL214" s="3056"/>
      <c r="BM214" s="3057">
        <f t="shared" si="16"/>
      </c>
      <c r="BN214" s="3054"/>
      <c r="BO214" s="3054"/>
      <c r="BP214" s="3055"/>
      <c r="BQ214" s="3055"/>
      <c r="BR214" s="3055"/>
      <c r="BS214" s="3055"/>
      <c r="BT214" s="3055"/>
      <c r="BU214" s="3055"/>
      <c r="BV214" s="3055"/>
      <c r="BW214" s="3055"/>
      <c r="BX214" s="3055"/>
      <c r="BY214" s="3055"/>
      <c r="BZ214" s="3055"/>
      <c r="CA214" s="3055"/>
      <c r="CB214" s="3055"/>
      <c r="CC214" s="3056"/>
      <c r="CD214" s="3057">
        <f t="shared" si="0"/>
      </c>
      <c r="CE214" s="3054"/>
      <c r="CF214" s="3054"/>
      <c r="CG214" s="3055"/>
      <c r="CH214" s="3055"/>
      <c r="CI214" s="3055"/>
      <c r="CJ214" s="3055"/>
      <c r="CK214" s="3055"/>
      <c r="CL214" s="3055"/>
      <c r="CM214" s="3055"/>
      <c r="CN214" s="3055"/>
      <c r="CO214" s="3055"/>
      <c r="CP214" s="3055"/>
      <c r="CQ214" s="3055"/>
      <c r="CR214" s="3055"/>
      <c r="CS214" s="3055"/>
      <c r="CU214" s="3054"/>
      <c r="CV214" s="696"/>
      <c r="CW214" s="696"/>
      <c r="CZ214" s="3060">
        <f t="shared" si="17"/>
      </c>
      <c r="DA214" s="3060">
        <f t="shared" si="1"/>
      </c>
      <c r="DB214" s="3060">
        <f t="shared" si="18"/>
      </c>
      <c r="DC214" s="3060">
        <f t="shared" si="19"/>
      </c>
      <c r="DD214" s="3060">
        <f t="shared" si="20"/>
      </c>
      <c r="DE214" s="3060">
        <f t="shared" si="21"/>
      </c>
      <c r="DF214" s="3060">
        <f t="shared" si="22"/>
      </c>
      <c r="DG214" s="3060">
        <f t="shared" si="23"/>
      </c>
      <c r="DH214" s="3060">
        <f t="shared" si="24"/>
      </c>
      <c r="DI214" s="3060">
        <f t="shared" si="1"/>
      </c>
    </row>
    <row r="215" ht="15" customHeight="1" s="3052" customFormat="1">
      <c r="A215" s="3065"/>
      <c r="B215" s="3054">
        <f t="shared" si="2"/>
      </c>
      <c r="C215" s="3054"/>
      <c r="D215" s="3054"/>
      <c r="E215" s="3055"/>
      <c r="F215" s="3055"/>
      <c r="G215" s="3055"/>
      <c r="H215" s="3055"/>
      <c r="I215" s="3055"/>
      <c r="J215" s="3055"/>
      <c r="K215" s="3055"/>
      <c r="L215" s="3055"/>
      <c r="M215" s="3055"/>
      <c r="N215" s="3055"/>
      <c r="O215" s="3055"/>
      <c r="P215" s="3055"/>
      <c r="Q215" s="3055"/>
      <c r="R215" s="3055">
        <f t="shared" si="3"/>
        <v>0</v>
      </c>
      <c r="S215" s="3055">
        <f t="shared" si="4"/>
        <v>0</v>
      </c>
      <c r="T215" s="3055">
        <f t="shared" si="5"/>
        <v>0</v>
      </c>
      <c r="U215" s="3055">
        <f t="shared" si="6"/>
        <v>0</v>
      </c>
      <c r="V215" s="3055">
        <f t="shared" si="7"/>
        <v>0</v>
      </c>
      <c r="W215" s="3055">
        <f t="shared" si="8"/>
        <v>0</v>
      </c>
      <c r="X215" s="3055">
        <f t="shared" si="9"/>
        <v>0</v>
      </c>
      <c r="Y215" s="3055">
        <f t="shared" si="10"/>
        <v>0</v>
      </c>
      <c r="Z215" s="3055">
        <f t="shared" si="11"/>
        <v>0</v>
      </c>
      <c r="AA215" s="3055">
        <f t="shared" si="12"/>
        <v>0</v>
      </c>
      <c r="AB215" s="3055">
        <f t="shared" si="13"/>
        <v>0</v>
      </c>
      <c r="AC215" s="3055">
        <f t="shared" si="14"/>
        <v>0</v>
      </c>
      <c r="AD215" s="3056"/>
      <c r="AE215" s="3057">
        <f t="shared" si="0"/>
      </c>
      <c r="AF215" s="3054"/>
      <c r="AG215" s="3054"/>
      <c r="AH215" s="3055"/>
      <c r="AI215" s="3055"/>
      <c r="AJ215" s="3055"/>
      <c r="AK215" s="3055"/>
      <c r="AL215" s="3055"/>
      <c r="AM215" s="3055"/>
      <c r="AN215" s="3055"/>
      <c r="AO215" s="3055"/>
      <c r="AP215" s="3055"/>
      <c r="AQ215" s="3055"/>
      <c r="AR215" s="3055"/>
      <c r="AS215" s="3055"/>
      <c r="AT215" s="3055"/>
      <c r="AU215" s="3056"/>
      <c r="AV215" s="3057">
        <f t="shared" si="15"/>
      </c>
      <c r="AW215" s="3054"/>
      <c r="AX215" s="3054"/>
      <c r="AY215" s="3055"/>
      <c r="AZ215" s="3055"/>
      <c r="BA215" s="3055"/>
      <c r="BB215" s="3055"/>
      <c r="BC215" s="3055"/>
      <c r="BD215" s="3055"/>
      <c r="BE215" s="3055"/>
      <c r="BF215" s="3055"/>
      <c r="BG215" s="3055"/>
      <c r="BH215" s="3055"/>
      <c r="BI215" s="3055"/>
      <c r="BJ215" s="3055"/>
      <c r="BK215" s="3055"/>
      <c r="BL215" s="3056"/>
      <c r="BM215" s="3057">
        <f t="shared" si="16"/>
      </c>
      <c r="BN215" s="3054"/>
      <c r="BO215" s="3054"/>
      <c r="BP215" s="3055"/>
      <c r="BQ215" s="3055"/>
      <c r="BR215" s="3055"/>
      <c r="BS215" s="3055"/>
      <c r="BT215" s="3055"/>
      <c r="BU215" s="3055"/>
      <c r="BV215" s="3055"/>
      <c r="BW215" s="3055"/>
      <c r="BX215" s="3055"/>
      <c r="BY215" s="3055"/>
      <c r="BZ215" s="3055"/>
      <c r="CA215" s="3055"/>
      <c r="CB215" s="3055"/>
      <c r="CC215" s="3056"/>
      <c r="CD215" s="3057">
        <f t="shared" si="0"/>
      </c>
      <c r="CE215" s="3054"/>
      <c r="CF215" s="3054"/>
      <c r="CG215" s="3055"/>
      <c r="CH215" s="3055"/>
      <c r="CI215" s="3055"/>
      <c r="CJ215" s="3055"/>
      <c r="CK215" s="3055"/>
      <c r="CL215" s="3055"/>
      <c r="CM215" s="3055"/>
      <c r="CN215" s="3055"/>
      <c r="CO215" s="3055"/>
      <c r="CP215" s="3055"/>
      <c r="CQ215" s="3055"/>
      <c r="CR215" s="3055"/>
      <c r="CS215" s="3055"/>
      <c r="CU215" s="3054"/>
      <c r="CV215" s="696"/>
      <c r="CW215" s="696"/>
      <c r="CZ215" s="3060">
        <f t="shared" si="17"/>
      </c>
      <c r="DA215" s="3060">
        <f t="shared" si="1"/>
      </c>
      <c r="DB215" s="3060">
        <f t="shared" si="18"/>
      </c>
      <c r="DC215" s="3060">
        <f t="shared" si="19"/>
      </c>
      <c r="DD215" s="3060">
        <f t="shared" si="20"/>
      </c>
      <c r="DE215" s="3060">
        <f t="shared" si="21"/>
      </c>
      <c r="DF215" s="3060">
        <f t="shared" si="22"/>
      </c>
      <c r="DG215" s="3060">
        <f t="shared" si="23"/>
      </c>
      <c r="DH215" s="3060">
        <f t="shared" si="24"/>
      </c>
      <c r="DI215" s="3060">
        <f t="shared" si="1"/>
      </c>
    </row>
    <row r="216" ht="15" customHeight="1" s="3052" customFormat="1">
      <c r="A216" s="3065"/>
      <c r="B216" s="3054">
        <f t="shared" si="2"/>
      </c>
      <c r="C216" s="3054"/>
      <c r="D216" s="3054"/>
      <c r="E216" s="3055"/>
      <c r="F216" s="3055"/>
      <c r="G216" s="3055"/>
      <c r="H216" s="3055"/>
      <c r="I216" s="3055"/>
      <c r="J216" s="3055"/>
      <c r="K216" s="3055"/>
      <c r="L216" s="3055"/>
      <c r="M216" s="3055"/>
      <c r="N216" s="3055"/>
      <c r="O216" s="3055"/>
      <c r="P216" s="3055"/>
      <c r="Q216" s="3055"/>
      <c r="R216" s="3055">
        <f t="shared" si="3"/>
        <v>0</v>
      </c>
      <c r="S216" s="3055">
        <f t="shared" si="4"/>
        <v>0</v>
      </c>
      <c r="T216" s="3055">
        <f t="shared" si="5"/>
        <v>0</v>
      </c>
      <c r="U216" s="3055">
        <f t="shared" si="6"/>
        <v>0</v>
      </c>
      <c r="V216" s="3055">
        <f t="shared" si="7"/>
        <v>0</v>
      </c>
      <c r="W216" s="3055">
        <f t="shared" si="8"/>
        <v>0</v>
      </c>
      <c r="X216" s="3055">
        <f t="shared" si="9"/>
        <v>0</v>
      </c>
      <c r="Y216" s="3055">
        <f t="shared" si="10"/>
        <v>0</v>
      </c>
      <c r="Z216" s="3055">
        <f t="shared" si="11"/>
        <v>0</v>
      </c>
      <c r="AA216" s="3055">
        <f t="shared" si="12"/>
        <v>0</v>
      </c>
      <c r="AB216" s="3055">
        <f t="shared" si="13"/>
        <v>0</v>
      </c>
      <c r="AC216" s="3055">
        <f t="shared" si="14"/>
        <v>0</v>
      </c>
      <c r="AD216" s="3056"/>
      <c r="AE216" s="3057">
        <f t="shared" si="0"/>
      </c>
      <c r="AF216" s="3054"/>
      <c r="AG216" s="3054"/>
      <c r="AH216" s="3055"/>
      <c r="AI216" s="3055"/>
      <c r="AJ216" s="3055"/>
      <c r="AK216" s="3055"/>
      <c r="AL216" s="3055"/>
      <c r="AM216" s="3055"/>
      <c r="AN216" s="3055"/>
      <c r="AO216" s="3055"/>
      <c r="AP216" s="3055"/>
      <c r="AQ216" s="3055"/>
      <c r="AR216" s="3055"/>
      <c r="AS216" s="3055"/>
      <c r="AT216" s="3055"/>
      <c r="AU216" s="3056"/>
      <c r="AV216" s="3057">
        <f t="shared" si="15"/>
      </c>
      <c r="AW216" s="3054"/>
      <c r="AX216" s="3054"/>
      <c r="AY216" s="3055"/>
      <c r="AZ216" s="3055"/>
      <c r="BA216" s="3055"/>
      <c r="BB216" s="3055"/>
      <c r="BC216" s="3055"/>
      <c r="BD216" s="3055"/>
      <c r="BE216" s="3055"/>
      <c r="BF216" s="3055"/>
      <c r="BG216" s="3055"/>
      <c r="BH216" s="3055"/>
      <c r="BI216" s="3055"/>
      <c r="BJ216" s="3055"/>
      <c r="BK216" s="3055"/>
      <c r="BL216" s="3056"/>
      <c r="BM216" s="3057">
        <f t="shared" si="16"/>
      </c>
      <c r="BN216" s="3054"/>
      <c r="BO216" s="3054"/>
      <c r="BP216" s="3055"/>
      <c r="BQ216" s="3055"/>
      <c r="BR216" s="3055"/>
      <c r="BS216" s="3055"/>
      <c r="BT216" s="3055"/>
      <c r="BU216" s="3055"/>
      <c r="BV216" s="3055"/>
      <c r="BW216" s="3055"/>
      <c r="BX216" s="3055"/>
      <c r="BY216" s="3055"/>
      <c r="BZ216" s="3055"/>
      <c r="CA216" s="3055"/>
      <c r="CB216" s="3055"/>
      <c r="CC216" s="3056"/>
      <c r="CD216" s="3057">
        <f t="shared" si="0"/>
      </c>
      <c r="CE216" s="3054"/>
      <c r="CF216" s="3054"/>
      <c r="CG216" s="3055"/>
      <c r="CH216" s="3055"/>
      <c r="CI216" s="3055"/>
      <c r="CJ216" s="3055"/>
      <c r="CK216" s="3055"/>
      <c r="CL216" s="3055"/>
      <c r="CM216" s="3055"/>
      <c r="CN216" s="3055"/>
      <c r="CO216" s="3055"/>
      <c r="CP216" s="3055"/>
      <c r="CQ216" s="3055"/>
      <c r="CR216" s="3055"/>
      <c r="CS216" s="3055"/>
      <c r="CU216" s="3054"/>
      <c r="CV216" s="696"/>
      <c r="CW216" s="696"/>
      <c r="CZ216" s="3060">
        <f t="shared" si="17"/>
      </c>
      <c r="DA216" s="3060">
        <f t="shared" si="1"/>
      </c>
      <c r="DB216" s="3060">
        <f t="shared" si="18"/>
      </c>
      <c r="DC216" s="3060">
        <f t="shared" si="19"/>
      </c>
      <c r="DD216" s="3060">
        <f t="shared" si="20"/>
      </c>
      <c r="DE216" s="3060">
        <f t="shared" si="21"/>
      </c>
      <c r="DF216" s="3060">
        <f t="shared" si="22"/>
      </c>
      <c r="DG216" s="3060">
        <f t="shared" si="23"/>
      </c>
      <c r="DH216" s="3060">
        <f t="shared" si="24"/>
      </c>
      <c r="DI216" s="3060">
        <f t="shared" si="1"/>
      </c>
    </row>
    <row r="217" ht="15" customHeight="1" s="3052" customFormat="1">
      <c r="A217" s="3065"/>
      <c r="B217" s="3054">
        <f t="shared" si="2"/>
      </c>
      <c r="C217" s="3054"/>
      <c r="D217" s="3054"/>
      <c r="E217" s="3055"/>
      <c r="F217" s="3055"/>
      <c r="G217" s="3055"/>
      <c r="H217" s="3055"/>
      <c r="I217" s="3055"/>
      <c r="J217" s="3055"/>
      <c r="K217" s="3055"/>
      <c r="L217" s="3055"/>
      <c r="M217" s="3055"/>
      <c r="N217" s="3055"/>
      <c r="O217" s="3055"/>
      <c r="P217" s="3055"/>
      <c r="Q217" s="3055"/>
      <c r="R217" s="3055">
        <f t="shared" si="3"/>
        <v>0</v>
      </c>
      <c r="S217" s="3055">
        <f t="shared" si="4"/>
        <v>0</v>
      </c>
      <c r="T217" s="3055">
        <f t="shared" si="5"/>
        <v>0</v>
      </c>
      <c r="U217" s="3055">
        <f t="shared" si="6"/>
        <v>0</v>
      </c>
      <c r="V217" s="3055">
        <f t="shared" si="7"/>
        <v>0</v>
      </c>
      <c r="W217" s="3055">
        <f t="shared" si="8"/>
        <v>0</v>
      </c>
      <c r="X217" s="3055">
        <f t="shared" si="9"/>
        <v>0</v>
      </c>
      <c r="Y217" s="3055">
        <f t="shared" si="10"/>
        <v>0</v>
      </c>
      <c r="Z217" s="3055">
        <f t="shared" si="11"/>
        <v>0</v>
      </c>
      <c r="AA217" s="3055">
        <f t="shared" si="12"/>
        <v>0</v>
      </c>
      <c r="AB217" s="3055">
        <f t="shared" si="13"/>
        <v>0</v>
      </c>
      <c r="AC217" s="3055">
        <f t="shared" si="14"/>
        <v>0</v>
      </c>
      <c r="AD217" s="3056"/>
      <c r="AE217" s="3057">
        <f t="shared" si="0"/>
      </c>
      <c r="AF217" s="3054"/>
      <c r="AG217" s="3054"/>
      <c r="AH217" s="3055"/>
      <c r="AI217" s="3055"/>
      <c r="AJ217" s="3055"/>
      <c r="AK217" s="3055"/>
      <c r="AL217" s="3055"/>
      <c r="AM217" s="3055"/>
      <c r="AN217" s="3055"/>
      <c r="AO217" s="3055"/>
      <c r="AP217" s="3055"/>
      <c r="AQ217" s="3055"/>
      <c r="AR217" s="3055"/>
      <c r="AS217" s="3055"/>
      <c r="AT217" s="3055"/>
      <c r="AU217" s="3056"/>
      <c r="AV217" s="3057">
        <f t="shared" si="15"/>
      </c>
      <c r="AW217" s="3054"/>
      <c r="AX217" s="3054"/>
      <c r="AY217" s="3055"/>
      <c r="AZ217" s="3055"/>
      <c r="BA217" s="3055"/>
      <c r="BB217" s="3055"/>
      <c r="BC217" s="3055"/>
      <c r="BD217" s="3055"/>
      <c r="BE217" s="3055"/>
      <c r="BF217" s="3055"/>
      <c r="BG217" s="3055"/>
      <c r="BH217" s="3055"/>
      <c r="BI217" s="3055"/>
      <c r="BJ217" s="3055"/>
      <c r="BK217" s="3055"/>
      <c r="BL217" s="3056"/>
      <c r="BM217" s="3057">
        <f t="shared" si="16"/>
      </c>
      <c r="BN217" s="3054"/>
      <c r="BO217" s="3054"/>
      <c r="BP217" s="3055"/>
      <c r="BQ217" s="3055"/>
      <c r="BR217" s="3055"/>
      <c r="BS217" s="3055"/>
      <c r="BT217" s="3055"/>
      <c r="BU217" s="3055"/>
      <c r="BV217" s="3055"/>
      <c r="BW217" s="3055"/>
      <c r="BX217" s="3055"/>
      <c r="BY217" s="3055"/>
      <c r="BZ217" s="3055"/>
      <c r="CA217" s="3055"/>
      <c r="CB217" s="3055"/>
      <c r="CC217" s="3056"/>
      <c r="CD217" s="3057">
        <f t="shared" si="0"/>
      </c>
      <c r="CE217" s="3054"/>
      <c r="CF217" s="3054"/>
      <c r="CG217" s="3055"/>
      <c r="CH217" s="3055"/>
      <c r="CI217" s="3055"/>
      <c r="CJ217" s="3055"/>
      <c r="CK217" s="3055"/>
      <c r="CL217" s="3055"/>
      <c r="CM217" s="3055"/>
      <c r="CN217" s="3055"/>
      <c r="CO217" s="3055"/>
      <c r="CP217" s="3055"/>
      <c r="CQ217" s="3055"/>
      <c r="CR217" s="3055"/>
      <c r="CS217" s="3055"/>
      <c r="CU217" s="3054"/>
      <c r="CV217" s="696"/>
      <c r="CW217" s="696"/>
      <c r="CZ217" s="3060">
        <f t="shared" si="17"/>
      </c>
      <c r="DA217" s="3060">
        <f t="shared" si="1"/>
      </c>
      <c r="DB217" s="3060">
        <f t="shared" si="18"/>
      </c>
      <c r="DC217" s="3060">
        <f t="shared" si="19"/>
      </c>
      <c r="DD217" s="3060">
        <f t="shared" si="20"/>
      </c>
      <c r="DE217" s="3060">
        <f t="shared" si="21"/>
      </c>
      <c r="DF217" s="3060">
        <f t="shared" si="22"/>
      </c>
      <c r="DG217" s="3060">
        <f t="shared" si="23"/>
      </c>
      <c r="DH217" s="3060">
        <f t="shared" si="24"/>
      </c>
      <c r="DI217" s="3060">
        <f t="shared" si="1"/>
      </c>
    </row>
    <row r="218" ht="15" customHeight="1" s="3052" customFormat="1">
      <c r="A218" s="3065"/>
      <c r="B218" s="3054">
        <f t="shared" si="2"/>
      </c>
      <c r="C218" s="3054"/>
      <c r="D218" s="3054"/>
      <c r="E218" s="3055"/>
      <c r="F218" s="3055"/>
      <c r="G218" s="3055"/>
      <c r="H218" s="3055"/>
      <c r="I218" s="3055"/>
      <c r="J218" s="3055"/>
      <c r="K218" s="3055"/>
      <c r="L218" s="3055"/>
      <c r="M218" s="3055"/>
      <c r="N218" s="3055"/>
      <c r="O218" s="3055"/>
      <c r="P218" s="3055"/>
      <c r="Q218" s="3055"/>
      <c r="R218" s="3055">
        <f t="shared" si="3"/>
        <v>0</v>
      </c>
      <c r="S218" s="3055">
        <f t="shared" si="4"/>
        <v>0</v>
      </c>
      <c r="T218" s="3055">
        <f t="shared" si="5"/>
        <v>0</v>
      </c>
      <c r="U218" s="3055">
        <f t="shared" si="6"/>
        <v>0</v>
      </c>
      <c r="V218" s="3055">
        <f t="shared" si="7"/>
        <v>0</v>
      </c>
      <c r="W218" s="3055">
        <f t="shared" si="8"/>
        <v>0</v>
      </c>
      <c r="X218" s="3055">
        <f t="shared" si="9"/>
        <v>0</v>
      </c>
      <c r="Y218" s="3055">
        <f t="shared" si="10"/>
        <v>0</v>
      </c>
      <c r="Z218" s="3055">
        <f t="shared" si="11"/>
        <v>0</v>
      </c>
      <c r="AA218" s="3055">
        <f t="shared" si="12"/>
        <v>0</v>
      </c>
      <c r="AB218" s="3055">
        <f t="shared" si="13"/>
        <v>0</v>
      </c>
      <c r="AC218" s="3055">
        <f t="shared" si="14"/>
        <v>0</v>
      </c>
      <c r="AD218" s="3056"/>
      <c r="AE218" s="3057">
        <f t="shared" si="0"/>
      </c>
      <c r="AF218" s="3054"/>
      <c r="AG218" s="3054"/>
      <c r="AH218" s="3055"/>
      <c r="AI218" s="3055"/>
      <c r="AJ218" s="3055"/>
      <c r="AK218" s="3055"/>
      <c r="AL218" s="3055"/>
      <c r="AM218" s="3055"/>
      <c r="AN218" s="3055"/>
      <c r="AO218" s="3055"/>
      <c r="AP218" s="3055"/>
      <c r="AQ218" s="3055"/>
      <c r="AR218" s="3055"/>
      <c r="AS218" s="3055"/>
      <c r="AT218" s="3055"/>
      <c r="AU218" s="3056"/>
      <c r="AV218" s="3057">
        <f t="shared" si="15"/>
      </c>
      <c r="AW218" s="3054"/>
      <c r="AX218" s="3054"/>
      <c r="AY218" s="3055"/>
      <c r="AZ218" s="3055"/>
      <c r="BA218" s="3055"/>
      <c r="BB218" s="3055"/>
      <c r="BC218" s="3055"/>
      <c r="BD218" s="3055"/>
      <c r="BE218" s="3055"/>
      <c r="BF218" s="3055"/>
      <c r="BG218" s="3055"/>
      <c r="BH218" s="3055"/>
      <c r="BI218" s="3055"/>
      <c r="BJ218" s="3055"/>
      <c r="BK218" s="3055"/>
      <c r="BL218" s="3056"/>
      <c r="BM218" s="3057">
        <f t="shared" si="16"/>
      </c>
      <c r="BN218" s="3054"/>
      <c r="BO218" s="3054"/>
      <c r="BP218" s="3055"/>
      <c r="BQ218" s="3055"/>
      <c r="BR218" s="3055"/>
      <c r="BS218" s="3055"/>
      <c r="BT218" s="3055"/>
      <c r="BU218" s="3055"/>
      <c r="BV218" s="3055"/>
      <c r="BW218" s="3055"/>
      <c r="BX218" s="3055"/>
      <c r="BY218" s="3055"/>
      <c r="BZ218" s="3055"/>
      <c r="CA218" s="3055"/>
      <c r="CB218" s="3055"/>
      <c r="CC218" s="3056"/>
      <c r="CD218" s="3057">
        <f t="shared" si="0"/>
      </c>
      <c r="CE218" s="3054"/>
      <c r="CF218" s="3054"/>
      <c r="CG218" s="3055"/>
      <c r="CH218" s="3055"/>
      <c r="CI218" s="3055"/>
      <c r="CJ218" s="3055"/>
      <c r="CK218" s="3055"/>
      <c r="CL218" s="3055"/>
      <c r="CM218" s="3055"/>
      <c r="CN218" s="3055"/>
      <c r="CO218" s="3055"/>
      <c r="CP218" s="3055"/>
      <c r="CQ218" s="3055"/>
      <c r="CR218" s="3055"/>
      <c r="CS218" s="3055"/>
      <c r="CU218" s="3054"/>
      <c r="CV218" s="696"/>
      <c r="CW218" s="696"/>
      <c r="CZ218" s="3060">
        <f t="shared" si="17"/>
      </c>
      <c r="DA218" s="3060">
        <f t="shared" si="1"/>
      </c>
      <c r="DB218" s="3060">
        <f t="shared" si="18"/>
      </c>
      <c r="DC218" s="3060">
        <f t="shared" si="19"/>
      </c>
      <c r="DD218" s="3060">
        <f t="shared" si="20"/>
      </c>
      <c r="DE218" s="3060">
        <f t="shared" si="21"/>
      </c>
      <c r="DF218" s="3060">
        <f t="shared" si="22"/>
      </c>
      <c r="DG218" s="3060">
        <f t="shared" si="23"/>
      </c>
      <c r="DH218" s="3060">
        <f t="shared" si="24"/>
      </c>
      <c r="DI218" s="3060">
        <f t="shared" si="1"/>
      </c>
    </row>
    <row r="219" ht="15" customHeight="1" s="3052" customFormat="1">
      <c r="A219" s="3065"/>
      <c r="B219" s="3054">
        <f t="shared" si="2"/>
      </c>
      <c r="C219" s="3054"/>
      <c r="D219" s="3054"/>
      <c r="E219" s="3055"/>
      <c r="F219" s="3055"/>
      <c r="G219" s="3055"/>
      <c r="H219" s="3055"/>
      <c r="I219" s="3055"/>
      <c r="J219" s="3055"/>
      <c r="K219" s="3055"/>
      <c r="L219" s="3055"/>
      <c r="M219" s="3055"/>
      <c r="N219" s="3055"/>
      <c r="O219" s="3055"/>
      <c r="P219" s="3055"/>
      <c r="Q219" s="3055"/>
      <c r="R219" s="3055">
        <f t="shared" si="3"/>
        <v>0</v>
      </c>
      <c r="S219" s="3055">
        <f t="shared" si="4"/>
        <v>0</v>
      </c>
      <c r="T219" s="3055">
        <f t="shared" si="5"/>
        <v>0</v>
      </c>
      <c r="U219" s="3055">
        <f t="shared" si="6"/>
        <v>0</v>
      </c>
      <c r="V219" s="3055">
        <f t="shared" si="7"/>
        <v>0</v>
      </c>
      <c r="W219" s="3055">
        <f t="shared" si="8"/>
        <v>0</v>
      </c>
      <c r="X219" s="3055">
        <f t="shared" si="9"/>
        <v>0</v>
      </c>
      <c r="Y219" s="3055">
        <f t="shared" si="10"/>
        <v>0</v>
      </c>
      <c r="Z219" s="3055">
        <f t="shared" si="11"/>
        <v>0</v>
      </c>
      <c r="AA219" s="3055">
        <f t="shared" si="12"/>
        <v>0</v>
      </c>
      <c r="AB219" s="3055">
        <f t="shared" si="13"/>
        <v>0</v>
      </c>
      <c r="AC219" s="3055">
        <f t="shared" si="14"/>
        <v>0</v>
      </c>
      <c r="AD219" s="3056"/>
      <c r="AE219" s="3057">
        <f t="shared" si="0"/>
      </c>
      <c r="AF219" s="3054"/>
      <c r="AG219" s="3054"/>
      <c r="AH219" s="3055"/>
      <c r="AI219" s="3055"/>
      <c r="AJ219" s="3055"/>
      <c r="AK219" s="3055"/>
      <c r="AL219" s="3055"/>
      <c r="AM219" s="3055"/>
      <c r="AN219" s="3055"/>
      <c r="AO219" s="3055"/>
      <c r="AP219" s="3055"/>
      <c r="AQ219" s="3055"/>
      <c r="AR219" s="3055"/>
      <c r="AS219" s="3055"/>
      <c r="AT219" s="3055"/>
      <c r="AU219" s="3056"/>
      <c r="AV219" s="3057">
        <f t="shared" si="15"/>
      </c>
      <c r="AW219" s="3054"/>
      <c r="AX219" s="3054"/>
      <c r="AY219" s="3055"/>
      <c r="AZ219" s="3055"/>
      <c r="BA219" s="3055"/>
      <c r="BB219" s="3055"/>
      <c r="BC219" s="3055"/>
      <c r="BD219" s="3055"/>
      <c r="BE219" s="3055"/>
      <c r="BF219" s="3055"/>
      <c r="BG219" s="3055"/>
      <c r="BH219" s="3055"/>
      <c r="BI219" s="3055"/>
      <c r="BJ219" s="3055"/>
      <c r="BK219" s="3055"/>
      <c r="BL219" s="3056"/>
      <c r="BM219" s="3057">
        <f t="shared" si="16"/>
      </c>
      <c r="BN219" s="3054"/>
      <c r="BO219" s="3054"/>
      <c r="BP219" s="3055"/>
      <c r="BQ219" s="3055"/>
      <c r="BR219" s="3055"/>
      <c r="BS219" s="3055"/>
      <c r="BT219" s="3055"/>
      <c r="BU219" s="3055"/>
      <c r="BV219" s="3055"/>
      <c r="BW219" s="3055"/>
      <c r="BX219" s="3055"/>
      <c r="BY219" s="3055"/>
      <c r="BZ219" s="3055"/>
      <c r="CA219" s="3055"/>
      <c r="CB219" s="3055"/>
      <c r="CC219" s="3056"/>
      <c r="CD219" s="3057">
        <f t="shared" si="0"/>
      </c>
      <c r="CE219" s="3054"/>
      <c r="CF219" s="3054"/>
      <c r="CG219" s="3055"/>
      <c r="CH219" s="3055"/>
      <c r="CI219" s="3055"/>
      <c r="CJ219" s="3055"/>
      <c r="CK219" s="3055"/>
      <c r="CL219" s="3055"/>
      <c r="CM219" s="3055"/>
      <c r="CN219" s="3055"/>
      <c r="CO219" s="3055"/>
      <c r="CP219" s="3055"/>
      <c r="CQ219" s="3055"/>
      <c r="CR219" s="3055"/>
      <c r="CS219" s="3055"/>
      <c r="CU219" s="3054"/>
      <c r="CV219" s="696"/>
      <c r="CW219" s="696"/>
      <c r="CZ219" s="3060">
        <f t="shared" si="17"/>
      </c>
      <c r="DA219" s="3060">
        <f t="shared" si="1"/>
      </c>
      <c r="DB219" s="3060">
        <f t="shared" si="18"/>
      </c>
      <c r="DC219" s="3060">
        <f t="shared" si="19"/>
      </c>
      <c r="DD219" s="3060">
        <f t="shared" si="20"/>
      </c>
      <c r="DE219" s="3060">
        <f t="shared" si="21"/>
      </c>
      <c r="DF219" s="3060">
        <f t="shared" si="22"/>
      </c>
      <c r="DG219" s="3060">
        <f t="shared" si="23"/>
      </c>
      <c r="DH219" s="3060">
        <f t="shared" si="24"/>
      </c>
      <c r="DI219" s="3060">
        <f t="shared" si="1"/>
      </c>
    </row>
    <row r="220" ht="15" customHeight="1" s="3052" customFormat="1">
      <c r="A220" s="3065"/>
      <c r="B220" s="3054">
        <f t="shared" si="2"/>
      </c>
      <c r="C220" s="3054"/>
      <c r="D220" s="3054"/>
      <c r="E220" s="3055"/>
      <c r="F220" s="3055"/>
      <c r="G220" s="3055"/>
      <c r="H220" s="3055"/>
      <c r="I220" s="3055"/>
      <c r="J220" s="3055"/>
      <c r="K220" s="3055"/>
      <c r="L220" s="3055"/>
      <c r="M220" s="3055"/>
      <c r="N220" s="3055"/>
      <c r="O220" s="3055"/>
      <c r="P220" s="3055"/>
      <c r="Q220" s="3055"/>
      <c r="R220" s="3055">
        <f t="shared" si="3"/>
        <v>0</v>
      </c>
      <c r="S220" s="3055">
        <f t="shared" si="4"/>
        <v>0</v>
      </c>
      <c r="T220" s="3055">
        <f t="shared" si="5"/>
        <v>0</v>
      </c>
      <c r="U220" s="3055">
        <f t="shared" si="6"/>
        <v>0</v>
      </c>
      <c r="V220" s="3055">
        <f t="shared" si="7"/>
        <v>0</v>
      </c>
      <c r="W220" s="3055">
        <f t="shared" si="8"/>
        <v>0</v>
      </c>
      <c r="X220" s="3055">
        <f t="shared" si="9"/>
        <v>0</v>
      </c>
      <c r="Y220" s="3055">
        <f t="shared" si="10"/>
        <v>0</v>
      </c>
      <c r="Z220" s="3055">
        <f t="shared" si="11"/>
        <v>0</v>
      </c>
      <c r="AA220" s="3055">
        <f t="shared" si="12"/>
        <v>0</v>
      </c>
      <c r="AB220" s="3055">
        <f t="shared" si="13"/>
        <v>0</v>
      </c>
      <c r="AC220" s="3055">
        <f t="shared" si="14"/>
        <v>0</v>
      </c>
      <c r="AD220" s="3056"/>
      <c r="AE220" s="3057">
        <f t="shared" si="0"/>
      </c>
      <c r="AF220" s="3054"/>
      <c r="AG220" s="3054"/>
      <c r="AH220" s="3055"/>
      <c r="AI220" s="3055"/>
      <c r="AJ220" s="3055"/>
      <c r="AK220" s="3055"/>
      <c r="AL220" s="3055"/>
      <c r="AM220" s="3055"/>
      <c r="AN220" s="3055"/>
      <c r="AO220" s="3055"/>
      <c r="AP220" s="3055"/>
      <c r="AQ220" s="3055"/>
      <c r="AR220" s="3055"/>
      <c r="AS220" s="3055"/>
      <c r="AT220" s="3055"/>
      <c r="AU220" s="3056"/>
      <c r="AV220" s="3057">
        <f t="shared" si="15"/>
      </c>
      <c r="AW220" s="3054"/>
      <c r="AX220" s="3054"/>
      <c r="AY220" s="3055"/>
      <c r="AZ220" s="3055"/>
      <c r="BA220" s="3055"/>
      <c r="BB220" s="3055"/>
      <c r="BC220" s="3055"/>
      <c r="BD220" s="3055"/>
      <c r="BE220" s="3055"/>
      <c r="BF220" s="3055"/>
      <c r="BG220" s="3055"/>
      <c r="BH220" s="3055"/>
      <c r="BI220" s="3055"/>
      <c r="BJ220" s="3055"/>
      <c r="BK220" s="3055"/>
      <c r="BL220" s="3056"/>
      <c r="BM220" s="3057">
        <f t="shared" si="16"/>
      </c>
      <c r="BN220" s="3054"/>
      <c r="BO220" s="3054"/>
      <c r="BP220" s="3055"/>
      <c r="BQ220" s="3055"/>
      <c r="BR220" s="3055"/>
      <c r="BS220" s="3055"/>
      <c r="BT220" s="3055"/>
      <c r="BU220" s="3055"/>
      <c r="BV220" s="3055"/>
      <c r="BW220" s="3055"/>
      <c r="BX220" s="3055"/>
      <c r="BY220" s="3055"/>
      <c r="BZ220" s="3055"/>
      <c r="CA220" s="3055"/>
      <c r="CB220" s="3055"/>
      <c r="CC220" s="3056"/>
      <c r="CD220" s="3057">
        <f t="shared" si="0"/>
      </c>
      <c r="CE220" s="3054"/>
      <c r="CF220" s="3054"/>
      <c r="CG220" s="3055"/>
      <c r="CH220" s="3055"/>
      <c r="CI220" s="3055"/>
      <c r="CJ220" s="3055"/>
      <c r="CK220" s="3055"/>
      <c r="CL220" s="3055"/>
      <c r="CM220" s="3055"/>
      <c r="CN220" s="3055"/>
      <c r="CO220" s="3055"/>
      <c r="CP220" s="3055"/>
      <c r="CQ220" s="3055"/>
      <c r="CR220" s="3055"/>
      <c r="CS220" s="3055"/>
      <c r="CU220" s="3054"/>
      <c r="CV220" s="696"/>
      <c r="CW220" s="696"/>
      <c r="CZ220" s="3060">
        <f t="shared" si="17"/>
      </c>
      <c r="DA220" s="3060">
        <f t="shared" si="1"/>
      </c>
      <c r="DB220" s="3060">
        <f t="shared" si="18"/>
      </c>
      <c r="DC220" s="3060">
        <f t="shared" si="19"/>
      </c>
      <c r="DD220" s="3060">
        <f t="shared" si="20"/>
      </c>
      <c r="DE220" s="3060">
        <f t="shared" si="21"/>
      </c>
      <c r="DF220" s="3060">
        <f t="shared" si="22"/>
      </c>
      <c r="DG220" s="3060">
        <f t="shared" si="23"/>
      </c>
      <c r="DH220" s="3060">
        <f t="shared" si="24"/>
      </c>
      <c r="DI220" s="3060">
        <f t="shared" si="1"/>
      </c>
    </row>
    <row r="221" ht="15" customHeight="1" s="3052" customFormat="1">
      <c r="A221" s="3065"/>
      <c r="B221" s="3054">
        <f t="shared" si="2"/>
      </c>
      <c r="C221" s="3054"/>
      <c r="D221" s="3054"/>
      <c r="E221" s="3055"/>
      <c r="F221" s="3055"/>
      <c r="G221" s="3055"/>
      <c r="H221" s="3055"/>
      <c r="I221" s="3055"/>
      <c r="J221" s="3055"/>
      <c r="K221" s="3055"/>
      <c r="L221" s="3055"/>
      <c r="M221" s="3055"/>
      <c r="N221" s="3055"/>
      <c r="O221" s="3055"/>
      <c r="P221" s="3055"/>
      <c r="Q221" s="3055"/>
      <c r="R221" s="3055">
        <f t="shared" si="3"/>
        <v>0</v>
      </c>
      <c r="S221" s="3055">
        <f t="shared" si="4"/>
        <v>0</v>
      </c>
      <c r="T221" s="3055">
        <f t="shared" si="5"/>
        <v>0</v>
      </c>
      <c r="U221" s="3055">
        <f t="shared" si="6"/>
        <v>0</v>
      </c>
      <c r="V221" s="3055">
        <f t="shared" si="7"/>
        <v>0</v>
      </c>
      <c r="W221" s="3055">
        <f t="shared" si="8"/>
        <v>0</v>
      </c>
      <c r="X221" s="3055">
        <f t="shared" si="9"/>
        <v>0</v>
      </c>
      <c r="Y221" s="3055">
        <f t="shared" si="10"/>
        <v>0</v>
      </c>
      <c r="Z221" s="3055">
        <f t="shared" si="11"/>
        <v>0</v>
      </c>
      <c r="AA221" s="3055">
        <f t="shared" si="12"/>
        <v>0</v>
      </c>
      <c r="AB221" s="3055">
        <f t="shared" si="13"/>
        <v>0</v>
      </c>
      <c r="AC221" s="3055">
        <f t="shared" si="14"/>
        <v>0</v>
      </c>
      <c r="AD221" s="3056"/>
      <c r="AE221" s="3057">
        <f t="shared" si="0"/>
      </c>
      <c r="AF221" s="3054"/>
      <c r="AG221" s="3054"/>
      <c r="AH221" s="3055"/>
      <c r="AI221" s="3055"/>
      <c r="AJ221" s="3055"/>
      <c r="AK221" s="3055"/>
      <c r="AL221" s="3055"/>
      <c r="AM221" s="3055"/>
      <c r="AN221" s="3055"/>
      <c r="AO221" s="3055"/>
      <c r="AP221" s="3055"/>
      <c r="AQ221" s="3055"/>
      <c r="AR221" s="3055"/>
      <c r="AS221" s="3055"/>
      <c r="AT221" s="3055"/>
      <c r="AU221" s="3056"/>
      <c r="AV221" s="3057">
        <f t="shared" si="15"/>
      </c>
      <c r="AW221" s="3054"/>
      <c r="AX221" s="3054"/>
      <c r="AY221" s="3055"/>
      <c r="AZ221" s="3055"/>
      <c r="BA221" s="3055"/>
      <c r="BB221" s="3055"/>
      <c r="BC221" s="3055"/>
      <c r="BD221" s="3055"/>
      <c r="BE221" s="3055"/>
      <c r="BF221" s="3055"/>
      <c r="BG221" s="3055"/>
      <c r="BH221" s="3055"/>
      <c r="BI221" s="3055"/>
      <c r="BJ221" s="3055"/>
      <c r="BK221" s="3055"/>
      <c r="BL221" s="3056"/>
      <c r="BM221" s="3057">
        <f t="shared" si="16"/>
      </c>
      <c r="BN221" s="3054"/>
      <c r="BO221" s="3054"/>
      <c r="BP221" s="3055"/>
      <c r="BQ221" s="3055"/>
      <c r="BR221" s="3055"/>
      <c r="BS221" s="3055"/>
      <c r="BT221" s="3055"/>
      <c r="BU221" s="3055"/>
      <c r="BV221" s="3055"/>
      <c r="BW221" s="3055"/>
      <c r="BX221" s="3055"/>
      <c r="BY221" s="3055"/>
      <c r="BZ221" s="3055"/>
      <c r="CA221" s="3055"/>
      <c r="CB221" s="3055"/>
      <c r="CC221" s="3056"/>
      <c r="CD221" s="3057">
        <f t="shared" si="0"/>
      </c>
      <c r="CE221" s="3054"/>
      <c r="CF221" s="3054"/>
      <c r="CG221" s="3055"/>
      <c r="CH221" s="3055"/>
      <c r="CI221" s="3055"/>
      <c r="CJ221" s="3055"/>
      <c r="CK221" s="3055"/>
      <c r="CL221" s="3055"/>
      <c r="CM221" s="3055"/>
      <c r="CN221" s="3055"/>
      <c r="CO221" s="3055"/>
      <c r="CP221" s="3055"/>
      <c r="CQ221" s="3055"/>
      <c r="CR221" s="3055"/>
      <c r="CS221" s="3055"/>
      <c r="CU221" s="3054"/>
      <c r="CV221" s="696"/>
      <c r="CW221" s="696"/>
      <c r="CZ221" s="3060">
        <f t="shared" si="17"/>
      </c>
      <c r="DA221" s="3060">
        <f t="shared" si="1"/>
      </c>
      <c r="DB221" s="3060">
        <f t="shared" si="18"/>
      </c>
      <c r="DC221" s="3060">
        <f t="shared" si="19"/>
      </c>
      <c r="DD221" s="3060">
        <f t="shared" si="20"/>
      </c>
      <c r="DE221" s="3060">
        <f t="shared" si="21"/>
      </c>
      <c r="DF221" s="3060">
        <f t="shared" si="22"/>
      </c>
      <c r="DG221" s="3060">
        <f t="shared" si="23"/>
      </c>
      <c r="DH221" s="3060">
        <f t="shared" si="24"/>
      </c>
      <c r="DI221" s="3060">
        <f t="shared" si="1"/>
      </c>
    </row>
    <row r="222" ht="15" customHeight="1" s="3052" customFormat="1">
      <c r="A222" s="3065"/>
      <c r="B222" s="3054">
        <f t="shared" si="2"/>
      </c>
      <c r="C222" s="3054"/>
      <c r="D222" s="3054"/>
      <c r="E222" s="3055"/>
      <c r="F222" s="3055"/>
      <c r="G222" s="3055"/>
      <c r="H222" s="3055"/>
      <c r="I222" s="3055"/>
      <c r="J222" s="3055"/>
      <c r="K222" s="3055"/>
      <c r="L222" s="3055"/>
      <c r="M222" s="3055"/>
      <c r="N222" s="3055"/>
      <c r="O222" s="3055"/>
      <c r="P222" s="3055"/>
      <c r="Q222" s="3055"/>
      <c r="R222" s="3055">
        <f t="shared" si="3"/>
        <v>0</v>
      </c>
      <c r="S222" s="3055">
        <f t="shared" si="4"/>
        <v>0</v>
      </c>
      <c r="T222" s="3055">
        <f t="shared" si="5"/>
        <v>0</v>
      </c>
      <c r="U222" s="3055">
        <f t="shared" si="6"/>
        <v>0</v>
      </c>
      <c r="V222" s="3055">
        <f t="shared" si="7"/>
        <v>0</v>
      </c>
      <c r="W222" s="3055">
        <f t="shared" si="8"/>
        <v>0</v>
      </c>
      <c r="X222" s="3055">
        <f t="shared" si="9"/>
        <v>0</v>
      </c>
      <c r="Y222" s="3055">
        <f t="shared" si="10"/>
        <v>0</v>
      </c>
      <c r="Z222" s="3055">
        <f t="shared" si="11"/>
        <v>0</v>
      </c>
      <c r="AA222" s="3055">
        <f t="shared" si="12"/>
        <v>0</v>
      </c>
      <c r="AB222" s="3055">
        <f t="shared" si="13"/>
        <v>0</v>
      </c>
      <c r="AC222" s="3055">
        <f t="shared" si="14"/>
        <v>0</v>
      </c>
      <c r="AD222" s="3056"/>
      <c r="AE222" s="3057">
        <f t="shared" si="0"/>
      </c>
      <c r="AF222" s="3054"/>
      <c r="AG222" s="3054"/>
      <c r="AH222" s="3055"/>
      <c r="AI222" s="3055"/>
      <c r="AJ222" s="3055"/>
      <c r="AK222" s="3055"/>
      <c r="AL222" s="3055"/>
      <c r="AM222" s="3055"/>
      <c r="AN222" s="3055"/>
      <c r="AO222" s="3055"/>
      <c r="AP222" s="3055"/>
      <c r="AQ222" s="3055"/>
      <c r="AR222" s="3055"/>
      <c r="AS222" s="3055"/>
      <c r="AT222" s="3055"/>
      <c r="AU222" s="3056"/>
      <c r="AV222" s="3057">
        <f t="shared" si="15"/>
      </c>
      <c r="AW222" s="3054"/>
      <c r="AX222" s="3054"/>
      <c r="AY222" s="3055"/>
      <c r="AZ222" s="3055"/>
      <c r="BA222" s="3055"/>
      <c r="BB222" s="3055"/>
      <c r="BC222" s="3055"/>
      <c r="BD222" s="3055"/>
      <c r="BE222" s="3055"/>
      <c r="BF222" s="3055"/>
      <c r="BG222" s="3055"/>
      <c r="BH222" s="3055"/>
      <c r="BI222" s="3055"/>
      <c r="BJ222" s="3055"/>
      <c r="BK222" s="3055"/>
      <c r="BL222" s="3056"/>
      <c r="BM222" s="3057">
        <f t="shared" si="16"/>
      </c>
      <c r="BN222" s="3054"/>
      <c r="BO222" s="3054"/>
      <c r="BP222" s="3055"/>
      <c r="BQ222" s="3055"/>
      <c r="BR222" s="3055"/>
      <c r="BS222" s="3055"/>
      <c r="BT222" s="3055"/>
      <c r="BU222" s="3055"/>
      <c r="BV222" s="3055"/>
      <c r="BW222" s="3055"/>
      <c r="BX222" s="3055"/>
      <c r="BY222" s="3055"/>
      <c r="BZ222" s="3055"/>
      <c r="CA222" s="3055"/>
      <c r="CB222" s="3055"/>
      <c r="CC222" s="3056"/>
      <c r="CD222" s="3057">
        <f t="shared" si="0"/>
      </c>
      <c r="CE222" s="3054"/>
      <c r="CF222" s="3054"/>
      <c r="CG222" s="3055"/>
      <c r="CH222" s="3055"/>
      <c r="CI222" s="3055"/>
      <c r="CJ222" s="3055"/>
      <c r="CK222" s="3055"/>
      <c r="CL222" s="3055"/>
      <c r="CM222" s="3055"/>
      <c r="CN222" s="3055"/>
      <c r="CO222" s="3055"/>
      <c r="CP222" s="3055"/>
      <c r="CQ222" s="3055"/>
      <c r="CR222" s="3055"/>
      <c r="CS222" s="3055"/>
      <c r="CU222" s="3054"/>
      <c r="CV222" s="696"/>
      <c r="CW222" s="696"/>
      <c r="CZ222" s="3060">
        <f t="shared" si="17"/>
      </c>
      <c r="DA222" s="3060">
        <f t="shared" si="1"/>
      </c>
      <c r="DB222" s="3060">
        <f t="shared" si="18"/>
      </c>
      <c r="DC222" s="3060">
        <f t="shared" si="19"/>
      </c>
      <c r="DD222" s="3060">
        <f t="shared" si="20"/>
      </c>
      <c r="DE222" s="3060">
        <f t="shared" si="21"/>
      </c>
      <c r="DF222" s="3060">
        <f t="shared" si="22"/>
      </c>
      <c r="DG222" s="3060">
        <f t="shared" si="23"/>
      </c>
      <c r="DH222" s="3060">
        <f t="shared" si="24"/>
      </c>
      <c r="DI222" s="3060">
        <f t="shared" si="1"/>
      </c>
    </row>
    <row r="223" ht="15" customHeight="1" s="3052" customFormat="1">
      <c r="A223" s="3065"/>
      <c r="B223" s="3054">
        <f t="shared" si="2"/>
      </c>
      <c r="C223" s="3054"/>
      <c r="D223" s="3054"/>
      <c r="E223" s="3055"/>
      <c r="F223" s="3055"/>
      <c r="G223" s="3055"/>
      <c r="H223" s="3055"/>
      <c r="I223" s="3055"/>
      <c r="J223" s="3055"/>
      <c r="K223" s="3055"/>
      <c r="L223" s="3055"/>
      <c r="M223" s="3055"/>
      <c r="N223" s="3055"/>
      <c r="O223" s="3055"/>
      <c r="P223" s="3055"/>
      <c r="Q223" s="3055"/>
      <c r="R223" s="3055">
        <f t="shared" si="3"/>
        <v>0</v>
      </c>
      <c r="S223" s="3055">
        <f t="shared" si="4"/>
        <v>0</v>
      </c>
      <c r="T223" s="3055">
        <f t="shared" si="5"/>
        <v>0</v>
      </c>
      <c r="U223" s="3055">
        <f t="shared" si="6"/>
        <v>0</v>
      </c>
      <c r="V223" s="3055">
        <f t="shared" si="7"/>
        <v>0</v>
      </c>
      <c r="W223" s="3055">
        <f t="shared" si="8"/>
        <v>0</v>
      </c>
      <c r="X223" s="3055">
        <f t="shared" si="9"/>
        <v>0</v>
      </c>
      <c r="Y223" s="3055">
        <f t="shared" si="10"/>
        <v>0</v>
      </c>
      <c r="Z223" s="3055">
        <f t="shared" si="11"/>
        <v>0</v>
      </c>
      <c r="AA223" s="3055">
        <f t="shared" si="12"/>
        <v>0</v>
      </c>
      <c r="AB223" s="3055">
        <f t="shared" si="13"/>
        <v>0</v>
      </c>
      <c r="AC223" s="3055">
        <f t="shared" si="14"/>
        <v>0</v>
      </c>
      <c r="AD223" s="3056"/>
      <c r="AE223" s="3057">
        <f t="shared" si="0"/>
      </c>
      <c r="AF223" s="3054"/>
      <c r="AG223" s="3054"/>
      <c r="AH223" s="3055"/>
      <c r="AI223" s="3055"/>
      <c r="AJ223" s="3055"/>
      <c r="AK223" s="3055"/>
      <c r="AL223" s="3055"/>
      <c r="AM223" s="3055"/>
      <c r="AN223" s="3055"/>
      <c r="AO223" s="3055"/>
      <c r="AP223" s="3055"/>
      <c r="AQ223" s="3055"/>
      <c r="AR223" s="3055"/>
      <c r="AS223" s="3055"/>
      <c r="AT223" s="3055"/>
      <c r="AU223" s="3056"/>
      <c r="AV223" s="3057">
        <f t="shared" si="15"/>
      </c>
      <c r="AW223" s="3054"/>
      <c r="AX223" s="3054"/>
      <c r="AY223" s="3055"/>
      <c r="AZ223" s="3055"/>
      <c r="BA223" s="3055"/>
      <c r="BB223" s="3055"/>
      <c r="BC223" s="3055"/>
      <c r="BD223" s="3055"/>
      <c r="BE223" s="3055"/>
      <c r="BF223" s="3055"/>
      <c r="BG223" s="3055"/>
      <c r="BH223" s="3055"/>
      <c r="BI223" s="3055"/>
      <c r="BJ223" s="3055"/>
      <c r="BK223" s="3055"/>
      <c r="BL223" s="3056"/>
      <c r="BM223" s="3057">
        <f t="shared" si="16"/>
      </c>
      <c r="BN223" s="3054"/>
      <c r="BO223" s="3054"/>
      <c r="BP223" s="3055"/>
      <c r="BQ223" s="3055"/>
      <c r="BR223" s="3055"/>
      <c r="BS223" s="3055"/>
      <c r="BT223" s="3055"/>
      <c r="BU223" s="3055"/>
      <c r="BV223" s="3055"/>
      <c r="BW223" s="3055"/>
      <c r="BX223" s="3055"/>
      <c r="BY223" s="3055"/>
      <c r="BZ223" s="3055"/>
      <c r="CA223" s="3055"/>
      <c r="CB223" s="3055"/>
      <c r="CC223" s="3056"/>
      <c r="CD223" s="3057">
        <f t="shared" si="0"/>
      </c>
      <c r="CE223" s="3054"/>
      <c r="CF223" s="3054"/>
      <c r="CG223" s="3055"/>
      <c r="CH223" s="3055"/>
      <c r="CI223" s="3055"/>
      <c r="CJ223" s="3055"/>
      <c r="CK223" s="3055"/>
      <c r="CL223" s="3055"/>
      <c r="CM223" s="3055"/>
      <c r="CN223" s="3055"/>
      <c r="CO223" s="3055"/>
      <c r="CP223" s="3055"/>
      <c r="CQ223" s="3055"/>
      <c r="CR223" s="3055"/>
      <c r="CS223" s="3055"/>
      <c r="CU223" s="3054"/>
      <c r="CV223" s="696"/>
      <c r="CW223" s="696"/>
      <c r="CZ223" s="3060">
        <f t="shared" si="17"/>
      </c>
      <c r="DA223" s="3060">
        <f t="shared" si="1"/>
      </c>
      <c r="DB223" s="3060">
        <f t="shared" si="18"/>
      </c>
      <c r="DC223" s="3060">
        <f t="shared" si="19"/>
      </c>
      <c r="DD223" s="3060">
        <f t="shared" si="20"/>
      </c>
      <c r="DE223" s="3060">
        <f t="shared" si="21"/>
      </c>
      <c r="DF223" s="3060">
        <f t="shared" si="22"/>
      </c>
      <c r="DG223" s="3060">
        <f t="shared" si="23"/>
      </c>
      <c r="DH223" s="3060">
        <f t="shared" si="24"/>
      </c>
      <c r="DI223" s="3060">
        <f t="shared" si="1"/>
      </c>
    </row>
    <row r="224" ht="15" customHeight="1" s="3052" customFormat="1">
      <c r="A224" s="3065"/>
      <c r="B224" s="3054">
        <f t="shared" si="2"/>
      </c>
      <c r="C224" s="3054"/>
      <c r="D224" s="3054"/>
      <c r="E224" s="3055"/>
      <c r="F224" s="3055"/>
      <c r="G224" s="3055"/>
      <c r="H224" s="3055"/>
      <c r="I224" s="3055"/>
      <c r="J224" s="3055"/>
      <c r="K224" s="3055"/>
      <c r="L224" s="3055"/>
      <c r="M224" s="3055"/>
      <c r="N224" s="3055"/>
      <c r="O224" s="3055"/>
      <c r="P224" s="3055"/>
      <c r="Q224" s="3055"/>
      <c r="R224" s="3055">
        <f t="shared" si="3"/>
        <v>0</v>
      </c>
      <c r="S224" s="3055">
        <f t="shared" si="4"/>
        <v>0</v>
      </c>
      <c r="T224" s="3055">
        <f t="shared" si="5"/>
        <v>0</v>
      </c>
      <c r="U224" s="3055">
        <f t="shared" si="6"/>
        <v>0</v>
      </c>
      <c r="V224" s="3055">
        <f t="shared" si="7"/>
        <v>0</v>
      </c>
      <c r="W224" s="3055">
        <f t="shared" si="8"/>
        <v>0</v>
      </c>
      <c r="X224" s="3055">
        <f t="shared" si="9"/>
        <v>0</v>
      </c>
      <c r="Y224" s="3055">
        <f t="shared" si="10"/>
        <v>0</v>
      </c>
      <c r="Z224" s="3055">
        <f t="shared" si="11"/>
        <v>0</v>
      </c>
      <c r="AA224" s="3055">
        <f t="shared" si="12"/>
        <v>0</v>
      </c>
      <c r="AB224" s="3055">
        <f t="shared" si="13"/>
        <v>0</v>
      </c>
      <c r="AC224" s="3055">
        <f t="shared" si="14"/>
        <v>0</v>
      </c>
      <c r="AD224" s="3056"/>
      <c r="AE224" s="3057">
        <f t="shared" si="0"/>
      </c>
      <c r="AF224" s="3054"/>
      <c r="AG224" s="3054"/>
      <c r="AH224" s="3055"/>
      <c r="AI224" s="3055"/>
      <c r="AJ224" s="3055"/>
      <c r="AK224" s="3055"/>
      <c r="AL224" s="3055"/>
      <c r="AM224" s="3055"/>
      <c r="AN224" s="3055"/>
      <c r="AO224" s="3055"/>
      <c r="AP224" s="3055"/>
      <c r="AQ224" s="3055"/>
      <c r="AR224" s="3055"/>
      <c r="AS224" s="3055"/>
      <c r="AT224" s="3055"/>
      <c r="AU224" s="3056"/>
      <c r="AV224" s="3057">
        <f t="shared" si="15"/>
      </c>
      <c r="AW224" s="3054"/>
      <c r="AX224" s="3054"/>
      <c r="AY224" s="3055"/>
      <c r="AZ224" s="3055"/>
      <c r="BA224" s="3055"/>
      <c r="BB224" s="3055"/>
      <c r="BC224" s="3055"/>
      <c r="BD224" s="3055"/>
      <c r="BE224" s="3055"/>
      <c r="BF224" s="3055"/>
      <c r="BG224" s="3055"/>
      <c r="BH224" s="3055"/>
      <c r="BI224" s="3055"/>
      <c r="BJ224" s="3055"/>
      <c r="BK224" s="3055"/>
      <c r="BL224" s="3056"/>
      <c r="BM224" s="3057">
        <f t="shared" si="16"/>
      </c>
      <c r="BN224" s="3054"/>
      <c r="BO224" s="3054"/>
      <c r="BP224" s="3055"/>
      <c r="BQ224" s="3055"/>
      <c r="BR224" s="3055"/>
      <c r="BS224" s="3055"/>
      <c r="BT224" s="3055"/>
      <c r="BU224" s="3055"/>
      <c r="BV224" s="3055"/>
      <c r="BW224" s="3055"/>
      <c r="BX224" s="3055"/>
      <c r="BY224" s="3055"/>
      <c r="BZ224" s="3055"/>
      <c r="CA224" s="3055"/>
      <c r="CB224" s="3055"/>
      <c r="CC224" s="3056"/>
      <c r="CD224" s="3057">
        <f t="shared" si="0"/>
      </c>
      <c r="CE224" s="3054"/>
      <c r="CF224" s="3054"/>
      <c r="CG224" s="3055"/>
      <c r="CH224" s="3055"/>
      <c r="CI224" s="3055"/>
      <c r="CJ224" s="3055"/>
      <c r="CK224" s="3055"/>
      <c r="CL224" s="3055"/>
      <c r="CM224" s="3055"/>
      <c r="CN224" s="3055"/>
      <c r="CO224" s="3055"/>
      <c r="CP224" s="3055"/>
      <c r="CQ224" s="3055"/>
      <c r="CR224" s="3055"/>
      <c r="CS224" s="3055"/>
      <c r="CU224" s="3054"/>
      <c r="CV224" s="696"/>
      <c r="CW224" s="696"/>
      <c r="CZ224" s="3060">
        <f t="shared" si="17"/>
      </c>
      <c r="DA224" s="3060">
        <f t="shared" si="1"/>
      </c>
      <c r="DB224" s="3060">
        <f t="shared" si="18"/>
      </c>
      <c r="DC224" s="3060">
        <f t="shared" si="19"/>
      </c>
      <c r="DD224" s="3060">
        <f t="shared" si="20"/>
      </c>
      <c r="DE224" s="3060">
        <f t="shared" si="21"/>
      </c>
      <c r="DF224" s="3060">
        <f t="shared" si="22"/>
      </c>
      <c r="DG224" s="3060">
        <f t="shared" si="23"/>
      </c>
      <c r="DH224" s="3060">
        <f t="shared" si="24"/>
      </c>
      <c r="DI224" s="3060">
        <f t="shared" si="1"/>
      </c>
    </row>
    <row r="225" ht="15" customHeight="1" s="3052" customFormat="1">
      <c r="A225" s="3065"/>
      <c r="B225" s="3054">
        <f t="shared" si="2"/>
      </c>
      <c r="C225" s="3054"/>
      <c r="D225" s="3054"/>
      <c r="E225" s="3055"/>
      <c r="F225" s="3055"/>
      <c r="G225" s="3055"/>
      <c r="H225" s="3055"/>
      <c r="I225" s="3055"/>
      <c r="J225" s="3055"/>
      <c r="K225" s="3055"/>
      <c r="L225" s="3055"/>
      <c r="M225" s="3055"/>
      <c r="N225" s="3055"/>
      <c r="O225" s="3055"/>
      <c r="P225" s="3055"/>
      <c r="Q225" s="3055"/>
      <c r="R225" s="3055">
        <f t="shared" si="3"/>
        <v>0</v>
      </c>
      <c r="S225" s="3055">
        <f t="shared" si="4"/>
        <v>0</v>
      </c>
      <c r="T225" s="3055">
        <f t="shared" si="5"/>
        <v>0</v>
      </c>
      <c r="U225" s="3055">
        <f t="shared" si="6"/>
        <v>0</v>
      </c>
      <c r="V225" s="3055">
        <f t="shared" si="7"/>
        <v>0</v>
      </c>
      <c r="W225" s="3055">
        <f t="shared" si="8"/>
        <v>0</v>
      </c>
      <c r="X225" s="3055">
        <f t="shared" si="9"/>
        <v>0</v>
      </c>
      <c r="Y225" s="3055">
        <f t="shared" si="10"/>
        <v>0</v>
      </c>
      <c r="Z225" s="3055">
        <f t="shared" si="11"/>
        <v>0</v>
      </c>
      <c r="AA225" s="3055">
        <f t="shared" si="12"/>
        <v>0</v>
      </c>
      <c r="AB225" s="3055">
        <f t="shared" si="13"/>
        <v>0</v>
      </c>
      <c r="AC225" s="3055">
        <f t="shared" si="14"/>
        <v>0</v>
      </c>
      <c r="AD225" s="3056"/>
      <c r="AE225" s="3057">
        <f t="shared" si="0"/>
      </c>
      <c r="AF225" s="3054"/>
      <c r="AG225" s="3054"/>
      <c r="AH225" s="3055"/>
      <c r="AI225" s="3055"/>
      <c r="AJ225" s="3055"/>
      <c r="AK225" s="3055"/>
      <c r="AL225" s="3055"/>
      <c r="AM225" s="3055"/>
      <c r="AN225" s="3055"/>
      <c r="AO225" s="3055"/>
      <c r="AP225" s="3055"/>
      <c r="AQ225" s="3055"/>
      <c r="AR225" s="3055"/>
      <c r="AS225" s="3055"/>
      <c r="AT225" s="3055"/>
      <c r="AU225" s="3056"/>
      <c r="AV225" s="3057">
        <f t="shared" si="15"/>
      </c>
      <c r="AW225" s="3054"/>
      <c r="AX225" s="3054"/>
      <c r="AY225" s="3055"/>
      <c r="AZ225" s="3055"/>
      <c r="BA225" s="3055"/>
      <c r="BB225" s="3055"/>
      <c r="BC225" s="3055"/>
      <c r="BD225" s="3055"/>
      <c r="BE225" s="3055"/>
      <c r="BF225" s="3055"/>
      <c r="BG225" s="3055"/>
      <c r="BH225" s="3055"/>
      <c r="BI225" s="3055"/>
      <c r="BJ225" s="3055"/>
      <c r="BK225" s="3055"/>
      <c r="BL225" s="3056"/>
      <c r="BM225" s="3057">
        <f t="shared" si="16"/>
      </c>
      <c r="BN225" s="3054"/>
      <c r="BO225" s="3054"/>
      <c r="BP225" s="3055"/>
      <c r="BQ225" s="3055"/>
      <c r="BR225" s="3055"/>
      <c r="BS225" s="3055"/>
      <c r="BT225" s="3055"/>
      <c r="BU225" s="3055"/>
      <c r="BV225" s="3055"/>
      <c r="BW225" s="3055"/>
      <c r="BX225" s="3055"/>
      <c r="BY225" s="3055"/>
      <c r="BZ225" s="3055"/>
      <c r="CA225" s="3055"/>
      <c r="CB225" s="3055"/>
      <c r="CC225" s="3056"/>
      <c r="CD225" s="3057">
        <f t="shared" si="0"/>
      </c>
      <c r="CE225" s="3054"/>
      <c r="CF225" s="3054"/>
      <c r="CG225" s="3055"/>
      <c r="CH225" s="3055"/>
      <c r="CI225" s="3055"/>
      <c r="CJ225" s="3055"/>
      <c r="CK225" s="3055"/>
      <c r="CL225" s="3055"/>
      <c r="CM225" s="3055"/>
      <c r="CN225" s="3055"/>
      <c r="CO225" s="3055"/>
      <c r="CP225" s="3055"/>
      <c r="CQ225" s="3055"/>
      <c r="CR225" s="3055"/>
      <c r="CS225" s="3055"/>
      <c r="CU225" s="3054"/>
      <c r="CV225" s="696"/>
      <c r="CW225" s="696"/>
      <c r="CZ225" s="3060">
        <f t="shared" si="17"/>
      </c>
      <c r="DA225" s="3060">
        <f t="shared" si="1"/>
      </c>
      <c r="DB225" s="3060">
        <f t="shared" si="18"/>
      </c>
      <c r="DC225" s="3060">
        <f t="shared" si="19"/>
      </c>
      <c r="DD225" s="3060">
        <f t="shared" si="20"/>
      </c>
      <c r="DE225" s="3060">
        <f t="shared" si="21"/>
      </c>
      <c r="DF225" s="3060">
        <f t="shared" si="22"/>
      </c>
      <c r="DG225" s="3060">
        <f t="shared" si="23"/>
      </c>
      <c r="DH225" s="3060">
        <f t="shared" si="24"/>
      </c>
      <c r="DI225" s="3060">
        <f t="shared" si="1"/>
      </c>
    </row>
    <row r="226" ht="15" customHeight="1" s="3052" customFormat="1">
      <c r="A226" s="3065"/>
      <c r="B226" s="3054">
        <f t="shared" si="2"/>
      </c>
      <c r="C226" s="3054"/>
      <c r="D226" s="3054"/>
      <c r="E226" s="3055"/>
      <c r="F226" s="3055"/>
      <c r="G226" s="3055"/>
      <c r="H226" s="3055"/>
      <c r="I226" s="3055"/>
      <c r="J226" s="3055"/>
      <c r="K226" s="3055"/>
      <c r="L226" s="3055"/>
      <c r="M226" s="3055"/>
      <c r="N226" s="3055"/>
      <c r="O226" s="3055"/>
      <c r="P226" s="3055"/>
      <c r="Q226" s="3055"/>
      <c r="R226" s="3055">
        <f t="shared" si="3"/>
        <v>0</v>
      </c>
      <c r="S226" s="3055">
        <f t="shared" si="4"/>
        <v>0</v>
      </c>
      <c r="T226" s="3055">
        <f t="shared" si="5"/>
        <v>0</v>
      </c>
      <c r="U226" s="3055">
        <f t="shared" si="6"/>
        <v>0</v>
      </c>
      <c r="V226" s="3055">
        <f t="shared" si="7"/>
        <v>0</v>
      </c>
      <c r="W226" s="3055">
        <f t="shared" si="8"/>
        <v>0</v>
      </c>
      <c r="X226" s="3055">
        <f t="shared" si="9"/>
        <v>0</v>
      </c>
      <c r="Y226" s="3055">
        <f t="shared" si="10"/>
        <v>0</v>
      </c>
      <c r="Z226" s="3055">
        <f t="shared" si="11"/>
        <v>0</v>
      </c>
      <c r="AA226" s="3055">
        <f t="shared" si="12"/>
        <v>0</v>
      </c>
      <c r="AB226" s="3055">
        <f t="shared" si="13"/>
        <v>0</v>
      </c>
      <c r="AC226" s="3055">
        <f t="shared" si="14"/>
        <v>0</v>
      </c>
      <c r="AD226" s="3056"/>
      <c r="AE226" s="3057">
        <f t="shared" si="0"/>
      </c>
      <c r="AF226" s="3054"/>
      <c r="AG226" s="3054"/>
      <c r="AH226" s="3055"/>
      <c r="AI226" s="3055"/>
      <c r="AJ226" s="3055"/>
      <c r="AK226" s="3055"/>
      <c r="AL226" s="3055"/>
      <c r="AM226" s="3055"/>
      <c r="AN226" s="3055"/>
      <c r="AO226" s="3055"/>
      <c r="AP226" s="3055"/>
      <c r="AQ226" s="3055"/>
      <c r="AR226" s="3055"/>
      <c r="AS226" s="3055"/>
      <c r="AT226" s="3055"/>
      <c r="AU226" s="3056"/>
      <c r="AV226" s="3057">
        <f t="shared" si="15"/>
      </c>
      <c r="AW226" s="3054"/>
      <c r="AX226" s="3054"/>
      <c r="AY226" s="3055"/>
      <c r="AZ226" s="3055"/>
      <c r="BA226" s="3055"/>
      <c r="BB226" s="3055"/>
      <c r="BC226" s="3055"/>
      <c r="BD226" s="3055"/>
      <c r="BE226" s="3055"/>
      <c r="BF226" s="3055"/>
      <c r="BG226" s="3055"/>
      <c r="BH226" s="3055"/>
      <c r="BI226" s="3055"/>
      <c r="BJ226" s="3055"/>
      <c r="BK226" s="3055"/>
      <c r="BL226" s="3056"/>
      <c r="BM226" s="3057">
        <f t="shared" si="16"/>
      </c>
      <c r="BN226" s="3054"/>
      <c r="BO226" s="3054"/>
      <c r="BP226" s="3055"/>
      <c r="BQ226" s="3055"/>
      <c r="BR226" s="3055"/>
      <c r="BS226" s="3055"/>
      <c r="BT226" s="3055"/>
      <c r="BU226" s="3055"/>
      <c r="BV226" s="3055"/>
      <c r="BW226" s="3055"/>
      <c r="BX226" s="3055"/>
      <c r="BY226" s="3055"/>
      <c r="BZ226" s="3055"/>
      <c r="CA226" s="3055"/>
      <c r="CB226" s="3055"/>
      <c r="CC226" s="3056"/>
      <c r="CD226" s="3057">
        <f t="shared" si="0"/>
      </c>
      <c r="CE226" s="3054"/>
      <c r="CF226" s="3054"/>
      <c r="CG226" s="3055"/>
      <c r="CH226" s="3055"/>
      <c r="CI226" s="3055"/>
      <c r="CJ226" s="3055"/>
      <c r="CK226" s="3055"/>
      <c r="CL226" s="3055"/>
      <c r="CM226" s="3055"/>
      <c r="CN226" s="3055"/>
      <c r="CO226" s="3055"/>
      <c r="CP226" s="3055"/>
      <c r="CQ226" s="3055"/>
      <c r="CR226" s="3055"/>
      <c r="CS226" s="3055"/>
      <c r="CU226" s="3054"/>
      <c r="CV226" s="696"/>
      <c r="CW226" s="696"/>
      <c r="CZ226" s="3060">
        <f t="shared" si="17"/>
      </c>
      <c r="DA226" s="3060">
        <f t="shared" si="1"/>
      </c>
      <c r="DB226" s="3060">
        <f t="shared" si="18"/>
      </c>
      <c r="DC226" s="3060">
        <f t="shared" si="19"/>
      </c>
      <c r="DD226" s="3060">
        <f t="shared" si="20"/>
      </c>
      <c r="DE226" s="3060">
        <f t="shared" si="21"/>
      </c>
      <c r="DF226" s="3060">
        <f t="shared" si="22"/>
      </c>
      <c r="DG226" s="3060">
        <f t="shared" si="23"/>
      </c>
      <c r="DH226" s="3060">
        <f t="shared" si="24"/>
      </c>
      <c r="DI226" s="3060">
        <f t="shared" si="1"/>
      </c>
    </row>
    <row r="227" ht="15" customHeight="1" s="3052" customFormat="1">
      <c r="A227" s="3065"/>
      <c r="B227" s="3054">
        <f t="shared" si="2"/>
      </c>
      <c r="C227" s="3054"/>
      <c r="D227" s="3054"/>
      <c r="E227" s="3055"/>
      <c r="F227" s="3055"/>
      <c r="G227" s="3055"/>
      <c r="H227" s="3055"/>
      <c r="I227" s="3055"/>
      <c r="J227" s="3055"/>
      <c r="K227" s="3055"/>
      <c r="L227" s="3055"/>
      <c r="M227" s="3055"/>
      <c r="N227" s="3055"/>
      <c r="O227" s="3055"/>
      <c r="P227" s="3055"/>
      <c r="Q227" s="3055"/>
      <c r="R227" s="3055">
        <f t="shared" si="3"/>
        <v>0</v>
      </c>
      <c r="S227" s="3055">
        <f t="shared" si="4"/>
        <v>0</v>
      </c>
      <c r="T227" s="3055">
        <f t="shared" si="5"/>
        <v>0</v>
      </c>
      <c r="U227" s="3055">
        <f t="shared" si="6"/>
        <v>0</v>
      </c>
      <c r="V227" s="3055">
        <f t="shared" si="7"/>
        <v>0</v>
      </c>
      <c r="W227" s="3055">
        <f t="shared" si="8"/>
        <v>0</v>
      </c>
      <c r="X227" s="3055">
        <f t="shared" si="9"/>
        <v>0</v>
      </c>
      <c r="Y227" s="3055">
        <f t="shared" si="10"/>
        <v>0</v>
      </c>
      <c r="Z227" s="3055">
        <f t="shared" si="11"/>
        <v>0</v>
      </c>
      <c r="AA227" s="3055">
        <f t="shared" si="12"/>
        <v>0</v>
      </c>
      <c r="AB227" s="3055">
        <f t="shared" si="13"/>
        <v>0</v>
      </c>
      <c r="AC227" s="3055">
        <f t="shared" si="14"/>
        <v>0</v>
      </c>
      <c r="AD227" s="3056"/>
      <c r="AE227" s="3057">
        <f t="shared" si="0"/>
      </c>
      <c r="AF227" s="3054"/>
      <c r="AG227" s="3054"/>
      <c r="AH227" s="3055"/>
      <c r="AI227" s="3055"/>
      <c r="AJ227" s="3055"/>
      <c r="AK227" s="3055"/>
      <c r="AL227" s="3055"/>
      <c r="AM227" s="3055"/>
      <c r="AN227" s="3055"/>
      <c r="AO227" s="3055"/>
      <c r="AP227" s="3055"/>
      <c r="AQ227" s="3055"/>
      <c r="AR227" s="3055"/>
      <c r="AS227" s="3055"/>
      <c r="AT227" s="3055"/>
      <c r="AU227" s="3056"/>
      <c r="AV227" s="3057">
        <f t="shared" si="15"/>
      </c>
      <c r="AW227" s="3054"/>
      <c r="AX227" s="3054"/>
      <c r="AY227" s="3055"/>
      <c r="AZ227" s="3055"/>
      <c r="BA227" s="3055"/>
      <c r="BB227" s="3055"/>
      <c r="BC227" s="3055"/>
      <c r="BD227" s="3055"/>
      <c r="BE227" s="3055"/>
      <c r="BF227" s="3055"/>
      <c r="BG227" s="3055"/>
      <c r="BH227" s="3055"/>
      <c r="BI227" s="3055"/>
      <c r="BJ227" s="3055"/>
      <c r="BK227" s="3055"/>
      <c r="BL227" s="3056"/>
      <c r="BM227" s="3057">
        <f t="shared" si="16"/>
      </c>
      <c r="BN227" s="3054"/>
      <c r="BO227" s="3054"/>
      <c r="BP227" s="3055"/>
      <c r="BQ227" s="3055"/>
      <c r="BR227" s="3055"/>
      <c r="BS227" s="3055"/>
      <c r="BT227" s="3055"/>
      <c r="BU227" s="3055"/>
      <c r="BV227" s="3055"/>
      <c r="BW227" s="3055"/>
      <c r="BX227" s="3055"/>
      <c r="BY227" s="3055"/>
      <c r="BZ227" s="3055"/>
      <c r="CA227" s="3055"/>
      <c r="CB227" s="3055"/>
      <c r="CC227" s="3056"/>
      <c r="CD227" s="3057">
        <f t="shared" si="0"/>
      </c>
      <c r="CE227" s="3054"/>
      <c r="CF227" s="3054"/>
      <c r="CG227" s="3055"/>
      <c r="CH227" s="3055"/>
      <c r="CI227" s="3055"/>
      <c r="CJ227" s="3055"/>
      <c r="CK227" s="3055"/>
      <c r="CL227" s="3055"/>
      <c r="CM227" s="3055"/>
      <c r="CN227" s="3055"/>
      <c r="CO227" s="3055"/>
      <c r="CP227" s="3055"/>
      <c r="CQ227" s="3055"/>
      <c r="CR227" s="3055"/>
      <c r="CS227" s="3055"/>
      <c r="CU227" s="3054"/>
      <c r="CV227" s="696"/>
      <c r="CW227" s="696"/>
      <c r="CZ227" s="3060">
        <f t="shared" si="17"/>
      </c>
      <c r="DA227" s="3060">
        <f t="shared" si="1"/>
      </c>
      <c r="DB227" s="3060">
        <f t="shared" si="18"/>
      </c>
      <c r="DC227" s="3060">
        <f t="shared" si="19"/>
      </c>
      <c r="DD227" s="3060">
        <f t="shared" si="20"/>
      </c>
      <c r="DE227" s="3060">
        <f t="shared" si="21"/>
      </c>
      <c r="DF227" s="3060">
        <f t="shared" si="22"/>
      </c>
      <c r="DG227" s="3060">
        <f t="shared" si="23"/>
      </c>
      <c r="DH227" s="3060">
        <f t="shared" si="24"/>
      </c>
      <c r="DI227" s="3060">
        <f t="shared" si="1"/>
      </c>
    </row>
    <row r="228" ht="15" customHeight="1" s="3052" customFormat="1">
      <c r="A228" s="3065"/>
      <c r="B228" s="3054">
        <f t="shared" si="2"/>
      </c>
      <c r="C228" s="3054"/>
      <c r="D228" s="3054"/>
      <c r="E228" s="3055"/>
      <c r="F228" s="3055"/>
      <c r="G228" s="3055"/>
      <c r="H228" s="3055"/>
      <c r="I228" s="3055"/>
      <c r="J228" s="3055"/>
      <c r="K228" s="3055"/>
      <c r="L228" s="3055"/>
      <c r="M228" s="3055"/>
      <c r="N228" s="3055"/>
      <c r="O228" s="3055"/>
      <c r="P228" s="3055"/>
      <c r="Q228" s="3055"/>
      <c r="R228" s="3055">
        <f t="shared" si="3"/>
        <v>0</v>
      </c>
      <c r="S228" s="3055">
        <f t="shared" si="4"/>
        <v>0</v>
      </c>
      <c r="T228" s="3055">
        <f t="shared" si="5"/>
        <v>0</v>
      </c>
      <c r="U228" s="3055">
        <f t="shared" si="6"/>
        <v>0</v>
      </c>
      <c r="V228" s="3055">
        <f t="shared" si="7"/>
        <v>0</v>
      </c>
      <c r="W228" s="3055">
        <f t="shared" si="8"/>
        <v>0</v>
      </c>
      <c r="X228" s="3055">
        <f t="shared" si="9"/>
        <v>0</v>
      </c>
      <c r="Y228" s="3055">
        <f t="shared" si="10"/>
        <v>0</v>
      </c>
      <c r="Z228" s="3055">
        <f t="shared" si="11"/>
        <v>0</v>
      </c>
      <c r="AA228" s="3055">
        <f t="shared" si="12"/>
        <v>0</v>
      </c>
      <c r="AB228" s="3055">
        <f t="shared" si="13"/>
        <v>0</v>
      </c>
      <c r="AC228" s="3055">
        <f t="shared" si="14"/>
        <v>0</v>
      </c>
      <c r="AD228" s="3056"/>
      <c r="AE228" s="3057">
        <f t="shared" si="0"/>
      </c>
      <c r="AF228" s="3054"/>
      <c r="AG228" s="3054"/>
      <c r="AH228" s="3055"/>
      <c r="AI228" s="3055"/>
      <c r="AJ228" s="3055"/>
      <c r="AK228" s="3055"/>
      <c r="AL228" s="3055"/>
      <c r="AM228" s="3055"/>
      <c r="AN228" s="3055"/>
      <c r="AO228" s="3055"/>
      <c r="AP228" s="3055"/>
      <c r="AQ228" s="3055"/>
      <c r="AR228" s="3055"/>
      <c r="AS228" s="3055"/>
      <c r="AT228" s="3055"/>
      <c r="AU228" s="3056"/>
      <c r="AV228" s="3057">
        <f t="shared" si="15"/>
      </c>
      <c r="AW228" s="3054"/>
      <c r="AX228" s="3054"/>
      <c r="AY228" s="3055"/>
      <c r="AZ228" s="3055"/>
      <c r="BA228" s="3055"/>
      <c r="BB228" s="3055"/>
      <c r="BC228" s="3055"/>
      <c r="BD228" s="3055"/>
      <c r="BE228" s="3055"/>
      <c r="BF228" s="3055"/>
      <c r="BG228" s="3055"/>
      <c r="BH228" s="3055"/>
      <c r="BI228" s="3055"/>
      <c r="BJ228" s="3055"/>
      <c r="BK228" s="3055"/>
      <c r="BL228" s="3056"/>
      <c r="BM228" s="3057">
        <f t="shared" si="16"/>
      </c>
      <c r="BN228" s="3054"/>
      <c r="BO228" s="3054"/>
      <c r="BP228" s="3055"/>
      <c r="BQ228" s="3055"/>
      <c r="BR228" s="3055"/>
      <c r="BS228" s="3055"/>
      <c r="BT228" s="3055"/>
      <c r="BU228" s="3055"/>
      <c r="BV228" s="3055"/>
      <c r="BW228" s="3055"/>
      <c r="BX228" s="3055"/>
      <c r="BY228" s="3055"/>
      <c r="BZ228" s="3055"/>
      <c r="CA228" s="3055"/>
      <c r="CB228" s="3055"/>
      <c r="CC228" s="3056"/>
      <c r="CD228" s="3057">
        <f t="shared" si="0"/>
      </c>
      <c r="CE228" s="3054"/>
      <c r="CF228" s="3054"/>
      <c r="CG228" s="3055"/>
      <c r="CH228" s="3055"/>
      <c r="CI228" s="3055"/>
      <c r="CJ228" s="3055"/>
      <c r="CK228" s="3055"/>
      <c r="CL228" s="3055"/>
      <c r="CM228" s="3055"/>
      <c r="CN228" s="3055"/>
      <c r="CO228" s="3055"/>
      <c r="CP228" s="3055"/>
      <c r="CQ228" s="3055"/>
      <c r="CR228" s="3055"/>
      <c r="CS228" s="3055"/>
      <c r="CU228" s="3054"/>
      <c r="CV228" s="696"/>
      <c r="CW228" s="696"/>
      <c r="CZ228" s="3060">
        <f t="shared" si="17"/>
      </c>
      <c r="DA228" s="3060">
        <f t="shared" si="1"/>
      </c>
      <c r="DB228" s="3060">
        <f t="shared" si="18"/>
      </c>
      <c r="DC228" s="3060">
        <f t="shared" si="19"/>
      </c>
      <c r="DD228" s="3060">
        <f t="shared" si="20"/>
      </c>
      <c r="DE228" s="3060">
        <f t="shared" si="21"/>
      </c>
      <c r="DF228" s="3060">
        <f t="shared" si="22"/>
      </c>
      <c r="DG228" s="3060">
        <f t="shared" si="23"/>
      </c>
      <c r="DH228" s="3060">
        <f t="shared" si="24"/>
      </c>
      <c r="DI228" s="3060">
        <f t="shared" si="1"/>
      </c>
    </row>
    <row r="229" ht="15" customHeight="1" s="3052" customFormat="1">
      <c r="A229" s="3065"/>
      <c r="B229" s="3054">
        <f t="shared" si="2"/>
      </c>
      <c r="C229" s="3054"/>
      <c r="D229" s="3054"/>
      <c r="E229" s="3055"/>
      <c r="F229" s="3055"/>
      <c r="G229" s="3055"/>
      <c r="H229" s="3055"/>
      <c r="I229" s="3055"/>
      <c r="J229" s="3055"/>
      <c r="K229" s="3055"/>
      <c r="L229" s="3055"/>
      <c r="M229" s="3055"/>
      <c r="N229" s="3055"/>
      <c r="O229" s="3055"/>
      <c r="P229" s="3055"/>
      <c r="Q229" s="3055"/>
      <c r="R229" s="3055">
        <f t="shared" si="3"/>
        <v>0</v>
      </c>
      <c r="S229" s="3055">
        <f t="shared" si="4"/>
        <v>0</v>
      </c>
      <c r="T229" s="3055">
        <f t="shared" si="5"/>
        <v>0</v>
      </c>
      <c r="U229" s="3055">
        <f t="shared" si="6"/>
        <v>0</v>
      </c>
      <c r="V229" s="3055">
        <f t="shared" si="7"/>
        <v>0</v>
      </c>
      <c r="W229" s="3055">
        <f t="shared" si="8"/>
        <v>0</v>
      </c>
      <c r="X229" s="3055">
        <f t="shared" si="9"/>
        <v>0</v>
      </c>
      <c r="Y229" s="3055">
        <f t="shared" si="10"/>
        <v>0</v>
      </c>
      <c r="Z229" s="3055">
        <f t="shared" si="11"/>
        <v>0</v>
      </c>
      <c r="AA229" s="3055">
        <f t="shared" si="12"/>
        <v>0</v>
      </c>
      <c r="AB229" s="3055">
        <f t="shared" si="13"/>
        <v>0</v>
      </c>
      <c r="AC229" s="3055">
        <f t="shared" si="14"/>
        <v>0</v>
      </c>
      <c r="AD229" s="3056"/>
      <c r="AE229" s="3057">
        <f t="shared" si="0"/>
      </c>
      <c r="AF229" s="3054"/>
      <c r="AG229" s="3054"/>
      <c r="AH229" s="3055"/>
      <c r="AI229" s="3055"/>
      <c r="AJ229" s="3055"/>
      <c r="AK229" s="3055"/>
      <c r="AL229" s="3055"/>
      <c r="AM229" s="3055"/>
      <c r="AN229" s="3055"/>
      <c r="AO229" s="3055"/>
      <c r="AP229" s="3055"/>
      <c r="AQ229" s="3055"/>
      <c r="AR229" s="3055"/>
      <c r="AS229" s="3055"/>
      <c r="AT229" s="3055"/>
      <c r="AU229" s="3056"/>
      <c r="AV229" s="3057">
        <f t="shared" si="15"/>
      </c>
      <c r="AW229" s="3054"/>
      <c r="AX229" s="3054"/>
      <c r="AY229" s="3055"/>
      <c r="AZ229" s="3055"/>
      <c r="BA229" s="3055"/>
      <c r="BB229" s="3055"/>
      <c r="BC229" s="3055"/>
      <c r="BD229" s="3055"/>
      <c r="BE229" s="3055"/>
      <c r="BF229" s="3055"/>
      <c r="BG229" s="3055"/>
      <c r="BH229" s="3055"/>
      <c r="BI229" s="3055"/>
      <c r="BJ229" s="3055"/>
      <c r="BK229" s="3055"/>
      <c r="BL229" s="3056"/>
      <c r="BM229" s="3057">
        <f t="shared" si="16"/>
      </c>
      <c r="BN229" s="3054"/>
      <c r="BO229" s="3054"/>
      <c r="BP229" s="3055"/>
      <c r="BQ229" s="3055"/>
      <c r="BR229" s="3055"/>
      <c r="BS229" s="3055"/>
      <c r="BT229" s="3055"/>
      <c r="BU229" s="3055"/>
      <c r="BV229" s="3055"/>
      <c r="BW229" s="3055"/>
      <c r="BX229" s="3055"/>
      <c r="BY229" s="3055"/>
      <c r="BZ229" s="3055"/>
      <c r="CA229" s="3055"/>
      <c r="CB229" s="3055"/>
      <c r="CC229" s="3056"/>
      <c r="CD229" s="3057">
        <f t="shared" si="0"/>
      </c>
      <c r="CE229" s="3054"/>
      <c r="CF229" s="3054"/>
      <c r="CG229" s="3055"/>
      <c r="CH229" s="3055"/>
      <c r="CI229" s="3055"/>
      <c r="CJ229" s="3055"/>
      <c r="CK229" s="3055"/>
      <c r="CL229" s="3055"/>
      <c r="CM229" s="3055"/>
      <c r="CN229" s="3055"/>
      <c r="CO229" s="3055"/>
      <c r="CP229" s="3055"/>
      <c r="CQ229" s="3055"/>
      <c r="CR229" s="3055"/>
      <c r="CS229" s="3055"/>
      <c r="CU229" s="3054"/>
      <c r="CV229" s="696"/>
      <c r="CW229" s="696"/>
      <c r="CZ229" s="3060">
        <f t="shared" si="17"/>
      </c>
      <c r="DA229" s="3060">
        <f t="shared" si="1"/>
      </c>
      <c r="DB229" s="3060">
        <f t="shared" si="18"/>
      </c>
      <c r="DC229" s="3060">
        <f t="shared" si="19"/>
      </c>
      <c r="DD229" s="3060">
        <f t="shared" si="20"/>
      </c>
      <c r="DE229" s="3060">
        <f t="shared" si="21"/>
      </c>
      <c r="DF229" s="3060">
        <f t="shared" si="22"/>
      </c>
      <c r="DG229" s="3060">
        <f t="shared" si="23"/>
      </c>
      <c r="DH229" s="3060">
        <f t="shared" si="24"/>
      </c>
      <c r="DI229" s="3060">
        <f t="shared" si="1"/>
      </c>
    </row>
    <row r="230" ht="15" customHeight="1" s="3052" customFormat="1">
      <c r="A230" s="3065"/>
      <c r="B230" s="3054">
        <f t="shared" si="2"/>
      </c>
      <c r="C230" s="3054"/>
      <c r="D230" s="3054"/>
      <c r="E230" s="3055"/>
      <c r="F230" s="3055"/>
      <c r="G230" s="3055"/>
      <c r="H230" s="3055"/>
      <c r="I230" s="3055"/>
      <c r="J230" s="3055"/>
      <c r="K230" s="3055"/>
      <c r="L230" s="3055"/>
      <c r="M230" s="3055"/>
      <c r="N230" s="3055"/>
      <c r="O230" s="3055"/>
      <c r="P230" s="3055"/>
      <c r="Q230" s="3055"/>
      <c r="R230" s="3055">
        <f t="shared" si="3"/>
        <v>0</v>
      </c>
      <c r="S230" s="3055">
        <f t="shared" si="4"/>
        <v>0</v>
      </c>
      <c r="T230" s="3055">
        <f t="shared" si="5"/>
        <v>0</v>
      </c>
      <c r="U230" s="3055">
        <f t="shared" si="6"/>
        <v>0</v>
      </c>
      <c r="V230" s="3055">
        <f t="shared" si="7"/>
        <v>0</v>
      </c>
      <c r="W230" s="3055">
        <f t="shared" si="8"/>
        <v>0</v>
      </c>
      <c r="X230" s="3055">
        <f t="shared" si="9"/>
        <v>0</v>
      </c>
      <c r="Y230" s="3055">
        <f t="shared" si="10"/>
        <v>0</v>
      </c>
      <c r="Z230" s="3055">
        <f t="shared" si="11"/>
        <v>0</v>
      </c>
      <c r="AA230" s="3055">
        <f t="shared" si="12"/>
        <v>0</v>
      </c>
      <c r="AB230" s="3055">
        <f t="shared" si="13"/>
        <v>0</v>
      </c>
      <c r="AC230" s="3055">
        <f t="shared" si="14"/>
        <v>0</v>
      </c>
      <c r="AD230" s="3056"/>
      <c r="AE230" s="3057">
        <f t="shared" si="0"/>
      </c>
      <c r="AF230" s="3054"/>
      <c r="AG230" s="3054"/>
      <c r="AH230" s="3055"/>
      <c r="AI230" s="3055"/>
      <c r="AJ230" s="3055"/>
      <c r="AK230" s="3055"/>
      <c r="AL230" s="3055"/>
      <c r="AM230" s="3055"/>
      <c r="AN230" s="3055"/>
      <c r="AO230" s="3055"/>
      <c r="AP230" s="3055"/>
      <c r="AQ230" s="3055"/>
      <c r="AR230" s="3055"/>
      <c r="AS230" s="3055"/>
      <c r="AT230" s="3055"/>
      <c r="AU230" s="3056"/>
      <c r="AV230" s="3057">
        <f t="shared" si="15"/>
      </c>
      <c r="AW230" s="3054"/>
      <c r="AX230" s="3054"/>
      <c r="AY230" s="3055"/>
      <c r="AZ230" s="3055"/>
      <c r="BA230" s="3055"/>
      <c r="BB230" s="3055"/>
      <c r="BC230" s="3055"/>
      <c r="BD230" s="3055"/>
      <c r="BE230" s="3055"/>
      <c r="BF230" s="3055"/>
      <c r="BG230" s="3055"/>
      <c r="BH230" s="3055"/>
      <c r="BI230" s="3055"/>
      <c r="BJ230" s="3055"/>
      <c r="BK230" s="3055"/>
      <c r="BL230" s="3056"/>
      <c r="BM230" s="3057">
        <f t="shared" si="16"/>
      </c>
      <c r="BN230" s="3054"/>
      <c r="BO230" s="3054"/>
      <c r="BP230" s="3055"/>
      <c r="BQ230" s="3055"/>
      <c r="BR230" s="3055"/>
      <c r="BS230" s="3055"/>
      <c r="BT230" s="3055"/>
      <c r="BU230" s="3055"/>
      <c r="BV230" s="3055"/>
      <c r="BW230" s="3055"/>
      <c r="BX230" s="3055"/>
      <c r="BY230" s="3055"/>
      <c r="BZ230" s="3055"/>
      <c r="CA230" s="3055"/>
      <c r="CB230" s="3055"/>
      <c r="CC230" s="3056"/>
      <c r="CD230" s="3057">
        <f t="shared" si="0"/>
      </c>
      <c r="CE230" s="3054"/>
      <c r="CF230" s="3054"/>
      <c r="CG230" s="3055"/>
      <c r="CH230" s="3055"/>
      <c r="CI230" s="3055"/>
      <c r="CJ230" s="3055"/>
      <c r="CK230" s="3055"/>
      <c r="CL230" s="3055"/>
      <c r="CM230" s="3055"/>
      <c r="CN230" s="3055"/>
      <c r="CO230" s="3055"/>
      <c r="CP230" s="3055"/>
      <c r="CQ230" s="3055"/>
      <c r="CR230" s="3055"/>
      <c r="CS230" s="3055"/>
      <c r="CU230" s="3054"/>
      <c r="CV230" s="696"/>
      <c r="CW230" s="696"/>
      <c r="CZ230" s="3060">
        <f t="shared" si="17"/>
      </c>
      <c r="DA230" s="3060">
        <f t="shared" si="1"/>
      </c>
      <c r="DB230" s="3060">
        <f t="shared" si="18"/>
      </c>
      <c r="DC230" s="3060">
        <f t="shared" si="19"/>
      </c>
      <c r="DD230" s="3060">
        <f t="shared" si="20"/>
      </c>
      <c r="DE230" s="3060">
        <f t="shared" si="21"/>
      </c>
      <c r="DF230" s="3060">
        <f t="shared" si="22"/>
      </c>
      <c r="DG230" s="3060">
        <f t="shared" si="23"/>
      </c>
      <c r="DH230" s="3060">
        <f t="shared" si="24"/>
      </c>
      <c r="DI230" s="3060">
        <f t="shared" si="1"/>
      </c>
    </row>
    <row r="231" ht="15" customHeight="1" s="3052" customFormat="1">
      <c r="A231" s="3065"/>
      <c r="B231" s="3054">
        <f t="shared" si="2"/>
      </c>
      <c r="C231" s="3054"/>
      <c r="D231" s="3054"/>
      <c r="E231" s="3055"/>
      <c r="F231" s="3055"/>
      <c r="G231" s="3055"/>
      <c r="H231" s="3055"/>
      <c r="I231" s="3055"/>
      <c r="J231" s="3055"/>
      <c r="K231" s="3055"/>
      <c r="L231" s="3055"/>
      <c r="M231" s="3055"/>
      <c r="N231" s="3055"/>
      <c r="O231" s="3055"/>
      <c r="P231" s="3055"/>
      <c r="Q231" s="3055"/>
      <c r="R231" s="3055">
        <f t="shared" si="3"/>
        <v>0</v>
      </c>
      <c r="S231" s="3055">
        <f t="shared" si="4"/>
        <v>0</v>
      </c>
      <c r="T231" s="3055">
        <f t="shared" si="5"/>
        <v>0</v>
      </c>
      <c r="U231" s="3055">
        <f t="shared" si="6"/>
        <v>0</v>
      </c>
      <c r="V231" s="3055">
        <f t="shared" si="7"/>
        <v>0</v>
      </c>
      <c r="W231" s="3055">
        <f t="shared" si="8"/>
        <v>0</v>
      </c>
      <c r="X231" s="3055">
        <f t="shared" si="9"/>
        <v>0</v>
      </c>
      <c r="Y231" s="3055">
        <f t="shared" si="10"/>
        <v>0</v>
      </c>
      <c r="Z231" s="3055">
        <f t="shared" si="11"/>
        <v>0</v>
      </c>
      <c r="AA231" s="3055">
        <f t="shared" si="12"/>
        <v>0</v>
      </c>
      <c r="AB231" s="3055">
        <f t="shared" si="13"/>
        <v>0</v>
      </c>
      <c r="AC231" s="3055">
        <f t="shared" si="14"/>
        <v>0</v>
      </c>
      <c r="AD231" s="3056"/>
      <c r="AE231" s="3057">
        <f t="shared" si="0"/>
      </c>
      <c r="AF231" s="3054"/>
      <c r="AG231" s="3054"/>
      <c r="AH231" s="3055"/>
      <c r="AI231" s="3055"/>
      <c r="AJ231" s="3055"/>
      <c r="AK231" s="3055"/>
      <c r="AL231" s="3055"/>
      <c r="AM231" s="3055"/>
      <c r="AN231" s="3055"/>
      <c r="AO231" s="3055"/>
      <c r="AP231" s="3055"/>
      <c r="AQ231" s="3055"/>
      <c r="AR231" s="3055"/>
      <c r="AS231" s="3055"/>
      <c r="AT231" s="3055"/>
      <c r="AU231" s="3056"/>
      <c r="AV231" s="3057">
        <f t="shared" si="15"/>
      </c>
      <c r="AW231" s="3054"/>
      <c r="AX231" s="3054"/>
      <c r="AY231" s="3055"/>
      <c r="AZ231" s="3055"/>
      <c r="BA231" s="3055"/>
      <c r="BB231" s="3055"/>
      <c r="BC231" s="3055"/>
      <c r="BD231" s="3055"/>
      <c r="BE231" s="3055"/>
      <c r="BF231" s="3055"/>
      <c r="BG231" s="3055"/>
      <c r="BH231" s="3055"/>
      <c r="BI231" s="3055"/>
      <c r="BJ231" s="3055"/>
      <c r="BK231" s="3055"/>
      <c r="BL231" s="3056"/>
      <c r="BM231" s="3057">
        <f t="shared" si="16"/>
      </c>
      <c r="BN231" s="3054"/>
      <c r="BO231" s="3054"/>
      <c r="BP231" s="3055"/>
      <c r="BQ231" s="3055"/>
      <c r="BR231" s="3055"/>
      <c r="BS231" s="3055"/>
      <c r="BT231" s="3055"/>
      <c r="BU231" s="3055"/>
      <c r="BV231" s="3055"/>
      <c r="BW231" s="3055"/>
      <c r="BX231" s="3055"/>
      <c r="BY231" s="3055"/>
      <c r="BZ231" s="3055"/>
      <c r="CA231" s="3055"/>
      <c r="CB231" s="3055"/>
      <c r="CC231" s="3056"/>
      <c r="CD231" s="3057">
        <f t="shared" si="0"/>
      </c>
      <c r="CE231" s="3054"/>
      <c r="CF231" s="3054"/>
      <c r="CG231" s="3055"/>
      <c r="CH231" s="3055"/>
      <c r="CI231" s="3055"/>
      <c r="CJ231" s="3055"/>
      <c r="CK231" s="3055"/>
      <c r="CL231" s="3055"/>
      <c r="CM231" s="3055"/>
      <c r="CN231" s="3055"/>
      <c r="CO231" s="3055"/>
      <c r="CP231" s="3055"/>
      <c r="CQ231" s="3055"/>
      <c r="CR231" s="3055"/>
      <c r="CS231" s="3055"/>
      <c r="CU231" s="3054"/>
      <c r="CV231" s="696"/>
      <c r="CW231" s="696"/>
      <c r="CZ231" s="3060">
        <f t="shared" si="17"/>
      </c>
      <c r="DA231" s="3060">
        <f t="shared" si="1"/>
      </c>
      <c r="DB231" s="3060">
        <f t="shared" si="18"/>
      </c>
      <c r="DC231" s="3060">
        <f t="shared" si="19"/>
      </c>
      <c r="DD231" s="3060">
        <f t="shared" si="20"/>
      </c>
      <c r="DE231" s="3060">
        <f t="shared" si="21"/>
      </c>
      <c r="DF231" s="3060">
        <f t="shared" si="22"/>
      </c>
      <c r="DG231" s="3060">
        <f t="shared" si="23"/>
      </c>
      <c r="DH231" s="3060">
        <f t="shared" si="24"/>
      </c>
      <c r="DI231" s="3060">
        <f t="shared" si="1"/>
      </c>
    </row>
    <row r="232" ht="15" customHeight="1" s="3052" customFormat="1">
      <c r="A232" s="3065"/>
      <c r="B232" s="3054">
        <f t="shared" si="2"/>
      </c>
      <c r="C232" s="3054"/>
      <c r="D232" s="3054"/>
      <c r="E232" s="3055"/>
      <c r="F232" s="3055"/>
      <c r="G232" s="3055"/>
      <c r="H232" s="3055"/>
      <c r="I232" s="3055"/>
      <c r="J232" s="3055"/>
      <c r="K232" s="3055"/>
      <c r="L232" s="3055"/>
      <c r="M232" s="3055"/>
      <c r="N232" s="3055"/>
      <c r="O232" s="3055"/>
      <c r="P232" s="3055"/>
      <c r="Q232" s="3055"/>
      <c r="R232" s="3055">
        <f t="shared" si="3"/>
        <v>0</v>
      </c>
      <c r="S232" s="3055">
        <f t="shared" si="4"/>
        <v>0</v>
      </c>
      <c r="T232" s="3055">
        <f t="shared" si="5"/>
        <v>0</v>
      </c>
      <c r="U232" s="3055">
        <f t="shared" si="6"/>
        <v>0</v>
      </c>
      <c r="V232" s="3055">
        <f t="shared" si="7"/>
        <v>0</v>
      </c>
      <c r="W232" s="3055">
        <f t="shared" si="8"/>
        <v>0</v>
      </c>
      <c r="X232" s="3055">
        <f t="shared" si="9"/>
        <v>0</v>
      </c>
      <c r="Y232" s="3055">
        <f t="shared" si="10"/>
        <v>0</v>
      </c>
      <c r="Z232" s="3055">
        <f t="shared" si="11"/>
        <v>0</v>
      </c>
      <c r="AA232" s="3055">
        <f t="shared" si="12"/>
        <v>0</v>
      </c>
      <c r="AB232" s="3055">
        <f t="shared" si="13"/>
        <v>0</v>
      </c>
      <c r="AC232" s="3055">
        <f t="shared" si="14"/>
        <v>0</v>
      </c>
      <c r="AD232" s="3056"/>
      <c r="AE232" s="3057">
        <f t="shared" si="0"/>
      </c>
      <c r="AF232" s="3054"/>
      <c r="AG232" s="3054"/>
      <c r="AH232" s="3055"/>
      <c r="AI232" s="3055"/>
      <c r="AJ232" s="3055"/>
      <c r="AK232" s="3055"/>
      <c r="AL232" s="3055"/>
      <c r="AM232" s="3055"/>
      <c r="AN232" s="3055"/>
      <c r="AO232" s="3055"/>
      <c r="AP232" s="3055"/>
      <c r="AQ232" s="3055"/>
      <c r="AR232" s="3055"/>
      <c r="AS232" s="3055"/>
      <c r="AT232" s="3055"/>
      <c r="AU232" s="3056"/>
      <c r="AV232" s="3057">
        <f t="shared" si="15"/>
      </c>
      <c r="AW232" s="3054"/>
      <c r="AX232" s="3054"/>
      <c r="AY232" s="3055"/>
      <c r="AZ232" s="3055"/>
      <c r="BA232" s="3055"/>
      <c r="BB232" s="3055"/>
      <c r="BC232" s="3055"/>
      <c r="BD232" s="3055"/>
      <c r="BE232" s="3055"/>
      <c r="BF232" s="3055"/>
      <c r="BG232" s="3055"/>
      <c r="BH232" s="3055"/>
      <c r="BI232" s="3055"/>
      <c r="BJ232" s="3055"/>
      <c r="BK232" s="3055"/>
      <c r="BL232" s="3056"/>
      <c r="BM232" s="3057">
        <f t="shared" si="16"/>
      </c>
      <c r="BN232" s="3054"/>
      <c r="BO232" s="3054"/>
      <c r="BP232" s="3055"/>
      <c r="BQ232" s="3055"/>
      <c r="BR232" s="3055"/>
      <c r="BS232" s="3055"/>
      <c r="BT232" s="3055"/>
      <c r="BU232" s="3055"/>
      <c r="BV232" s="3055"/>
      <c r="BW232" s="3055"/>
      <c r="BX232" s="3055"/>
      <c r="BY232" s="3055"/>
      <c r="BZ232" s="3055"/>
      <c r="CA232" s="3055"/>
      <c r="CB232" s="3055"/>
      <c r="CC232" s="3056"/>
      <c r="CD232" s="3057">
        <f t="shared" si="0"/>
      </c>
      <c r="CE232" s="3054"/>
      <c r="CF232" s="3054"/>
      <c r="CG232" s="3055"/>
      <c r="CH232" s="3055"/>
      <c r="CI232" s="3055"/>
      <c r="CJ232" s="3055"/>
      <c r="CK232" s="3055"/>
      <c r="CL232" s="3055"/>
      <c r="CM232" s="3055"/>
      <c r="CN232" s="3055"/>
      <c r="CO232" s="3055"/>
      <c r="CP232" s="3055"/>
      <c r="CQ232" s="3055"/>
      <c r="CR232" s="3055"/>
      <c r="CS232" s="3055"/>
      <c r="CU232" s="3054"/>
      <c r="CV232" s="696"/>
      <c r="CW232" s="696"/>
      <c r="CZ232" s="3060">
        <f t="shared" si="17"/>
      </c>
      <c r="DA232" s="3060">
        <f t="shared" si="1"/>
      </c>
      <c r="DB232" s="3060">
        <f t="shared" si="18"/>
      </c>
      <c r="DC232" s="3060">
        <f t="shared" si="19"/>
      </c>
      <c r="DD232" s="3060">
        <f t="shared" si="20"/>
      </c>
      <c r="DE232" s="3060">
        <f t="shared" si="21"/>
      </c>
      <c r="DF232" s="3060">
        <f t="shared" si="22"/>
      </c>
      <c r="DG232" s="3060">
        <f t="shared" si="23"/>
      </c>
      <c r="DH232" s="3060">
        <f t="shared" si="24"/>
      </c>
      <c r="DI232" s="3060">
        <f t="shared" si="1"/>
      </c>
    </row>
    <row r="233" ht="15" customHeight="1" s="3052" customFormat="1">
      <c r="A233" s="3065"/>
      <c r="B233" s="3054">
        <f t="shared" si="2"/>
      </c>
      <c r="C233" s="3054"/>
      <c r="D233" s="3054"/>
      <c r="E233" s="3055"/>
      <c r="F233" s="3055"/>
      <c r="G233" s="3055"/>
      <c r="H233" s="3055"/>
      <c r="I233" s="3055"/>
      <c r="J233" s="3055"/>
      <c r="K233" s="3055"/>
      <c r="L233" s="3055"/>
      <c r="M233" s="3055"/>
      <c r="N233" s="3055"/>
      <c r="O233" s="3055"/>
      <c r="P233" s="3055"/>
      <c r="Q233" s="3055"/>
      <c r="R233" s="3055">
        <f t="shared" si="3"/>
        <v>0</v>
      </c>
      <c r="S233" s="3055">
        <f t="shared" si="4"/>
        <v>0</v>
      </c>
      <c r="T233" s="3055">
        <f t="shared" si="5"/>
        <v>0</v>
      </c>
      <c r="U233" s="3055">
        <f t="shared" si="6"/>
        <v>0</v>
      </c>
      <c r="V233" s="3055">
        <f t="shared" si="7"/>
        <v>0</v>
      </c>
      <c r="W233" s="3055">
        <f t="shared" si="8"/>
        <v>0</v>
      </c>
      <c r="X233" s="3055">
        <f t="shared" si="9"/>
        <v>0</v>
      </c>
      <c r="Y233" s="3055">
        <f t="shared" si="10"/>
        <v>0</v>
      </c>
      <c r="Z233" s="3055">
        <f t="shared" si="11"/>
        <v>0</v>
      </c>
      <c r="AA233" s="3055">
        <f t="shared" si="12"/>
        <v>0</v>
      </c>
      <c r="AB233" s="3055">
        <f t="shared" si="13"/>
        <v>0</v>
      </c>
      <c r="AC233" s="3055">
        <f t="shared" si="14"/>
        <v>0</v>
      </c>
      <c r="AD233" s="3056"/>
      <c r="AE233" s="3057">
        <f t="shared" si="0"/>
      </c>
      <c r="AF233" s="3054"/>
      <c r="AG233" s="3054"/>
      <c r="AH233" s="3055"/>
      <c r="AI233" s="3055"/>
      <c r="AJ233" s="3055"/>
      <c r="AK233" s="3055"/>
      <c r="AL233" s="3055"/>
      <c r="AM233" s="3055"/>
      <c r="AN233" s="3055"/>
      <c r="AO233" s="3055"/>
      <c r="AP233" s="3055"/>
      <c r="AQ233" s="3055"/>
      <c r="AR233" s="3055"/>
      <c r="AS233" s="3055"/>
      <c r="AT233" s="3055"/>
      <c r="AU233" s="3056"/>
      <c r="AV233" s="3057">
        <f t="shared" si="15"/>
      </c>
      <c r="AW233" s="3054"/>
      <c r="AX233" s="3054"/>
      <c r="AY233" s="3055"/>
      <c r="AZ233" s="3055"/>
      <c r="BA233" s="3055"/>
      <c r="BB233" s="3055"/>
      <c r="BC233" s="3055"/>
      <c r="BD233" s="3055"/>
      <c r="BE233" s="3055"/>
      <c r="BF233" s="3055"/>
      <c r="BG233" s="3055"/>
      <c r="BH233" s="3055"/>
      <c r="BI233" s="3055"/>
      <c r="BJ233" s="3055"/>
      <c r="BK233" s="3055"/>
      <c r="BL233" s="3056"/>
      <c r="BM233" s="3057">
        <f t="shared" si="16"/>
      </c>
      <c r="BN233" s="3054"/>
      <c r="BO233" s="3054"/>
      <c r="BP233" s="3055"/>
      <c r="BQ233" s="3055"/>
      <c r="BR233" s="3055"/>
      <c r="BS233" s="3055"/>
      <c r="BT233" s="3055"/>
      <c r="BU233" s="3055"/>
      <c r="BV233" s="3055"/>
      <c r="BW233" s="3055"/>
      <c r="BX233" s="3055"/>
      <c r="BY233" s="3055"/>
      <c r="BZ233" s="3055"/>
      <c r="CA233" s="3055"/>
      <c r="CB233" s="3055"/>
      <c r="CC233" s="3056"/>
      <c r="CD233" s="3057">
        <f t="shared" si="0"/>
      </c>
      <c r="CE233" s="3054"/>
      <c r="CF233" s="3054"/>
      <c r="CG233" s="3055"/>
      <c r="CH233" s="3055"/>
      <c r="CI233" s="3055"/>
      <c r="CJ233" s="3055"/>
      <c r="CK233" s="3055"/>
      <c r="CL233" s="3055"/>
      <c r="CM233" s="3055"/>
      <c r="CN233" s="3055"/>
      <c r="CO233" s="3055"/>
      <c r="CP233" s="3055"/>
      <c r="CQ233" s="3055"/>
      <c r="CR233" s="3055"/>
      <c r="CS233" s="3055"/>
      <c r="CU233" s="3054"/>
      <c r="CV233" s="696"/>
      <c r="CW233" s="696"/>
      <c r="CZ233" s="3060">
        <f t="shared" si="17"/>
      </c>
      <c r="DA233" s="3060">
        <f t="shared" si="1"/>
      </c>
      <c r="DB233" s="3060">
        <f t="shared" si="18"/>
      </c>
      <c r="DC233" s="3060">
        <f t="shared" si="19"/>
      </c>
      <c r="DD233" s="3060">
        <f t="shared" si="20"/>
      </c>
      <c r="DE233" s="3060">
        <f t="shared" si="21"/>
      </c>
      <c r="DF233" s="3060">
        <f t="shared" si="22"/>
      </c>
      <c r="DG233" s="3060">
        <f t="shared" si="23"/>
      </c>
      <c r="DH233" s="3060">
        <f t="shared" si="24"/>
      </c>
      <c r="DI233" s="3060">
        <f t="shared" si="1"/>
      </c>
    </row>
    <row r="234" ht="15" customHeight="1" s="3052" customFormat="1">
      <c r="A234" s="3065"/>
      <c r="B234" s="3054">
        <f t="shared" si="2"/>
      </c>
      <c r="C234" s="3054"/>
      <c r="D234" s="3054"/>
      <c r="E234" s="3055"/>
      <c r="F234" s="3055"/>
      <c r="G234" s="3055"/>
      <c r="H234" s="3055"/>
      <c r="I234" s="3055"/>
      <c r="J234" s="3055"/>
      <c r="K234" s="3055"/>
      <c r="L234" s="3055"/>
      <c r="M234" s="3055"/>
      <c r="N234" s="3055"/>
      <c r="O234" s="3055"/>
      <c r="P234" s="3055"/>
      <c r="Q234" s="3055"/>
      <c r="R234" s="3055">
        <f t="shared" si="3"/>
        <v>0</v>
      </c>
      <c r="S234" s="3055">
        <f t="shared" si="4"/>
        <v>0</v>
      </c>
      <c r="T234" s="3055">
        <f t="shared" si="5"/>
        <v>0</v>
      </c>
      <c r="U234" s="3055">
        <f t="shared" si="6"/>
        <v>0</v>
      </c>
      <c r="V234" s="3055">
        <f t="shared" si="7"/>
        <v>0</v>
      </c>
      <c r="W234" s="3055">
        <f t="shared" si="8"/>
        <v>0</v>
      </c>
      <c r="X234" s="3055">
        <f t="shared" si="9"/>
        <v>0</v>
      </c>
      <c r="Y234" s="3055">
        <f t="shared" si="10"/>
        <v>0</v>
      </c>
      <c r="Z234" s="3055">
        <f t="shared" si="11"/>
        <v>0</v>
      </c>
      <c r="AA234" s="3055">
        <f t="shared" si="12"/>
        <v>0</v>
      </c>
      <c r="AB234" s="3055">
        <f t="shared" si="13"/>
        <v>0</v>
      </c>
      <c r="AC234" s="3055">
        <f t="shared" si="14"/>
        <v>0</v>
      </c>
      <c r="AD234" s="3056"/>
      <c r="AE234" s="3057">
        <f t="shared" si="0"/>
      </c>
      <c r="AF234" s="3054"/>
      <c r="AG234" s="3054"/>
      <c r="AH234" s="3055"/>
      <c r="AI234" s="3055"/>
      <c r="AJ234" s="3055"/>
      <c r="AK234" s="3055"/>
      <c r="AL234" s="3055"/>
      <c r="AM234" s="3055"/>
      <c r="AN234" s="3055"/>
      <c r="AO234" s="3055"/>
      <c r="AP234" s="3055"/>
      <c r="AQ234" s="3055"/>
      <c r="AR234" s="3055"/>
      <c r="AS234" s="3055"/>
      <c r="AT234" s="3055"/>
      <c r="AU234" s="3056"/>
      <c r="AV234" s="3057">
        <f t="shared" si="15"/>
      </c>
      <c r="AW234" s="3054"/>
      <c r="AX234" s="3054"/>
      <c r="AY234" s="3055"/>
      <c r="AZ234" s="3055"/>
      <c r="BA234" s="3055"/>
      <c r="BB234" s="3055"/>
      <c r="BC234" s="3055"/>
      <c r="BD234" s="3055"/>
      <c r="BE234" s="3055"/>
      <c r="BF234" s="3055"/>
      <c r="BG234" s="3055"/>
      <c r="BH234" s="3055"/>
      <c r="BI234" s="3055"/>
      <c r="BJ234" s="3055"/>
      <c r="BK234" s="3055"/>
      <c r="BL234" s="3056"/>
      <c r="BM234" s="3057">
        <f t="shared" si="16"/>
      </c>
      <c r="BN234" s="3054"/>
      <c r="BO234" s="3054"/>
      <c r="BP234" s="3055"/>
      <c r="BQ234" s="3055"/>
      <c r="BR234" s="3055"/>
      <c r="BS234" s="3055"/>
      <c r="BT234" s="3055"/>
      <c r="BU234" s="3055"/>
      <c r="BV234" s="3055"/>
      <c r="BW234" s="3055"/>
      <c r="BX234" s="3055"/>
      <c r="BY234" s="3055"/>
      <c r="BZ234" s="3055"/>
      <c r="CA234" s="3055"/>
      <c r="CB234" s="3055"/>
      <c r="CC234" s="3056"/>
      <c r="CD234" s="3057">
        <f t="shared" si="0"/>
      </c>
      <c r="CE234" s="3054"/>
      <c r="CF234" s="3054"/>
      <c r="CG234" s="3055"/>
      <c r="CH234" s="3055"/>
      <c r="CI234" s="3055"/>
      <c r="CJ234" s="3055"/>
      <c r="CK234" s="3055"/>
      <c r="CL234" s="3055"/>
      <c r="CM234" s="3055"/>
      <c r="CN234" s="3055"/>
      <c r="CO234" s="3055"/>
      <c r="CP234" s="3055"/>
      <c r="CQ234" s="3055"/>
      <c r="CR234" s="3055"/>
      <c r="CS234" s="3055"/>
      <c r="CU234" s="3054"/>
      <c r="CV234" s="696"/>
      <c r="CW234" s="696"/>
      <c r="CZ234" s="3060">
        <f t="shared" si="17"/>
      </c>
      <c r="DA234" s="3060">
        <f t="shared" si="1"/>
      </c>
      <c r="DB234" s="3060">
        <f t="shared" si="18"/>
      </c>
      <c r="DC234" s="3060">
        <f t="shared" si="19"/>
      </c>
      <c r="DD234" s="3060">
        <f t="shared" si="20"/>
      </c>
      <c r="DE234" s="3060">
        <f t="shared" si="21"/>
      </c>
      <c r="DF234" s="3060">
        <f t="shared" si="22"/>
      </c>
      <c r="DG234" s="3060">
        <f t="shared" si="23"/>
      </c>
      <c r="DH234" s="3060">
        <f t="shared" si="24"/>
      </c>
      <c r="DI234" s="3060">
        <f t="shared" si="1"/>
      </c>
    </row>
    <row r="235" ht="15" customHeight="1" s="3052" customFormat="1">
      <c r="A235" s="3065"/>
      <c r="B235" s="3054">
        <f t="shared" si="2"/>
      </c>
      <c r="C235" s="3054"/>
      <c r="D235" s="3054"/>
      <c r="E235" s="3055"/>
      <c r="F235" s="3055"/>
      <c r="G235" s="3055"/>
      <c r="H235" s="3055"/>
      <c r="I235" s="3055"/>
      <c r="J235" s="3055"/>
      <c r="K235" s="3055"/>
      <c r="L235" s="3055"/>
      <c r="M235" s="3055"/>
      <c r="N235" s="3055"/>
      <c r="O235" s="3055"/>
      <c r="P235" s="3055"/>
      <c r="Q235" s="3055"/>
      <c r="R235" s="3055">
        <f t="shared" si="3"/>
        <v>0</v>
      </c>
      <c r="S235" s="3055">
        <f t="shared" si="4"/>
        <v>0</v>
      </c>
      <c r="T235" s="3055">
        <f t="shared" si="5"/>
        <v>0</v>
      </c>
      <c r="U235" s="3055">
        <f t="shared" si="6"/>
        <v>0</v>
      </c>
      <c r="V235" s="3055">
        <f t="shared" si="7"/>
        <v>0</v>
      </c>
      <c r="W235" s="3055">
        <f t="shared" si="8"/>
        <v>0</v>
      </c>
      <c r="X235" s="3055">
        <f t="shared" si="9"/>
        <v>0</v>
      </c>
      <c r="Y235" s="3055">
        <f t="shared" si="10"/>
        <v>0</v>
      </c>
      <c r="Z235" s="3055">
        <f t="shared" si="11"/>
        <v>0</v>
      </c>
      <c r="AA235" s="3055">
        <f t="shared" si="12"/>
        <v>0</v>
      </c>
      <c r="AB235" s="3055">
        <f t="shared" si="13"/>
        <v>0</v>
      </c>
      <c r="AC235" s="3055">
        <f t="shared" si="14"/>
        <v>0</v>
      </c>
      <c r="AD235" s="3056"/>
      <c r="AE235" s="3057">
        <f t="shared" si="0"/>
      </c>
      <c r="AF235" s="3054"/>
      <c r="AG235" s="3054"/>
      <c r="AH235" s="3055"/>
      <c r="AI235" s="3055"/>
      <c r="AJ235" s="3055"/>
      <c r="AK235" s="3055"/>
      <c r="AL235" s="3055"/>
      <c r="AM235" s="3055"/>
      <c r="AN235" s="3055"/>
      <c r="AO235" s="3055"/>
      <c r="AP235" s="3055"/>
      <c r="AQ235" s="3055"/>
      <c r="AR235" s="3055"/>
      <c r="AS235" s="3055"/>
      <c r="AT235" s="3055"/>
      <c r="AU235" s="3056"/>
      <c r="AV235" s="3057">
        <f t="shared" si="15"/>
      </c>
      <c r="AW235" s="3054"/>
      <c r="AX235" s="3054"/>
      <c r="AY235" s="3055"/>
      <c r="AZ235" s="3055"/>
      <c r="BA235" s="3055"/>
      <c r="BB235" s="3055"/>
      <c r="BC235" s="3055"/>
      <c r="BD235" s="3055"/>
      <c r="BE235" s="3055"/>
      <c r="BF235" s="3055"/>
      <c r="BG235" s="3055"/>
      <c r="BH235" s="3055"/>
      <c r="BI235" s="3055"/>
      <c r="BJ235" s="3055"/>
      <c r="BK235" s="3055"/>
      <c r="BL235" s="3056"/>
      <c r="BM235" s="3057">
        <f t="shared" si="16"/>
      </c>
      <c r="BN235" s="3054"/>
      <c r="BO235" s="3054"/>
      <c r="BP235" s="3055"/>
      <c r="BQ235" s="3055"/>
      <c r="BR235" s="3055"/>
      <c r="BS235" s="3055"/>
      <c r="BT235" s="3055"/>
      <c r="BU235" s="3055"/>
      <c r="BV235" s="3055"/>
      <c r="BW235" s="3055"/>
      <c r="BX235" s="3055"/>
      <c r="BY235" s="3055"/>
      <c r="BZ235" s="3055"/>
      <c r="CA235" s="3055"/>
      <c r="CB235" s="3055"/>
      <c r="CC235" s="3056"/>
      <c r="CD235" s="3057">
        <f t="shared" si="0"/>
      </c>
      <c r="CE235" s="3054"/>
      <c r="CF235" s="3054"/>
      <c r="CG235" s="3055"/>
      <c r="CH235" s="3055"/>
      <c r="CI235" s="3055"/>
      <c r="CJ235" s="3055"/>
      <c r="CK235" s="3055"/>
      <c r="CL235" s="3055"/>
      <c r="CM235" s="3055"/>
      <c r="CN235" s="3055"/>
      <c r="CO235" s="3055"/>
      <c r="CP235" s="3055"/>
      <c r="CQ235" s="3055"/>
      <c r="CR235" s="3055"/>
      <c r="CS235" s="3055"/>
      <c r="CU235" s="3054"/>
      <c r="CV235" s="696"/>
      <c r="CW235" s="696"/>
      <c r="CZ235" s="3060">
        <f t="shared" si="17"/>
      </c>
      <c r="DA235" s="3060">
        <f t="shared" si="1"/>
      </c>
      <c r="DB235" s="3060">
        <f t="shared" si="18"/>
      </c>
      <c r="DC235" s="3060">
        <f t="shared" si="19"/>
      </c>
      <c r="DD235" s="3060">
        <f t="shared" si="20"/>
      </c>
      <c r="DE235" s="3060">
        <f t="shared" si="21"/>
      </c>
      <c r="DF235" s="3060">
        <f t="shared" si="22"/>
      </c>
      <c r="DG235" s="3060">
        <f t="shared" si="23"/>
      </c>
      <c r="DH235" s="3060">
        <f t="shared" si="24"/>
      </c>
      <c r="DI235" s="3060">
        <f t="shared" si="1"/>
      </c>
    </row>
    <row r="236" ht="15" customHeight="1" s="3052" customFormat="1">
      <c r="A236" s="3065"/>
      <c r="B236" s="3054">
        <f t="shared" si="2"/>
      </c>
      <c r="C236" s="3054"/>
      <c r="D236" s="3054"/>
      <c r="E236" s="3055"/>
      <c r="F236" s="3055"/>
      <c r="G236" s="3055"/>
      <c r="H236" s="3055"/>
      <c r="I236" s="3055"/>
      <c r="J236" s="3055"/>
      <c r="K236" s="3055"/>
      <c r="L236" s="3055"/>
      <c r="M236" s="3055"/>
      <c r="N236" s="3055"/>
      <c r="O236" s="3055"/>
      <c r="P236" s="3055"/>
      <c r="Q236" s="3055"/>
      <c r="R236" s="3055">
        <f t="shared" si="3"/>
        <v>0</v>
      </c>
      <c r="S236" s="3055">
        <f t="shared" si="4"/>
        <v>0</v>
      </c>
      <c r="T236" s="3055">
        <f t="shared" si="5"/>
        <v>0</v>
      </c>
      <c r="U236" s="3055">
        <f t="shared" si="6"/>
        <v>0</v>
      </c>
      <c r="V236" s="3055">
        <f t="shared" si="7"/>
        <v>0</v>
      </c>
      <c r="W236" s="3055">
        <f t="shared" si="8"/>
        <v>0</v>
      </c>
      <c r="X236" s="3055">
        <f t="shared" si="9"/>
        <v>0</v>
      </c>
      <c r="Y236" s="3055">
        <f t="shared" si="10"/>
        <v>0</v>
      </c>
      <c r="Z236" s="3055">
        <f t="shared" si="11"/>
        <v>0</v>
      </c>
      <c r="AA236" s="3055">
        <f t="shared" si="12"/>
        <v>0</v>
      </c>
      <c r="AB236" s="3055">
        <f t="shared" si="13"/>
        <v>0</v>
      </c>
      <c r="AC236" s="3055">
        <f t="shared" si="14"/>
        <v>0</v>
      </c>
      <c r="AD236" s="3056"/>
      <c r="AE236" s="3057">
        <f t="shared" si="0"/>
      </c>
      <c r="AF236" s="3054"/>
      <c r="AG236" s="3054"/>
      <c r="AH236" s="3055"/>
      <c r="AI236" s="3055"/>
      <c r="AJ236" s="3055"/>
      <c r="AK236" s="3055"/>
      <c r="AL236" s="3055"/>
      <c r="AM236" s="3055"/>
      <c r="AN236" s="3055"/>
      <c r="AO236" s="3055"/>
      <c r="AP236" s="3055"/>
      <c r="AQ236" s="3055"/>
      <c r="AR236" s="3055"/>
      <c r="AS236" s="3055"/>
      <c r="AT236" s="3055"/>
      <c r="AU236" s="3056"/>
      <c r="AV236" s="3057">
        <f t="shared" si="15"/>
      </c>
      <c r="AW236" s="3054"/>
      <c r="AX236" s="3054"/>
      <c r="AY236" s="3055"/>
      <c r="AZ236" s="3055"/>
      <c r="BA236" s="3055"/>
      <c r="BB236" s="3055"/>
      <c r="BC236" s="3055"/>
      <c r="BD236" s="3055"/>
      <c r="BE236" s="3055"/>
      <c r="BF236" s="3055"/>
      <c r="BG236" s="3055"/>
      <c r="BH236" s="3055"/>
      <c r="BI236" s="3055"/>
      <c r="BJ236" s="3055"/>
      <c r="BK236" s="3055"/>
      <c r="BL236" s="3056"/>
      <c r="BM236" s="3057">
        <f t="shared" si="16"/>
      </c>
      <c r="BN236" s="3054"/>
      <c r="BO236" s="3054"/>
      <c r="BP236" s="3055"/>
      <c r="BQ236" s="3055"/>
      <c r="BR236" s="3055"/>
      <c r="BS236" s="3055"/>
      <c r="BT236" s="3055"/>
      <c r="BU236" s="3055"/>
      <c r="BV236" s="3055"/>
      <c r="BW236" s="3055"/>
      <c r="BX236" s="3055"/>
      <c r="BY236" s="3055"/>
      <c r="BZ236" s="3055"/>
      <c r="CA236" s="3055"/>
      <c r="CB236" s="3055"/>
      <c r="CC236" s="3056"/>
      <c r="CD236" s="3057">
        <f t="shared" si="0"/>
      </c>
      <c r="CE236" s="3054"/>
      <c r="CF236" s="3054"/>
      <c r="CG236" s="3055"/>
      <c r="CH236" s="3055"/>
      <c r="CI236" s="3055"/>
      <c r="CJ236" s="3055"/>
      <c r="CK236" s="3055"/>
      <c r="CL236" s="3055"/>
      <c r="CM236" s="3055"/>
      <c r="CN236" s="3055"/>
      <c r="CO236" s="3055"/>
      <c r="CP236" s="3055"/>
      <c r="CQ236" s="3055"/>
      <c r="CR236" s="3055"/>
      <c r="CS236" s="3055"/>
      <c r="CU236" s="3054"/>
      <c r="CV236" s="696"/>
      <c r="CW236" s="696"/>
      <c r="CZ236" s="3060">
        <f t="shared" si="17"/>
      </c>
      <c r="DA236" s="3060">
        <f t="shared" si="1"/>
      </c>
      <c r="DB236" s="3060">
        <f t="shared" si="18"/>
      </c>
      <c r="DC236" s="3060">
        <f t="shared" si="19"/>
      </c>
      <c r="DD236" s="3060">
        <f t="shared" si="20"/>
      </c>
      <c r="DE236" s="3060">
        <f t="shared" si="21"/>
      </c>
      <c r="DF236" s="3060">
        <f t="shared" si="22"/>
      </c>
      <c r="DG236" s="3060">
        <f t="shared" si="23"/>
      </c>
      <c r="DH236" s="3060">
        <f t="shared" si="24"/>
      </c>
      <c r="DI236" s="3060">
        <f t="shared" si="1"/>
      </c>
    </row>
    <row r="237" ht="15" customHeight="1" s="3052" customFormat="1">
      <c r="A237" s="3065"/>
      <c r="B237" s="3054">
        <f t="shared" si="2"/>
      </c>
      <c r="C237" s="3054"/>
      <c r="D237" s="3054"/>
      <c r="E237" s="3055"/>
      <c r="F237" s="3055"/>
      <c r="G237" s="3055"/>
      <c r="H237" s="3055"/>
      <c r="I237" s="3055"/>
      <c r="J237" s="3055"/>
      <c r="K237" s="3055"/>
      <c r="L237" s="3055"/>
      <c r="M237" s="3055"/>
      <c r="N237" s="3055"/>
      <c r="O237" s="3055"/>
      <c r="P237" s="3055"/>
      <c r="Q237" s="3055"/>
      <c r="R237" s="3055">
        <f t="shared" si="3"/>
        <v>0</v>
      </c>
      <c r="S237" s="3055">
        <f t="shared" si="4"/>
        <v>0</v>
      </c>
      <c r="T237" s="3055">
        <f t="shared" si="5"/>
        <v>0</v>
      </c>
      <c r="U237" s="3055">
        <f t="shared" si="6"/>
        <v>0</v>
      </c>
      <c r="V237" s="3055">
        <f t="shared" si="7"/>
        <v>0</v>
      </c>
      <c r="W237" s="3055">
        <f t="shared" si="8"/>
        <v>0</v>
      </c>
      <c r="X237" s="3055">
        <f t="shared" si="9"/>
        <v>0</v>
      </c>
      <c r="Y237" s="3055">
        <f t="shared" si="10"/>
        <v>0</v>
      </c>
      <c r="Z237" s="3055">
        <f t="shared" si="11"/>
        <v>0</v>
      </c>
      <c r="AA237" s="3055">
        <f t="shared" si="12"/>
        <v>0</v>
      </c>
      <c r="AB237" s="3055">
        <f t="shared" si="13"/>
        <v>0</v>
      </c>
      <c r="AC237" s="3055">
        <f t="shared" si="14"/>
        <v>0</v>
      </c>
      <c r="AD237" s="3056"/>
      <c r="AE237" s="3057">
        <f t="shared" si="0"/>
      </c>
      <c r="AF237" s="3054"/>
      <c r="AG237" s="3054"/>
      <c r="AH237" s="3055"/>
      <c r="AI237" s="3055"/>
      <c r="AJ237" s="3055"/>
      <c r="AK237" s="3055"/>
      <c r="AL237" s="3055"/>
      <c r="AM237" s="3055"/>
      <c r="AN237" s="3055"/>
      <c r="AO237" s="3055"/>
      <c r="AP237" s="3055"/>
      <c r="AQ237" s="3055"/>
      <c r="AR237" s="3055"/>
      <c r="AS237" s="3055"/>
      <c r="AT237" s="3055"/>
      <c r="AU237" s="3056"/>
      <c r="AV237" s="3057">
        <f t="shared" si="15"/>
      </c>
      <c r="AW237" s="3054"/>
      <c r="AX237" s="3054"/>
      <c r="AY237" s="3055"/>
      <c r="AZ237" s="3055"/>
      <c r="BA237" s="3055"/>
      <c r="BB237" s="3055"/>
      <c r="BC237" s="3055"/>
      <c r="BD237" s="3055"/>
      <c r="BE237" s="3055"/>
      <c r="BF237" s="3055"/>
      <c r="BG237" s="3055"/>
      <c r="BH237" s="3055"/>
      <c r="BI237" s="3055"/>
      <c r="BJ237" s="3055"/>
      <c r="BK237" s="3055"/>
      <c r="BL237" s="3056"/>
      <c r="BM237" s="3057">
        <f t="shared" si="16"/>
      </c>
      <c r="BN237" s="3054"/>
      <c r="BO237" s="3054"/>
      <c r="BP237" s="3055"/>
      <c r="BQ237" s="3055"/>
      <c r="BR237" s="3055"/>
      <c r="BS237" s="3055"/>
      <c r="BT237" s="3055"/>
      <c r="BU237" s="3055"/>
      <c r="BV237" s="3055"/>
      <c r="BW237" s="3055"/>
      <c r="BX237" s="3055"/>
      <c r="BY237" s="3055"/>
      <c r="BZ237" s="3055"/>
      <c r="CA237" s="3055"/>
      <c r="CB237" s="3055"/>
      <c r="CC237" s="3056"/>
      <c r="CD237" s="3057">
        <f t="shared" si="0"/>
      </c>
      <c r="CE237" s="3054"/>
      <c r="CF237" s="3054"/>
      <c r="CG237" s="3055"/>
      <c r="CH237" s="3055"/>
      <c r="CI237" s="3055"/>
      <c r="CJ237" s="3055"/>
      <c r="CK237" s="3055"/>
      <c r="CL237" s="3055"/>
      <c r="CM237" s="3055"/>
      <c r="CN237" s="3055"/>
      <c r="CO237" s="3055"/>
      <c r="CP237" s="3055"/>
      <c r="CQ237" s="3055"/>
      <c r="CR237" s="3055"/>
      <c r="CS237" s="3055"/>
      <c r="CU237" s="3054"/>
      <c r="CV237" s="696"/>
      <c r="CW237" s="696"/>
      <c r="CZ237" s="3060">
        <f t="shared" si="17"/>
      </c>
      <c r="DA237" s="3060">
        <f t="shared" si="1"/>
      </c>
      <c r="DB237" s="3060">
        <f t="shared" si="18"/>
      </c>
      <c r="DC237" s="3060">
        <f t="shared" si="19"/>
      </c>
      <c r="DD237" s="3060">
        <f t="shared" si="20"/>
      </c>
      <c r="DE237" s="3060">
        <f t="shared" si="21"/>
      </c>
      <c r="DF237" s="3060">
        <f t="shared" si="22"/>
      </c>
      <c r="DG237" s="3060">
        <f t="shared" si="23"/>
      </c>
      <c r="DH237" s="3060">
        <f t="shared" si="24"/>
      </c>
      <c r="DI237" s="3060">
        <f t="shared" si="1"/>
      </c>
    </row>
    <row r="238" ht="15" customHeight="1" s="3052" customFormat="1">
      <c r="A238" s="3065"/>
      <c r="B238" s="3054">
        <f t="shared" si="2"/>
      </c>
      <c r="C238" s="3054"/>
      <c r="D238" s="3054"/>
      <c r="E238" s="3055"/>
      <c r="F238" s="3055"/>
      <c r="G238" s="3055"/>
      <c r="H238" s="3055"/>
      <c r="I238" s="3055"/>
      <c r="J238" s="3055"/>
      <c r="K238" s="3055"/>
      <c r="L238" s="3055"/>
      <c r="M238" s="3055"/>
      <c r="N238" s="3055"/>
      <c r="O238" s="3055"/>
      <c r="P238" s="3055"/>
      <c r="Q238" s="3055"/>
      <c r="R238" s="3055">
        <f t="shared" si="3"/>
        <v>0</v>
      </c>
      <c r="S238" s="3055">
        <f t="shared" si="4"/>
        <v>0</v>
      </c>
      <c r="T238" s="3055">
        <f t="shared" si="5"/>
        <v>0</v>
      </c>
      <c r="U238" s="3055">
        <f t="shared" si="6"/>
        <v>0</v>
      </c>
      <c r="V238" s="3055">
        <f t="shared" si="7"/>
        <v>0</v>
      </c>
      <c r="W238" s="3055">
        <f t="shared" si="8"/>
        <v>0</v>
      </c>
      <c r="X238" s="3055">
        <f t="shared" si="9"/>
        <v>0</v>
      </c>
      <c r="Y238" s="3055">
        <f t="shared" si="10"/>
        <v>0</v>
      </c>
      <c r="Z238" s="3055">
        <f t="shared" si="11"/>
        <v>0</v>
      </c>
      <c r="AA238" s="3055">
        <f t="shared" si="12"/>
        <v>0</v>
      </c>
      <c r="AB238" s="3055">
        <f t="shared" si="13"/>
        <v>0</v>
      </c>
      <c r="AC238" s="3055">
        <f t="shared" si="14"/>
        <v>0</v>
      </c>
      <c r="AD238" s="3056"/>
      <c r="AE238" s="3057">
        <f t="shared" si="0"/>
      </c>
      <c r="AF238" s="3054"/>
      <c r="AG238" s="3054"/>
      <c r="AH238" s="3055"/>
      <c r="AI238" s="3055"/>
      <c r="AJ238" s="3055"/>
      <c r="AK238" s="3055"/>
      <c r="AL238" s="3055"/>
      <c r="AM238" s="3055"/>
      <c r="AN238" s="3055"/>
      <c r="AO238" s="3055"/>
      <c r="AP238" s="3055"/>
      <c r="AQ238" s="3055"/>
      <c r="AR238" s="3055"/>
      <c r="AS238" s="3055"/>
      <c r="AT238" s="3055"/>
      <c r="AU238" s="3056"/>
      <c r="AV238" s="3057">
        <f t="shared" si="15"/>
      </c>
      <c r="AW238" s="3054"/>
      <c r="AX238" s="3054"/>
      <c r="AY238" s="3055"/>
      <c r="AZ238" s="3055"/>
      <c r="BA238" s="3055"/>
      <c r="BB238" s="3055"/>
      <c r="BC238" s="3055"/>
      <c r="BD238" s="3055"/>
      <c r="BE238" s="3055"/>
      <c r="BF238" s="3055"/>
      <c r="BG238" s="3055"/>
      <c r="BH238" s="3055"/>
      <c r="BI238" s="3055"/>
      <c r="BJ238" s="3055"/>
      <c r="BK238" s="3055"/>
      <c r="BL238" s="3056"/>
      <c r="BM238" s="3057">
        <f t="shared" si="16"/>
      </c>
      <c r="BN238" s="3054"/>
      <c r="BO238" s="3054"/>
      <c r="BP238" s="3055"/>
      <c r="BQ238" s="3055"/>
      <c r="BR238" s="3055"/>
      <c r="BS238" s="3055"/>
      <c r="BT238" s="3055"/>
      <c r="BU238" s="3055"/>
      <c r="BV238" s="3055"/>
      <c r="BW238" s="3055"/>
      <c r="BX238" s="3055"/>
      <c r="BY238" s="3055"/>
      <c r="BZ238" s="3055"/>
      <c r="CA238" s="3055"/>
      <c r="CB238" s="3055"/>
      <c r="CC238" s="3056"/>
      <c r="CD238" s="3057">
        <f t="shared" si="0"/>
      </c>
      <c r="CE238" s="3054"/>
      <c r="CF238" s="3054"/>
      <c r="CG238" s="3055"/>
      <c r="CH238" s="3055"/>
      <c r="CI238" s="3055"/>
      <c r="CJ238" s="3055"/>
      <c r="CK238" s="3055"/>
      <c r="CL238" s="3055"/>
      <c r="CM238" s="3055"/>
      <c r="CN238" s="3055"/>
      <c r="CO238" s="3055"/>
      <c r="CP238" s="3055"/>
      <c r="CQ238" s="3055"/>
      <c r="CR238" s="3055"/>
      <c r="CS238" s="3055"/>
      <c r="CU238" s="3054"/>
      <c r="CV238" s="696"/>
      <c r="CW238" s="696"/>
      <c r="CZ238" s="3060">
        <f t="shared" si="17"/>
      </c>
      <c r="DA238" s="3060">
        <f t="shared" si="1"/>
      </c>
      <c r="DB238" s="3060">
        <f t="shared" si="18"/>
      </c>
      <c r="DC238" s="3060">
        <f t="shared" si="19"/>
      </c>
      <c r="DD238" s="3060">
        <f t="shared" si="20"/>
      </c>
      <c r="DE238" s="3060">
        <f t="shared" si="21"/>
      </c>
      <c r="DF238" s="3060">
        <f t="shared" si="22"/>
      </c>
      <c r="DG238" s="3060">
        <f t="shared" si="23"/>
      </c>
      <c r="DH238" s="3060">
        <f t="shared" si="24"/>
      </c>
      <c r="DI238" s="3060">
        <f t="shared" si="1"/>
      </c>
    </row>
    <row r="239" ht="15" customHeight="1" s="3052" customFormat="1">
      <c r="A239" s="3065"/>
      <c r="B239" s="3054">
        <f t="shared" si="2"/>
      </c>
      <c r="C239" s="3054"/>
      <c r="D239" s="3054"/>
      <c r="E239" s="3055"/>
      <c r="F239" s="3055"/>
      <c r="G239" s="3055"/>
      <c r="H239" s="3055"/>
      <c r="I239" s="3055"/>
      <c r="J239" s="3055"/>
      <c r="K239" s="3055"/>
      <c r="L239" s="3055"/>
      <c r="M239" s="3055"/>
      <c r="N239" s="3055"/>
      <c r="O239" s="3055"/>
      <c r="P239" s="3055"/>
      <c r="Q239" s="3055"/>
      <c r="R239" s="3055">
        <f t="shared" si="3"/>
        <v>0</v>
      </c>
      <c r="S239" s="3055">
        <f t="shared" si="4"/>
        <v>0</v>
      </c>
      <c r="T239" s="3055">
        <f t="shared" si="5"/>
        <v>0</v>
      </c>
      <c r="U239" s="3055">
        <f t="shared" si="6"/>
        <v>0</v>
      </c>
      <c r="V239" s="3055">
        <f t="shared" si="7"/>
        <v>0</v>
      </c>
      <c r="W239" s="3055">
        <f t="shared" si="8"/>
        <v>0</v>
      </c>
      <c r="X239" s="3055">
        <f t="shared" si="9"/>
        <v>0</v>
      </c>
      <c r="Y239" s="3055">
        <f t="shared" si="10"/>
        <v>0</v>
      </c>
      <c r="Z239" s="3055">
        <f t="shared" si="11"/>
        <v>0</v>
      </c>
      <c r="AA239" s="3055">
        <f t="shared" si="12"/>
        <v>0</v>
      </c>
      <c r="AB239" s="3055">
        <f t="shared" si="13"/>
        <v>0</v>
      </c>
      <c r="AC239" s="3055">
        <f t="shared" si="14"/>
        <v>0</v>
      </c>
      <c r="AD239" s="3056"/>
      <c r="AE239" s="3057">
        <f t="shared" si="0"/>
      </c>
      <c r="AF239" s="3054"/>
      <c r="AG239" s="3054"/>
      <c r="AH239" s="3055"/>
      <c r="AI239" s="3055"/>
      <c r="AJ239" s="3055"/>
      <c r="AK239" s="3055"/>
      <c r="AL239" s="3055"/>
      <c r="AM239" s="3055"/>
      <c r="AN239" s="3055"/>
      <c r="AO239" s="3055"/>
      <c r="AP239" s="3055"/>
      <c r="AQ239" s="3055"/>
      <c r="AR239" s="3055"/>
      <c r="AS239" s="3055"/>
      <c r="AT239" s="3055"/>
      <c r="AU239" s="3056"/>
      <c r="AV239" s="3057">
        <f t="shared" si="15"/>
      </c>
      <c r="AW239" s="3054"/>
      <c r="AX239" s="3054"/>
      <c r="AY239" s="3055"/>
      <c r="AZ239" s="3055"/>
      <c r="BA239" s="3055"/>
      <c r="BB239" s="3055"/>
      <c r="BC239" s="3055"/>
      <c r="BD239" s="3055"/>
      <c r="BE239" s="3055"/>
      <c r="BF239" s="3055"/>
      <c r="BG239" s="3055"/>
      <c r="BH239" s="3055"/>
      <c r="BI239" s="3055"/>
      <c r="BJ239" s="3055"/>
      <c r="BK239" s="3055"/>
      <c r="BL239" s="3056"/>
      <c r="BM239" s="3057">
        <f t="shared" si="16"/>
      </c>
      <c r="BN239" s="3054"/>
      <c r="BO239" s="3054"/>
      <c r="BP239" s="3055"/>
      <c r="BQ239" s="3055"/>
      <c r="BR239" s="3055"/>
      <c r="BS239" s="3055"/>
      <c r="BT239" s="3055"/>
      <c r="BU239" s="3055"/>
      <c r="BV239" s="3055"/>
      <c r="BW239" s="3055"/>
      <c r="BX239" s="3055"/>
      <c r="BY239" s="3055"/>
      <c r="BZ239" s="3055"/>
      <c r="CA239" s="3055"/>
      <c r="CB239" s="3055"/>
      <c r="CC239" s="3056"/>
      <c r="CD239" s="3057">
        <f t="shared" si="0"/>
      </c>
      <c r="CE239" s="3054"/>
      <c r="CF239" s="3054"/>
      <c r="CG239" s="3055"/>
      <c r="CH239" s="3055"/>
      <c r="CI239" s="3055"/>
      <c r="CJ239" s="3055"/>
      <c r="CK239" s="3055"/>
      <c r="CL239" s="3055"/>
      <c r="CM239" s="3055"/>
      <c r="CN239" s="3055"/>
      <c r="CO239" s="3055"/>
      <c r="CP239" s="3055"/>
      <c r="CQ239" s="3055"/>
      <c r="CR239" s="3055"/>
      <c r="CS239" s="3055"/>
      <c r="CU239" s="3054"/>
      <c r="CV239" s="696"/>
      <c r="CW239" s="696"/>
      <c r="CZ239" s="3060">
        <f t="shared" si="17"/>
      </c>
      <c r="DA239" s="3060">
        <f t="shared" si="1"/>
      </c>
      <c r="DB239" s="3060">
        <f t="shared" si="18"/>
      </c>
      <c r="DC239" s="3060">
        <f t="shared" si="19"/>
      </c>
      <c r="DD239" s="3060">
        <f t="shared" si="20"/>
      </c>
      <c r="DE239" s="3060">
        <f t="shared" si="21"/>
      </c>
      <c r="DF239" s="3060">
        <f t="shared" si="22"/>
      </c>
      <c r="DG239" s="3060">
        <f t="shared" si="23"/>
      </c>
      <c r="DH239" s="3060">
        <f t="shared" si="24"/>
      </c>
      <c r="DI239" s="3060">
        <f t="shared" si="1"/>
      </c>
    </row>
    <row r="240" ht="15" customHeight="1" s="3052" customFormat="1">
      <c r="A240" s="3065"/>
      <c r="B240" s="3054">
        <f t="shared" si="2"/>
      </c>
      <c r="C240" s="3054"/>
      <c r="D240" s="3054"/>
      <c r="E240" s="3055"/>
      <c r="F240" s="3055"/>
      <c r="G240" s="3055"/>
      <c r="H240" s="3055"/>
      <c r="I240" s="3055"/>
      <c r="J240" s="3055"/>
      <c r="K240" s="3055"/>
      <c r="L240" s="3055"/>
      <c r="M240" s="3055"/>
      <c r="N240" s="3055"/>
      <c r="O240" s="3055"/>
      <c r="P240" s="3055"/>
      <c r="Q240" s="3055"/>
      <c r="R240" s="3055">
        <f t="shared" si="3"/>
        <v>0</v>
      </c>
      <c r="S240" s="3055">
        <f t="shared" si="4"/>
        <v>0</v>
      </c>
      <c r="T240" s="3055">
        <f t="shared" si="5"/>
        <v>0</v>
      </c>
      <c r="U240" s="3055">
        <f t="shared" si="6"/>
        <v>0</v>
      </c>
      <c r="V240" s="3055">
        <f t="shared" si="7"/>
        <v>0</v>
      </c>
      <c r="W240" s="3055">
        <f t="shared" si="8"/>
        <v>0</v>
      </c>
      <c r="X240" s="3055">
        <f t="shared" si="9"/>
        <v>0</v>
      </c>
      <c r="Y240" s="3055">
        <f t="shared" si="10"/>
        <v>0</v>
      </c>
      <c r="Z240" s="3055">
        <f t="shared" si="11"/>
        <v>0</v>
      </c>
      <c r="AA240" s="3055">
        <f t="shared" si="12"/>
        <v>0</v>
      </c>
      <c r="AB240" s="3055">
        <f t="shared" si="13"/>
        <v>0</v>
      </c>
      <c r="AC240" s="3055">
        <f t="shared" si="14"/>
        <v>0</v>
      </c>
      <c r="AD240" s="3056"/>
      <c r="AE240" s="3057">
        <f t="shared" si="0"/>
      </c>
      <c r="AF240" s="3054"/>
      <c r="AG240" s="3054"/>
      <c r="AH240" s="3055"/>
      <c r="AI240" s="3055"/>
      <c r="AJ240" s="3055"/>
      <c r="AK240" s="3055"/>
      <c r="AL240" s="3055"/>
      <c r="AM240" s="3055"/>
      <c r="AN240" s="3055"/>
      <c r="AO240" s="3055"/>
      <c r="AP240" s="3055"/>
      <c r="AQ240" s="3055"/>
      <c r="AR240" s="3055"/>
      <c r="AS240" s="3055"/>
      <c r="AT240" s="3055"/>
      <c r="AU240" s="3056"/>
      <c r="AV240" s="3057">
        <f t="shared" si="15"/>
      </c>
      <c r="AW240" s="3054"/>
      <c r="AX240" s="3054"/>
      <c r="AY240" s="3055"/>
      <c r="AZ240" s="3055"/>
      <c r="BA240" s="3055"/>
      <c r="BB240" s="3055"/>
      <c r="BC240" s="3055"/>
      <c r="BD240" s="3055"/>
      <c r="BE240" s="3055"/>
      <c r="BF240" s="3055"/>
      <c r="BG240" s="3055"/>
      <c r="BH240" s="3055"/>
      <c r="BI240" s="3055"/>
      <c r="BJ240" s="3055"/>
      <c r="BK240" s="3055"/>
      <c r="BL240" s="3056"/>
      <c r="BM240" s="3057">
        <f t="shared" si="16"/>
      </c>
      <c r="BN240" s="3054"/>
      <c r="BO240" s="3054"/>
      <c r="BP240" s="3055"/>
      <c r="BQ240" s="3055"/>
      <c r="BR240" s="3055"/>
      <c r="BS240" s="3055"/>
      <c r="BT240" s="3055"/>
      <c r="BU240" s="3055"/>
      <c r="BV240" s="3055"/>
      <c r="BW240" s="3055"/>
      <c r="BX240" s="3055"/>
      <c r="BY240" s="3055"/>
      <c r="BZ240" s="3055"/>
      <c r="CA240" s="3055"/>
      <c r="CB240" s="3055"/>
      <c r="CC240" s="3056"/>
      <c r="CD240" s="3057">
        <f t="shared" si="0"/>
      </c>
      <c r="CE240" s="3054"/>
      <c r="CF240" s="3054"/>
      <c r="CG240" s="3055"/>
      <c r="CH240" s="3055"/>
      <c r="CI240" s="3055"/>
      <c r="CJ240" s="3055"/>
      <c r="CK240" s="3055"/>
      <c r="CL240" s="3055"/>
      <c r="CM240" s="3055"/>
      <c r="CN240" s="3055"/>
      <c r="CO240" s="3055"/>
      <c r="CP240" s="3055"/>
      <c r="CQ240" s="3055"/>
      <c r="CR240" s="3055"/>
      <c r="CS240" s="3055"/>
      <c r="CU240" s="3054"/>
      <c r="CV240" s="696"/>
      <c r="CW240" s="696"/>
      <c r="CZ240" s="3060">
        <f t="shared" si="17"/>
      </c>
      <c r="DA240" s="3060">
        <f t="shared" si="1"/>
      </c>
      <c r="DB240" s="3060">
        <f t="shared" si="18"/>
      </c>
      <c r="DC240" s="3060">
        <f t="shared" si="19"/>
      </c>
      <c r="DD240" s="3060">
        <f t="shared" si="20"/>
      </c>
      <c r="DE240" s="3060">
        <f t="shared" si="21"/>
      </c>
      <c r="DF240" s="3060">
        <f t="shared" si="22"/>
      </c>
      <c r="DG240" s="3060">
        <f t="shared" si="23"/>
      </c>
      <c r="DH240" s="3060">
        <f t="shared" si="24"/>
      </c>
      <c r="DI240" s="3060">
        <f t="shared" si="1"/>
      </c>
    </row>
    <row r="241" ht="15" customHeight="1" s="3052" customFormat="1">
      <c r="A241" s="3065"/>
      <c r="B241" s="3054">
        <f t="shared" si="2"/>
      </c>
      <c r="C241" s="3054"/>
      <c r="D241" s="3054"/>
      <c r="E241" s="3055"/>
      <c r="F241" s="3055"/>
      <c r="G241" s="3055"/>
      <c r="H241" s="3055"/>
      <c r="I241" s="3055"/>
      <c r="J241" s="3055"/>
      <c r="K241" s="3055"/>
      <c r="L241" s="3055"/>
      <c r="M241" s="3055"/>
      <c r="N241" s="3055"/>
      <c r="O241" s="3055"/>
      <c r="P241" s="3055"/>
      <c r="Q241" s="3055"/>
      <c r="R241" s="3055">
        <f t="shared" si="3"/>
        <v>0</v>
      </c>
      <c r="S241" s="3055">
        <f t="shared" si="4"/>
        <v>0</v>
      </c>
      <c r="T241" s="3055">
        <f t="shared" si="5"/>
        <v>0</v>
      </c>
      <c r="U241" s="3055">
        <f t="shared" si="6"/>
        <v>0</v>
      </c>
      <c r="V241" s="3055">
        <f t="shared" si="7"/>
        <v>0</v>
      </c>
      <c r="W241" s="3055">
        <f t="shared" si="8"/>
        <v>0</v>
      </c>
      <c r="X241" s="3055">
        <f t="shared" si="9"/>
        <v>0</v>
      </c>
      <c r="Y241" s="3055">
        <f t="shared" si="10"/>
        <v>0</v>
      </c>
      <c r="Z241" s="3055">
        <f t="shared" si="11"/>
        <v>0</v>
      </c>
      <c r="AA241" s="3055">
        <f t="shared" si="12"/>
        <v>0</v>
      </c>
      <c r="AB241" s="3055">
        <f t="shared" si="13"/>
        <v>0</v>
      </c>
      <c r="AC241" s="3055">
        <f t="shared" si="14"/>
        <v>0</v>
      </c>
      <c r="AD241" s="3056"/>
      <c r="AE241" s="3057">
        <f t="shared" si="0"/>
      </c>
      <c r="AF241" s="3054"/>
      <c r="AG241" s="3054"/>
      <c r="AH241" s="3055"/>
      <c r="AI241" s="3055"/>
      <c r="AJ241" s="3055"/>
      <c r="AK241" s="3055"/>
      <c r="AL241" s="3055"/>
      <c r="AM241" s="3055"/>
      <c r="AN241" s="3055"/>
      <c r="AO241" s="3055"/>
      <c r="AP241" s="3055"/>
      <c r="AQ241" s="3055"/>
      <c r="AR241" s="3055"/>
      <c r="AS241" s="3055"/>
      <c r="AT241" s="3055"/>
      <c r="AU241" s="3056"/>
      <c r="AV241" s="3057">
        <f t="shared" si="15"/>
      </c>
      <c r="AW241" s="3054"/>
      <c r="AX241" s="3054"/>
      <c r="AY241" s="3055"/>
      <c r="AZ241" s="3055"/>
      <c r="BA241" s="3055"/>
      <c r="BB241" s="3055"/>
      <c r="BC241" s="3055"/>
      <c r="BD241" s="3055"/>
      <c r="BE241" s="3055"/>
      <c r="BF241" s="3055"/>
      <c r="BG241" s="3055"/>
      <c r="BH241" s="3055"/>
      <c r="BI241" s="3055"/>
      <c r="BJ241" s="3055"/>
      <c r="BK241" s="3055"/>
      <c r="BL241" s="3056"/>
      <c r="BM241" s="3057">
        <f t="shared" si="16"/>
      </c>
      <c r="BN241" s="3054"/>
      <c r="BO241" s="3054"/>
      <c r="BP241" s="3055"/>
      <c r="BQ241" s="3055"/>
      <c r="BR241" s="3055"/>
      <c r="BS241" s="3055"/>
      <c r="BT241" s="3055"/>
      <c r="BU241" s="3055"/>
      <c r="BV241" s="3055"/>
      <c r="BW241" s="3055"/>
      <c r="BX241" s="3055"/>
      <c r="BY241" s="3055"/>
      <c r="BZ241" s="3055"/>
      <c r="CA241" s="3055"/>
      <c r="CB241" s="3055"/>
      <c r="CC241" s="3056"/>
      <c r="CD241" s="3057">
        <f t="shared" si="0"/>
      </c>
      <c r="CE241" s="3054"/>
      <c r="CF241" s="3054"/>
      <c r="CG241" s="3055"/>
      <c r="CH241" s="3055"/>
      <c r="CI241" s="3055"/>
      <c r="CJ241" s="3055"/>
      <c r="CK241" s="3055"/>
      <c r="CL241" s="3055"/>
      <c r="CM241" s="3055"/>
      <c r="CN241" s="3055"/>
      <c r="CO241" s="3055"/>
      <c r="CP241" s="3055"/>
      <c r="CQ241" s="3055"/>
      <c r="CR241" s="3055"/>
      <c r="CS241" s="3055"/>
      <c r="CU241" s="3054"/>
      <c r="CV241" s="696"/>
      <c r="CW241" s="696"/>
      <c r="CZ241" s="3060">
        <f t="shared" si="17"/>
      </c>
      <c r="DA241" s="3060">
        <f t="shared" si="1"/>
      </c>
      <c r="DB241" s="3060">
        <f t="shared" si="18"/>
      </c>
      <c r="DC241" s="3060">
        <f t="shared" si="19"/>
      </c>
      <c r="DD241" s="3060">
        <f t="shared" si="20"/>
      </c>
      <c r="DE241" s="3060">
        <f t="shared" si="21"/>
      </c>
      <c r="DF241" s="3060">
        <f t="shared" si="22"/>
      </c>
      <c r="DG241" s="3060">
        <f t="shared" si="23"/>
      </c>
      <c r="DH241" s="3060">
        <f t="shared" si="24"/>
      </c>
      <c r="DI241" s="3060">
        <f t="shared" si="1"/>
      </c>
    </row>
    <row r="242" ht="15" customHeight="1" s="3052" customFormat="1">
      <c r="A242" s="3065"/>
      <c r="B242" s="3054">
        <f t="shared" si="2"/>
      </c>
      <c r="C242" s="3054"/>
      <c r="D242" s="3054"/>
      <c r="E242" s="3055"/>
      <c r="F242" s="3055"/>
      <c r="G242" s="3055"/>
      <c r="H242" s="3055"/>
      <c r="I242" s="3055"/>
      <c r="J242" s="3055"/>
      <c r="K242" s="3055"/>
      <c r="L242" s="3055"/>
      <c r="M242" s="3055"/>
      <c r="N242" s="3055"/>
      <c r="O242" s="3055"/>
      <c r="P242" s="3055"/>
      <c r="Q242" s="3055"/>
      <c r="R242" s="3055">
        <f t="shared" si="3"/>
        <v>0</v>
      </c>
      <c r="S242" s="3055">
        <f t="shared" si="4"/>
        <v>0</v>
      </c>
      <c r="T242" s="3055">
        <f t="shared" si="5"/>
        <v>0</v>
      </c>
      <c r="U242" s="3055">
        <f t="shared" si="6"/>
        <v>0</v>
      </c>
      <c r="V242" s="3055">
        <f t="shared" si="7"/>
        <v>0</v>
      </c>
      <c r="W242" s="3055">
        <f t="shared" si="8"/>
        <v>0</v>
      </c>
      <c r="X242" s="3055">
        <f t="shared" si="9"/>
        <v>0</v>
      </c>
      <c r="Y242" s="3055">
        <f t="shared" si="10"/>
        <v>0</v>
      </c>
      <c r="Z242" s="3055">
        <f t="shared" si="11"/>
        <v>0</v>
      </c>
      <c r="AA242" s="3055">
        <f t="shared" si="12"/>
        <v>0</v>
      </c>
      <c r="AB242" s="3055">
        <f t="shared" si="13"/>
        <v>0</v>
      </c>
      <c r="AC242" s="3055">
        <f t="shared" si="14"/>
        <v>0</v>
      </c>
      <c r="AD242" s="3056"/>
      <c r="AE242" s="3057">
        <f t="shared" si="0"/>
      </c>
      <c r="AF242" s="3054"/>
      <c r="AG242" s="3054"/>
      <c r="AH242" s="3055"/>
      <c r="AI242" s="3055"/>
      <c r="AJ242" s="3055"/>
      <c r="AK242" s="3055"/>
      <c r="AL242" s="3055"/>
      <c r="AM242" s="3055"/>
      <c r="AN242" s="3055"/>
      <c r="AO242" s="3055"/>
      <c r="AP242" s="3055"/>
      <c r="AQ242" s="3055"/>
      <c r="AR242" s="3055"/>
      <c r="AS242" s="3055"/>
      <c r="AT242" s="3055"/>
      <c r="AU242" s="3056"/>
      <c r="AV242" s="3057">
        <f t="shared" si="15"/>
      </c>
      <c r="AW242" s="3054"/>
      <c r="AX242" s="3054"/>
      <c r="AY242" s="3055"/>
      <c r="AZ242" s="3055"/>
      <c r="BA242" s="3055"/>
      <c r="BB242" s="3055"/>
      <c r="BC242" s="3055"/>
      <c r="BD242" s="3055"/>
      <c r="BE242" s="3055"/>
      <c r="BF242" s="3055"/>
      <c r="BG242" s="3055"/>
      <c r="BH242" s="3055"/>
      <c r="BI242" s="3055"/>
      <c r="BJ242" s="3055"/>
      <c r="BK242" s="3055"/>
      <c r="BL242" s="3056"/>
      <c r="BM242" s="3057">
        <f t="shared" si="16"/>
      </c>
      <c r="BN242" s="3054"/>
      <c r="BO242" s="3054"/>
      <c r="BP242" s="3055"/>
      <c r="BQ242" s="3055"/>
      <c r="BR242" s="3055"/>
      <c r="BS242" s="3055"/>
      <c r="BT242" s="3055"/>
      <c r="BU242" s="3055"/>
      <c r="BV242" s="3055"/>
      <c r="BW242" s="3055"/>
      <c r="BX242" s="3055"/>
      <c r="BY242" s="3055"/>
      <c r="BZ242" s="3055"/>
      <c r="CA242" s="3055"/>
      <c r="CB242" s="3055"/>
      <c r="CC242" s="3056"/>
      <c r="CD242" s="3057">
        <f t="shared" si="0"/>
      </c>
      <c r="CE242" s="3054"/>
      <c r="CF242" s="3054"/>
      <c r="CG242" s="3055"/>
      <c r="CH242" s="3055"/>
      <c r="CI242" s="3055"/>
      <c r="CJ242" s="3055"/>
      <c r="CK242" s="3055"/>
      <c r="CL242" s="3055"/>
      <c r="CM242" s="3055"/>
      <c r="CN242" s="3055"/>
      <c r="CO242" s="3055"/>
      <c r="CP242" s="3055"/>
      <c r="CQ242" s="3055"/>
      <c r="CR242" s="3055"/>
      <c r="CS242" s="3055"/>
      <c r="CU242" s="3054"/>
      <c r="CV242" s="696"/>
      <c r="CW242" s="696"/>
      <c r="CZ242" s="3060">
        <f t="shared" si="17"/>
      </c>
      <c r="DA242" s="3060">
        <f t="shared" si="1"/>
      </c>
      <c r="DB242" s="3060">
        <f t="shared" si="18"/>
      </c>
      <c r="DC242" s="3060">
        <f t="shared" si="19"/>
      </c>
      <c r="DD242" s="3060">
        <f t="shared" si="20"/>
      </c>
      <c r="DE242" s="3060">
        <f t="shared" si="21"/>
      </c>
      <c r="DF242" s="3060">
        <f t="shared" si="22"/>
      </c>
      <c r="DG242" s="3060">
        <f t="shared" si="23"/>
      </c>
      <c r="DH242" s="3060">
        <f t="shared" si="24"/>
      </c>
      <c r="DI242" s="3060">
        <f t="shared" si="1"/>
      </c>
    </row>
    <row r="243" ht="15" customHeight="1" s="3052" customFormat="1">
      <c r="A243" s="3065"/>
      <c r="B243" s="3054">
        <f t="shared" si="2"/>
      </c>
      <c r="C243" s="3054"/>
      <c r="D243" s="3054"/>
      <c r="E243" s="3055"/>
      <c r="F243" s="3055"/>
      <c r="G243" s="3055"/>
      <c r="H243" s="3055"/>
      <c r="I243" s="3055"/>
      <c r="J243" s="3055"/>
      <c r="K243" s="3055"/>
      <c r="L243" s="3055"/>
      <c r="M243" s="3055"/>
      <c r="N243" s="3055"/>
      <c r="O243" s="3055"/>
      <c r="P243" s="3055"/>
      <c r="Q243" s="3055"/>
      <c r="R243" s="3055">
        <f t="shared" si="3"/>
        <v>0</v>
      </c>
      <c r="S243" s="3055">
        <f t="shared" si="4"/>
        <v>0</v>
      </c>
      <c r="T243" s="3055">
        <f t="shared" si="5"/>
        <v>0</v>
      </c>
      <c r="U243" s="3055">
        <f t="shared" si="6"/>
        <v>0</v>
      </c>
      <c r="V243" s="3055">
        <f t="shared" si="7"/>
        <v>0</v>
      </c>
      <c r="W243" s="3055">
        <f t="shared" si="8"/>
        <v>0</v>
      </c>
      <c r="X243" s="3055">
        <f t="shared" si="9"/>
        <v>0</v>
      </c>
      <c r="Y243" s="3055">
        <f t="shared" si="10"/>
        <v>0</v>
      </c>
      <c r="Z243" s="3055">
        <f t="shared" si="11"/>
        <v>0</v>
      </c>
      <c r="AA243" s="3055">
        <f t="shared" si="12"/>
        <v>0</v>
      </c>
      <c r="AB243" s="3055">
        <f t="shared" si="13"/>
        <v>0</v>
      </c>
      <c r="AC243" s="3055">
        <f t="shared" si="14"/>
        <v>0</v>
      </c>
      <c r="AD243" s="3056"/>
      <c r="AE243" s="3057">
        <f t="shared" si="0"/>
      </c>
      <c r="AF243" s="3054"/>
      <c r="AG243" s="3054"/>
      <c r="AH243" s="3055"/>
      <c r="AI243" s="3055"/>
      <c r="AJ243" s="3055"/>
      <c r="AK243" s="3055"/>
      <c r="AL243" s="3055"/>
      <c r="AM243" s="3055"/>
      <c r="AN243" s="3055"/>
      <c r="AO243" s="3055"/>
      <c r="AP243" s="3055"/>
      <c r="AQ243" s="3055"/>
      <c r="AR243" s="3055"/>
      <c r="AS243" s="3055"/>
      <c r="AT243" s="3055"/>
      <c r="AU243" s="3056"/>
      <c r="AV243" s="3057">
        <f t="shared" si="15"/>
      </c>
      <c r="AW243" s="3054"/>
      <c r="AX243" s="3054"/>
      <c r="AY243" s="3055"/>
      <c r="AZ243" s="3055"/>
      <c r="BA243" s="3055"/>
      <c r="BB243" s="3055"/>
      <c r="BC243" s="3055"/>
      <c r="BD243" s="3055"/>
      <c r="BE243" s="3055"/>
      <c r="BF243" s="3055"/>
      <c r="BG243" s="3055"/>
      <c r="BH243" s="3055"/>
      <c r="BI243" s="3055"/>
      <c r="BJ243" s="3055"/>
      <c r="BK243" s="3055"/>
      <c r="BL243" s="3056"/>
      <c r="BM243" s="3057">
        <f t="shared" si="16"/>
      </c>
      <c r="BN243" s="3054"/>
      <c r="BO243" s="3054"/>
      <c r="BP243" s="3055"/>
      <c r="BQ243" s="3055"/>
      <c r="BR243" s="3055"/>
      <c r="BS243" s="3055"/>
      <c r="BT243" s="3055"/>
      <c r="BU243" s="3055"/>
      <c r="BV243" s="3055"/>
      <c r="BW243" s="3055"/>
      <c r="BX243" s="3055"/>
      <c r="BY243" s="3055"/>
      <c r="BZ243" s="3055"/>
      <c r="CA243" s="3055"/>
      <c r="CB243" s="3055"/>
      <c r="CC243" s="3056"/>
      <c r="CD243" s="3057">
        <f t="shared" si="0"/>
      </c>
      <c r="CE243" s="3054"/>
      <c r="CF243" s="3054"/>
      <c r="CG243" s="3055"/>
      <c r="CH243" s="3055"/>
      <c r="CI243" s="3055"/>
      <c r="CJ243" s="3055"/>
      <c r="CK243" s="3055"/>
      <c r="CL243" s="3055"/>
      <c r="CM243" s="3055"/>
      <c r="CN243" s="3055"/>
      <c r="CO243" s="3055"/>
      <c r="CP243" s="3055"/>
      <c r="CQ243" s="3055"/>
      <c r="CR243" s="3055"/>
      <c r="CS243" s="3055"/>
      <c r="CU243" s="3054"/>
      <c r="CV243" s="696"/>
      <c r="CW243" s="696"/>
      <c r="CZ243" s="3060">
        <f t="shared" si="17"/>
      </c>
      <c r="DA243" s="3060">
        <f t="shared" si="1"/>
      </c>
      <c r="DB243" s="3060">
        <f t="shared" si="18"/>
      </c>
      <c r="DC243" s="3060">
        <f t="shared" si="19"/>
      </c>
      <c r="DD243" s="3060">
        <f t="shared" si="20"/>
      </c>
      <c r="DE243" s="3060">
        <f t="shared" si="21"/>
      </c>
      <c r="DF243" s="3060">
        <f t="shared" si="22"/>
      </c>
      <c r="DG243" s="3060">
        <f t="shared" si="23"/>
      </c>
      <c r="DH243" s="3060">
        <f t="shared" si="24"/>
      </c>
      <c r="DI243" s="3060">
        <f t="shared" si="1"/>
      </c>
    </row>
    <row r="244" ht="15" customHeight="1" s="3052" customFormat="1">
      <c r="A244" s="3065"/>
      <c r="B244" s="3054">
        <f t="shared" si="2"/>
      </c>
      <c r="C244" s="3054"/>
      <c r="D244" s="3054"/>
      <c r="E244" s="3055"/>
      <c r="F244" s="3055"/>
      <c r="G244" s="3055"/>
      <c r="H244" s="3055"/>
      <c r="I244" s="3055"/>
      <c r="J244" s="3055"/>
      <c r="K244" s="3055"/>
      <c r="L244" s="3055"/>
      <c r="M244" s="3055"/>
      <c r="N244" s="3055"/>
      <c r="O244" s="3055"/>
      <c r="P244" s="3055"/>
      <c r="Q244" s="3055"/>
      <c r="R244" s="3055">
        <f t="shared" si="3"/>
        <v>0</v>
      </c>
      <c r="S244" s="3055">
        <f t="shared" si="4"/>
        <v>0</v>
      </c>
      <c r="T244" s="3055">
        <f t="shared" si="5"/>
        <v>0</v>
      </c>
      <c r="U244" s="3055">
        <f t="shared" si="6"/>
        <v>0</v>
      </c>
      <c r="V244" s="3055">
        <f t="shared" si="7"/>
        <v>0</v>
      </c>
      <c r="W244" s="3055">
        <f t="shared" si="8"/>
        <v>0</v>
      </c>
      <c r="X244" s="3055">
        <f t="shared" si="9"/>
        <v>0</v>
      </c>
      <c r="Y244" s="3055">
        <f t="shared" si="10"/>
        <v>0</v>
      </c>
      <c r="Z244" s="3055">
        <f t="shared" si="11"/>
        <v>0</v>
      </c>
      <c r="AA244" s="3055">
        <f t="shared" si="12"/>
        <v>0</v>
      </c>
      <c r="AB244" s="3055">
        <f t="shared" si="13"/>
        <v>0</v>
      </c>
      <c r="AC244" s="3055">
        <f t="shared" si="14"/>
        <v>0</v>
      </c>
      <c r="AD244" s="3056"/>
      <c r="AE244" s="3057">
        <f t="shared" si="0"/>
      </c>
      <c r="AF244" s="3054"/>
      <c r="AG244" s="3054"/>
      <c r="AH244" s="3055"/>
      <c r="AI244" s="3055"/>
      <c r="AJ244" s="3055"/>
      <c r="AK244" s="3055"/>
      <c r="AL244" s="3055"/>
      <c r="AM244" s="3055"/>
      <c r="AN244" s="3055"/>
      <c r="AO244" s="3055"/>
      <c r="AP244" s="3055"/>
      <c r="AQ244" s="3055"/>
      <c r="AR244" s="3055"/>
      <c r="AS244" s="3055"/>
      <c r="AT244" s="3055"/>
      <c r="AU244" s="3056"/>
      <c r="AV244" s="3057">
        <f t="shared" si="15"/>
      </c>
      <c r="AW244" s="3054"/>
      <c r="AX244" s="3054"/>
      <c r="AY244" s="3055"/>
      <c r="AZ244" s="3055"/>
      <c r="BA244" s="3055"/>
      <c r="BB244" s="3055"/>
      <c r="BC244" s="3055"/>
      <c r="BD244" s="3055"/>
      <c r="BE244" s="3055"/>
      <c r="BF244" s="3055"/>
      <c r="BG244" s="3055"/>
      <c r="BH244" s="3055"/>
      <c r="BI244" s="3055"/>
      <c r="BJ244" s="3055"/>
      <c r="BK244" s="3055"/>
      <c r="BL244" s="3056"/>
      <c r="BM244" s="3057">
        <f t="shared" si="16"/>
      </c>
      <c r="BN244" s="3054"/>
      <c r="BO244" s="3054"/>
      <c r="BP244" s="3055"/>
      <c r="BQ244" s="3055"/>
      <c r="BR244" s="3055"/>
      <c r="BS244" s="3055"/>
      <c r="BT244" s="3055"/>
      <c r="BU244" s="3055"/>
      <c r="BV244" s="3055"/>
      <c r="BW244" s="3055"/>
      <c r="BX244" s="3055"/>
      <c r="BY244" s="3055"/>
      <c r="BZ244" s="3055"/>
      <c r="CA244" s="3055"/>
      <c r="CB244" s="3055"/>
      <c r="CC244" s="3056"/>
      <c r="CD244" s="3057">
        <f t="shared" si="0"/>
      </c>
      <c r="CE244" s="3054"/>
      <c r="CF244" s="3054"/>
      <c r="CG244" s="3055"/>
      <c r="CH244" s="3055"/>
      <c r="CI244" s="3055"/>
      <c r="CJ244" s="3055"/>
      <c r="CK244" s="3055"/>
      <c r="CL244" s="3055"/>
      <c r="CM244" s="3055"/>
      <c r="CN244" s="3055"/>
      <c r="CO244" s="3055"/>
      <c r="CP244" s="3055"/>
      <c r="CQ244" s="3055"/>
      <c r="CR244" s="3055"/>
      <c r="CS244" s="3055"/>
      <c r="CU244" s="3054"/>
      <c r="CV244" s="696"/>
      <c r="CW244" s="696"/>
      <c r="CZ244" s="3060">
        <f t="shared" si="17"/>
      </c>
      <c r="DA244" s="3060">
        <f t="shared" si="1"/>
      </c>
      <c r="DB244" s="3060">
        <f t="shared" si="18"/>
      </c>
      <c r="DC244" s="3060">
        <f t="shared" si="19"/>
      </c>
      <c r="DD244" s="3060">
        <f t="shared" si="20"/>
      </c>
      <c r="DE244" s="3060">
        <f t="shared" si="21"/>
      </c>
      <c r="DF244" s="3060">
        <f t="shared" si="22"/>
      </c>
      <c r="DG244" s="3060">
        <f t="shared" si="23"/>
      </c>
      <c r="DH244" s="3060">
        <f t="shared" si="24"/>
      </c>
      <c r="DI244" s="3060">
        <f t="shared" si="1"/>
      </c>
    </row>
    <row r="245" ht="15" customHeight="1" s="3052" customFormat="1">
      <c r="A245" s="3065"/>
      <c r="B245" s="3054">
        <f t="shared" si="2"/>
      </c>
      <c r="C245" s="3054"/>
      <c r="D245" s="3054"/>
      <c r="E245" s="3055"/>
      <c r="F245" s="3055"/>
      <c r="G245" s="3055"/>
      <c r="H245" s="3055"/>
      <c r="I245" s="3055"/>
      <c r="J245" s="3055"/>
      <c r="K245" s="3055"/>
      <c r="L245" s="3055"/>
      <c r="M245" s="3055"/>
      <c r="N245" s="3055"/>
      <c r="O245" s="3055"/>
      <c r="P245" s="3055"/>
      <c r="Q245" s="3055"/>
      <c r="R245" s="3055">
        <f t="shared" si="3"/>
        <v>0</v>
      </c>
      <c r="S245" s="3055">
        <f t="shared" si="4"/>
        <v>0</v>
      </c>
      <c r="T245" s="3055">
        <f t="shared" si="5"/>
        <v>0</v>
      </c>
      <c r="U245" s="3055">
        <f t="shared" si="6"/>
        <v>0</v>
      </c>
      <c r="V245" s="3055">
        <f t="shared" si="7"/>
        <v>0</v>
      </c>
      <c r="W245" s="3055">
        <f t="shared" si="8"/>
        <v>0</v>
      </c>
      <c r="X245" s="3055">
        <f t="shared" si="9"/>
        <v>0</v>
      </c>
      <c r="Y245" s="3055">
        <f t="shared" si="10"/>
        <v>0</v>
      </c>
      <c r="Z245" s="3055">
        <f t="shared" si="11"/>
        <v>0</v>
      </c>
      <c r="AA245" s="3055">
        <f t="shared" si="12"/>
        <v>0</v>
      </c>
      <c r="AB245" s="3055">
        <f t="shared" si="13"/>
        <v>0</v>
      </c>
      <c r="AC245" s="3055">
        <f t="shared" si="14"/>
        <v>0</v>
      </c>
      <c r="AD245" s="3056"/>
      <c r="AE245" s="3057">
        <f t="shared" si="0"/>
      </c>
      <c r="AF245" s="3054"/>
      <c r="AG245" s="3054"/>
      <c r="AH245" s="3055"/>
      <c r="AI245" s="3055"/>
      <c r="AJ245" s="3055"/>
      <c r="AK245" s="3055"/>
      <c r="AL245" s="3055"/>
      <c r="AM245" s="3055"/>
      <c r="AN245" s="3055"/>
      <c r="AO245" s="3055"/>
      <c r="AP245" s="3055"/>
      <c r="AQ245" s="3055"/>
      <c r="AR245" s="3055"/>
      <c r="AS245" s="3055"/>
      <c r="AT245" s="3055"/>
      <c r="AU245" s="3056"/>
      <c r="AV245" s="3057">
        <f t="shared" si="15"/>
      </c>
      <c r="AW245" s="3054"/>
      <c r="AX245" s="3054"/>
      <c r="AY245" s="3055"/>
      <c r="AZ245" s="3055"/>
      <c r="BA245" s="3055"/>
      <c r="BB245" s="3055"/>
      <c r="BC245" s="3055"/>
      <c r="BD245" s="3055"/>
      <c r="BE245" s="3055"/>
      <c r="BF245" s="3055"/>
      <c r="BG245" s="3055"/>
      <c r="BH245" s="3055"/>
      <c r="BI245" s="3055"/>
      <c r="BJ245" s="3055"/>
      <c r="BK245" s="3055"/>
      <c r="BL245" s="3056"/>
      <c r="BM245" s="3057">
        <f t="shared" si="16"/>
      </c>
      <c r="BN245" s="3054"/>
      <c r="BO245" s="3054"/>
      <c r="BP245" s="3055"/>
      <c r="BQ245" s="3055"/>
      <c r="BR245" s="3055"/>
      <c r="BS245" s="3055"/>
      <c r="BT245" s="3055"/>
      <c r="BU245" s="3055"/>
      <c r="BV245" s="3055"/>
      <c r="BW245" s="3055"/>
      <c r="BX245" s="3055"/>
      <c r="BY245" s="3055"/>
      <c r="BZ245" s="3055"/>
      <c r="CA245" s="3055"/>
      <c r="CB245" s="3055"/>
      <c r="CC245" s="3056"/>
      <c r="CD245" s="3057">
        <f t="shared" si="0"/>
      </c>
      <c r="CE245" s="3054"/>
      <c r="CF245" s="3054"/>
      <c r="CG245" s="3055"/>
      <c r="CH245" s="3055"/>
      <c r="CI245" s="3055"/>
      <c r="CJ245" s="3055"/>
      <c r="CK245" s="3055"/>
      <c r="CL245" s="3055"/>
      <c r="CM245" s="3055"/>
      <c r="CN245" s="3055"/>
      <c r="CO245" s="3055"/>
      <c r="CP245" s="3055"/>
      <c r="CQ245" s="3055"/>
      <c r="CR245" s="3055"/>
      <c r="CS245" s="3055"/>
      <c r="CU245" s="3054"/>
      <c r="CV245" s="696"/>
      <c r="CW245" s="696"/>
      <c r="CZ245" s="3060">
        <f t="shared" si="17"/>
      </c>
      <c r="DA245" s="3060">
        <f t="shared" si="1"/>
      </c>
      <c r="DB245" s="3060">
        <f t="shared" si="18"/>
      </c>
      <c r="DC245" s="3060">
        <f t="shared" si="19"/>
      </c>
      <c r="DD245" s="3060">
        <f t="shared" si="20"/>
      </c>
      <c r="DE245" s="3060">
        <f t="shared" si="21"/>
      </c>
      <c r="DF245" s="3060">
        <f t="shared" si="22"/>
      </c>
      <c r="DG245" s="3060">
        <f t="shared" si="23"/>
      </c>
      <c r="DH245" s="3060">
        <f t="shared" si="24"/>
      </c>
      <c r="DI245" s="3060">
        <f t="shared" si="1"/>
      </c>
    </row>
    <row r="246" ht="15" customHeight="1" s="3052" customFormat="1">
      <c r="A246" s="3065"/>
      <c r="B246" s="3054">
        <f t="shared" si="2"/>
      </c>
      <c r="C246" s="3054"/>
      <c r="D246" s="3054"/>
      <c r="E246" s="3055"/>
      <c r="F246" s="3055"/>
      <c r="G246" s="3055"/>
      <c r="H246" s="3055"/>
      <c r="I246" s="3055"/>
      <c r="J246" s="3055"/>
      <c r="K246" s="3055"/>
      <c r="L246" s="3055"/>
      <c r="M246" s="3055"/>
      <c r="N246" s="3055"/>
      <c r="O246" s="3055"/>
      <c r="P246" s="3055"/>
      <c r="Q246" s="3055"/>
      <c r="R246" s="3055">
        <f t="shared" si="3"/>
        <v>0</v>
      </c>
      <c r="S246" s="3055">
        <f t="shared" si="4"/>
        <v>0</v>
      </c>
      <c r="T246" s="3055">
        <f t="shared" si="5"/>
        <v>0</v>
      </c>
      <c r="U246" s="3055">
        <f t="shared" si="6"/>
        <v>0</v>
      </c>
      <c r="V246" s="3055">
        <f t="shared" si="7"/>
        <v>0</v>
      </c>
      <c r="W246" s="3055">
        <f t="shared" si="8"/>
        <v>0</v>
      </c>
      <c r="X246" s="3055">
        <f t="shared" si="9"/>
        <v>0</v>
      </c>
      <c r="Y246" s="3055">
        <f t="shared" si="10"/>
        <v>0</v>
      </c>
      <c r="Z246" s="3055">
        <f t="shared" si="11"/>
        <v>0</v>
      </c>
      <c r="AA246" s="3055">
        <f t="shared" si="12"/>
        <v>0</v>
      </c>
      <c r="AB246" s="3055">
        <f t="shared" si="13"/>
        <v>0</v>
      </c>
      <c r="AC246" s="3055">
        <f t="shared" si="14"/>
        <v>0</v>
      </c>
      <c r="AD246" s="3056"/>
      <c r="AE246" s="3057">
        <f t="shared" si="0"/>
      </c>
      <c r="AF246" s="3054"/>
      <c r="AG246" s="3054"/>
      <c r="AH246" s="3055"/>
      <c r="AI246" s="3055"/>
      <c r="AJ246" s="3055"/>
      <c r="AK246" s="3055"/>
      <c r="AL246" s="3055"/>
      <c r="AM246" s="3055"/>
      <c r="AN246" s="3055"/>
      <c r="AO246" s="3055"/>
      <c r="AP246" s="3055"/>
      <c r="AQ246" s="3055"/>
      <c r="AR246" s="3055"/>
      <c r="AS246" s="3055"/>
      <c r="AT246" s="3055"/>
      <c r="AU246" s="3056"/>
      <c r="AV246" s="3057">
        <f t="shared" si="15"/>
      </c>
      <c r="AW246" s="3054"/>
      <c r="AX246" s="3054"/>
      <c r="AY246" s="3055"/>
      <c r="AZ246" s="3055"/>
      <c r="BA246" s="3055"/>
      <c r="BB246" s="3055"/>
      <c r="BC246" s="3055"/>
      <c r="BD246" s="3055"/>
      <c r="BE246" s="3055"/>
      <c r="BF246" s="3055"/>
      <c r="BG246" s="3055"/>
      <c r="BH246" s="3055"/>
      <c r="BI246" s="3055"/>
      <c r="BJ246" s="3055"/>
      <c r="BK246" s="3055"/>
      <c r="BL246" s="3056"/>
      <c r="BM246" s="3057">
        <f t="shared" si="16"/>
      </c>
      <c r="BN246" s="3054"/>
      <c r="BO246" s="3054"/>
      <c r="BP246" s="3055"/>
      <c r="BQ246" s="3055"/>
      <c r="BR246" s="3055"/>
      <c r="BS246" s="3055"/>
      <c r="BT246" s="3055"/>
      <c r="BU246" s="3055"/>
      <c r="BV246" s="3055"/>
      <c r="BW246" s="3055"/>
      <c r="BX246" s="3055"/>
      <c r="BY246" s="3055"/>
      <c r="BZ246" s="3055"/>
      <c r="CA246" s="3055"/>
      <c r="CB246" s="3055"/>
      <c r="CC246" s="3056"/>
      <c r="CD246" s="3057">
        <f t="shared" si="0"/>
      </c>
      <c r="CE246" s="3054"/>
      <c r="CF246" s="3054"/>
      <c r="CG246" s="3055"/>
      <c r="CH246" s="3055"/>
      <c r="CI246" s="3055"/>
      <c r="CJ246" s="3055"/>
      <c r="CK246" s="3055"/>
      <c r="CL246" s="3055"/>
      <c r="CM246" s="3055"/>
      <c r="CN246" s="3055"/>
      <c r="CO246" s="3055"/>
      <c r="CP246" s="3055"/>
      <c r="CQ246" s="3055"/>
      <c r="CR246" s="3055"/>
      <c r="CS246" s="3055"/>
      <c r="CU246" s="3054"/>
      <c r="CV246" s="696"/>
      <c r="CW246" s="696"/>
      <c r="CZ246" s="3060">
        <f t="shared" si="17"/>
      </c>
      <c r="DA246" s="3060">
        <f t="shared" si="1"/>
      </c>
      <c r="DB246" s="3060">
        <f t="shared" si="18"/>
      </c>
      <c r="DC246" s="3060">
        <f t="shared" si="19"/>
      </c>
      <c r="DD246" s="3060">
        <f t="shared" si="20"/>
      </c>
      <c r="DE246" s="3060">
        <f t="shared" si="21"/>
      </c>
      <c r="DF246" s="3060">
        <f t="shared" si="22"/>
      </c>
      <c r="DG246" s="3060">
        <f t="shared" si="23"/>
      </c>
      <c r="DH246" s="3060">
        <f t="shared" si="24"/>
      </c>
      <c r="DI246" s="3060">
        <f t="shared" si="1"/>
      </c>
    </row>
    <row r="247" ht="15" customHeight="1" s="3052" customFormat="1">
      <c r="A247" s="3065"/>
      <c r="B247" s="3054">
        <f t="shared" si="2"/>
      </c>
      <c r="C247" s="3054"/>
      <c r="D247" s="3054"/>
      <c r="E247" s="3055"/>
      <c r="F247" s="3055"/>
      <c r="G247" s="3055"/>
      <c r="H247" s="3055"/>
      <c r="I247" s="3055"/>
      <c r="J247" s="3055"/>
      <c r="K247" s="3055"/>
      <c r="L247" s="3055"/>
      <c r="M247" s="3055"/>
      <c r="N247" s="3055"/>
      <c r="O247" s="3055"/>
      <c r="P247" s="3055"/>
      <c r="Q247" s="3055"/>
      <c r="R247" s="3055">
        <f t="shared" si="3"/>
        <v>0</v>
      </c>
      <c r="S247" s="3055">
        <f t="shared" si="4"/>
        <v>0</v>
      </c>
      <c r="T247" s="3055">
        <f t="shared" si="5"/>
        <v>0</v>
      </c>
      <c r="U247" s="3055">
        <f t="shared" si="6"/>
        <v>0</v>
      </c>
      <c r="V247" s="3055">
        <f t="shared" si="7"/>
        <v>0</v>
      </c>
      <c r="W247" s="3055">
        <f t="shared" si="8"/>
        <v>0</v>
      </c>
      <c r="X247" s="3055">
        <f t="shared" si="9"/>
        <v>0</v>
      </c>
      <c r="Y247" s="3055">
        <f t="shared" si="10"/>
        <v>0</v>
      </c>
      <c r="Z247" s="3055">
        <f t="shared" si="11"/>
        <v>0</v>
      </c>
      <c r="AA247" s="3055">
        <f t="shared" si="12"/>
        <v>0</v>
      </c>
      <c r="AB247" s="3055">
        <f t="shared" si="13"/>
        <v>0</v>
      </c>
      <c r="AC247" s="3055">
        <f t="shared" si="14"/>
        <v>0</v>
      </c>
      <c r="AD247" s="3056"/>
      <c r="AE247" s="3057">
        <f t="shared" si="0"/>
      </c>
      <c r="AF247" s="3054"/>
      <c r="AG247" s="3054"/>
      <c r="AH247" s="3055"/>
      <c r="AI247" s="3055"/>
      <c r="AJ247" s="3055"/>
      <c r="AK247" s="3055"/>
      <c r="AL247" s="3055"/>
      <c r="AM247" s="3055"/>
      <c r="AN247" s="3055"/>
      <c r="AO247" s="3055"/>
      <c r="AP247" s="3055"/>
      <c r="AQ247" s="3055"/>
      <c r="AR247" s="3055"/>
      <c r="AS247" s="3055"/>
      <c r="AT247" s="3055"/>
      <c r="AU247" s="3056"/>
      <c r="AV247" s="3057">
        <f t="shared" si="15"/>
      </c>
      <c r="AW247" s="3054"/>
      <c r="AX247" s="3054"/>
      <c r="AY247" s="3055"/>
      <c r="AZ247" s="3055"/>
      <c r="BA247" s="3055"/>
      <c r="BB247" s="3055"/>
      <c r="BC247" s="3055"/>
      <c r="BD247" s="3055"/>
      <c r="BE247" s="3055"/>
      <c r="BF247" s="3055"/>
      <c r="BG247" s="3055"/>
      <c r="BH247" s="3055"/>
      <c r="BI247" s="3055"/>
      <c r="BJ247" s="3055"/>
      <c r="BK247" s="3055"/>
      <c r="BL247" s="3056"/>
      <c r="BM247" s="3057">
        <f t="shared" si="16"/>
      </c>
      <c r="BN247" s="3054"/>
      <c r="BO247" s="3054"/>
      <c r="BP247" s="3055"/>
      <c r="BQ247" s="3055"/>
      <c r="BR247" s="3055"/>
      <c r="BS247" s="3055"/>
      <c r="BT247" s="3055"/>
      <c r="BU247" s="3055"/>
      <c r="BV247" s="3055"/>
      <c r="BW247" s="3055"/>
      <c r="BX247" s="3055"/>
      <c r="BY247" s="3055"/>
      <c r="BZ247" s="3055"/>
      <c r="CA247" s="3055"/>
      <c r="CB247" s="3055"/>
      <c r="CC247" s="3056"/>
      <c r="CD247" s="3057">
        <f t="shared" si="0"/>
      </c>
      <c r="CE247" s="3054"/>
      <c r="CF247" s="3054"/>
      <c r="CG247" s="3055"/>
      <c r="CH247" s="3055"/>
      <c r="CI247" s="3055"/>
      <c r="CJ247" s="3055"/>
      <c r="CK247" s="3055"/>
      <c r="CL247" s="3055"/>
      <c r="CM247" s="3055"/>
      <c r="CN247" s="3055"/>
      <c r="CO247" s="3055"/>
      <c r="CP247" s="3055"/>
      <c r="CQ247" s="3055"/>
      <c r="CR247" s="3055"/>
      <c r="CS247" s="3055"/>
      <c r="CU247" s="3054"/>
      <c r="CV247" s="696"/>
      <c r="CW247" s="696"/>
      <c r="CZ247" s="3060">
        <f t="shared" si="17"/>
      </c>
      <c r="DA247" s="3060">
        <f t="shared" si="1"/>
      </c>
      <c r="DB247" s="3060">
        <f t="shared" si="18"/>
      </c>
      <c r="DC247" s="3060">
        <f t="shared" si="19"/>
      </c>
      <c r="DD247" s="3060">
        <f t="shared" si="20"/>
      </c>
      <c r="DE247" s="3060">
        <f t="shared" si="21"/>
      </c>
      <c r="DF247" s="3060">
        <f t="shared" si="22"/>
      </c>
      <c r="DG247" s="3060">
        <f t="shared" si="23"/>
      </c>
      <c r="DH247" s="3060">
        <f t="shared" si="24"/>
      </c>
      <c r="DI247" s="3060">
        <f t="shared" si="1"/>
      </c>
    </row>
    <row r="248" ht="15" customHeight="1" s="3052" customFormat="1">
      <c r="A248" s="3065"/>
      <c r="B248" s="3054">
        <f t="shared" si="2"/>
      </c>
      <c r="C248" s="3054"/>
      <c r="D248" s="3054"/>
      <c r="E248" s="3055"/>
      <c r="F248" s="3055"/>
      <c r="G248" s="3055"/>
      <c r="H248" s="3055"/>
      <c r="I248" s="3055"/>
      <c r="J248" s="3055"/>
      <c r="K248" s="3055"/>
      <c r="L248" s="3055"/>
      <c r="M248" s="3055"/>
      <c r="N248" s="3055"/>
      <c r="O248" s="3055"/>
      <c r="P248" s="3055"/>
      <c r="Q248" s="3055"/>
      <c r="R248" s="3055">
        <f t="shared" si="3"/>
        <v>0</v>
      </c>
      <c r="S248" s="3055">
        <f t="shared" si="4"/>
        <v>0</v>
      </c>
      <c r="T248" s="3055">
        <f t="shared" si="5"/>
        <v>0</v>
      </c>
      <c r="U248" s="3055">
        <f t="shared" si="6"/>
        <v>0</v>
      </c>
      <c r="V248" s="3055">
        <f t="shared" si="7"/>
        <v>0</v>
      </c>
      <c r="W248" s="3055">
        <f t="shared" si="8"/>
        <v>0</v>
      </c>
      <c r="X248" s="3055">
        <f t="shared" si="9"/>
        <v>0</v>
      </c>
      <c r="Y248" s="3055">
        <f t="shared" si="10"/>
        <v>0</v>
      </c>
      <c r="Z248" s="3055">
        <f t="shared" si="11"/>
        <v>0</v>
      </c>
      <c r="AA248" s="3055">
        <f t="shared" si="12"/>
        <v>0</v>
      </c>
      <c r="AB248" s="3055">
        <f t="shared" si="13"/>
        <v>0</v>
      </c>
      <c r="AC248" s="3055">
        <f t="shared" si="14"/>
        <v>0</v>
      </c>
      <c r="AD248" s="3056"/>
      <c r="AE248" s="3057">
        <f t="shared" si="0"/>
      </c>
      <c r="AF248" s="3054"/>
      <c r="AG248" s="3054"/>
      <c r="AH248" s="3055"/>
      <c r="AI248" s="3055"/>
      <c r="AJ248" s="3055"/>
      <c r="AK248" s="3055"/>
      <c r="AL248" s="3055"/>
      <c r="AM248" s="3055"/>
      <c r="AN248" s="3055"/>
      <c r="AO248" s="3055"/>
      <c r="AP248" s="3055"/>
      <c r="AQ248" s="3055"/>
      <c r="AR248" s="3055"/>
      <c r="AS248" s="3055"/>
      <c r="AT248" s="3055"/>
      <c r="AU248" s="3056"/>
      <c r="AV248" s="3057">
        <f t="shared" si="15"/>
      </c>
      <c r="AW248" s="3054"/>
      <c r="AX248" s="3054"/>
      <c r="AY248" s="3055"/>
      <c r="AZ248" s="3055"/>
      <c r="BA248" s="3055"/>
      <c r="BB248" s="3055"/>
      <c r="BC248" s="3055"/>
      <c r="BD248" s="3055"/>
      <c r="BE248" s="3055"/>
      <c r="BF248" s="3055"/>
      <c r="BG248" s="3055"/>
      <c r="BH248" s="3055"/>
      <c r="BI248" s="3055"/>
      <c r="BJ248" s="3055"/>
      <c r="BK248" s="3055"/>
      <c r="BL248" s="3056"/>
      <c r="BM248" s="3057">
        <f t="shared" si="16"/>
      </c>
      <c r="BN248" s="3054"/>
      <c r="BO248" s="3054"/>
      <c r="BP248" s="3055"/>
      <c r="BQ248" s="3055"/>
      <c r="BR248" s="3055"/>
      <c r="BS248" s="3055"/>
      <c r="BT248" s="3055"/>
      <c r="BU248" s="3055"/>
      <c r="BV248" s="3055"/>
      <c r="BW248" s="3055"/>
      <c r="BX248" s="3055"/>
      <c r="BY248" s="3055"/>
      <c r="BZ248" s="3055"/>
      <c r="CA248" s="3055"/>
      <c r="CB248" s="3055"/>
      <c r="CC248" s="3056"/>
      <c r="CD248" s="3057">
        <f t="shared" si="0"/>
      </c>
      <c r="CE248" s="3054"/>
      <c r="CF248" s="3054"/>
      <c r="CG248" s="3055"/>
      <c r="CH248" s="3055"/>
      <c r="CI248" s="3055"/>
      <c r="CJ248" s="3055"/>
      <c r="CK248" s="3055"/>
      <c r="CL248" s="3055"/>
      <c r="CM248" s="3055"/>
      <c r="CN248" s="3055"/>
      <c r="CO248" s="3055"/>
      <c r="CP248" s="3055"/>
      <c r="CQ248" s="3055"/>
      <c r="CR248" s="3055"/>
      <c r="CS248" s="3055"/>
      <c r="CU248" s="3054"/>
      <c r="CV248" s="696"/>
      <c r="CW248" s="696"/>
      <c r="CZ248" s="3060">
        <f t="shared" si="17"/>
      </c>
      <c r="DA248" s="3060">
        <f t="shared" si="1"/>
      </c>
      <c r="DB248" s="3060">
        <f t="shared" si="18"/>
      </c>
      <c r="DC248" s="3060">
        <f t="shared" si="19"/>
      </c>
      <c r="DD248" s="3060">
        <f t="shared" si="20"/>
      </c>
      <c r="DE248" s="3060">
        <f t="shared" si="21"/>
      </c>
      <c r="DF248" s="3060">
        <f t="shared" si="22"/>
      </c>
      <c r="DG248" s="3060">
        <f t="shared" si="23"/>
      </c>
      <c r="DH248" s="3060">
        <f t="shared" si="24"/>
      </c>
      <c r="DI248" s="3060">
        <f t="shared" si="1"/>
      </c>
    </row>
    <row r="249" ht="15" customHeight="1" s="3052" customFormat="1">
      <c r="A249" s="3065"/>
      <c r="B249" s="3054">
        <f t="shared" si="2"/>
      </c>
      <c r="C249" s="3054"/>
      <c r="D249" s="3054"/>
      <c r="E249" s="3055"/>
      <c r="F249" s="3055"/>
      <c r="G249" s="3055"/>
      <c r="H249" s="3055"/>
      <c r="I249" s="3055"/>
      <c r="J249" s="3055"/>
      <c r="K249" s="3055"/>
      <c r="L249" s="3055"/>
      <c r="M249" s="3055"/>
      <c r="N249" s="3055"/>
      <c r="O249" s="3055"/>
      <c r="P249" s="3055"/>
      <c r="Q249" s="3055"/>
      <c r="R249" s="3055">
        <f t="shared" si="3"/>
        <v>0</v>
      </c>
      <c r="S249" s="3055">
        <f t="shared" si="4"/>
        <v>0</v>
      </c>
      <c r="T249" s="3055">
        <f t="shared" si="5"/>
        <v>0</v>
      </c>
      <c r="U249" s="3055">
        <f t="shared" si="6"/>
        <v>0</v>
      </c>
      <c r="V249" s="3055">
        <f t="shared" si="7"/>
        <v>0</v>
      </c>
      <c r="W249" s="3055">
        <f t="shared" si="8"/>
        <v>0</v>
      </c>
      <c r="X249" s="3055">
        <f t="shared" si="9"/>
        <v>0</v>
      </c>
      <c r="Y249" s="3055">
        <f t="shared" si="10"/>
        <v>0</v>
      </c>
      <c r="Z249" s="3055">
        <f t="shared" si="11"/>
        <v>0</v>
      </c>
      <c r="AA249" s="3055">
        <f t="shared" si="12"/>
        <v>0</v>
      </c>
      <c r="AB249" s="3055">
        <f t="shared" si="13"/>
        <v>0</v>
      </c>
      <c r="AC249" s="3055">
        <f t="shared" si="14"/>
        <v>0</v>
      </c>
      <c r="AD249" s="3056"/>
      <c r="AE249" s="3057">
        <f t="shared" si="0"/>
      </c>
      <c r="AF249" s="3054"/>
      <c r="AG249" s="3054"/>
      <c r="AH249" s="3055"/>
      <c r="AI249" s="3055"/>
      <c r="AJ249" s="3055"/>
      <c r="AK249" s="3055"/>
      <c r="AL249" s="3055"/>
      <c r="AM249" s="3055"/>
      <c r="AN249" s="3055"/>
      <c r="AO249" s="3055"/>
      <c r="AP249" s="3055"/>
      <c r="AQ249" s="3055"/>
      <c r="AR249" s="3055"/>
      <c r="AS249" s="3055"/>
      <c r="AT249" s="3055"/>
      <c r="AU249" s="3056"/>
      <c r="AV249" s="3057">
        <f t="shared" si="15"/>
      </c>
      <c r="AW249" s="3054"/>
      <c r="AX249" s="3054"/>
      <c r="AY249" s="3055"/>
      <c r="AZ249" s="3055"/>
      <c r="BA249" s="3055"/>
      <c r="BB249" s="3055"/>
      <c r="BC249" s="3055"/>
      <c r="BD249" s="3055"/>
      <c r="BE249" s="3055"/>
      <c r="BF249" s="3055"/>
      <c r="BG249" s="3055"/>
      <c r="BH249" s="3055"/>
      <c r="BI249" s="3055"/>
      <c r="BJ249" s="3055"/>
      <c r="BK249" s="3055"/>
      <c r="BL249" s="3056"/>
      <c r="BM249" s="3057">
        <f t="shared" si="16"/>
      </c>
      <c r="BN249" s="3054"/>
      <c r="BO249" s="3054"/>
      <c r="BP249" s="3055"/>
      <c r="BQ249" s="3055"/>
      <c r="BR249" s="3055"/>
      <c r="BS249" s="3055"/>
      <c r="BT249" s="3055"/>
      <c r="BU249" s="3055"/>
      <c r="BV249" s="3055"/>
      <c r="BW249" s="3055"/>
      <c r="BX249" s="3055"/>
      <c r="BY249" s="3055"/>
      <c r="BZ249" s="3055"/>
      <c r="CA249" s="3055"/>
      <c r="CB249" s="3055"/>
      <c r="CC249" s="3056"/>
      <c r="CD249" s="3057">
        <f t="shared" si="0"/>
      </c>
      <c r="CE249" s="3054"/>
      <c r="CF249" s="3054"/>
      <c r="CG249" s="3055"/>
      <c r="CH249" s="3055"/>
      <c r="CI249" s="3055"/>
      <c r="CJ249" s="3055"/>
      <c r="CK249" s="3055"/>
      <c r="CL249" s="3055"/>
      <c r="CM249" s="3055"/>
      <c r="CN249" s="3055"/>
      <c r="CO249" s="3055"/>
      <c r="CP249" s="3055"/>
      <c r="CQ249" s="3055"/>
      <c r="CR249" s="3055"/>
      <c r="CS249" s="3055"/>
      <c r="CU249" s="3054"/>
      <c r="CV249" s="696"/>
      <c r="CW249" s="696"/>
      <c r="CZ249" s="3060">
        <f t="shared" si="17"/>
      </c>
      <c r="DA249" s="3060">
        <f t="shared" si="1"/>
      </c>
      <c r="DB249" s="3060">
        <f t="shared" si="18"/>
      </c>
      <c r="DC249" s="3060">
        <f t="shared" si="19"/>
      </c>
      <c r="DD249" s="3060">
        <f t="shared" si="20"/>
      </c>
      <c r="DE249" s="3060">
        <f t="shared" si="21"/>
      </c>
      <c r="DF249" s="3060">
        <f t="shared" si="22"/>
      </c>
      <c r="DG249" s="3060">
        <f t="shared" si="23"/>
      </c>
      <c r="DH249" s="3060">
        <f t="shared" si="24"/>
      </c>
      <c r="DI249" s="3060">
        <f t="shared" si="1"/>
      </c>
    </row>
    <row r="250" ht="15" customHeight="1" s="3052" customFormat="1">
      <c r="A250" s="3065"/>
      <c r="B250" s="3054">
        <f t="shared" si="2"/>
      </c>
      <c r="C250" s="3054"/>
      <c r="D250" s="3054"/>
      <c r="E250" s="3055"/>
      <c r="F250" s="3055"/>
      <c r="G250" s="3055"/>
      <c r="H250" s="3055"/>
      <c r="I250" s="3055"/>
      <c r="J250" s="3055"/>
      <c r="K250" s="3055"/>
      <c r="L250" s="3055"/>
      <c r="M250" s="3055"/>
      <c r="N250" s="3055"/>
      <c r="O250" s="3055"/>
      <c r="P250" s="3055"/>
      <c r="Q250" s="3055"/>
      <c r="R250" s="3055">
        <f t="shared" si="3"/>
        <v>0</v>
      </c>
      <c r="S250" s="3055">
        <f t="shared" si="4"/>
        <v>0</v>
      </c>
      <c r="T250" s="3055">
        <f t="shared" si="5"/>
        <v>0</v>
      </c>
      <c r="U250" s="3055">
        <f t="shared" si="6"/>
        <v>0</v>
      </c>
      <c r="V250" s="3055">
        <f t="shared" si="7"/>
        <v>0</v>
      </c>
      <c r="W250" s="3055">
        <f t="shared" si="8"/>
        <v>0</v>
      </c>
      <c r="X250" s="3055">
        <f t="shared" si="9"/>
        <v>0</v>
      </c>
      <c r="Y250" s="3055">
        <f t="shared" si="10"/>
        <v>0</v>
      </c>
      <c r="Z250" s="3055">
        <f t="shared" si="11"/>
        <v>0</v>
      </c>
      <c r="AA250" s="3055">
        <f t="shared" si="12"/>
        <v>0</v>
      </c>
      <c r="AB250" s="3055">
        <f t="shared" si="13"/>
        <v>0</v>
      </c>
      <c r="AC250" s="3055">
        <f t="shared" si="14"/>
        <v>0</v>
      </c>
      <c r="AD250" s="3056"/>
      <c r="AE250" s="3057">
        <f t="shared" si="0"/>
      </c>
      <c r="AF250" s="3054"/>
      <c r="AG250" s="3054"/>
      <c r="AH250" s="3055"/>
      <c r="AI250" s="3055"/>
      <c r="AJ250" s="3055"/>
      <c r="AK250" s="3055"/>
      <c r="AL250" s="3055"/>
      <c r="AM250" s="3055"/>
      <c r="AN250" s="3055"/>
      <c r="AO250" s="3055"/>
      <c r="AP250" s="3055"/>
      <c r="AQ250" s="3055"/>
      <c r="AR250" s="3055"/>
      <c r="AS250" s="3055"/>
      <c r="AT250" s="3055"/>
      <c r="AU250" s="3056"/>
      <c r="AV250" s="3057">
        <f t="shared" si="15"/>
      </c>
      <c r="AW250" s="3054"/>
      <c r="AX250" s="3054"/>
      <c r="AY250" s="3055"/>
      <c r="AZ250" s="3055"/>
      <c r="BA250" s="3055"/>
      <c r="BB250" s="3055"/>
      <c r="BC250" s="3055"/>
      <c r="BD250" s="3055"/>
      <c r="BE250" s="3055"/>
      <c r="BF250" s="3055"/>
      <c r="BG250" s="3055"/>
      <c r="BH250" s="3055"/>
      <c r="BI250" s="3055"/>
      <c r="BJ250" s="3055"/>
      <c r="BK250" s="3055"/>
      <c r="BL250" s="3056"/>
      <c r="BM250" s="3057">
        <f t="shared" si="16"/>
      </c>
      <c r="BN250" s="3054"/>
      <c r="BO250" s="3054"/>
      <c r="BP250" s="3055"/>
      <c r="BQ250" s="3055"/>
      <c r="BR250" s="3055"/>
      <c r="BS250" s="3055"/>
      <c r="BT250" s="3055"/>
      <c r="BU250" s="3055"/>
      <c r="BV250" s="3055"/>
      <c r="BW250" s="3055"/>
      <c r="BX250" s="3055"/>
      <c r="BY250" s="3055"/>
      <c r="BZ250" s="3055"/>
      <c r="CA250" s="3055"/>
      <c r="CB250" s="3055"/>
      <c r="CC250" s="3056"/>
      <c r="CD250" s="3057">
        <f t="shared" si="0"/>
      </c>
      <c r="CE250" s="3054"/>
      <c r="CF250" s="3054"/>
      <c r="CG250" s="3055"/>
      <c r="CH250" s="3055"/>
      <c r="CI250" s="3055"/>
      <c r="CJ250" s="3055"/>
      <c r="CK250" s="3055"/>
      <c r="CL250" s="3055"/>
      <c r="CM250" s="3055"/>
      <c r="CN250" s="3055"/>
      <c r="CO250" s="3055"/>
      <c r="CP250" s="3055"/>
      <c r="CQ250" s="3055"/>
      <c r="CR250" s="3055"/>
      <c r="CS250" s="3055"/>
      <c r="CU250" s="3054"/>
      <c r="CV250" s="696"/>
      <c r="CW250" s="696"/>
      <c r="CZ250" s="3060">
        <f t="shared" si="17"/>
      </c>
      <c r="DA250" s="3060">
        <f t="shared" si="1"/>
      </c>
      <c r="DB250" s="3060">
        <f t="shared" si="18"/>
      </c>
      <c r="DC250" s="3060">
        <f t="shared" si="19"/>
      </c>
      <c r="DD250" s="3060">
        <f t="shared" si="20"/>
      </c>
      <c r="DE250" s="3060">
        <f t="shared" si="21"/>
      </c>
      <c r="DF250" s="3060">
        <f t="shared" si="22"/>
      </c>
      <c r="DG250" s="3060">
        <f t="shared" si="23"/>
      </c>
      <c r="DH250" s="3060">
        <f t="shared" si="24"/>
      </c>
      <c r="DI250" s="3060">
        <f t="shared" si="1"/>
      </c>
    </row>
    <row r="251" ht="15" customHeight="1" s="3052" customFormat="1">
      <c r="A251" s="3065"/>
      <c r="B251" s="3054">
        <f t="shared" si="2"/>
      </c>
      <c r="C251" s="3054"/>
      <c r="D251" s="3054"/>
      <c r="E251" s="3055"/>
      <c r="F251" s="3055"/>
      <c r="G251" s="3055"/>
      <c r="H251" s="3055"/>
      <c r="I251" s="3055"/>
      <c r="J251" s="3055"/>
      <c r="K251" s="3055"/>
      <c r="L251" s="3055"/>
      <c r="M251" s="3055"/>
      <c r="N251" s="3055"/>
      <c r="O251" s="3055"/>
      <c r="P251" s="3055"/>
      <c r="Q251" s="3055"/>
      <c r="R251" s="3055">
        <f t="shared" si="3"/>
        <v>0</v>
      </c>
      <c r="S251" s="3055">
        <f t="shared" si="4"/>
        <v>0</v>
      </c>
      <c r="T251" s="3055">
        <f t="shared" si="5"/>
        <v>0</v>
      </c>
      <c r="U251" s="3055">
        <f t="shared" si="6"/>
        <v>0</v>
      </c>
      <c r="V251" s="3055">
        <f t="shared" si="7"/>
        <v>0</v>
      </c>
      <c r="W251" s="3055">
        <f t="shared" si="8"/>
        <v>0</v>
      </c>
      <c r="X251" s="3055">
        <f t="shared" si="9"/>
        <v>0</v>
      </c>
      <c r="Y251" s="3055">
        <f t="shared" si="10"/>
        <v>0</v>
      </c>
      <c r="Z251" s="3055">
        <f t="shared" si="11"/>
        <v>0</v>
      </c>
      <c r="AA251" s="3055">
        <f t="shared" si="12"/>
        <v>0</v>
      </c>
      <c r="AB251" s="3055">
        <f t="shared" si="13"/>
        <v>0</v>
      </c>
      <c r="AC251" s="3055">
        <f t="shared" si="14"/>
        <v>0</v>
      </c>
      <c r="AD251" s="3056"/>
      <c r="AE251" s="3057">
        <f t="shared" si="0"/>
      </c>
      <c r="AF251" s="3054"/>
      <c r="AG251" s="3054"/>
      <c r="AH251" s="3055"/>
      <c r="AI251" s="3055"/>
      <c r="AJ251" s="3055"/>
      <c r="AK251" s="3055"/>
      <c r="AL251" s="3055"/>
      <c r="AM251" s="3055"/>
      <c r="AN251" s="3055"/>
      <c r="AO251" s="3055"/>
      <c r="AP251" s="3055"/>
      <c r="AQ251" s="3055"/>
      <c r="AR251" s="3055"/>
      <c r="AS251" s="3055"/>
      <c r="AT251" s="3055"/>
      <c r="AU251" s="3056"/>
      <c r="AV251" s="3057">
        <f t="shared" si="15"/>
      </c>
      <c r="AW251" s="3054"/>
      <c r="AX251" s="3054"/>
      <c r="AY251" s="3055"/>
      <c r="AZ251" s="3055"/>
      <c r="BA251" s="3055"/>
      <c r="BB251" s="3055"/>
      <c r="BC251" s="3055"/>
      <c r="BD251" s="3055"/>
      <c r="BE251" s="3055"/>
      <c r="BF251" s="3055"/>
      <c r="BG251" s="3055"/>
      <c r="BH251" s="3055"/>
      <c r="BI251" s="3055"/>
      <c r="BJ251" s="3055"/>
      <c r="BK251" s="3055"/>
      <c r="BL251" s="3056"/>
      <c r="BM251" s="3057">
        <f t="shared" si="16"/>
      </c>
      <c r="BN251" s="3054"/>
      <c r="BO251" s="3054"/>
      <c r="BP251" s="3055"/>
      <c r="BQ251" s="3055"/>
      <c r="BR251" s="3055"/>
      <c r="BS251" s="3055"/>
      <c r="BT251" s="3055"/>
      <c r="BU251" s="3055"/>
      <c r="BV251" s="3055"/>
      <c r="BW251" s="3055"/>
      <c r="BX251" s="3055"/>
      <c r="BY251" s="3055"/>
      <c r="BZ251" s="3055"/>
      <c r="CA251" s="3055"/>
      <c r="CB251" s="3055"/>
      <c r="CC251" s="3056"/>
      <c r="CD251" s="3057">
        <f t="shared" si="0"/>
      </c>
      <c r="CE251" s="3054"/>
      <c r="CF251" s="3054"/>
      <c r="CG251" s="3055"/>
      <c r="CH251" s="3055"/>
      <c r="CI251" s="3055"/>
      <c r="CJ251" s="3055"/>
      <c r="CK251" s="3055"/>
      <c r="CL251" s="3055"/>
      <c r="CM251" s="3055"/>
      <c r="CN251" s="3055"/>
      <c r="CO251" s="3055"/>
      <c r="CP251" s="3055"/>
      <c r="CQ251" s="3055"/>
      <c r="CR251" s="3055"/>
      <c r="CS251" s="3055"/>
      <c r="CU251" s="3054"/>
      <c r="CV251" s="696"/>
      <c r="CW251" s="696"/>
      <c r="CZ251" s="3060">
        <f t="shared" si="17"/>
      </c>
      <c r="DA251" s="3060">
        <f t="shared" si="1"/>
      </c>
      <c r="DB251" s="3060">
        <f t="shared" si="18"/>
      </c>
      <c r="DC251" s="3060">
        <f t="shared" si="19"/>
      </c>
      <c r="DD251" s="3060">
        <f t="shared" si="20"/>
      </c>
      <c r="DE251" s="3060">
        <f t="shared" si="21"/>
      </c>
      <c r="DF251" s="3060">
        <f t="shared" si="22"/>
      </c>
      <c r="DG251" s="3060">
        <f t="shared" si="23"/>
      </c>
      <c r="DH251" s="3060">
        <f t="shared" si="24"/>
      </c>
      <c r="DI251" s="3060">
        <f t="shared" si="1"/>
      </c>
    </row>
    <row r="252" ht="15" customHeight="1" s="3052" customFormat="1">
      <c r="A252" s="3065"/>
      <c r="B252" s="3054">
        <f t="shared" si="2"/>
      </c>
      <c r="C252" s="3054"/>
      <c r="D252" s="3054"/>
      <c r="E252" s="3055"/>
      <c r="F252" s="3055"/>
      <c r="G252" s="3055"/>
      <c r="H252" s="3055"/>
      <c r="I252" s="3055"/>
      <c r="J252" s="3055"/>
      <c r="K252" s="3055"/>
      <c r="L252" s="3055"/>
      <c r="M252" s="3055"/>
      <c r="N252" s="3055"/>
      <c r="O252" s="3055"/>
      <c r="P252" s="3055"/>
      <c r="Q252" s="3055"/>
      <c r="R252" s="3055">
        <f t="shared" si="3"/>
        <v>0</v>
      </c>
      <c r="S252" s="3055">
        <f t="shared" si="4"/>
        <v>0</v>
      </c>
      <c r="T252" s="3055">
        <f t="shared" si="5"/>
        <v>0</v>
      </c>
      <c r="U252" s="3055">
        <f t="shared" si="6"/>
        <v>0</v>
      </c>
      <c r="V252" s="3055">
        <f t="shared" si="7"/>
        <v>0</v>
      </c>
      <c r="W252" s="3055">
        <f t="shared" si="8"/>
        <v>0</v>
      </c>
      <c r="X252" s="3055">
        <f t="shared" si="9"/>
        <v>0</v>
      </c>
      <c r="Y252" s="3055">
        <f t="shared" si="10"/>
        <v>0</v>
      </c>
      <c r="Z252" s="3055">
        <f t="shared" si="11"/>
        <v>0</v>
      </c>
      <c r="AA252" s="3055">
        <f t="shared" si="12"/>
        <v>0</v>
      </c>
      <c r="AB252" s="3055">
        <f t="shared" si="13"/>
        <v>0</v>
      </c>
      <c r="AC252" s="3055">
        <f t="shared" si="14"/>
        <v>0</v>
      </c>
      <c r="AD252" s="3056"/>
      <c r="AE252" s="3057">
        <f t="shared" si="0"/>
      </c>
      <c r="AF252" s="3054"/>
      <c r="AG252" s="3054"/>
      <c r="AH252" s="3055"/>
      <c r="AI252" s="3055"/>
      <c r="AJ252" s="3055"/>
      <c r="AK252" s="3055"/>
      <c r="AL252" s="3055"/>
      <c r="AM252" s="3055"/>
      <c r="AN252" s="3055"/>
      <c r="AO252" s="3055"/>
      <c r="AP252" s="3055"/>
      <c r="AQ252" s="3055"/>
      <c r="AR252" s="3055"/>
      <c r="AS252" s="3055"/>
      <c r="AT252" s="3055"/>
      <c r="AU252" s="3056"/>
      <c r="AV252" s="3057">
        <f t="shared" si="15"/>
      </c>
      <c r="AW252" s="3054"/>
      <c r="AX252" s="3054"/>
      <c r="AY252" s="3055"/>
      <c r="AZ252" s="3055"/>
      <c r="BA252" s="3055"/>
      <c r="BB252" s="3055"/>
      <c r="BC252" s="3055"/>
      <c r="BD252" s="3055"/>
      <c r="BE252" s="3055"/>
      <c r="BF252" s="3055"/>
      <c r="BG252" s="3055"/>
      <c r="BH252" s="3055"/>
      <c r="BI252" s="3055"/>
      <c r="BJ252" s="3055"/>
      <c r="BK252" s="3055"/>
      <c r="BL252" s="3056"/>
      <c r="BM252" s="3057">
        <f t="shared" si="16"/>
      </c>
      <c r="BN252" s="3054"/>
      <c r="BO252" s="3054"/>
      <c r="BP252" s="3055"/>
      <c r="BQ252" s="3055"/>
      <c r="BR252" s="3055"/>
      <c r="BS252" s="3055"/>
      <c r="BT252" s="3055"/>
      <c r="BU252" s="3055"/>
      <c r="BV252" s="3055"/>
      <c r="BW252" s="3055"/>
      <c r="BX252" s="3055"/>
      <c r="BY252" s="3055"/>
      <c r="BZ252" s="3055"/>
      <c r="CA252" s="3055"/>
      <c r="CB252" s="3055"/>
      <c r="CC252" s="3056"/>
      <c r="CD252" s="3057">
        <f t="shared" si="0"/>
      </c>
      <c r="CE252" s="3054"/>
      <c r="CF252" s="3054"/>
      <c r="CG252" s="3055"/>
      <c r="CH252" s="3055"/>
      <c r="CI252" s="3055"/>
      <c r="CJ252" s="3055"/>
      <c r="CK252" s="3055"/>
      <c r="CL252" s="3055"/>
      <c r="CM252" s="3055"/>
      <c r="CN252" s="3055"/>
      <c r="CO252" s="3055"/>
      <c r="CP252" s="3055"/>
      <c r="CQ252" s="3055"/>
      <c r="CR252" s="3055"/>
      <c r="CS252" s="3055"/>
      <c r="CU252" s="3054"/>
      <c r="CV252" s="696"/>
      <c r="CW252" s="696"/>
      <c r="CZ252" s="3060">
        <f t="shared" si="17"/>
      </c>
      <c r="DA252" s="3060">
        <f t="shared" si="1"/>
      </c>
      <c r="DB252" s="3060">
        <f t="shared" si="18"/>
      </c>
      <c r="DC252" s="3060">
        <f t="shared" si="19"/>
      </c>
      <c r="DD252" s="3060">
        <f t="shared" si="20"/>
      </c>
      <c r="DE252" s="3060">
        <f t="shared" si="21"/>
      </c>
      <c r="DF252" s="3060">
        <f t="shared" si="22"/>
      </c>
      <c r="DG252" s="3060">
        <f t="shared" si="23"/>
      </c>
      <c r="DH252" s="3060">
        <f t="shared" si="24"/>
      </c>
      <c r="DI252" s="3060">
        <f t="shared" si="1"/>
      </c>
    </row>
    <row r="253" ht="15" customHeight="1" s="3052" customFormat="1">
      <c r="A253" s="3065"/>
      <c r="B253" s="3054">
        <f t="shared" si="2"/>
      </c>
      <c r="C253" s="3054"/>
      <c r="D253" s="3054"/>
      <c r="E253" s="3055"/>
      <c r="F253" s="3055"/>
      <c r="G253" s="3055"/>
      <c r="H253" s="3055"/>
      <c r="I253" s="3055"/>
      <c r="J253" s="3055"/>
      <c r="K253" s="3055"/>
      <c r="L253" s="3055"/>
      <c r="M253" s="3055"/>
      <c r="N253" s="3055"/>
      <c r="O253" s="3055"/>
      <c r="P253" s="3055"/>
      <c r="Q253" s="3055"/>
      <c r="R253" s="3055">
        <f t="shared" si="3"/>
        <v>0</v>
      </c>
      <c r="S253" s="3055">
        <f t="shared" si="4"/>
        <v>0</v>
      </c>
      <c r="T253" s="3055">
        <f t="shared" si="5"/>
        <v>0</v>
      </c>
      <c r="U253" s="3055">
        <f t="shared" si="6"/>
        <v>0</v>
      </c>
      <c r="V253" s="3055">
        <f t="shared" si="7"/>
        <v>0</v>
      </c>
      <c r="W253" s="3055">
        <f t="shared" si="8"/>
        <v>0</v>
      </c>
      <c r="X253" s="3055">
        <f t="shared" si="9"/>
        <v>0</v>
      </c>
      <c r="Y253" s="3055">
        <f t="shared" si="10"/>
        <v>0</v>
      </c>
      <c r="Z253" s="3055">
        <f t="shared" si="11"/>
        <v>0</v>
      </c>
      <c r="AA253" s="3055">
        <f t="shared" si="12"/>
        <v>0</v>
      </c>
      <c r="AB253" s="3055">
        <f t="shared" si="13"/>
        <v>0</v>
      </c>
      <c r="AC253" s="3055">
        <f t="shared" si="14"/>
        <v>0</v>
      </c>
      <c r="AD253" s="3056"/>
      <c r="AE253" s="3057">
        <f t="shared" si="0"/>
      </c>
      <c r="AF253" s="3054"/>
      <c r="AG253" s="3054"/>
      <c r="AH253" s="3055"/>
      <c r="AI253" s="3055"/>
      <c r="AJ253" s="3055"/>
      <c r="AK253" s="3055"/>
      <c r="AL253" s="3055"/>
      <c r="AM253" s="3055"/>
      <c r="AN253" s="3055"/>
      <c r="AO253" s="3055"/>
      <c r="AP253" s="3055"/>
      <c r="AQ253" s="3055"/>
      <c r="AR253" s="3055"/>
      <c r="AS253" s="3055"/>
      <c r="AT253" s="3055"/>
      <c r="AU253" s="3056"/>
      <c r="AV253" s="3057">
        <f t="shared" si="15"/>
      </c>
      <c r="AW253" s="3054"/>
      <c r="AX253" s="3054"/>
      <c r="AY253" s="3055"/>
      <c r="AZ253" s="3055"/>
      <c r="BA253" s="3055"/>
      <c r="BB253" s="3055"/>
      <c r="BC253" s="3055"/>
      <c r="BD253" s="3055"/>
      <c r="BE253" s="3055"/>
      <c r="BF253" s="3055"/>
      <c r="BG253" s="3055"/>
      <c r="BH253" s="3055"/>
      <c r="BI253" s="3055"/>
      <c r="BJ253" s="3055"/>
      <c r="BK253" s="3055"/>
      <c r="BL253" s="3056"/>
      <c r="BM253" s="3057">
        <f t="shared" si="16"/>
      </c>
      <c r="BN253" s="3054"/>
      <c r="BO253" s="3054"/>
      <c r="BP253" s="3055"/>
      <c r="BQ253" s="3055"/>
      <c r="BR253" s="3055"/>
      <c r="BS253" s="3055"/>
      <c r="BT253" s="3055"/>
      <c r="BU253" s="3055"/>
      <c r="BV253" s="3055"/>
      <c r="BW253" s="3055"/>
      <c r="BX253" s="3055"/>
      <c r="BY253" s="3055"/>
      <c r="BZ253" s="3055"/>
      <c r="CA253" s="3055"/>
      <c r="CB253" s="3055"/>
      <c r="CC253" s="3056"/>
      <c r="CD253" s="3057">
        <f t="shared" si="0"/>
      </c>
      <c r="CE253" s="3054"/>
      <c r="CF253" s="3054"/>
      <c r="CG253" s="3055"/>
      <c r="CH253" s="3055"/>
      <c r="CI253" s="3055"/>
      <c r="CJ253" s="3055"/>
      <c r="CK253" s="3055"/>
      <c r="CL253" s="3055"/>
      <c r="CM253" s="3055"/>
      <c r="CN253" s="3055"/>
      <c r="CO253" s="3055"/>
      <c r="CP253" s="3055"/>
      <c r="CQ253" s="3055"/>
      <c r="CR253" s="3055"/>
      <c r="CS253" s="3055"/>
      <c r="CU253" s="3054"/>
      <c r="CV253" s="696"/>
      <c r="CW253" s="696"/>
      <c r="CZ253" s="3060">
        <f t="shared" si="17"/>
      </c>
      <c r="DA253" s="3060">
        <f t="shared" si="1"/>
      </c>
      <c r="DB253" s="3060">
        <f t="shared" si="18"/>
      </c>
      <c r="DC253" s="3060">
        <f t="shared" si="19"/>
      </c>
      <c r="DD253" s="3060">
        <f t="shared" si="20"/>
      </c>
      <c r="DE253" s="3060">
        <f t="shared" si="21"/>
      </c>
      <c r="DF253" s="3060">
        <f t="shared" si="22"/>
      </c>
      <c r="DG253" s="3060">
        <f t="shared" si="23"/>
      </c>
      <c r="DH253" s="3060">
        <f t="shared" si="24"/>
      </c>
      <c r="DI253" s="3060">
        <f t="shared" si="1"/>
      </c>
    </row>
    <row r="254" ht="15" customHeight="1" s="3052" customFormat="1">
      <c r="A254" s="3065"/>
      <c r="B254" s="3054">
        <f t="shared" si="2"/>
      </c>
      <c r="C254" s="3054"/>
      <c r="D254" s="3054"/>
      <c r="E254" s="3055"/>
      <c r="F254" s="3055"/>
      <c r="G254" s="3055"/>
      <c r="H254" s="3055"/>
      <c r="I254" s="3055"/>
      <c r="J254" s="3055"/>
      <c r="K254" s="3055"/>
      <c r="L254" s="3055"/>
      <c r="M254" s="3055"/>
      <c r="N254" s="3055"/>
      <c r="O254" s="3055"/>
      <c r="P254" s="3055"/>
      <c r="Q254" s="3055"/>
      <c r="R254" s="3055">
        <f t="shared" si="3"/>
        <v>0</v>
      </c>
      <c r="S254" s="3055">
        <f t="shared" si="4"/>
        <v>0</v>
      </c>
      <c r="T254" s="3055">
        <f t="shared" si="5"/>
        <v>0</v>
      </c>
      <c r="U254" s="3055">
        <f t="shared" si="6"/>
        <v>0</v>
      </c>
      <c r="V254" s="3055">
        <f t="shared" si="7"/>
        <v>0</v>
      </c>
      <c r="W254" s="3055">
        <f t="shared" si="8"/>
        <v>0</v>
      </c>
      <c r="X254" s="3055">
        <f t="shared" si="9"/>
        <v>0</v>
      </c>
      <c r="Y254" s="3055">
        <f t="shared" si="10"/>
        <v>0</v>
      </c>
      <c r="Z254" s="3055">
        <f t="shared" si="11"/>
        <v>0</v>
      </c>
      <c r="AA254" s="3055">
        <f t="shared" si="12"/>
        <v>0</v>
      </c>
      <c r="AB254" s="3055">
        <f t="shared" si="13"/>
        <v>0</v>
      </c>
      <c r="AC254" s="3055">
        <f t="shared" si="14"/>
        <v>0</v>
      </c>
      <c r="AD254" s="3056"/>
      <c r="AE254" s="3057">
        <f t="shared" si="0"/>
      </c>
      <c r="AF254" s="3054"/>
      <c r="AG254" s="3054"/>
      <c r="AH254" s="3055"/>
      <c r="AI254" s="3055"/>
      <c r="AJ254" s="3055"/>
      <c r="AK254" s="3055"/>
      <c r="AL254" s="3055"/>
      <c r="AM254" s="3055"/>
      <c r="AN254" s="3055"/>
      <c r="AO254" s="3055"/>
      <c r="AP254" s="3055"/>
      <c r="AQ254" s="3055"/>
      <c r="AR254" s="3055"/>
      <c r="AS254" s="3055"/>
      <c r="AT254" s="3055"/>
      <c r="AU254" s="3056"/>
      <c r="AV254" s="3057">
        <f t="shared" si="15"/>
      </c>
      <c r="AW254" s="3054"/>
      <c r="AX254" s="3054"/>
      <c r="AY254" s="3055"/>
      <c r="AZ254" s="3055"/>
      <c r="BA254" s="3055"/>
      <c r="BB254" s="3055"/>
      <c r="BC254" s="3055"/>
      <c r="BD254" s="3055"/>
      <c r="BE254" s="3055"/>
      <c r="BF254" s="3055"/>
      <c r="BG254" s="3055"/>
      <c r="BH254" s="3055"/>
      <c r="BI254" s="3055"/>
      <c r="BJ254" s="3055"/>
      <c r="BK254" s="3055"/>
      <c r="BL254" s="3056"/>
      <c r="BM254" s="3057">
        <f t="shared" si="16"/>
      </c>
      <c r="BN254" s="3054"/>
      <c r="BO254" s="3054"/>
      <c r="BP254" s="3055"/>
      <c r="BQ254" s="3055"/>
      <c r="BR254" s="3055"/>
      <c r="BS254" s="3055"/>
      <c r="BT254" s="3055"/>
      <c r="BU254" s="3055"/>
      <c r="BV254" s="3055"/>
      <c r="BW254" s="3055"/>
      <c r="BX254" s="3055"/>
      <c r="BY254" s="3055"/>
      <c r="BZ254" s="3055"/>
      <c r="CA254" s="3055"/>
      <c r="CB254" s="3055"/>
      <c r="CC254" s="3056"/>
      <c r="CD254" s="3057">
        <f t="shared" si="0"/>
      </c>
      <c r="CE254" s="3054"/>
      <c r="CF254" s="3054"/>
      <c r="CG254" s="3055"/>
      <c r="CH254" s="3055"/>
      <c r="CI254" s="3055"/>
      <c r="CJ254" s="3055"/>
      <c r="CK254" s="3055"/>
      <c r="CL254" s="3055"/>
      <c r="CM254" s="3055"/>
      <c r="CN254" s="3055"/>
      <c r="CO254" s="3055"/>
      <c r="CP254" s="3055"/>
      <c r="CQ254" s="3055"/>
      <c r="CR254" s="3055"/>
      <c r="CS254" s="3055"/>
      <c r="CU254" s="3054"/>
      <c r="CV254" s="696"/>
      <c r="CW254" s="696"/>
      <c r="CZ254" s="3060">
        <f t="shared" si="17"/>
      </c>
      <c r="DA254" s="3060">
        <f t="shared" si="1"/>
      </c>
      <c r="DB254" s="3060">
        <f t="shared" si="18"/>
      </c>
      <c r="DC254" s="3060">
        <f t="shared" si="19"/>
      </c>
      <c r="DD254" s="3060">
        <f t="shared" si="20"/>
      </c>
      <c r="DE254" s="3060">
        <f t="shared" si="21"/>
      </c>
      <c r="DF254" s="3060">
        <f t="shared" si="22"/>
      </c>
      <c r="DG254" s="3060">
        <f t="shared" si="23"/>
      </c>
      <c r="DH254" s="3060">
        <f t="shared" si="24"/>
      </c>
      <c r="DI254" s="3060">
        <f t="shared" si="1"/>
      </c>
    </row>
    <row r="255" ht="15" customHeight="1" s="3052" customFormat="1">
      <c r="A255" s="3065"/>
      <c r="B255" s="3054">
        <f t="shared" si="2"/>
      </c>
      <c r="C255" s="3054"/>
      <c r="D255" s="3054"/>
      <c r="E255" s="3055"/>
      <c r="F255" s="3055"/>
      <c r="G255" s="3055"/>
      <c r="H255" s="3055"/>
      <c r="I255" s="3055"/>
      <c r="J255" s="3055"/>
      <c r="K255" s="3055"/>
      <c r="L255" s="3055"/>
      <c r="M255" s="3055"/>
      <c r="N255" s="3055"/>
      <c r="O255" s="3055"/>
      <c r="P255" s="3055"/>
      <c r="Q255" s="3055"/>
      <c r="R255" s="3055">
        <f t="shared" si="3"/>
        <v>0</v>
      </c>
      <c r="S255" s="3055">
        <f t="shared" si="4"/>
        <v>0</v>
      </c>
      <c r="T255" s="3055">
        <f t="shared" si="5"/>
        <v>0</v>
      </c>
      <c r="U255" s="3055">
        <f t="shared" si="6"/>
        <v>0</v>
      </c>
      <c r="V255" s="3055">
        <f t="shared" si="7"/>
        <v>0</v>
      </c>
      <c r="W255" s="3055">
        <f t="shared" si="8"/>
        <v>0</v>
      </c>
      <c r="X255" s="3055">
        <f t="shared" si="9"/>
        <v>0</v>
      </c>
      <c r="Y255" s="3055">
        <f t="shared" si="10"/>
        <v>0</v>
      </c>
      <c r="Z255" s="3055">
        <f t="shared" si="11"/>
        <v>0</v>
      </c>
      <c r="AA255" s="3055">
        <f t="shared" si="12"/>
        <v>0</v>
      </c>
      <c r="AB255" s="3055">
        <f t="shared" si="13"/>
        <v>0</v>
      </c>
      <c r="AC255" s="3055">
        <f t="shared" si="14"/>
        <v>0</v>
      </c>
      <c r="AD255" s="3056"/>
      <c r="AE255" s="3057">
        <f t="shared" si="0"/>
      </c>
      <c r="AF255" s="3054"/>
      <c r="AG255" s="3054"/>
      <c r="AH255" s="3055"/>
      <c r="AI255" s="3055"/>
      <c r="AJ255" s="3055"/>
      <c r="AK255" s="3055"/>
      <c r="AL255" s="3055"/>
      <c r="AM255" s="3055"/>
      <c r="AN255" s="3055"/>
      <c r="AO255" s="3055"/>
      <c r="AP255" s="3055"/>
      <c r="AQ255" s="3055"/>
      <c r="AR255" s="3055"/>
      <c r="AS255" s="3055"/>
      <c r="AT255" s="3055"/>
      <c r="AU255" s="3056"/>
      <c r="AV255" s="3057">
        <f t="shared" si="15"/>
      </c>
      <c r="AW255" s="3054"/>
      <c r="AX255" s="3054"/>
      <c r="AY255" s="3055"/>
      <c r="AZ255" s="3055"/>
      <c r="BA255" s="3055"/>
      <c r="BB255" s="3055"/>
      <c r="BC255" s="3055"/>
      <c r="BD255" s="3055"/>
      <c r="BE255" s="3055"/>
      <c r="BF255" s="3055"/>
      <c r="BG255" s="3055"/>
      <c r="BH255" s="3055"/>
      <c r="BI255" s="3055"/>
      <c r="BJ255" s="3055"/>
      <c r="BK255" s="3055"/>
      <c r="BL255" s="3056"/>
      <c r="BM255" s="3057">
        <f t="shared" si="16"/>
      </c>
      <c r="BN255" s="3054"/>
      <c r="BO255" s="3054"/>
      <c r="BP255" s="3055"/>
      <c r="BQ255" s="3055"/>
      <c r="BR255" s="3055"/>
      <c r="BS255" s="3055"/>
      <c r="BT255" s="3055"/>
      <c r="BU255" s="3055"/>
      <c r="BV255" s="3055"/>
      <c r="BW255" s="3055"/>
      <c r="BX255" s="3055"/>
      <c r="BY255" s="3055"/>
      <c r="BZ255" s="3055"/>
      <c r="CA255" s="3055"/>
      <c r="CB255" s="3055"/>
      <c r="CC255" s="3056"/>
      <c r="CD255" s="3057">
        <f t="shared" si="0"/>
      </c>
      <c r="CE255" s="3054"/>
      <c r="CF255" s="3054"/>
      <c r="CG255" s="3055"/>
      <c r="CH255" s="3055"/>
      <c r="CI255" s="3055"/>
      <c r="CJ255" s="3055"/>
      <c r="CK255" s="3055"/>
      <c r="CL255" s="3055"/>
      <c r="CM255" s="3055"/>
      <c r="CN255" s="3055"/>
      <c r="CO255" s="3055"/>
      <c r="CP255" s="3055"/>
      <c r="CQ255" s="3055"/>
      <c r="CR255" s="3055"/>
      <c r="CS255" s="3055"/>
      <c r="CU255" s="3054"/>
      <c r="CV255" s="696"/>
      <c r="CW255" s="696"/>
      <c r="CZ255" s="3060">
        <f t="shared" si="17"/>
      </c>
      <c r="DA255" s="3060">
        <f t="shared" si="1"/>
      </c>
      <c r="DB255" s="3060">
        <f t="shared" si="18"/>
      </c>
      <c r="DC255" s="3060">
        <f t="shared" si="19"/>
      </c>
      <c r="DD255" s="3060">
        <f t="shared" si="20"/>
      </c>
      <c r="DE255" s="3060">
        <f t="shared" si="21"/>
      </c>
      <c r="DF255" s="3060">
        <f t="shared" si="22"/>
      </c>
      <c r="DG255" s="3060">
        <f t="shared" si="23"/>
      </c>
      <c r="DH255" s="3060">
        <f t="shared" si="24"/>
      </c>
      <c r="DI255" s="3060">
        <f t="shared" si="1"/>
      </c>
    </row>
    <row r="256" ht="15" customHeight="1" s="3052" customFormat="1">
      <c r="A256" s="3065"/>
      <c r="B256" s="3054">
        <f t="shared" si="2"/>
      </c>
      <c r="C256" s="3054"/>
      <c r="D256" s="3054"/>
      <c r="E256" s="3055"/>
      <c r="F256" s="3055"/>
      <c r="G256" s="3055"/>
      <c r="H256" s="3055"/>
      <c r="I256" s="3055"/>
      <c r="J256" s="3055"/>
      <c r="K256" s="3055"/>
      <c r="L256" s="3055"/>
      <c r="M256" s="3055"/>
      <c r="N256" s="3055"/>
      <c r="O256" s="3055"/>
      <c r="P256" s="3055"/>
      <c r="Q256" s="3055"/>
      <c r="R256" s="3055">
        <f t="shared" si="3"/>
        <v>0</v>
      </c>
      <c r="S256" s="3055">
        <f t="shared" si="4"/>
        <v>0</v>
      </c>
      <c r="T256" s="3055">
        <f t="shared" si="5"/>
        <v>0</v>
      </c>
      <c r="U256" s="3055">
        <f t="shared" si="6"/>
        <v>0</v>
      </c>
      <c r="V256" s="3055">
        <f t="shared" si="7"/>
        <v>0</v>
      </c>
      <c r="W256" s="3055">
        <f t="shared" si="8"/>
        <v>0</v>
      </c>
      <c r="X256" s="3055">
        <f t="shared" si="9"/>
        <v>0</v>
      </c>
      <c r="Y256" s="3055">
        <f t="shared" si="10"/>
        <v>0</v>
      </c>
      <c r="Z256" s="3055">
        <f t="shared" si="11"/>
        <v>0</v>
      </c>
      <c r="AA256" s="3055">
        <f t="shared" si="12"/>
        <v>0</v>
      </c>
      <c r="AB256" s="3055">
        <f t="shared" si="13"/>
        <v>0</v>
      </c>
      <c r="AC256" s="3055">
        <f t="shared" si="14"/>
        <v>0</v>
      </c>
      <c r="AD256" s="3056"/>
      <c r="AE256" s="3057">
        <f t="shared" si="0"/>
      </c>
      <c r="AF256" s="3054"/>
      <c r="AG256" s="3054"/>
      <c r="AH256" s="3055"/>
      <c r="AI256" s="3055"/>
      <c r="AJ256" s="3055"/>
      <c r="AK256" s="3055"/>
      <c r="AL256" s="3055"/>
      <c r="AM256" s="3055"/>
      <c r="AN256" s="3055"/>
      <c r="AO256" s="3055"/>
      <c r="AP256" s="3055"/>
      <c r="AQ256" s="3055"/>
      <c r="AR256" s="3055"/>
      <c r="AS256" s="3055"/>
      <c r="AT256" s="3055"/>
      <c r="AU256" s="3056"/>
      <c r="AV256" s="3057">
        <f t="shared" si="15"/>
      </c>
      <c r="AW256" s="3054"/>
      <c r="AX256" s="3054"/>
      <c r="AY256" s="3055"/>
      <c r="AZ256" s="3055"/>
      <c r="BA256" s="3055"/>
      <c r="BB256" s="3055"/>
      <c r="BC256" s="3055"/>
      <c r="BD256" s="3055"/>
      <c r="BE256" s="3055"/>
      <c r="BF256" s="3055"/>
      <c r="BG256" s="3055"/>
      <c r="BH256" s="3055"/>
      <c r="BI256" s="3055"/>
      <c r="BJ256" s="3055"/>
      <c r="BK256" s="3055"/>
      <c r="BL256" s="3056"/>
      <c r="BM256" s="3057">
        <f t="shared" si="16"/>
      </c>
      <c r="BN256" s="3054"/>
      <c r="BO256" s="3054"/>
      <c r="BP256" s="3055"/>
      <c r="BQ256" s="3055"/>
      <c r="BR256" s="3055"/>
      <c r="BS256" s="3055"/>
      <c r="BT256" s="3055"/>
      <c r="BU256" s="3055"/>
      <c r="BV256" s="3055"/>
      <c r="BW256" s="3055"/>
      <c r="BX256" s="3055"/>
      <c r="BY256" s="3055"/>
      <c r="BZ256" s="3055"/>
      <c r="CA256" s="3055"/>
      <c r="CB256" s="3055"/>
      <c r="CC256" s="3056"/>
      <c r="CD256" s="3057">
        <f t="shared" si="0"/>
      </c>
      <c r="CE256" s="3054"/>
      <c r="CF256" s="3054"/>
      <c r="CG256" s="3055"/>
      <c r="CH256" s="3055"/>
      <c r="CI256" s="3055"/>
      <c r="CJ256" s="3055"/>
      <c r="CK256" s="3055"/>
      <c r="CL256" s="3055"/>
      <c r="CM256" s="3055"/>
      <c r="CN256" s="3055"/>
      <c r="CO256" s="3055"/>
      <c r="CP256" s="3055"/>
      <c r="CQ256" s="3055"/>
      <c r="CR256" s="3055"/>
      <c r="CS256" s="3055"/>
      <c r="CU256" s="3054"/>
      <c r="CV256" s="696"/>
      <c r="CW256" s="696"/>
      <c r="CZ256" s="3060">
        <f t="shared" si="17"/>
      </c>
      <c r="DA256" s="3060">
        <f t="shared" si="1"/>
      </c>
      <c r="DB256" s="3060">
        <f t="shared" si="18"/>
      </c>
      <c r="DC256" s="3060">
        <f t="shared" si="19"/>
      </c>
      <c r="DD256" s="3060">
        <f t="shared" si="20"/>
      </c>
      <c r="DE256" s="3060">
        <f t="shared" si="21"/>
      </c>
      <c r="DF256" s="3060">
        <f t="shared" si="22"/>
      </c>
      <c r="DG256" s="3060">
        <f t="shared" si="23"/>
      </c>
      <c r="DH256" s="3060">
        <f t="shared" si="24"/>
      </c>
      <c r="DI256" s="3060">
        <f t="shared" si="1"/>
      </c>
    </row>
    <row r="257" ht="15" customHeight="1" s="3052" customFormat="1">
      <c r="A257" s="3065"/>
      <c r="B257" s="3054">
        <f t="shared" si="2"/>
      </c>
      <c r="C257" s="3054"/>
      <c r="D257" s="3054"/>
      <c r="E257" s="3055"/>
      <c r="F257" s="3055"/>
      <c r="G257" s="3055"/>
      <c r="H257" s="3055"/>
      <c r="I257" s="3055"/>
      <c r="J257" s="3055"/>
      <c r="K257" s="3055"/>
      <c r="L257" s="3055"/>
      <c r="M257" s="3055"/>
      <c r="N257" s="3055"/>
      <c r="O257" s="3055"/>
      <c r="P257" s="3055"/>
      <c r="Q257" s="3055"/>
      <c r="R257" s="3055">
        <f t="shared" si="3"/>
        <v>0</v>
      </c>
      <c r="S257" s="3055">
        <f t="shared" si="4"/>
        <v>0</v>
      </c>
      <c r="T257" s="3055">
        <f t="shared" si="5"/>
        <v>0</v>
      </c>
      <c r="U257" s="3055">
        <f t="shared" si="6"/>
        <v>0</v>
      </c>
      <c r="V257" s="3055">
        <f t="shared" si="7"/>
        <v>0</v>
      </c>
      <c r="W257" s="3055">
        <f t="shared" si="8"/>
        <v>0</v>
      </c>
      <c r="X257" s="3055">
        <f t="shared" si="9"/>
        <v>0</v>
      </c>
      <c r="Y257" s="3055">
        <f t="shared" si="10"/>
        <v>0</v>
      </c>
      <c r="Z257" s="3055">
        <f t="shared" si="11"/>
        <v>0</v>
      </c>
      <c r="AA257" s="3055">
        <f t="shared" si="12"/>
        <v>0</v>
      </c>
      <c r="AB257" s="3055">
        <f t="shared" si="13"/>
        <v>0</v>
      </c>
      <c r="AC257" s="3055">
        <f t="shared" si="14"/>
        <v>0</v>
      </c>
      <c r="AD257" s="3056"/>
      <c r="AE257" s="3057">
        <f t="shared" si="0"/>
      </c>
      <c r="AF257" s="3054"/>
      <c r="AG257" s="3054"/>
      <c r="AH257" s="3055"/>
      <c r="AI257" s="3055"/>
      <c r="AJ257" s="3055"/>
      <c r="AK257" s="3055"/>
      <c r="AL257" s="3055"/>
      <c r="AM257" s="3055"/>
      <c r="AN257" s="3055"/>
      <c r="AO257" s="3055"/>
      <c r="AP257" s="3055"/>
      <c r="AQ257" s="3055"/>
      <c r="AR257" s="3055"/>
      <c r="AS257" s="3055"/>
      <c r="AT257" s="3055"/>
      <c r="AU257" s="3056"/>
      <c r="AV257" s="3057">
        <f t="shared" si="15"/>
      </c>
      <c r="AW257" s="3054"/>
      <c r="AX257" s="3054"/>
      <c r="AY257" s="3055"/>
      <c r="AZ257" s="3055"/>
      <c r="BA257" s="3055"/>
      <c r="BB257" s="3055"/>
      <c r="BC257" s="3055"/>
      <c r="BD257" s="3055"/>
      <c r="BE257" s="3055"/>
      <c r="BF257" s="3055"/>
      <c r="BG257" s="3055"/>
      <c r="BH257" s="3055"/>
      <c r="BI257" s="3055"/>
      <c r="BJ257" s="3055"/>
      <c r="BK257" s="3055"/>
      <c r="BL257" s="3056"/>
      <c r="BM257" s="3057">
        <f t="shared" si="16"/>
      </c>
      <c r="BN257" s="3054"/>
      <c r="BO257" s="3054"/>
      <c r="BP257" s="3055"/>
      <c r="BQ257" s="3055"/>
      <c r="BR257" s="3055"/>
      <c r="BS257" s="3055"/>
      <c r="BT257" s="3055"/>
      <c r="BU257" s="3055"/>
      <c r="BV257" s="3055"/>
      <c r="BW257" s="3055"/>
      <c r="BX257" s="3055"/>
      <c r="BY257" s="3055"/>
      <c r="BZ257" s="3055"/>
      <c r="CA257" s="3055"/>
      <c r="CB257" s="3055"/>
      <c r="CC257" s="3056"/>
      <c r="CD257" s="3057">
        <f t="shared" si="0"/>
      </c>
      <c r="CE257" s="3054"/>
      <c r="CF257" s="3054"/>
      <c r="CG257" s="3055"/>
      <c r="CH257" s="3055"/>
      <c r="CI257" s="3055"/>
      <c r="CJ257" s="3055"/>
      <c r="CK257" s="3055"/>
      <c r="CL257" s="3055"/>
      <c r="CM257" s="3055"/>
      <c r="CN257" s="3055"/>
      <c r="CO257" s="3055"/>
      <c r="CP257" s="3055"/>
      <c r="CQ257" s="3055"/>
      <c r="CR257" s="3055"/>
      <c r="CS257" s="3055"/>
      <c r="CU257" s="3054"/>
      <c r="CV257" s="696"/>
      <c r="CW257" s="696"/>
      <c r="CZ257" s="3060">
        <f t="shared" si="17"/>
      </c>
      <c r="DA257" s="3060">
        <f t="shared" si="1"/>
      </c>
      <c r="DB257" s="3060">
        <f t="shared" si="18"/>
      </c>
      <c r="DC257" s="3060">
        <f t="shared" si="19"/>
      </c>
      <c r="DD257" s="3060">
        <f t="shared" si="20"/>
      </c>
      <c r="DE257" s="3060">
        <f t="shared" si="21"/>
      </c>
      <c r="DF257" s="3060">
        <f t="shared" si="22"/>
      </c>
      <c r="DG257" s="3060">
        <f t="shared" si="23"/>
      </c>
      <c r="DH257" s="3060">
        <f t="shared" si="24"/>
      </c>
      <c r="DI257" s="3060">
        <f t="shared" si="1"/>
      </c>
    </row>
    <row r="258" ht="15" customHeight="1" s="3052" customFormat="1">
      <c r="A258" s="3065"/>
      <c r="B258" s="3054">
        <f t="shared" si="2"/>
      </c>
      <c r="C258" s="3054"/>
      <c r="D258" s="3054"/>
      <c r="E258" s="3055"/>
      <c r="F258" s="3055"/>
      <c r="G258" s="3055"/>
      <c r="H258" s="3055"/>
      <c r="I258" s="3055"/>
      <c r="J258" s="3055"/>
      <c r="K258" s="3055"/>
      <c r="L258" s="3055"/>
      <c r="M258" s="3055"/>
      <c r="N258" s="3055"/>
      <c r="O258" s="3055"/>
      <c r="P258" s="3055"/>
      <c r="Q258" s="3055"/>
      <c r="R258" s="3055">
        <f t="shared" si="3"/>
        <v>0</v>
      </c>
      <c r="S258" s="3055">
        <f t="shared" si="4"/>
        <v>0</v>
      </c>
      <c r="T258" s="3055">
        <f t="shared" si="5"/>
        <v>0</v>
      </c>
      <c r="U258" s="3055">
        <f t="shared" si="6"/>
        <v>0</v>
      </c>
      <c r="V258" s="3055">
        <f t="shared" si="7"/>
        <v>0</v>
      </c>
      <c r="W258" s="3055">
        <f t="shared" si="8"/>
        <v>0</v>
      </c>
      <c r="X258" s="3055">
        <f t="shared" si="9"/>
        <v>0</v>
      </c>
      <c r="Y258" s="3055">
        <f t="shared" si="10"/>
        <v>0</v>
      </c>
      <c r="Z258" s="3055">
        <f t="shared" si="11"/>
        <v>0</v>
      </c>
      <c r="AA258" s="3055">
        <f t="shared" si="12"/>
        <v>0</v>
      </c>
      <c r="AB258" s="3055">
        <f t="shared" si="13"/>
        <v>0</v>
      </c>
      <c r="AC258" s="3055">
        <f t="shared" si="14"/>
        <v>0</v>
      </c>
      <c r="AD258" s="3056"/>
      <c r="AE258" s="3057">
        <f t="shared" si="0"/>
      </c>
      <c r="AF258" s="3054"/>
      <c r="AG258" s="3054"/>
      <c r="AH258" s="3055"/>
      <c r="AI258" s="3055"/>
      <c r="AJ258" s="3055"/>
      <c r="AK258" s="3055"/>
      <c r="AL258" s="3055"/>
      <c r="AM258" s="3055"/>
      <c r="AN258" s="3055"/>
      <c r="AO258" s="3055"/>
      <c r="AP258" s="3055"/>
      <c r="AQ258" s="3055"/>
      <c r="AR258" s="3055"/>
      <c r="AS258" s="3055"/>
      <c r="AT258" s="3055"/>
      <c r="AU258" s="3056"/>
      <c r="AV258" s="3057">
        <f t="shared" si="15"/>
      </c>
      <c r="AW258" s="3054"/>
      <c r="AX258" s="3054"/>
      <c r="AY258" s="3055"/>
      <c r="AZ258" s="3055"/>
      <c r="BA258" s="3055"/>
      <c r="BB258" s="3055"/>
      <c r="BC258" s="3055"/>
      <c r="BD258" s="3055"/>
      <c r="BE258" s="3055"/>
      <c r="BF258" s="3055"/>
      <c r="BG258" s="3055"/>
      <c r="BH258" s="3055"/>
      <c r="BI258" s="3055"/>
      <c r="BJ258" s="3055"/>
      <c r="BK258" s="3055"/>
      <c r="BL258" s="3056"/>
      <c r="BM258" s="3057">
        <f t="shared" si="16"/>
      </c>
      <c r="BN258" s="3054"/>
      <c r="BO258" s="3054"/>
      <c r="BP258" s="3055"/>
      <c r="BQ258" s="3055"/>
      <c r="BR258" s="3055"/>
      <c r="BS258" s="3055"/>
      <c r="BT258" s="3055"/>
      <c r="BU258" s="3055"/>
      <c r="BV258" s="3055"/>
      <c r="BW258" s="3055"/>
      <c r="BX258" s="3055"/>
      <c r="BY258" s="3055"/>
      <c r="BZ258" s="3055"/>
      <c r="CA258" s="3055"/>
      <c r="CB258" s="3055"/>
      <c r="CC258" s="3056"/>
      <c r="CD258" s="3057">
        <f t="shared" si="0"/>
      </c>
      <c r="CE258" s="3054"/>
      <c r="CF258" s="3054"/>
      <c r="CG258" s="3055"/>
      <c r="CH258" s="3055"/>
      <c r="CI258" s="3055"/>
      <c r="CJ258" s="3055"/>
      <c r="CK258" s="3055"/>
      <c r="CL258" s="3055"/>
      <c r="CM258" s="3055"/>
      <c r="CN258" s="3055"/>
      <c r="CO258" s="3055"/>
      <c r="CP258" s="3055"/>
      <c r="CQ258" s="3055"/>
      <c r="CR258" s="3055"/>
      <c r="CS258" s="3055"/>
      <c r="CU258" s="3054"/>
      <c r="CV258" s="696"/>
      <c r="CW258" s="696"/>
      <c r="CZ258" s="3060">
        <f t="shared" si="17"/>
      </c>
      <c r="DA258" s="3060">
        <f t="shared" si="1"/>
      </c>
      <c r="DB258" s="3060">
        <f t="shared" si="18"/>
      </c>
      <c r="DC258" s="3060">
        <f t="shared" si="19"/>
      </c>
      <c r="DD258" s="3060">
        <f t="shared" si="20"/>
      </c>
      <c r="DE258" s="3060">
        <f t="shared" si="21"/>
      </c>
      <c r="DF258" s="3060">
        <f t="shared" si="22"/>
      </c>
      <c r="DG258" s="3060">
        <f t="shared" si="23"/>
      </c>
      <c r="DH258" s="3060">
        <f t="shared" si="24"/>
      </c>
      <c r="DI258" s="3060">
        <f t="shared" si="1"/>
      </c>
    </row>
    <row r="259" ht="15" customHeight="1" s="3052" customFormat="1">
      <c r="A259" s="3065"/>
      <c r="B259" s="3054">
        <f t="shared" si="2"/>
      </c>
      <c r="C259" s="3054"/>
      <c r="D259" s="3054"/>
      <c r="E259" s="3055"/>
      <c r="F259" s="3055"/>
      <c r="G259" s="3055"/>
      <c r="H259" s="3055"/>
      <c r="I259" s="3055"/>
      <c r="J259" s="3055"/>
      <c r="K259" s="3055"/>
      <c r="L259" s="3055"/>
      <c r="M259" s="3055"/>
      <c r="N259" s="3055"/>
      <c r="O259" s="3055"/>
      <c r="P259" s="3055"/>
      <c r="Q259" s="3055"/>
      <c r="R259" s="3055">
        <f t="shared" si="3"/>
        <v>0</v>
      </c>
      <c r="S259" s="3055">
        <f t="shared" si="4"/>
        <v>0</v>
      </c>
      <c r="T259" s="3055">
        <f t="shared" si="5"/>
        <v>0</v>
      </c>
      <c r="U259" s="3055">
        <f t="shared" si="6"/>
        <v>0</v>
      </c>
      <c r="V259" s="3055">
        <f t="shared" si="7"/>
        <v>0</v>
      </c>
      <c r="W259" s="3055">
        <f t="shared" si="8"/>
        <v>0</v>
      </c>
      <c r="X259" s="3055">
        <f t="shared" si="9"/>
        <v>0</v>
      </c>
      <c r="Y259" s="3055">
        <f t="shared" si="10"/>
        <v>0</v>
      </c>
      <c r="Z259" s="3055">
        <f t="shared" si="11"/>
        <v>0</v>
      </c>
      <c r="AA259" s="3055">
        <f t="shared" si="12"/>
        <v>0</v>
      </c>
      <c r="AB259" s="3055">
        <f t="shared" si="13"/>
        <v>0</v>
      </c>
      <c r="AC259" s="3055">
        <f t="shared" si="14"/>
        <v>0</v>
      </c>
      <c r="AD259" s="3056"/>
      <c r="AE259" s="3057">
        <f t="shared" si="0"/>
      </c>
      <c r="AF259" s="3054"/>
      <c r="AG259" s="3054"/>
      <c r="AH259" s="3055"/>
      <c r="AI259" s="3055"/>
      <c r="AJ259" s="3055"/>
      <c r="AK259" s="3055"/>
      <c r="AL259" s="3055"/>
      <c r="AM259" s="3055"/>
      <c r="AN259" s="3055"/>
      <c r="AO259" s="3055"/>
      <c r="AP259" s="3055"/>
      <c r="AQ259" s="3055"/>
      <c r="AR259" s="3055"/>
      <c r="AS259" s="3055"/>
      <c r="AT259" s="3055"/>
      <c r="AU259" s="3056"/>
      <c r="AV259" s="3057">
        <f t="shared" si="15"/>
      </c>
      <c r="AW259" s="3054"/>
      <c r="AX259" s="3054"/>
      <c r="AY259" s="3055"/>
      <c r="AZ259" s="3055"/>
      <c r="BA259" s="3055"/>
      <c r="BB259" s="3055"/>
      <c r="BC259" s="3055"/>
      <c r="BD259" s="3055"/>
      <c r="BE259" s="3055"/>
      <c r="BF259" s="3055"/>
      <c r="BG259" s="3055"/>
      <c r="BH259" s="3055"/>
      <c r="BI259" s="3055"/>
      <c r="BJ259" s="3055"/>
      <c r="BK259" s="3055"/>
      <c r="BL259" s="3056"/>
      <c r="BM259" s="3057">
        <f t="shared" si="16"/>
      </c>
      <c r="BN259" s="3054"/>
      <c r="BO259" s="3054"/>
      <c r="BP259" s="3055"/>
      <c r="BQ259" s="3055"/>
      <c r="BR259" s="3055"/>
      <c r="BS259" s="3055"/>
      <c r="BT259" s="3055"/>
      <c r="BU259" s="3055"/>
      <c r="BV259" s="3055"/>
      <c r="BW259" s="3055"/>
      <c r="BX259" s="3055"/>
      <c r="BY259" s="3055"/>
      <c r="BZ259" s="3055"/>
      <c r="CA259" s="3055"/>
      <c r="CB259" s="3055"/>
      <c r="CC259" s="3056"/>
      <c r="CD259" s="3057">
        <f t="shared" si="0"/>
      </c>
      <c r="CE259" s="3054"/>
      <c r="CF259" s="3054"/>
      <c r="CG259" s="3055"/>
      <c r="CH259" s="3055"/>
      <c r="CI259" s="3055"/>
      <c r="CJ259" s="3055"/>
      <c r="CK259" s="3055"/>
      <c r="CL259" s="3055"/>
      <c r="CM259" s="3055"/>
      <c r="CN259" s="3055"/>
      <c r="CO259" s="3055"/>
      <c r="CP259" s="3055"/>
      <c r="CQ259" s="3055"/>
      <c r="CR259" s="3055"/>
      <c r="CS259" s="3055"/>
      <c r="CU259" s="3054"/>
      <c r="CV259" s="696"/>
      <c r="CW259" s="696"/>
      <c r="CZ259" s="3060">
        <f t="shared" si="17"/>
      </c>
      <c r="DA259" s="3060">
        <f t="shared" si="1"/>
      </c>
      <c r="DB259" s="3060">
        <f t="shared" si="18"/>
      </c>
      <c r="DC259" s="3060">
        <f t="shared" si="19"/>
      </c>
      <c r="DD259" s="3060">
        <f t="shared" si="20"/>
      </c>
      <c r="DE259" s="3060">
        <f t="shared" si="21"/>
      </c>
      <c r="DF259" s="3060">
        <f t="shared" si="22"/>
      </c>
      <c r="DG259" s="3060">
        <f t="shared" si="23"/>
      </c>
      <c r="DH259" s="3060">
        <f t="shared" si="24"/>
      </c>
      <c r="DI259" s="3060">
        <f t="shared" si="1"/>
      </c>
    </row>
    <row r="260" ht="15" customHeight="1" s="3052" customFormat="1">
      <c r="A260" s="3065"/>
      <c r="B260" s="3054">
        <f t="shared" si="2"/>
      </c>
      <c r="C260" s="3054"/>
      <c r="D260" s="3054"/>
      <c r="E260" s="3055"/>
      <c r="F260" s="3055"/>
      <c r="G260" s="3055"/>
      <c r="H260" s="3055"/>
      <c r="I260" s="3055"/>
      <c r="J260" s="3055"/>
      <c r="K260" s="3055"/>
      <c r="L260" s="3055"/>
      <c r="M260" s="3055"/>
      <c r="N260" s="3055"/>
      <c r="O260" s="3055"/>
      <c r="P260" s="3055"/>
      <c r="Q260" s="3055"/>
      <c r="R260" s="3055">
        <f t="shared" si="3"/>
        <v>0</v>
      </c>
      <c r="S260" s="3055">
        <f t="shared" si="4"/>
        <v>0</v>
      </c>
      <c r="T260" s="3055">
        <f t="shared" si="5"/>
        <v>0</v>
      </c>
      <c r="U260" s="3055">
        <f t="shared" si="6"/>
        <v>0</v>
      </c>
      <c r="V260" s="3055">
        <f t="shared" si="7"/>
        <v>0</v>
      </c>
      <c r="W260" s="3055">
        <f t="shared" si="8"/>
        <v>0</v>
      </c>
      <c r="X260" s="3055">
        <f t="shared" si="9"/>
        <v>0</v>
      </c>
      <c r="Y260" s="3055">
        <f t="shared" si="10"/>
        <v>0</v>
      </c>
      <c r="Z260" s="3055">
        <f t="shared" si="11"/>
        <v>0</v>
      </c>
      <c r="AA260" s="3055">
        <f t="shared" si="12"/>
        <v>0</v>
      </c>
      <c r="AB260" s="3055">
        <f t="shared" si="13"/>
        <v>0</v>
      </c>
      <c r="AC260" s="3055">
        <f t="shared" si="14"/>
        <v>0</v>
      </c>
      <c r="AD260" s="3056"/>
      <c r="AE260" s="3057">
        <f t="shared" si="0"/>
      </c>
      <c r="AF260" s="3054"/>
      <c r="AG260" s="3054"/>
      <c r="AH260" s="3055"/>
      <c r="AI260" s="3055"/>
      <c r="AJ260" s="3055"/>
      <c r="AK260" s="3055"/>
      <c r="AL260" s="3055"/>
      <c r="AM260" s="3055"/>
      <c r="AN260" s="3055"/>
      <c r="AO260" s="3055"/>
      <c r="AP260" s="3055"/>
      <c r="AQ260" s="3055"/>
      <c r="AR260" s="3055"/>
      <c r="AS260" s="3055"/>
      <c r="AT260" s="3055"/>
      <c r="AU260" s="3056"/>
      <c r="AV260" s="3057">
        <f t="shared" si="15"/>
      </c>
      <c r="AW260" s="3054"/>
      <c r="AX260" s="3054"/>
      <c r="AY260" s="3055"/>
      <c r="AZ260" s="3055"/>
      <c r="BA260" s="3055"/>
      <c r="BB260" s="3055"/>
      <c r="BC260" s="3055"/>
      <c r="BD260" s="3055"/>
      <c r="BE260" s="3055"/>
      <c r="BF260" s="3055"/>
      <c r="BG260" s="3055"/>
      <c r="BH260" s="3055"/>
      <c r="BI260" s="3055"/>
      <c r="BJ260" s="3055"/>
      <c r="BK260" s="3055"/>
      <c r="BL260" s="3056"/>
      <c r="BM260" s="3057">
        <f t="shared" si="16"/>
      </c>
      <c r="BN260" s="3054"/>
      <c r="BO260" s="3054"/>
      <c r="BP260" s="3055"/>
      <c r="BQ260" s="3055"/>
      <c r="BR260" s="3055"/>
      <c r="BS260" s="3055"/>
      <c r="BT260" s="3055"/>
      <c r="BU260" s="3055"/>
      <c r="BV260" s="3055"/>
      <c r="BW260" s="3055"/>
      <c r="BX260" s="3055"/>
      <c r="BY260" s="3055"/>
      <c r="BZ260" s="3055"/>
      <c r="CA260" s="3055"/>
      <c r="CB260" s="3055"/>
      <c r="CC260" s="3056"/>
      <c r="CD260" s="3057">
        <f t="shared" si="0"/>
      </c>
      <c r="CE260" s="3054"/>
      <c r="CF260" s="3054"/>
      <c r="CG260" s="3055"/>
      <c r="CH260" s="3055"/>
      <c r="CI260" s="3055"/>
      <c r="CJ260" s="3055"/>
      <c r="CK260" s="3055"/>
      <c r="CL260" s="3055"/>
      <c r="CM260" s="3055"/>
      <c r="CN260" s="3055"/>
      <c r="CO260" s="3055"/>
      <c r="CP260" s="3055"/>
      <c r="CQ260" s="3055"/>
      <c r="CR260" s="3055"/>
      <c r="CS260" s="3055"/>
      <c r="CU260" s="3054"/>
      <c r="CV260" s="696"/>
      <c r="CW260" s="696"/>
      <c r="CZ260" s="3060">
        <f t="shared" si="17"/>
      </c>
      <c r="DA260" s="3060">
        <f t="shared" si="1"/>
      </c>
      <c r="DB260" s="3060">
        <f t="shared" si="18"/>
      </c>
      <c r="DC260" s="3060">
        <f t="shared" si="19"/>
      </c>
      <c r="DD260" s="3060">
        <f t="shared" si="20"/>
      </c>
      <c r="DE260" s="3060">
        <f t="shared" si="21"/>
      </c>
      <c r="DF260" s="3060">
        <f t="shared" si="22"/>
      </c>
      <c r="DG260" s="3060">
        <f t="shared" si="23"/>
      </c>
      <c r="DH260" s="3060">
        <f t="shared" si="24"/>
      </c>
      <c r="DI260" s="3060">
        <f t="shared" si="1"/>
      </c>
    </row>
    <row r="261" ht="15" customHeight="1" s="3052" customFormat="1">
      <c r="A261" s="3065"/>
      <c r="B261" s="3054">
        <f t="shared" si="2"/>
      </c>
      <c r="C261" s="3054"/>
      <c r="D261" s="3054"/>
      <c r="E261" s="3055"/>
      <c r="F261" s="3055"/>
      <c r="G261" s="3055"/>
      <c r="H261" s="3055"/>
      <c r="I261" s="3055"/>
      <c r="J261" s="3055"/>
      <c r="K261" s="3055"/>
      <c r="L261" s="3055"/>
      <c r="M261" s="3055"/>
      <c r="N261" s="3055"/>
      <c r="O261" s="3055"/>
      <c r="P261" s="3055"/>
      <c r="Q261" s="3055"/>
      <c r="R261" s="3055">
        <f t="shared" si="3"/>
        <v>0</v>
      </c>
      <c r="S261" s="3055">
        <f t="shared" si="4"/>
        <v>0</v>
      </c>
      <c r="T261" s="3055">
        <f t="shared" si="5"/>
        <v>0</v>
      </c>
      <c r="U261" s="3055">
        <f t="shared" si="6"/>
        <v>0</v>
      </c>
      <c r="V261" s="3055">
        <f t="shared" si="7"/>
        <v>0</v>
      </c>
      <c r="W261" s="3055">
        <f t="shared" si="8"/>
        <v>0</v>
      </c>
      <c r="X261" s="3055">
        <f t="shared" si="9"/>
        <v>0</v>
      </c>
      <c r="Y261" s="3055">
        <f t="shared" si="10"/>
        <v>0</v>
      </c>
      <c r="Z261" s="3055">
        <f t="shared" si="11"/>
        <v>0</v>
      </c>
      <c r="AA261" s="3055">
        <f t="shared" si="12"/>
        <v>0</v>
      </c>
      <c r="AB261" s="3055">
        <f t="shared" si="13"/>
        <v>0</v>
      </c>
      <c r="AC261" s="3055">
        <f t="shared" si="14"/>
        <v>0</v>
      </c>
      <c r="AD261" s="3056"/>
      <c r="AE261" s="3057">
        <f t="shared" si="0"/>
      </c>
      <c r="AF261" s="3054"/>
      <c r="AG261" s="3054"/>
      <c r="AH261" s="3055"/>
      <c r="AI261" s="3055"/>
      <c r="AJ261" s="3055"/>
      <c r="AK261" s="3055"/>
      <c r="AL261" s="3055"/>
      <c r="AM261" s="3055"/>
      <c r="AN261" s="3055"/>
      <c r="AO261" s="3055"/>
      <c r="AP261" s="3055"/>
      <c r="AQ261" s="3055"/>
      <c r="AR261" s="3055"/>
      <c r="AS261" s="3055"/>
      <c r="AT261" s="3055"/>
      <c r="AU261" s="3056"/>
      <c r="AV261" s="3057">
        <f t="shared" si="15"/>
      </c>
      <c r="AW261" s="3054"/>
      <c r="AX261" s="3054"/>
      <c r="AY261" s="3055"/>
      <c r="AZ261" s="3055"/>
      <c r="BA261" s="3055"/>
      <c r="BB261" s="3055"/>
      <c r="BC261" s="3055"/>
      <c r="BD261" s="3055"/>
      <c r="BE261" s="3055"/>
      <c r="BF261" s="3055"/>
      <c r="BG261" s="3055"/>
      <c r="BH261" s="3055"/>
      <c r="BI261" s="3055"/>
      <c r="BJ261" s="3055"/>
      <c r="BK261" s="3055"/>
      <c r="BL261" s="3056"/>
      <c r="BM261" s="3057">
        <f t="shared" si="16"/>
      </c>
      <c r="BN261" s="3054"/>
      <c r="BO261" s="3054"/>
      <c r="BP261" s="3055"/>
      <c r="BQ261" s="3055"/>
      <c r="BR261" s="3055"/>
      <c r="BS261" s="3055"/>
      <c r="BT261" s="3055"/>
      <c r="BU261" s="3055"/>
      <c r="BV261" s="3055"/>
      <c r="BW261" s="3055"/>
      <c r="BX261" s="3055"/>
      <c r="BY261" s="3055"/>
      <c r="BZ261" s="3055"/>
      <c r="CA261" s="3055"/>
      <c r="CB261" s="3055"/>
      <c r="CC261" s="3056"/>
      <c r="CD261" s="3057">
        <f t="shared" si="0"/>
      </c>
      <c r="CE261" s="3054"/>
      <c r="CF261" s="3054"/>
      <c r="CG261" s="3055"/>
      <c r="CH261" s="3055"/>
      <c r="CI261" s="3055"/>
      <c r="CJ261" s="3055"/>
      <c r="CK261" s="3055"/>
      <c r="CL261" s="3055"/>
      <c r="CM261" s="3055"/>
      <c r="CN261" s="3055"/>
      <c r="CO261" s="3055"/>
      <c r="CP261" s="3055"/>
      <c r="CQ261" s="3055"/>
      <c r="CR261" s="3055"/>
      <c r="CS261" s="3055"/>
      <c r="CU261" s="3054"/>
      <c r="CV261" s="696"/>
      <c r="CW261" s="696"/>
      <c r="CZ261" s="3060">
        <f t="shared" si="17"/>
      </c>
      <c r="DA261" s="3060">
        <f t="shared" si="1"/>
      </c>
      <c r="DB261" s="3060">
        <f t="shared" si="18"/>
      </c>
      <c r="DC261" s="3060">
        <f t="shared" si="19"/>
      </c>
      <c r="DD261" s="3060">
        <f t="shared" si="20"/>
      </c>
      <c r="DE261" s="3060">
        <f t="shared" si="21"/>
      </c>
      <c r="DF261" s="3060">
        <f t="shared" si="22"/>
      </c>
      <c r="DG261" s="3060">
        <f t="shared" si="23"/>
      </c>
      <c r="DH261" s="3060">
        <f t="shared" si="24"/>
      </c>
      <c r="DI261" s="3060">
        <f t="shared" si="1"/>
      </c>
    </row>
    <row r="262" ht="15" customHeight="1" s="3052" customFormat="1">
      <c r="A262" s="3065"/>
      <c r="B262" s="3054">
        <f t="shared" si="2"/>
      </c>
      <c r="C262" s="3054"/>
      <c r="D262" s="3054"/>
      <c r="E262" s="3055"/>
      <c r="F262" s="3055"/>
      <c r="G262" s="3055"/>
      <c r="H262" s="3055"/>
      <c r="I262" s="3055"/>
      <c r="J262" s="3055"/>
      <c r="K262" s="3055"/>
      <c r="L262" s="3055"/>
      <c r="M262" s="3055"/>
      <c r="N262" s="3055"/>
      <c r="O262" s="3055"/>
      <c r="P262" s="3055"/>
      <c r="Q262" s="3055"/>
      <c r="R262" s="3055">
        <f t="shared" si="3"/>
        <v>0</v>
      </c>
      <c r="S262" s="3055">
        <f t="shared" si="4"/>
        <v>0</v>
      </c>
      <c r="T262" s="3055">
        <f t="shared" si="5"/>
        <v>0</v>
      </c>
      <c r="U262" s="3055">
        <f t="shared" si="6"/>
        <v>0</v>
      </c>
      <c r="V262" s="3055">
        <f t="shared" si="7"/>
        <v>0</v>
      </c>
      <c r="W262" s="3055">
        <f t="shared" si="8"/>
        <v>0</v>
      </c>
      <c r="X262" s="3055">
        <f t="shared" si="9"/>
        <v>0</v>
      </c>
      <c r="Y262" s="3055">
        <f t="shared" si="10"/>
        <v>0</v>
      </c>
      <c r="Z262" s="3055">
        <f t="shared" si="11"/>
        <v>0</v>
      </c>
      <c r="AA262" s="3055">
        <f t="shared" si="12"/>
        <v>0</v>
      </c>
      <c r="AB262" s="3055">
        <f t="shared" si="13"/>
        <v>0</v>
      </c>
      <c r="AC262" s="3055">
        <f t="shared" si="14"/>
        <v>0</v>
      </c>
      <c r="AD262" s="3056"/>
      <c r="AE262" s="3057">
        <f t="shared" si="0"/>
      </c>
      <c r="AF262" s="3054"/>
      <c r="AG262" s="3054"/>
      <c r="AH262" s="3055"/>
      <c r="AI262" s="3055"/>
      <c r="AJ262" s="3055"/>
      <c r="AK262" s="3055"/>
      <c r="AL262" s="3055"/>
      <c r="AM262" s="3055"/>
      <c r="AN262" s="3055"/>
      <c r="AO262" s="3055"/>
      <c r="AP262" s="3055"/>
      <c r="AQ262" s="3055"/>
      <c r="AR262" s="3055"/>
      <c r="AS262" s="3055"/>
      <c r="AT262" s="3055"/>
      <c r="AU262" s="3056"/>
      <c r="AV262" s="3057">
        <f t="shared" si="15"/>
      </c>
      <c r="AW262" s="3054"/>
      <c r="AX262" s="3054"/>
      <c r="AY262" s="3055"/>
      <c r="AZ262" s="3055"/>
      <c r="BA262" s="3055"/>
      <c r="BB262" s="3055"/>
      <c r="BC262" s="3055"/>
      <c r="BD262" s="3055"/>
      <c r="BE262" s="3055"/>
      <c r="BF262" s="3055"/>
      <c r="BG262" s="3055"/>
      <c r="BH262" s="3055"/>
      <c r="BI262" s="3055"/>
      <c r="BJ262" s="3055"/>
      <c r="BK262" s="3055"/>
      <c r="BL262" s="3056"/>
      <c r="BM262" s="3057">
        <f t="shared" si="16"/>
      </c>
      <c r="BN262" s="3054"/>
      <c r="BO262" s="3054"/>
      <c r="BP262" s="3055"/>
      <c r="BQ262" s="3055"/>
      <c r="BR262" s="3055"/>
      <c r="BS262" s="3055"/>
      <c r="BT262" s="3055"/>
      <c r="BU262" s="3055"/>
      <c r="BV262" s="3055"/>
      <c r="BW262" s="3055"/>
      <c r="BX262" s="3055"/>
      <c r="BY262" s="3055"/>
      <c r="BZ262" s="3055"/>
      <c r="CA262" s="3055"/>
      <c r="CB262" s="3055"/>
      <c r="CC262" s="3056"/>
      <c r="CD262" s="3057">
        <f t="shared" si="0"/>
      </c>
      <c r="CE262" s="3054"/>
      <c r="CF262" s="3054"/>
      <c r="CG262" s="3055"/>
      <c r="CH262" s="3055"/>
      <c r="CI262" s="3055"/>
      <c r="CJ262" s="3055"/>
      <c r="CK262" s="3055"/>
      <c r="CL262" s="3055"/>
      <c r="CM262" s="3055"/>
      <c r="CN262" s="3055"/>
      <c r="CO262" s="3055"/>
      <c r="CP262" s="3055"/>
      <c r="CQ262" s="3055"/>
      <c r="CR262" s="3055"/>
      <c r="CS262" s="3055"/>
      <c r="CU262" s="3054"/>
      <c r="CV262" s="696"/>
      <c r="CW262" s="696"/>
      <c r="CZ262" s="3060">
        <f t="shared" si="17"/>
      </c>
      <c r="DA262" s="3060">
        <f t="shared" si="1"/>
      </c>
      <c r="DB262" s="3060">
        <f t="shared" si="18"/>
      </c>
      <c r="DC262" s="3060">
        <f t="shared" si="19"/>
      </c>
      <c r="DD262" s="3060">
        <f t="shared" si="20"/>
      </c>
      <c r="DE262" s="3060">
        <f t="shared" si="21"/>
      </c>
      <c r="DF262" s="3060">
        <f t="shared" si="22"/>
      </c>
      <c r="DG262" s="3060">
        <f t="shared" si="23"/>
      </c>
      <c r="DH262" s="3060">
        <f t="shared" si="24"/>
      </c>
      <c r="DI262" s="3060">
        <f t="shared" si="1"/>
      </c>
    </row>
    <row r="263" ht="15" customHeight="1" s="3052" customFormat="1">
      <c r="A263" s="3065"/>
      <c r="B263" s="3054">
        <f t="shared" si="2"/>
      </c>
      <c r="C263" s="3054"/>
      <c r="D263" s="3054"/>
      <c r="E263" s="3055"/>
      <c r="F263" s="3055"/>
      <c r="G263" s="3055"/>
      <c r="H263" s="3055"/>
      <c r="I263" s="3055"/>
      <c r="J263" s="3055"/>
      <c r="K263" s="3055"/>
      <c r="L263" s="3055"/>
      <c r="M263" s="3055"/>
      <c r="N263" s="3055"/>
      <c r="O263" s="3055"/>
      <c r="P263" s="3055"/>
      <c r="Q263" s="3055"/>
      <c r="R263" s="3055">
        <f t="shared" si="3"/>
        <v>0</v>
      </c>
      <c r="S263" s="3055">
        <f t="shared" si="4"/>
        <v>0</v>
      </c>
      <c r="T263" s="3055">
        <f t="shared" si="5"/>
        <v>0</v>
      </c>
      <c r="U263" s="3055">
        <f t="shared" si="6"/>
        <v>0</v>
      </c>
      <c r="V263" s="3055">
        <f t="shared" si="7"/>
        <v>0</v>
      </c>
      <c r="W263" s="3055">
        <f t="shared" si="8"/>
        <v>0</v>
      </c>
      <c r="X263" s="3055">
        <f t="shared" si="9"/>
        <v>0</v>
      </c>
      <c r="Y263" s="3055">
        <f t="shared" si="10"/>
        <v>0</v>
      </c>
      <c r="Z263" s="3055">
        <f t="shared" si="11"/>
        <v>0</v>
      </c>
      <c r="AA263" s="3055">
        <f t="shared" si="12"/>
        <v>0</v>
      </c>
      <c r="AB263" s="3055">
        <f t="shared" si="13"/>
        <v>0</v>
      </c>
      <c r="AC263" s="3055">
        <f t="shared" si="14"/>
        <v>0</v>
      </c>
      <c r="AD263" s="3056"/>
      <c r="AE263" s="3057">
        <f t="shared" si="0"/>
      </c>
      <c r="AF263" s="3054"/>
      <c r="AG263" s="3054"/>
      <c r="AH263" s="3055"/>
      <c r="AI263" s="3055"/>
      <c r="AJ263" s="3055"/>
      <c r="AK263" s="3055"/>
      <c r="AL263" s="3055"/>
      <c r="AM263" s="3055"/>
      <c r="AN263" s="3055"/>
      <c r="AO263" s="3055"/>
      <c r="AP263" s="3055"/>
      <c r="AQ263" s="3055"/>
      <c r="AR263" s="3055"/>
      <c r="AS263" s="3055"/>
      <c r="AT263" s="3055"/>
      <c r="AU263" s="3056"/>
      <c r="AV263" s="3057">
        <f t="shared" si="15"/>
      </c>
      <c r="AW263" s="3054"/>
      <c r="AX263" s="3054"/>
      <c r="AY263" s="3055"/>
      <c r="AZ263" s="3055"/>
      <c r="BA263" s="3055"/>
      <c r="BB263" s="3055"/>
      <c r="BC263" s="3055"/>
      <c r="BD263" s="3055"/>
      <c r="BE263" s="3055"/>
      <c r="BF263" s="3055"/>
      <c r="BG263" s="3055"/>
      <c r="BH263" s="3055"/>
      <c r="BI263" s="3055"/>
      <c r="BJ263" s="3055"/>
      <c r="BK263" s="3055"/>
      <c r="BL263" s="3056"/>
      <c r="BM263" s="3057">
        <f t="shared" si="16"/>
      </c>
      <c r="BN263" s="3054"/>
      <c r="BO263" s="3054"/>
      <c r="BP263" s="3055"/>
      <c r="BQ263" s="3055"/>
      <c r="BR263" s="3055"/>
      <c r="BS263" s="3055"/>
      <c r="BT263" s="3055"/>
      <c r="BU263" s="3055"/>
      <c r="BV263" s="3055"/>
      <c r="BW263" s="3055"/>
      <c r="BX263" s="3055"/>
      <c r="BY263" s="3055"/>
      <c r="BZ263" s="3055"/>
      <c r="CA263" s="3055"/>
      <c r="CB263" s="3055"/>
      <c r="CC263" s="3056"/>
      <c r="CD263" s="3057">
        <f t="shared" si="0"/>
      </c>
      <c r="CE263" s="3054"/>
      <c r="CF263" s="3054"/>
      <c r="CG263" s="3055"/>
      <c r="CH263" s="3055"/>
      <c r="CI263" s="3055"/>
      <c r="CJ263" s="3055"/>
      <c r="CK263" s="3055"/>
      <c r="CL263" s="3055"/>
      <c r="CM263" s="3055"/>
      <c r="CN263" s="3055"/>
      <c r="CO263" s="3055"/>
      <c r="CP263" s="3055"/>
      <c r="CQ263" s="3055"/>
      <c r="CR263" s="3055"/>
      <c r="CS263" s="3055"/>
      <c r="CU263" s="3054"/>
      <c r="CV263" s="696"/>
      <c r="CW263" s="696"/>
      <c r="CZ263" s="3060">
        <f t="shared" si="17"/>
      </c>
      <c r="DA263" s="3060">
        <f t="shared" si="1"/>
      </c>
      <c r="DB263" s="3060">
        <f t="shared" si="18"/>
      </c>
      <c r="DC263" s="3060">
        <f t="shared" si="19"/>
      </c>
      <c r="DD263" s="3060">
        <f t="shared" si="20"/>
      </c>
      <c r="DE263" s="3060">
        <f t="shared" si="21"/>
      </c>
      <c r="DF263" s="3060">
        <f t="shared" si="22"/>
      </c>
      <c r="DG263" s="3060">
        <f t="shared" si="23"/>
      </c>
      <c r="DH263" s="3060">
        <f t="shared" si="24"/>
      </c>
      <c r="DI263" s="3060">
        <f t="shared" si="1"/>
      </c>
    </row>
    <row r="264" ht="15" customHeight="1" s="3052" customFormat="1">
      <c r="A264" s="3065"/>
      <c r="B264" s="3054">
        <f t="shared" si="2"/>
      </c>
      <c r="C264" s="3054"/>
      <c r="D264" s="3054"/>
      <c r="E264" s="3055"/>
      <c r="F264" s="3055"/>
      <c r="G264" s="3055"/>
      <c r="H264" s="3055"/>
      <c r="I264" s="3055"/>
      <c r="J264" s="3055"/>
      <c r="K264" s="3055"/>
      <c r="L264" s="3055"/>
      <c r="M264" s="3055"/>
      <c r="N264" s="3055"/>
      <c r="O264" s="3055"/>
      <c r="P264" s="3055"/>
      <c r="Q264" s="3055"/>
      <c r="R264" s="3055">
        <f t="shared" si="3"/>
        <v>0</v>
      </c>
      <c r="S264" s="3055">
        <f t="shared" si="4"/>
        <v>0</v>
      </c>
      <c r="T264" s="3055">
        <f t="shared" si="5"/>
        <v>0</v>
      </c>
      <c r="U264" s="3055">
        <f t="shared" si="6"/>
        <v>0</v>
      </c>
      <c r="V264" s="3055">
        <f t="shared" si="7"/>
        <v>0</v>
      </c>
      <c r="W264" s="3055">
        <f t="shared" si="8"/>
        <v>0</v>
      </c>
      <c r="X264" s="3055">
        <f t="shared" si="9"/>
        <v>0</v>
      </c>
      <c r="Y264" s="3055">
        <f t="shared" si="10"/>
        <v>0</v>
      </c>
      <c r="Z264" s="3055">
        <f t="shared" si="11"/>
        <v>0</v>
      </c>
      <c r="AA264" s="3055">
        <f t="shared" si="12"/>
        <v>0</v>
      </c>
      <c r="AB264" s="3055">
        <f t="shared" si="13"/>
        <v>0</v>
      </c>
      <c r="AC264" s="3055">
        <f t="shared" si="14"/>
        <v>0</v>
      </c>
      <c r="AD264" s="3056"/>
      <c r="AE264" s="3057">
        <f t="shared" si="0"/>
      </c>
      <c r="AF264" s="3054"/>
      <c r="AG264" s="3054"/>
      <c r="AH264" s="3055"/>
      <c r="AI264" s="3055"/>
      <c r="AJ264" s="3055"/>
      <c r="AK264" s="3055"/>
      <c r="AL264" s="3055"/>
      <c r="AM264" s="3055"/>
      <c r="AN264" s="3055"/>
      <c r="AO264" s="3055"/>
      <c r="AP264" s="3055"/>
      <c r="AQ264" s="3055"/>
      <c r="AR264" s="3055"/>
      <c r="AS264" s="3055"/>
      <c r="AT264" s="3055"/>
      <c r="AU264" s="3056"/>
      <c r="AV264" s="3057">
        <f t="shared" si="15"/>
      </c>
      <c r="AW264" s="3054"/>
      <c r="AX264" s="3054"/>
      <c r="AY264" s="3055"/>
      <c r="AZ264" s="3055"/>
      <c r="BA264" s="3055"/>
      <c r="BB264" s="3055"/>
      <c r="BC264" s="3055"/>
      <c r="BD264" s="3055"/>
      <c r="BE264" s="3055"/>
      <c r="BF264" s="3055"/>
      <c r="BG264" s="3055"/>
      <c r="BH264" s="3055"/>
      <c r="BI264" s="3055"/>
      <c r="BJ264" s="3055"/>
      <c r="BK264" s="3055"/>
      <c r="BL264" s="3056"/>
      <c r="BM264" s="3057">
        <f t="shared" si="16"/>
      </c>
      <c r="BN264" s="3054"/>
      <c r="BO264" s="3054"/>
      <c r="BP264" s="3055"/>
      <c r="BQ264" s="3055"/>
      <c r="BR264" s="3055"/>
      <c r="BS264" s="3055"/>
      <c r="BT264" s="3055"/>
      <c r="BU264" s="3055"/>
      <c r="BV264" s="3055"/>
      <c r="BW264" s="3055"/>
      <c r="BX264" s="3055"/>
      <c r="BY264" s="3055"/>
      <c r="BZ264" s="3055"/>
      <c r="CA264" s="3055"/>
      <c r="CB264" s="3055"/>
      <c r="CC264" s="3056"/>
      <c r="CD264" s="3057">
        <f t="shared" si="0"/>
      </c>
      <c r="CE264" s="3054"/>
      <c r="CF264" s="3054"/>
      <c r="CG264" s="3055"/>
      <c r="CH264" s="3055"/>
      <c r="CI264" s="3055"/>
      <c r="CJ264" s="3055"/>
      <c r="CK264" s="3055"/>
      <c r="CL264" s="3055"/>
      <c r="CM264" s="3055"/>
      <c r="CN264" s="3055"/>
      <c r="CO264" s="3055"/>
      <c r="CP264" s="3055"/>
      <c r="CQ264" s="3055"/>
      <c r="CR264" s="3055"/>
      <c r="CS264" s="3055"/>
      <c r="CU264" s="3054"/>
      <c r="CV264" s="696"/>
      <c r="CW264" s="696"/>
      <c r="CZ264" s="3060">
        <f t="shared" si="17"/>
      </c>
      <c r="DA264" s="3060">
        <f t="shared" si="1"/>
      </c>
      <c r="DB264" s="3060">
        <f t="shared" si="18"/>
      </c>
      <c r="DC264" s="3060">
        <f t="shared" si="19"/>
      </c>
      <c r="DD264" s="3060">
        <f t="shared" si="20"/>
      </c>
      <c r="DE264" s="3060">
        <f t="shared" si="21"/>
      </c>
      <c r="DF264" s="3060">
        <f t="shared" si="22"/>
      </c>
      <c r="DG264" s="3060">
        <f t="shared" si="23"/>
      </c>
      <c r="DH264" s="3060">
        <f t="shared" si="24"/>
      </c>
      <c r="DI264" s="3060">
        <f t="shared" si="1"/>
      </c>
    </row>
    <row r="265" ht="15" customHeight="1" s="3052" customFormat="1">
      <c r="A265" s="3065"/>
      <c r="B265" s="3054">
        <f t="shared" si="2"/>
      </c>
      <c r="C265" s="3054"/>
      <c r="D265" s="3054"/>
      <c r="E265" s="3055"/>
      <c r="F265" s="3055"/>
      <c r="G265" s="3055"/>
      <c r="H265" s="3055"/>
      <c r="I265" s="3055"/>
      <c r="J265" s="3055"/>
      <c r="K265" s="3055"/>
      <c r="L265" s="3055"/>
      <c r="M265" s="3055"/>
      <c r="N265" s="3055"/>
      <c r="O265" s="3055"/>
      <c r="P265" s="3055"/>
      <c r="Q265" s="3055"/>
      <c r="R265" s="3055">
        <f t="shared" si="3"/>
        <v>0</v>
      </c>
      <c r="S265" s="3055">
        <f t="shared" si="4"/>
        <v>0</v>
      </c>
      <c r="T265" s="3055">
        <f t="shared" si="5"/>
        <v>0</v>
      </c>
      <c r="U265" s="3055">
        <f t="shared" si="6"/>
        <v>0</v>
      </c>
      <c r="V265" s="3055">
        <f t="shared" si="7"/>
        <v>0</v>
      </c>
      <c r="W265" s="3055">
        <f t="shared" si="8"/>
        <v>0</v>
      </c>
      <c r="X265" s="3055">
        <f t="shared" si="9"/>
        <v>0</v>
      </c>
      <c r="Y265" s="3055">
        <f t="shared" si="10"/>
        <v>0</v>
      </c>
      <c r="Z265" s="3055">
        <f t="shared" si="11"/>
        <v>0</v>
      </c>
      <c r="AA265" s="3055">
        <f t="shared" si="12"/>
        <v>0</v>
      </c>
      <c r="AB265" s="3055">
        <f t="shared" si="13"/>
        <v>0</v>
      </c>
      <c r="AC265" s="3055">
        <f t="shared" si="14"/>
        <v>0</v>
      </c>
      <c r="AD265" s="3056"/>
      <c r="AE265" s="3057">
        <f t="shared" si="0"/>
      </c>
      <c r="AF265" s="3054"/>
      <c r="AG265" s="3054"/>
      <c r="AH265" s="3055"/>
      <c r="AI265" s="3055"/>
      <c r="AJ265" s="3055"/>
      <c r="AK265" s="3055"/>
      <c r="AL265" s="3055"/>
      <c r="AM265" s="3055"/>
      <c r="AN265" s="3055"/>
      <c r="AO265" s="3055"/>
      <c r="AP265" s="3055"/>
      <c r="AQ265" s="3055"/>
      <c r="AR265" s="3055"/>
      <c r="AS265" s="3055"/>
      <c r="AT265" s="3055"/>
      <c r="AU265" s="3056"/>
      <c r="AV265" s="3057">
        <f t="shared" si="15"/>
      </c>
      <c r="AW265" s="3054"/>
      <c r="AX265" s="3054"/>
      <c r="AY265" s="3055"/>
      <c r="AZ265" s="3055"/>
      <c r="BA265" s="3055"/>
      <c r="BB265" s="3055"/>
      <c r="BC265" s="3055"/>
      <c r="BD265" s="3055"/>
      <c r="BE265" s="3055"/>
      <c r="BF265" s="3055"/>
      <c r="BG265" s="3055"/>
      <c r="BH265" s="3055"/>
      <c r="BI265" s="3055"/>
      <c r="BJ265" s="3055"/>
      <c r="BK265" s="3055"/>
      <c r="BL265" s="3056"/>
      <c r="BM265" s="3057">
        <f t="shared" si="16"/>
      </c>
      <c r="BN265" s="3054"/>
      <c r="BO265" s="3054"/>
      <c r="BP265" s="3055"/>
      <c r="BQ265" s="3055"/>
      <c r="BR265" s="3055"/>
      <c r="BS265" s="3055"/>
      <c r="BT265" s="3055"/>
      <c r="BU265" s="3055"/>
      <c r="BV265" s="3055"/>
      <c r="BW265" s="3055"/>
      <c r="BX265" s="3055"/>
      <c r="BY265" s="3055"/>
      <c r="BZ265" s="3055"/>
      <c r="CA265" s="3055"/>
      <c r="CB265" s="3055"/>
      <c r="CC265" s="3056"/>
      <c r="CD265" s="3057">
        <f t="shared" si="0"/>
      </c>
      <c r="CE265" s="3054"/>
      <c r="CF265" s="3054"/>
      <c r="CG265" s="3055"/>
      <c r="CH265" s="3055"/>
      <c r="CI265" s="3055"/>
      <c r="CJ265" s="3055"/>
      <c r="CK265" s="3055"/>
      <c r="CL265" s="3055"/>
      <c r="CM265" s="3055"/>
      <c r="CN265" s="3055"/>
      <c r="CO265" s="3055"/>
      <c r="CP265" s="3055"/>
      <c r="CQ265" s="3055"/>
      <c r="CR265" s="3055"/>
      <c r="CS265" s="3055"/>
      <c r="CU265" s="3054"/>
      <c r="CV265" s="696"/>
      <c r="CW265" s="696"/>
      <c r="CZ265" s="3060">
        <f t="shared" si="17"/>
      </c>
      <c r="DA265" s="3060">
        <f t="shared" si="1"/>
      </c>
      <c r="DB265" s="3060">
        <f t="shared" si="18"/>
      </c>
      <c r="DC265" s="3060">
        <f t="shared" si="19"/>
      </c>
      <c r="DD265" s="3060">
        <f t="shared" si="20"/>
      </c>
      <c r="DE265" s="3060">
        <f t="shared" si="21"/>
      </c>
      <c r="DF265" s="3060">
        <f t="shared" si="22"/>
      </c>
      <c r="DG265" s="3060">
        <f t="shared" si="23"/>
      </c>
      <c r="DH265" s="3060">
        <f t="shared" si="24"/>
      </c>
      <c r="DI265" s="3060">
        <f t="shared" si="1"/>
      </c>
    </row>
    <row r="266" ht="15" customHeight="1" s="3052" customFormat="1">
      <c r="A266" s="3065"/>
      <c r="B266" s="3054">
        <f t="shared" si="2"/>
      </c>
      <c r="C266" s="3054"/>
      <c r="D266" s="3054"/>
      <c r="E266" s="3055"/>
      <c r="F266" s="3055"/>
      <c r="G266" s="3055"/>
      <c r="H266" s="3055"/>
      <c r="I266" s="3055"/>
      <c r="J266" s="3055"/>
      <c r="K266" s="3055"/>
      <c r="L266" s="3055"/>
      <c r="M266" s="3055"/>
      <c r="N266" s="3055"/>
      <c r="O266" s="3055"/>
      <c r="P266" s="3055"/>
      <c r="Q266" s="3055"/>
      <c r="R266" s="3055">
        <f t="shared" si="3"/>
        <v>0</v>
      </c>
      <c r="S266" s="3055">
        <f t="shared" si="4"/>
        <v>0</v>
      </c>
      <c r="T266" s="3055">
        <f t="shared" si="5"/>
        <v>0</v>
      </c>
      <c r="U266" s="3055">
        <f t="shared" si="6"/>
        <v>0</v>
      </c>
      <c r="V266" s="3055">
        <f t="shared" si="7"/>
        <v>0</v>
      </c>
      <c r="W266" s="3055">
        <f t="shared" si="8"/>
        <v>0</v>
      </c>
      <c r="X266" s="3055">
        <f t="shared" si="9"/>
        <v>0</v>
      </c>
      <c r="Y266" s="3055">
        <f t="shared" si="10"/>
        <v>0</v>
      </c>
      <c r="Z266" s="3055">
        <f t="shared" si="11"/>
        <v>0</v>
      </c>
      <c r="AA266" s="3055">
        <f t="shared" si="12"/>
        <v>0</v>
      </c>
      <c r="AB266" s="3055">
        <f t="shared" si="13"/>
        <v>0</v>
      </c>
      <c r="AC266" s="3055">
        <f t="shared" si="14"/>
        <v>0</v>
      </c>
      <c r="AD266" s="3056"/>
      <c r="AE266" s="3057">
        <f t="shared" si="0"/>
      </c>
      <c r="AF266" s="3054"/>
      <c r="AG266" s="3054"/>
      <c r="AH266" s="3055"/>
      <c r="AI266" s="3055"/>
      <c r="AJ266" s="3055"/>
      <c r="AK266" s="3055"/>
      <c r="AL266" s="3055"/>
      <c r="AM266" s="3055"/>
      <c r="AN266" s="3055"/>
      <c r="AO266" s="3055"/>
      <c r="AP266" s="3055"/>
      <c r="AQ266" s="3055"/>
      <c r="AR266" s="3055"/>
      <c r="AS266" s="3055"/>
      <c r="AT266" s="3055"/>
      <c r="AU266" s="3056"/>
      <c r="AV266" s="3057">
        <f t="shared" si="15"/>
      </c>
      <c r="AW266" s="3054"/>
      <c r="AX266" s="3054"/>
      <c r="AY266" s="3055"/>
      <c r="AZ266" s="3055"/>
      <c r="BA266" s="3055"/>
      <c r="BB266" s="3055"/>
      <c r="BC266" s="3055"/>
      <c r="BD266" s="3055"/>
      <c r="BE266" s="3055"/>
      <c r="BF266" s="3055"/>
      <c r="BG266" s="3055"/>
      <c r="BH266" s="3055"/>
      <c r="BI266" s="3055"/>
      <c r="BJ266" s="3055"/>
      <c r="BK266" s="3055"/>
      <c r="BL266" s="3056"/>
      <c r="BM266" s="3057">
        <f t="shared" si="16"/>
      </c>
      <c r="BN266" s="3054"/>
      <c r="BO266" s="3054"/>
      <c r="BP266" s="3055"/>
      <c r="BQ266" s="3055"/>
      <c r="BR266" s="3055"/>
      <c r="BS266" s="3055"/>
      <c r="BT266" s="3055"/>
      <c r="BU266" s="3055"/>
      <c r="BV266" s="3055"/>
      <c r="BW266" s="3055"/>
      <c r="BX266" s="3055"/>
      <c r="BY266" s="3055"/>
      <c r="BZ266" s="3055"/>
      <c r="CA266" s="3055"/>
      <c r="CB266" s="3055"/>
      <c r="CC266" s="3056"/>
      <c r="CD266" s="3057">
        <f t="shared" si="0"/>
      </c>
      <c r="CE266" s="3054"/>
      <c r="CF266" s="3054"/>
      <c r="CG266" s="3055"/>
      <c r="CH266" s="3055"/>
      <c r="CI266" s="3055"/>
      <c r="CJ266" s="3055"/>
      <c r="CK266" s="3055"/>
      <c r="CL266" s="3055"/>
      <c r="CM266" s="3055"/>
      <c r="CN266" s="3055"/>
      <c r="CO266" s="3055"/>
      <c r="CP266" s="3055"/>
      <c r="CQ266" s="3055"/>
      <c r="CR266" s="3055"/>
      <c r="CS266" s="3055"/>
      <c r="CU266" s="3054"/>
      <c r="CV266" s="696"/>
      <c r="CW266" s="696"/>
      <c r="CZ266" s="3060">
        <f t="shared" si="17"/>
      </c>
      <c r="DA266" s="3060">
        <f t="shared" si="1"/>
      </c>
      <c r="DB266" s="3060">
        <f t="shared" si="18"/>
      </c>
      <c r="DC266" s="3060">
        <f t="shared" si="19"/>
      </c>
      <c r="DD266" s="3060">
        <f t="shared" si="20"/>
      </c>
      <c r="DE266" s="3060">
        <f t="shared" si="21"/>
      </c>
      <c r="DF266" s="3060">
        <f t="shared" si="22"/>
      </c>
      <c r="DG266" s="3060">
        <f t="shared" si="23"/>
      </c>
      <c r="DH266" s="3060">
        <f t="shared" si="24"/>
      </c>
      <c r="DI266" s="3060">
        <f t="shared" si="1"/>
      </c>
    </row>
    <row r="267" ht="15" customHeight="1" s="3052" customFormat="1">
      <c r="A267" s="3065"/>
      <c r="B267" s="3054">
        <f t="shared" si="2"/>
      </c>
      <c r="C267" s="3054"/>
      <c r="D267" s="3054"/>
      <c r="E267" s="3055"/>
      <c r="F267" s="3055"/>
      <c r="G267" s="3055"/>
      <c r="H267" s="3055"/>
      <c r="I267" s="3055"/>
      <c r="J267" s="3055"/>
      <c r="K267" s="3055"/>
      <c r="L267" s="3055"/>
      <c r="M267" s="3055"/>
      <c r="N267" s="3055"/>
      <c r="O267" s="3055"/>
      <c r="P267" s="3055"/>
      <c r="Q267" s="3055"/>
      <c r="R267" s="3055">
        <f t="shared" si="3"/>
        <v>0</v>
      </c>
      <c r="S267" s="3055">
        <f t="shared" si="4"/>
        <v>0</v>
      </c>
      <c r="T267" s="3055">
        <f t="shared" si="5"/>
        <v>0</v>
      </c>
      <c r="U267" s="3055">
        <f t="shared" si="6"/>
        <v>0</v>
      </c>
      <c r="V267" s="3055">
        <f t="shared" si="7"/>
        <v>0</v>
      </c>
      <c r="W267" s="3055">
        <f t="shared" si="8"/>
        <v>0</v>
      </c>
      <c r="X267" s="3055">
        <f t="shared" si="9"/>
        <v>0</v>
      </c>
      <c r="Y267" s="3055">
        <f t="shared" si="10"/>
        <v>0</v>
      </c>
      <c r="Z267" s="3055">
        <f t="shared" si="11"/>
        <v>0</v>
      </c>
      <c r="AA267" s="3055">
        <f t="shared" si="12"/>
        <v>0</v>
      </c>
      <c r="AB267" s="3055">
        <f t="shared" si="13"/>
        <v>0</v>
      </c>
      <c r="AC267" s="3055">
        <f t="shared" si="14"/>
        <v>0</v>
      </c>
      <c r="AD267" s="3056"/>
      <c r="AE267" s="3057">
        <f t="shared" si="0"/>
      </c>
      <c r="AF267" s="3054"/>
      <c r="AG267" s="3054"/>
      <c r="AH267" s="3055"/>
      <c r="AI267" s="3055"/>
      <c r="AJ267" s="3055"/>
      <c r="AK267" s="3055"/>
      <c r="AL267" s="3055"/>
      <c r="AM267" s="3055"/>
      <c r="AN267" s="3055"/>
      <c r="AO267" s="3055"/>
      <c r="AP267" s="3055"/>
      <c r="AQ267" s="3055"/>
      <c r="AR267" s="3055"/>
      <c r="AS267" s="3055"/>
      <c r="AT267" s="3055"/>
      <c r="AU267" s="3056"/>
      <c r="AV267" s="3057">
        <f t="shared" si="15"/>
      </c>
      <c r="AW267" s="3054"/>
      <c r="AX267" s="3054"/>
      <c r="AY267" s="3055"/>
      <c r="AZ267" s="3055"/>
      <c r="BA267" s="3055"/>
      <c r="BB267" s="3055"/>
      <c r="BC267" s="3055"/>
      <c r="BD267" s="3055"/>
      <c r="BE267" s="3055"/>
      <c r="BF267" s="3055"/>
      <c r="BG267" s="3055"/>
      <c r="BH267" s="3055"/>
      <c r="BI267" s="3055"/>
      <c r="BJ267" s="3055"/>
      <c r="BK267" s="3055"/>
      <c r="BL267" s="3056"/>
      <c r="BM267" s="3057">
        <f t="shared" si="16"/>
      </c>
      <c r="BN267" s="3054"/>
      <c r="BO267" s="3054"/>
      <c r="BP267" s="3055"/>
      <c r="BQ267" s="3055"/>
      <c r="BR267" s="3055"/>
      <c r="BS267" s="3055"/>
      <c r="BT267" s="3055"/>
      <c r="BU267" s="3055"/>
      <c r="BV267" s="3055"/>
      <c r="BW267" s="3055"/>
      <c r="BX267" s="3055"/>
      <c r="BY267" s="3055"/>
      <c r="BZ267" s="3055"/>
      <c r="CA267" s="3055"/>
      <c r="CB267" s="3055"/>
      <c r="CC267" s="3056"/>
      <c r="CD267" s="3057">
        <f t="shared" si="0"/>
      </c>
      <c r="CE267" s="3054"/>
      <c r="CF267" s="3054"/>
      <c r="CG267" s="3055"/>
      <c r="CH267" s="3055"/>
      <c r="CI267" s="3055"/>
      <c r="CJ267" s="3055"/>
      <c r="CK267" s="3055"/>
      <c r="CL267" s="3055"/>
      <c r="CM267" s="3055"/>
      <c r="CN267" s="3055"/>
      <c r="CO267" s="3055"/>
      <c r="CP267" s="3055"/>
      <c r="CQ267" s="3055"/>
      <c r="CR267" s="3055"/>
      <c r="CS267" s="3055"/>
      <c r="CU267" s="3054"/>
      <c r="CV267" s="696"/>
      <c r="CW267" s="696"/>
      <c r="CZ267" s="3060">
        <f t="shared" si="17"/>
      </c>
      <c r="DA267" s="3060">
        <f t="shared" si="1"/>
      </c>
      <c r="DB267" s="3060">
        <f t="shared" si="18"/>
      </c>
      <c r="DC267" s="3060">
        <f t="shared" si="19"/>
      </c>
      <c r="DD267" s="3060">
        <f t="shared" si="20"/>
      </c>
      <c r="DE267" s="3060">
        <f t="shared" si="21"/>
      </c>
      <c r="DF267" s="3060">
        <f t="shared" si="22"/>
      </c>
      <c r="DG267" s="3060">
        <f t="shared" si="23"/>
      </c>
      <c r="DH267" s="3060">
        <f t="shared" si="24"/>
      </c>
      <c r="DI267" s="3060">
        <f t="shared" si="1"/>
      </c>
    </row>
    <row r="268" ht="15" customHeight="1" s="3052" customFormat="1">
      <c r="A268" s="3065"/>
      <c r="B268" s="3054">
        <f t="shared" si="2"/>
      </c>
      <c r="C268" s="3054"/>
      <c r="D268" s="3054"/>
      <c r="E268" s="3055"/>
      <c r="F268" s="3055"/>
      <c r="G268" s="3055"/>
      <c r="H268" s="3055"/>
      <c r="I268" s="3055"/>
      <c r="J268" s="3055"/>
      <c r="K268" s="3055"/>
      <c r="L268" s="3055"/>
      <c r="M268" s="3055"/>
      <c r="N268" s="3055"/>
      <c r="O268" s="3055"/>
      <c r="P268" s="3055"/>
      <c r="Q268" s="3055"/>
      <c r="R268" s="3055">
        <f t="shared" si="3"/>
        <v>0</v>
      </c>
      <c r="S268" s="3055">
        <f t="shared" si="4"/>
        <v>0</v>
      </c>
      <c r="T268" s="3055">
        <f t="shared" si="5"/>
        <v>0</v>
      </c>
      <c r="U268" s="3055">
        <f t="shared" si="6"/>
        <v>0</v>
      </c>
      <c r="V268" s="3055">
        <f t="shared" si="7"/>
        <v>0</v>
      </c>
      <c r="W268" s="3055">
        <f t="shared" si="8"/>
        <v>0</v>
      </c>
      <c r="X268" s="3055">
        <f t="shared" si="9"/>
        <v>0</v>
      </c>
      <c r="Y268" s="3055">
        <f t="shared" si="10"/>
        <v>0</v>
      </c>
      <c r="Z268" s="3055">
        <f t="shared" si="11"/>
        <v>0</v>
      </c>
      <c r="AA268" s="3055">
        <f t="shared" si="12"/>
        <v>0</v>
      </c>
      <c r="AB268" s="3055">
        <f t="shared" si="13"/>
        <v>0</v>
      </c>
      <c r="AC268" s="3055">
        <f t="shared" si="14"/>
        <v>0</v>
      </c>
      <c r="AD268" s="3056"/>
      <c r="AE268" s="3057">
        <f t="shared" si="0"/>
      </c>
      <c r="AF268" s="3054"/>
      <c r="AG268" s="3054"/>
      <c r="AH268" s="3055"/>
      <c r="AI268" s="3055"/>
      <c r="AJ268" s="3055"/>
      <c r="AK268" s="3055"/>
      <c r="AL268" s="3055"/>
      <c r="AM268" s="3055"/>
      <c r="AN268" s="3055"/>
      <c r="AO268" s="3055"/>
      <c r="AP268" s="3055"/>
      <c r="AQ268" s="3055"/>
      <c r="AR268" s="3055"/>
      <c r="AS268" s="3055"/>
      <c r="AT268" s="3055"/>
      <c r="AU268" s="3056"/>
      <c r="AV268" s="3057">
        <f t="shared" si="15"/>
      </c>
      <c r="AW268" s="3054"/>
      <c r="AX268" s="3054"/>
      <c r="AY268" s="3055"/>
      <c r="AZ268" s="3055"/>
      <c r="BA268" s="3055"/>
      <c r="BB268" s="3055"/>
      <c r="BC268" s="3055"/>
      <c r="BD268" s="3055"/>
      <c r="BE268" s="3055"/>
      <c r="BF268" s="3055"/>
      <c r="BG268" s="3055"/>
      <c r="BH268" s="3055"/>
      <c r="BI268" s="3055"/>
      <c r="BJ268" s="3055"/>
      <c r="BK268" s="3055"/>
      <c r="BL268" s="3056"/>
      <c r="BM268" s="3057">
        <f t="shared" si="16"/>
      </c>
      <c r="BN268" s="3054"/>
      <c r="BO268" s="3054"/>
      <c r="BP268" s="3055"/>
      <c r="BQ268" s="3055"/>
      <c r="BR268" s="3055"/>
      <c r="BS268" s="3055"/>
      <c r="BT268" s="3055"/>
      <c r="BU268" s="3055"/>
      <c r="BV268" s="3055"/>
      <c r="BW268" s="3055"/>
      <c r="BX268" s="3055"/>
      <c r="BY268" s="3055"/>
      <c r="BZ268" s="3055"/>
      <c r="CA268" s="3055"/>
      <c r="CB268" s="3055"/>
      <c r="CC268" s="3056"/>
      <c r="CD268" s="3057">
        <f t="shared" si="0"/>
      </c>
      <c r="CE268" s="3054"/>
      <c r="CF268" s="3054"/>
      <c r="CG268" s="3055"/>
      <c r="CH268" s="3055"/>
      <c r="CI268" s="3055"/>
      <c r="CJ268" s="3055"/>
      <c r="CK268" s="3055"/>
      <c r="CL268" s="3055"/>
      <c r="CM268" s="3055"/>
      <c r="CN268" s="3055"/>
      <c r="CO268" s="3055"/>
      <c r="CP268" s="3055"/>
      <c r="CQ268" s="3055"/>
      <c r="CR268" s="3055"/>
      <c r="CS268" s="3055"/>
      <c r="CU268" s="3054"/>
      <c r="CV268" s="696"/>
      <c r="CW268" s="696"/>
      <c r="CZ268" s="3060">
        <f t="shared" si="17"/>
      </c>
      <c r="DA268" s="3060">
        <f t="shared" si="1"/>
      </c>
      <c r="DB268" s="3060">
        <f t="shared" si="18"/>
      </c>
      <c r="DC268" s="3060">
        <f t="shared" si="19"/>
      </c>
      <c r="DD268" s="3060">
        <f t="shared" si="20"/>
      </c>
      <c r="DE268" s="3060">
        <f t="shared" si="21"/>
      </c>
      <c r="DF268" s="3060">
        <f t="shared" si="22"/>
      </c>
      <c r="DG268" s="3060">
        <f t="shared" si="23"/>
      </c>
      <c r="DH268" s="3060">
        <f t="shared" si="24"/>
      </c>
      <c r="DI268" s="3060">
        <f t="shared" si="1"/>
      </c>
    </row>
    <row r="269" ht="15" customHeight="1" s="3052" customFormat="1">
      <c r="A269" s="3065"/>
      <c r="B269" s="3054">
        <f t="shared" si="2"/>
      </c>
      <c r="C269" s="3054"/>
      <c r="D269" s="3054"/>
      <c r="E269" s="3055"/>
      <c r="F269" s="3055"/>
      <c r="G269" s="3055"/>
      <c r="H269" s="3055"/>
      <c r="I269" s="3055"/>
      <c r="J269" s="3055"/>
      <c r="K269" s="3055"/>
      <c r="L269" s="3055"/>
      <c r="M269" s="3055"/>
      <c r="N269" s="3055"/>
      <c r="O269" s="3055"/>
      <c r="P269" s="3055"/>
      <c r="Q269" s="3055"/>
      <c r="R269" s="3055">
        <f t="shared" si="3"/>
        <v>0</v>
      </c>
      <c r="S269" s="3055">
        <f t="shared" si="4"/>
        <v>0</v>
      </c>
      <c r="T269" s="3055">
        <f t="shared" si="5"/>
        <v>0</v>
      </c>
      <c r="U269" s="3055">
        <f t="shared" si="6"/>
        <v>0</v>
      </c>
      <c r="V269" s="3055">
        <f t="shared" si="7"/>
        <v>0</v>
      </c>
      <c r="W269" s="3055">
        <f t="shared" si="8"/>
        <v>0</v>
      </c>
      <c r="X269" s="3055">
        <f t="shared" si="9"/>
        <v>0</v>
      </c>
      <c r="Y269" s="3055">
        <f t="shared" si="10"/>
        <v>0</v>
      </c>
      <c r="Z269" s="3055">
        <f t="shared" si="11"/>
        <v>0</v>
      </c>
      <c r="AA269" s="3055">
        <f t="shared" si="12"/>
        <v>0</v>
      </c>
      <c r="AB269" s="3055">
        <f t="shared" si="13"/>
        <v>0</v>
      </c>
      <c r="AC269" s="3055">
        <f t="shared" si="14"/>
        <v>0</v>
      </c>
      <c r="AD269" s="3056"/>
      <c r="AE269" s="3057">
        <f t="shared" si="0"/>
      </c>
      <c r="AF269" s="3054"/>
      <c r="AG269" s="3054"/>
      <c r="AH269" s="3055"/>
      <c r="AI269" s="3055"/>
      <c r="AJ269" s="3055"/>
      <c r="AK269" s="3055"/>
      <c r="AL269" s="3055"/>
      <c r="AM269" s="3055"/>
      <c r="AN269" s="3055"/>
      <c r="AO269" s="3055"/>
      <c r="AP269" s="3055"/>
      <c r="AQ269" s="3055"/>
      <c r="AR269" s="3055"/>
      <c r="AS269" s="3055"/>
      <c r="AT269" s="3055"/>
      <c r="AU269" s="3056"/>
      <c r="AV269" s="3057">
        <f t="shared" si="15"/>
      </c>
      <c r="AW269" s="3054"/>
      <c r="AX269" s="3054"/>
      <c r="AY269" s="3055"/>
      <c r="AZ269" s="3055"/>
      <c r="BA269" s="3055"/>
      <c r="BB269" s="3055"/>
      <c r="BC269" s="3055"/>
      <c r="BD269" s="3055"/>
      <c r="BE269" s="3055"/>
      <c r="BF269" s="3055"/>
      <c r="BG269" s="3055"/>
      <c r="BH269" s="3055"/>
      <c r="BI269" s="3055"/>
      <c r="BJ269" s="3055"/>
      <c r="BK269" s="3055"/>
      <c r="BL269" s="3056"/>
      <c r="BM269" s="3057">
        <f t="shared" si="16"/>
      </c>
      <c r="BN269" s="3054"/>
      <c r="BO269" s="3054"/>
      <c r="BP269" s="3055"/>
      <c r="BQ269" s="3055"/>
      <c r="BR269" s="3055"/>
      <c r="BS269" s="3055"/>
      <c r="BT269" s="3055"/>
      <c r="BU269" s="3055"/>
      <c r="BV269" s="3055"/>
      <c r="BW269" s="3055"/>
      <c r="BX269" s="3055"/>
      <c r="BY269" s="3055"/>
      <c r="BZ269" s="3055"/>
      <c r="CA269" s="3055"/>
      <c r="CB269" s="3055"/>
      <c r="CC269" s="3056"/>
      <c r="CD269" s="3057">
        <f t="shared" si="0"/>
      </c>
      <c r="CE269" s="3054"/>
      <c r="CF269" s="3054"/>
      <c r="CG269" s="3055"/>
      <c r="CH269" s="3055"/>
      <c r="CI269" s="3055"/>
      <c r="CJ269" s="3055"/>
      <c r="CK269" s="3055"/>
      <c r="CL269" s="3055"/>
      <c r="CM269" s="3055"/>
      <c r="CN269" s="3055"/>
      <c r="CO269" s="3055"/>
      <c r="CP269" s="3055"/>
      <c r="CQ269" s="3055"/>
      <c r="CR269" s="3055"/>
      <c r="CS269" s="3055"/>
      <c r="CU269" s="3054"/>
      <c r="CV269" s="696"/>
      <c r="CW269" s="696"/>
      <c r="CZ269" s="3060">
        <f t="shared" si="17"/>
      </c>
      <c r="DA269" s="3060">
        <f t="shared" si="1"/>
      </c>
      <c r="DB269" s="3060">
        <f t="shared" si="18"/>
      </c>
      <c r="DC269" s="3060">
        <f t="shared" si="19"/>
      </c>
      <c r="DD269" s="3060">
        <f t="shared" si="20"/>
      </c>
      <c r="DE269" s="3060">
        <f t="shared" si="21"/>
      </c>
      <c r="DF269" s="3060">
        <f t="shared" si="22"/>
      </c>
      <c r="DG269" s="3060">
        <f t="shared" si="23"/>
      </c>
      <c r="DH269" s="3060">
        <f t="shared" si="24"/>
      </c>
      <c r="DI269" s="3060">
        <f t="shared" si="1"/>
      </c>
    </row>
    <row r="270" ht="15" customHeight="1" s="3052" customFormat="1">
      <c r="A270" s="3065"/>
      <c r="B270" s="3054">
        <f t="shared" si="2"/>
      </c>
      <c r="C270" s="3054"/>
      <c r="D270" s="3054"/>
      <c r="E270" s="3055"/>
      <c r="F270" s="3055"/>
      <c r="G270" s="3055"/>
      <c r="H270" s="3055"/>
      <c r="I270" s="3055"/>
      <c r="J270" s="3055"/>
      <c r="K270" s="3055"/>
      <c r="L270" s="3055"/>
      <c r="M270" s="3055"/>
      <c r="N270" s="3055"/>
      <c r="O270" s="3055"/>
      <c r="P270" s="3055"/>
      <c r="Q270" s="3055"/>
      <c r="R270" s="3055">
        <f t="shared" si="3"/>
        <v>0</v>
      </c>
      <c r="S270" s="3055">
        <f t="shared" si="4"/>
        <v>0</v>
      </c>
      <c r="T270" s="3055">
        <f t="shared" si="5"/>
        <v>0</v>
      </c>
      <c r="U270" s="3055">
        <f t="shared" si="6"/>
        <v>0</v>
      </c>
      <c r="V270" s="3055">
        <f t="shared" si="7"/>
        <v>0</v>
      </c>
      <c r="W270" s="3055">
        <f t="shared" si="8"/>
        <v>0</v>
      </c>
      <c r="X270" s="3055">
        <f t="shared" si="9"/>
        <v>0</v>
      </c>
      <c r="Y270" s="3055">
        <f t="shared" si="10"/>
        <v>0</v>
      </c>
      <c r="Z270" s="3055">
        <f t="shared" si="11"/>
        <v>0</v>
      </c>
      <c r="AA270" s="3055">
        <f t="shared" si="12"/>
        <v>0</v>
      </c>
      <c r="AB270" s="3055">
        <f t="shared" si="13"/>
        <v>0</v>
      </c>
      <c r="AC270" s="3055">
        <f t="shared" si="14"/>
        <v>0</v>
      </c>
      <c r="AD270" s="3056"/>
      <c r="AE270" s="3057">
        <f t="shared" si="0"/>
      </c>
      <c r="AF270" s="3054"/>
      <c r="AG270" s="3054"/>
      <c r="AH270" s="3055"/>
      <c r="AI270" s="3055"/>
      <c r="AJ270" s="3055"/>
      <c r="AK270" s="3055"/>
      <c r="AL270" s="3055"/>
      <c r="AM270" s="3055"/>
      <c r="AN270" s="3055"/>
      <c r="AO270" s="3055"/>
      <c r="AP270" s="3055"/>
      <c r="AQ270" s="3055"/>
      <c r="AR270" s="3055"/>
      <c r="AS270" s="3055"/>
      <c r="AT270" s="3055"/>
      <c r="AU270" s="3056"/>
      <c r="AV270" s="3057">
        <f t="shared" si="15"/>
      </c>
      <c r="AW270" s="3054"/>
      <c r="AX270" s="3054"/>
      <c r="AY270" s="3055"/>
      <c r="AZ270" s="3055"/>
      <c r="BA270" s="3055"/>
      <c r="BB270" s="3055"/>
      <c r="BC270" s="3055"/>
      <c r="BD270" s="3055"/>
      <c r="BE270" s="3055"/>
      <c r="BF270" s="3055"/>
      <c r="BG270" s="3055"/>
      <c r="BH270" s="3055"/>
      <c r="BI270" s="3055"/>
      <c r="BJ270" s="3055"/>
      <c r="BK270" s="3055"/>
      <c r="BL270" s="3056"/>
      <c r="BM270" s="3057">
        <f t="shared" si="16"/>
      </c>
      <c r="BN270" s="3054"/>
      <c r="BO270" s="3054"/>
      <c r="BP270" s="3055"/>
      <c r="BQ270" s="3055"/>
      <c r="BR270" s="3055"/>
      <c r="BS270" s="3055"/>
      <c r="BT270" s="3055"/>
      <c r="BU270" s="3055"/>
      <c r="BV270" s="3055"/>
      <c r="BW270" s="3055"/>
      <c r="BX270" s="3055"/>
      <c r="BY270" s="3055"/>
      <c r="BZ270" s="3055"/>
      <c r="CA270" s="3055"/>
      <c r="CB270" s="3055"/>
      <c r="CC270" s="3056"/>
      <c r="CD270" s="3057">
        <f t="shared" si="0"/>
      </c>
      <c r="CE270" s="3054"/>
      <c r="CF270" s="3054"/>
      <c r="CG270" s="3055"/>
      <c r="CH270" s="3055"/>
      <c r="CI270" s="3055"/>
      <c r="CJ270" s="3055"/>
      <c r="CK270" s="3055"/>
      <c r="CL270" s="3055"/>
      <c r="CM270" s="3055"/>
      <c r="CN270" s="3055"/>
      <c r="CO270" s="3055"/>
      <c r="CP270" s="3055"/>
      <c r="CQ270" s="3055"/>
      <c r="CR270" s="3055"/>
      <c r="CS270" s="3055"/>
      <c r="CU270" s="3054"/>
      <c r="CV270" s="696"/>
      <c r="CW270" s="696"/>
      <c r="CZ270" s="3060">
        <f t="shared" si="17"/>
      </c>
      <c r="DA270" s="3060">
        <f t="shared" si="1"/>
      </c>
      <c r="DB270" s="3060">
        <f t="shared" si="18"/>
      </c>
      <c r="DC270" s="3060">
        <f t="shared" si="19"/>
      </c>
      <c r="DD270" s="3060">
        <f t="shared" si="20"/>
      </c>
      <c r="DE270" s="3060">
        <f t="shared" si="21"/>
      </c>
      <c r="DF270" s="3060">
        <f t="shared" si="22"/>
      </c>
      <c r="DG270" s="3060">
        <f t="shared" si="23"/>
      </c>
      <c r="DH270" s="3060">
        <f t="shared" si="24"/>
      </c>
      <c r="DI270" s="3060">
        <f t="shared" si="1"/>
      </c>
    </row>
    <row r="271" ht="15" customHeight="1" s="3052" customFormat="1">
      <c r="A271" s="3065"/>
      <c r="B271" s="3054">
        <f t="shared" si="2"/>
      </c>
      <c r="C271" s="3054"/>
      <c r="D271" s="3054"/>
      <c r="E271" s="3055"/>
      <c r="F271" s="3055"/>
      <c r="G271" s="3055"/>
      <c r="H271" s="3055"/>
      <c r="I271" s="3055"/>
      <c r="J271" s="3055"/>
      <c r="K271" s="3055"/>
      <c r="L271" s="3055"/>
      <c r="M271" s="3055"/>
      <c r="N271" s="3055"/>
      <c r="O271" s="3055"/>
      <c r="P271" s="3055"/>
      <c r="Q271" s="3055"/>
      <c r="R271" s="3055">
        <f t="shared" si="3"/>
        <v>0</v>
      </c>
      <c r="S271" s="3055">
        <f t="shared" si="4"/>
        <v>0</v>
      </c>
      <c r="T271" s="3055">
        <f t="shared" si="5"/>
        <v>0</v>
      </c>
      <c r="U271" s="3055">
        <f t="shared" si="6"/>
        <v>0</v>
      </c>
      <c r="V271" s="3055">
        <f t="shared" si="7"/>
        <v>0</v>
      </c>
      <c r="W271" s="3055">
        <f t="shared" si="8"/>
        <v>0</v>
      </c>
      <c r="X271" s="3055">
        <f t="shared" si="9"/>
        <v>0</v>
      </c>
      <c r="Y271" s="3055">
        <f t="shared" si="10"/>
        <v>0</v>
      </c>
      <c r="Z271" s="3055">
        <f t="shared" si="11"/>
        <v>0</v>
      </c>
      <c r="AA271" s="3055">
        <f t="shared" si="12"/>
        <v>0</v>
      </c>
      <c r="AB271" s="3055">
        <f t="shared" si="13"/>
        <v>0</v>
      </c>
      <c r="AC271" s="3055">
        <f t="shared" si="14"/>
        <v>0</v>
      </c>
      <c r="AD271" s="3056"/>
      <c r="AE271" s="3057">
        <f t="shared" si="0"/>
      </c>
      <c r="AF271" s="3054"/>
      <c r="AG271" s="3054"/>
      <c r="AH271" s="3055"/>
      <c r="AI271" s="3055"/>
      <c r="AJ271" s="3055"/>
      <c r="AK271" s="3055"/>
      <c r="AL271" s="3055"/>
      <c r="AM271" s="3055"/>
      <c r="AN271" s="3055"/>
      <c r="AO271" s="3055"/>
      <c r="AP271" s="3055"/>
      <c r="AQ271" s="3055"/>
      <c r="AR271" s="3055"/>
      <c r="AS271" s="3055"/>
      <c r="AT271" s="3055"/>
      <c r="AU271" s="3056"/>
      <c r="AV271" s="3057">
        <f t="shared" si="15"/>
      </c>
      <c r="AW271" s="3054"/>
      <c r="AX271" s="3054"/>
      <c r="AY271" s="3055"/>
      <c r="AZ271" s="3055"/>
      <c r="BA271" s="3055"/>
      <c r="BB271" s="3055"/>
      <c r="BC271" s="3055"/>
      <c r="BD271" s="3055"/>
      <c r="BE271" s="3055"/>
      <c r="BF271" s="3055"/>
      <c r="BG271" s="3055"/>
      <c r="BH271" s="3055"/>
      <c r="BI271" s="3055"/>
      <c r="BJ271" s="3055"/>
      <c r="BK271" s="3055"/>
      <c r="BL271" s="3056"/>
      <c r="BM271" s="3057">
        <f t="shared" si="16"/>
      </c>
      <c r="BN271" s="3054"/>
      <c r="BO271" s="3054"/>
      <c r="BP271" s="3055"/>
      <c r="BQ271" s="3055"/>
      <c r="BR271" s="3055"/>
      <c r="BS271" s="3055"/>
      <c r="BT271" s="3055"/>
      <c r="BU271" s="3055"/>
      <c r="BV271" s="3055"/>
      <c r="BW271" s="3055"/>
      <c r="BX271" s="3055"/>
      <c r="BY271" s="3055"/>
      <c r="BZ271" s="3055"/>
      <c r="CA271" s="3055"/>
      <c r="CB271" s="3055"/>
      <c r="CC271" s="3056"/>
      <c r="CD271" s="3057">
        <f t="shared" si="0"/>
      </c>
      <c r="CE271" s="3054"/>
      <c r="CF271" s="3054"/>
      <c r="CG271" s="3055"/>
      <c r="CH271" s="3055"/>
      <c r="CI271" s="3055"/>
      <c r="CJ271" s="3055"/>
      <c r="CK271" s="3055"/>
      <c r="CL271" s="3055"/>
      <c r="CM271" s="3055"/>
      <c r="CN271" s="3055"/>
      <c r="CO271" s="3055"/>
      <c r="CP271" s="3055"/>
      <c r="CQ271" s="3055"/>
      <c r="CR271" s="3055"/>
      <c r="CS271" s="3055"/>
      <c r="CU271" s="3054"/>
      <c r="CV271" s="696"/>
      <c r="CW271" s="696"/>
      <c r="CZ271" s="3060">
        <f t="shared" si="17"/>
      </c>
      <c r="DA271" s="3060">
        <f t="shared" si="1"/>
      </c>
      <c r="DB271" s="3060">
        <f t="shared" si="18"/>
      </c>
      <c r="DC271" s="3060">
        <f t="shared" si="19"/>
      </c>
      <c r="DD271" s="3060">
        <f t="shared" si="20"/>
      </c>
      <c r="DE271" s="3060">
        <f t="shared" si="21"/>
      </c>
      <c r="DF271" s="3060">
        <f t="shared" si="22"/>
      </c>
      <c r="DG271" s="3060">
        <f t="shared" si="23"/>
      </c>
      <c r="DH271" s="3060">
        <f t="shared" si="24"/>
      </c>
      <c r="DI271" s="3060">
        <f t="shared" si="1"/>
      </c>
    </row>
    <row r="272" ht="15" customHeight="1" s="3052" customFormat="1">
      <c r="A272" s="3065"/>
      <c r="B272" s="3054">
        <f t="shared" si="2"/>
      </c>
      <c r="C272" s="3054"/>
      <c r="D272" s="3054"/>
      <c r="E272" s="3055"/>
      <c r="F272" s="3055"/>
      <c r="G272" s="3055"/>
      <c r="H272" s="3055"/>
      <c r="I272" s="3055"/>
      <c r="J272" s="3055"/>
      <c r="K272" s="3055"/>
      <c r="L272" s="3055"/>
      <c r="M272" s="3055"/>
      <c r="N272" s="3055"/>
      <c r="O272" s="3055"/>
      <c r="P272" s="3055"/>
      <c r="Q272" s="3055"/>
      <c r="R272" s="3055">
        <f t="shared" si="3"/>
        <v>0</v>
      </c>
      <c r="S272" s="3055">
        <f t="shared" si="4"/>
        <v>0</v>
      </c>
      <c r="T272" s="3055">
        <f t="shared" si="5"/>
        <v>0</v>
      </c>
      <c r="U272" s="3055">
        <f t="shared" si="6"/>
        <v>0</v>
      </c>
      <c r="V272" s="3055">
        <f t="shared" si="7"/>
        <v>0</v>
      </c>
      <c r="W272" s="3055">
        <f t="shared" si="8"/>
        <v>0</v>
      </c>
      <c r="X272" s="3055">
        <f t="shared" si="9"/>
        <v>0</v>
      </c>
      <c r="Y272" s="3055">
        <f t="shared" si="10"/>
        <v>0</v>
      </c>
      <c r="Z272" s="3055">
        <f t="shared" si="11"/>
        <v>0</v>
      </c>
      <c r="AA272" s="3055">
        <f t="shared" si="12"/>
        <v>0</v>
      </c>
      <c r="AB272" s="3055">
        <f t="shared" si="13"/>
        <v>0</v>
      </c>
      <c r="AC272" s="3055">
        <f t="shared" si="14"/>
        <v>0</v>
      </c>
      <c r="AD272" s="3056"/>
      <c r="AE272" s="3057">
        <f t="shared" si="0"/>
      </c>
      <c r="AF272" s="3054"/>
      <c r="AG272" s="3054"/>
      <c r="AH272" s="3055"/>
      <c r="AI272" s="3055"/>
      <c r="AJ272" s="3055"/>
      <c r="AK272" s="3055"/>
      <c r="AL272" s="3055"/>
      <c r="AM272" s="3055"/>
      <c r="AN272" s="3055"/>
      <c r="AO272" s="3055"/>
      <c r="AP272" s="3055"/>
      <c r="AQ272" s="3055"/>
      <c r="AR272" s="3055"/>
      <c r="AS272" s="3055"/>
      <c r="AT272" s="3055"/>
      <c r="AU272" s="3056"/>
      <c r="AV272" s="3057">
        <f t="shared" si="15"/>
      </c>
      <c r="AW272" s="3054"/>
      <c r="AX272" s="3054"/>
      <c r="AY272" s="3055"/>
      <c r="AZ272" s="3055"/>
      <c r="BA272" s="3055"/>
      <c r="BB272" s="3055"/>
      <c r="BC272" s="3055"/>
      <c r="BD272" s="3055"/>
      <c r="BE272" s="3055"/>
      <c r="BF272" s="3055"/>
      <c r="BG272" s="3055"/>
      <c r="BH272" s="3055"/>
      <c r="BI272" s="3055"/>
      <c r="BJ272" s="3055"/>
      <c r="BK272" s="3055"/>
      <c r="BL272" s="3056"/>
      <c r="BM272" s="3057">
        <f t="shared" si="16"/>
      </c>
      <c r="BN272" s="3054"/>
      <c r="BO272" s="3054"/>
      <c r="BP272" s="3055"/>
      <c r="BQ272" s="3055"/>
      <c r="BR272" s="3055"/>
      <c r="BS272" s="3055"/>
      <c r="BT272" s="3055"/>
      <c r="BU272" s="3055"/>
      <c r="BV272" s="3055"/>
      <c r="BW272" s="3055"/>
      <c r="BX272" s="3055"/>
      <c r="BY272" s="3055"/>
      <c r="BZ272" s="3055"/>
      <c r="CA272" s="3055"/>
      <c r="CB272" s="3055"/>
      <c r="CC272" s="3056"/>
      <c r="CD272" s="3057">
        <f t="shared" si="0"/>
      </c>
      <c r="CE272" s="3054"/>
      <c r="CF272" s="3054"/>
      <c r="CG272" s="3055"/>
      <c r="CH272" s="3055"/>
      <c r="CI272" s="3055"/>
      <c r="CJ272" s="3055"/>
      <c r="CK272" s="3055"/>
      <c r="CL272" s="3055"/>
      <c r="CM272" s="3055"/>
      <c r="CN272" s="3055"/>
      <c r="CO272" s="3055"/>
      <c r="CP272" s="3055"/>
      <c r="CQ272" s="3055"/>
      <c r="CR272" s="3055"/>
      <c r="CS272" s="3055"/>
      <c r="CU272" s="3054"/>
      <c r="CV272" s="696"/>
      <c r="CW272" s="696"/>
      <c r="CZ272" s="3060">
        <f t="shared" si="17"/>
      </c>
      <c r="DA272" s="3060">
        <f t="shared" si="1"/>
      </c>
      <c r="DB272" s="3060">
        <f t="shared" si="18"/>
      </c>
      <c r="DC272" s="3060">
        <f t="shared" si="19"/>
      </c>
      <c r="DD272" s="3060">
        <f t="shared" si="20"/>
      </c>
      <c r="DE272" s="3060">
        <f t="shared" si="21"/>
      </c>
      <c r="DF272" s="3060">
        <f t="shared" si="22"/>
      </c>
      <c r="DG272" s="3060">
        <f t="shared" si="23"/>
      </c>
      <c r="DH272" s="3060">
        <f t="shared" si="24"/>
      </c>
      <c r="DI272" s="3060">
        <f t="shared" si="1"/>
      </c>
    </row>
    <row r="273" ht="15" customHeight="1" s="3052" customFormat="1">
      <c r="A273" s="3065"/>
      <c r="B273" s="3054">
        <f t="shared" si="2"/>
      </c>
      <c r="C273" s="3054"/>
      <c r="D273" s="3054"/>
      <c r="E273" s="3055"/>
      <c r="F273" s="3055"/>
      <c r="G273" s="3055"/>
      <c r="H273" s="3055"/>
      <c r="I273" s="3055"/>
      <c r="J273" s="3055"/>
      <c r="K273" s="3055"/>
      <c r="L273" s="3055"/>
      <c r="M273" s="3055"/>
      <c r="N273" s="3055"/>
      <c r="O273" s="3055"/>
      <c r="P273" s="3055"/>
      <c r="Q273" s="3055"/>
      <c r="R273" s="3055">
        <f t="shared" si="3"/>
        <v>0</v>
      </c>
      <c r="S273" s="3055">
        <f t="shared" si="4"/>
        <v>0</v>
      </c>
      <c r="T273" s="3055">
        <f t="shared" si="5"/>
        <v>0</v>
      </c>
      <c r="U273" s="3055">
        <f t="shared" si="6"/>
        <v>0</v>
      </c>
      <c r="V273" s="3055">
        <f t="shared" si="7"/>
        <v>0</v>
      </c>
      <c r="W273" s="3055">
        <f t="shared" si="8"/>
        <v>0</v>
      </c>
      <c r="X273" s="3055">
        <f t="shared" si="9"/>
        <v>0</v>
      </c>
      <c r="Y273" s="3055">
        <f t="shared" si="10"/>
        <v>0</v>
      </c>
      <c r="Z273" s="3055">
        <f t="shared" si="11"/>
        <v>0</v>
      </c>
      <c r="AA273" s="3055">
        <f t="shared" si="12"/>
        <v>0</v>
      </c>
      <c r="AB273" s="3055">
        <f t="shared" si="13"/>
        <v>0</v>
      </c>
      <c r="AC273" s="3055">
        <f t="shared" si="14"/>
        <v>0</v>
      </c>
      <c r="AD273" s="3056"/>
      <c r="AE273" s="3057">
        <f t="shared" si="0"/>
      </c>
      <c r="AF273" s="3054"/>
      <c r="AG273" s="3054"/>
      <c r="AH273" s="3055"/>
      <c r="AI273" s="3055"/>
      <c r="AJ273" s="3055"/>
      <c r="AK273" s="3055"/>
      <c r="AL273" s="3055"/>
      <c r="AM273" s="3055"/>
      <c r="AN273" s="3055"/>
      <c r="AO273" s="3055"/>
      <c r="AP273" s="3055"/>
      <c r="AQ273" s="3055"/>
      <c r="AR273" s="3055"/>
      <c r="AS273" s="3055"/>
      <c r="AT273" s="3055"/>
      <c r="AU273" s="3056"/>
      <c r="AV273" s="3057">
        <f t="shared" si="15"/>
      </c>
      <c r="AW273" s="3054"/>
      <c r="AX273" s="3054"/>
      <c r="AY273" s="3055"/>
      <c r="AZ273" s="3055"/>
      <c r="BA273" s="3055"/>
      <c r="BB273" s="3055"/>
      <c r="BC273" s="3055"/>
      <c r="BD273" s="3055"/>
      <c r="BE273" s="3055"/>
      <c r="BF273" s="3055"/>
      <c r="BG273" s="3055"/>
      <c r="BH273" s="3055"/>
      <c r="BI273" s="3055"/>
      <c r="BJ273" s="3055"/>
      <c r="BK273" s="3055"/>
      <c r="BL273" s="3056"/>
      <c r="BM273" s="3057">
        <f t="shared" si="16"/>
      </c>
      <c r="BN273" s="3054"/>
      <c r="BO273" s="3054"/>
      <c r="BP273" s="3055"/>
      <c r="BQ273" s="3055"/>
      <c r="BR273" s="3055"/>
      <c r="BS273" s="3055"/>
      <c r="BT273" s="3055"/>
      <c r="BU273" s="3055"/>
      <c r="BV273" s="3055"/>
      <c r="BW273" s="3055"/>
      <c r="BX273" s="3055"/>
      <c r="BY273" s="3055"/>
      <c r="BZ273" s="3055"/>
      <c r="CA273" s="3055"/>
      <c r="CB273" s="3055"/>
      <c r="CC273" s="3056"/>
      <c r="CD273" s="3057">
        <f t="shared" si="0"/>
      </c>
      <c r="CE273" s="3054"/>
      <c r="CF273" s="3054"/>
      <c r="CG273" s="3055"/>
      <c r="CH273" s="3055"/>
      <c r="CI273" s="3055"/>
      <c r="CJ273" s="3055"/>
      <c r="CK273" s="3055"/>
      <c r="CL273" s="3055"/>
      <c r="CM273" s="3055"/>
      <c r="CN273" s="3055"/>
      <c r="CO273" s="3055"/>
      <c r="CP273" s="3055"/>
      <c r="CQ273" s="3055"/>
      <c r="CR273" s="3055"/>
      <c r="CS273" s="3055"/>
      <c r="CU273" s="3054"/>
      <c r="CV273" s="696"/>
      <c r="CW273" s="696"/>
      <c r="CZ273" s="3060">
        <f t="shared" si="17"/>
      </c>
      <c r="DA273" s="3060">
        <f t="shared" si="1"/>
      </c>
      <c r="DB273" s="3060">
        <f t="shared" si="18"/>
      </c>
      <c r="DC273" s="3060">
        <f t="shared" si="19"/>
      </c>
      <c r="DD273" s="3060">
        <f t="shared" si="20"/>
      </c>
      <c r="DE273" s="3060">
        <f t="shared" si="21"/>
      </c>
      <c r="DF273" s="3060">
        <f t="shared" si="22"/>
      </c>
      <c r="DG273" s="3060">
        <f t="shared" si="23"/>
      </c>
      <c r="DH273" s="3060">
        <f t="shared" si="24"/>
      </c>
      <c r="DI273" s="3060">
        <f t="shared" si="1"/>
      </c>
    </row>
    <row r="274" ht="15" customHeight="1" s="3052" customFormat="1">
      <c r="A274" s="3065"/>
      <c r="B274" s="3054">
        <f t="shared" si="2"/>
      </c>
      <c r="C274" s="3054"/>
      <c r="D274" s="3054"/>
      <c r="E274" s="3055"/>
      <c r="F274" s="3055"/>
      <c r="G274" s="3055"/>
      <c r="H274" s="3055"/>
      <c r="I274" s="3055"/>
      <c r="J274" s="3055"/>
      <c r="K274" s="3055"/>
      <c r="L274" s="3055"/>
      <c r="M274" s="3055"/>
      <c r="N274" s="3055"/>
      <c r="O274" s="3055"/>
      <c r="P274" s="3055"/>
      <c r="Q274" s="3055"/>
      <c r="R274" s="3055">
        <f t="shared" si="3"/>
        <v>0</v>
      </c>
      <c r="S274" s="3055">
        <f t="shared" si="4"/>
        <v>0</v>
      </c>
      <c r="T274" s="3055">
        <f t="shared" si="5"/>
        <v>0</v>
      </c>
      <c r="U274" s="3055">
        <f t="shared" si="6"/>
        <v>0</v>
      </c>
      <c r="V274" s="3055">
        <f t="shared" si="7"/>
        <v>0</v>
      </c>
      <c r="W274" s="3055">
        <f t="shared" si="8"/>
        <v>0</v>
      </c>
      <c r="X274" s="3055">
        <f t="shared" si="9"/>
        <v>0</v>
      </c>
      <c r="Y274" s="3055">
        <f t="shared" si="10"/>
        <v>0</v>
      </c>
      <c r="Z274" s="3055">
        <f t="shared" si="11"/>
        <v>0</v>
      </c>
      <c r="AA274" s="3055">
        <f t="shared" si="12"/>
        <v>0</v>
      </c>
      <c r="AB274" s="3055">
        <f t="shared" si="13"/>
        <v>0</v>
      </c>
      <c r="AC274" s="3055">
        <f t="shared" si="14"/>
        <v>0</v>
      </c>
      <c r="AD274" s="3056"/>
      <c r="AE274" s="3057">
        <f t="shared" si="0"/>
      </c>
      <c r="AF274" s="3054"/>
      <c r="AG274" s="3054"/>
      <c r="AH274" s="3055"/>
      <c r="AI274" s="3055"/>
      <c r="AJ274" s="3055"/>
      <c r="AK274" s="3055"/>
      <c r="AL274" s="3055"/>
      <c r="AM274" s="3055"/>
      <c r="AN274" s="3055"/>
      <c r="AO274" s="3055"/>
      <c r="AP274" s="3055"/>
      <c r="AQ274" s="3055"/>
      <c r="AR274" s="3055"/>
      <c r="AS274" s="3055"/>
      <c r="AT274" s="3055"/>
      <c r="AU274" s="3056"/>
      <c r="AV274" s="3057">
        <f t="shared" si="15"/>
      </c>
      <c r="AW274" s="3054"/>
      <c r="AX274" s="3054"/>
      <c r="AY274" s="3055"/>
      <c r="AZ274" s="3055"/>
      <c r="BA274" s="3055"/>
      <c r="BB274" s="3055"/>
      <c r="BC274" s="3055"/>
      <c r="BD274" s="3055"/>
      <c r="BE274" s="3055"/>
      <c r="BF274" s="3055"/>
      <c r="BG274" s="3055"/>
      <c r="BH274" s="3055"/>
      <c r="BI274" s="3055"/>
      <c r="BJ274" s="3055"/>
      <c r="BK274" s="3055"/>
      <c r="BL274" s="3056"/>
      <c r="BM274" s="3057">
        <f t="shared" si="16"/>
      </c>
      <c r="BN274" s="3054"/>
      <c r="BO274" s="3054"/>
      <c r="BP274" s="3055"/>
      <c r="BQ274" s="3055"/>
      <c r="BR274" s="3055"/>
      <c r="BS274" s="3055"/>
      <c r="BT274" s="3055"/>
      <c r="BU274" s="3055"/>
      <c r="BV274" s="3055"/>
      <c r="BW274" s="3055"/>
      <c r="BX274" s="3055"/>
      <c r="BY274" s="3055"/>
      <c r="BZ274" s="3055"/>
      <c r="CA274" s="3055"/>
      <c r="CB274" s="3055"/>
      <c r="CC274" s="3056"/>
      <c r="CD274" s="3057">
        <f t="shared" si="0"/>
      </c>
      <c r="CE274" s="3054"/>
      <c r="CF274" s="3054"/>
      <c r="CG274" s="3055"/>
      <c r="CH274" s="3055"/>
      <c r="CI274" s="3055"/>
      <c r="CJ274" s="3055"/>
      <c r="CK274" s="3055"/>
      <c r="CL274" s="3055"/>
      <c r="CM274" s="3055"/>
      <c r="CN274" s="3055"/>
      <c r="CO274" s="3055"/>
      <c r="CP274" s="3055"/>
      <c r="CQ274" s="3055"/>
      <c r="CR274" s="3055"/>
      <c r="CS274" s="3055"/>
      <c r="CU274" s="3054"/>
      <c r="CV274" s="696"/>
      <c r="CW274" s="696"/>
      <c r="CZ274" s="3060">
        <f t="shared" si="17"/>
      </c>
      <c r="DA274" s="3060">
        <f t="shared" si="1"/>
      </c>
      <c r="DB274" s="3060">
        <f t="shared" si="18"/>
      </c>
      <c r="DC274" s="3060">
        <f t="shared" si="19"/>
      </c>
      <c r="DD274" s="3060">
        <f t="shared" si="20"/>
      </c>
      <c r="DE274" s="3060">
        <f t="shared" si="21"/>
      </c>
      <c r="DF274" s="3060">
        <f t="shared" si="22"/>
      </c>
      <c r="DG274" s="3060">
        <f t="shared" si="23"/>
      </c>
      <c r="DH274" s="3060">
        <f t="shared" si="24"/>
      </c>
      <c r="DI274" s="3060">
        <f t="shared" si="1"/>
      </c>
    </row>
    <row r="275" ht="15" customHeight="1" s="3052" customFormat="1">
      <c r="A275" s="3065"/>
      <c r="B275" s="3054">
        <f t="shared" si="2"/>
      </c>
      <c r="C275" s="3054"/>
      <c r="D275" s="3054"/>
      <c r="E275" s="3055"/>
      <c r="F275" s="3055"/>
      <c r="G275" s="3055"/>
      <c r="H275" s="3055"/>
      <c r="I275" s="3055"/>
      <c r="J275" s="3055"/>
      <c r="K275" s="3055"/>
      <c r="L275" s="3055"/>
      <c r="M275" s="3055"/>
      <c r="N275" s="3055"/>
      <c r="O275" s="3055"/>
      <c r="P275" s="3055"/>
      <c r="Q275" s="3055"/>
      <c r="R275" s="3055">
        <f t="shared" si="3"/>
        <v>0</v>
      </c>
      <c r="S275" s="3055">
        <f t="shared" si="4"/>
        <v>0</v>
      </c>
      <c r="T275" s="3055">
        <f t="shared" si="5"/>
        <v>0</v>
      </c>
      <c r="U275" s="3055">
        <f t="shared" si="6"/>
        <v>0</v>
      </c>
      <c r="V275" s="3055">
        <f t="shared" si="7"/>
        <v>0</v>
      </c>
      <c r="W275" s="3055">
        <f t="shared" si="8"/>
        <v>0</v>
      </c>
      <c r="X275" s="3055">
        <f t="shared" si="9"/>
        <v>0</v>
      </c>
      <c r="Y275" s="3055">
        <f t="shared" si="10"/>
        <v>0</v>
      </c>
      <c r="Z275" s="3055">
        <f t="shared" si="11"/>
        <v>0</v>
      </c>
      <c r="AA275" s="3055">
        <f t="shared" si="12"/>
        <v>0</v>
      </c>
      <c r="AB275" s="3055">
        <f t="shared" si="13"/>
        <v>0</v>
      </c>
      <c r="AC275" s="3055">
        <f t="shared" si="14"/>
        <v>0</v>
      </c>
      <c r="AD275" s="3056"/>
      <c r="AE275" s="3057">
        <f t="shared" si="0"/>
      </c>
      <c r="AF275" s="3054"/>
      <c r="AG275" s="3054"/>
      <c r="AH275" s="3055"/>
      <c r="AI275" s="3055"/>
      <c r="AJ275" s="3055"/>
      <c r="AK275" s="3055"/>
      <c r="AL275" s="3055"/>
      <c r="AM275" s="3055"/>
      <c r="AN275" s="3055"/>
      <c r="AO275" s="3055"/>
      <c r="AP275" s="3055"/>
      <c r="AQ275" s="3055"/>
      <c r="AR275" s="3055"/>
      <c r="AS275" s="3055"/>
      <c r="AT275" s="3055"/>
      <c r="AU275" s="3056"/>
      <c r="AV275" s="3057">
        <f t="shared" si="15"/>
      </c>
      <c r="AW275" s="3054"/>
      <c r="AX275" s="3054"/>
      <c r="AY275" s="3055"/>
      <c r="AZ275" s="3055"/>
      <c r="BA275" s="3055"/>
      <c r="BB275" s="3055"/>
      <c r="BC275" s="3055"/>
      <c r="BD275" s="3055"/>
      <c r="BE275" s="3055"/>
      <c r="BF275" s="3055"/>
      <c r="BG275" s="3055"/>
      <c r="BH275" s="3055"/>
      <c r="BI275" s="3055"/>
      <c r="BJ275" s="3055"/>
      <c r="BK275" s="3055"/>
      <c r="BL275" s="3056"/>
      <c r="BM275" s="3057">
        <f t="shared" si="16"/>
      </c>
      <c r="BN275" s="3054"/>
      <c r="BO275" s="3054"/>
      <c r="BP275" s="3055"/>
      <c r="BQ275" s="3055"/>
      <c r="BR275" s="3055"/>
      <c r="BS275" s="3055"/>
      <c r="BT275" s="3055"/>
      <c r="BU275" s="3055"/>
      <c r="BV275" s="3055"/>
      <c r="BW275" s="3055"/>
      <c r="BX275" s="3055"/>
      <c r="BY275" s="3055"/>
      <c r="BZ275" s="3055"/>
      <c r="CA275" s="3055"/>
      <c r="CB275" s="3055"/>
      <c r="CC275" s="3056"/>
      <c r="CD275" s="3057">
        <f t="shared" si="0"/>
      </c>
      <c r="CE275" s="3054"/>
      <c r="CF275" s="3054"/>
      <c r="CG275" s="3055"/>
      <c r="CH275" s="3055"/>
      <c r="CI275" s="3055"/>
      <c r="CJ275" s="3055"/>
      <c r="CK275" s="3055"/>
      <c r="CL275" s="3055"/>
      <c r="CM275" s="3055"/>
      <c r="CN275" s="3055"/>
      <c r="CO275" s="3055"/>
      <c r="CP275" s="3055"/>
      <c r="CQ275" s="3055"/>
      <c r="CR275" s="3055"/>
      <c r="CS275" s="3055"/>
      <c r="CU275" s="3054"/>
      <c r="CV275" s="696"/>
      <c r="CW275" s="696"/>
      <c r="CZ275" s="3060">
        <f t="shared" si="17"/>
      </c>
      <c r="DA275" s="3060">
        <f t="shared" si="1"/>
      </c>
      <c r="DB275" s="3060">
        <f t="shared" si="18"/>
      </c>
      <c r="DC275" s="3060">
        <f t="shared" si="19"/>
      </c>
      <c r="DD275" s="3060">
        <f t="shared" si="20"/>
      </c>
      <c r="DE275" s="3060">
        <f t="shared" si="21"/>
      </c>
      <c r="DF275" s="3060">
        <f t="shared" si="22"/>
      </c>
      <c r="DG275" s="3060">
        <f t="shared" si="23"/>
      </c>
      <c r="DH275" s="3060">
        <f t="shared" si="24"/>
      </c>
      <c r="DI275" s="3060">
        <f t="shared" si="1"/>
      </c>
    </row>
    <row r="276" ht="15" customHeight="1" s="3052" customFormat="1">
      <c r="A276" s="3065"/>
      <c r="B276" s="3054">
        <f t="shared" si="2"/>
      </c>
      <c r="C276" s="3054"/>
      <c r="D276" s="3054"/>
      <c r="E276" s="3055"/>
      <c r="F276" s="3055"/>
      <c r="G276" s="3055"/>
      <c r="H276" s="3055"/>
      <c r="I276" s="3055"/>
      <c r="J276" s="3055"/>
      <c r="K276" s="3055"/>
      <c r="L276" s="3055"/>
      <c r="M276" s="3055"/>
      <c r="N276" s="3055"/>
      <c r="O276" s="3055"/>
      <c r="P276" s="3055"/>
      <c r="Q276" s="3055"/>
      <c r="R276" s="3055">
        <f t="shared" si="3"/>
        <v>0</v>
      </c>
      <c r="S276" s="3055">
        <f t="shared" si="4"/>
        <v>0</v>
      </c>
      <c r="T276" s="3055">
        <f t="shared" si="5"/>
        <v>0</v>
      </c>
      <c r="U276" s="3055">
        <f t="shared" si="6"/>
        <v>0</v>
      </c>
      <c r="V276" s="3055">
        <f t="shared" si="7"/>
        <v>0</v>
      </c>
      <c r="W276" s="3055">
        <f t="shared" si="8"/>
        <v>0</v>
      </c>
      <c r="X276" s="3055">
        <f t="shared" si="9"/>
        <v>0</v>
      </c>
      <c r="Y276" s="3055">
        <f t="shared" si="10"/>
        <v>0</v>
      </c>
      <c r="Z276" s="3055">
        <f t="shared" si="11"/>
        <v>0</v>
      </c>
      <c r="AA276" s="3055">
        <f t="shared" si="12"/>
        <v>0</v>
      </c>
      <c r="AB276" s="3055">
        <f t="shared" si="13"/>
        <v>0</v>
      </c>
      <c r="AC276" s="3055">
        <f t="shared" si="14"/>
        <v>0</v>
      </c>
      <c r="AD276" s="3056"/>
      <c r="AE276" s="3057">
        <f t="shared" si="0"/>
      </c>
      <c r="AF276" s="3054"/>
      <c r="AG276" s="3054"/>
      <c r="AH276" s="3055"/>
      <c r="AI276" s="3055"/>
      <c r="AJ276" s="3055"/>
      <c r="AK276" s="3055"/>
      <c r="AL276" s="3055"/>
      <c r="AM276" s="3055"/>
      <c r="AN276" s="3055"/>
      <c r="AO276" s="3055"/>
      <c r="AP276" s="3055"/>
      <c r="AQ276" s="3055"/>
      <c r="AR276" s="3055"/>
      <c r="AS276" s="3055"/>
      <c r="AT276" s="3055"/>
      <c r="AU276" s="3056"/>
      <c r="AV276" s="3057">
        <f t="shared" si="15"/>
      </c>
      <c r="AW276" s="3054"/>
      <c r="AX276" s="3054"/>
      <c r="AY276" s="3055"/>
      <c r="AZ276" s="3055"/>
      <c r="BA276" s="3055"/>
      <c r="BB276" s="3055"/>
      <c r="BC276" s="3055"/>
      <c r="BD276" s="3055"/>
      <c r="BE276" s="3055"/>
      <c r="BF276" s="3055"/>
      <c r="BG276" s="3055"/>
      <c r="BH276" s="3055"/>
      <c r="BI276" s="3055"/>
      <c r="BJ276" s="3055"/>
      <c r="BK276" s="3055"/>
      <c r="BL276" s="3056"/>
      <c r="BM276" s="3057">
        <f t="shared" si="16"/>
      </c>
      <c r="BN276" s="3054"/>
      <c r="BO276" s="3054"/>
      <c r="BP276" s="3055"/>
      <c r="BQ276" s="3055"/>
      <c r="BR276" s="3055"/>
      <c r="BS276" s="3055"/>
      <c r="BT276" s="3055"/>
      <c r="BU276" s="3055"/>
      <c r="BV276" s="3055"/>
      <c r="BW276" s="3055"/>
      <c r="BX276" s="3055"/>
      <c r="BY276" s="3055"/>
      <c r="BZ276" s="3055"/>
      <c r="CA276" s="3055"/>
      <c r="CB276" s="3055"/>
      <c r="CC276" s="3056"/>
      <c r="CD276" s="3057">
        <f t="shared" si="0"/>
      </c>
      <c r="CE276" s="3054"/>
      <c r="CF276" s="3054"/>
      <c r="CG276" s="3055"/>
      <c r="CH276" s="3055"/>
      <c r="CI276" s="3055"/>
      <c r="CJ276" s="3055"/>
      <c r="CK276" s="3055"/>
      <c r="CL276" s="3055"/>
      <c r="CM276" s="3055"/>
      <c r="CN276" s="3055"/>
      <c r="CO276" s="3055"/>
      <c r="CP276" s="3055"/>
      <c r="CQ276" s="3055"/>
      <c r="CR276" s="3055"/>
      <c r="CS276" s="3055"/>
      <c r="CU276" s="3054"/>
      <c r="CV276" s="696"/>
      <c r="CW276" s="696"/>
      <c r="CZ276" s="3060">
        <f t="shared" si="17"/>
      </c>
      <c r="DA276" s="3060">
        <f t="shared" si="1"/>
      </c>
      <c r="DB276" s="3060">
        <f t="shared" si="18"/>
      </c>
      <c r="DC276" s="3060">
        <f t="shared" si="19"/>
      </c>
      <c r="DD276" s="3060">
        <f t="shared" si="20"/>
      </c>
      <c r="DE276" s="3060">
        <f t="shared" si="21"/>
      </c>
      <c r="DF276" s="3060">
        <f t="shared" si="22"/>
      </c>
      <c r="DG276" s="3060">
        <f t="shared" si="23"/>
      </c>
      <c r="DH276" s="3060">
        <f t="shared" si="24"/>
      </c>
      <c r="DI276" s="3060">
        <f t="shared" si="1"/>
      </c>
    </row>
    <row r="277" ht="15" customHeight="1" s="3052" customFormat="1">
      <c r="A277" s="3065"/>
      <c r="B277" s="3054">
        <f t="shared" si="2"/>
      </c>
      <c r="C277" s="3054"/>
      <c r="D277" s="3054"/>
      <c r="E277" s="3055"/>
      <c r="F277" s="3055"/>
      <c r="G277" s="3055"/>
      <c r="H277" s="3055"/>
      <c r="I277" s="3055"/>
      <c r="J277" s="3055"/>
      <c r="K277" s="3055"/>
      <c r="L277" s="3055"/>
      <c r="M277" s="3055"/>
      <c r="N277" s="3055"/>
      <c r="O277" s="3055"/>
      <c r="P277" s="3055"/>
      <c r="Q277" s="3055"/>
      <c r="R277" s="3055">
        <f t="shared" si="3"/>
        <v>0</v>
      </c>
      <c r="S277" s="3055">
        <f t="shared" si="4"/>
        <v>0</v>
      </c>
      <c r="T277" s="3055">
        <f t="shared" si="5"/>
        <v>0</v>
      </c>
      <c r="U277" s="3055">
        <f t="shared" si="6"/>
        <v>0</v>
      </c>
      <c r="V277" s="3055">
        <f t="shared" si="7"/>
        <v>0</v>
      </c>
      <c r="W277" s="3055">
        <f t="shared" si="8"/>
        <v>0</v>
      </c>
      <c r="X277" s="3055">
        <f t="shared" si="9"/>
        <v>0</v>
      </c>
      <c r="Y277" s="3055">
        <f t="shared" si="10"/>
        <v>0</v>
      </c>
      <c r="Z277" s="3055">
        <f t="shared" si="11"/>
        <v>0</v>
      </c>
      <c r="AA277" s="3055">
        <f t="shared" si="12"/>
        <v>0</v>
      </c>
      <c r="AB277" s="3055">
        <f t="shared" si="13"/>
        <v>0</v>
      </c>
      <c r="AC277" s="3055">
        <f t="shared" si="14"/>
        <v>0</v>
      </c>
      <c r="AD277" s="3056"/>
      <c r="AE277" s="3057">
        <f t="shared" si="0"/>
      </c>
      <c r="AF277" s="3054"/>
      <c r="AG277" s="3054"/>
      <c r="AH277" s="3055"/>
      <c r="AI277" s="3055"/>
      <c r="AJ277" s="3055"/>
      <c r="AK277" s="3055"/>
      <c r="AL277" s="3055"/>
      <c r="AM277" s="3055"/>
      <c r="AN277" s="3055"/>
      <c r="AO277" s="3055"/>
      <c r="AP277" s="3055"/>
      <c r="AQ277" s="3055"/>
      <c r="AR277" s="3055"/>
      <c r="AS277" s="3055"/>
      <c r="AT277" s="3055"/>
      <c r="AU277" s="3056"/>
      <c r="AV277" s="3057">
        <f t="shared" si="15"/>
      </c>
      <c r="AW277" s="3054"/>
      <c r="AX277" s="3054"/>
      <c r="AY277" s="3055"/>
      <c r="AZ277" s="3055"/>
      <c r="BA277" s="3055"/>
      <c r="BB277" s="3055"/>
      <c r="BC277" s="3055"/>
      <c r="BD277" s="3055"/>
      <c r="BE277" s="3055"/>
      <c r="BF277" s="3055"/>
      <c r="BG277" s="3055"/>
      <c r="BH277" s="3055"/>
      <c r="BI277" s="3055"/>
      <c r="BJ277" s="3055"/>
      <c r="BK277" s="3055"/>
      <c r="BL277" s="3056"/>
      <c r="BM277" s="3057">
        <f t="shared" si="16"/>
      </c>
      <c r="BN277" s="3054"/>
      <c r="BO277" s="3054"/>
      <c r="BP277" s="3055"/>
      <c r="BQ277" s="3055"/>
      <c r="BR277" s="3055"/>
      <c r="BS277" s="3055"/>
      <c r="BT277" s="3055"/>
      <c r="BU277" s="3055"/>
      <c r="BV277" s="3055"/>
      <c r="BW277" s="3055"/>
      <c r="BX277" s="3055"/>
      <c r="BY277" s="3055"/>
      <c r="BZ277" s="3055"/>
      <c r="CA277" s="3055"/>
      <c r="CB277" s="3055"/>
      <c r="CC277" s="3056"/>
      <c r="CD277" s="3057">
        <f t="shared" si="0"/>
      </c>
      <c r="CE277" s="3054"/>
      <c r="CF277" s="3054"/>
      <c r="CG277" s="3055"/>
      <c r="CH277" s="3055"/>
      <c r="CI277" s="3055"/>
      <c r="CJ277" s="3055"/>
      <c r="CK277" s="3055"/>
      <c r="CL277" s="3055"/>
      <c r="CM277" s="3055"/>
      <c r="CN277" s="3055"/>
      <c r="CO277" s="3055"/>
      <c r="CP277" s="3055"/>
      <c r="CQ277" s="3055"/>
      <c r="CR277" s="3055"/>
      <c r="CS277" s="3055"/>
      <c r="CU277" s="3054"/>
      <c r="CV277" s="696"/>
      <c r="CW277" s="696"/>
      <c r="CZ277" s="3060">
        <f t="shared" si="17"/>
      </c>
      <c r="DA277" s="3060">
        <f t="shared" si="1"/>
      </c>
      <c r="DB277" s="3060">
        <f t="shared" si="18"/>
      </c>
      <c r="DC277" s="3060">
        <f t="shared" si="19"/>
      </c>
      <c r="DD277" s="3060">
        <f t="shared" si="20"/>
      </c>
      <c r="DE277" s="3060">
        <f t="shared" si="21"/>
      </c>
      <c r="DF277" s="3060">
        <f t="shared" si="22"/>
      </c>
      <c r="DG277" s="3060">
        <f t="shared" si="23"/>
      </c>
      <c r="DH277" s="3060">
        <f t="shared" si="24"/>
      </c>
      <c r="DI277" s="3060">
        <f t="shared" si="1"/>
      </c>
    </row>
    <row r="278" ht="15" customHeight="1" s="3052" customFormat="1">
      <c r="A278" s="3065"/>
      <c r="B278" s="3054">
        <f t="shared" si="2"/>
      </c>
      <c r="C278" s="3054"/>
      <c r="D278" s="3054"/>
      <c r="E278" s="3055"/>
      <c r="F278" s="3055"/>
      <c r="G278" s="3055"/>
      <c r="H278" s="3055"/>
      <c r="I278" s="3055"/>
      <c r="J278" s="3055"/>
      <c r="K278" s="3055"/>
      <c r="L278" s="3055"/>
      <c r="M278" s="3055"/>
      <c r="N278" s="3055"/>
      <c r="O278" s="3055"/>
      <c r="P278" s="3055"/>
      <c r="Q278" s="3055"/>
      <c r="R278" s="3055">
        <f t="shared" si="3"/>
        <v>0</v>
      </c>
      <c r="S278" s="3055">
        <f t="shared" si="4"/>
        <v>0</v>
      </c>
      <c r="T278" s="3055">
        <f t="shared" si="5"/>
        <v>0</v>
      </c>
      <c r="U278" s="3055">
        <f t="shared" si="6"/>
        <v>0</v>
      </c>
      <c r="V278" s="3055">
        <f t="shared" si="7"/>
        <v>0</v>
      </c>
      <c r="W278" s="3055">
        <f t="shared" si="8"/>
        <v>0</v>
      </c>
      <c r="X278" s="3055">
        <f t="shared" si="9"/>
        <v>0</v>
      </c>
      <c r="Y278" s="3055">
        <f t="shared" si="10"/>
        <v>0</v>
      </c>
      <c r="Z278" s="3055">
        <f t="shared" si="11"/>
        <v>0</v>
      </c>
      <c r="AA278" s="3055">
        <f t="shared" si="12"/>
        <v>0</v>
      </c>
      <c r="AB278" s="3055">
        <f t="shared" si="13"/>
        <v>0</v>
      </c>
      <c r="AC278" s="3055">
        <f t="shared" si="14"/>
        <v>0</v>
      </c>
      <c r="AD278" s="3056"/>
      <c r="AE278" s="3057">
        <f t="shared" si="0"/>
      </c>
      <c r="AF278" s="3054"/>
      <c r="AG278" s="3054"/>
      <c r="AH278" s="3055"/>
      <c r="AI278" s="3055"/>
      <c r="AJ278" s="3055"/>
      <c r="AK278" s="3055"/>
      <c r="AL278" s="3055"/>
      <c r="AM278" s="3055"/>
      <c r="AN278" s="3055"/>
      <c r="AO278" s="3055"/>
      <c r="AP278" s="3055"/>
      <c r="AQ278" s="3055"/>
      <c r="AR278" s="3055"/>
      <c r="AS278" s="3055"/>
      <c r="AT278" s="3055"/>
      <c r="AU278" s="3056"/>
      <c r="AV278" s="3057">
        <f t="shared" si="15"/>
      </c>
      <c r="AW278" s="3054"/>
      <c r="AX278" s="3054"/>
      <c r="AY278" s="3055"/>
      <c r="AZ278" s="3055"/>
      <c r="BA278" s="3055"/>
      <c r="BB278" s="3055"/>
      <c r="BC278" s="3055"/>
      <c r="BD278" s="3055"/>
      <c r="BE278" s="3055"/>
      <c r="BF278" s="3055"/>
      <c r="BG278" s="3055"/>
      <c r="BH278" s="3055"/>
      <c r="BI278" s="3055"/>
      <c r="BJ278" s="3055"/>
      <c r="BK278" s="3055"/>
      <c r="BL278" s="3056"/>
      <c r="BM278" s="3057">
        <f t="shared" si="16"/>
      </c>
      <c r="BN278" s="3054"/>
      <c r="BO278" s="3054"/>
      <c r="BP278" s="3055"/>
      <c r="BQ278" s="3055"/>
      <c r="BR278" s="3055"/>
      <c r="BS278" s="3055"/>
      <c r="BT278" s="3055"/>
      <c r="BU278" s="3055"/>
      <c r="BV278" s="3055"/>
      <c r="BW278" s="3055"/>
      <c r="BX278" s="3055"/>
      <c r="BY278" s="3055"/>
      <c r="BZ278" s="3055"/>
      <c r="CA278" s="3055"/>
      <c r="CB278" s="3055"/>
      <c r="CC278" s="3056"/>
      <c r="CD278" s="3057">
        <f t="shared" si="0"/>
      </c>
      <c r="CE278" s="3054"/>
      <c r="CF278" s="3054"/>
      <c r="CG278" s="3055"/>
      <c r="CH278" s="3055"/>
      <c r="CI278" s="3055"/>
      <c r="CJ278" s="3055"/>
      <c r="CK278" s="3055"/>
      <c r="CL278" s="3055"/>
      <c r="CM278" s="3055"/>
      <c r="CN278" s="3055"/>
      <c r="CO278" s="3055"/>
      <c r="CP278" s="3055"/>
      <c r="CQ278" s="3055"/>
      <c r="CR278" s="3055"/>
      <c r="CS278" s="3055"/>
      <c r="CU278" s="3054"/>
      <c r="CV278" s="696"/>
      <c r="CW278" s="696"/>
      <c r="CZ278" s="3060">
        <f t="shared" si="17"/>
      </c>
      <c r="DA278" s="3060">
        <f t="shared" si="1"/>
      </c>
      <c r="DB278" s="3060">
        <f t="shared" si="18"/>
      </c>
      <c r="DC278" s="3060">
        <f t="shared" si="19"/>
      </c>
      <c r="DD278" s="3060">
        <f t="shared" si="20"/>
      </c>
      <c r="DE278" s="3060">
        <f t="shared" si="21"/>
      </c>
      <c r="DF278" s="3060">
        <f t="shared" si="22"/>
      </c>
      <c r="DG278" s="3060">
        <f t="shared" si="23"/>
      </c>
      <c r="DH278" s="3060">
        <f t="shared" si="24"/>
      </c>
      <c r="DI278" s="3060">
        <f t="shared" si="1"/>
      </c>
    </row>
    <row r="279" ht="15" customHeight="1" s="3052" customFormat="1">
      <c r="A279" s="3065"/>
      <c r="B279" s="3054">
        <f t="shared" si="2"/>
      </c>
      <c r="C279" s="3054"/>
      <c r="D279" s="3054"/>
      <c r="E279" s="3055"/>
      <c r="F279" s="3055"/>
      <c r="G279" s="3055"/>
      <c r="H279" s="3055"/>
      <c r="I279" s="3055"/>
      <c r="J279" s="3055"/>
      <c r="K279" s="3055"/>
      <c r="L279" s="3055"/>
      <c r="M279" s="3055"/>
      <c r="N279" s="3055"/>
      <c r="O279" s="3055"/>
      <c r="P279" s="3055"/>
      <c r="Q279" s="3055"/>
      <c r="R279" s="3055">
        <f t="shared" si="3"/>
        <v>0</v>
      </c>
      <c r="S279" s="3055">
        <f t="shared" si="4"/>
        <v>0</v>
      </c>
      <c r="T279" s="3055">
        <f t="shared" si="5"/>
        <v>0</v>
      </c>
      <c r="U279" s="3055">
        <f t="shared" si="6"/>
        <v>0</v>
      </c>
      <c r="V279" s="3055">
        <f t="shared" si="7"/>
        <v>0</v>
      </c>
      <c r="W279" s="3055">
        <f t="shared" si="8"/>
        <v>0</v>
      </c>
      <c r="X279" s="3055">
        <f t="shared" si="9"/>
        <v>0</v>
      </c>
      <c r="Y279" s="3055">
        <f t="shared" si="10"/>
        <v>0</v>
      </c>
      <c r="Z279" s="3055">
        <f t="shared" si="11"/>
        <v>0</v>
      </c>
      <c r="AA279" s="3055">
        <f t="shared" si="12"/>
        <v>0</v>
      </c>
      <c r="AB279" s="3055">
        <f t="shared" si="13"/>
        <v>0</v>
      </c>
      <c r="AC279" s="3055">
        <f t="shared" si="14"/>
        <v>0</v>
      </c>
      <c r="AD279" s="3056"/>
      <c r="AE279" s="3057">
        <f t="shared" si="0"/>
      </c>
      <c r="AF279" s="3054"/>
      <c r="AG279" s="3054"/>
      <c r="AH279" s="3055"/>
      <c r="AI279" s="3055"/>
      <c r="AJ279" s="3055"/>
      <c r="AK279" s="3055"/>
      <c r="AL279" s="3055"/>
      <c r="AM279" s="3055"/>
      <c r="AN279" s="3055"/>
      <c r="AO279" s="3055"/>
      <c r="AP279" s="3055"/>
      <c r="AQ279" s="3055"/>
      <c r="AR279" s="3055"/>
      <c r="AS279" s="3055"/>
      <c r="AT279" s="3055"/>
      <c r="AU279" s="3056"/>
      <c r="AV279" s="3057">
        <f t="shared" si="15"/>
      </c>
      <c r="AW279" s="3054"/>
      <c r="AX279" s="3054"/>
      <c r="AY279" s="3055"/>
      <c r="AZ279" s="3055"/>
      <c r="BA279" s="3055"/>
      <c r="BB279" s="3055"/>
      <c r="BC279" s="3055"/>
      <c r="BD279" s="3055"/>
      <c r="BE279" s="3055"/>
      <c r="BF279" s="3055"/>
      <c r="BG279" s="3055"/>
      <c r="BH279" s="3055"/>
      <c r="BI279" s="3055"/>
      <c r="BJ279" s="3055"/>
      <c r="BK279" s="3055"/>
      <c r="BL279" s="3056"/>
      <c r="BM279" s="3057">
        <f t="shared" si="16"/>
      </c>
      <c r="BN279" s="3054"/>
      <c r="BO279" s="3054"/>
      <c r="BP279" s="3055"/>
      <c r="BQ279" s="3055"/>
      <c r="BR279" s="3055"/>
      <c r="BS279" s="3055"/>
      <c r="BT279" s="3055"/>
      <c r="BU279" s="3055"/>
      <c r="BV279" s="3055"/>
      <c r="BW279" s="3055"/>
      <c r="BX279" s="3055"/>
      <c r="BY279" s="3055"/>
      <c r="BZ279" s="3055"/>
      <c r="CA279" s="3055"/>
      <c r="CB279" s="3055"/>
      <c r="CC279" s="3056"/>
      <c r="CD279" s="3057">
        <f t="shared" si="0"/>
      </c>
      <c r="CE279" s="3054"/>
      <c r="CF279" s="3054"/>
      <c r="CG279" s="3055"/>
      <c r="CH279" s="3055"/>
      <c r="CI279" s="3055"/>
      <c r="CJ279" s="3055"/>
      <c r="CK279" s="3055"/>
      <c r="CL279" s="3055"/>
      <c r="CM279" s="3055"/>
      <c r="CN279" s="3055"/>
      <c r="CO279" s="3055"/>
      <c r="CP279" s="3055"/>
      <c r="CQ279" s="3055"/>
      <c r="CR279" s="3055"/>
      <c r="CS279" s="3055"/>
      <c r="CU279" s="3054"/>
      <c r="CV279" s="696"/>
      <c r="CW279" s="696"/>
      <c r="CZ279" s="3060">
        <f t="shared" si="17"/>
      </c>
      <c r="DA279" s="3060">
        <f t="shared" si="1"/>
      </c>
      <c r="DB279" s="3060">
        <f t="shared" si="18"/>
      </c>
      <c r="DC279" s="3060">
        <f t="shared" si="19"/>
      </c>
      <c r="DD279" s="3060">
        <f t="shared" si="20"/>
      </c>
      <c r="DE279" s="3060">
        <f t="shared" si="21"/>
      </c>
      <c r="DF279" s="3060">
        <f t="shared" si="22"/>
      </c>
      <c r="DG279" s="3060">
        <f t="shared" si="23"/>
      </c>
      <c r="DH279" s="3060">
        <f t="shared" si="24"/>
      </c>
      <c r="DI279" s="3060">
        <f t="shared" si="1"/>
      </c>
    </row>
    <row r="280" ht="15" customHeight="1" s="3052" customFormat="1">
      <c r="A280" s="3065"/>
      <c r="B280" s="3054">
        <f t="shared" si="2"/>
      </c>
      <c r="C280" s="3054"/>
      <c r="D280" s="3054"/>
      <c r="E280" s="3055"/>
      <c r="F280" s="3055"/>
      <c r="G280" s="3055"/>
      <c r="H280" s="3055"/>
      <c r="I280" s="3055"/>
      <c r="J280" s="3055"/>
      <c r="K280" s="3055"/>
      <c r="L280" s="3055"/>
      <c r="M280" s="3055"/>
      <c r="N280" s="3055"/>
      <c r="O280" s="3055"/>
      <c r="P280" s="3055"/>
      <c r="Q280" s="3055"/>
      <c r="R280" s="3055">
        <f t="shared" si="3"/>
        <v>0</v>
      </c>
      <c r="S280" s="3055">
        <f t="shared" si="4"/>
        <v>0</v>
      </c>
      <c r="T280" s="3055">
        <f t="shared" si="5"/>
        <v>0</v>
      </c>
      <c r="U280" s="3055">
        <f t="shared" si="6"/>
        <v>0</v>
      </c>
      <c r="V280" s="3055">
        <f t="shared" si="7"/>
        <v>0</v>
      </c>
      <c r="W280" s="3055">
        <f t="shared" si="8"/>
        <v>0</v>
      </c>
      <c r="X280" s="3055">
        <f t="shared" si="9"/>
        <v>0</v>
      </c>
      <c r="Y280" s="3055">
        <f t="shared" si="10"/>
        <v>0</v>
      </c>
      <c r="Z280" s="3055">
        <f t="shared" si="11"/>
        <v>0</v>
      </c>
      <c r="AA280" s="3055">
        <f t="shared" si="12"/>
        <v>0</v>
      </c>
      <c r="AB280" s="3055">
        <f t="shared" si="13"/>
        <v>0</v>
      </c>
      <c r="AC280" s="3055">
        <f t="shared" si="14"/>
        <v>0</v>
      </c>
      <c r="AD280" s="3056"/>
      <c r="AE280" s="3057">
        <f t="shared" si="0"/>
      </c>
      <c r="AF280" s="3054"/>
      <c r="AG280" s="3054"/>
      <c r="AH280" s="3055"/>
      <c r="AI280" s="3055"/>
      <c r="AJ280" s="3055"/>
      <c r="AK280" s="3055"/>
      <c r="AL280" s="3055"/>
      <c r="AM280" s="3055"/>
      <c r="AN280" s="3055"/>
      <c r="AO280" s="3055"/>
      <c r="AP280" s="3055"/>
      <c r="AQ280" s="3055"/>
      <c r="AR280" s="3055"/>
      <c r="AS280" s="3055"/>
      <c r="AT280" s="3055"/>
      <c r="AU280" s="3056"/>
      <c r="AV280" s="3057">
        <f t="shared" si="15"/>
      </c>
      <c r="AW280" s="3054"/>
      <c r="AX280" s="3054"/>
      <c r="AY280" s="3055"/>
      <c r="AZ280" s="3055"/>
      <c r="BA280" s="3055"/>
      <c r="BB280" s="3055"/>
      <c r="BC280" s="3055"/>
      <c r="BD280" s="3055"/>
      <c r="BE280" s="3055"/>
      <c r="BF280" s="3055"/>
      <c r="BG280" s="3055"/>
      <c r="BH280" s="3055"/>
      <c r="BI280" s="3055"/>
      <c r="BJ280" s="3055"/>
      <c r="BK280" s="3055"/>
      <c r="BL280" s="3056"/>
      <c r="BM280" s="3057">
        <f t="shared" si="16"/>
      </c>
      <c r="BN280" s="3054"/>
      <c r="BO280" s="3054"/>
      <c r="BP280" s="3055"/>
      <c r="BQ280" s="3055"/>
      <c r="BR280" s="3055"/>
      <c r="BS280" s="3055"/>
      <c r="BT280" s="3055"/>
      <c r="BU280" s="3055"/>
      <c r="BV280" s="3055"/>
      <c r="BW280" s="3055"/>
      <c r="BX280" s="3055"/>
      <c r="BY280" s="3055"/>
      <c r="BZ280" s="3055"/>
      <c r="CA280" s="3055"/>
      <c r="CB280" s="3055"/>
      <c r="CC280" s="3056"/>
      <c r="CD280" s="3057">
        <f t="shared" si="0"/>
      </c>
      <c r="CE280" s="3054"/>
      <c r="CF280" s="3054"/>
      <c r="CG280" s="3055"/>
      <c r="CH280" s="3055"/>
      <c r="CI280" s="3055"/>
      <c r="CJ280" s="3055"/>
      <c r="CK280" s="3055"/>
      <c r="CL280" s="3055"/>
      <c r="CM280" s="3055"/>
      <c r="CN280" s="3055"/>
      <c r="CO280" s="3055"/>
      <c r="CP280" s="3055"/>
      <c r="CQ280" s="3055"/>
      <c r="CR280" s="3055"/>
      <c r="CS280" s="3055"/>
      <c r="CU280" s="3054"/>
      <c r="CV280" s="696"/>
      <c r="CW280" s="696"/>
      <c r="CZ280" s="3060">
        <f t="shared" si="17"/>
      </c>
      <c r="DA280" s="3060">
        <f t="shared" si="1"/>
      </c>
      <c r="DB280" s="3060">
        <f t="shared" si="18"/>
      </c>
      <c r="DC280" s="3060">
        <f t="shared" si="19"/>
      </c>
      <c r="DD280" s="3060">
        <f t="shared" si="20"/>
      </c>
      <c r="DE280" s="3060">
        <f t="shared" si="21"/>
      </c>
      <c r="DF280" s="3060">
        <f t="shared" si="22"/>
      </c>
      <c r="DG280" s="3060">
        <f t="shared" si="23"/>
      </c>
      <c r="DH280" s="3060">
        <f t="shared" si="24"/>
      </c>
      <c r="DI280" s="3060">
        <f t="shared" si="1"/>
      </c>
    </row>
    <row r="281" ht="15" customHeight="1" s="3052" customFormat="1">
      <c r="A281" s="3065"/>
      <c r="B281" s="3054">
        <f t="shared" si="2"/>
      </c>
      <c r="C281" s="3054"/>
      <c r="D281" s="3054"/>
      <c r="E281" s="3055"/>
      <c r="F281" s="3055"/>
      <c r="G281" s="3055"/>
      <c r="H281" s="3055"/>
      <c r="I281" s="3055"/>
      <c r="J281" s="3055"/>
      <c r="K281" s="3055"/>
      <c r="L281" s="3055"/>
      <c r="M281" s="3055"/>
      <c r="N281" s="3055"/>
      <c r="O281" s="3055"/>
      <c r="P281" s="3055"/>
      <c r="Q281" s="3055"/>
      <c r="R281" s="3055">
        <f t="shared" si="3"/>
        <v>0</v>
      </c>
      <c r="S281" s="3055">
        <f t="shared" si="4"/>
        <v>0</v>
      </c>
      <c r="T281" s="3055">
        <f t="shared" si="5"/>
        <v>0</v>
      </c>
      <c r="U281" s="3055">
        <f t="shared" si="6"/>
        <v>0</v>
      </c>
      <c r="V281" s="3055">
        <f t="shared" si="7"/>
        <v>0</v>
      </c>
      <c r="W281" s="3055">
        <f t="shared" si="8"/>
        <v>0</v>
      </c>
      <c r="X281" s="3055">
        <f t="shared" si="9"/>
        <v>0</v>
      </c>
      <c r="Y281" s="3055">
        <f t="shared" si="10"/>
        <v>0</v>
      </c>
      <c r="Z281" s="3055">
        <f t="shared" si="11"/>
        <v>0</v>
      </c>
      <c r="AA281" s="3055">
        <f t="shared" si="12"/>
        <v>0</v>
      </c>
      <c r="AB281" s="3055">
        <f t="shared" si="13"/>
        <v>0</v>
      </c>
      <c r="AC281" s="3055">
        <f t="shared" si="14"/>
        <v>0</v>
      </c>
      <c r="AD281" s="3056"/>
      <c r="AE281" s="3057">
        <f t="shared" si="0"/>
      </c>
      <c r="AF281" s="3054"/>
      <c r="AG281" s="3054"/>
      <c r="AH281" s="3055"/>
      <c r="AI281" s="3055"/>
      <c r="AJ281" s="3055"/>
      <c r="AK281" s="3055"/>
      <c r="AL281" s="3055"/>
      <c r="AM281" s="3055"/>
      <c r="AN281" s="3055"/>
      <c r="AO281" s="3055"/>
      <c r="AP281" s="3055"/>
      <c r="AQ281" s="3055"/>
      <c r="AR281" s="3055"/>
      <c r="AS281" s="3055"/>
      <c r="AT281" s="3055"/>
      <c r="AU281" s="3056"/>
      <c r="AV281" s="3057">
        <f t="shared" si="15"/>
      </c>
      <c r="AW281" s="3054"/>
      <c r="AX281" s="3054"/>
      <c r="AY281" s="3055"/>
      <c r="AZ281" s="3055"/>
      <c r="BA281" s="3055"/>
      <c r="BB281" s="3055"/>
      <c r="BC281" s="3055"/>
      <c r="BD281" s="3055"/>
      <c r="BE281" s="3055"/>
      <c r="BF281" s="3055"/>
      <c r="BG281" s="3055"/>
      <c r="BH281" s="3055"/>
      <c r="BI281" s="3055"/>
      <c r="BJ281" s="3055"/>
      <c r="BK281" s="3055"/>
      <c r="BL281" s="3056"/>
      <c r="BM281" s="3057">
        <f t="shared" si="16"/>
      </c>
      <c r="BN281" s="3054"/>
      <c r="BO281" s="3054"/>
      <c r="BP281" s="3055"/>
      <c r="BQ281" s="3055"/>
      <c r="BR281" s="3055"/>
      <c r="BS281" s="3055"/>
      <c r="BT281" s="3055"/>
      <c r="BU281" s="3055"/>
      <c r="BV281" s="3055"/>
      <c r="BW281" s="3055"/>
      <c r="BX281" s="3055"/>
      <c r="BY281" s="3055"/>
      <c r="BZ281" s="3055"/>
      <c r="CA281" s="3055"/>
      <c r="CB281" s="3055"/>
      <c r="CC281" s="3056"/>
      <c r="CD281" s="3057">
        <f t="shared" si="0"/>
      </c>
      <c r="CE281" s="3054"/>
      <c r="CF281" s="3054"/>
      <c r="CG281" s="3055"/>
      <c r="CH281" s="3055"/>
      <c r="CI281" s="3055"/>
      <c r="CJ281" s="3055"/>
      <c r="CK281" s="3055"/>
      <c r="CL281" s="3055"/>
      <c r="CM281" s="3055"/>
      <c r="CN281" s="3055"/>
      <c r="CO281" s="3055"/>
      <c r="CP281" s="3055"/>
      <c r="CQ281" s="3055"/>
      <c r="CR281" s="3055"/>
      <c r="CS281" s="3055"/>
      <c r="CU281" s="3054"/>
      <c r="CV281" s="696"/>
      <c r="CW281" s="696"/>
      <c r="CZ281" s="3060">
        <f t="shared" si="17"/>
      </c>
      <c r="DA281" s="3060">
        <f t="shared" si="1"/>
      </c>
      <c r="DB281" s="3060">
        <f t="shared" si="18"/>
      </c>
      <c r="DC281" s="3060">
        <f t="shared" si="19"/>
      </c>
      <c r="DD281" s="3060">
        <f t="shared" si="20"/>
      </c>
      <c r="DE281" s="3060">
        <f t="shared" si="21"/>
      </c>
      <c r="DF281" s="3060">
        <f t="shared" si="22"/>
      </c>
      <c r="DG281" s="3060">
        <f t="shared" si="23"/>
      </c>
      <c r="DH281" s="3060">
        <f t="shared" si="24"/>
      </c>
      <c r="DI281" s="3060">
        <f t="shared" si="1"/>
      </c>
    </row>
    <row r="282" ht="15" customHeight="1" s="3052" customFormat="1">
      <c r="A282" s="3065"/>
      <c r="B282" s="3054">
        <f t="shared" si="2"/>
      </c>
      <c r="C282" s="3054"/>
      <c r="D282" s="3054"/>
      <c r="E282" s="3055"/>
      <c r="F282" s="3055"/>
      <c r="G282" s="3055"/>
      <c r="H282" s="3055"/>
      <c r="I282" s="3055"/>
      <c r="J282" s="3055"/>
      <c r="K282" s="3055"/>
      <c r="L282" s="3055"/>
      <c r="M282" s="3055"/>
      <c r="N282" s="3055"/>
      <c r="O282" s="3055"/>
      <c r="P282" s="3055"/>
      <c r="Q282" s="3055"/>
      <c r="R282" s="3055">
        <f t="shared" si="3"/>
        <v>0</v>
      </c>
      <c r="S282" s="3055">
        <f t="shared" si="4"/>
        <v>0</v>
      </c>
      <c r="T282" s="3055">
        <f t="shared" si="5"/>
        <v>0</v>
      </c>
      <c r="U282" s="3055">
        <f t="shared" si="6"/>
        <v>0</v>
      </c>
      <c r="V282" s="3055">
        <f t="shared" si="7"/>
        <v>0</v>
      </c>
      <c r="W282" s="3055">
        <f t="shared" si="8"/>
        <v>0</v>
      </c>
      <c r="X282" s="3055">
        <f t="shared" si="9"/>
        <v>0</v>
      </c>
      <c r="Y282" s="3055">
        <f t="shared" si="10"/>
        <v>0</v>
      </c>
      <c r="Z282" s="3055">
        <f t="shared" si="11"/>
        <v>0</v>
      </c>
      <c r="AA282" s="3055">
        <f t="shared" si="12"/>
        <v>0</v>
      </c>
      <c r="AB282" s="3055">
        <f t="shared" si="13"/>
        <v>0</v>
      </c>
      <c r="AC282" s="3055">
        <f t="shared" si="14"/>
        <v>0</v>
      </c>
      <c r="AD282" s="3056"/>
      <c r="AE282" s="3057">
        <f t="shared" si="0"/>
      </c>
      <c r="AF282" s="3054"/>
      <c r="AG282" s="3054"/>
      <c r="AH282" s="3055"/>
      <c r="AI282" s="3055"/>
      <c r="AJ282" s="3055"/>
      <c r="AK282" s="3055"/>
      <c r="AL282" s="3055"/>
      <c r="AM282" s="3055"/>
      <c r="AN282" s="3055"/>
      <c r="AO282" s="3055"/>
      <c r="AP282" s="3055"/>
      <c r="AQ282" s="3055"/>
      <c r="AR282" s="3055"/>
      <c r="AS282" s="3055"/>
      <c r="AT282" s="3055"/>
      <c r="AU282" s="3056"/>
      <c r="AV282" s="3057">
        <f t="shared" si="15"/>
      </c>
      <c r="AW282" s="3054"/>
      <c r="AX282" s="3054"/>
      <c r="AY282" s="3055"/>
      <c r="AZ282" s="3055"/>
      <c r="BA282" s="3055"/>
      <c r="BB282" s="3055"/>
      <c r="BC282" s="3055"/>
      <c r="BD282" s="3055"/>
      <c r="BE282" s="3055"/>
      <c r="BF282" s="3055"/>
      <c r="BG282" s="3055"/>
      <c r="BH282" s="3055"/>
      <c r="BI282" s="3055"/>
      <c r="BJ282" s="3055"/>
      <c r="BK282" s="3055"/>
      <c r="BL282" s="3056"/>
      <c r="BM282" s="3057">
        <f t="shared" si="16"/>
      </c>
      <c r="BN282" s="3054"/>
      <c r="BO282" s="3054"/>
      <c r="BP282" s="3055"/>
      <c r="BQ282" s="3055"/>
      <c r="BR282" s="3055"/>
      <c r="BS282" s="3055"/>
      <c r="BT282" s="3055"/>
      <c r="BU282" s="3055"/>
      <c r="BV282" s="3055"/>
      <c r="BW282" s="3055"/>
      <c r="BX282" s="3055"/>
      <c r="BY282" s="3055"/>
      <c r="BZ282" s="3055"/>
      <c r="CA282" s="3055"/>
      <c r="CB282" s="3055"/>
      <c r="CC282" s="3056"/>
      <c r="CD282" s="3057">
        <f t="shared" si="0"/>
      </c>
      <c r="CE282" s="3054"/>
      <c r="CF282" s="3054"/>
      <c r="CG282" s="3055"/>
      <c r="CH282" s="3055"/>
      <c r="CI282" s="3055"/>
      <c r="CJ282" s="3055"/>
      <c r="CK282" s="3055"/>
      <c r="CL282" s="3055"/>
      <c r="CM282" s="3055"/>
      <c r="CN282" s="3055"/>
      <c r="CO282" s="3055"/>
      <c r="CP282" s="3055"/>
      <c r="CQ282" s="3055"/>
      <c r="CR282" s="3055"/>
      <c r="CS282" s="3055"/>
      <c r="CU282" s="3054"/>
      <c r="CV282" s="696"/>
      <c r="CW282" s="696"/>
      <c r="CZ282" s="3060">
        <f t="shared" si="17"/>
      </c>
      <c r="DA282" s="3060">
        <f t="shared" si="1"/>
      </c>
      <c r="DB282" s="3060">
        <f t="shared" si="18"/>
      </c>
      <c r="DC282" s="3060">
        <f t="shared" si="19"/>
      </c>
      <c r="DD282" s="3060">
        <f t="shared" si="20"/>
      </c>
      <c r="DE282" s="3060">
        <f t="shared" si="21"/>
      </c>
      <c r="DF282" s="3060">
        <f t="shared" si="22"/>
      </c>
      <c r="DG282" s="3060">
        <f t="shared" si="23"/>
      </c>
      <c r="DH282" s="3060">
        <f t="shared" si="24"/>
      </c>
      <c r="DI282" s="3060">
        <f t="shared" si="1"/>
      </c>
    </row>
    <row r="283" ht="15" customHeight="1" s="3052" customFormat="1">
      <c r="A283" s="3065"/>
      <c r="B283" s="3054">
        <f t="shared" si="2"/>
      </c>
      <c r="C283" s="3054"/>
      <c r="D283" s="3054"/>
      <c r="E283" s="3055"/>
      <c r="F283" s="3055"/>
      <c r="G283" s="3055"/>
      <c r="H283" s="3055"/>
      <c r="I283" s="3055"/>
      <c r="J283" s="3055"/>
      <c r="K283" s="3055"/>
      <c r="L283" s="3055"/>
      <c r="M283" s="3055"/>
      <c r="N283" s="3055"/>
      <c r="O283" s="3055"/>
      <c r="P283" s="3055"/>
      <c r="Q283" s="3055"/>
      <c r="R283" s="3055">
        <f t="shared" si="3"/>
        <v>0</v>
      </c>
      <c r="S283" s="3055">
        <f t="shared" si="4"/>
        <v>0</v>
      </c>
      <c r="T283" s="3055">
        <f t="shared" si="5"/>
        <v>0</v>
      </c>
      <c r="U283" s="3055">
        <f t="shared" si="6"/>
        <v>0</v>
      </c>
      <c r="V283" s="3055">
        <f t="shared" si="7"/>
        <v>0</v>
      </c>
      <c r="W283" s="3055">
        <f t="shared" si="8"/>
        <v>0</v>
      </c>
      <c r="X283" s="3055">
        <f t="shared" si="9"/>
        <v>0</v>
      </c>
      <c r="Y283" s="3055">
        <f t="shared" si="10"/>
        <v>0</v>
      </c>
      <c r="Z283" s="3055">
        <f t="shared" si="11"/>
        <v>0</v>
      </c>
      <c r="AA283" s="3055">
        <f t="shared" si="12"/>
        <v>0</v>
      </c>
      <c r="AB283" s="3055">
        <f t="shared" si="13"/>
        <v>0</v>
      </c>
      <c r="AC283" s="3055">
        <f t="shared" si="14"/>
        <v>0</v>
      </c>
      <c r="AD283" s="3056"/>
      <c r="AE283" s="3057">
        <f t="shared" si="0"/>
      </c>
      <c r="AF283" s="3054"/>
      <c r="AG283" s="3054"/>
      <c r="AH283" s="3055"/>
      <c r="AI283" s="3055"/>
      <c r="AJ283" s="3055"/>
      <c r="AK283" s="3055"/>
      <c r="AL283" s="3055"/>
      <c r="AM283" s="3055"/>
      <c r="AN283" s="3055"/>
      <c r="AO283" s="3055"/>
      <c r="AP283" s="3055"/>
      <c r="AQ283" s="3055"/>
      <c r="AR283" s="3055"/>
      <c r="AS283" s="3055"/>
      <c r="AT283" s="3055"/>
      <c r="AU283" s="3056"/>
      <c r="AV283" s="3057">
        <f t="shared" si="15"/>
      </c>
      <c r="AW283" s="3054"/>
      <c r="AX283" s="3054"/>
      <c r="AY283" s="3055"/>
      <c r="AZ283" s="3055"/>
      <c r="BA283" s="3055"/>
      <c r="BB283" s="3055"/>
      <c r="BC283" s="3055"/>
      <c r="BD283" s="3055"/>
      <c r="BE283" s="3055"/>
      <c r="BF283" s="3055"/>
      <c r="BG283" s="3055"/>
      <c r="BH283" s="3055"/>
      <c r="BI283" s="3055"/>
      <c r="BJ283" s="3055"/>
      <c r="BK283" s="3055"/>
      <c r="BL283" s="3056"/>
      <c r="BM283" s="3057">
        <f t="shared" si="16"/>
      </c>
      <c r="BN283" s="3054"/>
      <c r="BO283" s="3054"/>
      <c r="BP283" s="3055"/>
      <c r="BQ283" s="3055"/>
      <c r="BR283" s="3055"/>
      <c r="BS283" s="3055"/>
      <c r="BT283" s="3055"/>
      <c r="BU283" s="3055"/>
      <c r="BV283" s="3055"/>
      <c r="BW283" s="3055"/>
      <c r="BX283" s="3055"/>
      <c r="BY283" s="3055"/>
      <c r="BZ283" s="3055"/>
      <c r="CA283" s="3055"/>
      <c r="CB283" s="3055"/>
      <c r="CC283" s="3056"/>
      <c r="CD283" s="3057">
        <f t="shared" si="0"/>
      </c>
      <c r="CE283" s="3054"/>
      <c r="CF283" s="3054"/>
      <c r="CG283" s="3055"/>
      <c r="CH283" s="3055"/>
      <c r="CI283" s="3055"/>
      <c r="CJ283" s="3055"/>
      <c r="CK283" s="3055"/>
      <c r="CL283" s="3055"/>
      <c r="CM283" s="3055"/>
      <c r="CN283" s="3055"/>
      <c r="CO283" s="3055"/>
      <c r="CP283" s="3055"/>
      <c r="CQ283" s="3055"/>
      <c r="CR283" s="3055"/>
      <c r="CS283" s="3055"/>
      <c r="CU283" s="3054"/>
      <c r="CV283" s="696"/>
      <c r="CW283" s="696"/>
      <c r="CZ283" s="3060">
        <f t="shared" si="17"/>
      </c>
      <c r="DA283" s="3060">
        <f t="shared" si="1"/>
      </c>
      <c r="DB283" s="3060">
        <f t="shared" si="18"/>
      </c>
      <c r="DC283" s="3060">
        <f t="shared" si="19"/>
      </c>
      <c r="DD283" s="3060">
        <f t="shared" si="20"/>
      </c>
      <c r="DE283" s="3060">
        <f t="shared" si="21"/>
      </c>
      <c r="DF283" s="3060">
        <f t="shared" si="22"/>
      </c>
      <c r="DG283" s="3060">
        <f t="shared" si="23"/>
      </c>
      <c r="DH283" s="3060">
        <f t="shared" si="24"/>
      </c>
      <c r="DI283" s="3060">
        <f t="shared" si="1"/>
      </c>
    </row>
    <row r="284" ht="15" customHeight="1" s="3052" customFormat="1">
      <c r="A284" s="3065"/>
      <c r="B284" s="3054">
        <f t="shared" si="2"/>
      </c>
      <c r="C284" s="3054"/>
      <c r="D284" s="3054"/>
      <c r="E284" s="3055"/>
      <c r="F284" s="3055"/>
      <c r="G284" s="3055"/>
      <c r="H284" s="3055"/>
      <c r="I284" s="3055"/>
      <c r="J284" s="3055"/>
      <c r="K284" s="3055"/>
      <c r="L284" s="3055"/>
      <c r="M284" s="3055"/>
      <c r="N284" s="3055"/>
      <c r="O284" s="3055"/>
      <c r="P284" s="3055"/>
      <c r="Q284" s="3055"/>
      <c r="R284" s="3055">
        <f t="shared" si="3"/>
        <v>0</v>
      </c>
      <c r="S284" s="3055">
        <f t="shared" si="4"/>
        <v>0</v>
      </c>
      <c r="T284" s="3055">
        <f t="shared" si="5"/>
        <v>0</v>
      </c>
      <c r="U284" s="3055">
        <f t="shared" si="6"/>
        <v>0</v>
      </c>
      <c r="V284" s="3055">
        <f t="shared" si="7"/>
        <v>0</v>
      </c>
      <c r="W284" s="3055">
        <f t="shared" si="8"/>
        <v>0</v>
      </c>
      <c r="X284" s="3055">
        <f t="shared" si="9"/>
        <v>0</v>
      </c>
      <c r="Y284" s="3055">
        <f t="shared" si="10"/>
        <v>0</v>
      </c>
      <c r="Z284" s="3055">
        <f t="shared" si="11"/>
        <v>0</v>
      </c>
      <c r="AA284" s="3055">
        <f t="shared" si="12"/>
        <v>0</v>
      </c>
      <c r="AB284" s="3055">
        <f t="shared" si="13"/>
        <v>0</v>
      </c>
      <c r="AC284" s="3055">
        <f t="shared" si="14"/>
        <v>0</v>
      </c>
      <c r="AD284" s="3056"/>
      <c r="AE284" s="3057">
        <f t="shared" si="0"/>
      </c>
      <c r="AF284" s="3054"/>
      <c r="AG284" s="3054"/>
      <c r="AH284" s="3055"/>
      <c r="AI284" s="3055"/>
      <c r="AJ284" s="3055"/>
      <c r="AK284" s="3055"/>
      <c r="AL284" s="3055"/>
      <c r="AM284" s="3055"/>
      <c r="AN284" s="3055"/>
      <c r="AO284" s="3055"/>
      <c r="AP284" s="3055"/>
      <c r="AQ284" s="3055"/>
      <c r="AR284" s="3055"/>
      <c r="AS284" s="3055"/>
      <c r="AT284" s="3055"/>
      <c r="AU284" s="3056"/>
      <c r="AV284" s="3057">
        <f t="shared" si="15"/>
      </c>
      <c r="AW284" s="3054"/>
      <c r="AX284" s="3054"/>
      <c r="AY284" s="3055"/>
      <c r="AZ284" s="3055"/>
      <c r="BA284" s="3055"/>
      <c r="BB284" s="3055"/>
      <c r="BC284" s="3055"/>
      <c r="BD284" s="3055"/>
      <c r="BE284" s="3055"/>
      <c r="BF284" s="3055"/>
      <c r="BG284" s="3055"/>
      <c r="BH284" s="3055"/>
      <c r="BI284" s="3055"/>
      <c r="BJ284" s="3055"/>
      <c r="BK284" s="3055"/>
      <c r="BL284" s="3056"/>
      <c r="BM284" s="3057">
        <f t="shared" si="16"/>
      </c>
      <c r="BN284" s="3054"/>
      <c r="BO284" s="3054"/>
      <c r="BP284" s="3055"/>
      <c r="BQ284" s="3055"/>
      <c r="BR284" s="3055"/>
      <c r="BS284" s="3055"/>
      <c r="BT284" s="3055"/>
      <c r="BU284" s="3055"/>
      <c r="BV284" s="3055"/>
      <c r="BW284" s="3055"/>
      <c r="BX284" s="3055"/>
      <c r="BY284" s="3055"/>
      <c r="BZ284" s="3055"/>
      <c r="CA284" s="3055"/>
      <c r="CB284" s="3055"/>
      <c r="CC284" s="3056"/>
      <c r="CD284" s="3057">
        <f t="shared" si="0"/>
      </c>
      <c r="CE284" s="3054"/>
      <c r="CF284" s="3054"/>
      <c r="CG284" s="3055"/>
      <c r="CH284" s="3055"/>
      <c r="CI284" s="3055"/>
      <c r="CJ284" s="3055"/>
      <c r="CK284" s="3055"/>
      <c r="CL284" s="3055"/>
      <c r="CM284" s="3055"/>
      <c r="CN284" s="3055"/>
      <c r="CO284" s="3055"/>
      <c r="CP284" s="3055"/>
      <c r="CQ284" s="3055"/>
      <c r="CR284" s="3055"/>
      <c r="CS284" s="3055"/>
      <c r="CU284" s="3054"/>
      <c r="CV284" s="696"/>
      <c r="CW284" s="696"/>
      <c r="CZ284" s="3060">
        <f t="shared" si="17"/>
      </c>
      <c r="DA284" s="3060">
        <f t="shared" si="1"/>
      </c>
      <c r="DB284" s="3060">
        <f t="shared" si="18"/>
      </c>
      <c r="DC284" s="3060">
        <f t="shared" si="19"/>
      </c>
      <c r="DD284" s="3060">
        <f t="shared" si="20"/>
      </c>
      <c r="DE284" s="3060">
        <f t="shared" si="21"/>
      </c>
      <c r="DF284" s="3060">
        <f t="shared" si="22"/>
      </c>
      <c r="DG284" s="3060">
        <f t="shared" si="23"/>
      </c>
      <c r="DH284" s="3060">
        <f t="shared" si="24"/>
      </c>
      <c r="DI284" s="3060">
        <f t="shared" si="1"/>
      </c>
    </row>
    <row r="285" ht="15" customHeight="1" s="3052" customFormat="1">
      <c r="A285" s="3065"/>
      <c r="B285" s="3054">
        <f t="shared" si="2"/>
      </c>
      <c r="C285" s="3054"/>
      <c r="D285" s="3054"/>
      <c r="E285" s="3055"/>
      <c r="F285" s="3055"/>
      <c r="G285" s="3055"/>
      <c r="H285" s="3055"/>
      <c r="I285" s="3055"/>
      <c r="J285" s="3055"/>
      <c r="K285" s="3055"/>
      <c r="L285" s="3055"/>
      <c r="M285" s="3055"/>
      <c r="N285" s="3055"/>
      <c r="O285" s="3055"/>
      <c r="P285" s="3055"/>
      <c r="Q285" s="3055"/>
      <c r="R285" s="3055">
        <f t="shared" si="3"/>
        <v>0</v>
      </c>
      <c r="S285" s="3055">
        <f t="shared" si="4"/>
        <v>0</v>
      </c>
      <c r="T285" s="3055">
        <f t="shared" si="5"/>
        <v>0</v>
      </c>
      <c r="U285" s="3055">
        <f t="shared" si="6"/>
        <v>0</v>
      </c>
      <c r="V285" s="3055">
        <f t="shared" si="7"/>
        <v>0</v>
      </c>
      <c r="W285" s="3055">
        <f t="shared" si="8"/>
        <v>0</v>
      </c>
      <c r="X285" s="3055">
        <f t="shared" si="9"/>
        <v>0</v>
      </c>
      <c r="Y285" s="3055">
        <f t="shared" si="10"/>
        <v>0</v>
      </c>
      <c r="Z285" s="3055">
        <f t="shared" si="11"/>
        <v>0</v>
      </c>
      <c r="AA285" s="3055">
        <f t="shared" si="12"/>
        <v>0</v>
      </c>
      <c r="AB285" s="3055">
        <f t="shared" si="13"/>
        <v>0</v>
      </c>
      <c r="AC285" s="3055">
        <f t="shared" si="14"/>
        <v>0</v>
      </c>
      <c r="AD285" s="3056"/>
      <c r="AE285" s="3057">
        <f t="shared" si="0"/>
      </c>
      <c r="AF285" s="3054"/>
      <c r="AG285" s="3054"/>
      <c r="AH285" s="3055"/>
      <c r="AI285" s="3055"/>
      <c r="AJ285" s="3055"/>
      <c r="AK285" s="3055"/>
      <c r="AL285" s="3055"/>
      <c r="AM285" s="3055"/>
      <c r="AN285" s="3055"/>
      <c r="AO285" s="3055"/>
      <c r="AP285" s="3055"/>
      <c r="AQ285" s="3055"/>
      <c r="AR285" s="3055"/>
      <c r="AS285" s="3055"/>
      <c r="AT285" s="3055"/>
      <c r="AU285" s="3056"/>
      <c r="AV285" s="3057">
        <f t="shared" si="15"/>
      </c>
      <c r="AW285" s="3054"/>
      <c r="AX285" s="3054"/>
      <c r="AY285" s="3055"/>
      <c r="AZ285" s="3055"/>
      <c r="BA285" s="3055"/>
      <c r="BB285" s="3055"/>
      <c r="BC285" s="3055"/>
      <c r="BD285" s="3055"/>
      <c r="BE285" s="3055"/>
      <c r="BF285" s="3055"/>
      <c r="BG285" s="3055"/>
      <c r="BH285" s="3055"/>
      <c r="BI285" s="3055"/>
      <c r="BJ285" s="3055"/>
      <c r="BK285" s="3055"/>
      <c r="BL285" s="3056"/>
      <c r="BM285" s="3057">
        <f t="shared" si="16"/>
      </c>
      <c r="BN285" s="3054"/>
      <c r="BO285" s="3054"/>
      <c r="BP285" s="3055"/>
      <c r="BQ285" s="3055"/>
      <c r="BR285" s="3055"/>
      <c r="BS285" s="3055"/>
      <c r="BT285" s="3055"/>
      <c r="BU285" s="3055"/>
      <c r="BV285" s="3055"/>
      <c r="BW285" s="3055"/>
      <c r="BX285" s="3055"/>
      <c r="BY285" s="3055"/>
      <c r="BZ285" s="3055"/>
      <c r="CA285" s="3055"/>
      <c r="CB285" s="3055"/>
      <c r="CC285" s="3056"/>
      <c r="CD285" s="3057">
        <f t="shared" si="0"/>
      </c>
      <c r="CE285" s="3054"/>
      <c r="CF285" s="3054"/>
      <c r="CG285" s="3055"/>
      <c r="CH285" s="3055"/>
      <c r="CI285" s="3055"/>
      <c r="CJ285" s="3055"/>
      <c r="CK285" s="3055"/>
      <c r="CL285" s="3055"/>
      <c r="CM285" s="3055"/>
      <c r="CN285" s="3055"/>
      <c r="CO285" s="3055"/>
      <c r="CP285" s="3055"/>
      <c r="CQ285" s="3055"/>
      <c r="CR285" s="3055"/>
      <c r="CS285" s="3055"/>
      <c r="CU285" s="3054"/>
      <c r="CV285" s="696"/>
      <c r="CW285" s="696"/>
      <c r="CZ285" s="3060">
        <f t="shared" si="17"/>
      </c>
      <c r="DA285" s="3060">
        <f t="shared" si="1"/>
      </c>
      <c r="DB285" s="3060">
        <f t="shared" si="18"/>
      </c>
      <c r="DC285" s="3060">
        <f t="shared" si="19"/>
      </c>
      <c r="DD285" s="3060">
        <f t="shared" si="20"/>
      </c>
      <c r="DE285" s="3060">
        <f t="shared" si="21"/>
      </c>
      <c r="DF285" s="3060">
        <f t="shared" si="22"/>
      </c>
      <c r="DG285" s="3060">
        <f t="shared" si="23"/>
      </c>
      <c r="DH285" s="3060">
        <f t="shared" si="24"/>
      </c>
      <c r="DI285" s="3060">
        <f t="shared" si="1"/>
      </c>
    </row>
    <row r="286" ht="15" customHeight="1" s="3052" customFormat="1">
      <c r="A286" s="3065"/>
      <c r="B286" s="3054">
        <f t="shared" si="2"/>
      </c>
      <c r="C286" s="3054"/>
      <c r="D286" s="3054"/>
      <c r="E286" s="3055"/>
      <c r="F286" s="3055"/>
      <c r="G286" s="3055"/>
      <c r="H286" s="3055"/>
      <c r="I286" s="3055"/>
      <c r="J286" s="3055"/>
      <c r="K286" s="3055"/>
      <c r="L286" s="3055"/>
      <c r="M286" s="3055"/>
      <c r="N286" s="3055"/>
      <c r="O286" s="3055"/>
      <c r="P286" s="3055"/>
      <c r="Q286" s="3055"/>
      <c r="R286" s="3055">
        <f t="shared" si="3"/>
        <v>0</v>
      </c>
      <c r="S286" s="3055">
        <f t="shared" si="4"/>
        <v>0</v>
      </c>
      <c r="T286" s="3055">
        <f t="shared" si="5"/>
        <v>0</v>
      </c>
      <c r="U286" s="3055">
        <f t="shared" si="6"/>
        <v>0</v>
      </c>
      <c r="V286" s="3055">
        <f t="shared" si="7"/>
        <v>0</v>
      </c>
      <c r="W286" s="3055">
        <f t="shared" si="8"/>
        <v>0</v>
      </c>
      <c r="X286" s="3055">
        <f t="shared" si="9"/>
        <v>0</v>
      </c>
      <c r="Y286" s="3055">
        <f t="shared" si="10"/>
        <v>0</v>
      </c>
      <c r="Z286" s="3055">
        <f t="shared" si="11"/>
        <v>0</v>
      </c>
      <c r="AA286" s="3055">
        <f t="shared" si="12"/>
        <v>0</v>
      </c>
      <c r="AB286" s="3055">
        <f t="shared" si="13"/>
        <v>0</v>
      </c>
      <c r="AC286" s="3055">
        <f t="shared" si="14"/>
        <v>0</v>
      </c>
      <c r="AD286" s="3056"/>
      <c r="AE286" s="3057">
        <f t="shared" si="0"/>
      </c>
      <c r="AF286" s="3054"/>
      <c r="AG286" s="3054"/>
      <c r="AH286" s="3055"/>
      <c r="AI286" s="3055"/>
      <c r="AJ286" s="3055"/>
      <c r="AK286" s="3055"/>
      <c r="AL286" s="3055"/>
      <c r="AM286" s="3055"/>
      <c r="AN286" s="3055"/>
      <c r="AO286" s="3055"/>
      <c r="AP286" s="3055"/>
      <c r="AQ286" s="3055"/>
      <c r="AR286" s="3055"/>
      <c r="AS286" s="3055"/>
      <c r="AT286" s="3055"/>
      <c r="AU286" s="3056"/>
      <c r="AV286" s="3057">
        <f t="shared" si="15"/>
      </c>
      <c r="AW286" s="3054"/>
      <c r="AX286" s="3054"/>
      <c r="AY286" s="3055"/>
      <c r="AZ286" s="3055"/>
      <c r="BA286" s="3055"/>
      <c r="BB286" s="3055"/>
      <c r="BC286" s="3055"/>
      <c r="BD286" s="3055"/>
      <c r="BE286" s="3055"/>
      <c r="BF286" s="3055"/>
      <c r="BG286" s="3055"/>
      <c r="BH286" s="3055"/>
      <c r="BI286" s="3055"/>
      <c r="BJ286" s="3055"/>
      <c r="BK286" s="3055"/>
      <c r="BL286" s="3056"/>
      <c r="BM286" s="3057">
        <f t="shared" si="16"/>
      </c>
      <c r="BN286" s="3054"/>
      <c r="BO286" s="3054"/>
      <c r="BP286" s="3055"/>
      <c r="BQ286" s="3055"/>
      <c r="BR286" s="3055"/>
      <c r="BS286" s="3055"/>
      <c r="BT286" s="3055"/>
      <c r="BU286" s="3055"/>
      <c r="BV286" s="3055"/>
      <c r="BW286" s="3055"/>
      <c r="BX286" s="3055"/>
      <c r="BY286" s="3055"/>
      <c r="BZ286" s="3055"/>
      <c r="CA286" s="3055"/>
      <c r="CB286" s="3055"/>
      <c r="CC286" s="3056"/>
      <c r="CD286" s="3057">
        <f t="shared" si="0"/>
      </c>
      <c r="CE286" s="3054"/>
      <c r="CF286" s="3054"/>
      <c r="CG286" s="3055"/>
      <c r="CH286" s="3055"/>
      <c r="CI286" s="3055"/>
      <c r="CJ286" s="3055"/>
      <c r="CK286" s="3055"/>
      <c r="CL286" s="3055"/>
      <c r="CM286" s="3055"/>
      <c r="CN286" s="3055"/>
      <c r="CO286" s="3055"/>
      <c r="CP286" s="3055"/>
      <c r="CQ286" s="3055"/>
      <c r="CR286" s="3055"/>
      <c r="CS286" s="3055"/>
      <c r="CU286" s="3054"/>
      <c r="CV286" s="696"/>
      <c r="CW286" s="696"/>
      <c r="CZ286" s="3060">
        <f t="shared" si="17"/>
      </c>
      <c r="DA286" s="3060">
        <f t="shared" si="1"/>
      </c>
      <c r="DB286" s="3060">
        <f t="shared" si="18"/>
      </c>
      <c r="DC286" s="3060">
        <f t="shared" si="19"/>
      </c>
      <c r="DD286" s="3060">
        <f t="shared" si="20"/>
      </c>
      <c r="DE286" s="3060">
        <f t="shared" si="21"/>
      </c>
      <c r="DF286" s="3060">
        <f t="shared" si="22"/>
      </c>
      <c r="DG286" s="3060">
        <f t="shared" si="23"/>
      </c>
      <c r="DH286" s="3060">
        <f t="shared" si="24"/>
      </c>
      <c r="DI286" s="3060">
        <f t="shared" si="1"/>
      </c>
    </row>
    <row r="287" ht="15" customHeight="1" s="3052" customFormat="1">
      <c r="A287" s="3065"/>
      <c r="B287" s="3054">
        <f t="shared" si="2"/>
      </c>
      <c r="C287" s="3054"/>
      <c r="D287" s="3054"/>
      <c r="E287" s="3055"/>
      <c r="F287" s="3055"/>
      <c r="G287" s="3055"/>
      <c r="H287" s="3055"/>
      <c r="I287" s="3055"/>
      <c r="J287" s="3055"/>
      <c r="K287" s="3055"/>
      <c r="L287" s="3055"/>
      <c r="M287" s="3055"/>
      <c r="N287" s="3055"/>
      <c r="O287" s="3055"/>
      <c r="P287" s="3055"/>
      <c r="Q287" s="3055"/>
      <c r="R287" s="3055">
        <f t="shared" si="3"/>
        <v>0</v>
      </c>
      <c r="S287" s="3055">
        <f t="shared" si="4"/>
        <v>0</v>
      </c>
      <c r="T287" s="3055">
        <f t="shared" si="5"/>
        <v>0</v>
      </c>
      <c r="U287" s="3055">
        <f t="shared" si="6"/>
        <v>0</v>
      </c>
      <c r="V287" s="3055">
        <f t="shared" si="7"/>
        <v>0</v>
      </c>
      <c r="W287" s="3055">
        <f t="shared" si="8"/>
        <v>0</v>
      </c>
      <c r="X287" s="3055">
        <f t="shared" si="9"/>
        <v>0</v>
      </c>
      <c r="Y287" s="3055">
        <f t="shared" si="10"/>
        <v>0</v>
      </c>
      <c r="Z287" s="3055">
        <f t="shared" si="11"/>
        <v>0</v>
      </c>
      <c r="AA287" s="3055">
        <f t="shared" si="12"/>
        <v>0</v>
      </c>
      <c r="AB287" s="3055">
        <f t="shared" si="13"/>
        <v>0</v>
      </c>
      <c r="AC287" s="3055">
        <f t="shared" si="14"/>
        <v>0</v>
      </c>
      <c r="AD287" s="3056"/>
      <c r="AE287" s="3057">
        <f t="shared" si="0"/>
      </c>
      <c r="AF287" s="3054"/>
      <c r="AG287" s="3054"/>
      <c r="AH287" s="3055"/>
      <c r="AI287" s="3055"/>
      <c r="AJ287" s="3055"/>
      <c r="AK287" s="3055"/>
      <c r="AL287" s="3055"/>
      <c r="AM287" s="3055"/>
      <c r="AN287" s="3055"/>
      <c r="AO287" s="3055"/>
      <c r="AP287" s="3055"/>
      <c r="AQ287" s="3055"/>
      <c r="AR287" s="3055"/>
      <c r="AS287" s="3055"/>
      <c r="AT287" s="3055"/>
      <c r="AU287" s="3056"/>
      <c r="AV287" s="3057">
        <f t="shared" si="15"/>
      </c>
      <c r="AW287" s="3054"/>
      <c r="AX287" s="3054"/>
      <c r="AY287" s="3055"/>
      <c r="AZ287" s="3055"/>
      <c r="BA287" s="3055"/>
      <c r="BB287" s="3055"/>
      <c r="BC287" s="3055"/>
      <c r="BD287" s="3055"/>
      <c r="BE287" s="3055"/>
      <c r="BF287" s="3055"/>
      <c r="BG287" s="3055"/>
      <c r="BH287" s="3055"/>
      <c r="BI287" s="3055"/>
      <c r="BJ287" s="3055"/>
      <c r="BK287" s="3055"/>
      <c r="BL287" s="3056"/>
      <c r="BM287" s="3057">
        <f t="shared" si="16"/>
      </c>
      <c r="BN287" s="3054"/>
      <c r="BO287" s="3054"/>
      <c r="BP287" s="3055"/>
      <c r="BQ287" s="3055"/>
      <c r="BR287" s="3055"/>
      <c r="BS287" s="3055"/>
      <c r="BT287" s="3055"/>
      <c r="BU287" s="3055"/>
      <c r="BV287" s="3055"/>
      <c r="BW287" s="3055"/>
      <c r="BX287" s="3055"/>
      <c r="BY287" s="3055"/>
      <c r="BZ287" s="3055"/>
      <c r="CA287" s="3055"/>
      <c r="CB287" s="3055"/>
      <c r="CC287" s="3056"/>
      <c r="CD287" s="3057">
        <f t="shared" si="0"/>
      </c>
      <c r="CE287" s="3054"/>
      <c r="CF287" s="3054"/>
      <c r="CG287" s="3055"/>
      <c r="CH287" s="3055"/>
      <c r="CI287" s="3055"/>
      <c r="CJ287" s="3055"/>
      <c r="CK287" s="3055"/>
      <c r="CL287" s="3055"/>
      <c r="CM287" s="3055"/>
      <c r="CN287" s="3055"/>
      <c r="CO287" s="3055"/>
      <c r="CP287" s="3055"/>
      <c r="CQ287" s="3055"/>
      <c r="CR287" s="3055"/>
      <c r="CS287" s="3055"/>
      <c r="CU287" s="3054"/>
      <c r="CV287" s="696"/>
      <c r="CW287" s="696"/>
      <c r="CZ287" s="3060">
        <f t="shared" si="17"/>
      </c>
      <c r="DA287" s="3060">
        <f t="shared" si="1"/>
      </c>
      <c r="DB287" s="3060">
        <f t="shared" si="18"/>
      </c>
      <c r="DC287" s="3060">
        <f t="shared" si="19"/>
      </c>
      <c r="DD287" s="3060">
        <f t="shared" si="20"/>
      </c>
      <c r="DE287" s="3060">
        <f t="shared" si="21"/>
      </c>
      <c r="DF287" s="3060">
        <f t="shared" si="22"/>
      </c>
      <c r="DG287" s="3060">
        <f t="shared" si="23"/>
      </c>
      <c r="DH287" s="3060">
        <f t="shared" si="24"/>
      </c>
      <c r="DI287" s="3060">
        <f t="shared" si="1"/>
      </c>
    </row>
    <row r="288" ht="15" customHeight="1" s="3052" customFormat="1">
      <c r="A288" s="3065"/>
      <c r="B288" s="3054">
        <f t="shared" si="2"/>
      </c>
      <c r="C288" s="3054"/>
      <c r="D288" s="3054"/>
      <c r="E288" s="3055"/>
      <c r="F288" s="3055"/>
      <c r="G288" s="3055"/>
      <c r="H288" s="3055"/>
      <c r="I288" s="3055"/>
      <c r="J288" s="3055"/>
      <c r="K288" s="3055"/>
      <c r="L288" s="3055"/>
      <c r="M288" s="3055"/>
      <c r="N288" s="3055"/>
      <c r="O288" s="3055"/>
      <c r="P288" s="3055"/>
      <c r="Q288" s="3055"/>
      <c r="R288" s="3055">
        <f t="shared" si="3"/>
        <v>0</v>
      </c>
      <c r="S288" s="3055">
        <f t="shared" si="4"/>
        <v>0</v>
      </c>
      <c r="T288" s="3055">
        <f t="shared" si="5"/>
        <v>0</v>
      </c>
      <c r="U288" s="3055">
        <f t="shared" si="6"/>
        <v>0</v>
      </c>
      <c r="V288" s="3055">
        <f t="shared" si="7"/>
        <v>0</v>
      </c>
      <c r="W288" s="3055">
        <f t="shared" si="8"/>
        <v>0</v>
      </c>
      <c r="X288" s="3055">
        <f t="shared" si="9"/>
        <v>0</v>
      </c>
      <c r="Y288" s="3055">
        <f t="shared" si="10"/>
        <v>0</v>
      </c>
      <c r="Z288" s="3055">
        <f t="shared" si="11"/>
        <v>0</v>
      </c>
      <c r="AA288" s="3055">
        <f t="shared" si="12"/>
        <v>0</v>
      </c>
      <c r="AB288" s="3055">
        <f t="shared" si="13"/>
        <v>0</v>
      </c>
      <c r="AC288" s="3055">
        <f t="shared" si="14"/>
        <v>0</v>
      </c>
      <c r="AD288" s="3056"/>
      <c r="AE288" s="3057">
        <f t="shared" si="0"/>
      </c>
      <c r="AF288" s="3054"/>
      <c r="AG288" s="3054"/>
      <c r="AH288" s="3055"/>
      <c r="AI288" s="3055"/>
      <c r="AJ288" s="3055"/>
      <c r="AK288" s="3055"/>
      <c r="AL288" s="3055"/>
      <c r="AM288" s="3055"/>
      <c r="AN288" s="3055"/>
      <c r="AO288" s="3055"/>
      <c r="AP288" s="3055"/>
      <c r="AQ288" s="3055"/>
      <c r="AR288" s="3055"/>
      <c r="AS288" s="3055"/>
      <c r="AT288" s="3055"/>
      <c r="AU288" s="3056"/>
      <c r="AV288" s="3057">
        <f t="shared" si="15"/>
      </c>
      <c r="AW288" s="3054"/>
      <c r="AX288" s="3054"/>
      <c r="AY288" s="3055"/>
      <c r="AZ288" s="3055"/>
      <c r="BA288" s="3055"/>
      <c r="BB288" s="3055"/>
      <c r="BC288" s="3055"/>
      <c r="BD288" s="3055"/>
      <c r="BE288" s="3055"/>
      <c r="BF288" s="3055"/>
      <c r="BG288" s="3055"/>
      <c r="BH288" s="3055"/>
      <c r="BI288" s="3055"/>
      <c r="BJ288" s="3055"/>
      <c r="BK288" s="3055"/>
      <c r="BL288" s="3056"/>
      <c r="BM288" s="3057">
        <f t="shared" si="16"/>
      </c>
      <c r="BN288" s="3054"/>
      <c r="BO288" s="3054"/>
      <c r="BP288" s="3055"/>
      <c r="BQ288" s="3055"/>
      <c r="BR288" s="3055"/>
      <c r="BS288" s="3055"/>
      <c r="BT288" s="3055"/>
      <c r="BU288" s="3055"/>
      <c r="BV288" s="3055"/>
      <c r="BW288" s="3055"/>
      <c r="BX288" s="3055"/>
      <c r="BY288" s="3055"/>
      <c r="BZ288" s="3055"/>
      <c r="CA288" s="3055"/>
      <c r="CB288" s="3055"/>
      <c r="CC288" s="3056"/>
      <c r="CD288" s="3057">
        <f t="shared" si="0"/>
      </c>
      <c r="CE288" s="3054"/>
      <c r="CF288" s="3054"/>
      <c r="CG288" s="3055"/>
      <c r="CH288" s="3055"/>
      <c r="CI288" s="3055"/>
      <c r="CJ288" s="3055"/>
      <c r="CK288" s="3055"/>
      <c r="CL288" s="3055"/>
      <c r="CM288" s="3055"/>
      <c r="CN288" s="3055"/>
      <c r="CO288" s="3055"/>
      <c r="CP288" s="3055"/>
      <c r="CQ288" s="3055"/>
      <c r="CR288" s="3055"/>
      <c r="CS288" s="3055"/>
      <c r="CU288" s="3054"/>
      <c r="CV288" s="696"/>
      <c r="CW288" s="696"/>
      <c r="CZ288" s="3060">
        <f t="shared" si="17"/>
      </c>
      <c r="DA288" s="3060">
        <f t="shared" si="1"/>
      </c>
      <c r="DB288" s="3060">
        <f t="shared" si="18"/>
      </c>
      <c r="DC288" s="3060">
        <f t="shared" si="19"/>
      </c>
      <c r="DD288" s="3060">
        <f t="shared" si="20"/>
      </c>
      <c r="DE288" s="3060">
        <f t="shared" si="21"/>
      </c>
      <c r="DF288" s="3060">
        <f t="shared" si="22"/>
      </c>
      <c r="DG288" s="3060">
        <f t="shared" si="23"/>
      </c>
      <c r="DH288" s="3060">
        <f t="shared" si="24"/>
      </c>
      <c r="DI288" s="3060">
        <f t="shared" si="1"/>
      </c>
    </row>
    <row r="289" ht="15" customHeight="1" s="3052" customFormat="1">
      <c r="A289" s="3065"/>
      <c r="B289" s="3054">
        <f t="shared" si="2"/>
      </c>
      <c r="C289" s="3054"/>
      <c r="D289" s="3054"/>
      <c r="E289" s="3055"/>
      <c r="F289" s="3055"/>
      <c r="G289" s="3055"/>
      <c r="H289" s="3055"/>
      <c r="I289" s="3055"/>
      <c r="J289" s="3055"/>
      <c r="K289" s="3055"/>
      <c r="L289" s="3055"/>
      <c r="M289" s="3055"/>
      <c r="N289" s="3055"/>
      <c r="O289" s="3055"/>
      <c r="P289" s="3055"/>
      <c r="Q289" s="3055"/>
      <c r="R289" s="3055">
        <f t="shared" si="3"/>
        <v>0</v>
      </c>
      <c r="S289" s="3055">
        <f t="shared" si="4"/>
        <v>0</v>
      </c>
      <c r="T289" s="3055">
        <f t="shared" si="5"/>
        <v>0</v>
      </c>
      <c r="U289" s="3055">
        <f t="shared" si="6"/>
        <v>0</v>
      </c>
      <c r="V289" s="3055">
        <f t="shared" si="7"/>
        <v>0</v>
      </c>
      <c r="W289" s="3055">
        <f t="shared" si="8"/>
        <v>0</v>
      </c>
      <c r="X289" s="3055">
        <f t="shared" si="9"/>
        <v>0</v>
      </c>
      <c r="Y289" s="3055">
        <f t="shared" si="10"/>
        <v>0</v>
      </c>
      <c r="Z289" s="3055">
        <f t="shared" si="11"/>
        <v>0</v>
      </c>
      <c r="AA289" s="3055">
        <f t="shared" si="12"/>
        <v>0</v>
      </c>
      <c r="AB289" s="3055">
        <f t="shared" si="13"/>
        <v>0</v>
      </c>
      <c r="AC289" s="3055">
        <f t="shared" si="14"/>
        <v>0</v>
      </c>
      <c r="AD289" s="3056"/>
      <c r="AE289" s="3057">
        <f t="shared" si="0"/>
      </c>
      <c r="AF289" s="3054"/>
      <c r="AG289" s="3054"/>
      <c r="AH289" s="3055"/>
      <c r="AI289" s="3055"/>
      <c r="AJ289" s="3055"/>
      <c r="AK289" s="3055"/>
      <c r="AL289" s="3055"/>
      <c r="AM289" s="3055"/>
      <c r="AN289" s="3055"/>
      <c r="AO289" s="3055"/>
      <c r="AP289" s="3055"/>
      <c r="AQ289" s="3055"/>
      <c r="AR289" s="3055"/>
      <c r="AS289" s="3055"/>
      <c r="AT289" s="3055"/>
      <c r="AU289" s="3056"/>
      <c r="AV289" s="3057">
        <f t="shared" si="15"/>
      </c>
      <c r="AW289" s="3054"/>
      <c r="AX289" s="3054"/>
      <c r="AY289" s="3055"/>
      <c r="AZ289" s="3055"/>
      <c r="BA289" s="3055"/>
      <c r="BB289" s="3055"/>
      <c r="BC289" s="3055"/>
      <c r="BD289" s="3055"/>
      <c r="BE289" s="3055"/>
      <c r="BF289" s="3055"/>
      <c r="BG289" s="3055"/>
      <c r="BH289" s="3055"/>
      <c r="BI289" s="3055"/>
      <c r="BJ289" s="3055"/>
      <c r="BK289" s="3055"/>
      <c r="BL289" s="3056"/>
      <c r="BM289" s="3057">
        <f t="shared" si="16"/>
      </c>
      <c r="BN289" s="3054"/>
      <c r="BO289" s="3054"/>
      <c r="BP289" s="3055"/>
      <c r="BQ289" s="3055"/>
      <c r="BR289" s="3055"/>
      <c r="BS289" s="3055"/>
      <c r="BT289" s="3055"/>
      <c r="BU289" s="3055"/>
      <c r="BV289" s="3055"/>
      <c r="BW289" s="3055"/>
      <c r="BX289" s="3055"/>
      <c r="BY289" s="3055"/>
      <c r="BZ289" s="3055"/>
      <c r="CA289" s="3055"/>
      <c r="CB289" s="3055"/>
      <c r="CC289" s="3056"/>
      <c r="CD289" s="3057">
        <f t="shared" si="0"/>
      </c>
      <c r="CE289" s="3054"/>
      <c r="CF289" s="3054"/>
      <c r="CG289" s="3055"/>
      <c r="CH289" s="3055"/>
      <c r="CI289" s="3055"/>
      <c r="CJ289" s="3055"/>
      <c r="CK289" s="3055"/>
      <c r="CL289" s="3055"/>
      <c r="CM289" s="3055"/>
      <c r="CN289" s="3055"/>
      <c r="CO289" s="3055"/>
      <c r="CP289" s="3055"/>
      <c r="CQ289" s="3055"/>
      <c r="CR289" s="3055"/>
      <c r="CS289" s="3055"/>
      <c r="CU289" s="3054"/>
      <c r="CV289" s="696"/>
      <c r="CW289" s="696"/>
      <c r="CZ289" s="3060">
        <f t="shared" si="17"/>
      </c>
      <c r="DA289" s="3060">
        <f t="shared" si="1"/>
      </c>
      <c r="DB289" s="3060">
        <f t="shared" si="18"/>
      </c>
      <c r="DC289" s="3060">
        <f t="shared" si="19"/>
      </c>
      <c r="DD289" s="3060">
        <f t="shared" si="20"/>
      </c>
      <c r="DE289" s="3060">
        <f t="shared" si="21"/>
      </c>
      <c r="DF289" s="3060">
        <f t="shared" si="22"/>
      </c>
      <c r="DG289" s="3060">
        <f t="shared" si="23"/>
      </c>
      <c r="DH289" s="3060">
        <f t="shared" si="24"/>
      </c>
      <c r="DI289" s="3060">
        <f t="shared" si="1"/>
      </c>
    </row>
    <row r="290" ht="15" customHeight="1" s="3052" customFormat="1">
      <c r="A290" s="3065"/>
      <c r="B290" s="3054">
        <f t="shared" si="2"/>
      </c>
      <c r="C290" s="3054"/>
      <c r="D290" s="3054"/>
      <c r="E290" s="3055"/>
      <c r="F290" s="3055"/>
      <c r="G290" s="3055"/>
      <c r="H290" s="3055"/>
      <c r="I290" s="3055"/>
      <c r="J290" s="3055"/>
      <c r="K290" s="3055"/>
      <c r="L290" s="3055"/>
      <c r="M290" s="3055"/>
      <c r="N290" s="3055"/>
      <c r="O290" s="3055"/>
      <c r="P290" s="3055"/>
      <c r="Q290" s="3055"/>
      <c r="R290" s="3055">
        <f t="shared" si="3"/>
        <v>0</v>
      </c>
      <c r="S290" s="3055">
        <f t="shared" si="4"/>
        <v>0</v>
      </c>
      <c r="T290" s="3055">
        <f t="shared" si="5"/>
        <v>0</v>
      </c>
      <c r="U290" s="3055">
        <f t="shared" si="6"/>
        <v>0</v>
      </c>
      <c r="V290" s="3055">
        <f t="shared" si="7"/>
        <v>0</v>
      </c>
      <c r="W290" s="3055">
        <f t="shared" si="8"/>
        <v>0</v>
      </c>
      <c r="X290" s="3055">
        <f t="shared" si="9"/>
        <v>0</v>
      </c>
      <c r="Y290" s="3055">
        <f t="shared" si="10"/>
        <v>0</v>
      </c>
      <c r="Z290" s="3055">
        <f t="shared" si="11"/>
        <v>0</v>
      </c>
      <c r="AA290" s="3055">
        <f t="shared" si="12"/>
        <v>0</v>
      </c>
      <c r="AB290" s="3055">
        <f t="shared" si="13"/>
        <v>0</v>
      </c>
      <c r="AC290" s="3055">
        <f t="shared" si="14"/>
        <v>0</v>
      </c>
      <c r="AD290" s="3056"/>
      <c r="AE290" s="3057">
        <f t="shared" si="0"/>
      </c>
      <c r="AF290" s="3054"/>
      <c r="AG290" s="3054"/>
      <c r="AH290" s="3055"/>
      <c r="AI290" s="3055"/>
      <c r="AJ290" s="3055"/>
      <c r="AK290" s="3055"/>
      <c r="AL290" s="3055"/>
      <c r="AM290" s="3055"/>
      <c r="AN290" s="3055"/>
      <c r="AO290" s="3055"/>
      <c r="AP290" s="3055"/>
      <c r="AQ290" s="3055"/>
      <c r="AR290" s="3055"/>
      <c r="AS290" s="3055"/>
      <c r="AT290" s="3055"/>
      <c r="AU290" s="3056"/>
      <c r="AV290" s="3057">
        <f t="shared" si="15"/>
      </c>
      <c r="AW290" s="3054"/>
      <c r="AX290" s="3054"/>
      <c r="AY290" s="3055"/>
      <c r="AZ290" s="3055"/>
      <c r="BA290" s="3055"/>
      <c r="BB290" s="3055"/>
      <c r="BC290" s="3055"/>
      <c r="BD290" s="3055"/>
      <c r="BE290" s="3055"/>
      <c r="BF290" s="3055"/>
      <c r="BG290" s="3055"/>
      <c r="BH290" s="3055"/>
      <c r="BI290" s="3055"/>
      <c r="BJ290" s="3055"/>
      <c r="BK290" s="3055"/>
      <c r="BL290" s="3056"/>
      <c r="BM290" s="3057">
        <f t="shared" si="16"/>
      </c>
      <c r="BN290" s="3054"/>
      <c r="BO290" s="3054"/>
      <c r="BP290" s="3055"/>
      <c r="BQ290" s="3055"/>
      <c r="BR290" s="3055"/>
      <c r="BS290" s="3055"/>
      <c r="BT290" s="3055"/>
      <c r="BU290" s="3055"/>
      <c r="BV290" s="3055"/>
      <c r="BW290" s="3055"/>
      <c r="BX290" s="3055"/>
      <c r="BY290" s="3055"/>
      <c r="BZ290" s="3055"/>
      <c r="CA290" s="3055"/>
      <c r="CB290" s="3055"/>
      <c r="CC290" s="3056"/>
      <c r="CD290" s="3057">
        <f t="shared" si="0"/>
      </c>
      <c r="CE290" s="3054"/>
      <c r="CF290" s="3054"/>
      <c r="CG290" s="3055"/>
      <c r="CH290" s="3055"/>
      <c r="CI290" s="3055"/>
      <c r="CJ290" s="3055"/>
      <c r="CK290" s="3055"/>
      <c r="CL290" s="3055"/>
      <c r="CM290" s="3055"/>
      <c r="CN290" s="3055"/>
      <c r="CO290" s="3055"/>
      <c r="CP290" s="3055"/>
      <c r="CQ290" s="3055"/>
      <c r="CR290" s="3055"/>
      <c r="CS290" s="3055"/>
      <c r="CU290" s="3054"/>
      <c r="CV290" s="696"/>
      <c r="CW290" s="696"/>
      <c r="CZ290" s="3060">
        <f t="shared" si="17"/>
      </c>
      <c r="DA290" s="3060">
        <f t="shared" si="1"/>
      </c>
      <c r="DB290" s="3060">
        <f t="shared" si="18"/>
      </c>
      <c r="DC290" s="3060">
        <f t="shared" si="19"/>
      </c>
      <c r="DD290" s="3060">
        <f t="shared" si="20"/>
      </c>
      <c r="DE290" s="3060">
        <f t="shared" si="21"/>
      </c>
      <c r="DF290" s="3060">
        <f t="shared" si="22"/>
      </c>
      <c r="DG290" s="3060">
        <f t="shared" si="23"/>
      </c>
      <c r="DH290" s="3060">
        <f t="shared" si="24"/>
      </c>
      <c r="DI290" s="3060">
        <f t="shared" si="1"/>
      </c>
    </row>
    <row r="291" ht="15" customHeight="1" s="3052" customFormat="1">
      <c r="A291" s="3065"/>
      <c r="B291" s="3054">
        <f t="shared" si="2"/>
      </c>
      <c r="C291" s="3054"/>
      <c r="D291" s="3054"/>
      <c r="E291" s="3055"/>
      <c r="F291" s="3055"/>
      <c r="G291" s="3055"/>
      <c r="H291" s="3055"/>
      <c r="I291" s="3055"/>
      <c r="J291" s="3055"/>
      <c r="K291" s="3055"/>
      <c r="L291" s="3055"/>
      <c r="M291" s="3055"/>
      <c r="N291" s="3055"/>
      <c r="O291" s="3055"/>
      <c r="P291" s="3055"/>
      <c r="Q291" s="3055"/>
      <c r="R291" s="3055">
        <f t="shared" si="3"/>
        <v>0</v>
      </c>
      <c r="S291" s="3055">
        <f t="shared" si="4"/>
        <v>0</v>
      </c>
      <c r="T291" s="3055">
        <f t="shared" si="5"/>
        <v>0</v>
      </c>
      <c r="U291" s="3055">
        <f t="shared" si="6"/>
        <v>0</v>
      </c>
      <c r="V291" s="3055">
        <f t="shared" si="7"/>
        <v>0</v>
      </c>
      <c r="W291" s="3055">
        <f t="shared" si="8"/>
        <v>0</v>
      </c>
      <c r="X291" s="3055">
        <f t="shared" si="9"/>
        <v>0</v>
      </c>
      <c r="Y291" s="3055">
        <f t="shared" si="10"/>
        <v>0</v>
      </c>
      <c r="Z291" s="3055">
        <f t="shared" si="11"/>
        <v>0</v>
      </c>
      <c r="AA291" s="3055">
        <f t="shared" si="12"/>
        <v>0</v>
      </c>
      <c r="AB291" s="3055">
        <f t="shared" si="13"/>
        <v>0</v>
      </c>
      <c r="AC291" s="3055">
        <f t="shared" si="14"/>
        <v>0</v>
      </c>
      <c r="AD291" s="3056"/>
      <c r="AE291" s="3057">
        <f t="shared" si="0"/>
      </c>
      <c r="AF291" s="3054"/>
      <c r="AG291" s="3054"/>
      <c r="AH291" s="3055"/>
      <c r="AI291" s="3055"/>
      <c r="AJ291" s="3055"/>
      <c r="AK291" s="3055"/>
      <c r="AL291" s="3055"/>
      <c r="AM291" s="3055"/>
      <c r="AN291" s="3055"/>
      <c r="AO291" s="3055"/>
      <c r="AP291" s="3055"/>
      <c r="AQ291" s="3055"/>
      <c r="AR291" s="3055"/>
      <c r="AS291" s="3055"/>
      <c r="AT291" s="3055"/>
      <c r="AU291" s="3056"/>
      <c r="AV291" s="3057">
        <f t="shared" si="15"/>
      </c>
      <c r="AW291" s="3054"/>
      <c r="AX291" s="3054"/>
      <c r="AY291" s="3055"/>
      <c r="AZ291" s="3055"/>
      <c r="BA291" s="3055"/>
      <c r="BB291" s="3055"/>
      <c r="BC291" s="3055"/>
      <c r="BD291" s="3055"/>
      <c r="BE291" s="3055"/>
      <c r="BF291" s="3055"/>
      <c r="BG291" s="3055"/>
      <c r="BH291" s="3055"/>
      <c r="BI291" s="3055"/>
      <c r="BJ291" s="3055"/>
      <c r="BK291" s="3055"/>
      <c r="BL291" s="3056"/>
      <c r="BM291" s="3057">
        <f t="shared" si="16"/>
      </c>
      <c r="BN291" s="3054"/>
      <c r="BO291" s="3054"/>
      <c r="BP291" s="3055"/>
      <c r="BQ291" s="3055"/>
      <c r="BR291" s="3055"/>
      <c r="BS291" s="3055"/>
      <c r="BT291" s="3055"/>
      <c r="BU291" s="3055"/>
      <c r="BV291" s="3055"/>
      <c r="BW291" s="3055"/>
      <c r="BX291" s="3055"/>
      <c r="BY291" s="3055"/>
      <c r="BZ291" s="3055"/>
      <c r="CA291" s="3055"/>
      <c r="CB291" s="3055"/>
      <c r="CC291" s="3056"/>
      <c r="CD291" s="3057">
        <f t="shared" si="0"/>
      </c>
      <c r="CE291" s="3054"/>
      <c r="CF291" s="3054"/>
      <c r="CG291" s="3055"/>
      <c r="CH291" s="3055"/>
      <c r="CI291" s="3055"/>
      <c r="CJ291" s="3055"/>
      <c r="CK291" s="3055"/>
      <c r="CL291" s="3055"/>
      <c r="CM291" s="3055"/>
      <c r="CN291" s="3055"/>
      <c r="CO291" s="3055"/>
      <c r="CP291" s="3055"/>
      <c r="CQ291" s="3055"/>
      <c r="CR291" s="3055"/>
      <c r="CS291" s="3055"/>
      <c r="CU291" s="3054"/>
      <c r="CV291" s="696"/>
      <c r="CW291" s="696"/>
      <c r="CZ291" s="3060">
        <f t="shared" si="17"/>
      </c>
      <c r="DA291" s="3060">
        <f t="shared" si="1"/>
      </c>
      <c r="DB291" s="3060">
        <f t="shared" si="18"/>
      </c>
      <c r="DC291" s="3060">
        <f t="shared" si="19"/>
      </c>
      <c r="DD291" s="3060">
        <f t="shared" si="20"/>
      </c>
      <c r="DE291" s="3060">
        <f t="shared" si="21"/>
      </c>
      <c r="DF291" s="3060">
        <f t="shared" si="22"/>
      </c>
      <c r="DG291" s="3060">
        <f t="shared" si="23"/>
      </c>
      <c r="DH291" s="3060">
        <f t="shared" si="24"/>
      </c>
      <c r="DI291" s="3060">
        <f t="shared" si="1"/>
      </c>
    </row>
    <row r="292" ht="15" customHeight="1" s="3052" customFormat="1">
      <c r="A292" s="3065"/>
      <c r="B292" s="3054">
        <f t="shared" si="2"/>
      </c>
      <c r="C292" s="3054"/>
      <c r="D292" s="3054"/>
      <c r="E292" s="3055"/>
      <c r="F292" s="3055"/>
      <c r="G292" s="3055"/>
      <c r="H292" s="3055"/>
      <c r="I292" s="3055"/>
      <c r="J292" s="3055"/>
      <c r="K292" s="3055"/>
      <c r="L292" s="3055"/>
      <c r="M292" s="3055"/>
      <c r="N292" s="3055"/>
      <c r="O292" s="3055"/>
      <c r="P292" s="3055"/>
      <c r="Q292" s="3055"/>
      <c r="R292" s="3055">
        <f t="shared" si="3"/>
        <v>0</v>
      </c>
      <c r="S292" s="3055">
        <f t="shared" si="4"/>
        <v>0</v>
      </c>
      <c r="T292" s="3055">
        <f t="shared" si="5"/>
        <v>0</v>
      </c>
      <c r="U292" s="3055">
        <f t="shared" si="6"/>
        <v>0</v>
      </c>
      <c r="V292" s="3055">
        <f t="shared" si="7"/>
        <v>0</v>
      </c>
      <c r="W292" s="3055">
        <f t="shared" si="8"/>
        <v>0</v>
      </c>
      <c r="X292" s="3055">
        <f t="shared" si="9"/>
        <v>0</v>
      </c>
      <c r="Y292" s="3055">
        <f t="shared" si="10"/>
        <v>0</v>
      </c>
      <c r="Z292" s="3055">
        <f t="shared" si="11"/>
        <v>0</v>
      </c>
      <c r="AA292" s="3055">
        <f t="shared" si="12"/>
        <v>0</v>
      </c>
      <c r="AB292" s="3055">
        <f t="shared" si="13"/>
        <v>0</v>
      </c>
      <c r="AC292" s="3055">
        <f t="shared" si="14"/>
        <v>0</v>
      </c>
      <c r="AD292" s="3056"/>
      <c r="AE292" s="3057">
        <f t="shared" si="0"/>
      </c>
      <c r="AF292" s="3054"/>
      <c r="AG292" s="3054"/>
      <c r="AH292" s="3055"/>
      <c r="AI292" s="3055"/>
      <c r="AJ292" s="3055"/>
      <c r="AK292" s="3055"/>
      <c r="AL292" s="3055"/>
      <c r="AM292" s="3055"/>
      <c r="AN292" s="3055"/>
      <c r="AO292" s="3055"/>
      <c r="AP292" s="3055"/>
      <c r="AQ292" s="3055"/>
      <c r="AR292" s="3055"/>
      <c r="AS292" s="3055"/>
      <c r="AT292" s="3055"/>
      <c r="AU292" s="3056"/>
      <c r="AV292" s="3057">
        <f t="shared" si="15"/>
      </c>
      <c r="AW292" s="3054"/>
      <c r="AX292" s="3054"/>
      <c r="AY292" s="3055"/>
      <c r="AZ292" s="3055"/>
      <c r="BA292" s="3055"/>
      <c r="BB292" s="3055"/>
      <c r="BC292" s="3055"/>
      <c r="BD292" s="3055"/>
      <c r="BE292" s="3055"/>
      <c r="BF292" s="3055"/>
      <c r="BG292" s="3055"/>
      <c r="BH292" s="3055"/>
      <c r="BI292" s="3055"/>
      <c r="BJ292" s="3055"/>
      <c r="BK292" s="3055"/>
      <c r="BL292" s="3056"/>
      <c r="BM292" s="3057">
        <f t="shared" si="16"/>
      </c>
      <c r="BN292" s="3054"/>
      <c r="BO292" s="3054"/>
      <c r="BP292" s="3055"/>
      <c r="BQ292" s="3055"/>
      <c r="BR292" s="3055"/>
      <c r="BS292" s="3055"/>
      <c r="BT292" s="3055"/>
      <c r="BU292" s="3055"/>
      <c r="BV292" s="3055"/>
      <c r="BW292" s="3055"/>
      <c r="BX292" s="3055"/>
      <c r="BY292" s="3055"/>
      <c r="BZ292" s="3055"/>
      <c r="CA292" s="3055"/>
      <c r="CB292" s="3055"/>
      <c r="CC292" s="3056"/>
      <c r="CD292" s="3057">
        <f t="shared" si="0"/>
      </c>
      <c r="CE292" s="3054"/>
      <c r="CF292" s="3054"/>
      <c r="CG292" s="3055"/>
      <c r="CH292" s="3055"/>
      <c r="CI292" s="3055"/>
      <c r="CJ292" s="3055"/>
      <c r="CK292" s="3055"/>
      <c r="CL292" s="3055"/>
      <c r="CM292" s="3055"/>
      <c r="CN292" s="3055"/>
      <c r="CO292" s="3055"/>
      <c r="CP292" s="3055"/>
      <c r="CQ292" s="3055"/>
      <c r="CR292" s="3055"/>
      <c r="CS292" s="3055"/>
      <c r="CU292" s="3054"/>
      <c r="CV292" s="696"/>
      <c r="CW292" s="696"/>
      <c r="CZ292" s="3060">
        <f t="shared" si="17"/>
      </c>
      <c r="DA292" s="3060">
        <f t="shared" si="1"/>
      </c>
      <c r="DB292" s="3060">
        <f t="shared" si="18"/>
      </c>
      <c r="DC292" s="3060">
        <f t="shared" si="19"/>
      </c>
      <c r="DD292" s="3060">
        <f t="shared" si="20"/>
      </c>
      <c r="DE292" s="3060">
        <f t="shared" si="21"/>
      </c>
      <c r="DF292" s="3060">
        <f t="shared" si="22"/>
      </c>
      <c r="DG292" s="3060">
        <f t="shared" si="23"/>
      </c>
      <c r="DH292" s="3060">
        <f t="shared" si="24"/>
      </c>
      <c r="DI292" s="3060">
        <f t="shared" si="1"/>
      </c>
    </row>
    <row r="293" ht="15" customHeight="1" s="3052" customFormat="1">
      <c r="A293" s="3065"/>
      <c r="B293" s="3054">
        <f t="shared" si="2"/>
      </c>
      <c r="C293" s="3054"/>
      <c r="D293" s="3054"/>
      <c r="E293" s="3055"/>
      <c r="F293" s="3055"/>
      <c r="G293" s="3055"/>
      <c r="H293" s="3055"/>
      <c r="I293" s="3055"/>
      <c r="J293" s="3055"/>
      <c r="K293" s="3055"/>
      <c r="L293" s="3055"/>
      <c r="M293" s="3055"/>
      <c r="N293" s="3055"/>
      <c r="O293" s="3055"/>
      <c r="P293" s="3055"/>
      <c r="Q293" s="3055"/>
      <c r="R293" s="3055">
        <f t="shared" si="3"/>
        <v>0</v>
      </c>
      <c r="S293" s="3055">
        <f t="shared" si="4"/>
        <v>0</v>
      </c>
      <c r="T293" s="3055">
        <f t="shared" si="5"/>
        <v>0</v>
      </c>
      <c r="U293" s="3055">
        <f t="shared" si="6"/>
        <v>0</v>
      </c>
      <c r="V293" s="3055">
        <f t="shared" si="7"/>
        <v>0</v>
      </c>
      <c r="W293" s="3055">
        <f t="shared" si="8"/>
        <v>0</v>
      </c>
      <c r="X293" s="3055">
        <f t="shared" si="9"/>
        <v>0</v>
      </c>
      <c r="Y293" s="3055">
        <f t="shared" si="10"/>
        <v>0</v>
      </c>
      <c r="Z293" s="3055">
        <f t="shared" si="11"/>
        <v>0</v>
      </c>
      <c r="AA293" s="3055">
        <f t="shared" si="12"/>
        <v>0</v>
      </c>
      <c r="AB293" s="3055">
        <f t="shared" si="13"/>
        <v>0</v>
      </c>
      <c r="AC293" s="3055">
        <f t="shared" si="14"/>
        <v>0</v>
      </c>
      <c r="AD293" s="3056"/>
      <c r="AE293" s="3057">
        <f t="shared" si="0"/>
      </c>
      <c r="AF293" s="3054"/>
      <c r="AG293" s="3054"/>
      <c r="AH293" s="3055"/>
      <c r="AI293" s="3055"/>
      <c r="AJ293" s="3055"/>
      <c r="AK293" s="3055"/>
      <c r="AL293" s="3055"/>
      <c r="AM293" s="3055"/>
      <c r="AN293" s="3055"/>
      <c r="AO293" s="3055"/>
      <c r="AP293" s="3055"/>
      <c r="AQ293" s="3055"/>
      <c r="AR293" s="3055"/>
      <c r="AS293" s="3055"/>
      <c r="AT293" s="3055"/>
      <c r="AU293" s="3056"/>
      <c r="AV293" s="3057">
        <f t="shared" si="15"/>
      </c>
      <c r="AW293" s="3054"/>
      <c r="AX293" s="3054"/>
      <c r="AY293" s="3055"/>
      <c r="AZ293" s="3055"/>
      <c r="BA293" s="3055"/>
      <c r="BB293" s="3055"/>
      <c r="BC293" s="3055"/>
      <c r="BD293" s="3055"/>
      <c r="BE293" s="3055"/>
      <c r="BF293" s="3055"/>
      <c r="BG293" s="3055"/>
      <c r="BH293" s="3055"/>
      <c r="BI293" s="3055"/>
      <c r="BJ293" s="3055"/>
      <c r="BK293" s="3055"/>
      <c r="BL293" s="3056"/>
      <c r="BM293" s="3057">
        <f t="shared" si="16"/>
      </c>
      <c r="BN293" s="3054"/>
      <c r="BO293" s="3054"/>
      <c r="BP293" s="3055"/>
      <c r="BQ293" s="3055"/>
      <c r="BR293" s="3055"/>
      <c r="BS293" s="3055"/>
      <c r="BT293" s="3055"/>
      <c r="BU293" s="3055"/>
      <c r="BV293" s="3055"/>
      <c r="BW293" s="3055"/>
      <c r="BX293" s="3055"/>
      <c r="BY293" s="3055"/>
      <c r="BZ293" s="3055"/>
      <c r="CA293" s="3055"/>
      <c r="CB293" s="3055"/>
      <c r="CC293" s="3056"/>
      <c r="CD293" s="3057">
        <f t="shared" si="0"/>
      </c>
      <c r="CE293" s="3054"/>
      <c r="CF293" s="3054"/>
      <c r="CG293" s="3055"/>
      <c r="CH293" s="3055"/>
      <c r="CI293" s="3055"/>
      <c r="CJ293" s="3055"/>
      <c r="CK293" s="3055"/>
      <c r="CL293" s="3055"/>
      <c r="CM293" s="3055"/>
      <c r="CN293" s="3055"/>
      <c r="CO293" s="3055"/>
      <c r="CP293" s="3055"/>
      <c r="CQ293" s="3055"/>
      <c r="CR293" s="3055"/>
      <c r="CS293" s="3055"/>
      <c r="CU293" s="3054"/>
      <c r="CV293" s="696"/>
      <c r="CW293" s="696"/>
      <c r="CZ293" s="3060">
        <f t="shared" si="17"/>
      </c>
      <c r="DA293" s="3060">
        <f t="shared" si="1"/>
      </c>
      <c r="DB293" s="3060">
        <f t="shared" si="18"/>
      </c>
      <c r="DC293" s="3060">
        <f t="shared" si="19"/>
      </c>
      <c r="DD293" s="3060">
        <f t="shared" si="20"/>
      </c>
      <c r="DE293" s="3060">
        <f t="shared" si="21"/>
      </c>
      <c r="DF293" s="3060">
        <f t="shared" si="22"/>
      </c>
      <c r="DG293" s="3060">
        <f t="shared" si="23"/>
      </c>
      <c r="DH293" s="3060">
        <f t="shared" si="24"/>
      </c>
      <c r="DI293" s="3060">
        <f t="shared" si="1"/>
      </c>
    </row>
    <row r="294" ht="15" customHeight="1" s="3052" customFormat="1">
      <c r="A294" s="3065"/>
      <c r="B294" s="3054">
        <f t="shared" si="2"/>
      </c>
      <c r="C294" s="3054"/>
      <c r="D294" s="3054"/>
      <c r="E294" s="3055"/>
      <c r="F294" s="3055"/>
      <c r="G294" s="3055"/>
      <c r="H294" s="3055"/>
      <c r="I294" s="3055"/>
      <c r="J294" s="3055"/>
      <c r="K294" s="3055"/>
      <c r="L294" s="3055"/>
      <c r="M294" s="3055"/>
      <c r="N294" s="3055"/>
      <c r="O294" s="3055"/>
      <c r="P294" s="3055"/>
      <c r="Q294" s="3055"/>
      <c r="R294" s="3055">
        <f t="shared" si="3"/>
        <v>0</v>
      </c>
      <c r="S294" s="3055">
        <f t="shared" si="4"/>
        <v>0</v>
      </c>
      <c r="T294" s="3055">
        <f t="shared" si="5"/>
        <v>0</v>
      </c>
      <c r="U294" s="3055">
        <f t="shared" si="6"/>
        <v>0</v>
      </c>
      <c r="V294" s="3055">
        <f t="shared" si="7"/>
        <v>0</v>
      </c>
      <c r="W294" s="3055">
        <f t="shared" si="8"/>
        <v>0</v>
      </c>
      <c r="X294" s="3055">
        <f t="shared" si="9"/>
        <v>0</v>
      </c>
      <c r="Y294" s="3055">
        <f t="shared" si="10"/>
        <v>0</v>
      </c>
      <c r="Z294" s="3055">
        <f t="shared" si="11"/>
        <v>0</v>
      </c>
      <c r="AA294" s="3055">
        <f t="shared" si="12"/>
        <v>0</v>
      </c>
      <c r="AB294" s="3055">
        <f t="shared" si="13"/>
        <v>0</v>
      </c>
      <c r="AC294" s="3055">
        <f t="shared" si="14"/>
        <v>0</v>
      </c>
      <c r="AD294" s="3056"/>
      <c r="AE294" s="3057">
        <f t="shared" si="0"/>
      </c>
      <c r="AF294" s="3054"/>
      <c r="AG294" s="3054"/>
      <c r="AH294" s="3055"/>
      <c r="AI294" s="3055"/>
      <c r="AJ294" s="3055"/>
      <c r="AK294" s="3055"/>
      <c r="AL294" s="3055"/>
      <c r="AM294" s="3055"/>
      <c r="AN294" s="3055"/>
      <c r="AO294" s="3055"/>
      <c r="AP294" s="3055"/>
      <c r="AQ294" s="3055"/>
      <c r="AR294" s="3055"/>
      <c r="AS294" s="3055"/>
      <c r="AT294" s="3055"/>
      <c r="AU294" s="3056"/>
      <c r="AV294" s="3057">
        <f t="shared" si="15"/>
      </c>
      <c r="AW294" s="3054"/>
      <c r="AX294" s="3054"/>
      <c r="AY294" s="3055"/>
      <c r="AZ294" s="3055"/>
      <c r="BA294" s="3055"/>
      <c r="BB294" s="3055"/>
      <c r="BC294" s="3055"/>
      <c r="BD294" s="3055"/>
      <c r="BE294" s="3055"/>
      <c r="BF294" s="3055"/>
      <c r="BG294" s="3055"/>
      <c r="BH294" s="3055"/>
      <c r="BI294" s="3055"/>
      <c r="BJ294" s="3055"/>
      <c r="BK294" s="3055"/>
      <c r="BL294" s="3056"/>
      <c r="BM294" s="3057">
        <f t="shared" si="16"/>
      </c>
      <c r="BN294" s="3054"/>
      <c r="BO294" s="3054"/>
      <c r="BP294" s="3055"/>
      <c r="BQ294" s="3055"/>
      <c r="BR294" s="3055"/>
      <c r="BS294" s="3055"/>
      <c r="BT294" s="3055"/>
      <c r="BU294" s="3055"/>
      <c r="BV294" s="3055"/>
      <c r="BW294" s="3055"/>
      <c r="BX294" s="3055"/>
      <c r="BY294" s="3055"/>
      <c r="BZ294" s="3055"/>
      <c r="CA294" s="3055"/>
      <c r="CB294" s="3055"/>
      <c r="CC294" s="3056"/>
      <c r="CD294" s="3057">
        <f t="shared" si="0"/>
      </c>
      <c r="CE294" s="3054"/>
      <c r="CF294" s="3054"/>
      <c r="CG294" s="3055"/>
      <c r="CH294" s="3055"/>
      <c r="CI294" s="3055"/>
      <c r="CJ294" s="3055"/>
      <c r="CK294" s="3055"/>
      <c r="CL294" s="3055"/>
      <c r="CM294" s="3055"/>
      <c r="CN294" s="3055"/>
      <c r="CO294" s="3055"/>
      <c r="CP294" s="3055"/>
      <c r="CQ294" s="3055"/>
      <c r="CR294" s="3055"/>
      <c r="CS294" s="3055"/>
      <c r="CU294" s="3054"/>
      <c r="CV294" s="696"/>
      <c r="CW294" s="696"/>
      <c r="CZ294" s="3060">
        <f t="shared" si="17"/>
      </c>
      <c r="DA294" s="3060">
        <f t="shared" si="1"/>
      </c>
      <c r="DB294" s="3060">
        <f t="shared" si="18"/>
      </c>
      <c r="DC294" s="3060">
        <f t="shared" si="19"/>
      </c>
      <c r="DD294" s="3060">
        <f t="shared" si="20"/>
      </c>
      <c r="DE294" s="3060">
        <f t="shared" si="21"/>
      </c>
      <c r="DF294" s="3060">
        <f t="shared" si="22"/>
      </c>
      <c r="DG294" s="3060">
        <f t="shared" si="23"/>
      </c>
      <c r="DH294" s="3060">
        <f t="shared" si="24"/>
      </c>
      <c r="DI294" s="3060">
        <f t="shared" si="1"/>
      </c>
    </row>
    <row r="295" ht="15" customHeight="1" s="3052" customFormat="1">
      <c r="A295" s="3065"/>
      <c r="B295" s="3054">
        <f t="shared" si="2"/>
      </c>
      <c r="C295" s="3054"/>
      <c r="D295" s="3054"/>
      <c r="E295" s="3055"/>
      <c r="F295" s="3055"/>
      <c r="G295" s="3055"/>
      <c r="H295" s="3055"/>
      <c r="I295" s="3055"/>
      <c r="J295" s="3055"/>
      <c r="K295" s="3055"/>
      <c r="L295" s="3055"/>
      <c r="M295" s="3055"/>
      <c r="N295" s="3055"/>
      <c r="O295" s="3055"/>
      <c r="P295" s="3055"/>
      <c r="Q295" s="3055"/>
      <c r="R295" s="3055">
        <f t="shared" si="3"/>
        <v>0</v>
      </c>
      <c r="S295" s="3055">
        <f t="shared" si="4"/>
        <v>0</v>
      </c>
      <c r="T295" s="3055">
        <f t="shared" si="5"/>
        <v>0</v>
      </c>
      <c r="U295" s="3055">
        <f t="shared" si="6"/>
        <v>0</v>
      </c>
      <c r="V295" s="3055">
        <f t="shared" si="7"/>
        <v>0</v>
      </c>
      <c r="W295" s="3055">
        <f t="shared" si="8"/>
        <v>0</v>
      </c>
      <c r="X295" s="3055">
        <f t="shared" si="9"/>
        <v>0</v>
      </c>
      <c r="Y295" s="3055">
        <f t="shared" si="10"/>
        <v>0</v>
      </c>
      <c r="Z295" s="3055">
        <f t="shared" si="11"/>
        <v>0</v>
      </c>
      <c r="AA295" s="3055">
        <f t="shared" si="12"/>
        <v>0</v>
      </c>
      <c r="AB295" s="3055">
        <f t="shared" si="13"/>
        <v>0</v>
      </c>
      <c r="AC295" s="3055">
        <f t="shared" si="14"/>
        <v>0</v>
      </c>
      <c r="AD295" s="3056"/>
      <c r="AE295" s="3057">
        <f t="shared" si="0"/>
      </c>
      <c r="AF295" s="3054"/>
      <c r="AG295" s="3054"/>
      <c r="AH295" s="3055"/>
      <c r="AI295" s="3055"/>
      <c r="AJ295" s="3055"/>
      <c r="AK295" s="3055"/>
      <c r="AL295" s="3055"/>
      <c r="AM295" s="3055"/>
      <c r="AN295" s="3055"/>
      <c r="AO295" s="3055"/>
      <c r="AP295" s="3055"/>
      <c r="AQ295" s="3055"/>
      <c r="AR295" s="3055"/>
      <c r="AS295" s="3055"/>
      <c r="AT295" s="3055"/>
      <c r="AU295" s="3056"/>
      <c r="AV295" s="3057">
        <f t="shared" si="15"/>
      </c>
      <c r="AW295" s="3054"/>
      <c r="AX295" s="3054"/>
      <c r="AY295" s="3055"/>
      <c r="AZ295" s="3055"/>
      <c r="BA295" s="3055"/>
      <c r="BB295" s="3055"/>
      <c r="BC295" s="3055"/>
      <c r="BD295" s="3055"/>
      <c r="BE295" s="3055"/>
      <c r="BF295" s="3055"/>
      <c r="BG295" s="3055"/>
      <c r="BH295" s="3055"/>
      <c r="BI295" s="3055"/>
      <c r="BJ295" s="3055"/>
      <c r="BK295" s="3055"/>
      <c r="BL295" s="3056"/>
      <c r="BM295" s="3057">
        <f t="shared" si="16"/>
      </c>
      <c r="BN295" s="3054"/>
      <c r="BO295" s="3054"/>
      <c r="BP295" s="3055"/>
      <c r="BQ295" s="3055"/>
      <c r="BR295" s="3055"/>
      <c r="BS295" s="3055"/>
      <c r="BT295" s="3055"/>
      <c r="BU295" s="3055"/>
      <c r="BV295" s="3055"/>
      <c r="BW295" s="3055"/>
      <c r="BX295" s="3055"/>
      <c r="BY295" s="3055"/>
      <c r="BZ295" s="3055"/>
      <c r="CA295" s="3055"/>
      <c r="CB295" s="3055"/>
      <c r="CC295" s="3056"/>
      <c r="CD295" s="3057">
        <f t="shared" si="0"/>
      </c>
      <c r="CE295" s="3054"/>
      <c r="CF295" s="3054"/>
      <c r="CG295" s="3055"/>
      <c r="CH295" s="3055"/>
      <c r="CI295" s="3055"/>
      <c r="CJ295" s="3055"/>
      <c r="CK295" s="3055"/>
      <c r="CL295" s="3055"/>
      <c r="CM295" s="3055"/>
      <c r="CN295" s="3055"/>
      <c r="CO295" s="3055"/>
      <c r="CP295" s="3055"/>
      <c r="CQ295" s="3055"/>
      <c r="CR295" s="3055"/>
      <c r="CS295" s="3055"/>
      <c r="CU295" s="3054"/>
      <c r="CV295" s="696"/>
      <c r="CW295" s="696"/>
      <c r="CZ295" s="3060">
        <f t="shared" si="17"/>
      </c>
      <c r="DA295" s="3060">
        <f t="shared" si="1"/>
      </c>
      <c r="DB295" s="3060">
        <f t="shared" si="18"/>
      </c>
      <c r="DC295" s="3060">
        <f t="shared" si="19"/>
      </c>
      <c r="DD295" s="3060">
        <f t="shared" si="20"/>
      </c>
      <c r="DE295" s="3060">
        <f t="shared" si="21"/>
      </c>
      <c r="DF295" s="3060">
        <f t="shared" si="22"/>
      </c>
      <c r="DG295" s="3060">
        <f t="shared" si="23"/>
      </c>
      <c r="DH295" s="3060">
        <f t="shared" si="24"/>
      </c>
      <c r="DI295" s="3060">
        <f t="shared" si="1"/>
      </c>
    </row>
    <row r="296" ht="15" customHeight="1" s="3052" customFormat="1">
      <c r="A296" s="3065"/>
      <c r="B296" s="3054">
        <f t="shared" si="2"/>
      </c>
      <c r="C296" s="3054"/>
      <c r="D296" s="3054"/>
      <c r="E296" s="3055"/>
      <c r="F296" s="3055"/>
      <c r="G296" s="3055"/>
      <c r="H296" s="3055"/>
      <c r="I296" s="3055"/>
      <c r="J296" s="3055"/>
      <c r="K296" s="3055"/>
      <c r="L296" s="3055"/>
      <c r="M296" s="3055"/>
      <c r="N296" s="3055"/>
      <c r="O296" s="3055"/>
      <c r="P296" s="3055"/>
      <c r="Q296" s="3055"/>
      <c r="R296" s="3055">
        <f t="shared" si="3"/>
        <v>0</v>
      </c>
      <c r="S296" s="3055">
        <f t="shared" si="4"/>
        <v>0</v>
      </c>
      <c r="T296" s="3055">
        <f t="shared" si="5"/>
        <v>0</v>
      </c>
      <c r="U296" s="3055">
        <f t="shared" si="6"/>
        <v>0</v>
      </c>
      <c r="V296" s="3055">
        <f t="shared" si="7"/>
        <v>0</v>
      </c>
      <c r="W296" s="3055">
        <f t="shared" si="8"/>
        <v>0</v>
      </c>
      <c r="X296" s="3055">
        <f t="shared" si="9"/>
        <v>0</v>
      </c>
      <c r="Y296" s="3055">
        <f t="shared" si="10"/>
        <v>0</v>
      </c>
      <c r="Z296" s="3055">
        <f t="shared" si="11"/>
        <v>0</v>
      </c>
      <c r="AA296" s="3055">
        <f t="shared" si="12"/>
        <v>0</v>
      </c>
      <c r="AB296" s="3055">
        <f t="shared" si="13"/>
        <v>0</v>
      </c>
      <c r="AC296" s="3055">
        <f t="shared" si="14"/>
        <v>0</v>
      </c>
      <c r="AD296" s="3056"/>
      <c r="AE296" s="3057">
        <f t="shared" si="0"/>
      </c>
      <c r="AF296" s="3054"/>
      <c r="AG296" s="3054"/>
      <c r="AH296" s="3055"/>
      <c r="AI296" s="3055"/>
      <c r="AJ296" s="3055"/>
      <c r="AK296" s="3055"/>
      <c r="AL296" s="3055"/>
      <c r="AM296" s="3055"/>
      <c r="AN296" s="3055"/>
      <c r="AO296" s="3055"/>
      <c r="AP296" s="3055"/>
      <c r="AQ296" s="3055"/>
      <c r="AR296" s="3055"/>
      <c r="AS296" s="3055"/>
      <c r="AT296" s="3055"/>
      <c r="AU296" s="3056"/>
      <c r="AV296" s="3057">
        <f t="shared" si="15"/>
      </c>
      <c r="AW296" s="3054"/>
      <c r="AX296" s="3054"/>
      <c r="AY296" s="3055"/>
      <c r="AZ296" s="3055"/>
      <c r="BA296" s="3055"/>
      <c r="BB296" s="3055"/>
      <c r="BC296" s="3055"/>
      <c r="BD296" s="3055"/>
      <c r="BE296" s="3055"/>
      <c r="BF296" s="3055"/>
      <c r="BG296" s="3055"/>
      <c r="BH296" s="3055"/>
      <c r="BI296" s="3055"/>
      <c r="BJ296" s="3055"/>
      <c r="BK296" s="3055"/>
      <c r="BL296" s="3056"/>
      <c r="BM296" s="3057">
        <f t="shared" si="16"/>
      </c>
      <c r="BN296" s="3054"/>
      <c r="BO296" s="3054"/>
      <c r="BP296" s="3055"/>
      <c r="BQ296" s="3055"/>
      <c r="BR296" s="3055"/>
      <c r="BS296" s="3055"/>
      <c r="BT296" s="3055"/>
      <c r="BU296" s="3055"/>
      <c r="BV296" s="3055"/>
      <c r="BW296" s="3055"/>
      <c r="BX296" s="3055"/>
      <c r="BY296" s="3055"/>
      <c r="BZ296" s="3055"/>
      <c r="CA296" s="3055"/>
      <c r="CB296" s="3055"/>
      <c r="CC296" s="3056"/>
      <c r="CD296" s="3057">
        <f t="shared" si="0"/>
      </c>
      <c r="CE296" s="3054"/>
      <c r="CF296" s="3054"/>
      <c r="CG296" s="3055"/>
      <c r="CH296" s="3055"/>
      <c r="CI296" s="3055"/>
      <c r="CJ296" s="3055"/>
      <c r="CK296" s="3055"/>
      <c r="CL296" s="3055"/>
      <c r="CM296" s="3055"/>
      <c r="CN296" s="3055"/>
      <c r="CO296" s="3055"/>
      <c r="CP296" s="3055"/>
      <c r="CQ296" s="3055"/>
      <c r="CR296" s="3055"/>
      <c r="CS296" s="3055"/>
      <c r="CU296" s="3054"/>
      <c r="CV296" s="696"/>
      <c r="CW296" s="696"/>
      <c r="CZ296" s="3060">
        <f t="shared" si="17"/>
      </c>
      <c r="DA296" s="3060">
        <f t="shared" si="1"/>
      </c>
      <c r="DB296" s="3060">
        <f t="shared" si="18"/>
      </c>
      <c r="DC296" s="3060">
        <f t="shared" si="19"/>
      </c>
      <c r="DD296" s="3060">
        <f t="shared" si="20"/>
      </c>
      <c r="DE296" s="3060">
        <f t="shared" si="21"/>
      </c>
      <c r="DF296" s="3060">
        <f t="shared" si="22"/>
      </c>
      <c r="DG296" s="3060">
        <f t="shared" si="23"/>
      </c>
      <c r="DH296" s="3060">
        <f t="shared" si="24"/>
      </c>
      <c r="DI296" s="3060">
        <f t="shared" si="1"/>
      </c>
    </row>
    <row r="297" ht="15" customHeight="1" s="3052" customFormat="1">
      <c r="A297" s="3065"/>
      <c r="B297" s="3054">
        <f t="shared" si="2"/>
      </c>
      <c r="C297" s="3054"/>
      <c r="D297" s="3054"/>
      <c r="E297" s="3055"/>
      <c r="F297" s="3055"/>
      <c r="G297" s="3055"/>
      <c r="H297" s="3055"/>
      <c r="I297" s="3055"/>
      <c r="J297" s="3055"/>
      <c r="K297" s="3055"/>
      <c r="L297" s="3055"/>
      <c r="M297" s="3055"/>
      <c r="N297" s="3055"/>
      <c r="O297" s="3055"/>
      <c r="P297" s="3055"/>
      <c r="Q297" s="3055"/>
      <c r="R297" s="3055">
        <f t="shared" si="3"/>
        <v>0</v>
      </c>
      <c r="S297" s="3055">
        <f t="shared" si="4"/>
        <v>0</v>
      </c>
      <c r="T297" s="3055">
        <f t="shared" si="5"/>
        <v>0</v>
      </c>
      <c r="U297" s="3055">
        <f t="shared" si="6"/>
        <v>0</v>
      </c>
      <c r="V297" s="3055">
        <f t="shared" si="7"/>
        <v>0</v>
      </c>
      <c r="W297" s="3055">
        <f t="shared" si="8"/>
        <v>0</v>
      </c>
      <c r="X297" s="3055">
        <f t="shared" si="9"/>
        <v>0</v>
      </c>
      <c r="Y297" s="3055">
        <f t="shared" si="10"/>
        <v>0</v>
      </c>
      <c r="Z297" s="3055">
        <f t="shared" si="11"/>
        <v>0</v>
      </c>
      <c r="AA297" s="3055">
        <f t="shared" si="12"/>
        <v>0</v>
      </c>
      <c r="AB297" s="3055">
        <f t="shared" si="13"/>
        <v>0</v>
      </c>
      <c r="AC297" s="3055">
        <f t="shared" si="14"/>
        <v>0</v>
      </c>
      <c r="AD297" s="3056"/>
      <c r="AE297" s="3057">
        <f t="shared" si="0"/>
      </c>
      <c r="AF297" s="3054"/>
      <c r="AG297" s="3054"/>
      <c r="AH297" s="3055"/>
      <c r="AI297" s="3055"/>
      <c r="AJ297" s="3055"/>
      <c r="AK297" s="3055"/>
      <c r="AL297" s="3055"/>
      <c r="AM297" s="3055"/>
      <c r="AN297" s="3055"/>
      <c r="AO297" s="3055"/>
      <c r="AP297" s="3055"/>
      <c r="AQ297" s="3055"/>
      <c r="AR297" s="3055"/>
      <c r="AS297" s="3055"/>
      <c r="AT297" s="3055"/>
      <c r="AU297" s="3056"/>
      <c r="AV297" s="3057">
        <f t="shared" si="15"/>
      </c>
      <c r="AW297" s="3054"/>
      <c r="AX297" s="3054"/>
      <c r="AY297" s="3055"/>
      <c r="AZ297" s="3055"/>
      <c r="BA297" s="3055"/>
      <c r="BB297" s="3055"/>
      <c r="BC297" s="3055"/>
      <c r="BD297" s="3055"/>
      <c r="BE297" s="3055"/>
      <c r="BF297" s="3055"/>
      <c r="BG297" s="3055"/>
      <c r="BH297" s="3055"/>
      <c r="BI297" s="3055"/>
      <c r="BJ297" s="3055"/>
      <c r="BK297" s="3055"/>
      <c r="BL297" s="3056"/>
      <c r="BM297" s="3057">
        <f t="shared" si="16"/>
      </c>
      <c r="BN297" s="3054"/>
      <c r="BO297" s="3054"/>
      <c r="BP297" s="3055"/>
      <c r="BQ297" s="3055"/>
      <c r="BR297" s="3055"/>
      <c r="BS297" s="3055"/>
      <c r="BT297" s="3055"/>
      <c r="BU297" s="3055"/>
      <c r="BV297" s="3055"/>
      <c r="BW297" s="3055"/>
      <c r="BX297" s="3055"/>
      <c r="BY297" s="3055"/>
      <c r="BZ297" s="3055"/>
      <c r="CA297" s="3055"/>
      <c r="CB297" s="3055"/>
      <c r="CC297" s="3056"/>
      <c r="CD297" s="3057">
        <f t="shared" si="0"/>
      </c>
      <c r="CE297" s="3054"/>
      <c r="CF297" s="3054"/>
      <c r="CG297" s="3055"/>
      <c r="CH297" s="3055"/>
      <c r="CI297" s="3055"/>
      <c r="CJ297" s="3055"/>
      <c r="CK297" s="3055"/>
      <c r="CL297" s="3055"/>
      <c r="CM297" s="3055"/>
      <c r="CN297" s="3055"/>
      <c r="CO297" s="3055"/>
      <c r="CP297" s="3055"/>
      <c r="CQ297" s="3055"/>
      <c r="CR297" s="3055"/>
      <c r="CS297" s="3055"/>
      <c r="CU297" s="3054"/>
      <c r="CV297" s="696"/>
      <c r="CW297" s="696"/>
      <c r="CZ297" s="3060">
        <f t="shared" si="17"/>
      </c>
      <c r="DA297" s="3060">
        <f t="shared" si="1"/>
      </c>
      <c r="DB297" s="3060">
        <f t="shared" si="18"/>
      </c>
      <c r="DC297" s="3060">
        <f t="shared" si="19"/>
      </c>
      <c r="DD297" s="3060">
        <f t="shared" si="20"/>
      </c>
      <c r="DE297" s="3060">
        <f t="shared" si="21"/>
      </c>
      <c r="DF297" s="3060">
        <f t="shared" si="22"/>
      </c>
      <c r="DG297" s="3060">
        <f t="shared" si="23"/>
      </c>
      <c r="DH297" s="3060">
        <f t="shared" si="24"/>
      </c>
      <c r="DI297" s="3060">
        <f t="shared" si="1"/>
      </c>
    </row>
    <row r="298" ht="15" customHeight="1" s="3052" customFormat="1">
      <c r="A298" s="3065"/>
      <c r="B298" s="3054">
        <f t="shared" si="2"/>
      </c>
      <c r="C298" s="3054"/>
      <c r="D298" s="3054"/>
      <c r="E298" s="3055"/>
      <c r="F298" s="3055"/>
      <c r="G298" s="3055"/>
      <c r="H298" s="3055"/>
      <c r="I298" s="3055"/>
      <c r="J298" s="3055"/>
      <c r="K298" s="3055"/>
      <c r="L298" s="3055"/>
      <c r="M298" s="3055"/>
      <c r="N298" s="3055"/>
      <c r="O298" s="3055"/>
      <c r="P298" s="3055"/>
      <c r="Q298" s="3055"/>
      <c r="R298" s="3055">
        <f t="shared" si="3"/>
        <v>0</v>
      </c>
      <c r="S298" s="3055">
        <f t="shared" si="4"/>
        <v>0</v>
      </c>
      <c r="T298" s="3055">
        <f t="shared" si="5"/>
        <v>0</v>
      </c>
      <c r="U298" s="3055">
        <f t="shared" si="6"/>
        <v>0</v>
      </c>
      <c r="V298" s="3055">
        <f t="shared" si="7"/>
        <v>0</v>
      </c>
      <c r="W298" s="3055">
        <f t="shared" si="8"/>
        <v>0</v>
      </c>
      <c r="X298" s="3055">
        <f t="shared" si="9"/>
        <v>0</v>
      </c>
      <c r="Y298" s="3055">
        <f t="shared" si="10"/>
        <v>0</v>
      </c>
      <c r="Z298" s="3055">
        <f t="shared" si="11"/>
        <v>0</v>
      </c>
      <c r="AA298" s="3055">
        <f t="shared" si="12"/>
        <v>0</v>
      </c>
      <c r="AB298" s="3055">
        <f t="shared" si="13"/>
        <v>0</v>
      </c>
      <c r="AC298" s="3055">
        <f t="shared" si="14"/>
        <v>0</v>
      </c>
      <c r="AD298" s="3056"/>
      <c r="AE298" s="3057">
        <f t="shared" si="0"/>
      </c>
      <c r="AF298" s="3054"/>
      <c r="AG298" s="3054"/>
      <c r="AH298" s="3055"/>
      <c r="AI298" s="3055"/>
      <c r="AJ298" s="3055"/>
      <c r="AK298" s="3055"/>
      <c r="AL298" s="3055"/>
      <c r="AM298" s="3055"/>
      <c r="AN298" s="3055"/>
      <c r="AO298" s="3055"/>
      <c r="AP298" s="3055"/>
      <c r="AQ298" s="3055"/>
      <c r="AR298" s="3055"/>
      <c r="AS298" s="3055"/>
      <c r="AT298" s="3055"/>
      <c r="AU298" s="3056"/>
      <c r="AV298" s="3057">
        <f t="shared" si="15"/>
      </c>
      <c r="AW298" s="3054"/>
      <c r="AX298" s="3054"/>
      <c r="AY298" s="3055"/>
      <c r="AZ298" s="3055"/>
      <c r="BA298" s="3055"/>
      <c r="BB298" s="3055"/>
      <c r="BC298" s="3055"/>
      <c r="BD298" s="3055"/>
      <c r="BE298" s="3055"/>
      <c r="BF298" s="3055"/>
      <c r="BG298" s="3055"/>
      <c r="BH298" s="3055"/>
      <c r="BI298" s="3055"/>
      <c r="BJ298" s="3055"/>
      <c r="BK298" s="3055"/>
      <c r="BL298" s="3056"/>
      <c r="BM298" s="3057">
        <f t="shared" si="16"/>
      </c>
      <c r="BN298" s="3054"/>
      <c r="BO298" s="3054"/>
      <c r="BP298" s="3055"/>
      <c r="BQ298" s="3055"/>
      <c r="BR298" s="3055"/>
      <c r="BS298" s="3055"/>
      <c r="BT298" s="3055"/>
      <c r="BU298" s="3055"/>
      <c r="BV298" s="3055"/>
      <c r="BW298" s="3055"/>
      <c r="BX298" s="3055"/>
      <c r="BY298" s="3055"/>
      <c r="BZ298" s="3055"/>
      <c r="CA298" s="3055"/>
      <c r="CB298" s="3055"/>
      <c r="CC298" s="3056"/>
      <c r="CD298" s="3057">
        <f t="shared" si="0"/>
      </c>
      <c r="CE298" s="3054"/>
      <c r="CF298" s="3054"/>
      <c r="CG298" s="3055"/>
      <c r="CH298" s="3055"/>
      <c r="CI298" s="3055"/>
      <c r="CJ298" s="3055"/>
      <c r="CK298" s="3055"/>
      <c r="CL298" s="3055"/>
      <c r="CM298" s="3055"/>
      <c r="CN298" s="3055"/>
      <c r="CO298" s="3055"/>
      <c r="CP298" s="3055"/>
      <c r="CQ298" s="3055"/>
      <c r="CR298" s="3055"/>
      <c r="CS298" s="3055"/>
      <c r="CU298" s="3054"/>
      <c r="CV298" s="696"/>
      <c r="CW298" s="696"/>
      <c r="CZ298" s="3060">
        <f t="shared" si="17"/>
      </c>
      <c r="DA298" s="3060">
        <f t="shared" si="1"/>
      </c>
      <c r="DB298" s="3060">
        <f t="shared" si="18"/>
      </c>
      <c r="DC298" s="3060">
        <f t="shared" si="19"/>
      </c>
      <c r="DD298" s="3060">
        <f t="shared" si="20"/>
      </c>
      <c r="DE298" s="3060">
        <f t="shared" si="21"/>
      </c>
      <c r="DF298" s="3060">
        <f t="shared" si="22"/>
      </c>
      <c r="DG298" s="3060">
        <f t="shared" si="23"/>
      </c>
      <c r="DH298" s="3060">
        <f t="shared" si="24"/>
      </c>
      <c r="DI298" s="3060">
        <f t="shared" si="1"/>
      </c>
    </row>
    <row r="299" ht="15" customHeight="1" s="3052" customFormat="1">
      <c r="A299" s="3065"/>
      <c r="B299" s="3054">
        <f t="shared" si="2"/>
      </c>
      <c r="C299" s="3054"/>
      <c r="D299" s="3054"/>
      <c r="E299" s="3055"/>
      <c r="F299" s="3055"/>
      <c r="G299" s="3055"/>
      <c r="H299" s="3055"/>
      <c r="I299" s="3055"/>
      <c r="J299" s="3055"/>
      <c r="K299" s="3055"/>
      <c r="L299" s="3055"/>
      <c r="M299" s="3055"/>
      <c r="N299" s="3055"/>
      <c r="O299" s="3055"/>
      <c r="P299" s="3055"/>
      <c r="Q299" s="3055"/>
      <c r="R299" s="3055">
        <f t="shared" si="3"/>
        <v>0</v>
      </c>
      <c r="S299" s="3055">
        <f t="shared" si="4"/>
        <v>0</v>
      </c>
      <c r="T299" s="3055">
        <f t="shared" si="5"/>
        <v>0</v>
      </c>
      <c r="U299" s="3055">
        <f t="shared" si="6"/>
        <v>0</v>
      </c>
      <c r="V299" s="3055">
        <f t="shared" si="7"/>
        <v>0</v>
      </c>
      <c r="W299" s="3055">
        <f t="shared" si="8"/>
        <v>0</v>
      </c>
      <c r="X299" s="3055">
        <f t="shared" si="9"/>
        <v>0</v>
      </c>
      <c r="Y299" s="3055">
        <f t="shared" si="10"/>
        <v>0</v>
      </c>
      <c r="Z299" s="3055">
        <f t="shared" si="11"/>
        <v>0</v>
      </c>
      <c r="AA299" s="3055">
        <f t="shared" si="12"/>
        <v>0</v>
      </c>
      <c r="AB299" s="3055">
        <f t="shared" si="13"/>
        <v>0</v>
      </c>
      <c r="AC299" s="3055">
        <f t="shared" si="14"/>
        <v>0</v>
      </c>
      <c r="AD299" s="3056"/>
      <c r="AE299" s="3057">
        <f t="shared" si="0"/>
      </c>
      <c r="AF299" s="3054"/>
      <c r="AG299" s="3054"/>
      <c r="AH299" s="3055"/>
      <c r="AI299" s="3055"/>
      <c r="AJ299" s="3055"/>
      <c r="AK299" s="3055"/>
      <c r="AL299" s="3055"/>
      <c r="AM299" s="3055"/>
      <c r="AN299" s="3055"/>
      <c r="AO299" s="3055"/>
      <c r="AP299" s="3055"/>
      <c r="AQ299" s="3055"/>
      <c r="AR299" s="3055"/>
      <c r="AS299" s="3055"/>
      <c r="AT299" s="3055"/>
      <c r="AU299" s="3056"/>
      <c r="AV299" s="3057">
        <f t="shared" si="15"/>
      </c>
      <c r="AW299" s="3054"/>
      <c r="AX299" s="3054"/>
      <c r="AY299" s="3055"/>
      <c r="AZ299" s="3055"/>
      <c r="BA299" s="3055"/>
      <c r="BB299" s="3055"/>
      <c r="BC299" s="3055"/>
      <c r="BD299" s="3055"/>
      <c r="BE299" s="3055"/>
      <c r="BF299" s="3055"/>
      <c r="BG299" s="3055"/>
      <c r="BH299" s="3055"/>
      <c r="BI299" s="3055"/>
      <c r="BJ299" s="3055"/>
      <c r="BK299" s="3055"/>
      <c r="BL299" s="3056"/>
      <c r="BM299" s="3057">
        <f t="shared" si="16"/>
      </c>
      <c r="BN299" s="3054"/>
      <c r="BO299" s="3054"/>
      <c r="BP299" s="3055"/>
      <c r="BQ299" s="3055"/>
      <c r="BR299" s="3055"/>
      <c r="BS299" s="3055"/>
      <c r="BT299" s="3055"/>
      <c r="BU299" s="3055"/>
      <c r="BV299" s="3055"/>
      <c r="BW299" s="3055"/>
      <c r="BX299" s="3055"/>
      <c r="BY299" s="3055"/>
      <c r="BZ299" s="3055"/>
      <c r="CA299" s="3055"/>
      <c r="CB299" s="3055"/>
      <c r="CC299" s="3056"/>
      <c r="CD299" s="3057">
        <f t="shared" si="0"/>
      </c>
      <c r="CE299" s="3054"/>
      <c r="CF299" s="3054"/>
      <c r="CG299" s="3055"/>
      <c r="CH299" s="3055"/>
      <c r="CI299" s="3055"/>
      <c r="CJ299" s="3055"/>
      <c r="CK299" s="3055"/>
      <c r="CL299" s="3055"/>
      <c r="CM299" s="3055"/>
      <c r="CN299" s="3055"/>
      <c r="CO299" s="3055"/>
      <c r="CP299" s="3055"/>
      <c r="CQ299" s="3055"/>
      <c r="CR299" s="3055"/>
      <c r="CS299" s="3055"/>
      <c r="CU299" s="3054"/>
      <c r="CV299" s="696"/>
      <c r="CW299" s="696"/>
      <c r="CZ299" s="3060">
        <f t="shared" si="17"/>
      </c>
      <c r="DA299" s="3060">
        <f t="shared" si="1"/>
      </c>
      <c r="DB299" s="3060">
        <f t="shared" si="18"/>
      </c>
      <c r="DC299" s="3060">
        <f t="shared" si="19"/>
      </c>
      <c r="DD299" s="3060">
        <f t="shared" si="20"/>
      </c>
      <c r="DE299" s="3060">
        <f t="shared" si="21"/>
      </c>
      <c r="DF299" s="3060">
        <f t="shared" si="22"/>
      </c>
      <c r="DG299" s="3060">
        <f t="shared" si="23"/>
      </c>
      <c r="DH299" s="3060">
        <f t="shared" si="24"/>
      </c>
      <c r="DI299" s="3060">
        <f t="shared" si="1"/>
      </c>
    </row>
    <row r="300" ht="15" customHeight="1" s="3052" customFormat="1">
      <c r="A300" s="3065"/>
      <c r="B300" s="3054">
        <f t="shared" si="2"/>
      </c>
      <c r="C300" s="3054"/>
      <c r="D300" s="3054"/>
      <c r="E300" s="3055"/>
      <c r="F300" s="3055"/>
      <c r="G300" s="3055"/>
      <c r="H300" s="3055"/>
      <c r="I300" s="3055"/>
      <c r="J300" s="3055"/>
      <c r="K300" s="3055"/>
      <c r="L300" s="3055"/>
      <c r="M300" s="3055"/>
      <c r="N300" s="3055"/>
      <c r="O300" s="3055"/>
      <c r="P300" s="3055"/>
      <c r="Q300" s="3055"/>
      <c r="R300" s="3055">
        <f t="shared" si="3"/>
        <v>0</v>
      </c>
      <c r="S300" s="3055">
        <f t="shared" si="4"/>
        <v>0</v>
      </c>
      <c r="T300" s="3055">
        <f t="shared" si="5"/>
        <v>0</v>
      </c>
      <c r="U300" s="3055">
        <f t="shared" si="6"/>
        <v>0</v>
      </c>
      <c r="V300" s="3055">
        <f t="shared" si="7"/>
        <v>0</v>
      </c>
      <c r="W300" s="3055">
        <f t="shared" si="8"/>
        <v>0</v>
      </c>
      <c r="X300" s="3055">
        <f t="shared" si="9"/>
        <v>0</v>
      </c>
      <c r="Y300" s="3055">
        <f t="shared" si="10"/>
        <v>0</v>
      </c>
      <c r="Z300" s="3055">
        <f t="shared" si="11"/>
        <v>0</v>
      </c>
      <c r="AA300" s="3055">
        <f t="shared" si="12"/>
        <v>0</v>
      </c>
      <c r="AB300" s="3055">
        <f t="shared" si="13"/>
        <v>0</v>
      </c>
      <c r="AC300" s="3055">
        <f t="shared" si="14"/>
        <v>0</v>
      </c>
      <c r="AD300" s="3056"/>
      <c r="AE300" s="3057">
        <f t="shared" si="0"/>
      </c>
      <c r="AF300" s="3054"/>
      <c r="AG300" s="3054"/>
      <c r="AH300" s="3055"/>
      <c r="AI300" s="3055"/>
      <c r="AJ300" s="3055"/>
      <c r="AK300" s="3055"/>
      <c r="AL300" s="3055"/>
      <c r="AM300" s="3055"/>
      <c r="AN300" s="3055"/>
      <c r="AO300" s="3055"/>
      <c r="AP300" s="3055"/>
      <c r="AQ300" s="3055"/>
      <c r="AR300" s="3055"/>
      <c r="AS300" s="3055"/>
      <c r="AT300" s="3055"/>
      <c r="AU300" s="3056"/>
      <c r="AV300" s="3057">
        <f t="shared" si="15"/>
      </c>
      <c r="AW300" s="3054"/>
      <c r="AX300" s="3054"/>
      <c r="AY300" s="3055"/>
      <c r="AZ300" s="3055"/>
      <c r="BA300" s="3055"/>
      <c r="BB300" s="3055"/>
      <c r="BC300" s="3055"/>
      <c r="BD300" s="3055"/>
      <c r="BE300" s="3055"/>
      <c r="BF300" s="3055"/>
      <c r="BG300" s="3055"/>
      <c r="BH300" s="3055"/>
      <c r="BI300" s="3055"/>
      <c r="BJ300" s="3055"/>
      <c r="BK300" s="3055"/>
      <c r="BL300" s="3056"/>
      <c r="BM300" s="3057">
        <f t="shared" si="16"/>
      </c>
      <c r="BN300" s="3054"/>
      <c r="BO300" s="3054"/>
      <c r="BP300" s="3055"/>
      <c r="BQ300" s="3055"/>
      <c r="BR300" s="3055"/>
      <c r="BS300" s="3055"/>
      <c r="BT300" s="3055"/>
      <c r="BU300" s="3055"/>
      <c r="BV300" s="3055"/>
      <c r="BW300" s="3055"/>
      <c r="BX300" s="3055"/>
      <c r="BY300" s="3055"/>
      <c r="BZ300" s="3055"/>
      <c r="CA300" s="3055"/>
      <c r="CB300" s="3055"/>
      <c r="CC300" s="3056"/>
      <c r="CD300" s="3057">
        <f t="shared" si="0"/>
      </c>
      <c r="CE300" s="3054"/>
      <c r="CF300" s="3054"/>
      <c r="CG300" s="3055"/>
      <c r="CH300" s="3055"/>
      <c r="CI300" s="3055"/>
      <c r="CJ300" s="3055"/>
      <c r="CK300" s="3055"/>
      <c r="CL300" s="3055"/>
      <c r="CM300" s="3055"/>
      <c r="CN300" s="3055"/>
      <c r="CO300" s="3055"/>
      <c r="CP300" s="3055"/>
      <c r="CQ300" s="3055"/>
      <c r="CR300" s="3055"/>
      <c r="CS300" s="3055"/>
      <c r="CU300" s="3054"/>
      <c r="CV300" s="696"/>
      <c r="CW300" s="696"/>
      <c r="CZ300" s="3060">
        <f t="shared" si="17"/>
      </c>
      <c r="DA300" s="3060">
        <f t="shared" si="1"/>
      </c>
      <c r="DB300" s="3060">
        <f t="shared" si="18"/>
      </c>
      <c r="DC300" s="3060">
        <f t="shared" si="19"/>
      </c>
      <c r="DD300" s="3060">
        <f t="shared" si="20"/>
      </c>
      <c r="DE300" s="3060">
        <f t="shared" si="21"/>
      </c>
      <c r="DF300" s="3060">
        <f t="shared" si="22"/>
      </c>
      <c r="DG300" s="3060">
        <f t="shared" si="23"/>
      </c>
      <c r="DH300" s="3060">
        <f t="shared" si="24"/>
      </c>
      <c r="DI300" s="3060">
        <f t="shared" si="1"/>
      </c>
    </row>
    <row r="301" ht="15" customHeight="1" s="3052" customFormat="1">
      <c r="A301" s="3065"/>
      <c r="B301" s="3054">
        <f t="shared" si="2"/>
      </c>
      <c r="C301" s="3054"/>
      <c r="D301" s="3054"/>
      <c r="E301" s="3055"/>
      <c r="F301" s="3055"/>
      <c r="G301" s="3055"/>
      <c r="H301" s="3055"/>
      <c r="I301" s="3055"/>
      <c r="J301" s="3055"/>
      <c r="K301" s="3055"/>
      <c r="L301" s="3055"/>
      <c r="M301" s="3055"/>
      <c r="N301" s="3055"/>
      <c r="O301" s="3055"/>
      <c r="P301" s="3055"/>
      <c r="Q301" s="3055"/>
      <c r="R301" s="3055">
        <f t="shared" si="3"/>
        <v>0</v>
      </c>
      <c r="S301" s="3055">
        <f t="shared" si="4"/>
        <v>0</v>
      </c>
      <c r="T301" s="3055">
        <f t="shared" si="5"/>
        <v>0</v>
      </c>
      <c r="U301" s="3055">
        <f t="shared" si="6"/>
        <v>0</v>
      </c>
      <c r="V301" s="3055">
        <f t="shared" si="7"/>
        <v>0</v>
      </c>
      <c r="W301" s="3055">
        <f t="shared" si="8"/>
        <v>0</v>
      </c>
      <c r="X301" s="3055">
        <f t="shared" si="9"/>
        <v>0</v>
      </c>
      <c r="Y301" s="3055">
        <f t="shared" si="10"/>
        <v>0</v>
      </c>
      <c r="Z301" s="3055">
        <f t="shared" si="11"/>
        <v>0</v>
      </c>
      <c r="AA301" s="3055">
        <f t="shared" si="12"/>
        <v>0</v>
      </c>
      <c r="AB301" s="3055">
        <f t="shared" si="13"/>
        <v>0</v>
      </c>
      <c r="AC301" s="3055">
        <f t="shared" si="14"/>
        <v>0</v>
      </c>
      <c r="AD301" s="3056"/>
      <c r="AE301" s="3057">
        <f t="shared" si="0"/>
      </c>
      <c r="AF301" s="3054"/>
      <c r="AG301" s="3054"/>
      <c r="AH301" s="3055"/>
      <c r="AI301" s="3055"/>
      <c r="AJ301" s="3055"/>
      <c r="AK301" s="3055"/>
      <c r="AL301" s="3055"/>
      <c r="AM301" s="3055"/>
      <c r="AN301" s="3055"/>
      <c r="AO301" s="3055"/>
      <c r="AP301" s="3055"/>
      <c r="AQ301" s="3055"/>
      <c r="AR301" s="3055"/>
      <c r="AS301" s="3055"/>
      <c r="AT301" s="3055"/>
      <c r="AU301" s="3056"/>
      <c r="AV301" s="3057">
        <f t="shared" si="15"/>
      </c>
      <c r="AW301" s="3054"/>
      <c r="AX301" s="3054"/>
      <c r="AY301" s="3055"/>
      <c r="AZ301" s="3055"/>
      <c r="BA301" s="3055"/>
      <c r="BB301" s="3055"/>
      <c r="BC301" s="3055"/>
      <c r="BD301" s="3055"/>
      <c r="BE301" s="3055"/>
      <c r="BF301" s="3055"/>
      <c r="BG301" s="3055"/>
      <c r="BH301" s="3055"/>
      <c r="BI301" s="3055"/>
      <c r="BJ301" s="3055"/>
      <c r="BK301" s="3055"/>
      <c r="BL301" s="3056"/>
      <c r="BM301" s="3057">
        <f t="shared" si="16"/>
      </c>
      <c r="BN301" s="3054"/>
      <c r="BO301" s="3054"/>
      <c r="BP301" s="3055"/>
      <c r="BQ301" s="3055"/>
      <c r="BR301" s="3055"/>
      <c r="BS301" s="3055"/>
      <c r="BT301" s="3055"/>
      <c r="BU301" s="3055"/>
      <c r="BV301" s="3055"/>
      <c r="BW301" s="3055"/>
      <c r="BX301" s="3055"/>
      <c r="BY301" s="3055"/>
      <c r="BZ301" s="3055"/>
      <c r="CA301" s="3055"/>
      <c r="CB301" s="3055"/>
      <c r="CC301" s="3056"/>
      <c r="CD301" s="3057">
        <f t="shared" si="0"/>
      </c>
      <c r="CE301" s="3054"/>
      <c r="CF301" s="3054"/>
      <c r="CG301" s="3055"/>
      <c r="CH301" s="3055"/>
      <c r="CI301" s="3055"/>
      <c r="CJ301" s="3055"/>
      <c r="CK301" s="3055"/>
      <c r="CL301" s="3055"/>
      <c r="CM301" s="3055"/>
      <c r="CN301" s="3055"/>
      <c r="CO301" s="3055"/>
      <c r="CP301" s="3055"/>
      <c r="CQ301" s="3055"/>
      <c r="CR301" s="3055"/>
      <c r="CS301" s="3055"/>
      <c r="CU301" s="3054"/>
      <c r="CV301" s="696"/>
      <c r="CW301" s="696"/>
      <c r="CZ301" s="3060">
        <f t="shared" si="17"/>
      </c>
      <c r="DA301" s="3060">
        <f t="shared" si="1"/>
      </c>
      <c r="DB301" s="3060">
        <f t="shared" si="18"/>
      </c>
      <c r="DC301" s="3060">
        <f t="shared" si="19"/>
      </c>
      <c r="DD301" s="3060">
        <f t="shared" si="20"/>
      </c>
      <c r="DE301" s="3060">
        <f t="shared" si="21"/>
      </c>
      <c r="DF301" s="3060">
        <f t="shared" si="22"/>
      </c>
      <c r="DG301" s="3060">
        <f t="shared" si="23"/>
      </c>
      <c r="DH301" s="3060">
        <f t="shared" si="24"/>
      </c>
      <c r="DI301" s="3060">
        <f t="shared" si="1"/>
      </c>
    </row>
    <row r="302" ht="15" customHeight="1" s="3052" customFormat="1">
      <c r="A302" s="3065"/>
      <c r="B302" s="3054">
        <f t="shared" si="2"/>
      </c>
      <c r="C302" s="3054"/>
      <c r="D302" s="3054"/>
      <c r="E302" s="3055"/>
      <c r="F302" s="3055"/>
      <c r="G302" s="3055"/>
      <c r="H302" s="3055"/>
      <c r="I302" s="3055"/>
      <c r="J302" s="3055"/>
      <c r="K302" s="3055"/>
      <c r="L302" s="3055"/>
      <c r="M302" s="3055"/>
      <c r="N302" s="3055"/>
      <c r="O302" s="3055"/>
      <c r="P302" s="3055"/>
      <c r="Q302" s="3055"/>
      <c r="R302" s="3055">
        <f t="shared" si="3"/>
        <v>0</v>
      </c>
      <c r="S302" s="3055">
        <f t="shared" si="4"/>
        <v>0</v>
      </c>
      <c r="T302" s="3055">
        <f t="shared" si="5"/>
        <v>0</v>
      </c>
      <c r="U302" s="3055">
        <f t="shared" si="6"/>
        <v>0</v>
      </c>
      <c r="V302" s="3055">
        <f t="shared" si="7"/>
        <v>0</v>
      </c>
      <c r="W302" s="3055">
        <f t="shared" si="8"/>
        <v>0</v>
      </c>
      <c r="X302" s="3055">
        <f t="shared" si="9"/>
        <v>0</v>
      </c>
      <c r="Y302" s="3055">
        <f t="shared" si="10"/>
        <v>0</v>
      </c>
      <c r="Z302" s="3055">
        <f t="shared" si="11"/>
        <v>0</v>
      </c>
      <c r="AA302" s="3055">
        <f t="shared" si="12"/>
        <v>0</v>
      </c>
      <c r="AB302" s="3055">
        <f t="shared" si="13"/>
        <v>0</v>
      </c>
      <c r="AC302" s="3055">
        <f t="shared" si="14"/>
        <v>0</v>
      </c>
      <c r="AD302" s="3056"/>
      <c r="AE302" s="3057">
        <f t="shared" si="0"/>
      </c>
      <c r="AF302" s="3054"/>
      <c r="AG302" s="3054"/>
      <c r="AH302" s="3055"/>
      <c r="AI302" s="3055"/>
      <c r="AJ302" s="3055"/>
      <c r="AK302" s="3055"/>
      <c r="AL302" s="3055"/>
      <c r="AM302" s="3055"/>
      <c r="AN302" s="3055"/>
      <c r="AO302" s="3055"/>
      <c r="AP302" s="3055"/>
      <c r="AQ302" s="3055"/>
      <c r="AR302" s="3055"/>
      <c r="AS302" s="3055"/>
      <c r="AT302" s="3055"/>
      <c r="AU302" s="3056"/>
      <c r="AV302" s="3057">
        <f t="shared" si="15"/>
      </c>
      <c r="AW302" s="3054"/>
      <c r="AX302" s="3054"/>
      <c r="AY302" s="3055"/>
      <c r="AZ302" s="3055"/>
      <c r="BA302" s="3055"/>
      <c r="BB302" s="3055"/>
      <c r="BC302" s="3055"/>
      <c r="BD302" s="3055"/>
      <c r="BE302" s="3055"/>
      <c r="BF302" s="3055"/>
      <c r="BG302" s="3055"/>
      <c r="BH302" s="3055"/>
      <c r="BI302" s="3055"/>
      <c r="BJ302" s="3055"/>
      <c r="BK302" s="3055"/>
      <c r="BL302" s="3056"/>
      <c r="BM302" s="3057">
        <f t="shared" si="16"/>
      </c>
      <c r="BN302" s="3054"/>
      <c r="BO302" s="3054"/>
      <c r="BP302" s="3055"/>
      <c r="BQ302" s="3055"/>
      <c r="BR302" s="3055"/>
      <c r="BS302" s="3055"/>
      <c r="BT302" s="3055"/>
      <c r="BU302" s="3055"/>
      <c r="BV302" s="3055"/>
      <c r="BW302" s="3055"/>
      <c r="BX302" s="3055"/>
      <c r="BY302" s="3055"/>
      <c r="BZ302" s="3055"/>
      <c r="CA302" s="3055"/>
      <c r="CB302" s="3055"/>
      <c r="CC302" s="3056"/>
      <c r="CD302" s="3057">
        <f t="shared" si="0"/>
      </c>
      <c r="CE302" s="3054"/>
      <c r="CF302" s="3054"/>
      <c r="CG302" s="3055"/>
      <c r="CH302" s="3055"/>
      <c r="CI302" s="3055"/>
      <c r="CJ302" s="3055"/>
      <c r="CK302" s="3055"/>
      <c r="CL302" s="3055"/>
      <c r="CM302" s="3055"/>
      <c r="CN302" s="3055"/>
      <c r="CO302" s="3055"/>
      <c r="CP302" s="3055"/>
      <c r="CQ302" s="3055"/>
      <c r="CR302" s="3055"/>
      <c r="CS302" s="3055"/>
      <c r="CU302" s="3054"/>
      <c r="CV302" s="696"/>
      <c r="CW302" s="696"/>
      <c r="CZ302" s="3060">
        <f t="shared" si="17"/>
      </c>
      <c r="DA302" s="3060">
        <f t="shared" si="1"/>
      </c>
      <c r="DB302" s="3060">
        <f t="shared" si="18"/>
      </c>
      <c r="DC302" s="3060">
        <f t="shared" si="19"/>
      </c>
      <c r="DD302" s="3060">
        <f t="shared" si="20"/>
      </c>
      <c r="DE302" s="3060">
        <f t="shared" si="21"/>
      </c>
      <c r="DF302" s="3060">
        <f t="shared" si="22"/>
      </c>
      <c r="DG302" s="3060">
        <f t="shared" si="23"/>
      </c>
      <c r="DH302" s="3060">
        <f t="shared" si="24"/>
      </c>
      <c r="DI302" s="3060">
        <f t="shared" si="1"/>
      </c>
    </row>
    <row r="303" ht="15" customHeight="1" s="3052" customFormat="1">
      <c r="A303" s="3065"/>
      <c r="B303" s="3054">
        <f t="shared" si="2"/>
      </c>
      <c r="C303" s="3054"/>
      <c r="D303" s="3054"/>
      <c r="E303" s="3055"/>
      <c r="F303" s="3055"/>
      <c r="G303" s="3055"/>
      <c r="H303" s="3055"/>
      <c r="I303" s="3055"/>
      <c r="J303" s="3055"/>
      <c r="K303" s="3055"/>
      <c r="L303" s="3055"/>
      <c r="M303" s="3055"/>
      <c r="N303" s="3055"/>
      <c r="O303" s="3055"/>
      <c r="P303" s="3055"/>
      <c r="Q303" s="3055"/>
      <c r="R303" s="3055">
        <f t="shared" si="3"/>
        <v>0</v>
      </c>
      <c r="S303" s="3055">
        <f t="shared" si="4"/>
        <v>0</v>
      </c>
      <c r="T303" s="3055">
        <f t="shared" si="5"/>
        <v>0</v>
      </c>
      <c r="U303" s="3055">
        <f t="shared" si="6"/>
        <v>0</v>
      </c>
      <c r="V303" s="3055">
        <f t="shared" si="7"/>
        <v>0</v>
      </c>
      <c r="W303" s="3055">
        <f t="shared" si="8"/>
        <v>0</v>
      </c>
      <c r="X303" s="3055">
        <f t="shared" si="9"/>
        <v>0</v>
      </c>
      <c r="Y303" s="3055">
        <f t="shared" si="10"/>
        <v>0</v>
      </c>
      <c r="Z303" s="3055">
        <f t="shared" si="11"/>
        <v>0</v>
      </c>
      <c r="AA303" s="3055">
        <f t="shared" si="12"/>
        <v>0</v>
      </c>
      <c r="AB303" s="3055">
        <f t="shared" si="13"/>
        <v>0</v>
      </c>
      <c r="AC303" s="3055">
        <f t="shared" si="14"/>
        <v>0</v>
      </c>
      <c r="AD303" s="3056"/>
      <c r="AE303" s="3057">
        <f t="shared" si="0"/>
      </c>
      <c r="AF303" s="3054"/>
      <c r="AG303" s="3054"/>
      <c r="AH303" s="3055"/>
      <c r="AI303" s="3055"/>
      <c r="AJ303" s="3055"/>
      <c r="AK303" s="3055"/>
      <c r="AL303" s="3055"/>
      <c r="AM303" s="3055"/>
      <c r="AN303" s="3055"/>
      <c r="AO303" s="3055"/>
      <c r="AP303" s="3055"/>
      <c r="AQ303" s="3055"/>
      <c r="AR303" s="3055"/>
      <c r="AS303" s="3055"/>
      <c r="AT303" s="3055"/>
      <c r="AU303" s="3056"/>
      <c r="AV303" s="3057">
        <f t="shared" si="15"/>
      </c>
      <c r="AW303" s="3054"/>
      <c r="AX303" s="3054"/>
      <c r="AY303" s="3055"/>
      <c r="AZ303" s="3055"/>
      <c r="BA303" s="3055"/>
      <c r="BB303" s="3055"/>
      <c r="BC303" s="3055"/>
      <c r="BD303" s="3055"/>
      <c r="BE303" s="3055"/>
      <c r="BF303" s="3055"/>
      <c r="BG303" s="3055"/>
      <c r="BH303" s="3055"/>
      <c r="BI303" s="3055"/>
      <c r="BJ303" s="3055"/>
      <c r="BK303" s="3055"/>
      <c r="BL303" s="3056"/>
      <c r="BM303" s="3057">
        <f t="shared" si="16"/>
      </c>
      <c r="BN303" s="3054"/>
      <c r="BO303" s="3054"/>
      <c r="BP303" s="3055"/>
      <c r="BQ303" s="3055"/>
      <c r="BR303" s="3055"/>
      <c r="BS303" s="3055"/>
      <c r="BT303" s="3055"/>
      <c r="BU303" s="3055"/>
      <c r="BV303" s="3055"/>
      <c r="BW303" s="3055"/>
      <c r="BX303" s="3055"/>
      <c r="BY303" s="3055"/>
      <c r="BZ303" s="3055"/>
      <c r="CA303" s="3055"/>
      <c r="CB303" s="3055"/>
      <c r="CC303" s="3056"/>
      <c r="CD303" s="3057">
        <f t="shared" si="0"/>
      </c>
      <c r="CE303" s="3054"/>
      <c r="CF303" s="3054"/>
      <c r="CG303" s="3055"/>
      <c r="CH303" s="3055"/>
      <c r="CI303" s="3055"/>
      <c r="CJ303" s="3055"/>
      <c r="CK303" s="3055"/>
      <c r="CL303" s="3055"/>
      <c r="CM303" s="3055"/>
      <c r="CN303" s="3055"/>
      <c r="CO303" s="3055"/>
      <c r="CP303" s="3055"/>
      <c r="CQ303" s="3055"/>
      <c r="CR303" s="3055"/>
      <c r="CS303" s="3055"/>
      <c r="CU303" s="3054"/>
      <c r="CV303" s="696"/>
      <c r="CW303" s="696"/>
      <c r="CZ303" s="3060">
        <f t="shared" si="17"/>
      </c>
      <c r="DA303" s="3060">
        <f t="shared" si="1"/>
      </c>
      <c r="DB303" s="3060">
        <f t="shared" si="18"/>
      </c>
      <c r="DC303" s="3060">
        <f t="shared" si="19"/>
      </c>
      <c r="DD303" s="3060">
        <f t="shared" si="20"/>
      </c>
      <c r="DE303" s="3060">
        <f t="shared" si="21"/>
      </c>
      <c r="DF303" s="3060">
        <f t="shared" si="22"/>
      </c>
      <c r="DG303" s="3060">
        <f t="shared" si="23"/>
      </c>
      <c r="DH303" s="3060">
        <f t="shared" si="24"/>
      </c>
      <c r="DI303" s="3060">
        <f t="shared" si="1"/>
      </c>
    </row>
    <row r="304" ht="15" customHeight="1" s="3052" customFormat="1">
      <c r="B304" s="3054">
        <f t="shared" si="2"/>
      </c>
      <c r="C304" s="3054"/>
      <c r="D304" s="3054"/>
      <c r="E304" s="3055"/>
      <c r="F304" s="3055"/>
      <c r="G304" s="3055"/>
      <c r="H304" s="3055"/>
      <c r="I304" s="3055"/>
      <c r="J304" s="3055"/>
      <c r="K304" s="3055"/>
      <c r="L304" s="3055"/>
      <c r="M304" s="3055"/>
      <c r="N304" s="3055"/>
      <c r="O304" s="3055"/>
      <c r="P304" s="3055"/>
      <c r="Q304" s="3055"/>
      <c r="R304" s="3055">
        <f t="shared" si="3"/>
        <v>0</v>
      </c>
      <c r="S304" s="3055">
        <f t="shared" si="4"/>
        <v>0</v>
      </c>
      <c r="T304" s="3055">
        <f t="shared" si="5"/>
        <v>0</v>
      </c>
      <c r="U304" s="3055">
        <f t="shared" si="6"/>
        <v>0</v>
      </c>
      <c r="V304" s="3055">
        <f t="shared" si="7"/>
        <v>0</v>
      </c>
      <c r="W304" s="3055">
        <f t="shared" si="8"/>
        <v>0</v>
      </c>
      <c r="X304" s="3055">
        <f t="shared" si="9"/>
        <v>0</v>
      </c>
      <c r="Y304" s="3055">
        <f t="shared" si="10"/>
        <v>0</v>
      </c>
      <c r="Z304" s="3055">
        <f t="shared" si="11"/>
        <v>0</v>
      </c>
      <c r="AA304" s="3055">
        <f t="shared" si="12"/>
        <v>0</v>
      </c>
      <c r="AB304" s="3055">
        <f t="shared" si="13"/>
        <v>0</v>
      </c>
      <c r="AC304" s="3055">
        <f t="shared" si="14"/>
        <v>0</v>
      </c>
      <c r="AD304" s="3056"/>
      <c r="AE304" s="3057">
        <f t="shared" si="0"/>
      </c>
      <c r="AF304" s="3054"/>
      <c r="AG304" s="3054"/>
      <c r="AH304" s="3055"/>
      <c r="AI304" s="3055"/>
      <c r="AJ304" s="3055"/>
      <c r="AK304" s="3055"/>
      <c r="AL304" s="3055"/>
      <c r="AM304" s="3055"/>
      <c r="AN304" s="3055"/>
      <c r="AO304" s="3055"/>
      <c r="AP304" s="3055"/>
      <c r="AQ304" s="3055"/>
      <c r="AR304" s="3055"/>
      <c r="AS304" s="3055"/>
      <c r="AT304" s="3055"/>
      <c r="AU304" s="3056"/>
      <c r="AV304" s="3057">
        <f t="shared" si="15"/>
      </c>
      <c r="AW304" s="3054"/>
      <c r="AX304" s="3054"/>
      <c r="AY304" s="3055"/>
      <c r="AZ304" s="3055"/>
      <c r="BA304" s="3055"/>
      <c r="BB304" s="3055"/>
      <c r="BC304" s="3055"/>
      <c r="BD304" s="3055"/>
      <c r="BE304" s="3055"/>
      <c r="BF304" s="3055"/>
      <c r="BG304" s="3055"/>
      <c r="BH304" s="3055"/>
      <c r="BI304" s="3055"/>
      <c r="BJ304" s="3055"/>
      <c r="BK304" s="3055"/>
      <c r="BL304" s="3056"/>
      <c r="BM304" s="3057">
        <f t="shared" si="16"/>
      </c>
      <c r="BN304" s="3054"/>
      <c r="BO304" s="3054"/>
      <c r="BP304" s="3055"/>
      <c r="BQ304" s="3055"/>
      <c r="BR304" s="3055"/>
      <c r="BS304" s="3055"/>
      <c r="BT304" s="3055"/>
      <c r="BU304" s="3055"/>
      <c r="BV304" s="3055"/>
      <c r="BW304" s="3055"/>
      <c r="BX304" s="3055"/>
      <c r="BY304" s="3055"/>
      <c r="BZ304" s="3055"/>
      <c r="CA304" s="3055"/>
      <c r="CB304" s="3055"/>
      <c r="CC304" s="3056"/>
      <c r="CD304" s="3057">
        <f t="shared" si="0"/>
      </c>
      <c r="CE304" s="3054"/>
      <c r="CF304" s="3054"/>
      <c r="CG304" s="3055"/>
      <c r="CH304" s="3055"/>
      <c r="CI304" s="3055"/>
      <c r="CJ304" s="3055"/>
      <c r="CK304" s="3055"/>
      <c r="CL304" s="3055"/>
      <c r="CM304" s="3055"/>
      <c r="CN304" s="3055"/>
      <c r="CO304" s="3055"/>
      <c r="CP304" s="3055"/>
      <c r="CQ304" s="3055"/>
      <c r="CR304" s="3055"/>
      <c r="CS304" s="3055"/>
      <c r="CU304" s="3054"/>
      <c r="CV304" s="696"/>
      <c r="CW304" s="696"/>
      <c r="CZ304" s="3060">
        <f t="shared" si="17"/>
      </c>
      <c r="DA304" s="3060">
        <f t="shared" si="1"/>
      </c>
      <c r="DB304" s="3060">
        <f t="shared" si="18"/>
      </c>
      <c r="DC304" s="3060">
        <f t="shared" si="19"/>
      </c>
      <c r="DD304" s="3060">
        <f t="shared" si="20"/>
      </c>
      <c r="DE304" s="3060">
        <f t="shared" si="21"/>
      </c>
      <c r="DF304" s="3060">
        <f t="shared" si="22"/>
      </c>
      <c r="DG304" s="3060">
        <f t="shared" si="23"/>
      </c>
      <c r="DH304" s="3060">
        <f t="shared" si="24"/>
      </c>
      <c r="DI304" s="3060">
        <f t="shared" si="1"/>
      </c>
    </row>
    <row r="305" ht="15" customHeight="1" s="3052" customFormat="1">
      <c r="B305" s="3054">
        <f t="shared" si="2"/>
      </c>
      <c r="C305" s="3054"/>
      <c r="D305" s="3054"/>
      <c r="E305" s="3055"/>
      <c r="F305" s="3055"/>
      <c r="G305" s="3055"/>
      <c r="H305" s="3055"/>
      <c r="I305" s="3055"/>
      <c r="J305" s="3055"/>
      <c r="K305" s="3055"/>
      <c r="L305" s="3055"/>
      <c r="M305" s="3055"/>
      <c r="N305" s="3055"/>
      <c r="O305" s="3055"/>
      <c r="P305" s="3055"/>
      <c r="Q305" s="3055"/>
      <c r="R305" s="3055">
        <f t="shared" si="3"/>
        <v>0</v>
      </c>
      <c r="S305" s="3055">
        <f t="shared" si="4"/>
        <v>0</v>
      </c>
      <c r="T305" s="3055">
        <f t="shared" si="5"/>
        <v>0</v>
      </c>
      <c r="U305" s="3055">
        <f t="shared" si="6"/>
        <v>0</v>
      </c>
      <c r="V305" s="3055">
        <f t="shared" si="7"/>
        <v>0</v>
      </c>
      <c r="W305" s="3055">
        <f t="shared" si="8"/>
        <v>0</v>
      </c>
      <c r="X305" s="3055">
        <f t="shared" si="9"/>
        <v>0</v>
      </c>
      <c r="Y305" s="3055">
        <f t="shared" si="10"/>
        <v>0</v>
      </c>
      <c r="Z305" s="3055">
        <f t="shared" si="11"/>
        <v>0</v>
      </c>
      <c r="AA305" s="3055">
        <f t="shared" si="12"/>
        <v>0</v>
      </c>
      <c r="AB305" s="3055">
        <f t="shared" si="13"/>
        <v>0</v>
      </c>
      <c r="AC305" s="3055">
        <f t="shared" si="14"/>
        <v>0</v>
      </c>
      <c r="AD305" s="3056"/>
      <c r="AE305" s="3057">
        <f t="shared" si="0"/>
      </c>
      <c r="AF305" s="3054"/>
      <c r="AG305" s="3054"/>
      <c r="AH305" s="3055"/>
      <c r="AI305" s="3055"/>
      <c r="AJ305" s="3055"/>
      <c r="AK305" s="3055"/>
      <c r="AL305" s="3055"/>
      <c r="AM305" s="3055"/>
      <c r="AN305" s="3055"/>
      <c r="AO305" s="3055"/>
      <c r="AP305" s="3055"/>
      <c r="AQ305" s="3055"/>
      <c r="AR305" s="3055"/>
      <c r="AS305" s="3055"/>
      <c r="AT305" s="3055"/>
      <c r="AU305" s="3056"/>
      <c r="AV305" s="3057">
        <f t="shared" si="15"/>
      </c>
      <c r="AW305" s="3054"/>
      <c r="AX305" s="3054"/>
      <c r="AY305" s="3055"/>
      <c r="AZ305" s="3055"/>
      <c r="BA305" s="3055"/>
      <c r="BB305" s="3055"/>
      <c r="BC305" s="3055"/>
      <c r="BD305" s="3055"/>
      <c r="BE305" s="3055"/>
      <c r="BF305" s="3055"/>
      <c r="BG305" s="3055"/>
      <c r="BH305" s="3055"/>
      <c r="BI305" s="3055"/>
      <c r="BJ305" s="3055"/>
      <c r="BK305" s="3055"/>
      <c r="BL305" s="3056"/>
      <c r="BM305" s="3057">
        <f t="shared" si="16"/>
      </c>
      <c r="BN305" s="3054"/>
      <c r="BO305" s="3054"/>
      <c r="BP305" s="3055"/>
      <c r="BQ305" s="3055"/>
      <c r="BR305" s="3055"/>
      <c r="BS305" s="3055"/>
      <c r="BT305" s="3055"/>
      <c r="BU305" s="3055"/>
      <c r="BV305" s="3055"/>
      <c r="BW305" s="3055"/>
      <c r="BX305" s="3055"/>
      <c r="BY305" s="3055"/>
      <c r="BZ305" s="3055"/>
      <c r="CA305" s="3055"/>
      <c r="CB305" s="3055"/>
      <c r="CC305" s="3056"/>
      <c r="CD305" s="3057">
        <f t="shared" si="0"/>
      </c>
      <c r="CE305" s="3054"/>
      <c r="CF305" s="3054"/>
      <c r="CG305" s="3055"/>
      <c r="CH305" s="3055"/>
      <c r="CI305" s="3055"/>
      <c r="CJ305" s="3055"/>
      <c r="CK305" s="3055"/>
      <c r="CL305" s="3055"/>
      <c r="CM305" s="3055"/>
      <c r="CN305" s="3055"/>
      <c r="CO305" s="3055"/>
      <c r="CP305" s="3055"/>
      <c r="CQ305" s="3055"/>
      <c r="CR305" s="3055"/>
      <c r="CS305" s="3055"/>
      <c r="CU305" s="3054"/>
      <c r="CV305" s="696"/>
      <c r="CW305" s="696"/>
      <c r="CZ305" s="3060">
        <f t="shared" si="17"/>
      </c>
      <c r="DA305" s="3060">
        <f t="shared" si="1"/>
      </c>
      <c r="DB305" s="3060">
        <f t="shared" si="18"/>
      </c>
      <c r="DC305" s="3060">
        <f t="shared" si="19"/>
      </c>
      <c r="DD305" s="3060">
        <f t="shared" si="20"/>
      </c>
      <c r="DE305" s="3060">
        <f t="shared" si="21"/>
      </c>
      <c r="DF305" s="3060">
        <f t="shared" si="22"/>
      </c>
      <c r="DG305" s="3060">
        <f t="shared" si="23"/>
      </c>
      <c r="DH305" s="3060">
        <f t="shared" si="24"/>
      </c>
      <c r="DI305" s="3060">
        <f t="shared" si="1"/>
      </c>
    </row>
    <row r="306" ht="15" customHeight="1" s="3052" customFormat="1">
      <c r="B306" s="3054">
        <f t="shared" si="2"/>
      </c>
      <c r="C306" s="3054"/>
      <c r="D306" s="3054"/>
      <c r="E306" s="3055"/>
      <c r="F306" s="3055"/>
      <c r="G306" s="3055"/>
      <c r="H306" s="3055"/>
      <c r="I306" s="3055"/>
      <c r="J306" s="3055"/>
      <c r="K306" s="3055"/>
      <c r="L306" s="3055"/>
      <c r="M306" s="3055"/>
      <c r="N306" s="3055"/>
      <c r="O306" s="3055"/>
      <c r="P306" s="3055"/>
      <c r="Q306" s="3055"/>
      <c r="R306" s="3055">
        <f t="shared" si="3"/>
        <v>0</v>
      </c>
      <c r="S306" s="3055">
        <f t="shared" si="4"/>
        <v>0</v>
      </c>
      <c r="T306" s="3055">
        <f t="shared" si="5"/>
        <v>0</v>
      </c>
      <c r="U306" s="3055">
        <f t="shared" si="6"/>
        <v>0</v>
      </c>
      <c r="V306" s="3055">
        <f t="shared" si="7"/>
        <v>0</v>
      </c>
      <c r="W306" s="3055">
        <f t="shared" si="8"/>
        <v>0</v>
      </c>
      <c r="X306" s="3055">
        <f t="shared" si="9"/>
        <v>0</v>
      </c>
      <c r="Y306" s="3055">
        <f t="shared" si="10"/>
        <v>0</v>
      </c>
      <c r="Z306" s="3055">
        <f t="shared" si="11"/>
        <v>0</v>
      </c>
      <c r="AA306" s="3055">
        <f t="shared" si="12"/>
        <v>0</v>
      </c>
      <c r="AB306" s="3055">
        <f t="shared" si="13"/>
        <v>0</v>
      </c>
      <c r="AC306" s="3055">
        <f t="shared" si="14"/>
        <v>0</v>
      </c>
      <c r="AD306" s="3056"/>
      <c r="AE306" s="3057">
        <f t="shared" si="0"/>
      </c>
      <c r="AF306" s="3054"/>
      <c r="AG306" s="3054"/>
      <c r="AH306" s="3055"/>
      <c r="AI306" s="3055"/>
      <c r="AJ306" s="3055"/>
      <c r="AK306" s="3055"/>
      <c r="AL306" s="3055"/>
      <c r="AM306" s="3055"/>
      <c r="AN306" s="3055"/>
      <c r="AO306" s="3055"/>
      <c r="AP306" s="3055"/>
      <c r="AQ306" s="3055"/>
      <c r="AR306" s="3055"/>
      <c r="AS306" s="3055"/>
      <c r="AT306" s="3055"/>
      <c r="AU306" s="3056"/>
      <c r="AV306" s="3057">
        <f t="shared" si="15"/>
      </c>
      <c r="AW306" s="3054"/>
      <c r="AX306" s="3054"/>
      <c r="AY306" s="3055"/>
      <c r="AZ306" s="3055"/>
      <c r="BA306" s="3055"/>
      <c r="BB306" s="3055"/>
      <c r="BC306" s="3055"/>
      <c r="BD306" s="3055"/>
      <c r="BE306" s="3055"/>
      <c r="BF306" s="3055"/>
      <c r="BG306" s="3055"/>
      <c r="BH306" s="3055"/>
      <c r="BI306" s="3055"/>
      <c r="BJ306" s="3055"/>
      <c r="BK306" s="3055"/>
      <c r="BL306" s="3056"/>
      <c r="BM306" s="3057">
        <f t="shared" si="16"/>
      </c>
      <c r="BN306" s="3054"/>
      <c r="BO306" s="3054"/>
      <c r="BP306" s="3055"/>
      <c r="BQ306" s="3055"/>
      <c r="BR306" s="3055"/>
      <c r="BS306" s="3055"/>
      <c r="BT306" s="3055"/>
      <c r="BU306" s="3055"/>
      <c r="BV306" s="3055"/>
      <c r="BW306" s="3055"/>
      <c r="BX306" s="3055"/>
      <c r="BY306" s="3055"/>
      <c r="BZ306" s="3055"/>
      <c r="CA306" s="3055"/>
      <c r="CB306" s="3055"/>
      <c r="CC306" s="3056"/>
      <c r="CD306" s="3057">
        <f t="shared" si="0"/>
      </c>
      <c r="CE306" s="3054"/>
      <c r="CF306" s="3054"/>
      <c r="CG306" s="3055"/>
      <c r="CH306" s="3055"/>
      <c r="CI306" s="3055"/>
      <c r="CJ306" s="3055"/>
      <c r="CK306" s="3055"/>
      <c r="CL306" s="3055"/>
      <c r="CM306" s="3055"/>
      <c r="CN306" s="3055"/>
      <c r="CO306" s="3055"/>
      <c r="CP306" s="3055"/>
      <c r="CQ306" s="3055"/>
      <c r="CR306" s="3055"/>
      <c r="CS306" s="3055"/>
      <c r="CU306" s="3054"/>
      <c r="CV306" s="696"/>
      <c r="CW306" s="696"/>
      <c r="CZ306" s="3060">
        <f t="shared" si="17"/>
      </c>
      <c r="DA306" s="3060">
        <f t="shared" si="1"/>
      </c>
      <c r="DB306" s="3060">
        <f t="shared" si="18"/>
      </c>
      <c r="DC306" s="3060">
        <f t="shared" si="19"/>
      </c>
      <c r="DD306" s="3060">
        <f t="shared" si="20"/>
      </c>
      <c r="DE306" s="3060">
        <f t="shared" si="21"/>
      </c>
      <c r="DF306" s="3060">
        <f t="shared" si="22"/>
      </c>
      <c r="DG306" s="3060">
        <f t="shared" si="23"/>
      </c>
      <c r="DH306" s="3060">
        <f t="shared" si="24"/>
      </c>
      <c r="DI306" s="3060">
        <f t="shared" si="1"/>
      </c>
    </row>
    <row r="307" ht="15" customHeight="1" s="3052" customFormat="1">
      <c r="B307" s="3054">
        <f t="shared" si="2"/>
      </c>
      <c r="C307" s="3054"/>
      <c r="D307" s="3054"/>
      <c r="E307" s="3055"/>
      <c r="F307" s="3055"/>
      <c r="G307" s="3055"/>
      <c r="H307" s="3055"/>
      <c r="I307" s="3055"/>
      <c r="J307" s="3055"/>
      <c r="K307" s="3055"/>
      <c r="L307" s="3055"/>
      <c r="M307" s="3055"/>
      <c r="N307" s="3055"/>
      <c r="O307" s="3055"/>
      <c r="P307" s="3055"/>
      <c r="Q307" s="3055"/>
      <c r="R307" s="3055">
        <f t="shared" si="3"/>
        <v>0</v>
      </c>
      <c r="S307" s="3055">
        <f t="shared" si="4"/>
        <v>0</v>
      </c>
      <c r="T307" s="3055">
        <f t="shared" si="5"/>
        <v>0</v>
      </c>
      <c r="U307" s="3055">
        <f t="shared" si="6"/>
        <v>0</v>
      </c>
      <c r="V307" s="3055">
        <f t="shared" si="7"/>
        <v>0</v>
      </c>
      <c r="W307" s="3055">
        <f t="shared" si="8"/>
        <v>0</v>
      </c>
      <c r="X307" s="3055">
        <f t="shared" si="9"/>
        <v>0</v>
      </c>
      <c r="Y307" s="3055">
        <f t="shared" si="10"/>
        <v>0</v>
      </c>
      <c r="Z307" s="3055">
        <f t="shared" si="11"/>
        <v>0</v>
      </c>
      <c r="AA307" s="3055">
        <f t="shared" si="12"/>
        <v>0</v>
      </c>
      <c r="AB307" s="3055">
        <f t="shared" si="13"/>
        <v>0</v>
      </c>
      <c r="AC307" s="3055">
        <f t="shared" si="14"/>
        <v>0</v>
      </c>
      <c r="AD307" s="3056"/>
      <c r="AE307" s="3057">
        <f t="shared" si="0"/>
      </c>
      <c r="AF307" s="3054"/>
      <c r="AG307" s="3054"/>
      <c r="AH307" s="3055"/>
      <c r="AI307" s="3055"/>
      <c r="AJ307" s="3055"/>
      <c r="AK307" s="3055"/>
      <c r="AL307" s="3055"/>
      <c r="AM307" s="3055"/>
      <c r="AN307" s="3055"/>
      <c r="AO307" s="3055"/>
      <c r="AP307" s="3055"/>
      <c r="AQ307" s="3055"/>
      <c r="AR307" s="3055"/>
      <c r="AS307" s="3055"/>
      <c r="AT307" s="3055"/>
      <c r="AU307" s="3056"/>
      <c r="AV307" s="3057">
        <f t="shared" si="15"/>
      </c>
      <c r="AW307" s="3054"/>
      <c r="AX307" s="3054"/>
      <c r="AY307" s="3055"/>
      <c r="AZ307" s="3055"/>
      <c r="BA307" s="3055"/>
      <c r="BB307" s="3055"/>
      <c r="BC307" s="3055"/>
      <c r="BD307" s="3055"/>
      <c r="BE307" s="3055"/>
      <c r="BF307" s="3055"/>
      <c r="BG307" s="3055"/>
      <c r="BH307" s="3055"/>
      <c r="BI307" s="3055"/>
      <c r="BJ307" s="3055"/>
      <c r="BK307" s="3055"/>
      <c r="BL307" s="3056"/>
      <c r="BM307" s="3057">
        <f t="shared" si="16"/>
      </c>
      <c r="BN307" s="3054"/>
      <c r="BO307" s="3054"/>
      <c r="BP307" s="3055"/>
      <c r="BQ307" s="3055"/>
      <c r="BR307" s="3055"/>
      <c r="BS307" s="3055"/>
      <c r="BT307" s="3055"/>
      <c r="BU307" s="3055"/>
      <c r="BV307" s="3055"/>
      <c r="BW307" s="3055"/>
      <c r="BX307" s="3055"/>
      <c r="BY307" s="3055"/>
      <c r="BZ307" s="3055"/>
      <c r="CA307" s="3055"/>
      <c r="CB307" s="3055"/>
      <c r="CC307" s="3056"/>
      <c r="CD307" s="3057">
        <f t="shared" si="0"/>
      </c>
      <c r="CE307" s="3054"/>
      <c r="CF307" s="3054"/>
      <c r="CG307" s="3055"/>
      <c r="CH307" s="3055"/>
      <c r="CI307" s="3055"/>
      <c r="CJ307" s="3055"/>
      <c r="CK307" s="3055"/>
      <c r="CL307" s="3055"/>
      <c r="CM307" s="3055"/>
      <c r="CN307" s="3055"/>
      <c r="CO307" s="3055"/>
      <c r="CP307" s="3055"/>
      <c r="CQ307" s="3055"/>
      <c r="CR307" s="3055"/>
      <c r="CS307" s="3055"/>
      <c r="CU307" s="3054"/>
      <c r="CV307" s="696"/>
      <c r="CW307" s="696"/>
      <c r="CZ307" s="3060">
        <f t="shared" si="17"/>
      </c>
      <c r="DA307" s="3060">
        <f t="shared" si="1"/>
      </c>
      <c r="DB307" s="3060">
        <f t="shared" si="18"/>
      </c>
      <c r="DC307" s="3060">
        <f t="shared" si="19"/>
      </c>
      <c r="DD307" s="3060">
        <f t="shared" si="20"/>
      </c>
      <c r="DE307" s="3060">
        <f t="shared" si="21"/>
      </c>
      <c r="DF307" s="3060">
        <f t="shared" si="22"/>
      </c>
      <c r="DG307" s="3060">
        <f t="shared" si="23"/>
      </c>
      <c r="DH307" s="3060">
        <f t="shared" si="24"/>
      </c>
      <c r="DI307" s="3060">
        <f t="shared" si="1"/>
      </c>
    </row>
    <row r="308" ht="15" customHeight="1" s="3052" customFormat="1">
      <c r="B308" s="3054">
        <f t="shared" si="2"/>
      </c>
      <c r="C308" s="3054"/>
      <c r="D308" s="3054"/>
      <c r="E308" s="3055"/>
      <c r="F308" s="3055"/>
      <c r="G308" s="3055"/>
      <c r="H308" s="3055"/>
      <c r="I308" s="3055"/>
      <c r="J308" s="3055"/>
      <c r="K308" s="3055"/>
      <c r="L308" s="3055"/>
      <c r="M308" s="3055"/>
      <c r="N308" s="3055"/>
      <c r="O308" s="3055"/>
      <c r="P308" s="3055"/>
      <c r="Q308" s="3055"/>
      <c r="R308" s="3055">
        <f t="shared" si="3"/>
        <v>0</v>
      </c>
      <c r="S308" s="3055">
        <f t="shared" si="4"/>
        <v>0</v>
      </c>
      <c r="T308" s="3055">
        <f t="shared" si="5"/>
        <v>0</v>
      </c>
      <c r="U308" s="3055">
        <f t="shared" si="6"/>
        <v>0</v>
      </c>
      <c r="V308" s="3055">
        <f t="shared" si="7"/>
        <v>0</v>
      </c>
      <c r="W308" s="3055">
        <f t="shared" si="8"/>
        <v>0</v>
      </c>
      <c r="X308" s="3055">
        <f t="shared" si="9"/>
        <v>0</v>
      </c>
      <c r="Y308" s="3055">
        <f t="shared" si="10"/>
        <v>0</v>
      </c>
      <c r="Z308" s="3055">
        <f t="shared" si="11"/>
        <v>0</v>
      </c>
      <c r="AA308" s="3055">
        <f t="shared" si="12"/>
        <v>0</v>
      </c>
      <c r="AB308" s="3055">
        <f t="shared" si="13"/>
        <v>0</v>
      </c>
      <c r="AC308" s="3055">
        <f t="shared" si="14"/>
        <v>0</v>
      </c>
      <c r="AD308" s="3056"/>
      <c r="AE308" s="3057">
        <f t="shared" si="0"/>
      </c>
      <c r="AF308" s="3054"/>
      <c r="AG308" s="3054"/>
      <c r="AH308" s="3055"/>
      <c r="AI308" s="3055"/>
      <c r="AJ308" s="3055"/>
      <c r="AK308" s="3055"/>
      <c r="AL308" s="3055"/>
      <c r="AM308" s="3055"/>
      <c r="AN308" s="3055"/>
      <c r="AO308" s="3055"/>
      <c r="AP308" s="3055"/>
      <c r="AQ308" s="3055"/>
      <c r="AR308" s="3055"/>
      <c r="AS308" s="3055"/>
      <c r="AT308" s="3055"/>
      <c r="AU308" s="3056"/>
      <c r="AV308" s="3057">
        <f t="shared" si="15"/>
      </c>
      <c r="AW308" s="3054"/>
      <c r="AX308" s="3054"/>
      <c r="AY308" s="3055"/>
      <c r="AZ308" s="3055"/>
      <c r="BA308" s="3055"/>
      <c r="BB308" s="3055"/>
      <c r="BC308" s="3055"/>
      <c r="BD308" s="3055"/>
      <c r="BE308" s="3055"/>
      <c r="BF308" s="3055"/>
      <c r="BG308" s="3055"/>
      <c r="BH308" s="3055"/>
      <c r="BI308" s="3055"/>
      <c r="BJ308" s="3055"/>
      <c r="BK308" s="3055"/>
      <c r="BL308" s="3056"/>
      <c r="BM308" s="3057">
        <f t="shared" si="16"/>
      </c>
      <c r="BN308" s="3054"/>
      <c r="BO308" s="3054"/>
      <c r="BP308" s="3055"/>
      <c r="BQ308" s="3055"/>
      <c r="BR308" s="3055"/>
      <c r="BS308" s="3055"/>
      <c r="BT308" s="3055"/>
      <c r="BU308" s="3055"/>
      <c r="BV308" s="3055"/>
      <c r="BW308" s="3055"/>
      <c r="BX308" s="3055"/>
      <c r="BY308" s="3055"/>
      <c r="BZ308" s="3055"/>
      <c r="CA308" s="3055"/>
      <c r="CB308" s="3055"/>
      <c r="CC308" s="3056"/>
      <c r="CD308" s="3057">
        <f t="shared" si="0"/>
      </c>
      <c r="CE308" s="3054"/>
      <c r="CF308" s="3054"/>
      <c r="CG308" s="3055"/>
      <c r="CH308" s="3055"/>
      <c r="CI308" s="3055"/>
      <c r="CJ308" s="3055"/>
      <c r="CK308" s="3055"/>
      <c r="CL308" s="3055"/>
      <c r="CM308" s="3055"/>
      <c r="CN308" s="3055"/>
      <c r="CO308" s="3055"/>
      <c r="CP308" s="3055"/>
      <c r="CQ308" s="3055"/>
      <c r="CR308" s="3055"/>
      <c r="CS308" s="3055"/>
      <c r="CU308" s="3054"/>
      <c r="CV308" s="696"/>
      <c r="CW308" s="696"/>
      <c r="CZ308" s="3060">
        <f t="shared" si="17"/>
      </c>
      <c r="DA308" s="3060">
        <f t="shared" si="1"/>
      </c>
      <c r="DB308" s="3060">
        <f t="shared" si="18"/>
      </c>
      <c r="DC308" s="3060">
        <f t="shared" si="19"/>
      </c>
      <c r="DD308" s="3060">
        <f t="shared" si="20"/>
      </c>
      <c r="DE308" s="3060">
        <f t="shared" si="21"/>
      </c>
      <c r="DF308" s="3060">
        <f t="shared" si="22"/>
      </c>
      <c r="DG308" s="3060">
        <f t="shared" si="23"/>
      </c>
      <c r="DH308" s="3060">
        <f t="shared" si="24"/>
      </c>
      <c r="DI308" s="3060">
        <f t="shared" si="1"/>
      </c>
    </row>
    <row r="309" ht="15" customHeight="1" s="3052" customFormat="1">
      <c r="B309" s="3054">
        <f t="shared" si="2"/>
      </c>
      <c r="C309" s="3054"/>
      <c r="D309" s="3054"/>
      <c r="E309" s="3055"/>
      <c r="F309" s="3055"/>
      <c r="G309" s="3055"/>
      <c r="H309" s="3055"/>
      <c r="I309" s="3055"/>
      <c r="J309" s="3055"/>
      <c r="K309" s="3055"/>
      <c r="L309" s="3055"/>
      <c r="M309" s="3055"/>
      <c r="N309" s="3055"/>
      <c r="O309" s="3055"/>
      <c r="P309" s="3055"/>
      <c r="Q309" s="3055"/>
      <c r="R309" s="3055">
        <f t="shared" si="3"/>
        <v>0</v>
      </c>
      <c r="S309" s="3055">
        <f t="shared" si="4"/>
        <v>0</v>
      </c>
      <c r="T309" s="3055">
        <f t="shared" si="5"/>
        <v>0</v>
      </c>
      <c r="U309" s="3055">
        <f t="shared" si="6"/>
        <v>0</v>
      </c>
      <c r="V309" s="3055">
        <f t="shared" si="7"/>
        <v>0</v>
      </c>
      <c r="W309" s="3055">
        <f t="shared" si="8"/>
        <v>0</v>
      </c>
      <c r="X309" s="3055">
        <f t="shared" si="9"/>
        <v>0</v>
      </c>
      <c r="Y309" s="3055">
        <f t="shared" si="10"/>
        <v>0</v>
      </c>
      <c r="Z309" s="3055">
        <f t="shared" si="11"/>
        <v>0</v>
      </c>
      <c r="AA309" s="3055">
        <f t="shared" si="12"/>
        <v>0</v>
      </c>
      <c r="AB309" s="3055">
        <f t="shared" si="13"/>
        <v>0</v>
      </c>
      <c r="AC309" s="3055">
        <f t="shared" si="14"/>
        <v>0</v>
      </c>
      <c r="AD309" s="3056"/>
      <c r="AE309" s="3057">
        <f t="shared" si="0"/>
      </c>
      <c r="AF309" s="3054"/>
      <c r="AG309" s="3054"/>
      <c r="AH309" s="3055"/>
      <c r="AI309" s="3055"/>
      <c r="AJ309" s="3055"/>
      <c r="AK309" s="3055"/>
      <c r="AL309" s="3055"/>
      <c r="AM309" s="3055"/>
      <c r="AN309" s="3055"/>
      <c r="AO309" s="3055"/>
      <c r="AP309" s="3055"/>
      <c r="AQ309" s="3055"/>
      <c r="AR309" s="3055"/>
      <c r="AS309" s="3055"/>
      <c r="AT309" s="3055"/>
      <c r="AU309" s="3056"/>
      <c r="AV309" s="3057">
        <f t="shared" si="15"/>
      </c>
      <c r="AW309" s="3054"/>
      <c r="AX309" s="3054"/>
      <c r="AY309" s="3055"/>
      <c r="AZ309" s="3055"/>
      <c r="BA309" s="3055"/>
      <c r="BB309" s="3055"/>
      <c r="BC309" s="3055"/>
      <c r="BD309" s="3055"/>
      <c r="BE309" s="3055"/>
      <c r="BF309" s="3055"/>
      <c r="BG309" s="3055"/>
      <c r="BH309" s="3055"/>
      <c r="BI309" s="3055"/>
      <c r="BJ309" s="3055"/>
      <c r="BK309" s="3055"/>
      <c r="BL309" s="3056"/>
      <c r="BM309" s="3057">
        <f t="shared" si="16"/>
      </c>
      <c r="BN309" s="3054"/>
      <c r="BO309" s="3054"/>
      <c r="BP309" s="3055"/>
      <c r="BQ309" s="3055"/>
      <c r="BR309" s="3055"/>
      <c r="BS309" s="3055"/>
      <c r="BT309" s="3055"/>
      <c r="BU309" s="3055"/>
      <c r="BV309" s="3055"/>
      <c r="BW309" s="3055"/>
      <c r="BX309" s="3055"/>
      <c r="BY309" s="3055"/>
      <c r="BZ309" s="3055"/>
      <c r="CA309" s="3055"/>
      <c r="CB309" s="3055"/>
      <c r="CC309" s="3056"/>
      <c r="CD309" s="3057">
        <f t="shared" si="0"/>
      </c>
      <c r="CE309" s="3054"/>
      <c r="CF309" s="3054"/>
      <c r="CG309" s="3055"/>
      <c r="CH309" s="3055"/>
      <c r="CI309" s="3055"/>
      <c r="CJ309" s="3055"/>
      <c r="CK309" s="3055"/>
      <c r="CL309" s="3055"/>
      <c r="CM309" s="3055"/>
      <c r="CN309" s="3055"/>
      <c r="CO309" s="3055"/>
      <c r="CP309" s="3055"/>
      <c r="CQ309" s="3055"/>
      <c r="CR309" s="3055"/>
      <c r="CS309" s="3055"/>
      <c r="CU309" s="3054"/>
      <c r="CV309" s="696"/>
      <c r="CW309" s="696"/>
      <c r="CZ309" s="3060">
        <f t="shared" si="17"/>
      </c>
      <c r="DA309" s="3060">
        <f t="shared" si="1"/>
      </c>
      <c r="DB309" s="3060">
        <f t="shared" si="18"/>
      </c>
      <c r="DC309" s="3060">
        <f t="shared" si="19"/>
      </c>
      <c r="DD309" s="3060">
        <f t="shared" si="20"/>
      </c>
      <c r="DE309" s="3060">
        <f t="shared" si="21"/>
      </c>
      <c r="DF309" s="3060">
        <f t="shared" si="22"/>
      </c>
      <c r="DG309" s="3060">
        <f t="shared" si="23"/>
      </c>
      <c r="DH309" s="3060">
        <f t="shared" si="24"/>
      </c>
      <c r="DI309" s="3060">
        <f t="shared" si="1"/>
      </c>
    </row>
    <row r="310" ht="15" customHeight="1" s="3052" customFormat="1">
      <c r="B310" s="3054">
        <f t="shared" si="2"/>
      </c>
      <c r="C310" s="3054"/>
      <c r="D310" s="3054"/>
      <c r="E310" s="3055"/>
      <c r="F310" s="3055"/>
      <c r="G310" s="3055"/>
      <c r="H310" s="3055"/>
      <c r="I310" s="3055"/>
      <c r="J310" s="3055"/>
      <c r="K310" s="3055"/>
      <c r="L310" s="3055"/>
      <c r="M310" s="3055"/>
      <c r="N310" s="3055"/>
      <c r="O310" s="3055"/>
      <c r="P310" s="3055"/>
      <c r="Q310" s="3055"/>
      <c r="R310" s="3055">
        <f t="shared" si="3"/>
        <v>0</v>
      </c>
      <c r="S310" s="3055">
        <f t="shared" si="4"/>
        <v>0</v>
      </c>
      <c r="T310" s="3055">
        <f t="shared" si="5"/>
        <v>0</v>
      </c>
      <c r="U310" s="3055">
        <f t="shared" si="6"/>
        <v>0</v>
      </c>
      <c r="V310" s="3055">
        <f t="shared" si="7"/>
        <v>0</v>
      </c>
      <c r="W310" s="3055">
        <f t="shared" si="8"/>
        <v>0</v>
      </c>
      <c r="X310" s="3055">
        <f t="shared" si="9"/>
        <v>0</v>
      </c>
      <c r="Y310" s="3055">
        <f t="shared" si="10"/>
        <v>0</v>
      </c>
      <c r="Z310" s="3055">
        <f t="shared" si="11"/>
        <v>0</v>
      </c>
      <c r="AA310" s="3055">
        <f t="shared" si="12"/>
        <v>0</v>
      </c>
      <c r="AB310" s="3055">
        <f t="shared" si="13"/>
        <v>0</v>
      </c>
      <c r="AC310" s="3055">
        <f t="shared" si="14"/>
        <v>0</v>
      </c>
      <c r="AD310" s="3056"/>
      <c r="AE310" s="3057">
        <f t="shared" si="0"/>
      </c>
      <c r="AF310" s="3054"/>
      <c r="AG310" s="3054"/>
      <c r="AH310" s="3055"/>
      <c r="AI310" s="3055"/>
      <c r="AJ310" s="3055"/>
      <c r="AK310" s="3055"/>
      <c r="AL310" s="3055"/>
      <c r="AM310" s="3055"/>
      <c r="AN310" s="3055"/>
      <c r="AO310" s="3055"/>
      <c r="AP310" s="3055"/>
      <c r="AQ310" s="3055"/>
      <c r="AR310" s="3055"/>
      <c r="AS310" s="3055"/>
      <c r="AT310" s="3055"/>
      <c r="AU310" s="3056"/>
      <c r="AV310" s="3057">
        <f t="shared" si="15"/>
      </c>
      <c r="AW310" s="3054"/>
      <c r="AX310" s="3054"/>
      <c r="AY310" s="3055"/>
      <c r="AZ310" s="3055"/>
      <c r="BA310" s="3055"/>
      <c r="BB310" s="3055"/>
      <c r="BC310" s="3055"/>
      <c r="BD310" s="3055"/>
      <c r="BE310" s="3055"/>
      <c r="BF310" s="3055"/>
      <c r="BG310" s="3055"/>
      <c r="BH310" s="3055"/>
      <c r="BI310" s="3055"/>
      <c r="BJ310" s="3055"/>
      <c r="BK310" s="3055"/>
      <c r="BL310" s="3056"/>
      <c r="BM310" s="3057">
        <f t="shared" si="16"/>
      </c>
      <c r="BN310" s="3054"/>
      <c r="BO310" s="3054"/>
      <c r="BP310" s="3055"/>
      <c r="BQ310" s="3055"/>
      <c r="BR310" s="3055"/>
      <c r="BS310" s="3055"/>
      <c r="BT310" s="3055"/>
      <c r="BU310" s="3055"/>
      <c r="BV310" s="3055"/>
      <c r="BW310" s="3055"/>
      <c r="BX310" s="3055"/>
      <c r="BY310" s="3055"/>
      <c r="BZ310" s="3055"/>
      <c r="CA310" s="3055"/>
      <c r="CB310" s="3055"/>
      <c r="CC310" s="3056"/>
      <c r="CD310" s="3057">
        <f t="shared" si="0"/>
      </c>
      <c r="CE310" s="3054"/>
      <c r="CF310" s="3054"/>
      <c r="CG310" s="3055"/>
      <c r="CH310" s="3055"/>
      <c r="CI310" s="3055"/>
      <c r="CJ310" s="3055"/>
      <c r="CK310" s="3055"/>
      <c r="CL310" s="3055"/>
      <c r="CM310" s="3055"/>
      <c r="CN310" s="3055"/>
      <c r="CO310" s="3055"/>
      <c r="CP310" s="3055"/>
      <c r="CQ310" s="3055"/>
      <c r="CR310" s="3055"/>
      <c r="CS310" s="3055"/>
      <c r="CU310" s="3054"/>
      <c r="CV310" s="696"/>
      <c r="CW310" s="696"/>
      <c r="CZ310" s="3060">
        <f t="shared" si="17"/>
      </c>
      <c r="DA310" s="3060">
        <f t="shared" si="1"/>
      </c>
      <c r="DB310" s="3060">
        <f t="shared" si="18"/>
      </c>
      <c r="DC310" s="3060">
        <f t="shared" si="19"/>
      </c>
      <c r="DD310" s="3060">
        <f t="shared" si="20"/>
      </c>
      <c r="DE310" s="3060">
        <f t="shared" si="21"/>
      </c>
      <c r="DF310" s="3060">
        <f t="shared" si="22"/>
      </c>
      <c r="DG310" s="3060">
        <f t="shared" si="23"/>
      </c>
      <c r="DH310" s="3060">
        <f t="shared" si="24"/>
      </c>
      <c r="DI310" s="3060">
        <f t="shared" si="1"/>
      </c>
    </row>
    <row r="311" ht="15" customHeight="1" s="3052" customFormat="1">
      <c r="B311" s="3054">
        <f t="shared" si="2"/>
      </c>
      <c r="C311" s="3054"/>
      <c r="D311" s="3054"/>
      <c r="E311" s="3055"/>
      <c r="F311" s="3055"/>
      <c r="G311" s="3055"/>
      <c r="H311" s="3055"/>
      <c r="I311" s="3055"/>
      <c r="J311" s="3055"/>
      <c r="K311" s="3055"/>
      <c r="L311" s="3055"/>
      <c r="M311" s="3055"/>
      <c r="N311" s="3055"/>
      <c r="O311" s="3055"/>
      <c r="P311" s="3055"/>
      <c r="Q311" s="3055"/>
      <c r="R311" s="3055">
        <f t="shared" si="3"/>
        <v>0</v>
      </c>
      <c r="S311" s="3055">
        <f t="shared" si="4"/>
        <v>0</v>
      </c>
      <c r="T311" s="3055">
        <f t="shared" si="5"/>
        <v>0</v>
      </c>
      <c r="U311" s="3055">
        <f t="shared" si="6"/>
        <v>0</v>
      </c>
      <c r="V311" s="3055">
        <f t="shared" si="7"/>
        <v>0</v>
      </c>
      <c r="W311" s="3055">
        <f t="shared" si="8"/>
        <v>0</v>
      </c>
      <c r="X311" s="3055">
        <f t="shared" si="9"/>
        <v>0</v>
      </c>
      <c r="Y311" s="3055">
        <f t="shared" si="10"/>
        <v>0</v>
      </c>
      <c r="Z311" s="3055">
        <f t="shared" si="11"/>
        <v>0</v>
      </c>
      <c r="AA311" s="3055">
        <f t="shared" si="12"/>
        <v>0</v>
      </c>
      <c r="AB311" s="3055">
        <f t="shared" si="13"/>
        <v>0</v>
      </c>
      <c r="AC311" s="3055">
        <f t="shared" si="14"/>
        <v>0</v>
      </c>
      <c r="AD311" s="3056"/>
      <c r="AE311" s="3057">
        <f t="shared" si="0"/>
      </c>
      <c r="AF311" s="3054"/>
      <c r="AG311" s="3054"/>
      <c r="AH311" s="3055"/>
      <c r="AI311" s="3055"/>
      <c r="AJ311" s="3055"/>
      <c r="AK311" s="3055"/>
      <c r="AL311" s="3055"/>
      <c r="AM311" s="3055"/>
      <c r="AN311" s="3055"/>
      <c r="AO311" s="3055"/>
      <c r="AP311" s="3055"/>
      <c r="AQ311" s="3055"/>
      <c r="AR311" s="3055"/>
      <c r="AS311" s="3055"/>
      <c r="AT311" s="3055"/>
      <c r="AU311" s="3056"/>
      <c r="AV311" s="3057">
        <f t="shared" si="15"/>
      </c>
      <c r="AW311" s="3054"/>
      <c r="AX311" s="3054"/>
      <c r="AY311" s="3055"/>
      <c r="AZ311" s="3055"/>
      <c r="BA311" s="3055"/>
      <c r="BB311" s="3055"/>
      <c r="BC311" s="3055"/>
      <c r="BD311" s="3055"/>
      <c r="BE311" s="3055"/>
      <c r="BF311" s="3055"/>
      <c r="BG311" s="3055"/>
      <c r="BH311" s="3055"/>
      <c r="BI311" s="3055"/>
      <c r="BJ311" s="3055"/>
      <c r="BK311" s="3055"/>
      <c r="BL311" s="3056"/>
      <c r="BM311" s="3057">
        <f t="shared" si="16"/>
      </c>
      <c r="BN311" s="3054"/>
      <c r="BO311" s="3054"/>
      <c r="BP311" s="3055"/>
      <c r="BQ311" s="3055"/>
      <c r="BR311" s="3055"/>
      <c r="BS311" s="3055"/>
      <c r="BT311" s="3055"/>
      <c r="BU311" s="3055"/>
      <c r="BV311" s="3055"/>
      <c r="BW311" s="3055"/>
      <c r="BX311" s="3055"/>
      <c r="BY311" s="3055"/>
      <c r="BZ311" s="3055"/>
      <c r="CA311" s="3055"/>
      <c r="CB311" s="3055"/>
      <c r="CC311" s="3056"/>
      <c r="CD311" s="3057">
        <f t="shared" si="0"/>
      </c>
      <c r="CE311" s="3054"/>
      <c r="CF311" s="3054"/>
      <c r="CG311" s="3055"/>
      <c r="CH311" s="3055"/>
      <c r="CI311" s="3055"/>
      <c r="CJ311" s="3055"/>
      <c r="CK311" s="3055"/>
      <c r="CL311" s="3055"/>
      <c r="CM311" s="3055"/>
      <c r="CN311" s="3055"/>
      <c r="CO311" s="3055"/>
      <c r="CP311" s="3055"/>
      <c r="CQ311" s="3055"/>
      <c r="CR311" s="3055"/>
      <c r="CS311" s="3055"/>
      <c r="CU311" s="3054"/>
      <c r="CV311" s="696"/>
      <c r="CW311" s="696"/>
      <c r="CZ311" s="3060">
        <f t="shared" si="17"/>
      </c>
      <c r="DA311" s="3060">
        <f t="shared" si="1"/>
      </c>
      <c r="DB311" s="3060">
        <f t="shared" si="18"/>
      </c>
      <c r="DC311" s="3060">
        <f t="shared" si="19"/>
      </c>
      <c r="DD311" s="3060">
        <f t="shared" si="20"/>
      </c>
      <c r="DE311" s="3060">
        <f t="shared" si="21"/>
      </c>
      <c r="DF311" s="3060">
        <f t="shared" si="22"/>
      </c>
      <c r="DG311" s="3060">
        <f t="shared" si="23"/>
      </c>
      <c r="DH311" s="3060">
        <f t="shared" si="24"/>
      </c>
      <c r="DI311" s="3060">
        <f t="shared" si="1"/>
      </c>
    </row>
    <row r="312" ht="15" customHeight="1" s="3052" customFormat="1">
      <c r="B312" s="3054">
        <f t="shared" si="2"/>
      </c>
      <c r="C312" s="3054"/>
      <c r="D312" s="3054"/>
      <c r="E312" s="3055"/>
      <c r="F312" s="3055"/>
      <c r="G312" s="3055"/>
      <c r="H312" s="3055"/>
      <c r="I312" s="3055"/>
      <c r="J312" s="3055"/>
      <c r="K312" s="3055"/>
      <c r="L312" s="3055"/>
      <c r="M312" s="3055"/>
      <c r="N312" s="3055"/>
      <c r="O312" s="3055"/>
      <c r="P312" s="3055"/>
      <c r="Q312" s="3055"/>
      <c r="R312" s="3055">
        <f t="shared" si="3"/>
        <v>0</v>
      </c>
      <c r="S312" s="3055">
        <f t="shared" si="4"/>
        <v>0</v>
      </c>
      <c r="T312" s="3055">
        <f t="shared" si="5"/>
        <v>0</v>
      </c>
      <c r="U312" s="3055">
        <f t="shared" si="6"/>
        <v>0</v>
      </c>
      <c r="V312" s="3055">
        <f t="shared" si="7"/>
        <v>0</v>
      </c>
      <c r="W312" s="3055">
        <f t="shared" si="8"/>
        <v>0</v>
      </c>
      <c r="X312" s="3055">
        <f t="shared" si="9"/>
        <v>0</v>
      </c>
      <c r="Y312" s="3055">
        <f t="shared" si="10"/>
        <v>0</v>
      </c>
      <c r="Z312" s="3055">
        <f t="shared" si="11"/>
        <v>0</v>
      </c>
      <c r="AA312" s="3055">
        <f t="shared" si="12"/>
        <v>0</v>
      </c>
      <c r="AB312" s="3055">
        <f t="shared" si="13"/>
        <v>0</v>
      </c>
      <c r="AC312" s="3055">
        <f t="shared" si="14"/>
        <v>0</v>
      </c>
      <c r="AD312" s="3056"/>
      <c r="AE312" s="3057">
        <f t="shared" si="0"/>
      </c>
      <c r="AF312" s="3054"/>
      <c r="AG312" s="3054"/>
      <c r="AH312" s="3055"/>
      <c r="AI312" s="3055"/>
      <c r="AJ312" s="3055"/>
      <c r="AK312" s="3055"/>
      <c r="AL312" s="3055"/>
      <c r="AM312" s="3055"/>
      <c r="AN312" s="3055"/>
      <c r="AO312" s="3055"/>
      <c r="AP312" s="3055"/>
      <c r="AQ312" s="3055"/>
      <c r="AR312" s="3055"/>
      <c r="AS312" s="3055"/>
      <c r="AT312" s="3055"/>
      <c r="AU312" s="3056"/>
      <c r="AV312" s="3057">
        <f t="shared" si="15"/>
      </c>
      <c r="AW312" s="3054"/>
      <c r="AX312" s="3054"/>
      <c r="AY312" s="3055"/>
      <c r="AZ312" s="3055"/>
      <c r="BA312" s="3055"/>
      <c r="BB312" s="3055"/>
      <c r="BC312" s="3055"/>
      <c r="BD312" s="3055"/>
      <c r="BE312" s="3055"/>
      <c r="BF312" s="3055"/>
      <c r="BG312" s="3055"/>
      <c r="BH312" s="3055"/>
      <c r="BI312" s="3055"/>
      <c r="BJ312" s="3055"/>
      <c r="BK312" s="3055"/>
      <c r="BL312" s="3056"/>
      <c r="BM312" s="3057">
        <f t="shared" si="16"/>
      </c>
      <c r="BN312" s="3054"/>
      <c r="BO312" s="3054"/>
      <c r="BP312" s="3055"/>
      <c r="BQ312" s="3055"/>
      <c r="BR312" s="3055"/>
      <c r="BS312" s="3055"/>
      <c r="BT312" s="3055"/>
      <c r="BU312" s="3055"/>
      <c r="BV312" s="3055"/>
      <c r="BW312" s="3055"/>
      <c r="BX312" s="3055"/>
      <c r="BY312" s="3055"/>
      <c r="BZ312" s="3055"/>
      <c r="CA312" s="3055"/>
      <c r="CB312" s="3055"/>
      <c r="CC312" s="3056"/>
      <c r="CD312" s="3057">
        <f t="shared" si="0"/>
      </c>
      <c r="CE312" s="3054"/>
      <c r="CF312" s="3054"/>
      <c r="CG312" s="3055"/>
      <c r="CH312" s="3055"/>
      <c r="CI312" s="3055"/>
      <c r="CJ312" s="3055"/>
      <c r="CK312" s="3055"/>
      <c r="CL312" s="3055"/>
      <c r="CM312" s="3055"/>
      <c r="CN312" s="3055"/>
      <c r="CO312" s="3055"/>
      <c r="CP312" s="3055"/>
      <c r="CQ312" s="3055"/>
      <c r="CR312" s="3055"/>
      <c r="CS312" s="3055"/>
      <c r="CU312" s="3054"/>
      <c r="CV312" s="696"/>
      <c r="CW312" s="696"/>
      <c r="CZ312" s="3060">
        <f t="shared" si="17"/>
      </c>
      <c r="DA312" s="3060">
        <f t="shared" si="1"/>
      </c>
      <c r="DB312" s="3060">
        <f t="shared" si="18"/>
      </c>
      <c r="DC312" s="3060">
        <f t="shared" si="19"/>
      </c>
      <c r="DD312" s="3060">
        <f t="shared" si="20"/>
      </c>
      <c r="DE312" s="3060">
        <f t="shared" si="21"/>
      </c>
      <c r="DF312" s="3060">
        <f t="shared" si="22"/>
      </c>
      <c r="DG312" s="3060">
        <f t="shared" si="23"/>
      </c>
      <c r="DH312" s="3060">
        <f t="shared" si="24"/>
      </c>
      <c r="DI312" s="3060">
        <f t="shared" si="1"/>
      </c>
    </row>
    <row r="313" ht="15" customHeight="1" s="3052" customFormat="1">
      <c r="B313" s="3054">
        <f t="shared" si="2"/>
      </c>
      <c r="C313" s="3054"/>
      <c r="D313" s="3054"/>
      <c r="E313" s="3055"/>
      <c r="F313" s="3055"/>
      <c r="G313" s="3055"/>
      <c r="H313" s="3055"/>
      <c r="I313" s="3055"/>
      <c r="J313" s="3055"/>
      <c r="K313" s="3055"/>
      <c r="L313" s="3055"/>
      <c r="M313" s="3055"/>
      <c r="N313" s="3055"/>
      <c r="O313" s="3055"/>
      <c r="P313" s="3055"/>
      <c r="Q313" s="3055"/>
      <c r="R313" s="3055">
        <f t="shared" si="3"/>
        <v>0</v>
      </c>
      <c r="S313" s="3055">
        <f t="shared" si="4"/>
        <v>0</v>
      </c>
      <c r="T313" s="3055">
        <f t="shared" si="5"/>
        <v>0</v>
      </c>
      <c r="U313" s="3055">
        <f t="shared" si="6"/>
        <v>0</v>
      </c>
      <c r="V313" s="3055">
        <f t="shared" si="7"/>
        <v>0</v>
      </c>
      <c r="W313" s="3055">
        <f t="shared" si="8"/>
        <v>0</v>
      </c>
      <c r="X313" s="3055">
        <f t="shared" si="9"/>
        <v>0</v>
      </c>
      <c r="Y313" s="3055">
        <f t="shared" si="10"/>
        <v>0</v>
      </c>
      <c r="Z313" s="3055">
        <f t="shared" si="11"/>
        <v>0</v>
      </c>
      <c r="AA313" s="3055">
        <f t="shared" si="12"/>
        <v>0</v>
      </c>
      <c r="AB313" s="3055">
        <f t="shared" si="13"/>
        <v>0</v>
      </c>
      <c r="AC313" s="3055">
        <f t="shared" si="14"/>
        <v>0</v>
      </c>
      <c r="AD313" s="3056"/>
      <c r="AE313" s="3057">
        <f t="shared" si="0"/>
      </c>
      <c r="AF313" s="3054"/>
      <c r="AG313" s="3054"/>
      <c r="AH313" s="3055"/>
      <c r="AI313" s="3055"/>
      <c r="AJ313" s="3055"/>
      <c r="AK313" s="3055"/>
      <c r="AL313" s="3055"/>
      <c r="AM313" s="3055"/>
      <c r="AN313" s="3055"/>
      <c r="AO313" s="3055"/>
      <c r="AP313" s="3055"/>
      <c r="AQ313" s="3055"/>
      <c r="AR313" s="3055"/>
      <c r="AS313" s="3055"/>
      <c r="AT313" s="3055"/>
      <c r="AU313" s="3056"/>
      <c r="AV313" s="3057">
        <f t="shared" si="15"/>
      </c>
      <c r="AW313" s="3054"/>
      <c r="AX313" s="3054"/>
      <c r="AY313" s="3055"/>
      <c r="AZ313" s="3055"/>
      <c r="BA313" s="3055"/>
      <c r="BB313" s="3055"/>
      <c r="BC313" s="3055"/>
      <c r="BD313" s="3055"/>
      <c r="BE313" s="3055"/>
      <c r="BF313" s="3055"/>
      <c r="BG313" s="3055"/>
      <c r="BH313" s="3055"/>
      <c r="BI313" s="3055"/>
      <c r="BJ313" s="3055"/>
      <c r="BK313" s="3055"/>
      <c r="BL313" s="3056"/>
      <c r="BM313" s="3057">
        <f t="shared" si="16"/>
      </c>
      <c r="BN313" s="3054"/>
      <c r="BO313" s="3054"/>
      <c r="BP313" s="3055"/>
      <c r="BQ313" s="3055"/>
      <c r="BR313" s="3055"/>
      <c r="BS313" s="3055"/>
      <c r="BT313" s="3055"/>
      <c r="BU313" s="3055"/>
      <c r="BV313" s="3055"/>
      <c r="BW313" s="3055"/>
      <c r="BX313" s="3055"/>
      <c r="BY313" s="3055"/>
      <c r="BZ313" s="3055"/>
      <c r="CA313" s="3055"/>
      <c r="CB313" s="3055"/>
      <c r="CC313" s="3056"/>
      <c r="CD313" s="3057">
        <f t="shared" si="0"/>
      </c>
      <c r="CE313" s="3054"/>
      <c r="CF313" s="3054"/>
      <c r="CG313" s="3055"/>
      <c r="CH313" s="3055"/>
      <c r="CI313" s="3055"/>
      <c r="CJ313" s="3055"/>
      <c r="CK313" s="3055"/>
      <c r="CL313" s="3055"/>
      <c r="CM313" s="3055"/>
      <c r="CN313" s="3055"/>
      <c r="CO313" s="3055"/>
      <c r="CP313" s="3055"/>
      <c r="CQ313" s="3055"/>
      <c r="CR313" s="3055"/>
      <c r="CS313" s="3055"/>
      <c r="CU313" s="3054"/>
      <c r="CV313" s="696"/>
      <c r="CW313" s="696"/>
      <c r="CZ313" s="3060">
        <f t="shared" si="17"/>
      </c>
      <c r="DA313" s="3060">
        <f t="shared" si="1"/>
      </c>
      <c r="DB313" s="3060">
        <f t="shared" si="18"/>
      </c>
      <c r="DC313" s="3060">
        <f t="shared" si="19"/>
      </c>
      <c r="DD313" s="3060">
        <f t="shared" si="20"/>
      </c>
      <c r="DE313" s="3060">
        <f t="shared" si="21"/>
      </c>
      <c r="DF313" s="3060">
        <f t="shared" si="22"/>
      </c>
      <c r="DG313" s="3060">
        <f t="shared" si="23"/>
      </c>
      <c r="DH313" s="3060">
        <f t="shared" si="24"/>
      </c>
      <c r="DI313" s="3060">
        <f t="shared" si="1"/>
      </c>
    </row>
    <row r="314" ht="15" customHeight="1" s="3052" customFormat="1">
      <c r="B314" s="3054">
        <f t="shared" si="2"/>
      </c>
      <c r="C314" s="3054"/>
      <c r="D314" s="3054"/>
      <c r="E314" s="3055"/>
      <c r="F314" s="3055"/>
      <c r="G314" s="3055"/>
      <c r="H314" s="3055"/>
      <c r="I314" s="3055"/>
      <c r="J314" s="3055"/>
      <c r="K314" s="3055"/>
      <c r="L314" s="3055"/>
      <c r="M314" s="3055"/>
      <c r="N314" s="3055"/>
      <c r="O314" s="3055"/>
      <c r="P314" s="3055"/>
      <c r="Q314" s="3055"/>
      <c r="R314" s="3055">
        <f t="shared" si="3"/>
        <v>0</v>
      </c>
      <c r="S314" s="3055">
        <f t="shared" si="4"/>
        <v>0</v>
      </c>
      <c r="T314" s="3055">
        <f t="shared" si="5"/>
        <v>0</v>
      </c>
      <c r="U314" s="3055">
        <f t="shared" si="6"/>
        <v>0</v>
      </c>
      <c r="V314" s="3055">
        <f t="shared" si="7"/>
        <v>0</v>
      </c>
      <c r="W314" s="3055">
        <f t="shared" si="8"/>
        <v>0</v>
      </c>
      <c r="X314" s="3055">
        <f t="shared" si="9"/>
        <v>0</v>
      </c>
      <c r="Y314" s="3055">
        <f t="shared" si="10"/>
        <v>0</v>
      </c>
      <c r="Z314" s="3055">
        <f t="shared" si="11"/>
        <v>0</v>
      </c>
      <c r="AA314" s="3055">
        <f t="shared" si="12"/>
        <v>0</v>
      </c>
      <c r="AB314" s="3055">
        <f t="shared" si="13"/>
        <v>0</v>
      </c>
      <c r="AC314" s="3055">
        <f t="shared" si="14"/>
        <v>0</v>
      </c>
      <c r="AD314" s="3056"/>
      <c r="AE314" s="3057">
        <f t="shared" si="0"/>
      </c>
      <c r="AF314" s="3054"/>
      <c r="AG314" s="3054"/>
      <c r="AH314" s="3055"/>
      <c r="AI314" s="3055"/>
      <c r="AJ314" s="3055"/>
      <c r="AK314" s="3055"/>
      <c r="AL314" s="3055"/>
      <c r="AM314" s="3055"/>
      <c r="AN314" s="3055"/>
      <c r="AO314" s="3055"/>
      <c r="AP314" s="3055"/>
      <c r="AQ314" s="3055"/>
      <c r="AR314" s="3055"/>
      <c r="AS314" s="3055"/>
      <c r="AT314" s="3055"/>
      <c r="AU314" s="3056"/>
      <c r="AV314" s="3057">
        <f t="shared" si="15"/>
      </c>
      <c r="AW314" s="3054"/>
      <c r="AX314" s="3054"/>
      <c r="AY314" s="3055"/>
      <c r="AZ314" s="3055"/>
      <c r="BA314" s="3055"/>
      <c r="BB314" s="3055"/>
      <c r="BC314" s="3055"/>
      <c r="BD314" s="3055"/>
      <c r="BE314" s="3055"/>
      <c r="BF314" s="3055"/>
      <c r="BG314" s="3055"/>
      <c r="BH314" s="3055"/>
      <c r="BI314" s="3055"/>
      <c r="BJ314" s="3055"/>
      <c r="BK314" s="3055"/>
      <c r="BL314" s="3056"/>
      <c r="BM314" s="3057">
        <f t="shared" si="16"/>
      </c>
      <c r="BN314" s="3054"/>
      <c r="BO314" s="3054"/>
      <c r="BP314" s="3055"/>
      <c r="BQ314" s="3055"/>
      <c r="BR314" s="3055"/>
      <c r="BS314" s="3055"/>
      <c r="BT314" s="3055"/>
      <c r="BU314" s="3055"/>
      <c r="BV314" s="3055"/>
      <c r="BW314" s="3055"/>
      <c r="BX314" s="3055"/>
      <c r="BY314" s="3055"/>
      <c r="BZ314" s="3055"/>
      <c r="CA314" s="3055"/>
      <c r="CB314" s="3055"/>
      <c r="CC314" s="3056"/>
      <c r="CD314" s="3057">
        <f t="shared" si="0"/>
      </c>
      <c r="CE314" s="3054"/>
      <c r="CF314" s="3054"/>
      <c r="CG314" s="3055"/>
      <c r="CH314" s="3055"/>
      <c r="CI314" s="3055"/>
      <c r="CJ314" s="3055"/>
      <c r="CK314" s="3055"/>
      <c r="CL314" s="3055"/>
      <c r="CM314" s="3055"/>
      <c r="CN314" s="3055"/>
      <c r="CO314" s="3055"/>
      <c r="CP314" s="3055"/>
      <c r="CQ314" s="3055"/>
      <c r="CR314" s="3055"/>
      <c r="CS314" s="3055"/>
      <c r="CU314" s="3054"/>
      <c r="CV314" s="696"/>
      <c r="CW314" s="696"/>
      <c r="CZ314" s="3060">
        <f t="shared" si="17"/>
      </c>
      <c r="DA314" s="3060">
        <f t="shared" si="1"/>
      </c>
      <c r="DB314" s="3060">
        <f t="shared" si="18"/>
      </c>
      <c r="DC314" s="3060">
        <f t="shared" si="19"/>
      </c>
      <c r="DD314" s="3060">
        <f t="shared" si="20"/>
      </c>
      <c r="DE314" s="3060">
        <f t="shared" si="21"/>
      </c>
      <c r="DF314" s="3060">
        <f t="shared" si="22"/>
      </c>
      <c r="DG314" s="3060">
        <f t="shared" si="23"/>
      </c>
      <c r="DH314" s="3060">
        <f t="shared" si="24"/>
      </c>
      <c r="DI314" s="3060">
        <f t="shared" si="1"/>
      </c>
    </row>
    <row r="315" ht="15" customHeight="1" s="3052" customFormat="1">
      <c r="B315" s="3054">
        <f t="shared" si="2"/>
      </c>
      <c r="C315" s="3054"/>
      <c r="D315" s="3054"/>
      <c r="E315" s="3055"/>
      <c r="F315" s="3055"/>
      <c r="G315" s="3055"/>
      <c r="H315" s="3055"/>
      <c r="I315" s="3055"/>
      <c r="J315" s="3055"/>
      <c r="K315" s="3055"/>
      <c r="L315" s="3055"/>
      <c r="M315" s="3055"/>
      <c r="N315" s="3055"/>
      <c r="O315" s="3055"/>
      <c r="P315" s="3055"/>
      <c r="Q315" s="3055"/>
      <c r="R315" s="3055">
        <f t="shared" si="3"/>
        <v>0</v>
      </c>
      <c r="S315" s="3055">
        <f t="shared" si="4"/>
        <v>0</v>
      </c>
      <c r="T315" s="3055">
        <f t="shared" si="5"/>
        <v>0</v>
      </c>
      <c r="U315" s="3055">
        <f t="shared" si="6"/>
        <v>0</v>
      </c>
      <c r="V315" s="3055">
        <f t="shared" si="7"/>
        <v>0</v>
      </c>
      <c r="W315" s="3055">
        <f t="shared" si="8"/>
        <v>0</v>
      </c>
      <c r="X315" s="3055">
        <f t="shared" si="9"/>
        <v>0</v>
      </c>
      <c r="Y315" s="3055">
        <f t="shared" si="10"/>
        <v>0</v>
      </c>
      <c r="Z315" s="3055">
        <f t="shared" si="11"/>
        <v>0</v>
      </c>
      <c r="AA315" s="3055">
        <f t="shared" si="12"/>
        <v>0</v>
      </c>
      <c r="AB315" s="3055">
        <f t="shared" si="13"/>
        <v>0</v>
      </c>
      <c r="AC315" s="3055">
        <f t="shared" si="14"/>
        <v>0</v>
      </c>
      <c r="AD315" s="3056"/>
      <c r="AE315" s="3057">
        <f t="shared" si="0"/>
      </c>
      <c r="AF315" s="3054"/>
      <c r="AG315" s="3054"/>
      <c r="AH315" s="3055"/>
      <c r="AI315" s="3055"/>
      <c r="AJ315" s="3055"/>
      <c r="AK315" s="3055"/>
      <c r="AL315" s="3055"/>
      <c r="AM315" s="3055"/>
      <c r="AN315" s="3055"/>
      <c r="AO315" s="3055"/>
      <c r="AP315" s="3055"/>
      <c r="AQ315" s="3055"/>
      <c r="AR315" s="3055"/>
      <c r="AS315" s="3055"/>
      <c r="AT315" s="3055"/>
      <c r="AU315" s="3056"/>
      <c r="AV315" s="3057">
        <f t="shared" si="15"/>
      </c>
      <c r="AW315" s="3054"/>
      <c r="AX315" s="3054"/>
      <c r="AY315" s="3055"/>
      <c r="AZ315" s="3055"/>
      <c r="BA315" s="3055"/>
      <c r="BB315" s="3055"/>
      <c r="BC315" s="3055"/>
      <c r="BD315" s="3055"/>
      <c r="BE315" s="3055"/>
      <c r="BF315" s="3055"/>
      <c r="BG315" s="3055"/>
      <c r="BH315" s="3055"/>
      <c r="BI315" s="3055"/>
      <c r="BJ315" s="3055"/>
      <c r="BK315" s="3055"/>
      <c r="BL315" s="3056"/>
      <c r="BM315" s="3057">
        <f t="shared" si="16"/>
      </c>
      <c r="BN315" s="3054"/>
      <c r="BO315" s="3054"/>
      <c r="BP315" s="3055"/>
      <c r="BQ315" s="3055"/>
      <c r="BR315" s="3055"/>
      <c r="BS315" s="3055"/>
      <c r="BT315" s="3055"/>
      <c r="BU315" s="3055"/>
      <c r="BV315" s="3055"/>
      <c r="BW315" s="3055"/>
      <c r="BX315" s="3055"/>
      <c r="BY315" s="3055"/>
      <c r="BZ315" s="3055"/>
      <c r="CA315" s="3055"/>
      <c r="CB315" s="3055"/>
      <c r="CC315" s="3056"/>
      <c r="CD315" s="3057">
        <f t="shared" si="0"/>
      </c>
      <c r="CE315" s="3054"/>
      <c r="CF315" s="3054"/>
      <c r="CG315" s="3055"/>
      <c r="CH315" s="3055"/>
      <c r="CI315" s="3055"/>
      <c r="CJ315" s="3055"/>
      <c r="CK315" s="3055"/>
      <c r="CL315" s="3055"/>
      <c r="CM315" s="3055"/>
      <c r="CN315" s="3055"/>
      <c r="CO315" s="3055"/>
      <c r="CP315" s="3055"/>
      <c r="CQ315" s="3055"/>
      <c r="CR315" s="3055"/>
      <c r="CS315" s="3055"/>
      <c r="CU315" s="3054"/>
      <c r="CV315" s="696"/>
      <c r="CW315" s="696"/>
      <c r="CZ315" s="3060">
        <f t="shared" si="17"/>
      </c>
      <c r="DA315" s="3060">
        <f t="shared" si="1"/>
      </c>
      <c r="DB315" s="3060">
        <f t="shared" si="18"/>
      </c>
      <c r="DC315" s="3060">
        <f t="shared" si="19"/>
      </c>
      <c r="DD315" s="3060">
        <f t="shared" si="20"/>
      </c>
      <c r="DE315" s="3060">
        <f t="shared" si="21"/>
      </c>
      <c r="DF315" s="3060">
        <f t="shared" si="22"/>
      </c>
      <c r="DG315" s="3060">
        <f t="shared" si="23"/>
      </c>
      <c r="DH315" s="3060">
        <f t="shared" si="24"/>
      </c>
      <c r="DI315" s="3060">
        <f t="shared" si="1"/>
      </c>
    </row>
    <row r="316" ht="15" customHeight="1" s="3052" customFormat="1">
      <c r="B316" s="3054">
        <f t="shared" si="2"/>
      </c>
      <c r="C316" s="3054"/>
      <c r="D316" s="3054"/>
      <c r="E316" s="3055"/>
      <c r="F316" s="3055"/>
      <c r="G316" s="3055"/>
      <c r="H316" s="3055"/>
      <c r="I316" s="3055"/>
      <c r="J316" s="3055"/>
      <c r="K316" s="3055"/>
      <c r="L316" s="3055"/>
      <c r="M316" s="3055"/>
      <c r="N316" s="3055"/>
      <c r="O316" s="3055"/>
      <c r="P316" s="3055"/>
      <c r="Q316" s="3055"/>
      <c r="R316" s="3055">
        <f t="shared" si="3"/>
        <v>0</v>
      </c>
      <c r="S316" s="3055">
        <f t="shared" si="4"/>
        <v>0</v>
      </c>
      <c r="T316" s="3055">
        <f t="shared" si="5"/>
        <v>0</v>
      </c>
      <c r="U316" s="3055">
        <f t="shared" si="6"/>
        <v>0</v>
      </c>
      <c r="V316" s="3055">
        <f t="shared" si="7"/>
        <v>0</v>
      </c>
      <c r="W316" s="3055">
        <f t="shared" si="8"/>
        <v>0</v>
      </c>
      <c r="X316" s="3055">
        <f t="shared" si="9"/>
        <v>0</v>
      </c>
      <c r="Y316" s="3055">
        <f t="shared" si="10"/>
        <v>0</v>
      </c>
      <c r="Z316" s="3055">
        <f t="shared" si="11"/>
        <v>0</v>
      </c>
      <c r="AA316" s="3055">
        <f t="shared" si="12"/>
        <v>0</v>
      </c>
      <c r="AB316" s="3055">
        <f t="shared" si="13"/>
        <v>0</v>
      </c>
      <c r="AC316" s="3055">
        <f t="shared" si="14"/>
        <v>0</v>
      </c>
      <c r="AD316" s="3056"/>
      <c r="AE316" s="3057">
        <f t="shared" si="0"/>
      </c>
      <c r="AF316" s="3054"/>
      <c r="AG316" s="3054"/>
      <c r="AH316" s="3055"/>
      <c r="AI316" s="3055"/>
      <c r="AJ316" s="3055"/>
      <c r="AK316" s="3055"/>
      <c r="AL316" s="3055"/>
      <c r="AM316" s="3055"/>
      <c r="AN316" s="3055"/>
      <c r="AO316" s="3055"/>
      <c r="AP316" s="3055"/>
      <c r="AQ316" s="3055"/>
      <c r="AR316" s="3055"/>
      <c r="AS316" s="3055"/>
      <c r="AT316" s="3055"/>
      <c r="AU316" s="3056"/>
      <c r="AV316" s="3057">
        <f t="shared" si="15"/>
      </c>
      <c r="AW316" s="3054"/>
      <c r="AX316" s="3054"/>
      <c r="AY316" s="3055"/>
      <c r="AZ316" s="3055"/>
      <c r="BA316" s="3055"/>
      <c r="BB316" s="3055"/>
      <c r="BC316" s="3055"/>
      <c r="BD316" s="3055"/>
      <c r="BE316" s="3055"/>
      <c r="BF316" s="3055"/>
      <c r="BG316" s="3055"/>
      <c r="BH316" s="3055"/>
      <c r="BI316" s="3055"/>
      <c r="BJ316" s="3055"/>
      <c r="BK316" s="3055"/>
      <c r="BL316" s="3056"/>
      <c r="BM316" s="3057">
        <f t="shared" si="16"/>
      </c>
      <c r="BN316" s="3054"/>
      <c r="BO316" s="3054"/>
      <c r="BP316" s="3055"/>
      <c r="BQ316" s="3055"/>
      <c r="BR316" s="3055"/>
      <c r="BS316" s="3055"/>
      <c r="BT316" s="3055"/>
      <c r="BU316" s="3055"/>
      <c r="BV316" s="3055"/>
      <c r="BW316" s="3055"/>
      <c r="BX316" s="3055"/>
      <c r="BY316" s="3055"/>
      <c r="BZ316" s="3055"/>
      <c r="CA316" s="3055"/>
      <c r="CB316" s="3055"/>
      <c r="CC316" s="3056"/>
      <c r="CD316" s="3057">
        <f t="shared" si="0"/>
      </c>
      <c r="CE316" s="3054"/>
      <c r="CF316" s="3054"/>
      <c r="CG316" s="3055"/>
      <c r="CH316" s="3055"/>
      <c r="CI316" s="3055"/>
      <c r="CJ316" s="3055"/>
      <c r="CK316" s="3055"/>
      <c r="CL316" s="3055"/>
      <c r="CM316" s="3055"/>
      <c r="CN316" s="3055"/>
      <c r="CO316" s="3055"/>
      <c r="CP316" s="3055"/>
      <c r="CQ316" s="3055"/>
      <c r="CR316" s="3055"/>
      <c r="CS316" s="3055"/>
      <c r="CU316" s="3054"/>
      <c r="CV316" s="696"/>
      <c r="CW316" s="696"/>
      <c r="CZ316" s="3060">
        <f t="shared" si="17"/>
      </c>
      <c r="DA316" s="3060">
        <f t="shared" si="1"/>
      </c>
      <c r="DB316" s="3060">
        <f t="shared" si="18"/>
      </c>
      <c r="DC316" s="3060">
        <f t="shared" si="19"/>
      </c>
      <c r="DD316" s="3060">
        <f t="shared" si="20"/>
      </c>
      <c r="DE316" s="3060">
        <f t="shared" si="21"/>
      </c>
      <c r="DF316" s="3060">
        <f t="shared" si="22"/>
      </c>
      <c r="DG316" s="3060">
        <f t="shared" si="23"/>
      </c>
      <c r="DH316" s="3060">
        <f t="shared" si="24"/>
      </c>
      <c r="DI316" s="3060">
        <f t="shared" si="1"/>
      </c>
    </row>
    <row r="317" ht="15" customHeight="1" s="3052" customFormat="1">
      <c r="B317" s="3054">
        <f t="shared" si="2"/>
      </c>
      <c r="C317" s="3054"/>
      <c r="D317" s="3054"/>
      <c r="E317" s="3055"/>
      <c r="F317" s="3055"/>
      <c r="G317" s="3055"/>
      <c r="H317" s="3055"/>
      <c r="I317" s="3055"/>
      <c r="J317" s="3055"/>
      <c r="K317" s="3055"/>
      <c r="L317" s="3055"/>
      <c r="M317" s="3055"/>
      <c r="N317" s="3055"/>
      <c r="O317" s="3055"/>
      <c r="P317" s="3055"/>
      <c r="Q317" s="3055"/>
      <c r="R317" s="3055">
        <f t="shared" si="3"/>
        <v>0</v>
      </c>
      <c r="S317" s="3055">
        <f t="shared" si="4"/>
        <v>0</v>
      </c>
      <c r="T317" s="3055">
        <f t="shared" si="5"/>
        <v>0</v>
      </c>
      <c r="U317" s="3055">
        <f t="shared" si="6"/>
        <v>0</v>
      </c>
      <c r="V317" s="3055">
        <f t="shared" si="7"/>
        <v>0</v>
      </c>
      <c r="W317" s="3055">
        <f t="shared" si="8"/>
        <v>0</v>
      </c>
      <c r="X317" s="3055">
        <f t="shared" si="9"/>
        <v>0</v>
      </c>
      <c r="Y317" s="3055">
        <f t="shared" si="10"/>
        <v>0</v>
      </c>
      <c r="Z317" s="3055">
        <f t="shared" si="11"/>
        <v>0</v>
      </c>
      <c r="AA317" s="3055">
        <f t="shared" si="12"/>
        <v>0</v>
      </c>
      <c r="AB317" s="3055">
        <f t="shared" si="13"/>
        <v>0</v>
      </c>
      <c r="AC317" s="3055">
        <f t="shared" si="14"/>
        <v>0</v>
      </c>
      <c r="AD317" s="3056"/>
      <c r="AE317" s="3057">
        <f t="shared" si="0"/>
      </c>
      <c r="AF317" s="3054"/>
      <c r="AG317" s="3054"/>
      <c r="AH317" s="3055"/>
      <c r="AI317" s="3055"/>
      <c r="AJ317" s="3055"/>
      <c r="AK317" s="3055"/>
      <c r="AL317" s="3055"/>
      <c r="AM317" s="3055"/>
      <c r="AN317" s="3055"/>
      <c r="AO317" s="3055"/>
      <c r="AP317" s="3055"/>
      <c r="AQ317" s="3055"/>
      <c r="AR317" s="3055"/>
      <c r="AS317" s="3055"/>
      <c r="AT317" s="3055"/>
      <c r="AU317" s="3056"/>
      <c r="AV317" s="3057">
        <f t="shared" si="15"/>
      </c>
      <c r="AW317" s="3054"/>
      <c r="AX317" s="3054"/>
      <c r="AY317" s="3055"/>
      <c r="AZ317" s="3055"/>
      <c r="BA317" s="3055"/>
      <c r="BB317" s="3055"/>
      <c r="BC317" s="3055"/>
      <c r="BD317" s="3055"/>
      <c r="BE317" s="3055"/>
      <c r="BF317" s="3055"/>
      <c r="BG317" s="3055"/>
      <c r="BH317" s="3055"/>
      <c r="BI317" s="3055"/>
      <c r="BJ317" s="3055"/>
      <c r="BK317" s="3055"/>
      <c r="BL317" s="3056"/>
      <c r="BM317" s="3057">
        <f t="shared" si="16"/>
      </c>
      <c r="BN317" s="3054"/>
      <c r="BO317" s="3054"/>
      <c r="BP317" s="3055"/>
      <c r="BQ317" s="3055"/>
      <c r="BR317" s="3055"/>
      <c r="BS317" s="3055"/>
      <c r="BT317" s="3055"/>
      <c r="BU317" s="3055"/>
      <c r="BV317" s="3055"/>
      <c r="BW317" s="3055"/>
      <c r="BX317" s="3055"/>
      <c r="BY317" s="3055"/>
      <c r="BZ317" s="3055"/>
      <c r="CA317" s="3055"/>
      <c r="CB317" s="3055"/>
      <c r="CC317" s="3056"/>
      <c r="CD317" s="3057">
        <f t="shared" si="0"/>
      </c>
      <c r="CE317" s="3054"/>
      <c r="CF317" s="3054"/>
      <c r="CG317" s="3055"/>
      <c r="CH317" s="3055"/>
      <c r="CI317" s="3055"/>
      <c r="CJ317" s="3055"/>
      <c r="CK317" s="3055"/>
      <c r="CL317" s="3055"/>
      <c r="CM317" s="3055"/>
      <c r="CN317" s="3055"/>
      <c r="CO317" s="3055"/>
      <c r="CP317" s="3055"/>
      <c r="CQ317" s="3055"/>
      <c r="CR317" s="3055"/>
      <c r="CS317" s="3055"/>
      <c r="CU317" s="3054"/>
      <c r="CV317" s="696"/>
      <c r="CW317" s="696"/>
      <c r="CZ317" s="3060">
        <f t="shared" si="17"/>
      </c>
      <c r="DA317" s="3060">
        <f t="shared" si="1"/>
      </c>
      <c r="DB317" s="3060">
        <f t="shared" si="18"/>
      </c>
      <c r="DC317" s="3060">
        <f t="shared" si="19"/>
      </c>
      <c r="DD317" s="3060">
        <f t="shared" si="20"/>
      </c>
      <c r="DE317" s="3060">
        <f t="shared" si="21"/>
      </c>
      <c r="DF317" s="3060">
        <f t="shared" si="22"/>
      </c>
      <c r="DG317" s="3060">
        <f t="shared" si="23"/>
      </c>
      <c r="DH317" s="3060">
        <f t="shared" si="24"/>
      </c>
      <c r="DI317" s="3060">
        <f t="shared" si="1"/>
      </c>
    </row>
    <row r="318" ht="15" customHeight="1" s="3052" customFormat="1">
      <c r="B318" s="3054">
        <f t="shared" si="2"/>
      </c>
      <c r="C318" s="3054"/>
      <c r="D318" s="3054"/>
      <c r="E318" s="3055"/>
      <c r="F318" s="3055"/>
      <c r="G318" s="3055"/>
      <c r="H318" s="3055"/>
      <c r="I318" s="3055"/>
      <c r="J318" s="3055"/>
      <c r="K318" s="3055"/>
      <c r="L318" s="3055"/>
      <c r="M318" s="3055"/>
      <c r="N318" s="3055"/>
      <c r="O318" s="3055"/>
      <c r="P318" s="3055"/>
      <c r="Q318" s="3055"/>
      <c r="R318" s="3055">
        <f t="shared" si="3"/>
        <v>0</v>
      </c>
      <c r="S318" s="3055">
        <f t="shared" si="4"/>
        <v>0</v>
      </c>
      <c r="T318" s="3055">
        <f t="shared" si="5"/>
        <v>0</v>
      </c>
      <c r="U318" s="3055">
        <f t="shared" si="6"/>
        <v>0</v>
      </c>
      <c r="V318" s="3055">
        <f t="shared" si="7"/>
        <v>0</v>
      </c>
      <c r="W318" s="3055">
        <f t="shared" si="8"/>
        <v>0</v>
      </c>
      <c r="X318" s="3055">
        <f t="shared" si="9"/>
        <v>0</v>
      </c>
      <c r="Y318" s="3055">
        <f t="shared" si="10"/>
        <v>0</v>
      </c>
      <c r="Z318" s="3055">
        <f t="shared" si="11"/>
        <v>0</v>
      </c>
      <c r="AA318" s="3055">
        <f t="shared" si="12"/>
        <v>0</v>
      </c>
      <c r="AB318" s="3055">
        <f t="shared" si="13"/>
        <v>0</v>
      </c>
      <c r="AC318" s="3055">
        <f t="shared" si="14"/>
        <v>0</v>
      </c>
      <c r="AD318" s="3056"/>
      <c r="AE318" s="3057">
        <f t="shared" si="0"/>
      </c>
      <c r="AF318" s="3054"/>
      <c r="AG318" s="3054"/>
      <c r="AH318" s="3055"/>
      <c r="AI318" s="3055"/>
      <c r="AJ318" s="3055"/>
      <c r="AK318" s="3055"/>
      <c r="AL318" s="3055"/>
      <c r="AM318" s="3055"/>
      <c r="AN318" s="3055"/>
      <c r="AO318" s="3055"/>
      <c r="AP318" s="3055"/>
      <c r="AQ318" s="3055"/>
      <c r="AR318" s="3055"/>
      <c r="AS318" s="3055"/>
      <c r="AT318" s="3055"/>
      <c r="AU318" s="3056"/>
      <c r="AV318" s="3057">
        <f t="shared" si="15"/>
      </c>
      <c r="AW318" s="3054"/>
      <c r="AX318" s="3054"/>
      <c r="AY318" s="3055"/>
      <c r="AZ318" s="3055"/>
      <c r="BA318" s="3055"/>
      <c r="BB318" s="3055"/>
      <c r="BC318" s="3055"/>
      <c r="BD318" s="3055"/>
      <c r="BE318" s="3055"/>
      <c r="BF318" s="3055"/>
      <c r="BG318" s="3055"/>
      <c r="BH318" s="3055"/>
      <c r="BI318" s="3055"/>
      <c r="BJ318" s="3055"/>
      <c r="BK318" s="3055"/>
      <c r="BL318" s="3056"/>
      <c r="BM318" s="3057">
        <f t="shared" si="16"/>
      </c>
      <c r="BN318" s="3054"/>
      <c r="BO318" s="3054"/>
      <c r="BP318" s="3055"/>
      <c r="BQ318" s="3055"/>
      <c r="BR318" s="3055"/>
      <c r="BS318" s="3055"/>
      <c r="BT318" s="3055"/>
      <c r="BU318" s="3055"/>
      <c r="BV318" s="3055"/>
      <c r="BW318" s="3055"/>
      <c r="BX318" s="3055"/>
      <c r="BY318" s="3055"/>
      <c r="BZ318" s="3055"/>
      <c r="CA318" s="3055"/>
      <c r="CB318" s="3055"/>
      <c r="CC318" s="3056"/>
      <c r="CD318" s="3057">
        <f t="shared" si="0"/>
      </c>
      <c r="CE318" s="3054"/>
      <c r="CF318" s="3054"/>
      <c r="CG318" s="3055"/>
      <c r="CH318" s="3055"/>
      <c r="CI318" s="3055"/>
      <c r="CJ318" s="3055"/>
      <c r="CK318" s="3055"/>
      <c r="CL318" s="3055"/>
      <c r="CM318" s="3055"/>
      <c r="CN318" s="3055"/>
      <c r="CO318" s="3055"/>
      <c r="CP318" s="3055"/>
      <c r="CQ318" s="3055"/>
      <c r="CR318" s="3055"/>
      <c r="CS318" s="3055"/>
      <c r="CU318" s="3054"/>
      <c r="CV318" s="696"/>
      <c r="CW318" s="696"/>
      <c r="CZ318" s="3060">
        <f t="shared" si="17"/>
      </c>
      <c r="DA318" s="3060">
        <f t="shared" si="1"/>
      </c>
      <c r="DB318" s="3060">
        <f t="shared" si="18"/>
      </c>
      <c r="DC318" s="3060">
        <f t="shared" si="19"/>
      </c>
      <c r="DD318" s="3060">
        <f t="shared" si="20"/>
      </c>
      <c r="DE318" s="3060">
        <f t="shared" si="21"/>
      </c>
      <c r="DF318" s="3060">
        <f t="shared" si="22"/>
      </c>
      <c r="DG318" s="3060">
        <f t="shared" si="23"/>
      </c>
      <c r="DH318" s="3060">
        <f t="shared" si="24"/>
      </c>
      <c r="DI318" s="3060">
        <f t="shared" si="1"/>
      </c>
    </row>
    <row r="319" ht="15" customHeight="1" s="3052" customFormat="1">
      <c r="B319" s="3054">
        <f t="shared" si="2"/>
      </c>
      <c r="C319" s="3054"/>
      <c r="D319" s="3054"/>
      <c r="E319" s="3055"/>
      <c r="F319" s="3055"/>
      <c r="G319" s="3055"/>
      <c r="H319" s="3055"/>
      <c r="I319" s="3055"/>
      <c r="J319" s="3055"/>
      <c r="K319" s="3055"/>
      <c r="L319" s="3055"/>
      <c r="M319" s="3055"/>
      <c r="N319" s="3055"/>
      <c r="O319" s="3055"/>
      <c r="P319" s="3055"/>
      <c r="Q319" s="3055"/>
      <c r="R319" s="3055">
        <f t="shared" si="3"/>
        <v>0</v>
      </c>
      <c r="S319" s="3055">
        <f t="shared" si="4"/>
        <v>0</v>
      </c>
      <c r="T319" s="3055">
        <f t="shared" si="5"/>
        <v>0</v>
      </c>
      <c r="U319" s="3055">
        <f t="shared" si="6"/>
        <v>0</v>
      </c>
      <c r="V319" s="3055">
        <f t="shared" si="7"/>
        <v>0</v>
      </c>
      <c r="W319" s="3055">
        <f t="shared" si="8"/>
        <v>0</v>
      </c>
      <c r="X319" s="3055">
        <f t="shared" si="9"/>
        <v>0</v>
      </c>
      <c r="Y319" s="3055">
        <f t="shared" si="10"/>
        <v>0</v>
      </c>
      <c r="Z319" s="3055">
        <f t="shared" si="11"/>
        <v>0</v>
      </c>
      <c r="AA319" s="3055">
        <f t="shared" si="12"/>
        <v>0</v>
      </c>
      <c r="AB319" s="3055">
        <f t="shared" si="13"/>
        <v>0</v>
      </c>
      <c r="AC319" s="3055">
        <f t="shared" si="14"/>
        <v>0</v>
      </c>
      <c r="AD319" s="3056"/>
      <c r="AE319" s="3057">
        <f t="shared" si="0"/>
      </c>
      <c r="AF319" s="3054"/>
      <c r="AG319" s="3054"/>
      <c r="AH319" s="3055"/>
      <c r="AI319" s="3055"/>
      <c r="AJ319" s="3055"/>
      <c r="AK319" s="3055"/>
      <c r="AL319" s="3055"/>
      <c r="AM319" s="3055"/>
      <c r="AN319" s="3055"/>
      <c r="AO319" s="3055"/>
      <c r="AP319" s="3055"/>
      <c r="AQ319" s="3055"/>
      <c r="AR319" s="3055"/>
      <c r="AS319" s="3055"/>
      <c r="AT319" s="3055"/>
      <c r="AU319" s="3056"/>
      <c r="AV319" s="3057">
        <f t="shared" si="15"/>
      </c>
      <c r="AW319" s="3054"/>
      <c r="AX319" s="3054"/>
      <c r="AY319" s="3055"/>
      <c r="AZ319" s="3055"/>
      <c r="BA319" s="3055"/>
      <c r="BB319" s="3055"/>
      <c r="BC319" s="3055"/>
      <c r="BD319" s="3055"/>
      <c r="BE319" s="3055"/>
      <c r="BF319" s="3055"/>
      <c r="BG319" s="3055"/>
      <c r="BH319" s="3055"/>
      <c r="BI319" s="3055"/>
      <c r="BJ319" s="3055"/>
      <c r="BK319" s="3055"/>
      <c r="BL319" s="3056"/>
      <c r="BM319" s="3057">
        <f t="shared" si="16"/>
      </c>
      <c r="BN319" s="3054"/>
      <c r="BO319" s="3054"/>
      <c r="BP319" s="3055"/>
      <c r="BQ319" s="3055"/>
      <c r="BR319" s="3055"/>
      <c r="BS319" s="3055"/>
      <c r="BT319" s="3055"/>
      <c r="BU319" s="3055"/>
      <c r="BV319" s="3055"/>
      <c r="BW319" s="3055"/>
      <c r="BX319" s="3055"/>
      <c r="BY319" s="3055"/>
      <c r="BZ319" s="3055"/>
      <c r="CA319" s="3055"/>
      <c r="CB319" s="3055"/>
      <c r="CC319" s="3056"/>
      <c r="CD319" s="3057">
        <f t="shared" si="0"/>
      </c>
      <c r="CE319" s="3054"/>
      <c r="CF319" s="3054"/>
      <c r="CG319" s="3055"/>
      <c r="CH319" s="3055"/>
      <c r="CI319" s="3055"/>
      <c r="CJ319" s="3055"/>
      <c r="CK319" s="3055"/>
      <c r="CL319" s="3055"/>
      <c r="CM319" s="3055"/>
      <c r="CN319" s="3055"/>
      <c r="CO319" s="3055"/>
      <c r="CP319" s="3055"/>
      <c r="CQ319" s="3055"/>
      <c r="CR319" s="3055"/>
      <c r="CS319" s="3055"/>
      <c r="CU319" s="3054"/>
      <c r="CV319" s="696"/>
      <c r="CW319" s="696"/>
      <c r="CZ319" s="3060">
        <f t="shared" si="17"/>
      </c>
      <c r="DA319" s="3060">
        <f t="shared" si="1"/>
      </c>
      <c r="DB319" s="3060">
        <f t="shared" si="18"/>
      </c>
      <c r="DC319" s="3060">
        <f t="shared" si="19"/>
      </c>
      <c r="DD319" s="3060">
        <f t="shared" si="20"/>
      </c>
      <c r="DE319" s="3060">
        <f t="shared" si="21"/>
      </c>
      <c r="DF319" s="3060">
        <f t="shared" si="22"/>
      </c>
      <c r="DG319" s="3060">
        <f t="shared" si="23"/>
      </c>
      <c r="DH319" s="3060">
        <f t="shared" si="24"/>
      </c>
      <c r="DI319" s="3060">
        <f t="shared" si="1"/>
      </c>
    </row>
    <row r="320" ht="15" customHeight="1" s="3052" customFormat="1">
      <c r="B320" s="3054">
        <f t="shared" si="2"/>
      </c>
      <c r="C320" s="3054"/>
      <c r="D320" s="3054"/>
      <c r="E320" s="3055"/>
      <c r="F320" s="3055"/>
      <c r="G320" s="3055"/>
      <c r="H320" s="3055"/>
      <c r="I320" s="3055"/>
      <c r="J320" s="3055"/>
      <c r="K320" s="3055"/>
      <c r="L320" s="3055"/>
      <c r="M320" s="3055"/>
      <c r="N320" s="3055"/>
      <c r="O320" s="3055"/>
      <c r="P320" s="3055"/>
      <c r="Q320" s="3055"/>
      <c r="R320" s="3055">
        <f t="shared" si="3"/>
        <v>0</v>
      </c>
      <c r="S320" s="3055">
        <f t="shared" si="4"/>
        <v>0</v>
      </c>
      <c r="T320" s="3055">
        <f t="shared" si="5"/>
        <v>0</v>
      </c>
      <c r="U320" s="3055">
        <f t="shared" si="6"/>
        <v>0</v>
      </c>
      <c r="V320" s="3055">
        <f t="shared" si="7"/>
        <v>0</v>
      </c>
      <c r="W320" s="3055">
        <f t="shared" si="8"/>
        <v>0</v>
      </c>
      <c r="X320" s="3055">
        <f t="shared" si="9"/>
        <v>0</v>
      </c>
      <c r="Y320" s="3055">
        <f t="shared" si="10"/>
        <v>0</v>
      </c>
      <c r="Z320" s="3055">
        <f t="shared" si="11"/>
        <v>0</v>
      </c>
      <c r="AA320" s="3055">
        <f t="shared" si="12"/>
        <v>0</v>
      </c>
      <c r="AB320" s="3055">
        <f t="shared" si="13"/>
        <v>0</v>
      </c>
      <c r="AC320" s="3055">
        <f t="shared" si="14"/>
        <v>0</v>
      </c>
      <c r="AD320" s="3056"/>
      <c r="AE320" s="3057">
        <f t="shared" si="0"/>
      </c>
      <c r="AF320" s="3054"/>
      <c r="AG320" s="3054"/>
      <c r="AH320" s="3055"/>
      <c r="AI320" s="3055"/>
      <c r="AJ320" s="3055"/>
      <c r="AK320" s="3055"/>
      <c r="AL320" s="3055"/>
      <c r="AM320" s="3055"/>
      <c r="AN320" s="3055"/>
      <c r="AO320" s="3055"/>
      <c r="AP320" s="3055"/>
      <c r="AQ320" s="3055"/>
      <c r="AR320" s="3055"/>
      <c r="AS320" s="3055"/>
      <c r="AT320" s="3055"/>
      <c r="AU320" s="3056"/>
      <c r="AV320" s="3057">
        <f t="shared" si="15"/>
      </c>
      <c r="AW320" s="3054"/>
      <c r="AX320" s="3054"/>
      <c r="AY320" s="3055"/>
      <c r="AZ320" s="3055"/>
      <c r="BA320" s="3055"/>
      <c r="BB320" s="3055"/>
      <c r="BC320" s="3055"/>
      <c r="BD320" s="3055"/>
      <c r="BE320" s="3055"/>
      <c r="BF320" s="3055"/>
      <c r="BG320" s="3055"/>
      <c r="BH320" s="3055"/>
      <c r="BI320" s="3055"/>
      <c r="BJ320" s="3055"/>
      <c r="BK320" s="3055"/>
      <c r="BL320" s="3056"/>
      <c r="BM320" s="3057">
        <f t="shared" si="16"/>
      </c>
      <c r="BN320" s="3054"/>
      <c r="BO320" s="3054"/>
      <c r="BP320" s="3055"/>
      <c r="BQ320" s="3055"/>
      <c r="BR320" s="3055"/>
      <c r="BS320" s="3055"/>
      <c r="BT320" s="3055"/>
      <c r="BU320" s="3055"/>
      <c r="BV320" s="3055"/>
      <c r="BW320" s="3055"/>
      <c r="BX320" s="3055"/>
      <c r="BY320" s="3055"/>
      <c r="BZ320" s="3055"/>
      <c r="CA320" s="3055"/>
      <c r="CB320" s="3055"/>
      <c r="CC320" s="3056"/>
      <c r="CD320" s="3057">
        <f t="shared" si="0"/>
      </c>
      <c r="CE320" s="3054"/>
      <c r="CF320" s="3054"/>
      <c r="CG320" s="3055"/>
      <c r="CH320" s="3055"/>
      <c r="CI320" s="3055"/>
      <c r="CJ320" s="3055"/>
      <c r="CK320" s="3055"/>
      <c r="CL320" s="3055"/>
      <c r="CM320" s="3055"/>
      <c r="CN320" s="3055"/>
      <c r="CO320" s="3055"/>
      <c r="CP320" s="3055"/>
      <c r="CQ320" s="3055"/>
      <c r="CR320" s="3055"/>
      <c r="CS320" s="3055"/>
      <c r="CU320" s="3054"/>
      <c r="CV320" s="696"/>
      <c r="CW320" s="696"/>
      <c r="CZ320" s="3060">
        <f t="shared" si="17"/>
      </c>
      <c r="DA320" s="3060">
        <f t="shared" si="1"/>
      </c>
      <c r="DB320" s="3060">
        <f t="shared" si="18"/>
      </c>
      <c r="DC320" s="3060">
        <f t="shared" si="19"/>
      </c>
      <c r="DD320" s="3060">
        <f t="shared" si="20"/>
      </c>
      <c r="DE320" s="3060">
        <f t="shared" si="21"/>
      </c>
      <c r="DF320" s="3060">
        <f t="shared" si="22"/>
      </c>
      <c r="DG320" s="3060">
        <f t="shared" si="23"/>
      </c>
      <c r="DH320" s="3060">
        <f t="shared" si="24"/>
      </c>
      <c r="DI320" s="3060">
        <f t="shared" si="1"/>
      </c>
    </row>
    <row r="321" ht="15" customHeight="1" s="3052" customFormat="1">
      <c r="B321" s="3054">
        <f t="shared" si="2"/>
      </c>
      <c r="C321" s="3054"/>
      <c r="D321" s="3054"/>
      <c r="E321" s="3055"/>
      <c r="F321" s="3055"/>
      <c r="G321" s="3055"/>
      <c r="H321" s="3055"/>
      <c r="I321" s="3055"/>
      <c r="J321" s="3055"/>
      <c r="K321" s="3055"/>
      <c r="L321" s="3055"/>
      <c r="M321" s="3055"/>
      <c r="N321" s="3055"/>
      <c r="O321" s="3055"/>
      <c r="P321" s="3055"/>
      <c r="Q321" s="3055"/>
      <c r="R321" s="3055">
        <f t="shared" si="3"/>
        <v>0</v>
      </c>
      <c r="S321" s="3055">
        <f t="shared" si="4"/>
        <v>0</v>
      </c>
      <c r="T321" s="3055">
        <f t="shared" si="5"/>
        <v>0</v>
      </c>
      <c r="U321" s="3055">
        <f t="shared" si="6"/>
        <v>0</v>
      </c>
      <c r="V321" s="3055">
        <f t="shared" si="7"/>
        <v>0</v>
      </c>
      <c r="W321" s="3055">
        <f t="shared" si="8"/>
        <v>0</v>
      </c>
      <c r="X321" s="3055">
        <f t="shared" si="9"/>
        <v>0</v>
      </c>
      <c r="Y321" s="3055">
        <f t="shared" si="10"/>
        <v>0</v>
      </c>
      <c r="Z321" s="3055">
        <f t="shared" si="11"/>
        <v>0</v>
      </c>
      <c r="AA321" s="3055">
        <f t="shared" si="12"/>
        <v>0</v>
      </c>
      <c r="AB321" s="3055">
        <f t="shared" si="13"/>
        <v>0</v>
      </c>
      <c r="AC321" s="3055">
        <f t="shared" si="14"/>
        <v>0</v>
      </c>
      <c r="AD321" s="3056"/>
      <c r="AE321" s="3057">
        <f t="shared" si="0"/>
      </c>
      <c r="AF321" s="3054"/>
      <c r="AG321" s="3054"/>
      <c r="AH321" s="3055"/>
      <c r="AI321" s="3055"/>
      <c r="AJ321" s="3055"/>
      <c r="AK321" s="3055"/>
      <c r="AL321" s="3055"/>
      <c r="AM321" s="3055"/>
      <c r="AN321" s="3055"/>
      <c r="AO321" s="3055"/>
      <c r="AP321" s="3055"/>
      <c r="AQ321" s="3055"/>
      <c r="AR321" s="3055"/>
      <c r="AS321" s="3055"/>
      <c r="AT321" s="3055"/>
      <c r="AU321" s="3056"/>
      <c r="AV321" s="3057">
        <f t="shared" si="15"/>
      </c>
      <c r="AW321" s="3054"/>
      <c r="AX321" s="3054"/>
      <c r="AY321" s="3055"/>
      <c r="AZ321" s="3055"/>
      <c r="BA321" s="3055"/>
      <c r="BB321" s="3055"/>
      <c r="BC321" s="3055"/>
      <c r="BD321" s="3055"/>
      <c r="BE321" s="3055"/>
      <c r="BF321" s="3055"/>
      <c r="BG321" s="3055"/>
      <c r="BH321" s="3055"/>
      <c r="BI321" s="3055"/>
      <c r="BJ321" s="3055"/>
      <c r="BK321" s="3055"/>
      <c r="BL321" s="3056"/>
      <c r="BM321" s="3057">
        <f t="shared" si="16"/>
      </c>
      <c r="BN321" s="3054"/>
      <c r="BO321" s="3054"/>
      <c r="BP321" s="3055"/>
      <c r="BQ321" s="3055"/>
      <c r="BR321" s="3055"/>
      <c r="BS321" s="3055"/>
      <c r="BT321" s="3055"/>
      <c r="BU321" s="3055"/>
      <c r="BV321" s="3055"/>
      <c r="BW321" s="3055"/>
      <c r="BX321" s="3055"/>
      <c r="BY321" s="3055"/>
      <c r="BZ321" s="3055"/>
      <c r="CA321" s="3055"/>
      <c r="CB321" s="3055"/>
      <c r="CC321" s="3056"/>
      <c r="CD321" s="3057">
        <f t="shared" si="0"/>
      </c>
      <c r="CE321" s="3054"/>
      <c r="CF321" s="3054"/>
      <c r="CG321" s="3055"/>
      <c r="CH321" s="3055"/>
      <c r="CI321" s="3055"/>
      <c r="CJ321" s="3055"/>
      <c r="CK321" s="3055"/>
      <c r="CL321" s="3055"/>
      <c r="CM321" s="3055"/>
      <c r="CN321" s="3055"/>
      <c r="CO321" s="3055"/>
      <c r="CP321" s="3055"/>
      <c r="CQ321" s="3055"/>
      <c r="CR321" s="3055"/>
      <c r="CS321" s="3055"/>
      <c r="CU321" s="3054"/>
      <c r="CV321" s="696"/>
      <c r="CW321" s="696"/>
      <c r="CZ321" s="3060">
        <f t="shared" si="17"/>
      </c>
      <c r="DA321" s="3060">
        <f t="shared" si="1"/>
      </c>
      <c r="DB321" s="3060">
        <f t="shared" si="18"/>
      </c>
      <c r="DC321" s="3060">
        <f t="shared" si="19"/>
      </c>
      <c r="DD321" s="3060">
        <f t="shared" si="20"/>
      </c>
      <c r="DE321" s="3060">
        <f t="shared" si="21"/>
      </c>
      <c r="DF321" s="3060">
        <f t="shared" si="22"/>
      </c>
      <c r="DG321" s="3060">
        <f t="shared" si="23"/>
      </c>
      <c r="DH321" s="3060">
        <f t="shared" si="24"/>
      </c>
      <c r="DI321" s="3060">
        <f t="shared" si="1"/>
      </c>
    </row>
    <row r="322" ht="15" customHeight="1" s="3052" customFormat="1">
      <c r="B322" s="3054">
        <f t="shared" si="2"/>
      </c>
      <c r="C322" s="3054"/>
      <c r="D322" s="3054"/>
      <c r="E322" s="3055"/>
      <c r="F322" s="3055"/>
      <c r="G322" s="3055"/>
      <c r="H322" s="3055"/>
      <c r="I322" s="3055"/>
      <c r="J322" s="3055"/>
      <c r="K322" s="3055"/>
      <c r="L322" s="3055"/>
      <c r="M322" s="3055"/>
      <c r="N322" s="3055"/>
      <c r="O322" s="3055"/>
      <c r="P322" s="3055"/>
      <c r="Q322" s="3055"/>
      <c r="R322" s="3055">
        <f t="shared" si="3"/>
        <v>0</v>
      </c>
      <c r="S322" s="3055">
        <f t="shared" si="4"/>
        <v>0</v>
      </c>
      <c r="T322" s="3055">
        <f t="shared" si="5"/>
        <v>0</v>
      </c>
      <c r="U322" s="3055">
        <f t="shared" si="6"/>
        <v>0</v>
      </c>
      <c r="V322" s="3055">
        <f t="shared" si="7"/>
        <v>0</v>
      </c>
      <c r="W322" s="3055">
        <f t="shared" si="8"/>
        <v>0</v>
      </c>
      <c r="X322" s="3055">
        <f t="shared" si="9"/>
        <v>0</v>
      </c>
      <c r="Y322" s="3055">
        <f t="shared" si="10"/>
        <v>0</v>
      </c>
      <c r="Z322" s="3055">
        <f t="shared" si="11"/>
        <v>0</v>
      </c>
      <c r="AA322" s="3055">
        <f t="shared" si="12"/>
        <v>0</v>
      </c>
      <c r="AB322" s="3055">
        <f t="shared" si="13"/>
        <v>0</v>
      </c>
      <c r="AC322" s="3055">
        <f t="shared" si="14"/>
        <v>0</v>
      </c>
      <c r="AD322" s="3056"/>
      <c r="AE322" s="3057">
        <f t="shared" si="0"/>
      </c>
      <c r="AF322" s="3054"/>
      <c r="AG322" s="3054"/>
      <c r="AH322" s="3055"/>
      <c r="AI322" s="3055"/>
      <c r="AJ322" s="3055"/>
      <c r="AK322" s="3055"/>
      <c r="AL322" s="3055"/>
      <c r="AM322" s="3055"/>
      <c r="AN322" s="3055"/>
      <c r="AO322" s="3055"/>
      <c r="AP322" s="3055"/>
      <c r="AQ322" s="3055"/>
      <c r="AR322" s="3055"/>
      <c r="AS322" s="3055"/>
      <c r="AT322" s="3055"/>
      <c r="AU322" s="3056"/>
      <c r="AV322" s="3057">
        <f t="shared" si="15"/>
      </c>
      <c r="AW322" s="3054"/>
      <c r="AX322" s="3054"/>
      <c r="AY322" s="3055"/>
      <c r="AZ322" s="3055"/>
      <c r="BA322" s="3055"/>
      <c r="BB322" s="3055"/>
      <c r="BC322" s="3055"/>
      <c r="BD322" s="3055"/>
      <c r="BE322" s="3055"/>
      <c r="BF322" s="3055"/>
      <c r="BG322" s="3055"/>
      <c r="BH322" s="3055"/>
      <c r="BI322" s="3055"/>
      <c r="BJ322" s="3055"/>
      <c r="BK322" s="3055"/>
      <c r="BL322" s="3056"/>
      <c r="BM322" s="3057">
        <f t="shared" si="16"/>
      </c>
      <c r="BN322" s="3054"/>
      <c r="BO322" s="3054"/>
      <c r="BP322" s="3055"/>
      <c r="BQ322" s="3055"/>
      <c r="BR322" s="3055"/>
      <c r="BS322" s="3055"/>
      <c r="BT322" s="3055"/>
      <c r="BU322" s="3055"/>
      <c r="BV322" s="3055"/>
      <c r="BW322" s="3055"/>
      <c r="BX322" s="3055"/>
      <c r="BY322" s="3055"/>
      <c r="BZ322" s="3055"/>
      <c r="CA322" s="3055"/>
      <c r="CB322" s="3055"/>
      <c r="CC322" s="3056"/>
      <c r="CD322" s="3057">
        <f t="shared" si="0"/>
      </c>
      <c r="CE322" s="3054"/>
      <c r="CF322" s="3054"/>
      <c r="CG322" s="3055"/>
      <c r="CH322" s="3055"/>
      <c r="CI322" s="3055"/>
      <c r="CJ322" s="3055"/>
      <c r="CK322" s="3055"/>
      <c r="CL322" s="3055"/>
      <c r="CM322" s="3055"/>
      <c r="CN322" s="3055"/>
      <c r="CO322" s="3055"/>
      <c r="CP322" s="3055"/>
      <c r="CQ322" s="3055"/>
      <c r="CR322" s="3055"/>
      <c r="CS322" s="3055"/>
      <c r="CU322" s="3054"/>
      <c r="CV322" s="696"/>
      <c r="CW322" s="696"/>
      <c r="CZ322" s="3060">
        <f t="shared" si="17"/>
      </c>
      <c r="DA322" s="3060">
        <f t="shared" si="1"/>
      </c>
      <c r="DB322" s="3060">
        <f t="shared" si="18"/>
      </c>
      <c r="DC322" s="3060">
        <f t="shared" si="19"/>
      </c>
      <c r="DD322" s="3060">
        <f t="shared" si="20"/>
      </c>
      <c r="DE322" s="3060">
        <f t="shared" si="21"/>
      </c>
      <c r="DF322" s="3060">
        <f t="shared" si="22"/>
      </c>
      <c r="DG322" s="3060">
        <f t="shared" si="23"/>
      </c>
      <c r="DH322" s="3060">
        <f t="shared" si="24"/>
      </c>
      <c r="DI322" s="3060">
        <f t="shared" si="1"/>
      </c>
    </row>
    <row r="323" ht="15" customHeight="1" s="3052" customFormat="1">
      <c r="B323" s="3054">
        <f t="shared" si="2"/>
      </c>
      <c r="C323" s="3054"/>
      <c r="D323" s="3054"/>
      <c r="E323" s="3055"/>
      <c r="F323" s="3055"/>
      <c r="G323" s="3055"/>
      <c r="H323" s="3055"/>
      <c r="I323" s="3055"/>
      <c r="J323" s="3055"/>
      <c r="K323" s="3055"/>
      <c r="L323" s="3055"/>
      <c r="M323" s="3055"/>
      <c r="N323" s="3055"/>
      <c r="O323" s="3055"/>
      <c r="P323" s="3055"/>
      <c r="Q323" s="3055"/>
      <c r="R323" s="3055">
        <f t="shared" si="3"/>
        <v>0</v>
      </c>
      <c r="S323" s="3055">
        <f t="shared" si="4"/>
        <v>0</v>
      </c>
      <c r="T323" s="3055">
        <f t="shared" si="5"/>
        <v>0</v>
      </c>
      <c r="U323" s="3055">
        <f t="shared" si="6"/>
        <v>0</v>
      </c>
      <c r="V323" s="3055">
        <f t="shared" si="7"/>
        <v>0</v>
      </c>
      <c r="W323" s="3055">
        <f t="shared" si="8"/>
        <v>0</v>
      </c>
      <c r="X323" s="3055">
        <f t="shared" si="9"/>
        <v>0</v>
      </c>
      <c r="Y323" s="3055">
        <f t="shared" si="10"/>
        <v>0</v>
      </c>
      <c r="Z323" s="3055">
        <f t="shared" si="11"/>
        <v>0</v>
      </c>
      <c r="AA323" s="3055">
        <f t="shared" si="12"/>
        <v>0</v>
      </c>
      <c r="AB323" s="3055">
        <f t="shared" si="13"/>
        <v>0</v>
      </c>
      <c r="AC323" s="3055">
        <f t="shared" si="14"/>
        <v>0</v>
      </c>
      <c r="AD323" s="3056"/>
      <c r="AE323" s="3057">
        <f t="shared" si="0"/>
      </c>
      <c r="AF323" s="3054"/>
      <c r="AG323" s="3054"/>
      <c r="AH323" s="3055"/>
      <c r="AI323" s="3055"/>
      <c r="AJ323" s="3055"/>
      <c r="AK323" s="3055"/>
      <c r="AL323" s="3055"/>
      <c r="AM323" s="3055"/>
      <c r="AN323" s="3055"/>
      <c r="AO323" s="3055"/>
      <c r="AP323" s="3055"/>
      <c r="AQ323" s="3055"/>
      <c r="AR323" s="3055"/>
      <c r="AS323" s="3055"/>
      <c r="AT323" s="3055"/>
      <c r="AU323" s="3056"/>
      <c r="AV323" s="3057">
        <f t="shared" si="15"/>
      </c>
      <c r="AW323" s="3054"/>
      <c r="AX323" s="3054"/>
      <c r="AY323" s="3055"/>
      <c r="AZ323" s="3055"/>
      <c r="BA323" s="3055"/>
      <c r="BB323" s="3055"/>
      <c r="BC323" s="3055"/>
      <c r="BD323" s="3055"/>
      <c r="BE323" s="3055"/>
      <c r="BF323" s="3055"/>
      <c r="BG323" s="3055"/>
      <c r="BH323" s="3055"/>
      <c r="BI323" s="3055"/>
      <c r="BJ323" s="3055"/>
      <c r="BK323" s="3055"/>
      <c r="BL323" s="3056"/>
      <c r="BM323" s="3057">
        <f t="shared" si="16"/>
      </c>
      <c r="BN323" s="3054"/>
      <c r="BO323" s="3054"/>
      <c r="BP323" s="3055"/>
      <c r="BQ323" s="3055"/>
      <c r="BR323" s="3055"/>
      <c r="BS323" s="3055"/>
      <c r="BT323" s="3055"/>
      <c r="BU323" s="3055"/>
      <c r="BV323" s="3055"/>
      <c r="BW323" s="3055"/>
      <c r="BX323" s="3055"/>
      <c r="BY323" s="3055"/>
      <c r="BZ323" s="3055"/>
      <c r="CA323" s="3055"/>
      <c r="CB323" s="3055"/>
      <c r="CC323" s="3056"/>
      <c r="CD323" s="3057">
        <f t="shared" si="0"/>
      </c>
      <c r="CE323" s="3054"/>
      <c r="CF323" s="3054"/>
      <c r="CG323" s="3055"/>
      <c r="CH323" s="3055"/>
      <c r="CI323" s="3055"/>
      <c r="CJ323" s="3055"/>
      <c r="CK323" s="3055"/>
      <c r="CL323" s="3055"/>
      <c r="CM323" s="3055"/>
      <c r="CN323" s="3055"/>
      <c r="CO323" s="3055"/>
      <c r="CP323" s="3055"/>
      <c r="CQ323" s="3055"/>
      <c r="CR323" s="3055"/>
      <c r="CS323" s="3055"/>
      <c r="CU323" s="3054"/>
      <c r="CV323" s="696"/>
      <c r="CW323" s="696"/>
      <c r="CZ323" s="3060">
        <f t="shared" si="17"/>
      </c>
      <c r="DA323" s="3060">
        <f t="shared" si="1"/>
      </c>
      <c r="DB323" s="3060">
        <f t="shared" si="18"/>
      </c>
      <c r="DC323" s="3060">
        <f t="shared" si="19"/>
      </c>
      <c r="DD323" s="3060">
        <f t="shared" si="20"/>
      </c>
      <c r="DE323" s="3060">
        <f t="shared" si="21"/>
      </c>
      <c r="DF323" s="3060">
        <f t="shared" si="22"/>
      </c>
      <c r="DG323" s="3060">
        <f t="shared" si="23"/>
      </c>
      <c r="DH323" s="3060">
        <f t="shared" si="24"/>
      </c>
      <c r="DI323" s="3060">
        <f t="shared" si="1"/>
      </c>
    </row>
    <row r="324" ht="15" customHeight="1" s="3052" customFormat="1">
      <c r="B324" s="3054">
        <f t="shared" si="2"/>
      </c>
      <c r="C324" s="3054"/>
      <c r="D324" s="3054"/>
      <c r="E324" s="3055"/>
      <c r="F324" s="3055"/>
      <c r="G324" s="3055"/>
      <c r="H324" s="3055"/>
      <c r="I324" s="3055"/>
      <c r="J324" s="3055"/>
      <c r="K324" s="3055"/>
      <c r="L324" s="3055"/>
      <c r="M324" s="3055"/>
      <c r="N324" s="3055"/>
      <c r="O324" s="3055"/>
      <c r="P324" s="3055"/>
      <c r="Q324" s="3055"/>
      <c r="R324" s="3055">
        <f t="shared" si="3"/>
        <v>0</v>
      </c>
      <c r="S324" s="3055">
        <f t="shared" si="4"/>
        <v>0</v>
      </c>
      <c r="T324" s="3055">
        <f t="shared" si="5"/>
        <v>0</v>
      </c>
      <c r="U324" s="3055">
        <f t="shared" si="6"/>
        <v>0</v>
      </c>
      <c r="V324" s="3055">
        <f t="shared" si="7"/>
        <v>0</v>
      </c>
      <c r="W324" s="3055">
        <f t="shared" si="8"/>
        <v>0</v>
      </c>
      <c r="X324" s="3055">
        <f t="shared" si="9"/>
        <v>0</v>
      </c>
      <c r="Y324" s="3055">
        <f t="shared" si="10"/>
        <v>0</v>
      </c>
      <c r="Z324" s="3055">
        <f t="shared" si="11"/>
        <v>0</v>
      </c>
      <c r="AA324" s="3055">
        <f t="shared" si="12"/>
        <v>0</v>
      </c>
      <c r="AB324" s="3055">
        <f t="shared" si="13"/>
        <v>0</v>
      </c>
      <c r="AC324" s="3055">
        <f t="shared" si="14"/>
        <v>0</v>
      </c>
      <c r="AD324" s="3056"/>
      <c r="AE324" s="3057">
        <f t="shared" si="0"/>
      </c>
      <c r="AF324" s="3054"/>
      <c r="AG324" s="3054"/>
      <c r="AH324" s="3055"/>
      <c r="AI324" s="3055"/>
      <c r="AJ324" s="3055"/>
      <c r="AK324" s="3055"/>
      <c r="AL324" s="3055"/>
      <c r="AM324" s="3055"/>
      <c r="AN324" s="3055"/>
      <c r="AO324" s="3055"/>
      <c r="AP324" s="3055"/>
      <c r="AQ324" s="3055"/>
      <c r="AR324" s="3055"/>
      <c r="AS324" s="3055"/>
      <c r="AT324" s="3055"/>
      <c r="AU324" s="3056"/>
      <c r="AV324" s="3057">
        <f t="shared" si="15"/>
      </c>
      <c r="AW324" s="3054"/>
      <c r="AX324" s="3054"/>
      <c r="AY324" s="3055"/>
      <c r="AZ324" s="3055"/>
      <c r="BA324" s="3055"/>
      <c r="BB324" s="3055"/>
      <c r="BC324" s="3055"/>
      <c r="BD324" s="3055"/>
      <c r="BE324" s="3055"/>
      <c r="BF324" s="3055"/>
      <c r="BG324" s="3055"/>
      <c r="BH324" s="3055"/>
      <c r="BI324" s="3055"/>
      <c r="BJ324" s="3055"/>
      <c r="BK324" s="3055"/>
      <c r="BL324" s="3056"/>
      <c r="BM324" s="3057">
        <f t="shared" si="16"/>
      </c>
      <c r="BN324" s="3054"/>
      <c r="BO324" s="3054"/>
      <c r="BP324" s="3055"/>
      <c r="BQ324" s="3055"/>
      <c r="BR324" s="3055"/>
      <c r="BS324" s="3055"/>
      <c r="BT324" s="3055"/>
      <c r="BU324" s="3055"/>
      <c r="BV324" s="3055"/>
      <c r="BW324" s="3055"/>
      <c r="BX324" s="3055"/>
      <c r="BY324" s="3055"/>
      <c r="BZ324" s="3055"/>
      <c r="CA324" s="3055"/>
      <c r="CB324" s="3055"/>
      <c r="CC324" s="3056"/>
      <c r="CD324" s="3057">
        <f t="shared" si="0"/>
      </c>
      <c r="CE324" s="3054"/>
      <c r="CF324" s="3054"/>
      <c r="CG324" s="3055"/>
      <c r="CH324" s="3055"/>
      <c r="CI324" s="3055"/>
      <c r="CJ324" s="3055"/>
      <c r="CK324" s="3055"/>
      <c r="CL324" s="3055"/>
      <c r="CM324" s="3055"/>
      <c r="CN324" s="3055"/>
      <c r="CO324" s="3055"/>
      <c r="CP324" s="3055"/>
      <c r="CQ324" s="3055"/>
      <c r="CR324" s="3055"/>
      <c r="CS324" s="3055"/>
      <c r="CU324" s="3054"/>
      <c r="CV324" s="696"/>
      <c r="CW324" s="696"/>
      <c r="CZ324" s="3060">
        <f t="shared" si="17"/>
      </c>
      <c r="DA324" s="3060">
        <f t="shared" si="1"/>
      </c>
      <c r="DB324" s="3060">
        <f t="shared" si="18"/>
      </c>
      <c r="DC324" s="3060">
        <f t="shared" si="19"/>
      </c>
      <c r="DD324" s="3060">
        <f t="shared" si="20"/>
      </c>
      <c r="DE324" s="3060">
        <f t="shared" si="21"/>
      </c>
      <c r="DF324" s="3060">
        <f t="shared" si="22"/>
      </c>
      <c r="DG324" s="3060">
        <f t="shared" si="23"/>
      </c>
      <c r="DH324" s="3060">
        <f t="shared" si="24"/>
      </c>
      <c r="DI324" s="3060">
        <f t="shared" si="1"/>
      </c>
    </row>
    <row r="325" ht="15" customHeight="1" s="3052" customFormat="1">
      <c r="B325" s="3054">
        <f t="shared" si="2"/>
      </c>
      <c r="C325" s="3054"/>
      <c r="D325" s="3054"/>
      <c r="E325" s="3055"/>
      <c r="F325" s="3055"/>
      <c r="G325" s="3055"/>
      <c r="H325" s="3055"/>
      <c r="I325" s="3055"/>
      <c r="J325" s="3055"/>
      <c r="K325" s="3055"/>
      <c r="L325" s="3055"/>
      <c r="M325" s="3055"/>
      <c r="N325" s="3055"/>
      <c r="O325" s="3055"/>
      <c r="P325" s="3055"/>
      <c r="Q325" s="3055"/>
      <c r="R325" s="3055">
        <f t="shared" si="3"/>
        <v>0</v>
      </c>
      <c r="S325" s="3055">
        <f t="shared" si="4"/>
        <v>0</v>
      </c>
      <c r="T325" s="3055">
        <f t="shared" si="5"/>
        <v>0</v>
      </c>
      <c r="U325" s="3055">
        <f t="shared" si="6"/>
        <v>0</v>
      </c>
      <c r="V325" s="3055">
        <f t="shared" si="7"/>
        <v>0</v>
      </c>
      <c r="W325" s="3055">
        <f t="shared" si="8"/>
        <v>0</v>
      </c>
      <c r="X325" s="3055">
        <f t="shared" si="9"/>
        <v>0</v>
      </c>
      <c r="Y325" s="3055">
        <f t="shared" si="10"/>
        <v>0</v>
      </c>
      <c r="Z325" s="3055">
        <f t="shared" si="11"/>
        <v>0</v>
      </c>
      <c r="AA325" s="3055">
        <f t="shared" si="12"/>
        <v>0</v>
      </c>
      <c r="AB325" s="3055">
        <f t="shared" si="13"/>
        <v>0</v>
      </c>
      <c r="AC325" s="3055">
        <f t="shared" si="14"/>
        <v>0</v>
      </c>
      <c r="AD325" s="3056"/>
      <c r="AE325" s="3057">
        <f t="shared" si="0"/>
      </c>
      <c r="AF325" s="3054"/>
      <c r="AG325" s="3054"/>
      <c r="AH325" s="3055"/>
      <c r="AI325" s="3055"/>
      <c r="AJ325" s="3055"/>
      <c r="AK325" s="3055"/>
      <c r="AL325" s="3055"/>
      <c r="AM325" s="3055"/>
      <c r="AN325" s="3055"/>
      <c r="AO325" s="3055"/>
      <c r="AP325" s="3055"/>
      <c r="AQ325" s="3055"/>
      <c r="AR325" s="3055"/>
      <c r="AS325" s="3055"/>
      <c r="AT325" s="3055"/>
      <c r="AU325" s="3056"/>
      <c r="AV325" s="3057">
        <f t="shared" si="15"/>
      </c>
      <c r="AW325" s="3054"/>
      <c r="AX325" s="3054"/>
      <c r="AY325" s="3055"/>
      <c r="AZ325" s="3055"/>
      <c r="BA325" s="3055"/>
      <c r="BB325" s="3055"/>
      <c r="BC325" s="3055"/>
      <c r="BD325" s="3055"/>
      <c r="BE325" s="3055"/>
      <c r="BF325" s="3055"/>
      <c r="BG325" s="3055"/>
      <c r="BH325" s="3055"/>
      <c r="BI325" s="3055"/>
      <c r="BJ325" s="3055"/>
      <c r="BK325" s="3055"/>
      <c r="BL325" s="3056"/>
      <c r="BM325" s="3057">
        <f t="shared" si="16"/>
      </c>
      <c r="BN325" s="3054"/>
      <c r="BO325" s="3054"/>
      <c r="BP325" s="3055"/>
      <c r="BQ325" s="3055"/>
      <c r="BR325" s="3055"/>
      <c r="BS325" s="3055"/>
      <c r="BT325" s="3055"/>
      <c r="BU325" s="3055"/>
      <c r="BV325" s="3055"/>
      <c r="BW325" s="3055"/>
      <c r="BX325" s="3055"/>
      <c r="BY325" s="3055"/>
      <c r="BZ325" s="3055"/>
      <c r="CA325" s="3055"/>
      <c r="CB325" s="3055"/>
      <c r="CC325" s="3056"/>
      <c r="CD325" s="3057">
        <f t="shared" si="0"/>
      </c>
      <c r="CE325" s="3054"/>
      <c r="CF325" s="3054"/>
      <c r="CG325" s="3055"/>
      <c r="CH325" s="3055"/>
      <c r="CI325" s="3055"/>
      <c r="CJ325" s="3055"/>
      <c r="CK325" s="3055"/>
      <c r="CL325" s="3055"/>
      <c r="CM325" s="3055"/>
      <c r="CN325" s="3055"/>
      <c r="CO325" s="3055"/>
      <c r="CP325" s="3055"/>
      <c r="CQ325" s="3055"/>
      <c r="CR325" s="3055"/>
      <c r="CS325" s="3055"/>
      <c r="CU325" s="3054"/>
      <c r="CV325" s="696"/>
      <c r="CW325" s="696"/>
      <c r="CZ325" s="3060">
        <f t="shared" si="17"/>
      </c>
      <c r="DA325" s="3060">
        <f t="shared" si="1"/>
      </c>
      <c r="DB325" s="3060">
        <f t="shared" si="18"/>
      </c>
      <c r="DC325" s="3060">
        <f t="shared" si="19"/>
      </c>
      <c r="DD325" s="3060">
        <f t="shared" si="20"/>
      </c>
      <c r="DE325" s="3060">
        <f t="shared" si="21"/>
      </c>
      <c r="DF325" s="3060">
        <f t="shared" si="22"/>
      </c>
      <c r="DG325" s="3060">
        <f t="shared" si="23"/>
      </c>
      <c r="DH325" s="3060">
        <f t="shared" si="24"/>
      </c>
      <c r="DI325" s="3060">
        <f t="shared" si="1"/>
      </c>
    </row>
    <row r="326" ht="15" customHeight="1" s="3052" customFormat="1">
      <c r="B326" s="3054">
        <f t="shared" si="2"/>
      </c>
      <c r="C326" s="3054"/>
      <c r="D326" s="3054"/>
      <c r="E326" s="3055"/>
      <c r="F326" s="3055"/>
      <c r="G326" s="3055"/>
      <c r="H326" s="3055"/>
      <c r="I326" s="3055"/>
      <c r="J326" s="3055"/>
      <c r="K326" s="3055"/>
      <c r="L326" s="3055"/>
      <c r="M326" s="3055"/>
      <c r="N326" s="3055"/>
      <c r="O326" s="3055"/>
      <c r="P326" s="3055"/>
      <c r="Q326" s="3055"/>
      <c r="R326" s="3055">
        <f t="shared" si="3"/>
        <v>0</v>
      </c>
      <c r="S326" s="3055">
        <f t="shared" si="4"/>
        <v>0</v>
      </c>
      <c r="T326" s="3055">
        <f t="shared" si="5"/>
        <v>0</v>
      </c>
      <c r="U326" s="3055">
        <f t="shared" si="6"/>
        <v>0</v>
      </c>
      <c r="V326" s="3055">
        <f t="shared" si="7"/>
        <v>0</v>
      </c>
      <c r="W326" s="3055">
        <f t="shared" si="8"/>
        <v>0</v>
      </c>
      <c r="X326" s="3055">
        <f t="shared" si="9"/>
        <v>0</v>
      </c>
      <c r="Y326" s="3055">
        <f t="shared" si="10"/>
        <v>0</v>
      </c>
      <c r="Z326" s="3055">
        <f t="shared" si="11"/>
        <v>0</v>
      </c>
      <c r="AA326" s="3055">
        <f t="shared" si="12"/>
        <v>0</v>
      </c>
      <c r="AB326" s="3055">
        <f t="shared" si="13"/>
        <v>0</v>
      </c>
      <c r="AC326" s="3055">
        <f t="shared" si="14"/>
        <v>0</v>
      </c>
      <c r="AD326" s="3056"/>
      <c r="AE326" s="3057">
        <f t="shared" si="0"/>
      </c>
      <c r="AF326" s="3054"/>
      <c r="AG326" s="3054"/>
      <c r="AH326" s="3055"/>
      <c r="AI326" s="3055"/>
      <c r="AJ326" s="3055"/>
      <c r="AK326" s="3055"/>
      <c r="AL326" s="3055"/>
      <c r="AM326" s="3055"/>
      <c r="AN326" s="3055"/>
      <c r="AO326" s="3055"/>
      <c r="AP326" s="3055"/>
      <c r="AQ326" s="3055"/>
      <c r="AR326" s="3055"/>
      <c r="AS326" s="3055"/>
      <c r="AT326" s="3055"/>
      <c r="AU326" s="3056"/>
      <c r="AV326" s="3057">
        <f t="shared" si="15"/>
      </c>
      <c r="AW326" s="3054"/>
      <c r="AX326" s="3054"/>
      <c r="AY326" s="3055"/>
      <c r="AZ326" s="3055"/>
      <c r="BA326" s="3055"/>
      <c r="BB326" s="3055"/>
      <c r="BC326" s="3055"/>
      <c r="BD326" s="3055"/>
      <c r="BE326" s="3055"/>
      <c r="BF326" s="3055"/>
      <c r="BG326" s="3055"/>
      <c r="BH326" s="3055"/>
      <c r="BI326" s="3055"/>
      <c r="BJ326" s="3055"/>
      <c r="BK326" s="3055"/>
      <c r="BL326" s="3056"/>
      <c r="BM326" s="3057">
        <f t="shared" si="16"/>
      </c>
      <c r="BN326" s="3054"/>
      <c r="BO326" s="3054"/>
      <c r="BP326" s="3055"/>
      <c r="BQ326" s="3055"/>
      <c r="BR326" s="3055"/>
      <c r="BS326" s="3055"/>
      <c r="BT326" s="3055"/>
      <c r="BU326" s="3055"/>
      <c r="BV326" s="3055"/>
      <c r="BW326" s="3055"/>
      <c r="BX326" s="3055"/>
      <c r="BY326" s="3055"/>
      <c r="BZ326" s="3055"/>
      <c r="CA326" s="3055"/>
      <c r="CB326" s="3055"/>
      <c r="CC326" s="3056"/>
      <c r="CD326" s="3057">
        <f t="shared" si="0"/>
      </c>
      <c r="CE326" s="3054"/>
      <c r="CF326" s="3054"/>
      <c r="CG326" s="3055"/>
      <c r="CH326" s="3055"/>
      <c r="CI326" s="3055"/>
      <c r="CJ326" s="3055"/>
      <c r="CK326" s="3055"/>
      <c r="CL326" s="3055"/>
      <c r="CM326" s="3055"/>
      <c r="CN326" s="3055"/>
      <c r="CO326" s="3055"/>
      <c r="CP326" s="3055"/>
      <c r="CQ326" s="3055"/>
      <c r="CR326" s="3055"/>
      <c r="CS326" s="3055"/>
      <c r="CU326" s="3054"/>
      <c r="CV326" s="696"/>
      <c r="CW326" s="696"/>
      <c r="CZ326" s="3060">
        <f t="shared" si="17"/>
      </c>
      <c r="DA326" s="3060">
        <f t="shared" si="1"/>
      </c>
      <c r="DB326" s="3060">
        <f t="shared" si="18"/>
      </c>
      <c r="DC326" s="3060">
        <f t="shared" si="19"/>
      </c>
      <c r="DD326" s="3060">
        <f t="shared" si="20"/>
      </c>
      <c r="DE326" s="3060">
        <f t="shared" si="21"/>
      </c>
      <c r="DF326" s="3060">
        <f t="shared" si="22"/>
      </c>
      <c r="DG326" s="3060">
        <f t="shared" si="23"/>
      </c>
      <c r="DH326" s="3060">
        <f t="shared" si="24"/>
      </c>
      <c r="DI326" s="3060">
        <f t="shared" si="1"/>
      </c>
    </row>
    <row r="327" ht="15" customHeight="1" s="3052" customFormat="1">
      <c r="B327" s="3054">
        <f t="shared" si="2"/>
      </c>
      <c r="C327" s="3054"/>
      <c r="D327" s="3054"/>
      <c r="E327" s="3055"/>
      <c r="F327" s="3055"/>
      <c r="G327" s="3055"/>
      <c r="H327" s="3055"/>
      <c r="I327" s="3055"/>
      <c r="J327" s="3055"/>
      <c r="K327" s="3055"/>
      <c r="L327" s="3055"/>
      <c r="M327" s="3055"/>
      <c r="N327" s="3055"/>
      <c r="O327" s="3055"/>
      <c r="P327" s="3055"/>
      <c r="Q327" s="3055"/>
      <c r="R327" s="3055">
        <f t="shared" si="3"/>
        <v>0</v>
      </c>
      <c r="S327" s="3055">
        <f t="shared" si="4"/>
        <v>0</v>
      </c>
      <c r="T327" s="3055">
        <f t="shared" si="5"/>
        <v>0</v>
      </c>
      <c r="U327" s="3055">
        <f t="shared" si="6"/>
        <v>0</v>
      </c>
      <c r="V327" s="3055">
        <f t="shared" si="7"/>
        <v>0</v>
      </c>
      <c r="W327" s="3055">
        <f t="shared" si="8"/>
        <v>0</v>
      </c>
      <c r="X327" s="3055">
        <f t="shared" si="9"/>
        <v>0</v>
      </c>
      <c r="Y327" s="3055">
        <f t="shared" si="10"/>
        <v>0</v>
      </c>
      <c r="Z327" s="3055">
        <f t="shared" si="11"/>
        <v>0</v>
      </c>
      <c r="AA327" s="3055">
        <f t="shared" si="12"/>
        <v>0</v>
      </c>
      <c r="AB327" s="3055">
        <f t="shared" si="13"/>
        <v>0</v>
      </c>
      <c r="AC327" s="3055">
        <f t="shared" si="14"/>
        <v>0</v>
      </c>
      <c r="AD327" s="3056"/>
      <c r="AE327" s="3057">
        <f t="shared" si="0"/>
      </c>
      <c r="AF327" s="3054"/>
      <c r="AG327" s="3054"/>
      <c r="AH327" s="3055"/>
      <c r="AI327" s="3055"/>
      <c r="AJ327" s="3055"/>
      <c r="AK327" s="3055"/>
      <c r="AL327" s="3055"/>
      <c r="AM327" s="3055"/>
      <c r="AN327" s="3055"/>
      <c r="AO327" s="3055"/>
      <c r="AP327" s="3055"/>
      <c r="AQ327" s="3055"/>
      <c r="AR327" s="3055"/>
      <c r="AS327" s="3055"/>
      <c r="AT327" s="3055"/>
      <c r="AU327" s="3056"/>
      <c r="AV327" s="3057">
        <f t="shared" si="15"/>
      </c>
      <c r="AW327" s="3054"/>
      <c r="AX327" s="3054"/>
      <c r="AY327" s="3055"/>
      <c r="AZ327" s="3055"/>
      <c r="BA327" s="3055"/>
      <c r="BB327" s="3055"/>
      <c r="BC327" s="3055"/>
      <c r="BD327" s="3055"/>
      <c r="BE327" s="3055"/>
      <c r="BF327" s="3055"/>
      <c r="BG327" s="3055"/>
      <c r="BH327" s="3055"/>
      <c r="BI327" s="3055"/>
      <c r="BJ327" s="3055"/>
      <c r="BK327" s="3055"/>
      <c r="BL327" s="3056"/>
      <c r="BM327" s="3057">
        <f t="shared" si="16"/>
      </c>
      <c r="BN327" s="3054"/>
      <c r="BO327" s="3054"/>
      <c r="BP327" s="3055"/>
      <c r="BQ327" s="3055"/>
      <c r="BR327" s="3055"/>
      <c r="BS327" s="3055"/>
      <c r="BT327" s="3055"/>
      <c r="BU327" s="3055"/>
      <c r="BV327" s="3055"/>
      <c r="BW327" s="3055"/>
      <c r="BX327" s="3055"/>
      <c r="BY327" s="3055"/>
      <c r="BZ327" s="3055"/>
      <c r="CA327" s="3055"/>
      <c r="CB327" s="3055"/>
      <c r="CC327" s="3056"/>
      <c r="CD327" s="3057">
        <f t="shared" si="0"/>
      </c>
      <c r="CE327" s="3054"/>
      <c r="CF327" s="3054"/>
      <c r="CG327" s="3055"/>
      <c r="CH327" s="3055"/>
      <c r="CI327" s="3055"/>
      <c r="CJ327" s="3055"/>
      <c r="CK327" s="3055"/>
      <c r="CL327" s="3055"/>
      <c r="CM327" s="3055"/>
      <c r="CN327" s="3055"/>
      <c r="CO327" s="3055"/>
      <c r="CP327" s="3055"/>
      <c r="CQ327" s="3055"/>
      <c r="CR327" s="3055"/>
      <c r="CS327" s="3055"/>
      <c r="CU327" s="3054"/>
      <c r="CV327" s="696"/>
      <c r="CW327" s="696"/>
      <c r="CZ327" s="3060">
        <f t="shared" si="17"/>
      </c>
      <c r="DA327" s="3060">
        <f t="shared" si="1"/>
      </c>
      <c r="DB327" s="3060">
        <f t="shared" si="18"/>
      </c>
      <c r="DC327" s="3060">
        <f t="shared" si="19"/>
      </c>
      <c r="DD327" s="3060">
        <f t="shared" si="20"/>
      </c>
      <c r="DE327" s="3060">
        <f t="shared" si="21"/>
      </c>
      <c r="DF327" s="3060">
        <f t="shared" si="22"/>
      </c>
      <c r="DG327" s="3060">
        <f t="shared" si="23"/>
      </c>
      <c r="DH327" s="3060">
        <f t="shared" si="24"/>
      </c>
      <c r="DI327" s="3060">
        <f t="shared" si="1"/>
      </c>
    </row>
    <row r="328" ht="15" customHeight="1" s="3052" customFormat="1">
      <c r="B328" s="3054">
        <f t="shared" si="2"/>
      </c>
      <c r="C328" s="3054"/>
      <c r="D328" s="3054"/>
      <c r="E328" s="3055"/>
      <c r="F328" s="3055"/>
      <c r="G328" s="3055"/>
      <c r="H328" s="3055"/>
      <c r="I328" s="3055"/>
      <c r="J328" s="3055"/>
      <c r="K328" s="3055"/>
      <c r="L328" s="3055"/>
      <c r="M328" s="3055"/>
      <c r="N328" s="3055"/>
      <c r="O328" s="3055"/>
      <c r="P328" s="3055"/>
      <c r="Q328" s="3055"/>
      <c r="R328" s="3055">
        <f t="shared" si="3"/>
        <v>0</v>
      </c>
      <c r="S328" s="3055">
        <f t="shared" si="4"/>
        <v>0</v>
      </c>
      <c r="T328" s="3055">
        <f t="shared" si="5"/>
        <v>0</v>
      </c>
      <c r="U328" s="3055">
        <f t="shared" si="6"/>
        <v>0</v>
      </c>
      <c r="V328" s="3055">
        <f t="shared" si="7"/>
        <v>0</v>
      </c>
      <c r="W328" s="3055">
        <f t="shared" si="8"/>
        <v>0</v>
      </c>
      <c r="X328" s="3055">
        <f t="shared" si="9"/>
        <v>0</v>
      </c>
      <c r="Y328" s="3055">
        <f t="shared" si="10"/>
        <v>0</v>
      </c>
      <c r="Z328" s="3055">
        <f t="shared" si="11"/>
        <v>0</v>
      </c>
      <c r="AA328" s="3055">
        <f t="shared" si="12"/>
        <v>0</v>
      </c>
      <c r="AB328" s="3055">
        <f t="shared" si="13"/>
        <v>0</v>
      </c>
      <c r="AC328" s="3055">
        <f t="shared" si="14"/>
        <v>0</v>
      </c>
      <c r="AD328" s="3056"/>
      <c r="AE328" s="3057">
        <f t="shared" si="0"/>
      </c>
      <c r="AF328" s="3054"/>
      <c r="AG328" s="3054"/>
      <c r="AH328" s="3055"/>
      <c r="AI328" s="3055"/>
      <c r="AJ328" s="3055"/>
      <c r="AK328" s="3055"/>
      <c r="AL328" s="3055"/>
      <c r="AM328" s="3055"/>
      <c r="AN328" s="3055"/>
      <c r="AO328" s="3055"/>
      <c r="AP328" s="3055"/>
      <c r="AQ328" s="3055"/>
      <c r="AR328" s="3055"/>
      <c r="AS328" s="3055"/>
      <c r="AT328" s="3055"/>
      <c r="AU328" s="3056"/>
      <c r="AV328" s="3057">
        <f t="shared" si="15"/>
      </c>
      <c r="AW328" s="3054"/>
      <c r="AX328" s="3054"/>
      <c r="AY328" s="3055"/>
      <c r="AZ328" s="3055"/>
      <c r="BA328" s="3055"/>
      <c r="BB328" s="3055"/>
      <c r="BC328" s="3055"/>
      <c r="BD328" s="3055"/>
      <c r="BE328" s="3055"/>
      <c r="BF328" s="3055"/>
      <c r="BG328" s="3055"/>
      <c r="BH328" s="3055"/>
      <c r="BI328" s="3055"/>
      <c r="BJ328" s="3055"/>
      <c r="BK328" s="3055"/>
      <c r="BL328" s="3056"/>
      <c r="BM328" s="3057">
        <f t="shared" si="16"/>
      </c>
      <c r="BN328" s="3054"/>
      <c r="BO328" s="3054"/>
      <c r="BP328" s="3055"/>
      <c r="BQ328" s="3055"/>
      <c r="BR328" s="3055"/>
      <c r="BS328" s="3055"/>
      <c r="BT328" s="3055"/>
      <c r="BU328" s="3055"/>
      <c r="BV328" s="3055"/>
      <c r="BW328" s="3055"/>
      <c r="BX328" s="3055"/>
      <c r="BY328" s="3055"/>
      <c r="BZ328" s="3055"/>
      <c r="CA328" s="3055"/>
      <c r="CB328" s="3055"/>
      <c r="CC328" s="3056"/>
      <c r="CD328" s="3057">
        <f t="shared" si="0"/>
      </c>
      <c r="CE328" s="3054"/>
      <c r="CF328" s="3054"/>
      <c r="CG328" s="3055"/>
      <c r="CH328" s="3055"/>
      <c r="CI328" s="3055"/>
      <c r="CJ328" s="3055"/>
      <c r="CK328" s="3055"/>
      <c r="CL328" s="3055"/>
      <c r="CM328" s="3055"/>
      <c r="CN328" s="3055"/>
      <c r="CO328" s="3055"/>
      <c r="CP328" s="3055"/>
      <c r="CQ328" s="3055"/>
      <c r="CR328" s="3055"/>
      <c r="CS328" s="3055"/>
      <c r="CU328" s="3054"/>
      <c r="CV328" s="696"/>
      <c r="CW328" s="696"/>
      <c r="CZ328" s="3060">
        <f t="shared" si="17"/>
      </c>
      <c r="DA328" s="3060">
        <f t="shared" si="1"/>
      </c>
      <c r="DB328" s="3060">
        <f t="shared" si="18"/>
      </c>
      <c r="DC328" s="3060">
        <f t="shared" si="19"/>
      </c>
      <c r="DD328" s="3060">
        <f t="shared" si="20"/>
      </c>
      <c r="DE328" s="3060">
        <f t="shared" si="21"/>
      </c>
      <c r="DF328" s="3060">
        <f t="shared" si="22"/>
      </c>
      <c r="DG328" s="3060">
        <f t="shared" si="23"/>
      </c>
      <c r="DH328" s="3060">
        <f t="shared" si="24"/>
      </c>
      <c r="DI328" s="3060">
        <f t="shared" si="1"/>
      </c>
    </row>
    <row r="329" ht="15" customHeight="1" s="3052" customFormat="1">
      <c r="B329" s="3054">
        <f t="shared" si="2"/>
      </c>
      <c r="C329" s="3054"/>
      <c r="D329" s="3054"/>
      <c r="E329" s="3055"/>
      <c r="F329" s="3055"/>
      <c r="G329" s="3055"/>
      <c r="H329" s="3055"/>
      <c r="I329" s="3055"/>
      <c r="J329" s="3055"/>
      <c r="K329" s="3055"/>
      <c r="L329" s="3055"/>
      <c r="M329" s="3055"/>
      <c r="N329" s="3055"/>
      <c r="O329" s="3055"/>
      <c r="P329" s="3055"/>
      <c r="Q329" s="3055"/>
      <c r="R329" s="3055">
        <f t="shared" si="3"/>
        <v>0</v>
      </c>
      <c r="S329" s="3055">
        <f t="shared" si="4"/>
        <v>0</v>
      </c>
      <c r="T329" s="3055">
        <f t="shared" si="5"/>
        <v>0</v>
      </c>
      <c r="U329" s="3055">
        <f t="shared" si="6"/>
        <v>0</v>
      </c>
      <c r="V329" s="3055">
        <f t="shared" si="7"/>
        <v>0</v>
      </c>
      <c r="W329" s="3055">
        <f t="shared" si="8"/>
        <v>0</v>
      </c>
      <c r="X329" s="3055">
        <f t="shared" si="9"/>
        <v>0</v>
      </c>
      <c r="Y329" s="3055">
        <f t="shared" si="10"/>
        <v>0</v>
      </c>
      <c r="Z329" s="3055">
        <f t="shared" si="11"/>
        <v>0</v>
      </c>
      <c r="AA329" s="3055">
        <f t="shared" si="12"/>
        <v>0</v>
      </c>
      <c r="AB329" s="3055">
        <f t="shared" si="13"/>
        <v>0</v>
      </c>
      <c r="AC329" s="3055">
        <f t="shared" si="14"/>
        <v>0</v>
      </c>
      <c r="AD329" s="3056"/>
      <c r="AE329" s="3057">
        <f t="shared" si="0"/>
      </c>
      <c r="AF329" s="3054"/>
      <c r="AG329" s="3054"/>
      <c r="AH329" s="3055"/>
      <c r="AI329" s="3055"/>
      <c r="AJ329" s="3055"/>
      <c r="AK329" s="3055"/>
      <c r="AL329" s="3055"/>
      <c r="AM329" s="3055"/>
      <c r="AN329" s="3055"/>
      <c r="AO329" s="3055"/>
      <c r="AP329" s="3055"/>
      <c r="AQ329" s="3055"/>
      <c r="AR329" s="3055"/>
      <c r="AS329" s="3055"/>
      <c r="AT329" s="3055"/>
      <c r="AU329" s="3056"/>
      <c r="AV329" s="3057">
        <f t="shared" si="15"/>
      </c>
      <c r="AW329" s="3054"/>
      <c r="AX329" s="3054"/>
      <c r="AY329" s="3055"/>
      <c r="AZ329" s="3055"/>
      <c r="BA329" s="3055"/>
      <c r="BB329" s="3055"/>
      <c r="BC329" s="3055"/>
      <c r="BD329" s="3055"/>
      <c r="BE329" s="3055"/>
      <c r="BF329" s="3055"/>
      <c r="BG329" s="3055"/>
      <c r="BH329" s="3055"/>
      <c r="BI329" s="3055"/>
      <c r="BJ329" s="3055"/>
      <c r="BK329" s="3055"/>
      <c r="BL329" s="3056"/>
      <c r="BM329" s="3057">
        <f t="shared" si="16"/>
      </c>
      <c r="BN329" s="3054"/>
      <c r="BO329" s="3054"/>
      <c r="BP329" s="3055"/>
      <c r="BQ329" s="3055"/>
      <c r="BR329" s="3055"/>
      <c r="BS329" s="3055"/>
      <c r="BT329" s="3055"/>
      <c r="BU329" s="3055"/>
      <c r="BV329" s="3055"/>
      <c r="BW329" s="3055"/>
      <c r="BX329" s="3055"/>
      <c r="BY329" s="3055"/>
      <c r="BZ329" s="3055"/>
      <c r="CA329" s="3055"/>
      <c r="CB329" s="3055"/>
      <c r="CC329" s="3056"/>
      <c r="CD329" s="3057">
        <f t="shared" si="0"/>
      </c>
      <c r="CE329" s="3054"/>
      <c r="CF329" s="3054"/>
      <c r="CG329" s="3055"/>
      <c r="CH329" s="3055"/>
      <c r="CI329" s="3055"/>
      <c r="CJ329" s="3055"/>
      <c r="CK329" s="3055"/>
      <c r="CL329" s="3055"/>
      <c r="CM329" s="3055"/>
      <c r="CN329" s="3055"/>
      <c r="CO329" s="3055"/>
      <c r="CP329" s="3055"/>
      <c r="CQ329" s="3055"/>
      <c r="CR329" s="3055"/>
      <c r="CS329" s="3055"/>
      <c r="CU329" s="3054"/>
      <c r="CV329" s="696"/>
      <c r="CW329" s="696"/>
      <c r="CZ329" s="3060">
        <f t="shared" si="17"/>
      </c>
      <c r="DA329" s="3060">
        <f t="shared" si="1"/>
      </c>
      <c r="DB329" s="3060">
        <f t="shared" si="18"/>
      </c>
      <c r="DC329" s="3060">
        <f t="shared" si="19"/>
      </c>
      <c r="DD329" s="3060">
        <f t="shared" si="20"/>
      </c>
      <c r="DE329" s="3060">
        <f t="shared" si="21"/>
      </c>
      <c r="DF329" s="3060">
        <f t="shared" si="22"/>
      </c>
      <c r="DG329" s="3060">
        <f t="shared" si="23"/>
      </c>
      <c r="DH329" s="3060">
        <f t="shared" si="24"/>
      </c>
      <c r="DI329" s="3060">
        <f t="shared" si="1"/>
      </c>
    </row>
    <row r="330" ht="15" customHeight="1" s="3052" customFormat="1">
      <c r="B330" s="3054">
        <f t="shared" si="2"/>
      </c>
      <c r="C330" s="3054"/>
      <c r="D330" s="3054"/>
      <c r="E330" s="3055"/>
      <c r="F330" s="3055"/>
      <c r="G330" s="3055"/>
      <c r="H330" s="3055"/>
      <c r="I330" s="3055"/>
      <c r="J330" s="3055"/>
      <c r="K330" s="3055"/>
      <c r="L330" s="3055"/>
      <c r="M330" s="3055"/>
      <c r="N330" s="3055"/>
      <c r="O330" s="3055"/>
      <c r="P330" s="3055"/>
      <c r="Q330" s="3055"/>
      <c r="R330" s="3055">
        <f t="shared" si="3"/>
        <v>0</v>
      </c>
      <c r="S330" s="3055">
        <f t="shared" si="4"/>
        <v>0</v>
      </c>
      <c r="T330" s="3055">
        <f t="shared" si="5"/>
        <v>0</v>
      </c>
      <c r="U330" s="3055">
        <f t="shared" si="6"/>
        <v>0</v>
      </c>
      <c r="V330" s="3055">
        <f t="shared" si="7"/>
        <v>0</v>
      </c>
      <c r="W330" s="3055">
        <f t="shared" si="8"/>
        <v>0</v>
      </c>
      <c r="X330" s="3055">
        <f t="shared" si="9"/>
        <v>0</v>
      </c>
      <c r="Y330" s="3055">
        <f t="shared" si="10"/>
        <v>0</v>
      </c>
      <c r="Z330" s="3055">
        <f t="shared" si="11"/>
        <v>0</v>
      </c>
      <c r="AA330" s="3055">
        <f t="shared" si="12"/>
        <v>0</v>
      </c>
      <c r="AB330" s="3055">
        <f t="shared" si="13"/>
        <v>0</v>
      </c>
      <c r="AC330" s="3055">
        <f t="shared" si="14"/>
        <v>0</v>
      </c>
      <c r="AD330" s="3056"/>
      <c r="AE330" s="3057">
        <f t="shared" si="0"/>
      </c>
      <c r="AF330" s="3054"/>
      <c r="AG330" s="3054"/>
      <c r="AH330" s="3055"/>
      <c r="AI330" s="3055"/>
      <c r="AJ330" s="3055"/>
      <c r="AK330" s="3055"/>
      <c r="AL330" s="3055"/>
      <c r="AM330" s="3055"/>
      <c r="AN330" s="3055"/>
      <c r="AO330" s="3055"/>
      <c r="AP330" s="3055"/>
      <c r="AQ330" s="3055"/>
      <c r="AR330" s="3055"/>
      <c r="AS330" s="3055"/>
      <c r="AT330" s="3055"/>
      <c r="AU330" s="3056"/>
      <c r="AV330" s="3057">
        <f t="shared" si="15"/>
      </c>
      <c r="AW330" s="3054"/>
      <c r="AX330" s="3054"/>
      <c r="AY330" s="3055"/>
      <c r="AZ330" s="3055"/>
      <c r="BA330" s="3055"/>
      <c r="BB330" s="3055"/>
      <c r="BC330" s="3055"/>
      <c r="BD330" s="3055"/>
      <c r="BE330" s="3055"/>
      <c r="BF330" s="3055"/>
      <c r="BG330" s="3055"/>
      <c r="BH330" s="3055"/>
      <c r="BI330" s="3055"/>
      <c r="BJ330" s="3055"/>
      <c r="BK330" s="3055"/>
      <c r="BL330" s="3056"/>
      <c r="BM330" s="3057">
        <f t="shared" si="16"/>
      </c>
      <c r="BN330" s="3054"/>
      <c r="BO330" s="3054"/>
      <c r="BP330" s="3055"/>
      <c r="BQ330" s="3055"/>
      <c r="BR330" s="3055"/>
      <c r="BS330" s="3055"/>
      <c r="BT330" s="3055"/>
      <c r="BU330" s="3055"/>
      <c r="BV330" s="3055"/>
      <c r="BW330" s="3055"/>
      <c r="BX330" s="3055"/>
      <c r="BY330" s="3055"/>
      <c r="BZ330" s="3055"/>
      <c r="CA330" s="3055"/>
      <c r="CB330" s="3055"/>
      <c r="CC330" s="3056"/>
      <c r="CD330" s="3057">
        <f t="shared" si="0"/>
      </c>
      <c r="CE330" s="3054"/>
      <c r="CF330" s="3054"/>
      <c r="CG330" s="3055"/>
      <c r="CH330" s="3055"/>
      <c r="CI330" s="3055"/>
      <c r="CJ330" s="3055"/>
      <c r="CK330" s="3055"/>
      <c r="CL330" s="3055"/>
      <c r="CM330" s="3055"/>
      <c r="CN330" s="3055"/>
      <c r="CO330" s="3055"/>
      <c r="CP330" s="3055"/>
      <c r="CQ330" s="3055"/>
      <c r="CR330" s="3055"/>
      <c r="CS330" s="3055"/>
      <c r="CU330" s="3054"/>
      <c r="CV330" s="696"/>
      <c r="CW330" s="696"/>
      <c r="CZ330" s="3060">
        <f t="shared" si="17"/>
      </c>
      <c r="DA330" s="3060">
        <f t="shared" si="1"/>
      </c>
      <c r="DB330" s="3060">
        <f t="shared" si="18"/>
      </c>
      <c r="DC330" s="3060">
        <f t="shared" si="19"/>
      </c>
      <c r="DD330" s="3060">
        <f t="shared" si="20"/>
      </c>
      <c r="DE330" s="3060">
        <f t="shared" si="21"/>
      </c>
      <c r="DF330" s="3060">
        <f t="shared" si="22"/>
      </c>
      <c r="DG330" s="3060">
        <f t="shared" si="23"/>
      </c>
      <c r="DH330" s="3060">
        <f t="shared" si="24"/>
      </c>
      <c r="DI330" s="3060">
        <f t="shared" si="1"/>
      </c>
    </row>
    <row r="331" ht="15" customHeight="1" s="3052" customFormat="1">
      <c r="B331" s="3054">
        <f t="shared" si="2"/>
      </c>
      <c r="C331" s="3054"/>
      <c r="D331" s="3054"/>
      <c r="E331" s="3055"/>
      <c r="F331" s="3055"/>
      <c r="G331" s="3055"/>
      <c r="H331" s="3055"/>
      <c r="I331" s="3055"/>
      <c r="J331" s="3055"/>
      <c r="K331" s="3055"/>
      <c r="L331" s="3055"/>
      <c r="M331" s="3055"/>
      <c r="N331" s="3055"/>
      <c r="O331" s="3055"/>
      <c r="P331" s="3055"/>
      <c r="Q331" s="3055"/>
      <c r="R331" s="3055">
        <f t="shared" si="3"/>
        <v>0</v>
      </c>
      <c r="S331" s="3055">
        <f t="shared" si="4"/>
        <v>0</v>
      </c>
      <c r="T331" s="3055">
        <f t="shared" si="5"/>
        <v>0</v>
      </c>
      <c r="U331" s="3055">
        <f t="shared" si="6"/>
        <v>0</v>
      </c>
      <c r="V331" s="3055">
        <f t="shared" si="7"/>
        <v>0</v>
      </c>
      <c r="W331" s="3055">
        <f t="shared" si="8"/>
        <v>0</v>
      </c>
      <c r="X331" s="3055">
        <f t="shared" si="9"/>
        <v>0</v>
      </c>
      <c r="Y331" s="3055">
        <f t="shared" si="10"/>
        <v>0</v>
      </c>
      <c r="Z331" s="3055">
        <f t="shared" si="11"/>
        <v>0</v>
      </c>
      <c r="AA331" s="3055">
        <f t="shared" si="12"/>
        <v>0</v>
      </c>
      <c r="AB331" s="3055">
        <f t="shared" si="13"/>
        <v>0</v>
      </c>
      <c r="AC331" s="3055">
        <f t="shared" si="14"/>
        <v>0</v>
      </c>
      <c r="AD331" s="3056"/>
      <c r="AE331" s="3057">
        <f t="shared" si="0"/>
      </c>
      <c r="AF331" s="3054"/>
      <c r="AG331" s="3054"/>
      <c r="AH331" s="3055"/>
      <c r="AI331" s="3055"/>
      <c r="AJ331" s="3055"/>
      <c r="AK331" s="3055"/>
      <c r="AL331" s="3055"/>
      <c r="AM331" s="3055"/>
      <c r="AN331" s="3055"/>
      <c r="AO331" s="3055"/>
      <c r="AP331" s="3055"/>
      <c r="AQ331" s="3055"/>
      <c r="AR331" s="3055"/>
      <c r="AS331" s="3055"/>
      <c r="AT331" s="3055"/>
      <c r="AU331" s="3056"/>
      <c r="AV331" s="3057">
        <f t="shared" si="15"/>
      </c>
      <c r="AW331" s="3054"/>
      <c r="AX331" s="3054"/>
      <c r="AY331" s="3055"/>
      <c r="AZ331" s="3055"/>
      <c r="BA331" s="3055"/>
      <c r="BB331" s="3055"/>
      <c r="BC331" s="3055"/>
      <c r="BD331" s="3055"/>
      <c r="BE331" s="3055"/>
      <c r="BF331" s="3055"/>
      <c r="BG331" s="3055"/>
      <c r="BH331" s="3055"/>
      <c r="BI331" s="3055"/>
      <c r="BJ331" s="3055"/>
      <c r="BK331" s="3055"/>
      <c r="BL331" s="3056"/>
      <c r="BM331" s="3057">
        <f t="shared" si="16"/>
      </c>
      <c r="BN331" s="3054"/>
      <c r="BO331" s="3054"/>
      <c r="BP331" s="3055"/>
      <c r="BQ331" s="3055"/>
      <c r="BR331" s="3055"/>
      <c r="BS331" s="3055"/>
      <c r="BT331" s="3055"/>
      <c r="BU331" s="3055"/>
      <c r="BV331" s="3055"/>
      <c r="BW331" s="3055"/>
      <c r="BX331" s="3055"/>
      <c r="BY331" s="3055"/>
      <c r="BZ331" s="3055"/>
      <c r="CA331" s="3055"/>
      <c r="CB331" s="3055"/>
      <c r="CC331" s="3056"/>
      <c r="CD331" s="3057">
        <f t="shared" si="0"/>
      </c>
      <c r="CE331" s="3054"/>
      <c r="CF331" s="3054"/>
      <c r="CG331" s="3055"/>
      <c r="CH331" s="3055"/>
      <c r="CI331" s="3055"/>
      <c r="CJ331" s="3055"/>
      <c r="CK331" s="3055"/>
      <c r="CL331" s="3055"/>
      <c r="CM331" s="3055"/>
      <c r="CN331" s="3055"/>
      <c r="CO331" s="3055"/>
      <c r="CP331" s="3055"/>
      <c r="CQ331" s="3055"/>
      <c r="CR331" s="3055"/>
      <c r="CS331" s="3055"/>
      <c r="CU331" s="3054"/>
      <c r="CV331" s="696"/>
      <c r="CW331" s="696"/>
      <c r="CZ331" s="3060">
        <f t="shared" si="17"/>
      </c>
      <c r="DA331" s="3060">
        <f t="shared" si="1"/>
      </c>
      <c r="DB331" s="3060">
        <f t="shared" si="18"/>
      </c>
      <c r="DC331" s="3060">
        <f t="shared" si="19"/>
      </c>
      <c r="DD331" s="3060">
        <f t="shared" si="20"/>
      </c>
      <c r="DE331" s="3060">
        <f t="shared" si="21"/>
      </c>
      <c r="DF331" s="3060">
        <f t="shared" si="22"/>
      </c>
      <c r="DG331" s="3060">
        <f t="shared" si="23"/>
      </c>
      <c r="DH331" s="3060">
        <f t="shared" si="24"/>
      </c>
      <c r="DI331" s="3060">
        <f t="shared" si="1"/>
      </c>
    </row>
    <row r="332" ht="15" customHeight="1" s="3052" customFormat="1">
      <c r="B332" s="3054">
        <f t="shared" si="2"/>
      </c>
      <c r="C332" s="3054"/>
      <c r="D332" s="3054"/>
      <c r="E332" s="3055"/>
      <c r="F332" s="3055"/>
      <c r="G332" s="3055"/>
      <c r="H332" s="3055"/>
      <c r="I332" s="3055"/>
      <c r="J332" s="3055"/>
      <c r="K332" s="3055"/>
      <c r="L332" s="3055"/>
      <c r="M332" s="3055"/>
      <c r="N332" s="3055"/>
      <c r="O332" s="3055"/>
      <c r="P332" s="3055"/>
      <c r="Q332" s="3055"/>
      <c r="R332" s="3055">
        <f t="shared" si="3"/>
        <v>0</v>
      </c>
      <c r="S332" s="3055">
        <f t="shared" si="4"/>
        <v>0</v>
      </c>
      <c r="T332" s="3055">
        <f t="shared" si="5"/>
        <v>0</v>
      </c>
      <c r="U332" s="3055">
        <f t="shared" si="6"/>
        <v>0</v>
      </c>
      <c r="V332" s="3055">
        <f t="shared" si="7"/>
        <v>0</v>
      </c>
      <c r="W332" s="3055">
        <f t="shared" si="8"/>
        <v>0</v>
      </c>
      <c r="X332" s="3055">
        <f t="shared" si="9"/>
        <v>0</v>
      </c>
      <c r="Y332" s="3055">
        <f t="shared" si="10"/>
        <v>0</v>
      </c>
      <c r="Z332" s="3055">
        <f t="shared" si="11"/>
        <v>0</v>
      </c>
      <c r="AA332" s="3055">
        <f t="shared" si="12"/>
        <v>0</v>
      </c>
      <c r="AB332" s="3055">
        <f t="shared" si="13"/>
        <v>0</v>
      </c>
      <c r="AC332" s="3055">
        <f t="shared" si="14"/>
        <v>0</v>
      </c>
      <c r="AD332" s="3056"/>
      <c r="AE332" s="3057">
        <f t="shared" si="0"/>
      </c>
      <c r="AF332" s="3054"/>
      <c r="AG332" s="3054"/>
      <c r="AH332" s="3055"/>
      <c r="AI332" s="3055"/>
      <c r="AJ332" s="3055"/>
      <c r="AK332" s="3055"/>
      <c r="AL332" s="3055"/>
      <c r="AM332" s="3055"/>
      <c r="AN332" s="3055"/>
      <c r="AO332" s="3055"/>
      <c r="AP332" s="3055"/>
      <c r="AQ332" s="3055"/>
      <c r="AR332" s="3055"/>
      <c r="AS332" s="3055"/>
      <c r="AT332" s="3055"/>
      <c r="AU332" s="3056"/>
      <c r="AV332" s="3057">
        <f t="shared" si="15"/>
      </c>
      <c r="AW332" s="3054"/>
      <c r="AX332" s="3054"/>
      <c r="AY332" s="3055"/>
      <c r="AZ332" s="3055"/>
      <c r="BA332" s="3055"/>
      <c r="BB332" s="3055"/>
      <c r="BC332" s="3055"/>
      <c r="BD332" s="3055"/>
      <c r="BE332" s="3055"/>
      <c r="BF332" s="3055"/>
      <c r="BG332" s="3055"/>
      <c r="BH332" s="3055"/>
      <c r="BI332" s="3055"/>
      <c r="BJ332" s="3055"/>
      <c r="BK332" s="3055"/>
      <c r="BL332" s="3056"/>
      <c r="BM332" s="3057">
        <f t="shared" si="16"/>
      </c>
      <c r="BN332" s="3054"/>
      <c r="BO332" s="3054"/>
      <c r="BP332" s="3055"/>
      <c r="BQ332" s="3055"/>
      <c r="BR332" s="3055"/>
      <c r="BS332" s="3055"/>
      <c r="BT332" s="3055"/>
      <c r="BU332" s="3055"/>
      <c r="BV332" s="3055"/>
      <c r="BW332" s="3055"/>
      <c r="BX332" s="3055"/>
      <c r="BY332" s="3055"/>
      <c r="BZ332" s="3055"/>
      <c r="CA332" s="3055"/>
      <c r="CB332" s="3055"/>
      <c r="CC332" s="3056"/>
      <c r="CD332" s="3057">
        <f t="shared" si="0"/>
      </c>
      <c r="CE332" s="3054"/>
      <c r="CF332" s="3054"/>
      <c r="CG332" s="3055"/>
      <c r="CH332" s="3055"/>
      <c r="CI332" s="3055"/>
      <c r="CJ332" s="3055"/>
      <c r="CK332" s="3055"/>
      <c r="CL332" s="3055"/>
      <c r="CM332" s="3055"/>
      <c r="CN332" s="3055"/>
      <c r="CO332" s="3055"/>
      <c r="CP332" s="3055"/>
      <c r="CQ332" s="3055"/>
      <c r="CR332" s="3055"/>
      <c r="CS332" s="3055"/>
      <c r="CU332" s="3054"/>
      <c r="CV332" s="696"/>
      <c r="CW332" s="696"/>
      <c r="CZ332" s="3060">
        <f t="shared" si="17"/>
      </c>
      <c r="DA332" s="3060">
        <f t="shared" si="1"/>
      </c>
      <c r="DB332" s="3060">
        <f t="shared" si="18"/>
      </c>
      <c r="DC332" s="3060">
        <f t="shared" si="19"/>
      </c>
      <c r="DD332" s="3060">
        <f t="shared" si="20"/>
      </c>
      <c r="DE332" s="3060">
        <f t="shared" si="21"/>
      </c>
      <c r="DF332" s="3060">
        <f t="shared" si="22"/>
      </c>
      <c r="DG332" s="3060">
        <f t="shared" si="23"/>
      </c>
      <c r="DH332" s="3060">
        <f t="shared" si="24"/>
      </c>
      <c r="DI332" s="3060">
        <f t="shared" si="1"/>
      </c>
    </row>
    <row r="333" ht="15" customHeight="1" s="3052" customFormat="1">
      <c r="B333" s="3054">
        <f t="shared" si="2"/>
      </c>
      <c r="C333" s="3054"/>
      <c r="D333" s="3054"/>
      <c r="E333" s="3055"/>
      <c r="F333" s="3055"/>
      <c r="G333" s="3055"/>
      <c r="H333" s="3055"/>
      <c r="I333" s="3055"/>
      <c r="J333" s="3055"/>
      <c r="K333" s="3055"/>
      <c r="L333" s="3055"/>
      <c r="M333" s="3055"/>
      <c r="N333" s="3055"/>
      <c r="O333" s="3055"/>
      <c r="P333" s="3055"/>
      <c r="Q333" s="3055"/>
      <c r="R333" s="3055">
        <f t="shared" si="3"/>
        <v>0</v>
      </c>
      <c r="S333" s="3055">
        <f t="shared" si="4"/>
        <v>0</v>
      </c>
      <c r="T333" s="3055">
        <f t="shared" si="5"/>
        <v>0</v>
      </c>
      <c r="U333" s="3055">
        <f t="shared" si="6"/>
        <v>0</v>
      </c>
      <c r="V333" s="3055">
        <f t="shared" si="7"/>
        <v>0</v>
      </c>
      <c r="W333" s="3055">
        <f t="shared" si="8"/>
        <v>0</v>
      </c>
      <c r="X333" s="3055">
        <f t="shared" si="9"/>
        <v>0</v>
      </c>
      <c r="Y333" s="3055">
        <f t="shared" si="10"/>
        <v>0</v>
      </c>
      <c r="Z333" s="3055">
        <f t="shared" si="11"/>
        <v>0</v>
      </c>
      <c r="AA333" s="3055">
        <f t="shared" si="12"/>
        <v>0</v>
      </c>
      <c r="AB333" s="3055">
        <f t="shared" si="13"/>
        <v>0</v>
      </c>
      <c r="AC333" s="3055">
        <f t="shared" si="14"/>
        <v>0</v>
      </c>
      <c r="AD333" s="3056"/>
      <c r="AE333" s="3057">
        <f t="shared" si="0"/>
      </c>
      <c r="AF333" s="3054"/>
      <c r="AG333" s="3054"/>
      <c r="AH333" s="3055"/>
      <c r="AI333" s="3055"/>
      <c r="AJ333" s="3055"/>
      <c r="AK333" s="3055"/>
      <c r="AL333" s="3055"/>
      <c r="AM333" s="3055"/>
      <c r="AN333" s="3055"/>
      <c r="AO333" s="3055"/>
      <c r="AP333" s="3055"/>
      <c r="AQ333" s="3055"/>
      <c r="AR333" s="3055"/>
      <c r="AS333" s="3055"/>
      <c r="AT333" s="3055"/>
      <c r="AU333" s="3056"/>
      <c r="AV333" s="3057">
        <f t="shared" si="15"/>
      </c>
      <c r="AW333" s="3054"/>
      <c r="AX333" s="3054"/>
      <c r="AY333" s="3055"/>
      <c r="AZ333" s="3055"/>
      <c r="BA333" s="3055"/>
      <c r="BB333" s="3055"/>
      <c r="BC333" s="3055"/>
      <c r="BD333" s="3055"/>
      <c r="BE333" s="3055"/>
      <c r="BF333" s="3055"/>
      <c r="BG333" s="3055"/>
      <c r="BH333" s="3055"/>
      <c r="BI333" s="3055"/>
      <c r="BJ333" s="3055"/>
      <c r="BK333" s="3055"/>
      <c r="BL333" s="3056"/>
      <c r="BM333" s="3057">
        <f t="shared" si="16"/>
      </c>
      <c r="BN333" s="3054"/>
      <c r="BO333" s="3054"/>
      <c r="BP333" s="3055"/>
      <c r="BQ333" s="3055"/>
      <c r="BR333" s="3055"/>
      <c r="BS333" s="3055"/>
      <c r="BT333" s="3055"/>
      <c r="BU333" s="3055"/>
      <c r="BV333" s="3055"/>
      <c r="BW333" s="3055"/>
      <c r="BX333" s="3055"/>
      <c r="BY333" s="3055"/>
      <c r="BZ333" s="3055"/>
      <c r="CA333" s="3055"/>
      <c r="CB333" s="3055"/>
      <c r="CC333" s="3056"/>
      <c r="CD333" s="3057">
        <f t="shared" si="0"/>
      </c>
      <c r="CE333" s="3054"/>
      <c r="CF333" s="3054"/>
      <c r="CG333" s="3055"/>
      <c r="CH333" s="3055"/>
      <c r="CI333" s="3055"/>
      <c r="CJ333" s="3055"/>
      <c r="CK333" s="3055"/>
      <c r="CL333" s="3055"/>
      <c r="CM333" s="3055"/>
      <c r="CN333" s="3055"/>
      <c r="CO333" s="3055"/>
      <c r="CP333" s="3055"/>
      <c r="CQ333" s="3055"/>
      <c r="CR333" s="3055"/>
      <c r="CS333" s="3055"/>
      <c r="CU333" s="3054"/>
      <c r="CV333" s="696"/>
      <c r="CW333" s="696"/>
      <c r="CZ333" s="3060">
        <f t="shared" si="17"/>
      </c>
      <c r="DA333" s="3060">
        <f t="shared" si="1"/>
      </c>
      <c r="DB333" s="3060">
        <f t="shared" si="18"/>
      </c>
      <c r="DC333" s="3060">
        <f t="shared" si="19"/>
      </c>
      <c r="DD333" s="3060">
        <f t="shared" si="20"/>
      </c>
      <c r="DE333" s="3060">
        <f t="shared" si="21"/>
      </c>
      <c r="DF333" s="3060">
        <f t="shared" si="22"/>
      </c>
      <c r="DG333" s="3060">
        <f t="shared" si="23"/>
      </c>
      <c r="DH333" s="3060">
        <f t="shared" si="24"/>
      </c>
      <c r="DI333" s="3060">
        <f t="shared" si="1"/>
      </c>
    </row>
    <row r="334" ht="15" customHeight="1" s="3052" customFormat="1">
      <c r="B334" s="3054">
        <f t="shared" si="2"/>
      </c>
      <c r="C334" s="3054"/>
      <c r="D334" s="3054"/>
      <c r="E334" s="3055"/>
      <c r="F334" s="3055"/>
      <c r="G334" s="3055"/>
      <c r="H334" s="3055"/>
      <c r="I334" s="3055"/>
      <c r="J334" s="3055"/>
      <c r="K334" s="3055"/>
      <c r="L334" s="3055"/>
      <c r="M334" s="3055"/>
      <c r="N334" s="3055"/>
      <c r="O334" s="3055"/>
      <c r="P334" s="3055"/>
      <c r="Q334" s="3055"/>
      <c r="R334" s="3055">
        <f t="shared" si="3"/>
        <v>0</v>
      </c>
      <c r="S334" s="3055">
        <f t="shared" si="4"/>
        <v>0</v>
      </c>
      <c r="T334" s="3055">
        <f t="shared" si="5"/>
        <v>0</v>
      </c>
      <c r="U334" s="3055">
        <f t="shared" si="6"/>
        <v>0</v>
      </c>
      <c r="V334" s="3055">
        <f t="shared" si="7"/>
        <v>0</v>
      </c>
      <c r="W334" s="3055">
        <f t="shared" si="8"/>
        <v>0</v>
      </c>
      <c r="X334" s="3055">
        <f t="shared" si="9"/>
        <v>0</v>
      </c>
      <c r="Y334" s="3055">
        <f t="shared" si="10"/>
        <v>0</v>
      </c>
      <c r="Z334" s="3055">
        <f t="shared" si="11"/>
        <v>0</v>
      </c>
      <c r="AA334" s="3055">
        <f t="shared" si="12"/>
        <v>0</v>
      </c>
      <c r="AB334" s="3055">
        <f t="shared" si="13"/>
        <v>0</v>
      </c>
      <c r="AC334" s="3055">
        <f t="shared" si="14"/>
        <v>0</v>
      </c>
      <c r="AD334" s="3056"/>
      <c r="AE334" s="3057">
        <f t="shared" si="0"/>
      </c>
      <c r="AF334" s="3054"/>
      <c r="AG334" s="3054"/>
      <c r="AH334" s="3055"/>
      <c r="AI334" s="3055"/>
      <c r="AJ334" s="3055"/>
      <c r="AK334" s="3055"/>
      <c r="AL334" s="3055"/>
      <c r="AM334" s="3055"/>
      <c r="AN334" s="3055"/>
      <c r="AO334" s="3055"/>
      <c r="AP334" s="3055"/>
      <c r="AQ334" s="3055"/>
      <c r="AR334" s="3055"/>
      <c r="AS334" s="3055"/>
      <c r="AT334" s="3055"/>
      <c r="AU334" s="3056"/>
      <c r="AV334" s="3057">
        <f t="shared" si="15"/>
      </c>
      <c r="AW334" s="3054"/>
      <c r="AX334" s="3054"/>
      <c r="AY334" s="3055"/>
      <c r="AZ334" s="3055"/>
      <c r="BA334" s="3055"/>
      <c r="BB334" s="3055"/>
      <c r="BC334" s="3055"/>
      <c r="BD334" s="3055"/>
      <c r="BE334" s="3055"/>
      <c r="BF334" s="3055"/>
      <c r="BG334" s="3055"/>
      <c r="BH334" s="3055"/>
      <c r="BI334" s="3055"/>
      <c r="BJ334" s="3055"/>
      <c r="BK334" s="3055"/>
      <c r="BL334" s="3056"/>
      <c r="BM334" s="3057">
        <f t="shared" si="16"/>
      </c>
      <c r="BN334" s="3054"/>
      <c r="BO334" s="3054"/>
      <c r="BP334" s="3055"/>
      <c r="BQ334" s="3055"/>
      <c r="BR334" s="3055"/>
      <c r="BS334" s="3055"/>
      <c r="BT334" s="3055"/>
      <c r="BU334" s="3055"/>
      <c r="BV334" s="3055"/>
      <c r="BW334" s="3055"/>
      <c r="BX334" s="3055"/>
      <c r="BY334" s="3055"/>
      <c r="BZ334" s="3055"/>
      <c r="CA334" s="3055"/>
      <c r="CB334" s="3055"/>
      <c r="CC334" s="3056"/>
      <c r="CD334" s="3057">
        <f t="shared" si="0"/>
      </c>
      <c r="CE334" s="3054"/>
      <c r="CF334" s="3054"/>
      <c r="CG334" s="3055"/>
      <c r="CH334" s="3055"/>
      <c r="CI334" s="3055"/>
      <c r="CJ334" s="3055"/>
      <c r="CK334" s="3055"/>
      <c r="CL334" s="3055"/>
      <c r="CM334" s="3055"/>
      <c r="CN334" s="3055"/>
      <c r="CO334" s="3055"/>
      <c r="CP334" s="3055"/>
      <c r="CQ334" s="3055"/>
      <c r="CR334" s="3055"/>
      <c r="CS334" s="3055"/>
      <c r="CU334" s="3054"/>
      <c r="CV334" s="696"/>
      <c r="CW334" s="696"/>
      <c r="CZ334" s="3060">
        <f t="shared" si="17"/>
      </c>
      <c r="DA334" s="3060">
        <f t="shared" si="1"/>
      </c>
      <c r="DB334" s="3060">
        <f t="shared" si="18"/>
      </c>
      <c r="DC334" s="3060">
        <f t="shared" si="19"/>
      </c>
      <c r="DD334" s="3060">
        <f t="shared" si="20"/>
      </c>
      <c r="DE334" s="3060">
        <f t="shared" si="21"/>
      </c>
      <c r="DF334" s="3060">
        <f t="shared" si="22"/>
      </c>
      <c r="DG334" s="3060">
        <f t="shared" si="23"/>
      </c>
      <c r="DH334" s="3060">
        <f t="shared" si="24"/>
      </c>
      <c r="DI334" s="3060">
        <f t="shared" si="1"/>
      </c>
    </row>
    <row r="335" ht="15" customHeight="1" s="3052" customFormat="1">
      <c r="B335" s="3054">
        <f t="shared" si="2"/>
      </c>
      <c r="C335" s="3054"/>
      <c r="D335" s="3054"/>
      <c r="E335" s="3055"/>
      <c r="F335" s="3055"/>
      <c r="G335" s="3055"/>
      <c r="H335" s="3055"/>
      <c r="I335" s="3055"/>
      <c r="J335" s="3055"/>
      <c r="K335" s="3055"/>
      <c r="L335" s="3055"/>
      <c r="M335" s="3055"/>
      <c r="N335" s="3055"/>
      <c r="O335" s="3055"/>
      <c r="P335" s="3055"/>
      <c r="Q335" s="3055"/>
      <c r="R335" s="3055">
        <f t="shared" si="3"/>
        <v>0</v>
      </c>
      <c r="S335" s="3055">
        <f t="shared" si="4"/>
        <v>0</v>
      </c>
      <c r="T335" s="3055">
        <f t="shared" si="5"/>
        <v>0</v>
      </c>
      <c r="U335" s="3055">
        <f t="shared" si="6"/>
        <v>0</v>
      </c>
      <c r="V335" s="3055">
        <f t="shared" si="7"/>
        <v>0</v>
      </c>
      <c r="W335" s="3055">
        <f t="shared" si="8"/>
        <v>0</v>
      </c>
      <c r="X335" s="3055">
        <f t="shared" si="9"/>
        <v>0</v>
      </c>
      <c r="Y335" s="3055">
        <f t="shared" si="10"/>
        <v>0</v>
      </c>
      <c r="Z335" s="3055">
        <f t="shared" si="11"/>
        <v>0</v>
      </c>
      <c r="AA335" s="3055">
        <f t="shared" si="12"/>
        <v>0</v>
      </c>
      <c r="AB335" s="3055">
        <f t="shared" si="13"/>
        <v>0</v>
      </c>
      <c r="AC335" s="3055">
        <f t="shared" si="14"/>
        <v>0</v>
      </c>
      <c r="AD335" s="3056"/>
      <c r="AE335" s="3057">
        <f t="shared" si="0"/>
      </c>
      <c r="AF335" s="3054"/>
      <c r="AG335" s="3054"/>
      <c r="AH335" s="3055"/>
      <c r="AI335" s="3055"/>
      <c r="AJ335" s="3055"/>
      <c r="AK335" s="3055"/>
      <c r="AL335" s="3055"/>
      <c r="AM335" s="3055"/>
      <c r="AN335" s="3055"/>
      <c r="AO335" s="3055"/>
      <c r="AP335" s="3055"/>
      <c r="AQ335" s="3055"/>
      <c r="AR335" s="3055"/>
      <c r="AS335" s="3055"/>
      <c r="AT335" s="3055"/>
      <c r="AU335" s="3056"/>
      <c r="AV335" s="3057">
        <f t="shared" si="15"/>
      </c>
      <c r="AW335" s="3054"/>
      <c r="AX335" s="3054"/>
      <c r="AY335" s="3055"/>
      <c r="AZ335" s="3055"/>
      <c r="BA335" s="3055"/>
      <c r="BB335" s="3055"/>
      <c r="BC335" s="3055"/>
      <c r="BD335" s="3055"/>
      <c r="BE335" s="3055"/>
      <c r="BF335" s="3055"/>
      <c r="BG335" s="3055"/>
      <c r="BH335" s="3055"/>
      <c r="BI335" s="3055"/>
      <c r="BJ335" s="3055"/>
      <c r="BK335" s="3055"/>
      <c r="BL335" s="3056"/>
      <c r="BM335" s="3057">
        <f t="shared" si="16"/>
      </c>
      <c r="BN335" s="3054"/>
      <c r="BO335" s="3054"/>
      <c r="BP335" s="3055"/>
      <c r="BQ335" s="3055"/>
      <c r="BR335" s="3055"/>
      <c r="BS335" s="3055"/>
      <c r="BT335" s="3055"/>
      <c r="BU335" s="3055"/>
      <c r="BV335" s="3055"/>
      <c r="BW335" s="3055"/>
      <c r="BX335" s="3055"/>
      <c r="BY335" s="3055"/>
      <c r="BZ335" s="3055"/>
      <c r="CA335" s="3055"/>
      <c r="CB335" s="3055"/>
      <c r="CC335" s="3056"/>
      <c r="CD335" s="3057">
        <f t="shared" si="0"/>
      </c>
      <c r="CE335" s="3054"/>
      <c r="CF335" s="3054"/>
      <c r="CG335" s="3055"/>
      <c r="CH335" s="3055"/>
      <c r="CI335" s="3055"/>
      <c r="CJ335" s="3055"/>
      <c r="CK335" s="3055"/>
      <c r="CL335" s="3055"/>
      <c r="CM335" s="3055"/>
      <c r="CN335" s="3055"/>
      <c r="CO335" s="3055"/>
      <c r="CP335" s="3055"/>
      <c r="CQ335" s="3055"/>
      <c r="CR335" s="3055"/>
      <c r="CS335" s="3055"/>
      <c r="CU335" s="3054"/>
      <c r="CV335" s="696"/>
      <c r="CW335" s="696"/>
      <c r="CZ335" s="3060">
        <f t="shared" si="17"/>
      </c>
      <c r="DA335" s="3060">
        <f t="shared" si="1"/>
      </c>
      <c r="DB335" s="3060">
        <f t="shared" si="18"/>
      </c>
      <c r="DC335" s="3060">
        <f t="shared" si="19"/>
      </c>
      <c r="DD335" s="3060">
        <f t="shared" si="20"/>
      </c>
      <c r="DE335" s="3060">
        <f t="shared" si="21"/>
      </c>
      <c r="DF335" s="3060">
        <f t="shared" si="22"/>
      </c>
      <c r="DG335" s="3060">
        <f t="shared" si="23"/>
      </c>
      <c r="DH335" s="3060">
        <f t="shared" si="24"/>
      </c>
      <c r="DI335" s="3060">
        <f t="shared" si="1"/>
      </c>
    </row>
    <row r="336" ht="15" customHeight="1" s="3052" customFormat="1">
      <c r="B336" s="3054">
        <f t="shared" si="2"/>
      </c>
      <c r="C336" s="3054"/>
      <c r="D336" s="3054"/>
      <c r="E336" s="3055"/>
      <c r="F336" s="3055"/>
      <c r="G336" s="3055"/>
      <c r="H336" s="3055"/>
      <c r="I336" s="3055"/>
      <c r="J336" s="3055"/>
      <c r="K336" s="3055"/>
      <c r="L336" s="3055"/>
      <c r="M336" s="3055"/>
      <c r="N336" s="3055"/>
      <c r="O336" s="3055"/>
      <c r="P336" s="3055"/>
      <c r="Q336" s="3055"/>
      <c r="R336" s="3055">
        <f t="shared" si="3"/>
        <v>0</v>
      </c>
      <c r="S336" s="3055">
        <f t="shared" si="4"/>
        <v>0</v>
      </c>
      <c r="T336" s="3055">
        <f t="shared" si="5"/>
        <v>0</v>
      </c>
      <c r="U336" s="3055">
        <f t="shared" si="6"/>
        <v>0</v>
      </c>
      <c r="V336" s="3055">
        <f t="shared" si="7"/>
        <v>0</v>
      </c>
      <c r="W336" s="3055">
        <f t="shared" si="8"/>
        <v>0</v>
      </c>
      <c r="X336" s="3055">
        <f t="shared" si="9"/>
        <v>0</v>
      </c>
      <c r="Y336" s="3055">
        <f t="shared" si="10"/>
        <v>0</v>
      </c>
      <c r="Z336" s="3055">
        <f t="shared" si="11"/>
        <v>0</v>
      </c>
      <c r="AA336" s="3055">
        <f t="shared" si="12"/>
        <v>0</v>
      </c>
      <c r="AB336" s="3055">
        <f t="shared" si="13"/>
        <v>0</v>
      </c>
      <c r="AC336" s="3055">
        <f t="shared" si="14"/>
        <v>0</v>
      </c>
      <c r="AD336" s="3056"/>
      <c r="AE336" s="3057">
        <f t="shared" si="0"/>
      </c>
      <c r="AF336" s="3054"/>
      <c r="AG336" s="3054"/>
      <c r="AH336" s="3055"/>
      <c r="AI336" s="3055"/>
      <c r="AJ336" s="3055"/>
      <c r="AK336" s="3055"/>
      <c r="AL336" s="3055"/>
      <c r="AM336" s="3055"/>
      <c r="AN336" s="3055"/>
      <c r="AO336" s="3055"/>
      <c r="AP336" s="3055"/>
      <c r="AQ336" s="3055"/>
      <c r="AR336" s="3055"/>
      <c r="AS336" s="3055"/>
      <c r="AT336" s="3055"/>
      <c r="AU336" s="3056"/>
      <c r="AV336" s="3057">
        <f t="shared" si="15"/>
      </c>
      <c r="AW336" s="3054"/>
      <c r="AX336" s="3054"/>
      <c r="AY336" s="3055"/>
      <c r="AZ336" s="3055"/>
      <c r="BA336" s="3055"/>
      <c r="BB336" s="3055"/>
      <c r="BC336" s="3055"/>
      <c r="BD336" s="3055"/>
      <c r="BE336" s="3055"/>
      <c r="BF336" s="3055"/>
      <c r="BG336" s="3055"/>
      <c r="BH336" s="3055"/>
      <c r="BI336" s="3055"/>
      <c r="BJ336" s="3055"/>
      <c r="BK336" s="3055"/>
      <c r="BL336" s="3056"/>
      <c r="BM336" s="3057">
        <f t="shared" si="16"/>
      </c>
      <c r="BN336" s="3054"/>
      <c r="BO336" s="3054"/>
      <c r="BP336" s="3055"/>
      <c r="BQ336" s="3055"/>
      <c r="BR336" s="3055"/>
      <c r="BS336" s="3055"/>
      <c r="BT336" s="3055"/>
      <c r="BU336" s="3055"/>
      <c r="BV336" s="3055"/>
      <c r="BW336" s="3055"/>
      <c r="BX336" s="3055"/>
      <c r="BY336" s="3055"/>
      <c r="BZ336" s="3055"/>
      <c r="CA336" s="3055"/>
      <c r="CB336" s="3055"/>
      <c r="CC336" s="3056"/>
      <c r="CD336" s="3057">
        <f t="shared" si="0"/>
      </c>
      <c r="CE336" s="3054"/>
      <c r="CF336" s="3054"/>
      <c r="CG336" s="3055"/>
      <c r="CH336" s="3055"/>
      <c r="CI336" s="3055"/>
      <c r="CJ336" s="3055"/>
      <c r="CK336" s="3055"/>
      <c r="CL336" s="3055"/>
      <c r="CM336" s="3055"/>
      <c r="CN336" s="3055"/>
      <c r="CO336" s="3055"/>
      <c r="CP336" s="3055"/>
      <c r="CQ336" s="3055"/>
      <c r="CR336" s="3055"/>
      <c r="CS336" s="3055"/>
      <c r="CU336" s="3054"/>
      <c r="CV336" s="696"/>
      <c r="CW336" s="696"/>
      <c r="CZ336" s="3060">
        <f t="shared" si="17"/>
      </c>
      <c r="DA336" s="3060">
        <f t="shared" si="1"/>
      </c>
      <c r="DB336" s="3060">
        <f t="shared" si="18"/>
      </c>
      <c r="DC336" s="3060">
        <f t="shared" si="19"/>
      </c>
      <c r="DD336" s="3060">
        <f t="shared" si="20"/>
      </c>
      <c r="DE336" s="3060">
        <f t="shared" si="21"/>
      </c>
      <c r="DF336" s="3060">
        <f t="shared" si="22"/>
      </c>
      <c r="DG336" s="3060">
        <f t="shared" si="23"/>
      </c>
      <c r="DH336" s="3060">
        <f t="shared" si="24"/>
      </c>
      <c r="DI336" s="3060">
        <f t="shared" si="1"/>
      </c>
    </row>
    <row r="337" ht="15" customHeight="1" s="3052" customFormat="1">
      <c r="B337" s="3054">
        <f t="shared" si="2"/>
      </c>
      <c r="C337" s="3054"/>
      <c r="D337" s="3054"/>
      <c r="E337" s="3055"/>
      <c r="F337" s="3055"/>
      <c r="G337" s="3055"/>
      <c r="H337" s="3055"/>
      <c r="I337" s="3055"/>
      <c r="J337" s="3055"/>
      <c r="K337" s="3055"/>
      <c r="L337" s="3055"/>
      <c r="M337" s="3055"/>
      <c r="N337" s="3055"/>
      <c r="O337" s="3055"/>
      <c r="P337" s="3055"/>
      <c r="Q337" s="3055"/>
      <c r="R337" s="3055">
        <f t="shared" si="3"/>
        <v>0</v>
      </c>
      <c r="S337" s="3055">
        <f t="shared" si="4"/>
        <v>0</v>
      </c>
      <c r="T337" s="3055">
        <f t="shared" si="5"/>
        <v>0</v>
      </c>
      <c r="U337" s="3055">
        <f t="shared" si="6"/>
        <v>0</v>
      </c>
      <c r="V337" s="3055">
        <f t="shared" si="7"/>
        <v>0</v>
      </c>
      <c r="W337" s="3055">
        <f t="shared" si="8"/>
        <v>0</v>
      </c>
      <c r="X337" s="3055">
        <f t="shared" si="9"/>
        <v>0</v>
      </c>
      <c r="Y337" s="3055">
        <f t="shared" si="10"/>
        <v>0</v>
      </c>
      <c r="Z337" s="3055">
        <f t="shared" si="11"/>
        <v>0</v>
      </c>
      <c r="AA337" s="3055">
        <f t="shared" si="12"/>
        <v>0</v>
      </c>
      <c r="AB337" s="3055">
        <f t="shared" si="13"/>
        <v>0</v>
      </c>
      <c r="AC337" s="3055">
        <f t="shared" si="14"/>
        <v>0</v>
      </c>
      <c r="AD337" s="3056"/>
      <c r="AE337" s="3057">
        <f t="shared" si="0"/>
      </c>
      <c r="AF337" s="3054"/>
      <c r="AG337" s="3054"/>
      <c r="AH337" s="3055"/>
      <c r="AI337" s="3055"/>
      <c r="AJ337" s="3055"/>
      <c r="AK337" s="3055"/>
      <c r="AL337" s="3055"/>
      <c r="AM337" s="3055"/>
      <c r="AN337" s="3055"/>
      <c r="AO337" s="3055"/>
      <c r="AP337" s="3055"/>
      <c r="AQ337" s="3055"/>
      <c r="AR337" s="3055"/>
      <c r="AS337" s="3055"/>
      <c r="AT337" s="3055"/>
      <c r="AU337" s="3056"/>
      <c r="AV337" s="3057">
        <f t="shared" si="15"/>
      </c>
      <c r="AW337" s="3054"/>
      <c r="AX337" s="3054"/>
      <c r="AY337" s="3055"/>
      <c r="AZ337" s="3055"/>
      <c r="BA337" s="3055"/>
      <c r="BB337" s="3055"/>
      <c r="BC337" s="3055"/>
      <c r="BD337" s="3055"/>
      <c r="BE337" s="3055"/>
      <c r="BF337" s="3055"/>
      <c r="BG337" s="3055"/>
      <c r="BH337" s="3055"/>
      <c r="BI337" s="3055"/>
      <c r="BJ337" s="3055"/>
      <c r="BK337" s="3055"/>
      <c r="BL337" s="3056"/>
      <c r="BM337" s="3057">
        <f t="shared" si="16"/>
      </c>
      <c r="BN337" s="3054"/>
      <c r="BO337" s="3054"/>
      <c r="BP337" s="3055"/>
      <c r="BQ337" s="3055"/>
      <c r="BR337" s="3055"/>
      <c r="BS337" s="3055"/>
      <c r="BT337" s="3055"/>
      <c r="BU337" s="3055"/>
      <c r="BV337" s="3055"/>
      <c r="BW337" s="3055"/>
      <c r="BX337" s="3055"/>
      <c r="BY337" s="3055"/>
      <c r="BZ337" s="3055"/>
      <c r="CA337" s="3055"/>
      <c r="CB337" s="3055"/>
      <c r="CC337" s="3056"/>
      <c r="CD337" s="3057">
        <f t="shared" si="0"/>
      </c>
      <c r="CE337" s="3054"/>
      <c r="CF337" s="3054"/>
      <c r="CG337" s="3055"/>
      <c r="CH337" s="3055"/>
      <c r="CI337" s="3055"/>
      <c r="CJ337" s="3055"/>
      <c r="CK337" s="3055"/>
      <c r="CL337" s="3055"/>
      <c r="CM337" s="3055"/>
      <c r="CN337" s="3055"/>
      <c r="CO337" s="3055"/>
      <c r="CP337" s="3055"/>
      <c r="CQ337" s="3055"/>
      <c r="CR337" s="3055"/>
      <c r="CS337" s="3055"/>
      <c r="CU337" s="3054"/>
      <c r="CV337" s="696"/>
      <c r="CW337" s="696"/>
      <c r="CZ337" s="3060">
        <f t="shared" si="17"/>
      </c>
      <c r="DA337" s="3060">
        <f t="shared" si="1"/>
      </c>
      <c r="DB337" s="3060">
        <f t="shared" si="18"/>
      </c>
      <c r="DC337" s="3060">
        <f t="shared" si="19"/>
      </c>
      <c r="DD337" s="3060">
        <f t="shared" si="20"/>
      </c>
      <c r="DE337" s="3060">
        <f t="shared" si="21"/>
      </c>
      <c r="DF337" s="3060">
        <f t="shared" si="22"/>
      </c>
      <c r="DG337" s="3060">
        <f t="shared" si="23"/>
      </c>
      <c r="DH337" s="3060">
        <f t="shared" si="24"/>
      </c>
      <c r="DI337" s="3060">
        <f t="shared" si="1"/>
      </c>
    </row>
    <row r="338" ht="15" customHeight="1" s="3052" customFormat="1">
      <c r="B338" s="3054">
        <f t="shared" si="2"/>
      </c>
      <c r="C338" s="3054"/>
      <c r="D338" s="3054"/>
      <c r="E338" s="3055"/>
      <c r="F338" s="3055"/>
      <c r="G338" s="3055"/>
      <c r="H338" s="3055"/>
      <c r="I338" s="3055"/>
      <c r="J338" s="3055"/>
      <c r="K338" s="3055"/>
      <c r="L338" s="3055"/>
      <c r="M338" s="3055"/>
      <c r="N338" s="3055"/>
      <c r="O338" s="3055"/>
      <c r="P338" s="3055"/>
      <c r="Q338" s="3055"/>
      <c r="R338" s="3055">
        <f t="shared" si="3"/>
        <v>0</v>
      </c>
      <c r="S338" s="3055">
        <f t="shared" si="4"/>
        <v>0</v>
      </c>
      <c r="T338" s="3055">
        <f t="shared" si="5"/>
        <v>0</v>
      </c>
      <c r="U338" s="3055">
        <f t="shared" si="6"/>
        <v>0</v>
      </c>
      <c r="V338" s="3055">
        <f t="shared" si="7"/>
        <v>0</v>
      </c>
      <c r="W338" s="3055">
        <f t="shared" si="8"/>
        <v>0</v>
      </c>
      <c r="X338" s="3055">
        <f t="shared" si="9"/>
        <v>0</v>
      </c>
      <c r="Y338" s="3055">
        <f t="shared" si="10"/>
        <v>0</v>
      </c>
      <c r="Z338" s="3055">
        <f t="shared" si="11"/>
        <v>0</v>
      </c>
      <c r="AA338" s="3055">
        <f t="shared" si="12"/>
        <v>0</v>
      </c>
      <c r="AB338" s="3055">
        <f t="shared" si="13"/>
        <v>0</v>
      </c>
      <c r="AC338" s="3055">
        <f t="shared" si="14"/>
        <v>0</v>
      </c>
      <c r="AD338" s="3056"/>
      <c r="AE338" s="3057">
        <f t="shared" si="0"/>
      </c>
      <c r="AF338" s="3054"/>
      <c r="AG338" s="3054"/>
      <c r="AH338" s="3055"/>
      <c r="AI338" s="3055"/>
      <c r="AJ338" s="3055"/>
      <c r="AK338" s="3055"/>
      <c r="AL338" s="3055"/>
      <c r="AM338" s="3055"/>
      <c r="AN338" s="3055"/>
      <c r="AO338" s="3055"/>
      <c r="AP338" s="3055"/>
      <c r="AQ338" s="3055"/>
      <c r="AR338" s="3055"/>
      <c r="AS338" s="3055"/>
      <c r="AT338" s="3055"/>
      <c r="AU338" s="3056"/>
      <c r="AV338" s="3057">
        <f t="shared" si="15"/>
      </c>
      <c r="AW338" s="3054"/>
      <c r="AX338" s="3054"/>
      <c r="AY338" s="3055"/>
      <c r="AZ338" s="3055"/>
      <c r="BA338" s="3055"/>
      <c r="BB338" s="3055"/>
      <c r="BC338" s="3055"/>
      <c r="BD338" s="3055"/>
      <c r="BE338" s="3055"/>
      <c r="BF338" s="3055"/>
      <c r="BG338" s="3055"/>
      <c r="BH338" s="3055"/>
      <c r="BI338" s="3055"/>
      <c r="BJ338" s="3055"/>
      <c r="BK338" s="3055"/>
      <c r="BL338" s="3056"/>
      <c r="BM338" s="3057">
        <f t="shared" si="16"/>
      </c>
      <c r="BN338" s="3054"/>
      <c r="BO338" s="3054"/>
      <c r="BP338" s="3055"/>
      <c r="BQ338" s="3055"/>
      <c r="BR338" s="3055"/>
      <c r="BS338" s="3055"/>
      <c r="BT338" s="3055"/>
      <c r="BU338" s="3055"/>
      <c r="BV338" s="3055"/>
      <c r="BW338" s="3055"/>
      <c r="BX338" s="3055"/>
      <c r="BY338" s="3055"/>
      <c r="BZ338" s="3055"/>
      <c r="CA338" s="3055"/>
      <c r="CB338" s="3055"/>
      <c r="CC338" s="3056"/>
      <c r="CD338" s="3057">
        <f t="shared" si="0"/>
      </c>
      <c r="CE338" s="3054"/>
      <c r="CF338" s="3054"/>
      <c r="CG338" s="3055"/>
      <c r="CH338" s="3055"/>
      <c r="CI338" s="3055"/>
      <c r="CJ338" s="3055"/>
      <c r="CK338" s="3055"/>
      <c r="CL338" s="3055"/>
      <c r="CM338" s="3055"/>
      <c r="CN338" s="3055"/>
      <c r="CO338" s="3055"/>
      <c r="CP338" s="3055"/>
      <c r="CQ338" s="3055"/>
      <c r="CR338" s="3055"/>
      <c r="CS338" s="3055"/>
      <c r="CU338" s="3054"/>
      <c r="CV338" s="696"/>
      <c r="CW338" s="696"/>
      <c r="CZ338" s="3060">
        <f t="shared" si="17"/>
      </c>
      <c r="DA338" s="3060">
        <f t="shared" si="1"/>
      </c>
      <c r="DB338" s="3060">
        <f t="shared" si="18"/>
      </c>
      <c r="DC338" s="3060">
        <f t="shared" si="19"/>
      </c>
      <c r="DD338" s="3060">
        <f t="shared" si="20"/>
      </c>
      <c r="DE338" s="3060">
        <f t="shared" si="21"/>
      </c>
      <c r="DF338" s="3060">
        <f t="shared" si="22"/>
      </c>
      <c r="DG338" s="3060">
        <f t="shared" si="23"/>
      </c>
      <c r="DH338" s="3060">
        <f t="shared" si="24"/>
      </c>
      <c r="DI338" s="3060">
        <f t="shared" si="1"/>
      </c>
    </row>
    <row r="339" ht="15" customHeight="1" s="3052" customFormat="1">
      <c r="B339" s="3054">
        <f t="shared" si="2"/>
      </c>
      <c r="C339" s="3054"/>
      <c r="D339" s="3054"/>
      <c r="E339" s="3055"/>
      <c r="F339" s="3055"/>
      <c r="G339" s="3055"/>
      <c r="H339" s="3055"/>
      <c r="I339" s="3055"/>
      <c r="J339" s="3055"/>
      <c r="K339" s="3055"/>
      <c r="L339" s="3055"/>
      <c r="M339" s="3055"/>
      <c r="N339" s="3055"/>
      <c r="O339" s="3055"/>
      <c r="P339" s="3055"/>
      <c r="Q339" s="3055"/>
      <c r="R339" s="3055">
        <f t="shared" si="3"/>
        <v>0</v>
      </c>
      <c r="S339" s="3055">
        <f t="shared" si="4"/>
        <v>0</v>
      </c>
      <c r="T339" s="3055">
        <f t="shared" si="5"/>
        <v>0</v>
      </c>
      <c r="U339" s="3055">
        <f t="shared" si="6"/>
        <v>0</v>
      </c>
      <c r="V339" s="3055">
        <f t="shared" si="7"/>
        <v>0</v>
      </c>
      <c r="W339" s="3055">
        <f t="shared" si="8"/>
        <v>0</v>
      </c>
      <c r="X339" s="3055">
        <f t="shared" si="9"/>
        <v>0</v>
      </c>
      <c r="Y339" s="3055">
        <f t="shared" si="10"/>
        <v>0</v>
      </c>
      <c r="Z339" s="3055">
        <f t="shared" si="11"/>
        <v>0</v>
      </c>
      <c r="AA339" s="3055">
        <f t="shared" si="12"/>
        <v>0</v>
      </c>
      <c r="AB339" s="3055">
        <f t="shared" si="13"/>
        <v>0</v>
      </c>
      <c r="AC339" s="3055">
        <f t="shared" si="14"/>
        <v>0</v>
      </c>
      <c r="AD339" s="3056"/>
      <c r="AE339" s="3057">
        <f t="shared" si="0"/>
      </c>
      <c r="AF339" s="3054"/>
      <c r="AG339" s="3054"/>
      <c r="AH339" s="3055"/>
      <c r="AI339" s="3055"/>
      <c r="AJ339" s="3055"/>
      <c r="AK339" s="3055"/>
      <c r="AL339" s="3055"/>
      <c r="AM339" s="3055"/>
      <c r="AN339" s="3055"/>
      <c r="AO339" s="3055"/>
      <c r="AP339" s="3055"/>
      <c r="AQ339" s="3055"/>
      <c r="AR339" s="3055"/>
      <c r="AS339" s="3055"/>
      <c r="AT339" s="3055"/>
      <c r="AU339" s="3056"/>
      <c r="AV339" s="3057">
        <f t="shared" si="15"/>
      </c>
      <c r="AW339" s="3054"/>
      <c r="AX339" s="3054"/>
      <c r="AY339" s="3055"/>
      <c r="AZ339" s="3055"/>
      <c r="BA339" s="3055"/>
      <c r="BB339" s="3055"/>
      <c r="BC339" s="3055"/>
      <c r="BD339" s="3055"/>
      <c r="BE339" s="3055"/>
      <c r="BF339" s="3055"/>
      <c r="BG339" s="3055"/>
      <c r="BH339" s="3055"/>
      <c r="BI339" s="3055"/>
      <c r="BJ339" s="3055"/>
      <c r="BK339" s="3055"/>
      <c r="BL339" s="3056"/>
      <c r="BM339" s="3057">
        <f t="shared" si="16"/>
      </c>
      <c r="BN339" s="3054"/>
      <c r="BO339" s="3054"/>
      <c r="BP339" s="3055"/>
      <c r="BQ339" s="3055"/>
      <c r="BR339" s="3055"/>
      <c r="BS339" s="3055"/>
      <c r="BT339" s="3055"/>
      <c r="BU339" s="3055"/>
      <c r="BV339" s="3055"/>
      <c r="BW339" s="3055"/>
      <c r="BX339" s="3055"/>
      <c r="BY339" s="3055"/>
      <c r="BZ339" s="3055"/>
      <c r="CA339" s="3055"/>
      <c r="CB339" s="3055"/>
      <c r="CC339" s="3056"/>
      <c r="CD339" s="3057">
        <f t="shared" si="0"/>
      </c>
      <c r="CE339" s="3054"/>
      <c r="CF339" s="3054"/>
      <c r="CG339" s="3055"/>
      <c r="CH339" s="3055"/>
      <c r="CI339" s="3055"/>
      <c r="CJ339" s="3055"/>
      <c r="CK339" s="3055"/>
      <c r="CL339" s="3055"/>
      <c r="CM339" s="3055"/>
      <c r="CN339" s="3055"/>
      <c r="CO339" s="3055"/>
      <c r="CP339" s="3055"/>
      <c r="CQ339" s="3055"/>
      <c r="CR339" s="3055"/>
      <c r="CS339" s="3055"/>
      <c r="CU339" s="3054"/>
      <c r="CV339" s="696"/>
      <c r="CW339" s="696"/>
      <c r="CZ339" s="3060">
        <f t="shared" si="17"/>
      </c>
      <c r="DA339" s="3060">
        <f t="shared" si="1"/>
      </c>
      <c r="DB339" s="3060">
        <f t="shared" si="18"/>
      </c>
      <c r="DC339" s="3060">
        <f t="shared" si="19"/>
      </c>
      <c r="DD339" s="3060">
        <f t="shared" si="20"/>
      </c>
      <c r="DE339" s="3060">
        <f t="shared" si="21"/>
      </c>
      <c r="DF339" s="3060">
        <f t="shared" si="22"/>
      </c>
      <c r="DG339" s="3060">
        <f t="shared" si="23"/>
      </c>
      <c r="DH339" s="3060">
        <f t="shared" si="24"/>
      </c>
      <c r="DI339" s="3060">
        <f t="shared" si="1"/>
      </c>
    </row>
    <row r="340" ht="15" customHeight="1" s="3052" customFormat="1">
      <c r="B340" s="3054">
        <f t="shared" si="2"/>
      </c>
      <c r="C340" s="3054"/>
      <c r="D340" s="3054"/>
      <c r="E340" s="3055"/>
      <c r="F340" s="3055"/>
      <c r="G340" s="3055"/>
      <c r="H340" s="3055"/>
      <c r="I340" s="3055"/>
      <c r="J340" s="3055"/>
      <c r="K340" s="3055"/>
      <c r="L340" s="3055"/>
      <c r="M340" s="3055"/>
      <c r="N340" s="3055"/>
      <c r="O340" s="3055"/>
      <c r="P340" s="3055"/>
      <c r="Q340" s="3055"/>
      <c r="R340" s="3055">
        <f t="shared" si="3"/>
        <v>0</v>
      </c>
      <c r="S340" s="3055">
        <f t="shared" si="4"/>
        <v>0</v>
      </c>
      <c r="T340" s="3055">
        <f t="shared" si="5"/>
        <v>0</v>
      </c>
      <c r="U340" s="3055">
        <f t="shared" si="6"/>
        <v>0</v>
      </c>
      <c r="V340" s="3055">
        <f t="shared" si="7"/>
        <v>0</v>
      </c>
      <c r="W340" s="3055">
        <f t="shared" si="8"/>
        <v>0</v>
      </c>
      <c r="X340" s="3055">
        <f t="shared" si="9"/>
        <v>0</v>
      </c>
      <c r="Y340" s="3055">
        <f t="shared" si="10"/>
        <v>0</v>
      </c>
      <c r="Z340" s="3055">
        <f t="shared" si="11"/>
        <v>0</v>
      </c>
      <c r="AA340" s="3055">
        <f t="shared" si="12"/>
        <v>0</v>
      </c>
      <c r="AB340" s="3055">
        <f t="shared" si="13"/>
        <v>0</v>
      </c>
      <c r="AC340" s="3055">
        <f t="shared" si="14"/>
        <v>0</v>
      </c>
      <c r="AD340" s="3056"/>
      <c r="AE340" s="3057">
        <f t="shared" si="0"/>
      </c>
      <c r="AF340" s="3054"/>
      <c r="AG340" s="3054"/>
      <c r="AH340" s="3055"/>
      <c r="AI340" s="3055"/>
      <c r="AJ340" s="3055"/>
      <c r="AK340" s="3055"/>
      <c r="AL340" s="3055"/>
      <c r="AM340" s="3055"/>
      <c r="AN340" s="3055"/>
      <c r="AO340" s="3055"/>
      <c r="AP340" s="3055"/>
      <c r="AQ340" s="3055"/>
      <c r="AR340" s="3055"/>
      <c r="AS340" s="3055"/>
      <c r="AT340" s="3055"/>
      <c r="AU340" s="3056"/>
      <c r="AV340" s="3057">
        <f t="shared" si="15"/>
      </c>
      <c r="AW340" s="3054"/>
      <c r="AX340" s="3054"/>
      <c r="AY340" s="3055"/>
      <c r="AZ340" s="3055"/>
      <c r="BA340" s="3055"/>
      <c r="BB340" s="3055"/>
      <c r="BC340" s="3055"/>
      <c r="BD340" s="3055"/>
      <c r="BE340" s="3055"/>
      <c r="BF340" s="3055"/>
      <c r="BG340" s="3055"/>
      <c r="BH340" s="3055"/>
      <c r="BI340" s="3055"/>
      <c r="BJ340" s="3055"/>
      <c r="BK340" s="3055"/>
      <c r="BL340" s="3056"/>
      <c r="BM340" s="3057">
        <f t="shared" si="16"/>
      </c>
      <c r="BN340" s="3054"/>
      <c r="BO340" s="3054"/>
      <c r="BP340" s="3055"/>
      <c r="BQ340" s="3055"/>
      <c r="BR340" s="3055"/>
      <c r="BS340" s="3055"/>
      <c r="BT340" s="3055"/>
      <c r="BU340" s="3055"/>
      <c r="BV340" s="3055"/>
      <c r="BW340" s="3055"/>
      <c r="BX340" s="3055"/>
      <c r="BY340" s="3055"/>
      <c r="BZ340" s="3055"/>
      <c r="CA340" s="3055"/>
      <c r="CB340" s="3055"/>
      <c r="CC340" s="3056"/>
      <c r="CD340" s="3057">
        <f t="shared" si="0"/>
      </c>
      <c r="CE340" s="3054"/>
      <c r="CF340" s="3054"/>
      <c r="CG340" s="3055"/>
      <c r="CH340" s="3055"/>
      <c r="CI340" s="3055"/>
      <c r="CJ340" s="3055"/>
      <c r="CK340" s="3055"/>
      <c r="CL340" s="3055"/>
      <c r="CM340" s="3055"/>
      <c r="CN340" s="3055"/>
      <c r="CO340" s="3055"/>
      <c r="CP340" s="3055"/>
      <c r="CQ340" s="3055"/>
      <c r="CR340" s="3055"/>
      <c r="CS340" s="3055"/>
      <c r="CU340" s="3054"/>
      <c r="CV340" s="696"/>
      <c r="CW340" s="696"/>
      <c r="CZ340" s="3060">
        <f t="shared" si="17"/>
      </c>
      <c r="DA340" s="3060">
        <f t="shared" si="1"/>
      </c>
      <c r="DB340" s="3060">
        <f t="shared" si="18"/>
      </c>
      <c r="DC340" s="3060">
        <f t="shared" si="19"/>
      </c>
      <c r="DD340" s="3060">
        <f t="shared" si="20"/>
      </c>
      <c r="DE340" s="3060">
        <f t="shared" si="21"/>
      </c>
      <c r="DF340" s="3060">
        <f t="shared" si="22"/>
      </c>
      <c r="DG340" s="3060">
        <f t="shared" si="23"/>
      </c>
      <c r="DH340" s="3060">
        <f t="shared" si="24"/>
      </c>
      <c r="DI340" s="3060">
        <f t="shared" si="1"/>
      </c>
    </row>
    <row r="341" ht="15" customHeight="1" s="3052" customFormat="1">
      <c r="B341" s="3054">
        <f t="shared" si="2"/>
      </c>
      <c r="C341" s="3054"/>
      <c r="D341" s="3054"/>
      <c r="E341" s="3055"/>
      <c r="F341" s="3055"/>
      <c r="G341" s="3055"/>
      <c r="H341" s="3055"/>
      <c r="I341" s="3055"/>
      <c r="J341" s="3055"/>
      <c r="K341" s="3055"/>
      <c r="L341" s="3055"/>
      <c r="M341" s="3055"/>
      <c r="N341" s="3055"/>
      <c r="O341" s="3055"/>
      <c r="P341" s="3055"/>
      <c r="Q341" s="3055"/>
      <c r="R341" s="3055">
        <f t="shared" si="3"/>
        <v>0</v>
      </c>
      <c r="S341" s="3055">
        <f t="shared" si="4"/>
        <v>0</v>
      </c>
      <c r="T341" s="3055">
        <f t="shared" si="5"/>
        <v>0</v>
      </c>
      <c r="U341" s="3055">
        <f t="shared" si="6"/>
        <v>0</v>
      </c>
      <c r="V341" s="3055">
        <f t="shared" si="7"/>
        <v>0</v>
      </c>
      <c r="W341" s="3055">
        <f t="shared" si="8"/>
        <v>0</v>
      </c>
      <c r="X341" s="3055">
        <f t="shared" si="9"/>
        <v>0</v>
      </c>
      <c r="Y341" s="3055">
        <f t="shared" si="10"/>
        <v>0</v>
      </c>
      <c r="Z341" s="3055">
        <f t="shared" si="11"/>
        <v>0</v>
      </c>
      <c r="AA341" s="3055">
        <f t="shared" si="12"/>
        <v>0</v>
      </c>
      <c r="AB341" s="3055">
        <f t="shared" si="13"/>
        <v>0</v>
      </c>
      <c r="AC341" s="3055">
        <f t="shared" si="14"/>
        <v>0</v>
      </c>
      <c r="AD341" s="3056"/>
      <c r="AE341" s="3057">
        <f t="shared" si="0"/>
      </c>
      <c r="AF341" s="3054"/>
      <c r="AG341" s="3054"/>
      <c r="AH341" s="3055"/>
      <c r="AI341" s="3055"/>
      <c r="AJ341" s="3055"/>
      <c r="AK341" s="3055"/>
      <c r="AL341" s="3055"/>
      <c r="AM341" s="3055"/>
      <c r="AN341" s="3055"/>
      <c r="AO341" s="3055"/>
      <c r="AP341" s="3055"/>
      <c r="AQ341" s="3055"/>
      <c r="AR341" s="3055"/>
      <c r="AS341" s="3055"/>
      <c r="AT341" s="3055"/>
      <c r="AU341" s="3056"/>
      <c r="AV341" s="3057">
        <f t="shared" si="15"/>
      </c>
      <c r="AW341" s="3054"/>
      <c r="AX341" s="3054"/>
      <c r="AY341" s="3055"/>
      <c r="AZ341" s="3055"/>
      <c r="BA341" s="3055"/>
      <c r="BB341" s="3055"/>
      <c r="BC341" s="3055"/>
      <c r="BD341" s="3055"/>
      <c r="BE341" s="3055"/>
      <c r="BF341" s="3055"/>
      <c r="BG341" s="3055"/>
      <c r="BH341" s="3055"/>
      <c r="BI341" s="3055"/>
      <c r="BJ341" s="3055"/>
      <c r="BK341" s="3055"/>
      <c r="BL341" s="3056"/>
      <c r="BM341" s="3057">
        <f t="shared" si="16"/>
      </c>
      <c r="BN341" s="3054"/>
      <c r="BO341" s="3054"/>
      <c r="BP341" s="3055"/>
      <c r="BQ341" s="3055"/>
      <c r="BR341" s="3055"/>
      <c r="BS341" s="3055"/>
      <c r="BT341" s="3055"/>
      <c r="BU341" s="3055"/>
      <c r="BV341" s="3055"/>
      <c r="BW341" s="3055"/>
      <c r="BX341" s="3055"/>
      <c r="BY341" s="3055"/>
      <c r="BZ341" s="3055"/>
      <c r="CA341" s="3055"/>
      <c r="CB341" s="3055"/>
      <c r="CC341" s="3056"/>
      <c r="CD341" s="3057">
        <f t="shared" si="0"/>
      </c>
      <c r="CE341" s="3054"/>
      <c r="CF341" s="3054"/>
      <c r="CG341" s="3055"/>
      <c r="CH341" s="3055"/>
      <c r="CI341" s="3055"/>
      <c r="CJ341" s="3055"/>
      <c r="CK341" s="3055"/>
      <c r="CL341" s="3055"/>
      <c r="CM341" s="3055"/>
      <c r="CN341" s="3055"/>
      <c r="CO341" s="3055"/>
      <c r="CP341" s="3055"/>
      <c r="CQ341" s="3055"/>
      <c r="CR341" s="3055"/>
      <c r="CS341" s="3055"/>
      <c r="CU341" s="3054"/>
      <c r="CV341" s="696"/>
      <c r="CW341" s="696"/>
      <c r="CZ341" s="3060">
        <f t="shared" si="17"/>
      </c>
      <c r="DA341" s="3060">
        <f t="shared" si="1"/>
      </c>
      <c r="DB341" s="3060">
        <f t="shared" si="18"/>
      </c>
      <c r="DC341" s="3060">
        <f t="shared" si="19"/>
      </c>
      <c r="DD341" s="3060">
        <f t="shared" si="20"/>
      </c>
      <c r="DE341" s="3060">
        <f t="shared" si="21"/>
      </c>
      <c r="DF341" s="3060">
        <f t="shared" si="22"/>
      </c>
      <c r="DG341" s="3060">
        <f t="shared" si="23"/>
      </c>
      <c r="DH341" s="3060">
        <f t="shared" si="24"/>
      </c>
      <c r="DI341" s="3060">
        <f t="shared" si="1"/>
      </c>
    </row>
    <row r="342" ht="15" customHeight="1" s="3052" customFormat="1">
      <c r="B342" s="3054">
        <f t="shared" si="2"/>
      </c>
      <c r="C342" s="3054"/>
      <c r="D342" s="3054"/>
      <c r="E342" s="3055"/>
      <c r="F342" s="3055"/>
      <c r="G342" s="3055"/>
      <c r="H342" s="3055"/>
      <c r="I342" s="3055"/>
      <c r="J342" s="3055"/>
      <c r="K342" s="3055"/>
      <c r="L342" s="3055"/>
      <c r="M342" s="3055"/>
      <c r="N342" s="3055"/>
      <c r="O342" s="3055"/>
      <c r="P342" s="3055"/>
      <c r="Q342" s="3055"/>
      <c r="R342" s="3055">
        <f t="shared" si="3"/>
        <v>0</v>
      </c>
      <c r="S342" s="3055">
        <f t="shared" si="4"/>
        <v>0</v>
      </c>
      <c r="T342" s="3055">
        <f t="shared" si="5"/>
        <v>0</v>
      </c>
      <c r="U342" s="3055">
        <f t="shared" si="6"/>
        <v>0</v>
      </c>
      <c r="V342" s="3055">
        <f t="shared" si="7"/>
        <v>0</v>
      </c>
      <c r="W342" s="3055">
        <f t="shared" si="8"/>
        <v>0</v>
      </c>
      <c r="X342" s="3055">
        <f t="shared" si="9"/>
        <v>0</v>
      </c>
      <c r="Y342" s="3055">
        <f t="shared" si="10"/>
        <v>0</v>
      </c>
      <c r="Z342" s="3055">
        <f t="shared" si="11"/>
        <v>0</v>
      </c>
      <c r="AA342" s="3055">
        <f t="shared" si="12"/>
        <v>0</v>
      </c>
      <c r="AB342" s="3055">
        <f t="shared" si="13"/>
        <v>0</v>
      </c>
      <c r="AC342" s="3055">
        <f t="shared" si="14"/>
        <v>0</v>
      </c>
      <c r="AD342" s="3056"/>
      <c r="AE342" s="3057">
        <f t="shared" si="0"/>
      </c>
      <c r="AF342" s="3054"/>
      <c r="AG342" s="3054"/>
      <c r="AH342" s="3055"/>
      <c r="AI342" s="3055"/>
      <c r="AJ342" s="3055"/>
      <c r="AK342" s="3055"/>
      <c r="AL342" s="3055"/>
      <c r="AM342" s="3055"/>
      <c r="AN342" s="3055"/>
      <c r="AO342" s="3055"/>
      <c r="AP342" s="3055"/>
      <c r="AQ342" s="3055"/>
      <c r="AR342" s="3055"/>
      <c r="AS342" s="3055"/>
      <c r="AT342" s="3055"/>
      <c r="AU342" s="3056"/>
      <c r="AV342" s="3057">
        <f t="shared" si="15"/>
      </c>
      <c r="AW342" s="3054"/>
      <c r="AX342" s="3054"/>
      <c r="AY342" s="3055"/>
      <c r="AZ342" s="3055"/>
      <c r="BA342" s="3055"/>
      <c r="BB342" s="3055"/>
      <c r="BC342" s="3055"/>
      <c r="BD342" s="3055"/>
      <c r="BE342" s="3055"/>
      <c r="BF342" s="3055"/>
      <c r="BG342" s="3055"/>
      <c r="BH342" s="3055"/>
      <c r="BI342" s="3055"/>
      <c r="BJ342" s="3055"/>
      <c r="BK342" s="3055"/>
      <c r="BL342" s="3056"/>
      <c r="BM342" s="3057">
        <f t="shared" si="16"/>
      </c>
      <c r="BN342" s="3054"/>
      <c r="BO342" s="3054"/>
      <c r="BP342" s="3055"/>
      <c r="BQ342" s="3055"/>
      <c r="BR342" s="3055"/>
      <c r="BS342" s="3055"/>
      <c r="BT342" s="3055"/>
      <c r="BU342" s="3055"/>
      <c r="BV342" s="3055"/>
      <c r="BW342" s="3055"/>
      <c r="BX342" s="3055"/>
      <c r="BY342" s="3055"/>
      <c r="BZ342" s="3055"/>
      <c r="CA342" s="3055"/>
      <c r="CB342" s="3055"/>
      <c r="CC342" s="3056"/>
      <c r="CD342" s="3057">
        <f t="shared" si="0"/>
      </c>
      <c r="CE342" s="3054"/>
      <c r="CF342" s="3054"/>
      <c r="CG342" s="3055"/>
      <c r="CH342" s="3055"/>
      <c r="CI342" s="3055"/>
      <c r="CJ342" s="3055"/>
      <c r="CK342" s="3055"/>
      <c r="CL342" s="3055"/>
      <c r="CM342" s="3055"/>
      <c r="CN342" s="3055"/>
      <c r="CO342" s="3055"/>
      <c r="CP342" s="3055"/>
      <c r="CQ342" s="3055"/>
      <c r="CR342" s="3055"/>
      <c r="CS342" s="3055"/>
      <c r="CU342" s="3054"/>
      <c r="CV342" s="696"/>
      <c r="CW342" s="696"/>
      <c r="CZ342" s="3060">
        <f t="shared" si="17"/>
      </c>
      <c r="DA342" s="3060">
        <f t="shared" si="1"/>
      </c>
      <c r="DB342" s="3060">
        <f t="shared" si="18"/>
      </c>
      <c r="DC342" s="3060">
        <f t="shared" si="19"/>
      </c>
      <c r="DD342" s="3060">
        <f t="shared" si="20"/>
      </c>
      <c r="DE342" s="3060">
        <f t="shared" si="21"/>
      </c>
      <c r="DF342" s="3060">
        <f t="shared" si="22"/>
      </c>
      <c r="DG342" s="3060">
        <f t="shared" si="23"/>
      </c>
      <c r="DH342" s="3060">
        <f t="shared" si="24"/>
      </c>
      <c r="DI342" s="3060">
        <f t="shared" si="1"/>
      </c>
    </row>
    <row r="343" ht="15" customHeight="1" s="3052" customFormat="1">
      <c r="B343" s="3054">
        <f t="shared" si="2"/>
      </c>
      <c r="C343" s="3054"/>
      <c r="D343" s="3054"/>
      <c r="E343" s="3055"/>
      <c r="F343" s="3055"/>
      <c r="G343" s="3055"/>
      <c r="H343" s="3055"/>
      <c r="I343" s="3055"/>
      <c r="J343" s="3055"/>
      <c r="K343" s="3055"/>
      <c r="L343" s="3055"/>
      <c r="M343" s="3055"/>
      <c r="N343" s="3055"/>
      <c r="O343" s="3055"/>
      <c r="P343" s="3055"/>
      <c r="Q343" s="3055"/>
      <c r="R343" s="3055">
        <f t="shared" si="3"/>
        <v>0</v>
      </c>
      <c r="S343" s="3055">
        <f t="shared" si="4"/>
        <v>0</v>
      </c>
      <c r="T343" s="3055">
        <f t="shared" si="5"/>
        <v>0</v>
      </c>
      <c r="U343" s="3055">
        <f t="shared" si="6"/>
        <v>0</v>
      </c>
      <c r="V343" s="3055">
        <f t="shared" si="7"/>
        <v>0</v>
      </c>
      <c r="W343" s="3055">
        <f t="shared" si="8"/>
        <v>0</v>
      </c>
      <c r="X343" s="3055">
        <f t="shared" si="9"/>
        <v>0</v>
      </c>
      <c r="Y343" s="3055">
        <f t="shared" si="10"/>
        <v>0</v>
      </c>
      <c r="Z343" s="3055">
        <f t="shared" si="11"/>
        <v>0</v>
      </c>
      <c r="AA343" s="3055">
        <f t="shared" si="12"/>
        <v>0</v>
      </c>
      <c r="AB343" s="3055">
        <f t="shared" si="13"/>
        <v>0</v>
      </c>
      <c r="AC343" s="3055">
        <f t="shared" si="14"/>
        <v>0</v>
      </c>
      <c r="AD343" s="3056"/>
      <c r="AE343" s="3057">
        <f t="shared" si="0"/>
      </c>
      <c r="AF343" s="3054"/>
      <c r="AG343" s="3054"/>
      <c r="AH343" s="3055"/>
      <c r="AI343" s="3055"/>
      <c r="AJ343" s="3055"/>
      <c r="AK343" s="3055"/>
      <c r="AL343" s="3055"/>
      <c r="AM343" s="3055"/>
      <c r="AN343" s="3055"/>
      <c r="AO343" s="3055"/>
      <c r="AP343" s="3055"/>
      <c r="AQ343" s="3055"/>
      <c r="AR343" s="3055"/>
      <c r="AS343" s="3055"/>
      <c r="AT343" s="3055"/>
      <c r="AU343" s="3056"/>
      <c r="AV343" s="3057">
        <f t="shared" si="15"/>
      </c>
      <c r="AW343" s="3054"/>
      <c r="AX343" s="3054"/>
      <c r="AY343" s="3055"/>
      <c r="AZ343" s="3055"/>
      <c r="BA343" s="3055"/>
      <c r="BB343" s="3055"/>
      <c r="BC343" s="3055"/>
      <c r="BD343" s="3055"/>
      <c r="BE343" s="3055"/>
      <c r="BF343" s="3055"/>
      <c r="BG343" s="3055"/>
      <c r="BH343" s="3055"/>
      <c r="BI343" s="3055"/>
      <c r="BJ343" s="3055"/>
      <c r="BK343" s="3055"/>
      <c r="BL343" s="3056"/>
      <c r="BM343" s="3057">
        <f t="shared" si="16"/>
      </c>
      <c r="BN343" s="3054"/>
      <c r="BO343" s="3054"/>
      <c r="BP343" s="3055"/>
      <c r="BQ343" s="3055"/>
      <c r="BR343" s="3055"/>
      <c r="BS343" s="3055"/>
      <c r="BT343" s="3055"/>
      <c r="BU343" s="3055"/>
      <c r="BV343" s="3055"/>
      <c r="BW343" s="3055"/>
      <c r="BX343" s="3055"/>
      <c r="BY343" s="3055"/>
      <c r="BZ343" s="3055"/>
      <c r="CA343" s="3055"/>
      <c r="CB343" s="3055"/>
      <c r="CC343" s="3056"/>
      <c r="CD343" s="3057">
        <f t="shared" si="0"/>
      </c>
      <c r="CE343" s="3054"/>
      <c r="CF343" s="3054"/>
      <c r="CG343" s="3055"/>
      <c r="CH343" s="3055"/>
      <c r="CI343" s="3055"/>
      <c r="CJ343" s="3055"/>
      <c r="CK343" s="3055"/>
      <c r="CL343" s="3055"/>
      <c r="CM343" s="3055"/>
      <c r="CN343" s="3055"/>
      <c r="CO343" s="3055"/>
      <c r="CP343" s="3055"/>
      <c r="CQ343" s="3055"/>
      <c r="CR343" s="3055"/>
      <c r="CS343" s="3055"/>
      <c r="CU343" s="3054"/>
      <c r="CV343" s="696"/>
      <c r="CW343" s="696"/>
      <c r="CZ343" s="3060">
        <f t="shared" si="17"/>
      </c>
      <c r="DA343" s="3060">
        <f t="shared" si="1"/>
      </c>
      <c r="DB343" s="3060">
        <f t="shared" si="18"/>
      </c>
      <c r="DC343" s="3060">
        <f t="shared" si="19"/>
      </c>
      <c r="DD343" s="3060">
        <f t="shared" si="20"/>
      </c>
      <c r="DE343" s="3060">
        <f t="shared" si="21"/>
      </c>
      <c r="DF343" s="3060">
        <f t="shared" si="22"/>
      </c>
      <c r="DG343" s="3060">
        <f t="shared" si="23"/>
      </c>
      <c r="DH343" s="3060">
        <f t="shared" si="24"/>
      </c>
      <c r="DI343" s="3060">
        <f t="shared" si="1"/>
      </c>
    </row>
    <row r="344" ht="15" customHeight="1" s="3052" customFormat="1">
      <c r="B344" s="3054">
        <f t="shared" si="2"/>
      </c>
      <c r="C344" s="3054"/>
      <c r="D344" s="3054"/>
      <c r="E344" s="3055"/>
      <c r="F344" s="3055"/>
      <c r="G344" s="3055"/>
      <c r="H344" s="3055"/>
      <c r="I344" s="3055"/>
      <c r="J344" s="3055"/>
      <c r="K344" s="3055"/>
      <c r="L344" s="3055"/>
      <c r="M344" s="3055"/>
      <c r="N344" s="3055"/>
      <c r="O344" s="3055"/>
      <c r="P344" s="3055"/>
      <c r="Q344" s="3055"/>
      <c r="R344" s="3055">
        <f t="shared" si="3"/>
        <v>0</v>
      </c>
      <c r="S344" s="3055">
        <f t="shared" si="4"/>
        <v>0</v>
      </c>
      <c r="T344" s="3055">
        <f t="shared" si="5"/>
        <v>0</v>
      </c>
      <c r="U344" s="3055">
        <f t="shared" si="6"/>
        <v>0</v>
      </c>
      <c r="V344" s="3055">
        <f t="shared" si="7"/>
        <v>0</v>
      </c>
      <c r="W344" s="3055">
        <f t="shared" si="8"/>
        <v>0</v>
      </c>
      <c r="X344" s="3055">
        <f t="shared" si="9"/>
        <v>0</v>
      </c>
      <c r="Y344" s="3055">
        <f t="shared" si="10"/>
        <v>0</v>
      </c>
      <c r="Z344" s="3055">
        <f t="shared" si="11"/>
        <v>0</v>
      </c>
      <c r="AA344" s="3055">
        <f t="shared" si="12"/>
        <v>0</v>
      </c>
      <c r="AB344" s="3055">
        <f t="shared" si="13"/>
        <v>0</v>
      </c>
      <c r="AC344" s="3055">
        <f t="shared" si="14"/>
        <v>0</v>
      </c>
      <c r="AD344" s="3056"/>
      <c r="AE344" s="3057">
        <f t="shared" si="0"/>
      </c>
      <c r="AF344" s="3054"/>
      <c r="AG344" s="3054"/>
      <c r="AH344" s="3055"/>
      <c r="AI344" s="3055"/>
      <c r="AJ344" s="3055"/>
      <c r="AK344" s="3055"/>
      <c r="AL344" s="3055"/>
      <c r="AM344" s="3055"/>
      <c r="AN344" s="3055"/>
      <c r="AO344" s="3055"/>
      <c r="AP344" s="3055"/>
      <c r="AQ344" s="3055"/>
      <c r="AR344" s="3055"/>
      <c r="AS344" s="3055"/>
      <c r="AT344" s="3055"/>
      <c r="AU344" s="3056"/>
      <c r="AV344" s="3057">
        <f t="shared" si="15"/>
      </c>
      <c r="AW344" s="3054"/>
      <c r="AX344" s="3054"/>
      <c r="AY344" s="3055"/>
      <c r="AZ344" s="3055"/>
      <c r="BA344" s="3055"/>
      <c r="BB344" s="3055"/>
      <c r="BC344" s="3055"/>
      <c r="BD344" s="3055"/>
      <c r="BE344" s="3055"/>
      <c r="BF344" s="3055"/>
      <c r="BG344" s="3055"/>
      <c r="BH344" s="3055"/>
      <c r="BI344" s="3055"/>
      <c r="BJ344" s="3055"/>
      <c r="BK344" s="3055"/>
      <c r="BL344" s="3056"/>
      <c r="BM344" s="3057">
        <f t="shared" si="16"/>
      </c>
      <c r="BN344" s="3054"/>
      <c r="BO344" s="3054"/>
      <c r="BP344" s="3055"/>
      <c r="BQ344" s="3055"/>
      <c r="BR344" s="3055"/>
      <c r="BS344" s="3055"/>
      <c r="BT344" s="3055"/>
      <c r="BU344" s="3055"/>
      <c r="BV344" s="3055"/>
      <c r="BW344" s="3055"/>
      <c r="BX344" s="3055"/>
      <c r="BY344" s="3055"/>
      <c r="BZ344" s="3055"/>
      <c r="CA344" s="3055"/>
      <c r="CB344" s="3055"/>
      <c r="CC344" s="3056"/>
      <c r="CD344" s="3057">
        <f t="shared" si="0"/>
      </c>
      <c r="CE344" s="3054"/>
      <c r="CF344" s="3054"/>
      <c r="CG344" s="3055"/>
      <c r="CH344" s="3055"/>
      <c r="CI344" s="3055"/>
      <c r="CJ344" s="3055"/>
      <c r="CK344" s="3055"/>
      <c r="CL344" s="3055"/>
      <c r="CM344" s="3055"/>
      <c r="CN344" s="3055"/>
      <c r="CO344" s="3055"/>
      <c r="CP344" s="3055"/>
      <c r="CQ344" s="3055"/>
      <c r="CR344" s="3055"/>
      <c r="CS344" s="3055"/>
      <c r="CU344" s="3054"/>
      <c r="CV344" s="696"/>
      <c r="CW344" s="696"/>
      <c r="CZ344" s="3060">
        <f t="shared" si="17"/>
      </c>
      <c r="DA344" s="3060">
        <f t="shared" si="1"/>
      </c>
      <c r="DB344" s="3060">
        <f t="shared" si="18"/>
      </c>
      <c r="DC344" s="3060">
        <f t="shared" si="19"/>
      </c>
      <c r="DD344" s="3060">
        <f t="shared" si="20"/>
      </c>
      <c r="DE344" s="3060">
        <f t="shared" si="21"/>
      </c>
      <c r="DF344" s="3060">
        <f t="shared" si="22"/>
      </c>
      <c r="DG344" s="3060">
        <f t="shared" si="23"/>
      </c>
      <c r="DH344" s="3060">
        <f t="shared" si="24"/>
      </c>
      <c r="DI344" s="3060">
        <f t="shared" si="1"/>
      </c>
    </row>
    <row r="345" ht="15" customHeight="1" s="3052" customFormat="1">
      <c r="B345" s="3054">
        <f t="shared" si="2"/>
      </c>
      <c r="C345" s="3054"/>
      <c r="D345" s="3054"/>
      <c r="E345" s="3055"/>
      <c r="F345" s="3055"/>
      <c r="G345" s="3055"/>
      <c r="H345" s="3055"/>
      <c r="I345" s="3055"/>
      <c r="J345" s="3055"/>
      <c r="K345" s="3055"/>
      <c r="L345" s="3055"/>
      <c r="M345" s="3055"/>
      <c r="N345" s="3055"/>
      <c r="O345" s="3055"/>
      <c r="P345" s="3055"/>
      <c r="Q345" s="3055"/>
      <c r="R345" s="3055">
        <f t="shared" si="3"/>
        <v>0</v>
      </c>
      <c r="S345" s="3055">
        <f t="shared" si="4"/>
        <v>0</v>
      </c>
      <c r="T345" s="3055">
        <f t="shared" si="5"/>
        <v>0</v>
      </c>
      <c r="U345" s="3055">
        <f t="shared" si="6"/>
        <v>0</v>
      </c>
      <c r="V345" s="3055">
        <f t="shared" si="7"/>
        <v>0</v>
      </c>
      <c r="W345" s="3055">
        <f t="shared" si="8"/>
        <v>0</v>
      </c>
      <c r="X345" s="3055">
        <f t="shared" si="9"/>
        <v>0</v>
      </c>
      <c r="Y345" s="3055">
        <f t="shared" si="10"/>
        <v>0</v>
      </c>
      <c r="Z345" s="3055">
        <f t="shared" si="11"/>
        <v>0</v>
      </c>
      <c r="AA345" s="3055">
        <f t="shared" si="12"/>
        <v>0</v>
      </c>
      <c r="AB345" s="3055">
        <f t="shared" si="13"/>
        <v>0</v>
      </c>
      <c r="AC345" s="3055">
        <f t="shared" si="14"/>
        <v>0</v>
      </c>
      <c r="AD345" s="3056"/>
      <c r="AE345" s="3057">
        <f t="shared" si="0"/>
      </c>
      <c r="AF345" s="3054"/>
      <c r="AG345" s="3054"/>
      <c r="AH345" s="3055"/>
      <c r="AI345" s="3055"/>
      <c r="AJ345" s="3055"/>
      <c r="AK345" s="3055"/>
      <c r="AL345" s="3055"/>
      <c r="AM345" s="3055"/>
      <c r="AN345" s="3055"/>
      <c r="AO345" s="3055"/>
      <c r="AP345" s="3055"/>
      <c r="AQ345" s="3055"/>
      <c r="AR345" s="3055"/>
      <c r="AS345" s="3055"/>
      <c r="AT345" s="3055"/>
      <c r="AU345" s="3056"/>
      <c r="AV345" s="3057">
        <f t="shared" si="15"/>
      </c>
      <c r="AW345" s="3054"/>
      <c r="AX345" s="3054"/>
      <c r="AY345" s="3055"/>
      <c r="AZ345" s="3055"/>
      <c r="BA345" s="3055"/>
      <c r="BB345" s="3055"/>
      <c r="BC345" s="3055"/>
      <c r="BD345" s="3055"/>
      <c r="BE345" s="3055"/>
      <c r="BF345" s="3055"/>
      <c r="BG345" s="3055"/>
      <c r="BH345" s="3055"/>
      <c r="BI345" s="3055"/>
      <c r="BJ345" s="3055"/>
      <c r="BK345" s="3055"/>
      <c r="BL345" s="3056"/>
      <c r="BM345" s="3057">
        <f t="shared" si="16"/>
      </c>
      <c r="BN345" s="3054"/>
      <c r="BO345" s="3054"/>
      <c r="BP345" s="3055"/>
      <c r="BQ345" s="3055"/>
      <c r="BR345" s="3055"/>
      <c r="BS345" s="3055"/>
      <c r="BT345" s="3055"/>
      <c r="BU345" s="3055"/>
      <c r="BV345" s="3055"/>
      <c r="BW345" s="3055"/>
      <c r="BX345" s="3055"/>
      <c r="BY345" s="3055"/>
      <c r="BZ345" s="3055"/>
      <c r="CA345" s="3055"/>
      <c r="CB345" s="3055"/>
      <c r="CC345" s="3056"/>
      <c r="CD345" s="3057">
        <f t="shared" si="0"/>
      </c>
      <c r="CE345" s="3054"/>
      <c r="CF345" s="3054"/>
      <c r="CG345" s="3055"/>
      <c r="CH345" s="3055"/>
      <c r="CI345" s="3055"/>
      <c r="CJ345" s="3055"/>
      <c r="CK345" s="3055"/>
      <c r="CL345" s="3055"/>
      <c r="CM345" s="3055"/>
      <c r="CN345" s="3055"/>
      <c r="CO345" s="3055"/>
      <c r="CP345" s="3055"/>
      <c r="CQ345" s="3055"/>
      <c r="CR345" s="3055"/>
      <c r="CS345" s="3055"/>
      <c r="CU345" s="3054"/>
      <c r="CV345" s="696"/>
      <c r="CW345" s="696"/>
      <c r="CZ345" s="3060">
        <f t="shared" si="17"/>
      </c>
      <c r="DA345" s="3060">
        <f t="shared" si="1"/>
      </c>
      <c r="DB345" s="3060">
        <f t="shared" si="18"/>
      </c>
      <c r="DC345" s="3060">
        <f t="shared" si="19"/>
      </c>
      <c r="DD345" s="3060">
        <f t="shared" si="20"/>
      </c>
      <c r="DE345" s="3060">
        <f t="shared" si="21"/>
      </c>
      <c r="DF345" s="3060">
        <f t="shared" si="22"/>
      </c>
      <c r="DG345" s="3060">
        <f t="shared" si="23"/>
      </c>
      <c r="DH345" s="3060">
        <f t="shared" si="24"/>
      </c>
      <c r="DI345" s="3060">
        <f t="shared" si="1"/>
      </c>
    </row>
    <row r="346" ht="15" customHeight="1" s="3052" customFormat="1">
      <c r="B346" s="3054">
        <f t="shared" si="2"/>
      </c>
      <c r="C346" s="3054"/>
      <c r="D346" s="3054"/>
      <c r="E346" s="3055"/>
      <c r="F346" s="3055"/>
      <c r="G346" s="3055"/>
      <c r="H346" s="3055"/>
      <c r="I346" s="3055"/>
      <c r="J346" s="3055"/>
      <c r="K346" s="3055"/>
      <c r="L346" s="3055"/>
      <c r="M346" s="3055"/>
      <c r="N346" s="3055"/>
      <c r="O346" s="3055"/>
      <c r="P346" s="3055"/>
      <c r="Q346" s="3055"/>
      <c r="R346" s="3055">
        <f t="shared" si="3"/>
        <v>0</v>
      </c>
      <c r="S346" s="3055">
        <f t="shared" si="4"/>
        <v>0</v>
      </c>
      <c r="T346" s="3055">
        <f t="shared" si="5"/>
        <v>0</v>
      </c>
      <c r="U346" s="3055">
        <f t="shared" si="6"/>
        <v>0</v>
      </c>
      <c r="V346" s="3055">
        <f t="shared" si="7"/>
        <v>0</v>
      </c>
      <c r="W346" s="3055">
        <f t="shared" si="8"/>
        <v>0</v>
      </c>
      <c r="X346" s="3055">
        <f t="shared" si="9"/>
        <v>0</v>
      </c>
      <c r="Y346" s="3055">
        <f t="shared" si="10"/>
        <v>0</v>
      </c>
      <c r="Z346" s="3055">
        <f t="shared" si="11"/>
        <v>0</v>
      </c>
      <c r="AA346" s="3055">
        <f t="shared" si="12"/>
        <v>0</v>
      </c>
      <c r="AB346" s="3055">
        <f t="shared" si="13"/>
        <v>0</v>
      </c>
      <c r="AC346" s="3055">
        <f t="shared" si="14"/>
        <v>0</v>
      </c>
      <c r="AD346" s="3056"/>
      <c r="AE346" s="3057">
        <f t="shared" si="0"/>
      </c>
      <c r="AF346" s="3054"/>
      <c r="AG346" s="3054"/>
      <c r="AH346" s="3055"/>
      <c r="AI346" s="3055"/>
      <c r="AJ346" s="3055"/>
      <c r="AK346" s="3055"/>
      <c r="AL346" s="3055"/>
      <c r="AM346" s="3055"/>
      <c r="AN346" s="3055"/>
      <c r="AO346" s="3055"/>
      <c r="AP346" s="3055"/>
      <c r="AQ346" s="3055"/>
      <c r="AR346" s="3055"/>
      <c r="AS346" s="3055"/>
      <c r="AT346" s="3055"/>
      <c r="AU346" s="3056"/>
      <c r="AV346" s="3057">
        <f t="shared" si="15"/>
      </c>
      <c r="AW346" s="3054"/>
      <c r="AX346" s="3054"/>
      <c r="AY346" s="3055"/>
      <c r="AZ346" s="3055"/>
      <c r="BA346" s="3055"/>
      <c r="BB346" s="3055"/>
      <c r="BC346" s="3055"/>
      <c r="BD346" s="3055"/>
      <c r="BE346" s="3055"/>
      <c r="BF346" s="3055"/>
      <c r="BG346" s="3055"/>
      <c r="BH346" s="3055"/>
      <c r="BI346" s="3055"/>
      <c r="BJ346" s="3055"/>
      <c r="BK346" s="3055"/>
      <c r="BL346" s="3056"/>
      <c r="BM346" s="3057">
        <f t="shared" si="16"/>
      </c>
      <c r="BN346" s="3054"/>
      <c r="BO346" s="3054"/>
      <c r="BP346" s="3055"/>
      <c r="BQ346" s="3055"/>
      <c r="BR346" s="3055"/>
      <c r="BS346" s="3055"/>
      <c r="BT346" s="3055"/>
      <c r="BU346" s="3055"/>
      <c r="BV346" s="3055"/>
      <c r="BW346" s="3055"/>
      <c r="BX346" s="3055"/>
      <c r="BY346" s="3055"/>
      <c r="BZ346" s="3055"/>
      <c r="CA346" s="3055"/>
      <c r="CB346" s="3055"/>
      <c r="CC346" s="3056"/>
      <c r="CD346" s="3057">
        <f t="shared" si="0"/>
      </c>
      <c r="CE346" s="3054"/>
      <c r="CF346" s="3054"/>
      <c r="CG346" s="3055"/>
      <c r="CH346" s="3055"/>
      <c r="CI346" s="3055"/>
      <c r="CJ346" s="3055"/>
      <c r="CK346" s="3055"/>
      <c r="CL346" s="3055"/>
      <c r="CM346" s="3055"/>
      <c r="CN346" s="3055"/>
      <c r="CO346" s="3055"/>
      <c r="CP346" s="3055"/>
      <c r="CQ346" s="3055"/>
      <c r="CR346" s="3055"/>
      <c r="CS346" s="3055"/>
      <c r="CU346" s="3054"/>
      <c r="CV346" s="696"/>
      <c r="CW346" s="696"/>
      <c r="CZ346" s="3060">
        <f t="shared" si="17"/>
      </c>
      <c r="DA346" s="3060">
        <f t="shared" si="1"/>
      </c>
      <c r="DB346" s="3060">
        <f t="shared" si="18"/>
      </c>
      <c r="DC346" s="3060">
        <f t="shared" si="19"/>
      </c>
      <c r="DD346" s="3060">
        <f t="shared" si="20"/>
      </c>
      <c r="DE346" s="3060">
        <f t="shared" si="21"/>
      </c>
      <c r="DF346" s="3060">
        <f t="shared" si="22"/>
      </c>
      <c r="DG346" s="3060">
        <f t="shared" si="23"/>
      </c>
      <c r="DH346" s="3060">
        <f t="shared" si="24"/>
      </c>
      <c r="DI346" s="3060">
        <f t="shared" si="1"/>
      </c>
    </row>
    <row r="347" ht="15" customHeight="1" s="3052" customFormat="1">
      <c r="B347" s="3054">
        <f t="shared" si="2"/>
      </c>
      <c r="C347" s="3054"/>
      <c r="D347" s="3054"/>
      <c r="E347" s="3055"/>
      <c r="F347" s="3055"/>
      <c r="G347" s="3055"/>
      <c r="H347" s="3055"/>
      <c r="I347" s="3055"/>
      <c r="J347" s="3055"/>
      <c r="K347" s="3055"/>
      <c r="L347" s="3055"/>
      <c r="M347" s="3055"/>
      <c r="N347" s="3055"/>
      <c r="O347" s="3055"/>
      <c r="P347" s="3055"/>
      <c r="Q347" s="3055"/>
      <c r="R347" s="3055">
        <f t="shared" si="3"/>
        <v>0</v>
      </c>
      <c r="S347" s="3055">
        <f t="shared" si="4"/>
        <v>0</v>
      </c>
      <c r="T347" s="3055">
        <f t="shared" si="5"/>
        <v>0</v>
      </c>
      <c r="U347" s="3055">
        <f t="shared" si="6"/>
        <v>0</v>
      </c>
      <c r="V347" s="3055">
        <f t="shared" si="7"/>
        <v>0</v>
      </c>
      <c r="W347" s="3055">
        <f t="shared" si="8"/>
        <v>0</v>
      </c>
      <c r="X347" s="3055">
        <f t="shared" si="9"/>
        <v>0</v>
      </c>
      <c r="Y347" s="3055">
        <f t="shared" si="10"/>
        <v>0</v>
      </c>
      <c r="Z347" s="3055">
        <f t="shared" si="11"/>
        <v>0</v>
      </c>
      <c r="AA347" s="3055">
        <f t="shared" si="12"/>
        <v>0</v>
      </c>
      <c r="AB347" s="3055">
        <f t="shared" si="13"/>
        <v>0</v>
      </c>
      <c r="AC347" s="3055">
        <f t="shared" si="14"/>
        <v>0</v>
      </c>
      <c r="AD347" s="3056"/>
      <c r="AE347" s="3057">
        <f t="shared" si="0"/>
      </c>
      <c r="AF347" s="3054"/>
      <c r="AG347" s="3054"/>
      <c r="AH347" s="3055"/>
      <c r="AI347" s="3055"/>
      <c r="AJ347" s="3055"/>
      <c r="AK347" s="3055"/>
      <c r="AL347" s="3055"/>
      <c r="AM347" s="3055"/>
      <c r="AN347" s="3055"/>
      <c r="AO347" s="3055"/>
      <c r="AP347" s="3055"/>
      <c r="AQ347" s="3055"/>
      <c r="AR347" s="3055"/>
      <c r="AS347" s="3055"/>
      <c r="AT347" s="3055"/>
      <c r="AU347" s="3056"/>
      <c r="AV347" s="3057">
        <f t="shared" si="15"/>
      </c>
      <c r="AW347" s="3054"/>
      <c r="AX347" s="3054"/>
      <c r="AY347" s="3055"/>
      <c r="AZ347" s="3055"/>
      <c r="BA347" s="3055"/>
      <c r="BB347" s="3055"/>
      <c r="BC347" s="3055"/>
      <c r="BD347" s="3055"/>
      <c r="BE347" s="3055"/>
      <c r="BF347" s="3055"/>
      <c r="BG347" s="3055"/>
      <c r="BH347" s="3055"/>
      <c r="BI347" s="3055"/>
      <c r="BJ347" s="3055"/>
      <c r="BK347" s="3055"/>
      <c r="BL347" s="3056"/>
      <c r="BM347" s="3057">
        <f t="shared" si="16"/>
      </c>
      <c r="BN347" s="3054"/>
      <c r="BO347" s="3054"/>
      <c r="BP347" s="3055"/>
      <c r="BQ347" s="3055"/>
      <c r="BR347" s="3055"/>
      <c r="BS347" s="3055"/>
      <c r="BT347" s="3055"/>
      <c r="BU347" s="3055"/>
      <c r="BV347" s="3055"/>
      <c r="BW347" s="3055"/>
      <c r="BX347" s="3055"/>
      <c r="BY347" s="3055"/>
      <c r="BZ347" s="3055"/>
      <c r="CA347" s="3055"/>
      <c r="CB347" s="3055"/>
      <c r="CC347" s="3056"/>
      <c r="CD347" s="3057">
        <f t="shared" si="0"/>
      </c>
      <c r="CE347" s="3054"/>
      <c r="CF347" s="3054"/>
      <c r="CG347" s="3055"/>
      <c r="CH347" s="3055"/>
      <c r="CI347" s="3055"/>
      <c r="CJ347" s="3055"/>
      <c r="CK347" s="3055"/>
      <c r="CL347" s="3055"/>
      <c r="CM347" s="3055"/>
      <c r="CN347" s="3055"/>
      <c r="CO347" s="3055"/>
      <c r="CP347" s="3055"/>
      <c r="CQ347" s="3055"/>
      <c r="CR347" s="3055"/>
      <c r="CS347" s="3055"/>
      <c r="CU347" s="3054"/>
      <c r="CV347" s="696"/>
      <c r="CW347" s="696"/>
      <c r="CZ347" s="3060">
        <f t="shared" si="17"/>
      </c>
      <c r="DA347" s="3060">
        <f t="shared" si="1"/>
      </c>
      <c r="DB347" s="3060">
        <f t="shared" si="18"/>
      </c>
      <c r="DC347" s="3060">
        <f t="shared" si="19"/>
      </c>
      <c r="DD347" s="3060">
        <f t="shared" si="20"/>
      </c>
      <c r="DE347" s="3060">
        <f t="shared" si="21"/>
      </c>
      <c r="DF347" s="3060">
        <f t="shared" si="22"/>
      </c>
      <c r="DG347" s="3060">
        <f t="shared" si="23"/>
      </c>
      <c r="DH347" s="3060">
        <f t="shared" si="24"/>
      </c>
      <c r="DI347" s="3060">
        <f t="shared" si="1"/>
      </c>
    </row>
    <row r="348" ht="15" customHeight="1" s="3052" customFormat="1">
      <c r="B348" s="3054">
        <f t="shared" si="2"/>
      </c>
      <c r="C348" s="3054"/>
      <c r="D348" s="3054"/>
      <c r="E348" s="3055"/>
      <c r="F348" s="3055"/>
      <c r="G348" s="3055"/>
      <c r="H348" s="3055"/>
      <c r="I348" s="3055"/>
      <c r="J348" s="3055"/>
      <c r="K348" s="3055"/>
      <c r="L348" s="3055"/>
      <c r="M348" s="3055"/>
      <c r="N348" s="3055"/>
      <c r="O348" s="3055"/>
      <c r="P348" s="3055"/>
      <c r="Q348" s="3055"/>
      <c r="R348" s="3055">
        <f t="shared" si="3"/>
        <v>0</v>
      </c>
      <c r="S348" s="3055">
        <f t="shared" si="4"/>
        <v>0</v>
      </c>
      <c r="T348" s="3055">
        <f t="shared" si="5"/>
        <v>0</v>
      </c>
      <c r="U348" s="3055">
        <f t="shared" si="6"/>
        <v>0</v>
      </c>
      <c r="V348" s="3055">
        <f t="shared" si="7"/>
        <v>0</v>
      </c>
      <c r="W348" s="3055">
        <f t="shared" si="8"/>
        <v>0</v>
      </c>
      <c r="X348" s="3055">
        <f t="shared" si="9"/>
        <v>0</v>
      </c>
      <c r="Y348" s="3055">
        <f t="shared" si="10"/>
        <v>0</v>
      </c>
      <c r="Z348" s="3055">
        <f t="shared" si="11"/>
        <v>0</v>
      </c>
      <c r="AA348" s="3055">
        <f t="shared" si="12"/>
        <v>0</v>
      </c>
      <c r="AB348" s="3055">
        <f t="shared" si="13"/>
        <v>0</v>
      </c>
      <c r="AC348" s="3055">
        <f t="shared" si="14"/>
        <v>0</v>
      </c>
      <c r="AD348" s="3056"/>
      <c r="AE348" s="3057">
        <f t="shared" si="0"/>
      </c>
      <c r="AF348" s="3054"/>
      <c r="AG348" s="3054"/>
      <c r="AH348" s="3055"/>
      <c r="AI348" s="3055"/>
      <c r="AJ348" s="3055"/>
      <c r="AK348" s="3055"/>
      <c r="AL348" s="3055"/>
      <c r="AM348" s="3055"/>
      <c r="AN348" s="3055"/>
      <c r="AO348" s="3055"/>
      <c r="AP348" s="3055"/>
      <c r="AQ348" s="3055"/>
      <c r="AR348" s="3055"/>
      <c r="AS348" s="3055"/>
      <c r="AT348" s="3055"/>
      <c r="AU348" s="3056"/>
      <c r="AV348" s="3057">
        <f t="shared" si="15"/>
      </c>
      <c r="AW348" s="3054"/>
      <c r="AX348" s="3054"/>
      <c r="AY348" s="3055"/>
      <c r="AZ348" s="3055"/>
      <c r="BA348" s="3055"/>
      <c r="BB348" s="3055"/>
      <c r="BC348" s="3055"/>
      <c r="BD348" s="3055"/>
      <c r="BE348" s="3055"/>
      <c r="BF348" s="3055"/>
      <c r="BG348" s="3055"/>
      <c r="BH348" s="3055"/>
      <c r="BI348" s="3055"/>
      <c r="BJ348" s="3055"/>
      <c r="BK348" s="3055"/>
      <c r="BL348" s="3056"/>
      <c r="BM348" s="3057">
        <f t="shared" si="16"/>
      </c>
      <c r="BN348" s="3054"/>
      <c r="BO348" s="3054"/>
      <c r="BP348" s="3055"/>
      <c r="BQ348" s="3055"/>
      <c r="BR348" s="3055"/>
      <c r="BS348" s="3055"/>
      <c r="BT348" s="3055"/>
      <c r="BU348" s="3055"/>
      <c r="BV348" s="3055"/>
      <c r="BW348" s="3055"/>
      <c r="BX348" s="3055"/>
      <c r="BY348" s="3055"/>
      <c r="BZ348" s="3055"/>
      <c r="CA348" s="3055"/>
      <c r="CB348" s="3055"/>
      <c r="CC348" s="3056"/>
      <c r="CD348" s="3057">
        <f t="shared" si="0"/>
      </c>
      <c r="CE348" s="3054"/>
      <c r="CF348" s="3054"/>
      <c r="CG348" s="3055"/>
      <c r="CH348" s="3055"/>
      <c r="CI348" s="3055"/>
      <c r="CJ348" s="3055"/>
      <c r="CK348" s="3055"/>
      <c r="CL348" s="3055"/>
      <c r="CM348" s="3055"/>
      <c r="CN348" s="3055"/>
      <c r="CO348" s="3055"/>
      <c r="CP348" s="3055"/>
      <c r="CQ348" s="3055"/>
      <c r="CR348" s="3055"/>
      <c r="CS348" s="3055"/>
      <c r="CU348" s="3054"/>
      <c r="CV348" s="696"/>
      <c r="CW348" s="696"/>
      <c r="CZ348" s="3060">
        <f t="shared" si="17"/>
      </c>
      <c r="DA348" s="3060">
        <f t="shared" si="1"/>
      </c>
      <c r="DB348" s="3060">
        <f t="shared" si="18"/>
      </c>
      <c r="DC348" s="3060">
        <f t="shared" si="19"/>
      </c>
      <c r="DD348" s="3060">
        <f t="shared" si="20"/>
      </c>
      <c r="DE348" s="3060">
        <f t="shared" si="21"/>
      </c>
      <c r="DF348" s="3060">
        <f t="shared" si="22"/>
      </c>
      <c r="DG348" s="3060">
        <f t="shared" si="23"/>
      </c>
      <c r="DH348" s="3060">
        <f t="shared" si="24"/>
      </c>
      <c r="DI348" s="3060">
        <f t="shared" si="1"/>
      </c>
    </row>
    <row r="349" ht="15" customHeight="1" s="3052" customFormat="1">
      <c r="B349" s="3054">
        <f t="shared" si="2"/>
      </c>
      <c r="C349" s="3054"/>
      <c r="D349" s="3054"/>
      <c r="E349" s="3055"/>
      <c r="F349" s="3055"/>
      <c r="G349" s="3055"/>
      <c r="H349" s="3055"/>
      <c r="I349" s="3055"/>
      <c r="J349" s="3055"/>
      <c r="K349" s="3055"/>
      <c r="L349" s="3055"/>
      <c r="M349" s="3055"/>
      <c r="N349" s="3055"/>
      <c r="O349" s="3055"/>
      <c r="P349" s="3055"/>
      <c r="Q349" s="3055"/>
      <c r="R349" s="3055">
        <f t="shared" si="3"/>
        <v>0</v>
      </c>
      <c r="S349" s="3055">
        <f t="shared" si="4"/>
        <v>0</v>
      </c>
      <c r="T349" s="3055">
        <f t="shared" si="5"/>
        <v>0</v>
      </c>
      <c r="U349" s="3055">
        <f t="shared" si="6"/>
        <v>0</v>
      </c>
      <c r="V349" s="3055">
        <f t="shared" si="7"/>
        <v>0</v>
      </c>
      <c r="W349" s="3055">
        <f t="shared" si="8"/>
        <v>0</v>
      </c>
      <c r="X349" s="3055">
        <f t="shared" si="9"/>
        <v>0</v>
      </c>
      <c r="Y349" s="3055">
        <f t="shared" si="10"/>
        <v>0</v>
      </c>
      <c r="Z349" s="3055">
        <f t="shared" si="11"/>
        <v>0</v>
      </c>
      <c r="AA349" s="3055">
        <f t="shared" si="12"/>
        <v>0</v>
      </c>
      <c r="AB349" s="3055">
        <f t="shared" si="13"/>
        <v>0</v>
      </c>
      <c r="AC349" s="3055">
        <f t="shared" si="14"/>
        <v>0</v>
      </c>
      <c r="AD349" s="3056"/>
      <c r="AE349" s="3057">
        <f t="shared" si="0"/>
      </c>
      <c r="AF349" s="3054"/>
      <c r="AG349" s="3054"/>
      <c r="AH349" s="3055"/>
      <c r="AI349" s="3055"/>
      <c r="AJ349" s="3055"/>
      <c r="AK349" s="3055"/>
      <c r="AL349" s="3055"/>
      <c r="AM349" s="3055"/>
      <c r="AN349" s="3055"/>
      <c r="AO349" s="3055"/>
      <c r="AP349" s="3055"/>
      <c r="AQ349" s="3055"/>
      <c r="AR349" s="3055"/>
      <c r="AS349" s="3055"/>
      <c r="AT349" s="3055"/>
      <c r="AU349" s="3056"/>
      <c r="AV349" s="3057">
        <f t="shared" si="15"/>
      </c>
      <c r="AW349" s="3054"/>
      <c r="AX349" s="3054"/>
      <c r="AY349" s="3055"/>
      <c r="AZ349" s="3055"/>
      <c r="BA349" s="3055"/>
      <c r="BB349" s="3055"/>
      <c r="BC349" s="3055"/>
      <c r="BD349" s="3055"/>
      <c r="BE349" s="3055"/>
      <c r="BF349" s="3055"/>
      <c r="BG349" s="3055"/>
      <c r="BH349" s="3055"/>
      <c r="BI349" s="3055"/>
      <c r="BJ349" s="3055"/>
      <c r="BK349" s="3055"/>
      <c r="BL349" s="3056"/>
      <c r="BM349" s="3057">
        <f t="shared" si="16"/>
      </c>
      <c r="BN349" s="3054"/>
      <c r="BO349" s="3054"/>
      <c r="BP349" s="3055"/>
      <c r="BQ349" s="3055"/>
      <c r="BR349" s="3055"/>
      <c r="BS349" s="3055"/>
      <c r="BT349" s="3055"/>
      <c r="BU349" s="3055"/>
      <c r="BV349" s="3055"/>
      <c r="BW349" s="3055"/>
      <c r="BX349" s="3055"/>
      <c r="BY349" s="3055"/>
      <c r="BZ349" s="3055"/>
      <c r="CA349" s="3055"/>
      <c r="CB349" s="3055"/>
      <c r="CC349" s="3056"/>
      <c r="CD349" s="3057">
        <f t="shared" si="0"/>
      </c>
      <c r="CE349" s="3054"/>
      <c r="CF349" s="3054"/>
      <c r="CG349" s="3055"/>
      <c r="CH349" s="3055"/>
      <c r="CI349" s="3055"/>
      <c r="CJ349" s="3055"/>
      <c r="CK349" s="3055"/>
      <c r="CL349" s="3055"/>
      <c r="CM349" s="3055"/>
      <c r="CN349" s="3055"/>
      <c r="CO349" s="3055"/>
      <c r="CP349" s="3055"/>
      <c r="CQ349" s="3055"/>
      <c r="CR349" s="3055"/>
      <c r="CS349" s="3055"/>
      <c r="CU349" s="3054"/>
      <c r="CV349" s="696"/>
      <c r="CW349" s="696"/>
      <c r="CZ349" s="3060">
        <f t="shared" si="17"/>
      </c>
      <c r="DA349" s="3060">
        <f t="shared" si="1"/>
      </c>
      <c r="DB349" s="3060">
        <f t="shared" si="18"/>
      </c>
      <c r="DC349" s="3060">
        <f t="shared" si="19"/>
      </c>
      <c r="DD349" s="3060">
        <f t="shared" si="20"/>
      </c>
      <c r="DE349" s="3060">
        <f t="shared" si="21"/>
      </c>
      <c r="DF349" s="3060">
        <f t="shared" si="22"/>
      </c>
      <c r="DG349" s="3060">
        <f t="shared" si="23"/>
      </c>
      <c r="DH349" s="3060">
        <f t="shared" si="24"/>
      </c>
      <c r="DI349" s="3060">
        <f t="shared" si="1"/>
      </c>
    </row>
    <row r="350" ht="15" customHeight="1" s="3052" customFormat="1">
      <c r="B350" s="3054">
        <f t="shared" si="2"/>
      </c>
      <c r="C350" s="3054"/>
      <c r="D350" s="3054"/>
      <c r="E350" s="3055"/>
      <c r="F350" s="3055"/>
      <c r="G350" s="3055"/>
      <c r="H350" s="3055"/>
      <c r="I350" s="3055"/>
      <c r="J350" s="3055"/>
      <c r="K350" s="3055"/>
      <c r="L350" s="3055"/>
      <c r="M350" s="3055"/>
      <c r="N350" s="3055"/>
      <c r="O350" s="3055"/>
      <c r="P350" s="3055"/>
      <c r="Q350" s="3055"/>
      <c r="R350" s="3055">
        <f t="shared" si="3"/>
        <v>0</v>
      </c>
      <c r="S350" s="3055">
        <f t="shared" si="4"/>
        <v>0</v>
      </c>
      <c r="T350" s="3055">
        <f t="shared" si="5"/>
        <v>0</v>
      </c>
      <c r="U350" s="3055">
        <f t="shared" si="6"/>
        <v>0</v>
      </c>
      <c r="V350" s="3055">
        <f t="shared" si="7"/>
        <v>0</v>
      </c>
      <c r="W350" s="3055">
        <f t="shared" si="8"/>
        <v>0</v>
      </c>
      <c r="X350" s="3055">
        <f t="shared" si="9"/>
        <v>0</v>
      </c>
      <c r="Y350" s="3055">
        <f t="shared" si="10"/>
        <v>0</v>
      </c>
      <c r="Z350" s="3055">
        <f t="shared" si="11"/>
        <v>0</v>
      </c>
      <c r="AA350" s="3055">
        <f t="shared" si="12"/>
        <v>0</v>
      </c>
      <c r="AB350" s="3055">
        <f t="shared" si="13"/>
        <v>0</v>
      </c>
      <c r="AC350" s="3055">
        <f t="shared" si="14"/>
        <v>0</v>
      </c>
      <c r="AD350" s="3056"/>
      <c r="AE350" s="3057">
        <f t="shared" si="0"/>
      </c>
      <c r="AF350" s="3054"/>
      <c r="AG350" s="3054"/>
      <c r="AH350" s="3055"/>
      <c r="AI350" s="3055"/>
      <c r="AJ350" s="3055"/>
      <c r="AK350" s="3055"/>
      <c r="AL350" s="3055"/>
      <c r="AM350" s="3055"/>
      <c r="AN350" s="3055"/>
      <c r="AO350" s="3055"/>
      <c r="AP350" s="3055"/>
      <c r="AQ350" s="3055"/>
      <c r="AR350" s="3055"/>
      <c r="AS350" s="3055"/>
      <c r="AT350" s="3055"/>
      <c r="AU350" s="3056"/>
      <c r="AV350" s="3057">
        <f t="shared" si="15"/>
      </c>
      <c r="AW350" s="3054"/>
      <c r="AX350" s="3054"/>
      <c r="AY350" s="3055"/>
      <c r="AZ350" s="3055"/>
      <c r="BA350" s="3055"/>
      <c r="BB350" s="3055"/>
      <c r="BC350" s="3055"/>
      <c r="BD350" s="3055"/>
      <c r="BE350" s="3055"/>
      <c r="BF350" s="3055"/>
      <c r="BG350" s="3055"/>
      <c r="BH350" s="3055"/>
      <c r="BI350" s="3055"/>
      <c r="BJ350" s="3055"/>
      <c r="BK350" s="3055"/>
      <c r="BL350" s="3056"/>
      <c r="BM350" s="3057">
        <f t="shared" si="16"/>
      </c>
      <c r="BN350" s="3054"/>
      <c r="BO350" s="3054"/>
      <c r="BP350" s="3055"/>
      <c r="BQ350" s="3055"/>
      <c r="BR350" s="3055"/>
      <c r="BS350" s="3055"/>
      <c r="BT350" s="3055"/>
      <c r="BU350" s="3055"/>
      <c r="BV350" s="3055"/>
      <c r="BW350" s="3055"/>
      <c r="BX350" s="3055"/>
      <c r="BY350" s="3055"/>
      <c r="BZ350" s="3055"/>
      <c r="CA350" s="3055"/>
      <c r="CB350" s="3055"/>
      <c r="CC350" s="3056"/>
      <c r="CD350" s="3057">
        <f t="shared" si="0"/>
      </c>
      <c r="CE350" s="3054"/>
      <c r="CF350" s="3054"/>
      <c r="CG350" s="3055"/>
      <c r="CH350" s="3055"/>
      <c r="CI350" s="3055"/>
      <c r="CJ350" s="3055"/>
      <c r="CK350" s="3055"/>
      <c r="CL350" s="3055"/>
      <c r="CM350" s="3055"/>
      <c r="CN350" s="3055"/>
      <c r="CO350" s="3055"/>
      <c r="CP350" s="3055"/>
      <c r="CQ350" s="3055"/>
      <c r="CR350" s="3055"/>
      <c r="CS350" s="3055"/>
      <c r="CU350" s="3054"/>
      <c r="CV350" s="696"/>
      <c r="CW350" s="696"/>
      <c r="CZ350" s="3060">
        <f t="shared" si="17"/>
      </c>
      <c r="DA350" s="3060">
        <f t="shared" si="1"/>
      </c>
      <c r="DB350" s="3060">
        <f t="shared" si="18"/>
      </c>
      <c r="DC350" s="3060">
        <f t="shared" si="19"/>
      </c>
      <c r="DD350" s="3060">
        <f t="shared" si="20"/>
      </c>
      <c r="DE350" s="3060">
        <f t="shared" si="21"/>
      </c>
      <c r="DF350" s="3060">
        <f t="shared" si="22"/>
      </c>
      <c r="DG350" s="3060">
        <f t="shared" si="23"/>
      </c>
      <c r="DH350" s="3060">
        <f t="shared" si="24"/>
      </c>
      <c r="DI350" s="3060">
        <f t="shared" si="1"/>
      </c>
    </row>
    <row r="351" ht="15" customHeight="1" s="3052" customFormat="1">
      <c r="B351" s="3054">
        <f t="shared" si="2"/>
      </c>
      <c r="C351" s="3054"/>
      <c r="D351" s="3054"/>
      <c r="E351" s="3055"/>
      <c r="F351" s="3055"/>
      <c r="G351" s="3055"/>
      <c r="H351" s="3055"/>
      <c r="I351" s="3055"/>
      <c r="J351" s="3055"/>
      <c r="K351" s="3055"/>
      <c r="L351" s="3055"/>
      <c r="M351" s="3055"/>
      <c r="N351" s="3055"/>
      <c r="O351" s="3055"/>
      <c r="P351" s="3055"/>
      <c r="Q351" s="3055"/>
      <c r="R351" s="3055">
        <f t="shared" si="3"/>
        <v>0</v>
      </c>
      <c r="S351" s="3055">
        <f t="shared" si="4"/>
        <v>0</v>
      </c>
      <c r="T351" s="3055">
        <f t="shared" si="5"/>
        <v>0</v>
      </c>
      <c r="U351" s="3055">
        <f t="shared" si="6"/>
        <v>0</v>
      </c>
      <c r="V351" s="3055">
        <f t="shared" si="7"/>
        <v>0</v>
      </c>
      <c r="W351" s="3055">
        <f t="shared" si="8"/>
        <v>0</v>
      </c>
      <c r="X351" s="3055">
        <f t="shared" si="9"/>
        <v>0</v>
      </c>
      <c r="Y351" s="3055">
        <f t="shared" si="10"/>
        <v>0</v>
      </c>
      <c r="Z351" s="3055">
        <f t="shared" si="11"/>
        <v>0</v>
      </c>
      <c r="AA351" s="3055">
        <f t="shared" si="12"/>
        <v>0</v>
      </c>
      <c r="AB351" s="3055">
        <f t="shared" si="13"/>
        <v>0</v>
      </c>
      <c r="AC351" s="3055">
        <f t="shared" si="14"/>
        <v>0</v>
      </c>
      <c r="AD351" s="3056"/>
      <c r="AE351" s="3057">
        <f t="shared" si="0"/>
      </c>
      <c r="AF351" s="3054"/>
      <c r="AG351" s="3054"/>
      <c r="AH351" s="3055"/>
      <c r="AI351" s="3055"/>
      <c r="AJ351" s="3055"/>
      <c r="AK351" s="3055"/>
      <c r="AL351" s="3055"/>
      <c r="AM351" s="3055"/>
      <c r="AN351" s="3055"/>
      <c r="AO351" s="3055"/>
      <c r="AP351" s="3055"/>
      <c r="AQ351" s="3055"/>
      <c r="AR351" s="3055"/>
      <c r="AS351" s="3055"/>
      <c r="AT351" s="3055"/>
      <c r="AU351" s="3056"/>
      <c r="AV351" s="3057">
        <f t="shared" si="15"/>
      </c>
      <c r="AW351" s="3054"/>
      <c r="AX351" s="3054"/>
      <c r="AY351" s="3055"/>
      <c r="AZ351" s="3055"/>
      <c r="BA351" s="3055"/>
      <c r="BB351" s="3055"/>
      <c r="BC351" s="3055"/>
      <c r="BD351" s="3055"/>
      <c r="BE351" s="3055"/>
      <c r="BF351" s="3055"/>
      <c r="BG351" s="3055"/>
      <c r="BH351" s="3055"/>
      <c r="BI351" s="3055"/>
      <c r="BJ351" s="3055"/>
      <c r="BK351" s="3055"/>
      <c r="BL351" s="3056"/>
      <c r="BM351" s="3057">
        <f t="shared" si="16"/>
      </c>
      <c r="BN351" s="3054"/>
      <c r="BO351" s="3054"/>
      <c r="BP351" s="3055"/>
      <c r="BQ351" s="3055"/>
      <c r="BR351" s="3055"/>
      <c r="BS351" s="3055"/>
      <c r="BT351" s="3055"/>
      <c r="BU351" s="3055"/>
      <c r="BV351" s="3055"/>
      <c r="BW351" s="3055"/>
      <c r="BX351" s="3055"/>
      <c r="BY351" s="3055"/>
      <c r="BZ351" s="3055"/>
      <c r="CA351" s="3055"/>
      <c r="CB351" s="3055"/>
      <c r="CC351" s="3056"/>
      <c r="CD351" s="3057">
        <f t="shared" si="0"/>
      </c>
      <c r="CE351" s="3054"/>
      <c r="CF351" s="3054"/>
      <c r="CG351" s="3055"/>
      <c r="CH351" s="3055"/>
      <c r="CI351" s="3055"/>
      <c r="CJ351" s="3055"/>
      <c r="CK351" s="3055"/>
      <c r="CL351" s="3055"/>
      <c r="CM351" s="3055"/>
      <c r="CN351" s="3055"/>
      <c r="CO351" s="3055"/>
      <c r="CP351" s="3055"/>
      <c r="CQ351" s="3055"/>
      <c r="CR351" s="3055"/>
      <c r="CS351" s="3055"/>
      <c r="CU351" s="3054"/>
      <c r="CV351" s="696"/>
      <c r="CW351" s="696"/>
      <c r="CZ351" s="3060">
        <f t="shared" si="17"/>
      </c>
      <c r="DA351" s="3060">
        <f t="shared" si="1"/>
      </c>
      <c r="DB351" s="3060">
        <f t="shared" si="18"/>
      </c>
      <c r="DC351" s="3060">
        <f t="shared" si="19"/>
      </c>
      <c r="DD351" s="3060">
        <f t="shared" si="20"/>
      </c>
      <c r="DE351" s="3060">
        <f t="shared" si="21"/>
      </c>
      <c r="DF351" s="3060">
        <f t="shared" si="22"/>
      </c>
      <c r="DG351" s="3060">
        <f t="shared" si="23"/>
      </c>
      <c r="DH351" s="3060">
        <f t="shared" si="24"/>
      </c>
      <c r="DI351" s="3060">
        <f t="shared" si="1"/>
      </c>
    </row>
    <row r="352" ht="15" customHeight="1" s="3052" customFormat="1">
      <c r="B352" s="3054">
        <f t="shared" si="2"/>
      </c>
      <c r="C352" s="3054"/>
      <c r="D352" s="3054"/>
      <c r="E352" s="3055"/>
      <c r="F352" s="3055"/>
      <c r="G352" s="3055"/>
      <c r="H352" s="3055"/>
      <c r="I352" s="3055"/>
      <c r="J352" s="3055"/>
      <c r="K352" s="3055"/>
      <c r="L352" s="3055"/>
      <c r="M352" s="3055"/>
      <c r="N352" s="3055"/>
      <c r="O352" s="3055"/>
      <c r="P352" s="3055"/>
      <c r="Q352" s="3055"/>
      <c r="R352" s="3055">
        <f t="shared" si="3"/>
        <v>0</v>
      </c>
      <c r="S352" s="3055">
        <f t="shared" si="4"/>
        <v>0</v>
      </c>
      <c r="T352" s="3055">
        <f t="shared" si="5"/>
        <v>0</v>
      </c>
      <c r="U352" s="3055">
        <f t="shared" si="6"/>
        <v>0</v>
      </c>
      <c r="V352" s="3055">
        <f t="shared" si="7"/>
        <v>0</v>
      </c>
      <c r="W352" s="3055">
        <f t="shared" si="8"/>
        <v>0</v>
      </c>
      <c r="X352" s="3055">
        <f t="shared" si="9"/>
        <v>0</v>
      </c>
      <c r="Y352" s="3055">
        <f t="shared" si="10"/>
        <v>0</v>
      </c>
      <c r="Z352" s="3055">
        <f t="shared" si="11"/>
        <v>0</v>
      </c>
      <c r="AA352" s="3055">
        <f t="shared" si="12"/>
        <v>0</v>
      </c>
      <c r="AB352" s="3055">
        <f t="shared" si="13"/>
        <v>0</v>
      </c>
      <c r="AC352" s="3055">
        <f t="shared" si="14"/>
        <v>0</v>
      </c>
      <c r="AD352" s="3056"/>
      <c r="AE352" s="3057">
        <f t="shared" si="0"/>
      </c>
      <c r="AF352" s="3054"/>
      <c r="AG352" s="3054"/>
      <c r="AH352" s="3055"/>
      <c r="AI352" s="3055"/>
      <c r="AJ352" s="3055"/>
      <c r="AK352" s="3055"/>
      <c r="AL352" s="3055"/>
      <c r="AM352" s="3055"/>
      <c r="AN352" s="3055"/>
      <c r="AO352" s="3055"/>
      <c r="AP352" s="3055"/>
      <c r="AQ352" s="3055"/>
      <c r="AR352" s="3055"/>
      <c r="AS352" s="3055"/>
      <c r="AT352" s="3055"/>
      <c r="AU352" s="3056"/>
      <c r="AV352" s="3057">
        <f t="shared" si="15"/>
      </c>
      <c r="AW352" s="3054"/>
      <c r="AX352" s="3054"/>
      <c r="AY352" s="3055"/>
      <c r="AZ352" s="3055"/>
      <c r="BA352" s="3055"/>
      <c r="BB352" s="3055"/>
      <c r="BC352" s="3055"/>
      <c r="BD352" s="3055"/>
      <c r="BE352" s="3055"/>
      <c r="BF352" s="3055"/>
      <c r="BG352" s="3055"/>
      <c r="BH352" s="3055"/>
      <c r="BI352" s="3055"/>
      <c r="BJ352" s="3055"/>
      <c r="BK352" s="3055"/>
      <c r="BL352" s="3056"/>
      <c r="BM352" s="3057">
        <f t="shared" si="16"/>
      </c>
      <c r="BN352" s="3054"/>
      <c r="BO352" s="3054"/>
      <c r="BP352" s="3055"/>
      <c r="BQ352" s="3055"/>
      <c r="BR352" s="3055"/>
      <c r="BS352" s="3055"/>
      <c r="BT352" s="3055"/>
      <c r="BU352" s="3055"/>
      <c r="BV352" s="3055"/>
      <c r="BW352" s="3055"/>
      <c r="BX352" s="3055"/>
      <c r="BY352" s="3055"/>
      <c r="BZ352" s="3055"/>
      <c r="CA352" s="3055"/>
      <c r="CB352" s="3055"/>
      <c r="CC352" s="3056"/>
      <c r="CD352" s="3057">
        <f t="shared" si="0"/>
      </c>
      <c r="CE352" s="3054"/>
      <c r="CF352" s="3054"/>
      <c r="CG352" s="3055"/>
      <c r="CH352" s="3055"/>
      <c r="CI352" s="3055"/>
      <c r="CJ352" s="3055"/>
      <c r="CK352" s="3055"/>
      <c r="CL352" s="3055"/>
      <c r="CM352" s="3055"/>
      <c r="CN352" s="3055"/>
      <c r="CO352" s="3055"/>
      <c r="CP352" s="3055"/>
      <c r="CQ352" s="3055"/>
      <c r="CR352" s="3055"/>
      <c r="CS352" s="3055"/>
      <c r="CU352" s="3054"/>
      <c r="CV352" s="696"/>
      <c r="CW352" s="696"/>
      <c r="CZ352" s="3060">
        <f t="shared" si="17"/>
      </c>
      <c r="DA352" s="3060">
        <f t="shared" si="1"/>
      </c>
      <c r="DB352" s="3060">
        <f t="shared" si="18"/>
      </c>
      <c r="DC352" s="3060">
        <f t="shared" si="19"/>
      </c>
      <c r="DD352" s="3060">
        <f t="shared" si="20"/>
      </c>
      <c r="DE352" s="3060">
        <f t="shared" si="21"/>
      </c>
      <c r="DF352" s="3060">
        <f t="shared" si="22"/>
      </c>
      <c r="DG352" s="3060">
        <f t="shared" si="23"/>
      </c>
      <c r="DH352" s="3060">
        <f t="shared" si="24"/>
      </c>
      <c r="DI352" s="3060">
        <f t="shared" si="1"/>
      </c>
    </row>
    <row r="353" ht="15" customHeight="1" s="3052" customFormat="1">
      <c r="B353" s="3054">
        <f t="shared" si="2"/>
      </c>
      <c r="C353" s="3054"/>
      <c r="D353" s="3054"/>
      <c r="E353" s="3055"/>
      <c r="F353" s="3055"/>
      <c r="G353" s="3055"/>
      <c r="H353" s="3055"/>
      <c r="I353" s="3055"/>
      <c r="J353" s="3055"/>
      <c r="K353" s="3055"/>
      <c r="L353" s="3055"/>
      <c r="M353" s="3055"/>
      <c r="N353" s="3055"/>
      <c r="O353" s="3055"/>
      <c r="P353" s="3055"/>
      <c r="Q353" s="3055"/>
      <c r="R353" s="3055">
        <f t="shared" si="3"/>
        <v>0</v>
      </c>
      <c r="S353" s="3055">
        <f t="shared" si="4"/>
        <v>0</v>
      </c>
      <c r="T353" s="3055">
        <f t="shared" si="5"/>
        <v>0</v>
      </c>
      <c r="U353" s="3055">
        <f t="shared" si="6"/>
        <v>0</v>
      </c>
      <c r="V353" s="3055">
        <f t="shared" si="7"/>
        <v>0</v>
      </c>
      <c r="W353" s="3055">
        <f t="shared" si="8"/>
        <v>0</v>
      </c>
      <c r="X353" s="3055">
        <f t="shared" si="9"/>
        <v>0</v>
      </c>
      <c r="Y353" s="3055">
        <f t="shared" si="10"/>
        <v>0</v>
      </c>
      <c r="Z353" s="3055">
        <f t="shared" si="11"/>
        <v>0</v>
      </c>
      <c r="AA353" s="3055">
        <f t="shared" si="12"/>
        <v>0</v>
      </c>
      <c r="AB353" s="3055">
        <f t="shared" si="13"/>
        <v>0</v>
      </c>
      <c r="AC353" s="3055">
        <f t="shared" si="14"/>
        <v>0</v>
      </c>
      <c r="AD353" s="3056"/>
      <c r="AE353" s="3057">
        <f t="shared" si="0"/>
      </c>
      <c r="AF353" s="3054"/>
      <c r="AG353" s="3054"/>
      <c r="AH353" s="3055"/>
      <c r="AI353" s="3055"/>
      <c r="AJ353" s="3055"/>
      <c r="AK353" s="3055"/>
      <c r="AL353" s="3055"/>
      <c r="AM353" s="3055"/>
      <c r="AN353" s="3055"/>
      <c r="AO353" s="3055"/>
      <c r="AP353" s="3055"/>
      <c r="AQ353" s="3055"/>
      <c r="AR353" s="3055"/>
      <c r="AS353" s="3055"/>
      <c r="AT353" s="3055"/>
      <c r="AU353" s="3056"/>
      <c r="AV353" s="3057">
        <f t="shared" si="15"/>
      </c>
      <c r="AW353" s="3054"/>
      <c r="AX353" s="3054"/>
      <c r="AY353" s="3055"/>
      <c r="AZ353" s="3055"/>
      <c r="BA353" s="3055"/>
      <c r="BB353" s="3055"/>
      <c r="BC353" s="3055"/>
      <c r="BD353" s="3055"/>
      <c r="BE353" s="3055"/>
      <c r="BF353" s="3055"/>
      <c r="BG353" s="3055"/>
      <c r="BH353" s="3055"/>
      <c r="BI353" s="3055"/>
      <c r="BJ353" s="3055"/>
      <c r="BK353" s="3055"/>
      <c r="BL353" s="3056"/>
      <c r="BM353" s="3057">
        <f t="shared" si="16"/>
      </c>
      <c r="BN353" s="3054"/>
      <c r="BO353" s="3054"/>
      <c r="BP353" s="3055"/>
      <c r="BQ353" s="3055"/>
      <c r="BR353" s="3055"/>
      <c r="BS353" s="3055"/>
      <c r="BT353" s="3055"/>
      <c r="BU353" s="3055"/>
      <c r="BV353" s="3055"/>
      <c r="BW353" s="3055"/>
      <c r="BX353" s="3055"/>
      <c r="BY353" s="3055"/>
      <c r="BZ353" s="3055"/>
      <c r="CA353" s="3055"/>
      <c r="CB353" s="3055"/>
      <c r="CC353" s="3056"/>
      <c r="CD353" s="3057">
        <f t="shared" si="0"/>
      </c>
      <c r="CE353" s="3054"/>
      <c r="CF353" s="3054"/>
      <c r="CG353" s="3055"/>
      <c r="CH353" s="3055"/>
      <c r="CI353" s="3055"/>
      <c r="CJ353" s="3055"/>
      <c r="CK353" s="3055"/>
      <c r="CL353" s="3055"/>
      <c r="CM353" s="3055"/>
      <c r="CN353" s="3055"/>
      <c r="CO353" s="3055"/>
      <c r="CP353" s="3055"/>
      <c r="CQ353" s="3055"/>
      <c r="CR353" s="3055"/>
      <c r="CS353" s="3055"/>
      <c r="CU353" s="3054"/>
      <c r="CV353" s="696"/>
      <c r="CW353" s="696"/>
      <c r="CZ353" s="3060">
        <f t="shared" si="17"/>
      </c>
      <c r="DA353" s="3060">
        <f t="shared" si="1"/>
      </c>
      <c r="DB353" s="3060">
        <f t="shared" si="18"/>
      </c>
      <c r="DC353" s="3060">
        <f t="shared" si="19"/>
      </c>
      <c r="DD353" s="3060">
        <f t="shared" si="20"/>
      </c>
      <c r="DE353" s="3060">
        <f t="shared" si="21"/>
      </c>
      <c r="DF353" s="3060">
        <f t="shared" si="22"/>
      </c>
      <c r="DG353" s="3060">
        <f t="shared" si="23"/>
      </c>
      <c r="DH353" s="3060">
        <f t="shared" si="24"/>
      </c>
      <c r="DI353" s="3060">
        <f t="shared" si="1"/>
      </c>
    </row>
    <row r="354" ht="15" customHeight="1" s="3052" customFormat="1">
      <c r="B354" s="3054">
        <f t="shared" si="2"/>
      </c>
      <c r="C354" s="3054"/>
      <c r="D354" s="3054"/>
      <c r="E354" s="3055"/>
      <c r="F354" s="3055"/>
      <c r="G354" s="3055"/>
      <c r="H354" s="3055"/>
      <c r="I354" s="3055"/>
      <c r="J354" s="3055"/>
      <c r="K354" s="3055"/>
      <c r="L354" s="3055"/>
      <c r="M354" s="3055"/>
      <c r="N354" s="3055"/>
      <c r="O354" s="3055"/>
      <c r="P354" s="3055"/>
      <c r="Q354" s="3055"/>
      <c r="R354" s="3055">
        <f t="shared" si="3"/>
        <v>0</v>
      </c>
      <c r="S354" s="3055">
        <f t="shared" si="4"/>
        <v>0</v>
      </c>
      <c r="T354" s="3055">
        <f t="shared" si="5"/>
        <v>0</v>
      </c>
      <c r="U354" s="3055">
        <f t="shared" si="6"/>
        <v>0</v>
      </c>
      <c r="V354" s="3055">
        <f t="shared" si="7"/>
        <v>0</v>
      </c>
      <c r="W354" s="3055">
        <f t="shared" si="8"/>
        <v>0</v>
      </c>
      <c r="X354" s="3055">
        <f t="shared" si="9"/>
        <v>0</v>
      </c>
      <c r="Y354" s="3055">
        <f t="shared" si="10"/>
        <v>0</v>
      </c>
      <c r="Z354" s="3055">
        <f t="shared" si="11"/>
        <v>0</v>
      </c>
      <c r="AA354" s="3055">
        <f t="shared" si="12"/>
        <v>0</v>
      </c>
      <c r="AB354" s="3055">
        <f t="shared" si="13"/>
        <v>0</v>
      </c>
      <c r="AC354" s="3055">
        <f t="shared" si="14"/>
        <v>0</v>
      </c>
      <c r="AD354" s="3056"/>
      <c r="AE354" s="3057">
        <f t="shared" si="0"/>
      </c>
      <c r="AF354" s="3054"/>
      <c r="AG354" s="3054"/>
      <c r="AH354" s="3055"/>
      <c r="AI354" s="3055"/>
      <c r="AJ354" s="3055"/>
      <c r="AK354" s="3055"/>
      <c r="AL354" s="3055"/>
      <c r="AM354" s="3055"/>
      <c r="AN354" s="3055"/>
      <c r="AO354" s="3055"/>
      <c r="AP354" s="3055"/>
      <c r="AQ354" s="3055"/>
      <c r="AR354" s="3055"/>
      <c r="AS354" s="3055"/>
      <c r="AT354" s="3055"/>
      <c r="AU354" s="3056"/>
      <c r="AV354" s="3057">
        <f t="shared" si="15"/>
      </c>
      <c r="AW354" s="3054"/>
      <c r="AX354" s="3054"/>
      <c r="AY354" s="3055"/>
      <c r="AZ354" s="3055"/>
      <c r="BA354" s="3055"/>
      <c r="BB354" s="3055"/>
      <c r="BC354" s="3055"/>
      <c r="BD354" s="3055"/>
      <c r="BE354" s="3055"/>
      <c r="BF354" s="3055"/>
      <c r="BG354" s="3055"/>
      <c r="BH354" s="3055"/>
      <c r="BI354" s="3055"/>
      <c r="BJ354" s="3055"/>
      <c r="BK354" s="3055"/>
      <c r="BL354" s="3056"/>
      <c r="BM354" s="3057">
        <f t="shared" si="16"/>
      </c>
      <c r="BN354" s="3054"/>
      <c r="BO354" s="3054"/>
      <c r="BP354" s="3055"/>
      <c r="BQ354" s="3055"/>
      <c r="BR354" s="3055"/>
      <c r="BS354" s="3055"/>
      <c r="BT354" s="3055"/>
      <c r="BU354" s="3055"/>
      <c r="BV354" s="3055"/>
      <c r="BW354" s="3055"/>
      <c r="BX354" s="3055"/>
      <c r="BY354" s="3055"/>
      <c r="BZ354" s="3055"/>
      <c r="CA354" s="3055"/>
      <c r="CB354" s="3055"/>
      <c r="CC354" s="3056"/>
      <c r="CD354" s="3057">
        <f t="shared" si="0"/>
      </c>
      <c r="CE354" s="3054"/>
      <c r="CF354" s="3054"/>
      <c r="CG354" s="3055"/>
      <c r="CH354" s="3055"/>
      <c r="CI354" s="3055"/>
      <c r="CJ354" s="3055"/>
      <c r="CK354" s="3055"/>
      <c r="CL354" s="3055"/>
      <c r="CM354" s="3055"/>
      <c r="CN354" s="3055"/>
      <c r="CO354" s="3055"/>
      <c r="CP354" s="3055"/>
      <c r="CQ354" s="3055"/>
      <c r="CR354" s="3055"/>
      <c r="CS354" s="3055"/>
      <c r="CU354" s="3054"/>
      <c r="CV354" s="696"/>
      <c r="CW354" s="696"/>
      <c r="CZ354" s="3060">
        <f t="shared" si="17"/>
      </c>
      <c r="DA354" s="3060">
        <f t="shared" si="1"/>
      </c>
      <c r="DB354" s="3060">
        <f t="shared" si="18"/>
      </c>
      <c r="DC354" s="3060">
        <f t="shared" si="19"/>
      </c>
      <c r="DD354" s="3060">
        <f t="shared" si="20"/>
      </c>
      <c r="DE354" s="3060">
        <f t="shared" si="21"/>
      </c>
      <c r="DF354" s="3060">
        <f t="shared" si="22"/>
      </c>
      <c r="DG354" s="3060">
        <f t="shared" si="23"/>
      </c>
      <c r="DH354" s="3060">
        <f t="shared" si="24"/>
      </c>
      <c r="DI354" s="3060">
        <f t="shared" si="1"/>
      </c>
    </row>
    <row r="355" ht="15" customHeight="1" s="3052" customFormat="1">
      <c r="B355" s="3054">
        <f t="shared" si="2"/>
      </c>
      <c r="C355" s="3054"/>
      <c r="D355" s="3054"/>
      <c r="E355" s="3055"/>
      <c r="F355" s="3055"/>
      <c r="G355" s="3055"/>
      <c r="H355" s="3055"/>
      <c r="I355" s="3055"/>
      <c r="J355" s="3055"/>
      <c r="K355" s="3055"/>
      <c r="L355" s="3055"/>
      <c r="M355" s="3055"/>
      <c r="N355" s="3055"/>
      <c r="O355" s="3055"/>
      <c r="P355" s="3055"/>
      <c r="Q355" s="3055"/>
      <c r="R355" s="3055">
        <f t="shared" si="3"/>
        <v>0</v>
      </c>
      <c r="S355" s="3055">
        <f t="shared" si="4"/>
        <v>0</v>
      </c>
      <c r="T355" s="3055">
        <f t="shared" si="5"/>
        <v>0</v>
      </c>
      <c r="U355" s="3055">
        <f t="shared" si="6"/>
        <v>0</v>
      </c>
      <c r="V355" s="3055">
        <f t="shared" si="7"/>
        <v>0</v>
      </c>
      <c r="W355" s="3055">
        <f t="shared" si="8"/>
        <v>0</v>
      </c>
      <c r="X355" s="3055">
        <f t="shared" si="9"/>
        <v>0</v>
      </c>
      <c r="Y355" s="3055">
        <f t="shared" si="10"/>
        <v>0</v>
      </c>
      <c r="Z355" s="3055">
        <f t="shared" si="11"/>
        <v>0</v>
      </c>
      <c r="AA355" s="3055">
        <f t="shared" si="12"/>
        <v>0</v>
      </c>
      <c r="AB355" s="3055">
        <f t="shared" si="13"/>
        <v>0</v>
      </c>
      <c r="AC355" s="3055">
        <f t="shared" si="14"/>
        <v>0</v>
      </c>
      <c r="AD355" s="3056"/>
      <c r="AE355" s="3057">
        <f t="shared" si="0"/>
      </c>
      <c r="AF355" s="3054"/>
      <c r="AG355" s="3054"/>
      <c r="AH355" s="3055"/>
      <c r="AI355" s="3055"/>
      <c r="AJ355" s="3055"/>
      <c r="AK355" s="3055"/>
      <c r="AL355" s="3055"/>
      <c r="AM355" s="3055"/>
      <c r="AN355" s="3055"/>
      <c r="AO355" s="3055"/>
      <c r="AP355" s="3055"/>
      <c r="AQ355" s="3055"/>
      <c r="AR355" s="3055"/>
      <c r="AS355" s="3055"/>
      <c r="AT355" s="3055"/>
      <c r="AU355" s="3056"/>
      <c r="AV355" s="3057">
        <f t="shared" si="15"/>
      </c>
      <c r="AW355" s="3054"/>
      <c r="AX355" s="3054"/>
      <c r="AY355" s="3055"/>
      <c r="AZ355" s="3055"/>
      <c r="BA355" s="3055"/>
      <c r="BB355" s="3055"/>
      <c r="BC355" s="3055"/>
      <c r="BD355" s="3055"/>
      <c r="BE355" s="3055"/>
      <c r="BF355" s="3055"/>
      <c r="BG355" s="3055"/>
      <c r="BH355" s="3055"/>
      <c r="BI355" s="3055"/>
      <c r="BJ355" s="3055"/>
      <c r="BK355" s="3055"/>
      <c r="BL355" s="3056"/>
      <c r="BM355" s="3057">
        <f t="shared" si="16"/>
      </c>
      <c r="BN355" s="3054"/>
      <c r="BO355" s="3054"/>
      <c r="BP355" s="3055"/>
      <c r="BQ355" s="3055"/>
      <c r="BR355" s="3055"/>
      <c r="BS355" s="3055"/>
      <c r="BT355" s="3055"/>
      <c r="BU355" s="3055"/>
      <c r="BV355" s="3055"/>
      <c r="BW355" s="3055"/>
      <c r="BX355" s="3055"/>
      <c r="BY355" s="3055"/>
      <c r="BZ355" s="3055"/>
      <c r="CA355" s="3055"/>
      <c r="CB355" s="3055"/>
      <c r="CC355" s="3056"/>
      <c r="CD355" s="3057">
        <f t="shared" si="0"/>
      </c>
      <c r="CE355" s="3054"/>
      <c r="CF355" s="3054"/>
      <c r="CG355" s="3055"/>
      <c r="CH355" s="3055"/>
      <c r="CI355" s="3055"/>
      <c r="CJ355" s="3055"/>
      <c r="CK355" s="3055"/>
      <c r="CL355" s="3055"/>
      <c r="CM355" s="3055"/>
      <c r="CN355" s="3055"/>
      <c r="CO355" s="3055"/>
      <c r="CP355" s="3055"/>
      <c r="CQ355" s="3055"/>
      <c r="CR355" s="3055"/>
      <c r="CS355" s="3055"/>
      <c r="CU355" s="3054"/>
      <c r="CV355" s="696"/>
      <c r="CW355" s="696"/>
      <c r="CZ355" s="3060">
        <f t="shared" si="17"/>
      </c>
      <c r="DA355" s="3060">
        <f t="shared" si="1"/>
      </c>
      <c r="DB355" s="3060">
        <f t="shared" si="18"/>
      </c>
      <c r="DC355" s="3060">
        <f t="shared" si="19"/>
      </c>
      <c r="DD355" s="3060">
        <f t="shared" si="20"/>
      </c>
      <c r="DE355" s="3060">
        <f t="shared" si="21"/>
      </c>
      <c r="DF355" s="3060">
        <f t="shared" si="22"/>
      </c>
      <c r="DG355" s="3060">
        <f t="shared" si="23"/>
      </c>
      <c r="DH355" s="3060">
        <f t="shared" si="24"/>
      </c>
      <c r="DI355" s="3060">
        <f t="shared" si="1"/>
      </c>
    </row>
    <row r="356" ht="15" customHeight="1" s="3052" customFormat="1">
      <c r="B356" s="3054">
        <f t="shared" si="2"/>
      </c>
      <c r="C356" s="3054"/>
      <c r="D356" s="3054"/>
      <c r="E356" s="3055"/>
      <c r="F356" s="3055"/>
      <c r="G356" s="3055"/>
      <c r="H356" s="3055"/>
      <c r="I356" s="3055"/>
      <c r="J356" s="3055"/>
      <c r="K356" s="3055"/>
      <c r="L356" s="3055"/>
      <c r="M356" s="3055"/>
      <c r="N356" s="3055"/>
      <c r="O356" s="3055"/>
      <c r="P356" s="3055"/>
      <c r="Q356" s="3055"/>
      <c r="R356" s="3055">
        <f t="shared" si="3"/>
        <v>0</v>
      </c>
      <c r="S356" s="3055">
        <f t="shared" si="4"/>
        <v>0</v>
      </c>
      <c r="T356" s="3055">
        <f t="shared" si="5"/>
        <v>0</v>
      </c>
      <c r="U356" s="3055">
        <f t="shared" si="6"/>
        <v>0</v>
      </c>
      <c r="V356" s="3055">
        <f t="shared" si="7"/>
        <v>0</v>
      </c>
      <c r="W356" s="3055">
        <f t="shared" si="8"/>
        <v>0</v>
      </c>
      <c r="X356" s="3055">
        <f t="shared" si="9"/>
        <v>0</v>
      </c>
      <c r="Y356" s="3055">
        <f t="shared" si="10"/>
        <v>0</v>
      </c>
      <c r="Z356" s="3055">
        <f t="shared" si="11"/>
        <v>0</v>
      </c>
      <c r="AA356" s="3055">
        <f t="shared" si="12"/>
        <v>0</v>
      </c>
      <c r="AB356" s="3055">
        <f t="shared" si="13"/>
        <v>0</v>
      </c>
      <c r="AC356" s="3055">
        <f t="shared" si="14"/>
        <v>0</v>
      </c>
      <c r="AD356" s="3056"/>
      <c r="AE356" s="3057">
        <f t="shared" si="0"/>
      </c>
      <c r="AF356" s="3054"/>
      <c r="AG356" s="3054"/>
      <c r="AH356" s="3055"/>
      <c r="AI356" s="3055"/>
      <c r="AJ356" s="3055"/>
      <c r="AK356" s="3055"/>
      <c r="AL356" s="3055"/>
      <c r="AM356" s="3055"/>
      <c r="AN356" s="3055"/>
      <c r="AO356" s="3055"/>
      <c r="AP356" s="3055"/>
      <c r="AQ356" s="3055"/>
      <c r="AR356" s="3055"/>
      <c r="AS356" s="3055"/>
      <c r="AT356" s="3055"/>
      <c r="AU356" s="3056"/>
      <c r="AV356" s="3057">
        <f t="shared" si="15"/>
      </c>
      <c r="AW356" s="3054"/>
      <c r="AX356" s="3054"/>
      <c r="AY356" s="3055"/>
      <c r="AZ356" s="3055"/>
      <c r="BA356" s="3055"/>
      <c r="BB356" s="3055"/>
      <c r="BC356" s="3055"/>
      <c r="BD356" s="3055"/>
      <c r="BE356" s="3055"/>
      <c r="BF356" s="3055"/>
      <c r="BG356" s="3055"/>
      <c r="BH356" s="3055"/>
      <c r="BI356" s="3055"/>
      <c r="BJ356" s="3055"/>
      <c r="BK356" s="3055"/>
      <c r="BL356" s="3056"/>
      <c r="BM356" s="3057">
        <f t="shared" si="16"/>
      </c>
      <c r="BN356" s="3054"/>
      <c r="BO356" s="3054"/>
      <c r="BP356" s="3055"/>
      <c r="BQ356" s="3055"/>
      <c r="BR356" s="3055"/>
      <c r="BS356" s="3055"/>
      <c r="BT356" s="3055"/>
      <c r="BU356" s="3055"/>
      <c r="BV356" s="3055"/>
      <c r="BW356" s="3055"/>
      <c r="BX356" s="3055"/>
      <c r="BY356" s="3055"/>
      <c r="BZ356" s="3055"/>
      <c r="CA356" s="3055"/>
      <c r="CB356" s="3055"/>
      <c r="CC356" s="3056"/>
      <c r="CD356" s="3057">
        <f t="shared" si="0"/>
      </c>
      <c r="CE356" s="3054"/>
      <c r="CF356" s="3054"/>
      <c r="CG356" s="3055"/>
      <c r="CH356" s="3055"/>
      <c r="CI356" s="3055"/>
      <c r="CJ356" s="3055"/>
      <c r="CK356" s="3055"/>
      <c r="CL356" s="3055"/>
      <c r="CM356" s="3055"/>
      <c r="CN356" s="3055"/>
      <c r="CO356" s="3055"/>
      <c r="CP356" s="3055"/>
      <c r="CQ356" s="3055"/>
      <c r="CR356" s="3055"/>
      <c r="CS356" s="3055"/>
      <c r="CU356" s="3054"/>
      <c r="CV356" s="696"/>
      <c r="CW356" s="696"/>
      <c r="CZ356" s="3060">
        <f t="shared" si="17"/>
      </c>
      <c r="DA356" s="3060">
        <f t="shared" si="1"/>
      </c>
      <c r="DB356" s="3060">
        <f t="shared" si="18"/>
      </c>
      <c r="DC356" s="3060">
        <f t="shared" si="19"/>
      </c>
      <c r="DD356" s="3060">
        <f t="shared" si="20"/>
      </c>
      <c r="DE356" s="3060">
        <f t="shared" si="21"/>
      </c>
      <c r="DF356" s="3060">
        <f t="shared" si="22"/>
      </c>
      <c r="DG356" s="3060">
        <f t="shared" si="23"/>
      </c>
      <c r="DH356" s="3060">
        <f t="shared" si="24"/>
      </c>
      <c r="DI356" s="3060">
        <f t="shared" si="1"/>
      </c>
    </row>
    <row r="357" ht="15" customHeight="1" s="3052" customFormat="1">
      <c r="B357" s="3054">
        <f t="shared" si="2"/>
      </c>
      <c r="C357" s="3054"/>
      <c r="D357" s="3054"/>
      <c r="E357" s="3055"/>
      <c r="F357" s="3055"/>
      <c r="G357" s="3055"/>
      <c r="H357" s="3055"/>
      <c r="I357" s="3055"/>
      <c r="J357" s="3055"/>
      <c r="K357" s="3055"/>
      <c r="L357" s="3055"/>
      <c r="M357" s="3055"/>
      <c r="N357" s="3055"/>
      <c r="O357" s="3055"/>
      <c r="P357" s="3055"/>
      <c r="Q357" s="3055"/>
      <c r="R357" s="3055">
        <f t="shared" si="3"/>
        <v>0</v>
      </c>
      <c r="S357" s="3055">
        <f t="shared" si="4"/>
        <v>0</v>
      </c>
      <c r="T357" s="3055">
        <f t="shared" si="5"/>
        <v>0</v>
      </c>
      <c r="U357" s="3055">
        <f t="shared" si="6"/>
        <v>0</v>
      </c>
      <c r="V357" s="3055">
        <f t="shared" si="7"/>
        <v>0</v>
      </c>
      <c r="W357" s="3055">
        <f t="shared" si="8"/>
        <v>0</v>
      </c>
      <c r="X357" s="3055">
        <f t="shared" si="9"/>
        <v>0</v>
      </c>
      <c r="Y357" s="3055">
        <f t="shared" si="10"/>
        <v>0</v>
      </c>
      <c r="Z357" s="3055">
        <f t="shared" si="11"/>
        <v>0</v>
      </c>
      <c r="AA357" s="3055">
        <f t="shared" si="12"/>
        <v>0</v>
      </c>
      <c r="AB357" s="3055">
        <f t="shared" si="13"/>
        <v>0</v>
      </c>
      <c r="AC357" s="3055">
        <f t="shared" si="14"/>
        <v>0</v>
      </c>
      <c r="AD357" s="3056"/>
      <c r="AE357" s="3057">
        <f t="shared" si="0"/>
      </c>
      <c r="AF357" s="3054"/>
      <c r="AG357" s="3054"/>
      <c r="AH357" s="3055"/>
      <c r="AI357" s="3055"/>
      <c r="AJ357" s="3055"/>
      <c r="AK357" s="3055"/>
      <c r="AL357" s="3055"/>
      <c r="AM357" s="3055"/>
      <c r="AN357" s="3055"/>
      <c r="AO357" s="3055"/>
      <c r="AP357" s="3055"/>
      <c r="AQ357" s="3055"/>
      <c r="AR357" s="3055"/>
      <c r="AS357" s="3055"/>
      <c r="AT357" s="3055"/>
      <c r="AU357" s="3056"/>
      <c r="AV357" s="3057">
        <f t="shared" si="15"/>
      </c>
      <c r="AW357" s="3054"/>
      <c r="AX357" s="3054"/>
      <c r="AY357" s="3055"/>
      <c r="AZ357" s="3055"/>
      <c r="BA357" s="3055"/>
      <c r="BB357" s="3055"/>
      <c r="BC357" s="3055"/>
      <c r="BD357" s="3055"/>
      <c r="BE357" s="3055"/>
      <c r="BF357" s="3055"/>
      <c r="BG357" s="3055"/>
      <c r="BH357" s="3055"/>
      <c r="BI357" s="3055"/>
      <c r="BJ357" s="3055"/>
      <c r="BK357" s="3055"/>
      <c r="BL357" s="3056"/>
      <c r="BM357" s="3057">
        <f t="shared" si="16"/>
      </c>
      <c r="BN357" s="3054"/>
      <c r="BO357" s="3054"/>
      <c r="BP357" s="3055"/>
      <c r="BQ357" s="3055"/>
      <c r="BR357" s="3055"/>
      <c r="BS357" s="3055"/>
      <c r="BT357" s="3055"/>
      <c r="BU357" s="3055"/>
      <c r="BV357" s="3055"/>
      <c r="BW357" s="3055"/>
      <c r="BX357" s="3055"/>
      <c r="BY357" s="3055"/>
      <c r="BZ357" s="3055"/>
      <c r="CA357" s="3055"/>
      <c r="CB357" s="3055"/>
      <c r="CC357" s="3056"/>
      <c r="CD357" s="3057">
        <f t="shared" si="0"/>
      </c>
      <c r="CE357" s="3054"/>
      <c r="CF357" s="3054"/>
      <c r="CG357" s="3055"/>
      <c r="CH357" s="3055"/>
      <c r="CI357" s="3055"/>
      <c r="CJ357" s="3055"/>
      <c r="CK357" s="3055"/>
      <c r="CL357" s="3055"/>
      <c r="CM357" s="3055"/>
      <c r="CN357" s="3055"/>
      <c r="CO357" s="3055"/>
      <c r="CP357" s="3055"/>
      <c r="CQ357" s="3055"/>
      <c r="CR357" s="3055"/>
      <c r="CS357" s="3055"/>
      <c r="CU357" s="3054"/>
      <c r="CV357" s="696"/>
      <c r="CW357" s="696"/>
      <c r="CZ357" s="3060">
        <f t="shared" si="17"/>
      </c>
      <c r="DA357" s="3060">
        <f t="shared" si="1"/>
      </c>
      <c r="DB357" s="3060">
        <f t="shared" si="18"/>
      </c>
      <c r="DC357" s="3060">
        <f t="shared" si="19"/>
      </c>
      <c r="DD357" s="3060">
        <f t="shared" si="20"/>
      </c>
      <c r="DE357" s="3060">
        <f t="shared" si="21"/>
      </c>
      <c r="DF357" s="3060">
        <f t="shared" si="22"/>
      </c>
      <c r="DG357" s="3060">
        <f t="shared" si="23"/>
      </c>
      <c r="DH357" s="3060">
        <f t="shared" si="24"/>
      </c>
      <c r="DI357" s="3060">
        <f t="shared" si="1"/>
      </c>
    </row>
    <row r="358" ht="15" customHeight="1" s="3052" customFormat="1">
      <c r="B358" s="3054">
        <f t="shared" si="2"/>
      </c>
      <c r="C358" s="3054"/>
      <c r="D358" s="3054"/>
      <c r="E358" s="3055"/>
      <c r="F358" s="3055"/>
      <c r="G358" s="3055"/>
      <c r="H358" s="3055"/>
      <c r="I358" s="3055"/>
      <c r="J358" s="3055"/>
      <c r="K358" s="3055"/>
      <c r="L358" s="3055"/>
      <c r="M358" s="3055"/>
      <c r="N358" s="3055"/>
      <c r="O358" s="3055"/>
      <c r="P358" s="3055"/>
      <c r="Q358" s="3055"/>
      <c r="R358" s="3055">
        <f t="shared" si="3"/>
        <v>0</v>
      </c>
      <c r="S358" s="3055">
        <f t="shared" si="4"/>
        <v>0</v>
      </c>
      <c r="T358" s="3055">
        <f t="shared" si="5"/>
        <v>0</v>
      </c>
      <c r="U358" s="3055">
        <f t="shared" si="6"/>
        <v>0</v>
      </c>
      <c r="V358" s="3055">
        <f t="shared" si="7"/>
        <v>0</v>
      </c>
      <c r="W358" s="3055">
        <f t="shared" si="8"/>
        <v>0</v>
      </c>
      <c r="X358" s="3055">
        <f t="shared" si="9"/>
        <v>0</v>
      </c>
      <c r="Y358" s="3055">
        <f t="shared" si="10"/>
        <v>0</v>
      </c>
      <c r="Z358" s="3055">
        <f t="shared" si="11"/>
        <v>0</v>
      </c>
      <c r="AA358" s="3055">
        <f t="shared" si="12"/>
        <v>0</v>
      </c>
      <c r="AB358" s="3055">
        <f t="shared" si="13"/>
        <v>0</v>
      </c>
      <c r="AC358" s="3055">
        <f t="shared" si="14"/>
        <v>0</v>
      </c>
      <c r="AD358" s="3056"/>
      <c r="AE358" s="3057">
        <f t="shared" si="0"/>
      </c>
      <c r="AF358" s="3054"/>
      <c r="AG358" s="3054"/>
      <c r="AH358" s="3055"/>
      <c r="AI358" s="3055"/>
      <c r="AJ358" s="3055"/>
      <c r="AK358" s="3055"/>
      <c r="AL358" s="3055"/>
      <c r="AM358" s="3055"/>
      <c r="AN358" s="3055"/>
      <c r="AO358" s="3055"/>
      <c r="AP358" s="3055"/>
      <c r="AQ358" s="3055"/>
      <c r="AR358" s="3055"/>
      <c r="AS358" s="3055"/>
      <c r="AT358" s="3055"/>
      <c r="AU358" s="3056"/>
      <c r="AV358" s="3057">
        <f t="shared" si="15"/>
      </c>
      <c r="AW358" s="3054"/>
      <c r="AX358" s="3054"/>
      <c r="AY358" s="3055"/>
      <c r="AZ358" s="3055"/>
      <c r="BA358" s="3055"/>
      <c r="BB358" s="3055"/>
      <c r="BC358" s="3055"/>
      <c r="BD358" s="3055"/>
      <c r="BE358" s="3055"/>
      <c r="BF358" s="3055"/>
      <c r="BG358" s="3055"/>
      <c r="BH358" s="3055"/>
      <c r="BI358" s="3055"/>
      <c r="BJ358" s="3055"/>
      <c r="BK358" s="3055"/>
      <c r="BL358" s="3056"/>
      <c r="BM358" s="3057">
        <f t="shared" si="16"/>
      </c>
      <c r="BN358" s="3054"/>
      <c r="BO358" s="3054"/>
      <c r="BP358" s="3055"/>
      <c r="BQ358" s="3055"/>
      <c r="BR358" s="3055"/>
      <c r="BS358" s="3055"/>
      <c r="BT358" s="3055"/>
      <c r="BU358" s="3055"/>
      <c r="BV358" s="3055"/>
      <c r="BW358" s="3055"/>
      <c r="BX358" s="3055"/>
      <c r="BY358" s="3055"/>
      <c r="BZ358" s="3055"/>
      <c r="CA358" s="3055"/>
      <c r="CB358" s="3055"/>
      <c r="CC358" s="3056"/>
      <c r="CD358" s="3057">
        <f t="shared" si="0"/>
      </c>
      <c r="CE358" s="3054"/>
      <c r="CF358" s="3054"/>
      <c r="CG358" s="3055"/>
      <c r="CH358" s="3055"/>
      <c r="CI358" s="3055"/>
      <c r="CJ358" s="3055"/>
      <c r="CK358" s="3055"/>
      <c r="CL358" s="3055"/>
      <c r="CM358" s="3055"/>
      <c r="CN358" s="3055"/>
      <c r="CO358" s="3055"/>
      <c r="CP358" s="3055"/>
      <c r="CQ358" s="3055"/>
      <c r="CR358" s="3055"/>
      <c r="CS358" s="3055"/>
      <c r="CU358" s="3054"/>
      <c r="CV358" s="696"/>
      <c r="CW358" s="696"/>
      <c r="CZ358" s="3060">
        <f t="shared" si="17"/>
      </c>
      <c r="DA358" s="3060">
        <f t="shared" si="1"/>
      </c>
      <c r="DB358" s="3060">
        <f t="shared" si="18"/>
      </c>
      <c r="DC358" s="3060">
        <f t="shared" si="19"/>
      </c>
      <c r="DD358" s="3060">
        <f t="shared" si="20"/>
      </c>
      <c r="DE358" s="3060">
        <f t="shared" si="21"/>
      </c>
      <c r="DF358" s="3060">
        <f t="shared" si="22"/>
      </c>
      <c r="DG358" s="3060">
        <f t="shared" si="23"/>
      </c>
      <c r="DH358" s="3060">
        <f t="shared" si="24"/>
      </c>
      <c r="DI358" s="3060">
        <f t="shared" si="1"/>
      </c>
    </row>
    <row r="359" ht="15" customHeight="1" s="3052" customFormat="1">
      <c r="B359" s="3054">
        <f t="shared" si="2"/>
      </c>
      <c r="C359" s="3054"/>
      <c r="D359" s="3054"/>
      <c r="E359" s="3055"/>
      <c r="F359" s="3055"/>
      <c r="G359" s="3055"/>
      <c r="H359" s="3055"/>
      <c r="I359" s="3055"/>
      <c r="J359" s="3055"/>
      <c r="K359" s="3055"/>
      <c r="L359" s="3055"/>
      <c r="M359" s="3055"/>
      <c r="N359" s="3055"/>
      <c r="O359" s="3055"/>
      <c r="P359" s="3055"/>
      <c r="Q359" s="3055"/>
      <c r="R359" s="3055">
        <f t="shared" si="3"/>
        <v>0</v>
      </c>
      <c r="S359" s="3055">
        <f t="shared" si="4"/>
        <v>0</v>
      </c>
      <c r="T359" s="3055">
        <f t="shared" si="5"/>
        <v>0</v>
      </c>
      <c r="U359" s="3055">
        <f t="shared" si="6"/>
        <v>0</v>
      </c>
      <c r="V359" s="3055">
        <f t="shared" si="7"/>
        <v>0</v>
      </c>
      <c r="W359" s="3055">
        <f t="shared" si="8"/>
        <v>0</v>
      </c>
      <c r="X359" s="3055">
        <f t="shared" si="9"/>
        <v>0</v>
      </c>
      <c r="Y359" s="3055">
        <f t="shared" si="10"/>
        <v>0</v>
      </c>
      <c r="Z359" s="3055">
        <f t="shared" si="11"/>
        <v>0</v>
      </c>
      <c r="AA359" s="3055">
        <f t="shared" si="12"/>
        <v>0</v>
      </c>
      <c r="AB359" s="3055">
        <f t="shared" si="13"/>
        <v>0</v>
      </c>
      <c r="AC359" s="3055">
        <f t="shared" si="14"/>
        <v>0</v>
      </c>
      <c r="AD359" s="3056"/>
      <c r="AE359" s="3057">
        <f t="shared" si="0"/>
      </c>
      <c r="AF359" s="3054"/>
      <c r="AG359" s="3054"/>
      <c r="AH359" s="3055"/>
      <c r="AI359" s="3055"/>
      <c r="AJ359" s="3055"/>
      <c r="AK359" s="3055"/>
      <c r="AL359" s="3055"/>
      <c r="AM359" s="3055"/>
      <c r="AN359" s="3055"/>
      <c r="AO359" s="3055"/>
      <c r="AP359" s="3055"/>
      <c r="AQ359" s="3055"/>
      <c r="AR359" s="3055"/>
      <c r="AS359" s="3055"/>
      <c r="AT359" s="3055"/>
      <c r="AU359" s="3056"/>
      <c r="AV359" s="3057">
        <f t="shared" si="15"/>
      </c>
      <c r="AW359" s="3054"/>
      <c r="AX359" s="3054"/>
      <c r="AY359" s="3055"/>
      <c r="AZ359" s="3055"/>
      <c r="BA359" s="3055"/>
      <c r="BB359" s="3055"/>
      <c r="BC359" s="3055"/>
      <c r="BD359" s="3055"/>
      <c r="BE359" s="3055"/>
      <c r="BF359" s="3055"/>
      <c r="BG359" s="3055"/>
      <c r="BH359" s="3055"/>
      <c r="BI359" s="3055"/>
      <c r="BJ359" s="3055"/>
      <c r="BK359" s="3055"/>
      <c r="BL359" s="3056"/>
      <c r="BM359" s="3057">
        <f t="shared" si="16"/>
      </c>
      <c r="BN359" s="3054"/>
      <c r="BO359" s="3054"/>
      <c r="BP359" s="3055"/>
      <c r="BQ359" s="3055"/>
      <c r="BR359" s="3055"/>
      <c r="BS359" s="3055"/>
      <c r="BT359" s="3055"/>
      <c r="BU359" s="3055"/>
      <c r="BV359" s="3055"/>
      <c r="BW359" s="3055"/>
      <c r="BX359" s="3055"/>
      <c r="BY359" s="3055"/>
      <c r="BZ359" s="3055"/>
      <c r="CA359" s="3055"/>
      <c r="CB359" s="3055"/>
      <c r="CC359" s="3056"/>
      <c r="CD359" s="3057">
        <f t="shared" si="0"/>
      </c>
      <c r="CE359" s="3054"/>
      <c r="CF359" s="3054"/>
      <c r="CG359" s="3055"/>
      <c r="CH359" s="3055"/>
      <c r="CI359" s="3055"/>
      <c r="CJ359" s="3055"/>
      <c r="CK359" s="3055"/>
      <c r="CL359" s="3055"/>
      <c r="CM359" s="3055"/>
      <c r="CN359" s="3055"/>
      <c r="CO359" s="3055"/>
      <c r="CP359" s="3055"/>
      <c r="CQ359" s="3055"/>
      <c r="CR359" s="3055"/>
      <c r="CS359" s="3055"/>
      <c r="CU359" s="3054"/>
      <c r="CV359" s="696"/>
      <c r="CW359" s="696"/>
      <c r="CZ359" s="3060">
        <f t="shared" si="17"/>
      </c>
      <c r="DA359" s="3060">
        <f t="shared" si="1"/>
      </c>
      <c r="DB359" s="3060">
        <f t="shared" si="18"/>
      </c>
      <c r="DC359" s="3060">
        <f t="shared" si="19"/>
      </c>
      <c r="DD359" s="3060">
        <f t="shared" si="20"/>
      </c>
      <c r="DE359" s="3060">
        <f t="shared" si="21"/>
      </c>
      <c r="DF359" s="3060">
        <f t="shared" si="22"/>
      </c>
      <c r="DG359" s="3060">
        <f t="shared" si="23"/>
      </c>
      <c r="DH359" s="3060">
        <f t="shared" si="24"/>
      </c>
      <c r="DI359" s="3060">
        <f t="shared" si="1"/>
      </c>
    </row>
    <row r="360" ht="15" customHeight="1" s="3052" customFormat="1">
      <c r="B360" s="3054">
        <f t="shared" si="2"/>
      </c>
      <c r="C360" s="3054"/>
      <c r="D360" s="3054"/>
      <c r="E360" s="3055"/>
      <c r="F360" s="3055"/>
      <c r="G360" s="3055"/>
      <c r="H360" s="3055"/>
      <c r="I360" s="3055"/>
      <c r="J360" s="3055"/>
      <c r="K360" s="3055"/>
      <c r="L360" s="3055"/>
      <c r="M360" s="3055"/>
      <c r="N360" s="3055"/>
      <c r="O360" s="3055"/>
      <c r="P360" s="3055"/>
      <c r="Q360" s="3055"/>
      <c r="R360" s="3055">
        <f t="shared" si="3"/>
        <v>0</v>
      </c>
      <c r="S360" s="3055">
        <f t="shared" si="4"/>
        <v>0</v>
      </c>
      <c r="T360" s="3055">
        <f t="shared" si="5"/>
        <v>0</v>
      </c>
      <c r="U360" s="3055">
        <f t="shared" si="6"/>
        <v>0</v>
      </c>
      <c r="V360" s="3055">
        <f t="shared" si="7"/>
        <v>0</v>
      </c>
      <c r="W360" s="3055">
        <f t="shared" si="8"/>
        <v>0</v>
      </c>
      <c r="X360" s="3055">
        <f t="shared" si="9"/>
        <v>0</v>
      </c>
      <c r="Y360" s="3055">
        <f t="shared" si="10"/>
        <v>0</v>
      </c>
      <c r="Z360" s="3055">
        <f t="shared" si="11"/>
        <v>0</v>
      </c>
      <c r="AA360" s="3055">
        <f t="shared" si="12"/>
        <v>0</v>
      </c>
      <c r="AB360" s="3055">
        <f t="shared" si="13"/>
        <v>0</v>
      </c>
      <c r="AC360" s="3055">
        <f t="shared" si="14"/>
        <v>0</v>
      </c>
      <c r="AD360" s="3056"/>
      <c r="AE360" s="3057">
        <f t="shared" si="0"/>
      </c>
      <c r="AF360" s="3054"/>
      <c r="AG360" s="3054"/>
      <c r="AH360" s="3055"/>
      <c r="AI360" s="3055"/>
      <c r="AJ360" s="3055"/>
      <c r="AK360" s="3055"/>
      <c r="AL360" s="3055"/>
      <c r="AM360" s="3055"/>
      <c r="AN360" s="3055"/>
      <c r="AO360" s="3055"/>
      <c r="AP360" s="3055"/>
      <c r="AQ360" s="3055"/>
      <c r="AR360" s="3055"/>
      <c r="AS360" s="3055"/>
      <c r="AT360" s="3055"/>
      <c r="AU360" s="3056"/>
      <c r="AV360" s="3057">
        <f t="shared" si="15"/>
      </c>
      <c r="AW360" s="3054"/>
      <c r="AX360" s="3054"/>
      <c r="AY360" s="3055"/>
      <c r="AZ360" s="3055"/>
      <c r="BA360" s="3055"/>
      <c r="BB360" s="3055"/>
      <c r="BC360" s="3055"/>
      <c r="BD360" s="3055"/>
      <c r="BE360" s="3055"/>
      <c r="BF360" s="3055"/>
      <c r="BG360" s="3055"/>
      <c r="BH360" s="3055"/>
      <c r="BI360" s="3055"/>
      <c r="BJ360" s="3055"/>
      <c r="BK360" s="3055"/>
      <c r="BL360" s="3056"/>
      <c r="BM360" s="3057">
        <f t="shared" si="16"/>
      </c>
      <c r="BN360" s="3054"/>
      <c r="BO360" s="3054"/>
      <c r="BP360" s="3055"/>
      <c r="BQ360" s="3055"/>
      <c r="BR360" s="3055"/>
      <c r="BS360" s="3055"/>
      <c r="BT360" s="3055"/>
      <c r="BU360" s="3055"/>
      <c r="BV360" s="3055"/>
      <c r="BW360" s="3055"/>
      <c r="BX360" s="3055"/>
      <c r="BY360" s="3055"/>
      <c r="BZ360" s="3055"/>
      <c r="CA360" s="3055"/>
      <c r="CB360" s="3055"/>
      <c r="CC360" s="3056"/>
      <c r="CD360" s="3057">
        <f t="shared" si="0"/>
      </c>
      <c r="CE360" s="3054"/>
      <c r="CF360" s="3054"/>
      <c r="CG360" s="3055"/>
      <c r="CH360" s="3055"/>
      <c r="CI360" s="3055"/>
      <c r="CJ360" s="3055"/>
      <c r="CK360" s="3055"/>
      <c r="CL360" s="3055"/>
      <c r="CM360" s="3055"/>
      <c r="CN360" s="3055"/>
      <c r="CO360" s="3055"/>
      <c r="CP360" s="3055"/>
      <c r="CQ360" s="3055"/>
      <c r="CR360" s="3055"/>
      <c r="CS360" s="3055"/>
      <c r="CU360" s="3054"/>
      <c r="CV360" s="696"/>
      <c r="CW360" s="696"/>
      <c r="CZ360" s="3060">
        <f t="shared" si="17"/>
      </c>
      <c r="DA360" s="3060">
        <f t="shared" si="1"/>
      </c>
      <c r="DB360" s="3060">
        <f t="shared" si="18"/>
      </c>
      <c r="DC360" s="3060">
        <f t="shared" si="19"/>
      </c>
      <c r="DD360" s="3060">
        <f t="shared" si="20"/>
      </c>
      <c r="DE360" s="3060">
        <f t="shared" si="21"/>
      </c>
      <c r="DF360" s="3060">
        <f t="shared" si="22"/>
      </c>
      <c r="DG360" s="3060">
        <f t="shared" si="23"/>
      </c>
      <c r="DH360" s="3060">
        <f t="shared" si="24"/>
      </c>
      <c r="DI360" s="3060">
        <f t="shared" si="1"/>
      </c>
    </row>
    <row r="361" ht="15" customHeight="1" s="3052" customFormat="1">
      <c r="B361" s="3054">
        <f t="shared" si="2"/>
      </c>
      <c r="C361" s="3054"/>
      <c r="D361" s="3054"/>
      <c r="E361" s="3055"/>
      <c r="F361" s="3055"/>
      <c r="G361" s="3055"/>
      <c r="H361" s="3055"/>
      <c r="I361" s="3055"/>
      <c r="J361" s="3055"/>
      <c r="K361" s="3055"/>
      <c r="L361" s="3055"/>
      <c r="M361" s="3055"/>
      <c r="N361" s="3055"/>
      <c r="O361" s="3055"/>
      <c r="P361" s="3055"/>
      <c r="Q361" s="3055"/>
      <c r="R361" s="3055">
        <f t="shared" si="3"/>
        <v>0</v>
      </c>
      <c r="S361" s="3055">
        <f t="shared" si="4"/>
        <v>0</v>
      </c>
      <c r="T361" s="3055">
        <f t="shared" si="5"/>
        <v>0</v>
      </c>
      <c r="U361" s="3055">
        <f t="shared" si="6"/>
        <v>0</v>
      </c>
      <c r="V361" s="3055">
        <f t="shared" si="7"/>
        <v>0</v>
      </c>
      <c r="W361" s="3055">
        <f t="shared" si="8"/>
        <v>0</v>
      </c>
      <c r="X361" s="3055">
        <f t="shared" si="9"/>
        <v>0</v>
      </c>
      <c r="Y361" s="3055">
        <f t="shared" si="10"/>
        <v>0</v>
      </c>
      <c r="Z361" s="3055">
        <f t="shared" si="11"/>
        <v>0</v>
      </c>
      <c r="AA361" s="3055">
        <f t="shared" si="12"/>
        <v>0</v>
      </c>
      <c r="AB361" s="3055">
        <f t="shared" si="13"/>
        <v>0</v>
      </c>
      <c r="AC361" s="3055">
        <f t="shared" si="14"/>
        <v>0</v>
      </c>
      <c r="AD361" s="3056"/>
      <c r="AE361" s="3057">
        <f t="shared" si="0"/>
      </c>
      <c r="AF361" s="3054"/>
      <c r="AG361" s="3054"/>
      <c r="AH361" s="3055"/>
      <c r="AI361" s="3055"/>
      <c r="AJ361" s="3055"/>
      <c r="AK361" s="3055"/>
      <c r="AL361" s="3055"/>
      <c r="AM361" s="3055"/>
      <c r="AN361" s="3055"/>
      <c r="AO361" s="3055"/>
      <c r="AP361" s="3055"/>
      <c r="AQ361" s="3055"/>
      <c r="AR361" s="3055"/>
      <c r="AS361" s="3055"/>
      <c r="AT361" s="3055"/>
      <c r="AU361" s="3056"/>
      <c r="AV361" s="3057">
        <f t="shared" si="15"/>
      </c>
      <c r="AW361" s="3054"/>
      <c r="AX361" s="3054"/>
      <c r="AY361" s="3055"/>
      <c r="AZ361" s="3055"/>
      <c r="BA361" s="3055"/>
      <c r="BB361" s="3055"/>
      <c r="BC361" s="3055"/>
      <c r="BD361" s="3055"/>
      <c r="BE361" s="3055"/>
      <c r="BF361" s="3055"/>
      <c r="BG361" s="3055"/>
      <c r="BH361" s="3055"/>
      <c r="BI361" s="3055"/>
      <c r="BJ361" s="3055"/>
      <c r="BK361" s="3055"/>
      <c r="BL361" s="3056"/>
      <c r="BM361" s="3057">
        <f t="shared" si="16"/>
      </c>
      <c r="BN361" s="3054"/>
      <c r="BO361" s="3054"/>
      <c r="BP361" s="3055"/>
      <c r="BQ361" s="3055"/>
      <c r="BR361" s="3055"/>
      <c r="BS361" s="3055"/>
      <c r="BT361" s="3055"/>
      <c r="BU361" s="3055"/>
      <c r="BV361" s="3055"/>
      <c r="BW361" s="3055"/>
      <c r="BX361" s="3055"/>
      <c r="BY361" s="3055"/>
      <c r="BZ361" s="3055"/>
      <c r="CA361" s="3055"/>
      <c r="CB361" s="3055"/>
      <c r="CC361" s="3056"/>
      <c r="CD361" s="3057">
        <f t="shared" si="0"/>
      </c>
      <c r="CE361" s="3054"/>
      <c r="CF361" s="3054"/>
      <c r="CG361" s="3055"/>
      <c r="CH361" s="3055"/>
      <c r="CI361" s="3055"/>
      <c r="CJ361" s="3055"/>
      <c r="CK361" s="3055"/>
      <c r="CL361" s="3055"/>
      <c r="CM361" s="3055"/>
      <c r="CN361" s="3055"/>
      <c r="CO361" s="3055"/>
      <c r="CP361" s="3055"/>
      <c r="CQ361" s="3055"/>
      <c r="CR361" s="3055"/>
      <c r="CS361" s="3055"/>
      <c r="CU361" s="3054"/>
      <c r="CV361" s="696"/>
      <c r="CW361" s="696"/>
      <c r="CZ361" s="3060">
        <f t="shared" si="17"/>
      </c>
      <c r="DA361" s="3060">
        <f t="shared" si="1"/>
      </c>
      <c r="DB361" s="3060">
        <f t="shared" si="18"/>
      </c>
      <c r="DC361" s="3060">
        <f t="shared" si="19"/>
      </c>
      <c r="DD361" s="3060">
        <f t="shared" si="20"/>
      </c>
      <c r="DE361" s="3060">
        <f t="shared" si="21"/>
      </c>
      <c r="DF361" s="3060">
        <f t="shared" si="22"/>
      </c>
      <c r="DG361" s="3060">
        <f t="shared" si="23"/>
      </c>
      <c r="DH361" s="3060">
        <f t="shared" si="24"/>
      </c>
      <c r="DI361" s="3060">
        <f t="shared" si="1"/>
      </c>
    </row>
    <row r="362" ht="15" customHeight="1" s="3052" customFormat="1">
      <c r="B362" s="3054">
        <f t="shared" si="2"/>
      </c>
      <c r="C362" s="3054"/>
      <c r="D362" s="3054"/>
      <c r="E362" s="3055"/>
      <c r="F362" s="3055"/>
      <c r="G362" s="3055"/>
      <c r="H362" s="3055"/>
      <c r="I362" s="3055"/>
      <c r="J362" s="3055"/>
      <c r="K362" s="3055"/>
      <c r="L362" s="3055"/>
      <c r="M362" s="3055"/>
      <c r="N362" s="3055"/>
      <c r="O362" s="3055"/>
      <c r="P362" s="3055"/>
      <c r="Q362" s="3055"/>
      <c r="R362" s="3055">
        <f t="shared" si="3"/>
        <v>0</v>
      </c>
      <c r="S362" s="3055">
        <f t="shared" si="4"/>
        <v>0</v>
      </c>
      <c r="T362" s="3055">
        <f t="shared" si="5"/>
        <v>0</v>
      </c>
      <c r="U362" s="3055">
        <f t="shared" si="6"/>
        <v>0</v>
      </c>
      <c r="V362" s="3055">
        <f t="shared" si="7"/>
        <v>0</v>
      </c>
      <c r="W362" s="3055">
        <f t="shared" si="8"/>
        <v>0</v>
      </c>
      <c r="X362" s="3055">
        <f t="shared" si="9"/>
        <v>0</v>
      </c>
      <c r="Y362" s="3055">
        <f t="shared" si="10"/>
        <v>0</v>
      </c>
      <c r="Z362" s="3055">
        <f t="shared" si="11"/>
        <v>0</v>
      </c>
      <c r="AA362" s="3055">
        <f t="shared" si="12"/>
        <v>0</v>
      </c>
      <c r="AB362" s="3055">
        <f t="shared" si="13"/>
        <v>0</v>
      </c>
      <c r="AC362" s="3055">
        <f t="shared" si="14"/>
        <v>0</v>
      </c>
      <c r="AD362" s="3056"/>
      <c r="AE362" s="3057">
        <f t="shared" si="0"/>
      </c>
      <c r="AF362" s="3054"/>
      <c r="AG362" s="3054"/>
      <c r="AH362" s="3055"/>
      <c r="AI362" s="3055"/>
      <c r="AJ362" s="3055"/>
      <c r="AK362" s="3055"/>
      <c r="AL362" s="3055"/>
      <c r="AM362" s="3055"/>
      <c r="AN362" s="3055"/>
      <c r="AO362" s="3055"/>
      <c r="AP362" s="3055"/>
      <c r="AQ362" s="3055"/>
      <c r="AR362" s="3055"/>
      <c r="AS362" s="3055"/>
      <c r="AT362" s="3055"/>
      <c r="AU362" s="3056"/>
      <c r="AV362" s="3057">
        <f t="shared" si="15"/>
      </c>
      <c r="AW362" s="3054"/>
      <c r="AX362" s="3054"/>
      <c r="AY362" s="3055"/>
      <c r="AZ362" s="3055"/>
      <c r="BA362" s="3055"/>
      <c r="BB362" s="3055"/>
      <c r="BC362" s="3055"/>
      <c r="BD362" s="3055"/>
      <c r="BE362" s="3055"/>
      <c r="BF362" s="3055"/>
      <c r="BG362" s="3055"/>
      <c r="BH362" s="3055"/>
      <c r="BI362" s="3055"/>
      <c r="BJ362" s="3055"/>
      <c r="BK362" s="3055"/>
      <c r="BL362" s="3056"/>
      <c r="BM362" s="3057">
        <f t="shared" si="16"/>
      </c>
      <c r="BN362" s="3054"/>
      <c r="BO362" s="3054"/>
      <c r="BP362" s="3055"/>
      <c r="BQ362" s="3055"/>
      <c r="BR362" s="3055"/>
      <c r="BS362" s="3055"/>
      <c r="BT362" s="3055"/>
      <c r="BU362" s="3055"/>
      <c r="BV362" s="3055"/>
      <c r="BW362" s="3055"/>
      <c r="BX362" s="3055"/>
      <c r="BY362" s="3055"/>
      <c r="BZ362" s="3055"/>
      <c r="CA362" s="3055"/>
      <c r="CB362" s="3055"/>
      <c r="CC362" s="3056"/>
      <c r="CD362" s="3057">
        <f t="shared" si="0"/>
      </c>
      <c r="CE362" s="3054"/>
      <c r="CF362" s="3054"/>
      <c r="CG362" s="3055"/>
      <c r="CH362" s="3055"/>
      <c r="CI362" s="3055"/>
      <c r="CJ362" s="3055"/>
      <c r="CK362" s="3055"/>
      <c r="CL362" s="3055"/>
      <c r="CM362" s="3055"/>
      <c r="CN362" s="3055"/>
      <c r="CO362" s="3055"/>
      <c r="CP362" s="3055"/>
      <c r="CQ362" s="3055"/>
      <c r="CR362" s="3055"/>
      <c r="CS362" s="3055"/>
      <c r="CU362" s="3054"/>
      <c r="CV362" s="696"/>
      <c r="CW362" s="696"/>
      <c r="CZ362" s="3060">
        <f t="shared" si="17"/>
      </c>
      <c r="DA362" s="3060">
        <f t="shared" si="1"/>
      </c>
      <c r="DB362" s="3060">
        <f t="shared" si="18"/>
      </c>
      <c r="DC362" s="3060">
        <f t="shared" si="19"/>
      </c>
      <c r="DD362" s="3060">
        <f t="shared" si="20"/>
      </c>
      <c r="DE362" s="3060">
        <f t="shared" si="21"/>
      </c>
      <c r="DF362" s="3060">
        <f t="shared" si="22"/>
      </c>
      <c r="DG362" s="3060">
        <f t="shared" si="23"/>
      </c>
      <c r="DH362" s="3060">
        <f t="shared" si="24"/>
      </c>
      <c r="DI362" s="3060">
        <f t="shared" si="1"/>
      </c>
    </row>
    <row r="363" ht="15" customHeight="1" s="3052" customFormat="1">
      <c r="B363" s="3054">
        <f t="shared" si="2"/>
      </c>
      <c r="C363" s="3054"/>
      <c r="D363" s="3054"/>
      <c r="E363" s="3055"/>
      <c r="F363" s="3055"/>
      <c r="G363" s="3055"/>
      <c r="H363" s="3055"/>
      <c r="I363" s="3055"/>
      <c r="J363" s="3055"/>
      <c r="K363" s="3055"/>
      <c r="L363" s="3055"/>
      <c r="M363" s="3055"/>
      <c r="N363" s="3055"/>
      <c r="O363" s="3055"/>
      <c r="P363" s="3055"/>
      <c r="Q363" s="3055"/>
      <c r="R363" s="3055">
        <f t="shared" si="3"/>
        <v>0</v>
      </c>
      <c r="S363" s="3055">
        <f t="shared" si="4"/>
        <v>0</v>
      </c>
      <c r="T363" s="3055">
        <f t="shared" si="5"/>
        <v>0</v>
      </c>
      <c r="U363" s="3055">
        <f t="shared" si="6"/>
        <v>0</v>
      </c>
      <c r="V363" s="3055">
        <f t="shared" si="7"/>
        <v>0</v>
      </c>
      <c r="W363" s="3055">
        <f t="shared" si="8"/>
        <v>0</v>
      </c>
      <c r="X363" s="3055">
        <f t="shared" si="9"/>
        <v>0</v>
      </c>
      <c r="Y363" s="3055">
        <f t="shared" si="10"/>
        <v>0</v>
      </c>
      <c r="Z363" s="3055">
        <f t="shared" si="11"/>
        <v>0</v>
      </c>
      <c r="AA363" s="3055">
        <f t="shared" si="12"/>
        <v>0</v>
      </c>
      <c r="AB363" s="3055">
        <f t="shared" si="13"/>
        <v>0</v>
      </c>
      <c r="AC363" s="3055">
        <f t="shared" si="14"/>
        <v>0</v>
      </c>
      <c r="AD363" s="3056"/>
      <c r="AE363" s="3057">
        <f t="shared" si="0"/>
      </c>
      <c r="AF363" s="3054"/>
      <c r="AG363" s="3054"/>
      <c r="AH363" s="3055"/>
      <c r="AI363" s="3055"/>
      <c r="AJ363" s="3055"/>
      <c r="AK363" s="3055"/>
      <c r="AL363" s="3055"/>
      <c r="AM363" s="3055"/>
      <c r="AN363" s="3055"/>
      <c r="AO363" s="3055"/>
      <c r="AP363" s="3055"/>
      <c r="AQ363" s="3055"/>
      <c r="AR363" s="3055"/>
      <c r="AS363" s="3055"/>
      <c r="AT363" s="3055"/>
      <c r="AU363" s="3056"/>
      <c r="AV363" s="3057">
        <f t="shared" si="15"/>
      </c>
      <c r="AW363" s="3054"/>
      <c r="AX363" s="3054"/>
      <c r="AY363" s="3055"/>
      <c r="AZ363" s="3055"/>
      <c r="BA363" s="3055"/>
      <c r="BB363" s="3055"/>
      <c r="BC363" s="3055"/>
      <c r="BD363" s="3055"/>
      <c r="BE363" s="3055"/>
      <c r="BF363" s="3055"/>
      <c r="BG363" s="3055"/>
      <c r="BH363" s="3055"/>
      <c r="BI363" s="3055"/>
      <c r="BJ363" s="3055"/>
      <c r="BK363" s="3055"/>
      <c r="BL363" s="3056"/>
      <c r="BM363" s="3057">
        <f t="shared" si="16"/>
      </c>
      <c r="BN363" s="3054"/>
      <c r="BO363" s="3054"/>
      <c r="BP363" s="3055"/>
      <c r="BQ363" s="3055"/>
      <c r="BR363" s="3055"/>
      <c r="BS363" s="3055"/>
      <c r="BT363" s="3055"/>
      <c r="BU363" s="3055"/>
      <c r="BV363" s="3055"/>
      <c r="BW363" s="3055"/>
      <c r="BX363" s="3055"/>
      <c r="BY363" s="3055"/>
      <c r="BZ363" s="3055"/>
      <c r="CA363" s="3055"/>
      <c r="CB363" s="3055"/>
      <c r="CC363" s="3056"/>
      <c r="CD363" s="3057">
        <f t="shared" si="0"/>
      </c>
      <c r="CE363" s="3054"/>
      <c r="CF363" s="3054"/>
      <c r="CG363" s="3055"/>
      <c r="CH363" s="3055"/>
      <c r="CI363" s="3055"/>
      <c r="CJ363" s="3055"/>
      <c r="CK363" s="3055"/>
      <c r="CL363" s="3055"/>
      <c r="CM363" s="3055"/>
      <c r="CN363" s="3055"/>
      <c r="CO363" s="3055"/>
      <c r="CP363" s="3055"/>
      <c r="CQ363" s="3055"/>
      <c r="CR363" s="3055"/>
      <c r="CS363" s="3055"/>
      <c r="CU363" s="3054"/>
      <c r="CV363" s="696"/>
      <c r="CW363" s="696"/>
      <c r="CZ363" s="3060">
        <f t="shared" si="17"/>
      </c>
      <c r="DA363" s="3060">
        <f t="shared" si="1"/>
      </c>
      <c r="DB363" s="3060">
        <f t="shared" si="18"/>
      </c>
      <c r="DC363" s="3060">
        <f t="shared" si="19"/>
      </c>
      <c r="DD363" s="3060">
        <f t="shared" si="20"/>
      </c>
      <c r="DE363" s="3060">
        <f t="shared" si="21"/>
      </c>
      <c r="DF363" s="3060">
        <f t="shared" si="22"/>
      </c>
      <c r="DG363" s="3060">
        <f t="shared" si="23"/>
      </c>
      <c r="DH363" s="3060">
        <f t="shared" si="24"/>
      </c>
      <c r="DI363" s="3060">
        <f t="shared" si="1"/>
      </c>
    </row>
    <row r="364" ht="15" customHeight="1" s="3052" customFormat="1">
      <c r="B364" s="3054">
        <f t="shared" si="2"/>
      </c>
      <c r="C364" s="3054"/>
      <c r="D364" s="3054"/>
      <c r="E364" s="3055"/>
      <c r="F364" s="3055"/>
      <c r="G364" s="3055"/>
      <c r="H364" s="3055"/>
      <c r="I364" s="3055"/>
      <c r="J364" s="3055"/>
      <c r="K364" s="3055"/>
      <c r="L364" s="3055"/>
      <c r="M364" s="3055"/>
      <c r="N364" s="3055"/>
      <c r="O364" s="3055"/>
      <c r="P364" s="3055"/>
      <c r="Q364" s="3055"/>
      <c r="R364" s="3055">
        <f t="shared" si="3"/>
        <v>0</v>
      </c>
      <c r="S364" s="3055">
        <f t="shared" si="4"/>
        <v>0</v>
      </c>
      <c r="T364" s="3055">
        <f t="shared" si="5"/>
        <v>0</v>
      </c>
      <c r="U364" s="3055">
        <f t="shared" si="6"/>
        <v>0</v>
      </c>
      <c r="V364" s="3055">
        <f t="shared" si="7"/>
        <v>0</v>
      </c>
      <c r="W364" s="3055">
        <f t="shared" si="8"/>
        <v>0</v>
      </c>
      <c r="X364" s="3055">
        <f t="shared" si="9"/>
        <v>0</v>
      </c>
      <c r="Y364" s="3055">
        <f t="shared" si="10"/>
        <v>0</v>
      </c>
      <c r="Z364" s="3055">
        <f t="shared" si="11"/>
        <v>0</v>
      </c>
      <c r="AA364" s="3055">
        <f t="shared" si="12"/>
        <v>0</v>
      </c>
      <c r="AB364" s="3055">
        <f t="shared" si="13"/>
        <v>0</v>
      </c>
      <c r="AC364" s="3055">
        <f t="shared" si="14"/>
        <v>0</v>
      </c>
      <c r="AD364" s="3056"/>
      <c r="AE364" s="3057">
        <f t="shared" si="0"/>
      </c>
      <c r="AF364" s="3054"/>
      <c r="AG364" s="3054"/>
      <c r="AH364" s="3055"/>
      <c r="AI364" s="3055"/>
      <c r="AJ364" s="3055"/>
      <c r="AK364" s="3055"/>
      <c r="AL364" s="3055"/>
      <c r="AM364" s="3055"/>
      <c r="AN364" s="3055"/>
      <c r="AO364" s="3055"/>
      <c r="AP364" s="3055"/>
      <c r="AQ364" s="3055"/>
      <c r="AR364" s="3055"/>
      <c r="AS364" s="3055"/>
      <c r="AT364" s="3055"/>
      <c r="AU364" s="3056"/>
      <c r="AV364" s="3057">
        <f t="shared" si="15"/>
      </c>
      <c r="AW364" s="3054"/>
      <c r="AX364" s="3054"/>
      <c r="AY364" s="3055"/>
      <c r="AZ364" s="3055"/>
      <c r="BA364" s="3055"/>
      <c r="BB364" s="3055"/>
      <c r="BC364" s="3055"/>
      <c r="BD364" s="3055"/>
      <c r="BE364" s="3055"/>
      <c r="BF364" s="3055"/>
      <c r="BG364" s="3055"/>
      <c r="BH364" s="3055"/>
      <c r="BI364" s="3055"/>
      <c r="BJ364" s="3055"/>
      <c r="BK364" s="3055"/>
      <c r="BL364" s="3056"/>
      <c r="BM364" s="3057">
        <f t="shared" si="16"/>
      </c>
      <c r="BN364" s="3054"/>
      <c r="BO364" s="3054"/>
      <c r="BP364" s="3055"/>
      <c r="BQ364" s="3055"/>
      <c r="BR364" s="3055"/>
      <c r="BS364" s="3055"/>
      <c r="BT364" s="3055"/>
      <c r="BU364" s="3055"/>
      <c r="BV364" s="3055"/>
      <c r="BW364" s="3055"/>
      <c r="BX364" s="3055"/>
      <c r="BY364" s="3055"/>
      <c r="BZ364" s="3055"/>
      <c r="CA364" s="3055"/>
      <c r="CB364" s="3055"/>
      <c r="CC364" s="3056"/>
      <c r="CD364" s="3057">
        <f t="shared" si="0"/>
      </c>
      <c r="CE364" s="3054"/>
      <c r="CF364" s="3054"/>
      <c r="CG364" s="3055"/>
      <c r="CH364" s="3055"/>
      <c r="CI364" s="3055"/>
      <c r="CJ364" s="3055"/>
      <c r="CK364" s="3055"/>
      <c r="CL364" s="3055"/>
      <c r="CM364" s="3055"/>
      <c r="CN364" s="3055"/>
      <c r="CO364" s="3055"/>
      <c r="CP364" s="3055"/>
      <c r="CQ364" s="3055"/>
      <c r="CR364" s="3055"/>
      <c r="CS364" s="3055"/>
      <c r="CU364" s="3054"/>
      <c r="CV364" s="696"/>
      <c r="CW364" s="696"/>
      <c r="CZ364" s="3060">
        <f t="shared" si="17"/>
      </c>
      <c r="DA364" s="3060">
        <f t="shared" si="1"/>
      </c>
      <c r="DB364" s="3060">
        <f t="shared" si="18"/>
      </c>
      <c r="DC364" s="3060">
        <f t="shared" si="19"/>
      </c>
      <c r="DD364" s="3060">
        <f t="shared" si="20"/>
      </c>
      <c r="DE364" s="3060">
        <f t="shared" si="21"/>
      </c>
      <c r="DF364" s="3060">
        <f t="shared" si="22"/>
      </c>
      <c r="DG364" s="3060">
        <f t="shared" si="23"/>
      </c>
      <c r="DH364" s="3060">
        <f t="shared" si="24"/>
      </c>
      <c r="DI364" s="3060">
        <f t="shared" si="1"/>
      </c>
    </row>
    <row r="365" ht="15" customHeight="1" s="3052" customFormat="1">
      <c r="B365" s="3054">
        <f t="shared" si="2"/>
      </c>
      <c r="C365" s="3054"/>
      <c r="D365" s="3054"/>
      <c r="E365" s="3055"/>
      <c r="F365" s="3055"/>
      <c r="G365" s="3055"/>
      <c r="H365" s="3055"/>
      <c r="I365" s="3055"/>
      <c r="J365" s="3055"/>
      <c r="K365" s="3055"/>
      <c r="L365" s="3055"/>
      <c r="M365" s="3055"/>
      <c r="N365" s="3055"/>
      <c r="O365" s="3055"/>
      <c r="P365" s="3055"/>
      <c r="Q365" s="3055"/>
      <c r="R365" s="3055">
        <f t="shared" si="3"/>
        <v>0</v>
      </c>
      <c r="S365" s="3055">
        <f t="shared" si="4"/>
        <v>0</v>
      </c>
      <c r="T365" s="3055">
        <f t="shared" si="5"/>
        <v>0</v>
      </c>
      <c r="U365" s="3055">
        <f t="shared" si="6"/>
        <v>0</v>
      </c>
      <c r="V365" s="3055">
        <f t="shared" si="7"/>
        <v>0</v>
      </c>
      <c r="W365" s="3055">
        <f t="shared" si="8"/>
        <v>0</v>
      </c>
      <c r="X365" s="3055">
        <f t="shared" si="9"/>
        <v>0</v>
      </c>
      <c r="Y365" s="3055">
        <f t="shared" si="10"/>
        <v>0</v>
      </c>
      <c r="Z365" s="3055">
        <f t="shared" si="11"/>
        <v>0</v>
      </c>
      <c r="AA365" s="3055">
        <f t="shared" si="12"/>
        <v>0</v>
      </c>
      <c r="AB365" s="3055">
        <f t="shared" si="13"/>
        <v>0</v>
      </c>
      <c r="AC365" s="3055">
        <f t="shared" si="14"/>
        <v>0</v>
      </c>
      <c r="AD365" s="3056"/>
      <c r="AE365" s="3057">
        <f t="shared" si="0"/>
      </c>
      <c r="AF365" s="3054"/>
      <c r="AG365" s="3054"/>
      <c r="AH365" s="3055"/>
      <c r="AI365" s="3055"/>
      <c r="AJ365" s="3055"/>
      <c r="AK365" s="3055"/>
      <c r="AL365" s="3055"/>
      <c r="AM365" s="3055"/>
      <c r="AN365" s="3055"/>
      <c r="AO365" s="3055"/>
      <c r="AP365" s="3055"/>
      <c r="AQ365" s="3055"/>
      <c r="AR365" s="3055"/>
      <c r="AS365" s="3055"/>
      <c r="AT365" s="3055"/>
      <c r="AU365" s="3056"/>
      <c r="AV365" s="3057">
        <f t="shared" si="15"/>
      </c>
      <c r="AW365" s="3054"/>
      <c r="AX365" s="3054"/>
      <c r="AY365" s="3055"/>
      <c r="AZ365" s="3055"/>
      <c r="BA365" s="3055"/>
      <c r="BB365" s="3055"/>
      <c r="BC365" s="3055"/>
      <c r="BD365" s="3055"/>
      <c r="BE365" s="3055"/>
      <c r="BF365" s="3055"/>
      <c r="BG365" s="3055"/>
      <c r="BH365" s="3055"/>
      <c r="BI365" s="3055"/>
      <c r="BJ365" s="3055"/>
      <c r="BK365" s="3055"/>
      <c r="BL365" s="3056"/>
      <c r="BM365" s="3057">
        <f t="shared" si="16"/>
      </c>
      <c r="BN365" s="3054"/>
      <c r="BO365" s="3054"/>
      <c r="BP365" s="3055"/>
      <c r="BQ365" s="3055"/>
      <c r="BR365" s="3055"/>
      <c r="BS365" s="3055"/>
      <c r="BT365" s="3055"/>
      <c r="BU365" s="3055"/>
      <c r="BV365" s="3055"/>
      <c r="BW365" s="3055"/>
      <c r="BX365" s="3055"/>
      <c r="BY365" s="3055"/>
      <c r="BZ365" s="3055"/>
      <c r="CA365" s="3055"/>
      <c r="CB365" s="3055"/>
      <c r="CC365" s="3056"/>
      <c r="CD365" s="3057">
        <f t="shared" si="0"/>
      </c>
      <c r="CE365" s="3054"/>
      <c r="CF365" s="3054"/>
      <c r="CG365" s="3055"/>
      <c r="CH365" s="3055"/>
      <c r="CI365" s="3055"/>
      <c r="CJ365" s="3055"/>
      <c r="CK365" s="3055"/>
      <c r="CL365" s="3055"/>
      <c r="CM365" s="3055"/>
      <c r="CN365" s="3055"/>
      <c r="CO365" s="3055"/>
      <c r="CP365" s="3055"/>
      <c r="CQ365" s="3055"/>
      <c r="CR365" s="3055"/>
      <c r="CS365" s="3055"/>
      <c r="CU365" s="3054"/>
      <c r="CV365" s="696"/>
      <c r="CW365" s="696"/>
      <c r="CZ365" s="3060">
        <f t="shared" si="17"/>
      </c>
      <c r="DA365" s="3060">
        <f t="shared" si="1"/>
      </c>
      <c r="DB365" s="3060">
        <f t="shared" si="18"/>
      </c>
      <c r="DC365" s="3060">
        <f t="shared" si="19"/>
      </c>
      <c r="DD365" s="3060">
        <f t="shared" si="20"/>
      </c>
      <c r="DE365" s="3060">
        <f t="shared" si="21"/>
      </c>
      <c r="DF365" s="3060">
        <f t="shared" si="22"/>
      </c>
      <c r="DG365" s="3060">
        <f t="shared" si="23"/>
      </c>
      <c r="DH365" s="3060">
        <f t="shared" si="24"/>
      </c>
      <c r="DI365" s="3060">
        <f t="shared" si="1"/>
      </c>
    </row>
    <row r="366" ht="15" customHeight="1" s="3052" customFormat="1">
      <c r="B366" s="3054">
        <f t="shared" si="2"/>
      </c>
      <c r="C366" s="3054"/>
      <c r="D366" s="3054"/>
      <c r="E366" s="3055"/>
      <c r="F366" s="3055"/>
      <c r="G366" s="3055"/>
      <c r="H366" s="3055"/>
      <c r="I366" s="3055"/>
      <c r="J366" s="3055"/>
      <c r="K366" s="3055"/>
      <c r="L366" s="3055"/>
      <c r="M366" s="3055"/>
      <c r="N366" s="3055"/>
      <c r="O366" s="3055"/>
      <c r="P366" s="3055"/>
      <c r="Q366" s="3055"/>
      <c r="R366" s="3055">
        <f t="shared" si="3"/>
        <v>0</v>
      </c>
      <c r="S366" s="3055">
        <f t="shared" si="4"/>
        <v>0</v>
      </c>
      <c r="T366" s="3055">
        <f t="shared" si="5"/>
        <v>0</v>
      </c>
      <c r="U366" s="3055">
        <f t="shared" si="6"/>
        <v>0</v>
      </c>
      <c r="V366" s="3055">
        <f t="shared" si="7"/>
        <v>0</v>
      </c>
      <c r="W366" s="3055">
        <f t="shared" si="8"/>
        <v>0</v>
      </c>
      <c r="X366" s="3055">
        <f t="shared" si="9"/>
        <v>0</v>
      </c>
      <c r="Y366" s="3055">
        <f t="shared" si="10"/>
        <v>0</v>
      </c>
      <c r="Z366" s="3055">
        <f t="shared" si="11"/>
        <v>0</v>
      </c>
      <c r="AA366" s="3055">
        <f t="shared" si="12"/>
        <v>0</v>
      </c>
      <c r="AB366" s="3055">
        <f t="shared" si="13"/>
        <v>0</v>
      </c>
      <c r="AC366" s="3055">
        <f t="shared" si="14"/>
        <v>0</v>
      </c>
      <c r="AD366" s="3056"/>
      <c r="AE366" s="3057">
        <f t="shared" si="0"/>
      </c>
      <c r="AF366" s="3054"/>
      <c r="AG366" s="3054"/>
      <c r="AH366" s="3055"/>
      <c r="AI366" s="3055"/>
      <c r="AJ366" s="3055"/>
      <c r="AK366" s="3055"/>
      <c r="AL366" s="3055"/>
      <c r="AM366" s="3055"/>
      <c r="AN366" s="3055"/>
      <c r="AO366" s="3055"/>
      <c r="AP366" s="3055"/>
      <c r="AQ366" s="3055"/>
      <c r="AR366" s="3055"/>
      <c r="AS366" s="3055"/>
      <c r="AT366" s="3055"/>
      <c r="AU366" s="3056"/>
      <c r="AV366" s="3057">
        <f t="shared" si="15"/>
      </c>
      <c r="AW366" s="3054"/>
      <c r="AX366" s="3054"/>
      <c r="AY366" s="3055"/>
      <c r="AZ366" s="3055"/>
      <c r="BA366" s="3055"/>
      <c r="BB366" s="3055"/>
      <c r="BC366" s="3055"/>
      <c r="BD366" s="3055"/>
      <c r="BE366" s="3055"/>
      <c r="BF366" s="3055"/>
      <c r="BG366" s="3055"/>
      <c r="BH366" s="3055"/>
      <c r="BI366" s="3055"/>
      <c r="BJ366" s="3055"/>
      <c r="BK366" s="3055"/>
      <c r="BL366" s="3056"/>
      <c r="BM366" s="3057">
        <f t="shared" si="16"/>
      </c>
      <c r="BN366" s="3054"/>
      <c r="BO366" s="3054"/>
      <c r="BP366" s="3055"/>
      <c r="BQ366" s="3055"/>
      <c r="BR366" s="3055"/>
      <c r="BS366" s="3055"/>
      <c r="BT366" s="3055"/>
      <c r="BU366" s="3055"/>
      <c r="BV366" s="3055"/>
      <c r="BW366" s="3055"/>
      <c r="BX366" s="3055"/>
      <c r="BY366" s="3055"/>
      <c r="BZ366" s="3055"/>
      <c r="CA366" s="3055"/>
      <c r="CB366" s="3055"/>
      <c r="CC366" s="3056"/>
      <c r="CD366" s="3057">
        <f t="shared" si="0"/>
      </c>
      <c r="CE366" s="3054"/>
      <c r="CF366" s="3054"/>
      <c r="CG366" s="3055"/>
      <c r="CH366" s="3055"/>
      <c r="CI366" s="3055"/>
      <c r="CJ366" s="3055"/>
      <c r="CK366" s="3055"/>
      <c r="CL366" s="3055"/>
      <c r="CM366" s="3055"/>
      <c r="CN366" s="3055"/>
      <c r="CO366" s="3055"/>
      <c r="CP366" s="3055"/>
      <c r="CQ366" s="3055"/>
      <c r="CR366" s="3055"/>
      <c r="CS366" s="3055"/>
      <c r="CU366" s="3054"/>
      <c r="CV366" s="696"/>
      <c r="CW366" s="696"/>
      <c r="CZ366" s="3060">
        <f t="shared" si="17"/>
      </c>
      <c r="DA366" s="3060">
        <f t="shared" si="1"/>
      </c>
      <c r="DB366" s="3060">
        <f t="shared" si="18"/>
      </c>
      <c r="DC366" s="3060">
        <f t="shared" si="19"/>
      </c>
      <c r="DD366" s="3060">
        <f t="shared" si="20"/>
      </c>
      <c r="DE366" s="3060">
        <f t="shared" si="21"/>
      </c>
      <c r="DF366" s="3060">
        <f t="shared" si="22"/>
      </c>
      <c r="DG366" s="3060">
        <f t="shared" si="23"/>
      </c>
      <c r="DH366" s="3060">
        <f t="shared" si="24"/>
      </c>
      <c r="DI366" s="3060">
        <f t="shared" si="1"/>
      </c>
    </row>
    <row r="367" ht="15" customHeight="1" s="3052" customFormat="1">
      <c r="B367" s="3054">
        <f t="shared" si="2"/>
      </c>
      <c r="C367" s="3054"/>
      <c r="D367" s="3054"/>
      <c r="E367" s="3055"/>
      <c r="F367" s="3055"/>
      <c r="G367" s="3055"/>
      <c r="H367" s="3055"/>
      <c r="I367" s="3055"/>
      <c r="J367" s="3055"/>
      <c r="K367" s="3055"/>
      <c r="L367" s="3055"/>
      <c r="M367" s="3055"/>
      <c r="N367" s="3055"/>
      <c r="O367" s="3055"/>
      <c r="P367" s="3055"/>
      <c r="Q367" s="3055"/>
      <c r="R367" s="3055">
        <f t="shared" si="3"/>
        <v>0</v>
      </c>
      <c r="S367" s="3055">
        <f t="shared" si="4"/>
        <v>0</v>
      </c>
      <c r="T367" s="3055">
        <f t="shared" si="5"/>
        <v>0</v>
      </c>
      <c r="U367" s="3055">
        <f t="shared" si="6"/>
        <v>0</v>
      </c>
      <c r="V367" s="3055">
        <f t="shared" si="7"/>
        <v>0</v>
      </c>
      <c r="W367" s="3055">
        <f t="shared" si="8"/>
        <v>0</v>
      </c>
      <c r="X367" s="3055">
        <f t="shared" si="9"/>
        <v>0</v>
      </c>
      <c r="Y367" s="3055">
        <f t="shared" si="10"/>
        <v>0</v>
      </c>
      <c r="Z367" s="3055">
        <f t="shared" si="11"/>
        <v>0</v>
      </c>
      <c r="AA367" s="3055">
        <f t="shared" si="12"/>
        <v>0</v>
      </c>
      <c r="AB367" s="3055">
        <f t="shared" si="13"/>
        <v>0</v>
      </c>
      <c r="AC367" s="3055">
        <f t="shared" si="14"/>
        <v>0</v>
      </c>
      <c r="AD367" s="3056"/>
      <c r="AE367" s="3057">
        <f t="shared" si="0"/>
      </c>
      <c r="AF367" s="3054"/>
      <c r="AG367" s="3054"/>
      <c r="AH367" s="3055"/>
      <c r="AI367" s="3055"/>
      <c r="AJ367" s="3055"/>
      <c r="AK367" s="3055"/>
      <c r="AL367" s="3055"/>
      <c r="AM367" s="3055"/>
      <c r="AN367" s="3055"/>
      <c r="AO367" s="3055"/>
      <c r="AP367" s="3055"/>
      <c r="AQ367" s="3055"/>
      <c r="AR367" s="3055"/>
      <c r="AS367" s="3055"/>
      <c r="AT367" s="3055"/>
      <c r="AU367" s="3056"/>
      <c r="AV367" s="3057">
        <f t="shared" si="15"/>
      </c>
      <c r="AW367" s="3054"/>
      <c r="AX367" s="3054"/>
      <c r="AY367" s="3055"/>
      <c r="AZ367" s="3055"/>
      <c r="BA367" s="3055"/>
      <c r="BB367" s="3055"/>
      <c r="BC367" s="3055"/>
      <c r="BD367" s="3055"/>
      <c r="BE367" s="3055"/>
      <c r="BF367" s="3055"/>
      <c r="BG367" s="3055"/>
      <c r="BH367" s="3055"/>
      <c r="BI367" s="3055"/>
      <c r="BJ367" s="3055"/>
      <c r="BK367" s="3055"/>
      <c r="BL367" s="3056"/>
      <c r="BM367" s="3057">
        <f t="shared" si="16"/>
      </c>
      <c r="BN367" s="3054"/>
      <c r="BO367" s="3054"/>
      <c r="BP367" s="3055"/>
      <c r="BQ367" s="3055"/>
      <c r="BR367" s="3055"/>
      <c r="BS367" s="3055"/>
      <c r="BT367" s="3055"/>
      <c r="BU367" s="3055"/>
      <c r="BV367" s="3055"/>
      <c r="BW367" s="3055"/>
      <c r="BX367" s="3055"/>
      <c r="BY367" s="3055"/>
      <c r="BZ367" s="3055"/>
      <c r="CA367" s="3055"/>
      <c r="CB367" s="3055"/>
      <c r="CC367" s="3056"/>
      <c r="CD367" s="3057">
        <f t="shared" si="0"/>
      </c>
      <c r="CE367" s="3054"/>
      <c r="CF367" s="3054"/>
      <c r="CG367" s="3055"/>
      <c r="CH367" s="3055"/>
      <c r="CI367" s="3055"/>
      <c r="CJ367" s="3055"/>
      <c r="CK367" s="3055"/>
      <c r="CL367" s="3055"/>
      <c r="CM367" s="3055"/>
      <c r="CN367" s="3055"/>
      <c r="CO367" s="3055"/>
      <c r="CP367" s="3055"/>
      <c r="CQ367" s="3055"/>
      <c r="CR367" s="3055"/>
      <c r="CS367" s="3055"/>
      <c r="CU367" s="3054"/>
      <c r="CV367" s="696"/>
      <c r="CW367" s="696"/>
      <c r="CZ367" s="3060">
        <f t="shared" si="17"/>
      </c>
      <c r="DA367" s="3060">
        <f t="shared" si="1"/>
      </c>
      <c r="DB367" s="3060">
        <f t="shared" si="18"/>
      </c>
      <c r="DC367" s="3060">
        <f t="shared" si="19"/>
      </c>
      <c r="DD367" s="3060">
        <f t="shared" si="20"/>
      </c>
      <c r="DE367" s="3060">
        <f t="shared" si="21"/>
      </c>
      <c r="DF367" s="3060">
        <f t="shared" si="22"/>
      </c>
      <c r="DG367" s="3060">
        <f t="shared" si="23"/>
      </c>
      <c r="DH367" s="3060">
        <f t="shared" si="24"/>
      </c>
      <c r="DI367" s="3060">
        <f t="shared" si="1"/>
      </c>
    </row>
    <row r="368" ht="15" customHeight="1" s="3052" customFormat="1">
      <c r="B368" s="3054">
        <f t="shared" si="2"/>
      </c>
      <c r="C368" s="3054"/>
      <c r="D368" s="3054"/>
      <c r="E368" s="3055"/>
      <c r="F368" s="3055"/>
      <c r="G368" s="3055"/>
      <c r="H368" s="3055"/>
      <c r="I368" s="3055"/>
      <c r="J368" s="3055"/>
      <c r="K368" s="3055"/>
      <c r="L368" s="3055"/>
      <c r="M368" s="3055"/>
      <c r="N368" s="3055"/>
      <c r="O368" s="3055"/>
      <c r="P368" s="3055"/>
      <c r="Q368" s="3055"/>
      <c r="R368" s="3055">
        <f t="shared" si="3"/>
        <v>0</v>
      </c>
      <c r="S368" s="3055">
        <f t="shared" si="4"/>
        <v>0</v>
      </c>
      <c r="T368" s="3055">
        <f t="shared" si="5"/>
        <v>0</v>
      </c>
      <c r="U368" s="3055">
        <f t="shared" si="6"/>
        <v>0</v>
      </c>
      <c r="V368" s="3055">
        <f t="shared" si="7"/>
        <v>0</v>
      </c>
      <c r="W368" s="3055">
        <f t="shared" si="8"/>
        <v>0</v>
      </c>
      <c r="X368" s="3055">
        <f t="shared" si="9"/>
        <v>0</v>
      </c>
      <c r="Y368" s="3055">
        <f t="shared" si="10"/>
        <v>0</v>
      </c>
      <c r="Z368" s="3055">
        <f t="shared" si="11"/>
        <v>0</v>
      </c>
      <c r="AA368" s="3055">
        <f t="shared" si="12"/>
        <v>0</v>
      </c>
      <c r="AB368" s="3055">
        <f t="shared" si="13"/>
        <v>0</v>
      </c>
      <c r="AC368" s="3055">
        <f t="shared" si="14"/>
        <v>0</v>
      </c>
      <c r="AD368" s="3056"/>
      <c r="AE368" s="3057">
        <f t="shared" si="0"/>
      </c>
      <c r="AF368" s="3054"/>
      <c r="AG368" s="3054"/>
      <c r="AH368" s="3055"/>
      <c r="AI368" s="3055"/>
      <c r="AJ368" s="3055"/>
      <c r="AK368" s="3055"/>
      <c r="AL368" s="3055"/>
      <c r="AM368" s="3055"/>
      <c r="AN368" s="3055"/>
      <c r="AO368" s="3055"/>
      <c r="AP368" s="3055"/>
      <c r="AQ368" s="3055"/>
      <c r="AR368" s="3055"/>
      <c r="AS368" s="3055"/>
      <c r="AT368" s="3055"/>
      <c r="AU368" s="3056"/>
      <c r="AV368" s="3057">
        <f t="shared" si="15"/>
      </c>
      <c r="AW368" s="3054"/>
      <c r="AX368" s="3054"/>
      <c r="AY368" s="3055"/>
      <c r="AZ368" s="3055"/>
      <c r="BA368" s="3055"/>
      <c r="BB368" s="3055"/>
      <c r="BC368" s="3055"/>
      <c r="BD368" s="3055"/>
      <c r="BE368" s="3055"/>
      <c r="BF368" s="3055"/>
      <c r="BG368" s="3055"/>
      <c r="BH368" s="3055"/>
      <c r="BI368" s="3055"/>
      <c r="BJ368" s="3055"/>
      <c r="BK368" s="3055"/>
      <c r="BL368" s="3056"/>
      <c r="BM368" s="3057">
        <f t="shared" si="16"/>
      </c>
      <c r="BN368" s="3054"/>
      <c r="BO368" s="3054"/>
      <c r="BP368" s="3055"/>
      <c r="BQ368" s="3055"/>
      <c r="BR368" s="3055"/>
      <c r="BS368" s="3055"/>
      <c r="BT368" s="3055"/>
      <c r="BU368" s="3055"/>
      <c r="BV368" s="3055"/>
      <c r="BW368" s="3055"/>
      <c r="BX368" s="3055"/>
      <c r="BY368" s="3055"/>
      <c r="BZ368" s="3055"/>
      <c r="CA368" s="3055"/>
      <c r="CB368" s="3055"/>
      <c r="CC368" s="3056"/>
      <c r="CD368" s="3057">
        <f t="shared" si="0"/>
      </c>
      <c r="CE368" s="3054"/>
      <c r="CF368" s="3054"/>
      <c r="CG368" s="3055"/>
      <c r="CH368" s="3055"/>
      <c r="CI368" s="3055"/>
      <c r="CJ368" s="3055"/>
      <c r="CK368" s="3055"/>
      <c r="CL368" s="3055"/>
      <c r="CM368" s="3055"/>
      <c r="CN368" s="3055"/>
      <c r="CO368" s="3055"/>
      <c r="CP368" s="3055"/>
      <c r="CQ368" s="3055"/>
      <c r="CR368" s="3055"/>
      <c r="CS368" s="3055"/>
      <c r="CU368" s="3054"/>
      <c r="CV368" s="696"/>
      <c r="CW368" s="696"/>
      <c r="CZ368" s="3060">
        <f t="shared" si="17"/>
      </c>
      <c r="DA368" s="3060">
        <f t="shared" si="1"/>
      </c>
      <c r="DB368" s="3060">
        <f t="shared" si="18"/>
      </c>
      <c r="DC368" s="3060">
        <f t="shared" si="19"/>
      </c>
      <c r="DD368" s="3060">
        <f t="shared" si="20"/>
      </c>
      <c r="DE368" s="3060">
        <f t="shared" si="21"/>
      </c>
      <c r="DF368" s="3060">
        <f t="shared" si="22"/>
      </c>
      <c r="DG368" s="3060">
        <f t="shared" si="23"/>
      </c>
      <c r="DH368" s="3060">
        <f t="shared" si="24"/>
      </c>
      <c r="DI368" s="3060">
        <f t="shared" si="1"/>
      </c>
    </row>
    <row r="369" ht="15" customHeight="1" s="3052" customFormat="1">
      <c r="B369" s="3054">
        <f t="shared" si="2"/>
      </c>
      <c r="C369" s="3054"/>
      <c r="D369" s="3054"/>
      <c r="E369" s="3055"/>
      <c r="F369" s="3055"/>
      <c r="G369" s="3055"/>
      <c r="H369" s="3055"/>
      <c r="I369" s="3055"/>
      <c r="J369" s="3055"/>
      <c r="K369" s="3055"/>
      <c r="L369" s="3055"/>
      <c r="M369" s="3055"/>
      <c r="N369" s="3055"/>
      <c r="O369" s="3055"/>
      <c r="P369" s="3055"/>
      <c r="Q369" s="3055"/>
      <c r="R369" s="3055">
        <f t="shared" si="3"/>
        <v>0</v>
      </c>
      <c r="S369" s="3055">
        <f t="shared" si="4"/>
        <v>0</v>
      </c>
      <c r="T369" s="3055">
        <f t="shared" si="5"/>
        <v>0</v>
      </c>
      <c r="U369" s="3055">
        <f t="shared" si="6"/>
        <v>0</v>
      </c>
      <c r="V369" s="3055">
        <f t="shared" si="7"/>
        <v>0</v>
      </c>
      <c r="W369" s="3055">
        <f t="shared" si="8"/>
        <v>0</v>
      </c>
      <c r="X369" s="3055">
        <f t="shared" si="9"/>
        <v>0</v>
      </c>
      <c r="Y369" s="3055">
        <f t="shared" si="10"/>
        <v>0</v>
      </c>
      <c r="Z369" s="3055">
        <f t="shared" si="11"/>
        <v>0</v>
      </c>
      <c r="AA369" s="3055">
        <f t="shared" si="12"/>
        <v>0</v>
      </c>
      <c r="AB369" s="3055">
        <f t="shared" si="13"/>
        <v>0</v>
      </c>
      <c r="AC369" s="3055">
        <f t="shared" si="14"/>
        <v>0</v>
      </c>
      <c r="AD369" s="3056"/>
      <c r="AE369" s="3057">
        <f t="shared" si="0"/>
      </c>
      <c r="AF369" s="3054"/>
      <c r="AG369" s="3054"/>
      <c r="AH369" s="3055"/>
      <c r="AI369" s="3055"/>
      <c r="AJ369" s="3055"/>
      <c r="AK369" s="3055"/>
      <c r="AL369" s="3055"/>
      <c r="AM369" s="3055"/>
      <c r="AN369" s="3055"/>
      <c r="AO369" s="3055"/>
      <c r="AP369" s="3055"/>
      <c r="AQ369" s="3055"/>
      <c r="AR369" s="3055"/>
      <c r="AS369" s="3055"/>
      <c r="AT369" s="3055"/>
      <c r="AU369" s="3056"/>
      <c r="AV369" s="3057">
        <f t="shared" si="15"/>
      </c>
      <c r="AW369" s="3054"/>
      <c r="AX369" s="3054"/>
      <c r="AY369" s="3055"/>
      <c r="AZ369" s="3055"/>
      <c r="BA369" s="3055"/>
      <c r="BB369" s="3055"/>
      <c r="BC369" s="3055"/>
      <c r="BD369" s="3055"/>
      <c r="BE369" s="3055"/>
      <c r="BF369" s="3055"/>
      <c r="BG369" s="3055"/>
      <c r="BH369" s="3055"/>
      <c r="BI369" s="3055"/>
      <c r="BJ369" s="3055"/>
      <c r="BK369" s="3055"/>
      <c r="BL369" s="3056"/>
      <c r="BM369" s="3057">
        <f t="shared" si="16"/>
      </c>
      <c r="BN369" s="3054"/>
      <c r="BO369" s="3054"/>
      <c r="BP369" s="3055"/>
      <c r="BQ369" s="3055"/>
      <c r="BR369" s="3055"/>
      <c r="BS369" s="3055"/>
      <c r="BT369" s="3055"/>
      <c r="BU369" s="3055"/>
      <c r="BV369" s="3055"/>
      <c r="BW369" s="3055"/>
      <c r="BX369" s="3055"/>
      <c r="BY369" s="3055"/>
      <c r="BZ369" s="3055"/>
      <c r="CA369" s="3055"/>
      <c r="CB369" s="3055"/>
      <c r="CC369" s="3056"/>
      <c r="CD369" s="3057">
        <f t="shared" si="0"/>
      </c>
      <c r="CE369" s="3054"/>
      <c r="CF369" s="3054"/>
      <c r="CG369" s="3055"/>
      <c r="CH369" s="3055"/>
      <c r="CI369" s="3055"/>
      <c r="CJ369" s="3055"/>
      <c r="CK369" s="3055"/>
      <c r="CL369" s="3055"/>
      <c r="CM369" s="3055"/>
      <c r="CN369" s="3055"/>
      <c r="CO369" s="3055"/>
      <c r="CP369" s="3055"/>
      <c r="CQ369" s="3055"/>
      <c r="CR369" s="3055"/>
      <c r="CS369" s="3055"/>
      <c r="CU369" s="3054"/>
      <c r="CV369" s="696"/>
      <c r="CW369" s="696"/>
      <c r="CZ369" s="3060">
        <f t="shared" si="17"/>
      </c>
      <c r="DA369" s="3060">
        <f t="shared" si="1"/>
      </c>
      <c r="DB369" s="3060">
        <f t="shared" si="18"/>
      </c>
      <c r="DC369" s="3060">
        <f t="shared" si="19"/>
      </c>
      <c r="DD369" s="3060">
        <f t="shared" si="20"/>
      </c>
      <c r="DE369" s="3060">
        <f t="shared" si="21"/>
      </c>
      <c r="DF369" s="3060">
        <f t="shared" si="22"/>
      </c>
      <c r="DG369" s="3060">
        <f t="shared" si="23"/>
      </c>
      <c r="DH369" s="3060">
        <f t="shared" si="24"/>
      </c>
      <c r="DI369" s="3060">
        <f t="shared" si="1"/>
      </c>
    </row>
    <row r="370" ht="15" customHeight="1" s="3052" customFormat="1">
      <c r="B370" s="3054">
        <f t="shared" si="2"/>
      </c>
      <c r="C370" s="3054"/>
      <c r="D370" s="3054"/>
      <c r="E370" s="3055"/>
      <c r="F370" s="3055"/>
      <c r="G370" s="3055"/>
      <c r="H370" s="3055"/>
      <c r="I370" s="3055"/>
      <c r="J370" s="3055"/>
      <c r="K370" s="3055"/>
      <c r="L370" s="3055"/>
      <c r="M370" s="3055"/>
      <c r="N370" s="3055"/>
      <c r="O370" s="3055"/>
      <c r="P370" s="3055"/>
      <c r="Q370" s="3055"/>
      <c r="R370" s="3055">
        <f t="shared" si="3"/>
        <v>0</v>
      </c>
      <c r="S370" s="3055">
        <f t="shared" si="4"/>
        <v>0</v>
      </c>
      <c r="T370" s="3055">
        <f t="shared" si="5"/>
        <v>0</v>
      </c>
      <c r="U370" s="3055">
        <f t="shared" si="6"/>
        <v>0</v>
      </c>
      <c r="V370" s="3055">
        <f t="shared" si="7"/>
        <v>0</v>
      </c>
      <c r="W370" s="3055">
        <f t="shared" si="8"/>
        <v>0</v>
      </c>
      <c r="X370" s="3055">
        <f t="shared" si="9"/>
        <v>0</v>
      </c>
      <c r="Y370" s="3055">
        <f t="shared" si="10"/>
        <v>0</v>
      </c>
      <c r="Z370" s="3055">
        <f t="shared" si="11"/>
        <v>0</v>
      </c>
      <c r="AA370" s="3055">
        <f t="shared" si="12"/>
        <v>0</v>
      </c>
      <c r="AB370" s="3055">
        <f t="shared" si="13"/>
        <v>0</v>
      </c>
      <c r="AC370" s="3055">
        <f t="shared" si="14"/>
        <v>0</v>
      </c>
      <c r="AD370" s="3056"/>
      <c r="AE370" s="3057">
        <f t="shared" si="0"/>
      </c>
      <c r="AF370" s="3054"/>
      <c r="AG370" s="3054"/>
      <c r="AH370" s="3055"/>
      <c r="AI370" s="3055"/>
      <c r="AJ370" s="3055"/>
      <c r="AK370" s="3055"/>
      <c r="AL370" s="3055"/>
      <c r="AM370" s="3055"/>
      <c r="AN370" s="3055"/>
      <c r="AO370" s="3055"/>
      <c r="AP370" s="3055"/>
      <c r="AQ370" s="3055"/>
      <c r="AR370" s="3055"/>
      <c r="AS370" s="3055"/>
      <c r="AT370" s="3055"/>
      <c r="AU370" s="3056"/>
      <c r="AV370" s="3057">
        <f t="shared" si="15"/>
      </c>
      <c r="AW370" s="3054"/>
      <c r="AX370" s="3054"/>
      <c r="AY370" s="3055"/>
      <c r="AZ370" s="3055"/>
      <c r="BA370" s="3055"/>
      <c r="BB370" s="3055"/>
      <c r="BC370" s="3055"/>
      <c r="BD370" s="3055"/>
      <c r="BE370" s="3055"/>
      <c r="BF370" s="3055"/>
      <c r="BG370" s="3055"/>
      <c r="BH370" s="3055"/>
      <c r="BI370" s="3055"/>
      <c r="BJ370" s="3055"/>
      <c r="BK370" s="3055"/>
      <c r="BL370" s="3056"/>
      <c r="BM370" s="3057">
        <f t="shared" si="16"/>
      </c>
      <c r="BN370" s="3054"/>
      <c r="BO370" s="3054"/>
      <c r="BP370" s="3055"/>
      <c r="BQ370" s="3055"/>
      <c r="BR370" s="3055"/>
      <c r="BS370" s="3055"/>
      <c r="BT370" s="3055"/>
      <c r="BU370" s="3055"/>
      <c r="BV370" s="3055"/>
      <c r="BW370" s="3055"/>
      <c r="BX370" s="3055"/>
      <c r="BY370" s="3055"/>
      <c r="BZ370" s="3055"/>
      <c r="CA370" s="3055"/>
      <c r="CB370" s="3055"/>
      <c r="CC370" s="3056"/>
      <c r="CD370" s="3057">
        <f t="shared" si="0"/>
      </c>
      <c r="CE370" s="3054"/>
      <c r="CF370" s="3054"/>
      <c r="CG370" s="3055"/>
      <c r="CH370" s="3055"/>
      <c r="CI370" s="3055"/>
      <c r="CJ370" s="3055"/>
      <c r="CK370" s="3055"/>
      <c r="CL370" s="3055"/>
      <c r="CM370" s="3055"/>
      <c r="CN370" s="3055"/>
      <c r="CO370" s="3055"/>
      <c r="CP370" s="3055"/>
      <c r="CQ370" s="3055"/>
      <c r="CR370" s="3055"/>
      <c r="CS370" s="3055"/>
      <c r="CU370" s="3054"/>
      <c r="CV370" s="696"/>
      <c r="CW370" s="696"/>
      <c r="CZ370" s="3060">
        <f t="shared" si="17"/>
      </c>
      <c r="DA370" s="3060">
        <f t="shared" si="1"/>
      </c>
      <c r="DB370" s="3060">
        <f t="shared" si="18"/>
      </c>
      <c r="DC370" s="3060">
        <f t="shared" si="19"/>
      </c>
      <c r="DD370" s="3060">
        <f t="shared" si="20"/>
      </c>
      <c r="DE370" s="3060">
        <f t="shared" si="21"/>
      </c>
      <c r="DF370" s="3060">
        <f t="shared" si="22"/>
      </c>
      <c r="DG370" s="3060">
        <f t="shared" si="23"/>
      </c>
      <c r="DH370" s="3060">
        <f t="shared" si="24"/>
      </c>
      <c r="DI370" s="3060">
        <f t="shared" si="1"/>
      </c>
    </row>
    <row r="371" ht="15" customHeight="1" s="3052" customFormat="1">
      <c r="B371" s="3054">
        <f t="shared" si="2"/>
      </c>
      <c r="C371" s="3054"/>
      <c r="D371" s="3054"/>
      <c r="E371" s="3055"/>
      <c r="F371" s="3055"/>
      <c r="G371" s="3055"/>
      <c r="H371" s="3055"/>
      <c r="I371" s="3055"/>
      <c r="J371" s="3055"/>
      <c r="K371" s="3055"/>
      <c r="L371" s="3055"/>
      <c r="M371" s="3055"/>
      <c r="N371" s="3055"/>
      <c r="O371" s="3055"/>
      <c r="P371" s="3055"/>
      <c r="Q371" s="3055"/>
      <c r="R371" s="3055">
        <f t="shared" si="3"/>
        <v>0</v>
      </c>
      <c r="S371" s="3055">
        <f t="shared" si="4"/>
        <v>0</v>
      </c>
      <c r="T371" s="3055">
        <f t="shared" si="5"/>
        <v>0</v>
      </c>
      <c r="U371" s="3055">
        <f t="shared" si="6"/>
        <v>0</v>
      </c>
      <c r="V371" s="3055">
        <f t="shared" si="7"/>
        <v>0</v>
      </c>
      <c r="W371" s="3055">
        <f t="shared" si="8"/>
        <v>0</v>
      </c>
      <c r="X371" s="3055">
        <f t="shared" si="9"/>
        <v>0</v>
      </c>
      <c r="Y371" s="3055">
        <f t="shared" si="10"/>
        <v>0</v>
      </c>
      <c r="Z371" s="3055">
        <f t="shared" si="11"/>
        <v>0</v>
      </c>
      <c r="AA371" s="3055">
        <f t="shared" si="12"/>
        <v>0</v>
      </c>
      <c r="AB371" s="3055">
        <f t="shared" si="13"/>
        <v>0</v>
      </c>
      <c r="AC371" s="3055">
        <f t="shared" si="14"/>
        <v>0</v>
      </c>
      <c r="AD371" s="3056"/>
      <c r="AE371" s="3057">
        <f t="shared" si="0"/>
      </c>
      <c r="AF371" s="3054"/>
      <c r="AG371" s="3054"/>
      <c r="AH371" s="3055"/>
      <c r="AI371" s="3055"/>
      <c r="AJ371" s="3055"/>
      <c r="AK371" s="3055"/>
      <c r="AL371" s="3055"/>
      <c r="AM371" s="3055"/>
      <c r="AN371" s="3055"/>
      <c r="AO371" s="3055"/>
      <c r="AP371" s="3055"/>
      <c r="AQ371" s="3055"/>
      <c r="AR371" s="3055"/>
      <c r="AS371" s="3055"/>
      <c r="AT371" s="3055"/>
      <c r="AU371" s="3056"/>
      <c r="AV371" s="3057">
        <f t="shared" si="15"/>
      </c>
      <c r="AW371" s="3054"/>
      <c r="AX371" s="3054"/>
      <c r="AY371" s="3055"/>
      <c r="AZ371" s="3055"/>
      <c r="BA371" s="3055"/>
      <c r="BB371" s="3055"/>
      <c r="BC371" s="3055"/>
      <c r="BD371" s="3055"/>
      <c r="BE371" s="3055"/>
      <c r="BF371" s="3055"/>
      <c r="BG371" s="3055"/>
      <c r="BH371" s="3055"/>
      <c r="BI371" s="3055"/>
      <c r="BJ371" s="3055"/>
      <c r="BK371" s="3055"/>
      <c r="BL371" s="3056"/>
      <c r="BM371" s="3057">
        <f t="shared" si="16"/>
      </c>
      <c r="BN371" s="3054"/>
      <c r="BO371" s="3054"/>
      <c r="BP371" s="3055"/>
      <c r="BQ371" s="3055"/>
      <c r="BR371" s="3055"/>
      <c r="BS371" s="3055"/>
      <c r="BT371" s="3055"/>
      <c r="BU371" s="3055"/>
      <c r="BV371" s="3055"/>
      <c r="BW371" s="3055"/>
      <c r="BX371" s="3055"/>
      <c r="BY371" s="3055"/>
      <c r="BZ371" s="3055"/>
      <c r="CA371" s="3055"/>
      <c r="CB371" s="3055"/>
      <c r="CC371" s="3056"/>
      <c r="CD371" s="3057">
        <f t="shared" si="0"/>
      </c>
      <c r="CE371" s="3054"/>
      <c r="CF371" s="3054"/>
      <c r="CG371" s="3055"/>
      <c r="CH371" s="3055"/>
      <c r="CI371" s="3055"/>
      <c r="CJ371" s="3055"/>
      <c r="CK371" s="3055"/>
      <c r="CL371" s="3055"/>
      <c r="CM371" s="3055"/>
      <c r="CN371" s="3055"/>
      <c r="CO371" s="3055"/>
      <c r="CP371" s="3055"/>
      <c r="CQ371" s="3055"/>
      <c r="CR371" s="3055"/>
      <c r="CS371" s="3055"/>
      <c r="CU371" s="3054"/>
      <c r="CV371" s="696"/>
      <c r="CW371" s="696"/>
      <c r="CZ371" s="3060">
        <f t="shared" si="17"/>
      </c>
      <c r="DA371" s="3060">
        <f t="shared" si="1"/>
      </c>
      <c r="DB371" s="3060">
        <f t="shared" si="18"/>
      </c>
      <c r="DC371" s="3060">
        <f t="shared" si="19"/>
      </c>
      <c r="DD371" s="3060">
        <f t="shared" si="20"/>
      </c>
      <c r="DE371" s="3060">
        <f t="shared" si="21"/>
      </c>
      <c r="DF371" s="3060">
        <f t="shared" si="22"/>
      </c>
      <c r="DG371" s="3060">
        <f t="shared" si="23"/>
      </c>
      <c r="DH371" s="3060">
        <f t="shared" si="24"/>
      </c>
      <c r="DI371" s="3060">
        <f t="shared" si="1"/>
      </c>
    </row>
    <row r="372" ht="15" customHeight="1" s="3052" customFormat="1">
      <c r="B372" s="3054">
        <f t="shared" si="2"/>
      </c>
      <c r="C372" s="3054"/>
      <c r="D372" s="3054"/>
      <c r="E372" s="3055"/>
      <c r="F372" s="3055"/>
      <c r="G372" s="3055"/>
      <c r="H372" s="3055"/>
      <c r="I372" s="3055"/>
      <c r="J372" s="3055"/>
      <c r="K372" s="3055"/>
      <c r="L372" s="3055"/>
      <c r="M372" s="3055"/>
      <c r="N372" s="3055"/>
      <c r="O372" s="3055"/>
      <c r="P372" s="3055"/>
      <c r="Q372" s="3055"/>
      <c r="R372" s="3055">
        <f t="shared" si="3"/>
        <v>0</v>
      </c>
      <c r="S372" s="3055">
        <f t="shared" si="4"/>
        <v>0</v>
      </c>
      <c r="T372" s="3055">
        <f t="shared" si="5"/>
        <v>0</v>
      </c>
      <c r="U372" s="3055">
        <f t="shared" si="6"/>
        <v>0</v>
      </c>
      <c r="V372" s="3055">
        <f t="shared" si="7"/>
        <v>0</v>
      </c>
      <c r="W372" s="3055">
        <f t="shared" si="8"/>
        <v>0</v>
      </c>
      <c r="X372" s="3055">
        <f t="shared" si="9"/>
        <v>0</v>
      </c>
      <c r="Y372" s="3055">
        <f t="shared" si="10"/>
        <v>0</v>
      </c>
      <c r="Z372" s="3055">
        <f t="shared" si="11"/>
        <v>0</v>
      </c>
      <c r="AA372" s="3055">
        <f t="shared" si="12"/>
        <v>0</v>
      </c>
      <c r="AB372" s="3055">
        <f t="shared" si="13"/>
        <v>0</v>
      </c>
      <c r="AC372" s="3055">
        <f t="shared" si="14"/>
        <v>0</v>
      </c>
      <c r="AD372" s="3056"/>
      <c r="AE372" s="3057">
        <f t="shared" si="0"/>
      </c>
      <c r="AF372" s="3054"/>
      <c r="AG372" s="3054"/>
      <c r="AH372" s="3055"/>
      <c r="AI372" s="3055"/>
      <c r="AJ372" s="3055"/>
      <c r="AK372" s="3055"/>
      <c r="AL372" s="3055"/>
      <c r="AM372" s="3055"/>
      <c r="AN372" s="3055"/>
      <c r="AO372" s="3055"/>
      <c r="AP372" s="3055"/>
      <c r="AQ372" s="3055"/>
      <c r="AR372" s="3055"/>
      <c r="AS372" s="3055"/>
      <c r="AT372" s="3055"/>
      <c r="AU372" s="3056"/>
      <c r="AV372" s="3057">
        <f t="shared" si="15"/>
      </c>
      <c r="AW372" s="3054"/>
      <c r="AX372" s="3054"/>
      <c r="AY372" s="3055"/>
      <c r="AZ372" s="3055"/>
      <c r="BA372" s="3055"/>
      <c r="BB372" s="3055"/>
      <c r="BC372" s="3055"/>
      <c r="BD372" s="3055"/>
      <c r="BE372" s="3055"/>
      <c r="BF372" s="3055"/>
      <c r="BG372" s="3055"/>
      <c r="BH372" s="3055"/>
      <c r="BI372" s="3055"/>
      <c r="BJ372" s="3055"/>
      <c r="BK372" s="3055"/>
      <c r="BL372" s="3056"/>
      <c r="BM372" s="3057">
        <f t="shared" si="16"/>
      </c>
      <c r="BN372" s="3054"/>
      <c r="BO372" s="3054"/>
      <c r="BP372" s="3055"/>
      <c r="BQ372" s="3055"/>
      <c r="BR372" s="3055"/>
      <c r="BS372" s="3055"/>
      <c r="BT372" s="3055"/>
      <c r="BU372" s="3055"/>
      <c r="BV372" s="3055"/>
      <c r="BW372" s="3055"/>
      <c r="BX372" s="3055"/>
      <c r="BY372" s="3055"/>
      <c r="BZ372" s="3055"/>
      <c r="CA372" s="3055"/>
      <c r="CB372" s="3055"/>
      <c r="CC372" s="3056"/>
      <c r="CD372" s="3057">
        <f t="shared" si="0"/>
      </c>
      <c r="CE372" s="3054"/>
      <c r="CF372" s="3054"/>
      <c r="CG372" s="3055"/>
      <c r="CH372" s="3055"/>
      <c r="CI372" s="3055"/>
      <c r="CJ372" s="3055"/>
      <c r="CK372" s="3055"/>
      <c r="CL372" s="3055"/>
      <c r="CM372" s="3055"/>
      <c r="CN372" s="3055"/>
      <c r="CO372" s="3055"/>
      <c r="CP372" s="3055"/>
      <c r="CQ372" s="3055"/>
      <c r="CR372" s="3055"/>
      <c r="CS372" s="3055"/>
      <c r="CU372" s="3054"/>
      <c r="CV372" s="696"/>
      <c r="CW372" s="696"/>
      <c r="CZ372" s="3060">
        <f t="shared" si="17"/>
      </c>
      <c r="DA372" s="3060">
        <f t="shared" si="1"/>
      </c>
      <c r="DB372" s="3060">
        <f t="shared" si="18"/>
      </c>
      <c r="DC372" s="3060">
        <f t="shared" si="19"/>
      </c>
      <c r="DD372" s="3060">
        <f t="shared" si="20"/>
      </c>
      <c r="DE372" s="3060">
        <f t="shared" si="21"/>
      </c>
      <c r="DF372" s="3060">
        <f t="shared" si="22"/>
      </c>
      <c r="DG372" s="3060">
        <f t="shared" si="23"/>
      </c>
      <c r="DH372" s="3060">
        <f t="shared" si="24"/>
      </c>
      <c r="DI372" s="3060">
        <f t="shared" si="1"/>
      </c>
    </row>
    <row r="373" ht="15" customHeight="1" s="3052" customFormat="1">
      <c r="B373" s="3054">
        <f t="shared" si="2"/>
      </c>
      <c r="C373" s="3054"/>
      <c r="D373" s="3054"/>
      <c r="E373" s="3055"/>
      <c r="F373" s="3055"/>
      <c r="G373" s="3055"/>
      <c r="H373" s="3055"/>
      <c r="I373" s="3055"/>
      <c r="J373" s="3055"/>
      <c r="K373" s="3055"/>
      <c r="L373" s="3055"/>
      <c r="M373" s="3055"/>
      <c r="N373" s="3055"/>
      <c r="O373" s="3055"/>
      <c r="P373" s="3055"/>
      <c r="Q373" s="3055"/>
      <c r="R373" s="3055">
        <f t="shared" si="3"/>
        <v>0</v>
      </c>
      <c r="S373" s="3055">
        <f t="shared" si="4"/>
        <v>0</v>
      </c>
      <c r="T373" s="3055">
        <f t="shared" si="5"/>
        <v>0</v>
      </c>
      <c r="U373" s="3055">
        <f t="shared" si="6"/>
        <v>0</v>
      </c>
      <c r="V373" s="3055">
        <f t="shared" si="7"/>
        <v>0</v>
      </c>
      <c r="W373" s="3055">
        <f t="shared" si="8"/>
        <v>0</v>
      </c>
      <c r="X373" s="3055">
        <f t="shared" si="9"/>
        <v>0</v>
      </c>
      <c r="Y373" s="3055">
        <f t="shared" si="10"/>
        <v>0</v>
      </c>
      <c r="Z373" s="3055">
        <f t="shared" si="11"/>
        <v>0</v>
      </c>
      <c r="AA373" s="3055">
        <f t="shared" si="12"/>
        <v>0</v>
      </c>
      <c r="AB373" s="3055">
        <f t="shared" si="13"/>
        <v>0</v>
      </c>
      <c r="AC373" s="3055">
        <f t="shared" si="14"/>
        <v>0</v>
      </c>
      <c r="AD373" s="3056"/>
      <c r="AE373" s="3057">
        <f t="shared" si="0"/>
      </c>
      <c r="AF373" s="3054"/>
      <c r="AG373" s="3054"/>
      <c r="AH373" s="3055"/>
      <c r="AI373" s="3055"/>
      <c r="AJ373" s="3055"/>
      <c r="AK373" s="3055"/>
      <c r="AL373" s="3055"/>
      <c r="AM373" s="3055"/>
      <c r="AN373" s="3055"/>
      <c r="AO373" s="3055"/>
      <c r="AP373" s="3055"/>
      <c r="AQ373" s="3055"/>
      <c r="AR373" s="3055"/>
      <c r="AS373" s="3055"/>
      <c r="AT373" s="3055"/>
      <c r="AU373" s="3056"/>
      <c r="AV373" s="3057">
        <f t="shared" si="15"/>
      </c>
      <c r="AW373" s="3054"/>
      <c r="AX373" s="3054"/>
      <c r="AY373" s="3055"/>
      <c r="AZ373" s="3055"/>
      <c r="BA373" s="3055"/>
      <c r="BB373" s="3055"/>
      <c r="BC373" s="3055"/>
      <c r="BD373" s="3055"/>
      <c r="BE373" s="3055"/>
      <c r="BF373" s="3055"/>
      <c r="BG373" s="3055"/>
      <c r="BH373" s="3055"/>
      <c r="BI373" s="3055"/>
      <c r="BJ373" s="3055"/>
      <c r="BK373" s="3055"/>
      <c r="BL373" s="3056"/>
      <c r="BM373" s="3057">
        <f t="shared" si="16"/>
      </c>
      <c r="BN373" s="3054"/>
      <c r="BO373" s="3054"/>
      <c r="BP373" s="3055"/>
      <c r="BQ373" s="3055"/>
      <c r="BR373" s="3055"/>
      <c r="BS373" s="3055"/>
      <c r="BT373" s="3055"/>
      <c r="BU373" s="3055"/>
      <c r="BV373" s="3055"/>
      <c r="BW373" s="3055"/>
      <c r="BX373" s="3055"/>
      <c r="BY373" s="3055"/>
      <c r="BZ373" s="3055"/>
      <c r="CA373" s="3055"/>
      <c r="CB373" s="3055"/>
      <c r="CC373" s="3056"/>
      <c r="CD373" s="3057">
        <f t="shared" si="0"/>
      </c>
      <c r="CE373" s="3054"/>
      <c r="CF373" s="3054"/>
      <c r="CG373" s="3055"/>
      <c r="CH373" s="3055"/>
      <c r="CI373" s="3055"/>
      <c r="CJ373" s="3055"/>
      <c r="CK373" s="3055"/>
      <c r="CL373" s="3055"/>
      <c r="CM373" s="3055"/>
      <c r="CN373" s="3055"/>
      <c r="CO373" s="3055"/>
      <c r="CP373" s="3055"/>
      <c r="CQ373" s="3055"/>
      <c r="CR373" s="3055"/>
      <c r="CS373" s="3055"/>
      <c r="CU373" s="3054"/>
      <c r="CV373" s="696"/>
      <c r="CW373" s="696"/>
      <c r="CZ373" s="3060">
        <f t="shared" si="17"/>
      </c>
      <c r="DA373" s="3060">
        <f t="shared" si="1"/>
      </c>
      <c r="DB373" s="3060">
        <f t="shared" si="18"/>
      </c>
      <c r="DC373" s="3060">
        <f t="shared" si="19"/>
      </c>
      <c r="DD373" s="3060">
        <f t="shared" si="20"/>
      </c>
      <c r="DE373" s="3060">
        <f t="shared" si="21"/>
      </c>
      <c r="DF373" s="3060">
        <f t="shared" si="22"/>
      </c>
      <c r="DG373" s="3060">
        <f t="shared" si="23"/>
      </c>
      <c r="DH373" s="3060">
        <f t="shared" si="24"/>
      </c>
      <c r="DI373" s="3060">
        <f t="shared" si="1"/>
      </c>
    </row>
    <row r="374" ht="15" customHeight="1" s="3052" customFormat="1">
      <c r="B374" s="3054">
        <f t="shared" si="2"/>
      </c>
      <c r="C374" s="3054"/>
      <c r="D374" s="3054"/>
      <c r="E374" s="3055"/>
      <c r="F374" s="3055"/>
      <c r="G374" s="3055"/>
      <c r="H374" s="3055"/>
      <c r="I374" s="3055"/>
      <c r="J374" s="3055"/>
      <c r="K374" s="3055"/>
      <c r="L374" s="3055"/>
      <c r="M374" s="3055"/>
      <c r="N374" s="3055"/>
      <c r="O374" s="3055"/>
      <c r="P374" s="3055"/>
      <c r="Q374" s="3055"/>
      <c r="R374" s="3055">
        <f t="shared" si="3"/>
        <v>0</v>
      </c>
      <c r="S374" s="3055">
        <f t="shared" si="4"/>
        <v>0</v>
      </c>
      <c r="T374" s="3055">
        <f t="shared" si="5"/>
        <v>0</v>
      </c>
      <c r="U374" s="3055">
        <f t="shared" si="6"/>
        <v>0</v>
      </c>
      <c r="V374" s="3055">
        <f t="shared" si="7"/>
        <v>0</v>
      </c>
      <c r="W374" s="3055">
        <f t="shared" si="8"/>
        <v>0</v>
      </c>
      <c r="X374" s="3055">
        <f t="shared" si="9"/>
        <v>0</v>
      </c>
      <c r="Y374" s="3055">
        <f t="shared" si="10"/>
        <v>0</v>
      </c>
      <c r="Z374" s="3055">
        <f t="shared" si="11"/>
        <v>0</v>
      </c>
      <c r="AA374" s="3055">
        <f t="shared" si="12"/>
        <v>0</v>
      </c>
      <c r="AB374" s="3055">
        <f t="shared" si="13"/>
        <v>0</v>
      </c>
      <c r="AC374" s="3055">
        <f t="shared" si="14"/>
        <v>0</v>
      </c>
      <c r="AD374" s="3056"/>
      <c r="AE374" s="3057">
        <f t="shared" si="0"/>
      </c>
      <c r="AF374" s="3054"/>
      <c r="AG374" s="3054"/>
      <c r="AH374" s="3055"/>
      <c r="AI374" s="3055"/>
      <c r="AJ374" s="3055"/>
      <c r="AK374" s="3055"/>
      <c r="AL374" s="3055"/>
      <c r="AM374" s="3055"/>
      <c r="AN374" s="3055"/>
      <c r="AO374" s="3055"/>
      <c r="AP374" s="3055"/>
      <c r="AQ374" s="3055"/>
      <c r="AR374" s="3055"/>
      <c r="AS374" s="3055"/>
      <c r="AT374" s="3055"/>
      <c r="AU374" s="3056"/>
      <c r="AV374" s="3057">
        <f t="shared" si="15"/>
      </c>
      <c r="AW374" s="3054"/>
      <c r="AX374" s="3054"/>
      <c r="AY374" s="3055"/>
      <c r="AZ374" s="3055"/>
      <c r="BA374" s="3055"/>
      <c r="BB374" s="3055"/>
      <c r="BC374" s="3055"/>
      <c r="BD374" s="3055"/>
      <c r="BE374" s="3055"/>
      <c r="BF374" s="3055"/>
      <c r="BG374" s="3055"/>
      <c r="BH374" s="3055"/>
      <c r="BI374" s="3055"/>
      <c r="BJ374" s="3055"/>
      <c r="BK374" s="3055"/>
      <c r="BL374" s="3056"/>
      <c r="BM374" s="3057">
        <f t="shared" si="16"/>
      </c>
      <c r="BN374" s="3054"/>
      <c r="BO374" s="3054"/>
      <c r="BP374" s="3055"/>
      <c r="BQ374" s="3055"/>
      <c r="BR374" s="3055"/>
      <c r="BS374" s="3055"/>
      <c r="BT374" s="3055"/>
      <c r="BU374" s="3055"/>
      <c r="BV374" s="3055"/>
      <c r="BW374" s="3055"/>
      <c r="BX374" s="3055"/>
      <c r="BY374" s="3055"/>
      <c r="BZ374" s="3055"/>
      <c r="CA374" s="3055"/>
      <c r="CB374" s="3055"/>
      <c r="CC374" s="3056"/>
      <c r="CD374" s="3057">
        <f t="shared" si="0"/>
      </c>
      <c r="CE374" s="3054"/>
      <c r="CF374" s="3054"/>
      <c r="CG374" s="3055"/>
      <c r="CH374" s="3055"/>
      <c r="CI374" s="3055"/>
      <c r="CJ374" s="3055"/>
      <c r="CK374" s="3055"/>
      <c r="CL374" s="3055"/>
      <c r="CM374" s="3055"/>
      <c r="CN374" s="3055"/>
      <c r="CO374" s="3055"/>
      <c r="CP374" s="3055"/>
      <c r="CQ374" s="3055"/>
      <c r="CR374" s="3055"/>
      <c r="CS374" s="3055"/>
      <c r="CU374" s="3054"/>
      <c r="CV374" s="696"/>
      <c r="CW374" s="696"/>
      <c r="CZ374" s="3060">
        <f t="shared" si="17"/>
      </c>
      <c r="DA374" s="3060">
        <f t="shared" si="1"/>
      </c>
      <c r="DB374" s="3060">
        <f t="shared" si="18"/>
      </c>
      <c r="DC374" s="3060">
        <f t="shared" si="19"/>
      </c>
      <c r="DD374" s="3060">
        <f t="shared" si="20"/>
      </c>
      <c r="DE374" s="3060">
        <f t="shared" si="21"/>
      </c>
      <c r="DF374" s="3060">
        <f t="shared" si="22"/>
      </c>
      <c r="DG374" s="3060">
        <f t="shared" si="23"/>
      </c>
      <c r="DH374" s="3060">
        <f t="shared" si="24"/>
      </c>
      <c r="DI374" s="3060">
        <f t="shared" si="1"/>
      </c>
    </row>
    <row r="375" ht="15" customHeight="1" s="3052" customFormat="1">
      <c r="B375" s="3054">
        <f t="shared" si="2"/>
      </c>
      <c r="C375" s="3054"/>
      <c r="D375" s="3054"/>
      <c r="E375" s="3055"/>
      <c r="F375" s="3055"/>
      <c r="G375" s="3055"/>
      <c r="H375" s="3055"/>
      <c r="I375" s="3055"/>
      <c r="J375" s="3055"/>
      <c r="K375" s="3055"/>
      <c r="L375" s="3055"/>
      <c r="M375" s="3055"/>
      <c r="N375" s="3055"/>
      <c r="O375" s="3055"/>
      <c r="P375" s="3055"/>
      <c r="Q375" s="3055"/>
      <c r="R375" s="3055">
        <f t="shared" si="3"/>
        <v>0</v>
      </c>
      <c r="S375" s="3055">
        <f t="shared" si="4"/>
        <v>0</v>
      </c>
      <c r="T375" s="3055">
        <f t="shared" si="5"/>
        <v>0</v>
      </c>
      <c r="U375" s="3055">
        <f t="shared" si="6"/>
        <v>0</v>
      </c>
      <c r="V375" s="3055">
        <f t="shared" si="7"/>
        <v>0</v>
      </c>
      <c r="W375" s="3055">
        <f t="shared" si="8"/>
        <v>0</v>
      </c>
      <c r="X375" s="3055">
        <f t="shared" si="9"/>
        <v>0</v>
      </c>
      <c r="Y375" s="3055">
        <f t="shared" si="10"/>
        <v>0</v>
      </c>
      <c r="Z375" s="3055">
        <f t="shared" si="11"/>
        <v>0</v>
      </c>
      <c r="AA375" s="3055">
        <f t="shared" si="12"/>
        <v>0</v>
      </c>
      <c r="AB375" s="3055">
        <f t="shared" si="13"/>
        <v>0</v>
      </c>
      <c r="AC375" s="3055">
        <f t="shared" si="14"/>
        <v>0</v>
      </c>
      <c r="AD375" s="3056"/>
      <c r="AE375" s="3057">
        <f t="shared" si="0"/>
      </c>
      <c r="AF375" s="3054"/>
      <c r="AG375" s="3054"/>
      <c r="AH375" s="3055"/>
      <c r="AI375" s="3055"/>
      <c r="AJ375" s="3055"/>
      <c r="AK375" s="3055"/>
      <c r="AL375" s="3055"/>
      <c r="AM375" s="3055"/>
      <c r="AN375" s="3055"/>
      <c r="AO375" s="3055"/>
      <c r="AP375" s="3055"/>
      <c r="AQ375" s="3055"/>
      <c r="AR375" s="3055"/>
      <c r="AS375" s="3055"/>
      <c r="AT375" s="3055"/>
      <c r="AU375" s="3056"/>
      <c r="AV375" s="3057">
        <f t="shared" si="15"/>
      </c>
      <c r="AW375" s="3054"/>
      <c r="AX375" s="3054"/>
      <c r="AY375" s="3055"/>
      <c r="AZ375" s="3055"/>
      <c r="BA375" s="3055"/>
      <c r="BB375" s="3055"/>
      <c r="BC375" s="3055"/>
      <c r="BD375" s="3055"/>
      <c r="BE375" s="3055"/>
      <c r="BF375" s="3055"/>
      <c r="BG375" s="3055"/>
      <c r="BH375" s="3055"/>
      <c r="BI375" s="3055"/>
      <c r="BJ375" s="3055"/>
      <c r="BK375" s="3055"/>
      <c r="BL375" s="3056"/>
      <c r="BM375" s="3057">
        <f t="shared" si="16"/>
      </c>
      <c r="BN375" s="3054"/>
      <c r="BO375" s="3054"/>
      <c r="BP375" s="3055"/>
      <c r="BQ375" s="3055"/>
      <c r="BR375" s="3055"/>
      <c r="BS375" s="3055"/>
      <c r="BT375" s="3055"/>
      <c r="BU375" s="3055"/>
      <c r="BV375" s="3055"/>
      <c r="BW375" s="3055"/>
      <c r="BX375" s="3055"/>
      <c r="BY375" s="3055"/>
      <c r="BZ375" s="3055"/>
      <c r="CA375" s="3055"/>
      <c r="CB375" s="3055"/>
      <c r="CC375" s="3056"/>
      <c r="CD375" s="3057">
        <f t="shared" si="0"/>
      </c>
      <c r="CE375" s="3054"/>
      <c r="CF375" s="3054"/>
      <c r="CG375" s="3055"/>
      <c r="CH375" s="3055"/>
      <c r="CI375" s="3055"/>
      <c r="CJ375" s="3055"/>
      <c r="CK375" s="3055"/>
      <c r="CL375" s="3055"/>
      <c r="CM375" s="3055"/>
      <c r="CN375" s="3055"/>
      <c r="CO375" s="3055"/>
      <c r="CP375" s="3055"/>
      <c r="CQ375" s="3055"/>
      <c r="CR375" s="3055"/>
      <c r="CS375" s="3055"/>
      <c r="CU375" s="3054"/>
      <c r="CV375" s="696"/>
      <c r="CW375" s="696"/>
      <c r="CZ375" s="3060">
        <f t="shared" si="17"/>
      </c>
      <c r="DA375" s="3060">
        <f t="shared" si="1"/>
      </c>
      <c r="DB375" s="3060">
        <f t="shared" si="18"/>
      </c>
      <c r="DC375" s="3060">
        <f t="shared" si="19"/>
      </c>
      <c r="DD375" s="3060">
        <f t="shared" si="20"/>
      </c>
      <c r="DE375" s="3060">
        <f t="shared" si="21"/>
      </c>
      <c r="DF375" s="3060">
        <f t="shared" si="22"/>
      </c>
      <c r="DG375" s="3060">
        <f t="shared" si="23"/>
      </c>
      <c r="DH375" s="3060">
        <f t="shared" si="24"/>
      </c>
      <c r="DI375" s="3060">
        <f t="shared" si="1"/>
      </c>
    </row>
    <row r="376" ht="15" customHeight="1" s="3052" customFormat="1">
      <c r="B376" s="3054">
        <f t="shared" si="2"/>
      </c>
      <c r="C376" s="3054"/>
      <c r="D376" s="3054"/>
      <c r="E376" s="3055"/>
      <c r="F376" s="3055"/>
      <c r="G376" s="3055"/>
      <c r="H376" s="3055"/>
      <c r="I376" s="3055"/>
      <c r="J376" s="3055"/>
      <c r="K376" s="3055"/>
      <c r="L376" s="3055"/>
      <c r="M376" s="3055"/>
      <c r="N376" s="3055"/>
      <c r="O376" s="3055"/>
      <c r="P376" s="3055"/>
      <c r="Q376" s="3055"/>
      <c r="R376" s="3055">
        <f t="shared" si="3"/>
        <v>0</v>
      </c>
      <c r="S376" s="3055">
        <f t="shared" si="4"/>
        <v>0</v>
      </c>
      <c r="T376" s="3055">
        <f t="shared" si="5"/>
        <v>0</v>
      </c>
      <c r="U376" s="3055">
        <f t="shared" si="6"/>
        <v>0</v>
      </c>
      <c r="V376" s="3055">
        <f t="shared" si="7"/>
        <v>0</v>
      </c>
      <c r="W376" s="3055">
        <f t="shared" si="8"/>
        <v>0</v>
      </c>
      <c r="X376" s="3055">
        <f t="shared" si="9"/>
        <v>0</v>
      </c>
      <c r="Y376" s="3055">
        <f t="shared" si="10"/>
        <v>0</v>
      </c>
      <c r="Z376" s="3055">
        <f t="shared" si="11"/>
        <v>0</v>
      </c>
      <c r="AA376" s="3055">
        <f t="shared" si="12"/>
        <v>0</v>
      </c>
      <c r="AB376" s="3055">
        <f t="shared" si="13"/>
        <v>0</v>
      </c>
      <c r="AC376" s="3055">
        <f t="shared" si="14"/>
        <v>0</v>
      </c>
      <c r="AD376" s="3056"/>
      <c r="AE376" s="3057">
        <f t="shared" si="0"/>
      </c>
      <c r="AF376" s="3054"/>
      <c r="AG376" s="3054"/>
      <c r="AH376" s="3055"/>
      <c r="AI376" s="3055"/>
      <c r="AJ376" s="3055"/>
      <c r="AK376" s="3055"/>
      <c r="AL376" s="3055"/>
      <c r="AM376" s="3055"/>
      <c r="AN376" s="3055"/>
      <c r="AO376" s="3055"/>
      <c r="AP376" s="3055"/>
      <c r="AQ376" s="3055"/>
      <c r="AR376" s="3055"/>
      <c r="AS376" s="3055"/>
      <c r="AT376" s="3055"/>
      <c r="AU376" s="3056"/>
      <c r="AV376" s="3057">
        <f t="shared" si="15"/>
      </c>
      <c r="AW376" s="3054"/>
      <c r="AX376" s="3054"/>
      <c r="AY376" s="3055"/>
      <c r="AZ376" s="3055"/>
      <c r="BA376" s="3055"/>
      <c r="BB376" s="3055"/>
      <c r="BC376" s="3055"/>
      <c r="BD376" s="3055"/>
      <c r="BE376" s="3055"/>
      <c r="BF376" s="3055"/>
      <c r="BG376" s="3055"/>
      <c r="BH376" s="3055"/>
      <c r="BI376" s="3055"/>
      <c r="BJ376" s="3055"/>
      <c r="BK376" s="3055"/>
      <c r="BL376" s="3056"/>
      <c r="BM376" s="3057">
        <f t="shared" si="16"/>
      </c>
      <c r="BN376" s="3054"/>
      <c r="BO376" s="3054"/>
      <c r="BP376" s="3055"/>
      <c r="BQ376" s="3055"/>
      <c r="BR376" s="3055"/>
      <c r="BS376" s="3055"/>
      <c r="BT376" s="3055"/>
      <c r="BU376" s="3055"/>
      <c r="BV376" s="3055"/>
      <c r="BW376" s="3055"/>
      <c r="BX376" s="3055"/>
      <c r="BY376" s="3055"/>
      <c r="BZ376" s="3055"/>
      <c r="CA376" s="3055"/>
      <c r="CB376" s="3055"/>
      <c r="CC376" s="3056"/>
      <c r="CD376" s="3057">
        <f t="shared" si="0"/>
      </c>
      <c r="CE376" s="3054"/>
      <c r="CF376" s="3054"/>
      <c r="CG376" s="3055"/>
      <c r="CH376" s="3055"/>
      <c r="CI376" s="3055"/>
      <c r="CJ376" s="3055"/>
      <c r="CK376" s="3055"/>
      <c r="CL376" s="3055"/>
      <c r="CM376" s="3055"/>
      <c r="CN376" s="3055"/>
      <c r="CO376" s="3055"/>
      <c r="CP376" s="3055"/>
      <c r="CQ376" s="3055"/>
      <c r="CR376" s="3055"/>
      <c r="CS376" s="3055"/>
      <c r="CU376" s="3054"/>
      <c r="CV376" s="696"/>
      <c r="CW376" s="696"/>
      <c r="CZ376" s="3060">
        <f t="shared" si="17"/>
      </c>
      <c r="DA376" s="3060">
        <f t="shared" si="1"/>
      </c>
      <c r="DB376" s="3060">
        <f t="shared" si="18"/>
      </c>
      <c r="DC376" s="3060">
        <f t="shared" si="19"/>
      </c>
      <c r="DD376" s="3060">
        <f t="shared" si="20"/>
      </c>
      <c r="DE376" s="3060">
        <f t="shared" si="21"/>
      </c>
      <c r="DF376" s="3060">
        <f t="shared" si="22"/>
      </c>
      <c r="DG376" s="3060">
        <f t="shared" si="23"/>
      </c>
      <c r="DH376" s="3060">
        <f t="shared" si="24"/>
      </c>
      <c r="DI376" s="3060">
        <f t="shared" si="1"/>
      </c>
    </row>
    <row r="377" ht="15" customHeight="1" s="3052" customFormat="1">
      <c r="B377" s="3054">
        <f t="shared" si="2"/>
      </c>
      <c r="C377" s="3054"/>
      <c r="D377" s="3054"/>
      <c r="E377" s="3055"/>
      <c r="F377" s="3055"/>
      <c r="G377" s="3055"/>
      <c r="H377" s="3055"/>
      <c r="I377" s="3055"/>
      <c r="J377" s="3055"/>
      <c r="K377" s="3055"/>
      <c r="L377" s="3055"/>
      <c r="M377" s="3055"/>
      <c r="N377" s="3055"/>
      <c r="O377" s="3055"/>
      <c r="P377" s="3055"/>
      <c r="Q377" s="3055"/>
      <c r="R377" s="3055">
        <f t="shared" si="3"/>
        <v>0</v>
      </c>
      <c r="S377" s="3055">
        <f t="shared" si="4"/>
        <v>0</v>
      </c>
      <c r="T377" s="3055">
        <f t="shared" si="5"/>
        <v>0</v>
      </c>
      <c r="U377" s="3055">
        <f t="shared" si="6"/>
        <v>0</v>
      </c>
      <c r="V377" s="3055">
        <f t="shared" si="7"/>
        <v>0</v>
      </c>
      <c r="W377" s="3055">
        <f t="shared" si="8"/>
        <v>0</v>
      </c>
      <c r="X377" s="3055">
        <f t="shared" si="9"/>
        <v>0</v>
      </c>
      <c r="Y377" s="3055">
        <f t="shared" si="10"/>
        <v>0</v>
      </c>
      <c r="Z377" s="3055">
        <f t="shared" si="11"/>
        <v>0</v>
      </c>
      <c r="AA377" s="3055">
        <f t="shared" si="12"/>
        <v>0</v>
      </c>
      <c r="AB377" s="3055">
        <f t="shared" si="13"/>
        <v>0</v>
      </c>
      <c r="AC377" s="3055">
        <f t="shared" si="14"/>
        <v>0</v>
      </c>
      <c r="AD377" s="3056"/>
      <c r="AE377" s="3057">
        <f t="shared" si="0"/>
      </c>
      <c r="AF377" s="3054"/>
      <c r="AG377" s="3054"/>
      <c r="AH377" s="3055"/>
      <c r="AI377" s="3055"/>
      <c r="AJ377" s="3055"/>
      <c r="AK377" s="3055"/>
      <c r="AL377" s="3055"/>
      <c r="AM377" s="3055"/>
      <c r="AN377" s="3055"/>
      <c r="AO377" s="3055"/>
      <c r="AP377" s="3055"/>
      <c r="AQ377" s="3055"/>
      <c r="AR377" s="3055"/>
      <c r="AS377" s="3055"/>
      <c r="AT377" s="3055"/>
      <c r="AU377" s="3056"/>
      <c r="AV377" s="3057">
        <f t="shared" si="15"/>
      </c>
      <c r="AW377" s="3054"/>
      <c r="AX377" s="3054"/>
      <c r="AY377" s="3055"/>
      <c r="AZ377" s="3055"/>
      <c r="BA377" s="3055"/>
      <c r="BB377" s="3055"/>
      <c r="BC377" s="3055"/>
      <c r="BD377" s="3055"/>
      <c r="BE377" s="3055"/>
      <c r="BF377" s="3055"/>
      <c r="BG377" s="3055"/>
      <c r="BH377" s="3055"/>
      <c r="BI377" s="3055"/>
      <c r="BJ377" s="3055"/>
      <c r="BK377" s="3055"/>
      <c r="BL377" s="3056"/>
      <c r="BM377" s="3057">
        <f t="shared" si="16"/>
      </c>
      <c r="BN377" s="3054"/>
      <c r="BO377" s="3054"/>
      <c r="BP377" s="3055"/>
      <c r="BQ377" s="3055"/>
      <c r="BR377" s="3055"/>
      <c r="BS377" s="3055"/>
      <c r="BT377" s="3055"/>
      <c r="BU377" s="3055"/>
      <c r="BV377" s="3055"/>
      <c r="BW377" s="3055"/>
      <c r="BX377" s="3055"/>
      <c r="BY377" s="3055"/>
      <c r="BZ377" s="3055"/>
      <c r="CA377" s="3055"/>
      <c r="CB377" s="3055"/>
      <c r="CC377" s="3056"/>
      <c r="CD377" s="3057">
        <f t="shared" si="0"/>
      </c>
      <c r="CE377" s="3054"/>
      <c r="CF377" s="3054"/>
      <c r="CG377" s="3055"/>
      <c r="CH377" s="3055"/>
      <c r="CI377" s="3055"/>
      <c r="CJ377" s="3055"/>
      <c r="CK377" s="3055"/>
      <c r="CL377" s="3055"/>
      <c r="CM377" s="3055"/>
      <c r="CN377" s="3055"/>
      <c r="CO377" s="3055"/>
      <c r="CP377" s="3055"/>
      <c r="CQ377" s="3055"/>
      <c r="CR377" s="3055"/>
      <c r="CS377" s="3055"/>
      <c r="CU377" s="3054"/>
      <c r="CV377" s="696"/>
      <c r="CW377" s="696"/>
      <c r="CZ377" s="3060">
        <f t="shared" si="17"/>
      </c>
      <c r="DA377" s="3060">
        <f t="shared" si="1"/>
      </c>
      <c r="DB377" s="3060">
        <f t="shared" si="18"/>
      </c>
      <c r="DC377" s="3060">
        <f t="shared" si="19"/>
      </c>
      <c r="DD377" s="3060">
        <f t="shared" si="20"/>
      </c>
      <c r="DE377" s="3060">
        <f t="shared" si="21"/>
      </c>
      <c r="DF377" s="3060">
        <f t="shared" si="22"/>
      </c>
      <c r="DG377" s="3060">
        <f t="shared" si="23"/>
      </c>
      <c r="DH377" s="3060">
        <f t="shared" si="24"/>
      </c>
      <c r="DI377" s="3060">
        <f t="shared" si="1"/>
      </c>
    </row>
    <row r="378" ht="15" customHeight="1" s="3052" customFormat="1">
      <c r="B378" s="3054">
        <f t="shared" si="2"/>
      </c>
      <c r="C378" s="3054"/>
      <c r="D378" s="3054"/>
      <c r="E378" s="3055"/>
      <c r="F378" s="3055"/>
      <c r="G378" s="3055"/>
      <c r="H378" s="3055"/>
      <c r="I378" s="3055"/>
      <c r="J378" s="3055"/>
      <c r="K378" s="3055"/>
      <c r="L378" s="3055"/>
      <c r="M378" s="3055"/>
      <c r="N378" s="3055"/>
      <c r="O378" s="3055"/>
      <c r="P378" s="3055"/>
      <c r="Q378" s="3055"/>
      <c r="R378" s="3055">
        <f t="shared" si="3"/>
        <v>0</v>
      </c>
      <c r="S378" s="3055">
        <f t="shared" si="4"/>
        <v>0</v>
      </c>
      <c r="T378" s="3055">
        <f t="shared" si="5"/>
        <v>0</v>
      </c>
      <c r="U378" s="3055">
        <f t="shared" si="6"/>
        <v>0</v>
      </c>
      <c r="V378" s="3055">
        <f t="shared" si="7"/>
        <v>0</v>
      </c>
      <c r="W378" s="3055">
        <f t="shared" si="8"/>
        <v>0</v>
      </c>
      <c r="X378" s="3055">
        <f t="shared" si="9"/>
        <v>0</v>
      </c>
      <c r="Y378" s="3055">
        <f t="shared" si="10"/>
        <v>0</v>
      </c>
      <c r="Z378" s="3055">
        <f t="shared" si="11"/>
        <v>0</v>
      </c>
      <c r="AA378" s="3055">
        <f t="shared" si="12"/>
        <v>0</v>
      </c>
      <c r="AB378" s="3055">
        <f t="shared" si="13"/>
        <v>0</v>
      </c>
      <c r="AC378" s="3055">
        <f t="shared" si="14"/>
        <v>0</v>
      </c>
      <c r="AD378" s="3056"/>
      <c r="AE378" s="3057">
        <f t="shared" si="0"/>
      </c>
      <c r="AF378" s="3054"/>
      <c r="AG378" s="3054"/>
      <c r="AH378" s="3055"/>
      <c r="AI378" s="3055"/>
      <c r="AJ378" s="3055"/>
      <c r="AK378" s="3055"/>
      <c r="AL378" s="3055"/>
      <c r="AM378" s="3055"/>
      <c r="AN378" s="3055"/>
      <c r="AO378" s="3055"/>
      <c r="AP378" s="3055"/>
      <c r="AQ378" s="3055"/>
      <c r="AR378" s="3055"/>
      <c r="AS378" s="3055"/>
      <c r="AT378" s="3055"/>
      <c r="AU378" s="3056"/>
      <c r="AV378" s="3057">
        <f t="shared" si="15"/>
      </c>
      <c r="AW378" s="3054"/>
      <c r="AX378" s="3054"/>
      <c r="AY378" s="3055"/>
      <c r="AZ378" s="3055"/>
      <c r="BA378" s="3055"/>
      <c r="BB378" s="3055"/>
      <c r="BC378" s="3055"/>
      <c r="BD378" s="3055"/>
      <c r="BE378" s="3055"/>
      <c r="BF378" s="3055"/>
      <c r="BG378" s="3055"/>
      <c r="BH378" s="3055"/>
      <c r="BI378" s="3055"/>
      <c r="BJ378" s="3055"/>
      <c r="BK378" s="3055"/>
      <c r="BL378" s="3056"/>
      <c r="BM378" s="3057">
        <f t="shared" si="16"/>
      </c>
      <c r="BN378" s="3054"/>
      <c r="BO378" s="3054"/>
      <c r="BP378" s="3055"/>
      <c r="BQ378" s="3055"/>
      <c r="BR378" s="3055"/>
      <c r="BS378" s="3055"/>
      <c r="BT378" s="3055"/>
      <c r="BU378" s="3055"/>
      <c r="BV378" s="3055"/>
      <c r="BW378" s="3055"/>
      <c r="BX378" s="3055"/>
      <c r="BY378" s="3055"/>
      <c r="BZ378" s="3055"/>
      <c r="CA378" s="3055"/>
      <c r="CB378" s="3055"/>
      <c r="CC378" s="3056"/>
      <c r="CD378" s="3057">
        <f t="shared" si="0"/>
      </c>
      <c r="CE378" s="3054"/>
      <c r="CF378" s="3054"/>
      <c r="CG378" s="3055"/>
      <c r="CH378" s="3055"/>
      <c r="CI378" s="3055"/>
      <c r="CJ378" s="3055"/>
      <c r="CK378" s="3055"/>
      <c r="CL378" s="3055"/>
      <c r="CM378" s="3055"/>
      <c r="CN378" s="3055"/>
      <c r="CO378" s="3055"/>
      <c r="CP378" s="3055"/>
      <c r="CQ378" s="3055"/>
      <c r="CR378" s="3055"/>
      <c r="CS378" s="3055"/>
      <c r="CU378" s="3054"/>
      <c r="CV378" s="696"/>
      <c r="CW378" s="696"/>
      <c r="CZ378" s="3060">
        <f t="shared" si="17"/>
      </c>
      <c r="DA378" s="3060">
        <f t="shared" si="1"/>
      </c>
      <c r="DB378" s="3060">
        <f t="shared" si="18"/>
      </c>
      <c r="DC378" s="3060">
        <f t="shared" si="19"/>
      </c>
      <c r="DD378" s="3060">
        <f t="shared" si="20"/>
      </c>
      <c r="DE378" s="3060">
        <f t="shared" si="21"/>
      </c>
      <c r="DF378" s="3060">
        <f t="shared" si="22"/>
      </c>
      <c r="DG378" s="3060">
        <f t="shared" si="23"/>
      </c>
      <c r="DH378" s="3060">
        <f t="shared" si="24"/>
      </c>
      <c r="DI378" s="3060">
        <f t="shared" si="1"/>
      </c>
    </row>
    <row r="379" ht="15" customHeight="1" s="3052" customFormat="1">
      <c r="B379" s="3054">
        <f t="shared" si="2"/>
      </c>
      <c r="C379" s="3054"/>
      <c r="D379" s="3054"/>
      <c r="E379" s="3055"/>
      <c r="F379" s="3055"/>
      <c r="G379" s="3055"/>
      <c r="H379" s="3055"/>
      <c r="I379" s="3055"/>
      <c r="J379" s="3055"/>
      <c r="K379" s="3055"/>
      <c r="L379" s="3055"/>
      <c r="M379" s="3055"/>
      <c r="N379" s="3055"/>
      <c r="O379" s="3055"/>
      <c r="P379" s="3055"/>
      <c r="Q379" s="3055"/>
      <c r="R379" s="3055">
        <f t="shared" si="3"/>
        <v>0</v>
      </c>
      <c r="S379" s="3055">
        <f t="shared" si="4"/>
        <v>0</v>
      </c>
      <c r="T379" s="3055">
        <f t="shared" si="5"/>
        <v>0</v>
      </c>
      <c r="U379" s="3055">
        <f t="shared" si="6"/>
        <v>0</v>
      </c>
      <c r="V379" s="3055">
        <f t="shared" si="7"/>
        <v>0</v>
      </c>
      <c r="W379" s="3055">
        <f t="shared" si="8"/>
        <v>0</v>
      </c>
      <c r="X379" s="3055">
        <f t="shared" si="9"/>
        <v>0</v>
      </c>
      <c r="Y379" s="3055">
        <f t="shared" si="10"/>
        <v>0</v>
      </c>
      <c r="Z379" s="3055">
        <f t="shared" si="11"/>
        <v>0</v>
      </c>
      <c r="AA379" s="3055">
        <f t="shared" si="12"/>
        <v>0</v>
      </c>
      <c r="AB379" s="3055">
        <f t="shared" si="13"/>
        <v>0</v>
      </c>
      <c r="AC379" s="3055">
        <f t="shared" si="14"/>
        <v>0</v>
      </c>
      <c r="AD379" s="3056"/>
      <c r="AE379" s="3057">
        <f t="shared" si="0"/>
      </c>
      <c r="AF379" s="3054"/>
      <c r="AG379" s="3054"/>
      <c r="AH379" s="3055"/>
      <c r="AI379" s="3055"/>
      <c r="AJ379" s="3055"/>
      <c r="AK379" s="3055"/>
      <c r="AL379" s="3055"/>
      <c r="AM379" s="3055"/>
      <c r="AN379" s="3055"/>
      <c r="AO379" s="3055"/>
      <c r="AP379" s="3055"/>
      <c r="AQ379" s="3055"/>
      <c r="AR379" s="3055"/>
      <c r="AS379" s="3055"/>
      <c r="AT379" s="3055"/>
      <c r="AU379" s="3056"/>
      <c r="AV379" s="3057">
        <f t="shared" si="15"/>
      </c>
      <c r="AW379" s="3054"/>
      <c r="AX379" s="3054"/>
      <c r="AY379" s="3055"/>
      <c r="AZ379" s="3055"/>
      <c r="BA379" s="3055"/>
      <c r="BB379" s="3055"/>
      <c r="BC379" s="3055"/>
      <c r="BD379" s="3055"/>
      <c r="BE379" s="3055"/>
      <c r="BF379" s="3055"/>
      <c r="BG379" s="3055"/>
      <c r="BH379" s="3055"/>
      <c r="BI379" s="3055"/>
      <c r="BJ379" s="3055"/>
      <c r="BK379" s="3055"/>
      <c r="BL379" s="3056"/>
      <c r="BM379" s="3057">
        <f t="shared" si="16"/>
      </c>
      <c r="BN379" s="3054"/>
      <c r="BO379" s="3054"/>
      <c r="BP379" s="3055"/>
      <c r="BQ379" s="3055"/>
      <c r="BR379" s="3055"/>
      <c r="BS379" s="3055"/>
      <c r="BT379" s="3055"/>
      <c r="BU379" s="3055"/>
      <c r="BV379" s="3055"/>
      <c r="BW379" s="3055"/>
      <c r="BX379" s="3055"/>
      <c r="BY379" s="3055"/>
      <c r="BZ379" s="3055"/>
      <c r="CA379" s="3055"/>
      <c r="CB379" s="3055"/>
      <c r="CC379" s="3056"/>
      <c r="CD379" s="3057">
        <f t="shared" si="0"/>
      </c>
      <c r="CE379" s="3054"/>
      <c r="CF379" s="3054"/>
      <c r="CG379" s="3055"/>
      <c r="CH379" s="3055"/>
      <c r="CI379" s="3055"/>
      <c r="CJ379" s="3055"/>
      <c r="CK379" s="3055"/>
      <c r="CL379" s="3055"/>
      <c r="CM379" s="3055"/>
      <c r="CN379" s="3055"/>
      <c r="CO379" s="3055"/>
      <c r="CP379" s="3055"/>
      <c r="CQ379" s="3055"/>
      <c r="CR379" s="3055"/>
      <c r="CS379" s="3055"/>
      <c r="CU379" s="3054"/>
      <c r="CV379" s="696"/>
      <c r="CW379" s="696"/>
      <c r="CZ379" s="3060">
        <f t="shared" si="17"/>
      </c>
      <c r="DA379" s="3060">
        <f t="shared" si="1"/>
      </c>
      <c r="DB379" s="3060">
        <f t="shared" si="18"/>
      </c>
      <c r="DC379" s="3060">
        <f t="shared" si="19"/>
      </c>
      <c r="DD379" s="3060">
        <f t="shared" si="20"/>
      </c>
      <c r="DE379" s="3060">
        <f t="shared" si="21"/>
      </c>
      <c r="DF379" s="3060">
        <f t="shared" si="22"/>
      </c>
      <c r="DG379" s="3060">
        <f t="shared" si="23"/>
      </c>
      <c r="DH379" s="3060">
        <f t="shared" si="24"/>
      </c>
      <c r="DI379" s="3060">
        <f t="shared" si="1"/>
      </c>
    </row>
    <row r="380" ht="15" customHeight="1" s="3052" customFormat="1">
      <c r="B380" s="3054">
        <f t="shared" si="2"/>
      </c>
      <c r="C380" s="3054"/>
      <c r="D380" s="3054"/>
      <c r="E380" s="3055"/>
      <c r="F380" s="3055"/>
      <c r="G380" s="3055"/>
      <c r="H380" s="3055"/>
      <c r="I380" s="3055"/>
      <c r="J380" s="3055"/>
      <c r="K380" s="3055"/>
      <c r="L380" s="3055"/>
      <c r="M380" s="3055"/>
      <c r="N380" s="3055"/>
      <c r="O380" s="3055"/>
      <c r="P380" s="3055"/>
      <c r="Q380" s="3055"/>
      <c r="R380" s="3055">
        <f t="shared" si="3"/>
        <v>0</v>
      </c>
      <c r="S380" s="3055">
        <f t="shared" si="4"/>
        <v>0</v>
      </c>
      <c r="T380" s="3055">
        <f t="shared" si="5"/>
        <v>0</v>
      </c>
      <c r="U380" s="3055">
        <f t="shared" si="6"/>
        <v>0</v>
      </c>
      <c r="V380" s="3055">
        <f t="shared" si="7"/>
        <v>0</v>
      </c>
      <c r="W380" s="3055">
        <f t="shared" si="8"/>
        <v>0</v>
      </c>
      <c r="X380" s="3055">
        <f t="shared" si="9"/>
        <v>0</v>
      </c>
      <c r="Y380" s="3055">
        <f t="shared" si="10"/>
        <v>0</v>
      </c>
      <c r="Z380" s="3055">
        <f t="shared" si="11"/>
        <v>0</v>
      </c>
      <c r="AA380" s="3055">
        <f t="shared" si="12"/>
        <v>0</v>
      </c>
      <c r="AB380" s="3055">
        <f t="shared" si="13"/>
        <v>0</v>
      </c>
      <c r="AC380" s="3055">
        <f t="shared" si="14"/>
        <v>0</v>
      </c>
      <c r="AD380" s="3056"/>
      <c r="AE380" s="3057">
        <f t="shared" si="0"/>
      </c>
      <c r="AF380" s="3054"/>
      <c r="AG380" s="3054"/>
      <c r="AH380" s="3055"/>
      <c r="AI380" s="3055"/>
      <c r="AJ380" s="3055"/>
      <c r="AK380" s="3055"/>
      <c r="AL380" s="3055"/>
      <c r="AM380" s="3055"/>
      <c r="AN380" s="3055"/>
      <c r="AO380" s="3055"/>
      <c r="AP380" s="3055"/>
      <c r="AQ380" s="3055"/>
      <c r="AR380" s="3055"/>
      <c r="AS380" s="3055"/>
      <c r="AT380" s="3055"/>
      <c r="AU380" s="3056"/>
      <c r="AV380" s="3057">
        <f t="shared" si="15"/>
      </c>
      <c r="AW380" s="3054"/>
      <c r="AX380" s="3054"/>
      <c r="AY380" s="3055"/>
      <c r="AZ380" s="3055"/>
      <c r="BA380" s="3055"/>
      <c r="BB380" s="3055"/>
      <c r="BC380" s="3055"/>
      <c r="BD380" s="3055"/>
      <c r="BE380" s="3055"/>
      <c r="BF380" s="3055"/>
      <c r="BG380" s="3055"/>
      <c r="BH380" s="3055"/>
      <c r="BI380" s="3055"/>
      <c r="BJ380" s="3055"/>
      <c r="BK380" s="3055"/>
      <c r="BL380" s="3056"/>
      <c r="BM380" s="3057">
        <f t="shared" si="16"/>
      </c>
      <c r="BN380" s="3054"/>
      <c r="BO380" s="3054"/>
      <c r="BP380" s="3055"/>
      <c r="BQ380" s="3055"/>
      <c r="BR380" s="3055"/>
      <c r="BS380" s="3055"/>
      <c r="BT380" s="3055"/>
      <c r="BU380" s="3055"/>
      <c r="BV380" s="3055"/>
      <c r="BW380" s="3055"/>
      <c r="BX380" s="3055"/>
      <c r="BY380" s="3055"/>
      <c r="BZ380" s="3055"/>
      <c r="CA380" s="3055"/>
      <c r="CB380" s="3055"/>
      <c r="CC380" s="3056"/>
      <c r="CD380" s="3057">
        <f t="shared" si="0"/>
      </c>
      <c r="CE380" s="3054"/>
      <c r="CF380" s="3054"/>
      <c r="CG380" s="3055"/>
      <c r="CH380" s="3055"/>
      <c r="CI380" s="3055"/>
      <c r="CJ380" s="3055"/>
      <c r="CK380" s="3055"/>
      <c r="CL380" s="3055"/>
      <c r="CM380" s="3055"/>
      <c r="CN380" s="3055"/>
      <c r="CO380" s="3055"/>
      <c r="CP380" s="3055"/>
      <c r="CQ380" s="3055"/>
      <c r="CR380" s="3055"/>
      <c r="CS380" s="3055"/>
      <c r="CU380" s="3054"/>
      <c r="CV380" s="696"/>
      <c r="CW380" s="696"/>
      <c r="CZ380" s="3060">
        <f t="shared" si="17"/>
      </c>
      <c r="DA380" s="3060">
        <f t="shared" si="1"/>
      </c>
      <c r="DB380" s="3060">
        <f t="shared" si="18"/>
      </c>
      <c r="DC380" s="3060">
        <f t="shared" si="19"/>
      </c>
      <c r="DD380" s="3060">
        <f t="shared" si="20"/>
      </c>
      <c r="DE380" s="3060">
        <f t="shared" si="21"/>
      </c>
      <c r="DF380" s="3060">
        <f t="shared" si="22"/>
      </c>
      <c r="DG380" s="3060">
        <f t="shared" si="23"/>
      </c>
      <c r="DH380" s="3060">
        <f t="shared" si="24"/>
      </c>
      <c r="DI380" s="3060">
        <f t="shared" si="1"/>
      </c>
    </row>
    <row r="381" ht="15" customHeight="1" s="3052" customFormat="1">
      <c r="B381" s="3054">
        <f t="shared" si="2"/>
      </c>
      <c r="C381" s="3054"/>
      <c r="D381" s="3054"/>
      <c r="E381" s="3055"/>
      <c r="F381" s="3055"/>
      <c r="G381" s="3055"/>
      <c r="H381" s="3055"/>
      <c r="I381" s="3055"/>
      <c r="J381" s="3055"/>
      <c r="K381" s="3055"/>
      <c r="L381" s="3055"/>
      <c r="M381" s="3055"/>
      <c r="N381" s="3055"/>
      <c r="O381" s="3055"/>
      <c r="P381" s="3055"/>
      <c r="Q381" s="3055"/>
      <c r="R381" s="3055">
        <f t="shared" si="3"/>
        <v>0</v>
      </c>
      <c r="S381" s="3055">
        <f t="shared" si="4"/>
        <v>0</v>
      </c>
      <c r="T381" s="3055">
        <f t="shared" si="5"/>
        <v>0</v>
      </c>
      <c r="U381" s="3055">
        <f t="shared" si="6"/>
        <v>0</v>
      </c>
      <c r="V381" s="3055">
        <f t="shared" si="7"/>
        <v>0</v>
      </c>
      <c r="W381" s="3055">
        <f t="shared" si="8"/>
        <v>0</v>
      </c>
      <c r="X381" s="3055">
        <f t="shared" si="9"/>
        <v>0</v>
      </c>
      <c r="Y381" s="3055">
        <f t="shared" si="10"/>
        <v>0</v>
      </c>
      <c r="Z381" s="3055">
        <f t="shared" si="11"/>
        <v>0</v>
      </c>
      <c r="AA381" s="3055">
        <f t="shared" si="12"/>
        <v>0</v>
      </c>
      <c r="AB381" s="3055">
        <f t="shared" si="13"/>
        <v>0</v>
      </c>
      <c r="AC381" s="3055">
        <f t="shared" si="14"/>
        <v>0</v>
      </c>
      <c r="AD381" s="3056"/>
      <c r="AE381" s="3057">
        <f t="shared" si="0"/>
      </c>
      <c r="AF381" s="3054"/>
      <c r="AG381" s="3054"/>
      <c r="AH381" s="3055"/>
      <c r="AI381" s="3055"/>
      <c r="AJ381" s="3055"/>
      <c r="AK381" s="3055"/>
      <c r="AL381" s="3055"/>
      <c r="AM381" s="3055"/>
      <c r="AN381" s="3055"/>
      <c r="AO381" s="3055"/>
      <c r="AP381" s="3055"/>
      <c r="AQ381" s="3055"/>
      <c r="AR381" s="3055"/>
      <c r="AS381" s="3055"/>
      <c r="AT381" s="3055"/>
      <c r="AU381" s="3056"/>
      <c r="AV381" s="3057">
        <f t="shared" si="15"/>
      </c>
      <c r="AW381" s="3054"/>
      <c r="AX381" s="3054"/>
      <c r="AY381" s="3055"/>
      <c r="AZ381" s="3055"/>
      <c r="BA381" s="3055"/>
      <c r="BB381" s="3055"/>
      <c r="BC381" s="3055"/>
      <c r="BD381" s="3055"/>
      <c r="BE381" s="3055"/>
      <c r="BF381" s="3055"/>
      <c r="BG381" s="3055"/>
      <c r="BH381" s="3055"/>
      <c r="BI381" s="3055"/>
      <c r="BJ381" s="3055"/>
      <c r="BK381" s="3055"/>
      <c r="BL381" s="3056"/>
      <c r="BM381" s="3057">
        <f t="shared" si="16"/>
      </c>
      <c r="BN381" s="3054"/>
      <c r="BO381" s="3054"/>
      <c r="BP381" s="3055"/>
      <c r="BQ381" s="3055"/>
      <c r="BR381" s="3055"/>
      <c r="BS381" s="3055"/>
      <c r="BT381" s="3055"/>
      <c r="BU381" s="3055"/>
      <c r="BV381" s="3055"/>
      <c r="BW381" s="3055"/>
      <c r="BX381" s="3055"/>
      <c r="BY381" s="3055"/>
      <c r="BZ381" s="3055"/>
      <c r="CA381" s="3055"/>
      <c r="CB381" s="3055"/>
      <c r="CC381" s="3056"/>
      <c r="CD381" s="3057">
        <f t="shared" si="0"/>
      </c>
      <c r="CE381" s="3054"/>
      <c r="CF381" s="3054"/>
      <c r="CG381" s="3055"/>
      <c r="CH381" s="3055"/>
      <c r="CI381" s="3055"/>
      <c r="CJ381" s="3055"/>
      <c r="CK381" s="3055"/>
      <c r="CL381" s="3055"/>
      <c r="CM381" s="3055"/>
      <c r="CN381" s="3055"/>
      <c r="CO381" s="3055"/>
      <c r="CP381" s="3055"/>
      <c r="CQ381" s="3055"/>
      <c r="CR381" s="3055"/>
      <c r="CS381" s="3055"/>
      <c r="CU381" s="3054"/>
      <c r="CV381" s="696"/>
      <c r="CW381" s="696"/>
      <c r="CZ381" s="3060">
        <f t="shared" si="17"/>
      </c>
      <c r="DA381" s="3060">
        <f t="shared" si="1"/>
      </c>
      <c r="DB381" s="3060">
        <f t="shared" si="18"/>
      </c>
      <c r="DC381" s="3060">
        <f t="shared" si="19"/>
      </c>
      <c r="DD381" s="3060">
        <f t="shared" si="20"/>
      </c>
      <c r="DE381" s="3060">
        <f t="shared" si="21"/>
      </c>
      <c r="DF381" s="3060">
        <f t="shared" si="22"/>
      </c>
      <c r="DG381" s="3060">
        <f t="shared" si="23"/>
      </c>
      <c r="DH381" s="3060">
        <f t="shared" si="24"/>
      </c>
      <c r="DI381" s="3060">
        <f t="shared" si="1"/>
      </c>
    </row>
    <row r="382" ht="15" customHeight="1" s="3052" customFormat="1">
      <c r="B382" s="3054">
        <f t="shared" si="2"/>
      </c>
      <c r="C382" s="3054"/>
      <c r="D382" s="3054"/>
      <c r="E382" s="3055"/>
      <c r="F382" s="3055"/>
      <c r="G382" s="3055"/>
      <c r="H382" s="3055"/>
      <c r="I382" s="3055"/>
      <c r="J382" s="3055"/>
      <c r="K382" s="3055"/>
      <c r="L382" s="3055"/>
      <c r="M382" s="3055"/>
      <c r="N382" s="3055"/>
      <c r="O382" s="3055"/>
      <c r="P382" s="3055"/>
      <c r="Q382" s="3055"/>
      <c r="R382" s="3055">
        <f t="shared" si="3"/>
        <v>0</v>
      </c>
      <c r="S382" s="3055">
        <f t="shared" si="4"/>
        <v>0</v>
      </c>
      <c r="T382" s="3055">
        <f t="shared" si="5"/>
        <v>0</v>
      </c>
      <c r="U382" s="3055">
        <f t="shared" si="6"/>
        <v>0</v>
      </c>
      <c r="V382" s="3055">
        <f t="shared" si="7"/>
        <v>0</v>
      </c>
      <c r="W382" s="3055">
        <f t="shared" si="8"/>
        <v>0</v>
      </c>
      <c r="X382" s="3055">
        <f t="shared" si="9"/>
        <v>0</v>
      </c>
      <c r="Y382" s="3055">
        <f t="shared" si="10"/>
        <v>0</v>
      </c>
      <c r="Z382" s="3055">
        <f t="shared" si="11"/>
        <v>0</v>
      </c>
      <c r="AA382" s="3055">
        <f t="shared" si="12"/>
        <v>0</v>
      </c>
      <c r="AB382" s="3055">
        <f t="shared" si="13"/>
        <v>0</v>
      </c>
      <c r="AC382" s="3055">
        <f t="shared" si="14"/>
        <v>0</v>
      </c>
      <c r="AD382" s="3056"/>
      <c r="AE382" s="3057">
        <f t="shared" si="0"/>
      </c>
      <c r="AF382" s="3054"/>
      <c r="AG382" s="3054"/>
      <c r="AH382" s="3055"/>
      <c r="AI382" s="3055"/>
      <c r="AJ382" s="3055"/>
      <c r="AK382" s="3055"/>
      <c r="AL382" s="3055"/>
      <c r="AM382" s="3055"/>
      <c r="AN382" s="3055"/>
      <c r="AO382" s="3055"/>
      <c r="AP382" s="3055"/>
      <c r="AQ382" s="3055"/>
      <c r="AR382" s="3055"/>
      <c r="AS382" s="3055"/>
      <c r="AT382" s="3055"/>
      <c r="AU382" s="3056"/>
      <c r="AV382" s="3057">
        <f t="shared" si="15"/>
      </c>
      <c r="AW382" s="3054"/>
      <c r="AX382" s="3054"/>
      <c r="AY382" s="3055"/>
      <c r="AZ382" s="3055"/>
      <c r="BA382" s="3055"/>
      <c r="BB382" s="3055"/>
      <c r="BC382" s="3055"/>
      <c r="BD382" s="3055"/>
      <c r="BE382" s="3055"/>
      <c r="BF382" s="3055"/>
      <c r="BG382" s="3055"/>
      <c r="BH382" s="3055"/>
      <c r="BI382" s="3055"/>
      <c r="BJ382" s="3055"/>
      <c r="BK382" s="3055"/>
      <c r="BL382" s="3056"/>
      <c r="BM382" s="3057">
        <f t="shared" si="16"/>
      </c>
      <c r="BN382" s="3054"/>
      <c r="BO382" s="3054"/>
      <c r="BP382" s="3055"/>
      <c r="BQ382" s="3055"/>
      <c r="BR382" s="3055"/>
      <c r="BS382" s="3055"/>
      <c r="BT382" s="3055"/>
      <c r="BU382" s="3055"/>
      <c r="BV382" s="3055"/>
      <c r="BW382" s="3055"/>
      <c r="BX382" s="3055"/>
      <c r="BY382" s="3055"/>
      <c r="BZ382" s="3055"/>
      <c r="CA382" s="3055"/>
      <c r="CB382" s="3055"/>
      <c r="CC382" s="3056"/>
      <c r="CD382" s="3057">
        <f t="shared" si="0"/>
      </c>
      <c r="CE382" s="3054"/>
      <c r="CF382" s="3054"/>
      <c r="CG382" s="3055"/>
      <c r="CH382" s="3055"/>
      <c r="CI382" s="3055"/>
      <c r="CJ382" s="3055"/>
      <c r="CK382" s="3055"/>
      <c r="CL382" s="3055"/>
      <c r="CM382" s="3055"/>
      <c r="CN382" s="3055"/>
      <c r="CO382" s="3055"/>
      <c r="CP382" s="3055"/>
      <c r="CQ382" s="3055"/>
      <c r="CR382" s="3055"/>
      <c r="CS382" s="3055"/>
      <c r="CU382" s="3054"/>
      <c r="CV382" s="696"/>
      <c r="CW382" s="696"/>
      <c r="CZ382" s="3060">
        <f t="shared" si="17"/>
      </c>
      <c r="DA382" s="3060">
        <f t="shared" si="1"/>
      </c>
      <c r="DB382" s="3060">
        <f t="shared" si="18"/>
      </c>
      <c r="DC382" s="3060">
        <f t="shared" si="19"/>
      </c>
      <c r="DD382" s="3060">
        <f t="shared" si="20"/>
      </c>
      <c r="DE382" s="3060">
        <f t="shared" si="21"/>
      </c>
      <c r="DF382" s="3060">
        <f t="shared" si="22"/>
      </c>
      <c r="DG382" s="3060">
        <f t="shared" si="23"/>
      </c>
      <c r="DH382" s="3060">
        <f t="shared" si="24"/>
      </c>
      <c r="DI382" s="3060">
        <f t="shared" si="1"/>
      </c>
    </row>
    <row r="383" ht="15" customHeight="1" s="3052" customFormat="1">
      <c r="B383" s="3054">
        <f t="shared" si="2"/>
      </c>
      <c r="C383" s="3054"/>
      <c r="D383" s="3054"/>
      <c r="E383" s="3055"/>
      <c r="F383" s="3055"/>
      <c r="G383" s="3055"/>
      <c r="H383" s="3055"/>
      <c r="I383" s="3055"/>
      <c r="J383" s="3055"/>
      <c r="K383" s="3055"/>
      <c r="L383" s="3055"/>
      <c r="M383" s="3055"/>
      <c r="N383" s="3055"/>
      <c r="O383" s="3055"/>
      <c r="P383" s="3055"/>
      <c r="Q383" s="3055"/>
      <c r="R383" s="3055">
        <f t="shared" si="3"/>
        <v>0</v>
      </c>
      <c r="S383" s="3055">
        <f t="shared" si="4"/>
        <v>0</v>
      </c>
      <c r="T383" s="3055">
        <f t="shared" si="5"/>
        <v>0</v>
      </c>
      <c r="U383" s="3055">
        <f t="shared" si="6"/>
        <v>0</v>
      </c>
      <c r="V383" s="3055">
        <f t="shared" si="7"/>
        <v>0</v>
      </c>
      <c r="W383" s="3055">
        <f t="shared" si="8"/>
        <v>0</v>
      </c>
      <c r="X383" s="3055">
        <f t="shared" si="9"/>
        <v>0</v>
      </c>
      <c r="Y383" s="3055">
        <f t="shared" si="10"/>
        <v>0</v>
      </c>
      <c r="Z383" s="3055">
        <f t="shared" si="11"/>
        <v>0</v>
      </c>
      <c r="AA383" s="3055">
        <f t="shared" si="12"/>
        <v>0</v>
      </c>
      <c r="AB383" s="3055">
        <f t="shared" si="13"/>
        <v>0</v>
      </c>
      <c r="AC383" s="3055">
        <f t="shared" si="14"/>
        <v>0</v>
      </c>
      <c r="AD383" s="3056"/>
      <c r="AE383" s="3057">
        <f t="shared" si="0"/>
      </c>
      <c r="AF383" s="3054"/>
      <c r="AG383" s="3054"/>
      <c r="AH383" s="3055"/>
      <c r="AI383" s="3055"/>
      <c r="AJ383" s="3055"/>
      <c r="AK383" s="3055"/>
      <c r="AL383" s="3055"/>
      <c r="AM383" s="3055"/>
      <c r="AN383" s="3055"/>
      <c r="AO383" s="3055"/>
      <c r="AP383" s="3055"/>
      <c r="AQ383" s="3055"/>
      <c r="AR383" s="3055"/>
      <c r="AS383" s="3055"/>
      <c r="AT383" s="3055"/>
      <c r="AU383" s="3056"/>
      <c r="AV383" s="3057">
        <f t="shared" si="15"/>
      </c>
      <c r="AW383" s="3054"/>
      <c r="AX383" s="3054"/>
      <c r="AY383" s="3055"/>
      <c r="AZ383" s="3055"/>
      <c r="BA383" s="3055"/>
      <c r="BB383" s="3055"/>
      <c r="BC383" s="3055"/>
      <c r="BD383" s="3055"/>
      <c r="BE383" s="3055"/>
      <c r="BF383" s="3055"/>
      <c r="BG383" s="3055"/>
      <c r="BH383" s="3055"/>
      <c r="BI383" s="3055"/>
      <c r="BJ383" s="3055"/>
      <c r="BK383" s="3055"/>
      <c r="BL383" s="3056"/>
      <c r="BM383" s="3057">
        <f t="shared" si="16"/>
      </c>
      <c r="BN383" s="3054"/>
      <c r="BO383" s="3054"/>
      <c r="BP383" s="3055"/>
      <c r="BQ383" s="3055"/>
      <c r="BR383" s="3055"/>
      <c r="BS383" s="3055"/>
      <c r="BT383" s="3055"/>
      <c r="BU383" s="3055"/>
      <c r="BV383" s="3055"/>
      <c r="BW383" s="3055"/>
      <c r="BX383" s="3055"/>
      <c r="BY383" s="3055"/>
      <c r="BZ383" s="3055"/>
      <c r="CA383" s="3055"/>
      <c r="CB383" s="3055"/>
      <c r="CC383" s="3056"/>
      <c r="CD383" s="3057">
        <f t="shared" si="0"/>
      </c>
      <c r="CE383" s="3054"/>
      <c r="CF383" s="3054"/>
      <c r="CG383" s="3055"/>
      <c r="CH383" s="3055"/>
      <c r="CI383" s="3055"/>
      <c r="CJ383" s="3055"/>
      <c r="CK383" s="3055"/>
      <c r="CL383" s="3055"/>
      <c r="CM383" s="3055"/>
      <c r="CN383" s="3055"/>
      <c r="CO383" s="3055"/>
      <c r="CP383" s="3055"/>
      <c r="CQ383" s="3055"/>
      <c r="CR383" s="3055"/>
      <c r="CS383" s="3055"/>
      <c r="CU383" s="3054"/>
      <c r="CV383" s="696"/>
      <c r="CW383" s="696"/>
      <c r="CZ383" s="3060">
        <f t="shared" si="17"/>
      </c>
      <c r="DA383" s="3060">
        <f t="shared" si="1"/>
      </c>
      <c r="DB383" s="3060">
        <f t="shared" si="18"/>
      </c>
      <c r="DC383" s="3060">
        <f t="shared" si="19"/>
      </c>
      <c r="DD383" s="3060">
        <f t="shared" si="20"/>
      </c>
      <c r="DE383" s="3060">
        <f t="shared" si="21"/>
      </c>
      <c r="DF383" s="3060">
        <f t="shared" si="22"/>
      </c>
      <c r="DG383" s="3060">
        <f t="shared" si="23"/>
      </c>
      <c r="DH383" s="3060">
        <f t="shared" si="24"/>
      </c>
      <c r="DI383" s="3060">
        <f t="shared" si="1"/>
      </c>
    </row>
    <row r="384" ht="15" customHeight="1" s="3052" customFormat="1">
      <c r="B384" s="3054">
        <f t="shared" si="2"/>
      </c>
      <c r="C384" s="3054"/>
      <c r="D384" s="3054"/>
      <c r="E384" s="3055"/>
      <c r="F384" s="3055"/>
      <c r="G384" s="3055"/>
      <c r="H384" s="3055"/>
      <c r="I384" s="3055"/>
      <c r="J384" s="3055"/>
      <c r="K384" s="3055"/>
      <c r="L384" s="3055"/>
      <c r="M384" s="3055"/>
      <c r="N384" s="3055"/>
      <c r="O384" s="3055"/>
      <c r="P384" s="3055"/>
      <c r="Q384" s="3055"/>
      <c r="R384" s="3055">
        <f t="shared" si="3"/>
        <v>0</v>
      </c>
      <c r="S384" s="3055">
        <f t="shared" si="4"/>
        <v>0</v>
      </c>
      <c r="T384" s="3055">
        <f t="shared" si="5"/>
        <v>0</v>
      </c>
      <c r="U384" s="3055">
        <f t="shared" si="6"/>
        <v>0</v>
      </c>
      <c r="V384" s="3055">
        <f t="shared" si="7"/>
        <v>0</v>
      </c>
      <c r="W384" s="3055">
        <f t="shared" si="8"/>
        <v>0</v>
      </c>
      <c r="X384" s="3055">
        <f t="shared" si="9"/>
        <v>0</v>
      </c>
      <c r="Y384" s="3055">
        <f t="shared" si="10"/>
        <v>0</v>
      </c>
      <c r="Z384" s="3055">
        <f t="shared" si="11"/>
        <v>0</v>
      </c>
      <c r="AA384" s="3055">
        <f t="shared" si="12"/>
        <v>0</v>
      </c>
      <c r="AB384" s="3055">
        <f t="shared" si="13"/>
        <v>0</v>
      </c>
      <c r="AC384" s="3055">
        <f t="shared" si="14"/>
        <v>0</v>
      </c>
      <c r="AD384" s="3056"/>
      <c r="AE384" s="3057">
        <f t="shared" si="0"/>
      </c>
      <c r="AF384" s="3054"/>
      <c r="AG384" s="3054"/>
      <c r="AH384" s="3055"/>
      <c r="AI384" s="3055"/>
      <c r="AJ384" s="3055"/>
      <c r="AK384" s="3055"/>
      <c r="AL384" s="3055"/>
      <c r="AM384" s="3055"/>
      <c r="AN384" s="3055"/>
      <c r="AO384" s="3055"/>
      <c r="AP384" s="3055"/>
      <c r="AQ384" s="3055"/>
      <c r="AR384" s="3055"/>
      <c r="AS384" s="3055"/>
      <c r="AT384" s="3055"/>
      <c r="AU384" s="3056"/>
      <c r="AV384" s="3057">
        <f t="shared" si="15"/>
      </c>
      <c r="AW384" s="3054"/>
      <c r="AX384" s="3054"/>
      <c r="AY384" s="3055"/>
      <c r="AZ384" s="3055"/>
      <c r="BA384" s="3055"/>
      <c r="BB384" s="3055"/>
      <c r="BC384" s="3055"/>
      <c r="BD384" s="3055"/>
      <c r="BE384" s="3055"/>
      <c r="BF384" s="3055"/>
      <c r="BG384" s="3055"/>
      <c r="BH384" s="3055"/>
      <c r="BI384" s="3055"/>
      <c r="BJ384" s="3055"/>
      <c r="BK384" s="3055"/>
      <c r="BL384" s="3056"/>
      <c r="BM384" s="3057">
        <f t="shared" si="16"/>
      </c>
      <c r="BN384" s="3054"/>
      <c r="BO384" s="3054"/>
      <c r="BP384" s="3055"/>
      <c r="BQ384" s="3055"/>
      <c r="BR384" s="3055"/>
      <c r="BS384" s="3055"/>
      <c r="BT384" s="3055"/>
      <c r="BU384" s="3055"/>
      <c r="BV384" s="3055"/>
      <c r="BW384" s="3055"/>
      <c r="BX384" s="3055"/>
      <c r="BY384" s="3055"/>
      <c r="BZ384" s="3055"/>
      <c r="CA384" s="3055"/>
      <c r="CB384" s="3055"/>
      <c r="CC384" s="3056"/>
      <c r="CD384" s="3057">
        <f t="shared" si="0"/>
      </c>
      <c r="CE384" s="3054"/>
      <c r="CF384" s="3054"/>
      <c r="CG384" s="3055"/>
      <c r="CH384" s="3055"/>
      <c r="CI384" s="3055"/>
      <c r="CJ384" s="3055"/>
      <c r="CK384" s="3055"/>
      <c r="CL384" s="3055"/>
      <c r="CM384" s="3055"/>
      <c r="CN384" s="3055"/>
      <c r="CO384" s="3055"/>
      <c r="CP384" s="3055"/>
      <c r="CQ384" s="3055"/>
      <c r="CR384" s="3055"/>
      <c r="CS384" s="3055"/>
      <c r="CU384" s="3054"/>
      <c r="CV384" s="696"/>
      <c r="CW384" s="696"/>
      <c r="CZ384" s="3060">
        <f t="shared" si="17"/>
      </c>
      <c r="DA384" s="3060">
        <f t="shared" si="1"/>
      </c>
      <c r="DB384" s="3060">
        <f t="shared" si="18"/>
      </c>
      <c r="DC384" s="3060">
        <f t="shared" si="19"/>
      </c>
      <c r="DD384" s="3060">
        <f t="shared" si="20"/>
      </c>
      <c r="DE384" s="3060">
        <f t="shared" si="21"/>
      </c>
      <c r="DF384" s="3060">
        <f t="shared" si="22"/>
      </c>
      <c r="DG384" s="3060">
        <f t="shared" si="23"/>
      </c>
      <c r="DH384" s="3060">
        <f t="shared" si="24"/>
      </c>
      <c r="DI384" s="3060">
        <f t="shared" si="1"/>
      </c>
    </row>
    <row r="385" ht="15" customHeight="1" s="3052" customFormat="1">
      <c r="B385" s="3054">
        <f t="shared" si="2"/>
      </c>
      <c r="C385" s="3054"/>
      <c r="D385" s="3054"/>
      <c r="E385" s="3055"/>
      <c r="F385" s="3055"/>
      <c r="G385" s="3055"/>
      <c r="H385" s="3055"/>
      <c r="I385" s="3055"/>
      <c r="J385" s="3055"/>
      <c r="K385" s="3055"/>
      <c r="L385" s="3055"/>
      <c r="M385" s="3055"/>
      <c r="N385" s="3055"/>
      <c r="O385" s="3055"/>
      <c r="P385" s="3055"/>
      <c r="Q385" s="3055"/>
      <c r="R385" s="3055">
        <f t="shared" si="3"/>
        <v>0</v>
      </c>
      <c r="S385" s="3055">
        <f t="shared" si="4"/>
        <v>0</v>
      </c>
      <c r="T385" s="3055">
        <f t="shared" si="5"/>
        <v>0</v>
      </c>
      <c r="U385" s="3055">
        <f t="shared" si="6"/>
        <v>0</v>
      </c>
      <c r="V385" s="3055">
        <f t="shared" si="7"/>
        <v>0</v>
      </c>
      <c r="W385" s="3055">
        <f t="shared" si="8"/>
        <v>0</v>
      </c>
      <c r="X385" s="3055">
        <f t="shared" si="9"/>
        <v>0</v>
      </c>
      <c r="Y385" s="3055">
        <f t="shared" si="10"/>
        <v>0</v>
      </c>
      <c r="Z385" s="3055">
        <f t="shared" si="11"/>
        <v>0</v>
      </c>
      <c r="AA385" s="3055">
        <f t="shared" si="12"/>
        <v>0</v>
      </c>
      <c r="AB385" s="3055">
        <f t="shared" si="13"/>
        <v>0</v>
      </c>
      <c r="AC385" s="3055">
        <f t="shared" si="14"/>
        <v>0</v>
      </c>
      <c r="AD385" s="3056"/>
      <c r="AE385" s="3057">
        <f t="shared" si="0"/>
      </c>
      <c r="AF385" s="3054"/>
      <c r="AG385" s="3054"/>
      <c r="AH385" s="3055"/>
      <c r="AI385" s="3055"/>
      <c r="AJ385" s="3055"/>
      <c r="AK385" s="3055"/>
      <c r="AL385" s="3055"/>
      <c r="AM385" s="3055"/>
      <c r="AN385" s="3055"/>
      <c r="AO385" s="3055"/>
      <c r="AP385" s="3055"/>
      <c r="AQ385" s="3055"/>
      <c r="AR385" s="3055"/>
      <c r="AS385" s="3055"/>
      <c r="AT385" s="3055"/>
      <c r="AU385" s="3056"/>
      <c r="AV385" s="3057">
        <f t="shared" si="15"/>
      </c>
      <c r="AW385" s="3054"/>
      <c r="AX385" s="3054"/>
      <c r="AY385" s="3055"/>
      <c r="AZ385" s="3055"/>
      <c r="BA385" s="3055"/>
      <c r="BB385" s="3055"/>
      <c r="BC385" s="3055"/>
      <c r="BD385" s="3055"/>
      <c r="BE385" s="3055"/>
      <c r="BF385" s="3055"/>
      <c r="BG385" s="3055"/>
      <c r="BH385" s="3055"/>
      <c r="BI385" s="3055"/>
      <c r="BJ385" s="3055"/>
      <c r="BK385" s="3055"/>
      <c r="BL385" s="3056"/>
      <c r="BM385" s="3057">
        <f t="shared" si="16"/>
      </c>
      <c r="BN385" s="3054"/>
      <c r="BO385" s="3054"/>
      <c r="BP385" s="3055"/>
      <c r="BQ385" s="3055"/>
      <c r="BR385" s="3055"/>
      <c r="BS385" s="3055"/>
      <c r="BT385" s="3055"/>
      <c r="BU385" s="3055"/>
      <c r="BV385" s="3055"/>
      <c r="BW385" s="3055"/>
      <c r="BX385" s="3055"/>
      <c r="BY385" s="3055"/>
      <c r="BZ385" s="3055"/>
      <c r="CA385" s="3055"/>
      <c r="CB385" s="3055"/>
      <c r="CC385" s="3056"/>
      <c r="CD385" s="3057">
        <f t="shared" si="0"/>
      </c>
      <c r="CE385" s="3054"/>
      <c r="CF385" s="3054"/>
      <c r="CG385" s="3055"/>
      <c r="CH385" s="3055"/>
      <c r="CI385" s="3055"/>
      <c r="CJ385" s="3055"/>
      <c r="CK385" s="3055"/>
      <c r="CL385" s="3055"/>
      <c r="CM385" s="3055"/>
      <c r="CN385" s="3055"/>
      <c r="CO385" s="3055"/>
      <c r="CP385" s="3055"/>
      <c r="CQ385" s="3055"/>
      <c r="CR385" s="3055"/>
      <c r="CS385" s="3055"/>
      <c r="CU385" s="3054"/>
      <c r="CV385" s="696"/>
      <c r="CW385" s="696"/>
      <c r="CZ385" s="3060">
        <f t="shared" si="17"/>
      </c>
      <c r="DA385" s="3060">
        <f t="shared" si="1"/>
      </c>
      <c r="DB385" s="3060">
        <f t="shared" si="18"/>
      </c>
      <c r="DC385" s="3060">
        <f t="shared" si="19"/>
      </c>
      <c r="DD385" s="3060">
        <f t="shared" si="20"/>
      </c>
      <c r="DE385" s="3060">
        <f t="shared" si="21"/>
      </c>
      <c r="DF385" s="3060">
        <f t="shared" si="22"/>
      </c>
      <c r="DG385" s="3060">
        <f t="shared" si="23"/>
      </c>
      <c r="DH385" s="3060">
        <f t="shared" si="24"/>
      </c>
      <c r="DI385" s="3060">
        <f t="shared" si="1"/>
      </c>
    </row>
    <row r="386" ht="15" customHeight="1" s="3052" customFormat="1">
      <c r="B386" s="3054">
        <f t="shared" si="2"/>
      </c>
      <c r="C386" s="3054"/>
      <c r="D386" s="3054"/>
      <c r="E386" s="3055"/>
      <c r="F386" s="3055"/>
      <c r="G386" s="3055"/>
      <c r="H386" s="3055"/>
      <c r="I386" s="3055"/>
      <c r="J386" s="3055"/>
      <c r="K386" s="3055"/>
      <c r="L386" s="3055"/>
      <c r="M386" s="3055"/>
      <c r="N386" s="3055"/>
      <c r="O386" s="3055"/>
      <c r="P386" s="3055"/>
      <c r="Q386" s="3055"/>
      <c r="R386" s="3055">
        <f t="shared" si="3"/>
        <v>0</v>
      </c>
      <c r="S386" s="3055">
        <f t="shared" si="4"/>
        <v>0</v>
      </c>
      <c r="T386" s="3055">
        <f t="shared" si="5"/>
        <v>0</v>
      </c>
      <c r="U386" s="3055">
        <f t="shared" si="6"/>
        <v>0</v>
      </c>
      <c r="V386" s="3055">
        <f t="shared" si="7"/>
        <v>0</v>
      </c>
      <c r="W386" s="3055">
        <f t="shared" si="8"/>
        <v>0</v>
      </c>
      <c r="X386" s="3055">
        <f t="shared" si="9"/>
        <v>0</v>
      </c>
      <c r="Y386" s="3055">
        <f t="shared" si="10"/>
        <v>0</v>
      </c>
      <c r="Z386" s="3055">
        <f t="shared" si="11"/>
        <v>0</v>
      </c>
      <c r="AA386" s="3055">
        <f t="shared" si="12"/>
        <v>0</v>
      </c>
      <c r="AB386" s="3055">
        <f t="shared" si="13"/>
        <v>0</v>
      </c>
      <c r="AC386" s="3055">
        <f t="shared" si="14"/>
        <v>0</v>
      </c>
      <c r="AD386" s="3056"/>
      <c r="AE386" s="3057">
        <f t="shared" si="0"/>
      </c>
      <c r="AF386" s="3054"/>
      <c r="AG386" s="3054"/>
      <c r="AH386" s="3055"/>
      <c r="AI386" s="3055"/>
      <c r="AJ386" s="3055"/>
      <c r="AK386" s="3055"/>
      <c r="AL386" s="3055"/>
      <c r="AM386" s="3055"/>
      <c r="AN386" s="3055"/>
      <c r="AO386" s="3055"/>
      <c r="AP386" s="3055"/>
      <c r="AQ386" s="3055"/>
      <c r="AR386" s="3055"/>
      <c r="AS386" s="3055"/>
      <c r="AT386" s="3055"/>
      <c r="AU386" s="3056"/>
      <c r="AV386" s="3057">
        <f t="shared" si="15"/>
      </c>
      <c r="AW386" s="3054"/>
      <c r="AX386" s="3054"/>
      <c r="AY386" s="3055"/>
      <c r="AZ386" s="3055"/>
      <c r="BA386" s="3055"/>
      <c r="BB386" s="3055"/>
      <c r="BC386" s="3055"/>
      <c r="BD386" s="3055"/>
      <c r="BE386" s="3055"/>
      <c r="BF386" s="3055"/>
      <c r="BG386" s="3055"/>
      <c r="BH386" s="3055"/>
      <c r="BI386" s="3055"/>
      <c r="BJ386" s="3055"/>
      <c r="BK386" s="3055"/>
      <c r="BL386" s="3056"/>
      <c r="BM386" s="3057">
        <f t="shared" si="16"/>
      </c>
      <c r="BN386" s="3054"/>
      <c r="BO386" s="3054"/>
      <c r="BP386" s="3055"/>
      <c r="BQ386" s="3055"/>
      <c r="BR386" s="3055"/>
      <c r="BS386" s="3055"/>
      <c r="BT386" s="3055"/>
      <c r="BU386" s="3055"/>
      <c r="BV386" s="3055"/>
      <c r="BW386" s="3055"/>
      <c r="BX386" s="3055"/>
      <c r="BY386" s="3055"/>
      <c r="BZ386" s="3055"/>
      <c r="CA386" s="3055"/>
      <c r="CB386" s="3055"/>
      <c r="CC386" s="3056"/>
      <c r="CD386" s="3057">
        <f t="shared" si="0"/>
      </c>
      <c r="CE386" s="3054"/>
      <c r="CF386" s="3054"/>
      <c r="CG386" s="3055"/>
      <c r="CH386" s="3055"/>
      <c r="CI386" s="3055"/>
      <c r="CJ386" s="3055"/>
      <c r="CK386" s="3055"/>
      <c r="CL386" s="3055"/>
      <c r="CM386" s="3055"/>
      <c r="CN386" s="3055"/>
      <c r="CO386" s="3055"/>
      <c r="CP386" s="3055"/>
      <c r="CQ386" s="3055"/>
      <c r="CR386" s="3055"/>
      <c r="CS386" s="3055"/>
      <c r="CU386" s="3054"/>
      <c r="CV386" s="696"/>
      <c r="CW386" s="696"/>
      <c r="CZ386" s="3060">
        <f t="shared" si="17"/>
      </c>
      <c r="DA386" s="3060">
        <f t="shared" si="1"/>
      </c>
      <c r="DB386" s="3060">
        <f t="shared" si="18"/>
      </c>
      <c r="DC386" s="3060">
        <f t="shared" si="19"/>
      </c>
      <c r="DD386" s="3060">
        <f t="shared" si="20"/>
      </c>
      <c r="DE386" s="3060">
        <f t="shared" si="21"/>
      </c>
      <c r="DF386" s="3060">
        <f t="shared" si="22"/>
      </c>
      <c r="DG386" s="3060">
        <f t="shared" si="23"/>
      </c>
      <c r="DH386" s="3060">
        <f t="shared" si="24"/>
      </c>
      <c r="DI386" s="3060">
        <f t="shared" si="1"/>
      </c>
    </row>
    <row r="387" ht="15" customHeight="1" s="3052" customFormat="1">
      <c r="B387" s="3054">
        <f t="shared" si="2"/>
      </c>
      <c r="C387" s="3054"/>
      <c r="D387" s="3054"/>
      <c r="E387" s="3055"/>
      <c r="F387" s="3055"/>
      <c r="G387" s="3055"/>
      <c r="H387" s="3055"/>
      <c r="I387" s="3055"/>
      <c r="J387" s="3055"/>
      <c r="K387" s="3055"/>
      <c r="L387" s="3055"/>
      <c r="M387" s="3055"/>
      <c r="N387" s="3055"/>
      <c r="O387" s="3055"/>
      <c r="P387" s="3055"/>
      <c r="Q387" s="3055"/>
      <c r="R387" s="3055">
        <f t="shared" si="3"/>
        <v>0</v>
      </c>
      <c r="S387" s="3055">
        <f t="shared" si="4"/>
        <v>0</v>
      </c>
      <c r="T387" s="3055">
        <f t="shared" si="5"/>
        <v>0</v>
      </c>
      <c r="U387" s="3055">
        <f t="shared" si="6"/>
        <v>0</v>
      </c>
      <c r="V387" s="3055">
        <f t="shared" si="7"/>
        <v>0</v>
      </c>
      <c r="W387" s="3055">
        <f t="shared" si="8"/>
        <v>0</v>
      </c>
      <c r="X387" s="3055">
        <f t="shared" si="9"/>
        <v>0</v>
      </c>
      <c r="Y387" s="3055">
        <f t="shared" si="10"/>
        <v>0</v>
      </c>
      <c r="Z387" s="3055">
        <f t="shared" si="11"/>
        <v>0</v>
      </c>
      <c r="AA387" s="3055">
        <f t="shared" si="12"/>
        <v>0</v>
      </c>
      <c r="AB387" s="3055">
        <f t="shared" si="13"/>
        <v>0</v>
      </c>
      <c r="AC387" s="3055">
        <f t="shared" si="14"/>
        <v>0</v>
      </c>
      <c r="AD387" s="3056"/>
      <c r="AE387" s="3057">
        <f t="shared" si="0"/>
      </c>
      <c r="AF387" s="3054"/>
      <c r="AG387" s="3054"/>
      <c r="AH387" s="3055"/>
      <c r="AI387" s="3055"/>
      <c r="AJ387" s="3055"/>
      <c r="AK387" s="3055"/>
      <c r="AL387" s="3055"/>
      <c r="AM387" s="3055"/>
      <c r="AN387" s="3055"/>
      <c r="AO387" s="3055"/>
      <c r="AP387" s="3055"/>
      <c r="AQ387" s="3055"/>
      <c r="AR387" s="3055"/>
      <c r="AS387" s="3055"/>
      <c r="AT387" s="3055"/>
      <c r="AU387" s="3056"/>
      <c r="AV387" s="3057">
        <f t="shared" si="15"/>
      </c>
      <c r="AW387" s="3054"/>
      <c r="AX387" s="3054"/>
      <c r="AY387" s="3055"/>
      <c r="AZ387" s="3055"/>
      <c r="BA387" s="3055"/>
      <c r="BB387" s="3055"/>
      <c r="BC387" s="3055"/>
      <c r="BD387" s="3055"/>
      <c r="BE387" s="3055"/>
      <c r="BF387" s="3055"/>
      <c r="BG387" s="3055"/>
      <c r="BH387" s="3055"/>
      <c r="BI387" s="3055"/>
      <c r="BJ387" s="3055"/>
      <c r="BK387" s="3055"/>
      <c r="BL387" s="3056"/>
      <c r="BM387" s="3057">
        <f t="shared" si="16"/>
      </c>
      <c r="BN387" s="3054"/>
      <c r="BO387" s="3054"/>
      <c r="BP387" s="3055"/>
      <c r="BQ387" s="3055"/>
      <c r="BR387" s="3055"/>
      <c r="BS387" s="3055"/>
      <c r="BT387" s="3055"/>
      <c r="BU387" s="3055"/>
      <c r="BV387" s="3055"/>
      <c r="BW387" s="3055"/>
      <c r="BX387" s="3055"/>
      <c r="BY387" s="3055"/>
      <c r="BZ387" s="3055"/>
      <c r="CA387" s="3055"/>
      <c r="CB387" s="3055"/>
      <c r="CC387" s="3056"/>
      <c r="CD387" s="3057">
        <f t="shared" si="0"/>
      </c>
      <c r="CE387" s="3054"/>
      <c r="CF387" s="3054"/>
      <c r="CG387" s="3055"/>
      <c r="CH387" s="3055"/>
      <c r="CI387" s="3055"/>
      <c r="CJ387" s="3055"/>
      <c r="CK387" s="3055"/>
      <c r="CL387" s="3055"/>
      <c r="CM387" s="3055"/>
      <c r="CN387" s="3055"/>
      <c r="CO387" s="3055"/>
      <c r="CP387" s="3055"/>
      <c r="CQ387" s="3055"/>
      <c r="CR387" s="3055"/>
      <c r="CS387" s="3055"/>
      <c r="CU387" s="3054"/>
      <c r="CV387" s="696"/>
      <c r="CW387" s="696"/>
      <c r="CZ387" s="3060">
        <f t="shared" si="17"/>
      </c>
      <c r="DA387" s="3060">
        <f t="shared" si="1"/>
      </c>
      <c r="DB387" s="3060">
        <f t="shared" si="18"/>
      </c>
      <c r="DC387" s="3060">
        <f t="shared" si="19"/>
      </c>
      <c r="DD387" s="3060">
        <f t="shared" si="20"/>
      </c>
      <c r="DE387" s="3060">
        <f t="shared" si="21"/>
      </c>
      <c r="DF387" s="3060">
        <f t="shared" si="22"/>
      </c>
      <c r="DG387" s="3060">
        <f t="shared" si="23"/>
      </c>
      <c r="DH387" s="3060">
        <f t="shared" si="24"/>
      </c>
      <c r="DI387" s="3060">
        <f t="shared" si="1"/>
      </c>
    </row>
    <row r="388" ht="15" customHeight="1" s="3052" customFormat="1">
      <c r="B388" s="3054">
        <f t="shared" si="2"/>
      </c>
      <c r="C388" s="3054"/>
      <c r="D388" s="3054"/>
      <c r="E388" s="3055"/>
      <c r="F388" s="3055"/>
      <c r="G388" s="3055"/>
      <c r="H388" s="3055"/>
      <c r="I388" s="3055"/>
      <c r="J388" s="3055"/>
      <c r="K388" s="3055"/>
      <c r="L388" s="3055"/>
      <c r="M388" s="3055"/>
      <c r="N388" s="3055"/>
      <c r="O388" s="3055"/>
      <c r="P388" s="3055"/>
      <c r="Q388" s="3055"/>
      <c r="R388" s="3055">
        <f t="shared" si="3"/>
        <v>0</v>
      </c>
      <c r="S388" s="3055">
        <f t="shared" si="4"/>
        <v>0</v>
      </c>
      <c r="T388" s="3055">
        <f t="shared" si="5"/>
        <v>0</v>
      </c>
      <c r="U388" s="3055">
        <f t="shared" si="6"/>
        <v>0</v>
      </c>
      <c r="V388" s="3055">
        <f t="shared" si="7"/>
        <v>0</v>
      </c>
      <c r="W388" s="3055">
        <f t="shared" si="8"/>
        <v>0</v>
      </c>
      <c r="X388" s="3055">
        <f t="shared" si="9"/>
        <v>0</v>
      </c>
      <c r="Y388" s="3055">
        <f t="shared" si="10"/>
        <v>0</v>
      </c>
      <c r="Z388" s="3055">
        <f t="shared" si="11"/>
        <v>0</v>
      </c>
      <c r="AA388" s="3055">
        <f t="shared" si="12"/>
        <v>0</v>
      </c>
      <c r="AB388" s="3055">
        <f t="shared" si="13"/>
        <v>0</v>
      </c>
      <c r="AC388" s="3055">
        <f t="shared" si="14"/>
        <v>0</v>
      </c>
      <c r="AD388" s="3056"/>
      <c r="AE388" s="3057">
        <f t="shared" si="0"/>
      </c>
      <c r="AF388" s="3054"/>
      <c r="AG388" s="3054"/>
      <c r="AH388" s="3055"/>
      <c r="AI388" s="3055"/>
      <c r="AJ388" s="3055"/>
      <c r="AK388" s="3055"/>
      <c r="AL388" s="3055"/>
      <c r="AM388" s="3055"/>
      <c r="AN388" s="3055"/>
      <c r="AO388" s="3055"/>
      <c r="AP388" s="3055"/>
      <c r="AQ388" s="3055"/>
      <c r="AR388" s="3055"/>
      <c r="AS388" s="3055"/>
      <c r="AT388" s="3055"/>
      <c r="AU388" s="3056"/>
      <c r="AV388" s="3057">
        <f t="shared" si="15"/>
      </c>
      <c r="AW388" s="3054"/>
      <c r="AX388" s="3054"/>
      <c r="AY388" s="3055"/>
      <c r="AZ388" s="3055"/>
      <c r="BA388" s="3055"/>
      <c r="BB388" s="3055"/>
      <c r="BC388" s="3055"/>
      <c r="BD388" s="3055"/>
      <c r="BE388" s="3055"/>
      <c r="BF388" s="3055"/>
      <c r="BG388" s="3055"/>
      <c r="BH388" s="3055"/>
      <c r="BI388" s="3055"/>
      <c r="BJ388" s="3055"/>
      <c r="BK388" s="3055"/>
      <c r="BL388" s="3056"/>
      <c r="BM388" s="3057">
        <f t="shared" si="16"/>
      </c>
      <c r="BN388" s="3054"/>
      <c r="BO388" s="3054"/>
      <c r="BP388" s="3055"/>
      <c r="BQ388" s="3055"/>
      <c r="BR388" s="3055"/>
      <c r="BS388" s="3055"/>
      <c r="BT388" s="3055"/>
      <c r="BU388" s="3055"/>
      <c r="BV388" s="3055"/>
      <c r="BW388" s="3055"/>
      <c r="BX388" s="3055"/>
      <c r="BY388" s="3055"/>
      <c r="BZ388" s="3055"/>
      <c r="CA388" s="3055"/>
      <c r="CB388" s="3055"/>
      <c r="CC388" s="3056"/>
      <c r="CD388" s="3057">
        <f t="shared" si="0"/>
      </c>
      <c r="CE388" s="3054"/>
      <c r="CF388" s="3054"/>
      <c r="CG388" s="3055"/>
      <c r="CH388" s="3055"/>
      <c r="CI388" s="3055"/>
      <c r="CJ388" s="3055"/>
      <c r="CK388" s="3055"/>
      <c r="CL388" s="3055"/>
      <c r="CM388" s="3055"/>
      <c r="CN388" s="3055"/>
      <c r="CO388" s="3055"/>
      <c r="CP388" s="3055"/>
      <c r="CQ388" s="3055"/>
      <c r="CR388" s="3055"/>
      <c r="CS388" s="3055"/>
      <c r="CU388" s="3054"/>
      <c r="CV388" s="696"/>
      <c r="CW388" s="696"/>
      <c r="CZ388" s="3060">
        <f t="shared" si="17"/>
      </c>
      <c r="DA388" s="3060">
        <f t="shared" si="1"/>
      </c>
      <c r="DB388" s="3060">
        <f t="shared" si="18"/>
      </c>
      <c r="DC388" s="3060">
        <f t="shared" si="19"/>
      </c>
      <c r="DD388" s="3060">
        <f t="shared" si="20"/>
      </c>
      <c r="DE388" s="3060">
        <f t="shared" si="21"/>
      </c>
      <c r="DF388" s="3060">
        <f t="shared" si="22"/>
      </c>
      <c r="DG388" s="3060">
        <f t="shared" si="23"/>
      </c>
      <c r="DH388" s="3060">
        <f t="shared" si="24"/>
      </c>
      <c r="DI388" s="3060">
        <f t="shared" si="1"/>
      </c>
    </row>
    <row r="389" ht="15" customHeight="1" s="3052" customFormat="1">
      <c r="B389" s="3054">
        <f t="shared" si="2"/>
      </c>
      <c r="C389" s="3054"/>
      <c r="D389" s="3054"/>
      <c r="E389" s="3055"/>
      <c r="F389" s="3055"/>
      <c r="G389" s="3055"/>
      <c r="H389" s="3055"/>
      <c r="I389" s="3055"/>
      <c r="J389" s="3055"/>
      <c r="K389" s="3055"/>
      <c r="L389" s="3055"/>
      <c r="M389" s="3055"/>
      <c r="N389" s="3055"/>
      <c r="O389" s="3055"/>
      <c r="P389" s="3055"/>
      <c r="Q389" s="3055"/>
      <c r="R389" s="3055">
        <f t="shared" si="3"/>
        <v>0</v>
      </c>
      <c r="S389" s="3055">
        <f t="shared" si="4"/>
        <v>0</v>
      </c>
      <c r="T389" s="3055">
        <f t="shared" si="5"/>
        <v>0</v>
      </c>
      <c r="U389" s="3055">
        <f t="shared" si="6"/>
        <v>0</v>
      </c>
      <c r="V389" s="3055">
        <f t="shared" si="7"/>
        <v>0</v>
      </c>
      <c r="W389" s="3055">
        <f t="shared" si="8"/>
        <v>0</v>
      </c>
      <c r="X389" s="3055">
        <f t="shared" si="9"/>
        <v>0</v>
      </c>
      <c r="Y389" s="3055">
        <f t="shared" si="10"/>
        <v>0</v>
      </c>
      <c r="Z389" s="3055">
        <f t="shared" si="11"/>
        <v>0</v>
      </c>
      <c r="AA389" s="3055">
        <f t="shared" si="12"/>
        <v>0</v>
      </c>
      <c r="AB389" s="3055">
        <f t="shared" si="13"/>
        <v>0</v>
      </c>
      <c r="AC389" s="3055">
        <f t="shared" si="14"/>
        <v>0</v>
      </c>
      <c r="AD389" s="3056"/>
      <c r="AE389" s="3057">
        <f t="shared" si="0"/>
      </c>
      <c r="AF389" s="3054"/>
      <c r="AG389" s="3054"/>
      <c r="AH389" s="3055"/>
      <c r="AI389" s="3055"/>
      <c r="AJ389" s="3055"/>
      <c r="AK389" s="3055"/>
      <c r="AL389" s="3055"/>
      <c r="AM389" s="3055"/>
      <c r="AN389" s="3055"/>
      <c r="AO389" s="3055"/>
      <c r="AP389" s="3055"/>
      <c r="AQ389" s="3055"/>
      <c r="AR389" s="3055"/>
      <c r="AS389" s="3055"/>
      <c r="AT389" s="3055"/>
      <c r="AU389" s="3056"/>
      <c r="AV389" s="3057">
        <f t="shared" si="15"/>
      </c>
      <c r="AW389" s="3054"/>
      <c r="AX389" s="3054"/>
      <c r="AY389" s="3055"/>
      <c r="AZ389" s="3055"/>
      <c r="BA389" s="3055"/>
      <c r="BB389" s="3055"/>
      <c r="BC389" s="3055"/>
      <c r="BD389" s="3055"/>
      <c r="BE389" s="3055"/>
      <c r="BF389" s="3055"/>
      <c r="BG389" s="3055"/>
      <c r="BH389" s="3055"/>
      <c r="BI389" s="3055"/>
      <c r="BJ389" s="3055"/>
      <c r="BK389" s="3055"/>
      <c r="BL389" s="3056"/>
      <c r="BM389" s="3057">
        <f t="shared" si="16"/>
      </c>
      <c r="BN389" s="3054"/>
      <c r="BO389" s="3054"/>
      <c r="BP389" s="3055"/>
      <c r="BQ389" s="3055"/>
      <c r="BR389" s="3055"/>
      <c r="BS389" s="3055"/>
      <c r="BT389" s="3055"/>
      <c r="BU389" s="3055"/>
      <c r="BV389" s="3055"/>
      <c r="BW389" s="3055"/>
      <c r="BX389" s="3055"/>
      <c r="BY389" s="3055"/>
      <c r="BZ389" s="3055"/>
      <c r="CA389" s="3055"/>
      <c r="CB389" s="3055"/>
      <c r="CC389" s="3056"/>
      <c r="CD389" s="3057">
        <f t="shared" si="0"/>
      </c>
      <c r="CE389" s="3054"/>
      <c r="CF389" s="3054"/>
      <c r="CG389" s="3055"/>
      <c r="CH389" s="3055"/>
      <c r="CI389" s="3055"/>
      <c r="CJ389" s="3055"/>
      <c r="CK389" s="3055"/>
      <c r="CL389" s="3055"/>
      <c r="CM389" s="3055"/>
      <c r="CN389" s="3055"/>
      <c r="CO389" s="3055"/>
      <c r="CP389" s="3055"/>
      <c r="CQ389" s="3055"/>
      <c r="CR389" s="3055"/>
      <c r="CS389" s="3055"/>
      <c r="CU389" s="3054"/>
      <c r="CV389" s="696"/>
      <c r="CW389" s="696"/>
      <c r="CZ389" s="3060">
        <f t="shared" si="17"/>
      </c>
      <c r="DA389" s="3060">
        <f t="shared" si="1"/>
      </c>
      <c r="DB389" s="3060">
        <f t="shared" si="18"/>
      </c>
      <c r="DC389" s="3060">
        <f t="shared" si="19"/>
      </c>
      <c r="DD389" s="3060">
        <f t="shared" si="20"/>
      </c>
      <c r="DE389" s="3060">
        <f t="shared" si="21"/>
      </c>
      <c r="DF389" s="3060">
        <f t="shared" si="22"/>
      </c>
      <c r="DG389" s="3060">
        <f t="shared" si="23"/>
      </c>
      <c r="DH389" s="3060">
        <f t="shared" si="24"/>
      </c>
      <c r="DI389" s="3060">
        <f t="shared" si="1"/>
      </c>
    </row>
    <row r="390" ht="15" customHeight="1" s="3052" customFormat="1">
      <c r="B390" s="3054">
        <f t="shared" si="2"/>
      </c>
      <c r="C390" s="3054"/>
      <c r="D390" s="3054"/>
      <c r="E390" s="3055"/>
      <c r="F390" s="3055"/>
      <c r="G390" s="3055"/>
      <c r="H390" s="3055"/>
      <c r="I390" s="3055"/>
      <c r="J390" s="3055"/>
      <c r="K390" s="3055"/>
      <c r="L390" s="3055"/>
      <c r="M390" s="3055"/>
      <c r="N390" s="3055"/>
      <c r="O390" s="3055"/>
      <c r="P390" s="3055"/>
      <c r="Q390" s="3055"/>
      <c r="R390" s="3055">
        <f t="shared" si="3"/>
        <v>0</v>
      </c>
      <c r="S390" s="3055">
        <f t="shared" si="4"/>
        <v>0</v>
      </c>
      <c r="T390" s="3055">
        <f t="shared" si="5"/>
        <v>0</v>
      </c>
      <c r="U390" s="3055">
        <f t="shared" si="6"/>
        <v>0</v>
      </c>
      <c r="V390" s="3055">
        <f t="shared" si="7"/>
        <v>0</v>
      </c>
      <c r="W390" s="3055">
        <f t="shared" si="8"/>
        <v>0</v>
      </c>
      <c r="X390" s="3055">
        <f t="shared" si="9"/>
        <v>0</v>
      </c>
      <c r="Y390" s="3055">
        <f t="shared" si="10"/>
        <v>0</v>
      </c>
      <c r="Z390" s="3055">
        <f t="shared" si="11"/>
        <v>0</v>
      </c>
      <c r="AA390" s="3055">
        <f t="shared" si="12"/>
        <v>0</v>
      </c>
      <c r="AB390" s="3055">
        <f t="shared" si="13"/>
        <v>0</v>
      </c>
      <c r="AC390" s="3055">
        <f t="shared" si="14"/>
        <v>0</v>
      </c>
      <c r="AD390" s="3056"/>
      <c r="AE390" s="3057">
        <f t="shared" si="0"/>
      </c>
      <c r="AF390" s="3054"/>
      <c r="AG390" s="3054"/>
      <c r="AH390" s="3055"/>
      <c r="AI390" s="3055"/>
      <c r="AJ390" s="3055"/>
      <c r="AK390" s="3055"/>
      <c r="AL390" s="3055"/>
      <c r="AM390" s="3055"/>
      <c r="AN390" s="3055"/>
      <c r="AO390" s="3055"/>
      <c r="AP390" s="3055"/>
      <c r="AQ390" s="3055"/>
      <c r="AR390" s="3055"/>
      <c r="AS390" s="3055"/>
      <c r="AT390" s="3055"/>
      <c r="AU390" s="3056"/>
      <c r="AV390" s="3057">
        <f t="shared" si="15"/>
      </c>
      <c r="AW390" s="3054"/>
      <c r="AX390" s="3054"/>
      <c r="AY390" s="3055"/>
      <c r="AZ390" s="3055"/>
      <c r="BA390" s="3055"/>
      <c r="BB390" s="3055"/>
      <c r="BC390" s="3055"/>
      <c r="BD390" s="3055"/>
      <c r="BE390" s="3055"/>
      <c r="BF390" s="3055"/>
      <c r="BG390" s="3055"/>
      <c r="BH390" s="3055"/>
      <c r="BI390" s="3055"/>
      <c r="BJ390" s="3055"/>
      <c r="BK390" s="3055"/>
      <c r="BL390" s="3056"/>
      <c r="BM390" s="3057">
        <f t="shared" si="16"/>
      </c>
      <c r="BN390" s="3054"/>
      <c r="BO390" s="3054"/>
      <c r="BP390" s="3055"/>
      <c r="BQ390" s="3055"/>
      <c r="BR390" s="3055"/>
      <c r="BS390" s="3055"/>
      <c r="BT390" s="3055"/>
      <c r="BU390" s="3055"/>
      <c r="BV390" s="3055"/>
      <c r="BW390" s="3055"/>
      <c r="BX390" s="3055"/>
      <c r="BY390" s="3055"/>
      <c r="BZ390" s="3055"/>
      <c r="CA390" s="3055"/>
      <c r="CB390" s="3055"/>
      <c r="CC390" s="3056"/>
      <c r="CD390" s="3057">
        <f t="shared" si="0"/>
      </c>
      <c r="CE390" s="3054"/>
      <c r="CF390" s="3054"/>
      <c r="CG390" s="3055"/>
      <c r="CH390" s="3055"/>
      <c r="CI390" s="3055"/>
      <c r="CJ390" s="3055"/>
      <c r="CK390" s="3055"/>
      <c r="CL390" s="3055"/>
      <c r="CM390" s="3055"/>
      <c r="CN390" s="3055"/>
      <c r="CO390" s="3055"/>
      <c r="CP390" s="3055"/>
      <c r="CQ390" s="3055"/>
      <c r="CR390" s="3055"/>
      <c r="CS390" s="3055"/>
      <c r="CU390" s="3054"/>
      <c r="CV390" s="696"/>
      <c r="CW390" s="696"/>
      <c r="CZ390" s="3060">
        <f t="shared" si="17"/>
      </c>
      <c r="DA390" s="3060">
        <f t="shared" si="1"/>
      </c>
      <c r="DB390" s="3060">
        <f t="shared" si="18"/>
      </c>
      <c r="DC390" s="3060">
        <f t="shared" si="19"/>
      </c>
      <c r="DD390" s="3060">
        <f t="shared" si="20"/>
      </c>
      <c r="DE390" s="3060">
        <f t="shared" si="21"/>
      </c>
      <c r="DF390" s="3060">
        <f t="shared" si="22"/>
      </c>
      <c r="DG390" s="3060">
        <f t="shared" si="23"/>
      </c>
      <c r="DH390" s="3060">
        <f t="shared" si="24"/>
      </c>
      <c r="DI390" s="3060">
        <f t="shared" si="1"/>
      </c>
    </row>
    <row r="391" ht="15" customHeight="1" s="3052" customFormat="1">
      <c r="B391" s="3054">
        <f t="shared" si="2"/>
      </c>
      <c r="C391" s="3054"/>
      <c r="D391" s="3054"/>
      <c r="E391" s="3055"/>
      <c r="F391" s="3055"/>
      <c r="G391" s="3055"/>
      <c r="H391" s="3055"/>
      <c r="I391" s="3055"/>
      <c r="J391" s="3055"/>
      <c r="K391" s="3055"/>
      <c r="L391" s="3055"/>
      <c r="M391" s="3055"/>
      <c r="N391" s="3055"/>
      <c r="O391" s="3055"/>
      <c r="P391" s="3055"/>
      <c r="Q391" s="3055"/>
      <c r="R391" s="3055">
        <f t="shared" si="3"/>
        <v>0</v>
      </c>
      <c r="S391" s="3055">
        <f t="shared" si="4"/>
        <v>0</v>
      </c>
      <c r="T391" s="3055">
        <f t="shared" si="5"/>
        <v>0</v>
      </c>
      <c r="U391" s="3055">
        <f t="shared" si="6"/>
        <v>0</v>
      </c>
      <c r="V391" s="3055">
        <f t="shared" si="7"/>
        <v>0</v>
      </c>
      <c r="W391" s="3055">
        <f t="shared" si="8"/>
        <v>0</v>
      </c>
      <c r="X391" s="3055">
        <f t="shared" si="9"/>
        <v>0</v>
      </c>
      <c r="Y391" s="3055">
        <f t="shared" si="10"/>
        <v>0</v>
      </c>
      <c r="Z391" s="3055">
        <f t="shared" si="11"/>
        <v>0</v>
      </c>
      <c r="AA391" s="3055">
        <f t="shared" si="12"/>
        <v>0</v>
      </c>
      <c r="AB391" s="3055">
        <f t="shared" si="13"/>
        <v>0</v>
      </c>
      <c r="AC391" s="3055">
        <f t="shared" si="14"/>
        <v>0</v>
      </c>
      <c r="AD391" s="3056"/>
      <c r="AE391" s="3057">
        <f t="shared" si="0"/>
      </c>
      <c r="AF391" s="3054"/>
      <c r="AG391" s="3054"/>
      <c r="AH391" s="3055"/>
      <c r="AI391" s="3055"/>
      <c r="AJ391" s="3055"/>
      <c r="AK391" s="3055"/>
      <c r="AL391" s="3055"/>
      <c r="AM391" s="3055"/>
      <c r="AN391" s="3055"/>
      <c r="AO391" s="3055"/>
      <c r="AP391" s="3055"/>
      <c r="AQ391" s="3055"/>
      <c r="AR391" s="3055"/>
      <c r="AS391" s="3055"/>
      <c r="AT391" s="3055"/>
      <c r="AU391" s="3056"/>
      <c r="AV391" s="3057">
        <f t="shared" si="15"/>
      </c>
      <c r="AW391" s="3054"/>
      <c r="AX391" s="3054"/>
      <c r="AY391" s="3055"/>
      <c r="AZ391" s="3055"/>
      <c r="BA391" s="3055"/>
      <c r="BB391" s="3055"/>
      <c r="BC391" s="3055"/>
      <c r="BD391" s="3055"/>
      <c r="BE391" s="3055"/>
      <c r="BF391" s="3055"/>
      <c r="BG391" s="3055"/>
      <c r="BH391" s="3055"/>
      <c r="BI391" s="3055"/>
      <c r="BJ391" s="3055"/>
      <c r="BK391" s="3055"/>
      <c r="BL391" s="3056"/>
      <c r="BM391" s="3057">
        <f t="shared" si="16"/>
      </c>
      <c r="BN391" s="3054"/>
      <c r="BO391" s="3054"/>
      <c r="BP391" s="3055"/>
      <c r="BQ391" s="3055"/>
      <c r="BR391" s="3055"/>
      <c r="BS391" s="3055"/>
      <c r="BT391" s="3055"/>
      <c r="BU391" s="3055"/>
      <c r="BV391" s="3055"/>
      <c r="BW391" s="3055"/>
      <c r="BX391" s="3055"/>
      <c r="BY391" s="3055"/>
      <c r="BZ391" s="3055"/>
      <c r="CA391" s="3055"/>
      <c r="CB391" s="3055"/>
      <c r="CC391" s="3056"/>
      <c r="CD391" s="3057">
        <f t="shared" si="0"/>
      </c>
      <c r="CE391" s="3054"/>
      <c r="CF391" s="3054"/>
      <c r="CG391" s="3055"/>
      <c r="CH391" s="3055"/>
      <c r="CI391" s="3055"/>
      <c r="CJ391" s="3055"/>
      <c r="CK391" s="3055"/>
      <c r="CL391" s="3055"/>
      <c r="CM391" s="3055"/>
      <c r="CN391" s="3055"/>
      <c r="CO391" s="3055"/>
      <c r="CP391" s="3055"/>
      <c r="CQ391" s="3055"/>
      <c r="CR391" s="3055"/>
      <c r="CS391" s="3055"/>
      <c r="CU391" s="3054"/>
      <c r="CV391" s="696"/>
      <c r="CW391" s="696"/>
      <c r="CZ391" s="3060">
        <f t="shared" si="17"/>
      </c>
      <c r="DA391" s="3060">
        <f t="shared" si="1"/>
      </c>
      <c r="DB391" s="3060">
        <f t="shared" si="18"/>
      </c>
      <c r="DC391" s="3060">
        <f t="shared" si="19"/>
      </c>
      <c r="DD391" s="3060">
        <f t="shared" si="20"/>
      </c>
      <c r="DE391" s="3060">
        <f t="shared" si="21"/>
      </c>
      <c r="DF391" s="3060">
        <f t="shared" si="22"/>
      </c>
      <c r="DG391" s="3060">
        <f t="shared" si="23"/>
      </c>
      <c r="DH391" s="3060">
        <f t="shared" si="24"/>
      </c>
      <c r="DI391" s="3060">
        <f t="shared" si="1"/>
      </c>
    </row>
    <row r="392" ht="15" customHeight="1" s="3052" customFormat="1">
      <c r="B392" s="3054">
        <f t="shared" si="2"/>
      </c>
      <c r="C392" s="3054"/>
      <c r="D392" s="3054"/>
      <c r="E392" s="3055"/>
      <c r="F392" s="3055"/>
      <c r="G392" s="3055"/>
      <c r="H392" s="3055"/>
      <c r="I392" s="3055"/>
      <c r="J392" s="3055"/>
      <c r="K392" s="3055"/>
      <c r="L392" s="3055"/>
      <c r="M392" s="3055"/>
      <c r="N392" s="3055"/>
      <c r="O392" s="3055"/>
      <c r="P392" s="3055"/>
      <c r="Q392" s="3055"/>
      <c r="R392" s="3055">
        <f t="shared" si="3"/>
        <v>0</v>
      </c>
      <c r="S392" s="3055">
        <f t="shared" si="4"/>
        <v>0</v>
      </c>
      <c r="T392" s="3055">
        <f t="shared" si="5"/>
        <v>0</v>
      </c>
      <c r="U392" s="3055">
        <f t="shared" si="6"/>
        <v>0</v>
      </c>
      <c r="V392" s="3055">
        <f t="shared" si="7"/>
        <v>0</v>
      </c>
      <c r="W392" s="3055">
        <f t="shared" si="8"/>
        <v>0</v>
      </c>
      <c r="X392" s="3055">
        <f t="shared" si="9"/>
        <v>0</v>
      </c>
      <c r="Y392" s="3055">
        <f t="shared" si="10"/>
        <v>0</v>
      </c>
      <c r="Z392" s="3055">
        <f t="shared" si="11"/>
        <v>0</v>
      </c>
      <c r="AA392" s="3055">
        <f t="shared" si="12"/>
        <v>0</v>
      </c>
      <c r="AB392" s="3055">
        <f t="shared" si="13"/>
        <v>0</v>
      </c>
      <c r="AC392" s="3055">
        <f t="shared" si="14"/>
        <v>0</v>
      </c>
      <c r="AD392" s="3056"/>
      <c r="AE392" s="3057">
        <f t="shared" si="0"/>
      </c>
      <c r="AF392" s="3054"/>
      <c r="AG392" s="3054"/>
      <c r="AH392" s="3055"/>
      <c r="AI392" s="3055"/>
      <c r="AJ392" s="3055"/>
      <c r="AK392" s="3055"/>
      <c r="AL392" s="3055"/>
      <c r="AM392" s="3055"/>
      <c r="AN392" s="3055"/>
      <c r="AO392" s="3055"/>
      <c r="AP392" s="3055"/>
      <c r="AQ392" s="3055"/>
      <c r="AR392" s="3055"/>
      <c r="AS392" s="3055"/>
      <c r="AT392" s="3055"/>
      <c r="AU392" s="3056"/>
      <c r="AV392" s="3057">
        <f t="shared" si="15"/>
      </c>
      <c r="AW392" s="3054"/>
      <c r="AX392" s="3054"/>
      <c r="AY392" s="3055"/>
      <c r="AZ392" s="3055"/>
      <c r="BA392" s="3055"/>
      <c r="BB392" s="3055"/>
      <c r="BC392" s="3055"/>
      <c r="BD392" s="3055"/>
      <c r="BE392" s="3055"/>
      <c r="BF392" s="3055"/>
      <c r="BG392" s="3055"/>
      <c r="BH392" s="3055"/>
      <c r="BI392" s="3055"/>
      <c r="BJ392" s="3055"/>
      <c r="BK392" s="3055"/>
      <c r="BL392" s="3056"/>
      <c r="BM392" s="3057">
        <f t="shared" si="16"/>
      </c>
      <c r="BN392" s="3054"/>
      <c r="BO392" s="3054"/>
      <c r="BP392" s="3055"/>
      <c r="BQ392" s="3055"/>
      <c r="BR392" s="3055"/>
      <c r="BS392" s="3055"/>
      <c r="BT392" s="3055"/>
      <c r="BU392" s="3055"/>
      <c r="BV392" s="3055"/>
      <c r="BW392" s="3055"/>
      <c r="BX392" s="3055"/>
      <c r="BY392" s="3055"/>
      <c r="BZ392" s="3055"/>
      <c r="CA392" s="3055"/>
      <c r="CB392" s="3055"/>
      <c r="CC392" s="3056"/>
      <c r="CD392" s="3057">
        <f t="shared" si="0"/>
      </c>
      <c r="CE392" s="3054"/>
      <c r="CF392" s="3054"/>
      <c r="CG392" s="3055"/>
      <c r="CH392" s="3055"/>
      <c r="CI392" s="3055"/>
      <c r="CJ392" s="3055"/>
      <c r="CK392" s="3055"/>
      <c r="CL392" s="3055"/>
      <c r="CM392" s="3055"/>
      <c r="CN392" s="3055"/>
      <c r="CO392" s="3055"/>
      <c r="CP392" s="3055"/>
      <c r="CQ392" s="3055"/>
      <c r="CR392" s="3055"/>
      <c r="CS392" s="3055"/>
      <c r="CU392" s="3054"/>
      <c r="CV392" s="696"/>
      <c r="CW392" s="696"/>
      <c r="CZ392" s="3060">
        <f t="shared" si="17"/>
      </c>
      <c r="DA392" s="3060">
        <f t="shared" si="1"/>
      </c>
      <c r="DB392" s="3060">
        <f t="shared" si="18"/>
      </c>
      <c r="DC392" s="3060">
        <f t="shared" si="19"/>
      </c>
      <c r="DD392" s="3060">
        <f t="shared" si="20"/>
      </c>
      <c r="DE392" s="3060">
        <f t="shared" si="21"/>
      </c>
      <c r="DF392" s="3060">
        <f t="shared" si="22"/>
      </c>
      <c r="DG392" s="3060">
        <f t="shared" si="23"/>
      </c>
      <c r="DH392" s="3060">
        <f t="shared" si="24"/>
      </c>
      <c r="DI392" s="3060">
        <f t="shared" si="1"/>
      </c>
    </row>
    <row r="393" ht="15" customHeight="1" s="3052" customFormat="1">
      <c r="B393" s="3054">
        <f t="shared" si="2"/>
      </c>
      <c r="C393" s="3054"/>
      <c r="D393" s="3054"/>
      <c r="E393" s="3055"/>
      <c r="F393" s="3055"/>
      <c r="G393" s="3055"/>
      <c r="H393" s="3055"/>
      <c r="I393" s="3055"/>
      <c r="J393" s="3055"/>
      <c r="K393" s="3055"/>
      <c r="L393" s="3055"/>
      <c r="M393" s="3055"/>
      <c r="N393" s="3055"/>
      <c r="O393" s="3055"/>
      <c r="P393" s="3055"/>
      <c r="Q393" s="3055"/>
      <c r="R393" s="3055">
        <f t="shared" si="3"/>
        <v>0</v>
      </c>
      <c r="S393" s="3055">
        <f t="shared" si="4"/>
        <v>0</v>
      </c>
      <c r="T393" s="3055">
        <f t="shared" si="5"/>
        <v>0</v>
      </c>
      <c r="U393" s="3055">
        <f t="shared" si="6"/>
        <v>0</v>
      </c>
      <c r="V393" s="3055">
        <f t="shared" si="7"/>
        <v>0</v>
      </c>
      <c r="W393" s="3055">
        <f t="shared" si="8"/>
        <v>0</v>
      </c>
      <c r="X393" s="3055">
        <f t="shared" si="9"/>
        <v>0</v>
      </c>
      <c r="Y393" s="3055">
        <f t="shared" si="10"/>
        <v>0</v>
      </c>
      <c r="Z393" s="3055">
        <f t="shared" si="11"/>
        <v>0</v>
      </c>
      <c r="AA393" s="3055">
        <f t="shared" si="12"/>
        <v>0</v>
      </c>
      <c r="AB393" s="3055">
        <f t="shared" si="13"/>
        <v>0</v>
      </c>
      <c r="AC393" s="3055">
        <f t="shared" si="14"/>
        <v>0</v>
      </c>
      <c r="AD393" s="3056"/>
      <c r="AE393" s="3057">
        <f t="shared" si="0"/>
      </c>
      <c r="AF393" s="3054"/>
      <c r="AG393" s="3054"/>
      <c r="AH393" s="3055"/>
      <c r="AI393" s="3055"/>
      <c r="AJ393" s="3055"/>
      <c r="AK393" s="3055"/>
      <c r="AL393" s="3055"/>
      <c r="AM393" s="3055"/>
      <c r="AN393" s="3055"/>
      <c r="AO393" s="3055"/>
      <c r="AP393" s="3055"/>
      <c r="AQ393" s="3055"/>
      <c r="AR393" s="3055"/>
      <c r="AS393" s="3055"/>
      <c r="AT393" s="3055"/>
      <c r="AU393" s="3056"/>
      <c r="AV393" s="3057">
        <f t="shared" si="15"/>
      </c>
      <c r="AW393" s="3054"/>
      <c r="AX393" s="3054"/>
      <c r="AY393" s="3055"/>
      <c r="AZ393" s="3055"/>
      <c r="BA393" s="3055"/>
      <c r="BB393" s="3055"/>
      <c r="BC393" s="3055"/>
      <c r="BD393" s="3055"/>
      <c r="BE393" s="3055"/>
      <c r="BF393" s="3055"/>
      <c r="BG393" s="3055"/>
      <c r="BH393" s="3055"/>
      <c r="BI393" s="3055"/>
      <c r="BJ393" s="3055"/>
      <c r="BK393" s="3055"/>
      <c r="BL393" s="3056"/>
      <c r="BM393" s="3057">
        <f t="shared" si="16"/>
      </c>
      <c r="BN393" s="3054"/>
      <c r="BO393" s="3054"/>
      <c r="BP393" s="3055"/>
      <c r="BQ393" s="3055"/>
      <c r="BR393" s="3055"/>
      <c r="BS393" s="3055"/>
      <c r="BT393" s="3055"/>
      <c r="BU393" s="3055"/>
      <c r="BV393" s="3055"/>
      <c r="BW393" s="3055"/>
      <c r="BX393" s="3055"/>
      <c r="BY393" s="3055"/>
      <c r="BZ393" s="3055"/>
      <c r="CA393" s="3055"/>
      <c r="CB393" s="3055"/>
      <c r="CC393" s="3056"/>
      <c r="CD393" s="3057">
        <f t="shared" si="0"/>
      </c>
      <c r="CE393" s="3054"/>
      <c r="CF393" s="3054"/>
      <c r="CG393" s="3055"/>
      <c r="CH393" s="3055"/>
      <c r="CI393" s="3055"/>
      <c r="CJ393" s="3055"/>
      <c r="CK393" s="3055"/>
      <c r="CL393" s="3055"/>
      <c r="CM393" s="3055"/>
      <c r="CN393" s="3055"/>
      <c r="CO393" s="3055"/>
      <c r="CP393" s="3055"/>
      <c r="CQ393" s="3055"/>
      <c r="CR393" s="3055"/>
      <c r="CS393" s="3055"/>
      <c r="CU393" s="3054"/>
      <c r="CV393" s="696"/>
      <c r="CW393" s="696"/>
      <c r="CZ393" s="3060">
        <f t="shared" si="17"/>
      </c>
      <c r="DA393" s="3060">
        <f t="shared" si="1"/>
      </c>
      <c r="DB393" s="3060">
        <f t="shared" si="18"/>
      </c>
      <c r="DC393" s="3060">
        <f t="shared" si="19"/>
      </c>
      <c r="DD393" s="3060">
        <f t="shared" si="20"/>
      </c>
      <c r="DE393" s="3060">
        <f t="shared" si="21"/>
      </c>
      <c r="DF393" s="3060">
        <f t="shared" si="22"/>
      </c>
      <c r="DG393" s="3060">
        <f t="shared" si="23"/>
      </c>
      <c r="DH393" s="3060">
        <f t="shared" si="24"/>
      </c>
      <c r="DI393" s="3060">
        <f t="shared" si="1"/>
      </c>
    </row>
    <row r="394" ht="15" customHeight="1" s="3052" customFormat="1">
      <c r="B394" s="3054">
        <f t="shared" si="2"/>
      </c>
      <c r="C394" s="3054"/>
      <c r="D394" s="3054"/>
      <c r="E394" s="3055"/>
      <c r="F394" s="3055"/>
      <c r="G394" s="3055"/>
      <c r="H394" s="3055"/>
      <c r="I394" s="3055"/>
      <c r="J394" s="3055"/>
      <c r="K394" s="3055"/>
      <c r="L394" s="3055"/>
      <c r="M394" s="3055"/>
      <c r="N394" s="3055"/>
      <c r="O394" s="3055"/>
      <c r="P394" s="3055"/>
      <c r="Q394" s="3055"/>
      <c r="R394" s="3055">
        <f t="shared" si="3"/>
        <v>0</v>
      </c>
      <c r="S394" s="3055">
        <f t="shared" si="4"/>
        <v>0</v>
      </c>
      <c r="T394" s="3055">
        <f t="shared" si="5"/>
        <v>0</v>
      </c>
      <c r="U394" s="3055">
        <f t="shared" si="6"/>
        <v>0</v>
      </c>
      <c r="V394" s="3055">
        <f t="shared" si="7"/>
        <v>0</v>
      </c>
      <c r="W394" s="3055">
        <f t="shared" si="8"/>
        <v>0</v>
      </c>
      <c r="X394" s="3055">
        <f t="shared" si="9"/>
        <v>0</v>
      </c>
      <c r="Y394" s="3055">
        <f t="shared" si="10"/>
        <v>0</v>
      </c>
      <c r="Z394" s="3055">
        <f t="shared" si="11"/>
        <v>0</v>
      </c>
      <c r="AA394" s="3055">
        <f t="shared" si="12"/>
        <v>0</v>
      </c>
      <c r="AB394" s="3055">
        <f t="shared" si="13"/>
        <v>0</v>
      </c>
      <c r="AC394" s="3055">
        <f t="shared" si="14"/>
        <v>0</v>
      </c>
      <c r="AD394" s="3056"/>
      <c r="AE394" s="3057">
        <f t="shared" si="0"/>
      </c>
      <c r="AF394" s="3054"/>
      <c r="AG394" s="3054"/>
      <c r="AH394" s="3055"/>
      <c r="AI394" s="3055"/>
      <c r="AJ394" s="3055"/>
      <c r="AK394" s="3055"/>
      <c r="AL394" s="3055"/>
      <c r="AM394" s="3055"/>
      <c r="AN394" s="3055"/>
      <c r="AO394" s="3055"/>
      <c r="AP394" s="3055"/>
      <c r="AQ394" s="3055"/>
      <c r="AR394" s="3055"/>
      <c r="AS394" s="3055"/>
      <c r="AT394" s="3055"/>
      <c r="AU394" s="3056"/>
      <c r="AV394" s="3057">
        <f t="shared" si="15"/>
      </c>
      <c r="AW394" s="3054"/>
      <c r="AX394" s="3054"/>
      <c r="AY394" s="3055"/>
      <c r="AZ394" s="3055"/>
      <c r="BA394" s="3055"/>
      <c r="BB394" s="3055"/>
      <c r="BC394" s="3055"/>
      <c r="BD394" s="3055"/>
      <c r="BE394" s="3055"/>
      <c r="BF394" s="3055"/>
      <c r="BG394" s="3055"/>
      <c r="BH394" s="3055"/>
      <c r="BI394" s="3055"/>
      <c r="BJ394" s="3055"/>
      <c r="BK394" s="3055"/>
      <c r="BL394" s="3056"/>
      <c r="BM394" s="3057">
        <f t="shared" si="16"/>
      </c>
      <c r="BN394" s="3054"/>
      <c r="BO394" s="3054"/>
      <c r="BP394" s="3055"/>
      <c r="BQ394" s="3055"/>
      <c r="BR394" s="3055"/>
      <c r="BS394" s="3055"/>
      <c r="BT394" s="3055"/>
      <c r="BU394" s="3055"/>
      <c r="BV394" s="3055"/>
      <c r="BW394" s="3055"/>
      <c r="BX394" s="3055"/>
      <c r="BY394" s="3055"/>
      <c r="BZ394" s="3055"/>
      <c r="CA394" s="3055"/>
      <c r="CB394" s="3055"/>
      <c r="CC394" s="3056"/>
      <c r="CD394" s="3057">
        <f t="shared" si="0"/>
      </c>
      <c r="CE394" s="3054"/>
      <c r="CF394" s="3054"/>
      <c r="CG394" s="3055"/>
      <c r="CH394" s="3055"/>
      <c r="CI394" s="3055"/>
      <c r="CJ394" s="3055"/>
      <c r="CK394" s="3055"/>
      <c r="CL394" s="3055"/>
      <c r="CM394" s="3055"/>
      <c r="CN394" s="3055"/>
      <c r="CO394" s="3055"/>
      <c r="CP394" s="3055"/>
      <c r="CQ394" s="3055"/>
      <c r="CR394" s="3055"/>
      <c r="CS394" s="3055"/>
      <c r="CU394" s="3054"/>
      <c r="CV394" s="696"/>
      <c r="CW394" s="696"/>
      <c r="CZ394" s="3060">
        <f t="shared" si="17"/>
      </c>
      <c r="DA394" s="3060">
        <f t="shared" si="1"/>
      </c>
      <c r="DB394" s="3060">
        <f t="shared" si="18"/>
      </c>
      <c r="DC394" s="3060">
        <f t="shared" si="19"/>
      </c>
      <c r="DD394" s="3060">
        <f t="shared" si="20"/>
      </c>
      <c r="DE394" s="3060">
        <f t="shared" si="21"/>
      </c>
      <c r="DF394" s="3060">
        <f t="shared" si="22"/>
      </c>
      <c r="DG394" s="3060">
        <f t="shared" si="23"/>
      </c>
      <c r="DH394" s="3060">
        <f t="shared" si="24"/>
      </c>
      <c r="DI394" s="3060">
        <f t="shared" si="1"/>
      </c>
    </row>
    <row r="395" ht="15" customHeight="1" s="3052" customFormat="1">
      <c r="B395" s="3054">
        <f t="shared" si="2"/>
      </c>
      <c r="C395" s="3054"/>
      <c r="D395" s="3054"/>
      <c r="E395" s="3055"/>
      <c r="F395" s="3055"/>
      <c r="G395" s="3055"/>
      <c r="H395" s="3055"/>
      <c r="I395" s="3055"/>
      <c r="J395" s="3055"/>
      <c r="K395" s="3055"/>
      <c r="L395" s="3055"/>
      <c r="M395" s="3055"/>
      <c r="N395" s="3055"/>
      <c r="O395" s="3055"/>
      <c r="P395" s="3055"/>
      <c r="Q395" s="3055"/>
      <c r="R395" s="3055">
        <f t="shared" si="3"/>
        <v>0</v>
      </c>
      <c r="S395" s="3055">
        <f t="shared" si="4"/>
        <v>0</v>
      </c>
      <c r="T395" s="3055">
        <f t="shared" si="5"/>
        <v>0</v>
      </c>
      <c r="U395" s="3055">
        <f t="shared" si="6"/>
        <v>0</v>
      </c>
      <c r="V395" s="3055">
        <f t="shared" si="7"/>
        <v>0</v>
      </c>
      <c r="W395" s="3055">
        <f t="shared" si="8"/>
        <v>0</v>
      </c>
      <c r="X395" s="3055">
        <f t="shared" si="9"/>
        <v>0</v>
      </c>
      <c r="Y395" s="3055">
        <f t="shared" si="10"/>
        <v>0</v>
      </c>
      <c r="Z395" s="3055">
        <f t="shared" si="11"/>
        <v>0</v>
      </c>
      <c r="AA395" s="3055">
        <f t="shared" si="12"/>
        <v>0</v>
      </c>
      <c r="AB395" s="3055">
        <f t="shared" si="13"/>
        <v>0</v>
      </c>
      <c r="AC395" s="3055">
        <f t="shared" si="14"/>
        <v>0</v>
      </c>
      <c r="AD395" s="3056"/>
      <c r="AE395" s="3057">
        <f t="shared" si="0"/>
      </c>
      <c r="AF395" s="3054"/>
      <c r="AG395" s="3054"/>
      <c r="AH395" s="3055"/>
      <c r="AI395" s="3055"/>
      <c r="AJ395" s="3055"/>
      <c r="AK395" s="3055"/>
      <c r="AL395" s="3055"/>
      <c r="AM395" s="3055"/>
      <c r="AN395" s="3055"/>
      <c r="AO395" s="3055"/>
      <c r="AP395" s="3055"/>
      <c r="AQ395" s="3055"/>
      <c r="AR395" s="3055"/>
      <c r="AS395" s="3055"/>
      <c r="AT395" s="3055"/>
      <c r="AU395" s="3056"/>
      <c r="AV395" s="3057">
        <f t="shared" si="15"/>
      </c>
      <c r="AW395" s="3054"/>
      <c r="AX395" s="3054"/>
      <c r="AY395" s="3055"/>
      <c r="AZ395" s="3055"/>
      <c r="BA395" s="3055"/>
      <c r="BB395" s="3055"/>
      <c r="BC395" s="3055"/>
      <c r="BD395" s="3055"/>
      <c r="BE395" s="3055"/>
      <c r="BF395" s="3055"/>
      <c r="BG395" s="3055"/>
      <c r="BH395" s="3055"/>
      <c r="BI395" s="3055"/>
      <c r="BJ395" s="3055"/>
      <c r="BK395" s="3055"/>
      <c r="BL395" s="3056"/>
      <c r="BM395" s="3057">
        <f t="shared" si="16"/>
      </c>
      <c r="BN395" s="3054"/>
      <c r="BO395" s="3054"/>
      <c r="BP395" s="3055"/>
      <c r="BQ395" s="3055"/>
      <c r="BR395" s="3055"/>
      <c r="BS395" s="3055"/>
      <c r="BT395" s="3055"/>
      <c r="BU395" s="3055"/>
      <c r="BV395" s="3055"/>
      <c r="BW395" s="3055"/>
      <c r="BX395" s="3055"/>
      <c r="BY395" s="3055"/>
      <c r="BZ395" s="3055"/>
      <c r="CA395" s="3055"/>
      <c r="CB395" s="3055"/>
      <c r="CC395" s="3056"/>
      <c r="CD395" s="3057">
        <f t="shared" si="0"/>
      </c>
      <c r="CE395" s="3054"/>
      <c r="CF395" s="3054"/>
      <c r="CG395" s="3055"/>
      <c r="CH395" s="3055"/>
      <c r="CI395" s="3055"/>
      <c r="CJ395" s="3055"/>
      <c r="CK395" s="3055"/>
      <c r="CL395" s="3055"/>
      <c r="CM395" s="3055"/>
      <c r="CN395" s="3055"/>
      <c r="CO395" s="3055"/>
      <c r="CP395" s="3055"/>
      <c r="CQ395" s="3055"/>
      <c r="CR395" s="3055"/>
      <c r="CS395" s="3055"/>
      <c r="CU395" s="3054"/>
      <c r="CV395" s="696"/>
      <c r="CW395" s="696"/>
      <c r="CZ395" s="3060">
        <f t="shared" si="17"/>
      </c>
      <c r="DA395" s="3060">
        <f t="shared" si="1"/>
      </c>
      <c r="DB395" s="3060">
        <f t="shared" si="18"/>
      </c>
      <c r="DC395" s="3060">
        <f t="shared" si="19"/>
      </c>
      <c r="DD395" s="3060">
        <f t="shared" si="20"/>
      </c>
      <c r="DE395" s="3060">
        <f t="shared" si="21"/>
      </c>
      <c r="DF395" s="3060">
        <f t="shared" si="22"/>
      </c>
      <c r="DG395" s="3060">
        <f t="shared" si="23"/>
      </c>
      <c r="DH395" s="3060">
        <f t="shared" si="24"/>
      </c>
      <c r="DI395" s="3060">
        <f t="shared" si="1"/>
      </c>
    </row>
    <row r="396" ht="15" customHeight="1" s="3052" customFormat="1">
      <c r="B396" s="3054">
        <f t="shared" si="2"/>
      </c>
      <c r="C396" s="3054"/>
      <c r="D396" s="3054"/>
      <c r="E396" s="3055"/>
      <c r="F396" s="3055"/>
      <c r="G396" s="3055"/>
      <c r="H396" s="3055"/>
      <c r="I396" s="3055"/>
      <c r="J396" s="3055"/>
      <c r="K396" s="3055"/>
      <c r="L396" s="3055"/>
      <c r="M396" s="3055"/>
      <c r="N396" s="3055"/>
      <c r="O396" s="3055"/>
      <c r="P396" s="3055"/>
      <c r="Q396" s="3055"/>
      <c r="R396" s="3055">
        <f t="shared" si="3"/>
        <v>0</v>
      </c>
      <c r="S396" s="3055">
        <f t="shared" si="4"/>
        <v>0</v>
      </c>
      <c r="T396" s="3055">
        <f t="shared" si="5"/>
        <v>0</v>
      </c>
      <c r="U396" s="3055">
        <f t="shared" si="6"/>
        <v>0</v>
      </c>
      <c r="V396" s="3055">
        <f t="shared" si="7"/>
        <v>0</v>
      </c>
      <c r="W396" s="3055">
        <f t="shared" si="8"/>
        <v>0</v>
      </c>
      <c r="X396" s="3055">
        <f t="shared" si="9"/>
        <v>0</v>
      </c>
      <c r="Y396" s="3055">
        <f t="shared" si="10"/>
        <v>0</v>
      </c>
      <c r="Z396" s="3055">
        <f t="shared" si="11"/>
        <v>0</v>
      </c>
      <c r="AA396" s="3055">
        <f t="shared" si="12"/>
        <v>0</v>
      </c>
      <c r="AB396" s="3055">
        <f t="shared" si="13"/>
        <v>0</v>
      </c>
      <c r="AC396" s="3055">
        <f t="shared" si="14"/>
        <v>0</v>
      </c>
      <c r="AD396" s="3056"/>
      <c r="AE396" s="3057">
        <f t="shared" si="0"/>
      </c>
      <c r="AF396" s="3054"/>
      <c r="AG396" s="3054"/>
      <c r="AH396" s="3055"/>
      <c r="AI396" s="3055"/>
      <c r="AJ396" s="3055"/>
      <c r="AK396" s="3055"/>
      <c r="AL396" s="3055"/>
      <c r="AM396" s="3055"/>
      <c r="AN396" s="3055"/>
      <c r="AO396" s="3055"/>
      <c r="AP396" s="3055"/>
      <c r="AQ396" s="3055"/>
      <c r="AR396" s="3055"/>
      <c r="AS396" s="3055"/>
      <c r="AT396" s="3055"/>
      <c r="AU396" s="3056"/>
      <c r="AV396" s="3057">
        <f t="shared" si="15"/>
      </c>
      <c r="AW396" s="3054"/>
      <c r="AX396" s="3054"/>
      <c r="AY396" s="3055"/>
      <c r="AZ396" s="3055"/>
      <c r="BA396" s="3055"/>
      <c r="BB396" s="3055"/>
      <c r="BC396" s="3055"/>
      <c r="BD396" s="3055"/>
      <c r="BE396" s="3055"/>
      <c r="BF396" s="3055"/>
      <c r="BG396" s="3055"/>
      <c r="BH396" s="3055"/>
      <c r="BI396" s="3055"/>
      <c r="BJ396" s="3055"/>
      <c r="BK396" s="3055"/>
      <c r="BL396" s="3056"/>
      <c r="BM396" s="3057">
        <f t="shared" si="16"/>
      </c>
      <c r="BN396" s="3054"/>
      <c r="BO396" s="3054"/>
      <c r="BP396" s="3055"/>
      <c r="BQ396" s="3055"/>
      <c r="BR396" s="3055"/>
      <c r="BS396" s="3055"/>
      <c r="BT396" s="3055"/>
      <c r="BU396" s="3055"/>
      <c r="BV396" s="3055"/>
      <c r="BW396" s="3055"/>
      <c r="BX396" s="3055"/>
      <c r="BY396" s="3055"/>
      <c r="BZ396" s="3055"/>
      <c r="CA396" s="3055"/>
      <c r="CB396" s="3055"/>
      <c r="CC396" s="3056"/>
      <c r="CD396" s="3057">
        <f t="shared" si="0"/>
      </c>
      <c r="CE396" s="3054"/>
      <c r="CF396" s="3054"/>
      <c r="CG396" s="3055"/>
      <c r="CH396" s="3055"/>
      <c r="CI396" s="3055"/>
      <c r="CJ396" s="3055"/>
      <c r="CK396" s="3055"/>
      <c r="CL396" s="3055"/>
      <c r="CM396" s="3055"/>
      <c r="CN396" s="3055"/>
      <c r="CO396" s="3055"/>
      <c r="CP396" s="3055"/>
      <c r="CQ396" s="3055"/>
      <c r="CR396" s="3055"/>
      <c r="CS396" s="3055"/>
      <c r="CU396" s="3054"/>
      <c r="CV396" s="696"/>
      <c r="CW396" s="696"/>
      <c r="CZ396" s="3060">
        <f t="shared" si="17"/>
      </c>
      <c r="DA396" s="3060">
        <f t="shared" si="1"/>
      </c>
      <c r="DB396" s="3060">
        <f t="shared" si="18"/>
      </c>
      <c r="DC396" s="3060">
        <f t="shared" si="19"/>
      </c>
      <c r="DD396" s="3060">
        <f t="shared" si="20"/>
      </c>
      <c r="DE396" s="3060">
        <f t="shared" si="21"/>
      </c>
      <c r="DF396" s="3060">
        <f t="shared" si="22"/>
      </c>
      <c r="DG396" s="3060">
        <f t="shared" si="23"/>
      </c>
      <c r="DH396" s="3060">
        <f t="shared" si="24"/>
      </c>
      <c r="DI396" s="3060">
        <f t="shared" si="1"/>
      </c>
    </row>
    <row r="397" ht="15" customHeight="1" s="3052" customFormat="1">
      <c r="B397" s="3054">
        <f t="shared" si="2"/>
      </c>
      <c r="C397" s="3054"/>
      <c r="D397" s="3054"/>
      <c r="E397" s="3055"/>
      <c r="F397" s="3055"/>
      <c r="G397" s="3055"/>
      <c r="H397" s="3055"/>
      <c r="I397" s="3055"/>
      <c r="J397" s="3055"/>
      <c r="K397" s="3055"/>
      <c r="L397" s="3055"/>
      <c r="M397" s="3055"/>
      <c r="N397" s="3055"/>
      <c r="O397" s="3055"/>
      <c r="P397" s="3055"/>
      <c r="Q397" s="3055"/>
      <c r="R397" s="3055">
        <f t="shared" si="3"/>
        <v>0</v>
      </c>
      <c r="S397" s="3055">
        <f t="shared" si="4"/>
        <v>0</v>
      </c>
      <c r="T397" s="3055">
        <f t="shared" si="5"/>
        <v>0</v>
      </c>
      <c r="U397" s="3055">
        <f t="shared" si="6"/>
        <v>0</v>
      </c>
      <c r="V397" s="3055">
        <f t="shared" si="7"/>
        <v>0</v>
      </c>
      <c r="W397" s="3055">
        <f t="shared" si="8"/>
        <v>0</v>
      </c>
      <c r="X397" s="3055">
        <f t="shared" si="9"/>
        <v>0</v>
      </c>
      <c r="Y397" s="3055">
        <f t="shared" si="10"/>
        <v>0</v>
      </c>
      <c r="Z397" s="3055">
        <f t="shared" si="11"/>
        <v>0</v>
      </c>
      <c r="AA397" s="3055">
        <f t="shared" si="12"/>
        <v>0</v>
      </c>
      <c r="AB397" s="3055">
        <f t="shared" si="13"/>
        <v>0</v>
      </c>
      <c r="AC397" s="3055">
        <f t="shared" si="14"/>
        <v>0</v>
      </c>
      <c r="AD397" s="3056"/>
      <c r="AE397" s="3057">
        <f t="shared" si="0"/>
      </c>
      <c r="AF397" s="3054"/>
      <c r="AG397" s="3054"/>
      <c r="AH397" s="3055"/>
      <c r="AI397" s="3055"/>
      <c r="AJ397" s="3055"/>
      <c r="AK397" s="3055"/>
      <c r="AL397" s="3055"/>
      <c r="AM397" s="3055"/>
      <c r="AN397" s="3055"/>
      <c r="AO397" s="3055"/>
      <c r="AP397" s="3055"/>
      <c r="AQ397" s="3055"/>
      <c r="AR397" s="3055"/>
      <c r="AS397" s="3055"/>
      <c r="AT397" s="3055"/>
      <c r="AU397" s="3056"/>
      <c r="AV397" s="3057">
        <f t="shared" si="15"/>
      </c>
      <c r="AW397" s="3054"/>
      <c r="AX397" s="3054"/>
      <c r="AY397" s="3055"/>
      <c r="AZ397" s="3055"/>
      <c r="BA397" s="3055"/>
      <c r="BB397" s="3055"/>
      <c r="BC397" s="3055"/>
      <c r="BD397" s="3055"/>
      <c r="BE397" s="3055"/>
      <c r="BF397" s="3055"/>
      <c r="BG397" s="3055"/>
      <c r="BH397" s="3055"/>
      <c r="BI397" s="3055"/>
      <c r="BJ397" s="3055"/>
      <c r="BK397" s="3055"/>
      <c r="BL397" s="3056"/>
      <c r="BM397" s="3057">
        <f t="shared" si="16"/>
      </c>
      <c r="BN397" s="3054"/>
      <c r="BO397" s="3054"/>
      <c r="BP397" s="3055"/>
      <c r="BQ397" s="3055"/>
      <c r="BR397" s="3055"/>
      <c r="BS397" s="3055"/>
      <c r="BT397" s="3055"/>
      <c r="BU397" s="3055"/>
      <c r="BV397" s="3055"/>
      <c r="BW397" s="3055"/>
      <c r="BX397" s="3055"/>
      <c r="BY397" s="3055"/>
      <c r="BZ397" s="3055"/>
      <c r="CA397" s="3055"/>
      <c r="CB397" s="3055"/>
      <c r="CC397" s="3056"/>
      <c r="CD397" s="3057">
        <f t="shared" si="0"/>
      </c>
      <c r="CE397" s="3054"/>
      <c r="CF397" s="3054"/>
      <c r="CG397" s="3055"/>
      <c r="CH397" s="3055"/>
      <c r="CI397" s="3055"/>
      <c r="CJ397" s="3055"/>
      <c r="CK397" s="3055"/>
      <c r="CL397" s="3055"/>
      <c r="CM397" s="3055"/>
      <c r="CN397" s="3055"/>
      <c r="CO397" s="3055"/>
      <c r="CP397" s="3055"/>
      <c r="CQ397" s="3055"/>
      <c r="CR397" s="3055"/>
      <c r="CS397" s="3055"/>
      <c r="CU397" s="3054"/>
      <c r="CV397" s="696"/>
      <c r="CW397" s="696"/>
      <c r="CZ397" s="3060">
        <f t="shared" si="17"/>
      </c>
      <c r="DA397" s="3060">
        <f t="shared" si="1"/>
      </c>
      <c r="DB397" s="3060">
        <f t="shared" si="18"/>
      </c>
      <c r="DC397" s="3060">
        <f t="shared" si="19"/>
      </c>
      <c r="DD397" s="3060">
        <f t="shared" si="20"/>
      </c>
      <c r="DE397" s="3060">
        <f t="shared" si="21"/>
      </c>
      <c r="DF397" s="3060">
        <f t="shared" si="22"/>
      </c>
      <c r="DG397" s="3060">
        <f t="shared" si="23"/>
      </c>
      <c r="DH397" s="3060">
        <f t="shared" si="24"/>
      </c>
      <c r="DI397" s="3060">
        <f t="shared" si="1"/>
      </c>
    </row>
    <row r="398" ht="15" customHeight="1" s="3052" customFormat="1">
      <c r="B398" s="3054">
        <f t="shared" si="2"/>
      </c>
      <c r="C398" s="3054"/>
      <c r="D398" s="3054"/>
      <c r="E398" s="3055"/>
      <c r="F398" s="3055"/>
      <c r="G398" s="3055"/>
      <c r="H398" s="3055"/>
      <c r="I398" s="3055"/>
      <c r="J398" s="3055"/>
      <c r="K398" s="3055"/>
      <c r="L398" s="3055"/>
      <c r="M398" s="3055"/>
      <c r="N398" s="3055"/>
      <c r="O398" s="3055"/>
      <c r="P398" s="3055"/>
      <c r="Q398" s="3055"/>
      <c r="R398" s="3055">
        <f t="shared" si="3"/>
        <v>0</v>
      </c>
      <c r="S398" s="3055">
        <f t="shared" si="4"/>
        <v>0</v>
      </c>
      <c r="T398" s="3055">
        <f t="shared" si="5"/>
        <v>0</v>
      </c>
      <c r="U398" s="3055">
        <f t="shared" si="6"/>
        <v>0</v>
      </c>
      <c r="V398" s="3055">
        <f t="shared" si="7"/>
        <v>0</v>
      </c>
      <c r="W398" s="3055">
        <f t="shared" si="8"/>
        <v>0</v>
      </c>
      <c r="X398" s="3055">
        <f t="shared" si="9"/>
        <v>0</v>
      </c>
      <c r="Y398" s="3055">
        <f t="shared" si="10"/>
        <v>0</v>
      </c>
      <c r="Z398" s="3055">
        <f t="shared" si="11"/>
        <v>0</v>
      </c>
      <c r="AA398" s="3055">
        <f t="shared" si="12"/>
        <v>0</v>
      </c>
      <c r="AB398" s="3055">
        <f t="shared" si="13"/>
        <v>0</v>
      </c>
      <c r="AC398" s="3055">
        <f t="shared" si="14"/>
        <v>0</v>
      </c>
      <c r="AD398" s="3056"/>
      <c r="AE398" s="3057">
        <f t="shared" si="0"/>
      </c>
      <c r="AF398" s="3054"/>
      <c r="AG398" s="3054"/>
      <c r="AH398" s="3055"/>
      <c r="AI398" s="3055"/>
      <c r="AJ398" s="3055"/>
      <c r="AK398" s="3055"/>
      <c r="AL398" s="3055"/>
      <c r="AM398" s="3055"/>
      <c r="AN398" s="3055"/>
      <c r="AO398" s="3055"/>
      <c r="AP398" s="3055"/>
      <c r="AQ398" s="3055"/>
      <c r="AR398" s="3055"/>
      <c r="AS398" s="3055"/>
      <c r="AT398" s="3055"/>
      <c r="AU398" s="3056"/>
      <c r="AV398" s="3057">
        <f t="shared" si="15"/>
      </c>
      <c r="AW398" s="3054"/>
      <c r="AX398" s="3054"/>
      <c r="AY398" s="3055"/>
      <c r="AZ398" s="3055"/>
      <c r="BA398" s="3055"/>
      <c r="BB398" s="3055"/>
      <c r="BC398" s="3055"/>
      <c r="BD398" s="3055"/>
      <c r="BE398" s="3055"/>
      <c r="BF398" s="3055"/>
      <c r="BG398" s="3055"/>
      <c r="BH398" s="3055"/>
      <c r="BI398" s="3055"/>
      <c r="BJ398" s="3055"/>
      <c r="BK398" s="3055"/>
      <c r="BL398" s="3056"/>
      <c r="BM398" s="3057">
        <f t="shared" si="16"/>
      </c>
      <c r="BN398" s="3054"/>
      <c r="BO398" s="3054"/>
      <c r="BP398" s="3055"/>
      <c r="BQ398" s="3055"/>
      <c r="BR398" s="3055"/>
      <c r="BS398" s="3055"/>
      <c r="BT398" s="3055"/>
      <c r="BU398" s="3055"/>
      <c r="BV398" s="3055"/>
      <c r="BW398" s="3055"/>
      <c r="BX398" s="3055"/>
      <c r="BY398" s="3055"/>
      <c r="BZ398" s="3055"/>
      <c r="CA398" s="3055"/>
      <c r="CB398" s="3055"/>
      <c r="CC398" s="3056"/>
      <c r="CD398" s="3057">
        <f t="shared" si="0"/>
      </c>
      <c r="CE398" s="3054"/>
      <c r="CF398" s="3054"/>
      <c r="CG398" s="3055"/>
      <c r="CH398" s="3055"/>
      <c r="CI398" s="3055"/>
      <c r="CJ398" s="3055"/>
      <c r="CK398" s="3055"/>
      <c r="CL398" s="3055"/>
      <c r="CM398" s="3055"/>
      <c r="CN398" s="3055"/>
      <c r="CO398" s="3055"/>
      <c r="CP398" s="3055"/>
      <c r="CQ398" s="3055"/>
      <c r="CR398" s="3055"/>
      <c r="CS398" s="3055"/>
      <c r="CU398" s="3054"/>
      <c r="CV398" s="696"/>
      <c r="CW398" s="696"/>
      <c r="CZ398" s="3060">
        <f t="shared" si="17"/>
      </c>
      <c r="DA398" s="3060">
        <f t="shared" si="1"/>
      </c>
      <c r="DB398" s="3060">
        <f t="shared" si="18"/>
      </c>
      <c r="DC398" s="3060">
        <f t="shared" si="19"/>
      </c>
      <c r="DD398" s="3060">
        <f t="shared" si="20"/>
      </c>
      <c r="DE398" s="3060">
        <f t="shared" si="21"/>
      </c>
      <c r="DF398" s="3060">
        <f t="shared" si="22"/>
      </c>
      <c r="DG398" s="3060">
        <f t="shared" si="23"/>
      </c>
      <c r="DH398" s="3060">
        <f t="shared" si="24"/>
      </c>
      <c r="DI398" s="3060">
        <f t="shared" si="1"/>
      </c>
    </row>
    <row r="399" ht="15" customHeight="1" s="3052" customFormat="1">
      <c r="B399" s="3054">
        <f t="shared" si="2"/>
      </c>
      <c r="C399" s="3054"/>
      <c r="D399" s="3054"/>
      <c r="E399" s="3055"/>
      <c r="F399" s="3055"/>
      <c r="G399" s="3055"/>
      <c r="H399" s="3055"/>
      <c r="I399" s="3055"/>
      <c r="J399" s="3055"/>
      <c r="K399" s="3055"/>
      <c r="L399" s="3055"/>
      <c r="M399" s="3055"/>
      <c r="N399" s="3055"/>
      <c r="O399" s="3055"/>
      <c r="P399" s="3055"/>
      <c r="Q399" s="3055"/>
      <c r="R399" s="3055">
        <f t="shared" si="3"/>
        <v>0</v>
      </c>
      <c r="S399" s="3055">
        <f t="shared" si="4"/>
        <v>0</v>
      </c>
      <c r="T399" s="3055">
        <f t="shared" si="5"/>
        <v>0</v>
      </c>
      <c r="U399" s="3055">
        <f t="shared" si="6"/>
        <v>0</v>
      </c>
      <c r="V399" s="3055">
        <f t="shared" si="7"/>
        <v>0</v>
      </c>
      <c r="W399" s="3055">
        <f t="shared" si="8"/>
        <v>0</v>
      </c>
      <c r="X399" s="3055">
        <f t="shared" si="9"/>
        <v>0</v>
      </c>
      <c r="Y399" s="3055">
        <f t="shared" si="10"/>
        <v>0</v>
      </c>
      <c r="Z399" s="3055">
        <f t="shared" si="11"/>
        <v>0</v>
      </c>
      <c r="AA399" s="3055">
        <f t="shared" si="12"/>
        <v>0</v>
      </c>
      <c r="AB399" s="3055">
        <f t="shared" si="13"/>
        <v>0</v>
      </c>
      <c r="AC399" s="3055">
        <f t="shared" si="14"/>
        <v>0</v>
      </c>
      <c r="AD399" s="3056"/>
      <c r="AE399" s="3057">
        <f t="shared" si="0"/>
      </c>
      <c r="AF399" s="3054"/>
      <c r="AG399" s="3054"/>
      <c r="AH399" s="3055"/>
      <c r="AI399" s="3055"/>
      <c r="AJ399" s="3055"/>
      <c r="AK399" s="3055"/>
      <c r="AL399" s="3055"/>
      <c r="AM399" s="3055"/>
      <c r="AN399" s="3055"/>
      <c r="AO399" s="3055"/>
      <c r="AP399" s="3055"/>
      <c r="AQ399" s="3055"/>
      <c r="AR399" s="3055"/>
      <c r="AS399" s="3055"/>
      <c r="AT399" s="3055"/>
      <c r="AU399" s="3056"/>
      <c r="AV399" s="3057">
        <f t="shared" si="15"/>
      </c>
      <c r="AW399" s="3054"/>
      <c r="AX399" s="3054"/>
      <c r="AY399" s="3055"/>
      <c r="AZ399" s="3055"/>
      <c r="BA399" s="3055"/>
      <c r="BB399" s="3055"/>
      <c r="BC399" s="3055"/>
      <c r="BD399" s="3055"/>
      <c r="BE399" s="3055"/>
      <c r="BF399" s="3055"/>
      <c r="BG399" s="3055"/>
      <c r="BH399" s="3055"/>
      <c r="BI399" s="3055"/>
      <c r="BJ399" s="3055"/>
      <c r="BK399" s="3055"/>
      <c r="BL399" s="3056"/>
      <c r="BM399" s="3057">
        <f t="shared" si="16"/>
      </c>
      <c r="BN399" s="3054"/>
      <c r="BO399" s="3054"/>
      <c r="BP399" s="3055"/>
      <c r="BQ399" s="3055"/>
      <c r="BR399" s="3055"/>
      <c r="BS399" s="3055"/>
      <c r="BT399" s="3055"/>
      <c r="BU399" s="3055"/>
      <c r="BV399" s="3055"/>
      <c r="BW399" s="3055"/>
      <c r="BX399" s="3055"/>
      <c r="BY399" s="3055"/>
      <c r="BZ399" s="3055"/>
      <c r="CA399" s="3055"/>
      <c r="CB399" s="3055"/>
      <c r="CC399" s="3056"/>
      <c r="CD399" s="3057">
        <f t="shared" si="0"/>
      </c>
      <c r="CE399" s="3054"/>
      <c r="CF399" s="3054"/>
      <c r="CG399" s="3055"/>
      <c r="CH399" s="3055"/>
      <c r="CI399" s="3055"/>
      <c r="CJ399" s="3055"/>
      <c r="CK399" s="3055"/>
      <c r="CL399" s="3055"/>
      <c r="CM399" s="3055"/>
      <c r="CN399" s="3055"/>
      <c r="CO399" s="3055"/>
      <c r="CP399" s="3055"/>
      <c r="CQ399" s="3055"/>
      <c r="CR399" s="3055"/>
      <c r="CS399" s="3055"/>
      <c r="CU399" s="3054"/>
      <c r="CV399" s="696"/>
      <c r="CW399" s="696"/>
      <c r="CZ399" s="3060">
        <f t="shared" si="17"/>
      </c>
      <c r="DA399" s="3060">
        <f t="shared" si="1"/>
      </c>
      <c r="DB399" s="3060">
        <f t="shared" si="18"/>
      </c>
      <c r="DC399" s="3060">
        <f t="shared" si="19"/>
      </c>
      <c r="DD399" s="3060">
        <f t="shared" si="20"/>
      </c>
      <c r="DE399" s="3060">
        <f t="shared" si="21"/>
      </c>
      <c r="DF399" s="3060">
        <f t="shared" si="22"/>
      </c>
      <c r="DG399" s="3060">
        <f t="shared" si="23"/>
      </c>
      <c r="DH399" s="3060">
        <f t="shared" si="24"/>
      </c>
      <c r="DI399" s="3060">
        <f t="shared" si="1"/>
      </c>
    </row>
    <row r="400" ht="15" customHeight="1" s="3052" customFormat="1">
      <c r="B400" s="3054">
        <f t="shared" si="2"/>
      </c>
      <c r="C400" s="3054"/>
      <c r="D400" s="3054"/>
      <c r="E400" s="3055"/>
      <c r="F400" s="3055"/>
      <c r="G400" s="3055"/>
      <c r="H400" s="3055"/>
      <c r="I400" s="3055"/>
      <c r="J400" s="3055"/>
      <c r="K400" s="3055"/>
      <c r="L400" s="3055"/>
      <c r="M400" s="3055"/>
      <c r="N400" s="3055"/>
      <c r="O400" s="3055"/>
      <c r="P400" s="3055"/>
      <c r="Q400" s="3055"/>
      <c r="R400" s="3055">
        <f t="shared" si="3"/>
        <v>0</v>
      </c>
      <c r="S400" s="3055">
        <f t="shared" si="4"/>
        <v>0</v>
      </c>
      <c r="T400" s="3055">
        <f t="shared" si="5"/>
        <v>0</v>
      </c>
      <c r="U400" s="3055">
        <f t="shared" si="6"/>
        <v>0</v>
      </c>
      <c r="V400" s="3055">
        <f t="shared" si="7"/>
        <v>0</v>
      </c>
      <c r="W400" s="3055">
        <f t="shared" si="8"/>
        <v>0</v>
      </c>
      <c r="X400" s="3055">
        <f t="shared" si="9"/>
        <v>0</v>
      </c>
      <c r="Y400" s="3055">
        <f t="shared" si="10"/>
        <v>0</v>
      </c>
      <c r="Z400" s="3055">
        <f t="shared" si="11"/>
        <v>0</v>
      </c>
      <c r="AA400" s="3055">
        <f t="shared" si="12"/>
        <v>0</v>
      </c>
      <c r="AB400" s="3055">
        <f t="shared" si="13"/>
        <v>0</v>
      </c>
      <c r="AC400" s="3055">
        <f t="shared" si="14"/>
        <v>0</v>
      </c>
      <c r="AD400" s="3056"/>
      <c r="AE400" s="3057">
        <f t="shared" si="0"/>
      </c>
      <c r="AF400" s="3054"/>
      <c r="AG400" s="3054"/>
      <c r="AH400" s="3055"/>
      <c r="AI400" s="3055"/>
      <c r="AJ400" s="3055"/>
      <c r="AK400" s="3055"/>
      <c r="AL400" s="3055"/>
      <c r="AM400" s="3055"/>
      <c r="AN400" s="3055"/>
      <c r="AO400" s="3055"/>
      <c r="AP400" s="3055"/>
      <c r="AQ400" s="3055"/>
      <c r="AR400" s="3055"/>
      <c r="AS400" s="3055"/>
      <c r="AT400" s="3055"/>
      <c r="AU400" s="3056"/>
      <c r="AV400" s="3057">
        <f t="shared" si="15"/>
      </c>
      <c r="AW400" s="3054"/>
      <c r="AX400" s="3054"/>
      <c r="AY400" s="3055"/>
      <c r="AZ400" s="3055"/>
      <c r="BA400" s="3055"/>
      <c r="BB400" s="3055"/>
      <c r="BC400" s="3055"/>
      <c r="BD400" s="3055"/>
      <c r="BE400" s="3055"/>
      <c r="BF400" s="3055"/>
      <c r="BG400" s="3055"/>
      <c r="BH400" s="3055"/>
      <c r="BI400" s="3055"/>
      <c r="BJ400" s="3055"/>
      <c r="BK400" s="3055"/>
      <c r="BL400" s="3056"/>
      <c r="BM400" s="3057">
        <f t="shared" si="16"/>
      </c>
      <c r="BN400" s="3054"/>
      <c r="BO400" s="3054"/>
      <c r="BP400" s="3055"/>
      <c r="BQ400" s="3055"/>
      <c r="BR400" s="3055"/>
      <c r="BS400" s="3055"/>
      <c r="BT400" s="3055"/>
      <c r="BU400" s="3055"/>
      <c r="BV400" s="3055"/>
      <c r="BW400" s="3055"/>
      <c r="BX400" s="3055"/>
      <c r="BY400" s="3055"/>
      <c r="BZ400" s="3055"/>
      <c r="CA400" s="3055"/>
      <c r="CB400" s="3055"/>
      <c r="CC400" s="3056"/>
      <c r="CD400" s="3057">
        <f t="shared" si="0"/>
      </c>
      <c r="CE400" s="3054"/>
      <c r="CF400" s="3054"/>
      <c r="CG400" s="3055"/>
      <c r="CH400" s="3055"/>
      <c r="CI400" s="3055"/>
      <c r="CJ400" s="3055"/>
      <c r="CK400" s="3055"/>
      <c r="CL400" s="3055"/>
      <c r="CM400" s="3055"/>
      <c r="CN400" s="3055"/>
      <c r="CO400" s="3055"/>
      <c r="CP400" s="3055"/>
      <c r="CQ400" s="3055"/>
      <c r="CR400" s="3055"/>
      <c r="CS400" s="3055"/>
      <c r="CU400" s="3054"/>
      <c r="CV400" s="696"/>
      <c r="CW400" s="696"/>
      <c r="CZ400" s="3060">
        <f t="shared" si="17"/>
      </c>
      <c r="DA400" s="3060">
        <f t="shared" si="1"/>
      </c>
      <c r="DB400" s="3060">
        <f t="shared" si="18"/>
      </c>
      <c r="DC400" s="3060">
        <f t="shared" si="19"/>
      </c>
      <c r="DD400" s="3060">
        <f t="shared" si="20"/>
      </c>
      <c r="DE400" s="3060">
        <f t="shared" si="21"/>
      </c>
      <c r="DF400" s="3060">
        <f t="shared" si="22"/>
      </c>
      <c r="DG400" s="3060">
        <f t="shared" si="23"/>
      </c>
      <c r="DH400" s="3060">
        <f t="shared" si="24"/>
      </c>
      <c r="DI400" s="3060">
        <f t="shared" si="1"/>
      </c>
    </row>
    <row r="401" ht="15" customHeight="1" s="3052" customFormat="1">
      <c r="B401" s="3054">
        <f t="shared" si="2"/>
      </c>
      <c r="C401" s="3054"/>
      <c r="D401" s="3054"/>
      <c r="E401" s="3055"/>
      <c r="F401" s="3055"/>
      <c r="G401" s="3055"/>
      <c r="H401" s="3055"/>
      <c r="I401" s="3055"/>
      <c r="J401" s="3055"/>
      <c r="K401" s="3055"/>
      <c r="L401" s="3055"/>
      <c r="M401" s="3055"/>
      <c r="N401" s="3055"/>
      <c r="O401" s="3055"/>
      <c r="P401" s="3055"/>
      <c r="Q401" s="3055"/>
      <c r="R401" s="3055">
        <f t="shared" si="3"/>
        <v>0</v>
      </c>
      <c r="S401" s="3055">
        <f t="shared" si="4"/>
        <v>0</v>
      </c>
      <c r="T401" s="3055">
        <f t="shared" si="5"/>
        <v>0</v>
      </c>
      <c r="U401" s="3055">
        <f t="shared" si="6"/>
        <v>0</v>
      </c>
      <c r="V401" s="3055">
        <f t="shared" si="7"/>
        <v>0</v>
      </c>
      <c r="W401" s="3055">
        <f t="shared" si="8"/>
        <v>0</v>
      </c>
      <c r="X401" s="3055">
        <f t="shared" si="9"/>
        <v>0</v>
      </c>
      <c r="Y401" s="3055">
        <f t="shared" si="10"/>
        <v>0</v>
      </c>
      <c r="Z401" s="3055">
        <f t="shared" si="11"/>
        <v>0</v>
      </c>
      <c r="AA401" s="3055">
        <f t="shared" si="12"/>
        <v>0</v>
      </c>
      <c r="AB401" s="3055">
        <f t="shared" si="13"/>
        <v>0</v>
      </c>
      <c r="AC401" s="3055">
        <f t="shared" si="14"/>
        <v>0</v>
      </c>
      <c r="AD401" s="3056"/>
      <c r="AE401" s="3057">
        <f t="shared" si="0"/>
      </c>
      <c r="AF401" s="3054"/>
      <c r="AG401" s="3054"/>
      <c r="AH401" s="3055"/>
      <c r="AI401" s="3055"/>
      <c r="AJ401" s="3055"/>
      <c r="AK401" s="3055"/>
      <c r="AL401" s="3055"/>
      <c r="AM401" s="3055"/>
      <c r="AN401" s="3055"/>
      <c r="AO401" s="3055"/>
      <c r="AP401" s="3055"/>
      <c r="AQ401" s="3055"/>
      <c r="AR401" s="3055"/>
      <c r="AS401" s="3055"/>
      <c r="AT401" s="3055"/>
      <c r="AU401" s="3056"/>
      <c r="AV401" s="3057">
        <f t="shared" si="15"/>
      </c>
      <c r="AW401" s="3054"/>
      <c r="AX401" s="3054"/>
      <c r="AY401" s="3055"/>
      <c r="AZ401" s="3055"/>
      <c r="BA401" s="3055"/>
      <c r="BB401" s="3055"/>
      <c r="BC401" s="3055"/>
      <c r="BD401" s="3055"/>
      <c r="BE401" s="3055"/>
      <c r="BF401" s="3055"/>
      <c r="BG401" s="3055"/>
      <c r="BH401" s="3055"/>
      <c r="BI401" s="3055"/>
      <c r="BJ401" s="3055"/>
      <c r="BK401" s="3055"/>
      <c r="BL401" s="3056"/>
      <c r="BM401" s="3057">
        <f t="shared" si="16"/>
      </c>
      <c r="BN401" s="3054"/>
      <c r="BO401" s="3054"/>
      <c r="BP401" s="3055"/>
      <c r="BQ401" s="3055"/>
      <c r="BR401" s="3055"/>
      <c r="BS401" s="3055"/>
      <c r="BT401" s="3055"/>
      <c r="BU401" s="3055"/>
      <c r="BV401" s="3055"/>
      <c r="BW401" s="3055"/>
      <c r="BX401" s="3055"/>
      <c r="BY401" s="3055"/>
      <c r="BZ401" s="3055"/>
      <c r="CA401" s="3055"/>
      <c r="CB401" s="3055"/>
      <c r="CC401" s="3056"/>
      <c r="CD401" s="3057">
        <f t="shared" si="0"/>
      </c>
      <c r="CE401" s="3054"/>
      <c r="CF401" s="3054"/>
      <c r="CG401" s="3055"/>
      <c r="CH401" s="3055"/>
      <c r="CI401" s="3055"/>
      <c r="CJ401" s="3055"/>
      <c r="CK401" s="3055"/>
      <c r="CL401" s="3055"/>
      <c r="CM401" s="3055"/>
      <c r="CN401" s="3055"/>
      <c r="CO401" s="3055"/>
      <c r="CP401" s="3055"/>
      <c r="CQ401" s="3055"/>
      <c r="CR401" s="3055"/>
      <c r="CS401" s="3055"/>
      <c r="CU401" s="3054"/>
      <c r="CV401" s="696"/>
      <c r="CW401" s="696"/>
      <c r="CZ401" s="3060">
        <f t="shared" si="17"/>
      </c>
      <c r="DA401" s="3060">
        <f t="shared" si="1"/>
      </c>
      <c r="DB401" s="3060">
        <f t="shared" si="18"/>
      </c>
      <c r="DC401" s="3060">
        <f t="shared" si="19"/>
      </c>
      <c r="DD401" s="3060">
        <f t="shared" si="20"/>
      </c>
      <c r="DE401" s="3060">
        <f t="shared" si="21"/>
      </c>
      <c r="DF401" s="3060">
        <f t="shared" si="22"/>
      </c>
      <c r="DG401" s="3060">
        <f t="shared" si="23"/>
      </c>
      <c r="DH401" s="3060">
        <f t="shared" si="24"/>
      </c>
      <c r="DI401" s="3060">
        <f t="shared" si="1"/>
      </c>
    </row>
    <row r="402" ht="15" customHeight="1" s="3052" customFormat="1">
      <c r="B402" s="3054">
        <f t="shared" si="2"/>
      </c>
      <c r="C402" s="3054"/>
      <c r="D402" s="3054"/>
      <c r="E402" s="3055"/>
      <c r="F402" s="3055"/>
      <c r="G402" s="3055"/>
      <c r="H402" s="3055"/>
      <c r="I402" s="3055"/>
      <c r="J402" s="3055"/>
      <c r="K402" s="3055"/>
      <c r="L402" s="3055"/>
      <c r="M402" s="3055"/>
      <c r="N402" s="3055"/>
      <c r="O402" s="3055"/>
      <c r="P402" s="3055"/>
      <c r="Q402" s="3055"/>
      <c r="R402" s="3055">
        <f t="shared" si="3"/>
        <v>0</v>
      </c>
      <c r="S402" s="3055">
        <f t="shared" si="4"/>
        <v>0</v>
      </c>
      <c r="T402" s="3055">
        <f t="shared" si="5"/>
        <v>0</v>
      </c>
      <c r="U402" s="3055">
        <f t="shared" si="6"/>
        <v>0</v>
      </c>
      <c r="V402" s="3055">
        <f t="shared" si="7"/>
        <v>0</v>
      </c>
      <c r="W402" s="3055">
        <f t="shared" si="8"/>
        <v>0</v>
      </c>
      <c r="X402" s="3055">
        <f t="shared" si="9"/>
        <v>0</v>
      </c>
      <c r="Y402" s="3055">
        <f t="shared" si="10"/>
        <v>0</v>
      </c>
      <c r="Z402" s="3055">
        <f t="shared" si="11"/>
        <v>0</v>
      </c>
      <c r="AA402" s="3055">
        <f t="shared" si="12"/>
        <v>0</v>
      </c>
      <c r="AB402" s="3055">
        <f t="shared" si="13"/>
        <v>0</v>
      </c>
      <c r="AC402" s="3055">
        <f t="shared" si="14"/>
        <v>0</v>
      </c>
      <c r="AD402" s="3056"/>
      <c r="AE402" s="3057">
        <f t="shared" si="0"/>
      </c>
      <c r="AF402" s="3054"/>
      <c r="AG402" s="3054"/>
      <c r="AH402" s="3055"/>
      <c r="AI402" s="3055"/>
      <c r="AJ402" s="3055"/>
      <c r="AK402" s="3055"/>
      <c r="AL402" s="3055"/>
      <c r="AM402" s="3055"/>
      <c r="AN402" s="3055"/>
      <c r="AO402" s="3055"/>
      <c r="AP402" s="3055"/>
      <c r="AQ402" s="3055"/>
      <c r="AR402" s="3055"/>
      <c r="AS402" s="3055"/>
      <c r="AT402" s="3055"/>
      <c r="AU402" s="3056"/>
      <c r="AV402" s="3057">
        <f t="shared" si="15"/>
      </c>
      <c r="AW402" s="3054"/>
      <c r="AX402" s="3054"/>
      <c r="AY402" s="3055"/>
      <c r="AZ402" s="3055"/>
      <c r="BA402" s="3055"/>
      <c r="BB402" s="3055"/>
      <c r="BC402" s="3055"/>
      <c r="BD402" s="3055"/>
      <c r="BE402" s="3055"/>
      <c r="BF402" s="3055"/>
      <c r="BG402" s="3055"/>
      <c r="BH402" s="3055"/>
      <c r="BI402" s="3055"/>
      <c r="BJ402" s="3055"/>
      <c r="BK402" s="3055"/>
      <c r="BL402" s="3056"/>
      <c r="BM402" s="3057">
        <f t="shared" si="16"/>
      </c>
      <c r="BN402" s="3054"/>
      <c r="BO402" s="3054"/>
      <c r="BP402" s="3055"/>
      <c r="BQ402" s="3055"/>
      <c r="BR402" s="3055"/>
      <c r="BS402" s="3055"/>
      <c r="BT402" s="3055"/>
      <c r="BU402" s="3055"/>
      <c r="BV402" s="3055"/>
      <c r="BW402" s="3055"/>
      <c r="BX402" s="3055"/>
      <c r="BY402" s="3055"/>
      <c r="BZ402" s="3055"/>
      <c r="CA402" s="3055"/>
      <c r="CB402" s="3055"/>
      <c r="CC402" s="3056"/>
      <c r="CD402" s="3057">
        <f t="shared" si="0"/>
      </c>
      <c r="CE402" s="3054"/>
      <c r="CF402" s="3054"/>
      <c r="CG402" s="3055"/>
      <c r="CH402" s="3055"/>
      <c r="CI402" s="3055"/>
      <c r="CJ402" s="3055"/>
      <c r="CK402" s="3055"/>
      <c r="CL402" s="3055"/>
      <c r="CM402" s="3055"/>
      <c r="CN402" s="3055"/>
      <c r="CO402" s="3055"/>
      <c r="CP402" s="3055"/>
      <c r="CQ402" s="3055"/>
      <c r="CR402" s="3055"/>
      <c r="CS402" s="3055"/>
      <c r="CU402" s="3054"/>
      <c r="CV402" s="696"/>
      <c r="CW402" s="696"/>
      <c r="CZ402" s="3060">
        <f t="shared" si="17"/>
      </c>
      <c r="DA402" s="3060">
        <f t="shared" si="1"/>
      </c>
      <c r="DB402" s="3060">
        <f t="shared" si="18"/>
      </c>
      <c r="DC402" s="3060">
        <f t="shared" si="19"/>
      </c>
      <c r="DD402" s="3060">
        <f t="shared" si="20"/>
      </c>
      <c r="DE402" s="3060">
        <f t="shared" si="21"/>
      </c>
      <c r="DF402" s="3060">
        <f t="shared" si="22"/>
      </c>
      <c r="DG402" s="3060">
        <f t="shared" si="23"/>
      </c>
      <c r="DH402" s="3060">
        <f t="shared" si="24"/>
      </c>
      <c r="DI402" s="3060">
        <f t="shared" si="1"/>
      </c>
    </row>
    <row r="403" ht="15" customHeight="1" s="3052" customFormat="1">
      <c r="B403" s="3054">
        <f t="shared" si="2"/>
      </c>
      <c r="C403" s="3054"/>
      <c r="D403" s="3054"/>
      <c r="E403" s="3055"/>
      <c r="F403" s="3055"/>
      <c r="G403" s="3055"/>
      <c r="H403" s="3055"/>
      <c r="I403" s="3055"/>
      <c r="J403" s="3055"/>
      <c r="K403" s="3055"/>
      <c r="L403" s="3055"/>
      <c r="M403" s="3055"/>
      <c r="N403" s="3055"/>
      <c r="O403" s="3055"/>
      <c r="P403" s="3055"/>
      <c r="Q403" s="3055"/>
      <c r="R403" s="3055">
        <f t="shared" si="3"/>
        <v>0</v>
      </c>
      <c r="S403" s="3055">
        <f t="shared" si="4"/>
        <v>0</v>
      </c>
      <c r="T403" s="3055">
        <f t="shared" si="5"/>
        <v>0</v>
      </c>
      <c r="U403" s="3055">
        <f t="shared" si="6"/>
        <v>0</v>
      </c>
      <c r="V403" s="3055">
        <f t="shared" si="7"/>
        <v>0</v>
      </c>
      <c r="W403" s="3055">
        <f t="shared" si="8"/>
        <v>0</v>
      </c>
      <c r="X403" s="3055">
        <f t="shared" si="9"/>
        <v>0</v>
      </c>
      <c r="Y403" s="3055">
        <f t="shared" si="10"/>
        <v>0</v>
      </c>
      <c r="Z403" s="3055">
        <f t="shared" si="11"/>
        <v>0</v>
      </c>
      <c r="AA403" s="3055">
        <f t="shared" si="12"/>
        <v>0</v>
      </c>
      <c r="AB403" s="3055">
        <f t="shared" si="13"/>
        <v>0</v>
      </c>
      <c r="AC403" s="3055">
        <f t="shared" si="14"/>
        <v>0</v>
      </c>
      <c r="AD403" s="3056"/>
      <c r="AE403" s="3057">
        <f t="shared" si="0"/>
      </c>
      <c r="AF403" s="3054"/>
      <c r="AG403" s="3054"/>
      <c r="AH403" s="3055"/>
      <c r="AI403" s="3055"/>
      <c r="AJ403" s="3055"/>
      <c r="AK403" s="3055"/>
      <c r="AL403" s="3055"/>
      <c r="AM403" s="3055"/>
      <c r="AN403" s="3055"/>
      <c r="AO403" s="3055"/>
      <c r="AP403" s="3055"/>
      <c r="AQ403" s="3055"/>
      <c r="AR403" s="3055"/>
      <c r="AS403" s="3055"/>
      <c r="AT403" s="3055"/>
      <c r="AU403" s="3056"/>
      <c r="AV403" s="3057">
        <f t="shared" si="15"/>
      </c>
      <c r="AW403" s="3054"/>
      <c r="AX403" s="3054"/>
      <c r="AY403" s="3055"/>
      <c r="AZ403" s="3055"/>
      <c r="BA403" s="3055"/>
      <c r="BB403" s="3055"/>
      <c r="BC403" s="3055"/>
      <c r="BD403" s="3055"/>
      <c r="BE403" s="3055"/>
      <c r="BF403" s="3055"/>
      <c r="BG403" s="3055"/>
      <c r="BH403" s="3055"/>
      <c r="BI403" s="3055"/>
      <c r="BJ403" s="3055"/>
      <c r="BK403" s="3055"/>
      <c r="BL403" s="3056"/>
      <c r="BM403" s="3057">
        <f t="shared" si="16"/>
      </c>
      <c r="BN403" s="3054"/>
      <c r="BO403" s="3054"/>
      <c r="BP403" s="3055"/>
      <c r="BQ403" s="3055"/>
      <c r="BR403" s="3055"/>
      <c r="BS403" s="3055"/>
      <c r="BT403" s="3055"/>
      <c r="BU403" s="3055"/>
      <c r="BV403" s="3055"/>
      <c r="BW403" s="3055"/>
      <c r="BX403" s="3055"/>
      <c r="BY403" s="3055"/>
      <c r="BZ403" s="3055"/>
      <c r="CA403" s="3055"/>
      <c r="CB403" s="3055"/>
      <c r="CC403" s="3056"/>
      <c r="CD403" s="3057">
        <f t="shared" si="0"/>
      </c>
      <c r="CE403" s="3054"/>
      <c r="CF403" s="3054"/>
      <c r="CG403" s="3055"/>
      <c r="CH403" s="3055"/>
      <c r="CI403" s="3055"/>
      <c r="CJ403" s="3055"/>
      <c r="CK403" s="3055"/>
      <c r="CL403" s="3055"/>
      <c r="CM403" s="3055"/>
      <c r="CN403" s="3055"/>
      <c r="CO403" s="3055"/>
      <c r="CP403" s="3055"/>
      <c r="CQ403" s="3055"/>
      <c r="CR403" s="3055"/>
      <c r="CS403" s="3055"/>
      <c r="CU403" s="3054"/>
      <c r="CV403" s="696"/>
      <c r="CW403" s="696"/>
      <c r="CZ403" s="3060">
        <f t="shared" si="17"/>
      </c>
      <c r="DA403" s="3060">
        <f t="shared" si="1"/>
      </c>
      <c r="DB403" s="3060">
        <f t="shared" si="18"/>
      </c>
      <c r="DC403" s="3060">
        <f t="shared" si="19"/>
      </c>
      <c r="DD403" s="3060">
        <f t="shared" si="20"/>
      </c>
      <c r="DE403" s="3060">
        <f t="shared" si="21"/>
      </c>
      <c r="DF403" s="3060">
        <f t="shared" si="22"/>
      </c>
      <c r="DG403" s="3060">
        <f t="shared" si="23"/>
      </c>
      <c r="DH403" s="3060">
        <f t="shared" si="24"/>
      </c>
      <c r="DI403" s="3060">
        <f t="shared" si="1"/>
      </c>
    </row>
    <row r="404" ht="15" customHeight="1" s="3052" customFormat="1">
      <c r="B404" s="3054">
        <f t="shared" si="2"/>
      </c>
      <c r="C404" s="3054"/>
      <c r="D404" s="3054"/>
      <c r="E404" s="3055"/>
      <c r="F404" s="3055"/>
      <c r="G404" s="3055"/>
      <c r="H404" s="3055"/>
      <c r="I404" s="3055"/>
      <c r="J404" s="3055"/>
      <c r="K404" s="3055"/>
      <c r="L404" s="3055"/>
      <c r="M404" s="3055"/>
      <c r="N404" s="3055"/>
      <c r="O404" s="3055"/>
      <c r="P404" s="3055"/>
      <c r="Q404" s="3055"/>
      <c r="R404" s="3055">
        <f t="shared" si="3"/>
        <v>0</v>
      </c>
      <c r="S404" s="3055">
        <f t="shared" si="4"/>
        <v>0</v>
      </c>
      <c r="T404" s="3055">
        <f t="shared" si="5"/>
        <v>0</v>
      </c>
      <c r="U404" s="3055">
        <f t="shared" si="6"/>
        <v>0</v>
      </c>
      <c r="V404" s="3055">
        <f t="shared" si="7"/>
        <v>0</v>
      </c>
      <c r="W404" s="3055">
        <f t="shared" si="8"/>
        <v>0</v>
      </c>
      <c r="X404" s="3055">
        <f t="shared" si="9"/>
        <v>0</v>
      </c>
      <c r="Y404" s="3055">
        <f t="shared" si="10"/>
        <v>0</v>
      </c>
      <c r="Z404" s="3055">
        <f t="shared" si="11"/>
        <v>0</v>
      </c>
      <c r="AA404" s="3055">
        <f t="shared" si="12"/>
        <v>0</v>
      </c>
      <c r="AB404" s="3055">
        <f t="shared" si="13"/>
        <v>0</v>
      </c>
      <c r="AC404" s="3055">
        <f t="shared" si="14"/>
        <v>0</v>
      </c>
      <c r="AD404" s="3056"/>
      <c r="AE404" s="3057">
        <f t="shared" si="0"/>
      </c>
      <c r="AF404" s="3054"/>
      <c r="AG404" s="3054"/>
      <c r="AH404" s="3055"/>
      <c r="AI404" s="3055"/>
      <c r="AJ404" s="3055"/>
      <c r="AK404" s="3055"/>
      <c r="AL404" s="3055"/>
      <c r="AM404" s="3055"/>
      <c r="AN404" s="3055"/>
      <c r="AO404" s="3055"/>
      <c r="AP404" s="3055"/>
      <c r="AQ404" s="3055"/>
      <c r="AR404" s="3055"/>
      <c r="AS404" s="3055"/>
      <c r="AT404" s="3055"/>
      <c r="AU404" s="3056"/>
      <c r="AV404" s="3057">
        <f t="shared" si="15"/>
      </c>
      <c r="AW404" s="3054"/>
      <c r="AX404" s="3054"/>
      <c r="AY404" s="3055"/>
      <c r="AZ404" s="3055"/>
      <c r="BA404" s="3055"/>
      <c r="BB404" s="3055"/>
      <c r="BC404" s="3055"/>
      <c r="BD404" s="3055"/>
      <c r="BE404" s="3055"/>
      <c r="BF404" s="3055"/>
      <c r="BG404" s="3055"/>
      <c r="BH404" s="3055"/>
      <c r="BI404" s="3055"/>
      <c r="BJ404" s="3055"/>
      <c r="BK404" s="3055"/>
      <c r="BL404" s="3056"/>
      <c r="BM404" s="3057">
        <f t="shared" si="16"/>
      </c>
      <c r="BN404" s="3054"/>
      <c r="BO404" s="3054"/>
      <c r="BP404" s="3055"/>
      <c r="BQ404" s="3055"/>
      <c r="BR404" s="3055"/>
      <c r="BS404" s="3055"/>
      <c r="BT404" s="3055"/>
      <c r="BU404" s="3055"/>
      <c r="BV404" s="3055"/>
      <c r="BW404" s="3055"/>
      <c r="BX404" s="3055"/>
      <c r="BY404" s="3055"/>
      <c r="BZ404" s="3055"/>
      <c r="CA404" s="3055"/>
      <c r="CB404" s="3055"/>
      <c r="CC404" s="3056"/>
      <c r="CD404" s="3057">
        <f t="shared" si="0"/>
      </c>
      <c r="CE404" s="3054"/>
      <c r="CF404" s="3054"/>
      <c r="CG404" s="3055"/>
      <c r="CH404" s="3055"/>
      <c r="CI404" s="3055"/>
      <c r="CJ404" s="3055"/>
      <c r="CK404" s="3055"/>
      <c r="CL404" s="3055"/>
      <c r="CM404" s="3055"/>
      <c r="CN404" s="3055"/>
      <c r="CO404" s="3055"/>
      <c r="CP404" s="3055"/>
      <c r="CQ404" s="3055"/>
      <c r="CR404" s="3055"/>
      <c r="CS404" s="3055"/>
      <c r="CU404" s="3054"/>
      <c r="CV404" s="696"/>
      <c r="CW404" s="696"/>
      <c r="CZ404" s="3060">
        <f t="shared" si="17"/>
      </c>
      <c r="DA404" s="3060">
        <f t="shared" si="1"/>
      </c>
      <c r="DB404" s="3060">
        <f t="shared" si="18"/>
      </c>
      <c r="DC404" s="3060">
        <f t="shared" si="19"/>
      </c>
      <c r="DD404" s="3060">
        <f t="shared" si="20"/>
      </c>
      <c r="DE404" s="3060">
        <f t="shared" si="21"/>
      </c>
      <c r="DF404" s="3060">
        <f t="shared" si="22"/>
      </c>
      <c r="DG404" s="3060">
        <f t="shared" si="23"/>
      </c>
      <c r="DH404" s="3060">
        <f t="shared" si="24"/>
      </c>
      <c r="DI404" s="3060">
        <f t="shared" si="1"/>
      </c>
    </row>
    <row r="405" ht="15" customHeight="1" s="3052" customFormat="1">
      <c r="B405" s="3054">
        <f t="shared" si="2"/>
      </c>
      <c r="C405" s="3054"/>
      <c r="D405" s="3054"/>
      <c r="E405" s="3055"/>
      <c r="F405" s="3055"/>
      <c r="G405" s="3055"/>
      <c r="H405" s="3055"/>
      <c r="I405" s="3055"/>
      <c r="J405" s="3055"/>
      <c r="K405" s="3055"/>
      <c r="L405" s="3055"/>
      <c r="M405" s="3055"/>
      <c r="N405" s="3055"/>
      <c r="O405" s="3055"/>
      <c r="P405" s="3055"/>
      <c r="Q405" s="3055"/>
      <c r="R405" s="3055">
        <f t="shared" si="3"/>
        <v>0</v>
      </c>
      <c r="S405" s="3055">
        <f t="shared" si="4"/>
        <v>0</v>
      </c>
      <c r="T405" s="3055">
        <f t="shared" si="5"/>
        <v>0</v>
      </c>
      <c r="U405" s="3055">
        <f t="shared" si="6"/>
        <v>0</v>
      </c>
      <c r="V405" s="3055">
        <f t="shared" si="7"/>
        <v>0</v>
      </c>
      <c r="W405" s="3055">
        <f t="shared" si="8"/>
        <v>0</v>
      </c>
      <c r="X405" s="3055">
        <f t="shared" si="9"/>
        <v>0</v>
      </c>
      <c r="Y405" s="3055">
        <f t="shared" si="10"/>
        <v>0</v>
      </c>
      <c r="Z405" s="3055">
        <f t="shared" si="11"/>
        <v>0</v>
      </c>
      <c r="AA405" s="3055">
        <f t="shared" si="12"/>
        <v>0</v>
      </c>
      <c r="AB405" s="3055">
        <f t="shared" si="13"/>
        <v>0</v>
      </c>
      <c r="AC405" s="3055">
        <f t="shared" si="14"/>
        <v>0</v>
      </c>
      <c r="AD405" s="3056"/>
      <c r="AE405" s="3057">
        <f t="shared" si="0"/>
      </c>
      <c r="AF405" s="3054"/>
      <c r="AG405" s="3054"/>
      <c r="AH405" s="3055"/>
      <c r="AI405" s="3055"/>
      <c r="AJ405" s="3055"/>
      <c r="AK405" s="3055"/>
      <c r="AL405" s="3055"/>
      <c r="AM405" s="3055"/>
      <c r="AN405" s="3055"/>
      <c r="AO405" s="3055"/>
      <c r="AP405" s="3055"/>
      <c r="AQ405" s="3055"/>
      <c r="AR405" s="3055"/>
      <c r="AS405" s="3055"/>
      <c r="AT405" s="3055"/>
      <c r="AU405" s="3056"/>
      <c r="AV405" s="3057">
        <f t="shared" si="15"/>
      </c>
      <c r="AW405" s="3054"/>
      <c r="AX405" s="3054"/>
      <c r="AY405" s="3055"/>
      <c r="AZ405" s="3055"/>
      <c r="BA405" s="3055"/>
      <c r="BB405" s="3055"/>
      <c r="BC405" s="3055"/>
      <c r="BD405" s="3055"/>
      <c r="BE405" s="3055"/>
      <c r="BF405" s="3055"/>
      <c r="BG405" s="3055"/>
      <c r="BH405" s="3055"/>
      <c r="BI405" s="3055"/>
      <c r="BJ405" s="3055"/>
      <c r="BK405" s="3055"/>
      <c r="BL405" s="3056"/>
      <c r="BM405" s="3057">
        <f t="shared" si="16"/>
      </c>
      <c r="BN405" s="3054"/>
      <c r="BO405" s="3054"/>
      <c r="BP405" s="3055"/>
      <c r="BQ405" s="3055"/>
      <c r="BR405" s="3055"/>
      <c r="BS405" s="3055"/>
      <c r="BT405" s="3055"/>
      <c r="BU405" s="3055"/>
      <c r="BV405" s="3055"/>
      <c r="BW405" s="3055"/>
      <c r="BX405" s="3055"/>
      <c r="BY405" s="3055"/>
      <c r="BZ405" s="3055"/>
      <c r="CA405" s="3055"/>
      <c r="CB405" s="3055"/>
      <c r="CC405" s="3056"/>
      <c r="CD405" s="3057">
        <f t="shared" si="0"/>
      </c>
      <c r="CE405" s="3054"/>
      <c r="CF405" s="3054"/>
      <c r="CG405" s="3055"/>
      <c r="CH405" s="3055"/>
      <c r="CI405" s="3055"/>
      <c r="CJ405" s="3055"/>
      <c r="CK405" s="3055"/>
      <c r="CL405" s="3055"/>
      <c r="CM405" s="3055"/>
      <c r="CN405" s="3055"/>
      <c r="CO405" s="3055"/>
      <c r="CP405" s="3055"/>
      <c r="CQ405" s="3055"/>
      <c r="CR405" s="3055"/>
      <c r="CS405" s="3055"/>
      <c r="CU405" s="3054"/>
      <c r="CV405" s="696"/>
      <c r="CW405" s="696"/>
      <c r="CZ405" s="3060">
        <f t="shared" si="17"/>
      </c>
      <c r="DA405" s="3060">
        <f t="shared" si="1"/>
      </c>
      <c r="DB405" s="3060">
        <f t="shared" si="18"/>
      </c>
      <c r="DC405" s="3060">
        <f t="shared" si="19"/>
      </c>
      <c r="DD405" s="3060">
        <f t="shared" si="20"/>
      </c>
      <c r="DE405" s="3060">
        <f t="shared" si="21"/>
      </c>
      <c r="DF405" s="3060">
        <f t="shared" si="22"/>
      </c>
      <c r="DG405" s="3060">
        <f t="shared" si="23"/>
      </c>
      <c r="DH405" s="3060">
        <f t="shared" si="24"/>
      </c>
      <c r="DI405" s="3060">
        <f t="shared" si="1"/>
      </c>
    </row>
    <row r="406" ht="15" customHeight="1" s="3052" customFormat="1">
      <c r="B406" s="3054">
        <f t="shared" si="2"/>
      </c>
      <c r="C406" s="3054"/>
      <c r="D406" s="3054"/>
      <c r="E406" s="3055"/>
      <c r="F406" s="3055"/>
      <c r="G406" s="3055"/>
      <c r="H406" s="3055"/>
      <c r="I406" s="3055"/>
      <c r="J406" s="3055"/>
      <c r="K406" s="3055"/>
      <c r="L406" s="3055"/>
      <c r="M406" s="3055"/>
      <c r="N406" s="3055"/>
      <c r="O406" s="3055"/>
      <c r="P406" s="3055"/>
      <c r="Q406" s="3055"/>
      <c r="R406" s="3055">
        <f t="shared" si="3"/>
        <v>0</v>
      </c>
      <c r="S406" s="3055">
        <f t="shared" si="4"/>
        <v>0</v>
      </c>
      <c r="T406" s="3055">
        <f t="shared" si="5"/>
        <v>0</v>
      </c>
      <c r="U406" s="3055">
        <f t="shared" si="6"/>
        <v>0</v>
      </c>
      <c r="V406" s="3055">
        <f t="shared" si="7"/>
        <v>0</v>
      </c>
      <c r="W406" s="3055">
        <f t="shared" si="8"/>
        <v>0</v>
      </c>
      <c r="X406" s="3055">
        <f t="shared" si="9"/>
        <v>0</v>
      </c>
      <c r="Y406" s="3055">
        <f t="shared" si="10"/>
        <v>0</v>
      </c>
      <c r="Z406" s="3055">
        <f t="shared" si="11"/>
        <v>0</v>
      </c>
      <c r="AA406" s="3055">
        <f t="shared" si="12"/>
        <v>0</v>
      </c>
      <c r="AB406" s="3055">
        <f t="shared" si="13"/>
        <v>0</v>
      </c>
      <c r="AC406" s="3055">
        <f t="shared" si="14"/>
        <v>0</v>
      </c>
      <c r="AD406" s="3056"/>
      <c r="AE406" s="3057">
        <f t="shared" si="0"/>
      </c>
      <c r="AF406" s="3054"/>
      <c r="AG406" s="3054"/>
      <c r="AH406" s="3055"/>
      <c r="AI406" s="3055"/>
      <c r="AJ406" s="3055"/>
      <c r="AK406" s="3055"/>
      <c r="AL406" s="3055"/>
      <c r="AM406" s="3055"/>
      <c r="AN406" s="3055"/>
      <c r="AO406" s="3055"/>
      <c r="AP406" s="3055"/>
      <c r="AQ406" s="3055"/>
      <c r="AR406" s="3055"/>
      <c r="AS406" s="3055"/>
      <c r="AT406" s="3055"/>
      <c r="AU406" s="3056"/>
      <c r="AV406" s="3057">
        <f t="shared" si="15"/>
      </c>
      <c r="AW406" s="3054"/>
      <c r="AX406" s="3054"/>
      <c r="AY406" s="3055"/>
      <c r="AZ406" s="3055"/>
      <c r="BA406" s="3055"/>
      <c r="BB406" s="3055"/>
      <c r="BC406" s="3055"/>
      <c r="BD406" s="3055"/>
      <c r="BE406" s="3055"/>
      <c r="BF406" s="3055"/>
      <c r="BG406" s="3055"/>
      <c r="BH406" s="3055"/>
      <c r="BI406" s="3055"/>
      <c r="BJ406" s="3055"/>
      <c r="BK406" s="3055"/>
      <c r="BL406" s="3056"/>
      <c r="BM406" s="3057">
        <f t="shared" si="16"/>
      </c>
      <c r="BN406" s="3054"/>
      <c r="BO406" s="3054"/>
      <c r="BP406" s="3055"/>
      <c r="BQ406" s="3055"/>
      <c r="BR406" s="3055"/>
      <c r="BS406" s="3055"/>
      <c r="BT406" s="3055"/>
      <c r="BU406" s="3055"/>
      <c r="BV406" s="3055"/>
      <c r="BW406" s="3055"/>
      <c r="BX406" s="3055"/>
      <c r="BY406" s="3055"/>
      <c r="BZ406" s="3055"/>
      <c r="CA406" s="3055"/>
      <c r="CB406" s="3055"/>
      <c r="CC406" s="3056"/>
      <c r="CD406" s="3057">
        <f t="shared" si="0"/>
      </c>
      <c r="CE406" s="3054"/>
      <c r="CF406" s="3054"/>
      <c r="CG406" s="3055"/>
      <c r="CH406" s="3055"/>
      <c r="CI406" s="3055"/>
      <c r="CJ406" s="3055"/>
      <c r="CK406" s="3055"/>
      <c r="CL406" s="3055"/>
      <c r="CM406" s="3055"/>
      <c r="CN406" s="3055"/>
      <c r="CO406" s="3055"/>
      <c r="CP406" s="3055"/>
      <c r="CQ406" s="3055"/>
      <c r="CR406" s="3055"/>
      <c r="CS406" s="3055"/>
      <c r="CU406" s="3054"/>
      <c r="CV406" s="696"/>
      <c r="CW406" s="696"/>
      <c r="CZ406" s="3060">
        <f t="shared" si="17"/>
      </c>
      <c r="DA406" s="3060">
        <f t="shared" si="1"/>
      </c>
      <c r="DB406" s="3060">
        <f t="shared" si="18"/>
      </c>
      <c r="DC406" s="3060">
        <f t="shared" si="19"/>
      </c>
      <c r="DD406" s="3060">
        <f t="shared" si="20"/>
      </c>
      <c r="DE406" s="3060">
        <f t="shared" si="21"/>
      </c>
      <c r="DF406" s="3060">
        <f t="shared" si="22"/>
      </c>
      <c r="DG406" s="3060">
        <f t="shared" si="23"/>
      </c>
      <c r="DH406" s="3060">
        <f t="shared" si="24"/>
      </c>
      <c r="DI406" s="3060">
        <f t="shared" si="1"/>
      </c>
    </row>
    <row r="407" ht="15" customHeight="1" s="3052" customFormat="1">
      <c r="B407" s="3054">
        <f t="shared" si="2"/>
      </c>
      <c r="C407" s="3054"/>
      <c r="D407" s="3054"/>
      <c r="E407" s="3055"/>
      <c r="F407" s="3055"/>
      <c r="G407" s="3055"/>
      <c r="H407" s="3055"/>
      <c r="I407" s="3055"/>
      <c r="J407" s="3055"/>
      <c r="K407" s="3055"/>
      <c r="L407" s="3055"/>
      <c r="M407" s="3055"/>
      <c r="N407" s="3055"/>
      <c r="O407" s="3055"/>
      <c r="P407" s="3055"/>
      <c r="Q407" s="3055"/>
      <c r="R407" s="3055">
        <f t="shared" si="3"/>
        <v>0</v>
      </c>
      <c r="S407" s="3055">
        <f t="shared" si="4"/>
        <v>0</v>
      </c>
      <c r="T407" s="3055">
        <f t="shared" si="5"/>
        <v>0</v>
      </c>
      <c r="U407" s="3055">
        <f t="shared" si="6"/>
        <v>0</v>
      </c>
      <c r="V407" s="3055">
        <f t="shared" si="7"/>
        <v>0</v>
      </c>
      <c r="W407" s="3055">
        <f t="shared" si="8"/>
        <v>0</v>
      </c>
      <c r="X407" s="3055">
        <f t="shared" si="9"/>
        <v>0</v>
      </c>
      <c r="Y407" s="3055">
        <f t="shared" si="10"/>
        <v>0</v>
      </c>
      <c r="Z407" s="3055">
        <f t="shared" si="11"/>
        <v>0</v>
      </c>
      <c r="AA407" s="3055">
        <f t="shared" si="12"/>
        <v>0</v>
      </c>
      <c r="AB407" s="3055">
        <f t="shared" si="13"/>
        <v>0</v>
      </c>
      <c r="AC407" s="3055">
        <f t="shared" si="14"/>
        <v>0</v>
      </c>
      <c r="AD407" s="3056"/>
      <c r="AE407" s="3057">
        <f t="shared" si="0"/>
      </c>
      <c r="AF407" s="3054"/>
      <c r="AG407" s="3054"/>
      <c r="AH407" s="3055"/>
      <c r="AI407" s="3055"/>
      <c r="AJ407" s="3055"/>
      <c r="AK407" s="3055"/>
      <c r="AL407" s="3055"/>
      <c r="AM407" s="3055"/>
      <c r="AN407" s="3055"/>
      <c r="AO407" s="3055"/>
      <c r="AP407" s="3055"/>
      <c r="AQ407" s="3055"/>
      <c r="AR407" s="3055"/>
      <c r="AS407" s="3055"/>
      <c r="AT407" s="3055"/>
      <c r="AU407" s="3056"/>
      <c r="AV407" s="3057">
        <f t="shared" si="15"/>
      </c>
      <c r="AW407" s="3054"/>
      <c r="AX407" s="3054"/>
      <c r="AY407" s="3055"/>
      <c r="AZ407" s="3055"/>
      <c r="BA407" s="3055"/>
      <c r="BB407" s="3055"/>
      <c r="BC407" s="3055"/>
      <c r="BD407" s="3055"/>
      <c r="BE407" s="3055"/>
      <c r="BF407" s="3055"/>
      <c r="BG407" s="3055"/>
      <c r="BH407" s="3055"/>
      <c r="BI407" s="3055"/>
      <c r="BJ407" s="3055"/>
      <c r="BK407" s="3055"/>
      <c r="BL407" s="3056"/>
      <c r="BM407" s="3057">
        <f t="shared" si="16"/>
      </c>
      <c r="BN407" s="3054"/>
      <c r="BO407" s="3054"/>
      <c r="BP407" s="3055"/>
      <c r="BQ407" s="3055"/>
      <c r="BR407" s="3055"/>
      <c r="BS407" s="3055"/>
      <c r="BT407" s="3055"/>
      <c r="BU407" s="3055"/>
      <c r="BV407" s="3055"/>
      <c r="BW407" s="3055"/>
      <c r="BX407" s="3055"/>
      <c r="BY407" s="3055"/>
      <c r="BZ407" s="3055"/>
      <c r="CA407" s="3055"/>
      <c r="CB407" s="3055"/>
      <c r="CC407" s="3056"/>
      <c r="CD407" s="3057">
        <f t="shared" si="0"/>
      </c>
      <c r="CE407" s="3054"/>
      <c r="CF407" s="3054"/>
      <c r="CG407" s="3055"/>
      <c r="CH407" s="3055"/>
      <c r="CI407" s="3055"/>
      <c r="CJ407" s="3055"/>
      <c r="CK407" s="3055"/>
      <c r="CL407" s="3055"/>
      <c r="CM407" s="3055"/>
      <c r="CN407" s="3055"/>
      <c r="CO407" s="3055"/>
      <c r="CP407" s="3055"/>
      <c r="CQ407" s="3055"/>
      <c r="CR407" s="3055"/>
      <c r="CS407" s="3055"/>
      <c r="CU407" s="3054"/>
      <c r="CV407" s="696"/>
      <c r="CW407" s="696"/>
      <c r="CZ407" s="3060">
        <f t="shared" si="17"/>
      </c>
      <c r="DA407" s="3060">
        <f t="shared" si="1"/>
      </c>
      <c r="DB407" s="3060">
        <f t="shared" si="18"/>
      </c>
      <c r="DC407" s="3060">
        <f t="shared" si="19"/>
      </c>
      <c r="DD407" s="3060">
        <f t="shared" si="20"/>
      </c>
      <c r="DE407" s="3060">
        <f t="shared" si="21"/>
      </c>
      <c r="DF407" s="3060">
        <f t="shared" si="22"/>
      </c>
      <c r="DG407" s="3060">
        <f t="shared" si="23"/>
      </c>
      <c r="DH407" s="3060">
        <f t="shared" si="24"/>
      </c>
      <c r="DI407" s="3060">
        <f t="shared" si="1"/>
      </c>
    </row>
    <row r="408" ht="15" customHeight="1" s="3052" customFormat="1">
      <c r="B408" s="3054">
        <f t="shared" si="2"/>
      </c>
      <c r="C408" s="3054"/>
      <c r="D408" s="3054"/>
      <c r="E408" s="3055"/>
      <c r="F408" s="3055"/>
      <c r="G408" s="3055"/>
      <c r="H408" s="3055"/>
      <c r="I408" s="3055"/>
      <c r="J408" s="3055"/>
      <c r="K408" s="3055"/>
      <c r="L408" s="3055"/>
      <c r="M408" s="3055"/>
      <c r="N408" s="3055"/>
      <c r="O408" s="3055"/>
      <c r="P408" s="3055"/>
      <c r="Q408" s="3055"/>
      <c r="R408" s="3055">
        <f t="shared" si="3"/>
        <v>0</v>
      </c>
      <c r="S408" s="3055">
        <f t="shared" si="4"/>
        <v>0</v>
      </c>
      <c r="T408" s="3055">
        <f t="shared" si="5"/>
        <v>0</v>
      </c>
      <c r="U408" s="3055">
        <f t="shared" si="6"/>
        <v>0</v>
      </c>
      <c r="V408" s="3055">
        <f t="shared" si="7"/>
        <v>0</v>
      </c>
      <c r="W408" s="3055">
        <f t="shared" si="8"/>
        <v>0</v>
      </c>
      <c r="X408" s="3055">
        <f t="shared" si="9"/>
        <v>0</v>
      </c>
      <c r="Y408" s="3055">
        <f t="shared" si="10"/>
        <v>0</v>
      </c>
      <c r="Z408" s="3055">
        <f t="shared" si="11"/>
        <v>0</v>
      </c>
      <c r="AA408" s="3055">
        <f t="shared" si="12"/>
        <v>0</v>
      </c>
      <c r="AB408" s="3055">
        <f t="shared" si="13"/>
        <v>0</v>
      </c>
      <c r="AC408" s="3055">
        <f t="shared" si="14"/>
        <v>0</v>
      </c>
      <c r="AD408" s="3056"/>
      <c r="AE408" s="3057">
        <f t="shared" si="0"/>
      </c>
      <c r="AF408" s="3054"/>
      <c r="AG408" s="3054"/>
      <c r="AH408" s="3055"/>
      <c r="AI408" s="3055"/>
      <c r="AJ408" s="3055"/>
      <c r="AK408" s="3055"/>
      <c r="AL408" s="3055"/>
      <c r="AM408" s="3055"/>
      <c r="AN408" s="3055"/>
      <c r="AO408" s="3055"/>
      <c r="AP408" s="3055"/>
      <c r="AQ408" s="3055"/>
      <c r="AR408" s="3055"/>
      <c r="AS408" s="3055"/>
      <c r="AT408" s="3055"/>
      <c r="AU408" s="3056"/>
      <c r="AV408" s="3057">
        <f t="shared" si="15"/>
      </c>
      <c r="AW408" s="3054"/>
      <c r="AX408" s="3054"/>
      <c r="AY408" s="3055"/>
      <c r="AZ408" s="3055"/>
      <c r="BA408" s="3055"/>
      <c r="BB408" s="3055"/>
      <c r="BC408" s="3055"/>
      <c r="BD408" s="3055"/>
      <c r="BE408" s="3055"/>
      <c r="BF408" s="3055"/>
      <c r="BG408" s="3055"/>
      <c r="BH408" s="3055"/>
      <c r="BI408" s="3055"/>
      <c r="BJ408" s="3055"/>
      <c r="BK408" s="3055"/>
      <c r="BL408" s="3056"/>
      <c r="BM408" s="3057">
        <f t="shared" si="16"/>
      </c>
      <c r="BN408" s="3054"/>
      <c r="BO408" s="3054"/>
      <c r="BP408" s="3055"/>
      <c r="BQ408" s="3055"/>
      <c r="BR408" s="3055"/>
      <c r="BS408" s="3055"/>
      <c r="BT408" s="3055"/>
      <c r="BU408" s="3055"/>
      <c r="BV408" s="3055"/>
      <c r="BW408" s="3055"/>
      <c r="BX408" s="3055"/>
      <c r="BY408" s="3055"/>
      <c r="BZ408" s="3055"/>
      <c r="CA408" s="3055"/>
      <c r="CB408" s="3055"/>
      <c r="CC408" s="3056"/>
      <c r="CD408" s="3057">
        <f t="shared" si="0"/>
      </c>
      <c r="CE408" s="3054"/>
      <c r="CF408" s="3054"/>
      <c r="CG408" s="3055"/>
      <c r="CH408" s="3055"/>
      <c r="CI408" s="3055"/>
      <c r="CJ408" s="3055"/>
      <c r="CK408" s="3055"/>
      <c r="CL408" s="3055"/>
      <c r="CM408" s="3055"/>
      <c r="CN408" s="3055"/>
      <c r="CO408" s="3055"/>
      <c r="CP408" s="3055"/>
      <c r="CQ408" s="3055"/>
      <c r="CR408" s="3055"/>
      <c r="CS408" s="3055"/>
      <c r="CU408" s="3054"/>
      <c r="CV408" s="696"/>
      <c r="CW408" s="696"/>
      <c r="CZ408" s="3060">
        <f t="shared" si="17"/>
      </c>
      <c r="DA408" s="3060">
        <f t="shared" si="1"/>
      </c>
      <c r="DB408" s="3060">
        <f t="shared" si="18"/>
      </c>
      <c r="DC408" s="3060">
        <f t="shared" si="19"/>
      </c>
      <c r="DD408" s="3060">
        <f t="shared" si="20"/>
      </c>
      <c r="DE408" s="3060">
        <f t="shared" si="21"/>
      </c>
      <c r="DF408" s="3060">
        <f t="shared" si="22"/>
      </c>
      <c r="DG408" s="3060">
        <f t="shared" si="23"/>
      </c>
      <c r="DH408" s="3060">
        <f t="shared" si="24"/>
      </c>
      <c r="DI408" s="3060">
        <f t="shared" si="1"/>
      </c>
    </row>
    <row r="409" ht="15" customHeight="1" s="3052" customFormat="1">
      <c r="B409" s="3054">
        <f t="shared" si="2"/>
      </c>
      <c r="C409" s="3054"/>
      <c r="D409" s="3054"/>
      <c r="E409" s="3055"/>
      <c r="F409" s="3055"/>
      <c r="G409" s="3055"/>
      <c r="H409" s="3055"/>
      <c r="I409" s="3055"/>
      <c r="J409" s="3055"/>
      <c r="K409" s="3055"/>
      <c r="L409" s="3055"/>
      <c r="M409" s="3055"/>
      <c r="N409" s="3055"/>
      <c r="O409" s="3055"/>
      <c r="P409" s="3055"/>
      <c r="Q409" s="3055"/>
      <c r="R409" s="3055">
        <f t="shared" si="3"/>
        <v>0</v>
      </c>
      <c r="S409" s="3055">
        <f t="shared" si="4"/>
        <v>0</v>
      </c>
      <c r="T409" s="3055">
        <f t="shared" si="5"/>
        <v>0</v>
      </c>
      <c r="U409" s="3055">
        <f t="shared" si="6"/>
        <v>0</v>
      </c>
      <c r="V409" s="3055">
        <f t="shared" si="7"/>
        <v>0</v>
      </c>
      <c r="W409" s="3055">
        <f t="shared" si="8"/>
        <v>0</v>
      </c>
      <c r="X409" s="3055">
        <f t="shared" si="9"/>
        <v>0</v>
      </c>
      <c r="Y409" s="3055">
        <f t="shared" si="10"/>
        <v>0</v>
      </c>
      <c r="Z409" s="3055">
        <f t="shared" si="11"/>
        <v>0</v>
      </c>
      <c r="AA409" s="3055">
        <f t="shared" si="12"/>
        <v>0</v>
      </c>
      <c r="AB409" s="3055">
        <f t="shared" si="13"/>
        <v>0</v>
      </c>
      <c r="AC409" s="3055">
        <f t="shared" si="14"/>
        <v>0</v>
      </c>
      <c r="AD409" s="3056"/>
      <c r="AE409" s="3057">
        <f t="shared" si="0"/>
      </c>
      <c r="AF409" s="3054"/>
      <c r="AG409" s="3054"/>
      <c r="AH409" s="3055"/>
      <c r="AI409" s="3055"/>
      <c r="AJ409" s="3055"/>
      <c r="AK409" s="3055"/>
      <c r="AL409" s="3055"/>
      <c r="AM409" s="3055"/>
      <c r="AN409" s="3055"/>
      <c r="AO409" s="3055"/>
      <c r="AP409" s="3055"/>
      <c r="AQ409" s="3055"/>
      <c r="AR409" s="3055"/>
      <c r="AS409" s="3055"/>
      <c r="AT409" s="3055"/>
      <c r="AU409" s="3056"/>
      <c r="AV409" s="3057">
        <f t="shared" si="15"/>
      </c>
      <c r="AW409" s="3054"/>
      <c r="AX409" s="3054"/>
      <c r="AY409" s="3055"/>
      <c r="AZ409" s="3055"/>
      <c r="BA409" s="3055"/>
      <c r="BB409" s="3055"/>
      <c r="BC409" s="3055"/>
      <c r="BD409" s="3055"/>
      <c r="BE409" s="3055"/>
      <c r="BF409" s="3055"/>
      <c r="BG409" s="3055"/>
      <c r="BH409" s="3055"/>
      <c r="BI409" s="3055"/>
      <c r="BJ409" s="3055"/>
      <c r="BK409" s="3055"/>
      <c r="BL409" s="3056"/>
      <c r="BM409" s="3057">
        <f t="shared" si="16"/>
      </c>
      <c r="BN409" s="3054"/>
      <c r="BO409" s="3054"/>
      <c r="BP409" s="3055"/>
      <c r="BQ409" s="3055"/>
      <c r="BR409" s="3055"/>
      <c r="BS409" s="3055"/>
      <c r="BT409" s="3055"/>
      <c r="BU409" s="3055"/>
      <c r="BV409" s="3055"/>
      <c r="BW409" s="3055"/>
      <c r="BX409" s="3055"/>
      <c r="BY409" s="3055"/>
      <c r="BZ409" s="3055"/>
      <c r="CA409" s="3055"/>
      <c r="CB409" s="3055"/>
      <c r="CC409" s="3056"/>
      <c r="CD409" s="3057">
        <f t="shared" si="0"/>
      </c>
      <c r="CE409" s="3054"/>
      <c r="CF409" s="3054"/>
      <c r="CG409" s="3055"/>
      <c r="CH409" s="3055"/>
      <c r="CI409" s="3055"/>
      <c r="CJ409" s="3055"/>
      <c r="CK409" s="3055"/>
      <c r="CL409" s="3055"/>
      <c r="CM409" s="3055"/>
      <c r="CN409" s="3055"/>
      <c r="CO409" s="3055"/>
      <c r="CP409" s="3055"/>
      <c r="CQ409" s="3055"/>
      <c r="CR409" s="3055"/>
      <c r="CS409" s="3055"/>
      <c r="CU409" s="3054"/>
      <c r="CV409" s="696"/>
      <c r="CW409" s="696"/>
      <c r="CZ409" s="3060">
        <f t="shared" si="17"/>
      </c>
      <c r="DA409" s="3060">
        <f t="shared" si="1"/>
      </c>
      <c r="DB409" s="3060">
        <f t="shared" si="18"/>
      </c>
      <c r="DC409" s="3060">
        <f t="shared" si="19"/>
      </c>
      <c r="DD409" s="3060">
        <f t="shared" si="20"/>
      </c>
      <c r="DE409" s="3060">
        <f t="shared" si="21"/>
      </c>
      <c r="DF409" s="3060">
        <f t="shared" si="22"/>
      </c>
      <c r="DG409" s="3060">
        <f t="shared" si="23"/>
      </c>
      <c r="DH409" s="3060">
        <f t="shared" si="24"/>
      </c>
      <c r="DI409" s="3060">
        <f t="shared" si="1"/>
      </c>
    </row>
    <row r="410" ht="15" customHeight="1" s="3052" customFormat="1">
      <c r="B410" s="3054">
        <f t="shared" si="2"/>
      </c>
      <c r="C410" s="3054"/>
      <c r="D410" s="3054"/>
      <c r="E410" s="3055"/>
      <c r="F410" s="3055"/>
      <c r="G410" s="3055"/>
      <c r="H410" s="3055"/>
      <c r="I410" s="3055"/>
      <c r="J410" s="3055"/>
      <c r="K410" s="3055"/>
      <c r="L410" s="3055"/>
      <c r="M410" s="3055"/>
      <c r="N410" s="3055"/>
      <c r="O410" s="3055"/>
      <c r="P410" s="3055"/>
      <c r="Q410" s="3055"/>
      <c r="R410" s="3055">
        <f t="shared" si="3"/>
        <v>0</v>
      </c>
      <c r="S410" s="3055">
        <f t="shared" si="4"/>
        <v>0</v>
      </c>
      <c r="T410" s="3055">
        <f t="shared" si="5"/>
        <v>0</v>
      </c>
      <c r="U410" s="3055">
        <f t="shared" si="6"/>
        <v>0</v>
      </c>
      <c r="V410" s="3055">
        <f t="shared" si="7"/>
        <v>0</v>
      </c>
      <c r="W410" s="3055">
        <f t="shared" si="8"/>
        <v>0</v>
      </c>
      <c r="X410" s="3055">
        <f t="shared" si="9"/>
        <v>0</v>
      </c>
      <c r="Y410" s="3055">
        <f t="shared" si="10"/>
        <v>0</v>
      </c>
      <c r="Z410" s="3055">
        <f t="shared" si="11"/>
        <v>0</v>
      </c>
      <c r="AA410" s="3055">
        <f t="shared" si="12"/>
        <v>0</v>
      </c>
      <c r="AB410" s="3055">
        <f t="shared" si="13"/>
        <v>0</v>
      </c>
      <c r="AC410" s="3055">
        <f t="shared" si="14"/>
        <v>0</v>
      </c>
      <c r="AD410" s="3056"/>
      <c r="AE410" s="3057">
        <f t="shared" si="0"/>
      </c>
      <c r="AF410" s="3054"/>
      <c r="AG410" s="3054"/>
      <c r="AH410" s="3055"/>
      <c r="AI410" s="3055"/>
      <c r="AJ410" s="3055"/>
      <c r="AK410" s="3055"/>
      <c r="AL410" s="3055"/>
      <c r="AM410" s="3055"/>
      <c r="AN410" s="3055"/>
      <c r="AO410" s="3055"/>
      <c r="AP410" s="3055"/>
      <c r="AQ410" s="3055"/>
      <c r="AR410" s="3055"/>
      <c r="AS410" s="3055"/>
      <c r="AT410" s="3055"/>
      <c r="AU410" s="3056"/>
      <c r="AV410" s="3057">
        <f t="shared" si="15"/>
      </c>
      <c r="AW410" s="3054"/>
      <c r="AX410" s="3054"/>
      <c r="AY410" s="3055"/>
      <c r="AZ410" s="3055"/>
      <c r="BA410" s="3055"/>
      <c r="BB410" s="3055"/>
      <c r="BC410" s="3055"/>
      <c r="BD410" s="3055"/>
      <c r="BE410" s="3055"/>
      <c r="BF410" s="3055"/>
      <c r="BG410" s="3055"/>
      <c r="BH410" s="3055"/>
      <c r="BI410" s="3055"/>
      <c r="BJ410" s="3055"/>
      <c r="BK410" s="3055"/>
      <c r="BL410" s="3056"/>
      <c r="BM410" s="3057">
        <f t="shared" si="16"/>
      </c>
      <c r="BN410" s="3054"/>
      <c r="BO410" s="3054"/>
      <c r="BP410" s="3055"/>
      <c r="BQ410" s="3055"/>
      <c r="BR410" s="3055"/>
      <c r="BS410" s="3055"/>
      <c r="BT410" s="3055"/>
      <c r="BU410" s="3055"/>
      <c r="BV410" s="3055"/>
      <c r="BW410" s="3055"/>
      <c r="BX410" s="3055"/>
      <c r="BY410" s="3055"/>
      <c r="BZ410" s="3055"/>
      <c r="CA410" s="3055"/>
      <c r="CB410" s="3055"/>
      <c r="CC410" s="3056"/>
      <c r="CD410" s="3057">
        <f t="shared" si="0"/>
      </c>
      <c r="CE410" s="3054"/>
      <c r="CF410" s="3054"/>
      <c r="CG410" s="3055"/>
      <c r="CH410" s="3055"/>
      <c r="CI410" s="3055"/>
      <c r="CJ410" s="3055"/>
      <c r="CK410" s="3055"/>
      <c r="CL410" s="3055"/>
      <c r="CM410" s="3055"/>
      <c r="CN410" s="3055"/>
      <c r="CO410" s="3055"/>
      <c r="CP410" s="3055"/>
      <c r="CQ410" s="3055"/>
      <c r="CR410" s="3055"/>
      <c r="CS410" s="3055"/>
      <c r="CU410" s="3054"/>
      <c r="CV410" s="696"/>
      <c r="CW410" s="696"/>
      <c r="CZ410" s="3060">
        <f t="shared" si="17"/>
      </c>
      <c r="DA410" s="3060">
        <f t="shared" si="1"/>
      </c>
      <c r="DB410" s="3060">
        <f t="shared" si="18"/>
      </c>
      <c r="DC410" s="3060">
        <f t="shared" si="19"/>
      </c>
      <c r="DD410" s="3060">
        <f t="shared" si="20"/>
      </c>
      <c r="DE410" s="3060">
        <f t="shared" si="21"/>
      </c>
      <c r="DF410" s="3060">
        <f t="shared" si="22"/>
      </c>
      <c r="DG410" s="3060">
        <f t="shared" si="23"/>
      </c>
      <c r="DH410" s="3060">
        <f t="shared" si="24"/>
      </c>
      <c r="DI410" s="3060">
        <f t="shared" si="1"/>
      </c>
    </row>
    <row r="411" ht="15" customHeight="1" s="3052" customFormat="1">
      <c r="B411" s="3054">
        <f t="shared" si="2"/>
      </c>
      <c r="C411" s="3054"/>
      <c r="D411" s="3054"/>
      <c r="E411" s="3055"/>
      <c r="F411" s="3055"/>
      <c r="G411" s="3055"/>
      <c r="H411" s="3055"/>
      <c r="I411" s="3055"/>
      <c r="J411" s="3055"/>
      <c r="K411" s="3055"/>
      <c r="L411" s="3055"/>
      <c r="M411" s="3055"/>
      <c r="N411" s="3055"/>
      <c r="O411" s="3055"/>
      <c r="P411" s="3055"/>
      <c r="Q411" s="3055"/>
      <c r="R411" s="3055">
        <f t="shared" si="3"/>
        <v>0</v>
      </c>
      <c r="S411" s="3055">
        <f t="shared" si="4"/>
        <v>0</v>
      </c>
      <c r="T411" s="3055">
        <f t="shared" si="5"/>
        <v>0</v>
      </c>
      <c r="U411" s="3055">
        <f t="shared" si="6"/>
        <v>0</v>
      </c>
      <c r="V411" s="3055">
        <f t="shared" si="7"/>
        <v>0</v>
      </c>
      <c r="W411" s="3055">
        <f t="shared" si="8"/>
        <v>0</v>
      </c>
      <c r="X411" s="3055">
        <f t="shared" si="9"/>
        <v>0</v>
      </c>
      <c r="Y411" s="3055">
        <f t="shared" si="10"/>
        <v>0</v>
      </c>
      <c r="Z411" s="3055">
        <f t="shared" si="11"/>
        <v>0</v>
      </c>
      <c r="AA411" s="3055">
        <f t="shared" si="12"/>
        <v>0</v>
      </c>
      <c r="AB411" s="3055">
        <f t="shared" si="13"/>
        <v>0</v>
      </c>
      <c r="AC411" s="3055">
        <f t="shared" si="14"/>
        <v>0</v>
      </c>
      <c r="AD411" s="3056"/>
      <c r="AE411" s="3057">
        <f t="shared" si="0"/>
      </c>
      <c r="AF411" s="3054"/>
      <c r="AG411" s="3054"/>
      <c r="AH411" s="3055"/>
      <c r="AI411" s="3055"/>
      <c r="AJ411" s="3055"/>
      <c r="AK411" s="3055"/>
      <c r="AL411" s="3055"/>
      <c r="AM411" s="3055"/>
      <c r="AN411" s="3055"/>
      <c r="AO411" s="3055"/>
      <c r="AP411" s="3055"/>
      <c r="AQ411" s="3055"/>
      <c r="AR411" s="3055"/>
      <c r="AS411" s="3055"/>
      <c r="AT411" s="3055"/>
      <c r="AU411" s="3056"/>
      <c r="AV411" s="3057">
        <f t="shared" si="15"/>
      </c>
      <c r="AW411" s="3054"/>
      <c r="AX411" s="3054"/>
      <c r="AY411" s="3055"/>
      <c r="AZ411" s="3055"/>
      <c r="BA411" s="3055"/>
      <c r="BB411" s="3055"/>
      <c r="BC411" s="3055"/>
      <c r="BD411" s="3055"/>
      <c r="BE411" s="3055"/>
      <c r="BF411" s="3055"/>
      <c r="BG411" s="3055"/>
      <c r="BH411" s="3055"/>
      <c r="BI411" s="3055"/>
      <c r="BJ411" s="3055"/>
      <c r="BK411" s="3055"/>
      <c r="BL411" s="3056"/>
      <c r="BM411" s="3057">
        <f t="shared" si="16"/>
      </c>
      <c r="BN411" s="3054"/>
      <c r="BO411" s="3054"/>
      <c r="BP411" s="3055"/>
      <c r="BQ411" s="3055"/>
      <c r="BR411" s="3055"/>
      <c r="BS411" s="3055"/>
      <c r="BT411" s="3055"/>
      <c r="BU411" s="3055"/>
      <c r="BV411" s="3055"/>
      <c r="BW411" s="3055"/>
      <c r="BX411" s="3055"/>
      <c r="BY411" s="3055"/>
      <c r="BZ411" s="3055"/>
      <c r="CA411" s="3055"/>
      <c r="CB411" s="3055"/>
      <c r="CC411" s="3056"/>
      <c r="CD411" s="3057">
        <f t="shared" si="0"/>
      </c>
      <c r="CE411" s="3054"/>
      <c r="CF411" s="3054"/>
      <c r="CG411" s="3055"/>
      <c r="CH411" s="3055"/>
      <c r="CI411" s="3055"/>
      <c r="CJ411" s="3055"/>
      <c r="CK411" s="3055"/>
      <c r="CL411" s="3055"/>
      <c r="CM411" s="3055"/>
      <c r="CN411" s="3055"/>
      <c r="CO411" s="3055"/>
      <c r="CP411" s="3055"/>
      <c r="CQ411" s="3055"/>
      <c r="CR411" s="3055"/>
      <c r="CS411" s="3055"/>
      <c r="CU411" s="3054"/>
      <c r="CV411" s="696"/>
      <c r="CW411" s="696"/>
      <c r="CZ411" s="3060">
        <f t="shared" si="17"/>
      </c>
      <c r="DA411" s="3060">
        <f t="shared" si="1"/>
      </c>
      <c r="DB411" s="3060">
        <f t="shared" si="18"/>
      </c>
      <c r="DC411" s="3060">
        <f t="shared" si="19"/>
      </c>
      <c r="DD411" s="3060">
        <f t="shared" si="20"/>
      </c>
      <c r="DE411" s="3060">
        <f t="shared" si="21"/>
      </c>
      <c r="DF411" s="3060">
        <f t="shared" si="22"/>
      </c>
      <c r="DG411" s="3060">
        <f t="shared" si="23"/>
      </c>
      <c r="DH411" s="3060">
        <f t="shared" si="24"/>
      </c>
      <c r="DI411" s="3060">
        <f t="shared" si="1"/>
      </c>
    </row>
    <row r="412" ht="15" customHeight="1" s="3052" customFormat="1">
      <c r="B412" s="3054">
        <f t="shared" si="2"/>
      </c>
      <c r="C412" s="3054"/>
      <c r="D412" s="3054"/>
      <c r="E412" s="3055"/>
      <c r="F412" s="3055"/>
      <c r="G412" s="3055"/>
      <c r="H412" s="3055"/>
      <c r="I412" s="3055"/>
      <c r="J412" s="3055"/>
      <c r="K412" s="3055"/>
      <c r="L412" s="3055"/>
      <c r="M412" s="3055"/>
      <c r="N412" s="3055"/>
      <c r="O412" s="3055"/>
      <c r="P412" s="3055"/>
      <c r="Q412" s="3055"/>
      <c r="R412" s="3055">
        <f t="shared" si="3"/>
        <v>0</v>
      </c>
      <c r="S412" s="3055">
        <f t="shared" si="4"/>
        <v>0</v>
      </c>
      <c r="T412" s="3055">
        <f t="shared" si="5"/>
        <v>0</v>
      </c>
      <c r="U412" s="3055">
        <f t="shared" si="6"/>
        <v>0</v>
      </c>
      <c r="V412" s="3055">
        <f t="shared" si="7"/>
        <v>0</v>
      </c>
      <c r="W412" s="3055">
        <f t="shared" si="8"/>
        <v>0</v>
      </c>
      <c r="X412" s="3055">
        <f t="shared" si="9"/>
        <v>0</v>
      </c>
      <c r="Y412" s="3055">
        <f t="shared" si="10"/>
        <v>0</v>
      </c>
      <c r="Z412" s="3055">
        <f t="shared" si="11"/>
        <v>0</v>
      </c>
      <c r="AA412" s="3055">
        <f t="shared" si="12"/>
        <v>0</v>
      </c>
      <c r="AB412" s="3055">
        <f t="shared" si="13"/>
        <v>0</v>
      </c>
      <c r="AC412" s="3055">
        <f t="shared" si="14"/>
        <v>0</v>
      </c>
      <c r="AD412" s="3056"/>
      <c r="AE412" s="3057">
        <f t="shared" si="0"/>
      </c>
      <c r="AF412" s="3054"/>
      <c r="AG412" s="3054"/>
      <c r="AH412" s="3055"/>
      <c r="AI412" s="3055"/>
      <c r="AJ412" s="3055"/>
      <c r="AK412" s="3055"/>
      <c r="AL412" s="3055"/>
      <c r="AM412" s="3055"/>
      <c r="AN412" s="3055"/>
      <c r="AO412" s="3055"/>
      <c r="AP412" s="3055"/>
      <c r="AQ412" s="3055"/>
      <c r="AR412" s="3055"/>
      <c r="AS412" s="3055"/>
      <c r="AT412" s="3055"/>
      <c r="AU412" s="3056"/>
      <c r="AV412" s="3057">
        <f t="shared" si="15"/>
      </c>
      <c r="AW412" s="3054"/>
      <c r="AX412" s="3054"/>
      <c r="AY412" s="3055"/>
      <c r="AZ412" s="3055"/>
      <c r="BA412" s="3055"/>
      <c r="BB412" s="3055"/>
      <c r="BC412" s="3055"/>
      <c r="BD412" s="3055"/>
      <c r="BE412" s="3055"/>
      <c r="BF412" s="3055"/>
      <c r="BG412" s="3055"/>
      <c r="BH412" s="3055"/>
      <c r="BI412" s="3055"/>
      <c r="BJ412" s="3055"/>
      <c r="BK412" s="3055"/>
      <c r="BL412" s="3056"/>
      <c r="BM412" s="3057">
        <f t="shared" si="16"/>
      </c>
      <c r="BN412" s="3054"/>
      <c r="BO412" s="3054"/>
      <c r="BP412" s="3055"/>
      <c r="BQ412" s="3055"/>
      <c r="BR412" s="3055"/>
      <c r="BS412" s="3055"/>
      <c r="BT412" s="3055"/>
      <c r="BU412" s="3055"/>
      <c r="BV412" s="3055"/>
      <c r="BW412" s="3055"/>
      <c r="BX412" s="3055"/>
      <c r="BY412" s="3055"/>
      <c r="BZ412" s="3055"/>
      <c r="CA412" s="3055"/>
      <c r="CB412" s="3055"/>
      <c r="CC412" s="3056"/>
      <c r="CD412" s="3057">
        <f t="shared" si="0"/>
      </c>
      <c r="CE412" s="3054"/>
      <c r="CF412" s="3054"/>
      <c r="CG412" s="3055"/>
      <c r="CH412" s="3055"/>
      <c r="CI412" s="3055"/>
      <c r="CJ412" s="3055"/>
      <c r="CK412" s="3055"/>
      <c r="CL412" s="3055"/>
      <c r="CM412" s="3055"/>
      <c r="CN412" s="3055"/>
      <c r="CO412" s="3055"/>
      <c r="CP412" s="3055"/>
      <c r="CQ412" s="3055"/>
      <c r="CR412" s="3055"/>
      <c r="CS412" s="3055"/>
      <c r="CU412" s="3054"/>
      <c r="CV412" s="696"/>
      <c r="CW412" s="696"/>
      <c r="CZ412" s="3060">
        <f t="shared" si="17"/>
      </c>
      <c r="DA412" s="3060">
        <f t="shared" si="1"/>
      </c>
      <c r="DB412" s="3060">
        <f t="shared" si="18"/>
      </c>
      <c r="DC412" s="3060">
        <f t="shared" si="19"/>
      </c>
      <c r="DD412" s="3060">
        <f t="shared" si="20"/>
      </c>
      <c r="DE412" s="3060">
        <f t="shared" si="21"/>
      </c>
      <c r="DF412" s="3060">
        <f t="shared" si="22"/>
      </c>
      <c r="DG412" s="3060">
        <f t="shared" si="23"/>
      </c>
      <c r="DH412" s="3060">
        <f t="shared" si="24"/>
      </c>
      <c r="DI412" s="3060">
        <f t="shared" si="1"/>
      </c>
    </row>
    <row r="413" ht="15" customHeight="1" s="3052" customFormat="1">
      <c r="B413" s="3054">
        <f t="shared" si="2"/>
      </c>
      <c r="C413" s="3054"/>
      <c r="D413" s="3054"/>
      <c r="E413" s="3055"/>
      <c r="F413" s="3055"/>
      <c r="G413" s="3055"/>
      <c r="H413" s="3055"/>
      <c r="I413" s="3055"/>
      <c r="J413" s="3055"/>
      <c r="K413" s="3055"/>
      <c r="L413" s="3055"/>
      <c r="M413" s="3055"/>
      <c r="N413" s="3055"/>
      <c r="O413" s="3055"/>
      <c r="P413" s="3055"/>
      <c r="Q413" s="3055"/>
      <c r="R413" s="3055">
        <f t="shared" si="3"/>
        <v>0</v>
      </c>
      <c r="S413" s="3055">
        <f t="shared" si="4"/>
        <v>0</v>
      </c>
      <c r="T413" s="3055">
        <f t="shared" si="5"/>
        <v>0</v>
      </c>
      <c r="U413" s="3055">
        <f t="shared" si="6"/>
        <v>0</v>
      </c>
      <c r="V413" s="3055">
        <f t="shared" si="7"/>
        <v>0</v>
      </c>
      <c r="W413" s="3055">
        <f t="shared" si="8"/>
        <v>0</v>
      </c>
      <c r="X413" s="3055">
        <f t="shared" si="9"/>
        <v>0</v>
      </c>
      <c r="Y413" s="3055">
        <f t="shared" si="10"/>
        <v>0</v>
      </c>
      <c r="Z413" s="3055">
        <f t="shared" si="11"/>
        <v>0</v>
      </c>
      <c r="AA413" s="3055">
        <f t="shared" si="12"/>
        <v>0</v>
      </c>
      <c r="AB413" s="3055">
        <f t="shared" si="13"/>
        <v>0</v>
      </c>
      <c r="AC413" s="3055">
        <f t="shared" si="14"/>
        <v>0</v>
      </c>
      <c r="AD413" s="3056"/>
      <c r="AE413" s="3057">
        <f t="shared" si="0"/>
      </c>
      <c r="AF413" s="3054"/>
      <c r="AG413" s="3054"/>
      <c r="AH413" s="3055"/>
      <c r="AI413" s="3055"/>
      <c r="AJ413" s="3055"/>
      <c r="AK413" s="3055"/>
      <c r="AL413" s="3055"/>
      <c r="AM413" s="3055"/>
      <c r="AN413" s="3055"/>
      <c r="AO413" s="3055"/>
      <c r="AP413" s="3055"/>
      <c r="AQ413" s="3055"/>
      <c r="AR413" s="3055"/>
      <c r="AS413" s="3055"/>
      <c r="AT413" s="3055"/>
      <c r="AU413" s="3056"/>
      <c r="AV413" s="3057">
        <f t="shared" si="15"/>
      </c>
      <c r="AW413" s="3054"/>
      <c r="AX413" s="3054"/>
      <c r="AY413" s="3055"/>
      <c r="AZ413" s="3055"/>
      <c r="BA413" s="3055"/>
      <c r="BB413" s="3055"/>
      <c r="BC413" s="3055"/>
      <c r="BD413" s="3055"/>
      <c r="BE413" s="3055"/>
      <c r="BF413" s="3055"/>
      <c r="BG413" s="3055"/>
      <c r="BH413" s="3055"/>
      <c r="BI413" s="3055"/>
      <c r="BJ413" s="3055"/>
      <c r="BK413" s="3055"/>
      <c r="BL413" s="3056"/>
      <c r="BM413" s="3057">
        <f t="shared" si="16"/>
      </c>
      <c r="BN413" s="3054"/>
      <c r="BO413" s="3054"/>
      <c r="BP413" s="3055"/>
      <c r="BQ413" s="3055"/>
      <c r="BR413" s="3055"/>
      <c r="BS413" s="3055"/>
      <c r="BT413" s="3055"/>
      <c r="BU413" s="3055"/>
      <c r="BV413" s="3055"/>
      <c r="BW413" s="3055"/>
      <c r="BX413" s="3055"/>
      <c r="BY413" s="3055"/>
      <c r="BZ413" s="3055"/>
      <c r="CA413" s="3055"/>
      <c r="CB413" s="3055"/>
      <c r="CC413" s="3056"/>
      <c r="CD413" s="3057">
        <f t="shared" si="0"/>
      </c>
      <c r="CE413" s="3054"/>
      <c r="CF413" s="3054"/>
      <c r="CG413" s="3055"/>
      <c r="CH413" s="3055"/>
      <c r="CI413" s="3055"/>
      <c r="CJ413" s="3055"/>
      <c r="CK413" s="3055"/>
      <c r="CL413" s="3055"/>
      <c r="CM413" s="3055"/>
      <c r="CN413" s="3055"/>
      <c r="CO413" s="3055"/>
      <c r="CP413" s="3055"/>
      <c r="CQ413" s="3055"/>
      <c r="CR413" s="3055"/>
      <c r="CS413" s="3055"/>
      <c r="CU413" s="3054"/>
      <c r="CV413" s="696"/>
      <c r="CW413" s="696"/>
      <c r="CZ413" s="3060">
        <f t="shared" si="17"/>
      </c>
      <c r="DA413" s="3060">
        <f t="shared" si="1"/>
      </c>
      <c r="DB413" s="3060">
        <f t="shared" si="18"/>
      </c>
      <c r="DC413" s="3060">
        <f t="shared" si="19"/>
      </c>
      <c r="DD413" s="3060">
        <f t="shared" si="20"/>
      </c>
      <c r="DE413" s="3060">
        <f t="shared" si="21"/>
      </c>
      <c r="DF413" s="3060">
        <f t="shared" si="22"/>
      </c>
      <c r="DG413" s="3060">
        <f t="shared" si="23"/>
      </c>
      <c r="DH413" s="3060">
        <f t="shared" si="24"/>
      </c>
      <c r="DI413" s="3060">
        <f t="shared" si="1"/>
      </c>
    </row>
    <row r="414" ht="15" customHeight="1" s="3052" customFormat="1">
      <c r="B414" s="3054">
        <f t="shared" si="2"/>
      </c>
      <c r="C414" s="3054"/>
      <c r="D414" s="3054"/>
      <c r="E414" s="3055"/>
      <c r="F414" s="3055"/>
      <c r="G414" s="3055"/>
      <c r="H414" s="3055"/>
      <c r="I414" s="3055"/>
      <c r="J414" s="3055"/>
      <c r="K414" s="3055"/>
      <c r="L414" s="3055"/>
      <c r="M414" s="3055"/>
      <c r="N414" s="3055"/>
      <c r="O414" s="3055"/>
      <c r="P414" s="3055"/>
      <c r="Q414" s="3055"/>
      <c r="R414" s="3055">
        <f t="shared" si="3"/>
        <v>0</v>
      </c>
      <c r="S414" s="3055">
        <f t="shared" si="4"/>
        <v>0</v>
      </c>
      <c r="T414" s="3055">
        <f t="shared" si="5"/>
        <v>0</v>
      </c>
      <c r="U414" s="3055">
        <f t="shared" si="6"/>
        <v>0</v>
      </c>
      <c r="V414" s="3055">
        <f t="shared" si="7"/>
        <v>0</v>
      </c>
      <c r="W414" s="3055">
        <f t="shared" si="8"/>
        <v>0</v>
      </c>
      <c r="X414" s="3055">
        <f t="shared" si="9"/>
        <v>0</v>
      </c>
      <c r="Y414" s="3055">
        <f t="shared" si="10"/>
        <v>0</v>
      </c>
      <c r="Z414" s="3055">
        <f t="shared" si="11"/>
        <v>0</v>
      </c>
      <c r="AA414" s="3055">
        <f t="shared" si="12"/>
        <v>0</v>
      </c>
      <c r="AB414" s="3055">
        <f t="shared" si="13"/>
        <v>0</v>
      </c>
      <c r="AC414" s="3055">
        <f t="shared" si="14"/>
        <v>0</v>
      </c>
      <c r="AD414" s="3056"/>
      <c r="AE414" s="3057">
        <f t="shared" si="0"/>
      </c>
      <c r="AF414" s="3054"/>
      <c r="AG414" s="3054"/>
      <c r="AH414" s="3055"/>
      <c r="AI414" s="3055"/>
      <c r="AJ414" s="3055"/>
      <c r="AK414" s="3055"/>
      <c r="AL414" s="3055"/>
      <c r="AM414" s="3055"/>
      <c r="AN414" s="3055"/>
      <c r="AO414" s="3055"/>
      <c r="AP414" s="3055"/>
      <c r="AQ414" s="3055"/>
      <c r="AR414" s="3055"/>
      <c r="AS414" s="3055"/>
      <c r="AT414" s="3055"/>
      <c r="AU414" s="3056"/>
      <c r="AV414" s="3057">
        <f t="shared" si="15"/>
      </c>
      <c r="AW414" s="3054"/>
      <c r="AX414" s="3054"/>
      <c r="AY414" s="3055"/>
      <c r="AZ414" s="3055"/>
      <c r="BA414" s="3055"/>
      <c r="BB414" s="3055"/>
      <c r="BC414" s="3055"/>
      <c r="BD414" s="3055"/>
      <c r="BE414" s="3055"/>
      <c r="BF414" s="3055"/>
      <c r="BG414" s="3055"/>
      <c r="BH414" s="3055"/>
      <c r="BI414" s="3055"/>
      <c r="BJ414" s="3055"/>
      <c r="BK414" s="3055"/>
      <c r="BL414" s="3056"/>
      <c r="BM414" s="3057">
        <f t="shared" si="16"/>
      </c>
      <c r="BN414" s="3054"/>
      <c r="BO414" s="3054"/>
      <c r="BP414" s="3055"/>
      <c r="BQ414" s="3055"/>
      <c r="BR414" s="3055"/>
      <c r="BS414" s="3055"/>
      <c r="BT414" s="3055"/>
      <c r="BU414" s="3055"/>
      <c r="BV414" s="3055"/>
      <c r="BW414" s="3055"/>
      <c r="BX414" s="3055"/>
      <c r="BY414" s="3055"/>
      <c r="BZ414" s="3055"/>
      <c r="CA414" s="3055"/>
      <c r="CB414" s="3055"/>
      <c r="CC414" s="3056"/>
      <c r="CD414" s="3057">
        <f t="shared" si="0"/>
      </c>
      <c r="CE414" s="3054"/>
      <c r="CF414" s="3054"/>
      <c r="CG414" s="3055"/>
      <c r="CH414" s="3055"/>
      <c r="CI414" s="3055"/>
      <c r="CJ414" s="3055"/>
      <c r="CK414" s="3055"/>
      <c r="CL414" s="3055"/>
      <c r="CM414" s="3055"/>
      <c r="CN414" s="3055"/>
      <c r="CO414" s="3055"/>
      <c r="CP414" s="3055"/>
      <c r="CQ414" s="3055"/>
      <c r="CR414" s="3055"/>
      <c r="CS414" s="3055"/>
      <c r="CU414" s="3054"/>
      <c r="CV414" s="696"/>
      <c r="CW414" s="696"/>
      <c r="CZ414" s="3060">
        <f t="shared" si="17"/>
      </c>
      <c r="DA414" s="3060">
        <f t="shared" si="1"/>
      </c>
      <c r="DB414" s="3060">
        <f t="shared" si="18"/>
      </c>
      <c r="DC414" s="3060">
        <f t="shared" si="19"/>
      </c>
      <c r="DD414" s="3060">
        <f t="shared" si="20"/>
      </c>
      <c r="DE414" s="3060">
        <f t="shared" si="21"/>
      </c>
      <c r="DF414" s="3060">
        <f t="shared" si="22"/>
      </c>
      <c r="DG414" s="3060">
        <f t="shared" si="23"/>
      </c>
      <c r="DH414" s="3060">
        <f t="shared" si="24"/>
      </c>
      <c r="DI414" s="3060">
        <f t="shared" si="1"/>
      </c>
    </row>
    <row r="415" ht="15" customHeight="1" s="3052" customFormat="1">
      <c r="B415" s="3054">
        <f t="shared" si="2"/>
      </c>
      <c r="C415" s="3054"/>
      <c r="D415" s="3054"/>
      <c r="E415" s="3055"/>
      <c r="F415" s="3055"/>
      <c r="G415" s="3055"/>
      <c r="H415" s="3055"/>
      <c r="I415" s="3055"/>
      <c r="J415" s="3055"/>
      <c r="K415" s="3055"/>
      <c r="L415" s="3055"/>
      <c r="M415" s="3055"/>
      <c r="N415" s="3055"/>
      <c r="O415" s="3055"/>
      <c r="P415" s="3055"/>
      <c r="Q415" s="3055"/>
      <c r="R415" s="3055">
        <f t="shared" si="3"/>
        <v>0</v>
      </c>
      <c r="S415" s="3055">
        <f t="shared" si="4"/>
        <v>0</v>
      </c>
      <c r="T415" s="3055">
        <f t="shared" si="5"/>
        <v>0</v>
      </c>
      <c r="U415" s="3055">
        <f t="shared" si="6"/>
        <v>0</v>
      </c>
      <c r="V415" s="3055">
        <f t="shared" si="7"/>
        <v>0</v>
      </c>
      <c r="W415" s="3055">
        <f t="shared" si="8"/>
        <v>0</v>
      </c>
      <c r="X415" s="3055">
        <f t="shared" si="9"/>
        <v>0</v>
      </c>
      <c r="Y415" s="3055">
        <f t="shared" si="10"/>
        <v>0</v>
      </c>
      <c r="Z415" s="3055">
        <f t="shared" si="11"/>
        <v>0</v>
      </c>
      <c r="AA415" s="3055">
        <f t="shared" si="12"/>
        <v>0</v>
      </c>
      <c r="AB415" s="3055">
        <f t="shared" si="13"/>
        <v>0</v>
      </c>
      <c r="AC415" s="3055">
        <f t="shared" si="14"/>
        <v>0</v>
      </c>
      <c r="AD415" s="3056"/>
      <c r="AE415" s="3057">
        <f t="shared" si="0"/>
      </c>
      <c r="AF415" s="3054"/>
      <c r="AG415" s="3054"/>
      <c r="AH415" s="3055"/>
      <c r="AI415" s="3055"/>
      <c r="AJ415" s="3055"/>
      <c r="AK415" s="3055"/>
      <c r="AL415" s="3055"/>
      <c r="AM415" s="3055"/>
      <c r="AN415" s="3055"/>
      <c r="AO415" s="3055"/>
      <c r="AP415" s="3055"/>
      <c r="AQ415" s="3055"/>
      <c r="AR415" s="3055"/>
      <c r="AS415" s="3055"/>
      <c r="AT415" s="3055"/>
      <c r="AU415" s="3056"/>
      <c r="AV415" s="3057">
        <f t="shared" si="15"/>
      </c>
      <c r="AW415" s="3054"/>
      <c r="AX415" s="3054"/>
      <c r="AY415" s="3055"/>
      <c r="AZ415" s="3055"/>
      <c r="BA415" s="3055"/>
      <c r="BB415" s="3055"/>
      <c r="BC415" s="3055"/>
      <c r="BD415" s="3055"/>
      <c r="BE415" s="3055"/>
      <c r="BF415" s="3055"/>
      <c r="BG415" s="3055"/>
      <c r="BH415" s="3055"/>
      <c r="BI415" s="3055"/>
      <c r="BJ415" s="3055"/>
      <c r="BK415" s="3055"/>
      <c r="BL415" s="3056"/>
      <c r="BM415" s="3057">
        <f t="shared" si="16"/>
      </c>
      <c r="BN415" s="3054"/>
      <c r="BO415" s="3054"/>
      <c r="BP415" s="3055"/>
      <c r="BQ415" s="3055"/>
      <c r="BR415" s="3055"/>
      <c r="BS415" s="3055"/>
      <c r="BT415" s="3055"/>
      <c r="BU415" s="3055"/>
      <c r="BV415" s="3055"/>
      <c r="BW415" s="3055"/>
      <c r="BX415" s="3055"/>
      <c r="BY415" s="3055"/>
      <c r="BZ415" s="3055"/>
      <c r="CA415" s="3055"/>
      <c r="CB415" s="3055"/>
      <c r="CC415" s="3056"/>
      <c r="CD415" s="3057">
        <f t="shared" si="0"/>
      </c>
      <c r="CE415" s="3054"/>
      <c r="CF415" s="3054"/>
      <c r="CG415" s="3055"/>
      <c r="CH415" s="3055"/>
      <c r="CI415" s="3055"/>
      <c r="CJ415" s="3055"/>
      <c r="CK415" s="3055"/>
      <c r="CL415" s="3055"/>
      <c r="CM415" s="3055"/>
      <c r="CN415" s="3055"/>
      <c r="CO415" s="3055"/>
      <c r="CP415" s="3055"/>
      <c r="CQ415" s="3055"/>
      <c r="CR415" s="3055"/>
      <c r="CS415" s="3055"/>
      <c r="CU415" s="3054"/>
      <c r="CV415" s="696"/>
      <c r="CW415" s="696"/>
      <c r="CZ415" s="3060">
        <f t="shared" si="17"/>
      </c>
      <c r="DA415" s="3060">
        <f t="shared" si="1"/>
      </c>
      <c r="DB415" s="3060">
        <f t="shared" si="18"/>
      </c>
      <c r="DC415" s="3060">
        <f t="shared" si="19"/>
      </c>
      <c r="DD415" s="3060">
        <f t="shared" si="20"/>
      </c>
      <c r="DE415" s="3060">
        <f t="shared" si="21"/>
      </c>
      <c r="DF415" s="3060">
        <f t="shared" si="22"/>
      </c>
      <c r="DG415" s="3060">
        <f t="shared" si="23"/>
      </c>
      <c r="DH415" s="3060">
        <f t="shared" si="24"/>
      </c>
      <c r="DI415" s="3060">
        <f t="shared" si="1"/>
      </c>
    </row>
    <row r="416" ht="15" customHeight="1" s="3052" customFormat="1">
      <c r="B416" s="3054">
        <f t="shared" si="2"/>
      </c>
      <c r="C416" s="3054"/>
      <c r="D416" s="3054"/>
      <c r="E416" s="3055"/>
      <c r="F416" s="3055"/>
      <c r="G416" s="3055"/>
      <c r="H416" s="3055"/>
      <c r="I416" s="3055"/>
      <c r="J416" s="3055"/>
      <c r="K416" s="3055"/>
      <c r="L416" s="3055"/>
      <c r="M416" s="3055"/>
      <c r="N416" s="3055"/>
      <c r="O416" s="3055"/>
      <c r="P416" s="3055"/>
      <c r="Q416" s="3055"/>
      <c r="R416" s="3055">
        <f t="shared" si="3"/>
        <v>0</v>
      </c>
      <c r="S416" s="3055">
        <f t="shared" si="4"/>
        <v>0</v>
      </c>
      <c r="T416" s="3055">
        <f t="shared" si="5"/>
        <v>0</v>
      </c>
      <c r="U416" s="3055">
        <f t="shared" si="6"/>
        <v>0</v>
      </c>
      <c r="V416" s="3055">
        <f t="shared" si="7"/>
        <v>0</v>
      </c>
      <c r="W416" s="3055">
        <f t="shared" si="8"/>
        <v>0</v>
      </c>
      <c r="X416" s="3055">
        <f t="shared" si="9"/>
        <v>0</v>
      </c>
      <c r="Y416" s="3055">
        <f t="shared" si="10"/>
        <v>0</v>
      </c>
      <c r="Z416" s="3055">
        <f t="shared" si="11"/>
        <v>0</v>
      </c>
      <c r="AA416" s="3055">
        <f t="shared" si="12"/>
        <v>0</v>
      </c>
      <c r="AB416" s="3055">
        <f t="shared" si="13"/>
        <v>0</v>
      </c>
      <c r="AC416" s="3055">
        <f t="shared" si="14"/>
        <v>0</v>
      </c>
      <c r="AD416" s="3056"/>
      <c r="AE416" s="3057">
        <f t="shared" si="0"/>
      </c>
      <c r="AF416" s="3054"/>
      <c r="AG416" s="3054"/>
      <c r="AH416" s="3055"/>
      <c r="AI416" s="3055"/>
      <c r="AJ416" s="3055"/>
      <c r="AK416" s="3055"/>
      <c r="AL416" s="3055"/>
      <c r="AM416" s="3055"/>
      <c r="AN416" s="3055"/>
      <c r="AO416" s="3055"/>
      <c r="AP416" s="3055"/>
      <c r="AQ416" s="3055"/>
      <c r="AR416" s="3055"/>
      <c r="AS416" s="3055"/>
      <c r="AT416" s="3055"/>
      <c r="AU416" s="3056"/>
      <c r="AV416" s="3057">
        <f t="shared" si="15"/>
      </c>
      <c r="AW416" s="3054"/>
      <c r="AX416" s="3054"/>
      <c r="AY416" s="3055"/>
      <c r="AZ416" s="3055"/>
      <c r="BA416" s="3055"/>
      <c r="BB416" s="3055"/>
      <c r="BC416" s="3055"/>
      <c r="BD416" s="3055"/>
      <c r="BE416" s="3055"/>
      <c r="BF416" s="3055"/>
      <c r="BG416" s="3055"/>
      <c r="BH416" s="3055"/>
      <c r="BI416" s="3055"/>
      <c r="BJ416" s="3055"/>
      <c r="BK416" s="3055"/>
      <c r="BL416" s="3056"/>
      <c r="BM416" s="3057">
        <f t="shared" si="16"/>
      </c>
      <c r="BN416" s="3054"/>
      <c r="BO416" s="3054"/>
      <c r="BP416" s="3055"/>
      <c r="BQ416" s="3055"/>
      <c r="BR416" s="3055"/>
      <c r="BS416" s="3055"/>
      <c r="BT416" s="3055"/>
      <c r="BU416" s="3055"/>
      <c r="BV416" s="3055"/>
      <c r="BW416" s="3055"/>
      <c r="BX416" s="3055"/>
      <c r="BY416" s="3055"/>
      <c r="BZ416" s="3055"/>
      <c r="CA416" s="3055"/>
      <c r="CB416" s="3055"/>
      <c r="CC416" s="3056"/>
      <c r="CD416" s="3057">
        <f t="shared" si="0"/>
      </c>
      <c r="CE416" s="3054"/>
      <c r="CF416" s="3054"/>
      <c r="CG416" s="3055"/>
      <c r="CH416" s="3055"/>
      <c r="CI416" s="3055"/>
      <c r="CJ416" s="3055"/>
      <c r="CK416" s="3055"/>
      <c r="CL416" s="3055"/>
      <c r="CM416" s="3055"/>
      <c r="CN416" s="3055"/>
      <c r="CO416" s="3055"/>
      <c r="CP416" s="3055"/>
      <c r="CQ416" s="3055"/>
      <c r="CR416" s="3055"/>
      <c r="CS416" s="3055"/>
      <c r="CU416" s="3054"/>
      <c r="CV416" s="696"/>
      <c r="CW416" s="696"/>
      <c r="CZ416" s="3060">
        <f t="shared" si="17"/>
      </c>
      <c r="DA416" s="3060">
        <f t="shared" si="1"/>
      </c>
      <c r="DB416" s="3060">
        <f t="shared" si="18"/>
      </c>
      <c r="DC416" s="3060">
        <f t="shared" si="19"/>
      </c>
      <c r="DD416" s="3060">
        <f t="shared" si="20"/>
      </c>
      <c r="DE416" s="3060">
        <f t="shared" si="21"/>
      </c>
      <c r="DF416" s="3060">
        <f t="shared" si="22"/>
      </c>
      <c r="DG416" s="3060">
        <f t="shared" si="23"/>
      </c>
      <c r="DH416" s="3060">
        <f t="shared" si="24"/>
      </c>
      <c r="DI416" s="3060">
        <f t="shared" si="1"/>
      </c>
    </row>
    <row r="417" ht="15" customHeight="1" s="3052" customFormat="1">
      <c r="B417" s="3054">
        <f t="shared" si="2"/>
      </c>
      <c r="C417" s="3054"/>
      <c r="D417" s="3054"/>
      <c r="E417" s="3055"/>
      <c r="F417" s="3055"/>
      <c r="G417" s="3055"/>
      <c r="H417" s="3055"/>
      <c r="I417" s="3055"/>
      <c r="J417" s="3055"/>
      <c r="K417" s="3055"/>
      <c r="L417" s="3055"/>
      <c r="M417" s="3055"/>
      <c r="N417" s="3055"/>
      <c r="O417" s="3055"/>
      <c r="P417" s="3055"/>
      <c r="Q417" s="3055"/>
      <c r="R417" s="3055">
        <f t="shared" si="3"/>
        <v>0</v>
      </c>
      <c r="S417" s="3055">
        <f t="shared" si="4"/>
        <v>0</v>
      </c>
      <c r="T417" s="3055">
        <f t="shared" si="5"/>
        <v>0</v>
      </c>
      <c r="U417" s="3055">
        <f t="shared" si="6"/>
        <v>0</v>
      </c>
      <c r="V417" s="3055">
        <f t="shared" si="7"/>
        <v>0</v>
      </c>
      <c r="W417" s="3055">
        <f t="shared" si="8"/>
        <v>0</v>
      </c>
      <c r="X417" s="3055">
        <f t="shared" si="9"/>
        <v>0</v>
      </c>
      <c r="Y417" s="3055">
        <f t="shared" si="10"/>
        <v>0</v>
      </c>
      <c r="Z417" s="3055">
        <f t="shared" si="11"/>
        <v>0</v>
      </c>
      <c r="AA417" s="3055">
        <f t="shared" si="12"/>
        <v>0</v>
      </c>
      <c r="AB417" s="3055">
        <f t="shared" si="13"/>
        <v>0</v>
      </c>
      <c r="AC417" s="3055">
        <f t="shared" si="14"/>
        <v>0</v>
      </c>
      <c r="AD417" s="3056"/>
      <c r="AE417" s="3057">
        <f t="shared" si="0"/>
      </c>
      <c r="AF417" s="3054"/>
      <c r="AG417" s="3054"/>
      <c r="AH417" s="3055"/>
      <c r="AI417" s="3055"/>
      <c r="AJ417" s="3055"/>
      <c r="AK417" s="3055"/>
      <c r="AL417" s="3055"/>
      <c r="AM417" s="3055"/>
      <c r="AN417" s="3055"/>
      <c r="AO417" s="3055"/>
      <c r="AP417" s="3055"/>
      <c r="AQ417" s="3055"/>
      <c r="AR417" s="3055"/>
      <c r="AS417" s="3055"/>
      <c r="AT417" s="3055"/>
      <c r="AU417" s="3056"/>
      <c r="AV417" s="3057">
        <f t="shared" si="15"/>
      </c>
      <c r="AW417" s="3054"/>
      <c r="AX417" s="3054"/>
      <c r="AY417" s="3055"/>
      <c r="AZ417" s="3055"/>
      <c r="BA417" s="3055"/>
      <c r="BB417" s="3055"/>
      <c r="BC417" s="3055"/>
      <c r="BD417" s="3055"/>
      <c r="BE417" s="3055"/>
      <c r="BF417" s="3055"/>
      <c r="BG417" s="3055"/>
      <c r="BH417" s="3055"/>
      <c r="BI417" s="3055"/>
      <c r="BJ417" s="3055"/>
      <c r="BK417" s="3055"/>
      <c r="BL417" s="3056"/>
      <c r="BM417" s="3057">
        <f t="shared" si="16"/>
      </c>
      <c r="BN417" s="3054"/>
      <c r="BO417" s="3054"/>
      <c r="BP417" s="3055"/>
      <c r="BQ417" s="3055"/>
      <c r="BR417" s="3055"/>
      <c r="BS417" s="3055"/>
      <c r="BT417" s="3055"/>
      <c r="BU417" s="3055"/>
      <c r="BV417" s="3055"/>
      <c r="BW417" s="3055"/>
      <c r="BX417" s="3055"/>
      <c r="BY417" s="3055"/>
      <c r="BZ417" s="3055"/>
      <c r="CA417" s="3055"/>
      <c r="CB417" s="3055"/>
      <c r="CC417" s="3056"/>
      <c r="CD417" s="3057">
        <f t="shared" si="0"/>
      </c>
      <c r="CE417" s="3054"/>
      <c r="CF417" s="3054"/>
      <c r="CG417" s="3055"/>
      <c r="CH417" s="3055"/>
      <c r="CI417" s="3055"/>
      <c r="CJ417" s="3055"/>
      <c r="CK417" s="3055"/>
      <c r="CL417" s="3055"/>
      <c r="CM417" s="3055"/>
      <c r="CN417" s="3055"/>
      <c r="CO417" s="3055"/>
      <c r="CP417" s="3055"/>
      <c r="CQ417" s="3055"/>
      <c r="CR417" s="3055"/>
      <c r="CS417" s="3055"/>
      <c r="CU417" s="3054"/>
      <c r="CV417" s="696"/>
      <c r="CW417" s="696"/>
      <c r="CZ417" s="3060">
        <f t="shared" si="17"/>
      </c>
      <c r="DA417" s="3060">
        <f t="shared" si="1"/>
      </c>
      <c r="DB417" s="3060">
        <f t="shared" si="18"/>
      </c>
      <c r="DC417" s="3060">
        <f t="shared" si="19"/>
      </c>
      <c r="DD417" s="3060">
        <f t="shared" si="20"/>
      </c>
      <c r="DE417" s="3060">
        <f t="shared" si="21"/>
      </c>
      <c r="DF417" s="3060">
        <f t="shared" si="22"/>
      </c>
      <c r="DG417" s="3060">
        <f t="shared" si="23"/>
      </c>
      <c r="DH417" s="3060">
        <f t="shared" si="24"/>
      </c>
      <c r="DI417" s="3060">
        <f t="shared" si="1"/>
      </c>
    </row>
    <row r="418" ht="15" customHeight="1" s="3052" customFormat="1">
      <c r="B418" s="3054">
        <f t="shared" si="2"/>
      </c>
      <c r="C418" s="3054"/>
      <c r="D418" s="3054"/>
      <c r="E418" s="3055"/>
      <c r="F418" s="3055"/>
      <c r="G418" s="3055"/>
      <c r="H418" s="3055"/>
      <c r="I418" s="3055"/>
      <c r="J418" s="3055"/>
      <c r="K418" s="3055"/>
      <c r="L418" s="3055"/>
      <c r="M418" s="3055"/>
      <c r="N418" s="3055"/>
      <c r="O418" s="3055"/>
      <c r="P418" s="3055"/>
      <c r="Q418" s="3055"/>
      <c r="R418" s="3055">
        <f t="shared" si="3"/>
        <v>0</v>
      </c>
      <c r="S418" s="3055">
        <f t="shared" si="4"/>
        <v>0</v>
      </c>
      <c r="T418" s="3055">
        <f t="shared" si="5"/>
        <v>0</v>
      </c>
      <c r="U418" s="3055">
        <f t="shared" si="6"/>
        <v>0</v>
      </c>
      <c r="V418" s="3055">
        <f t="shared" si="7"/>
        <v>0</v>
      </c>
      <c r="W418" s="3055">
        <f t="shared" si="8"/>
        <v>0</v>
      </c>
      <c r="X418" s="3055">
        <f t="shared" si="9"/>
        <v>0</v>
      </c>
      <c r="Y418" s="3055">
        <f t="shared" si="10"/>
        <v>0</v>
      </c>
      <c r="Z418" s="3055">
        <f t="shared" si="11"/>
        <v>0</v>
      </c>
      <c r="AA418" s="3055">
        <f t="shared" si="12"/>
        <v>0</v>
      </c>
      <c r="AB418" s="3055">
        <f t="shared" si="13"/>
        <v>0</v>
      </c>
      <c r="AC418" s="3055">
        <f t="shared" si="14"/>
        <v>0</v>
      </c>
      <c r="AD418" s="3056"/>
      <c r="AE418" s="3057">
        <f t="shared" si="0"/>
      </c>
      <c r="AF418" s="3054"/>
      <c r="AG418" s="3054"/>
      <c r="AH418" s="3055"/>
      <c r="AI418" s="3055"/>
      <c r="AJ418" s="3055"/>
      <c r="AK418" s="3055"/>
      <c r="AL418" s="3055"/>
      <c r="AM418" s="3055"/>
      <c r="AN418" s="3055"/>
      <c r="AO418" s="3055"/>
      <c r="AP418" s="3055"/>
      <c r="AQ418" s="3055"/>
      <c r="AR418" s="3055"/>
      <c r="AS418" s="3055"/>
      <c r="AT418" s="3055"/>
      <c r="AU418" s="3056"/>
      <c r="AV418" s="3057">
        <f t="shared" si="15"/>
      </c>
      <c r="AW418" s="3054"/>
      <c r="AX418" s="3054"/>
      <c r="AY418" s="3055"/>
      <c r="AZ418" s="3055"/>
      <c r="BA418" s="3055"/>
      <c r="BB418" s="3055"/>
      <c r="BC418" s="3055"/>
      <c r="BD418" s="3055"/>
      <c r="BE418" s="3055"/>
      <c r="BF418" s="3055"/>
      <c r="BG418" s="3055"/>
      <c r="BH418" s="3055"/>
      <c r="BI418" s="3055"/>
      <c r="BJ418" s="3055"/>
      <c r="BK418" s="3055"/>
      <c r="BL418" s="3056"/>
      <c r="BM418" s="3057">
        <f t="shared" si="16"/>
      </c>
      <c r="BN418" s="3054"/>
      <c r="BO418" s="3054"/>
      <c r="BP418" s="3055"/>
      <c r="BQ418" s="3055"/>
      <c r="BR418" s="3055"/>
      <c r="BS418" s="3055"/>
      <c r="BT418" s="3055"/>
      <c r="BU418" s="3055"/>
      <c r="BV418" s="3055"/>
      <c r="BW418" s="3055"/>
      <c r="BX418" s="3055"/>
      <c r="BY418" s="3055"/>
      <c r="BZ418" s="3055"/>
      <c r="CA418" s="3055"/>
      <c r="CB418" s="3055"/>
      <c r="CC418" s="3056"/>
      <c r="CD418" s="3057">
        <f t="shared" si="0"/>
      </c>
      <c r="CE418" s="3054"/>
      <c r="CF418" s="3054"/>
      <c r="CG418" s="3055"/>
      <c r="CH418" s="3055"/>
      <c r="CI418" s="3055"/>
      <c r="CJ418" s="3055"/>
      <c r="CK418" s="3055"/>
      <c r="CL418" s="3055"/>
      <c r="CM418" s="3055"/>
      <c r="CN418" s="3055"/>
      <c r="CO418" s="3055"/>
      <c r="CP418" s="3055"/>
      <c r="CQ418" s="3055"/>
      <c r="CR418" s="3055"/>
      <c r="CS418" s="3055"/>
      <c r="CU418" s="3054"/>
      <c r="CV418" s="696"/>
      <c r="CW418" s="696"/>
      <c r="CZ418" s="3060">
        <f t="shared" si="17"/>
      </c>
      <c r="DA418" s="3060">
        <f t="shared" si="1"/>
      </c>
      <c r="DB418" s="3060">
        <f t="shared" si="18"/>
      </c>
      <c r="DC418" s="3060">
        <f t="shared" si="19"/>
      </c>
      <c r="DD418" s="3060">
        <f t="shared" si="20"/>
      </c>
      <c r="DE418" s="3060">
        <f t="shared" si="21"/>
      </c>
      <c r="DF418" s="3060">
        <f t="shared" si="22"/>
      </c>
      <c r="DG418" s="3060">
        <f t="shared" si="23"/>
      </c>
      <c r="DH418" s="3060">
        <f t="shared" si="24"/>
      </c>
      <c r="DI418" s="3060">
        <f t="shared" si="1"/>
      </c>
    </row>
    <row r="419" ht="15" customHeight="1" s="3052" customFormat="1">
      <c r="B419" s="3054">
        <f t="shared" si="2"/>
      </c>
      <c r="C419" s="3054"/>
      <c r="D419" s="3054"/>
      <c r="E419" s="3055"/>
      <c r="F419" s="3055"/>
      <c r="G419" s="3055"/>
      <c r="H419" s="3055"/>
      <c r="I419" s="3055"/>
      <c r="J419" s="3055"/>
      <c r="K419" s="3055"/>
      <c r="L419" s="3055"/>
      <c r="M419" s="3055"/>
      <c r="N419" s="3055"/>
      <c r="O419" s="3055"/>
      <c r="P419" s="3055"/>
      <c r="Q419" s="3055"/>
      <c r="R419" s="3055">
        <f t="shared" si="3"/>
        <v>0</v>
      </c>
      <c r="S419" s="3055">
        <f t="shared" si="4"/>
        <v>0</v>
      </c>
      <c r="T419" s="3055">
        <f t="shared" si="5"/>
        <v>0</v>
      </c>
      <c r="U419" s="3055">
        <f t="shared" si="6"/>
        <v>0</v>
      </c>
      <c r="V419" s="3055">
        <f t="shared" si="7"/>
        <v>0</v>
      </c>
      <c r="W419" s="3055">
        <f t="shared" si="8"/>
        <v>0</v>
      </c>
      <c r="X419" s="3055">
        <f t="shared" si="9"/>
        <v>0</v>
      </c>
      <c r="Y419" s="3055">
        <f t="shared" si="10"/>
        <v>0</v>
      </c>
      <c r="Z419" s="3055">
        <f t="shared" si="11"/>
        <v>0</v>
      </c>
      <c r="AA419" s="3055">
        <f t="shared" si="12"/>
        <v>0</v>
      </c>
      <c r="AB419" s="3055">
        <f t="shared" si="13"/>
        <v>0</v>
      </c>
      <c r="AC419" s="3055">
        <f t="shared" si="14"/>
        <v>0</v>
      </c>
      <c r="AD419" s="3056"/>
      <c r="AE419" s="3057">
        <f t="shared" si="0"/>
      </c>
      <c r="AF419" s="3054"/>
      <c r="AG419" s="3054"/>
      <c r="AH419" s="3055"/>
      <c r="AI419" s="3055"/>
      <c r="AJ419" s="3055"/>
      <c r="AK419" s="3055"/>
      <c r="AL419" s="3055"/>
      <c r="AM419" s="3055"/>
      <c r="AN419" s="3055"/>
      <c r="AO419" s="3055"/>
      <c r="AP419" s="3055"/>
      <c r="AQ419" s="3055"/>
      <c r="AR419" s="3055"/>
      <c r="AS419" s="3055"/>
      <c r="AT419" s="3055"/>
      <c r="AU419" s="3056"/>
      <c r="AV419" s="3057">
        <f t="shared" si="15"/>
      </c>
      <c r="AW419" s="3054"/>
      <c r="AX419" s="3054"/>
      <c r="AY419" s="3055"/>
      <c r="AZ419" s="3055"/>
      <c r="BA419" s="3055"/>
      <c r="BB419" s="3055"/>
      <c r="BC419" s="3055"/>
      <c r="BD419" s="3055"/>
      <c r="BE419" s="3055"/>
      <c r="BF419" s="3055"/>
      <c r="BG419" s="3055"/>
      <c r="BH419" s="3055"/>
      <c r="BI419" s="3055"/>
      <c r="BJ419" s="3055"/>
      <c r="BK419" s="3055"/>
      <c r="BL419" s="3056"/>
      <c r="BM419" s="3057">
        <f t="shared" si="16"/>
      </c>
      <c r="BN419" s="3054"/>
      <c r="BO419" s="3054"/>
      <c r="BP419" s="3055"/>
      <c r="BQ419" s="3055"/>
      <c r="BR419" s="3055"/>
      <c r="BS419" s="3055"/>
      <c r="BT419" s="3055"/>
      <c r="BU419" s="3055"/>
      <c r="BV419" s="3055"/>
      <c r="BW419" s="3055"/>
      <c r="BX419" s="3055"/>
      <c r="BY419" s="3055"/>
      <c r="BZ419" s="3055"/>
      <c r="CA419" s="3055"/>
      <c r="CB419" s="3055"/>
      <c r="CC419" s="3056"/>
      <c r="CD419" s="3057">
        <f t="shared" si="0"/>
      </c>
      <c r="CE419" s="3054"/>
      <c r="CF419" s="3054"/>
      <c r="CG419" s="3055"/>
      <c r="CH419" s="3055"/>
      <c r="CI419" s="3055"/>
      <c r="CJ419" s="3055"/>
      <c r="CK419" s="3055"/>
      <c r="CL419" s="3055"/>
      <c r="CM419" s="3055"/>
      <c r="CN419" s="3055"/>
      <c r="CO419" s="3055"/>
      <c r="CP419" s="3055"/>
      <c r="CQ419" s="3055"/>
      <c r="CR419" s="3055"/>
      <c r="CS419" s="3055"/>
      <c r="CU419" s="3054"/>
      <c r="CV419" s="696"/>
      <c r="CW419" s="696"/>
      <c r="CZ419" s="3060">
        <f t="shared" si="17"/>
      </c>
      <c r="DA419" s="3060">
        <f t="shared" si="1"/>
      </c>
      <c r="DB419" s="3060">
        <f t="shared" si="18"/>
      </c>
      <c r="DC419" s="3060">
        <f t="shared" si="19"/>
      </c>
      <c r="DD419" s="3060">
        <f t="shared" si="20"/>
      </c>
      <c r="DE419" s="3060">
        <f t="shared" si="21"/>
      </c>
      <c r="DF419" s="3060">
        <f t="shared" si="22"/>
      </c>
      <c r="DG419" s="3060">
        <f t="shared" si="23"/>
      </c>
      <c r="DH419" s="3060">
        <f t="shared" si="24"/>
      </c>
      <c r="DI419" s="3060">
        <f t="shared" si="1"/>
      </c>
    </row>
    <row r="420" ht="15" customHeight="1" s="3052" customFormat="1">
      <c r="B420" s="3054">
        <f t="shared" si="2"/>
      </c>
      <c r="C420" s="3054"/>
      <c r="D420" s="3054"/>
      <c r="E420" s="3055"/>
      <c r="F420" s="3055"/>
      <c r="G420" s="3055"/>
      <c r="H420" s="3055"/>
      <c r="I420" s="3055"/>
      <c r="J420" s="3055"/>
      <c r="K420" s="3055"/>
      <c r="L420" s="3055"/>
      <c r="M420" s="3055"/>
      <c r="N420" s="3055"/>
      <c r="O420" s="3055"/>
      <c r="P420" s="3055"/>
      <c r="Q420" s="3055"/>
      <c r="R420" s="3055">
        <f t="shared" si="3"/>
        <v>0</v>
      </c>
      <c r="S420" s="3055">
        <f t="shared" si="4"/>
        <v>0</v>
      </c>
      <c r="T420" s="3055">
        <f t="shared" si="5"/>
        <v>0</v>
      </c>
      <c r="U420" s="3055">
        <f t="shared" si="6"/>
        <v>0</v>
      </c>
      <c r="V420" s="3055">
        <f t="shared" si="7"/>
        <v>0</v>
      </c>
      <c r="W420" s="3055">
        <f t="shared" si="8"/>
        <v>0</v>
      </c>
      <c r="X420" s="3055">
        <f t="shared" si="9"/>
        <v>0</v>
      </c>
      <c r="Y420" s="3055">
        <f t="shared" si="10"/>
        <v>0</v>
      </c>
      <c r="Z420" s="3055">
        <f t="shared" si="11"/>
        <v>0</v>
      </c>
      <c r="AA420" s="3055">
        <f t="shared" si="12"/>
        <v>0</v>
      </c>
      <c r="AB420" s="3055">
        <f t="shared" si="13"/>
        <v>0</v>
      </c>
      <c r="AC420" s="3055">
        <f t="shared" si="14"/>
        <v>0</v>
      </c>
      <c r="AD420" s="3056"/>
      <c r="AE420" s="3057">
        <f t="shared" si="0"/>
      </c>
      <c r="AF420" s="3054"/>
      <c r="AG420" s="3054"/>
      <c r="AH420" s="3055"/>
      <c r="AI420" s="3055"/>
      <c r="AJ420" s="3055"/>
      <c r="AK420" s="3055"/>
      <c r="AL420" s="3055"/>
      <c r="AM420" s="3055"/>
      <c r="AN420" s="3055"/>
      <c r="AO420" s="3055"/>
      <c r="AP420" s="3055"/>
      <c r="AQ420" s="3055"/>
      <c r="AR420" s="3055"/>
      <c r="AS420" s="3055"/>
      <c r="AT420" s="3055"/>
      <c r="AU420" s="3056"/>
      <c r="AV420" s="3057">
        <f t="shared" si="15"/>
      </c>
      <c r="AW420" s="3054"/>
      <c r="AX420" s="3054"/>
      <c r="AY420" s="3055"/>
      <c r="AZ420" s="3055"/>
      <c r="BA420" s="3055"/>
      <c r="BB420" s="3055"/>
      <c r="BC420" s="3055"/>
      <c r="BD420" s="3055"/>
      <c r="BE420" s="3055"/>
      <c r="BF420" s="3055"/>
      <c r="BG420" s="3055"/>
      <c r="BH420" s="3055"/>
      <c r="BI420" s="3055"/>
      <c r="BJ420" s="3055"/>
      <c r="BK420" s="3055"/>
      <c r="BL420" s="3056"/>
      <c r="BM420" s="3057">
        <f t="shared" si="16"/>
      </c>
      <c r="BN420" s="3054"/>
      <c r="BO420" s="3054"/>
      <c r="BP420" s="3055"/>
      <c r="BQ420" s="3055"/>
      <c r="BR420" s="3055"/>
      <c r="BS420" s="3055"/>
      <c r="BT420" s="3055"/>
      <c r="BU420" s="3055"/>
      <c r="BV420" s="3055"/>
      <c r="BW420" s="3055"/>
      <c r="BX420" s="3055"/>
      <c r="BY420" s="3055"/>
      <c r="BZ420" s="3055"/>
      <c r="CA420" s="3055"/>
      <c r="CB420" s="3055"/>
      <c r="CC420" s="3056"/>
      <c r="CD420" s="3057">
        <f t="shared" si="0"/>
      </c>
      <c r="CE420" s="3054"/>
      <c r="CF420" s="3054"/>
      <c r="CG420" s="3055"/>
      <c r="CH420" s="3055"/>
      <c r="CI420" s="3055"/>
      <c r="CJ420" s="3055"/>
      <c r="CK420" s="3055"/>
      <c r="CL420" s="3055"/>
      <c r="CM420" s="3055"/>
      <c r="CN420" s="3055"/>
      <c r="CO420" s="3055"/>
      <c r="CP420" s="3055"/>
      <c r="CQ420" s="3055"/>
      <c r="CR420" s="3055"/>
      <c r="CS420" s="3055"/>
      <c r="CU420" s="3054"/>
      <c r="CV420" s="696"/>
      <c r="CW420" s="696"/>
      <c r="CZ420" s="3060">
        <f t="shared" si="17"/>
      </c>
      <c r="DA420" s="3060">
        <f t="shared" si="1"/>
      </c>
      <c r="DB420" s="3060">
        <f t="shared" si="18"/>
      </c>
      <c r="DC420" s="3060">
        <f t="shared" si="19"/>
      </c>
      <c r="DD420" s="3060">
        <f t="shared" si="20"/>
      </c>
      <c r="DE420" s="3060">
        <f t="shared" si="21"/>
      </c>
      <c r="DF420" s="3060">
        <f t="shared" si="22"/>
      </c>
      <c r="DG420" s="3060">
        <f t="shared" si="23"/>
      </c>
      <c r="DH420" s="3060">
        <f t="shared" si="24"/>
      </c>
      <c r="DI420" s="3060">
        <f t="shared" si="1"/>
      </c>
    </row>
    <row r="421" ht="15" customHeight="1" s="3052" customFormat="1">
      <c r="B421" s="3054">
        <f t="shared" si="2"/>
      </c>
      <c r="C421" s="3054"/>
      <c r="D421" s="3054"/>
      <c r="E421" s="3055"/>
      <c r="F421" s="3055"/>
      <c r="G421" s="3055"/>
      <c r="H421" s="3055"/>
      <c r="I421" s="3055"/>
      <c r="J421" s="3055"/>
      <c r="K421" s="3055"/>
      <c r="L421" s="3055"/>
      <c r="M421" s="3055"/>
      <c r="N421" s="3055"/>
      <c r="O421" s="3055"/>
      <c r="P421" s="3055"/>
      <c r="Q421" s="3055"/>
      <c r="R421" s="3055">
        <f t="shared" si="3"/>
        <v>0</v>
      </c>
      <c r="S421" s="3055">
        <f t="shared" si="4"/>
        <v>0</v>
      </c>
      <c r="T421" s="3055">
        <f t="shared" si="5"/>
        <v>0</v>
      </c>
      <c r="U421" s="3055">
        <f t="shared" si="6"/>
        <v>0</v>
      </c>
      <c r="V421" s="3055">
        <f t="shared" si="7"/>
        <v>0</v>
      </c>
      <c r="W421" s="3055">
        <f t="shared" si="8"/>
        <v>0</v>
      </c>
      <c r="X421" s="3055">
        <f t="shared" si="9"/>
        <v>0</v>
      </c>
      <c r="Y421" s="3055">
        <f t="shared" si="10"/>
        <v>0</v>
      </c>
      <c r="Z421" s="3055">
        <f t="shared" si="11"/>
        <v>0</v>
      </c>
      <c r="AA421" s="3055">
        <f t="shared" si="12"/>
        <v>0</v>
      </c>
      <c r="AB421" s="3055">
        <f t="shared" si="13"/>
        <v>0</v>
      </c>
      <c r="AC421" s="3055">
        <f t="shared" si="14"/>
        <v>0</v>
      </c>
      <c r="AD421" s="3056"/>
      <c r="AE421" s="3057">
        <f t="shared" si="0"/>
      </c>
      <c r="AF421" s="3054"/>
      <c r="AG421" s="3054"/>
      <c r="AH421" s="3055"/>
      <c r="AI421" s="3055"/>
      <c r="AJ421" s="3055"/>
      <c r="AK421" s="3055"/>
      <c r="AL421" s="3055"/>
      <c r="AM421" s="3055"/>
      <c r="AN421" s="3055"/>
      <c r="AO421" s="3055"/>
      <c r="AP421" s="3055"/>
      <c r="AQ421" s="3055"/>
      <c r="AR421" s="3055"/>
      <c r="AS421" s="3055"/>
      <c r="AT421" s="3055"/>
      <c r="AU421" s="3056"/>
      <c r="AV421" s="3057">
        <f t="shared" si="15"/>
      </c>
      <c r="AW421" s="3054"/>
      <c r="AX421" s="3054"/>
      <c r="AY421" s="3055"/>
      <c r="AZ421" s="3055"/>
      <c r="BA421" s="3055"/>
      <c r="BB421" s="3055"/>
      <c r="BC421" s="3055"/>
      <c r="BD421" s="3055"/>
      <c r="BE421" s="3055"/>
      <c r="BF421" s="3055"/>
      <c r="BG421" s="3055"/>
      <c r="BH421" s="3055"/>
      <c r="BI421" s="3055"/>
      <c r="BJ421" s="3055"/>
      <c r="BK421" s="3055"/>
      <c r="BL421" s="3056"/>
      <c r="BM421" s="3057">
        <f t="shared" si="16"/>
      </c>
      <c r="BN421" s="3054"/>
      <c r="BO421" s="3054"/>
      <c r="BP421" s="3055"/>
      <c r="BQ421" s="3055"/>
      <c r="BR421" s="3055"/>
      <c r="BS421" s="3055"/>
      <c r="BT421" s="3055"/>
      <c r="BU421" s="3055"/>
      <c r="BV421" s="3055"/>
      <c r="BW421" s="3055"/>
      <c r="BX421" s="3055"/>
      <c r="BY421" s="3055"/>
      <c r="BZ421" s="3055"/>
      <c r="CA421" s="3055"/>
      <c r="CB421" s="3055"/>
      <c r="CC421" s="3056"/>
      <c r="CD421" s="3057">
        <f t="shared" si="0"/>
      </c>
      <c r="CE421" s="3054"/>
      <c r="CF421" s="3054"/>
      <c r="CG421" s="3055"/>
      <c r="CH421" s="3055"/>
      <c r="CI421" s="3055"/>
      <c r="CJ421" s="3055"/>
      <c r="CK421" s="3055"/>
      <c r="CL421" s="3055"/>
      <c r="CM421" s="3055"/>
      <c r="CN421" s="3055"/>
      <c r="CO421" s="3055"/>
      <c r="CP421" s="3055"/>
      <c r="CQ421" s="3055"/>
      <c r="CR421" s="3055"/>
      <c r="CS421" s="3055"/>
      <c r="CU421" s="3054"/>
      <c r="CV421" s="696"/>
      <c r="CW421" s="696"/>
      <c r="CZ421" s="3060">
        <f t="shared" si="17"/>
      </c>
      <c r="DA421" s="3060">
        <f t="shared" si="1"/>
      </c>
      <c r="DB421" s="3060">
        <f t="shared" si="18"/>
      </c>
      <c r="DC421" s="3060">
        <f t="shared" si="19"/>
      </c>
      <c r="DD421" s="3060">
        <f t="shared" si="20"/>
      </c>
      <c r="DE421" s="3060">
        <f t="shared" si="21"/>
      </c>
      <c r="DF421" s="3060">
        <f t="shared" si="22"/>
      </c>
      <c r="DG421" s="3060">
        <f t="shared" si="23"/>
      </c>
      <c r="DH421" s="3060">
        <f t="shared" si="24"/>
      </c>
      <c r="DI421" s="3060">
        <f t="shared" si="1"/>
      </c>
    </row>
    <row r="422" ht="15" customHeight="1" s="3052" customFormat="1">
      <c r="B422" s="3054">
        <f t="shared" si="2"/>
      </c>
      <c r="C422" s="3054"/>
      <c r="D422" s="3054"/>
      <c r="E422" s="3055"/>
      <c r="F422" s="3055"/>
      <c r="G422" s="3055"/>
      <c r="H422" s="3055"/>
      <c r="I422" s="3055"/>
      <c r="J422" s="3055"/>
      <c r="K422" s="3055"/>
      <c r="L422" s="3055"/>
      <c r="M422" s="3055"/>
      <c r="N422" s="3055"/>
      <c r="O422" s="3055"/>
      <c r="P422" s="3055"/>
      <c r="Q422" s="3055"/>
      <c r="R422" s="3055">
        <f t="shared" si="3"/>
        <v>0</v>
      </c>
      <c r="S422" s="3055">
        <f t="shared" si="4"/>
        <v>0</v>
      </c>
      <c r="T422" s="3055">
        <f t="shared" si="5"/>
        <v>0</v>
      </c>
      <c r="U422" s="3055">
        <f t="shared" si="6"/>
        <v>0</v>
      </c>
      <c r="V422" s="3055">
        <f t="shared" si="7"/>
        <v>0</v>
      </c>
      <c r="W422" s="3055">
        <f t="shared" si="8"/>
        <v>0</v>
      </c>
      <c r="X422" s="3055">
        <f t="shared" si="9"/>
        <v>0</v>
      </c>
      <c r="Y422" s="3055">
        <f t="shared" si="10"/>
        <v>0</v>
      </c>
      <c r="Z422" s="3055">
        <f t="shared" si="11"/>
        <v>0</v>
      </c>
      <c r="AA422" s="3055">
        <f t="shared" si="12"/>
        <v>0</v>
      </c>
      <c r="AB422" s="3055">
        <f t="shared" si="13"/>
        <v>0</v>
      </c>
      <c r="AC422" s="3055">
        <f t="shared" si="14"/>
        <v>0</v>
      </c>
      <c r="AD422" s="3056"/>
      <c r="AE422" s="3057">
        <f t="shared" si="0"/>
      </c>
      <c r="AF422" s="3054"/>
      <c r="AG422" s="3054"/>
      <c r="AH422" s="3055"/>
      <c r="AI422" s="3055"/>
      <c r="AJ422" s="3055"/>
      <c r="AK422" s="3055"/>
      <c r="AL422" s="3055"/>
      <c r="AM422" s="3055"/>
      <c r="AN422" s="3055"/>
      <c r="AO422" s="3055"/>
      <c r="AP422" s="3055"/>
      <c r="AQ422" s="3055"/>
      <c r="AR422" s="3055"/>
      <c r="AS422" s="3055"/>
      <c r="AT422" s="3055"/>
      <c r="AU422" s="3056"/>
      <c r="AV422" s="3057">
        <f t="shared" si="15"/>
      </c>
      <c r="AW422" s="3054"/>
      <c r="AX422" s="3054"/>
      <c r="AY422" s="3055"/>
      <c r="AZ422" s="3055"/>
      <c r="BA422" s="3055"/>
      <c r="BB422" s="3055"/>
      <c r="BC422" s="3055"/>
      <c r="BD422" s="3055"/>
      <c r="BE422" s="3055"/>
      <c r="BF422" s="3055"/>
      <c r="BG422" s="3055"/>
      <c r="BH422" s="3055"/>
      <c r="BI422" s="3055"/>
      <c r="BJ422" s="3055"/>
      <c r="BK422" s="3055"/>
      <c r="BL422" s="3056"/>
      <c r="BM422" s="3057">
        <f t="shared" si="16"/>
      </c>
      <c r="BN422" s="3054"/>
      <c r="BO422" s="3054"/>
      <c r="BP422" s="3055"/>
      <c r="BQ422" s="3055"/>
      <c r="BR422" s="3055"/>
      <c r="BS422" s="3055"/>
      <c r="BT422" s="3055"/>
      <c r="BU422" s="3055"/>
      <c r="BV422" s="3055"/>
      <c r="BW422" s="3055"/>
      <c r="BX422" s="3055"/>
      <c r="BY422" s="3055"/>
      <c r="BZ422" s="3055"/>
      <c r="CA422" s="3055"/>
      <c r="CB422" s="3055"/>
      <c r="CC422" s="3056"/>
      <c r="CD422" s="3057">
        <f t="shared" si="0"/>
      </c>
      <c r="CE422" s="3054"/>
      <c r="CF422" s="3054"/>
      <c r="CG422" s="3055"/>
      <c r="CH422" s="3055"/>
      <c r="CI422" s="3055"/>
      <c r="CJ422" s="3055"/>
      <c r="CK422" s="3055"/>
      <c r="CL422" s="3055"/>
      <c r="CM422" s="3055"/>
      <c r="CN422" s="3055"/>
      <c r="CO422" s="3055"/>
      <c r="CP422" s="3055"/>
      <c r="CQ422" s="3055"/>
      <c r="CR422" s="3055"/>
      <c r="CS422" s="3055"/>
      <c r="CU422" s="3054"/>
      <c r="CV422" s="696"/>
      <c r="CW422" s="696"/>
      <c r="CZ422" s="3060">
        <f t="shared" si="17"/>
      </c>
      <c r="DA422" s="3060">
        <f t="shared" si="1"/>
      </c>
      <c r="DB422" s="3060">
        <f t="shared" si="18"/>
      </c>
      <c r="DC422" s="3060">
        <f t="shared" si="19"/>
      </c>
      <c r="DD422" s="3060">
        <f t="shared" si="20"/>
      </c>
      <c r="DE422" s="3060">
        <f t="shared" si="21"/>
      </c>
      <c r="DF422" s="3060">
        <f t="shared" si="22"/>
      </c>
      <c r="DG422" s="3060">
        <f t="shared" si="23"/>
      </c>
      <c r="DH422" s="3060">
        <f t="shared" si="24"/>
      </c>
      <c r="DI422" s="3060">
        <f t="shared" si="1"/>
      </c>
    </row>
    <row r="423" ht="15" customHeight="1" s="3052" customFormat="1">
      <c r="B423" s="3054">
        <f t="shared" si="2"/>
      </c>
      <c r="C423" s="3054"/>
      <c r="D423" s="3054"/>
      <c r="E423" s="3055"/>
      <c r="F423" s="3055"/>
      <c r="G423" s="3055"/>
      <c r="H423" s="3055"/>
      <c r="I423" s="3055"/>
      <c r="J423" s="3055"/>
      <c r="K423" s="3055"/>
      <c r="L423" s="3055"/>
      <c r="M423" s="3055"/>
      <c r="N423" s="3055"/>
      <c r="O423" s="3055"/>
      <c r="P423" s="3055"/>
      <c r="Q423" s="3055"/>
      <c r="R423" s="3055">
        <f t="shared" si="3"/>
        <v>0</v>
      </c>
      <c r="S423" s="3055">
        <f t="shared" si="4"/>
        <v>0</v>
      </c>
      <c r="T423" s="3055">
        <f t="shared" si="5"/>
        <v>0</v>
      </c>
      <c r="U423" s="3055">
        <f t="shared" si="6"/>
        <v>0</v>
      </c>
      <c r="V423" s="3055">
        <f t="shared" si="7"/>
        <v>0</v>
      </c>
      <c r="W423" s="3055">
        <f t="shared" si="8"/>
        <v>0</v>
      </c>
      <c r="X423" s="3055">
        <f t="shared" si="9"/>
        <v>0</v>
      </c>
      <c r="Y423" s="3055">
        <f t="shared" si="10"/>
        <v>0</v>
      </c>
      <c r="Z423" s="3055">
        <f t="shared" si="11"/>
        <v>0</v>
      </c>
      <c r="AA423" s="3055">
        <f t="shared" si="12"/>
        <v>0</v>
      </c>
      <c r="AB423" s="3055">
        <f t="shared" si="13"/>
        <v>0</v>
      </c>
      <c r="AC423" s="3055">
        <f t="shared" si="14"/>
        <v>0</v>
      </c>
      <c r="AD423" s="3056"/>
      <c r="AE423" s="3057">
        <f t="shared" si="0"/>
      </c>
      <c r="AF423" s="3054"/>
      <c r="AG423" s="3054"/>
      <c r="AH423" s="3055"/>
      <c r="AI423" s="3055"/>
      <c r="AJ423" s="3055"/>
      <c r="AK423" s="3055"/>
      <c r="AL423" s="3055"/>
      <c r="AM423" s="3055"/>
      <c r="AN423" s="3055"/>
      <c r="AO423" s="3055"/>
      <c r="AP423" s="3055"/>
      <c r="AQ423" s="3055"/>
      <c r="AR423" s="3055"/>
      <c r="AS423" s="3055"/>
      <c r="AT423" s="3055"/>
      <c r="AU423" s="3056"/>
      <c r="AV423" s="3057">
        <f t="shared" si="15"/>
      </c>
      <c r="AW423" s="3054"/>
      <c r="AX423" s="3054"/>
      <c r="AY423" s="3055"/>
      <c r="AZ423" s="3055"/>
      <c r="BA423" s="3055"/>
      <c r="BB423" s="3055"/>
      <c r="BC423" s="3055"/>
      <c r="BD423" s="3055"/>
      <c r="BE423" s="3055"/>
      <c r="BF423" s="3055"/>
      <c r="BG423" s="3055"/>
      <c r="BH423" s="3055"/>
      <c r="BI423" s="3055"/>
      <c r="BJ423" s="3055"/>
      <c r="BK423" s="3055"/>
      <c r="BL423" s="3056"/>
      <c r="BM423" s="3057">
        <f t="shared" si="16"/>
      </c>
      <c r="BN423" s="3054"/>
      <c r="BO423" s="3054"/>
      <c r="BP423" s="3055"/>
      <c r="BQ423" s="3055"/>
      <c r="BR423" s="3055"/>
      <c r="BS423" s="3055"/>
      <c r="BT423" s="3055"/>
      <c r="BU423" s="3055"/>
      <c r="BV423" s="3055"/>
      <c r="BW423" s="3055"/>
      <c r="BX423" s="3055"/>
      <c r="BY423" s="3055"/>
      <c r="BZ423" s="3055"/>
      <c r="CA423" s="3055"/>
      <c r="CB423" s="3055"/>
      <c r="CC423" s="3056"/>
      <c r="CD423" s="3057">
        <f t="shared" si="0"/>
      </c>
      <c r="CE423" s="3054"/>
      <c r="CF423" s="3054"/>
      <c r="CG423" s="3055"/>
      <c r="CH423" s="3055"/>
      <c r="CI423" s="3055"/>
      <c r="CJ423" s="3055"/>
      <c r="CK423" s="3055"/>
      <c r="CL423" s="3055"/>
      <c r="CM423" s="3055"/>
      <c r="CN423" s="3055"/>
      <c r="CO423" s="3055"/>
      <c r="CP423" s="3055"/>
      <c r="CQ423" s="3055"/>
      <c r="CR423" s="3055"/>
      <c r="CS423" s="3055"/>
      <c r="CU423" s="3054"/>
      <c r="CV423" s="696"/>
      <c r="CW423" s="696"/>
      <c r="CZ423" s="3060">
        <f t="shared" si="17"/>
      </c>
      <c r="DA423" s="3060">
        <f t="shared" si="1"/>
      </c>
      <c r="DB423" s="3060">
        <f t="shared" si="18"/>
      </c>
      <c r="DC423" s="3060">
        <f t="shared" si="19"/>
      </c>
      <c r="DD423" s="3060">
        <f t="shared" si="20"/>
      </c>
      <c r="DE423" s="3060">
        <f t="shared" si="21"/>
      </c>
      <c r="DF423" s="3060">
        <f t="shared" si="22"/>
      </c>
      <c r="DG423" s="3060">
        <f t="shared" si="23"/>
      </c>
      <c r="DH423" s="3060">
        <f t="shared" si="24"/>
      </c>
      <c r="DI423" s="3060">
        <f t="shared" si="1"/>
      </c>
    </row>
    <row r="424" ht="15" customHeight="1" s="3052" customFormat="1">
      <c r="B424" s="3054">
        <f t="shared" si="2"/>
      </c>
      <c r="C424" s="3054"/>
      <c r="D424" s="3054"/>
      <c r="E424" s="3055"/>
      <c r="F424" s="3055"/>
      <c r="G424" s="3055"/>
      <c r="H424" s="3055"/>
      <c r="I424" s="3055"/>
      <c r="J424" s="3055"/>
      <c r="K424" s="3055"/>
      <c r="L424" s="3055"/>
      <c r="M424" s="3055"/>
      <c r="N424" s="3055"/>
      <c r="O424" s="3055"/>
      <c r="P424" s="3055"/>
      <c r="Q424" s="3055"/>
      <c r="R424" s="3055">
        <f t="shared" si="3"/>
        <v>0</v>
      </c>
      <c r="S424" s="3055">
        <f t="shared" si="4"/>
        <v>0</v>
      </c>
      <c r="T424" s="3055">
        <f t="shared" si="5"/>
        <v>0</v>
      </c>
      <c r="U424" s="3055">
        <f t="shared" si="6"/>
        <v>0</v>
      </c>
      <c r="V424" s="3055">
        <f t="shared" si="7"/>
        <v>0</v>
      </c>
      <c r="W424" s="3055">
        <f t="shared" si="8"/>
        <v>0</v>
      </c>
      <c r="X424" s="3055">
        <f t="shared" si="9"/>
        <v>0</v>
      </c>
      <c r="Y424" s="3055">
        <f t="shared" si="10"/>
        <v>0</v>
      </c>
      <c r="Z424" s="3055">
        <f t="shared" si="11"/>
        <v>0</v>
      </c>
      <c r="AA424" s="3055">
        <f t="shared" si="12"/>
        <v>0</v>
      </c>
      <c r="AB424" s="3055">
        <f t="shared" si="13"/>
        <v>0</v>
      </c>
      <c r="AC424" s="3055">
        <f t="shared" si="14"/>
        <v>0</v>
      </c>
      <c r="AD424" s="3056"/>
      <c r="AE424" s="3057">
        <f t="shared" si="0"/>
      </c>
      <c r="AF424" s="3054"/>
      <c r="AG424" s="3054"/>
      <c r="AH424" s="3055"/>
      <c r="AI424" s="3055"/>
      <c r="AJ424" s="3055"/>
      <c r="AK424" s="3055"/>
      <c r="AL424" s="3055"/>
      <c r="AM424" s="3055"/>
      <c r="AN424" s="3055"/>
      <c r="AO424" s="3055"/>
      <c r="AP424" s="3055"/>
      <c r="AQ424" s="3055"/>
      <c r="AR424" s="3055"/>
      <c r="AS424" s="3055"/>
      <c r="AT424" s="3055"/>
      <c r="AU424" s="3056"/>
      <c r="AV424" s="3057">
        <f t="shared" si="15"/>
      </c>
      <c r="AW424" s="3054"/>
      <c r="AX424" s="3054"/>
      <c r="AY424" s="3055"/>
      <c r="AZ424" s="3055"/>
      <c r="BA424" s="3055"/>
      <c r="BB424" s="3055"/>
      <c r="BC424" s="3055"/>
      <c r="BD424" s="3055"/>
      <c r="BE424" s="3055"/>
      <c r="BF424" s="3055"/>
      <c r="BG424" s="3055"/>
      <c r="BH424" s="3055"/>
      <c r="BI424" s="3055"/>
      <c r="BJ424" s="3055"/>
      <c r="BK424" s="3055"/>
      <c r="BL424" s="3056"/>
      <c r="BM424" s="3057">
        <f t="shared" si="16"/>
      </c>
      <c r="BN424" s="3054"/>
      <c r="BO424" s="3054"/>
      <c r="BP424" s="3055"/>
      <c r="BQ424" s="3055"/>
      <c r="BR424" s="3055"/>
      <c r="BS424" s="3055"/>
      <c r="BT424" s="3055"/>
      <c r="BU424" s="3055"/>
      <c r="BV424" s="3055"/>
      <c r="BW424" s="3055"/>
      <c r="BX424" s="3055"/>
      <c r="BY424" s="3055"/>
      <c r="BZ424" s="3055"/>
      <c r="CA424" s="3055"/>
      <c r="CB424" s="3055"/>
      <c r="CC424" s="3056"/>
      <c r="CD424" s="3057">
        <f t="shared" si="0"/>
      </c>
      <c r="CE424" s="3054"/>
      <c r="CF424" s="3054"/>
      <c r="CG424" s="3055"/>
      <c r="CH424" s="3055"/>
      <c r="CI424" s="3055"/>
      <c r="CJ424" s="3055"/>
      <c r="CK424" s="3055"/>
      <c r="CL424" s="3055"/>
      <c r="CM424" s="3055"/>
      <c r="CN424" s="3055"/>
      <c r="CO424" s="3055"/>
      <c r="CP424" s="3055"/>
      <c r="CQ424" s="3055"/>
      <c r="CR424" s="3055"/>
      <c r="CS424" s="3055"/>
      <c r="CU424" s="3054"/>
      <c r="CV424" s="696"/>
      <c r="CW424" s="696"/>
      <c r="CZ424" s="3060">
        <f t="shared" si="17"/>
      </c>
      <c r="DA424" s="3060">
        <f t="shared" si="1"/>
      </c>
      <c r="DB424" s="3060">
        <f t="shared" si="18"/>
      </c>
      <c r="DC424" s="3060">
        <f t="shared" si="19"/>
      </c>
      <c r="DD424" s="3060">
        <f t="shared" si="20"/>
      </c>
      <c r="DE424" s="3060">
        <f t="shared" si="21"/>
      </c>
      <c r="DF424" s="3060">
        <f t="shared" si="22"/>
      </c>
      <c r="DG424" s="3060">
        <f t="shared" si="23"/>
      </c>
      <c r="DH424" s="3060">
        <f t="shared" si="24"/>
      </c>
      <c r="DI424" s="3060">
        <f t="shared" si="1"/>
      </c>
    </row>
    <row r="425" ht="15" customHeight="1" s="3052" customFormat="1">
      <c r="B425" s="3054">
        <f t="shared" si="2"/>
      </c>
      <c r="C425" s="3054"/>
      <c r="D425" s="3054"/>
      <c r="E425" s="3055"/>
      <c r="F425" s="3055"/>
      <c r="G425" s="3055"/>
      <c r="H425" s="3055"/>
      <c r="I425" s="3055"/>
      <c r="J425" s="3055"/>
      <c r="K425" s="3055"/>
      <c r="L425" s="3055"/>
      <c r="M425" s="3055"/>
      <c r="N425" s="3055"/>
      <c r="O425" s="3055"/>
      <c r="P425" s="3055"/>
      <c r="Q425" s="3055"/>
      <c r="R425" s="3055">
        <f t="shared" si="3"/>
        <v>0</v>
      </c>
      <c r="S425" s="3055">
        <f t="shared" si="4"/>
        <v>0</v>
      </c>
      <c r="T425" s="3055">
        <f t="shared" si="5"/>
        <v>0</v>
      </c>
      <c r="U425" s="3055">
        <f t="shared" si="6"/>
        <v>0</v>
      </c>
      <c r="V425" s="3055">
        <f t="shared" si="7"/>
        <v>0</v>
      </c>
      <c r="W425" s="3055">
        <f t="shared" si="8"/>
        <v>0</v>
      </c>
      <c r="X425" s="3055">
        <f t="shared" si="9"/>
        <v>0</v>
      </c>
      <c r="Y425" s="3055">
        <f t="shared" si="10"/>
        <v>0</v>
      </c>
      <c r="Z425" s="3055">
        <f t="shared" si="11"/>
        <v>0</v>
      </c>
      <c r="AA425" s="3055">
        <f t="shared" si="12"/>
        <v>0</v>
      </c>
      <c r="AB425" s="3055">
        <f t="shared" si="13"/>
        <v>0</v>
      </c>
      <c r="AC425" s="3055">
        <f t="shared" si="14"/>
        <v>0</v>
      </c>
      <c r="AD425" s="3056"/>
      <c r="AE425" s="3057">
        <f t="shared" si="0"/>
      </c>
      <c r="AF425" s="3054"/>
      <c r="AG425" s="3054"/>
      <c r="AH425" s="3055"/>
      <c r="AI425" s="3055"/>
      <c r="AJ425" s="3055"/>
      <c r="AK425" s="3055"/>
      <c r="AL425" s="3055"/>
      <c r="AM425" s="3055"/>
      <c r="AN425" s="3055"/>
      <c r="AO425" s="3055"/>
      <c r="AP425" s="3055"/>
      <c r="AQ425" s="3055"/>
      <c r="AR425" s="3055"/>
      <c r="AS425" s="3055"/>
      <c r="AT425" s="3055"/>
      <c r="AU425" s="3056"/>
      <c r="AV425" s="3057">
        <f t="shared" si="15"/>
      </c>
      <c r="AW425" s="3054"/>
      <c r="AX425" s="3054"/>
      <c r="AY425" s="3055"/>
      <c r="AZ425" s="3055"/>
      <c r="BA425" s="3055"/>
      <c r="BB425" s="3055"/>
      <c r="BC425" s="3055"/>
      <c r="BD425" s="3055"/>
      <c r="BE425" s="3055"/>
      <c r="BF425" s="3055"/>
      <c r="BG425" s="3055"/>
      <c r="BH425" s="3055"/>
      <c r="BI425" s="3055"/>
      <c r="BJ425" s="3055"/>
      <c r="BK425" s="3055"/>
      <c r="BL425" s="3056"/>
      <c r="BM425" s="3057">
        <f t="shared" si="16"/>
      </c>
      <c r="BN425" s="3054"/>
      <c r="BO425" s="3054"/>
      <c r="BP425" s="3055"/>
      <c r="BQ425" s="3055"/>
      <c r="BR425" s="3055"/>
      <c r="BS425" s="3055"/>
      <c r="BT425" s="3055"/>
      <c r="BU425" s="3055"/>
      <c r="BV425" s="3055"/>
      <c r="BW425" s="3055"/>
      <c r="BX425" s="3055"/>
      <c r="BY425" s="3055"/>
      <c r="BZ425" s="3055"/>
      <c r="CA425" s="3055"/>
      <c r="CB425" s="3055"/>
      <c r="CC425" s="3056"/>
      <c r="CD425" s="3057">
        <f t="shared" si="0"/>
      </c>
      <c r="CE425" s="3054"/>
      <c r="CF425" s="3054"/>
      <c r="CG425" s="3055"/>
      <c r="CH425" s="3055"/>
      <c r="CI425" s="3055"/>
      <c r="CJ425" s="3055"/>
      <c r="CK425" s="3055"/>
      <c r="CL425" s="3055"/>
      <c r="CM425" s="3055"/>
      <c r="CN425" s="3055"/>
      <c r="CO425" s="3055"/>
      <c r="CP425" s="3055"/>
      <c r="CQ425" s="3055"/>
      <c r="CR425" s="3055"/>
      <c r="CS425" s="3055"/>
      <c r="CU425" s="3054"/>
      <c r="CV425" s="696"/>
      <c r="CW425" s="696"/>
      <c r="CZ425" s="3060">
        <f t="shared" si="17"/>
      </c>
      <c r="DA425" s="3060">
        <f t="shared" si="1"/>
      </c>
      <c r="DB425" s="3060">
        <f t="shared" si="18"/>
      </c>
      <c r="DC425" s="3060">
        <f t="shared" si="19"/>
      </c>
      <c r="DD425" s="3060">
        <f t="shared" si="20"/>
      </c>
      <c r="DE425" s="3060">
        <f t="shared" si="21"/>
      </c>
      <c r="DF425" s="3060">
        <f t="shared" si="22"/>
      </c>
      <c r="DG425" s="3060">
        <f t="shared" si="23"/>
      </c>
      <c r="DH425" s="3060">
        <f t="shared" si="24"/>
      </c>
      <c r="DI425" s="3060">
        <f t="shared" si="1"/>
      </c>
    </row>
    <row r="426" ht="15" customHeight="1" s="3052" customFormat="1">
      <c r="B426" s="3054">
        <f t="shared" si="2"/>
      </c>
      <c r="C426" s="3054"/>
      <c r="D426" s="3054"/>
      <c r="E426" s="3055"/>
      <c r="F426" s="3055"/>
      <c r="G426" s="3055"/>
      <c r="H426" s="3055"/>
      <c r="I426" s="3055"/>
      <c r="J426" s="3055"/>
      <c r="K426" s="3055"/>
      <c r="L426" s="3055"/>
      <c r="M426" s="3055"/>
      <c r="N426" s="3055"/>
      <c r="O426" s="3055"/>
      <c r="P426" s="3055"/>
      <c r="Q426" s="3055"/>
      <c r="R426" s="3055">
        <f t="shared" si="3"/>
        <v>0</v>
      </c>
      <c r="S426" s="3055">
        <f t="shared" si="4"/>
        <v>0</v>
      </c>
      <c r="T426" s="3055">
        <f t="shared" si="5"/>
        <v>0</v>
      </c>
      <c r="U426" s="3055">
        <f t="shared" si="6"/>
        <v>0</v>
      </c>
      <c r="V426" s="3055">
        <f t="shared" si="7"/>
        <v>0</v>
      </c>
      <c r="W426" s="3055">
        <f t="shared" si="8"/>
        <v>0</v>
      </c>
      <c r="X426" s="3055">
        <f t="shared" si="9"/>
        <v>0</v>
      </c>
      <c r="Y426" s="3055">
        <f t="shared" si="10"/>
        <v>0</v>
      </c>
      <c r="Z426" s="3055">
        <f t="shared" si="11"/>
        <v>0</v>
      </c>
      <c r="AA426" s="3055">
        <f t="shared" si="12"/>
        <v>0</v>
      </c>
      <c r="AB426" s="3055">
        <f t="shared" si="13"/>
        <v>0</v>
      </c>
      <c r="AC426" s="3055">
        <f t="shared" si="14"/>
        <v>0</v>
      </c>
      <c r="AD426" s="3056"/>
      <c r="AE426" s="3057">
        <f t="shared" si="0"/>
      </c>
      <c r="AF426" s="3054"/>
      <c r="AG426" s="3054"/>
      <c r="AH426" s="3055"/>
      <c r="AI426" s="3055"/>
      <c r="AJ426" s="3055"/>
      <c r="AK426" s="3055"/>
      <c r="AL426" s="3055"/>
      <c r="AM426" s="3055"/>
      <c r="AN426" s="3055"/>
      <c r="AO426" s="3055"/>
      <c r="AP426" s="3055"/>
      <c r="AQ426" s="3055"/>
      <c r="AR426" s="3055"/>
      <c r="AS426" s="3055"/>
      <c r="AT426" s="3055"/>
      <c r="AU426" s="3056"/>
      <c r="AV426" s="3057">
        <f t="shared" si="15"/>
      </c>
      <c r="AW426" s="3054"/>
      <c r="AX426" s="3054"/>
      <c r="AY426" s="3055"/>
      <c r="AZ426" s="3055"/>
      <c r="BA426" s="3055"/>
      <c r="BB426" s="3055"/>
      <c r="BC426" s="3055"/>
      <c r="BD426" s="3055"/>
      <c r="BE426" s="3055"/>
      <c r="BF426" s="3055"/>
      <c r="BG426" s="3055"/>
      <c r="BH426" s="3055"/>
      <c r="BI426" s="3055"/>
      <c r="BJ426" s="3055"/>
      <c r="BK426" s="3055"/>
      <c r="BL426" s="3056"/>
      <c r="BM426" s="3057">
        <f t="shared" si="16"/>
      </c>
      <c r="BN426" s="3054"/>
      <c r="BO426" s="3054"/>
      <c r="BP426" s="3055"/>
      <c r="BQ426" s="3055"/>
      <c r="BR426" s="3055"/>
      <c r="BS426" s="3055"/>
      <c r="BT426" s="3055"/>
      <c r="BU426" s="3055"/>
      <c r="BV426" s="3055"/>
      <c r="BW426" s="3055"/>
      <c r="BX426" s="3055"/>
      <c r="BY426" s="3055"/>
      <c r="BZ426" s="3055"/>
      <c r="CA426" s="3055"/>
      <c r="CB426" s="3055"/>
      <c r="CC426" s="3056"/>
      <c r="CD426" s="3057">
        <f t="shared" si="0"/>
      </c>
      <c r="CE426" s="3054"/>
      <c r="CF426" s="3054"/>
      <c r="CG426" s="3055"/>
      <c r="CH426" s="3055"/>
      <c r="CI426" s="3055"/>
      <c r="CJ426" s="3055"/>
      <c r="CK426" s="3055"/>
      <c r="CL426" s="3055"/>
      <c r="CM426" s="3055"/>
      <c r="CN426" s="3055"/>
      <c r="CO426" s="3055"/>
      <c r="CP426" s="3055"/>
      <c r="CQ426" s="3055"/>
      <c r="CR426" s="3055"/>
      <c r="CS426" s="3055"/>
      <c r="CU426" s="3054"/>
      <c r="CV426" s="696"/>
      <c r="CW426" s="696"/>
      <c r="CZ426" s="3060">
        <f t="shared" si="17"/>
      </c>
      <c r="DA426" s="3060">
        <f t="shared" si="1"/>
      </c>
      <c r="DB426" s="3060">
        <f t="shared" si="18"/>
      </c>
      <c r="DC426" s="3060">
        <f t="shared" si="19"/>
      </c>
      <c r="DD426" s="3060">
        <f t="shared" si="20"/>
      </c>
      <c r="DE426" s="3060">
        <f t="shared" si="21"/>
      </c>
      <c r="DF426" s="3060">
        <f t="shared" si="22"/>
      </c>
      <c r="DG426" s="3060">
        <f t="shared" si="23"/>
      </c>
      <c r="DH426" s="3060">
        <f t="shared" si="24"/>
      </c>
      <c r="DI426" s="3060">
        <f t="shared" si="1"/>
      </c>
    </row>
    <row r="427" ht="15" customHeight="1" s="3052" customFormat="1">
      <c r="B427" s="3054">
        <f t="shared" si="2"/>
      </c>
      <c r="C427" s="3054"/>
      <c r="D427" s="3054"/>
      <c r="E427" s="3055"/>
      <c r="F427" s="3055"/>
      <c r="G427" s="3055"/>
      <c r="H427" s="3055"/>
      <c r="I427" s="3055"/>
      <c r="J427" s="3055"/>
      <c r="K427" s="3055"/>
      <c r="L427" s="3055"/>
      <c r="M427" s="3055"/>
      <c r="N427" s="3055"/>
      <c r="O427" s="3055"/>
      <c r="P427" s="3055"/>
      <c r="Q427" s="3055"/>
      <c r="R427" s="3055">
        <f t="shared" si="3"/>
        <v>0</v>
      </c>
      <c r="S427" s="3055">
        <f t="shared" si="4"/>
        <v>0</v>
      </c>
      <c r="T427" s="3055">
        <f t="shared" si="5"/>
        <v>0</v>
      </c>
      <c r="U427" s="3055">
        <f t="shared" si="6"/>
        <v>0</v>
      </c>
      <c r="V427" s="3055">
        <f t="shared" si="7"/>
        <v>0</v>
      </c>
      <c r="W427" s="3055">
        <f t="shared" si="8"/>
        <v>0</v>
      </c>
      <c r="X427" s="3055">
        <f t="shared" si="9"/>
        <v>0</v>
      </c>
      <c r="Y427" s="3055">
        <f t="shared" si="10"/>
        <v>0</v>
      </c>
      <c r="Z427" s="3055">
        <f t="shared" si="11"/>
        <v>0</v>
      </c>
      <c r="AA427" s="3055">
        <f t="shared" si="12"/>
        <v>0</v>
      </c>
      <c r="AB427" s="3055">
        <f t="shared" si="13"/>
        <v>0</v>
      </c>
      <c r="AC427" s="3055">
        <f t="shared" si="14"/>
        <v>0</v>
      </c>
      <c r="AD427" s="3056"/>
      <c r="AE427" s="3057">
        <f t="shared" si="0"/>
      </c>
      <c r="AF427" s="3054"/>
      <c r="AG427" s="3054"/>
      <c r="AH427" s="3055"/>
      <c r="AI427" s="3055"/>
      <c r="AJ427" s="3055"/>
      <c r="AK427" s="3055"/>
      <c r="AL427" s="3055"/>
      <c r="AM427" s="3055"/>
      <c r="AN427" s="3055"/>
      <c r="AO427" s="3055"/>
      <c r="AP427" s="3055"/>
      <c r="AQ427" s="3055"/>
      <c r="AR427" s="3055"/>
      <c r="AS427" s="3055"/>
      <c r="AT427" s="3055"/>
      <c r="AU427" s="3056"/>
      <c r="AV427" s="3057">
        <f t="shared" si="15"/>
      </c>
      <c r="AW427" s="3054"/>
      <c r="AX427" s="3054"/>
      <c r="AY427" s="3055"/>
      <c r="AZ427" s="3055"/>
      <c r="BA427" s="3055"/>
      <c r="BB427" s="3055"/>
      <c r="BC427" s="3055"/>
      <c r="BD427" s="3055"/>
      <c r="BE427" s="3055"/>
      <c r="BF427" s="3055"/>
      <c r="BG427" s="3055"/>
      <c r="BH427" s="3055"/>
      <c r="BI427" s="3055"/>
      <c r="BJ427" s="3055"/>
      <c r="BK427" s="3055"/>
      <c r="BL427" s="3056"/>
      <c r="BM427" s="3057">
        <f t="shared" si="16"/>
      </c>
      <c r="BN427" s="3054"/>
      <c r="BO427" s="3054"/>
      <c r="BP427" s="3055"/>
      <c r="BQ427" s="3055"/>
      <c r="BR427" s="3055"/>
      <c r="BS427" s="3055"/>
      <c r="BT427" s="3055"/>
      <c r="BU427" s="3055"/>
      <c r="BV427" s="3055"/>
      <c r="BW427" s="3055"/>
      <c r="BX427" s="3055"/>
      <c r="BY427" s="3055"/>
      <c r="BZ427" s="3055"/>
      <c r="CA427" s="3055"/>
      <c r="CB427" s="3055"/>
      <c r="CC427" s="3056"/>
      <c r="CD427" s="3057">
        <f t="shared" si="0"/>
      </c>
      <c r="CE427" s="3054"/>
      <c r="CF427" s="3054"/>
      <c r="CG427" s="3055"/>
      <c r="CH427" s="3055"/>
      <c r="CI427" s="3055"/>
      <c r="CJ427" s="3055"/>
      <c r="CK427" s="3055"/>
      <c r="CL427" s="3055"/>
      <c r="CM427" s="3055"/>
      <c r="CN427" s="3055"/>
      <c r="CO427" s="3055"/>
      <c r="CP427" s="3055"/>
      <c r="CQ427" s="3055"/>
      <c r="CR427" s="3055"/>
      <c r="CS427" s="3055"/>
      <c r="CU427" s="3054"/>
      <c r="CV427" s="696"/>
      <c r="CW427" s="696"/>
      <c r="CZ427" s="3060">
        <f t="shared" si="17"/>
      </c>
      <c r="DA427" s="3060">
        <f t="shared" si="1"/>
      </c>
      <c r="DB427" s="3060">
        <f t="shared" si="18"/>
      </c>
      <c r="DC427" s="3060">
        <f t="shared" si="19"/>
      </c>
      <c r="DD427" s="3060">
        <f t="shared" si="20"/>
      </c>
      <c r="DE427" s="3060">
        <f t="shared" si="21"/>
      </c>
      <c r="DF427" s="3060">
        <f t="shared" si="22"/>
      </c>
      <c r="DG427" s="3060">
        <f t="shared" si="23"/>
      </c>
      <c r="DH427" s="3060">
        <f t="shared" si="24"/>
      </c>
      <c r="DI427" s="3060">
        <f t="shared" si="1"/>
      </c>
    </row>
    <row r="428" ht="15" customHeight="1" s="3052" customFormat="1">
      <c r="B428" s="3054">
        <f t="shared" si="2"/>
      </c>
      <c r="C428" s="3054"/>
      <c r="D428" s="3054"/>
      <c r="E428" s="3055"/>
      <c r="F428" s="3055"/>
      <c r="G428" s="3055"/>
      <c r="H428" s="3055"/>
      <c r="I428" s="3055"/>
      <c r="J428" s="3055"/>
      <c r="K428" s="3055"/>
      <c r="L428" s="3055"/>
      <c r="M428" s="3055"/>
      <c r="N428" s="3055"/>
      <c r="O428" s="3055"/>
      <c r="P428" s="3055"/>
      <c r="Q428" s="3055"/>
      <c r="R428" s="3055">
        <f t="shared" si="3"/>
        <v>0</v>
      </c>
      <c r="S428" s="3055">
        <f t="shared" si="4"/>
        <v>0</v>
      </c>
      <c r="T428" s="3055">
        <f t="shared" si="5"/>
        <v>0</v>
      </c>
      <c r="U428" s="3055">
        <f t="shared" si="6"/>
        <v>0</v>
      </c>
      <c r="V428" s="3055">
        <f t="shared" si="7"/>
        <v>0</v>
      </c>
      <c r="W428" s="3055">
        <f t="shared" si="8"/>
        <v>0</v>
      </c>
      <c r="X428" s="3055">
        <f t="shared" si="9"/>
        <v>0</v>
      </c>
      <c r="Y428" s="3055">
        <f t="shared" si="10"/>
        <v>0</v>
      </c>
      <c r="Z428" s="3055">
        <f t="shared" si="11"/>
        <v>0</v>
      </c>
      <c r="AA428" s="3055">
        <f t="shared" si="12"/>
        <v>0</v>
      </c>
      <c r="AB428" s="3055">
        <f t="shared" si="13"/>
        <v>0</v>
      </c>
      <c r="AC428" s="3055">
        <f t="shared" si="14"/>
        <v>0</v>
      </c>
      <c r="AD428" s="3056"/>
      <c r="AE428" s="3057">
        <f t="shared" si="0"/>
      </c>
      <c r="AF428" s="3054"/>
      <c r="AG428" s="3054"/>
      <c r="AH428" s="3055"/>
      <c r="AI428" s="3055"/>
      <c r="AJ428" s="3055"/>
      <c r="AK428" s="3055"/>
      <c r="AL428" s="3055"/>
      <c r="AM428" s="3055"/>
      <c r="AN428" s="3055"/>
      <c r="AO428" s="3055"/>
      <c r="AP428" s="3055"/>
      <c r="AQ428" s="3055"/>
      <c r="AR428" s="3055"/>
      <c r="AS428" s="3055"/>
      <c r="AT428" s="3055"/>
      <c r="AU428" s="3056"/>
      <c r="AV428" s="3057">
        <f t="shared" si="15"/>
      </c>
      <c r="AW428" s="3054"/>
      <c r="AX428" s="3054"/>
      <c r="AY428" s="3055"/>
      <c r="AZ428" s="3055"/>
      <c r="BA428" s="3055"/>
      <c r="BB428" s="3055"/>
      <c r="BC428" s="3055"/>
      <c r="BD428" s="3055"/>
      <c r="BE428" s="3055"/>
      <c r="BF428" s="3055"/>
      <c r="BG428" s="3055"/>
      <c r="BH428" s="3055"/>
      <c r="BI428" s="3055"/>
      <c r="BJ428" s="3055"/>
      <c r="BK428" s="3055"/>
      <c r="BL428" s="3056"/>
      <c r="BM428" s="3057">
        <f t="shared" si="16"/>
      </c>
      <c r="BN428" s="3054"/>
      <c r="BO428" s="3054"/>
      <c r="BP428" s="3055"/>
      <c r="BQ428" s="3055"/>
      <c r="BR428" s="3055"/>
      <c r="BS428" s="3055"/>
      <c r="BT428" s="3055"/>
      <c r="BU428" s="3055"/>
      <c r="BV428" s="3055"/>
      <c r="BW428" s="3055"/>
      <c r="BX428" s="3055"/>
      <c r="BY428" s="3055"/>
      <c r="BZ428" s="3055"/>
      <c r="CA428" s="3055"/>
      <c r="CB428" s="3055"/>
      <c r="CC428" s="3056"/>
      <c r="CD428" s="3057">
        <f t="shared" si="0"/>
      </c>
      <c r="CE428" s="3054"/>
      <c r="CF428" s="3054"/>
      <c r="CG428" s="3055"/>
      <c r="CH428" s="3055"/>
      <c r="CI428" s="3055"/>
      <c r="CJ428" s="3055"/>
      <c r="CK428" s="3055"/>
      <c r="CL428" s="3055"/>
      <c r="CM428" s="3055"/>
      <c r="CN428" s="3055"/>
      <c r="CO428" s="3055"/>
      <c r="CP428" s="3055"/>
      <c r="CQ428" s="3055"/>
      <c r="CR428" s="3055"/>
      <c r="CS428" s="3055"/>
      <c r="CU428" s="3054"/>
      <c r="CV428" s="696"/>
      <c r="CW428" s="696"/>
      <c r="CZ428" s="3060">
        <f t="shared" si="17"/>
      </c>
      <c r="DA428" s="3060">
        <f t="shared" si="1"/>
      </c>
      <c r="DB428" s="3060">
        <f t="shared" si="18"/>
      </c>
      <c r="DC428" s="3060">
        <f t="shared" si="19"/>
      </c>
      <c r="DD428" s="3060">
        <f t="shared" si="20"/>
      </c>
      <c r="DE428" s="3060">
        <f t="shared" si="21"/>
      </c>
      <c r="DF428" s="3060">
        <f t="shared" si="22"/>
      </c>
      <c r="DG428" s="3060">
        <f t="shared" si="23"/>
      </c>
      <c r="DH428" s="3060">
        <f t="shared" si="24"/>
      </c>
      <c r="DI428" s="3060">
        <f t="shared" si="1"/>
      </c>
    </row>
    <row r="429" ht="15" customHeight="1" s="3052" customFormat="1">
      <c r="B429" s="3054">
        <f t="shared" si="2"/>
      </c>
      <c r="C429" s="3054"/>
      <c r="D429" s="3054"/>
      <c r="E429" s="3055"/>
      <c r="F429" s="3055"/>
      <c r="G429" s="3055"/>
      <c r="H429" s="3055"/>
      <c r="I429" s="3055"/>
      <c r="J429" s="3055"/>
      <c r="K429" s="3055"/>
      <c r="L429" s="3055"/>
      <c r="M429" s="3055"/>
      <c r="N429" s="3055"/>
      <c r="O429" s="3055"/>
      <c r="P429" s="3055"/>
      <c r="Q429" s="3055"/>
      <c r="R429" s="3055">
        <f t="shared" si="3"/>
        <v>0</v>
      </c>
      <c r="S429" s="3055">
        <f t="shared" si="4"/>
        <v>0</v>
      </c>
      <c r="T429" s="3055">
        <f t="shared" si="5"/>
        <v>0</v>
      </c>
      <c r="U429" s="3055">
        <f t="shared" si="6"/>
        <v>0</v>
      </c>
      <c r="V429" s="3055">
        <f t="shared" si="7"/>
        <v>0</v>
      </c>
      <c r="W429" s="3055">
        <f t="shared" si="8"/>
        <v>0</v>
      </c>
      <c r="X429" s="3055">
        <f t="shared" si="9"/>
        <v>0</v>
      </c>
      <c r="Y429" s="3055">
        <f t="shared" si="10"/>
        <v>0</v>
      </c>
      <c r="Z429" s="3055">
        <f t="shared" si="11"/>
        <v>0</v>
      </c>
      <c r="AA429" s="3055">
        <f t="shared" si="12"/>
        <v>0</v>
      </c>
      <c r="AB429" s="3055">
        <f t="shared" si="13"/>
        <v>0</v>
      </c>
      <c r="AC429" s="3055">
        <f t="shared" si="14"/>
        <v>0</v>
      </c>
      <c r="AD429" s="3056"/>
      <c r="AE429" s="3057">
        <f t="shared" si="0"/>
      </c>
      <c r="AF429" s="3054"/>
      <c r="AG429" s="3054"/>
      <c r="AH429" s="3055"/>
      <c r="AI429" s="3055"/>
      <c r="AJ429" s="3055"/>
      <c r="AK429" s="3055"/>
      <c r="AL429" s="3055"/>
      <c r="AM429" s="3055"/>
      <c r="AN429" s="3055"/>
      <c r="AO429" s="3055"/>
      <c r="AP429" s="3055"/>
      <c r="AQ429" s="3055"/>
      <c r="AR429" s="3055"/>
      <c r="AS429" s="3055"/>
      <c r="AT429" s="3055"/>
      <c r="AU429" s="3056"/>
      <c r="AV429" s="3057">
        <f t="shared" si="15"/>
      </c>
      <c r="AW429" s="3054"/>
      <c r="AX429" s="3054"/>
      <c r="AY429" s="3055"/>
      <c r="AZ429" s="3055"/>
      <c r="BA429" s="3055"/>
      <c r="BB429" s="3055"/>
      <c r="BC429" s="3055"/>
      <c r="BD429" s="3055"/>
      <c r="BE429" s="3055"/>
      <c r="BF429" s="3055"/>
      <c r="BG429" s="3055"/>
      <c r="BH429" s="3055"/>
      <c r="BI429" s="3055"/>
      <c r="BJ429" s="3055"/>
      <c r="BK429" s="3055"/>
      <c r="BL429" s="3056"/>
      <c r="BM429" s="3057">
        <f t="shared" si="16"/>
      </c>
      <c r="BN429" s="3054"/>
      <c r="BO429" s="3054"/>
      <c r="BP429" s="3055"/>
      <c r="BQ429" s="3055"/>
      <c r="BR429" s="3055"/>
      <c r="BS429" s="3055"/>
      <c r="BT429" s="3055"/>
      <c r="BU429" s="3055"/>
      <c r="BV429" s="3055"/>
      <c r="BW429" s="3055"/>
      <c r="BX429" s="3055"/>
      <c r="BY429" s="3055"/>
      <c r="BZ429" s="3055"/>
      <c r="CA429" s="3055"/>
      <c r="CB429" s="3055"/>
      <c r="CC429" s="3056"/>
      <c r="CD429" s="3057">
        <f t="shared" si="0"/>
      </c>
      <c r="CE429" s="3054"/>
      <c r="CF429" s="3054"/>
      <c r="CG429" s="3055"/>
      <c r="CH429" s="3055"/>
      <c r="CI429" s="3055"/>
      <c r="CJ429" s="3055"/>
      <c r="CK429" s="3055"/>
      <c r="CL429" s="3055"/>
      <c r="CM429" s="3055"/>
      <c r="CN429" s="3055"/>
      <c r="CO429" s="3055"/>
      <c r="CP429" s="3055"/>
      <c r="CQ429" s="3055"/>
      <c r="CR429" s="3055"/>
      <c r="CS429" s="3055"/>
      <c r="CU429" s="3054"/>
      <c r="CV429" s="696"/>
      <c r="CW429" s="696"/>
      <c r="CZ429" s="3060">
        <f t="shared" si="17"/>
      </c>
      <c r="DA429" s="3060">
        <f t="shared" si="1"/>
      </c>
      <c r="DB429" s="3060">
        <f t="shared" si="18"/>
      </c>
      <c r="DC429" s="3060">
        <f t="shared" si="19"/>
      </c>
      <c r="DD429" s="3060">
        <f t="shared" si="20"/>
      </c>
      <c r="DE429" s="3060">
        <f t="shared" si="21"/>
      </c>
      <c r="DF429" s="3060">
        <f t="shared" si="22"/>
      </c>
      <c r="DG429" s="3060">
        <f t="shared" si="23"/>
      </c>
      <c r="DH429" s="3060">
        <f t="shared" si="24"/>
      </c>
      <c r="DI429" s="3060">
        <f t="shared" si="1"/>
      </c>
    </row>
    <row r="430" ht="15" customHeight="1" s="3052" customFormat="1">
      <c r="B430" s="3054">
        <f t="shared" si="2"/>
      </c>
      <c r="C430" s="3054"/>
      <c r="D430" s="3054"/>
      <c r="E430" s="3055"/>
      <c r="F430" s="3055"/>
      <c r="G430" s="3055"/>
      <c r="H430" s="3055"/>
      <c r="I430" s="3055"/>
      <c r="J430" s="3055"/>
      <c r="K430" s="3055"/>
      <c r="L430" s="3055"/>
      <c r="M430" s="3055"/>
      <c r="N430" s="3055"/>
      <c r="O430" s="3055"/>
      <c r="P430" s="3055"/>
      <c r="Q430" s="3055"/>
      <c r="R430" s="3055">
        <f t="shared" si="3"/>
        <v>0</v>
      </c>
      <c r="S430" s="3055">
        <f t="shared" si="4"/>
        <v>0</v>
      </c>
      <c r="T430" s="3055">
        <f t="shared" si="5"/>
        <v>0</v>
      </c>
      <c r="U430" s="3055">
        <f t="shared" si="6"/>
        <v>0</v>
      </c>
      <c r="V430" s="3055">
        <f t="shared" si="7"/>
        <v>0</v>
      </c>
      <c r="W430" s="3055">
        <f t="shared" si="8"/>
        <v>0</v>
      </c>
      <c r="X430" s="3055">
        <f t="shared" si="9"/>
        <v>0</v>
      </c>
      <c r="Y430" s="3055">
        <f t="shared" si="10"/>
        <v>0</v>
      </c>
      <c r="Z430" s="3055">
        <f t="shared" si="11"/>
        <v>0</v>
      </c>
      <c r="AA430" s="3055">
        <f t="shared" si="12"/>
        <v>0</v>
      </c>
      <c r="AB430" s="3055">
        <f t="shared" si="13"/>
        <v>0</v>
      </c>
      <c r="AC430" s="3055">
        <f t="shared" si="14"/>
        <v>0</v>
      </c>
      <c r="AD430" s="3056"/>
      <c r="AE430" s="3057">
        <f t="shared" si="0"/>
      </c>
      <c r="AF430" s="3054"/>
      <c r="AG430" s="3054"/>
      <c r="AH430" s="3055"/>
      <c r="AI430" s="3055"/>
      <c r="AJ430" s="3055"/>
      <c r="AK430" s="3055"/>
      <c r="AL430" s="3055"/>
      <c r="AM430" s="3055"/>
      <c r="AN430" s="3055"/>
      <c r="AO430" s="3055"/>
      <c r="AP430" s="3055"/>
      <c r="AQ430" s="3055"/>
      <c r="AR430" s="3055"/>
      <c r="AS430" s="3055"/>
      <c r="AT430" s="3055"/>
      <c r="AU430" s="3056"/>
      <c r="AV430" s="3057">
        <f t="shared" si="15"/>
      </c>
      <c r="AW430" s="3054"/>
      <c r="AX430" s="3054"/>
      <c r="AY430" s="3055"/>
      <c r="AZ430" s="3055"/>
      <c r="BA430" s="3055"/>
      <c r="BB430" s="3055"/>
      <c r="BC430" s="3055"/>
      <c r="BD430" s="3055"/>
      <c r="BE430" s="3055"/>
      <c r="BF430" s="3055"/>
      <c r="BG430" s="3055"/>
      <c r="BH430" s="3055"/>
      <c r="BI430" s="3055"/>
      <c r="BJ430" s="3055"/>
      <c r="BK430" s="3055"/>
      <c r="BL430" s="3056"/>
      <c r="BM430" s="3057">
        <f t="shared" si="16"/>
      </c>
      <c r="BN430" s="3054"/>
      <c r="BO430" s="3054"/>
      <c r="BP430" s="3055"/>
      <c r="BQ430" s="3055"/>
      <c r="BR430" s="3055"/>
      <c r="BS430" s="3055"/>
      <c r="BT430" s="3055"/>
      <c r="BU430" s="3055"/>
      <c r="BV430" s="3055"/>
      <c r="BW430" s="3055"/>
      <c r="BX430" s="3055"/>
      <c r="BY430" s="3055"/>
      <c r="BZ430" s="3055"/>
      <c r="CA430" s="3055"/>
      <c r="CB430" s="3055"/>
      <c r="CC430" s="3056"/>
      <c r="CD430" s="3057">
        <f t="shared" si="0"/>
      </c>
      <c r="CE430" s="3054"/>
      <c r="CF430" s="3054"/>
      <c r="CG430" s="3055"/>
      <c r="CH430" s="3055"/>
      <c r="CI430" s="3055"/>
      <c r="CJ430" s="3055"/>
      <c r="CK430" s="3055"/>
      <c r="CL430" s="3055"/>
      <c r="CM430" s="3055"/>
      <c r="CN430" s="3055"/>
      <c r="CO430" s="3055"/>
      <c r="CP430" s="3055"/>
      <c r="CQ430" s="3055"/>
      <c r="CR430" s="3055"/>
      <c r="CS430" s="3055"/>
      <c r="CU430" s="3054"/>
      <c r="CV430" s="696"/>
      <c r="CW430" s="696"/>
      <c r="CZ430" s="3060">
        <f t="shared" si="17"/>
      </c>
      <c r="DA430" s="3060">
        <f t="shared" si="1"/>
      </c>
      <c r="DB430" s="3060">
        <f t="shared" si="18"/>
      </c>
      <c r="DC430" s="3060">
        <f t="shared" si="19"/>
      </c>
      <c r="DD430" s="3060">
        <f t="shared" si="20"/>
      </c>
      <c r="DE430" s="3060">
        <f t="shared" si="21"/>
      </c>
      <c r="DF430" s="3060">
        <f t="shared" si="22"/>
      </c>
      <c r="DG430" s="3060">
        <f t="shared" si="23"/>
      </c>
      <c r="DH430" s="3060">
        <f t="shared" si="24"/>
      </c>
      <c r="DI430" s="3060">
        <f t="shared" si="1"/>
      </c>
    </row>
    <row r="431" ht="15" customHeight="1" s="3052" customFormat="1">
      <c r="B431" s="3054">
        <f t="shared" si="2"/>
      </c>
      <c r="C431" s="3054"/>
      <c r="D431" s="3054"/>
      <c r="E431" s="3055"/>
      <c r="F431" s="3055"/>
      <c r="G431" s="3055"/>
      <c r="H431" s="3055"/>
      <c r="I431" s="3055"/>
      <c r="J431" s="3055"/>
      <c r="K431" s="3055"/>
      <c r="L431" s="3055"/>
      <c r="M431" s="3055"/>
      <c r="N431" s="3055"/>
      <c r="O431" s="3055"/>
      <c r="P431" s="3055"/>
      <c r="Q431" s="3055"/>
      <c r="R431" s="3055">
        <f t="shared" si="3"/>
        <v>0</v>
      </c>
      <c r="S431" s="3055">
        <f t="shared" si="4"/>
        <v>0</v>
      </c>
      <c r="T431" s="3055">
        <f t="shared" si="5"/>
        <v>0</v>
      </c>
      <c r="U431" s="3055">
        <f t="shared" si="6"/>
        <v>0</v>
      </c>
      <c r="V431" s="3055">
        <f t="shared" si="7"/>
        <v>0</v>
      </c>
      <c r="W431" s="3055">
        <f t="shared" si="8"/>
        <v>0</v>
      </c>
      <c r="X431" s="3055">
        <f t="shared" si="9"/>
        <v>0</v>
      </c>
      <c r="Y431" s="3055">
        <f t="shared" si="10"/>
        <v>0</v>
      </c>
      <c r="Z431" s="3055">
        <f t="shared" si="11"/>
        <v>0</v>
      </c>
      <c r="AA431" s="3055">
        <f t="shared" si="12"/>
        <v>0</v>
      </c>
      <c r="AB431" s="3055">
        <f t="shared" si="13"/>
        <v>0</v>
      </c>
      <c r="AC431" s="3055">
        <f t="shared" si="14"/>
        <v>0</v>
      </c>
      <c r="AD431" s="3056"/>
      <c r="AE431" s="3057">
        <f t="shared" si="0"/>
      </c>
      <c r="AF431" s="3054"/>
      <c r="AG431" s="3054"/>
      <c r="AH431" s="3055"/>
      <c r="AI431" s="3055"/>
      <c r="AJ431" s="3055"/>
      <c r="AK431" s="3055"/>
      <c r="AL431" s="3055"/>
      <c r="AM431" s="3055"/>
      <c r="AN431" s="3055"/>
      <c r="AO431" s="3055"/>
      <c r="AP431" s="3055"/>
      <c r="AQ431" s="3055"/>
      <c r="AR431" s="3055"/>
      <c r="AS431" s="3055"/>
      <c r="AT431" s="3055"/>
      <c r="AU431" s="3056"/>
      <c r="AV431" s="3057">
        <f t="shared" si="15"/>
      </c>
      <c r="AW431" s="3054"/>
      <c r="AX431" s="3054"/>
      <c r="AY431" s="3055"/>
      <c r="AZ431" s="3055"/>
      <c r="BA431" s="3055"/>
      <c r="BB431" s="3055"/>
      <c r="BC431" s="3055"/>
      <c r="BD431" s="3055"/>
      <c r="BE431" s="3055"/>
      <c r="BF431" s="3055"/>
      <c r="BG431" s="3055"/>
      <c r="BH431" s="3055"/>
      <c r="BI431" s="3055"/>
      <c r="BJ431" s="3055"/>
      <c r="BK431" s="3055"/>
      <c r="BL431" s="3056"/>
      <c r="BM431" s="3057">
        <f t="shared" si="16"/>
      </c>
      <c r="BN431" s="3054"/>
      <c r="BO431" s="3054"/>
      <c r="BP431" s="3055"/>
      <c r="BQ431" s="3055"/>
      <c r="BR431" s="3055"/>
      <c r="BS431" s="3055"/>
      <c r="BT431" s="3055"/>
      <c r="BU431" s="3055"/>
      <c r="BV431" s="3055"/>
      <c r="BW431" s="3055"/>
      <c r="BX431" s="3055"/>
      <c r="BY431" s="3055"/>
      <c r="BZ431" s="3055"/>
      <c r="CA431" s="3055"/>
      <c r="CB431" s="3055"/>
      <c r="CC431" s="3056"/>
      <c r="CD431" s="3057">
        <f t="shared" si="0"/>
      </c>
      <c r="CE431" s="3054"/>
      <c r="CF431" s="3054"/>
      <c r="CG431" s="3055"/>
      <c r="CH431" s="3055"/>
      <c r="CI431" s="3055"/>
      <c r="CJ431" s="3055"/>
      <c r="CK431" s="3055"/>
      <c r="CL431" s="3055"/>
      <c r="CM431" s="3055"/>
      <c r="CN431" s="3055"/>
      <c r="CO431" s="3055"/>
      <c r="CP431" s="3055"/>
      <c r="CQ431" s="3055"/>
      <c r="CR431" s="3055"/>
      <c r="CS431" s="3055"/>
      <c r="CU431" s="3054"/>
      <c r="CV431" s="696"/>
      <c r="CW431" s="696"/>
      <c r="CZ431" s="3060">
        <f t="shared" si="17"/>
      </c>
      <c r="DA431" s="3060">
        <f t="shared" si="1"/>
      </c>
      <c r="DB431" s="3060">
        <f t="shared" si="18"/>
      </c>
      <c r="DC431" s="3060">
        <f t="shared" si="19"/>
      </c>
      <c r="DD431" s="3060">
        <f t="shared" si="20"/>
      </c>
      <c r="DE431" s="3060">
        <f t="shared" si="21"/>
      </c>
      <c r="DF431" s="3060">
        <f t="shared" si="22"/>
      </c>
      <c r="DG431" s="3060">
        <f t="shared" si="23"/>
      </c>
      <c r="DH431" s="3060">
        <f t="shared" si="24"/>
      </c>
      <c r="DI431" s="3060">
        <f t="shared" si="1"/>
      </c>
    </row>
    <row r="432" ht="15" customHeight="1" s="3052" customFormat="1">
      <c r="B432" s="3054">
        <f t="shared" si="2"/>
      </c>
      <c r="C432" s="3054"/>
      <c r="D432" s="3054"/>
      <c r="E432" s="3055"/>
      <c r="F432" s="3055"/>
      <c r="G432" s="3055"/>
      <c r="H432" s="3055"/>
      <c r="I432" s="3055"/>
      <c r="J432" s="3055"/>
      <c r="K432" s="3055"/>
      <c r="L432" s="3055"/>
      <c r="M432" s="3055"/>
      <c r="N432" s="3055"/>
      <c r="O432" s="3055"/>
      <c r="P432" s="3055"/>
      <c r="Q432" s="3055"/>
      <c r="R432" s="3055">
        <f t="shared" si="3"/>
        <v>0</v>
      </c>
      <c r="S432" s="3055">
        <f t="shared" si="4"/>
        <v>0</v>
      </c>
      <c r="T432" s="3055">
        <f t="shared" si="5"/>
        <v>0</v>
      </c>
      <c r="U432" s="3055">
        <f t="shared" si="6"/>
        <v>0</v>
      </c>
      <c r="V432" s="3055">
        <f t="shared" si="7"/>
        <v>0</v>
      </c>
      <c r="W432" s="3055">
        <f t="shared" si="8"/>
        <v>0</v>
      </c>
      <c r="X432" s="3055">
        <f t="shared" si="9"/>
        <v>0</v>
      </c>
      <c r="Y432" s="3055">
        <f t="shared" si="10"/>
        <v>0</v>
      </c>
      <c r="Z432" s="3055">
        <f t="shared" si="11"/>
        <v>0</v>
      </c>
      <c r="AA432" s="3055">
        <f t="shared" si="12"/>
        <v>0</v>
      </c>
      <c r="AB432" s="3055">
        <f t="shared" si="13"/>
        <v>0</v>
      </c>
      <c r="AC432" s="3055">
        <f t="shared" si="14"/>
        <v>0</v>
      </c>
      <c r="AD432" s="3056"/>
      <c r="AE432" s="3057">
        <f t="shared" si="0"/>
      </c>
      <c r="AF432" s="3054"/>
      <c r="AG432" s="3054"/>
      <c r="AH432" s="3055"/>
      <c r="AI432" s="3055"/>
      <c r="AJ432" s="3055"/>
      <c r="AK432" s="3055"/>
      <c r="AL432" s="3055"/>
      <c r="AM432" s="3055"/>
      <c r="AN432" s="3055"/>
      <c r="AO432" s="3055"/>
      <c r="AP432" s="3055"/>
      <c r="AQ432" s="3055"/>
      <c r="AR432" s="3055"/>
      <c r="AS432" s="3055"/>
      <c r="AT432" s="3055"/>
      <c r="AU432" s="3056"/>
      <c r="AV432" s="3057">
        <f t="shared" si="15"/>
      </c>
      <c r="AW432" s="3054"/>
      <c r="AX432" s="3054"/>
      <c r="AY432" s="3055"/>
      <c r="AZ432" s="3055"/>
      <c r="BA432" s="3055"/>
      <c r="BB432" s="3055"/>
      <c r="BC432" s="3055"/>
      <c r="BD432" s="3055"/>
      <c r="BE432" s="3055"/>
      <c r="BF432" s="3055"/>
      <c r="BG432" s="3055"/>
      <c r="BH432" s="3055"/>
      <c r="BI432" s="3055"/>
      <c r="BJ432" s="3055"/>
      <c r="BK432" s="3055"/>
      <c r="BL432" s="3056"/>
      <c r="BM432" s="3057">
        <f t="shared" si="16"/>
      </c>
      <c r="BN432" s="3054"/>
      <c r="BO432" s="3054"/>
      <c r="BP432" s="3055"/>
      <c r="BQ432" s="3055"/>
      <c r="BR432" s="3055"/>
      <c r="BS432" s="3055"/>
      <c r="BT432" s="3055"/>
      <c r="BU432" s="3055"/>
      <c r="BV432" s="3055"/>
      <c r="BW432" s="3055"/>
      <c r="BX432" s="3055"/>
      <c r="BY432" s="3055"/>
      <c r="BZ432" s="3055"/>
      <c r="CA432" s="3055"/>
      <c r="CB432" s="3055"/>
      <c r="CC432" s="3056"/>
      <c r="CD432" s="3057">
        <f t="shared" si="0"/>
      </c>
      <c r="CE432" s="3054"/>
      <c r="CF432" s="3054"/>
      <c r="CG432" s="3055"/>
      <c r="CH432" s="3055"/>
      <c r="CI432" s="3055"/>
      <c r="CJ432" s="3055"/>
      <c r="CK432" s="3055"/>
      <c r="CL432" s="3055"/>
      <c r="CM432" s="3055"/>
      <c r="CN432" s="3055"/>
      <c r="CO432" s="3055"/>
      <c r="CP432" s="3055"/>
      <c r="CQ432" s="3055"/>
      <c r="CR432" s="3055"/>
      <c r="CS432" s="3055"/>
      <c r="CU432" s="3054"/>
      <c r="CV432" s="696"/>
      <c r="CW432" s="696"/>
      <c r="CZ432" s="3060">
        <f t="shared" si="17"/>
      </c>
      <c r="DA432" s="3060">
        <f t="shared" si="1"/>
      </c>
      <c r="DB432" s="3060">
        <f t="shared" si="18"/>
      </c>
      <c r="DC432" s="3060">
        <f t="shared" si="19"/>
      </c>
      <c r="DD432" s="3060">
        <f t="shared" si="20"/>
      </c>
      <c r="DE432" s="3060">
        <f t="shared" si="21"/>
      </c>
      <c r="DF432" s="3060">
        <f t="shared" si="22"/>
      </c>
      <c r="DG432" s="3060">
        <f t="shared" si="23"/>
      </c>
      <c r="DH432" s="3060">
        <f t="shared" si="24"/>
      </c>
      <c r="DI432" s="3060">
        <f t="shared" si="1"/>
      </c>
    </row>
    <row r="433" ht="15" customHeight="1" s="3052" customFormat="1">
      <c r="B433" s="3054">
        <f t="shared" si="2"/>
      </c>
      <c r="C433" s="3054"/>
      <c r="D433" s="3054"/>
      <c r="E433" s="3055"/>
      <c r="F433" s="3055"/>
      <c r="G433" s="3055"/>
      <c r="H433" s="3055"/>
      <c r="I433" s="3055"/>
      <c r="J433" s="3055"/>
      <c r="K433" s="3055"/>
      <c r="L433" s="3055"/>
      <c r="M433" s="3055"/>
      <c r="N433" s="3055"/>
      <c r="O433" s="3055"/>
      <c r="P433" s="3055"/>
      <c r="Q433" s="3055"/>
      <c r="R433" s="3055">
        <f t="shared" si="3"/>
        <v>0</v>
      </c>
      <c r="S433" s="3055">
        <f t="shared" si="4"/>
        <v>0</v>
      </c>
      <c r="T433" s="3055">
        <f t="shared" si="5"/>
        <v>0</v>
      </c>
      <c r="U433" s="3055">
        <f t="shared" si="6"/>
        <v>0</v>
      </c>
      <c r="V433" s="3055">
        <f t="shared" si="7"/>
        <v>0</v>
      </c>
      <c r="W433" s="3055">
        <f t="shared" si="8"/>
        <v>0</v>
      </c>
      <c r="X433" s="3055">
        <f t="shared" si="9"/>
        <v>0</v>
      </c>
      <c r="Y433" s="3055">
        <f t="shared" si="10"/>
        <v>0</v>
      </c>
      <c r="Z433" s="3055">
        <f t="shared" si="11"/>
        <v>0</v>
      </c>
      <c r="AA433" s="3055">
        <f t="shared" si="12"/>
        <v>0</v>
      </c>
      <c r="AB433" s="3055">
        <f t="shared" si="13"/>
        <v>0</v>
      </c>
      <c r="AC433" s="3055">
        <f t="shared" si="14"/>
        <v>0</v>
      </c>
      <c r="AD433" s="3056"/>
      <c r="AE433" s="3057">
        <f t="shared" si="0"/>
      </c>
      <c r="AF433" s="3054"/>
      <c r="AG433" s="3054"/>
      <c r="AH433" s="3055"/>
      <c r="AI433" s="3055"/>
      <c r="AJ433" s="3055"/>
      <c r="AK433" s="3055"/>
      <c r="AL433" s="3055"/>
      <c r="AM433" s="3055"/>
      <c r="AN433" s="3055"/>
      <c r="AO433" s="3055"/>
      <c r="AP433" s="3055"/>
      <c r="AQ433" s="3055"/>
      <c r="AR433" s="3055"/>
      <c r="AS433" s="3055"/>
      <c r="AT433" s="3055"/>
      <c r="AU433" s="3056"/>
      <c r="AV433" s="3057">
        <f t="shared" si="15"/>
      </c>
      <c r="AW433" s="3054"/>
      <c r="AX433" s="3054"/>
      <c r="AY433" s="3055"/>
      <c r="AZ433" s="3055"/>
      <c r="BA433" s="3055"/>
      <c r="BB433" s="3055"/>
      <c r="BC433" s="3055"/>
      <c r="BD433" s="3055"/>
      <c r="BE433" s="3055"/>
      <c r="BF433" s="3055"/>
      <c r="BG433" s="3055"/>
      <c r="BH433" s="3055"/>
      <c r="BI433" s="3055"/>
      <c r="BJ433" s="3055"/>
      <c r="BK433" s="3055"/>
      <c r="BL433" s="3056"/>
      <c r="BM433" s="3057">
        <f t="shared" si="16"/>
      </c>
      <c r="BN433" s="3054"/>
      <c r="BO433" s="3054"/>
      <c r="BP433" s="3055"/>
      <c r="BQ433" s="3055"/>
      <c r="BR433" s="3055"/>
      <c r="BS433" s="3055"/>
      <c r="BT433" s="3055"/>
      <c r="BU433" s="3055"/>
      <c r="BV433" s="3055"/>
      <c r="BW433" s="3055"/>
      <c r="BX433" s="3055"/>
      <c r="BY433" s="3055"/>
      <c r="BZ433" s="3055"/>
      <c r="CA433" s="3055"/>
      <c r="CB433" s="3055"/>
      <c r="CC433" s="3056"/>
      <c r="CD433" s="3057">
        <f t="shared" si="0"/>
      </c>
      <c r="CE433" s="3054"/>
      <c r="CF433" s="3054"/>
      <c r="CG433" s="3055"/>
      <c r="CH433" s="3055"/>
      <c r="CI433" s="3055"/>
      <c r="CJ433" s="3055"/>
      <c r="CK433" s="3055"/>
      <c r="CL433" s="3055"/>
      <c r="CM433" s="3055"/>
      <c r="CN433" s="3055"/>
      <c r="CO433" s="3055"/>
      <c r="CP433" s="3055"/>
      <c r="CQ433" s="3055"/>
      <c r="CR433" s="3055"/>
      <c r="CS433" s="3055"/>
      <c r="CU433" s="3054"/>
      <c r="CV433" s="696"/>
      <c r="CW433" s="696"/>
      <c r="CZ433" s="3060">
        <f t="shared" si="17"/>
      </c>
      <c r="DA433" s="3060">
        <f t="shared" si="1"/>
      </c>
      <c r="DB433" s="3060">
        <f t="shared" si="18"/>
      </c>
      <c r="DC433" s="3060">
        <f t="shared" si="19"/>
      </c>
      <c r="DD433" s="3060">
        <f t="shared" si="20"/>
      </c>
      <c r="DE433" s="3060">
        <f t="shared" si="21"/>
      </c>
      <c r="DF433" s="3060">
        <f t="shared" si="22"/>
      </c>
      <c r="DG433" s="3060">
        <f t="shared" si="23"/>
      </c>
      <c r="DH433" s="3060">
        <f t="shared" si="24"/>
      </c>
      <c r="DI433" s="3060">
        <f t="shared" si="1"/>
      </c>
    </row>
    <row r="434" ht="15" customHeight="1" s="3052" customFormat="1">
      <c r="B434" s="3054">
        <f t="shared" si="2"/>
      </c>
      <c r="C434" s="3054"/>
      <c r="D434" s="3054"/>
      <c r="E434" s="3055"/>
      <c r="F434" s="3055"/>
      <c r="G434" s="3055"/>
      <c r="H434" s="3055"/>
      <c r="I434" s="3055"/>
      <c r="J434" s="3055"/>
      <c r="K434" s="3055"/>
      <c r="L434" s="3055"/>
      <c r="M434" s="3055"/>
      <c r="N434" s="3055"/>
      <c r="O434" s="3055"/>
      <c r="P434" s="3055"/>
      <c r="Q434" s="3055"/>
      <c r="R434" s="3055">
        <f t="shared" si="3"/>
        <v>0</v>
      </c>
      <c r="S434" s="3055">
        <f t="shared" si="4"/>
        <v>0</v>
      </c>
      <c r="T434" s="3055">
        <f t="shared" si="5"/>
        <v>0</v>
      </c>
      <c r="U434" s="3055">
        <f t="shared" si="6"/>
        <v>0</v>
      </c>
      <c r="V434" s="3055">
        <f t="shared" si="7"/>
        <v>0</v>
      </c>
      <c r="W434" s="3055">
        <f t="shared" si="8"/>
        <v>0</v>
      </c>
      <c r="X434" s="3055">
        <f t="shared" si="9"/>
        <v>0</v>
      </c>
      <c r="Y434" s="3055">
        <f t="shared" si="10"/>
        <v>0</v>
      </c>
      <c r="Z434" s="3055">
        <f t="shared" si="11"/>
        <v>0</v>
      </c>
      <c r="AA434" s="3055">
        <f t="shared" si="12"/>
        <v>0</v>
      </c>
      <c r="AB434" s="3055">
        <f t="shared" si="13"/>
        <v>0</v>
      </c>
      <c r="AC434" s="3055">
        <f t="shared" si="14"/>
        <v>0</v>
      </c>
      <c r="AD434" s="3056"/>
      <c r="AE434" s="3057">
        <f t="shared" si="0"/>
      </c>
      <c r="AF434" s="3054"/>
      <c r="AG434" s="3054"/>
      <c r="AH434" s="3055"/>
      <c r="AI434" s="3055"/>
      <c r="AJ434" s="3055"/>
      <c r="AK434" s="3055"/>
      <c r="AL434" s="3055"/>
      <c r="AM434" s="3055"/>
      <c r="AN434" s="3055"/>
      <c r="AO434" s="3055"/>
      <c r="AP434" s="3055"/>
      <c r="AQ434" s="3055"/>
      <c r="AR434" s="3055"/>
      <c r="AS434" s="3055"/>
      <c r="AT434" s="3055"/>
      <c r="AU434" s="3056"/>
      <c r="AV434" s="3057">
        <f t="shared" si="15"/>
      </c>
      <c r="AW434" s="3054"/>
      <c r="AX434" s="3054"/>
      <c r="AY434" s="3055"/>
      <c r="AZ434" s="3055"/>
      <c r="BA434" s="3055"/>
      <c r="BB434" s="3055"/>
      <c r="BC434" s="3055"/>
      <c r="BD434" s="3055"/>
      <c r="BE434" s="3055"/>
      <c r="BF434" s="3055"/>
      <c r="BG434" s="3055"/>
      <c r="BH434" s="3055"/>
      <c r="BI434" s="3055"/>
      <c r="BJ434" s="3055"/>
      <c r="BK434" s="3055"/>
      <c r="BL434" s="3056"/>
      <c r="BM434" s="3057">
        <f t="shared" si="16"/>
      </c>
      <c r="BN434" s="3054"/>
      <c r="BO434" s="3054"/>
      <c r="BP434" s="3055"/>
      <c r="BQ434" s="3055"/>
      <c r="BR434" s="3055"/>
      <c r="BS434" s="3055"/>
      <c r="BT434" s="3055"/>
      <c r="BU434" s="3055"/>
      <c r="BV434" s="3055"/>
      <c r="BW434" s="3055"/>
      <c r="BX434" s="3055"/>
      <c r="BY434" s="3055"/>
      <c r="BZ434" s="3055"/>
      <c r="CA434" s="3055"/>
      <c r="CB434" s="3055"/>
      <c r="CC434" s="3056"/>
      <c r="CD434" s="3057">
        <f t="shared" si="0"/>
      </c>
      <c r="CE434" s="3054"/>
      <c r="CF434" s="3054"/>
      <c r="CG434" s="3055"/>
      <c r="CH434" s="3055"/>
      <c r="CI434" s="3055"/>
      <c r="CJ434" s="3055"/>
      <c r="CK434" s="3055"/>
      <c r="CL434" s="3055"/>
      <c r="CM434" s="3055"/>
      <c r="CN434" s="3055"/>
      <c r="CO434" s="3055"/>
      <c r="CP434" s="3055"/>
      <c r="CQ434" s="3055"/>
      <c r="CR434" s="3055"/>
      <c r="CS434" s="3055"/>
      <c r="CU434" s="3054"/>
      <c r="CV434" s="696"/>
      <c r="CW434" s="696"/>
      <c r="CZ434" s="3060">
        <f t="shared" si="17"/>
      </c>
      <c r="DA434" s="3060">
        <f t="shared" si="1"/>
      </c>
      <c r="DB434" s="3060">
        <f t="shared" si="18"/>
      </c>
      <c r="DC434" s="3060">
        <f t="shared" si="19"/>
      </c>
      <c r="DD434" s="3060">
        <f t="shared" si="20"/>
      </c>
      <c r="DE434" s="3060">
        <f t="shared" si="21"/>
      </c>
      <c r="DF434" s="3060">
        <f t="shared" si="22"/>
      </c>
      <c r="DG434" s="3060">
        <f t="shared" si="23"/>
      </c>
      <c r="DH434" s="3060">
        <f t="shared" si="24"/>
      </c>
      <c r="DI434" s="3060">
        <f t="shared" si="1"/>
      </c>
    </row>
    <row r="435" ht="15" customHeight="1" s="3052" customFormat="1">
      <c r="B435" s="3054">
        <f t="shared" si="2"/>
      </c>
      <c r="C435" s="3054"/>
      <c r="D435" s="3054"/>
      <c r="E435" s="3055"/>
      <c r="F435" s="3055"/>
      <c r="G435" s="3055"/>
      <c r="H435" s="3055"/>
      <c r="I435" s="3055"/>
      <c r="J435" s="3055"/>
      <c r="K435" s="3055"/>
      <c r="L435" s="3055"/>
      <c r="M435" s="3055"/>
      <c r="N435" s="3055"/>
      <c r="O435" s="3055"/>
      <c r="P435" s="3055"/>
      <c r="Q435" s="3055"/>
      <c r="R435" s="3055">
        <f t="shared" si="3"/>
        <v>0</v>
      </c>
      <c r="S435" s="3055">
        <f t="shared" si="4"/>
        <v>0</v>
      </c>
      <c r="T435" s="3055">
        <f t="shared" si="5"/>
        <v>0</v>
      </c>
      <c r="U435" s="3055">
        <f t="shared" si="6"/>
        <v>0</v>
      </c>
      <c r="V435" s="3055">
        <f t="shared" si="7"/>
        <v>0</v>
      </c>
      <c r="W435" s="3055">
        <f t="shared" si="8"/>
        <v>0</v>
      </c>
      <c r="X435" s="3055">
        <f t="shared" si="9"/>
        <v>0</v>
      </c>
      <c r="Y435" s="3055">
        <f t="shared" si="10"/>
        <v>0</v>
      </c>
      <c r="Z435" s="3055">
        <f t="shared" si="11"/>
        <v>0</v>
      </c>
      <c r="AA435" s="3055">
        <f t="shared" si="12"/>
        <v>0</v>
      </c>
      <c r="AB435" s="3055">
        <f t="shared" si="13"/>
        <v>0</v>
      </c>
      <c r="AC435" s="3055">
        <f t="shared" si="14"/>
        <v>0</v>
      </c>
      <c r="AD435" s="3056"/>
      <c r="AE435" s="3057">
        <f t="shared" si="0"/>
      </c>
      <c r="AF435" s="3054"/>
      <c r="AG435" s="3054"/>
      <c r="AH435" s="3055"/>
      <c r="AI435" s="3055"/>
      <c r="AJ435" s="3055"/>
      <c r="AK435" s="3055"/>
      <c r="AL435" s="3055"/>
      <c r="AM435" s="3055"/>
      <c r="AN435" s="3055"/>
      <c r="AO435" s="3055"/>
      <c r="AP435" s="3055"/>
      <c r="AQ435" s="3055"/>
      <c r="AR435" s="3055"/>
      <c r="AS435" s="3055"/>
      <c r="AT435" s="3055"/>
      <c r="AU435" s="3056"/>
      <c r="AV435" s="3057">
        <f t="shared" si="15"/>
      </c>
      <c r="AW435" s="3054"/>
      <c r="AX435" s="3054"/>
      <c r="AY435" s="3055"/>
      <c r="AZ435" s="3055"/>
      <c r="BA435" s="3055"/>
      <c r="BB435" s="3055"/>
      <c r="BC435" s="3055"/>
      <c r="BD435" s="3055"/>
      <c r="BE435" s="3055"/>
      <c r="BF435" s="3055"/>
      <c r="BG435" s="3055"/>
      <c r="BH435" s="3055"/>
      <c r="BI435" s="3055"/>
      <c r="BJ435" s="3055"/>
      <c r="BK435" s="3055"/>
      <c r="BL435" s="3056"/>
      <c r="BM435" s="3057">
        <f t="shared" si="16"/>
      </c>
      <c r="BN435" s="3054"/>
      <c r="BO435" s="3054"/>
      <c r="BP435" s="3055"/>
      <c r="BQ435" s="3055"/>
      <c r="BR435" s="3055"/>
      <c r="BS435" s="3055"/>
      <c r="BT435" s="3055"/>
      <c r="BU435" s="3055"/>
      <c r="BV435" s="3055"/>
      <c r="BW435" s="3055"/>
      <c r="BX435" s="3055"/>
      <c r="BY435" s="3055"/>
      <c r="BZ435" s="3055"/>
      <c r="CA435" s="3055"/>
      <c r="CB435" s="3055"/>
      <c r="CC435" s="3056"/>
      <c r="CD435" s="3057">
        <f t="shared" si="0"/>
      </c>
      <c r="CE435" s="3054"/>
      <c r="CF435" s="3054"/>
      <c r="CG435" s="3055"/>
      <c r="CH435" s="3055"/>
      <c r="CI435" s="3055"/>
      <c r="CJ435" s="3055"/>
      <c r="CK435" s="3055"/>
      <c r="CL435" s="3055"/>
      <c r="CM435" s="3055"/>
      <c r="CN435" s="3055"/>
      <c r="CO435" s="3055"/>
      <c r="CP435" s="3055"/>
      <c r="CQ435" s="3055"/>
      <c r="CR435" s="3055"/>
      <c r="CS435" s="3055"/>
      <c r="CU435" s="3054"/>
      <c r="CV435" s="696"/>
      <c r="CW435" s="696"/>
      <c r="CZ435" s="3060">
        <f t="shared" si="17"/>
      </c>
      <c r="DA435" s="3060">
        <f t="shared" si="1"/>
      </c>
      <c r="DB435" s="3060">
        <f t="shared" si="18"/>
      </c>
      <c r="DC435" s="3060">
        <f t="shared" si="19"/>
      </c>
      <c r="DD435" s="3060">
        <f t="shared" si="20"/>
      </c>
      <c r="DE435" s="3060">
        <f t="shared" si="21"/>
      </c>
      <c r="DF435" s="3060">
        <f t="shared" si="22"/>
      </c>
      <c r="DG435" s="3060">
        <f t="shared" si="23"/>
      </c>
      <c r="DH435" s="3060">
        <f t="shared" si="24"/>
      </c>
      <c r="DI435" s="3060">
        <f t="shared" si="1"/>
      </c>
    </row>
    <row r="436" ht="15" customHeight="1" s="3052" customFormat="1">
      <c r="B436" s="3054">
        <f t="shared" si="2"/>
      </c>
      <c r="C436" s="3054"/>
      <c r="D436" s="3054"/>
      <c r="E436" s="3055"/>
      <c r="F436" s="3055"/>
      <c r="G436" s="3055"/>
      <c r="H436" s="3055"/>
      <c r="I436" s="3055"/>
      <c r="J436" s="3055"/>
      <c r="K436" s="3055"/>
      <c r="L436" s="3055"/>
      <c r="M436" s="3055"/>
      <c r="N436" s="3055"/>
      <c r="O436" s="3055"/>
      <c r="P436" s="3055"/>
      <c r="Q436" s="3055"/>
      <c r="R436" s="3055">
        <f t="shared" si="3"/>
        <v>0</v>
      </c>
      <c r="S436" s="3055">
        <f t="shared" si="4"/>
        <v>0</v>
      </c>
      <c r="T436" s="3055">
        <f t="shared" si="5"/>
        <v>0</v>
      </c>
      <c r="U436" s="3055">
        <f t="shared" si="6"/>
        <v>0</v>
      </c>
      <c r="V436" s="3055">
        <f t="shared" si="7"/>
        <v>0</v>
      </c>
      <c r="W436" s="3055">
        <f t="shared" si="8"/>
        <v>0</v>
      </c>
      <c r="X436" s="3055">
        <f t="shared" si="9"/>
        <v>0</v>
      </c>
      <c r="Y436" s="3055">
        <f t="shared" si="10"/>
        <v>0</v>
      </c>
      <c r="Z436" s="3055">
        <f t="shared" si="11"/>
        <v>0</v>
      </c>
      <c r="AA436" s="3055">
        <f t="shared" si="12"/>
        <v>0</v>
      </c>
      <c r="AB436" s="3055">
        <f t="shared" si="13"/>
        <v>0</v>
      </c>
      <c r="AC436" s="3055">
        <f t="shared" si="14"/>
        <v>0</v>
      </c>
      <c r="AD436" s="3056"/>
      <c r="AE436" s="3057">
        <f t="shared" si="0"/>
      </c>
      <c r="AF436" s="3054"/>
      <c r="AG436" s="3054"/>
      <c r="AH436" s="3055"/>
      <c r="AI436" s="3055"/>
      <c r="AJ436" s="3055"/>
      <c r="AK436" s="3055"/>
      <c r="AL436" s="3055"/>
      <c r="AM436" s="3055"/>
      <c r="AN436" s="3055"/>
      <c r="AO436" s="3055"/>
      <c r="AP436" s="3055"/>
      <c r="AQ436" s="3055"/>
      <c r="AR436" s="3055"/>
      <c r="AS436" s="3055"/>
      <c r="AT436" s="3055"/>
      <c r="AU436" s="3056"/>
      <c r="AV436" s="3057">
        <f t="shared" si="15"/>
      </c>
      <c r="AW436" s="3054"/>
      <c r="AX436" s="3054"/>
      <c r="AY436" s="3055"/>
      <c r="AZ436" s="3055"/>
      <c r="BA436" s="3055"/>
      <c r="BB436" s="3055"/>
      <c r="BC436" s="3055"/>
      <c r="BD436" s="3055"/>
      <c r="BE436" s="3055"/>
      <c r="BF436" s="3055"/>
      <c r="BG436" s="3055"/>
      <c r="BH436" s="3055"/>
      <c r="BI436" s="3055"/>
      <c r="BJ436" s="3055"/>
      <c r="BK436" s="3055"/>
      <c r="BL436" s="3056"/>
      <c r="BM436" s="3057">
        <f t="shared" si="16"/>
      </c>
      <c r="BN436" s="3054"/>
      <c r="BO436" s="3054"/>
      <c r="BP436" s="3055"/>
      <c r="BQ436" s="3055"/>
      <c r="BR436" s="3055"/>
      <c r="BS436" s="3055"/>
      <c r="BT436" s="3055"/>
      <c r="BU436" s="3055"/>
      <c r="BV436" s="3055"/>
      <c r="BW436" s="3055"/>
      <c r="BX436" s="3055"/>
      <c r="BY436" s="3055"/>
      <c r="BZ436" s="3055"/>
      <c r="CA436" s="3055"/>
      <c r="CB436" s="3055"/>
      <c r="CC436" s="3056"/>
      <c r="CD436" s="3057">
        <f t="shared" si="0"/>
      </c>
      <c r="CE436" s="3054"/>
      <c r="CF436" s="3054"/>
      <c r="CG436" s="3055"/>
      <c r="CH436" s="3055"/>
      <c r="CI436" s="3055"/>
      <c r="CJ436" s="3055"/>
      <c r="CK436" s="3055"/>
      <c r="CL436" s="3055"/>
      <c r="CM436" s="3055"/>
      <c r="CN436" s="3055"/>
      <c r="CO436" s="3055"/>
      <c r="CP436" s="3055"/>
      <c r="CQ436" s="3055"/>
      <c r="CR436" s="3055"/>
      <c r="CS436" s="3055"/>
      <c r="CU436" s="3054"/>
      <c r="CV436" s="696"/>
      <c r="CW436" s="696"/>
      <c r="CZ436" s="3060">
        <f t="shared" si="17"/>
      </c>
      <c r="DA436" s="3060">
        <f t="shared" si="1"/>
      </c>
      <c r="DB436" s="3060">
        <f t="shared" si="18"/>
      </c>
      <c r="DC436" s="3060">
        <f t="shared" si="19"/>
      </c>
      <c r="DD436" s="3060">
        <f t="shared" si="20"/>
      </c>
      <c r="DE436" s="3060">
        <f t="shared" si="21"/>
      </c>
      <c r="DF436" s="3060">
        <f t="shared" si="22"/>
      </c>
      <c r="DG436" s="3060">
        <f t="shared" si="23"/>
      </c>
      <c r="DH436" s="3060">
        <f t="shared" si="24"/>
      </c>
      <c r="DI436" s="3060">
        <f t="shared" si="1"/>
      </c>
    </row>
    <row r="437" ht="15" customHeight="1" s="3052" customFormat="1">
      <c r="B437" s="3054">
        <f t="shared" si="2"/>
      </c>
      <c r="C437" s="3054"/>
      <c r="D437" s="3054"/>
      <c r="E437" s="3055"/>
      <c r="F437" s="3055"/>
      <c r="G437" s="3055"/>
      <c r="H437" s="3055"/>
      <c r="I437" s="3055"/>
      <c r="J437" s="3055"/>
      <c r="K437" s="3055"/>
      <c r="L437" s="3055"/>
      <c r="M437" s="3055"/>
      <c r="N437" s="3055"/>
      <c r="O437" s="3055"/>
      <c r="P437" s="3055"/>
      <c r="Q437" s="3055"/>
      <c r="R437" s="3055">
        <f t="shared" si="3"/>
        <v>0</v>
      </c>
      <c r="S437" s="3055">
        <f t="shared" si="4"/>
        <v>0</v>
      </c>
      <c r="T437" s="3055">
        <f t="shared" si="5"/>
        <v>0</v>
      </c>
      <c r="U437" s="3055">
        <f t="shared" si="6"/>
        <v>0</v>
      </c>
      <c r="V437" s="3055">
        <f t="shared" si="7"/>
        <v>0</v>
      </c>
      <c r="W437" s="3055">
        <f t="shared" si="8"/>
        <v>0</v>
      </c>
      <c r="X437" s="3055">
        <f t="shared" si="9"/>
        <v>0</v>
      </c>
      <c r="Y437" s="3055">
        <f t="shared" si="10"/>
        <v>0</v>
      </c>
      <c r="Z437" s="3055">
        <f t="shared" si="11"/>
        <v>0</v>
      </c>
      <c r="AA437" s="3055">
        <f t="shared" si="12"/>
        <v>0</v>
      </c>
      <c r="AB437" s="3055">
        <f t="shared" si="13"/>
        <v>0</v>
      </c>
      <c r="AC437" s="3055">
        <f t="shared" si="14"/>
        <v>0</v>
      </c>
      <c r="AD437" s="3056"/>
      <c r="AE437" s="3057">
        <f t="shared" si="0"/>
      </c>
      <c r="AF437" s="3054"/>
      <c r="AG437" s="3054"/>
      <c r="AH437" s="3055"/>
      <c r="AI437" s="3055"/>
      <c r="AJ437" s="3055"/>
      <c r="AK437" s="3055"/>
      <c r="AL437" s="3055"/>
      <c r="AM437" s="3055"/>
      <c r="AN437" s="3055"/>
      <c r="AO437" s="3055"/>
      <c r="AP437" s="3055"/>
      <c r="AQ437" s="3055"/>
      <c r="AR437" s="3055"/>
      <c r="AS437" s="3055"/>
      <c r="AT437" s="3055"/>
      <c r="AU437" s="3056"/>
      <c r="AV437" s="3057">
        <f t="shared" si="15"/>
      </c>
      <c r="AW437" s="3054"/>
      <c r="AX437" s="3054"/>
      <c r="AY437" s="3055"/>
      <c r="AZ437" s="3055"/>
      <c r="BA437" s="3055"/>
      <c r="BB437" s="3055"/>
      <c r="BC437" s="3055"/>
      <c r="BD437" s="3055"/>
      <c r="BE437" s="3055"/>
      <c r="BF437" s="3055"/>
      <c r="BG437" s="3055"/>
      <c r="BH437" s="3055"/>
      <c r="BI437" s="3055"/>
      <c r="BJ437" s="3055"/>
      <c r="BK437" s="3055"/>
      <c r="BL437" s="3056"/>
      <c r="BM437" s="3057">
        <f t="shared" si="16"/>
      </c>
      <c r="BN437" s="3054"/>
      <c r="BO437" s="3054"/>
      <c r="BP437" s="3055"/>
      <c r="BQ437" s="3055"/>
      <c r="BR437" s="3055"/>
      <c r="BS437" s="3055"/>
      <c r="BT437" s="3055"/>
      <c r="BU437" s="3055"/>
      <c r="BV437" s="3055"/>
      <c r="BW437" s="3055"/>
      <c r="BX437" s="3055"/>
      <c r="BY437" s="3055"/>
      <c r="BZ437" s="3055"/>
      <c r="CA437" s="3055"/>
      <c r="CB437" s="3055"/>
      <c r="CC437" s="3056"/>
      <c r="CD437" s="3057">
        <f t="shared" si="0"/>
      </c>
      <c r="CE437" s="3054"/>
      <c r="CF437" s="3054"/>
      <c r="CG437" s="3055"/>
      <c r="CH437" s="3055"/>
      <c r="CI437" s="3055"/>
      <c r="CJ437" s="3055"/>
      <c r="CK437" s="3055"/>
      <c r="CL437" s="3055"/>
      <c r="CM437" s="3055"/>
      <c r="CN437" s="3055"/>
      <c r="CO437" s="3055"/>
      <c r="CP437" s="3055"/>
      <c r="CQ437" s="3055"/>
      <c r="CR437" s="3055"/>
      <c r="CS437" s="3055"/>
      <c r="CU437" s="3054"/>
      <c r="CV437" s="696"/>
      <c r="CW437" s="696"/>
      <c r="CZ437" s="3060">
        <f t="shared" si="17"/>
      </c>
      <c r="DA437" s="3060">
        <f t="shared" si="1"/>
      </c>
      <c r="DB437" s="3060">
        <f t="shared" si="18"/>
      </c>
      <c r="DC437" s="3060">
        <f t="shared" si="19"/>
      </c>
      <c r="DD437" s="3060">
        <f t="shared" si="20"/>
      </c>
      <c r="DE437" s="3060">
        <f t="shared" si="21"/>
      </c>
      <c r="DF437" s="3060">
        <f t="shared" si="22"/>
      </c>
      <c r="DG437" s="3060">
        <f t="shared" si="23"/>
      </c>
      <c r="DH437" s="3060">
        <f t="shared" si="24"/>
      </c>
      <c r="DI437" s="3060">
        <f t="shared" si="1"/>
      </c>
    </row>
    <row r="438" ht="15" customHeight="1" s="3052" customFormat="1">
      <c r="B438" s="3054">
        <f t="shared" si="2"/>
      </c>
      <c r="C438" s="3054"/>
      <c r="D438" s="3054"/>
      <c r="E438" s="3055"/>
      <c r="F438" s="3055"/>
      <c r="G438" s="3055"/>
      <c r="H438" s="3055"/>
      <c r="I438" s="3055"/>
      <c r="J438" s="3055"/>
      <c r="K438" s="3055"/>
      <c r="L438" s="3055"/>
      <c r="M438" s="3055"/>
      <c r="N438" s="3055"/>
      <c r="O438" s="3055"/>
      <c r="P438" s="3055"/>
      <c r="Q438" s="3055"/>
      <c r="R438" s="3055">
        <f t="shared" si="3"/>
        <v>0</v>
      </c>
      <c r="S438" s="3055">
        <f t="shared" si="4"/>
        <v>0</v>
      </c>
      <c r="T438" s="3055">
        <f t="shared" si="5"/>
        <v>0</v>
      </c>
      <c r="U438" s="3055">
        <f t="shared" si="6"/>
        <v>0</v>
      </c>
      <c r="V438" s="3055">
        <f t="shared" si="7"/>
        <v>0</v>
      </c>
      <c r="W438" s="3055">
        <f t="shared" si="8"/>
        <v>0</v>
      </c>
      <c r="X438" s="3055">
        <f t="shared" si="9"/>
        <v>0</v>
      </c>
      <c r="Y438" s="3055">
        <f t="shared" si="10"/>
        <v>0</v>
      </c>
      <c r="Z438" s="3055">
        <f t="shared" si="11"/>
        <v>0</v>
      </c>
      <c r="AA438" s="3055">
        <f t="shared" si="12"/>
        <v>0</v>
      </c>
      <c r="AB438" s="3055">
        <f t="shared" si="13"/>
        <v>0</v>
      </c>
      <c r="AC438" s="3055">
        <f t="shared" si="14"/>
        <v>0</v>
      </c>
      <c r="AD438" s="3056"/>
      <c r="AE438" s="3057">
        <f t="shared" si="0"/>
      </c>
      <c r="AF438" s="3054"/>
      <c r="AG438" s="3054"/>
      <c r="AH438" s="3055"/>
      <c r="AI438" s="3055"/>
      <c r="AJ438" s="3055"/>
      <c r="AK438" s="3055"/>
      <c r="AL438" s="3055"/>
      <c r="AM438" s="3055"/>
      <c r="AN438" s="3055"/>
      <c r="AO438" s="3055"/>
      <c r="AP438" s="3055"/>
      <c r="AQ438" s="3055"/>
      <c r="AR438" s="3055"/>
      <c r="AS438" s="3055"/>
      <c r="AT438" s="3055"/>
      <c r="AU438" s="3056"/>
      <c r="AV438" s="3057">
        <f t="shared" si="15"/>
      </c>
      <c r="AW438" s="3054"/>
      <c r="AX438" s="3054"/>
      <c r="AY438" s="3055"/>
      <c r="AZ438" s="3055"/>
      <c r="BA438" s="3055"/>
      <c r="BB438" s="3055"/>
      <c r="BC438" s="3055"/>
      <c r="BD438" s="3055"/>
      <c r="BE438" s="3055"/>
      <c r="BF438" s="3055"/>
      <c r="BG438" s="3055"/>
      <c r="BH438" s="3055"/>
      <c r="BI438" s="3055"/>
      <c r="BJ438" s="3055"/>
      <c r="BK438" s="3055"/>
      <c r="BL438" s="3056"/>
      <c r="BM438" s="3057">
        <f t="shared" si="16"/>
      </c>
      <c r="BN438" s="3054"/>
      <c r="BO438" s="3054"/>
      <c r="BP438" s="3055"/>
      <c r="BQ438" s="3055"/>
      <c r="BR438" s="3055"/>
      <c r="BS438" s="3055"/>
      <c r="BT438" s="3055"/>
      <c r="BU438" s="3055"/>
      <c r="BV438" s="3055"/>
      <c r="BW438" s="3055"/>
      <c r="BX438" s="3055"/>
      <c r="BY438" s="3055"/>
      <c r="BZ438" s="3055"/>
      <c r="CA438" s="3055"/>
      <c r="CB438" s="3055"/>
      <c r="CC438" s="3056"/>
      <c r="CD438" s="3057">
        <f t="shared" si="0"/>
      </c>
      <c r="CE438" s="3054"/>
      <c r="CF438" s="3054"/>
      <c r="CG438" s="3055"/>
      <c r="CH438" s="3055"/>
      <c r="CI438" s="3055"/>
      <c r="CJ438" s="3055"/>
      <c r="CK438" s="3055"/>
      <c r="CL438" s="3055"/>
      <c r="CM438" s="3055"/>
      <c r="CN438" s="3055"/>
      <c r="CO438" s="3055"/>
      <c r="CP438" s="3055"/>
      <c r="CQ438" s="3055"/>
      <c r="CR438" s="3055"/>
      <c r="CS438" s="3055"/>
      <c r="CU438" s="3054"/>
      <c r="CV438" s="696"/>
      <c r="CW438" s="696"/>
      <c r="CZ438" s="3060">
        <f t="shared" si="17"/>
      </c>
      <c r="DA438" s="3060">
        <f t="shared" si="1"/>
      </c>
      <c r="DB438" s="3060">
        <f t="shared" si="18"/>
      </c>
      <c r="DC438" s="3060">
        <f t="shared" si="19"/>
      </c>
      <c r="DD438" s="3060">
        <f t="shared" si="20"/>
      </c>
      <c r="DE438" s="3060">
        <f t="shared" si="21"/>
      </c>
      <c r="DF438" s="3060">
        <f t="shared" si="22"/>
      </c>
      <c r="DG438" s="3060">
        <f t="shared" si="23"/>
      </c>
      <c r="DH438" s="3060">
        <f t="shared" si="24"/>
      </c>
      <c r="DI438" s="3060">
        <f t="shared" si="1"/>
      </c>
    </row>
    <row r="439" ht="15" customHeight="1" s="3052" customFormat="1">
      <c r="B439" s="3054">
        <f t="shared" si="2"/>
      </c>
      <c r="C439" s="3054"/>
      <c r="D439" s="3054"/>
      <c r="E439" s="3055"/>
      <c r="F439" s="3055"/>
      <c r="G439" s="3055"/>
      <c r="H439" s="3055"/>
      <c r="I439" s="3055"/>
      <c r="J439" s="3055"/>
      <c r="K439" s="3055"/>
      <c r="L439" s="3055"/>
      <c r="M439" s="3055"/>
      <c r="N439" s="3055"/>
      <c r="O439" s="3055"/>
      <c r="P439" s="3055"/>
      <c r="Q439" s="3055"/>
      <c r="R439" s="3055">
        <f t="shared" si="3"/>
        <v>0</v>
      </c>
      <c r="S439" s="3055">
        <f t="shared" si="4"/>
        <v>0</v>
      </c>
      <c r="T439" s="3055">
        <f t="shared" si="5"/>
        <v>0</v>
      </c>
      <c r="U439" s="3055">
        <f t="shared" si="6"/>
        <v>0</v>
      </c>
      <c r="V439" s="3055">
        <f t="shared" si="7"/>
        <v>0</v>
      </c>
      <c r="W439" s="3055">
        <f t="shared" si="8"/>
        <v>0</v>
      </c>
      <c r="X439" s="3055">
        <f t="shared" si="9"/>
        <v>0</v>
      </c>
      <c r="Y439" s="3055">
        <f t="shared" si="10"/>
        <v>0</v>
      </c>
      <c r="Z439" s="3055">
        <f t="shared" si="11"/>
        <v>0</v>
      </c>
      <c r="AA439" s="3055">
        <f t="shared" si="12"/>
        <v>0</v>
      </c>
      <c r="AB439" s="3055">
        <f t="shared" si="13"/>
        <v>0</v>
      </c>
      <c r="AC439" s="3055">
        <f t="shared" si="14"/>
        <v>0</v>
      </c>
      <c r="AD439" s="3056"/>
      <c r="AE439" s="3057">
        <f t="shared" si="0"/>
      </c>
      <c r="AF439" s="3054"/>
      <c r="AG439" s="3054"/>
      <c r="AH439" s="3055"/>
      <c r="AI439" s="3055"/>
      <c r="AJ439" s="3055"/>
      <c r="AK439" s="3055"/>
      <c r="AL439" s="3055"/>
      <c r="AM439" s="3055"/>
      <c r="AN439" s="3055"/>
      <c r="AO439" s="3055"/>
      <c r="AP439" s="3055"/>
      <c r="AQ439" s="3055"/>
      <c r="AR439" s="3055"/>
      <c r="AS439" s="3055"/>
      <c r="AT439" s="3055"/>
      <c r="AU439" s="3056"/>
      <c r="AV439" s="3057">
        <f t="shared" si="15"/>
      </c>
      <c r="AW439" s="3054"/>
      <c r="AX439" s="3054"/>
      <c r="AY439" s="3055"/>
      <c r="AZ439" s="3055"/>
      <c r="BA439" s="3055"/>
      <c r="BB439" s="3055"/>
      <c r="BC439" s="3055"/>
      <c r="BD439" s="3055"/>
      <c r="BE439" s="3055"/>
      <c r="BF439" s="3055"/>
      <c r="BG439" s="3055"/>
      <c r="BH439" s="3055"/>
      <c r="BI439" s="3055"/>
      <c r="BJ439" s="3055"/>
      <c r="BK439" s="3055"/>
      <c r="BL439" s="3056"/>
      <c r="BM439" s="3057">
        <f t="shared" si="16"/>
      </c>
      <c r="BN439" s="3054"/>
      <c r="BO439" s="3054"/>
      <c r="BP439" s="3055"/>
      <c r="BQ439" s="3055"/>
      <c r="BR439" s="3055"/>
      <c r="BS439" s="3055"/>
      <c r="BT439" s="3055"/>
      <c r="BU439" s="3055"/>
      <c r="BV439" s="3055"/>
      <c r="BW439" s="3055"/>
      <c r="BX439" s="3055"/>
      <c r="BY439" s="3055"/>
      <c r="BZ439" s="3055"/>
      <c r="CA439" s="3055"/>
      <c r="CB439" s="3055"/>
      <c r="CC439" s="3056"/>
      <c r="CD439" s="3057">
        <f t="shared" si="0"/>
      </c>
      <c r="CE439" s="3054"/>
      <c r="CF439" s="3054"/>
      <c r="CG439" s="3055"/>
      <c r="CH439" s="3055"/>
      <c r="CI439" s="3055"/>
      <c r="CJ439" s="3055"/>
      <c r="CK439" s="3055"/>
      <c r="CL439" s="3055"/>
      <c r="CM439" s="3055"/>
      <c r="CN439" s="3055"/>
      <c r="CO439" s="3055"/>
      <c r="CP439" s="3055"/>
      <c r="CQ439" s="3055"/>
      <c r="CR439" s="3055"/>
      <c r="CS439" s="3055"/>
      <c r="CU439" s="3054"/>
      <c r="CV439" s="696"/>
      <c r="CW439" s="696"/>
      <c r="CZ439" s="3060">
        <f t="shared" si="17"/>
      </c>
      <c r="DA439" s="3060">
        <f t="shared" si="1"/>
      </c>
      <c r="DB439" s="3060">
        <f t="shared" si="18"/>
      </c>
      <c r="DC439" s="3060">
        <f t="shared" si="19"/>
      </c>
      <c r="DD439" s="3060">
        <f t="shared" si="20"/>
      </c>
      <c r="DE439" s="3060">
        <f t="shared" si="21"/>
      </c>
      <c r="DF439" s="3060">
        <f t="shared" si="22"/>
      </c>
      <c r="DG439" s="3060">
        <f t="shared" si="23"/>
      </c>
      <c r="DH439" s="3060">
        <f t="shared" si="24"/>
      </c>
      <c r="DI439" s="3060">
        <f t="shared" si="1"/>
      </c>
    </row>
    <row r="440" ht="15" customHeight="1" s="3052" customFormat="1">
      <c r="B440" s="3054">
        <f t="shared" si="2"/>
      </c>
      <c r="C440" s="3054"/>
      <c r="D440" s="3054"/>
      <c r="E440" s="3055"/>
      <c r="F440" s="3055"/>
      <c r="G440" s="3055"/>
      <c r="H440" s="3055"/>
      <c r="I440" s="3055"/>
      <c r="J440" s="3055"/>
      <c r="K440" s="3055"/>
      <c r="L440" s="3055"/>
      <c r="M440" s="3055"/>
      <c r="N440" s="3055"/>
      <c r="O440" s="3055"/>
      <c r="P440" s="3055"/>
      <c r="Q440" s="3055"/>
      <c r="R440" s="3055">
        <f t="shared" si="3"/>
        <v>0</v>
      </c>
      <c r="S440" s="3055">
        <f t="shared" si="4"/>
        <v>0</v>
      </c>
      <c r="T440" s="3055">
        <f t="shared" si="5"/>
        <v>0</v>
      </c>
      <c r="U440" s="3055">
        <f t="shared" si="6"/>
        <v>0</v>
      </c>
      <c r="V440" s="3055">
        <f t="shared" si="7"/>
        <v>0</v>
      </c>
      <c r="W440" s="3055">
        <f t="shared" si="8"/>
        <v>0</v>
      </c>
      <c r="X440" s="3055">
        <f t="shared" si="9"/>
        <v>0</v>
      </c>
      <c r="Y440" s="3055">
        <f t="shared" si="10"/>
        <v>0</v>
      </c>
      <c r="Z440" s="3055">
        <f t="shared" si="11"/>
        <v>0</v>
      </c>
      <c r="AA440" s="3055">
        <f t="shared" si="12"/>
        <v>0</v>
      </c>
      <c r="AB440" s="3055">
        <f t="shared" si="13"/>
        <v>0</v>
      </c>
      <c r="AC440" s="3055">
        <f t="shared" si="14"/>
        <v>0</v>
      </c>
      <c r="AD440" s="3056"/>
      <c r="AE440" s="3057">
        <f t="shared" si="0"/>
      </c>
      <c r="AF440" s="3054"/>
      <c r="AG440" s="3054"/>
      <c r="AH440" s="3055"/>
      <c r="AI440" s="3055"/>
      <c r="AJ440" s="3055"/>
      <c r="AK440" s="3055"/>
      <c r="AL440" s="3055"/>
      <c r="AM440" s="3055"/>
      <c r="AN440" s="3055"/>
      <c r="AO440" s="3055"/>
      <c r="AP440" s="3055"/>
      <c r="AQ440" s="3055"/>
      <c r="AR440" s="3055"/>
      <c r="AS440" s="3055"/>
      <c r="AT440" s="3055"/>
      <c r="AU440" s="3056"/>
      <c r="AV440" s="3057">
        <f t="shared" si="15"/>
      </c>
      <c r="AW440" s="3054"/>
      <c r="AX440" s="3054"/>
      <c r="AY440" s="3055"/>
      <c r="AZ440" s="3055"/>
      <c r="BA440" s="3055"/>
      <c r="BB440" s="3055"/>
      <c r="BC440" s="3055"/>
      <c r="BD440" s="3055"/>
      <c r="BE440" s="3055"/>
      <c r="BF440" s="3055"/>
      <c r="BG440" s="3055"/>
      <c r="BH440" s="3055"/>
      <c r="BI440" s="3055"/>
      <c r="BJ440" s="3055"/>
      <c r="BK440" s="3055"/>
      <c r="BL440" s="3056"/>
      <c r="BM440" s="3057">
        <f t="shared" si="16"/>
      </c>
      <c r="BN440" s="3054"/>
      <c r="BO440" s="3054"/>
      <c r="BP440" s="3055"/>
      <c r="BQ440" s="3055"/>
      <c r="BR440" s="3055"/>
      <c r="BS440" s="3055"/>
      <c r="BT440" s="3055"/>
      <c r="BU440" s="3055"/>
      <c r="BV440" s="3055"/>
      <c r="BW440" s="3055"/>
      <c r="BX440" s="3055"/>
      <c r="BY440" s="3055"/>
      <c r="BZ440" s="3055"/>
      <c r="CA440" s="3055"/>
      <c r="CB440" s="3055"/>
      <c r="CC440" s="3056"/>
      <c r="CD440" s="3057">
        <f t="shared" si="0"/>
      </c>
      <c r="CE440" s="3054"/>
      <c r="CF440" s="3054"/>
      <c r="CG440" s="3055"/>
      <c r="CH440" s="3055"/>
      <c r="CI440" s="3055"/>
      <c r="CJ440" s="3055"/>
      <c r="CK440" s="3055"/>
      <c r="CL440" s="3055"/>
      <c r="CM440" s="3055"/>
      <c r="CN440" s="3055"/>
      <c r="CO440" s="3055"/>
      <c r="CP440" s="3055"/>
      <c r="CQ440" s="3055"/>
      <c r="CR440" s="3055"/>
      <c r="CS440" s="3055"/>
      <c r="CU440" s="3054"/>
      <c r="CV440" s="696"/>
      <c r="CW440" s="696"/>
      <c r="CZ440" s="3060">
        <f t="shared" si="17"/>
      </c>
      <c r="DA440" s="3060">
        <f t="shared" si="1"/>
      </c>
      <c r="DB440" s="3060">
        <f t="shared" si="18"/>
      </c>
      <c r="DC440" s="3060">
        <f t="shared" si="19"/>
      </c>
      <c r="DD440" s="3060">
        <f t="shared" si="20"/>
      </c>
      <c r="DE440" s="3060">
        <f t="shared" si="21"/>
      </c>
      <c r="DF440" s="3060">
        <f t="shared" si="22"/>
      </c>
      <c r="DG440" s="3060">
        <f t="shared" si="23"/>
      </c>
      <c r="DH440" s="3060">
        <f t="shared" si="24"/>
      </c>
      <c r="DI440" s="3060">
        <f t="shared" si="1"/>
      </c>
    </row>
    <row r="441" ht="15" customHeight="1" s="3052" customFormat="1">
      <c r="B441" s="3054">
        <f t="shared" si="2"/>
      </c>
      <c r="C441" s="3054"/>
      <c r="D441" s="3054"/>
      <c r="E441" s="3055"/>
      <c r="F441" s="3055"/>
      <c r="G441" s="3055"/>
      <c r="H441" s="3055"/>
      <c r="I441" s="3055"/>
      <c r="J441" s="3055"/>
      <c r="K441" s="3055"/>
      <c r="L441" s="3055"/>
      <c r="M441" s="3055"/>
      <c r="N441" s="3055"/>
      <c r="O441" s="3055"/>
      <c r="P441" s="3055"/>
      <c r="Q441" s="3055"/>
      <c r="R441" s="3055">
        <f t="shared" si="3"/>
        <v>0</v>
      </c>
      <c r="S441" s="3055">
        <f t="shared" si="4"/>
        <v>0</v>
      </c>
      <c r="T441" s="3055">
        <f t="shared" si="5"/>
        <v>0</v>
      </c>
      <c r="U441" s="3055">
        <f t="shared" si="6"/>
        <v>0</v>
      </c>
      <c r="V441" s="3055">
        <f t="shared" si="7"/>
        <v>0</v>
      </c>
      <c r="W441" s="3055">
        <f t="shared" si="8"/>
        <v>0</v>
      </c>
      <c r="X441" s="3055">
        <f t="shared" si="9"/>
        <v>0</v>
      </c>
      <c r="Y441" s="3055">
        <f t="shared" si="10"/>
        <v>0</v>
      </c>
      <c r="Z441" s="3055">
        <f t="shared" si="11"/>
        <v>0</v>
      </c>
      <c r="AA441" s="3055">
        <f t="shared" si="12"/>
        <v>0</v>
      </c>
      <c r="AB441" s="3055">
        <f t="shared" si="13"/>
        <v>0</v>
      </c>
      <c r="AC441" s="3055">
        <f t="shared" si="14"/>
        <v>0</v>
      </c>
      <c r="AD441" s="3056"/>
      <c r="AE441" s="3057">
        <f t="shared" si="0"/>
      </c>
      <c r="AF441" s="3054"/>
      <c r="AG441" s="3054"/>
      <c r="AH441" s="3055"/>
      <c r="AI441" s="3055"/>
      <c r="AJ441" s="3055"/>
      <c r="AK441" s="3055"/>
      <c r="AL441" s="3055"/>
      <c r="AM441" s="3055"/>
      <c r="AN441" s="3055"/>
      <c r="AO441" s="3055"/>
      <c r="AP441" s="3055"/>
      <c r="AQ441" s="3055"/>
      <c r="AR441" s="3055"/>
      <c r="AS441" s="3055"/>
      <c r="AT441" s="3055"/>
      <c r="AU441" s="3056"/>
      <c r="AV441" s="3057">
        <f t="shared" si="15"/>
      </c>
      <c r="AW441" s="3054"/>
      <c r="AX441" s="3054"/>
      <c r="AY441" s="3055"/>
      <c r="AZ441" s="3055"/>
      <c r="BA441" s="3055"/>
      <c r="BB441" s="3055"/>
      <c r="BC441" s="3055"/>
      <c r="BD441" s="3055"/>
      <c r="BE441" s="3055"/>
      <c r="BF441" s="3055"/>
      <c r="BG441" s="3055"/>
      <c r="BH441" s="3055"/>
      <c r="BI441" s="3055"/>
      <c r="BJ441" s="3055"/>
      <c r="BK441" s="3055"/>
      <c r="BL441" s="3056"/>
      <c r="BM441" s="3057">
        <f t="shared" si="16"/>
      </c>
      <c r="BN441" s="3054"/>
      <c r="BO441" s="3054"/>
      <c r="BP441" s="3055"/>
      <c r="BQ441" s="3055"/>
      <c r="BR441" s="3055"/>
      <c r="BS441" s="3055"/>
      <c r="BT441" s="3055"/>
      <c r="BU441" s="3055"/>
      <c r="BV441" s="3055"/>
      <c r="BW441" s="3055"/>
      <c r="BX441" s="3055"/>
      <c r="BY441" s="3055"/>
      <c r="BZ441" s="3055"/>
      <c r="CA441" s="3055"/>
      <c r="CB441" s="3055"/>
      <c r="CC441" s="3056"/>
      <c r="CD441" s="3057">
        <f t="shared" si="0"/>
      </c>
      <c r="CE441" s="3054"/>
      <c r="CF441" s="3054"/>
      <c r="CG441" s="3055"/>
      <c r="CH441" s="3055"/>
      <c r="CI441" s="3055"/>
      <c r="CJ441" s="3055"/>
      <c r="CK441" s="3055"/>
      <c r="CL441" s="3055"/>
      <c r="CM441" s="3055"/>
      <c r="CN441" s="3055"/>
      <c r="CO441" s="3055"/>
      <c r="CP441" s="3055"/>
      <c r="CQ441" s="3055"/>
      <c r="CR441" s="3055"/>
      <c r="CS441" s="3055"/>
      <c r="CU441" s="3054"/>
      <c r="CV441" s="696"/>
      <c r="CW441" s="696"/>
      <c r="CZ441" s="3060">
        <f t="shared" si="17"/>
      </c>
      <c r="DA441" s="3060">
        <f t="shared" si="1"/>
      </c>
      <c r="DB441" s="3060">
        <f t="shared" si="18"/>
      </c>
      <c r="DC441" s="3060">
        <f t="shared" si="19"/>
      </c>
      <c r="DD441" s="3060">
        <f t="shared" si="20"/>
      </c>
      <c r="DE441" s="3060">
        <f t="shared" si="21"/>
      </c>
      <c r="DF441" s="3060">
        <f t="shared" si="22"/>
      </c>
      <c r="DG441" s="3060">
        <f t="shared" si="23"/>
      </c>
      <c r="DH441" s="3060">
        <f t="shared" si="24"/>
      </c>
      <c r="DI441" s="3060">
        <f t="shared" si="1"/>
      </c>
    </row>
    <row r="442" ht="15" customHeight="1" s="3052" customFormat="1">
      <c r="B442" s="3054">
        <f t="shared" si="2"/>
      </c>
      <c r="C442" s="3054"/>
      <c r="D442" s="3054"/>
      <c r="E442" s="3055"/>
      <c r="F442" s="3055"/>
      <c r="G442" s="3055"/>
      <c r="H442" s="3055"/>
      <c r="I442" s="3055"/>
      <c r="J442" s="3055"/>
      <c r="K442" s="3055"/>
      <c r="L442" s="3055"/>
      <c r="M442" s="3055"/>
      <c r="N442" s="3055"/>
      <c r="O442" s="3055"/>
      <c r="P442" s="3055"/>
      <c r="Q442" s="3055"/>
      <c r="R442" s="3055">
        <f t="shared" si="3"/>
        <v>0</v>
      </c>
      <c r="S442" s="3055">
        <f t="shared" si="4"/>
        <v>0</v>
      </c>
      <c r="T442" s="3055">
        <f t="shared" si="5"/>
        <v>0</v>
      </c>
      <c r="U442" s="3055">
        <f t="shared" si="6"/>
        <v>0</v>
      </c>
      <c r="V442" s="3055">
        <f t="shared" si="7"/>
        <v>0</v>
      </c>
      <c r="W442" s="3055">
        <f t="shared" si="8"/>
        <v>0</v>
      </c>
      <c r="X442" s="3055">
        <f t="shared" si="9"/>
        <v>0</v>
      </c>
      <c r="Y442" s="3055">
        <f t="shared" si="10"/>
        <v>0</v>
      </c>
      <c r="Z442" s="3055">
        <f t="shared" si="11"/>
        <v>0</v>
      </c>
      <c r="AA442" s="3055">
        <f t="shared" si="12"/>
        <v>0</v>
      </c>
      <c r="AB442" s="3055">
        <f t="shared" si="13"/>
        <v>0</v>
      </c>
      <c r="AC442" s="3055">
        <f t="shared" si="14"/>
        <v>0</v>
      </c>
      <c r="AD442" s="3056"/>
      <c r="AE442" s="3057">
        <f t="shared" si="0"/>
      </c>
      <c r="AF442" s="3054"/>
      <c r="AG442" s="3054"/>
      <c r="AH442" s="3055"/>
      <c r="AI442" s="3055"/>
      <c r="AJ442" s="3055"/>
      <c r="AK442" s="3055"/>
      <c r="AL442" s="3055"/>
      <c r="AM442" s="3055"/>
      <c r="AN442" s="3055"/>
      <c r="AO442" s="3055"/>
      <c r="AP442" s="3055"/>
      <c r="AQ442" s="3055"/>
      <c r="AR442" s="3055"/>
      <c r="AS442" s="3055"/>
      <c r="AT442" s="3055"/>
      <c r="AU442" s="3056"/>
      <c r="AV442" s="3057">
        <f t="shared" si="15"/>
      </c>
      <c r="AW442" s="3054"/>
      <c r="AX442" s="3054"/>
      <c r="AY442" s="3055"/>
      <c r="AZ442" s="3055"/>
      <c r="BA442" s="3055"/>
      <c r="BB442" s="3055"/>
      <c r="BC442" s="3055"/>
      <c r="BD442" s="3055"/>
      <c r="BE442" s="3055"/>
      <c r="BF442" s="3055"/>
      <c r="BG442" s="3055"/>
      <c r="BH442" s="3055"/>
      <c r="BI442" s="3055"/>
      <c r="BJ442" s="3055"/>
      <c r="BK442" s="3055"/>
      <c r="BL442" s="3056"/>
      <c r="BM442" s="3057">
        <f t="shared" si="16"/>
      </c>
      <c r="BN442" s="3054"/>
      <c r="BO442" s="3054"/>
      <c r="BP442" s="3055"/>
      <c r="BQ442" s="3055"/>
      <c r="BR442" s="3055"/>
      <c r="BS442" s="3055"/>
      <c r="BT442" s="3055"/>
      <c r="BU442" s="3055"/>
      <c r="BV442" s="3055"/>
      <c r="BW442" s="3055"/>
      <c r="BX442" s="3055"/>
      <c r="BY442" s="3055"/>
      <c r="BZ442" s="3055"/>
      <c r="CA442" s="3055"/>
      <c r="CB442" s="3055"/>
      <c r="CC442" s="3056"/>
      <c r="CD442" s="3057">
        <f t="shared" si="0"/>
      </c>
      <c r="CE442" s="3054"/>
      <c r="CF442" s="3054"/>
      <c r="CG442" s="3055"/>
      <c r="CH442" s="3055"/>
      <c r="CI442" s="3055"/>
      <c r="CJ442" s="3055"/>
      <c r="CK442" s="3055"/>
      <c r="CL442" s="3055"/>
      <c r="CM442" s="3055"/>
      <c r="CN442" s="3055"/>
      <c r="CO442" s="3055"/>
      <c r="CP442" s="3055"/>
      <c r="CQ442" s="3055"/>
      <c r="CR442" s="3055"/>
      <c r="CS442" s="3055"/>
      <c r="CU442" s="3054"/>
      <c r="CV442" s="696"/>
      <c r="CW442" s="696"/>
      <c r="CZ442" s="3060">
        <f t="shared" si="17"/>
      </c>
      <c r="DA442" s="3060">
        <f t="shared" si="1"/>
      </c>
      <c r="DB442" s="3060">
        <f t="shared" si="18"/>
      </c>
      <c r="DC442" s="3060">
        <f t="shared" si="19"/>
      </c>
      <c r="DD442" s="3060">
        <f t="shared" si="20"/>
      </c>
      <c r="DE442" s="3060">
        <f t="shared" si="21"/>
      </c>
      <c r="DF442" s="3060">
        <f t="shared" si="22"/>
      </c>
      <c r="DG442" s="3060">
        <f t="shared" si="23"/>
      </c>
      <c r="DH442" s="3060">
        <f t="shared" si="24"/>
      </c>
      <c r="DI442" s="3060">
        <f t="shared" si="1"/>
      </c>
    </row>
    <row r="443" ht="15" customHeight="1" s="3052" customFormat="1">
      <c r="B443" s="3054">
        <f t="shared" si="2"/>
      </c>
      <c r="C443" s="3054"/>
      <c r="D443" s="3054"/>
      <c r="E443" s="3055"/>
      <c r="F443" s="3055"/>
      <c r="G443" s="3055"/>
      <c r="H443" s="3055"/>
      <c r="I443" s="3055"/>
      <c r="J443" s="3055"/>
      <c r="K443" s="3055"/>
      <c r="L443" s="3055"/>
      <c r="M443" s="3055"/>
      <c r="N443" s="3055"/>
      <c r="O443" s="3055"/>
      <c r="P443" s="3055"/>
      <c r="Q443" s="3055"/>
      <c r="R443" s="3055">
        <f t="shared" si="3"/>
        <v>0</v>
      </c>
      <c r="S443" s="3055">
        <f t="shared" si="4"/>
        <v>0</v>
      </c>
      <c r="T443" s="3055">
        <f t="shared" si="5"/>
        <v>0</v>
      </c>
      <c r="U443" s="3055">
        <f t="shared" si="6"/>
        <v>0</v>
      </c>
      <c r="V443" s="3055">
        <f t="shared" si="7"/>
        <v>0</v>
      </c>
      <c r="W443" s="3055">
        <f t="shared" si="8"/>
        <v>0</v>
      </c>
      <c r="X443" s="3055">
        <f t="shared" si="9"/>
        <v>0</v>
      </c>
      <c r="Y443" s="3055">
        <f t="shared" si="10"/>
        <v>0</v>
      </c>
      <c r="Z443" s="3055">
        <f t="shared" si="11"/>
        <v>0</v>
      </c>
      <c r="AA443" s="3055">
        <f t="shared" si="12"/>
        <v>0</v>
      </c>
      <c r="AB443" s="3055">
        <f t="shared" si="13"/>
        <v>0</v>
      </c>
      <c r="AC443" s="3055">
        <f t="shared" si="14"/>
        <v>0</v>
      </c>
      <c r="AD443" s="3056"/>
      <c r="AE443" s="3057">
        <f t="shared" si="0"/>
      </c>
      <c r="AF443" s="3054"/>
      <c r="AG443" s="3054"/>
      <c r="AH443" s="3055"/>
      <c r="AI443" s="3055"/>
      <c r="AJ443" s="3055"/>
      <c r="AK443" s="3055"/>
      <c r="AL443" s="3055"/>
      <c r="AM443" s="3055"/>
      <c r="AN443" s="3055"/>
      <c r="AO443" s="3055"/>
      <c r="AP443" s="3055"/>
      <c r="AQ443" s="3055"/>
      <c r="AR443" s="3055"/>
      <c r="AS443" s="3055"/>
      <c r="AT443" s="3055"/>
      <c r="AU443" s="3056"/>
      <c r="AV443" s="3057">
        <f t="shared" si="15"/>
      </c>
      <c r="AW443" s="3054"/>
      <c r="AX443" s="3054"/>
      <c r="AY443" s="3055"/>
      <c r="AZ443" s="3055"/>
      <c r="BA443" s="3055"/>
      <c r="BB443" s="3055"/>
      <c r="BC443" s="3055"/>
      <c r="BD443" s="3055"/>
      <c r="BE443" s="3055"/>
      <c r="BF443" s="3055"/>
      <c r="BG443" s="3055"/>
      <c r="BH443" s="3055"/>
      <c r="BI443" s="3055"/>
      <c r="BJ443" s="3055"/>
      <c r="BK443" s="3055"/>
      <c r="BL443" s="3056"/>
      <c r="BM443" s="3057">
        <f t="shared" si="16"/>
      </c>
      <c r="BN443" s="3054"/>
      <c r="BO443" s="3054"/>
      <c r="BP443" s="3055"/>
      <c r="BQ443" s="3055"/>
      <c r="BR443" s="3055"/>
      <c r="BS443" s="3055"/>
      <c r="BT443" s="3055"/>
      <c r="BU443" s="3055"/>
      <c r="BV443" s="3055"/>
      <c r="BW443" s="3055"/>
      <c r="BX443" s="3055"/>
      <c r="BY443" s="3055"/>
      <c r="BZ443" s="3055"/>
      <c r="CA443" s="3055"/>
      <c r="CB443" s="3055"/>
      <c r="CC443" s="3056"/>
      <c r="CD443" s="3057">
        <f t="shared" si="0"/>
      </c>
      <c r="CE443" s="3054"/>
      <c r="CF443" s="3054"/>
      <c r="CG443" s="3055"/>
      <c r="CH443" s="3055"/>
      <c r="CI443" s="3055"/>
      <c r="CJ443" s="3055"/>
      <c r="CK443" s="3055"/>
      <c r="CL443" s="3055"/>
      <c r="CM443" s="3055"/>
      <c r="CN443" s="3055"/>
      <c r="CO443" s="3055"/>
      <c r="CP443" s="3055"/>
      <c r="CQ443" s="3055"/>
      <c r="CR443" s="3055"/>
      <c r="CS443" s="3055"/>
      <c r="CU443" s="3054"/>
      <c r="CV443" s="696"/>
      <c r="CW443" s="696"/>
      <c r="CZ443" s="3060">
        <f t="shared" si="17"/>
      </c>
      <c r="DA443" s="3060">
        <f t="shared" si="1"/>
      </c>
      <c r="DB443" s="3060">
        <f t="shared" si="18"/>
      </c>
      <c r="DC443" s="3060">
        <f t="shared" si="19"/>
      </c>
      <c r="DD443" s="3060">
        <f t="shared" si="20"/>
      </c>
      <c r="DE443" s="3060">
        <f t="shared" si="21"/>
      </c>
      <c r="DF443" s="3060">
        <f t="shared" si="22"/>
      </c>
      <c r="DG443" s="3060">
        <f t="shared" si="23"/>
      </c>
      <c r="DH443" s="3060">
        <f t="shared" si="24"/>
      </c>
      <c r="DI443" s="3060">
        <f t="shared" si="1"/>
      </c>
    </row>
    <row r="444" ht="15" customHeight="1" s="3052" customFormat="1">
      <c r="B444" s="3054">
        <f t="shared" si="2"/>
      </c>
      <c r="C444" s="3054"/>
      <c r="D444" s="3054"/>
      <c r="E444" s="3055"/>
      <c r="F444" s="3055"/>
      <c r="G444" s="3055"/>
      <c r="H444" s="3055"/>
      <c r="I444" s="3055"/>
      <c r="J444" s="3055"/>
      <c r="K444" s="3055"/>
      <c r="L444" s="3055"/>
      <c r="M444" s="3055"/>
      <c r="N444" s="3055"/>
      <c r="O444" s="3055"/>
      <c r="P444" s="3055"/>
      <c r="Q444" s="3055"/>
      <c r="R444" s="3055">
        <f t="shared" si="3"/>
        <v>0</v>
      </c>
      <c r="S444" s="3055">
        <f t="shared" si="4"/>
        <v>0</v>
      </c>
      <c r="T444" s="3055">
        <f t="shared" si="5"/>
        <v>0</v>
      </c>
      <c r="U444" s="3055">
        <f t="shared" si="6"/>
        <v>0</v>
      </c>
      <c r="V444" s="3055">
        <f t="shared" si="7"/>
        <v>0</v>
      </c>
      <c r="W444" s="3055">
        <f t="shared" si="8"/>
        <v>0</v>
      </c>
      <c r="X444" s="3055">
        <f t="shared" si="9"/>
        <v>0</v>
      </c>
      <c r="Y444" s="3055">
        <f t="shared" si="10"/>
        <v>0</v>
      </c>
      <c r="Z444" s="3055">
        <f t="shared" si="11"/>
        <v>0</v>
      </c>
      <c r="AA444" s="3055">
        <f t="shared" si="12"/>
        <v>0</v>
      </c>
      <c r="AB444" s="3055">
        <f t="shared" si="13"/>
        <v>0</v>
      </c>
      <c r="AC444" s="3055">
        <f t="shared" si="14"/>
        <v>0</v>
      </c>
      <c r="AD444" s="3056"/>
      <c r="AE444" s="3057">
        <f t="shared" si="0"/>
      </c>
      <c r="AF444" s="3054"/>
      <c r="AG444" s="3054"/>
      <c r="AH444" s="3055"/>
      <c r="AI444" s="3055"/>
      <c r="AJ444" s="3055"/>
      <c r="AK444" s="3055"/>
      <c r="AL444" s="3055"/>
      <c r="AM444" s="3055"/>
      <c r="AN444" s="3055"/>
      <c r="AO444" s="3055"/>
      <c r="AP444" s="3055"/>
      <c r="AQ444" s="3055"/>
      <c r="AR444" s="3055"/>
      <c r="AS444" s="3055"/>
      <c r="AT444" s="3055"/>
      <c r="AU444" s="3056"/>
      <c r="AV444" s="3057">
        <f t="shared" si="15"/>
      </c>
      <c r="AW444" s="3054"/>
      <c r="AX444" s="3054"/>
      <c r="AY444" s="3055"/>
      <c r="AZ444" s="3055"/>
      <c r="BA444" s="3055"/>
      <c r="BB444" s="3055"/>
      <c r="BC444" s="3055"/>
      <c r="BD444" s="3055"/>
      <c r="BE444" s="3055"/>
      <c r="BF444" s="3055"/>
      <c r="BG444" s="3055"/>
      <c r="BH444" s="3055"/>
      <c r="BI444" s="3055"/>
      <c r="BJ444" s="3055"/>
      <c r="BK444" s="3055"/>
      <c r="BL444" s="3056"/>
      <c r="BM444" s="3057">
        <f t="shared" si="16"/>
      </c>
      <c r="BN444" s="3054"/>
      <c r="BO444" s="3054"/>
      <c r="BP444" s="3055"/>
      <c r="BQ444" s="3055"/>
      <c r="BR444" s="3055"/>
      <c r="BS444" s="3055"/>
      <c r="BT444" s="3055"/>
      <c r="BU444" s="3055"/>
      <c r="BV444" s="3055"/>
      <c r="BW444" s="3055"/>
      <c r="BX444" s="3055"/>
      <c r="BY444" s="3055"/>
      <c r="BZ444" s="3055"/>
      <c r="CA444" s="3055"/>
      <c r="CB444" s="3055"/>
      <c r="CC444" s="3056"/>
      <c r="CD444" s="3057">
        <f t="shared" si="0"/>
      </c>
      <c r="CE444" s="3054"/>
      <c r="CF444" s="3054"/>
      <c r="CG444" s="3055"/>
      <c r="CH444" s="3055"/>
      <c r="CI444" s="3055"/>
      <c r="CJ444" s="3055"/>
      <c r="CK444" s="3055"/>
      <c r="CL444" s="3055"/>
      <c r="CM444" s="3055"/>
      <c r="CN444" s="3055"/>
      <c r="CO444" s="3055"/>
      <c r="CP444" s="3055"/>
      <c r="CQ444" s="3055"/>
      <c r="CR444" s="3055"/>
      <c r="CS444" s="3055"/>
      <c r="CU444" s="3054"/>
      <c r="CV444" s="696"/>
      <c r="CW444" s="696"/>
      <c r="CZ444" s="3060">
        <f t="shared" si="17"/>
      </c>
      <c r="DA444" s="3060">
        <f t="shared" si="1"/>
      </c>
      <c r="DB444" s="3060">
        <f t="shared" si="18"/>
      </c>
      <c r="DC444" s="3060">
        <f t="shared" si="19"/>
      </c>
      <c r="DD444" s="3060">
        <f t="shared" si="20"/>
      </c>
      <c r="DE444" s="3060">
        <f t="shared" si="21"/>
      </c>
      <c r="DF444" s="3060">
        <f t="shared" si="22"/>
      </c>
      <c r="DG444" s="3060">
        <f t="shared" si="23"/>
      </c>
      <c r="DH444" s="3060">
        <f t="shared" si="24"/>
      </c>
      <c r="DI444" s="3060">
        <f t="shared" si="1"/>
      </c>
    </row>
    <row r="445" ht="15" customHeight="1" s="3052" customFormat="1">
      <c r="B445" s="3054">
        <f t="shared" si="2"/>
      </c>
      <c r="C445" s="3054"/>
      <c r="D445" s="3054"/>
      <c r="E445" s="3055"/>
      <c r="F445" s="3055"/>
      <c r="G445" s="3055"/>
      <c r="H445" s="3055"/>
      <c r="I445" s="3055"/>
      <c r="J445" s="3055"/>
      <c r="K445" s="3055"/>
      <c r="L445" s="3055"/>
      <c r="M445" s="3055"/>
      <c r="N445" s="3055"/>
      <c r="O445" s="3055"/>
      <c r="P445" s="3055"/>
      <c r="Q445" s="3055"/>
      <c r="R445" s="3055">
        <f t="shared" si="3"/>
        <v>0</v>
      </c>
      <c r="S445" s="3055">
        <f t="shared" si="4"/>
        <v>0</v>
      </c>
      <c r="T445" s="3055">
        <f t="shared" si="5"/>
        <v>0</v>
      </c>
      <c r="U445" s="3055">
        <f t="shared" si="6"/>
        <v>0</v>
      </c>
      <c r="V445" s="3055">
        <f t="shared" si="7"/>
        <v>0</v>
      </c>
      <c r="W445" s="3055">
        <f t="shared" si="8"/>
        <v>0</v>
      </c>
      <c r="X445" s="3055">
        <f t="shared" si="9"/>
        <v>0</v>
      </c>
      <c r="Y445" s="3055">
        <f t="shared" si="10"/>
        <v>0</v>
      </c>
      <c r="Z445" s="3055">
        <f t="shared" si="11"/>
        <v>0</v>
      </c>
      <c r="AA445" s="3055">
        <f t="shared" si="12"/>
        <v>0</v>
      </c>
      <c r="AB445" s="3055">
        <f t="shared" si="13"/>
        <v>0</v>
      </c>
      <c r="AC445" s="3055">
        <f t="shared" si="14"/>
        <v>0</v>
      </c>
      <c r="AD445" s="3056"/>
      <c r="AE445" s="3057">
        <f t="shared" si="0"/>
      </c>
      <c r="AF445" s="3054"/>
      <c r="AG445" s="3054"/>
      <c r="AH445" s="3055"/>
      <c r="AI445" s="3055"/>
      <c r="AJ445" s="3055"/>
      <c r="AK445" s="3055"/>
      <c r="AL445" s="3055"/>
      <c r="AM445" s="3055"/>
      <c r="AN445" s="3055"/>
      <c r="AO445" s="3055"/>
      <c r="AP445" s="3055"/>
      <c r="AQ445" s="3055"/>
      <c r="AR445" s="3055"/>
      <c r="AS445" s="3055"/>
      <c r="AT445" s="3055"/>
      <c r="AU445" s="3056"/>
      <c r="AV445" s="3057">
        <f t="shared" si="15"/>
      </c>
      <c r="AW445" s="3054"/>
      <c r="AX445" s="3054"/>
      <c r="AY445" s="3055"/>
      <c r="AZ445" s="3055"/>
      <c r="BA445" s="3055"/>
      <c r="BB445" s="3055"/>
      <c r="BC445" s="3055"/>
      <c r="BD445" s="3055"/>
      <c r="BE445" s="3055"/>
      <c r="BF445" s="3055"/>
      <c r="BG445" s="3055"/>
      <c r="BH445" s="3055"/>
      <c r="BI445" s="3055"/>
      <c r="BJ445" s="3055"/>
      <c r="BK445" s="3055"/>
      <c r="BL445" s="3056"/>
      <c r="BM445" s="3057">
        <f t="shared" si="16"/>
      </c>
      <c r="BN445" s="3054"/>
      <c r="BO445" s="3054"/>
      <c r="BP445" s="3055"/>
      <c r="BQ445" s="3055"/>
      <c r="BR445" s="3055"/>
      <c r="BS445" s="3055"/>
      <c r="BT445" s="3055"/>
      <c r="BU445" s="3055"/>
      <c r="BV445" s="3055"/>
      <c r="BW445" s="3055"/>
      <c r="BX445" s="3055"/>
      <c r="BY445" s="3055"/>
      <c r="BZ445" s="3055"/>
      <c r="CA445" s="3055"/>
      <c r="CB445" s="3055"/>
      <c r="CC445" s="3056"/>
      <c r="CD445" s="3057">
        <f t="shared" si="0"/>
      </c>
      <c r="CE445" s="3054"/>
      <c r="CF445" s="3054"/>
      <c r="CG445" s="3055"/>
      <c r="CH445" s="3055"/>
      <c r="CI445" s="3055"/>
      <c r="CJ445" s="3055"/>
      <c r="CK445" s="3055"/>
      <c r="CL445" s="3055"/>
      <c r="CM445" s="3055"/>
      <c r="CN445" s="3055"/>
      <c r="CO445" s="3055"/>
      <c r="CP445" s="3055"/>
      <c r="CQ445" s="3055"/>
      <c r="CR445" s="3055"/>
      <c r="CS445" s="3055"/>
      <c r="CU445" s="3054"/>
      <c r="CV445" s="696"/>
      <c r="CW445" s="696"/>
      <c r="CZ445" s="3060">
        <f t="shared" si="17"/>
      </c>
      <c r="DA445" s="3060">
        <f t="shared" si="1"/>
      </c>
      <c r="DB445" s="3060">
        <f t="shared" si="18"/>
      </c>
      <c r="DC445" s="3060">
        <f t="shared" si="19"/>
      </c>
      <c r="DD445" s="3060">
        <f t="shared" si="20"/>
      </c>
      <c r="DE445" s="3060">
        <f t="shared" si="21"/>
      </c>
      <c r="DF445" s="3060">
        <f t="shared" si="22"/>
      </c>
      <c r="DG445" s="3060">
        <f t="shared" si="23"/>
      </c>
      <c r="DH445" s="3060">
        <f t="shared" si="24"/>
      </c>
      <c r="DI445" s="3060">
        <f t="shared" si="1"/>
      </c>
    </row>
    <row r="446" ht="15" customHeight="1" s="3052" customFormat="1">
      <c r="B446" s="3054">
        <f t="shared" si="2"/>
      </c>
      <c r="C446" s="3054"/>
      <c r="D446" s="3054"/>
      <c r="E446" s="3055"/>
      <c r="F446" s="3055"/>
      <c r="G446" s="3055"/>
      <c r="H446" s="3055"/>
      <c r="I446" s="3055"/>
      <c r="J446" s="3055"/>
      <c r="K446" s="3055"/>
      <c r="L446" s="3055"/>
      <c r="M446" s="3055"/>
      <c r="N446" s="3055"/>
      <c r="O446" s="3055"/>
      <c r="P446" s="3055"/>
      <c r="Q446" s="3055"/>
      <c r="R446" s="3055">
        <f t="shared" si="3"/>
        <v>0</v>
      </c>
      <c r="S446" s="3055">
        <f t="shared" si="4"/>
        <v>0</v>
      </c>
      <c r="T446" s="3055">
        <f t="shared" si="5"/>
        <v>0</v>
      </c>
      <c r="U446" s="3055">
        <f t="shared" si="6"/>
        <v>0</v>
      </c>
      <c r="V446" s="3055">
        <f t="shared" si="7"/>
        <v>0</v>
      </c>
      <c r="W446" s="3055">
        <f t="shared" si="8"/>
        <v>0</v>
      </c>
      <c r="X446" s="3055">
        <f t="shared" si="9"/>
        <v>0</v>
      </c>
      <c r="Y446" s="3055">
        <f t="shared" si="10"/>
        <v>0</v>
      </c>
      <c r="Z446" s="3055">
        <f t="shared" si="11"/>
        <v>0</v>
      </c>
      <c r="AA446" s="3055">
        <f t="shared" si="12"/>
        <v>0</v>
      </c>
      <c r="AB446" s="3055">
        <f t="shared" si="13"/>
        <v>0</v>
      </c>
      <c r="AC446" s="3055">
        <f t="shared" si="14"/>
        <v>0</v>
      </c>
      <c r="AD446" s="3056"/>
      <c r="AE446" s="3057">
        <f t="shared" si="0"/>
      </c>
      <c r="AF446" s="3054"/>
      <c r="AG446" s="3054"/>
      <c r="AH446" s="3055"/>
      <c r="AI446" s="3055"/>
      <c r="AJ446" s="3055"/>
      <c r="AK446" s="3055"/>
      <c r="AL446" s="3055"/>
      <c r="AM446" s="3055"/>
      <c r="AN446" s="3055"/>
      <c r="AO446" s="3055"/>
      <c r="AP446" s="3055"/>
      <c r="AQ446" s="3055"/>
      <c r="AR446" s="3055"/>
      <c r="AS446" s="3055"/>
      <c r="AT446" s="3055"/>
      <c r="AU446" s="3056"/>
      <c r="AV446" s="3057">
        <f t="shared" si="15"/>
      </c>
      <c r="AW446" s="3054"/>
      <c r="AX446" s="3054"/>
      <c r="AY446" s="3055"/>
      <c r="AZ446" s="3055"/>
      <c r="BA446" s="3055"/>
      <c r="BB446" s="3055"/>
      <c r="BC446" s="3055"/>
      <c r="BD446" s="3055"/>
      <c r="BE446" s="3055"/>
      <c r="BF446" s="3055"/>
      <c r="BG446" s="3055"/>
      <c r="BH446" s="3055"/>
      <c r="BI446" s="3055"/>
      <c r="BJ446" s="3055"/>
      <c r="BK446" s="3055"/>
      <c r="BL446" s="3056"/>
      <c r="BM446" s="3057">
        <f t="shared" si="16"/>
      </c>
      <c r="BN446" s="3054"/>
      <c r="BO446" s="3054"/>
      <c r="BP446" s="3055"/>
      <c r="BQ446" s="3055"/>
      <c r="BR446" s="3055"/>
      <c r="BS446" s="3055"/>
      <c r="BT446" s="3055"/>
      <c r="BU446" s="3055"/>
      <c r="BV446" s="3055"/>
      <c r="BW446" s="3055"/>
      <c r="BX446" s="3055"/>
      <c r="BY446" s="3055"/>
      <c r="BZ446" s="3055"/>
      <c r="CA446" s="3055"/>
      <c r="CB446" s="3055"/>
      <c r="CC446" s="3056"/>
      <c r="CD446" s="3057">
        <f t="shared" si="0"/>
      </c>
      <c r="CE446" s="3054"/>
      <c r="CF446" s="3054"/>
      <c r="CG446" s="3055"/>
      <c r="CH446" s="3055"/>
      <c r="CI446" s="3055"/>
      <c r="CJ446" s="3055"/>
      <c r="CK446" s="3055"/>
      <c r="CL446" s="3055"/>
      <c r="CM446" s="3055"/>
      <c r="CN446" s="3055"/>
      <c r="CO446" s="3055"/>
      <c r="CP446" s="3055"/>
      <c r="CQ446" s="3055"/>
      <c r="CR446" s="3055"/>
      <c r="CS446" s="3055"/>
      <c r="CU446" s="3054"/>
      <c r="CV446" s="696"/>
      <c r="CW446" s="696"/>
      <c r="CZ446" s="3060">
        <f t="shared" si="17"/>
      </c>
      <c r="DA446" s="3060">
        <f t="shared" si="1"/>
      </c>
      <c r="DB446" s="3060">
        <f t="shared" si="18"/>
      </c>
      <c r="DC446" s="3060">
        <f t="shared" si="19"/>
      </c>
      <c r="DD446" s="3060">
        <f t="shared" si="20"/>
      </c>
      <c r="DE446" s="3060">
        <f t="shared" si="21"/>
      </c>
      <c r="DF446" s="3060">
        <f t="shared" si="22"/>
      </c>
      <c r="DG446" s="3060">
        <f t="shared" si="23"/>
      </c>
      <c r="DH446" s="3060">
        <f t="shared" si="24"/>
      </c>
      <c r="DI446" s="3060">
        <f t="shared" si="1"/>
      </c>
    </row>
    <row r="447" ht="15" customHeight="1" s="3052" customFormat="1">
      <c r="B447" s="3054">
        <f t="shared" si="2"/>
      </c>
      <c r="C447" s="3054"/>
      <c r="D447" s="3054"/>
      <c r="E447" s="3055"/>
      <c r="F447" s="3055"/>
      <c r="G447" s="3055"/>
      <c r="H447" s="3055"/>
      <c r="I447" s="3055"/>
      <c r="J447" s="3055"/>
      <c r="K447" s="3055"/>
      <c r="L447" s="3055"/>
      <c r="M447" s="3055"/>
      <c r="N447" s="3055"/>
      <c r="O447" s="3055"/>
      <c r="P447" s="3055"/>
      <c r="Q447" s="3055"/>
      <c r="R447" s="3055">
        <f t="shared" si="3"/>
        <v>0</v>
      </c>
      <c r="S447" s="3055">
        <f t="shared" si="4"/>
        <v>0</v>
      </c>
      <c r="T447" s="3055">
        <f t="shared" si="5"/>
        <v>0</v>
      </c>
      <c r="U447" s="3055">
        <f t="shared" si="6"/>
        <v>0</v>
      </c>
      <c r="V447" s="3055">
        <f t="shared" si="7"/>
        <v>0</v>
      </c>
      <c r="W447" s="3055">
        <f t="shared" si="8"/>
        <v>0</v>
      </c>
      <c r="X447" s="3055">
        <f t="shared" si="9"/>
        <v>0</v>
      </c>
      <c r="Y447" s="3055">
        <f t="shared" si="10"/>
        <v>0</v>
      </c>
      <c r="Z447" s="3055">
        <f t="shared" si="11"/>
        <v>0</v>
      </c>
      <c r="AA447" s="3055">
        <f t="shared" si="12"/>
        <v>0</v>
      </c>
      <c r="AB447" s="3055">
        <f t="shared" si="13"/>
        <v>0</v>
      </c>
      <c r="AC447" s="3055">
        <f t="shared" si="14"/>
        <v>0</v>
      </c>
      <c r="AD447" s="3056"/>
      <c r="AE447" s="3057">
        <f t="shared" si="0"/>
      </c>
      <c r="AF447" s="3054"/>
      <c r="AG447" s="3054"/>
      <c r="AH447" s="3055"/>
      <c r="AI447" s="3055"/>
      <c r="AJ447" s="3055"/>
      <c r="AK447" s="3055"/>
      <c r="AL447" s="3055"/>
      <c r="AM447" s="3055"/>
      <c r="AN447" s="3055"/>
      <c r="AO447" s="3055"/>
      <c r="AP447" s="3055"/>
      <c r="AQ447" s="3055"/>
      <c r="AR447" s="3055"/>
      <c r="AS447" s="3055"/>
      <c r="AT447" s="3055"/>
      <c r="AU447" s="3056"/>
      <c r="AV447" s="3057">
        <f t="shared" si="15"/>
      </c>
      <c r="AW447" s="3054"/>
      <c r="AX447" s="3054"/>
      <c r="AY447" s="3055"/>
      <c r="AZ447" s="3055"/>
      <c r="BA447" s="3055"/>
      <c r="BB447" s="3055"/>
      <c r="BC447" s="3055"/>
      <c r="BD447" s="3055"/>
      <c r="BE447" s="3055"/>
      <c r="BF447" s="3055"/>
      <c r="BG447" s="3055"/>
      <c r="BH447" s="3055"/>
      <c r="BI447" s="3055"/>
      <c r="BJ447" s="3055"/>
      <c r="BK447" s="3055"/>
      <c r="BL447" s="3056"/>
      <c r="BM447" s="3057">
        <f t="shared" si="16"/>
      </c>
      <c r="BN447" s="3054"/>
      <c r="BO447" s="3054"/>
      <c r="BP447" s="3055"/>
      <c r="BQ447" s="3055"/>
      <c r="BR447" s="3055"/>
      <c r="BS447" s="3055"/>
      <c r="BT447" s="3055"/>
      <c r="BU447" s="3055"/>
      <c r="BV447" s="3055"/>
      <c r="BW447" s="3055"/>
      <c r="BX447" s="3055"/>
      <c r="BY447" s="3055"/>
      <c r="BZ447" s="3055"/>
      <c r="CA447" s="3055"/>
      <c r="CB447" s="3055"/>
      <c r="CC447" s="3056"/>
      <c r="CD447" s="3057">
        <f t="shared" si="0"/>
      </c>
      <c r="CE447" s="3054"/>
      <c r="CF447" s="3054"/>
      <c r="CG447" s="3055"/>
      <c r="CH447" s="3055"/>
      <c r="CI447" s="3055"/>
      <c r="CJ447" s="3055"/>
      <c r="CK447" s="3055"/>
      <c r="CL447" s="3055"/>
      <c r="CM447" s="3055"/>
      <c r="CN447" s="3055"/>
      <c r="CO447" s="3055"/>
      <c r="CP447" s="3055"/>
      <c r="CQ447" s="3055"/>
      <c r="CR447" s="3055"/>
      <c r="CS447" s="3055"/>
      <c r="CU447" s="3054"/>
      <c r="CV447" s="696"/>
      <c r="CW447" s="696"/>
      <c r="CZ447" s="3060">
        <f t="shared" si="17"/>
      </c>
      <c r="DA447" s="3060">
        <f t="shared" si="1"/>
      </c>
      <c r="DB447" s="3060">
        <f t="shared" si="18"/>
      </c>
      <c r="DC447" s="3060">
        <f t="shared" si="19"/>
      </c>
      <c r="DD447" s="3060">
        <f t="shared" si="20"/>
      </c>
      <c r="DE447" s="3060">
        <f t="shared" si="21"/>
      </c>
      <c r="DF447" s="3060">
        <f t="shared" si="22"/>
      </c>
      <c r="DG447" s="3060">
        <f t="shared" si="23"/>
      </c>
      <c r="DH447" s="3060">
        <f t="shared" si="24"/>
      </c>
      <c r="DI447" s="3060">
        <f t="shared" si="1"/>
      </c>
    </row>
    <row r="448" ht="15" customHeight="1" s="3052" customFormat="1">
      <c r="B448" s="3054">
        <f t="shared" si="2"/>
      </c>
      <c r="C448" s="3054"/>
      <c r="D448" s="3054"/>
      <c r="E448" s="3055"/>
      <c r="F448" s="3055"/>
      <c r="G448" s="3055"/>
      <c r="H448" s="3055"/>
      <c r="I448" s="3055"/>
      <c r="J448" s="3055"/>
      <c r="K448" s="3055"/>
      <c r="L448" s="3055"/>
      <c r="M448" s="3055"/>
      <c r="N448" s="3055"/>
      <c r="O448" s="3055"/>
      <c r="P448" s="3055"/>
      <c r="Q448" s="3055"/>
      <c r="R448" s="3055">
        <f t="shared" si="3"/>
        <v>0</v>
      </c>
      <c r="S448" s="3055">
        <f t="shared" si="4"/>
        <v>0</v>
      </c>
      <c r="T448" s="3055">
        <f t="shared" si="5"/>
        <v>0</v>
      </c>
      <c r="U448" s="3055">
        <f t="shared" si="6"/>
        <v>0</v>
      </c>
      <c r="V448" s="3055">
        <f t="shared" si="7"/>
        <v>0</v>
      </c>
      <c r="W448" s="3055">
        <f t="shared" si="8"/>
        <v>0</v>
      </c>
      <c r="X448" s="3055">
        <f t="shared" si="9"/>
        <v>0</v>
      </c>
      <c r="Y448" s="3055">
        <f t="shared" si="10"/>
        <v>0</v>
      </c>
      <c r="Z448" s="3055">
        <f t="shared" si="11"/>
        <v>0</v>
      </c>
      <c r="AA448" s="3055">
        <f t="shared" si="12"/>
        <v>0</v>
      </c>
      <c r="AB448" s="3055">
        <f t="shared" si="13"/>
        <v>0</v>
      </c>
      <c r="AC448" s="3055">
        <f t="shared" si="14"/>
        <v>0</v>
      </c>
      <c r="AD448" s="3056"/>
      <c r="AE448" s="3057">
        <f t="shared" si="0"/>
      </c>
      <c r="AF448" s="3054"/>
      <c r="AG448" s="3054"/>
      <c r="AH448" s="3055"/>
      <c r="AI448" s="3055"/>
      <c r="AJ448" s="3055"/>
      <c r="AK448" s="3055"/>
      <c r="AL448" s="3055"/>
      <c r="AM448" s="3055"/>
      <c r="AN448" s="3055"/>
      <c r="AO448" s="3055"/>
      <c r="AP448" s="3055"/>
      <c r="AQ448" s="3055"/>
      <c r="AR448" s="3055"/>
      <c r="AS448" s="3055"/>
      <c r="AT448" s="3055"/>
      <c r="AU448" s="3056"/>
      <c r="AV448" s="3057">
        <f t="shared" si="15"/>
      </c>
      <c r="AW448" s="3054"/>
      <c r="AX448" s="3054"/>
      <c r="AY448" s="3055"/>
      <c r="AZ448" s="3055"/>
      <c r="BA448" s="3055"/>
      <c r="BB448" s="3055"/>
      <c r="BC448" s="3055"/>
      <c r="BD448" s="3055"/>
      <c r="BE448" s="3055"/>
      <c r="BF448" s="3055"/>
      <c r="BG448" s="3055"/>
      <c r="BH448" s="3055"/>
      <c r="BI448" s="3055"/>
      <c r="BJ448" s="3055"/>
      <c r="BK448" s="3055"/>
      <c r="BL448" s="3056"/>
      <c r="BM448" s="3057">
        <f t="shared" si="16"/>
      </c>
      <c r="BN448" s="3054"/>
      <c r="BO448" s="3054"/>
      <c r="BP448" s="3055"/>
      <c r="BQ448" s="3055"/>
      <c r="BR448" s="3055"/>
      <c r="BS448" s="3055"/>
      <c r="BT448" s="3055"/>
      <c r="BU448" s="3055"/>
      <c r="BV448" s="3055"/>
      <c r="BW448" s="3055"/>
      <c r="BX448" s="3055"/>
      <c r="BY448" s="3055"/>
      <c r="BZ448" s="3055"/>
      <c r="CA448" s="3055"/>
      <c r="CB448" s="3055"/>
      <c r="CC448" s="3056"/>
      <c r="CD448" s="3057">
        <f t="shared" si="0"/>
      </c>
      <c r="CE448" s="3054"/>
      <c r="CF448" s="3054"/>
      <c r="CG448" s="3055"/>
      <c r="CH448" s="3055"/>
      <c r="CI448" s="3055"/>
      <c r="CJ448" s="3055"/>
      <c r="CK448" s="3055"/>
      <c r="CL448" s="3055"/>
      <c r="CM448" s="3055"/>
      <c r="CN448" s="3055"/>
      <c r="CO448" s="3055"/>
      <c r="CP448" s="3055"/>
      <c r="CQ448" s="3055"/>
      <c r="CR448" s="3055"/>
      <c r="CS448" s="3055"/>
      <c r="CU448" s="3054"/>
      <c r="CV448" s="696"/>
      <c r="CW448" s="696"/>
      <c r="CZ448" s="3060">
        <f t="shared" si="17"/>
      </c>
      <c r="DA448" s="3060">
        <f t="shared" si="1"/>
      </c>
      <c r="DB448" s="3060">
        <f t="shared" si="18"/>
      </c>
      <c r="DC448" s="3060">
        <f t="shared" si="19"/>
      </c>
      <c r="DD448" s="3060">
        <f t="shared" si="20"/>
      </c>
      <c r="DE448" s="3060">
        <f t="shared" si="21"/>
      </c>
      <c r="DF448" s="3060">
        <f t="shared" si="22"/>
      </c>
      <c r="DG448" s="3060">
        <f t="shared" si="23"/>
      </c>
      <c r="DH448" s="3060">
        <f t="shared" si="24"/>
      </c>
      <c r="DI448" s="3060">
        <f t="shared" si="1"/>
      </c>
    </row>
    <row r="449" ht="15" customHeight="1" s="3052" customFormat="1">
      <c r="B449" s="3054">
        <f t="shared" si="2"/>
      </c>
      <c r="C449" s="3054"/>
      <c r="D449" s="3054"/>
      <c r="E449" s="3055"/>
      <c r="F449" s="3055"/>
      <c r="G449" s="3055"/>
      <c r="H449" s="3055"/>
      <c r="I449" s="3055"/>
      <c r="J449" s="3055"/>
      <c r="K449" s="3055"/>
      <c r="L449" s="3055"/>
      <c r="M449" s="3055"/>
      <c r="N449" s="3055"/>
      <c r="O449" s="3055"/>
      <c r="P449" s="3055"/>
      <c r="Q449" s="3055"/>
      <c r="R449" s="3055">
        <f t="shared" si="3"/>
        <v>0</v>
      </c>
      <c r="S449" s="3055">
        <f t="shared" si="4"/>
        <v>0</v>
      </c>
      <c r="T449" s="3055">
        <f t="shared" si="5"/>
        <v>0</v>
      </c>
      <c r="U449" s="3055">
        <f t="shared" si="6"/>
        <v>0</v>
      </c>
      <c r="V449" s="3055">
        <f t="shared" si="7"/>
        <v>0</v>
      </c>
      <c r="W449" s="3055">
        <f t="shared" si="8"/>
        <v>0</v>
      </c>
      <c r="X449" s="3055">
        <f t="shared" si="9"/>
        <v>0</v>
      </c>
      <c r="Y449" s="3055">
        <f t="shared" si="10"/>
        <v>0</v>
      </c>
      <c r="Z449" s="3055">
        <f t="shared" si="11"/>
        <v>0</v>
      </c>
      <c r="AA449" s="3055">
        <f t="shared" si="12"/>
        <v>0</v>
      </c>
      <c r="AB449" s="3055">
        <f t="shared" si="13"/>
        <v>0</v>
      </c>
      <c r="AC449" s="3055">
        <f t="shared" si="14"/>
        <v>0</v>
      </c>
      <c r="AD449" s="3056"/>
      <c r="AE449" s="3057">
        <f t="shared" si="0"/>
      </c>
      <c r="AF449" s="3054"/>
      <c r="AG449" s="3054"/>
      <c r="AH449" s="3055"/>
      <c r="AI449" s="3055"/>
      <c r="AJ449" s="3055"/>
      <c r="AK449" s="3055"/>
      <c r="AL449" s="3055"/>
      <c r="AM449" s="3055"/>
      <c r="AN449" s="3055"/>
      <c r="AO449" s="3055"/>
      <c r="AP449" s="3055"/>
      <c r="AQ449" s="3055"/>
      <c r="AR449" s="3055"/>
      <c r="AS449" s="3055"/>
      <c r="AT449" s="3055"/>
      <c r="AU449" s="3056"/>
      <c r="AV449" s="3057">
        <f t="shared" si="15"/>
      </c>
      <c r="AW449" s="3054"/>
      <c r="AX449" s="3054"/>
      <c r="AY449" s="3055"/>
      <c r="AZ449" s="3055"/>
      <c r="BA449" s="3055"/>
      <c r="BB449" s="3055"/>
      <c r="BC449" s="3055"/>
      <c r="BD449" s="3055"/>
      <c r="BE449" s="3055"/>
      <c r="BF449" s="3055"/>
      <c r="BG449" s="3055"/>
      <c r="BH449" s="3055"/>
      <c r="BI449" s="3055"/>
      <c r="BJ449" s="3055"/>
      <c r="BK449" s="3055"/>
      <c r="BL449" s="3056"/>
      <c r="BM449" s="3057">
        <f t="shared" si="16"/>
      </c>
      <c r="BN449" s="3054"/>
      <c r="BO449" s="3054"/>
      <c r="BP449" s="3055"/>
      <c r="BQ449" s="3055"/>
      <c r="BR449" s="3055"/>
      <c r="BS449" s="3055"/>
      <c r="BT449" s="3055"/>
      <c r="BU449" s="3055"/>
      <c r="BV449" s="3055"/>
      <c r="BW449" s="3055"/>
      <c r="BX449" s="3055"/>
      <c r="BY449" s="3055"/>
      <c r="BZ449" s="3055"/>
      <c r="CA449" s="3055"/>
      <c r="CB449" s="3055"/>
      <c r="CC449" s="3056"/>
      <c r="CD449" s="3057">
        <f t="shared" si="0"/>
      </c>
      <c r="CE449" s="3054"/>
      <c r="CF449" s="3054"/>
      <c r="CG449" s="3055"/>
      <c r="CH449" s="3055"/>
      <c r="CI449" s="3055"/>
      <c r="CJ449" s="3055"/>
      <c r="CK449" s="3055"/>
      <c r="CL449" s="3055"/>
      <c r="CM449" s="3055"/>
      <c r="CN449" s="3055"/>
      <c r="CO449" s="3055"/>
      <c r="CP449" s="3055"/>
      <c r="CQ449" s="3055"/>
      <c r="CR449" s="3055"/>
      <c r="CS449" s="3055"/>
      <c r="CU449" s="3054"/>
      <c r="CV449" s="696"/>
      <c r="CW449" s="696"/>
      <c r="CZ449" s="3060">
        <f t="shared" si="17"/>
      </c>
      <c r="DA449" s="3060">
        <f t="shared" si="1"/>
      </c>
      <c r="DB449" s="3060">
        <f t="shared" si="18"/>
      </c>
      <c r="DC449" s="3060">
        <f t="shared" si="19"/>
      </c>
      <c r="DD449" s="3060">
        <f t="shared" si="20"/>
      </c>
      <c r="DE449" s="3060">
        <f t="shared" si="21"/>
      </c>
      <c r="DF449" s="3060">
        <f t="shared" si="22"/>
      </c>
      <c r="DG449" s="3060">
        <f t="shared" si="23"/>
      </c>
      <c r="DH449" s="3060">
        <f t="shared" si="24"/>
      </c>
      <c r="DI449" s="3060">
        <f t="shared" si="1"/>
      </c>
    </row>
    <row r="450" ht="15" customHeight="1" s="3052" customFormat="1">
      <c r="B450" s="3054">
        <f t="shared" si="2"/>
      </c>
      <c r="C450" s="3054"/>
      <c r="D450" s="3054"/>
      <c r="E450" s="3055"/>
      <c r="F450" s="3055"/>
      <c r="G450" s="3055"/>
      <c r="H450" s="3055"/>
      <c r="I450" s="3055"/>
      <c r="J450" s="3055"/>
      <c r="K450" s="3055"/>
      <c r="L450" s="3055"/>
      <c r="M450" s="3055"/>
      <c r="N450" s="3055"/>
      <c r="O450" s="3055"/>
      <c r="P450" s="3055"/>
      <c r="Q450" s="3055"/>
      <c r="R450" s="3055">
        <f t="shared" si="3"/>
        <v>0</v>
      </c>
      <c r="S450" s="3055">
        <f t="shared" si="4"/>
        <v>0</v>
      </c>
      <c r="T450" s="3055">
        <f t="shared" si="5"/>
        <v>0</v>
      </c>
      <c r="U450" s="3055">
        <f t="shared" si="6"/>
        <v>0</v>
      </c>
      <c r="V450" s="3055">
        <f t="shared" si="7"/>
        <v>0</v>
      </c>
      <c r="W450" s="3055">
        <f t="shared" si="8"/>
        <v>0</v>
      </c>
      <c r="X450" s="3055">
        <f t="shared" si="9"/>
        <v>0</v>
      </c>
      <c r="Y450" s="3055">
        <f t="shared" si="10"/>
        <v>0</v>
      </c>
      <c r="Z450" s="3055">
        <f t="shared" si="11"/>
        <v>0</v>
      </c>
      <c r="AA450" s="3055">
        <f t="shared" si="12"/>
        <v>0</v>
      </c>
      <c r="AB450" s="3055">
        <f t="shared" si="13"/>
        <v>0</v>
      </c>
      <c r="AC450" s="3055">
        <f t="shared" si="14"/>
        <v>0</v>
      </c>
      <c r="AD450" s="3056"/>
      <c r="AE450" s="3057">
        <f t="shared" si="0"/>
      </c>
      <c r="AF450" s="3054"/>
      <c r="AG450" s="3054"/>
      <c r="AH450" s="3055"/>
      <c r="AI450" s="3055"/>
      <c r="AJ450" s="3055"/>
      <c r="AK450" s="3055"/>
      <c r="AL450" s="3055"/>
      <c r="AM450" s="3055"/>
      <c r="AN450" s="3055"/>
      <c r="AO450" s="3055"/>
      <c r="AP450" s="3055"/>
      <c r="AQ450" s="3055"/>
      <c r="AR450" s="3055"/>
      <c r="AS450" s="3055"/>
      <c r="AT450" s="3055"/>
      <c r="AU450" s="3056"/>
      <c r="AV450" s="3057">
        <f t="shared" si="15"/>
      </c>
      <c r="AW450" s="3054"/>
      <c r="AX450" s="3054"/>
      <c r="AY450" s="3055"/>
      <c r="AZ450" s="3055"/>
      <c r="BA450" s="3055"/>
      <c r="BB450" s="3055"/>
      <c r="BC450" s="3055"/>
      <c r="BD450" s="3055"/>
      <c r="BE450" s="3055"/>
      <c r="BF450" s="3055"/>
      <c r="BG450" s="3055"/>
      <c r="BH450" s="3055"/>
      <c r="BI450" s="3055"/>
      <c r="BJ450" s="3055"/>
      <c r="BK450" s="3055"/>
      <c r="BL450" s="3056"/>
      <c r="BM450" s="3057">
        <f t="shared" si="16"/>
      </c>
      <c r="BN450" s="3054"/>
      <c r="BO450" s="3054"/>
      <c r="BP450" s="3055"/>
      <c r="BQ450" s="3055"/>
      <c r="BR450" s="3055"/>
      <c r="BS450" s="3055"/>
      <c r="BT450" s="3055"/>
      <c r="BU450" s="3055"/>
      <c r="BV450" s="3055"/>
      <c r="BW450" s="3055"/>
      <c r="BX450" s="3055"/>
      <c r="BY450" s="3055"/>
      <c r="BZ450" s="3055"/>
      <c r="CA450" s="3055"/>
      <c r="CB450" s="3055"/>
      <c r="CC450" s="3056"/>
      <c r="CD450" s="3057">
        <f t="shared" si="0"/>
      </c>
      <c r="CE450" s="3054"/>
      <c r="CF450" s="3054"/>
      <c r="CG450" s="3055"/>
      <c r="CH450" s="3055"/>
      <c r="CI450" s="3055"/>
      <c r="CJ450" s="3055"/>
      <c r="CK450" s="3055"/>
      <c r="CL450" s="3055"/>
      <c r="CM450" s="3055"/>
      <c r="CN450" s="3055"/>
      <c r="CO450" s="3055"/>
      <c r="CP450" s="3055"/>
      <c r="CQ450" s="3055"/>
      <c r="CR450" s="3055"/>
      <c r="CS450" s="3055"/>
      <c r="CU450" s="3054"/>
      <c r="CV450" s="696"/>
      <c r="CW450" s="696"/>
      <c r="CZ450" s="3060">
        <f t="shared" si="17"/>
      </c>
      <c r="DA450" s="3060">
        <f t="shared" si="1"/>
      </c>
      <c r="DB450" s="3060">
        <f t="shared" si="18"/>
      </c>
      <c r="DC450" s="3060">
        <f t="shared" si="19"/>
      </c>
      <c r="DD450" s="3060">
        <f t="shared" si="20"/>
      </c>
      <c r="DE450" s="3060">
        <f t="shared" si="21"/>
      </c>
      <c r="DF450" s="3060">
        <f t="shared" si="22"/>
      </c>
      <c r="DG450" s="3060">
        <f t="shared" si="23"/>
      </c>
      <c r="DH450" s="3060">
        <f t="shared" si="24"/>
      </c>
      <c r="DI450" s="3060">
        <f t="shared" si="1"/>
      </c>
    </row>
    <row r="451" ht="15" customHeight="1" s="3052" customFormat="1">
      <c r="B451" s="3054">
        <f t="shared" si="2"/>
      </c>
      <c r="C451" s="3054"/>
      <c r="D451" s="3054"/>
      <c r="E451" s="3055"/>
      <c r="F451" s="3055"/>
      <c r="G451" s="3055"/>
      <c r="H451" s="3055"/>
      <c r="I451" s="3055"/>
      <c r="J451" s="3055"/>
      <c r="K451" s="3055"/>
      <c r="L451" s="3055"/>
      <c r="M451" s="3055"/>
      <c r="N451" s="3055"/>
      <c r="O451" s="3055"/>
      <c r="P451" s="3055"/>
      <c r="Q451" s="3055"/>
      <c r="R451" s="3055">
        <f t="shared" si="3"/>
        <v>0</v>
      </c>
      <c r="S451" s="3055">
        <f t="shared" si="4"/>
        <v>0</v>
      </c>
      <c r="T451" s="3055">
        <f t="shared" si="5"/>
        <v>0</v>
      </c>
      <c r="U451" s="3055">
        <f t="shared" si="6"/>
        <v>0</v>
      </c>
      <c r="V451" s="3055">
        <f t="shared" si="7"/>
        <v>0</v>
      </c>
      <c r="W451" s="3055">
        <f t="shared" si="8"/>
        <v>0</v>
      </c>
      <c r="X451" s="3055">
        <f t="shared" si="9"/>
        <v>0</v>
      </c>
      <c r="Y451" s="3055">
        <f t="shared" si="10"/>
        <v>0</v>
      </c>
      <c r="Z451" s="3055">
        <f t="shared" si="11"/>
        <v>0</v>
      </c>
      <c r="AA451" s="3055">
        <f t="shared" si="12"/>
        <v>0</v>
      </c>
      <c r="AB451" s="3055">
        <f t="shared" si="13"/>
        <v>0</v>
      </c>
      <c r="AC451" s="3055">
        <f t="shared" si="14"/>
        <v>0</v>
      </c>
      <c r="AD451" s="3056"/>
      <c r="AE451" s="3057">
        <f t="shared" si="0"/>
      </c>
      <c r="AF451" s="3054"/>
      <c r="AG451" s="3054"/>
      <c r="AH451" s="3055"/>
      <c r="AI451" s="3055"/>
      <c r="AJ451" s="3055"/>
      <c r="AK451" s="3055"/>
      <c r="AL451" s="3055"/>
      <c r="AM451" s="3055"/>
      <c r="AN451" s="3055"/>
      <c r="AO451" s="3055"/>
      <c r="AP451" s="3055"/>
      <c r="AQ451" s="3055"/>
      <c r="AR451" s="3055"/>
      <c r="AS451" s="3055"/>
      <c r="AT451" s="3055"/>
      <c r="AU451" s="3056"/>
      <c r="AV451" s="3057">
        <f t="shared" si="15"/>
      </c>
      <c r="AW451" s="3054"/>
      <c r="AX451" s="3054"/>
      <c r="AY451" s="3055"/>
      <c r="AZ451" s="3055"/>
      <c r="BA451" s="3055"/>
      <c r="BB451" s="3055"/>
      <c r="BC451" s="3055"/>
      <c r="BD451" s="3055"/>
      <c r="BE451" s="3055"/>
      <c r="BF451" s="3055"/>
      <c r="BG451" s="3055"/>
      <c r="BH451" s="3055"/>
      <c r="BI451" s="3055"/>
      <c r="BJ451" s="3055"/>
      <c r="BK451" s="3055"/>
      <c r="BL451" s="3056"/>
      <c r="BM451" s="3057">
        <f t="shared" si="16"/>
      </c>
      <c r="BN451" s="3054"/>
      <c r="BO451" s="3054"/>
      <c r="BP451" s="3055"/>
      <c r="BQ451" s="3055"/>
      <c r="BR451" s="3055"/>
      <c r="BS451" s="3055"/>
      <c r="BT451" s="3055"/>
      <c r="BU451" s="3055"/>
      <c r="BV451" s="3055"/>
      <c r="BW451" s="3055"/>
      <c r="BX451" s="3055"/>
      <c r="BY451" s="3055"/>
      <c r="BZ451" s="3055"/>
      <c r="CA451" s="3055"/>
      <c r="CB451" s="3055"/>
      <c r="CC451" s="3056"/>
      <c r="CD451" s="3057">
        <f t="shared" si="0"/>
      </c>
      <c r="CE451" s="3054"/>
      <c r="CF451" s="3054"/>
      <c r="CG451" s="3055"/>
      <c r="CH451" s="3055"/>
      <c r="CI451" s="3055"/>
      <c r="CJ451" s="3055"/>
      <c r="CK451" s="3055"/>
      <c r="CL451" s="3055"/>
      <c r="CM451" s="3055"/>
      <c r="CN451" s="3055"/>
      <c r="CO451" s="3055"/>
      <c r="CP451" s="3055"/>
      <c r="CQ451" s="3055"/>
      <c r="CR451" s="3055"/>
      <c r="CS451" s="3055"/>
      <c r="CU451" s="3054"/>
      <c r="CV451" s="696"/>
      <c r="CW451" s="696"/>
      <c r="CZ451" s="3060">
        <f t="shared" si="17"/>
      </c>
      <c r="DA451" s="3060">
        <f t="shared" si="1"/>
      </c>
      <c r="DB451" s="3060">
        <f t="shared" si="18"/>
      </c>
      <c r="DC451" s="3060">
        <f t="shared" si="19"/>
      </c>
      <c r="DD451" s="3060">
        <f t="shared" si="20"/>
      </c>
      <c r="DE451" s="3060">
        <f t="shared" si="21"/>
      </c>
      <c r="DF451" s="3060">
        <f t="shared" si="22"/>
      </c>
      <c r="DG451" s="3060">
        <f t="shared" si="23"/>
      </c>
      <c r="DH451" s="3060">
        <f t="shared" si="24"/>
      </c>
      <c r="DI451" s="3060">
        <f t="shared" si="1"/>
      </c>
    </row>
    <row r="452" ht="15" customHeight="1" s="3052" customFormat="1">
      <c r="B452" s="3054">
        <f t="shared" si="2"/>
      </c>
      <c r="C452" s="3054"/>
      <c r="D452" s="3054"/>
      <c r="E452" s="3055"/>
      <c r="F452" s="3055"/>
      <c r="G452" s="3055"/>
      <c r="H452" s="3055"/>
      <c r="I452" s="3055"/>
      <c r="J452" s="3055"/>
      <c r="K452" s="3055"/>
      <c r="L452" s="3055"/>
      <c r="M452" s="3055"/>
      <c r="N452" s="3055"/>
      <c r="O452" s="3055"/>
      <c r="P452" s="3055"/>
      <c r="Q452" s="3055"/>
      <c r="R452" s="3055">
        <f t="shared" si="3"/>
        <v>0</v>
      </c>
      <c r="S452" s="3055">
        <f t="shared" si="4"/>
        <v>0</v>
      </c>
      <c r="T452" s="3055">
        <f t="shared" si="5"/>
        <v>0</v>
      </c>
      <c r="U452" s="3055">
        <f t="shared" si="6"/>
        <v>0</v>
      </c>
      <c r="V452" s="3055">
        <f t="shared" si="7"/>
        <v>0</v>
      </c>
      <c r="W452" s="3055">
        <f t="shared" si="8"/>
        <v>0</v>
      </c>
      <c r="X452" s="3055">
        <f t="shared" si="9"/>
        <v>0</v>
      </c>
      <c r="Y452" s="3055">
        <f t="shared" si="10"/>
        <v>0</v>
      </c>
      <c r="Z452" s="3055">
        <f t="shared" si="11"/>
        <v>0</v>
      </c>
      <c r="AA452" s="3055">
        <f t="shared" si="12"/>
        <v>0</v>
      </c>
      <c r="AB452" s="3055">
        <f t="shared" si="13"/>
        <v>0</v>
      </c>
      <c r="AC452" s="3055">
        <f t="shared" si="14"/>
        <v>0</v>
      </c>
      <c r="AD452" s="3056"/>
      <c r="AE452" s="3057">
        <f t="shared" si="0"/>
      </c>
      <c r="AF452" s="3054"/>
      <c r="AG452" s="3054"/>
      <c r="AH452" s="3055"/>
      <c r="AI452" s="3055"/>
      <c r="AJ452" s="3055"/>
      <c r="AK452" s="3055"/>
      <c r="AL452" s="3055"/>
      <c r="AM452" s="3055"/>
      <c r="AN452" s="3055"/>
      <c r="AO452" s="3055"/>
      <c r="AP452" s="3055"/>
      <c r="AQ452" s="3055"/>
      <c r="AR452" s="3055"/>
      <c r="AS452" s="3055"/>
      <c r="AT452" s="3055"/>
      <c r="AU452" s="3056"/>
      <c r="AV452" s="3057">
        <f t="shared" si="15"/>
      </c>
      <c r="AW452" s="3054"/>
      <c r="AX452" s="3054"/>
      <c r="AY452" s="3055"/>
      <c r="AZ452" s="3055"/>
      <c r="BA452" s="3055"/>
      <c r="BB452" s="3055"/>
      <c r="BC452" s="3055"/>
      <c r="BD452" s="3055"/>
      <c r="BE452" s="3055"/>
      <c r="BF452" s="3055"/>
      <c r="BG452" s="3055"/>
      <c r="BH452" s="3055"/>
      <c r="BI452" s="3055"/>
      <c r="BJ452" s="3055"/>
      <c r="BK452" s="3055"/>
      <c r="BL452" s="3056"/>
      <c r="BM452" s="3057">
        <f t="shared" si="16"/>
      </c>
      <c r="BN452" s="3054"/>
      <c r="BO452" s="3054"/>
      <c r="BP452" s="3055"/>
      <c r="BQ452" s="3055"/>
      <c r="BR452" s="3055"/>
      <c r="BS452" s="3055"/>
      <c r="BT452" s="3055"/>
      <c r="BU452" s="3055"/>
      <c r="BV452" s="3055"/>
      <c r="BW452" s="3055"/>
      <c r="BX452" s="3055"/>
      <c r="BY452" s="3055"/>
      <c r="BZ452" s="3055"/>
      <c r="CA452" s="3055"/>
      <c r="CB452" s="3055"/>
      <c r="CC452" s="3056"/>
      <c r="CD452" s="3057">
        <f t="shared" si="0"/>
      </c>
      <c r="CE452" s="3054"/>
      <c r="CF452" s="3054"/>
      <c r="CG452" s="3055"/>
      <c r="CH452" s="3055"/>
      <c r="CI452" s="3055"/>
      <c r="CJ452" s="3055"/>
      <c r="CK452" s="3055"/>
      <c r="CL452" s="3055"/>
      <c r="CM452" s="3055"/>
      <c r="CN452" s="3055"/>
      <c r="CO452" s="3055"/>
      <c r="CP452" s="3055"/>
      <c r="CQ452" s="3055"/>
      <c r="CR452" s="3055"/>
      <c r="CS452" s="3055"/>
      <c r="CU452" s="3054"/>
      <c r="CV452" s="696"/>
      <c r="CW452" s="696"/>
      <c r="CZ452" s="3060">
        <f t="shared" si="17"/>
      </c>
      <c r="DA452" s="3060">
        <f t="shared" si="1"/>
      </c>
      <c r="DB452" s="3060">
        <f t="shared" si="18"/>
      </c>
      <c r="DC452" s="3060">
        <f t="shared" si="19"/>
      </c>
      <c r="DD452" s="3060">
        <f t="shared" si="20"/>
      </c>
      <c r="DE452" s="3060">
        <f t="shared" si="21"/>
      </c>
      <c r="DF452" s="3060">
        <f t="shared" si="22"/>
      </c>
      <c r="DG452" s="3060">
        <f t="shared" si="23"/>
      </c>
      <c r="DH452" s="3060">
        <f t="shared" si="24"/>
      </c>
      <c r="DI452" s="3060">
        <f t="shared" si="1"/>
      </c>
    </row>
    <row r="453" ht="15" customHeight="1" s="3052" customFormat="1">
      <c r="B453" s="3054">
        <f t="shared" si="2"/>
      </c>
      <c r="C453" s="3054"/>
      <c r="D453" s="3054"/>
      <c r="E453" s="3055"/>
      <c r="F453" s="3055"/>
      <c r="G453" s="3055"/>
      <c r="H453" s="3055"/>
      <c r="I453" s="3055"/>
      <c r="J453" s="3055"/>
      <c r="K453" s="3055"/>
      <c r="L453" s="3055"/>
      <c r="M453" s="3055"/>
      <c r="N453" s="3055"/>
      <c r="O453" s="3055"/>
      <c r="P453" s="3055"/>
      <c r="Q453" s="3055"/>
      <c r="R453" s="3055">
        <f t="shared" si="3"/>
        <v>0</v>
      </c>
      <c r="S453" s="3055">
        <f t="shared" si="4"/>
        <v>0</v>
      </c>
      <c r="T453" s="3055">
        <f t="shared" si="5"/>
        <v>0</v>
      </c>
      <c r="U453" s="3055">
        <f t="shared" si="6"/>
        <v>0</v>
      </c>
      <c r="V453" s="3055">
        <f t="shared" si="7"/>
        <v>0</v>
      </c>
      <c r="W453" s="3055">
        <f t="shared" si="8"/>
        <v>0</v>
      </c>
      <c r="X453" s="3055">
        <f t="shared" si="9"/>
        <v>0</v>
      </c>
      <c r="Y453" s="3055">
        <f t="shared" si="10"/>
        <v>0</v>
      </c>
      <c r="Z453" s="3055">
        <f t="shared" si="11"/>
        <v>0</v>
      </c>
      <c r="AA453" s="3055">
        <f t="shared" si="12"/>
        <v>0</v>
      </c>
      <c r="AB453" s="3055">
        <f t="shared" si="13"/>
        <v>0</v>
      </c>
      <c r="AC453" s="3055">
        <f t="shared" si="14"/>
        <v>0</v>
      </c>
      <c r="AD453" s="3056"/>
      <c r="AE453" s="3057">
        <f t="shared" si="0"/>
      </c>
      <c r="AF453" s="3054"/>
      <c r="AG453" s="3054"/>
      <c r="AH453" s="3055"/>
      <c r="AI453" s="3055"/>
      <c r="AJ453" s="3055"/>
      <c r="AK453" s="3055"/>
      <c r="AL453" s="3055"/>
      <c r="AM453" s="3055"/>
      <c r="AN453" s="3055"/>
      <c r="AO453" s="3055"/>
      <c r="AP453" s="3055"/>
      <c r="AQ453" s="3055"/>
      <c r="AR453" s="3055"/>
      <c r="AS453" s="3055"/>
      <c r="AT453" s="3055"/>
      <c r="AU453" s="3056"/>
      <c r="AV453" s="3057">
        <f t="shared" si="15"/>
      </c>
      <c r="AW453" s="3054"/>
      <c r="AX453" s="3054"/>
      <c r="AY453" s="3055"/>
      <c r="AZ453" s="3055"/>
      <c r="BA453" s="3055"/>
      <c r="BB453" s="3055"/>
      <c r="BC453" s="3055"/>
      <c r="BD453" s="3055"/>
      <c r="BE453" s="3055"/>
      <c r="BF453" s="3055"/>
      <c r="BG453" s="3055"/>
      <c r="BH453" s="3055"/>
      <c r="BI453" s="3055"/>
      <c r="BJ453" s="3055"/>
      <c r="BK453" s="3055"/>
      <c r="BL453" s="3056"/>
      <c r="BM453" s="3057">
        <f t="shared" si="16"/>
      </c>
      <c r="BN453" s="3054"/>
      <c r="BO453" s="3054"/>
      <c r="BP453" s="3055"/>
      <c r="BQ453" s="3055"/>
      <c r="BR453" s="3055"/>
      <c r="BS453" s="3055"/>
      <c r="BT453" s="3055"/>
      <c r="BU453" s="3055"/>
      <c r="BV453" s="3055"/>
      <c r="BW453" s="3055"/>
      <c r="BX453" s="3055"/>
      <c r="BY453" s="3055"/>
      <c r="BZ453" s="3055"/>
      <c r="CA453" s="3055"/>
      <c r="CB453" s="3055"/>
      <c r="CC453" s="3056"/>
      <c r="CD453" s="3057">
        <f t="shared" si="0"/>
      </c>
      <c r="CE453" s="3054"/>
      <c r="CF453" s="3054"/>
      <c r="CG453" s="3055"/>
      <c r="CH453" s="3055"/>
      <c r="CI453" s="3055"/>
      <c r="CJ453" s="3055"/>
      <c r="CK453" s="3055"/>
      <c r="CL453" s="3055"/>
      <c r="CM453" s="3055"/>
      <c r="CN453" s="3055"/>
      <c r="CO453" s="3055"/>
      <c r="CP453" s="3055"/>
      <c r="CQ453" s="3055"/>
      <c r="CR453" s="3055"/>
      <c r="CS453" s="3055"/>
      <c r="CU453" s="3054"/>
      <c r="CV453" s="696"/>
      <c r="CW453" s="696"/>
      <c r="CZ453" s="3060">
        <f t="shared" si="17"/>
      </c>
      <c r="DA453" s="3060">
        <f t="shared" si="1"/>
      </c>
      <c r="DB453" s="3060">
        <f t="shared" si="18"/>
      </c>
      <c r="DC453" s="3060">
        <f t="shared" si="19"/>
      </c>
      <c r="DD453" s="3060">
        <f t="shared" si="20"/>
      </c>
      <c r="DE453" s="3060">
        <f t="shared" si="21"/>
      </c>
      <c r="DF453" s="3060">
        <f t="shared" si="22"/>
      </c>
      <c r="DG453" s="3060">
        <f t="shared" si="23"/>
      </c>
      <c r="DH453" s="3060">
        <f t="shared" si="24"/>
      </c>
      <c r="DI453" s="3060">
        <f t="shared" si="1"/>
      </c>
    </row>
    <row r="454" ht="15" customHeight="1" s="3052" customFormat="1">
      <c r="B454" s="3054">
        <f t="shared" si="2"/>
      </c>
      <c r="C454" s="3054"/>
      <c r="D454" s="3054"/>
      <c r="E454" s="3055"/>
      <c r="F454" s="3055"/>
      <c r="G454" s="3055"/>
      <c r="H454" s="3055"/>
      <c r="I454" s="3055"/>
      <c r="J454" s="3055"/>
      <c r="K454" s="3055"/>
      <c r="L454" s="3055"/>
      <c r="M454" s="3055"/>
      <c r="N454" s="3055"/>
      <c r="O454" s="3055"/>
      <c r="P454" s="3055"/>
      <c r="Q454" s="3055"/>
      <c r="R454" s="3055">
        <f t="shared" si="3"/>
        <v>0</v>
      </c>
      <c r="S454" s="3055">
        <f t="shared" si="4"/>
        <v>0</v>
      </c>
      <c r="T454" s="3055">
        <f t="shared" si="5"/>
        <v>0</v>
      </c>
      <c r="U454" s="3055">
        <f t="shared" si="6"/>
        <v>0</v>
      </c>
      <c r="V454" s="3055">
        <f t="shared" si="7"/>
        <v>0</v>
      </c>
      <c r="W454" s="3055">
        <f t="shared" si="8"/>
        <v>0</v>
      </c>
      <c r="X454" s="3055">
        <f t="shared" si="9"/>
        <v>0</v>
      </c>
      <c r="Y454" s="3055">
        <f t="shared" si="10"/>
        <v>0</v>
      </c>
      <c r="Z454" s="3055">
        <f t="shared" si="11"/>
        <v>0</v>
      </c>
      <c r="AA454" s="3055">
        <f t="shared" si="12"/>
        <v>0</v>
      </c>
      <c r="AB454" s="3055">
        <f t="shared" si="13"/>
        <v>0</v>
      </c>
      <c r="AC454" s="3055">
        <f t="shared" si="14"/>
        <v>0</v>
      </c>
      <c r="AD454" s="3056"/>
      <c r="AE454" s="3057">
        <f t="shared" si="0"/>
      </c>
      <c r="AF454" s="3054"/>
      <c r="AG454" s="3054"/>
      <c r="AH454" s="3055"/>
      <c r="AI454" s="3055"/>
      <c r="AJ454" s="3055"/>
      <c r="AK454" s="3055"/>
      <c r="AL454" s="3055"/>
      <c r="AM454" s="3055"/>
      <c r="AN454" s="3055"/>
      <c r="AO454" s="3055"/>
      <c r="AP454" s="3055"/>
      <c r="AQ454" s="3055"/>
      <c r="AR454" s="3055"/>
      <c r="AS454" s="3055"/>
      <c r="AT454" s="3055"/>
      <c r="AU454" s="3056"/>
      <c r="AV454" s="3057">
        <f t="shared" si="15"/>
      </c>
      <c r="AW454" s="3054"/>
      <c r="AX454" s="3054"/>
      <c r="AY454" s="3055"/>
      <c r="AZ454" s="3055"/>
      <c r="BA454" s="3055"/>
      <c r="BB454" s="3055"/>
      <c r="BC454" s="3055"/>
      <c r="BD454" s="3055"/>
      <c r="BE454" s="3055"/>
      <c r="BF454" s="3055"/>
      <c r="BG454" s="3055"/>
      <c r="BH454" s="3055"/>
      <c r="BI454" s="3055"/>
      <c r="BJ454" s="3055"/>
      <c r="BK454" s="3055"/>
      <c r="BL454" s="3056"/>
      <c r="BM454" s="3057">
        <f t="shared" si="16"/>
      </c>
      <c r="BN454" s="3054"/>
      <c r="BO454" s="3054"/>
      <c r="BP454" s="3055"/>
      <c r="BQ454" s="3055"/>
      <c r="BR454" s="3055"/>
      <c r="BS454" s="3055"/>
      <c r="BT454" s="3055"/>
      <c r="BU454" s="3055"/>
      <c r="BV454" s="3055"/>
      <c r="BW454" s="3055"/>
      <c r="BX454" s="3055"/>
      <c r="BY454" s="3055"/>
      <c r="BZ454" s="3055"/>
      <c r="CA454" s="3055"/>
      <c r="CB454" s="3055"/>
      <c r="CC454" s="3056"/>
      <c r="CD454" s="3057">
        <f t="shared" si="0"/>
      </c>
      <c r="CE454" s="3054"/>
      <c r="CF454" s="3054"/>
      <c r="CG454" s="3055"/>
      <c r="CH454" s="3055"/>
      <c r="CI454" s="3055"/>
      <c r="CJ454" s="3055"/>
      <c r="CK454" s="3055"/>
      <c r="CL454" s="3055"/>
      <c r="CM454" s="3055"/>
      <c r="CN454" s="3055"/>
      <c r="CO454" s="3055"/>
      <c r="CP454" s="3055"/>
      <c r="CQ454" s="3055"/>
      <c r="CR454" s="3055"/>
      <c r="CS454" s="3055"/>
      <c r="CU454" s="3054"/>
      <c r="CV454" s="696"/>
      <c r="CW454" s="696"/>
      <c r="CZ454" s="3060">
        <f t="shared" si="17"/>
      </c>
      <c r="DA454" s="3060">
        <f t="shared" si="1"/>
      </c>
      <c r="DB454" s="3060">
        <f t="shared" si="18"/>
      </c>
      <c r="DC454" s="3060">
        <f t="shared" si="19"/>
      </c>
      <c r="DD454" s="3060">
        <f t="shared" si="20"/>
      </c>
      <c r="DE454" s="3060">
        <f t="shared" si="21"/>
      </c>
      <c r="DF454" s="3060">
        <f t="shared" si="22"/>
      </c>
      <c r="DG454" s="3060">
        <f t="shared" si="23"/>
      </c>
      <c r="DH454" s="3060">
        <f t="shared" si="24"/>
      </c>
      <c r="DI454" s="3060">
        <f t="shared" si="1"/>
      </c>
    </row>
    <row r="455" ht="15" customHeight="1" s="3052" customFormat="1">
      <c r="B455" s="3054">
        <f t="shared" si="2"/>
      </c>
      <c r="C455" s="3054"/>
      <c r="D455" s="3054"/>
      <c r="E455" s="3055"/>
      <c r="F455" s="3055"/>
      <c r="G455" s="3055"/>
      <c r="H455" s="3055"/>
      <c r="I455" s="3055"/>
      <c r="J455" s="3055"/>
      <c r="K455" s="3055"/>
      <c r="L455" s="3055"/>
      <c r="M455" s="3055"/>
      <c r="N455" s="3055"/>
      <c r="O455" s="3055"/>
      <c r="P455" s="3055"/>
      <c r="Q455" s="3055"/>
      <c r="R455" s="3055">
        <f t="shared" si="3"/>
        <v>0</v>
      </c>
      <c r="S455" s="3055">
        <f t="shared" si="4"/>
        <v>0</v>
      </c>
      <c r="T455" s="3055">
        <f t="shared" si="5"/>
        <v>0</v>
      </c>
      <c r="U455" s="3055">
        <f t="shared" si="6"/>
        <v>0</v>
      </c>
      <c r="V455" s="3055">
        <f t="shared" si="7"/>
        <v>0</v>
      </c>
      <c r="W455" s="3055">
        <f t="shared" si="8"/>
        <v>0</v>
      </c>
      <c r="X455" s="3055">
        <f t="shared" si="9"/>
        <v>0</v>
      </c>
      <c r="Y455" s="3055">
        <f t="shared" si="10"/>
        <v>0</v>
      </c>
      <c r="Z455" s="3055">
        <f t="shared" si="11"/>
        <v>0</v>
      </c>
      <c r="AA455" s="3055">
        <f t="shared" si="12"/>
        <v>0</v>
      </c>
      <c r="AB455" s="3055">
        <f t="shared" si="13"/>
        <v>0</v>
      </c>
      <c r="AC455" s="3055">
        <f t="shared" si="14"/>
        <v>0</v>
      </c>
      <c r="AD455" s="3056"/>
      <c r="AE455" s="3057">
        <f t="shared" si="0"/>
      </c>
      <c r="AF455" s="3054"/>
      <c r="AG455" s="3054"/>
      <c r="AH455" s="3055"/>
      <c r="AI455" s="3055"/>
      <c r="AJ455" s="3055"/>
      <c r="AK455" s="3055"/>
      <c r="AL455" s="3055"/>
      <c r="AM455" s="3055"/>
      <c r="AN455" s="3055"/>
      <c r="AO455" s="3055"/>
      <c r="AP455" s="3055"/>
      <c r="AQ455" s="3055"/>
      <c r="AR455" s="3055"/>
      <c r="AS455" s="3055"/>
      <c r="AT455" s="3055"/>
      <c r="AU455" s="3056"/>
      <c r="AV455" s="3057">
        <f t="shared" si="15"/>
      </c>
      <c r="AW455" s="3054"/>
      <c r="AX455" s="3054"/>
      <c r="AY455" s="3055"/>
      <c r="AZ455" s="3055"/>
      <c r="BA455" s="3055"/>
      <c r="BB455" s="3055"/>
      <c r="BC455" s="3055"/>
      <c r="BD455" s="3055"/>
      <c r="BE455" s="3055"/>
      <c r="BF455" s="3055"/>
      <c r="BG455" s="3055"/>
      <c r="BH455" s="3055"/>
      <c r="BI455" s="3055"/>
      <c r="BJ455" s="3055"/>
      <c r="BK455" s="3055"/>
      <c r="BL455" s="3056"/>
      <c r="BM455" s="3057">
        <f t="shared" si="16"/>
      </c>
      <c r="BN455" s="3054"/>
      <c r="BO455" s="3054"/>
      <c r="BP455" s="3055"/>
      <c r="BQ455" s="3055"/>
      <c r="BR455" s="3055"/>
      <c r="BS455" s="3055"/>
      <c r="BT455" s="3055"/>
      <c r="BU455" s="3055"/>
      <c r="BV455" s="3055"/>
      <c r="BW455" s="3055"/>
      <c r="BX455" s="3055"/>
      <c r="BY455" s="3055"/>
      <c r="BZ455" s="3055"/>
      <c r="CA455" s="3055"/>
      <c r="CB455" s="3055"/>
      <c r="CC455" s="3056"/>
      <c r="CD455" s="3057">
        <f t="shared" si="0"/>
      </c>
      <c r="CE455" s="3054"/>
      <c r="CF455" s="3054"/>
      <c r="CG455" s="3055"/>
      <c r="CH455" s="3055"/>
      <c r="CI455" s="3055"/>
      <c r="CJ455" s="3055"/>
      <c r="CK455" s="3055"/>
      <c r="CL455" s="3055"/>
      <c r="CM455" s="3055"/>
      <c r="CN455" s="3055"/>
      <c r="CO455" s="3055"/>
      <c r="CP455" s="3055"/>
      <c r="CQ455" s="3055"/>
      <c r="CR455" s="3055"/>
      <c r="CS455" s="3055"/>
      <c r="CU455" s="3054"/>
      <c r="CV455" s="696"/>
      <c r="CW455" s="696"/>
      <c r="CZ455" s="3060">
        <f t="shared" si="17"/>
      </c>
      <c r="DA455" s="3060">
        <f t="shared" si="1"/>
      </c>
      <c r="DB455" s="3060">
        <f t="shared" si="18"/>
      </c>
      <c r="DC455" s="3060">
        <f t="shared" si="19"/>
      </c>
      <c r="DD455" s="3060">
        <f t="shared" si="20"/>
      </c>
      <c r="DE455" s="3060">
        <f t="shared" si="21"/>
      </c>
      <c r="DF455" s="3060">
        <f t="shared" si="22"/>
      </c>
      <c r="DG455" s="3060">
        <f t="shared" si="23"/>
      </c>
      <c r="DH455" s="3060">
        <f t="shared" si="24"/>
      </c>
      <c r="DI455" s="3060">
        <f t="shared" si="1"/>
      </c>
    </row>
    <row r="456" ht="15" customHeight="1" s="3052" customFormat="1">
      <c r="B456" s="3054">
        <f t="shared" si="2"/>
      </c>
      <c r="C456" s="3054"/>
      <c r="D456" s="3054"/>
      <c r="E456" s="3055"/>
      <c r="F456" s="3055"/>
      <c r="G456" s="3055"/>
      <c r="H456" s="3055"/>
      <c r="I456" s="3055"/>
      <c r="J456" s="3055"/>
      <c r="K456" s="3055"/>
      <c r="L456" s="3055"/>
      <c r="M456" s="3055"/>
      <c r="N456" s="3055"/>
      <c r="O456" s="3055"/>
      <c r="P456" s="3055"/>
      <c r="Q456" s="3055"/>
      <c r="R456" s="3055">
        <f t="shared" si="3"/>
        <v>0</v>
      </c>
      <c r="S456" s="3055">
        <f t="shared" si="4"/>
        <v>0</v>
      </c>
      <c r="T456" s="3055">
        <f t="shared" si="5"/>
        <v>0</v>
      </c>
      <c r="U456" s="3055">
        <f t="shared" si="6"/>
        <v>0</v>
      </c>
      <c r="V456" s="3055">
        <f t="shared" si="7"/>
        <v>0</v>
      </c>
      <c r="W456" s="3055">
        <f t="shared" si="8"/>
        <v>0</v>
      </c>
      <c r="X456" s="3055">
        <f t="shared" si="9"/>
        <v>0</v>
      </c>
      <c r="Y456" s="3055">
        <f t="shared" si="10"/>
        <v>0</v>
      </c>
      <c r="Z456" s="3055">
        <f t="shared" si="11"/>
        <v>0</v>
      </c>
      <c r="AA456" s="3055">
        <f t="shared" si="12"/>
        <v>0</v>
      </c>
      <c r="AB456" s="3055">
        <f t="shared" si="13"/>
        <v>0</v>
      </c>
      <c r="AC456" s="3055">
        <f t="shared" si="14"/>
        <v>0</v>
      </c>
      <c r="AD456" s="3056"/>
      <c r="AE456" s="3057">
        <f t="shared" si="0"/>
      </c>
      <c r="AF456" s="3054"/>
      <c r="AG456" s="3054"/>
      <c r="AH456" s="3055"/>
      <c r="AI456" s="3055"/>
      <c r="AJ456" s="3055"/>
      <c r="AK456" s="3055"/>
      <c r="AL456" s="3055"/>
      <c r="AM456" s="3055"/>
      <c r="AN456" s="3055"/>
      <c r="AO456" s="3055"/>
      <c r="AP456" s="3055"/>
      <c r="AQ456" s="3055"/>
      <c r="AR456" s="3055"/>
      <c r="AS456" s="3055"/>
      <c r="AT456" s="3055"/>
      <c r="AU456" s="3056"/>
      <c r="AV456" s="3057">
        <f t="shared" si="15"/>
      </c>
      <c r="AW456" s="3054"/>
      <c r="AX456" s="3054"/>
      <c r="AY456" s="3055"/>
      <c r="AZ456" s="3055"/>
      <c r="BA456" s="3055"/>
      <c r="BB456" s="3055"/>
      <c r="BC456" s="3055"/>
      <c r="BD456" s="3055"/>
      <c r="BE456" s="3055"/>
      <c r="BF456" s="3055"/>
      <c r="BG456" s="3055"/>
      <c r="BH456" s="3055"/>
      <c r="BI456" s="3055"/>
      <c r="BJ456" s="3055"/>
      <c r="BK456" s="3055"/>
      <c r="BL456" s="3056"/>
      <c r="BM456" s="3057">
        <f t="shared" si="16"/>
      </c>
      <c r="BN456" s="3054"/>
      <c r="BO456" s="3054"/>
      <c r="BP456" s="3055"/>
      <c r="BQ456" s="3055"/>
      <c r="BR456" s="3055"/>
      <c r="BS456" s="3055"/>
      <c r="BT456" s="3055"/>
      <c r="BU456" s="3055"/>
      <c r="BV456" s="3055"/>
      <c r="BW456" s="3055"/>
      <c r="BX456" s="3055"/>
      <c r="BY456" s="3055"/>
      <c r="BZ456" s="3055"/>
      <c r="CA456" s="3055"/>
      <c r="CB456" s="3055"/>
      <c r="CC456" s="3056"/>
      <c r="CD456" s="3057">
        <f t="shared" si="0"/>
      </c>
      <c r="CE456" s="3054"/>
      <c r="CF456" s="3054"/>
      <c r="CG456" s="3055"/>
      <c r="CH456" s="3055"/>
      <c r="CI456" s="3055"/>
      <c r="CJ456" s="3055"/>
      <c r="CK456" s="3055"/>
      <c r="CL456" s="3055"/>
      <c r="CM456" s="3055"/>
      <c r="CN456" s="3055"/>
      <c r="CO456" s="3055"/>
      <c r="CP456" s="3055"/>
      <c r="CQ456" s="3055"/>
      <c r="CR456" s="3055"/>
      <c r="CS456" s="3055"/>
      <c r="CU456" s="3054"/>
      <c r="CV456" s="696"/>
      <c r="CW456" s="696"/>
      <c r="CZ456" s="3060">
        <f t="shared" si="17"/>
      </c>
      <c r="DA456" s="3060">
        <f t="shared" si="1"/>
      </c>
      <c r="DB456" s="3060">
        <f t="shared" si="18"/>
      </c>
      <c r="DC456" s="3060">
        <f t="shared" si="19"/>
      </c>
      <c r="DD456" s="3060">
        <f t="shared" si="20"/>
      </c>
      <c r="DE456" s="3060">
        <f t="shared" si="21"/>
      </c>
      <c r="DF456" s="3060">
        <f t="shared" si="22"/>
      </c>
      <c r="DG456" s="3060">
        <f t="shared" si="23"/>
      </c>
      <c r="DH456" s="3060">
        <f t="shared" si="24"/>
      </c>
      <c r="DI456" s="3060">
        <f t="shared" si="1"/>
      </c>
    </row>
    <row r="457" ht="15" customHeight="1" s="3052" customFormat="1">
      <c r="B457" s="3054">
        <f t="shared" si="2"/>
      </c>
      <c r="C457" s="3054"/>
      <c r="D457" s="3054"/>
      <c r="E457" s="3055"/>
      <c r="F457" s="3055"/>
      <c r="G457" s="3055"/>
      <c r="H457" s="3055"/>
      <c r="I457" s="3055"/>
      <c r="J457" s="3055"/>
      <c r="K457" s="3055"/>
      <c r="L457" s="3055"/>
      <c r="M457" s="3055"/>
      <c r="N457" s="3055"/>
      <c r="O457" s="3055"/>
      <c r="P457" s="3055"/>
      <c r="Q457" s="3055"/>
      <c r="R457" s="3055">
        <f t="shared" si="3"/>
        <v>0</v>
      </c>
      <c r="S457" s="3055">
        <f t="shared" si="4"/>
        <v>0</v>
      </c>
      <c r="T457" s="3055">
        <f t="shared" si="5"/>
        <v>0</v>
      </c>
      <c r="U457" s="3055">
        <f t="shared" si="6"/>
        <v>0</v>
      </c>
      <c r="V457" s="3055">
        <f t="shared" si="7"/>
        <v>0</v>
      </c>
      <c r="W457" s="3055">
        <f t="shared" si="8"/>
        <v>0</v>
      </c>
      <c r="X457" s="3055">
        <f t="shared" si="9"/>
        <v>0</v>
      </c>
      <c r="Y457" s="3055">
        <f t="shared" si="10"/>
        <v>0</v>
      </c>
      <c r="Z457" s="3055">
        <f t="shared" si="11"/>
        <v>0</v>
      </c>
      <c r="AA457" s="3055">
        <f t="shared" si="12"/>
        <v>0</v>
      </c>
      <c r="AB457" s="3055">
        <f t="shared" si="13"/>
        <v>0</v>
      </c>
      <c r="AC457" s="3055">
        <f t="shared" si="14"/>
        <v>0</v>
      </c>
      <c r="AD457" s="3056"/>
      <c r="AE457" s="3057">
        <f t="shared" si="0"/>
      </c>
      <c r="AF457" s="3054"/>
      <c r="AG457" s="3054"/>
      <c r="AH457" s="3055"/>
      <c r="AI457" s="3055"/>
      <c r="AJ457" s="3055"/>
      <c r="AK457" s="3055"/>
      <c r="AL457" s="3055"/>
      <c r="AM457" s="3055"/>
      <c r="AN457" s="3055"/>
      <c r="AO457" s="3055"/>
      <c r="AP457" s="3055"/>
      <c r="AQ457" s="3055"/>
      <c r="AR457" s="3055"/>
      <c r="AS457" s="3055"/>
      <c r="AT457" s="3055"/>
      <c r="AU457" s="3056"/>
      <c r="AV457" s="3057">
        <f t="shared" si="15"/>
      </c>
      <c r="AW457" s="3054"/>
      <c r="AX457" s="3054"/>
      <c r="AY457" s="3055"/>
      <c r="AZ457" s="3055"/>
      <c r="BA457" s="3055"/>
      <c r="BB457" s="3055"/>
      <c r="BC457" s="3055"/>
      <c r="BD457" s="3055"/>
      <c r="BE457" s="3055"/>
      <c r="BF457" s="3055"/>
      <c r="BG457" s="3055"/>
      <c r="BH457" s="3055"/>
      <c r="BI457" s="3055"/>
      <c r="BJ457" s="3055"/>
      <c r="BK457" s="3055"/>
      <c r="BL457" s="3056"/>
      <c r="BM457" s="3057">
        <f t="shared" si="16"/>
      </c>
      <c r="BN457" s="3054"/>
      <c r="BO457" s="3054"/>
      <c r="BP457" s="3055"/>
      <c r="BQ457" s="3055"/>
      <c r="BR457" s="3055"/>
      <c r="BS457" s="3055"/>
      <c r="BT457" s="3055"/>
      <c r="BU457" s="3055"/>
      <c r="BV457" s="3055"/>
      <c r="BW457" s="3055"/>
      <c r="BX457" s="3055"/>
      <c r="BY457" s="3055"/>
      <c r="BZ457" s="3055"/>
      <c r="CA457" s="3055"/>
      <c r="CB457" s="3055"/>
      <c r="CC457" s="3056"/>
      <c r="CD457" s="3057">
        <f t="shared" si="0"/>
      </c>
      <c r="CE457" s="3054"/>
      <c r="CF457" s="3054"/>
      <c r="CG457" s="3055"/>
      <c r="CH457" s="3055"/>
      <c r="CI457" s="3055"/>
      <c r="CJ457" s="3055"/>
      <c r="CK457" s="3055"/>
      <c r="CL457" s="3055"/>
      <c r="CM457" s="3055"/>
      <c r="CN457" s="3055"/>
      <c r="CO457" s="3055"/>
      <c r="CP457" s="3055"/>
      <c r="CQ457" s="3055"/>
      <c r="CR457" s="3055"/>
      <c r="CS457" s="3055"/>
      <c r="CU457" s="3054"/>
      <c r="CV457" s="696"/>
      <c r="CW457" s="696"/>
      <c r="CZ457" s="3060">
        <f t="shared" si="17"/>
      </c>
      <c r="DA457" s="3060">
        <f t="shared" si="1"/>
      </c>
      <c r="DB457" s="3060">
        <f t="shared" si="18"/>
      </c>
      <c r="DC457" s="3060">
        <f t="shared" si="19"/>
      </c>
      <c r="DD457" s="3060">
        <f t="shared" si="20"/>
      </c>
      <c r="DE457" s="3060">
        <f t="shared" si="21"/>
      </c>
      <c r="DF457" s="3060">
        <f t="shared" si="22"/>
      </c>
      <c r="DG457" s="3060">
        <f t="shared" si="23"/>
      </c>
      <c r="DH457" s="3060">
        <f t="shared" si="24"/>
      </c>
      <c r="DI457" s="3060">
        <f t="shared" si="1"/>
      </c>
    </row>
    <row r="458" ht="15" customHeight="1" s="3052" customFormat="1">
      <c r="B458" s="3054">
        <f t="shared" si="2"/>
      </c>
      <c r="C458" s="3054"/>
      <c r="D458" s="3054"/>
      <c r="E458" s="3055"/>
      <c r="F458" s="3055"/>
      <c r="G458" s="3055"/>
      <c r="H458" s="3055"/>
      <c r="I458" s="3055"/>
      <c r="J458" s="3055"/>
      <c r="K458" s="3055"/>
      <c r="L458" s="3055"/>
      <c r="M458" s="3055"/>
      <c r="N458" s="3055"/>
      <c r="O458" s="3055"/>
      <c r="P458" s="3055"/>
      <c r="Q458" s="3055"/>
      <c r="R458" s="3055">
        <f t="shared" si="3"/>
        <v>0</v>
      </c>
      <c r="S458" s="3055">
        <f t="shared" si="4"/>
        <v>0</v>
      </c>
      <c r="T458" s="3055">
        <f t="shared" si="5"/>
        <v>0</v>
      </c>
      <c r="U458" s="3055">
        <f t="shared" si="6"/>
        <v>0</v>
      </c>
      <c r="V458" s="3055">
        <f t="shared" si="7"/>
        <v>0</v>
      </c>
      <c r="W458" s="3055">
        <f t="shared" si="8"/>
        <v>0</v>
      </c>
      <c r="X458" s="3055">
        <f t="shared" si="9"/>
        <v>0</v>
      </c>
      <c r="Y458" s="3055">
        <f t="shared" si="10"/>
        <v>0</v>
      </c>
      <c r="Z458" s="3055">
        <f t="shared" si="11"/>
        <v>0</v>
      </c>
      <c r="AA458" s="3055">
        <f t="shared" si="12"/>
        <v>0</v>
      </c>
      <c r="AB458" s="3055">
        <f t="shared" si="13"/>
        <v>0</v>
      </c>
      <c r="AC458" s="3055">
        <f t="shared" si="14"/>
        <v>0</v>
      </c>
      <c r="AD458" s="3056"/>
      <c r="AE458" s="3057">
        <f t="shared" si="0"/>
      </c>
      <c r="AF458" s="3054"/>
      <c r="AG458" s="3054"/>
      <c r="AH458" s="3055"/>
      <c r="AI458" s="3055"/>
      <c r="AJ458" s="3055"/>
      <c r="AK458" s="3055"/>
      <c r="AL458" s="3055"/>
      <c r="AM458" s="3055"/>
      <c r="AN458" s="3055"/>
      <c r="AO458" s="3055"/>
      <c r="AP458" s="3055"/>
      <c r="AQ458" s="3055"/>
      <c r="AR458" s="3055"/>
      <c r="AS458" s="3055"/>
      <c r="AT458" s="3055"/>
      <c r="AU458" s="3056"/>
      <c r="AV458" s="3057">
        <f t="shared" si="15"/>
      </c>
      <c r="AW458" s="3054"/>
      <c r="AX458" s="3054"/>
      <c r="AY458" s="3055"/>
      <c r="AZ458" s="3055"/>
      <c r="BA458" s="3055"/>
      <c r="BB458" s="3055"/>
      <c r="BC458" s="3055"/>
      <c r="BD458" s="3055"/>
      <c r="BE458" s="3055"/>
      <c r="BF458" s="3055"/>
      <c r="BG458" s="3055"/>
      <c r="BH458" s="3055"/>
      <c r="BI458" s="3055"/>
      <c r="BJ458" s="3055"/>
      <c r="BK458" s="3055"/>
      <c r="BL458" s="3056"/>
      <c r="BM458" s="3057">
        <f t="shared" si="16"/>
      </c>
      <c r="BN458" s="3054"/>
      <c r="BO458" s="3054"/>
      <c r="BP458" s="3055"/>
      <c r="BQ458" s="3055"/>
      <c r="BR458" s="3055"/>
      <c r="BS458" s="3055"/>
      <c r="BT458" s="3055"/>
      <c r="BU458" s="3055"/>
      <c r="BV458" s="3055"/>
      <c r="BW458" s="3055"/>
      <c r="BX458" s="3055"/>
      <c r="BY458" s="3055"/>
      <c r="BZ458" s="3055"/>
      <c r="CA458" s="3055"/>
      <c r="CB458" s="3055"/>
      <c r="CC458" s="3056"/>
      <c r="CD458" s="3057">
        <f t="shared" si="0"/>
      </c>
      <c r="CE458" s="3054"/>
      <c r="CF458" s="3054"/>
      <c r="CG458" s="3055"/>
      <c r="CH458" s="3055"/>
      <c r="CI458" s="3055"/>
      <c r="CJ458" s="3055"/>
      <c r="CK458" s="3055"/>
      <c r="CL458" s="3055"/>
      <c r="CM458" s="3055"/>
      <c r="CN458" s="3055"/>
      <c r="CO458" s="3055"/>
      <c r="CP458" s="3055"/>
      <c r="CQ458" s="3055"/>
      <c r="CR458" s="3055"/>
      <c r="CS458" s="3055"/>
      <c r="CU458" s="3054"/>
      <c r="CV458" s="696"/>
      <c r="CW458" s="696"/>
      <c r="CZ458" s="3060">
        <f t="shared" si="17"/>
      </c>
      <c r="DA458" s="3060">
        <f t="shared" si="1"/>
      </c>
      <c r="DB458" s="3060">
        <f t="shared" si="18"/>
      </c>
      <c r="DC458" s="3060">
        <f t="shared" si="19"/>
      </c>
      <c r="DD458" s="3060">
        <f t="shared" si="20"/>
      </c>
      <c r="DE458" s="3060">
        <f t="shared" si="21"/>
      </c>
      <c r="DF458" s="3060">
        <f t="shared" si="22"/>
      </c>
      <c r="DG458" s="3060">
        <f t="shared" si="23"/>
      </c>
      <c r="DH458" s="3060">
        <f t="shared" si="24"/>
      </c>
      <c r="DI458" s="3060">
        <f t="shared" si="1"/>
      </c>
    </row>
    <row r="459" ht="15" customHeight="1" s="3052" customFormat="1">
      <c r="B459" s="3054">
        <f t="shared" si="2"/>
      </c>
      <c r="C459" s="3054"/>
      <c r="D459" s="3054"/>
      <c r="E459" s="3055"/>
      <c r="F459" s="3055"/>
      <c r="G459" s="3055"/>
      <c r="H459" s="3055"/>
      <c r="I459" s="3055"/>
      <c r="J459" s="3055"/>
      <c r="K459" s="3055"/>
      <c r="L459" s="3055"/>
      <c r="M459" s="3055"/>
      <c r="N459" s="3055"/>
      <c r="O459" s="3055"/>
      <c r="P459" s="3055"/>
      <c r="Q459" s="3055"/>
      <c r="R459" s="3055">
        <f t="shared" si="3"/>
        <v>0</v>
      </c>
      <c r="S459" s="3055">
        <f t="shared" si="4"/>
        <v>0</v>
      </c>
      <c r="T459" s="3055">
        <f t="shared" si="5"/>
        <v>0</v>
      </c>
      <c r="U459" s="3055">
        <f t="shared" si="6"/>
        <v>0</v>
      </c>
      <c r="V459" s="3055">
        <f t="shared" si="7"/>
        <v>0</v>
      </c>
      <c r="W459" s="3055">
        <f t="shared" si="8"/>
        <v>0</v>
      </c>
      <c r="X459" s="3055">
        <f t="shared" si="9"/>
        <v>0</v>
      </c>
      <c r="Y459" s="3055">
        <f t="shared" si="10"/>
        <v>0</v>
      </c>
      <c r="Z459" s="3055">
        <f t="shared" si="11"/>
        <v>0</v>
      </c>
      <c r="AA459" s="3055">
        <f t="shared" si="12"/>
        <v>0</v>
      </c>
      <c r="AB459" s="3055">
        <f t="shared" si="13"/>
        <v>0</v>
      </c>
      <c r="AC459" s="3055">
        <f t="shared" si="14"/>
        <v>0</v>
      </c>
      <c r="AD459" s="3056"/>
      <c r="AE459" s="3057">
        <f t="shared" si="0"/>
      </c>
      <c r="AF459" s="3054"/>
      <c r="AG459" s="3054"/>
      <c r="AH459" s="3055"/>
      <c r="AI459" s="3055"/>
      <c r="AJ459" s="3055"/>
      <c r="AK459" s="3055"/>
      <c r="AL459" s="3055"/>
      <c r="AM459" s="3055"/>
      <c r="AN459" s="3055"/>
      <c r="AO459" s="3055"/>
      <c r="AP459" s="3055"/>
      <c r="AQ459" s="3055"/>
      <c r="AR459" s="3055"/>
      <c r="AS459" s="3055"/>
      <c r="AT459" s="3055"/>
      <c r="AU459" s="3056"/>
      <c r="AV459" s="3057">
        <f t="shared" si="15"/>
      </c>
      <c r="AW459" s="3054"/>
      <c r="AX459" s="3054"/>
      <c r="AY459" s="3055"/>
      <c r="AZ459" s="3055"/>
      <c r="BA459" s="3055"/>
      <c r="BB459" s="3055"/>
      <c r="BC459" s="3055"/>
      <c r="BD459" s="3055"/>
      <c r="BE459" s="3055"/>
      <c r="BF459" s="3055"/>
      <c r="BG459" s="3055"/>
      <c r="BH459" s="3055"/>
      <c r="BI459" s="3055"/>
      <c r="BJ459" s="3055"/>
      <c r="BK459" s="3055"/>
      <c r="BL459" s="3056"/>
      <c r="BM459" s="3057">
        <f t="shared" si="16"/>
      </c>
      <c r="BN459" s="3054"/>
      <c r="BO459" s="3054"/>
      <c r="BP459" s="3055"/>
      <c r="BQ459" s="3055"/>
      <c r="BR459" s="3055"/>
      <c r="BS459" s="3055"/>
      <c r="BT459" s="3055"/>
      <c r="BU459" s="3055"/>
      <c r="BV459" s="3055"/>
      <c r="BW459" s="3055"/>
      <c r="BX459" s="3055"/>
      <c r="BY459" s="3055"/>
      <c r="BZ459" s="3055"/>
      <c r="CA459" s="3055"/>
      <c r="CB459" s="3055"/>
      <c r="CC459" s="3056"/>
      <c r="CD459" s="3057">
        <f t="shared" si="0"/>
      </c>
      <c r="CE459" s="3054"/>
      <c r="CF459" s="3054"/>
      <c r="CG459" s="3055"/>
      <c r="CH459" s="3055"/>
      <c r="CI459" s="3055"/>
      <c r="CJ459" s="3055"/>
      <c r="CK459" s="3055"/>
      <c r="CL459" s="3055"/>
      <c r="CM459" s="3055"/>
      <c r="CN459" s="3055"/>
      <c r="CO459" s="3055"/>
      <c r="CP459" s="3055"/>
      <c r="CQ459" s="3055"/>
      <c r="CR459" s="3055"/>
      <c r="CS459" s="3055"/>
      <c r="CU459" s="3054"/>
      <c r="CV459" s="696"/>
      <c r="CW459" s="696"/>
      <c r="CZ459" s="3060">
        <f t="shared" si="17"/>
      </c>
      <c r="DA459" s="3060">
        <f t="shared" si="1"/>
      </c>
      <c r="DB459" s="3060">
        <f t="shared" si="18"/>
      </c>
      <c r="DC459" s="3060">
        <f t="shared" si="19"/>
      </c>
      <c r="DD459" s="3060">
        <f t="shared" si="20"/>
      </c>
      <c r="DE459" s="3060">
        <f t="shared" si="21"/>
      </c>
      <c r="DF459" s="3060">
        <f t="shared" si="22"/>
      </c>
      <c r="DG459" s="3060">
        <f t="shared" si="23"/>
      </c>
      <c r="DH459" s="3060">
        <f t="shared" si="24"/>
      </c>
      <c r="DI459" s="3060">
        <f t="shared" si="1"/>
      </c>
    </row>
    <row r="460" ht="15" customHeight="1" s="3052" customFormat="1">
      <c r="B460" s="3054">
        <f t="shared" si="2"/>
      </c>
      <c r="C460" s="3054"/>
      <c r="D460" s="3054"/>
      <c r="E460" s="3055"/>
      <c r="F460" s="3055"/>
      <c r="G460" s="3055"/>
      <c r="H460" s="3055"/>
      <c r="I460" s="3055"/>
      <c r="J460" s="3055"/>
      <c r="K460" s="3055"/>
      <c r="L460" s="3055"/>
      <c r="M460" s="3055"/>
      <c r="N460" s="3055"/>
      <c r="O460" s="3055"/>
      <c r="P460" s="3055"/>
      <c r="Q460" s="3055"/>
      <c r="R460" s="3055">
        <f t="shared" si="3"/>
        <v>0</v>
      </c>
      <c r="S460" s="3055">
        <f t="shared" si="4"/>
        <v>0</v>
      </c>
      <c r="T460" s="3055">
        <f t="shared" si="5"/>
        <v>0</v>
      </c>
      <c r="U460" s="3055">
        <f t="shared" si="6"/>
        <v>0</v>
      </c>
      <c r="V460" s="3055">
        <f t="shared" si="7"/>
        <v>0</v>
      </c>
      <c r="W460" s="3055">
        <f t="shared" si="8"/>
        <v>0</v>
      </c>
      <c r="X460" s="3055">
        <f t="shared" si="9"/>
        <v>0</v>
      </c>
      <c r="Y460" s="3055">
        <f t="shared" si="10"/>
        <v>0</v>
      </c>
      <c r="Z460" s="3055">
        <f t="shared" si="11"/>
        <v>0</v>
      </c>
      <c r="AA460" s="3055">
        <f t="shared" si="12"/>
        <v>0</v>
      </c>
      <c r="AB460" s="3055">
        <f t="shared" si="13"/>
        <v>0</v>
      </c>
      <c r="AC460" s="3055">
        <f t="shared" si="14"/>
        <v>0</v>
      </c>
      <c r="AD460" s="3056"/>
      <c r="AE460" s="3057">
        <f t="shared" si="0"/>
      </c>
      <c r="AF460" s="3054"/>
      <c r="AG460" s="3054"/>
      <c r="AH460" s="3055"/>
      <c r="AI460" s="3055"/>
      <c r="AJ460" s="3055"/>
      <c r="AK460" s="3055"/>
      <c r="AL460" s="3055"/>
      <c r="AM460" s="3055"/>
      <c r="AN460" s="3055"/>
      <c r="AO460" s="3055"/>
      <c r="AP460" s="3055"/>
      <c r="AQ460" s="3055"/>
      <c r="AR460" s="3055"/>
      <c r="AS460" s="3055"/>
      <c r="AT460" s="3055"/>
      <c r="AU460" s="3056"/>
      <c r="AV460" s="3057">
        <f t="shared" si="15"/>
      </c>
      <c r="AW460" s="3054"/>
      <c r="AX460" s="3054"/>
      <c r="AY460" s="3055"/>
      <c r="AZ460" s="3055"/>
      <c r="BA460" s="3055"/>
      <c r="BB460" s="3055"/>
      <c r="BC460" s="3055"/>
      <c r="BD460" s="3055"/>
      <c r="BE460" s="3055"/>
      <c r="BF460" s="3055"/>
      <c r="BG460" s="3055"/>
      <c r="BH460" s="3055"/>
      <c r="BI460" s="3055"/>
      <c r="BJ460" s="3055"/>
      <c r="BK460" s="3055"/>
      <c r="BL460" s="3056"/>
      <c r="BM460" s="3057">
        <f t="shared" si="16"/>
      </c>
      <c r="BN460" s="3054"/>
      <c r="BO460" s="3054"/>
      <c r="BP460" s="3055"/>
      <c r="BQ460" s="3055"/>
      <c r="BR460" s="3055"/>
      <c r="BS460" s="3055"/>
      <c r="BT460" s="3055"/>
      <c r="BU460" s="3055"/>
      <c r="BV460" s="3055"/>
      <c r="BW460" s="3055"/>
      <c r="BX460" s="3055"/>
      <c r="BY460" s="3055"/>
      <c r="BZ460" s="3055"/>
      <c r="CA460" s="3055"/>
      <c r="CB460" s="3055"/>
      <c r="CC460" s="3056"/>
      <c r="CD460" s="3057">
        <f t="shared" si="0"/>
      </c>
      <c r="CE460" s="3054"/>
      <c r="CF460" s="3054"/>
      <c r="CG460" s="3055"/>
      <c r="CH460" s="3055"/>
      <c r="CI460" s="3055"/>
      <c r="CJ460" s="3055"/>
      <c r="CK460" s="3055"/>
      <c r="CL460" s="3055"/>
      <c r="CM460" s="3055"/>
      <c r="CN460" s="3055"/>
      <c r="CO460" s="3055"/>
      <c r="CP460" s="3055"/>
      <c r="CQ460" s="3055"/>
      <c r="CR460" s="3055"/>
      <c r="CS460" s="3055"/>
      <c r="CU460" s="3054"/>
      <c r="CV460" s="696"/>
      <c r="CW460" s="696"/>
      <c r="CZ460" s="3060">
        <f t="shared" si="17"/>
      </c>
      <c r="DA460" s="3060">
        <f t="shared" si="1"/>
      </c>
      <c r="DB460" s="3060">
        <f t="shared" si="18"/>
      </c>
      <c r="DC460" s="3060">
        <f t="shared" si="19"/>
      </c>
      <c r="DD460" s="3060">
        <f t="shared" si="20"/>
      </c>
      <c r="DE460" s="3060">
        <f t="shared" si="21"/>
      </c>
      <c r="DF460" s="3060">
        <f t="shared" si="22"/>
      </c>
      <c r="DG460" s="3060">
        <f t="shared" si="23"/>
      </c>
      <c r="DH460" s="3060">
        <f t="shared" si="24"/>
      </c>
      <c r="DI460" s="3060">
        <f t="shared" si="1"/>
      </c>
    </row>
    <row r="461" ht="15" customHeight="1" s="3052" customFormat="1">
      <c r="B461" s="3054">
        <f t="shared" si="2"/>
      </c>
      <c r="C461" s="3054"/>
      <c r="D461" s="3054"/>
      <c r="E461" s="3055"/>
      <c r="F461" s="3055"/>
      <c r="G461" s="3055"/>
      <c r="H461" s="3055"/>
      <c r="I461" s="3055"/>
      <c r="J461" s="3055"/>
      <c r="K461" s="3055"/>
      <c r="L461" s="3055"/>
      <c r="M461" s="3055"/>
      <c r="N461" s="3055"/>
      <c r="O461" s="3055"/>
      <c r="P461" s="3055"/>
      <c r="Q461" s="3055"/>
      <c r="R461" s="3055">
        <f t="shared" si="3"/>
        <v>0</v>
      </c>
      <c r="S461" s="3055">
        <f t="shared" si="4"/>
        <v>0</v>
      </c>
      <c r="T461" s="3055">
        <f t="shared" si="5"/>
        <v>0</v>
      </c>
      <c r="U461" s="3055">
        <f t="shared" si="6"/>
        <v>0</v>
      </c>
      <c r="V461" s="3055">
        <f t="shared" si="7"/>
        <v>0</v>
      </c>
      <c r="W461" s="3055">
        <f t="shared" si="8"/>
        <v>0</v>
      </c>
      <c r="X461" s="3055">
        <f t="shared" si="9"/>
        <v>0</v>
      </c>
      <c r="Y461" s="3055">
        <f t="shared" si="10"/>
        <v>0</v>
      </c>
      <c r="Z461" s="3055">
        <f t="shared" si="11"/>
        <v>0</v>
      </c>
      <c r="AA461" s="3055">
        <f t="shared" si="12"/>
        <v>0</v>
      </c>
      <c r="AB461" s="3055">
        <f t="shared" si="13"/>
        <v>0</v>
      </c>
      <c r="AC461" s="3055">
        <f t="shared" si="14"/>
        <v>0</v>
      </c>
      <c r="AD461" s="3056"/>
      <c r="AE461" s="3057">
        <f t="shared" si="0"/>
      </c>
      <c r="AF461" s="3054"/>
      <c r="AG461" s="3054"/>
      <c r="AH461" s="3055"/>
      <c r="AI461" s="3055"/>
      <c r="AJ461" s="3055"/>
      <c r="AK461" s="3055"/>
      <c r="AL461" s="3055"/>
      <c r="AM461" s="3055"/>
      <c r="AN461" s="3055"/>
      <c r="AO461" s="3055"/>
      <c r="AP461" s="3055"/>
      <c r="AQ461" s="3055"/>
      <c r="AR461" s="3055"/>
      <c r="AS461" s="3055"/>
      <c r="AT461" s="3055"/>
      <c r="AU461" s="3056"/>
      <c r="AV461" s="3057">
        <f t="shared" si="15"/>
      </c>
      <c r="AW461" s="3054"/>
      <c r="AX461" s="3054"/>
      <c r="AY461" s="3055"/>
      <c r="AZ461" s="3055"/>
      <c r="BA461" s="3055"/>
      <c r="BB461" s="3055"/>
      <c r="BC461" s="3055"/>
      <c r="BD461" s="3055"/>
      <c r="BE461" s="3055"/>
      <c r="BF461" s="3055"/>
      <c r="BG461" s="3055"/>
      <c r="BH461" s="3055"/>
      <c r="BI461" s="3055"/>
      <c r="BJ461" s="3055"/>
      <c r="BK461" s="3055"/>
      <c r="BL461" s="3056"/>
      <c r="BM461" s="3057">
        <f t="shared" si="16"/>
      </c>
      <c r="BN461" s="3054"/>
      <c r="BO461" s="3054"/>
      <c r="BP461" s="3055"/>
      <c r="BQ461" s="3055"/>
      <c r="BR461" s="3055"/>
      <c r="BS461" s="3055"/>
      <c r="BT461" s="3055"/>
      <c r="BU461" s="3055"/>
      <c r="BV461" s="3055"/>
      <c r="BW461" s="3055"/>
      <c r="BX461" s="3055"/>
      <c r="BY461" s="3055"/>
      <c r="BZ461" s="3055"/>
      <c r="CA461" s="3055"/>
      <c r="CB461" s="3055"/>
      <c r="CC461" s="3056"/>
      <c r="CD461" s="3057">
        <f t="shared" si="0"/>
      </c>
      <c r="CE461" s="3054"/>
      <c r="CF461" s="3054"/>
      <c r="CG461" s="3055"/>
      <c r="CH461" s="3055"/>
      <c r="CI461" s="3055"/>
      <c r="CJ461" s="3055"/>
      <c r="CK461" s="3055"/>
      <c r="CL461" s="3055"/>
      <c r="CM461" s="3055"/>
      <c r="CN461" s="3055"/>
      <c r="CO461" s="3055"/>
      <c r="CP461" s="3055"/>
      <c r="CQ461" s="3055"/>
      <c r="CR461" s="3055"/>
      <c r="CS461" s="3055"/>
      <c r="CU461" s="3054"/>
      <c r="CV461" s="696"/>
      <c r="CW461" s="696"/>
      <c r="CZ461" s="3060">
        <f t="shared" si="17"/>
      </c>
      <c r="DA461" s="3060">
        <f t="shared" si="1"/>
      </c>
      <c r="DB461" s="3060">
        <f t="shared" si="18"/>
      </c>
      <c r="DC461" s="3060">
        <f t="shared" si="19"/>
      </c>
      <c r="DD461" s="3060">
        <f t="shared" si="20"/>
      </c>
      <c r="DE461" s="3060">
        <f t="shared" si="21"/>
      </c>
      <c r="DF461" s="3060">
        <f t="shared" si="22"/>
      </c>
      <c r="DG461" s="3060">
        <f t="shared" si="23"/>
      </c>
      <c r="DH461" s="3060">
        <f t="shared" si="24"/>
      </c>
      <c r="DI461" s="3060">
        <f t="shared" si="1"/>
      </c>
    </row>
    <row r="462" ht="15" customHeight="1" s="3052" customFormat="1">
      <c r="B462" s="3054">
        <f t="shared" si="2"/>
      </c>
      <c r="C462" s="3054"/>
      <c r="D462" s="3054"/>
      <c r="E462" s="3055"/>
      <c r="F462" s="3055"/>
      <c r="G462" s="3055"/>
      <c r="H462" s="3055"/>
      <c r="I462" s="3055"/>
      <c r="J462" s="3055"/>
      <c r="K462" s="3055"/>
      <c r="L462" s="3055"/>
      <c r="M462" s="3055"/>
      <c r="N462" s="3055"/>
      <c r="O462" s="3055"/>
      <c r="P462" s="3055"/>
      <c r="Q462" s="3055"/>
      <c r="R462" s="3055">
        <f t="shared" si="3"/>
        <v>0</v>
      </c>
      <c r="S462" s="3055">
        <f t="shared" si="4"/>
        <v>0</v>
      </c>
      <c r="T462" s="3055">
        <f t="shared" si="5"/>
        <v>0</v>
      </c>
      <c r="U462" s="3055">
        <f t="shared" si="6"/>
        <v>0</v>
      </c>
      <c r="V462" s="3055">
        <f t="shared" si="7"/>
        <v>0</v>
      </c>
      <c r="W462" s="3055">
        <f t="shared" si="8"/>
        <v>0</v>
      </c>
      <c r="X462" s="3055">
        <f t="shared" si="9"/>
        <v>0</v>
      </c>
      <c r="Y462" s="3055">
        <f t="shared" si="10"/>
        <v>0</v>
      </c>
      <c r="Z462" s="3055">
        <f t="shared" si="11"/>
        <v>0</v>
      </c>
      <c r="AA462" s="3055">
        <f t="shared" si="12"/>
        <v>0</v>
      </c>
      <c r="AB462" s="3055">
        <f t="shared" si="13"/>
        <v>0</v>
      </c>
      <c r="AC462" s="3055">
        <f t="shared" si="14"/>
        <v>0</v>
      </c>
      <c r="AD462" s="3056"/>
      <c r="AE462" s="3057">
        <f t="shared" si="0"/>
      </c>
      <c r="AF462" s="3054"/>
      <c r="AG462" s="3054"/>
      <c r="AH462" s="3055"/>
      <c r="AI462" s="3055"/>
      <c r="AJ462" s="3055"/>
      <c r="AK462" s="3055"/>
      <c r="AL462" s="3055"/>
      <c r="AM462" s="3055"/>
      <c r="AN462" s="3055"/>
      <c r="AO462" s="3055"/>
      <c r="AP462" s="3055"/>
      <c r="AQ462" s="3055"/>
      <c r="AR462" s="3055"/>
      <c r="AS462" s="3055"/>
      <c r="AT462" s="3055"/>
      <c r="AU462" s="3056"/>
      <c r="AV462" s="3057">
        <f t="shared" si="15"/>
      </c>
      <c r="AW462" s="3054"/>
      <c r="AX462" s="3054"/>
      <c r="AY462" s="3055"/>
      <c r="AZ462" s="3055"/>
      <c r="BA462" s="3055"/>
      <c r="BB462" s="3055"/>
      <c r="BC462" s="3055"/>
      <c r="BD462" s="3055"/>
      <c r="BE462" s="3055"/>
      <c r="BF462" s="3055"/>
      <c r="BG462" s="3055"/>
      <c r="BH462" s="3055"/>
      <c r="BI462" s="3055"/>
      <c r="BJ462" s="3055"/>
      <c r="BK462" s="3055"/>
      <c r="BL462" s="3056"/>
      <c r="BM462" s="3057">
        <f t="shared" si="16"/>
      </c>
      <c r="BN462" s="3054"/>
      <c r="BO462" s="3054"/>
      <c r="BP462" s="3055"/>
      <c r="BQ462" s="3055"/>
      <c r="BR462" s="3055"/>
      <c r="BS462" s="3055"/>
      <c r="BT462" s="3055"/>
      <c r="BU462" s="3055"/>
      <c r="BV462" s="3055"/>
      <c r="BW462" s="3055"/>
      <c r="BX462" s="3055"/>
      <c r="BY462" s="3055"/>
      <c r="BZ462" s="3055"/>
      <c r="CA462" s="3055"/>
      <c r="CB462" s="3055"/>
      <c r="CC462" s="3056"/>
      <c r="CD462" s="3057">
        <f t="shared" si="0"/>
      </c>
      <c r="CE462" s="3054"/>
      <c r="CF462" s="3054"/>
      <c r="CG462" s="3055"/>
      <c r="CH462" s="3055"/>
      <c r="CI462" s="3055"/>
      <c r="CJ462" s="3055"/>
      <c r="CK462" s="3055"/>
      <c r="CL462" s="3055"/>
      <c r="CM462" s="3055"/>
      <c r="CN462" s="3055"/>
      <c r="CO462" s="3055"/>
      <c r="CP462" s="3055"/>
      <c r="CQ462" s="3055"/>
      <c r="CR462" s="3055"/>
      <c r="CS462" s="3055"/>
      <c r="CU462" s="3054"/>
      <c r="CV462" s="696"/>
      <c r="CW462" s="696"/>
      <c r="CZ462" s="3060">
        <f t="shared" si="17"/>
      </c>
      <c r="DA462" s="3060">
        <f t="shared" si="1"/>
      </c>
      <c r="DB462" s="3060">
        <f t="shared" si="18"/>
      </c>
      <c r="DC462" s="3060">
        <f t="shared" si="19"/>
      </c>
      <c r="DD462" s="3060">
        <f t="shared" si="20"/>
      </c>
      <c r="DE462" s="3060">
        <f t="shared" si="21"/>
      </c>
      <c r="DF462" s="3060">
        <f t="shared" si="22"/>
      </c>
      <c r="DG462" s="3060">
        <f t="shared" si="23"/>
      </c>
      <c r="DH462" s="3060">
        <f t="shared" si="24"/>
      </c>
      <c r="DI462" s="3060">
        <f t="shared" si="1"/>
      </c>
    </row>
    <row r="463" ht="15" customHeight="1" s="3052" customFormat="1">
      <c r="B463" s="3054">
        <f t="shared" si="2"/>
      </c>
      <c r="C463" s="3054"/>
      <c r="D463" s="3054"/>
      <c r="E463" s="3055"/>
      <c r="F463" s="3055"/>
      <c r="G463" s="3055"/>
      <c r="H463" s="3055"/>
      <c r="I463" s="3055"/>
      <c r="J463" s="3055"/>
      <c r="K463" s="3055"/>
      <c r="L463" s="3055"/>
      <c r="M463" s="3055"/>
      <c r="N463" s="3055"/>
      <c r="O463" s="3055"/>
      <c r="P463" s="3055"/>
      <c r="Q463" s="3055"/>
      <c r="R463" s="3055">
        <f t="shared" si="3"/>
        <v>0</v>
      </c>
      <c r="S463" s="3055">
        <f t="shared" si="4"/>
        <v>0</v>
      </c>
      <c r="T463" s="3055">
        <f t="shared" si="5"/>
        <v>0</v>
      </c>
      <c r="U463" s="3055">
        <f t="shared" si="6"/>
        <v>0</v>
      </c>
      <c r="V463" s="3055">
        <f t="shared" si="7"/>
        <v>0</v>
      </c>
      <c r="W463" s="3055">
        <f t="shared" si="8"/>
        <v>0</v>
      </c>
      <c r="X463" s="3055">
        <f t="shared" si="9"/>
        <v>0</v>
      </c>
      <c r="Y463" s="3055">
        <f t="shared" si="10"/>
        <v>0</v>
      </c>
      <c r="Z463" s="3055">
        <f t="shared" si="11"/>
        <v>0</v>
      </c>
      <c r="AA463" s="3055">
        <f t="shared" si="12"/>
        <v>0</v>
      </c>
      <c r="AB463" s="3055">
        <f t="shared" si="13"/>
        <v>0</v>
      </c>
      <c r="AC463" s="3055">
        <f t="shared" si="14"/>
        <v>0</v>
      </c>
      <c r="AD463" s="3056"/>
      <c r="AE463" s="3057">
        <f t="shared" si="0"/>
      </c>
      <c r="AF463" s="3054"/>
      <c r="AG463" s="3054"/>
      <c r="AH463" s="3055"/>
      <c r="AI463" s="3055"/>
      <c r="AJ463" s="3055"/>
      <c r="AK463" s="3055"/>
      <c r="AL463" s="3055"/>
      <c r="AM463" s="3055"/>
      <c r="AN463" s="3055"/>
      <c r="AO463" s="3055"/>
      <c r="AP463" s="3055"/>
      <c r="AQ463" s="3055"/>
      <c r="AR463" s="3055"/>
      <c r="AS463" s="3055"/>
      <c r="AT463" s="3055"/>
      <c r="AU463" s="3056"/>
      <c r="AV463" s="3057">
        <f t="shared" si="15"/>
      </c>
      <c r="AW463" s="3054"/>
      <c r="AX463" s="3054"/>
      <c r="AY463" s="3055"/>
      <c r="AZ463" s="3055"/>
      <c r="BA463" s="3055"/>
      <c r="BB463" s="3055"/>
      <c r="BC463" s="3055"/>
      <c r="BD463" s="3055"/>
      <c r="BE463" s="3055"/>
      <c r="BF463" s="3055"/>
      <c r="BG463" s="3055"/>
      <c r="BH463" s="3055"/>
      <c r="BI463" s="3055"/>
      <c r="BJ463" s="3055"/>
      <c r="BK463" s="3055"/>
      <c r="BL463" s="3056"/>
      <c r="BM463" s="3057">
        <f t="shared" si="16"/>
      </c>
      <c r="BN463" s="3054"/>
      <c r="BO463" s="3054"/>
      <c r="BP463" s="3055"/>
      <c r="BQ463" s="3055"/>
      <c r="BR463" s="3055"/>
      <c r="BS463" s="3055"/>
      <c r="BT463" s="3055"/>
      <c r="BU463" s="3055"/>
      <c r="BV463" s="3055"/>
      <c r="BW463" s="3055"/>
      <c r="BX463" s="3055"/>
      <c r="BY463" s="3055"/>
      <c r="BZ463" s="3055"/>
      <c r="CA463" s="3055"/>
      <c r="CB463" s="3055"/>
      <c r="CC463" s="3056"/>
      <c r="CD463" s="3057">
        <f t="shared" si="0"/>
      </c>
      <c r="CE463" s="3054"/>
      <c r="CF463" s="3054"/>
      <c r="CG463" s="3055"/>
      <c r="CH463" s="3055"/>
      <c r="CI463" s="3055"/>
      <c r="CJ463" s="3055"/>
      <c r="CK463" s="3055"/>
      <c r="CL463" s="3055"/>
      <c r="CM463" s="3055"/>
      <c r="CN463" s="3055"/>
      <c r="CO463" s="3055"/>
      <c r="CP463" s="3055"/>
      <c r="CQ463" s="3055"/>
      <c r="CR463" s="3055"/>
      <c r="CS463" s="3055"/>
      <c r="CU463" s="3054"/>
      <c r="CV463" s="696"/>
      <c r="CW463" s="696"/>
      <c r="CZ463" s="3060">
        <f t="shared" si="17"/>
      </c>
      <c r="DA463" s="3060">
        <f t="shared" si="1"/>
      </c>
      <c r="DB463" s="3060">
        <f t="shared" si="18"/>
      </c>
      <c r="DC463" s="3060">
        <f t="shared" si="19"/>
      </c>
      <c r="DD463" s="3060">
        <f t="shared" si="20"/>
      </c>
      <c r="DE463" s="3060">
        <f t="shared" si="21"/>
      </c>
      <c r="DF463" s="3060">
        <f t="shared" si="22"/>
      </c>
      <c r="DG463" s="3060">
        <f t="shared" si="23"/>
      </c>
      <c r="DH463" s="3060">
        <f t="shared" si="24"/>
      </c>
      <c r="DI463" s="3060">
        <f t="shared" si="1"/>
      </c>
    </row>
    <row r="464" ht="15" customHeight="1" s="3052" customFormat="1">
      <c r="B464" s="3054">
        <f t="shared" si="2"/>
      </c>
      <c r="C464" s="3054"/>
      <c r="D464" s="3054"/>
      <c r="E464" s="3055"/>
      <c r="F464" s="3055"/>
      <c r="G464" s="3055"/>
      <c r="H464" s="3055"/>
      <c r="I464" s="3055"/>
      <c r="J464" s="3055"/>
      <c r="K464" s="3055"/>
      <c r="L464" s="3055"/>
      <c r="M464" s="3055"/>
      <c r="N464" s="3055"/>
      <c r="O464" s="3055"/>
      <c r="P464" s="3055"/>
      <c r="Q464" s="3055"/>
      <c r="R464" s="3055">
        <f t="shared" si="3"/>
        <v>0</v>
      </c>
      <c r="S464" s="3055">
        <f t="shared" si="4"/>
        <v>0</v>
      </c>
      <c r="T464" s="3055">
        <f t="shared" si="5"/>
        <v>0</v>
      </c>
      <c r="U464" s="3055">
        <f t="shared" si="6"/>
        <v>0</v>
      </c>
      <c r="V464" s="3055">
        <f t="shared" si="7"/>
        <v>0</v>
      </c>
      <c r="W464" s="3055">
        <f t="shared" si="8"/>
        <v>0</v>
      </c>
      <c r="X464" s="3055">
        <f t="shared" si="9"/>
        <v>0</v>
      </c>
      <c r="Y464" s="3055">
        <f t="shared" si="10"/>
        <v>0</v>
      </c>
      <c r="Z464" s="3055">
        <f t="shared" si="11"/>
        <v>0</v>
      </c>
      <c r="AA464" s="3055">
        <f t="shared" si="12"/>
        <v>0</v>
      </c>
      <c r="AB464" s="3055">
        <f t="shared" si="13"/>
        <v>0</v>
      </c>
      <c r="AC464" s="3055">
        <f t="shared" si="14"/>
        <v>0</v>
      </c>
      <c r="AD464" s="3056"/>
      <c r="AE464" s="3057">
        <f t="shared" si="0"/>
      </c>
      <c r="AF464" s="3054"/>
      <c r="AG464" s="3054"/>
      <c r="AH464" s="3055"/>
      <c r="AI464" s="3055"/>
      <c r="AJ464" s="3055"/>
      <c r="AK464" s="3055"/>
      <c r="AL464" s="3055"/>
      <c r="AM464" s="3055"/>
      <c r="AN464" s="3055"/>
      <c r="AO464" s="3055"/>
      <c r="AP464" s="3055"/>
      <c r="AQ464" s="3055"/>
      <c r="AR464" s="3055"/>
      <c r="AS464" s="3055"/>
      <c r="AT464" s="3055"/>
      <c r="AU464" s="3056"/>
      <c r="AV464" s="3057">
        <f t="shared" si="15"/>
      </c>
      <c r="AW464" s="3054"/>
      <c r="AX464" s="3054"/>
      <c r="AY464" s="3055"/>
      <c r="AZ464" s="3055"/>
      <c r="BA464" s="3055"/>
      <c r="BB464" s="3055"/>
      <c r="BC464" s="3055"/>
      <c r="BD464" s="3055"/>
      <c r="BE464" s="3055"/>
      <c r="BF464" s="3055"/>
      <c r="BG464" s="3055"/>
      <c r="BH464" s="3055"/>
      <c r="BI464" s="3055"/>
      <c r="BJ464" s="3055"/>
      <c r="BK464" s="3055"/>
      <c r="BL464" s="3056"/>
      <c r="BM464" s="3057">
        <f t="shared" si="16"/>
      </c>
      <c r="BN464" s="3054"/>
      <c r="BO464" s="3054"/>
      <c r="BP464" s="3055"/>
      <c r="BQ464" s="3055"/>
      <c r="BR464" s="3055"/>
      <c r="BS464" s="3055"/>
      <c r="BT464" s="3055"/>
      <c r="BU464" s="3055"/>
      <c r="BV464" s="3055"/>
      <c r="BW464" s="3055"/>
      <c r="BX464" s="3055"/>
      <c r="BY464" s="3055"/>
      <c r="BZ464" s="3055"/>
      <c r="CA464" s="3055"/>
      <c r="CB464" s="3055"/>
      <c r="CC464" s="3056"/>
      <c r="CD464" s="3057">
        <f t="shared" si="0"/>
      </c>
      <c r="CE464" s="3054"/>
      <c r="CF464" s="3054"/>
      <c r="CG464" s="3055"/>
      <c r="CH464" s="3055"/>
      <c r="CI464" s="3055"/>
      <c r="CJ464" s="3055"/>
      <c r="CK464" s="3055"/>
      <c r="CL464" s="3055"/>
      <c r="CM464" s="3055"/>
      <c r="CN464" s="3055"/>
      <c r="CO464" s="3055"/>
      <c r="CP464" s="3055"/>
      <c r="CQ464" s="3055"/>
      <c r="CR464" s="3055"/>
      <c r="CS464" s="3055"/>
      <c r="CU464" s="3054"/>
      <c r="CV464" s="696"/>
      <c r="CW464" s="696"/>
      <c r="CZ464" s="3060">
        <f t="shared" si="17"/>
      </c>
      <c r="DA464" s="3060">
        <f t="shared" si="1"/>
      </c>
      <c r="DB464" s="3060">
        <f t="shared" si="18"/>
      </c>
      <c r="DC464" s="3060">
        <f t="shared" si="19"/>
      </c>
      <c r="DD464" s="3060">
        <f t="shared" si="20"/>
      </c>
      <c r="DE464" s="3060">
        <f t="shared" si="21"/>
      </c>
      <c r="DF464" s="3060">
        <f t="shared" si="22"/>
      </c>
      <c r="DG464" s="3060">
        <f t="shared" si="23"/>
      </c>
      <c r="DH464" s="3060">
        <f t="shared" si="24"/>
      </c>
      <c r="DI464" s="3060">
        <f t="shared" si="1"/>
      </c>
    </row>
    <row r="465" ht="15" customHeight="1" s="3052" customFormat="1">
      <c r="B465" s="3054">
        <f t="shared" si="2"/>
      </c>
      <c r="C465" s="3054"/>
      <c r="D465" s="3054"/>
      <c r="E465" s="3055"/>
      <c r="F465" s="3055"/>
      <c r="G465" s="3055"/>
      <c r="H465" s="3055"/>
      <c r="I465" s="3055"/>
      <c r="J465" s="3055"/>
      <c r="K465" s="3055"/>
      <c r="L465" s="3055"/>
      <c r="M465" s="3055"/>
      <c r="N465" s="3055"/>
      <c r="O465" s="3055"/>
      <c r="P465" s="3055"/>
      <c r="Q465" s="3055"/>
      <c r="R465" s="3055">
        <f t="shared" si="3"/>
        <v>0</v>
      </c>
      <c r="S465" s="3055">
        <f t="shared" si="4"/>
        <v>0</v>
      </c>
      <c r="T465" s="3055">
        <f t="shared" si="5"/>
        <v>0</v>
      </c>
      <c r="U465" s="3055">
        <f t="shared" si="6"/>
        <v>0</v>
      </c>
      <c r="V465" s="3055">
        <f t="shared" si="7"/>
        <v>0</v>
      </c>
      <c r="W465" s="3055">
        <f t="shared" si="8"/>
        <v>0</v>
      </c>
      <c r="X465" s="3055">
        <f t="shared" si="9"/>
        <v>0</v>
      </c>
      <c r="Y465" s="3055">
        <f t="shared" si="10"/>
        <v>0</v>
      </c>
      <c r="Z465" s="3055">
        <f t="shared" si="11"/>
        <v>0</v>
      </c>
      <c r="AA465" s="3055">
        <f t="shared" si="12"/>
        <v>0</v>
      </c>
      <c r="AB465" s="3055">
        <f t="shared" si="13"/>
        <v>0</v>
      </c>
      <c r="AC465" s="3055">
        <f t="shared" si="14"/>
        <v>0</v>
      </c>
      <c r="AD465" s="3056"/>
      <c r="AE465" s="3057">
        <f t="shared" si="0"/>
      </c>
      <c r="AF465" s="3054"/>
      <c r="AG465" s="3054"/>
      <c r="AH465" s="3055"/>
      <c r="AI465" s="3055"/>
      <c r="AJ465" s="3055"/>
      <c r="AK465" s="3055"/>
      <c r="AL465" s="3055"/>
      <c r="AM465" s="3055"/>
      <c r="AN465" s="3055"/>
      <c r="AO465" s="3055"/>
      <c r="AP465" s="3055"/>
      <c r="AQ465" s="3055"/>
      <c r="AR465" s="3055"/>
      <c r="AS465" s="3055"/>
      <c r="AT465" s="3055"/>
      <c r="AU465" s="3056"/>
      <c r="AV465" s="3057">
        <f t="shared" si="15"/>
      </c>
      <c r="AW465" s="3054"/>
      <c r="AX465" s="3054"/>
      <c r="AY465" s="3055"/>
      <c r="AZ465" s="3055"/>
      <c r="BA465" s="3055"/>
      <c r="BB465" s="3055"/>
      <c r="BC465" s="3055"/>
      <c r="BD465" s="3055"/>
      <c r="BE465" s="3055"/>
      <c r="BF465" s="3055"/>
      <c r="BG465" s="3055"/>
      <c r="BH465" s="3055"/>
      <c r="BI465" s="3055"/>
      <c r="BJ465" s="3055"/>
      <c r="BK465" s="3055"/>
      <c r="BL465" s="3056"/>
      <c r="BM465" s="3057">
        <f t="shared" si="16"/>
      </c>
      <c r="BN465" s="3054"/>
      <c r="BO465" s="3054"/>
      <c r="BP465" s="3055"/>
      <c r="BQ465" s="3055"/>
      <c r="BR465" s="3055"/>
      <c r="BS465" s="3055"/>
      <c r="BT465" s="3055"/>
      <c r="BU465" s="3055"/>
      <c r="BV465" s="3055"/>
      <c r="BW465" s="3055"/>
      <c r="BX465" s="3055"/>
      <c r="BY465" s="3055"/>
      <c r="BZ465" s="3055"/>
      <c r="CA465" s="3055"/>
      <c r="CB465" s="3055"/>
      <c r="CC465" s="3056"/>
      <c r="CD465" s="3057">
        <f t="shared" si="0"/>
      </c>
      <c r="CE465" s="3054"/>
      <c r="CF465" s="3054"/>
      <c r="CG465" s="3055"/>
      <c r="CH465" s="3055"/>
      <c r="CI465" s="3055"/>
      <c r="CJ465" s="3055"/>
      <c r="CK465" s="3055"/>
      <c r="CL465" s="3055"/>
      <c r="CM465" s="3055"/>
      <c r="CN465" s="3055"/>
      <c r="CO465" s="3055"/>
      <c r="CP465" s="3055"/>
      <c r="CQ465" s="3055"/>
      <c r="CR465" s="3055"/>
      <c r="CS465" s="3055"/>
      <c r="CU465" s="3054"/>
      <c r="CV465" s="696"/>
      <c r="CW465" s="696"/>
      <c r="CZ465" s="3060">
        <f t="shared" si="17"/>
      </c>
      <c r="DA465" s="3060">
        <f t="shared" si="1"/>
      </c>
      <c r="DB465" s="3060">
        <f t="shared" si="18"/>
      </c>
      <c r="DC465" s="3060">
        <f t="shared" si="19"/>
      </c>
      <c r="DD465" s="3060">
        <f t="shared" si="20"/>
      </c>
      <c r="DE465" s="3060">
        <f t="shared" si="21"/>
      </c>
      <c r="DF465" s="3060">
        <f t="shared" si="22"/>
      </c>
      <c r="DG465" s="3060">
        <f t="shared" si="23"/>
      </c>
      <c r="DH465" s="3060">
        <f t="shared" si="24"/>
      </c>
      <c r="DI465" s="3060">
        <f t="shared" si="1"/>
      </c>
    </row>
    <row r="466" ht="15" customHeight="1" s="3052" customFormat="1">
      <c r="B466" s="3054">
        <f t="shared" si="2"/>
      </c>
      <c r="C466" s="3054"/>
      <c r="D466" s="3054"/>
      <c r="E466" s="3055"/>
      <c r="F466" s="3055"/>
      <c r="G466" s="3055"/>
      <c r="H466" s="3055"/>
      <c r="I466" s="3055"/>
      <c r="J466" s="3055"/>
      <c r="K466" s="3055"/>
      <c r="L466" s="3055"/>
      <c r="M466" s="3055"/>
      <c r="N466" s="3055"/>
      <c r="O466" s="3055"/>
      <c r="P466" s="3055"/>
      <c r="Q466" s="3055"/>
      <c r="R466" s="3055">
        <f t="shared" si="3"/>
        <v>0</v>
      </c>
      <c r="S466" s="3055">
        <f t="shared" si="4"/>
        <v>0</v>
      </c>
      <c r="T466" s="3055">
        <f t="shared" si="5"/>
        <v>0</v>
      </c>
      <c r="U466" s="3055">
        <f t="shared" si="6"/>
        <v>0</v>
      </c>
      <c r="V466" s="3055">
        <f t="shared" si="7"/>
        <v>0</v>
      </c>
      <c r="W466" s="3055">
        <f t="shared" si="8"/>
        <v>0</v>
      </c>
      <c r="X466" s="3055">
        <f t="shared" si="9"/>
        <v>0</v>
      </c>
      <c r="Y466" s="3055">
        <f t="shared" si="10"/>
        <v>0</v>
      </c>
      <c r="Z466" s="3055">
        <f t="shared" si="11"/>
        <v>0</v>
      </c>
      <c r="AA466" s="3055">
        <f t="shared" si="12"/>
        <v>0</v>
      </c>
      <c r="AB466" s="3055">
        <f t="shared" si="13"/>
        <v>0</v>
      </c>
      <c r="AC466" s="3055">
        <f t="shared" si="14"/>
        <v>0</v>
      </c>
      <c r="AD466" s="3056"/>
      <c r="AE466" s="3057">
        <f t="shared" si="0"/>
      </c>
      <c r="AF466" s="3054"/>
      <c r="AG466" s="3054"/>
      <c r="AH466" s="3055"/>
      <c r="AI466" s="3055"/>
      <c r="AJ466" s="3055"/>
      <c r="AK466" s="3055"/>
      <c r="AL466" s="3055"/>
      <c r="AM466" s="3055"/>
      <c r="AN466" s="3055"/>
      <c r="AO466" s="3055"/>
      <c r="AP466" s="3055"/>
      <c r="AQ466" s="3055"/>
      <c r="AR466" s="3055"/>
      <c r="AS466" s="3055"/>
      <c r="AT466" s="3055"/>
      <c r="AU466" s="3056"/>
      <c r="AV466" s="3057">
        <f t="shared" si="15"/>
      </c>
      <c r="AW466" s="3054"/>
      <c r="AX466" s="3054"/>
      <c r="AY466" s="3055"/>
      <c r="AZ466" s="3055"/>
      <c r="BA466" s="3055"/>
      <c r="BB466" s="3055"/>
      <c r="BC466" s="3055"/>
      <c r="BD466" s="3055"/>
      <c r="BE466" s="3055"/>
      <c r="BF466" s="3055"/>
      <c r="BG466" s="3055"/>
      <c r="BH466" s="3055"/>
      <c r="BI466" s="3055"/>
      <c r="BJ466" s="3055"/>
      <c r="BK466" s="3055"/>
      <c r="BL466" s="3056"/>
      <c r="BM466" s="3057">
        <f t="shared" si="16"/>
      </c>
      <c r="BN466" s="3054"/>
      <c r="BO466" s="3054"/>
      <c r="BP466" s="3055"/>
      <c r="BQ466" s="3055"/>
      <c r="BR466" s="3055"/>
      <c r="BS466" s="3055"/>
      <c r="BT466" s="3055"/>
      <c r="BU466" s="3055"/>
      <c r="BV466" s="3055"/>
      <c r="BW466" s="3055"/>
      <c r="BX466" s="3055"/>
      <c r="BY466" s="3055"/>
      <c r="BZ466" s="3055"/>
      <c r="CA466" s="3055"/>
      <c r="CB466" s="3055"/>
      <c r="CC466" s="3056"/>
      <c r="CD466" s="3057">
        <f t="shared" si="0"/>
      </c>
      <c r="CE466" s="3054"/>
      <c r="CF466" s="3054"/>
      <c r="CG466" s="3055"/>
      <c r="CH466" s="3055"/>
      <c r="CI466" s="3055"/>
      <c r="CJ466" s="3055"/>
      <c r="CK466" s="3055"/>
      <c r="CL466" s="3055"/>
      <c r="CM466" s="3055"/>
      <c r="CN466" s="3055"/>
      <c r="CO466" s="3055"/>
      <c r="CP466" s="3055"/>
      <c r="CQ466" s="3055"/>
      <c r="CR466" s="3055"/>
      <c r="CS466" s="3055"/>
      <c r="CU466" s="3054"/>
      <c r="CV466" s="696"/>
      <c r="CW466" s="696"/>
      <c r="CZ466" s="3060">
        <f t="shared" si="17"/>
      </c>
      <c r="DA466" s="3060">
        <f t="shared" si="1"/>
      </c>
      <c r="DB466" s="3060">
        <f t="shared" si="18"/>
      </c>
      <c r="DC466" s="3060">
        <f t="shared" si="19"/>
      </c>
      <c r="DD466" s="3060">
        <f t="shared" si="20"/>
      </c>
      <c r="DE466" s="3060">
        <f t="shared" si="21"/>
      </c>
      <c r="DF466" s="3060">
        <f t="shared" si="22"/>
      </c>
      <c r="DG466" s="3060">
        <f t="shared" si="23"/>
      </c>
      <c r="DH466" s="3060">
        <f t="shared" si="24"/>
      </c>
      <c r="DI466" s="3060">
        <f t="shared" si="1"/>
      </c>
    </row>
    <row r="467" ht="15" customHeight="1" s="3052" customFormat="1">
      <c r="B467" s="3054">
        <f t="shared" si="2"/>
      </c>
      <c r="C467" s="3054"/>
      <c r="D467" s="3054"/>
      <c r="E467" s="3055"/>
      <c r="F467" s="3055"/>
      <c r="G467" s="3055"/>
      <c r="H467" s="3055"/>
      <c r="I467" s="3055"/>
      <c r="J467" s="3055"/>
      <c r="K467" s="3055"/>
      <c r="L467" s="3055"/>
      <c r="M467" s="3055"/>
      <c r="N467" s="3055"/>
      <c r="O467" s="3055"/>
      <c r="P467" s="3055"/>
      <c r="Q467" s="3055"/>
      <c r="R467" s="3055">
        <f t="shared" si="3"/>
        <v>0</v>
      </c>
      <c r="S467" s="3055">
        <f t="shared" si="4"/>
        <v>0</v>
      </c>
      <c r="T467" s="3055">
        <f t="shared" si="5"/>
        <v>0</v>
      </c>
      <c r="U467" s="3055">
        <f t="shared" si="6"/>
        <v>0</v>
      </c>
      <c r="V467" s="3055">
        <f t="shared" si="7"/>
        <v>0</v>
      </c>
      <c r="W467" s="3055">
        <f t="shared" si="8"/>
        <v>0</v>
      </c>
      <c r="X467" s="3055">
        <f t="shared" si="9"/>
        <v>0</v>
      </c>
      <c r="Y467" s="3055">
        <f t="shared" si="10"/>
        <v>0</v>
      </c>
      <c r="Z467" s="3055">
        <f t="shared" si="11"/>
        <v>0</v>
      </c>
      <c r="AA467" s="3055">
        <f t="shared" si="12"/>
        <v>0</v>
      </c>
      <c r="AB467" s="3055">
        <f t="shared" si="13"/>
        <v>0</v>
      </c>
      <c r="AC467" s="3055">
        <f t="shared" si="14"/>
        <v>0</v>
      </c>
      <c r="AD467" s="3056"/>
      <c r="AE467" s="3057">
        <f t="shared" si="0"/>
      </c>
      <c r="AF467" s="3054"/>
      <c r="AG467" s="3054"/>
      <c r="AH467" s="3055"/>
      <c r="AI467" s="3055"/>
      <c r="AJ467" s="3055"/>
      <c r="AK467" s="3055"/>
      <c r="AL467" s="3055"/>
      <c r="AM467" s="3055"/>
      <c r="AN467" s="3055"/>
      <c r="AO467" s="3055"/>
      <c r="AP467" s="3055"/>
      <c r="AQ467" s="3055"/>
      <c r="AR467" s="3055"/>
      <c r="AS467" s="3055"/>
      <c r="AT467" s="3055"/>
      <c r="AU467" s="3056"/>
      <c r="AV467" s="3057">
        <f t="shared" si="15"/>
      </c>
      <c r="AW467" s="3054"/>
      <c r="AX467" s="3054"/>
      <c r="AY467" s="3055"/>
      <c r="AZ467" s="3055"/>
      <c r="BA467" s="3055"/>
      <c r="BB467" s="3055"/>
      <c r="BC467" s="3055"/>
      <c r="BD467" s="3055"/>
      <c r="BE467" s="3055"/>
      <c r="BF467" s="3055"/>
      <c r="BG467" s="3055"/>
      <c r="BH467" s="3055"/>
      <c r="BI467" s="3055"/>
      <c r="BJ467" s="3055"/>
      <c r="BK467" s="3055"/>
      <c r="BL467" s="3056"/>
      <c r="BM467" s="3057">
        <f t="shared" si="16"/>
      </c>
      <c r="BN467" s="3054"/>
      <c r="BO467" s="3054"/>
      <c r="BP467" s="3055"/>
      <c r="BQ467" s="3055"/>
      <c r="BR467" s="3055"/>
      <c r="BS467" s="3055"/>
      <c r="BT467" s="3055"/>
      <c r="BU467" s="3055"/>
      <c r="BV467" s="3055"/>
      <c r="BW467" s="3055"/>
      <c r="BX467" s="3055"/>
      <c r="BY467" s="3055"/>
      <c r="BZ467" s="3055"/>
      <c r="CA467" s="3055"/>
      <c r="CB467" s="3055"/>
      <c r="CC467" s="3056"/>
      <c r="CD467" s="3057">
        <f t="shared" si="0"/>
      </c>
      <c r="CE467" s="3054"/>
      <c r="CF467" s="3054"/>
      <c r="CG467" s="3055"/>
      <c r="CH467" s="3055"/>
      <c r="CI467" s="3055"/>
      <c r="CJ467" s="3055"/>
      <c r="CK467" s="3055"/>
      <c r="CL467" s="3055"/>
      <c r="CM467" s="3055"/>
      <c r="CN467" s="3055"/>
      <c r="CO467" s="3055"/>
      <c r="CP467" s="3055"/>
      <c r="CQ467" s="3055"/>
      <c r="CR467" s="3055"/>
      <c r="CS467" s="3055"/>
      <c r="CU467" s="3054"/>
      <c r="CV467" s="696"/>
      <c r="CW467" s="696"/>
      <c r="CZ467" s="3060">
        <f t="shared" si="17"/>
      </c>
      <c r="DA467" s="3060">
        <f t="shared" si="1"/>
      </c>
      <c r="DB467" s="3060">
        <f t="shared" si="18"/>
      </c>
      <c r="DC467" s="3060">
        <f t="shared" si="19"/>
      </c>
      <c r="DD467" s="3060">
        <f t="shared" si="20"/>
      </c>
      <c r="DE467" s="3060">
        <f t="shared" si="21"/>
      </c>
      <c r="DF467" s="3060">
        <f t="shared" si="22"/>
      </c>
      <c r="DG467" s="3060">
        <f t="shared" si="23"/>
      </c>
      <c r="DH467" s="3060">
        <f t="shared" si="24"/>
      </c>
      <c r="DI467" s="3060">
        <f t="shared" si="1"/>
      </c>
    </row>
    <row r="468" ht="15" customHeight="1" s="3052" customFormat="1">
      <c r="B468" s="3054">
        <f t="shared" si="2"/>
      </c>
      <c r="C468" s="3054"/>
      <c r="D468" s="3054"/>
      <c r="E468" s="3055"/>
      <c r="F468" s="3055"/>
      <c r="G468" s="3055"/>
      <c r="H468" s="3055"/>
      <c r="I468" s="3055"/>
      <c r="J468" s="3055"/>
      <c r="K468" s="3055"/>
      <c r="L468" s="3055"/>
      <c r="M468" s="3055"/>
      <c r="N468" s="3055"/>
      <c r="O468" s="3055"/>
      <c r="P468" s="3055"/>
      <c r="Q468" s="3055"/>
      <c r="R468" s="3055">
        <f t="shared" si="3"/>
        <v>0</v>
      </c>
      <c r="S468" s="3055">
        <f t="shared" si="4"/>
        <v>0</v>
      </c>
      <c r="T468" s="3055">
        <f t="shared" si="5"/>
        <v>0</v>
      </c>
      <c r="U468" s="3055">
        <f t="shared" si="6"/>
        <v>0</v>
      </c>
      <c r="V468" s="3055">
        <f t="shared" si="7"/>
        <v>0</v>
      </c>
      <c r="W468" s="3055">
        <f t="shared" si="8"/>
        <v>0</v>
      </c>
      <c r="X468" s="3055">
        <f t="shared" si="9"/>
        <v>0</v>
      </c>
      <c r="Y468" s="3055">
        <f t="shared" si="10"/>
        <v>0</v>
      </c>
      <c r="Z468" s="3055">
        <f t="shared" si="11"/>
        <v>0</v>
      </c>
      <c r="AA468" s="3055">
        <f t="shared" si="12"/>
        <v>0</v>
      </c>
      <c r="AB468" s="3055">
        <f t="shared" si="13"/>
        <v>0</v>
      </c>
      <c r="AC468" s="3055">
        <f t="shared" si="14"/>
        <v>0</v>
      </c>
      <c r="AD468" s="3056"/>
      <c r="AE468" s="3057">
        <f t="shared" si="0"/>
      </c>
      <c r="AF468" s="3054"/>
      <c r="AG468" s="3054"/>
      <c r="AH468" s="3055"/>
      <c r="AI468" s="3055"/>
      <c r="AJ468" s="3055"/>
      <c r="AK468" s="3055"/>
      <c r="AL468" s="3055"/>
      <c r="AM468" s="3055"/>
      <c r="AN468" s="3055"/>
      <c r="AO468" s="3055"/>
      <c r="AP468" s="3055"/>
      <c r="AQ468" s="3055"/>
      <c r="AR468" s="3055"/>
      <c r="AS468" s="3055"/>
      <c r="AT468" s="3055"/>
      <c r="AU468" s="3056"/>
      <c r="AV468" s="3057">
        <f t="shared" si="15"/>
      </c>
      <c r="AW468" s="3054"/>
      <c r="AX468" s="3054"/>
      <c r="AY468" s="3055"/>
      <c r="AZ468" s="3055"/>
      <c r="BA468" s="3055"/>
      <c r="BB468" s="3055"/>
      <c r="BC468" s="3055"/>
      <c r="BD468" s="3055"/>
      <c r="BE468" s="3055"/>
      <c r="BF468" s="3055"/>
      <c r="BG468" s="3055"/>
      <c r="BH468" s="3055"/>
      <c r="BI468" s="3055"/>
      <c r="BJ468" s="3055"/>
      <c r="BK468" s="3055"/>
      <c r="BL468" s="3056"/>
      <c r="BM468" s="3057">
        <f t="shared" si="16"/>
      </c>
      <c r="BN468" s="3054"/>
      <c r="BO468" s="3054"/>
      <c r="BP468" s="3055"/>
      <c r="BQ468" s="3055"/>
      <c r="BR468" s="3055"/>
      <c r="BS468" s="3055"/>
      <c r="BT468" s="3055"/>
      <c r="BU468" s="3055"/>
      <c r="BV468" s="3055"/>
      <c r="BW468" s="3055"/>
      <c r="BX468" s="3055"/>
      <c r="BY468" s="3055"/>
      <c r="BZ468" s="3055"/>
      <c r="CA468" s="3055"/>
      <c r="CB468" s="3055"/>
      <c r="CC468" s="3056"/>
      <c r="CD468" s="3057">
        <f t="shared" si="0"/>
      </c>
      <c r="CE468" s="3054"/>
      <c r="CF468" s="3054"/>
      <c r="CG468" s="3055"/>
      <c r="CH468" s="3055"/>
      <c r="CI468" s="3055"/>
      <c r="CJ468" s="3055"/>
      <c r="CK468" s="3055"/>
      <c r="CL468" s="3055"/>
      <c r="CM468" s="3055"/>
      <c r="CN468" s="3055"/>
      <c r="CO468" s="3055"/>
      <c r="CP468" s="3055"/>
      <c r="CQ468" s="3055"/>
      <c r="CR468" s="3055"/>
      <c r="CS468" s="3055"/>
      <c r="CU468" s="3054"/>
      <c r="CV468" s="696"/>
      <c r="CW468" s="696"/>
      <c r="CZ468" s="3060">
        <f t="shared" si="17"/>
      </c>
      <c r="DA468" s="3060">
        <f t="shared" si="1"/>
      </c>
      <c r="DB468" s="3060">
        <f t="shared" si="18"/>
      </c>
      <c r="DC468" s="3060">
        <f t="shared" si="19"/>
      </c>
      <c r="DD468" s="3060">
        <f t="shared" si="20"/>
      </c>
      <c r="DE468" s="3060">
        <f t="shared" si="21"/>
      </c>
      <c r="DF468" s="3060">
        <f t="shared" si="22"/>
      </c>
      <c r="DG468" s="3060">
        <f t="shared" si="23"/>
      </c>
      <c r="DH468" s="3060">
        <f t="shared" si="24"/>
      </c>
      <c r="DI468" s="3060">
        <f t="shared" si="1"/>
      </c>
    </row>
    <row r="469" ht="15" customHeight="1" s="3052" customFormat="1">
      <c r="B469" s="3054">
        <f t="shared" si="2"/>
      </c>
      <c r="C469" s="3054"/>
      <c r="D469" s="3054"/>
      <c r="E469" s="3055"/>
      <c r="F469" s="3055"/>
      <c r="G469" s="3055"/>
      <c r="H469" s="3055"/>
      <c r="I469" s="3055"/>
      <c r="J469" s="3055"/>
      <c r="K469" s="3055"/>
      <c r="L469" s="3055"/>
      <c r="M469" s="3055"/>
      <c r="N469" s="3055"/>
      <c r="O469" s="3055"/>
      <c r="P469" s="3055"/>
      <c r="Q469" s="3055"/>
      <c r="R469" s="3055">
        <f t="shared" si="3"/>
        <v>0</v>
      </c>
      <c r="S469" s="3055">
        <f t="shared" si="4"/>
        <v>0</v>
      </c>
      <c r="T469" s="3055">
        <f t="shared" si="5"/>
        <v>0</v>
      </c>
      <c r="U469" s="3055">
        <f t="shared" si="6"/>
        <v>0</v>
      </c>
      <c r="V469" s="3055">
        <f t="shared" si="7"/>
        <v>0</v>
      </c>
      <c r="W469" s="3055">
        <f t="shared" si="8"/>
        <v>0</v>
      </c>
      <c r="X469" s="3055">
        <f t="shared" si="9"/>
        <v>0</v>
      </c>
      <c r="Y469" s="3055">
        <f t="shared" si="10"/>
        <v>0</v>
      </c>
      <c r="Z469" s="3055">
        <f t="shared" si="11"/>
        <v>0</v>
      </c>
      <c r="AA469" s="3055">
        <f t="shared" si="12"/>
        <v>0</v>
      </c>
      <c r="AB469" s="3055">
        <f t="shared" si="13"/>
        <v>0</v>
      </c>
      <c r="AC469" s="3055">
        <f t="shared" si="14"/>
        <v>0</v>
      </c>
      <c r="AD469" s="3056"/>
      <c r="AE469" s="3057">
        <f t="shared" si="0"/>
      </c>
      <c r="AF469" s="3054"/>
      <c r="AG469" s="3054"/>
      <c r="AH469" s="3055"/>
      <c r="AI469" s="3055"/>
      <c r="AJ469" s="3055"/>
      <c r="AK469" s="3055"/>
      <c r="AL469" s="3055"/>
      <c r="AM469" s="3055"/>
      <c r="AN469" s="3055"/>
      <c r="AO469" s="3055"/>
      <c r="AP469" s="3055"/>
      <c r="AQ469" s="3055"/>
      <c r="AR469" s="3055"/>
      <c r="AS469" s="3055"/>
      <c r="AT469" s="3055"/>
      <c r="AU469" s="3056"/>
      <c r="AV469" s="3057">
        <f t="shared" si="15"/>
      </c>
      <c r="AW469" s="3054"/>
      <c r="AX469" s="3054"/>
      <c r="AY469" s="3055"/>
      <c r="AZ469" s="3055"/>
      <c r="BA469" s="3055"/>
      <c r="BB469" s="3055"/>
      <c r="BC469" s="3055"/>
      <c r="BD469" s="3055"/>
      <c r="BE469" s="3055"/>
      <c r="BF469" s="3055"/>
      <c r="BG469" s="3055"/>
      <c r="BH469" s="3055"/>
      <c r="BI469" s="3055"/>
      <c r="BJ469" s="3055"/>
      <c r="BK469" s="3055"/>
      <c r="BL469" s="3056"/>
      <c r="BM469" s="3057">
        <f t="shared" si="16"/>
      </c>
      <c r="BN469" s="3054"/>
      <c r="BO469" s="3054"/>
      <c r="BP469" s="3055"/>
      <c r="BQ469" s="3055"/>
      <c r="BR469" s="3055"/>
      <c r="BS469" s="3055"/>
      <c r="BT469" s="3055"/>
      <c r="BU469" s="3055"/>
      <c r="BV469" s="3055"/>
      <c r="BW469" s="3055"/>
      <c r="BX469" s="3055"/>
      <c r="BY469" s="3055"/>
      <c r="BZ469" s="3055"/>
      <c r="CA469" s="3055"/>
      <c r="CB469" s="3055"/>
      <c r="CC469" s="3056"/>
      <c r="CD469" s="3057">
        <f t="shared" si="0"/>
      </c>
      <c r="CE469" s="3054"/>
      <c r="CF469" s="3054"/>
      <c r="CG469" s="3055"/>
      <c r="CH469" s="3055"/>
      <c r="CI469" s="3055"/>
      <c r="CJ469" s="3055"/>
      <c r="CK469" s="3055"/>
      <c r="CL469" s="3055"/>
      <c r="CM469" s="3055"/>
      <c r="CN469" s="3055"/>
      <c r="CO469" s="3055"/>
      <c r="CP469" s="3055"/>
      <c r="CQ469" s="3055"/>
      <c r="CR469" s="3055"/>
      <c r="CS469" s="3055"/>
      <c r="CU469" s="3054"/>
      <c r="CV469" s="696"/>
      <c r="CW469" s="696"/>
      <c r="CZ469" s="3060">
        <f t="shared" si="17"/>
      </c>
      <c r="DA469" s="3060">
        <f t="shared" si="1"/>
      </c>
      <c r="DB469" s="3060">
        <f t="shared" si="18"/>
      </c>
      <c r="DC469" s="3060">
        <f t="shared" si="19"/>
      </c>
      <c r="DD469" s="3060">
        <f t="shared" si="20"/>
      </c>
      <c r="DE469" s="3060">
        <f t="shared" si="21"/>
      </c>
      <c r="DF469" s="3060">
        <f t="shared" si="22"/>
      </c>
      <c r="DG469" s="3060">
        <f t="shared" si="23"/>
      </c>
      <c r="DH469" s="3060">
        <f t="shared" si="24"/>
      </c>
      <c r="DI469" s="3060">
        <f t="shared" si="1"/>
      </c>
    </row>
    <row r="470" ht="15" customHeight="1" s="3052" customFormat="1">
      <c r="B470" s="3054">
        <f t="shared" si="2"/>
      </c>
      <c r="C470" s="3054"/>
      <c r="D470" s="3054"/>
      <c r="E470" s="3055"/>
      <c r="F470" s="3055"/>
      <c r="G470" s="3055"/>
      <c r="H470" s="3055"/>
      <c r="I470" s="3055"/>
      <c r="J470" s="3055"/>
      <c r="K470" s="3055"/>
      <c r="L470" s="3055"/>
      <c r="M470" s="3055"/>
      <c r="N470" s="3055"/>
      <c r="O470" s="3055"/>
      <c r="P470" s="3055"/>
      <c r="Q470" s="3055"/>
      <c r="R470" s="3055">
        <f t="shared" si="3"/>
        <v>0</v>
      </c>
      <c r="S470" s="3055">
        <f t="shared" si="4"/>
        <v>0</v>
      </c>
      <c r="T470" s="3055">
        <f t="shared" si="5"/>
        <v>0</v>
      </c>
      <c r="U470" s="3055">
        <f t="shared" si="6"/>
        <v>0</v>
      </c>
      <c r="V470" s="3055">
        <f t="shared" si="7"/>
        <v>0</v>
      </c>
      <c r="W470" s="3055">
        <f t="shared" si="8"/>
        <v>0</v>
      </c>
      <c r="X470" s="3055">
        <f t="shared" si="9"/>
        <v>0</v>
      </c>
      <c r="Y470" s="3055">
        <f t="shared" si="10"/>
        <v>0</v>
      </c>
      <c r="Z470" s="3055">
        <f t="shared" si="11"/>
        <v>0</v>
      </c>
      <c r="AA470" s="3055">
        <f t="shared" si="12"/>
        <v>0</v>
      </c>
      <c r="AB470" s="3055">
        <f t="shared" si="13"/>
        <v>0</v>
      </c>
      <c r="AC470" s="3055">
        <f t="shared" si="14"/>
        <v>0</v>
      </c>
      <c r="AD470" s="3056"/>
      <c r="AE470" s="3057">
        <f t="shared" si="0"/>
      </c>
      <c r="AF470" s="3054"/>
      <c r="AG470" s="3054"/>
      <c r="AH470" s="3055"/>
      <c r="AI470" s="3055"/>
      <c r="AJ470" s="3055"/>
      <c r="AK470" s="3055"/>
      <c r="AL470" s="3055"/>
      <c r="AM470" s="3055"/>
      <c r="AN470" s="3055"/>
      <c r="AO470" s="3055"/>
      <c r="AP470" s="3055"/>
      <c r="AQ470" s="3055"/>
      <c r="AR470" s="3055"/>
      <c r="AS470" s="3055"/>
      <c r="AT470" s="3055"/>
      <c r="AU470" s="3056"/>
      <c r="AV470" s="3057">
        <f t="shared" si="15"/>
      </c>
      <c r="AW470" s="3054"/>
      <c r="AX470" s="3054"/>
      <c r="AY470" s="3055"/>
      <c r="AZ470" s="3055"/>
      <c r="BA470" s="3055"/>
      <c r="BB470" s="3055"/>
      <c r="BC470" s="3055"/>
      <c r="BD470" s="3055"/>
      <c r="BE470" s="3055"/>
      <c r="BF470" s="3055"/>
      <c r="BG470" s="3055"/>
      <c r="BH470" s="3055"/>
      <c r="BI470" s="3055"/>
      <c r="BJ470" s="3055"/>
      <c r="BK470" s="3055"/>
      <c r="BL470" s="3056"/>
      <c r="BM470" s="3057">
        <f t="shared" si="16"/>
      </c>
      <c r="BN470" s="3054"/>
      <c r="BO470" s="3054"/>
      <c r="BP470" s="3055"/>
      <c r="BQ470" s="3055"/>
      <c r="BR470" s="3055"/>
      <c r="BS470" s="3055"/>
      <c r="BT470" s="3055"/>
      <c r="BU470" s="3055"/>
      <c r="BV470" s="3055"/>
      <c r="BW470" s="3055"/>
      <c r="BX470" s="3055"/>
      <c r="BY470" s="3055"/>
      <c r="BZ470" s="3055"/>
      <c r="CA470" s="3055"/>
      <c r="CB470" s="3055"/>
      <c r="CC470" s="3056"/>
      <c r="CD470" s="3057">
        <f t="shared" si="0"/>
      </c>
      <c r="CE470" s="3054"/>
      <c r="CF470" s="3054"/>
      <c r="CG470" s="3055"/>
      <c r="CH470" s="3055"/>
      <c r="CI470" s="3055"/>
      <c r="CJ470" s="3055"/>
      <c r="CK470" s="3055"/>
      <c r="CL470" s="3055"/>
      <c r="CM470" s="3055"/>
      <c r="CN470" s="3055"/>
      <c r="CO470" s="3055"/>
      <c r="CP470" s="3055"/>
      <c r="CQ470" s="3055"/>
      <c r="CR470" s="3055"/>
      <c r="CS470" s="3055"/>
      <c r="CU470" s="3054"/>
      <c r="CV470" s="696"/>
      <c r="CW470" s="696"/>
      <c r="CZ470" s="3060">
        <f t="shared" si="17"/>
      </c>
      <c r="DA470" s="3060">
        <f t="shared" si="1"/>
      </c>
      <c r="DB470" s="3060">
        <f t="shared" si="18"/>
      </c>
      <c r="DC470" s="3060">
        <f t="shared" si="19"/>
      </c>
      <c r="DD470" s="3060">
        <f t="shared" si="20"/>
      </c>
      <c r="DE470" s="3060">
        <f t="shared" si="21"/>
      </c>
      <c r="DF470" s="3060">
        <f t="shared" si="22"/>
      </c>
      <c r="DG470" s="3060">
        <f t="shared" si="23"/>
      </c>
      <c r="DH470" s="3060">
        <f t="shared" si="24"/>
      </c>
      <c r="DI470" s="3060">
        <f t="shared" si="1"/>
      </c>
    </row>
    <row r="471" ht="15" customHeight="1" s="3052" customFormat="1">
      <c r="B471" s="3054">
        <f t="shared" si="2"/>
      </c>
      <c r="C471" s="3054"/>
      <c r="D471" s="3054"/>
      <c r="E471" s="3055"/>
      <c r="F471" s="3055"/>
      <c r="G471" s="3055"/>
      <c r="H471" s="3055"/>
      <c r="I471" s="3055"/>
      <c r="J471" s="3055"/>
      <c r="K471" s="3055"/>
      <c r="L471" s="3055"/>
      <c r="M471" s="3055"/>
      <c r="N471" s="3055"/>
      <c r="O471" s="3055"/>
      <c r="P471" s="3055"/>
      <c r="Q471" s="3055"/>
      <c r="R471" s="3055">
        <f t="shared" si="3"/>
        <v>0</v>
      </c>
      <c r="S471" s="3055">
        <f t="shared" si="4"/>
        <v>0</v>
      </c>
      <c r="T471" s="3055">
        <f t="shared" si="5"/>
        <v>0</v>
      </c>
      <c r="U471" s="3055">
        <f t="shared" si="6"/>
        <v>0</v>
      </c>
      <c r="V471" s="3055">
        <f t="shared" si="7"/>
        <v>0</v>
      </c>
      <c r="W471" s="3055">
        <f t="shared" si="8"/>
        <v>0</v>
      </c>
      <c r="X471" s="3055">
        <f t="shared" si="9"/>
        <v>0</v>
      </c>
      <c r="Y471" s="3055">
        <f t="shared" si="10"/>
        <v>0</v>
      </c>
      <c r="Z471" s="3055">
        <f t="shared" si="11"/>
        <v>0</v>
      </c>
      <c r="AA471" s="3055">
        <f t="shared" si="12"/>
        <v>0</v>
      </c>
      <c r="AB471" s="3055">
        <f t="shared" si="13"/>
        <v>0</v>
      </c>
      <c r="AC471" s="3055">
        <f t="shared" si="14"/>
        <v>0</v>
      </c>
      <c r="AD471" s="3056"/>
      <c r="AE471" s="3057">
        <f t="shared" si="0"/>
      </c>
      <c r="AF471" s="3054"/>
      <c r="AG471" s="3054"/>
      <c r="AH471" s="3055"/>
      <c r="AI471" s="3055"/>
      <c r="AJ471" s="3055"/>
      <c r="AK471" s="3055"/>
      <c r="AL471" s="3055"/>
      <c r="AM471" s="3055"/>
      <c r="AN471" s="3055"/>
      <c r="AO471" s="3055"/>
      <c r="AP471" s="3055"/>
      <c r="AQ471" s="3055"/>
      <c r="AR471" s="3055"/>
      <c r="AS471" s="3055"/>
      <c r="AT471" s="3055"/>
      <c r="AU471" s="3056"/>
      <c r="AV471" s="3057">
        <f t="shared" si="15"/>
      </c>
      <c r="AW471" s="3054"/>
      <c r="AX471" s="3054"/>
      <c r="AY471" s="3055"/>
      <c r="AZ471" s="3055"/>
      <c r="BA471" s="3055"/>
      <c r="BB471" s="3055"/>
      <c r="BC471" s="3055"/>
      <c r="BD471" s="3055"/>
      <c r="BE471" s="3055"/>
      <c r="BF471" s="3055"/>
      <c r="BG471" s="3055"/>
      <c r="BH471" s="3055"/>
      <c r="BI471" s="3055"/>
      <c r="BJ471" s="3055"/>
      <c r="BK471" s="3055"/>
      <c r="BL471" s="3056"/>
      <c r="BM471" s="3057">
        <f t="shared" si="16"/>
      </c>
      <c r="BN471" s="3054"/>
      <c r="BO471" s="3054"/>
      <c r="BP471" s="3055"/>
      <c r="BQ471" s="3055"/>
      <c r="BR471" s="3055"/>
      <c r="BS471" s="3055"/>
      <c r="BT471" s="3055"/>
      <c r="BU471" s="3055"/>
      <c r="BV471" s="3055"/>
      <c r="BW471" s="3055"/>
      <c r="BX471" s="3055"/>
      <c r="BY471" s="3055"/>
      <c r="BZ471" s="3055"/>
      <c r="CA471" s="3055"/>
      <c r="CB471" s="3055"/>
      <c r="CC471" s="3056"/>
      <c r="CD471" s="3057">
        <f t="shared" si="0"/>
      </c>
      <c r="CE471" s="3054"/>
      <c r="CF471" s="3054"/>
      <c r="CG471" s="3055"/>
      <c r="CH471" s="3055"/>
      <c r="CI471" s="3055"/>
      <c r="CJ471" s="3055"/>
      <c r="CK471" s="3055"/>
      <c r="CL471" s="3055"/>
      <c r="CM471" s="3055"/>
      <c r="CN471" s="3055"/>
      <c r="CO471" s="3055"/>
      <c r="CP471" s="3055"/>
      <c r="CQ471" s="3055"/>
      <c r="CR471" s="3055"/>
      <c r="CS471" s="3055"/>
      <c r="CU471" s="3054"/>
      <c r="CV471" s="696"/>
      <c r="CW471" s="696"/>
      <c r="CZ471" s="3060">
        <f t="shared" si="17"/>
      </c>
      <c r="DA471" s="3060">
        <f t="shared" si="1"/>
      </c>
      <c r="DB471" s="3060">
        <f t="shared" si="18"/>
      </c>
      <c r="DC471" s="3060">
        <f t="shared" si="19"/>
      </c>
      <c r="DD471" s="3060">
        <f t="shared" si="20"/>
      </c>
      <c r="DE471" s="3060">
        <f t="shared" si="21"/>
      </c>
      <c r="DF471" s="3060">
        <f t="shared" si="22"/>
      </c>
      <c r="DG471" s="3060">
        <f t="shared" si="23"/>
      </c>
      <c r="DH471" s="3060">
        <f t="shared" si="24"/>
      </c>
      <c r="DI471" s="3060">
        <f t="shared" si="1"/>
      </c>
    </row>
    <row r="472" ht="15" customHeight="1" s="3052" customFormat="1">
      <c r="B472" s="3054">
        <f t="shared" si="2"/>
      </c>
      <c r="C472" s="3054"/>
      <c r="D472" s="3054"/>
      <c r="E472" s="3055"/>
      <c r="F472" s="3055"/>
      <c r="G472" s="3055"/>
      <c r="H472" s="3055"/>
      <c r="I472" s="3055"/>
      <c r="J472" s="3055"/>
      <c r="K472" s="3055"/>
      <c r="L472" s="3055"/>
      <c r="M472" s="3055"/>
      <c r="N472" s="3055"/>
      <c r="O472" s="3055"/>
      <c r="P472" s="3055"/>
      <c r="Q472" s="3055"/>
      <c r="R472" s="3055">
        <f t="shared" si="3"/>
        <v>0</v>
      </c>
      <c r="S472" s="3055">
        <f t="shared" si="4"/>
        <v>0</v>
      </c>
      <c r="T472" s="3055">
        <f t="shared" si="5"/>
        <v>0</v>
      </c>
      <c r="U472" s="3055">
        <f t="shared" si="6"/>
        <v>0</v>
      </c>
      <c r="V472" s="3055">
        <f t="shared" si="7"/>
        <v>0</v>
      </c>
      <c r="W472" s="3055">
        <f t="shared" si="8"/>
        <v>0</v>
      </c>
      <c r="X472" s="3055">
        <f t="shared" si="9"/>
        <v>0</v>
      </c>
      <c r="Y472" s="3055">
        <f t="shared" si="10"/>
        <v>0</v>
      </c>
      <c r="Z472" s="3055">
        <f t="shared" si="11"/>
        <v>0</v>
      </c>
      <c r="AA472" s="3055">
        <f t="shared" si="12"/>
        <v>0</v>
      </c>
      <c r="AB472" s="3055">
        <f t="shared" si="13"/>
        <v>0</v>
      </c>
      <c r="AC472" s="3055">
        <f t="shared" si="14"/>
        <v>0</v>
      </c>
      <c r="AD472" s="3056"/>
      <c r="AE472" s="3057">
        <f t="shared" si="0"/>
      </c>
      <c r="AF472" s="3054"/>
      <c r="AG472" s="3054"/>
      <c r="AH472" s="3055"/>
      <c r="AI472" s="3055"/>
      <c r="AJ472" s="3055"/>
      <c r="AK472" s="3055"/>
      <c r="AL472" s="3055"/>
      <c r="AM472" s="3055"/>
      <c r="AN472" s="3055"/>
      <c r="AO472" s="3055"/>
      <c r="AP472" s="3055"/>
      <c r="AQ472" s="3055"/>
      <c r="AR472" s="3055"/>
      <c r="AS472" s="3055"/>
      <c r="AT472" s="3055"/>
      <c r="AU472" s="3056"/>
      <c r="AV472" s="3057">
        <f t="shared" si="15"/>
      </c>
      <c r="AW472" s="3054"/>
      <c r="AX472" s="3054"/>
      <c r="AY472" s="3055"/>
      <c r="AZ472" s="3055"/>
      <c r="BA472" s="3055"/>
      <c r="BB472" s="3055"/>
      <c r="BC472" s="3055"/>
      <c r="BD472" s="3055"/>
      <c r="BE472" s="3055"/>
      <c r="BF472" s="3055"/>
      <c r="BG472" s="3055"/>
      <c r="BH472" s="3055"/>
      <c r="BI472" s="3055"/>
      <c r="BJ472" s="3055"/>
      <c r="BK472" s="3055"/>
      <c r="BL472" s="3056"/>
      <c r="BM472" s="3057">
        <f t="shared" si="16"/>
      </c>
      <c r="BN472" s="3054"/>
      <c r="BO472" s="3054"/>
      <c r="BP472" s="3055"/>
      <c r="BQ472" s="3055"/>
      <c r="BR472" s="3055"/>
      <c r="BS472" s="3055"/>
      <c r="BT472" s="3055"/>
      <c r="BU472" s="3055"/>
      <c r="BV472" s="3055"/>
      <c r="BW472" s="3055"/>
      <c r="BX472" s="3055"/>
      <c r="BY472" s="3055"/>
      <c r="BZ472" s="3055"/>
      <c r="CA472" s="3055"/>
      <c r="CB472" s="3055"/>
      <c r="CC472" s="3056"/>
      <c r="CD472" s="3057">
        <f t="shared" si="0"/>
      </c>
      <c r="CE472" s="3054"/>
      <c r="CF472" s="3054"/>
      <c r="CG472" s="3055"/>
      <c r="CH472" s="3055"/>
      <c r="CI472" s="3055"/>
      <c r="CJ472" s="3055"/>
      <c r="CK472" s="3055"/>
      <c r="CL472" s="3055"/>
      <c r="CM472" s="3055"/>
      <c r="CN472" s="3055"/>
      <c r="CO472" s="3055"/>
      <c r="CP472" s="3055"/>
      <c r="CQ472" s="3055"/>
      <c r="CR472" s="3055"/>
      <c r="CS472" s="3055"/>
      <c r="CU472" s="3054"/>
      <c r="CV472" s="696"/>
      <c r="CW472" s="696"/>
      <c r="CZ472" s="3060">
        <f t="shared" si="17"/>
      </c>
      <c r="DA472" s="3060">
        <f t="shared" si="1"/>
      </c>
      <c r="DB472" s="3060">
        <f t="shared" si="18"/>
      </c>
      <c r="DC472" s="3060">
        <f t="shared" si="19"/>
      </c>
      <c r="DD472" s="3060">
        <f t="shared" si="20"/>
      </c>
      <c r="DE472" s="3060">
        <f t="shared" si="21"/>
      </c>
      <c r="DF472" s="3060">
        <f t="shared" si="22"/>
      </c>
      <c r="DG472" s="3060">
        <f t="shared" si="23"/>
      </c>
      <c r="DH472" s="3060">
        <f t="shared" si="24"/>
      </c>
      <c r="DI472" s="3060">
        <f t="shared" si="1"/>
      </c>
    </row>
    <row r="473" ht="15" customHeight="1" s="3052" customFormat="1">
      <c r="B473" s="3054">
        <f t="shared" si="2"/>
      </c>
      <c r="C473" s="3054"/>
      <c r="D473" s="3054"/>
      <c r="E473" s="3055"/>
      <c r="F473" s="3055"/>
      <c r="G473" s="3055"/>
      <c r="H473" s="3055"/>
      <c r="I473" s="3055"/>
      <c r="J473" s="3055"/>
      <c r="K473" s="3055"/>
      <c r="L473" s="3055"/>
      <c r="M473" s="3055"/>
      <c r="N473" s="3055"/>
      <c r="O473" s="3055"/>
      <c r="P473" s="3055"/>
      <c r="Q473" s="3055"/>
      <c r="R473" s="3055">
        <f t="shared" si="3"/>
        <v>0</v>
      </c>
      <c r="S473" s="3055">
        <f t="shared" si="4"/>
        <v>0</v>
      </c>
      <c r="T473" s="3055">
        <f t="shared" si="5"/>
        <v>0</v>
      </c>
      <c r="U473" s="3055">
        <f t="shared" si="6"/>
        <v>0</v>
      </c>
      <c r="V473" s="3055">
        <f t="shared" si="7"/>
        <v>0</v>
      </c>
      <c r="W473" s="3055">
        <f t="shared" si="8"/>
        <v>0</v>
      </c>
      <c r="X473" s="3055">
        <f t="shared" si="9"/>
        <v>0</v>
      </c>
      <c r="Y473" s="3055">
        <f t="shared" si="10"/>
        <v>0</v>
      </c>
      <c r="Z473" s="3055">
        <f t="shared" si="11"/>
        <v>0</v>
      </c>
      <c r="AA473" s="3055">
        <f t="shared" si="12"/>
        <v>0</v>
      </c>
      <c r="AB473" s="3055">
        <f t="shared" si="13"/>
        <v>0</v>
      </c>
      <c r="AC473" s="3055">
        <f t="shared" si="14"/>
        <v>0</v>
      </c>
      <c r="AD473" s="3056"/>
      <c r="AE473" s="3057">
        <f t="shared" si="0"/>
      </c>
      <c r="AF473" s="3054"/>
      <c r="AG473" s="3054"/>
      <c r="AH473" s="3055"/>
      <c r="AI473" s="3055"/>
      <c r="AJ473" s="3055"/>
      <c r="AK473" s="3055"/>
      <c r="AL473" s="3055"/>
      <c r="AM473" s="3055"/>
      <c r="AN473" s="3055"/>
      <c r="AO473" s="3055"/>
      <c r="AP473" s="3055"/>
      <c r="AQ473" s="3055"/>
      <c r="AR473" s="3055"/>
      <c r="AS473" s="3055"/>
      <c r="AT473" s="3055"/>
      <c r="AU473" s="3056"/>
      <c r="AV473" s="3057">
        <f t="shared" si="15"/>
      </c>
      <c r="AW473" s="3054"/>
      <c r="AX473" s="3054"/>
      <c r="AY473" s="3055"/>
      <c r="AZ473" s="3055"/>
      <c r="BA473" s="3055"/>
      <c r="BB473" s="3055"/>
      <c r="BC473" s="3055"/>
      <c r="BD473" s="3055"/>
      <c r="BE473" s="3055"/>
      <c r="BF473" s="3055"/>
      <c r="BG473" s="3055"/>
      <c r="BH473" s="3055"/>
      <c r="BI473" s="3055"/>
      <c r="BJ473" s="3055"/>
      <c r="BK473" s="3055"/>
      <c r="BL473" s="3056"/>
      <c r="BM473" s="3057">
        <f t="shared" si="16"/>
      </c>
      <c r="BN473" s="3054"/>
      <c r="BO473" s="3054"/>
      <c r="BP473" s="3055"/>
      <c r="BQ473" s="3055"/>
      <c r="BR473" s="3055"/>
      <c r="BS473" s="3055"/>
      <c r="BT473" s="3055"/>
      <c r="BU473" s="3055"/>
      <c r="BV473" s="3055"/>
      <c r="BW473" s="3055"/>
      <c r="BX473" s="3055"/>
      <c r="BY473" s="3055"/>
      <c r="BZ473" s="3055"/>
      <c r="CA473" s="3055"/>
      <c r="CB473" s="3055"/>
      <c r="CC473" s="3056"/>
      <c r="CD473" s="3057">
        <f t="shared" si="0"/>
      </c>
      <c r="CE473" s="3054"/>
      <c r="CF473" s="3054"/>
      <c r="CG473" s="3055"/>
      <c r="CH473" s="3055"/>
      <c r="CI473" s="3055"/>
      <c r="CJ473" s="3055"/>
      <c r="CK473" s="3055"/>
      <c r="CL473" s="3055"/>
      <c r="CM473" s="3055"/>
      <c r="CN473" s="3055"/>
      <c r="CO473" s="3055"/>
      <c r="CP473" s="3055"/>
      <c r="CQ473" s="3055"/>
      <c r="CR473" s="3055"/>
      <c r="CS473" s="3055"/>
      <c r="CU473" s="3054"/>
      <c r="CV473" s="696"/>
      <c r="CW473" s="696"/>
      <c r="CZ473" s="3060">
        <f t="shared" si="17"/>
      </c>
      <c r="DA473" s="3060">
        <f t="shared" si="1"/>
      </c>
      <c r="DB473" s="3060">
        <f t="shared" si="18"/>
      </c>
      <c r="DC473" s="3060">
        <f t="shared" si="19"/>
      </c>
      <c r="DD473" s="3060">
        <f t="shared" si="20"/>
      </c>
      <c r="DE473" s="3060">
        <f t="shared" si="21"/>
      </c>
      <c r="DF473" s="3060">
        <f t="shared" si="22"/>
      </c>
      <c r="DG473" s="3060">
        <f t="shared" si="23"/>
      </c>
      <c r="DH473" s="3060">
        <f t="shared" si="24"/>
      </c>
      <c r="DI473" s="3060">
        <f t="shared" si="1"/>
      </c>
    </row>
    <row r="474" ht="15" customHeight="1" s="3052" customFormat="1">
      <c r="B474" s="3054">
        <f t="shared" si="2"/>
      </c>
      <c r="C474" s="3054"/>
      <c r="D474" s="3054"/>
      <c r="E474" s="3055"/>
      <c r="F474" s="3055"/>
      <c r="G474" s="3055"/>
      <c r="H474" s="3055"/>
      <c r="I474" s="3055"/>
      <c r="J474" s="3055"/>
      <c r="K474" s="3055"/>
      <c r="L474" s="3055"/>
      <c r="M474" s="3055"/>
      <c r="N474" s="3055"/>
      <c r="O474" s="3055"/>
      <c r="P474" s="3055"/>
      <c r="Q474" s="3055"/>
      <c r="R474" s="3055">
        <f t="shared" si="3"/>
        <v>0</v>
      </c>
      <c r="S474" s="3055">
        <f t="shared" si="4"/>
        <v>0</v>
      </c>
      <c r="T474" s="3055">
        <f t="shared" si="5"/>
        <v>0</v>
      </c>
      <c r="U474" s="3055">
        <f t="shared" si="6"/>
        <v>0</v>
      </c>
      <c r="V474" s="3055">
        <f t="shared" si="7"/>
        <v>0</v>
      </c>
      <c r="W474" s="3055">
        <f t="shared" si="8"/>
        <v>0</v>
      </c>
      <c r="X474" s="3055">
        <f t="shared" si="9"/>
        <v>0</v>
      </c>
      <c r="Y474" s="3055">
        <f t="shared" si="10"/>
        <v>0</v>
      </c>
      <c r="Z474" s="3055">
        <f t="shared" si="11"/>
        <v>0</v>
      </c>
      <c r="AA474" s="3055">
        <f t="shared" si="12"/>
        <v>0</v>
      </c>
      <c r="AB474" s="3055">
        <f t="shared" si="13"/>
        <v>0</v>
      </c>
      <c r="AC474" s="3055">
        <f t="shared" si="14"/>
        <v>0</v>
      </c>
      <c r="AD474" s="3056"/>
      <c r="AE474" s="3057">
        <f t="shared" si="0"/>
      </c>
      <c r="AF474" s="3054"/>
      <c r="AG474" s="3054"/>
      <c r="AH474" s="3055"/>
      <c r="AI474" s="3055"/>
      <c r="AJ474" s="3055"/>
      <c r="AK474" s="3055"/>
      <c r="AL474" s="3055"/>
      <c r="AM474" s="3055"/>
      <c r="AN474" s="3055"/>
      <c r="AO474" s="3055"/>
      <c r="AP474" s="3055"/>
      <c r="AQ474" s="3055"/>
      <c r="AR474" s="3055"/>
      <c r="AS474" s="3055"/>
      <c r="AT474" s="3055"/>
      <c r="AU474" s="3056"/>
      <c r="AV474" s="3057">
        <f t="shared" si="15"/>
      </c>
      <c r="AW474" s="3054"/>
      <c r="AX474" s="3054"/>
      <c r="AY474" s="3055"/>
      <c r="AZ474" s="3055"/>
      <c r="BA474" s="3055"/>
      <c r="BB474" s="3055"/>
      <c r="BC474" s="3055"/>
      <c r="BD474" s="3055"/>
      <c r="BE474" s="3055"/>
      <c r="BF474" s="3055"/>
      <c r="BG474" s="3055"/>
      <c r="BH474" s="3055"/>
      <c r="BI474" s="3055"/>
      <c r="BJ474" s="3055"/>
      <c r="BK474" s="3055"/>
      <c r="BL474" s="3056"/>
      <c r="BM474" s="3057">
        <f t="shared" si="16"/>
      </c>
      <c r="BN474" s="3054"/>
      <c r="BO474" s="3054"/>
      <c r="BP474" s="3055"/>
      <c r="BQ474" s="3055"/>
      <c r="BR474" s="3055"/>
      <c r="BS474" s="3055"/>
      <c r="BT474" s="3055"/>
      <c r="BU474" s="3055"/>
      <c r="BV474" s="3055"/>
      <c r="BW474" s="3055"/>
      <c r="BX474" s="3055"/>
      <c r="BY474" s="3055"/>
      <c r="BZ474" s="3055"/>
      <c r="CA474" s="3055"/>
      <c r="CB474" s="3055"/>
      <c r="CC474" s="3056"/>
      <c r="CD474" s="3057">
        <f t="shared" si="0"/>
      </c>
      <c r="CE474" s="3054"/>
      <c r="CF474" s="3054"/>
      <c r="CG474" s="3055"/>
      <c r="CH474" s="3055"/>
      <c r="CI474" s="3055"/>
      <c r="CJ474" s="3055"/>
      <c r="CK474" s="3055"/>
      <c r="CL474" s="3055"/>
      <c r="CM474" s="3055"/>
      <c r="CN474" s="3055"/>
      <c r="CO474" s="3055"/>
      <c r="CP474" s="3055"/>
      <c r="CQ474" s="3055"/>
      <c r="CR474" s="3055"/>
      <c r="CS474" s="3055"/>
      <c r="CU474" s="3054"/>
      <c r="CV474" s="696"/>
      <c r="CW474" s="696"/>
      <c r="CZ474" s="3060">
        <f t="shared" si="17"/>
      </c>
      <c r="DA474" s="3060">
        <f t="shared" si="1"/>
      </c>
      <c r="DB474" s="3060">
        <f t="shared" si="18"/>
      </c>
      <c r="DC474" s="3060">
        <f t="shared" si="19"/>
      </c>
      <c r="DD474" s="3060">
        <f t="shared" si="20"/>
      </c>
      <c r="DE474" s="3060">
        <f t="shared" si="21"/>
      </c>
      <c r="DF474" s="3060">
        <f t="shared" si="22"/>
      </c>
      <c r="DG474" s="3060">
        <f t="shared" si="23"/>
      </c>
      <c r="DH474" s="3060">
        <f t="shared" si="24"/>
      </c>
      <c r="DI474" s="3060">
        <f t="shared" si="1"/>
      </c>
    </row>
    <row r="475" ht="15" customHeight="1" s="3052" customFormat="1">
      <c r="B475" s="3054">
        <f t="shared" si="2"/>
      </c>
      <c r="C475" s="3054"/>
      <c r="D475" s="3054"/>
      <c r="E475" s="3055"/>
      <c r="F475" s="3055"/>
      <c r="G475" s="3055"/>
      <c r="H475" s="3055"/>
      <c r="I475" s="3055"/>
      <c r="J475" s="3055"/>
      <c r="K475" s="3055"/>
      <c r="L475" s="3055"/>
      <c r="M475" s="3055"/>
      <c r="N475" s="3055"/>
      <c r="O475" s="3055"/>
      <c r="P475" s="3055"/>
      <c r="Q475" s="3055"/>
      <c r="R475" s="3055">
        <f t="shared" si="3"/>
        <v>0</v>
      </c>
      <c r="S475" s="3055">
        <f t="shared" si="4"/>
        <v>0</v>
      </c>
      <c r="T475" s="3055">
        <f t="shared" si="5"/>
        <v>0</v>
      </c>
      <c r="U475" s="3055">
        <f t="shared" si="6"/>
        <v>0</v>
      </c>
      <c r="V475" s="3055">
        <f t="shared" si="7"/>
        <v>0</v>
      </c>
      <c r="W475" s="3055">
        <f t="shared" si="8"/>
        <v>0</v>
      </c>
      <c r="X475" s="3055">
        <f t="shared" si="9"/>
        <v>0</v>
      </c>
      <c r="Y475" s="3055">
        <f t="shared" si="10"/>
        <v>0</v>
      </c>
      <c r="Z475" s="3055">
        <f t="shared" si="11"/>
        <v>0</v>
      </c>
      <c r="AA475" s="3055">
        <f t="shared" si="12"/>
        <v>0</v>
      </c>
      <c r="AB475" s="3055">
        <f t="shared" si="13"/>
        <v>0</v>
      </c>
      <c r="AC475" s="3055">
        <f t="shared" si="14"/>
        <v>0</v>
      </c>
      <c r="AD475" s="3056"/>
      <c r="AE475" s="3057">
        <f t="shared" si="0"/>
      </c>
      <c r="AF475" s="3054"/>
      <c r="AG475" s="3054"/>
      <c r="AH475" s="3055"/>
      <c r="AI475" s="3055"/>
      <c r="AJ475" s="3055"/>
      <c r="AK475" s="3055"/>
      <c r="AL475" s="3055"/>
      <c r="AM475" s="3055"/>
      <c r="AN475" s="3055"/>
      <c r="AO475" s="3055"/>
      <c r="AP475" s="3055"/>
      <c r="AQ475" s="3055"/>
      <c r="AR475" s="3055"/>
      <c r="AS475" s="3055"/>
      <c r="AT475" s="3055"/>
      <c r="AU475" s="3056"/>
      <c r="AV475" s="3057">
        <f t="shared" si="15"/>
      </c>
      <c r="AW475" s="3054"/>
      <c r="AX475" s="3054"/>
      <c r="AY475" s="3055"/>
      <c r="AZ475" s="3055"/>
      <c r="BA475" s="3055"/>
      <c r="BB475" s="3055"/>
      <c r="BC475" s="3055"/>
      <c r="BD475" s="3055"/>
      <c r="BE475" s="3055"/>
      <c r="BF475" s="3055"/>
      <c r="BG475" s="3055"/>
      <c r="BH475" s="3055"/>
      <c r="BI475" s="3055"/>
      <c r="BJ475" s="3055"/>
      <c r="BK475" s="3055"/>
      <c r="BL475" s="3056"/>
      <c r="BM475" s="3057">
        <f t="shared" si="16"/>
      </c>
      <c r="BN475" s="3054"/>
      <c r="BO475" s="3054"/>
      <c r="BP475" s="3055"/>
      <c r="BQ475" s="3055"/>
      <c r="BR475" s="3055"/>
      <c r="BS475" s="3055"/>
      <c r="BT475" s="3055"/>
      <c r="BU475" s="3055"/>
      <c r="BV475" s="3055"/>
      <c r="BW475" s="3055"/>
      <c r="BX475" s="3055"/>
      <c r="BY475" s="3055"/>
      <c r="BZ475" s="3055"/>
      <c r="CA475" s="3055"/>
      <c r="CB475" s="3055"/>
      <c r="CC475" s="3056"/>
      <c r="CD475" s="3057">
        <f t="shared" si="0"/>
      </c>
      <c r="CE475" s="3054"/>
      <c r="CF475" s="3054"/>
      <c r="CG475" s="3055"/>
      <c r="CH475" s="3055"/>
      <c r="CI475" s="3055"/>
      <c r="CJ475" s="3055"/>
      <c r="CK475" s="3055"/>
      <c r="CL475" s="3055"/>
      <c r="CM475" s="3055"/>
      <c r="CN475" s="3055"/>
      <c r="CO475" s="3055"/>
      <c r="CP475" s="3055"/>
      <c r="CQ475" s="3055"/>
      <c r="CR475" s="3055"/>
      <c r="CS475" s="3055"/>
      <c r="CU475" s="3054"/>
      <c r="CV475" s="696"/>
      <c r="CW475" s="696"/>
      <c r="CZ475" s="3060">
        <f t="shared" si="17"/>
      </c>
      <c r="DA475" s="3060">
        <f t="shared" si="1"/>
      </c>
      <c r="DB475" s="3060">
        <f t="shared" si="18"/>
      </c>
      <c r="DC475" s="3060">
        <f t="shared" si="19"/>
      </c>
      <c r="DD475" s="3060">
        <f t="shared" si="20"/>
      </c>
      <c r="DE475" s="3060">
        <f t="shared" si="21"/>
      </c>
      <c r="DF475" s="3060">
        <f t="shared" si="22"/>
      </c>
      <c r="DG475" s="3060">
        <f t="shared" si="23"/>
      </c>
      <c r="DH475" s="3060">
        <f t="shared" si="24"/>
      </c>
      <c r="DI475" s="3060">
        <f t="shared" si="1"/>
      </c>
    </row>
    <row r="476" ht="15" customHeight="1" s="3052" customFormat="1">
      <c r="B476" s="3054">
        <f t="shared" si="2"/>
      </c>
      <c r="C476" s="3054"/>
      <c r="D476" s="3054"/>
      <c r="E476" s="3055"/>
      <c r="F476" s="3055"/>
      <c r="G476" s="3055"/>
      <c r="H476" s="3055"/>
      <c r="I476" s="3055"/>
      <c r="J476" s="3055"/>
      <c r="K476" s="3055"/>
      <c r="L476" s="3055"/>
      <c r="M476" s="3055"/>
      <c r="N476" s="3055"/>
      <c r="O476" s="3055"/>
      <c r="P476" s="3055"/>
      <c r="Q476" s="3055"/>
      <c r="R476" s="3055">
        <f t="shared" si="3"/>
        <v>0</v>
      </c>
      <c r="S476" s="3055">
        <f t="shared" si="4"/>
        <v>0</v>
      </c>
      <c r="T476" s="3055">
        <f t="shared" si="5"/>
        <v>0</v>
      </c>
      <c r="U476" s="3055">
        <f t="shared" si="6"/>
        <v>0</v>
      </c>
      <c r="V476" s="3055">
        <f t="shared" si="7"/>
        <v>0</v>
      </c>
      <c r="W476" s="3055">
        <f t="shared" si="8"/>
        <v>0</v>
      </c>
      <c r="X476" s="3055">
        <f t="shared" si="9"/>
        <v>0</v>
      </c>
      <c r="Y476" s="3055">
        <f t="shared" si="10"/>
        <v>0</v>
      </c>
      <c r="Z476" s="3055">
        <f t="shared" si="11"/>
        <v>0</v>
      </c>
      <c r="AA476" s="3055">
        <f t="shared" si="12"/>
        <v>0</v>
      </c>
      <c r="AB476" s="3055">
        <f t="shared" si="13"/>
        <v>0</v>
      </c>
      <c r="AC476" s="3055">
        <f t="shared" si="14"/>
        <v>0</v>
      </c>
      <c r="AD476" s="3056"/>
      <c r="AE476" s="3057">
        <f t="shared" si="0"/>
      </c>
      <c r="AF476" s="3054"/>
      <c r="AG476" s="3054"/>
      <c r="AH476" s="3055"/>
      <c r="AI476" s="3055"/>
      <c r="AJ476" s="3055"/>
      <c r="AK476" s="3055"/>
      <c r="AL476" s="3055"/>
      <c r="AM476" s="3055"/>
      <c r="AN476" s="3055"/>
      <c r="AO476" s="3055"/>
      <c r="AP476" s="3055"/>
      <c r="AQ476" s="3055"/>
      <c r="AR476" s="3055"/>
      <c r="AS476" s="3055"/>
      <c r="AT476" s="3055"/>
      <c r="AU476" s="3056"/>
      <c r="AV476" s="3057">
        <f t="shared" si="15"/>
      </c>
      <c r="AW476" s="3054"/>
      <c r="AX476" s="3054"/>
      <c r="AY476" s="3055"/>
      <c r="AZ476" s="3055"/>
      <c r="BA476" s="3055"/>
      <c r="BB476" s="3055"/>
      <c r="BC476" s="3055"/>
      <c r="BD476" s="3055"/>
      <c r="BE476" s="3055"/>
      <c r="BF476" s="3055"/>
      <c r="BG476" s="3055"/>
      <c r="BH476" s="3055"/>
      <c r="BI476" s="3055"/>
      <c r="BJ476" s="3055"/>
      <c r="BK476" s="3055"/>
      <c r="BL476" s="3056"/>
      <c r="BM476" s="3057">
        <f t="shared" si="16"/>
      </c>
      <c r="BN476" s="3054"/>
      <c r="BO476" s="3054"/>
      <c r="BP476" s="3055"/>
      <c r="BQ476" s="3055"/>
      <c r="BR476" s="3055"/>
      <c r="BS476" s="3055"/>
      <c r="BT476" s="3055"/>
      <c r="BU476" s="3055"/>
      <c r="BV476" s="3055"/>
      <c r="BW476" s="3055"/>
      <c r="BX476" s="3055"/>
      <c r="BY476" s="3055"/>
      <c r="BZ476" s="3055"/>
      <c r="CA476" s="3055"/>
      <c r="CB476" s="3055"/>
      <c r="CC476" s="3056"/>
      <c r="CD476" s="3057">
        <f t="shared" si="0"/>
      </c>
      <c r="CE476" s="3054"/>
      <c r="CF476" s="3054"/>
      <c r="CG476" s="3055"/>
      <c r="CH476" s="3055"/>
      <c r="CI476" s="3055"/>
      <c r="CJ476" s="3055"/>
      <c r="CK476" s="3055"/>
      <c r="CL476" s="3055"/>
      <c r="CM476" s="3055"/>
      <c r="CN476" s="3055"/>
      <c r="CO476" s="3055"/>
      <c r="CP476" s="3055"/>
      <c r="CQ476" s="3055"/>
      <c r="CR476" s="3055"/>
      <c r="CS476" s="3055"/>
      <c r="CU476" s="3054"/>
      <c r="CV476" s="696"/>
      <c r="CW476" s="696"/>
      <c r="CZ476" s="3060">
        <f t="shared" si="17"/>
      </c>
      <c r="DA476" s="3060">
        <f t="shared" si="1"/>
      </c>
      <c r="DB476" s="3060">
        <f t="shared" si="18"/>
      </c>
      <c r="DC476" s="3060">
        <f t="shared" si="19"/>
      </c>
      <c r="DD476" s="3060">
        <f t="shared" si="20"/>
      </c>
      <c r="DE476" s="3060">
        <f t="shared" si="21"/>
      </c>
      <c r="DF476" s="3060">
        <f t="shared" si="22"/>
      </c>
      <c r="DG476" s="3060">
        <f t="shared" si="23"/>
      </c>
      <c r="DH476" s="3060">
        <f t="shared" si="24"/>
      </c>
      <c r="DI476" s="3060">
        <f t="shared" si="1"/>
      </c>
    </row>
    <row r="477" ht="15" customHeight="1" s="3052" customFormat="1">
      <c r="B477" s="3054">
        <f t="shared" si="2"/>
      </c>
      <c r="C477" s="3054"/>
      <c r="D477" s="3054"/>
      <c r="E477" s="3055"/>
      <c r="F477" s="3055"/>
      <c r="G477" s="3055"/>
      <c r="H477" s="3055"/>
      <c r="I477" s="3055"/>
      <c r="J477" s="3055"/>
      <c r="K477" s="3055"/>
      <c r="L477" s="3055"/>
      <c r="M477" s="3055"/>
      <c r="N477" s="3055"/>
      <c r="O477" s="3055"/>
      <c r="P477" s="3055"/>
      <c r="Q477" s="3055"/>
      <c r="R477" s="3055">
        <f t="shared" si="3"/>
        <v>0</v>
      </c>
      <c r="S477" s="3055">
        <f t="shared" si="4"/>
        <v>0</v>
      </c>
      <c r="T477" s="3055">
        <f t="shared" si="5"/>
        <v>0</v>
      </c>
      <c r="U477" s="3055">
        <f t="shared" si="6"/>
        <v>0</v>
      </c>
      <c r="V477" s="3055">
        <f t="shared" si="7"/>
        <v>0</v>
      </c>
      <c r="W477" s="3055">
        <f t="shared" si="8"/>
        <v>0</v>
      </c>
      <c r="X477" s="3055">
        <f t="shared" si="9"/>
        <v>0</v>
      </c>
      <c r="Y477" s="3055">
        <f t="shared" si="10"/>
        <v>0</v>
      </c>
      <c r="Z477" s="3055">
        <f t="shared" si="11"/>
        <v>0</v>
      </c>
      <c r="AA477" s="3055">
        <f t="shared" si="12"/>
        <v>0</v>
      </c>
      <c r="AB477" s="3055">
        <f t="shared" si="13"/>
        <v>0</v>
      </c>
      <c r="AC477" s="3055">
        <f t="shared" si="14"/>
        <v>0</v>
      </c>
      <c r="AD477" s="3056"/>
      <c r="AE477" s="3057">
        <f t="shared" si="0"/>
      </c>
      <c r="AF477" s="3054"/>
      <c r="AG477" s="3054"/>
      <c r="AH477" s="3055"/>
      <c r="AI477" s="3055"/>
      <c r="AJ477" s="3055"/>
      <c r="AK477" s="3055"/>
      <c r="AL477" s="3055"/>
      <c r="AM477" s="3055"/>
      <c r="AN477" s="3055"/>
      <c r="AO477" s="3055"/>
      <c r="AP477" s="3055"/>
      <c r="AQ477" s="3055"/>
      <c r="AR477" s="3055"/>
      <c r="AS477" s="3055"/>
      <c r="AT477" s="3055"/>
      <c r="AU477" s="3056"/>
      <c r="AV477" s="3057">
        <f t="shared" si="15"/>
      </c>
      <c r="AW477" s="3054"/>
      <c r="AX477" s="3054"/>
      <c r="AY477" s="3055"/>
      <c r="AZ477" s="3055"/>
      <c r="BA477" s="3055"/>
      <c r="BB477" s="3055"/>
      <c r="BC477" s="3055"/>
      <c r="BD477" s="3055"/>
      <c r="BE477" s="3055"/>
      <c r="BF477" s="3055"/>
      <c r="BG477" s="3055"/>
      <c r="BH477" s="3055"/>
      <c r="BI477" s="3055"/>
      <c r="BJ477" s="3055"/>
      <c r="BK477" s="3055"/>
      <c r="BL477" s="3056"/>
      <c r="BM477" s="3057">
        <f t="shared" si="16"/>
      </c>
      <c r="BN477" s="3054"/>
      <c r="BO477" s="3054"/>
      <c r="BP477" s="3055"/>
      <c r="BQ477" s="3055"/>
      <c r="BR477" s="3055"/>
      <c r="BS477" s="3055"/>
      <c r="BT477" s="3055"/>
      <c r="BU477" s="3055"/>
      <c r="BV477" s="3055"/>
      <c r="BW477" s="3055"/>
      <c r="BX477" s="3055"/>
      <c r="BY477" s="3055"/>
      <c r="BZ477" s="3055"/>
      <c r="CA477" s="3055"/>
      <c r="CB477" s="3055"/>
      <c r="CC477" s="3056"/>
      <c r="CD477" s="3057">
        <f t="shared" si="0"/>
      </c>
      <c r="CE477" s="3054"/>
      <c r="CF477" s="3054"/>
      <c r="CG477" s="3055"/>
      <c r="CH477" s="3055"/>
      <c r="CI477" s="3055"/>
      <c r="CJ477" s="3055"/>
      <c r="CK477" s="3055"/>
      <c r="CL477" s="3055"/>
      <c r="CM477" s="3055"/>
      <c r="CN477" s="3055"/>
      <c r="CO477" s="3055"/>
      <c r="CP477" s="3055"/>
      <c r="CQ477" s="3055"/>
      <c r="CR477" s="3055"/>
      <c r="CS477" s="3055"/>
      <c r="CU477" s="3054"/>
      <c r="CV477" s="696"/>
      <c r="CW477" s="696"/>
      <c r="CZ477" s="3060">
        <f t="shared" si="17"/>
      </c>
      <c r="DA477" s="3060">
        <f t="shared" si="1"/>
      </c>
      <c r="DB477" s="3060">
        <f t="shared" si="18"/>
      </c>
      <c r="DC477" s="3060">
        <f t="shared" si="19"/>
      </c>
      <c r="DD477" s="3060">
        <f t="shared" si="20"/>
      </c>
      <c r="DE477" s="3060">
        <f t="shared" si="21"/>
      </c>
      <c r="DF477" s="3060">
        <f t="shared" si="22"/>
      </c>
      <c r="DG477" s="3060">
        <f t="shared" si="23"/>
      </c>
      <c r="DH477" s="3060">
        <f t="shared" si="24"/>
      </c>
      <c r="DI477" s="3060">
        <f t="shared" si="1"/>
      </c>
    </row>
    <row r="478" ht="15" customHeight="1" s="3052" customFormat="1">
      <c r="B478" s="3054">
        <f t="shared" si="2"/>
      </c>
      <c r="C478" s="3054"/>
      <c r="D478" s="3054"/>
      <c r="E478" s="3055"/>
      <c r="F478" s="3055"/>
      <c r="G478" s="3055"/>
      <c r="H478" s="3055"/>
      <c r="I478" s="3055"/>
      <c r="J478" s="3055"/>
      <c r="K478" s="3055"/>
      <c r="L478" s="3055"/>
      <c r="M478" s="3055"/>
      <c r="N478" s="3055"/>
      <c r="O478" s="3055"/>
      <c r="P478" s="3055"/>
      <c r="Q478" s="3055"/>
      <c r="R478" s="3055">
        <f t="shared" si="3"/>
        <v>0</v>
      </c>
      <c r="S478" s="3055">
        <f t="shared" si="4"/>
        <v>0</v>
      </c>
      <c r="T478" s="3055">
        <f t="shared" si="5"/>
        <v>0</v>
      </c>
      <c r="U478" s="3055">
        <f t="shared" si="6"/>
        <v>0</v>
      </c>
      <c r="V478" s="3055">
        <f t="shared" si="7"/>
        <v>0</v>
      </c>
      <c r="W478" s="3055">
        <f t="shared" si="8"/>
        <v>0</v>
      </c>
      <c r="X478" s="3055">
        <f t="shared" si="9"/>
        <v>0</v>
      </c>
      <c r="Y478" s="3055">
        <f t="shared" si="10"/>
        <v>0</v>
      </c>
      <c r="Z478" s="3055">
        <f t="shared" si="11"/>
        <v>0</v>
      </c>
      <c r="AA478" s="3055">
        <f t="shared" si="12"/>
        <v>0</v>
      </c>
      <c r="AB478" s="3055">
        <f t="shared" si="13"/>
        <v>0</v>
      </c>
      <c r="AC478" s="3055">
        <f t="shared" si="14"/>
        <v>0</v>
      </c>
      <c r="AD478" s="3056"/>
      <c r="AE478" s="3057">
        <f t="shared" si="0"/>
      </c>
      <c r="AF478" s="3054"/>
      <c r="AG478" s="3054"/>
      <c r="AH478" s="3055"/>
      <c r="AI478" s="3055"/>
      <c r="AJ478" s="3055"/>
      <c r="AK478" s="3055"/>
      <c r="AL478" s="3055"/>
      <c r="AM478" s="3055"/>
      <c r="AN478" s="3055"/>
      <c r="AO478" s="3055"/>
      <c r="AP478" s="3055"/>
      <c r="AQ478" s="3055"/>
      <c r="AR478" s="3055"/>
      <c r="AS478" s="3055"/>
      <c r="AT478" s="3055"/>
      <c r="AU478" s="3056"/>
      <c r="AV478" s="3057">
        <f t="shared" si="15"/>
      </c>
      <c r="AW478" s="3054"/>
      <c r="AX478" s="3054"/>
      <c r="AY478" s="3055"/>
      <c r="AZ478" s="3055"/>
      <c r="BA478" s="3055"/>
      <c r="BB478" s="3055"/>
      <c r="BC478" s="3055"/>
      <c r="BD478" s="3055"/>
      <c r="BE478" s="3055"/>
      <c r="BF478" s="3055"/>
      <c r="BG478" s="3055"/>
      <c r="BH478" s="3055"/>
      <c r="BI478" s="3055"/>
      <c r="BJ478" s="3055"/>
      <c r="BK478" s="3055"/>
      <c r="BL478" s="3056"/>
      <c r="BM478" s="3057">
        <f t="shared" si="16"/>
      </c>
      <c r="BN478" s="3054"/>
      <c r="BO478" s="3054"/>
      <c r="BP478" s="3055"/>
      <c r="BQ478" s="3055"/>
      <c r="BR478" s="3055"/>
      <c r="BS478" s="3055"/>
      <c r="BT478" s="3055"/>
      <c r="BU478" s="3055"/>
      <c r="BV478" s="3055"/>
      <c r="BW478" s="3055"/>
      <c r="BX478" s="3055"/>
      <c r="BY478" s="3055"/>
      <c r="BZ478" s="3055"/>
      <c r="CA478" s="3055"/>
      <c r="CB478" s="3055"/>
      <c r="CC478" s="3056"/>
      <c r="CD478" s="3057">
        <f t="shared" si="0"/>
      </c>
      <c r="CE478" s="3054"/>
      <c r="CF478" s="3054"/>
      <c r="CG478" s="3055"/>
      <c r="CH478" s="3055"/>
      <c r="CI478" s="3055"/>
      <c r="CJ478" s="3055"/>
      <c r="CK478" s="3055"/>
      <c r="CL478" s="3055"/>
      <c r="CM478" s="3055"/>
      <c r="CN478" s="3055"/>
      <c r="CO478" s="3055"/>
      <c r="CP478" s="3055"/>
      <c r="CQ478" s="3055"/>
      <c r="CR478" s="3055"/>
      <c r="CS478" s="3055"/>
      <c r="CU478" s="3054"/>
      <c r="CV478" s="696"/>
      <c r="CW478" s="696"/>
      <c r="CZ478" s="3060">
        <f t="shared" si="17"/>
      </c>
      <c r="DA478" s="3060">
        <f t="shared" si="1"/>
      </c>
      <c r="DB478" s="3060">
        <f t="shared" si="18"/>
      </c>
      <c r="DC478" s="3060">
        <f t="shared" si="19"/>
      </c>
      <c r="DD478" s="3060">
        <f t="shared" si="20"/>
      </c>
      <c r="DE478" s="3060">
        <f t="shared" si="21"/>
      </c>
      <c r="DF478" s="3060">
        <f t="shared" si="22"/>
      </c>
      <c r="DG478" s="3060">
        <f t="shared" si="23"/>
      </c>
      <c r="DH478" s="3060">
        <f t="shared" si="24"/>
      </c>
      <c r="DI478" s="3060">
        <f t="shared" si="1"/>
      </c>
    </row>
    <row r="479" ht="15" customHeight="1" s="3052" customFormat="1">
      <c r="B479" s="3054">
        <f t="shared" si="2"/>
      </c>
      <c r="C479" s="3054"/>
      <c r="D479" s="3054"/>
      <c r="E479" s="3055"/>
      <c r="F479" s="3055"/>
      <c r="G479" s="3055"/>
      <c r="H479" s="3055"/>
      <c r="I479" s="3055"/>
      <c r="J479" s="3055"/>
      <c r="K479" s="3055"/>
      <c r="L479" s="3055"/>
      <c r="M479" s="3055"/>
      <c r="N479" s="3055"/>
      <c r="O479" s="3055"/>
      <c r="P479" s="3055"/>
      <c r="Q479" s="3055"/>
      <c r="R479" s="3055">
        <f t="shared" si="3"/>
        <v>0</v>
      </c>
      <c r="S479" s="3055">
        <f t="shared" si="4"/>
        <v>0</v>
      </c>
      <c r="T479" s="3055">
        <f t="shared" si="5"/>
        <v>0</v>
      </c>
      <c r="U479" s="3055">
        <f t="shared" si="6"/>
        <v>0</v>
      </c>
      <c r="V479" s="3055">
        <f t="shared" si="7"/>
        <v>0</v>
      </c>
      <c r="W479" s="3055">
        <f t="shared" si="8"/>
        <v>0</v>
      </c>
      <c r="X479" s="3055">
        <f t="shared" si="9"/>
        <v>0</v>
      </c>
      <c r="Y479" s="3055">
        <f t="shared" si="10"/>
        <v>0</v>
      </c>
      <c r="Z479" s="3055">
        <f t="shared" si="11"/>
        <v>0</v>
      </c>
      <c r="AA479" s="3055">
        <f t="shared" si="12"/>
        <v>0</v>
      </c>
      <c r="AB479" s="3055">
        <f t="shared" si="13"/>
        <v>0</v>
      </c>
      <c r="AC479" s="3055">
        <f t="shared" si="14"/>
        <v>0</v>
      </c>
      <c r="AD479" s="3056"/>
      <c r="AE479" s="3057">
        <f t="shared" si="0"/>
      </c>
      <c r="AF479" s="3054"/>
      <c r="AG479" s="3054"/>
      <c r="AH479" s="3055"/>
      <c r="AI479" s="3055"/>
      <c r="AJ479" s="3055"/>
      <c r="AK479" s="3055"/>
      <c r="AL479" s="3055"/>
      <c r="AM479" s="3055"/>
      <c r="AN479" s="3055"/>
      <c r="AO479" s="3055"/>
      <c r="AP479" s="3055"/>
      <c r="AQ479" s="3055"/>
      <c r="AR479" s="3055"/>
      <c r="AS479" s="3055"/>
      <c r="AT479" s="3055"/>
      <c r="AU479" s="3056"/>
      <c r="AV479" s="3057">
        <f t="shared" si="15"/>
      </c>
      <c r="AW479" s="3054"/>
      <c r="AX479" s="3054"/>
      <c r="AY479" s="3055"/>
      <c r="AZ479" s="3055"/>
      <c r="BA479" s="3055"/>
      <c r="BB479" s="3055"/>
      <c r="BC479" s="3055"/>
      <c r="BD479" s="3055"/>
      <c r="BE479" s="3055"/>
      <c r="BF479" s="3055"/>
      <c r="BG479" s="3055"/>
      <c r="BH479" s="3055"/>
      <c r="BI479" s="3055"/>
      <c r="BJ479" s="3055"/>
      <c r="BK479" s="3055"/>
      <c r="BL479" s="3056"/>
      <c r="BM479" s="3057">
        <f t="shared" si="16"/>
      </c>
      <c r="BN479" s="3054"/>
      <c r="BO479" s="3054"/>
      <c r="BP479" s="3055"/>
      <c r="BQ479" s="3055"/>
      <c r="BR479" s="3055"/>
      <c r="BS479" s="3055"/>
      <c r="BT479" s="3055"/>
      <c r="BU479" s="3055"/>
      <c r="BV479" s="3055"/>
      <c r="BW479" s="3055"/>
      <c r="BX479" s="3055"/>
      <c r="BY479" s="3055"/>
      <c r="BZ479" s="3055"/>
      <c r="CA479" s="3055"/>
      <c r="CB479" s="3055"/>
      <c r="CC479" s="3056"/>
      <c r="CD479" s="3057">
        <f t="shared" si="0"/>
      </c>
      <c r="CE479" s="3054"/>
      <c r="CF479" s="3054"/>
      <c r="CG479" s="3055"/>
      <c r="CH479" s="3055"/>
      <c r="CI479" s="3055"/>
      <c r="CJ479" s="3055"/>
      <c r="CK479" s="3055"/>
      <c r="CL479" s="3055"/>
      <c r="CM479" s="3055"/>
      <c r="CN479" s="3055"/>
      <c r="CO479" s="3055"/>
      <c r="CP479" s="3055"/>
      <c r="CQ479" s="3055"/>
      <c r="CR479" s="3055"/>
      <c r="CS479" s="3055"/>
      <c r="CU479" s="3054"/>
      <c r="CV479" s="696"/>
      <c r="CW479" s="696"/>
      <c r="CZ479" s="3060">
        <f t="shared" si="17"/>
      </c>
      <c r="DA479" s="3060">
        <f t="shared" si="1"/>
      </c>
      <c r="DB479" s="3060">
        <f t="shared" si="18"/>
      </c>
      <c r="DC479" s="3060">
        <f t="shared" si="19"/>
      </c>
      <c r="DD479" s="3060">
        <f t="shared" si="20"/>
      </c>
      <c r="DE479" s="3060">
        <f t="shared" si="21"/>
      </c>
      <c r="DF479" s="3060">
        <f t="shared" si="22"/>
      </c>
      <c r="DG479" s="3060">
        <f t="shared" si="23"/>
      </c>
      <c r="DH479" s="3060">
        <f t="shared" si="24"/>
      </c>
      <c r="DI479" s="3060">
        <f t="shared" si="1"/>
      </c>
    </row>
    <row r="480" ht="15" customHeight="1" s="3052" customFormat="1">
      <c r="B480" s="3054">
        <f t="shared" si="2"/>
      </c>
      <c r="C480" s="3054"/>
      <c r="D480" s="3054"/>
      <c r="E480" s="3055"/>
      <c r="F480" s="3055"/>
      <c r="G480" s="3055"/>
      <c r="H480" s="3055"/>
      <c r="I480" s="3055"/>
      <c r="J480" s="3055"/>
      <c r="K480" s="3055"/>
      <c r="L480" s="3055"/>
      <c r="M480" s="3055"/>
      <c r="N480" s="3055"/>
      <c r="O480" s="3055"/>
      <c r="P480" s="3055"/>
      <c r="Q480" s="3055"/>
      <c r="R480" s="3055">
        <f t="shared" si="3"/>
        <v>0</v>
      </c>
      <c r="S480" s="3055">
        <f t="shared" si="4"/>
        <v>0</v>
      </c>
      <c r="T480" s="3055">
        <f t="shared" si="5"/>
        <v>0</v>
      </c>
      <c r="U480" s="3055">
        <f t="shared" si="6"/>
        <v>0</v>
      </c>
      <c r="V480" s="3055">
        <f t="shared" si="7"/>
        <v>0</v>
      </c>
      <c r="W480" s="3055">
        <f t="shared" si="8"/>
        <v>0</v>
      </c>
      <c r="X480" s="3055">
        <f t="shared" si="9"/>
        <v>0</v>
      </c>
      <c r="Y480" s="3055">
        <f t="shared" si="10"/>
        <v>0</v>
      </c>
      <c r="Z480" s="3055">
        <f t="shared" si="11"/>
        <v>0</v>
      </c>
      <c r="AA480" s="3055">
        <f t="shared" si="12"/>
        <v>0</v>
      </c>
      <c r="AB480" s="3055">
        <f t="shared" si="13"/>
        <v>0</v>
      </c>
      <c r="AC480" s="3055">
        <f t="shared" si="14"/>
        <v>0</v>
      </c>
      <c r="AD480" s="3056"/>
      <c r="AE480" s="3057">
        <f t="shared" si="0"/>
      </c>
      <c r="AF480" s="3054"/>
      <c r="AG480" s="3054"/>
      <c r="AH480" s="3055"/>
      <c r="AI480" s="3055"/>
      <c r="AJ480" s="3055"/>
      <c r="AK480" s="3055"/>
      <c r="AL480" s="3055"/>
      <c r="AM480" s="3055"/>
      <c r="AN480" s="3055"/>
      <c r="AO480" s="3055"/>
      <c r="AP480" s="3055"/>
      <c r="AQ480" s="3055"/>
      <c r="AR480" s="3055"/>
      <c r="AS480" s="3055"/>
      <c r="AT480" s="3055"/>
      <c r="AU480" s="3056"/>
      <c r="AV480" s="3057">
        <f t="shared" si="15"/>
      </c>
      <c r="AW480" s="3054"/>
      <c r="AX480" s="3054"/>
      <c r="AY480" s="3055"/>
      <c r="AZ480" s="3055"/>
      <c r="BA480" s="3055"/>
      <c r="BB480" s="3055"/>
      <c r="BC480" s="3055"/>
      <c r="BD480" s="3055"/>
      <c r="BE480" s="3055"/>
      <c r="BF480" s="3055"/>
      <c r="BG480" s="3055"/>
      <c r="BH480" s="3055"/>
      <c r="BI480" s="3055"/>
      <c r="BJ480" s="3055"/>
      <c r="BK480" s="3055"/>
      <c r="BL480" s="3056"/>
      <c r="BM480" s="3057">
        <f t="shared" si="16"/>
      </c>
      <c r="BN480" s="3054"/>
      <c r="BO480" s="3054"/>
      <c r="BP480" s="3055"/>
      <c r="BQ480" s="3055"/>
      <c r="BR480" s="3055"/>
      <c r="BS480" s="3055"/>
      <c r="BT480" s="3055"/>
      <c r="BU480" s="3055"/>
      <c r="BV480" s="3055"/>
      <c r="BW480" s="3055"/>
      <c r="BX480" s="3055"/>
      <c r="BY480" s="3055"/>
      <c r="BZ480" s="3055"/>
      <c r="CA480" s="3055"/>
      <c r="CB480" s="3055"/>
      <c r="CC480" s="3056"/>
      <c r="CD480" s="3057">
        <f t="shared" si="0"/>
      </c>
      <c r="CE480" s="3054"/>
      <c r="CF480" s="3054"/>
      <c r="CG480" s="3055"/>
      <c r="CH480" s="3055"/>
      <c r="CI480" s="3055"/>
      <c r="CJ480" s="3055"/>
      <c r="CK480" s="3055"/>
      <c r="CL480" s="3055"/>
      <c r="CM480" s="3055"/>
      <c r="CN480" s="3055"/>
      <c r="CO480" s="3055"/>
      <c r="CP480" s="3055"/>
      <c r="CQ480" s="3055"/>
      <c r="CR480" s="3055"/>
      <c r="CS480" s="3055"/>
      <c r="CU480" s="3054"/>
      <c r="CV480" s="696"/>
      <c r="CW480" s="696"/>
      <c r="CZ480" s="3060">
        <f t="shared" si="17"/>
      </c>
      <c r="DA480" s="3060">
        <f t="shared" si="1"/>
      </c>
      <c r="DB480" s="3060">
        <f t="shared" si="18"/>
      </c>
      <c r="DC480" s="3060">
        <f t="shared" si="19"/>
      </c>
      <c r="DD480" s="3060">
        <f t="shared" si="20"/>
      </c>
      <c r="DE480" s="3060">
        <f t="shared" si="21"/>
      </c>
      <c r="DF480" s="3060">
        <f t="shared" si="22"/>
      </c>
      <c r="DG480" s="3060">
        <f t="shared" si="23"/>
      </c>
      <c r="DH480" s="3060">
        <f t="shared" si="24"/>
      </c>
      <c r="DI480" s="3060">
        <f t="shared" si="1"/>
      </c>
    </row>
    <row r="481" ht="15" customHeight="1" s="3052" customFormat="1">
      <c r="B481" s="3054">
        <f t="shared" si="2"/>
      </c>
      <c r="C481" s="3054"/>
      <c r="D481" s="3054"/>
      <c r="E481" s="3055"/>
      <c r="F481" s="3055"/>
      <c r="G481" s="3055"/>
      <c r="H481" s="3055"/>
      <c r="I481" s="3055"/>
      <c r="J481" s="3055"/>
      <c r="K481" s="3055"/>
      <c r="L481" s="3055"/>
      <c r="M481" s="3055"/>
      <c r="N481" s="3055"/>
      <c r="O481" s="3055"/>
      <c r="P481" s="3055"/>
      <c r="Q481" s="3055"/>
      <c r="R481" s="3055">
        <f t="shared" si="3"/>
        <v>0</v>
      </c>
      <c r="S481" s="3055">
        <f t="shared" si="4"/>
        <v>0</v>
      </c>
      <c r="T481" s="3055">
        <f t="shared" si="5"/>
        <v>0</v>
      </c>
      <c r="U481" s="3055">
        <f t="shared" si="6"/>
        <v>0</v>
      </c>
      <c r="V481" s="3055">
        <f t="shared" si="7"/>
        <v>0</v>
      </c>
      <c r="W481" s="3055">
        <f t="shared" si="8"/>
        <v>0</v>
      </c>
      <c r="X481" s="3055">
        <f t="shared" si="9"/>
        <v>0</v>
      </c>
      <c r="Y481" s="3055">
        <f t="shared" si="10"/>
        <v>0</v>
      </c>
      <c r="Z481" s="3055">
        <f t="shared" si="11"/>
        <v>0</v>
      </c>
      <c r="AA481" s="3055">
        <f t="shared" si="12"/>
        <v>0</v>
      </c>
      <c r="AB481" s="3055">
        <f t="shared" si="13"/>
        <v>0</v>
      </c>
      <c r="AC481" s="3055">
        <f t="shared" si="14"/>
        <v>0</v>
      </c>
      <c r="AD481" s="3056"/>
      <c r="AE481" s="3057">
        <f t="shared" si="0"/>
      </c>
      <c r="AF481" s="3054"/>
      <c r="AG481" s="3054"/>
      <c r="AH481" s="3055"/>
      <c r="AI481" s="3055"/>
      <c r="AJ481" s="3055"/>
      <c r="AK481" s="3055"/>
      <c r="AL481" s="3055"/>
      <c r="AM481" s="3055"/>
      <c r="AN481" s="3055"/>
      <c r="AO481" s="3055"/>
      <c r="AP481" s="3055"/>
      <c r="AQ481" s="3055"/>
      <c r="AR481" s="3055"/>
      <c r="AS481" s="3055"/>
      <c r="AT481" s="3055"/>
      <c r="AU481" s="3056"/>
      <c r="AV481" s="3057">
        <f t="shared" si="15"/>
      </c>
      <c r="AW481" s="3054"/>
      <c r="AX481" s="3054"/>
      <c r="AY481" s="3055"/>
      <c r="AZ481" s="3055"/>
      <c r="BA481" s="3055"/>
      <c r="BB481" s="3055"/>
      <c r="BC481" s="3055"/>
      <c r="BD481" s="3055"/>
      <c r="BE481" s="3055"/>
      <c r="BF481" s="3055"/>
      <c r="BG481" s="3055"/>
      <c r="BH481" s="3055"/>
      <c r="BI481" s="3055"/>
      <c r="BJ481" s="3055"/>
      <c r="BK481" s="3055"/>
      <c r="BL481" s="3056"/>
      <c r="BM481" s="3057">
        <f t="shared" si="16"/>
      </c>
      <c r="BN481" s="3054"/>
      <c r="BO481" s="3054"/>
      <c r="BP481" s="3055"/>
      <c r="BQ481" s="3055"/>
      <c r="BR481" s="3055"/>
      <c r="BS481" s="3055"/>
      <c r="BT481" s="3055"/>
      <c r="BU481" s="3055"/>
      <c r="BV481" s="3055"/>
      <c r="BW481" s="3055"/>
      <c r="BX481" s="3055"/>
      <c r="BY481" s="3055"/>
      <c r="BZ481" s="3055"/>
      <c r="CA481" s="3055"/>
      <c r="CB481" s="3055"/>
      <c r="CC481" s="3056"/>
      <c r="CD481" s="3057">
        <f t="shared" si="0"/>
      </c>
      <c r="CE481" s="3054"/>
      <c r="CF481" s="3054"/>
      <c r="CG481" s="3055"/>
      <c r="CH481" s="3055"/>
      <c r="CI481" s="3055"/>
      <c r="CJ481" s="3055"/>
      <c r="CK481" s="3055"/>
      <c r="CL481" s="3055"/>
      <c r="CM481" s="3055"/>
      <c r="CN481" s="3055"/>
      <c r="CO481" s="3055"/>
      <c r="CP481" s="3055"/>
      <c r="CQ481" s="3055"/>
      <c r="CR481" s="3055"/>
      <c r="CS481" s="3055"/>
      <c r="CU481" s="3054"/>
      <c r="CV481" s="696"/>
      <c r="CW481" s="696"/>
      <c r="CZ481" s="3060">
        <f t="shared" si="17"/>
      </c>
      <c r="DA481" s="3060">
        <f t="shared" si="1"/>
      </c>
      <c r="DB481" s="3060">
        <f t="shared" si="18"/>
      </c>
      <c r="DC481" s="3060">
        <f t="shared" si="19"/>
      </c>
      <c r="DD481" s="3060">
        <f t="shared" si="20"/>
      </c>
      <c r="DE481" s="3060">
        <f t="shared" si="21"/>
      </c>
      <c r="DF481" s="3060">
        <f t="shared" si="22"/>
      </c>
      <c r="DG481" s="3060">
        <f t="shared" si="23"/>
      </c>
      <c r="DH481" s="3060">
        <f t="shared" si="24"/>
      </c>
      <c r="DI481" s="3060">
        <f t="shared" si="1"/>
      </c>
    </row>
    <row r="482" ht="15" customHeight="1" s="3052" customFormat="1">
      <c r="B482" s="3054">
        <f t="shared" si="2"/>
      </c>
      <c r="C482" s="3054"/>
      <c r="D482" s="3054"/>
      <c r="E482" s="3055"/>
      <c r="F482" s="3055"/>
      <c r="G482" s="3055"/>
      <c r="H482" s="3055"/>
      <c r="I482" s="3055"/>
      <c r="J482" s="3055"/>
      <c r="K482" s="3055"/>
      <c r="L482" s="3055"/>
      <c r="M482" s="3055"/>
      <c r="N482" s="3055"/>
      <c r="O482" s="3055"/>
      <c r="P482" s="3055"/>
      <c r="Q482" s="3055"/>
      <c r="R482" s="3055">
        <f t="shared" si="3"/>
        <v>0</v>
      </c>
      <c r="S482" s="3055">
        <f t="shared" si="4"/>
        <v>0</v>
      </c>
      <c r="T482" s="3055">
        <f t="shared" si="5"/>
        <v>0</v>
      </c>
      <c r="U482" s="3055">
        <f t="shared" si="6"/>
        <v>0</v>
      </c>
      <c r="V482" s="3055">
        <f t="shared" si="7"/>
        <v>0</v>
      </c>
      <c r="W482" s="3055">
        <f t="shared" si="8"/>
        <v>0</v>
      </c>
      <c r="X482" s="3055">
        <f t="shared" si="9"/>
        <v>0</v>
      </c>
      <c r="Y482" s="3055">
        <f t="shared" si="10"/>
        <v>0</v>
      </c>
      <c r="Z482" s="3055">
        <f t="shared" si="11"/>
        <v>0</v>
      </c>
      <c r="AA482" s="3055">
        <f t="shared" si="12"/>
        <v>0</v>
      </c>
      <c r="AB482" s="3055">
        <f t="shared" si="13"/>
        <v>0</v>
      </c>
      <c r="AC482" s="3055">
        <f t="shared" si="14"/>
        <v>0</v>
      </c>
      <c r="AD482" s="3056"/>
      <c r="AE482" s="3057">
        <f t="shared" si="0"/>
      </c>
      <c r="AF482" s="3054"/>
      <c r="AG482" s="3054"/>
      <c r="AH482" s="3055"/>
      <c r="AI482" s="3055"/>
      <c r="AJ482" s="3055"/>
      <c r="AK482" s="3055"/>
      <c r="AL482" s="3055"/>
      <c r="AM482" s="3055"/>
      <c r="AN482" s="3055"/>
      <c r="AO482" s="3055"/>
      <c r="AP482" s="3055"/>
      <c r="AQ482" s="3055"/>
      <c r="AR482" s="3055"/>
      <c r="AS482" s="3055"/>
      <c r="AT482" s="3055"/>
      <c r="AU482" s="3056"/>
      <c r="AV482" s="3057">
        <f t="shared" si="15"/>
      </c>
      <c r="AW482" s="3054"/>
      <c r="AX482" s="3054"/>
      <c r="AY482" s="3055"/>
      <c r="AZ482" s="3055"/>
      <c r="BA482" s="3055"/>
      <c r="BB482" s="3055"/>
      <c r="BC482" s="3055"/>
      <c r="BD482" s="3055"/>
      <c r="BE482" s="3055"/>
      <c r="BF482" s="3055"/>
      <c r="BG482" s="3055"/>
      <c r="BH482" s="3055"/>
      <c r="BI482" s="3055"/>
      <c r="BJ482" s="3055"/>
      <c r="BK482" s="3055"/>
      <c r="BL482" s="3056"/>
      <c r="BM482" s="3057">
        <f t="shared" si="16"/>
      </c>
      <c r="BN482" s="3054"/>
      <c r="BO482" s="3054"/>
      <c r="BP482" s="3055"/>
      <c r="BQ482" s="3055"/>
      <c r="BR482" s="3055"/>
      <c r="BS482" s="3055"/>
      <c r="BT482" s="3055"/>
      <c r="BU482" s="3055"/>
      <c r="BV482" s="3055"/>
      <c r="BW482" s="3055"/>
      <c r="BX482" s="3055"/>
      <c r="BY482" s="3055"/>
      <c r="BZ482" s="3055"/>
      <c r="CA482" s="3055"/>
      <c r="CB482" s="3055"/>
      <c r="CC482" s="3056"/>
      <c r="CD482" s="3057">
        <f t="shared" si="0"/>
      </c>
      <c r="CE482" s="3054"/>
      <c r="CF482" s="3054"/>
      <c r="CG482" s="3055"/>
      <c r="CH482" s="3055"/>
      <c r="CI482" s="3055"/>
      <c r="CJ482" s="3055"/>
      <c r="CK482" s="3055"/>
      <c r="CL482" s="3055"/>
      <c r="CM482" s="3055"/>
      <c r="CN482" s="3055"/>
      <c r="CO482" s="3055"/>
      <c r="CP482" s="3055"/>
      <c r="CQ482" s="3055"/>
      <c r="CR482" s="3055"/>
      <c r="CS482" s="3055"/>
      <c r="CU482" s="3054"/>
      <c r="CV482" s="696"/>
      <c r="CW482" s="696"/>
      <c r="CZ482" s="3060">
        <f t="shared" si="17"/>
      </c>
      <c r="DA482" s="3060">
        <f t="shared" si="1"/>
      </c>
      <c r="DB482" s="3060">
        <f t="shared" si="18"/>
      </c>
      <c r="DC482" s="3060">
        <f t="shared" si="19"/>
      </c>
      <c r="DD482" s="3060">
        <f t="shared" si="20"/>
      </c>
      <c r="DE482" s="3060">
        <f t="shared" si="21"/>
      </c>
      <c r="DF482" s="3060">
        <f t="shared" si="22"/>
      </c>
      <c r="DG482" s="3060">
        <f t="shared" si="23"/>
      </c>
      <c r="DH482" s="3060">
        <f t="shared" si="24"/>
      </c>
      <c r="DI482" s="3060">
        <f t="shared" si="1"/>
      </c>
    </row>
    <row r="483" ht="15" customHeight="1" s="3052" customFormat="1">
      <c r="B483" s="3054">
        <f t="shared" si="2"/>
      </c>
      <c r="C483" s="3054"/>
      <c r="D483" s="3054"/>
      <c r="E483" s="3055"/>
      <c r="F483" s="3055"/>
      <c r="G483" s="3055"/>
      <c r="H483" s="3055"/>
      <c r="I483" s="3055"/>
      <c r="J483" s="3055"/>
      <c r="K483" s="3055"/>
      <c r="L483" s="3055"/>
      <c r="M483" s="3055"/>
      <c r="N483" s="3055"/>
      <c r="O483" s="3055"/>
      <c r="P483" s="3055"/>
      <c r="Q483" s="3055"/>
      <c r="R483" s="3055">
        <f t="shared" si="3"/>
        <v>0</v>
      </c>
      <c r="S483" s="3055">
        <f t="shared" si="4"/>
        <v>0</v>
      </c>
      <c r="T483" s="3055">
        <f t="shared" si="5"/>
        <v>0</v>
      </c>
      <c r="U483" s="3055">
        <f t="shared" si="6"/>
        <v>0</v>
      </c>
      <c r="V483" s="3055">
        <f t="shared" si="7"/>
        <v>0</v>
      </c>
      <c r="W483" s="3055">
        <f t="shared" si="8"/>
        <v>0</v>
      </c>
      <c r="X483" s="3055">
        <f t="shared" si="9"/>
        <v>0</v>
      </c>
      <c r="Y483" s="3055">
        <f t="shared" si="10"/>
        <v>0</v>
      </c>
      <c r="Z483" s="3055">
        <f t="shared" si="11"/>
        <v>0</v>
      </c>
      <c r="AA483" s="3055">
        <f t="shared" si="12"/>
        <v>0</v>
      </c>
      <c r="AB483" s="3055">
        <f t="shared" si="13"/>
        <v>0</v>
      </c>
      <c r="AC483" s="3055">
        <f t="shared" si="14"/>
        <v>0</v>
      </c>
      <c r="AD483" s="3056"/>
      <c r="AE483" s="3057">
        <f t="shared" si="0"/>
      </c>
      <c r="AF483" s="3054"/>
      <c r="AG483" s="3054"/>
      <c r="AH483" s="3055"/>
      <c r="AI483" s="3055"/>
      <c r="AJ483" s="3055"/>
      <c r="AK483" s="3055"/>
      <c r="AL483" s="3055"/>
      <c r="AM483" s="3055"/>
      <c r="AN483" s="3055"/>
      <c r="AO483" s="3055"/>
      <c r="AP483" s="3055"/>
      <c r="AQ483" s="3055"/>
      <c r="AR483" s="3055"/>
      <c r="AS483" s="3055"/>
      <c r="AT483" s="3055"/>
      <c r="AU483" s="3056"/>
      <c r="AV483" s="3057">
        <f t="shared" si="15"/>
      </c>
      <c r="AW483" s="3054"/>
      <c r="AX483" s="3054"/>
      <c r="AY483" s="3055"/>
      <c r="AZ483" s="3055"/>
      <c r="BA483" s="3055"/>
      <c r="BB483" s="3055"/>
      <c r="BC483" s="3055"/>
      <c r="BD483" s="3055"/>
      <c r="BE483" s="3055"/>
      <c r="BF483" s="3055"/>
      <c r="BG483" s="3055"/>
      <c r="BH483" s="3055"/>
      <c r="BI483" s="3055"/>
      <c r="BJ483" s="3055"/>
      <c r="BK483" s="3055"/>
      <c r="BL483" s="3056"/>
      <c r="BM483" s="3057">
        <f t="shared" si="16"/>
      </c>
      <c r="BN483" s="3054"/>
      <c r="BO483" s="3054"/>
      <c r="BP483" s="3055"/>
      <c r="BQ483" s="3055"/>
      <c r="BR483" s="3055"/>
      <c r="BS483" s="3055"/>
      <c r="BT483" s="3055"/>
      <c r="BU483" s="3055"/>
      <c r="BV483" s="3055"/>
      <c r="BW483" s="3055"/>
      <c r="BX483" s="3055"/>
      <c r="BY483" s="3055"/>
      <c r="BZ483" s="3055"/>
      <c r="CA483" s="3055"/>
      <c r="CB483" s="3055"/>
      <c r="CC483" s="3056"/>
      <c r="CD483" s="3057">
        <f t="shared" si="0"/>
      </c>
      <c r="CE483" s="3054"/>
      <c r="CF483" s="3054"/>
      <c r="CG483" s="3055"/>
      <c r="CH483" s="3055"/>
      <c r="CI483" s="3055"/>
      <c r="CJ483" s="3055"/>
      <c r="CK483" s="3055"/>
      <c r="CL483" s="3055"/>
      <c r="CM483" s="3055"/>
      <c r="CN483" s="3055"/>
      <c r="CO483" s="3055"/>
      <c r="CP483" s="3055"/>
      <c r="CQ483" s="3055"/>
      <c r="CR483" s="3055"/>
      <c r="CS483" s="3055"/>
      <c r="CU483" s="3054"/>
      <c r="CV483" s="696"/>
      <c r="CW483" s="696"/>
      <c r="CZ483" s="3060">
        <f t="shared" si="17"/>
      </c>
      <c r="DA483" s="3060">
        <f t="shared" si="1"/>
      </c>
      <c r="DB483" s="3060">
        <f t="shared" si="18"/>
      </c>
      <c r="DC483" s="3060">
        <f t="shared" si="19"/>
      </c>
      <c r="DD483" s="3060">
        <f t="shared" si="20"/>
      </c>
      <c r="DE483" s="3060">
        <f t="shared" si="21"/>
      </c>
      <c r="DF483" s="3060">
        <f t="shared" si="22"/>
      </c>
      <c r="DG483" s="3060">
        <f t="shared" si="23"/>
      </c>
      <c r="DH483" s="3060">
        <f t="shared" si="24"/>
      </c>
      <c r="DI483" s="3060">
        <f t="shared" si="1"/>
      </c>
    </row>
    <row r="484" ht="15" customHeight="1" s="3052" customFormat="1">
      <c r="B484" s="3054">
        <f t="shared" si="2"/>
      </c>
      <c r="C484" s="3054"/>
      <c r="D484" s="3054"/>
      <c r="E484" s="3055"/>
      <c r="F484" s="3055"/>
      <c r="G484" s="3055"/>
      <c r="H484" s="3055"/>
      <c r="I484" s="3055"/>
      <c r="J484" s="3055"/>
      <c r="K484" s="3055"/>
      <c r="L484" s="3055"/>
      <c r="M484" s="3055"/>
      <c r="N484" s="3055"/>
      <c r="O484" s="3055"/>
      <c r="P484" s="3055"/>
      <c r="Q484" s="3055"/>
      <c r="R484" s="3055">
        <f t="shared" si="3"/>
        <v>0</v>
      </c>
      <c r="S484" s="3055">
        <f t="shared" si="4"/>
        <v>0</v>
      </c>
      <c r="T484" s="3055">
        <f t="shared" si="5"/>
        <v>0</v>
      </c>
      <c r="U484" s="3055">
        <f t="shared" si="6"/>
        <v>0</v>
      </c>
      <c r="V484" s="3055">
        <f t="shared" si="7"/>
        <v>0</v>
      </c>
      <c r="W484" s="3055">
        <f t="shared" si="8"/>
        <v>0</v>
      </c>
      <c r="X484" s="3055">
        <f t="shared" si="9"/>
        <v>0</v>
      </c>
      <c r="Y484" s="3055">
        <f t="shared" si="10"/>
        <v>0</v>
      </c>
      <c r="Z484" s="3055">
        <f t="shared" si="11"/>
        <v>0</v>
      </c>
      <c r="AA484" s="3055">
        <f t="shared" si="12"/>
        <v>0</v>
      </c>
      <c r="AB484" s="3055">
        <f t="shared" si="13"/>
        <v>0</v>
      </c>
      <c r="AC484" s="3055">
        <f t="shared" si="14"/>
        <v>0</v>
      </c>
      <c r="AD484" s="3056"/>
      <c r="AE484" s="3057">
        <f t="shared" si="0"/>
      </c>
      <c r="AF484" s="3054"/>
      <c r="AG484" s="3054"/>
      <c r="AH484" s="3055"/>
      <c r="AI484" s="3055"/>
      <c r="AJ484" s="3055"/>
      <c r="AK484" s="3055"/>
      <c r="AL484" s="3055"/>
      <c r="AM484" s="3055"/>
      <c r="AN484" s="3055"/>
      <c r="AO484" s="3055"/>
      <c r="AP484" s="3055"/>
      <c r="AQ484" s="3055"/>
      <c r="AR484" s="3055"/>
      <c r="AS484" s="3055"/>
      <c r="AT484" s="3055"/>
      <c r="AU484" s="3056"/>
      <c r="AV484" s="3057">
        <f t="shared" si="15"/>
      </c>
      <c r="AW484" s="3054"/>
      <c r="AX484" s="3054"/>
      <c r="AY484" s="3055"/>
      <c r="AZ484" s="3055"/>
      <c r="BA484" s="3055"/>
      <c r="BB484" s="3055"/>
      <c r="BC484" s="3055"/>
      <c r="BD484" s="3055"/>
      <c r="BE484" s="3055"/>
      <c r="BF484" s="3055"/>
      <c r="BG484" s="3055"/>
      <c r="BH484" s="3055"/>
      <c r="BI484" s="3055"/>
      <c r="BJ484" s="3055"/>
      <c r="BK484" s="3055"/>
      <c r="BL484" s="3056"/>
      <c r="BM484" s="3057">
        <f t="shared" si="16"/>
      </c>
      <c r="BN484" s="3054"/>
      <c r="BO484" s="3054"/>
      <c r="BP484" s="3055"/>
      <c r="BQ484" s="3055"/>
      <c r="BR484" s="3055"/>
      <c r="BS484" s="3055"/>
      <c r="BT484" s="3055"/>
      <c r="BU484" s="3055"/>
      <c r="BV484" s="3055"/>
      <c r="BW484" s="3055"/>
      <c r="BX484" s="3055"/>
      <c r="BY484" s="3055"/>
      <c r="BZ484" s="3055"/>
      <c r="CA484" s="3055"/>
      <c r="CB484" s="3055"/>
      <c r="CC484" s="3056"/>
      <c r="CD484" s="3057">
        <f t="shared" si="0"/>
      </c>
      <c r="CE484" s="3054"/>
      <c r="CF484" s="3054"/>
      <c r="CG484" s="3055"/>
      <c r="CH484" s="3055"/>
      <c r="CI484" s="3055"/>
      <c r="CJ484" s="3055"/>
      <c r="CK484" s="3055"/>
      <c r="CL484" s="3055"/>
      <c r="CM484" s="3055"/>
      <c r="CN484" s="3055"/>
      <c r="CO484" s="3055"/>
      <c r="CP484" s="3055"/>
      <c r="CQ484" s="3055"/>
      <c r="CR484" s="3055"/>
      <c r="CS484" s="3055"/>
      <c r="CU484" s="3054"/>
      <c r="CV484" s="696"/>
      <c r="CW484" s="696"/>
      <c r="CZ484" s="3060">
        <f t="shared" si="17"/>
      </c>
      <c r="DA484" s="3060">
        <f t="shared" si="1"/>
      </c>
      <c r="DB484" s="3060">
        <f t="shared" si="18"/>
      </c>
      <c r="DC484" s="3060">
        <f t="shared" si="19"/>
      </c>
      <c r="DD484" s="3060">
        <f t="shared" si="20"/>
      </c>
      <c r="DE484" s="3060">
        <f t="shared" si="21"/>
      </c>
      <c r="DF484" s="3060">
        <f t="shared" si="22"/>
      </c>
      <c r="DG484" s="3060">
        <f t="shared" si="23"/>
      </c>
      <c r="DH484" s="3060">
        <f t="shared" si="24"/>
      </c>
      <c r="DI484" s="3060">
        <f t="shared" si="1"/>
      </c>
    </row>
    <row r="485" ht="15" customHeight="1" s="3052" customFormat="1">
      <c r="B485" s="3054">
        <f t="shared" si="2"/>
      </c>
      <c r="C485" s="3054"/>
      <c r="D485" s="3054"/>
      <c r="E485" s="3055"/>
      <c r="F485" s="3055"/>
      <c r="G485" s="3055"/>
      <c r="H485" s="3055"/>
      <c r="I485" s="3055"/>
      <c r="J485" s="3055"/>
      <c r="K485" s="3055"/>
      <c r="L485" s="3055"/>
      <c r="M485" s="3055"/>
      <c r="N485" s="3055"/>
      <c r="O485" s="3055"/>
      <c r="P485" s="3055"/>
      <c r="Q485" s="3055"/>
      <c r="R485" s="3055">
        <f t="shared" si="3"/>
        <v>0</v>
      </c>
      <c r="S485" s="3055">
        <f t="shared" si="4"/>
        <v>0</v>
      </c>
      <c r="T485" s="3055">
        <f t="shared" si="5"/>
        <v>0</v>
      </c>
      <c r="U485" s="3055">
        <f t="shared" si="6"/>
        <v>0</v>
      </c>
      <c r="V485" s="3055">
        <f t="shared" si="7"/>
        <v>0</v>
      </c>
      <c r="W485" s="3055">
        <f t="shared" si="8"/>
        <v>0</v>
      </c>
      <c r="X485" s="3055">
        <f t="shared" si="9"/>
        <v>0</v>
      </c>
      <c r="Y485" s="3055">
        <f t="shared" si="10"/>
        <v>0</v>
      </c>
      <c r="Z485" s="3055">
        <f t="shared" si="11"/>
        <v>0</v>
      </c>
      <c r="AA485" s="3055">
        <f t="shared" si="12"/>
        <v>0</v>
      </c>
      <c r="AB485" s="3055">
        <f t="shared" si="13"/>
        <v>0</v>
      </c>
      <c r="AC485" s="3055">
        <f t="shared" si="14"/>
        <v>0</v>
      </c>
      <c r="AD485" s="3056"/>
      <c r="AE485" s="3057">
        <f t="shared" si="0"/>
      </c>
      <c r="AF485" s="3054"/>
      <c r="AG485" s="3054"/>
      <c r="AH485" s="3055"/>
      <c r="AI485" s="3055"/>
      <c r="AJ485" s="3055"/>
      <c r="AK485" s="3055"/>
      <c r="AL485" s="3055"/>
      <c r="AM485" s="3055"/>
      <c r="AN485" s="3055"/>
      <c r="AO485" s="3055"/>
      <c r="AP485" s="3055"/>
      <c r="AQ485" s="3055"/>
      <c r="AR485" s="3055"/>
      <c r="AS485" s="3055"/>
      <c r="AT485" s="3055"/>
      <c r="AU485" s="3056"/>
      <c r="AV485" s="3057">
        <f t="shared" si="15"/>
      </c>
      <c r="AW485" s="3054"/>
      <c r="AX485" s="3054"/>
      <c r="AY485" s="3055"/>
      <c r="AZ485" s="3055"/>
      <c r="BA485" s="3055"/>
      <c r="BB485" s="3055"/>
      <c r="BC485" s="3055"/>
      <c r="BD485" s="3055"/>
      <c r="BE485" s="3055"/>
      <c r="BF485" s="3055"/>
      <c r="BG485" s="3055"/>
      <c r="BH485" s="3055"/>
      <c r="BI485" s="3055"/>
      <c r="BJ485" s="3055"/>
      <c r="BK485" s="3055"/>
      <c r="BL485" s="3056"/>
      <c r="BM485" s="3057">
        <f t="shared" si="16"/>
      </c>
      <c r="BN485" s="3054"/>
      <c r="BO485" s="3054"/>
      <c r="BP485" s="3055"/>
      <c r="BQ485" s="3055"/>
      <c r="BR485" s="3055"/>
      <c r="BS485" s="3055"/>
      <c r="BT485" s="3055"/>
      <c r="BU485" s="3055"/>
      <c r="BV485" s="3055"/>
      <c r="BW485" s="3055"/>
      <c r="BX485" s="3055"/>
      <c r="BY485" s="3055"/>
      <c r="BZ485" s="3055"/>
      <c r="CA485" s="3055"/>
      <c r="CB485" s="3055"/>
      <c r="CC485" s="3056"/>
      <c r="CD485" s="3057">
        <f t="shared" si="0"/>
      </c>
      <c r="CE485" s="3054"/>
      <c r="CF485" s="3054"/>
      <c r="CG485" s="3055"/>
      <c r="CH485" s="3055"/>
      <c r="CI485" s="3055"/>
      <c r="CJ485" s="3055"/>
      <c r="CK485" s="3055"/>
      <c r="CL485" s="3055"/>
      <c r="CM485" s="3055"/>
      <c r="CN485" s="3055"/>
      <c r="CO485" s="3055"/>
      <c r="CP485" s="3055"/>
      <c r="CQ485" s="3055"/>
      <c r="CR485" s="3055"/>
      <c r="CS485" s="3055"/>
      <c r="CU485" s="3054"/>
      <c r="CV485" s="696"/>
      <c r="CW485" s="696"/>
      <c r="CZ485" s="3060">
        <f t="shared" si="17"/>
      </c>
      <c r="DA485" s="3060">
        <f t="shared" si="1"/>
      </c>
      <c r="DB485" s="3060">
        <f t="shared" si="18"/>
      </c>
      <c r="DC485" s="3060">
        <f t="shared" si="19"/>
      </c>
      <c r="DD485" s="3060">
        <f t="shared" si="20"/>
      </c>
      <c r="DE485" s="3060">
        <f t="shared" si="21"/>
      </c>
      <c r="DF485" s="3060">
        <f t="shared" si="22"/>
      </c>
      <c r="DG485" s="3060">
        <f t="shared" si="23"/>
      </c>
      <c r="DH485" s="3060">
        <f t="shared" si="24"/>
      </c>
      <c r="DI485" s="3060">
        <f t="shared" si="1"/>
      </c>
    </row>
    <row r="486" ht="15" customHeight="1" s="3052" customFormat="1">
      <c r="B486" s="3054">
        <f t="shared" si="2"/>
      </c>
      <c r="C486" s="3054"/>
      <c r="D486" s="3054"/>
      <c r="E486" s="3055"/>
      <c r="F486" s="3055"/>
      <c r="G486" s="3055"/>
      <c r="H486" s="3055"/>
      <c r="I486" s="3055"/>
      <c r="J486" s="3055"/>
      <c r="K486" s="3055"/>
      <c r="L486" s="3055"/>
      <c r="M486" s="3055"/>
      <c r="N486" s="3055"/>
      <c r="O486" s="3055"/>
      <c r="P486" s="3055"/>
      <c r="Q486" s="3055"/>
      <c r="R486" s="3055">
        <f t="shared" si="3"/>
        <v>0</v>
      </c>
      <c r="S486" s="3055">
        <f t="shared" si="4"/>
        <v>0</v>
      </c>
      <c r="T486" s="3055">
        <f t="shared" si="5"/>
        <v>0</v>
      </c>
      <c r="U486" s="3055">
        <f t="shared" si="6"/>
        <v>0</v>
      </c>
      <c r="V486" s="3055">
        <f t="shared" si="7"/>
        <v>0</v>
      </c>
      <c r="W486" s="3055">
        <f t="shared" si="8"/>
        <v>0</v>
      </c>
      <c r="X486" s="3055">
        <f t="shared" si="9"/>
        <v>0</v>
      </c>
      <c r="Y486" s="3055">
        <f t="shared" si="10"/>
        <v>0</v>
      </c>
      <c r="Z486" s="3055">
        <f t="shared" si="11"/>
        <v>0</v>
      </c>
      <c r="AA486" s="3055">
        <f t="shared" si="12"/>
        <v>0</v>
      </c>
      <c r="AB486" s="3055">
        <f t="shared" si="13"/>
        <v>0</v>
      </c>
      <c r="AC486" s="3055">
        <f t="shared" si="14"/>
        <v>0</v>
      </c>
      <c r="AD486" s="3056"/>
      <c r="AE486" s="3057">
        <f t="shared" si="0"/>
      </c>
      <c r="AF486" s="3054"/>
      <c r="AG486" s="3054"/>
      <c r="AH486" s="3055"/>
      <c r="AI486" s="3055"/>
      <c r="AJ486" s="3055"/>
      <c r="AK486" s="3055"/>
      <c r="AL486" s="3055"/>
      <c r="AM486" s="3055"/>
      <c r="AN486" s="3055"/>
      <c r="AO486" s="3055"/>
      <c r="AP486" s="3055"/>
      <c r="AQ486" s="3055"/>
      <c r="AR486" s="3055"/>
      <c r="AS486" s="3055"/>
      <c r="AT486" s="3055"/>
      <c r="AU486" s="3056"/>
      <c r="AV486" s="3057">
        <f t="shared" si="15"/>
      </c>
      <c r="AW486" s="3054"/>
      <c r="AX486" s="3054"/>
      <c r="AY486" s="3055"/>
      <c r="AZ486" s="3055"/>
      <c r="BA486" s="3055"/>
      <c r="BB486" s="3055"/>
      <c r="BC486" s="3055"/>
      <c r="BD486" s="3055"/>
      <c r="BE486" s="3055"/>
      <c r="BF486" s="3055"/>
      <c r="BG486" s="3055"/>
      <c r="BH486" s="3055"/>
      <c r="BI486" s="3055"/>
      <c r="BJ486" s="3055"/>
      <c r="BK486" s="3055"/>
      <c r="BL486" s="3056"/>
      <c r="BM486" s="3057">
        <f t="shared" si="16"/>
      </c>
      <c r="BN486" s="3054"/>
      <c r="BO486" s="3054"/>
      <c r="BP486" s="3055"/>
      <c r="BQ486" s="3055"/>
      <c r="BR486" s="3055"/>
      <c r="BS486" s="3055"/>
      <c r="BT486" s="3055"/>
      <c r="BU486" s="3055"/>
      <c r="BV486" s="3055"/>
      <c r="BW486" s="3055"/>
      <c r="BX486" s="3055"/>
      <c r="BY486" s="3055"/>
      <c r="BZ486" s="3055"/>
      <c r="CA486" s="3055"/>
      <c r="CB486" s="3055"/>
      <c r="CC486" s="3056"/>
      <c r="CD486" s="3057">
        <f t="shared" si="0"/>
      </c>
      <c r="CE486" s="3054"/>
      <c r="CF486" s="3054"/>
      <c r="CG486" s="3055"/>
      <c r="CH486" s="3055"/>
      <c r="CI486" s="3055"/>
      <c r="CJ486" s="3055"/>
      <c r="CK486" s="3055"/>
      <c r="CL486" s="3055"/>
      <c r="CM486" s="3055"/>
      <c r="CN486" s="3055"/>
      <c r="CO486" s="3055"/>
      <c r="CP486" s="3055"/>
      <c r="CQ486" s="3055"/>
      <c r="CR486" s="3055"/>
      <c r="CS486" s="3055"/>
      <c r="CU486" s="3054"/>
      <c r="CV486" s="696"/>
      <c r="CW486" s="696"/>
      <c r="CZ486" s="3060">
        <f t="shared" si="17"/>
      </c>
      <c r="DA486" s="3060">
        <f t="shared" si="1"/>
      </c>
      <c r="DB486" s="3060">
        <f t="shared" si="18"/>
      </c>
      <c r="DC486" s="3060">
        <f t="shared" si="19"/>
      </c>
      <c r="DD486" s="3060">
        <f t="shared" si="20"/>
      </c>
      <c r="DE486" s="3060">
        <f t="shared" si="21"/>
      </c>
      <c r="DF486" s="3060">
        <f t="shared" si="22"/>
      </c>
      <c r="DG486" s="3060">
        <f t="shared" si="23"/>
      </c>
      <c r="DH486" s="3060">
        <f t="shared" si="24"/>
      </c>
      <c r="DI486" s="3060">
        <f t="shared" si="1"/>
      </c>
    </row>
    <row r="487" ht="15" customHeight="1" s="3052" customFormat="1">
      <c r="B487" s="3054">
        <f t="shared" si="2"/>
      </c>
      <c r="C487" s="3054"/>
      <c r="D487" s="3054"/>
      <c r="E487" s="3055"/>
      <c r="F487" s="3055"/>
      <c r="G487" s="3055"/>
      <c r="H487" s="3055"/>
      <c r="I487" s="3055"/>
      <c r="J487" s="3055"/>
      <c r="K487" s="3055"/>
      <c r="L487" s="3055"/>
      <c r="M487" s="3055"/>
      <c r="N487" s="3055"/>
      <c r="O487" s="3055"/>
      <c r="P487" s="3055"/>
      <c r="Q487" s="3055"/>
      <c r="R487" s="3055">
        <f t="shared" si="3"/>
        <v>0</v>
      </c>
      <c r="S487" s="3055">
        <f t="shared" si="4"/>
        <v>0</v>
      </c>
      <c r="T487" s="3055">
        <f t="shared" si="5"/>
        <v>0</v>
      </c>
      <c r="U487" s="3055">
        <f t="shared" si="6"/>
        <v>0</v>
      </c>
      <c r="V487" s="3055">
        <f t="shared" si="7"/>
        <v>0</v>
      </c>
      <c r="W487" s="3055">
        <f t="shared" si="8"/>
        <v>0</v>
      </c>
      <c r="X487" s="3055">
        <f t="shared" si="9"/>
        <v>0</v>
      </c>
      <c r="Y487" s="3055">
        <f t="shared" si="10"/>
        <v>0</v>
      </c>
      <c r="Z487" s="3055">
        <f t="shared" si="11"/>
        <v>0</v>
      </c>
      <c r="AA487" s="3055">
        <f t="shared" si="12"/>
        <v>0</v>
      </c>
      <c r="AB487" s="3055">
        <f t="shared" si="13"/>
        <v>0</v>
      </c>
      <c r="AC487" s="3055">
        <f t="shared" si="14"/>
        <v>0</v>
      </c>
      <c r="AD487" s="3056"/>
      <c r="AE487" s="3057">
        <f t="shared" si="0"/>
      </c>
      <c r="AF487" s="3054"/>
      <c r="AG487" s="3054"/>
      <c r="AH487" s="3055"/>
      <c r="AI487" s="3055"/>
      <c r="AJ487" s="3055"/>
      <c r="AK487" s="3055"/>
      <c r="AL487" s="3055"/>
      <c r="AM487" s="3055"/>
      <c r="AN487" s="3055"/>
      <c r="AO487" s="3055"/>
      <c r="AP487" s="3055"/>
      <c r="AQ487" s="3055"/>
      <c r="AR487" s="3055"/>
      <c r="AS487" s="3055"/>
      <c r="AT487" s="3055"/>
      <c r="AU487" s="3056"/>
      <c r="AV487" s="3057">
        <f t="shared" si="15"/>
      </c>
      <c r="AW487" s="3054"/>
      <c r="AX487" s="3054"/>
      <c r="AY487" s="3055"/>
      <c r="AZ487" s="3055"/>
      <c r="BA487" s="3055"/>
      <c r="BB487" s="3055"/>
      <c r="BC487" s="3055"/>
      <c r="BD487" s="3055"/>
      <c r="BE487" s="3055"/>
      <c r="BF487" s="3055"/>
      <c r="BG487" s="3055"/>
      <c r="BH487" s="3055"/>
      <c r="BI487" s="3055"/>
      <c r="BJ487" s="3055"/>
      <c r="BK487" s="3055"/>
      <c r="BL487" s="3056"/>
      <c r="BM487" s="3057">
        <f t="shared" si="16"/>
      </c>
      <c r="BN487" s="3054"/>
      <c r="BO487" s="3054"/>
      <c r="BP487" s="3055"/>
      <c r="BQ487" s="3055"/>
      <c r="BR487" s="3055"/>
      <c r="BS487" s="3055"/>
      <c r="BT487" s="3055"/>
      <c r="BU487" s="3055"/>
      <c r="BV487" s="3055"/>
      <c r="BW487" s="3055"/>
      <c r="BX487" s="3055"/>
      <c r="BY487" s="3055"/>
      <c r="BZ487" s="3055"/>
      <c r="CA487" s="3055"/>
      <c r="CB487" s="3055"/>
      <c r="CC487" s="3056"/>
      <c r="CD487" s="3057">
        <f t="shared" si="0"/>
      </c>
      <c r="CE487" s="3054"/>
      <c r="CF487" s="3054"/>
      <c r="CG487" s="3055"/>
      <c r="CH487" s="3055"/>
      <c r="CI487" s="3055"/>
      <c r="CJ487" s="3055"/>
      <c r="CK487" s="3055"/>
      <c r="CL487" s="3055"/>
      <c r="CM487" s="3055"/>
      <c r="CN487" s="3055"/>
      <c r="CO487" s="3055"/>
      <c r="CP487" s="3055"/>
      <c r="CQ487" s="3055"/>
      <c r="CR487" s="3055"/>
      <c r="CS487" s="3055"/>
      <c r="CU487" s="3054"/>
      <c r="CV487" s="696"/>
      <c r="CW487" s="696"/>
      <c r="CZ487" s="3060">
        <f t="shared" si="17"/>
      </c>
      <c r="DA487" s="3060">
        <f t="shared" si="1"/>
      </c>
      <c r="DB487" s="3060">
        <f t="shared" si="18"/>
      </c>
      <c r="DC487" s="3060">
        <f t="shared" si="19"/>
      </c>
      <c r="DD487" s="3060">
        <f t="shared" si="20"/>
      </c>
      <c r="DE487" s="3060">
        <f t="shared" si="21"/>
      </c>
      <c r="DF487" s="3060">
        <f t="shared" si="22"/>
      </c>
      <c r="DG487" s="3060">
        <f t="shared" si="23"/>
      </c>
      <c r="DH487" s="3060">
        <f t="shared" si="24"/>
      </c>
      <c r="DI487" s="3060">
        <f t="shared" si="1"/>
      </c>
    </row>
    <row r="488" ht="15" customHeight="1" s="3052" customFormat="1">
      <c r="B488" s="3054">
        <f t="shared" si="2"/>
      </c>
      <c r="C488" s="3054"/>
      <c r="D488" s="3054"/>
      <c r="E488" s="3055"/>
      <c r="F488" s="3055"/>
      <c r="G488" s="3055"/>
      <c r="H488" s="3055"/>
      <c r="I488" s="3055"/>
      <c r="J488" s="3055"/>
      <c r="K488" s="3055"/>
      <c r="L488" s="3055"/>
      <c r="M488" s="3055"/>
      <c r="N488" s="3055"/>
      <c r="O488" s="3055"/>
      <c r="P488" s="3055"/>
      <c r="Q488" s="3055"/>
      <c r="R488" s="3055">
        <f t="shared" si="3"/>
        <v>0</v>
      </c>
      <c r="S488" s="3055">
        <f t="shared" si="4"/>
        <v>0</v>
      </c>
      <c r="T488" s="3055">
        <f t="shared" si="5"/>
        <v>0</v>
      </c>
      <c r="U488" s="3055">
        <f t="shared" si="6"/>
        <v>0</v>
      </c>
      <c r="V488" s="3055">
        <f t="shared" si="7"/>
        <v>0</v>
      </c>
      <c r="W488" s="3055">
        <f t="shared" si="8"/>
        <v>0</v>
      </c>
      <c r="X488" s="3055">
        <f t="shared" si="9"/>
        <v>0</v>
      </c>
      <c r="Y488" s="3055">
        <f t="shared" si="10"/>
        <v>0</v>
      </c>
      <c r="Z488" s="3055">
        <f t="shared" si="11"/>
        <v>0</v>
      </c>
      <c r="AA488" s="3055">
        <f t="shared" si="12"/>
        <v>0</v>
      </c>
      <c r="AB488" s="3055">
        <f t="shared" si="13"/>
        <v>0</v>
      </c>
      <c r="AC488" s="3055">
        <f t="shared" si="14"/>
        <v>0</v>
      </c>
      <c r="AD488" s="3056"/>
      <c r="AE488" s="3057">
        <f t="shared" si="0"/>
      </c>
      <c r="AF488" s="3054"/>
      <c r="AG488" s="3054"/>
      <c r="AH488" s="3055"/>
      <c r="AI488" s="3055"/>
      <c r="AJ488" s="3055"/>
      <c r="AK488" s="3055"/>
      <c r="AL488" s="3055"/>
      <c r="AM488" s="3055"/>
      <c r="AN488" s="3055"/>
      <c r="AO488" s="3055"/>
      <c r="AP488" s="3055"/>
      <c r="AQ488" s="3055"/>
      <c r="AR488" s="3055"/>
      <c r="AS488" s="3055"/>
      <c r="AT488" s="3055"/>
      <c r="AU488" s="3056"/>
      <c r="AV488" s="3057">
        <f t="shared" si="15"/>
      </c>
      <c r="AW488" s="3054"/>
      <c r="AX488" s="3054"/>
      <c r="AY488" s="3055"/>
      <c r="AZ488" s="3055"/>
      <c r="BA488" s="3055"/>
      <c r="BB488" s="3055"/>
      <c r="BC488" s="3055"/>
      <c r="BD488" s="3055"/>
      <c r="BE488" s="3055"/>
      <c r="BF488" s="3055"/>
      <c r="BG488" s="3055"/>
      <c r="BH488" s="3055"/>
      <c r="BI488" s="3055"/>
      <c r="BJ488" s="3055"/>
      <c r="BK488" s="3055"/>
      <c r="BL488" s="3056"/>
      <c r="BM488" s="3057">
        <f t="shared" si="16"/>
      </c>
      <c r="BN488" s="3054"/>
      <c r="BO488" s="3054"/>
      <c r="BP488" s="3055"/>
      <c r="BQ488" s="3055"/>
      <c r="BR488" s="3055"/>
      <c r="BS488" s="3055"/>
      <c r="BT488" s="3055"/>
      <c r="BU488" s="3055"/>
      <c r="BV488" s="3055"/>
      <c r="BW488" s="3055"/>
      <c r="BX488" s="3055"/>
      <c r="BY488" s="3055"/>
      <c r="BZ488" s="3055"/>
      <c r="CA488" s="3055"/>
      <c r="CB488" s="3055"/>
      <c r="CC488" s="3056"/>
      <c r="CD488" s="3057">
        <f t="shared" si="0"/>
      </c>
      <c r="CE488" s="3054"/>
      <c r="CF488" s="3054"/>
      <c r="CG488" s="3055"/>
      <c r="CH488" s="3055"/>
      <c r="CI488" s="3055"/>
      <c r="CJ488" s="3055"/>
      <c r="CK488" s="3055"/>
      <c r="CL488" s="3055"/>
      <c r="CM488" s="3055"/>
      <c r="CN488" s="3055"/>
      <c r="CO488" s="3055"/>
      <c r="CP488" s="3055"/>
      <c r="CQ488" s="3055"/>
      <c r="CR488" s="3055"/>
      <c r="CS488" s="3055"/>
      <c r="CU488" s="3054"/>
      <c r="CV488" s="696"/>
      <c r="CW488" s="696"/>
      <c r="CZ488" s="3060">
        <f t="shared" si="17"/>
      </c>
      <c r="DA488" s="3060">
        <f t="shared" si="1"/>
      </c>
      <c r="DB488" s="3060">
        <f t="shared" si="18"/>
      </c>
      <c r="DC488" s="3060">
        <f t="shared" si="19"/>
      </c>
      <c r="DD488" s="3060">
        <f t="shared" si="20"/>
      </c>
      <c r="DE488" s="3060">
        <f t="shared" si="21"/>
      </c>
      <c r="DF488" s="3060">
        <f t="shared" si="22"/>
      </c>
      <c r="DG488" s="3060">
        <f t="shared" si="23"/>
      </c>
      <c r="DH488" s="3060">
        <f t="shared" si="24"/>
      </c>
      <c r="DI488" s="3060">
        <f t="shared" si="1"/>
      </c>
    </row>
    <row r="489" ht="15" customHeight="1" s="3052" customFormat="1">
      <c r="B489" s="3054">
        <f t="shared" si="2"/>
      </c>
      <c r="C489" s="3054"/>
      <c r="D489" s="3054"/>
      <c r="E489" s="3055"/>
      <c r="F489" s="3055"/>
      <c r="G489" s="3055"/>
      <c r="H489" s="3055"/>
      <c r="I489" s="3055"/>
      <c r="J489" s="3055"/>
      <c r="K489" s="3055"/>
      <c r="L489" s="3055"/>
      <c r="M489" s="3055"/>
      <c r="N489" s="3055"/>
      <c r="O489" s="3055"/>
      <c r="P489" s="3055"/>
      <c r="Q489" s="3055"/>
      <c r="R489" s="3055">
        <f t="shared" si="3"/>
        <v>0</v>
      </c>
      <c r="S489" s="3055">
        <f t="shared" si="4"/>
        <v>0</v>
      </c>
      <c r="T489" s="3055">
        <f t="shared" si="5"/>
        <v>0</v>
      </c>
      <c r="U489" s="3055">
        <f t="shared" si="6"/>
        <v>0</v>
      </c>
      <c r="V489" s="3055">
        <f t="shared" si="7"/>
        <v>0</v>
      </c>
      <c r="W489" s="3055">
        <f t="shared" si="8"/>
        <v>0</v>
      </c>
      <c r="X489" s="3055">
        <f t="shared" si="9"/>
        <v>0</v>
      </c>
      <c r="Y489" s="3055">
        <f t="shared" si="10"/>
        <v>0</v>
      </c>
      <c r="Z489" s="3055">
        <f t="shared" si="11"/>
        <v>0</v>
      </c>
      <c r="AA489" s="3055">
        <f t="shared" si="12"/>
        <v>0</v>
      </c>
      <c r="AB489" s="3055">
        <f t="shared" si="13"/>
        <v>0</v>
      </c>
      <c r="AC489" s="3055">
        <f t="shared" si="14"/>
        <v>0</v>
      </c>
      <c r="AD489" s="3056"/>
      <c r="AE489" s="3057">
        <f t="shared" si="0"/>
      </c>
      <c r="AF489" s="3054"/>
      <c r="AG489" s="3054"/>
      <c r="AH489" s="3055"/>
      <c r="AI489" s="3055"/>
      <c r="AJ489" s="3055"/>
      <c r="AK489" s="3055"/>
      <c r="AL489" s="3055"/>
      <c r="AM489" s="3055"/>
      <c r="AN489" s="3055"/>
      <c r="AO489" s="3055"/>
      <c r="AP489" s="3055"/>
      <c r="AQ489" s="3055"/>
      <c r="AR489" s="3055"/>
      <c r="AS489" s="3055"/>
      <c r="AT489" s="3055"/>
      <c r="AU489" s="3056"/>
      <c r="AV489" s="3057">
        <f t="shared" si="15"/>
      </c>
      <c r="AW489" s="3054"/>
      <c r="AX489" s="3054"/>
      <c r="AY489" s="3055"/>
      <c r="AZ489" s="3055"/>
      <c r="BA489" s="3055"/>
      <c r="BB489" s="3055"/>
      <c r="BC489" s="3055"/>
      <c r="BD489" s="3055"/>
      <c r="BE489" s="3055"/>
      <c r="BF489" s="3055"/>
      <c r="BG489" s="3055"/>
      <c r="BH489" s="3055"/>
      <c r="BI489" s="3055"/>
      <c r="BJ489" s="3055"/>
      <c r="BK489" s="3055"/>
      <c r="BL489" s="3056"/>
      <c r="BM489" s="3057">
        <f t="shared" si="16"/>
      </c>
      <c r="BN489" s="3054"/>
      <c r="BO489" s="3054"/>
      <c r="BP489" s="3055"/>
      <c r="BQ489" s="3055"/>
      <c r="BR489" s="3055"/>
      <c r="BS489" s="3055"/>
      <c r="BT489" s="3055"/>
      <c r="BU489" s="3055"/>
      <c r="BV489" s="3055"/>
      <c r="BW489" s="3055"/>
      <c r="BX489" s="3055"/>
      <c r="BY489" s="3055"/>
      <c r="BZ489" s="3055"/>
      <c r="CA489" s="3055"/>
      <c r="CB489" s="3055"/>
      <c r="CC489" s="3056"/>
      <c r="CD489" s="3057">
        <f t="shared" si="0"/>
      </c>
      <c r="CE489" s="3054"/>
      <c r="CF489" s="3054"/>
      <c r="CG489" s="3055"/>
      <c r="CH489" s="3055"/>
      <c r="CI489" s="3055"/>
      <c r="CJ489" s="3055"/>
      <c r="CK489" s="3055"/>
      <c r="CL489" s="3055"/>
      <c r="CM489" s="3055"/>
      <c r="CN489" s="3055"/>
      <c r="CO489" s="3055"/>
      <c r="CP489" s="3055"/>
      <c r="CQ489" s="3055"/>
      <c r="CR489" s="3055"/>
      <c r="CS489" s="3055"/>
      <c r="CU489" s="3054"/>
      <c r="CV489" s="696"/>
      <c r="CW489" s="696"/>
      <c r="CZ489" s="3060">
        <f t="shared" si="17"/>
      </c>
      <c r="DA489" s="3060">
        <f t="shared" si="1"/>
      </c>
      <c r="DB489" s="3060">
        <f t="shared" si="18"/>
      </c>
      <c r="DC489" s="3060">
        <f t="shared" si="19"/>
      </c>
      <c r="DD489" s="3060">
        <f t="shared" si="20"/>
      </c>
      <c r="DE489" s="3060">
        <f t="shared" si="21"/>
      </c>
      <c r="DF489" s="3060">
        <f t="shared" si="22"/>
      </c>
      <c r="DG489" s="3060">
        <f t="shared" si="23"/>
      </c>
      <c r="DH489" s="3060">
        <f t="shared" si="24"/>
      </c>
      <c r="DI489" s="3060">
        <f t="shared" si="1"/>
      </c>
    </row>
    <row r="490" ht="15" customHeight="1" s="3052" customFormat="1">
      <c r="B490" s="3054">
        <f t="shared" si="2"/>
      </c>
      <c r="C490" s="3054"/>
      <c r="D490" s="3054"/>
      <c r="E490" s="3055"/>
      <c r="F490" s="3055"/>
      <c r="G490" s="3055"/>
      <c r="H490" s="3055"/>
      <c r="I490" s="3055"/>
      <c r="J490" s="3055"/>
      <c r="K490" s="3055"/>
      <c r="L490" s="3055"/>
      <c r="M490" s="3055"/>
      <c r="N490" s="3055"/>
      <c r="O490" s="3055"/>
      <c r="P490" s="3055"/>
      <c r="Q490" s="3055"/>
      <c r="R490" s="3055">
        <f t="shared" si="3"/>
        <v>0</v>
      </c>
      <c r="S490" s="3055">
        <f t="shared" si="4"/>
        <v>0</v>
      </c>
      <c r="T490" s="3055">
        <f t="shared" si="5"/>
        <v>0</v>
      </c>
      <c r="U490" s="3055">
        <f t="shared" si="6"/>
        <v>0</v>
      </c>
      <c r="V490" s="3055">
        <f t="shared" si="7"/>
        <v>0</v>
      </c>
      <c r="W490" s="3055">
        <f t="shared" si="8"/>
        <v>0</v>
      </c>
      <c r="X490" s="3055">
        <f t="shared" si="9"/>
        <v>0</v>
      </c>
      <c r="Y490" s="3055">
        <f t="shared" si="10"/>
        <v>0</v>
      </c>
      <c r="Z490" s="3055">
        <f t="shared" si="11"/>
        <v>0</v>
      </c>
      <c r="AA490" s="3055">
        <f t="shared" si="12"/>
        <v>0</v>
      </c>
      <c r="AB490" s="3055">
        <f t="shared" si="13"/>
        <v>0</v>
      </c>
      <c r="AC490" s="3055">
        <f t="shared" si="14"/>
        <v>0</v>
      </c>
      <c r="AD490" s="3056"/>
      <c r="AE490" s="3057">
        <f t="shared" si="0"/>
      </c>
      <c r="AF490" s="3054"/>
      <c r="AG490" s="3054"/>
      <c r="AH490" s="3055"/>
      <c r="AI490" s="3055"/>
      <c r="AJ490" s="3055"/>
      <c r="AK490" s="3055"/>
      <c r="AL490" s="3055"/>
      <c r="AM490" s="3055"/>
      <c r="AN490" s="3055"/>
      <c r="AO490" s="3055"/>
      <c r="AP490" s="3055"/>
      <c r="AQ490" s="3055"/>
      <c r="AR490" s="3055"/>
      <c r="AS490" s="3055"/>
      <c r="AT490" s="3055"/>
      <c r="AU490" s="3056"/>
      <c r="AV490" s="3057">
        <f t="shared" si="15"/>
      </c>
      <c r="AW490" s="3054"/>
      <c r="AX490" s="3054"/>
      <c r="AY490" s="3055"/>
      <c r="AZ490" s="3055"/>
      <c r="BA490" s="3055"/>
      <c r="BB490" s="3055"/>
      <c r="BC490" s="3055"/>
      <c r="BD490" s="3055"/>
      <c r="BE490" s="3055"/>
      <c r="BF490" s="3055"/>
      <c r="BG490" s="3055"/>
      <c r="BH490" s="3055"/>
      <c r="BI490" s="3055"/>
      <c r="BJ490" s="3055"/>
      <c r="BK490" s="3055"/>
      <c r="BL490" s="3056"/>
      <c r="BM490" s="3057">
        <f t="shared" si="16"/>
      </c>
      <c r="BN490" s="3054"/>
      <c r="BO490" s="3054"/>
      <c r="BP490" s="3055"/>
      <c r="BQ490" s="3055"/>
      <c r="BR490" s="3055"/>
      <c r="BS490" s="3055"/>
      <c r="BT490" s="3055"/>
      <c r="BU490" s="3055"/>
      <c r="BV490" s="3055"/>
      <c r="BW490" s="3055"/>
      <c r="BX490" s="3055"/>
      <c r="BY490" s="3055"/>
      <c r="BZ490" s="3055"/>
      <c r="CA490" s="3055"/>
      <c r="CB490" s="3055"/>
      <c r="CC490" s="3056"/>
      <c r="CD490" s="3057">
        <f t="shared" si="0"/>
      </c>
      <c r="CE490" s="3054"/>
      <c r="CF490" s="3054"/>
      <c r="CG490" s="3055"/>
      <c r="CH490" s="3055"/>
      <c r="CI490" s="3055"/>
      <c r="CJ490" s="3055"/>
      <c r="CK490" s="3055"/>
      <c r="CL490" s="3055"/>
      <c r="CM490" s="3055"/>
      <c r="CN490" s="3055"/>
      <c r="CO490" s="3055"/>
      <c r="CP490" s="3055"/>
      <c r="CQ490" s="3055"/>
      <c r="CR490" s="3055"/>
      <c r="CS490" s="3055"/>
      <c r="CU490" s="3054"/>
      <c r="CV490" s="696"/>
      <c r="CW490" s="696"/>
      <c r="CZ490" s="3060">
        <f t="shared" si="17"/>
      </c>
      <c r="DA490" s="3060">
        <f t="shared" si="1"/>
      </c>
      <c r="DB490" s="3060">
        <f t="shared" si="18"/>
      </c>
      <c r="DC490" s="3060">
        <f t="shared" si="19"/>
      </c>
      <c r="DD490" s="3060">
        <f t="shared" si="20"/>
      </c>
      <c r="DE490" s="3060">
        <f t="shared" si="21"/>
      </c>
      <c r="DF490" s="3060">
        <f t="shared" si="22"/>
      </c>
      <c r="DG490" s="3060">
        <f t="shared" si="23"/>
      </c>
      <c r="DH490" s="3060">
        <f t="shared" si="24"/>
      </c>
      <c r="DI490" s="3060">
        <f t="shared" si="1"/>
      </c>
    </row>
    <row r="491" ht="15" customHeight="1" s="3052" customFormat="1">
      <c r="B491" s="3054">
        <f t="shared" si="2"/>
      </c>
      <c r="C491" s="3054"/>
      <c r="D491" s="3054"/>
      <c r="E491" s="3055"/>
      <c r="F491" s="3055"/>
      <c r="G491" s="3055"/>
      <c r="H491" s="3055"/>
      <c r="I491" s="3055"/>
      <c r="J491" s="3055"/>
      <c r="K491" s="3055"/>
      <c r="L491" s="3055"/>
      <c r="M491" s="3055"/>
      <c r="N491" s="3055"/>
      <c r="O491" s="3055"/>
      <c r="P491" s="3055"/>
      <c r="Q491" s="3055"/>
      <c r="R491" s="3055">
        <f t="shared" si="3"/>
        <v>0</v>
      </c>
      <c r="S491" s="3055">
        <f t="shared" si="4"/>
        <v>0</v>
      </c>
      <c r="T491" s="3055">
        <f t="shared" si="5"/>
        <v>0</v>
      </c>
      <c r="U491" s="3055">
        <f t="shared" si="6"/>
        <v>0</v>
      </c>
      <c r="V491" s="3055">
        <f t="shared" si="7"/>
        <v>0</v>
      </c>
      <c r="W491" s="3055">
        <f t="shared" si="8"/>
        <v>0</v>
      </c>
      <c r="X491" s="3055">
        <f t="shared" si="9"/>
        <v>0</v>
      </c>
      <c r="Y491" s="3055">
        <f t="shared" si="10"/>
        <v>0</v>
      </c>
      <c r="Z491" s="3055">
        <f t="shared" si="11"/>
        <v>0</v>
      </c>
      <c r="AA491" s="3055">
        <f t="shared" si="12"/>
        <v>0</v>
      </c>
      <c r="AB491" s="3055">
        <f t="shared" si="13"/>
        <v>0</v>
      </c>
      <c r="AC491" s="3055">
        <f t="shared" si="14"/>
        <v>0</v>
      </c>
      <c r="AD491" s="3056"/>
      <c r="AE491" s="3057">
        <f t="shared" si="0"/>
      </c>
      <c r="AF491" s="3054"/>
      <c r="AG491" s="3054"/>
      <c r="AH491" s="3055"/>
      <c r="AI491" s="3055"/>
      <c r="AJ491" s="3055"/>
      <c r="AK491" s="3055"/>
      <c r="AL491" s="3055"/>
      <c r="AM491" s="3055"/>
      <c r="AN491" s="3055"/>
      <c r="AO491" s="3055"/>
      <c r="AP491" s="3055"/>
      <c r="AQ491" s="3055"/>
      <c r="AR491" s="3055"/>
      <c r="AS491" s="3055"/>
      <c r="AT491" s="3055"/>
      <c r="AU491" s="3056"/>
      <c r="AV491" s="3057">
        <f t="shared" si="15"/>
      </c>
      <c r="AW491" s="3054"/>
      <c r="AX491" s="3054"/>
      <c r="AY491" s="3055"/>
      <c r="AZ491" s="3055"/>
      <c r="BA491" s="3055"/>
      <c r="BB491" s="3055"/>
      <c r="BC491" s="3055"/>
      <c r="BD491" s="3055"/>
      <c r="BE491" s="3055"/>
      <c r="BF491" s="3055"/>
      <c r="BG491" s="3055"/>
      <c r="BH491" s="3055"/>
      <c r="BI491" s="3055"/>
      <c r="BJ491" s="3055"/>
      <c r="BK491" s="3055"/>
      <c r="BL491" s="3056"/>
      <c r="BM491" s="3057">
        <f t="shared" si="16"/>
      </c>
      <c r="BN491" s="3054"/>
      <c r="BO491" s="3054"/>
      <c r="BP491" s="3055"/>
      <c r="BQ491" s="3055"/>
      <c r="BR491" s="3055"/>
      <c r="BS491" s="3055"/>
      <c r="BT491" s="3055"/>
      <c r="BU491" s="3055"/>
      <c r="BV491" s="3055"/>
      <c r="BW491" s="3055"/>
      <c r="BX491" s="3055"/>
      <c r="BY491" s="3055"/>
      <c r="BZ491" s="3055"/>
      <c r="CA491" s="3055"/>
      <c r="CB491" s="3055"/>
      <c r="CC491" s="3056"/>
      <c r="CD491" s="3057">
        <f t="shared" si="0"/>
      </c>
      <c r="CE491" s="3054"/>
      <c r="CF491" s="3054"/>
      <c r="CG491" s="3055"/>
      <c r="CH491" s="3055"/>
      <c r="CI491" s="3055"/>
      <c r="CJ491" s="3055"/>
      <c r="CK491" s="3055"/>
      <c r="CL491" s="3055"/>
      <c r="CM491" s="3055"/>
      <c r="CN491" s="3055"/>
      <c r="CO491" s="3055"/>
      <c r="CP491" s="3055"/>
      <c r="CQ491" s="3055"/>
      <c r="CR491" s="3055"/>
      <c r="CS491" s="3055"/>
      <c r="CU491" s="3054"/>
      <c r="CV491" s="696"/>
      <c r="CW491" s="696"/>
      <c r="CZ491" s="3060">
        <f t="shared" si="17"/>
      </c>
      <c r="DA491" s="3060">
        <f t="shared" si="1"/>
      </c>
      <c r="DB491" s="3060">
        <f t="shared" si="18"/>
      </c>
      <c r="DC491" s="3060">
        <f t="shared" si="19"/>
      </c>
      <c r="DD491" s="3060">
        <f t="shared" si="20"/>
      </c>
      <c r="DE491" s="3060">
        <f t="shared" si="21"/>
      </c>
      <c r="DF491" s="3060">
        <f t="shared" si="22"/>
      </c>
      <c r="DG491" s="3060">
        <f t="shared" si="23"/>
      </c>
      <c r="DH491" s="3060">
        <f t="shared" si="24"/>
      </c>
      <c r="DI491" s="3060">
        <f t="shared" si="1"/>
      </c>
    </row>
    <row r="492" ht="15" customHeight="1" s="3052" customFormat="1">
      <c r="B492" s="3054">
        <f t="shared" si="2"/>
      </c>
      <c r="C492" s="3054"/>
      <c r="D492" s="3054"/>
      <c r="E492" s="3055"/>
      <c r="F492" s="3055"/>
      <c r="G492" s="3055"/>
      <c r="H492" s="3055"/>
      <c r="I492" s="3055"/>
      <c r="J492" s="3055"/>
      <c r="K492" s="3055"/>
      <c r="L492" s="3055"/>
      <c r="M492" s="3055"/>
      <c r="N492" s="3055"/>
      <c r="O492" s="3055"/>
      <c r="P492" s="3055"/>
      <c r="Q492" s="3055"/>
      <c r="R492" s="3055">
        <f t="shared" si="3"/>
        <v>0</v>
      </c>
      <c r="S492" s="3055">
        <f t="shared" si="4"/>
        <v>0</v>
      </c>
      <c r="T492" s="3055">
        <f t="shared" si="5"/>
        <v>0</v>
      </c>
      <c r="U492" s="3055">
        <f t="shared" si="6"/>
        <v>0</v>
      </c>
      <c r="V492" s="3055">
        <f t="shared" si="7"/>
        <v>0</v>
      </c>
      <c r="W492" s="3055">
        <f t="shared" si="8"/>
        <v>0</v>
      </c>
      <c r="X492" s="3055">
        <f t="shared" si="9"/>
        <v>0</v>
      </c>
      <c r="Y492" s="3055">
        <f t="shared" si="10"/>
        <v>0</v>
      </c>
      <c r="Z492" s="3055">
        <f t="shared" si="11"/>
        <v>0</v>
      </c>
      <c r="AA492" s="3055">
        <f t="shared" si="12"/>
        <v>0</v>
      </c>
      <c r="AB492" s="3055">
        <f t="shared" si="13"/>
        <v>0</v>
      </c>
      <c r="AC492" s="3055">
        <f t="shared" si="14"/>
        <v>0</v>
      </c>
      <c r="AD492" s="3056"/>
      <c r="AE492" s="3057">
        <f t="shared" si="0"/>
      </c>
      <c r="AF492" s="3054"/>
      <c r="AG492" s="3054"/>
      <c r="AH492" s="3055"/>
      <c r="AI492" s="3055"/>
      <c r="AJ492" s="3055"/>
      <c r="AK492" s="3055"/>
      <c r="AL492" s="3055"/>
      <c r="AM492" s="3055"/>
      <c r="AN492" s="3055"/>
      <c r="AO492" s="3055"/>
      <c r="AP492" s="3055"/>
      <c r="AQ492" s="3055"/>
      <c r="AR492" s="3055"/>
      <c r="AS492" s="3055"/>
      <c r="AT492" s="3055"/>
      <c r="AU492" s="3056"/>
      <c r="AV492" s="3057">
        <f t="shared" si="15"/>
      </c>
      <c r="AW492" s="3054"/>
      <c r="AX492" s="3054"/>
      <c r="AY492" s="3055"/>
      <c r="AZ492" s="3055"/>
      <c r="BA492" s="3055"/>
      <c r="BB492" s="3055"/>
      <c r="BC492" s="3055"/>
      <c r="BD492" s="3055"/>
      <c r="BE492" s="3055"/>
      <c r="BF492" s="3055"/>
      <c r="BG492" s="3055"/>
      <c r="BH492" s="3055"/>
      <c r="BI492" s="3055"/>
      <c r="BJ492" s="3055"/>
      <c r="BK492" s="3055"/>
      <c r="BL492" s="3056"/>
      <c r="BM492" s="3057">
        <f t="shared" si="16"/>
      </c>
      <c r="BN492" s="3054"/>
      <c r="BO492" s="3054"/>
      <c r="BP492" s="3055"/>
      <c r="BQ492" s="3055"/>
      <c r="BR492" s="3055"/>
      <c r="BS492" s="3055"/>
      <c r="BT492" s="3055"/>
      <c r="BU492" s="3055"/>
      <c r="BV492" s="3055"/>
      <c r="BW492" s="3055"/>
      <c r="BX492" s="3055"/>
      <c r="BY492" s="3055"/>
      <c r="BZ492" s="3055"/>
      <c r="CA492" s="3055"/>
      <c r="CB492" s="3055"/>
      <c r="CC492" s="3056"/>
      <c r="CD492" s="3057">
        <f t="shared" si="0"/>
      </c>
      <c r="CE492" s="3054"/>
      <c r="CF492" s="3054"/>
      <c r="CG492" s="3055"/>
      <c r="CH492" s="3055"/>
      <c r="CI492" s="3055"/>
      <c r="CJ492" s="3055"/>
      <c r="CK492" s="3055"/>
      <c r="CL492" s="3055"/>
      <c r="CM492" s="3055"/>
      <c r="CN492" s="3055"/>
      <c r="CO492" s="3055"/>
      <c r="CP492" s="3055"/>
      <c r="CQ492" s="3055"/>
      <c r="CR492" s="3055"/>
      <c r="CS492" s="3055"/>
      <c r="CU492" s="3054"/>
      <c r="CV492" s="696"/>
      <c r="CW492" s="696"/>
      <c r="CZ492" s="3060">
        <f t="shared" si="17"/>
      </c>
      <c r="DA492" s="3060">
        <f t="shared" si="1"/>
      </c>
      <c r="DB492" s="3060">
        <f t="shared" si="18"/>
      </c>
      <c r="DC492" s="3060">
        <f t="shared" si="19"/>
      </c>
      <c r="DD492" s="3060">
        <f t="shared" si="20"/>
      </c>
      <c r="DE492" s="3060">
        <f t="shared" si="21"/>
      </c>
      <c r="DF492" s="3060">
        <f t="shared" si="22"/>
      </c>
      <c r="DG492" s="3060">
        <f t="shared" si="23"/>
      </c>
      <c r="DH492" s="3060">
        <f t="shared" si="24"/>
      </c>
      <c r="DI492" s="3060">
        <f t="shared" si="1"/>
      </c>
    </row>
    <row r="493" ht="15" customHeight="1" s="3052" customFormat="1">
      <c r="B493" s="3054">
        <f t="shared" si="2"/>
      </c>
      <c r="C493" s="3054"/>
      <c r="D493" s="3054"/>
      <c r="E493" s="3055"/>
      <c r="F493" s="3055"/>
      <c r="G493" s="3055"/>
      <c r="H493" s="3055"/>
      <c r="I493" s="3055"/>
      <c r="J493" s="3055"/>
      <c r="K493" s="3055"/>
      <c r="L493" s="3055"/>
      <c r="M493" s="3055"/>
      <c r="N493" s="3055"/>
      <c r="O493" s="3055"/>
      <c r="P493" s="3055"/>
      <c r="Q493" s="3055"/>
      <c r="R493" s="3055">
        <f t="shared" si="3"/>
        <v>0</v>
      </c>
      <c r="S493" s="3055">
        <f t="shared" si="4"/>
        <v>0</v>
      </c>
      <c r="T493" s="3055">
        <f t="shared" si="5"/>
        <v>0</v>
      </c>
      <c r="U493" s="3055">
        <f t="shared" si="6"/>
        <v>0</v>
      </c>
      <c r="V493" s="3055">
        <f t="shared" si="7"/>
        <v>0</v>
      </c>
      <c r="W493" s="3055">
        <f t="shared" si="8"/>
        <v>0</v>
      </c>
      <c r="X493" s="3055">
        <f t="shared" si="9"/>
        <v>0</v>
      </c>
      <c r="Y493" s="3055">
        <f t="shared" si="10"/>
        <v>0</v>
      </c>
      <c r="Z493" s="3055">
        <f t="shared" si="11"/>
        <v>0</v>
      </c>
      <c r="AA493" s="3055">
        <f t="shared" si="12"/>
        <v>0</v>
      </c>
      <c r="AB493" s="3055">
        <f t="shared" si="13"/>
        <v>0</v>
      </c>
      <c r="AC493" s="3055">
        <f t="shared" si="14"/>
        <v>0</v>
      </c>
      <c r="AD493" s="3056"/>
      <c r="AE493" s="3057">
        <f t="shared" si="0"/>
      </c>
      <c r="AF493" s="3054"/>
      <c r="AG493" s="3054"/>
      <c r="AH493" s="3055"/>
      <c r="AI493" s="3055"/>
      <c r="AJ493" s="3055"/>
      <c r="AK493" s="3055"/>
      <c r="AL493" s="3055"/>
      <c r="AM493" s="3055"/>
      <c r="AN493" s="3055"/>
      <c r="AO493" s="3055"/>
      <c r="AP493" s="3055"/>
      <c r="AQ493" s="3055"/>
      <c r="AR493" s="3055"/>
      <c r="AS493" s="3055"/>
      <c r="AT493" s="3055"/>
      <c r="AU493" s="3056"/>
      <c r="AV493" s="3057">
        <f t="shared" si="15"/>
      </c>
      <c r="AW493" s="3054"/>
      <c r="AX493" s="3054"/>
      <c r="AY493" s="3055"/>
      <c r="AZ493" s="3055"/>
      <c r="BA493" s="3055"/>
      <c r="BB493" s="3055"/>
      <c r="BC493" s="3055"/>
      <c r="BD493" s="3055"/>
      <c r="BE493" s="3055"/>
      <c r="BF493" s="3055"/>
      <c r="BG493" s="3055"/>
      <c r="BH493" s="3055"/>
      <c r="BI493" s="3055"/>
      <c r="BJ493" s="3055"/>
      <c r="BK493" s="3055"/>
      <c r="BL493" s="3056"/>
      <c r="BM493" s="3057">
        <f t="shared" si="16"/>
      </c>
      <c r="BN493" s="3054"/>
      <c r="BO493" s="3054"/>
      <c r="BP493" s="3055"/>
      <c r="BQ493" s="3055"/>
      <c r="BR493" s="3055"/>
      <c r="BS493" s="3055"/>
      <c r="BT493" s="3055"/>
      <c r="BU493" s="3055"/>
      <c r="BV493" s="3055"/>
      <c r="BW493" s="3055"/>
      <c r="BX493" s="3055"/>
      <c r="BY493" s="3055"/>
      <c r="BZ493" s="3055"/>
      <c r="CA493" s="3055"/>
      <c r="CB493" s="3055"/>
      <c r="CC493" s="3056"/>
      <c r="CD493" s="3057">
        <f t="shared" si="0"/>
      </c>
      <c r="CE493" s="3054"/>
      <c r="CF493" s="3054"/>
      <c r="CG493" s="3055"/>
      <c r="CH493" s="3055"/>
      <c r="CI493" s="3055"/>
      <c r="CJ493" s="3055"/>
      <c r="CK493" s="3055"/>
      <c r="CL493" s="3055"/>
      <c r="CM493" s="3055"/>
      <c r="CN493" s="3055"/>
      <c r="CO493" s="3055"/>
      <c r="CP493" s="3055"/>
      <c r="CQ493" s="3055"/>
      <c r="CR493" s="3055"/>
      <c r="CS493" s="3055"/>
      <c r="CU493" s="3054"/>
      <c r="CV493" s="696"/>
      <c r="CW493" s="696"/>
      <c r="CZ493" s="3060">
        <f t="shared" si="17"/>
      </c>
      <c r="DA493" s="3060">
        <f t="shared" si="1"/>
      </c>
      <c r="DB493" s="3060">
        <f t="shared" si="18"/>
      </c>
      <c r="DC493" s="3060">
        <f t="shared" si="19"/>
      </c>
      <c r="DD493" s="3060">
        <f t="shared" si="20"/>
      </c>
      <c r="DE493" s="3060">
        <f t="shared" si="21"/>
      </c>
      <c r="DF493" s="3060">
        <f t="shared" si="22"/>
      </c>
      <c r="DG493" s="3060">
        <f t="shared" si="23"/>
      </c>
      <c r="DH493" s="3060">
        <f t="shared" si="24"/>
      </c>
      <c r="DI493" s="3060">
        <f t="shared" si="1"/>
      </c>
    </row>
    <row r="494" ht="15" customHeight="1" s="3052" customFormat="1">
      <c r="B494" s="3054">
        <f t="shared" si="2"/>
      </c>
      <c r="C494" s="3054"/>
      <c r="D494" s="3054"/>
      <c r="E494" s="3055"/>
      <c r="F494" s="3055"/>
      <c r="G494" s="3055"/>
      <c r="H494" s="3055"/>
      <c r="I494" s="3055"/>
      <c r="J494" s="3055"/>
      <c r="K494" s="3055"/>
      <c r="L494" s="3055"/>
      <c r="M494" s="3055"/>
      <c r="N494" s="3055"/>
      <c r="O494" s="3055"/>
      <c r="P494" s="3055"/>
      <c r="Q494" s="3055"/>
      <c r="R494" s="3055">
        <f t="shared" si="3"/>
        <v>0</v>
      </c>
      <c r="S494" s="3055">
        <f t="shared" si="4"/>
        <v>0</v>
      </c>
      <c r="T494" s="3055">
        <f t="shared" si="5"/>
        <v>0</v>
      </c>
      <c r="U494" s="3055">
        <f t="shared" si="6"/>
        <v>0</v>
      </c>
      <c r="V494" s="3055">
        <f t="shared" si="7"/>
        <v>0</v>
      </c>
      <c r="W494" s="3055">
        <f t="shared" si="8"/>
        <v>0</v>
      </c>
      <c r="X494" s="3055">
        <f t="shared" si="9"/>
        <v>0</v>
      </c>
      <c r="Y494" s="3055">
        <f t="shared" si="10"/>
        <v>0</v>
      </c>
      <c r="Z494" s="3055">
        <f t="shared" si="11"/>
        <v>0</v>
      </c>
      <c r="AA494" s="3055">
        <f t="shared" si="12"/>
        <v>0</v>
      </c>
      <c r="AB494" s="3055">
        <f t="shared" si="13"/>
        <v>0</v>
      </c>
      <c r="AC494" s="3055">
        <f t="shared" si="14"/>
        <v>0</v>
      </c>
      <c r="AD494" s="3056"/>
      <c r="AE494" s="3057">
        <f t="shared" si="0"/>
      </c>
      <c r="AF494" s="3054"/>
      <c r="AG494" s="3054"/>
      <c r="AH494" s="3055"/>
      <c r="AI494" s="3055"/>
      <c r="AJ494" s="3055"/>
      <c r="AK494" s="3055"/>
      <c r="AL494" s="3055"/>
      <c r="AM494" s="3055"/>
      <c r="AN494" s="3055"/>
      <c r="AO494" s="3055"/>
      <c r="AP494" s="3055"/>
      <c r="AQ494" s="3055"/>
      <c r="AR494" s="3055"/>
      <c r="AS494" s="3055"/>
      <c r="AT494" s="3055"/>
      <c r="AU494" s="3056"/>
      <c r="AV494" s="3057">
        <f t="shared" si="15"/>
      </c>
      <c r="AW494" s="3054"/>
      <c r="AX494" s="3054"/>
      <c r="AY494" s="3055"/>
      <c r="AZ494" s="3055"/>
      <c r="BA494" s="3055"/>
      <c r="BB494" s="3055"/>
      <c r="BC494" s="3055"/>
      <c r="BD494" s="3055"/>
      <c r="BE494" s="3055"/>
      <c r="BF494" s="3055"/>
      <c r="BG494" s="3055"/>
      <c r="BH494" s="3055"/>
      <c r="BI494" s="3055"/>
      <c r="BJ494" s="3055"/>
      <c r="BK494" s="3055"/>
      <c r="BL494" s="3056"/>
      <c r="BM494" s="3057">
        <f t="shared" si="16"/>
      </c>
      <c r="BN494" s="3054"/>
      <c r="BO494" s="3054"/>
      <c r="BP494" s="3055"/>
      <c r="BQ494" s="3055"/>
      <c r="BR494" s="3055"/>
      <c r="BS494" s="3055"/>
      <c r="BT494" s="3055"/>
      <c r="BU494" s="3055"/>
      <c r="BV494" s="3055"/>
      <c r="BW494" s="3055"/>
      <c r="BX494" s="3055"/>
      <c r="BY494" s="3055"/>
      <c r="BZ494" s="3055"/>
      <c r="CA494" s="3055"/>
      <c r="CB494" s="3055"/>
      <c r="CC494" s="3056"/>
      <c r="CD494" s="3057">
        <f t="shared" si="0"/>
      </c>
      <c r="CE494" s="3054"/>
      <c r="CF494" s="3054"/>
      <c r="CG494" s="3055"/>
      <c r="CH494" s="3055"/>
      <c r="CI494" s="3055"/>
      <c r="CJ494" s="3055"/>
      <c r="CK494" s="3055"/>
      <c r="CL494" s="3055"/>
      <c r="CM494" s="3055"/>
      <c r="CN494" s="3055"/>
      <c r="CO494" s="3055"/>
      <c r="CP494" s="3055"/>
      <c r="CQ494" s="3055"/>
      <c r="CR494" s="3055"/>
      <c r="CS494" s="3055"/>
      <c r="CU494" s="3054"/>
      <c r="CV494" s="696"/>
      <c r="CW494" s="696"/>
      <c r="CZ494" s="3060">
        <f t="shared" si="17"/>
      </c>
      <c r="DA494" s="3060">
        <f t="shared" si="1"/>
      </c>
      <c r="DB494" s="3060">
        <f t="shared" si="18"/>
      </c>
      <c r="DC494" s="3060">
        <f t="shared" si="19"/>
      </c>
      <c r="DD494" s="3060">
        <f t="shared" si="20"/>
      </c>
      <c r="DE494" s="3060">
        <f t="shared" si="21"/>
      </c>
      <c r="DF494" s="3060">
        <f t="shared" si="22"/>
      </c>
      <c r="DG494" s="3060">
        <f t="shared" si="23"/>
      </c>
      <c r="DH494" s="3060">
        <f t="shared" si="24"/>
      </c>
      <c r="DI494" s="3060">
        <f t="shared" si="1"/>
      </c>
    </row>
    <row r="495" ht="15" customHeight="1" s="3052" customFormat="1">
      <c r="B495" s="3054">
        <f t="shared" si="2"/>
      </c>
      <c r="C495" s="3054"/>
      <c r="D495" s="3054"/>
      <c r="E495" s="3055"/>
      <c r="F495" s="3055"/>
      <c r="G495" s="3055"/>
      <c r="H495" s="3055"/>
      <c r="I495" s="3055"/>
      <c r="J495" s="3055"/>
      <c r="K495" s="3055"/>
      <c r="L495" s="3055"/>
      <c r="M495" s="3055"/>
      <c r="N495" s="3055"/>
      <c r="O495" s="3055"/>
      <c r="P495" s="3055"/>
      <c r="Q495" s="3055"/>
      <c r="R495" s="3055">
        <f t="shared" si="3"/>
        <v>0</v>
      </c>
      <c r="S495" s="3055">
        <f t="shared" si="4"/>
        <v>0</v>
      </c>
      <c r="T495" s="3055">
        <f t="shared" si="5"/>
        <v>0</v>
      </c>
      <c r="U495" s="3055">
        <f t="shared" si="6"/>
        <v>0</v>
      </c>
      <c r="V495" s="3055">
        <f t="shared" si="7"/>
        <v>0</v>
      </c>
      <c r="W495" s="3055">
        <f t="shared" si="8"/>
        <v>0</v>
      </c>
      <c r="X495" s="3055">
        <f t="shared" si="9"/>
        <v>0</v>
      </c>
      <c r="Y495" s="3055">
        <f t="shared" si="10"/>
        <v>0</v>
      </c>
      <c r="Z495" s="3055">
        <f t="shared" si="11"/>
        <v>0</v>
      </c>
      <c r="AA495" s="3055">
        <f t="shared" si="12"/>
        <v>0</v>
      </c>
      <c r="AB495" s="3055">
        <f t="shared" si="13"/>
        <v>0</v>
      </c>
      <c r="AC495" s="3055">
        <f t="shared" si="14"/>
        <v>0</v>
      </c>
      <c r="AD495" s="3056"/>
      <c r="AE495" s="3057">
        <f t="shared" si="0"/>
      </c>
      <c r="AF495" s="3054"/>
      <c r="AG495" s="3054"/>
      <c r="AH495" s="3055"/>
      <c r="AI495" s="3055"/>
      <c r="AJ495" s="3055"/>
      <c r="AK495" s="3055"/>
      <c r="AL495" s="3055"/>
      <c r="AM495" s="3055"/>
      <c r="AN495" s="3055"/>
      <c r="AO495" s="3055"/>
      <c r="AP495" s="3055"/>
      <c r="AQ495" s="3055"/>
      <c r="AR495" s="3055"/>
      <c r="AS495" s="3055"/>
      <c r="AT495" s="3055"/>
      <c r="AU495" s="3056"/>
      <c r="AV495" s="3057">
        <f t="shared" si="15"/>
      </c>
      <c r="AW495" s="3054"/>
      <c r="AX495" s="3054"/>
      <c r="AY495" s="3055"/>
      <c r="AZ495" s="3055"/>
      <c r="BA495" s="3055"/>
      <c r="BB495" s="3055"/>
      <c r="BC495" s="3055"/>
      <c r="BD495" s="3055"/>
      <c r="BE495" s="3055"/>
      <c r="BF495" s="3055"/>
      <c r="BG495" s="3055"/>
      <c r="BH495" s="3055"/>
      <c r="BI495" s="3055"/>
      <c r="BJ495" s="3055"/>
      <c r="BK495" s="3055"/>
      <c r="BL495" s="3056"/>
      <c r="BM495" s="3057">
        <f t="shared" si="16"/>
      </c>
      <c r="BN495" s="3054"/>
      <c r="BO495" s="3054"/>
      <c r="BP495" s="3055"/>
      <c r="BQ495" s="3055"/>
      <c r="BR495" s="3055"/>
      <c r="BS495" s="3055"/>
      <c r="BT495" s="3055"/>
      <c r="BU495" s="3055"/>
      <c r="BV495" s="3055"/>
      <c r="BW495" s="3055"/>
      <c r="BX495" s="3055"/>
      <c r="BY495" s="3055"/>
      <c r="BZ495" s="3055"/>
      <c r="CA495" s="3055"/>
      <c r="CB495" s="3055"/>
      <c r="CC495" s="3056"/>
      <c r="CD495" s="3057">
        <f t="shared" si="0"/>
      </c>
      <c r="CE495" s="3054"/>
      <c r="CF495" s="3054"/>
      <c r="CG495" s="3055"/>
      <c r="CH495" s="3055"/>
      <c r="CI495" s="3055"/>
      <c r="CJ495" s="3055"/>
      <c r="CK495" s="3055"/>
      <c r="CL495" s="3055"/>
      <c r="CM495" s="3055"/>
      <c r="CN495" s="3055"/>
      <c r="CO495" s="3055"/>
      <c r="CP495" s="3055"/>
      <c r="CQ495" s="3055"/>
      <c r="CR495" s="3055"/>
      <c r="CS495" s="3055"/>
      <c r="CU495" s="3054"/>
      <c r="CV495" s="696"/>
      <c r="CW495" s="696"/>
      <c r="CZ495" s="3060">
        <f t="shared" si="17"/>
      </c>
      <c r="DA495" s="3060">
        <f t="shared" si="1"/>
      </c>
      <c r="DB495" s="3060">
        <f t="shared" si="18"/>
      </c>
      <c r="DC495" s="3060">
        <f t="shared" si="19"/>
      </c>
      <c r="DD495" s="3060">
        <f t="shared" si="20"/>
      </c>
      <c r="DE495" s="3060">
        <f t="shared" si="21"/>
      </c>
      <c r="DF495" s="3060">
        <f t="shared" si="22"/>
      </c>
      <c r="DG495" s="3060">
        <f t="shared" si="23"/>
      </c>
      <c r="DH495" s="3060">
        <f t="shared" si="24"/>
      </c>
      <c r="DI495" s="3060">
        <f t="shared" si="1"/>
      </c>
    </row>
    <row r="496" ht="15" customHeight="1" s="3052" customFormat="1">
      <c r="B496" s="3054">
        <f t="shared" si="2"/>
      </c>
      <c r="C496" s="3054"/>
      <c r="D496" s="3054"/>
      <c r="E496" s="3055"/>
      <c r="F496" s="3055"/>
      <c r="G496" s="3055"/>
      <c r="H496" s="3055"/>
      <c r="I496" s="3055"/>
      <c r="J496" s="3055"/>
      <c r="K496" s="3055"/>
      <c r="L496" s="3055"/>
      <c r="M496" s="3055"/>
      <c r="N496" s="3055"/>
      <c r="O496" s="3055"/>
      <c r="P496" s="3055"/>
      <c r="Q496" s="3055"/>
      <c r="R496" s="3055">
        <f t="shared" si="3"/>
        <v>0</v>
      </c>
      <c r="S496" s="3055">
        <f t="shared" si="4"/>
        <v>0</v>
      </c>
      <c r="T496" s="3055">
        <f t="shared" si="5"/>
        <v>0</v>
      </c>
      <c r="U496" s="3055">
        <f t="shared" si="6"/>
        <v>0</v>
      </c>
      <c r="V496" s="3055">
        <f t="shared" si="7"/>
        <v>0</v>
      </c>
      <c r="W496" s="3055">
        <f t="shared" si="8"/>
        <v>0</v>
      </c>
      <c r="X496" s="3055">
        <f t="shared" si="9"/>
        <v>0</v>
      </c>
      <c r="Y496" s="3055">
        <f t="shared" si="10"/>
        <v>0</v>
      </c>
      <c r="Z496" s="3055">
        <f t="shared" si="11"/>
        <v>0</v>
      </c>
      <c r="AA496" s="3055">
        <f t="shared" si="12"/>
        <v>0</v>
      </c>
      <c r="AB496" s="3055">
        <f t="shared" si="13"/>
        <v>0</v>
      </c>
      <c r="AC496" s="3055">
        <f t="shared" si="14"/>
        <v>0</v>
      </c>
      <c r="AD496" s="3056"/>
      <c r="AE496" s="3057">
        <f t="shared" si="0"/>
      </c>
      <c r="AF496" s="3054"/>
      <c r="AG496" s="3054"/>
      <c r="AH496" s="3055"/>
      <c r="AI496" s="3055"/>
      <c r="AJ496" s="3055"/>
      <c r="AK496" s="3055"/>
      <c r="AL496" s="3055"/>
      <c r="AM496" s="3055"/>
      <c r="AN496" s="3055"/>
      <c r="AO496" s="3055"/>
      <c r="AP496" s="3055"/>
      <c r="AQ496" s="3055"/>
      <c r="AR496" s="3055"/>
      <c r="AS496" s="3055"/>
      <c r="AT496" s="3055"/>
      <c r="AU496" s="3056"/>
      <c r="AV496" s="3057">
        <f t="shared" si="15"/>
      </c>
      <c r="AW496" s="3054"/>
      <c r="AX496" s="3054"/>
      <c r="AY496" s="3055"/>
      <c r="AZ496" s="3055"/>
      <c r="BA496" s="3055"/>
      <c r="BB496" s="3055"/>
      <c r="BC496" s="3055"/>
      <c r="BD496" s="3055"/>
      <c r="BE496" s="3055"/>
      <c r="BF496" s="3055"/>
      <c r="BG496" s="3055"/>
      <c r="BH496" s="3055"/>
      <c r="BI496" s="3055"/>
      <c r="BJ496" s="3055"/>
      <c r="BK496" s="3055"/>
      <c r="BL496" s="3056"/>
      <c r="BM496" s="3057">
        <f t="shared" si="16"/>
      </c>
      <c r="BN496" s="3054"/>
      <c r="BO496" s="3054"/>
      <c r="BP496" s="3055"/>
      <c r="BQ496" s="3055"/>
      <c r="BR496" s="3055"/>
      <c r="BS496" s="3055"/>
      <c r="BT496" s="3055"/>
      <c r="BU496" s="3055"/>
      <c r="BV496" s="3055"/>
      <c r="BW496" s="3055"/>
      <c r="BX496" s="3055"/>
      <c r="BY496" s="3055"/>
      <c r="BZ496" s="3055"/>
      <c r="CA496" s="3055"/>
      <c r="CB496" s="3055"/>
      <c r="CC496" s="3056"/>
      <c r="CD496" s="3057">
        <f t="shared" si="0"/>
      </c>
      <c r="CE496" s="3054"/>
      <c r="CF496" s="3054"/>
      <c r="CG496" s="3055"/>
      <c r="CH496" s="3055"/>
      <c r="CI496" s="3055"/>
      <c r="CJ496" s="3055"/>
      <c r="CK496" s="3055"/>
      <c r="CL496" s="3055"/>
      <c r="CM496" s="3055"/>
      <c r="CN496" s="3055"/>
      <c r="CO496" s="3055"/>
      <c r="CP496" s="3055"/>
      <c r="CQ496" s="3055"/>
      <c r="CR496" s="3055"/>
      <c r="CS496" s="3055"/>
      <c r="CU496" s="3054"/>
      <c r="CV496" s="696"/>
      <c r="CW496" s="696"/>
      <c r="CZ496" s="3060">
        <f t="shared" si="17"/>
      </c>
      <c r="DA496" s="3060">
        <f t="shared" si="1"/>
      </c>
      <c r="DB496" s="3060">
        <f t="shared" si="18"/>
      </c>
      <c r="DC496" s="3060">
        <f t="shared" si="19"/>
      </c>
      <c r="DD496" s="3060">
        <f t="shared" si="20"/>
      </c>
      <c r="DE496" s="3060">
        <f t="shared" si="21"/>
      </c>
      <c r="DF496" s="3060">
        <f t="shared" si="22"/>
      </c>
      <c r="DG496" s="3060">
        <f t="shared" si="23"/>
      </c>
      <c r="DH496" s="3060">
        <f t="shared" si="24"/>
      </c>
      <c r="DI496" s="3060">
        <f t="shared" si="1"/>
      </c>
    </row>
    <row r="497" ht="15" customHeight="1" s="3052" customFormat="1">
      <c r="B497" s="3054">
        <f t="shared" si="2"/>
      </c>
      <c r="C497" s="3054"/>
      <c r="D497" s="3054"/>
      <c r="E497" s="3055"/>
      <c r="F497" s="3055"/>
      <c r="G497" s="3055"/>
      <c r="H497" s="3055"/>
      <c r="I497" s="3055"/>
      <c r="J497" s="3055"/>
      <c r="K497" s="3055"/>
      <c r="L497" s="3055"/>
      <c r="M497" s="3055"/>
      <c r="N497" s="3055"/>
      <c r="O497" s="3055"/>
      <c r="P497" s="3055"/>
      <c r="Q497" s="3055"/>
      <c r="R497" s="3055">
        <f t="shared" si="3"/>
        <v>0</v>
      </c>
      <c r="S497" s="3055">
        <f t="shared" si="4"/>
        <v>0</v>
      </c>
      <c r="T497" s="3055">
        <f t="shared" si="5"/>
        <v>0</v>
      </c>
      <c r="U497" s="3055">
        <f t="shared" si="6"/>
        <v>0</v>
      </c>
      <c r="V497" s="3055">
        <f t="shared" si="7"/>
        <v>0</v>
      </c>
      <c r="W497" s="3055">
        <f t="shared" si="8"/>
        <v>0</v>
      </c>
      <c r="X497" s="3055">
        <f t="shared" si="9"/>
        <v>0</v>
      </c>
      <c r="Y497" s="3055">
        <f t="shared" si="10"/>
        <v>0</v>
      </c>
      <c r="Z497" s="3055">
        <f t="shared" si="11"/>
        <v>0</v>
      </c>
      <c r="AA497" s="3055">
        <f t="shared" si="12"/>
        <v>0</v>
      </c>
      <c r="AB497" s="3055">
        <f t="shared" si="13"/>
        <v>0</v>
      </c>
      <c r="AC497" s="3055">
        <f t="shared" si="14"/>
        <v>0</v>
      </c>
      <c r="AD497" s="3056"/>
      <c r="AE497" s="3057">
        <f t="shared" si="0"/>
      </c>
      <c r="AF497" s="3054"/>
      <c r="AG497" s="3054"/>
      <c r="AH497" s="3055"/>
      <c r="AI497" s="3055"/>
      <c r="AJ497" s="3055"/>
      <c r="AK497" s="3055"/>
      <c r="AL497" s="3055"/>
      <c r="AM497" s="3055"/>
      <c r="AN497" s="3055"/>
      <c r="AO497" s="3055"/>
      <c r="AP497" s="3055"/>
      <c r="AQ497" s="3055"/>
      <c r="AR497" s="3055"/>
      <c r="AS497" s="3055"/>
      <c r="AT497" s="3055"/>
      <c r="AU497" s="3056"/>
      <c r="AV497" s="3057">
        <f t="shared" si="15"/>
      </c>
      <c r="AW497" s="3054"/>
      <c r="AX497" s="3054"/>
      <c r="AY497" s="3055"/>
      <c r="AZ497" s="3055"/>
      <c r="BA497" s="3055"/>
      <c r="BB497" s="3055"/>
      <c r="BC497" s="3055"/>
      <c r="BD497" s="3055"/>
      <c r="BE497" s="3055"/>
      <c r="BF497" s="3055"/>
      <c r="BG497" s="3055"/>
      <c r="BH497" s="3055"/>
      <c r="BI497" s="3055"/>
      <c r="BJ497" s="3055"/>
      <c r="BK497" s="3055"/>
      <c r="BL497" s="3056"/>
      <c r="BM497" s="3057">
        <f t="shared" si="16"/>
      </c>
      <c r="BN497" s="3054"/>
      <c r="BO497" s="3054"/>
      <c r="BP497" s="3055"/>
      <c r="BQ497" s="3055"/>
      <c r="BR497" s="3055"/>
      <c r="BS497" s="3055"/>
      <c r="BT497" s="3055"/>
      <c r="BU497" s="3055"/>
      <c r="BV497" s="3055"/>
      <c r="BW497" s="3055"/>
      <c r="BX497" s="3055"/>
      <c r="BY497" s="3055"/>
      <c r="BZ497" s="3055"/>
      <c r="CA497" s="3055"/>
      <c r="CB497" s="3055"/>
      <c r="CC497" s="3056"/>
      <c r="CD497" s="3057">
        <f t="shared" si="0"/>
      </c>
      <c r="CE497" s="3054"/>
      <c r="CF497" s="3054"/>
      <c r="CG497" s="3055"/>
      <c r="CH497" s="3055"/>
      <c r="CI497" s="3055"/>
      <c r="CJ497" s="3055"/>
      <c r="CK497" s="3055"/>
      <c r="CL497" s="3055"/>
      <c r="CM497" s="3055"/>
      <c r="CN497" s="3055"/>
      <c r="CO497" s="3055"/>
      <c r="CP497" s="3055"/>
      <c r="CQ497" s="3055"/>
      <c r="CR497" s="3055"/>
      <c r="CS497" s="3055"/>
      <c r="CU497" s="3054"/>
      <c r="CV497" s="696"/>
      <c r="CW497" s="696"/>
      <c r="CZ497" s="3060">
        <f t="shared" si="17"/>
      </c>
      <c r="DA497" s="3060">
        <f t="shared" si="1"/>
      </c>
      <c r="DB497" s="3060">
        <f t="shared" si="18"/>
      </c>
      <c r="DC497" s="3060">
        <f t="shared" si="19"/>
      </c>
      <c r="DD497" s="3060">
        <f t="shared" si="20"/>
      </c>
      <c r="DE497" s="3060">
        <f t="shared" si="21"/>
      </c>
      <c r="DF497" s="3060">
        <f t="shared" si="22"/>
      </c>
      <c r="DG497" s="3060">
        <f t="shared" si="23"/>
      </c>
      <c r="DH497" s="3060">
        <f t="shared" si="24"/>
      </c>
      <c r="DI497" s="3060">
        <f t="shared" si="1"/>
      </c>
    </row>
    <row r="498" ht="15" customHeight="1" s="3052" customFormat="1">
      <c r="B498" s="3054">
        <f t="shared" si="2"/>
      </c>
      <c r="C498" s="3054"/>
      <c r="D498" s="3054"/>
      <c r="E498" s="3055"/>
      <c r="F498" s="3055"/>
      <c r="G498" s="3055"/>
      <c r="H498" s="3055"/>
      <c r="I498" s="3055"/>
      <c r="J498" s="3055"/>
      <c r="K498" s="3055"/>
      <c r="L498" s="3055"/>
      <c r="M498" s="3055"/>
      <c r="N498" s="3055"/>
      <c r="O498" s="3055"/>
      <c r="P498" s="3055"/>
      <c r="Q498" s="3055"/>
      <c r="R498" s="3055">
        <f t="shared" si="3"/>
        <v>0</v>
      </c>
      <c r="S498" s="3055">
        <f t="shared" si="4"/>
        <v>0</v>
      </c>
      <c r="T498" s="3055">
        <f t="shared" si="5"/>
        <v>0</v>
      </c>
      <c r="U498" s="3055">
        <f t="shared" si="6"/>
        <v>0</v>
      </c>
      <c r="V498" s="3055">
        <f t="shared" si="7"/>
        <v>0</v>
      </c>
      <c r="W498" s="3055">
        <f t="shared" si="8"/>
        <v>0</v>
      </c>
      <c r="X498" s="3055">
        <f t="shared" si="9"/>
        <v>0</v>
      </c>
      <c r="Y498" s="3055">
        <f t="shared" si="10"/>
        <v>0</v>
      </c>
      <c r="Z498" s="3055">
        <f t="shared" si="11"/>
        <v>0</v>
      </c>
      <c r="AA498" s="3055">
        <f t="shared" si="12"/>
        <v>0</v>
      </c>
      <c r="AB498" s="3055">
        <f t="shared" si="13"/>
        <v>0</v>
      </c>
      <c r="AC498" s="3055">
        <f t="shared" si="14"/>
        <v>0</v>
      </c>
      <c r="AD498" s="3056"/>
      <c r="AE498" s="3057">
        <f t="shared" si="0"/>
      </c>
      <c r="AF498" s="3054"/>
      <c r="AG498" s="3054"/>
      <c r="AH498" s="3055"/>
      <c r="AI498" s="3055"/>
      <c r="AJ498" s="3055"/>
      <c r="AK498" s="3055"/>
      <c r="AL498" s="3055"/>
      <c r="AM498" s="3055"/>
      <c r="AN498" s="3055"/>
      <c r="AO498" s="3055"/>
      <c r="AP498" s="3055"/>
      <c r="AQ498" s="3055"/>
      <c r="AR498" s="3055"/>
      <c r="AS498" s="3055"/>
      <c r="AT498" s="3055"/>
      <c r="AU498" s="3056"/>
      <c r="AV498" s="3057">
        <f t="shared" si="15"/>
      </c>
      <c r="AW498" s="3054"/>
      <c r="AX498" s="3054"/>
      <c r="AY498" s="3055"/>
      <c r="AZ498" s="3055"/>
      <c r="BA498" s="3055"/>
      <c r="BB498" s="3055"/>
      <c r="BC498" s="3055"/>
      <c r="BD498" s="3055"/>
      <c r="BE498" s="3055"/>
      <c r="BF498" s="3055"/>
      <c r="BG498" s="3055"/>
      <c r="BH498" s="3055"/>
      <c r="BI498" s="3055"/>
      <c r="BJ498" s="3055"/>
      <c r="BK498" s="3055"/>
      <c r="BL498" s="3056"/>
      <c r="BM498" s="3057">
        <f t="shared" si="16"/>
      </c>
      <c r="BN498" s="3054"/>
      <c r="BO498" s="3054"/>
      <c r="BP498" s="3055"/>
      <c r="BQ498" s="3055"/>
      <c r="BR498" s="3055"/>
      <c r="BS498" s="3055"/>
      <c r="BT498" s="3055"/>
      <c r="BU498" s="3055"/>
      <c r="BV498" s="3055"/>
      <c r="BW498" s="3055"/>
      <c r="BX498" s="3055"/>
      <c r="BY498" s="3055"/>
      <c r="BZ498" s="3055"/>
      <c r="CA498" s="3055"/>
      <c r="CB498" s="3055"/>
      <c r="CC498" s="3056"/>
      <c r="CD498" s="3057">
        <f t="shared" si="0"/>
      </c>
      <c r="CE498" s="3054"/>
      <c r="CF498" s="3054"/>
      <c r="CG498" s="3055"/>
      <c r="CH498" s="3055"/>
      <c r="CI498" s="3055"/>
      <c r="CJ498" s="3055"/>
      <c r="CK498" s="3055"/>
      <c r="CL498" s="3055"/>
      <c r="CM498" s="3055"/>
      <c r="CN498" s="3055"/>
      <c r="CO498" s="3055"/>
      <c r="CP498" s="3055"/>
      <c r="CQ498" s="3055"/>
      <c r="CR498" s="3055"/>
      <c r="CS498" s="3055"/>
      <c r="CU498" s="3054"/>
      <c r="CV498" s="696"/>
      <c r="CW498" s="696"/>
      <c r="CZ498" s="3060">
        <f t="shared" si="17"/>
      </c>
      <c r="DA498" s="3060">
        <f t="shared" si="1"/>
      </c>
      <c r="DB498" s="3060">
        <f t="shared" si="18"/>
      </c>
      <c r="DC498" s="3060">
        <f t="shared" si="19"/>
      </c>
      <c r="DD498" s="3060">
        <f t="shared" si="20"/>
      </c>
      <c r="DE498" s="3060">
        <f t="shared" si="21"/>
      </c>
      <c r="DF498" s="3060">
        <f t="shared" si="22"/>
      </c>
      <c r="DG498" s="3060">
        <f t="shared" si="23"/>
      </c>
      <c r="DH498" s="3060">
        <f t="shared" si="24"/>
      </c>
      <c r="DI498" s="3060">
        <f t="shared" si="1"/>
      </c>
    </row>
    <row r="499" ht="15" customHeight="1" s="3052" customFormat="1">
      <c r="B499" s="3054">
        <f t="shared" si="2"/>
      </c>
      <c r="C499" s="3054"/>
      <c r="D499" s="3054"/>
      <c r="E499" s="3055"/>
      <c r="F499" s="3055"/>
      <c r="G499" s="3055"/>
      <c r="H499" s="3055"/>
      <c r="I499" s="3055"/>
      <c r="J499" s="3055"/>
      <c r="K499" s="3055"/>
      <c r="L499" s="3055"/>
      <c r="M499" s="3055"/>
      <c r="N499" s="3055"/>
      <c r="O499" s="3055"/>
      <c r="P499" s="3055"/>
      <c r="Q499" s="3055"/>
      <c r="R499" s="3055">
        <f t="shared" si="3"/>
        <v>0</v>
      </c>
      <c r="S499" s="3055">
        <f t="shared" si="4"/>
        <v>0</v>
      </c>
      <c r="T499" s="3055">
        <f t="shared" si="5"/>
        <v>0</v>
      </c>
      <c r="U499" s="3055">
        <f t="shared" si="6"/>
        <v>0</v>
      </c>
      <c r="V499" s="3055">
        <f t="shared" si="7"/>
        <v>0</v>
      </c>
      <c r="W499" s="3055">
        <f t="shared" si="8"/>
        <v>0</v>
      </c>
      <c r="X499" s="3055">
        <f t="shared" si="9"/>
        <v>0</v>
      </c>
      <c r="Y499" s="3055">
        <f t="shared" si="10"/>
        <v>0</v>
      </c>
      <c r="Z499" s="3055">
        <f t="shared" si="11"/>
        <v>0</v>
      </c>
      <c r="AA499" s="3055">
        <f t="shared" si="12"/>
        <v>0</v>
      </c>
      <c r="AB499" s="3055">
        <f t="shared" si="13"/>
        <v>0</v>
      </c>
      <c r="AC499" s="3055">
        <f t="shared" si="14"/>
        <v>0</v>
      </c>
      <c r="AD499" s="3056"/>
      <c r="AE499" s="3057">
        <f t="shared" si="0"/>
      </c>
      <c r="AF499" s="3054"/>
      <c r="AG499" s="3054"/>
      <c r="AH499" s="3055"/>
      <c r="AI499" s="3055"/>
      <c r="AJ499" s="3055"/>
      <c r="AK499" s="3055"/>
      <c r="AL499" s="3055"/>
      <c r="AM499" s="3055"/>
      <c r="AN499" s="3055"/>
      <c r="AO499" s="3055"/>
      <c r="AP499" s="3055"/>
      <c r="AQ499" s="3055"/>
      <c r="AR499" s="3055"/>
      <c r="AS499" s="3055"/>
      <c r="AT499" s="3055"/>
      <c r="AU499" s="3056"/>
      <c r="AV499" s="3057">
        <f t="shared" si="15"/>
      </c>
      <c r="AW499" s="3054"/>
      <c r="AX499" s="3054"/>
      <c r="AY499" s="3055"/>
      <c r="AZ499" s="3055"/>
      <c r="BA499" s="3055"/>
      <c r="BB499" s="3055"/>
      <c r="BC499" s="3055"/>
      <c r="BD499" s="3055"/>
      <c r="BE499" s="3055"/>
      <c r="BF499" s="3055"/>
      <c r="BG499" s="3055"/>
      <c r="BH499" s="3055"/>
      <c r="BI499" s="3055"/>
      <c r="BJ499" s="3055"/>
      <c r="BK499" s="3055"/>
      <c r="BL499" s="3056"/>
      <c r="BM499" s="3057">
        <f t="shared" si="16"/>
      </c>
      <c r="BN499" s="3054"/>
      <c r="BO499" s="3054"/>
      <c r="BP499" s="3055"/>
      <c r="BQ499" s="3055"/>
      <c r="BR499" s="3055"/>
      <c r="BS499" s="3055"/>
      <c r="BT499" s="3055"/>
      <c r="BU499" s="3055"/>
      <c r="BV499" s="3055"/>
      <c r="BW499" s="3055"/>
      <c r="BX499" s="3055"/>
      <c r="BY499" s="3055"/>
      <c r="BZ499" s="3055"/>
      <c r="CA499" s="3055"/>
      <c r="CB499" s="3055"/>
      <c r="CC499" s="3056"/>
      <c r="CD499" s="3057">
        <f t="shared" si="0"/>
      </c>
      <c r="CE499" s="3054"/>
      <c r="CF499" s="3054"/>
      <c r="CG499" s="3055"/>
      <c r="CH499" s="3055"/>
      <c r="CI499" s="3055"/>
      <c r="CJ499" s="3055"/>
      <c r="CK499" s="3055"/>
      <c r="CL499" s="3055"/>
      <c r="CM499" s="3055"/>
      <c r="CN499" s="3055"/>
      <c r="CO499" s="3055"/>
      <c r="CP499" s="3055"/>
      <c r="CQ499" s="3055"/>
      <c r="CR499" s="3055"/>
      <c r="CS499" s="3055"/>
      <c r="CU499" s="3054"/>
      <c r="CV499" s="696"/>
      <c r="CW499" s="696"/>
      <c r="CZ499" s="3060">
        <f t="shared" si="17"/>
      </c>
      <c r="DA499" s="3060">
        <f t="shared" si="1"/>
      </c>
      <c r="DB499" s="3060">
        <f t="shared" si="18"/>
      </c>
      <c r="DC499" s="3060">
        <f t="shared" si="19"/>
      </c>
      <c r="DD499" s="3060">
        <f t="shared" si="20"/>
      </c>
      <c r="DE499" s="3060">
        <f t="shared" si="21"/>
      </c>
      <c r="DF499" s="3060">
        <f t="shared" si="22"/>
      </c>
      <c r="DG499" s="3060">
        <f t="shared" si="23"/>
      </c>
      <c r="DH499" s="3060">
        <f t="shared" si="24"/>
      </c>
      <c r="DI499" s="3060">
        <f t="shared" si="1"/>
      </c>
    </row>
    <row r="500" ht="15" customHeight="1" s="3052" customFormat="1">
      <c r="B500" s="3054">
        <f t="shared" si="2"/>
      </c>
      <c r="C500" s="3054"/>
      <c r="D500" s="3054"/>
      <c r="E500" s="3055"/>
      <c r="F500" s="3055"/>
      <c r="G500" s="3055"/>
      <c r="H500" s="3055"/>
      <c r="I500" s="3055"/>
      <c r="J500" s="3055"/>
      <c r="K500" s="3055"/>
      <c r="L500" s="3055"/>
      <c r="M500" s="3055"/>
      <c r="N500" s="3055"/>
      <c r="O500" s="3055"/>
      <c r="P500" s="3055"/>
      <c r="Q500" s="3055"/>
      <c r="R500" s="3055">
        <f t="shared" si="3"/>
        <v>0</v>
      </c>
      <c r="S500" s="3055">
        <f t="shared" si="4"/>
        <v>0</v>
      </c>
      <c r="T500" s="3055">
        <f t="shared" si="5"/>
        <v>0</v>
      </c>
      <c r="U500" s="3055">
        <f t="shared" si="6"/>
        <v>0</v>
      </c>
      <c r="V500" s="3055">
        <f t="shared" si="7"/>
        <v>0</v>
      </c>
      <c r="W500" s="3055">
        <f t="shared" si="8"/>
        <v>0</v>
      </c>
      <c r="X500" s="3055">
        <f t="shared" si="9"/>
        <v>0</v>
      </c>
      <c r="Y500" s="3055">
        <f t="shared" si="10"/>
        <v>0</v>
      </c>
      <c r="Z500" s="3055">
        <f t="shared" si="11"/>
        <v>0</v>
      </c>
      <c r="AA500" s="3055">
        <f t="shared" si="12"/>
        <v>0</v>
      </c>
      <c r="AB500" s="3055">
        <f t="shared" si="13"/>
        <v>0</v>
      </c>
      <c r="AC500" s="3055">
        <f t="shared" si="14"/>
        <v>0</v>
      </c>
      <c r="AD500" s="3056"/>
      <c r="AE500" s="3057">
        <f t="shared" si="0"/>
      </c>
      <c r="AF500" s="3054"/>
      <c r="AG500" s="3054"/>
      <c r="AH500" s="3055"/>
      <c r="AI500" s="3055"/>
      <c r="AJ500" s="3055"/>
      <c r="AK500" s="3055"/>
      <c r="AL500" s="3055"/>
      <c r="AM500" s="3055"/>
      <c r="AN500" s="3055"/>
      <c r="AO500" s="3055"/>
      <c r="AP500" s="3055"/>
      <c r="AQ500" s="3055"/>
      <c r="AR500" s="3055"/>
      <c r="AS500" s="3055"/>
      <c r="AT500" s="3055"/>
      <c r="AU500" s="3056"/>
      <c r="AV500" s="3057">
        <f t="shared" si="15"/>
      </c>
      <c r="AW500" s="3054"/>
      <c r="AX500" s="3054"/>
      <c r="AY500" s="3055"/>
      <c r="AZ500" s="3055"/>
      <c r="BA500" s="3055"/>
      <c r="BB500" s="3055"/>
      <c r="BC500" s="3055"/>
      <c r="BD500" s="3055"/>
      <c r="BE500" s="3055"/>
      <c r="BF500" s="3055"/>
      <c r="BG500" s="3055"/>
      <c r="BH500" s="3055"/>
      <c r="BI500" s="3055"/>
      <c r="BJ500" s="3055"/>
      <c r="BK500" s="3055"/>
      <c r="BL500" s="3056"/>
      <c r="BM500" s="3057">
        <f t="shared" si="16"/>
      </c>
      <c r="BN500" s="3054"/>
      <c r="BO500" s="3054"/>
      <c r="BP500" s="3055"/>
      <c r="BQ500" s="3055"/>
      <c r="BR500" s="3055"/>
      <c r="BS500" s="3055"/>
      <c r="BT500" s="3055"/>
      <c r="BU500" s="3055"/>
      <c r="BV500" s="3055"/>
      <c r="BW500" s="3055"/>
      <c r="BX500" s="3055"/>
      <c r="BY500" s="3055"/>
      <c r="BZ500" s="3055"/>
      <c r="CA500" s="3055"/>
      <c r="CB500" s="3055"/>
      <c r="CC500" s="3056"/>
      <c r="CD500" s="3057">
        <f t="shared" si="0"/>
      </c>
      <c r="CE500" s="3054"/>
      <c r="CF500" s="3054"/>
      <c r="CG500" s="3055"/>
      <c r="CH500" s="3055"/>
      <c r="CI500" s="3055"/>
      <c r="CJ500" s="3055"/>
      <c r="CK500" s="3055"/>
      <c r="CL500" s="3055"/>
      <c r="CM500" s="3055"/>
      <c r="CN500" s="3055"/>
      <c r="CO500" s="3055"/>
      <c r="CP500" s="3055"/>
      <c r="CQ500" s="3055"/>
      <c r="CR500" s="3055"/>
      <c r="CS500" s="3055"/>
      <c r="CU500" s="3054"/>
      <c r="CV500" s="696"/>
      <c r="CW500" s="696"/>
      <c r="CZ500" s="3060">
        <f t="shared" si="17"/>
      </c>
      <c r="DA500" s="3060">
        <f t="shared" si="1"/>
      </c>
      <c r="DB500" s="3060">
        <f t="shared" si="18"/>
      </c>
      <c r="DC500" s="3060">
        <f t="shared" si="19"/>
      </c>
      <c r="DD500" s="3060">
        <f t="shared" si="20"/>
      </c>
      <c r="DE500" s="3060">
        <f t="shared" si="21"/>
      </c>
      <c r="DF500" s="3060">
        <f t="shared" si="22"/>
      </c>
      <c r="DG500" s="3060">
        <f t="shared" si="23"/>
      </c>
      <c r="DH500" s="3060">
        <f t="shared" si="24"/>
      </c>
      <c r="DI500" s="3060">
        <f t="shared" si="1"/>
      </c>
    </row>
    <row r="501" ht="15" customHeight="1" s="3052" customFormat="1">
      <c r="B501" s="3054">
        <f t="shared" si="2"/>
      </c>
      <c r="C501" s="3054"/>
      <c r="D501" s="3054"/>
      <c r="E501" s="3055"/>
      <c r="F501" s="3055"/>
      <c r="G501" s="3055"/>
      <c r="H501" s="3055"/>
      <c r="I501" s="3055"/>
      <c r="J501" s="3055"/>
      <c r="K501" s="3055"/>
      <c r="L501" s="3055"/>
      <c r="M501" s="3055"/>
      <c r="N501" s="3055"/>
      <c r="O501" s="3055"/>
      <c r="P501" s="3055"/>
      <c r="Q501" s="3055"/>
      <c r="R501" s="3055">
        <f t="shared" si="3"/>
        <v>0</v>
      </c>
      <c r="S501" s="3055">
        <f t="shared" si="4"/>
        <v>0</v>
      </c>
      <c r="T501" s="3055">
        <f t="shared" si="5"/>
        <v>0</v>
      </c>
      <c r="U501" s="3055">
        <f t="shared" si="6"/>
        <v>0</v>
      </c>
      <c r="V501" s="3055">
        <f t="shared" si="7"/>
        <v>0</v>
      </c>
      <c r="W501" s="3055">
        <f t="shared" si="8"/>
        <v>0</v>
      </c>
      <c r="X501" s="3055">
        <f t="shared" si="9"/>
        <v>0</v>
      </c>
      <c r="Y501" s="3055">
        <f t="shared" si="10"/>
        <v>0</v>
      </c>
      <c r="Z501" s="3055">
        <f t="shared" si="11"/>
        <v>0</v>
      </c>
      <c r="AA501" s="3055">
        <f t="shared" si="12"/>
        <v>0</v>
      </c>
      <c r="AB501" s="3055">
        <f t="shared" si="13"/>
        <v>0</v>
      </c>
      <c r="AC501" s="3055">
        <f t="shared" si="14"/>
        <v>0</v>
      </c>
      <c r="AD501" s="3056"/>
      <c r="AE501" s="3057">
        <f t="shared" si="0"/>
      </c>
      <c r="AF501" s="3054"/>
      <c r="AG501" s="3054"/>
      <c r="AH501" s="3055"/>
      <c r="AI501" s="3055"/>
      <c r="AJ501" s="3055"/>
      <c r="AK501" s="3055"/>
      <c r="AL501" s="3055"/>
      <c r="AM501" s="3055"/>
      <c r="AN501" s="3055"/>
      <c r="AO501" s="3055"/>
      <c r="AP501" s="3055"/>
      <c r="AQ501" s="3055"/>
      <c r="AR501" s="3055"/>
      <c r="AS501" s="3055"/>
      <c r="AT501" s="3055"/>
      <c r="AU501" s="3056"/>
      <c r="AV501" s="3057">
        <f t="shared" si="15"/>
      </c>
      <c r="AW501" s="3054"/>
      <c r="AX501" s="3054"/>
      <c r="AY501" s="3055"/>
      <c r="AZ501" s="3055"/>
      <c r="BA501" s="3055"/>
      <c r="BB501" s="3055"/>
      <c r="BC501" s="3055"/>
      <c r="BD501" s="3055"/>
      <c r="BE501" s="3055"/>
      <c r="BF501" s="3055"/>
      <c r="BG501" s="3055"/>
      <c r="BH501" s="3055"/>
      <c r="BI501" s="3055"/>
      <c r="BJ501" s="3055"/>
      <c r="BK501" s="3055"/>
      <c r="BL501" s="3056"/>
      <c r="BM501" s="3057">
        <f t="shared" si="16"/>
      </c>
      <c r="BN501" s="3054"/>
      <c r="BO501" s="3054"/>
      <c r="BP501" s="3055"/>
      <c r="BQ501" s="3055"/>
      <c r="BR501" s="3055"/>
      <c r="BS501" s="3055"/>
      <c r="BT501" s="3055"/>
      <c r="BU501" s="3055"/>
      <c r="BV501" s="3055"/>
      <c r="BW501" s="3055"/>
      <c r="BX501" s="3055"/>
      <c r="BY501" s="3055"/>
      <c r="BZ501" s="3055"/>
      <c r="CA501" s="3055"/>
      <c r="CB501" s="3055"/>
      <c r="CC501" s="3056"/>
      <c r="CD501" s="3057">
        <f t="shared" si="0"/>
      </c>
      <c r="CE501" s="3054"/>
      <c r="CF501" s="3054"/>
      <c r="CG501" s="3055"/>
      <c r="CH501" s="3055"/>
      <c r="CI501" s="3055"/>
      <c r="CJ501" s="3055"/>
      <c r="CK501" s="3055"/>
      <c r="CL501" s="3055"/>
      <c r="CM501" s="3055"/>
      <c r="CN501" s="3055"/>
      <c r="CO501" s="3055"/>
      <c r="CP501" s="3055"/>
      <c r="CQ501" s="3055"/>
      <c r="CR501" s="3055"/>
      <c r="CS501" s="3055"/>
      <c r="CU501" s="3054"/>
      <c r="CV501" s="696"/>
      <c r="CW501" s="696"/>
      <c r="CZ501" s="3060">
        <f t="shared" si="17"/>
      </c>
      <c r="DA501" s="3060">
        <f t="shared" si="1"/>
      </c>
      <c r="DB501" s="3060">
        <f t="shared" si="18"/>
      </c>
      <c r="DC501" s="3060">
        <f t="shared" si="19"/>
      </c>
      <c r="DD501" s="3060">
        <f t="shared" si="20"/>
      </c>
      <c r="DE501" s="3060">
        <f t="shared" si="21"/>
      </c>
      <c r="DF501" s="3060">
        <f t="shared" si="22"/>
      </c>
      <c r="DG501" s="3060">
        <f t="shared" si="23"/>
      </c>
      <c r="DH501" s="3060">
        <f t="shared" si="24"/>
      </c>
      <c r="DI501" s="3060">
        <f t="shared" si="1"/>
      </c>
    </row>
    <row r="502" ht="15" customHeight="1" s="3052" customFormat="1">
      <c r="B502" s="3054">
        <f t="shared" si="2"/>
      </c>
      <c r="C502" s="3054"/>
      <c r="D502" s="3054"/>
      <c r="E502" s="3055"/>
      <c r="F502" s="3055"/>
      <c r="G502" s="3055"/>
      <c r="H502" s="3055"/>
      <c r="I502" s="3055"/>
      <c r="J502" s="3055"/>
      <c r="K502" s="3055"/>
      <c r="L502" s="3055"/>
      <c r="M502" s="3055"/>
      <c r="N502" s="3055"/>
      <c r="O502" s="3055"/>
      <c r="P502" s="3055"/>
      <c r="Q502" s="3055"/>
      <c r="R502" s="3055">
        <f t="shared" si="3"/>
        <v>0</v>
      </c>
      <c r="S502" s="3055">
        <f t="shared" si="4"/>
        <v>0</v>
      </c>
      <c r="T502" s="3055">
        <f t="shared" si="5"/>
        <v>0</v>
      </c>
      <c r="U502" s="3055">
        <f t="shared" si="6"/>
        <v>0</v>
      </c>
      <c r="V502" s="3055">
        <f t="shared" si="7"/>
        <v>0</v>
      </c>
      <c r="W502" s="3055">
        <f t="shared" si="8"/>
        <v>0</v>
      </c>
      <c r="X502" s="3055">
        <f t="shared" si="9"/>
        <v>0</v>
      </c>
      <c r="Y502" s="3055">
        <f t="shared" si="10"/>
        <v>0</v>
      </c>
      <c r="Z502" s="3055">
        <f t="shared" si="11"/>
        <v>0</v>
      </c>
      <c r="AA502" s="3055">
        <f t="shared" si="12"/>
        <v>0</v>
      </c>
      <c r="AB502" s="3055">
        <f t="shared" si="13"/>
        <v>0</v>
      </c>
      <c r="AC502" s="3055">
        <f t="shared" si="14"/>
        <v>0</v>
      </c>
      <c r="AD502" s="3056"/>
      <c r="AE502" s="3057">
        <f t="shared" si="0"/>
      </c>
      <c r="AF502" s="3054"/>
      <c r="AG502" s="3054"/>
      <c r="AH502" s="3055"/>
      <c r="AI502" s="3055"/>
      <c r="AJ502" s="3055"/>
      <c r="AK502" s="3055"/>
      <c r="AL502" s="3055"/>
      <c r="AM502" s="3055"/>
      <c r="AN502" s="3055"/>
      <c r="AO502" s="3055"/>
      <c r="AP502" s="3055"/>
      <c r="AQ502" s="3055"/>
      <c r="AR502" s="3055"/>
      <c r="AS502" s="3055"/>
      <c r="AT502" s="3055"/>
      <c r="AU502" s="3056"/>
      <c r="AV502" s="3057">
        <f t="shared" si="15"/>
      </c>
      <c r="AW502" s="3054"/>
      <c r="AX502" s="3054"/>
      <c r="AY502" s="3055"/>
      <c r="AZ502" s="3055"/>
      <c r="BA502" s="3055"/>
      <c r="BB502" s="3055"/>
      <c r="BC502" s="3055"/>
      <c r="BD502" s="3055"/>
      <c r="BE502" s="3055"/>
      <c r="BF502" s="3055"/>
      <c r="BG502" s="3055"/>
      <c r="BH502" s="3055"/>
      <c r="BI502" s="3055"/>
      <c r="BJ502" s="3055"/>
      <c r="BK502" s="3055"/>
      <c r="BL502" s="3056"/>
      <c r="BM502" s="3057">
        <f t="shared" si="16"/>
      </c>
      <c r="BN502" s="3054"/>
      <c r="BO502" s="3054"/>
      <c r="BP502" s="3055"/>
      <c r="BQ502" s="3055"/>
      <c r="BR502" s="3055"/>
      <c r="BS502" s="3055"/>
      <c r="BT502" s="3055"/>
      <c r="BU502" s="3055"/>
      <c r="BV502" s="3055"/>
      <c r="BW502" s="3055"/>
      <c r="BX502" s="3055"/>
      <c r="BY502" s="3055"/>
      <c r="BZ502" s="3055"/>
      <c r="CA502" s="3055"/>
      <c r="CB502" s="3055"/>
      <c r="CC502" s="3056"/>
      <c r="CD502" s="3057">
        <f t="shared" si="0"/>
      </c>
      <c r="CE502" s="3054"/>
      <c r="CF502" s="3054"/>
      <c r="CG502" s="3055"/>
      <c r="CH502" s="3055"/>
      <c r="CI502" s="3055"/>
      <c r="CJ502" s="3055"/>
      <c r="CK502" s="3055"/>
      <c r="CL502" s="3055"/>
      <c r="CM502" s="3055"/>
      <c r="CN502" s="3055"/>
      <c r="CO502" s="3055"/>
      <c r="CP502" s="3055"/>
      <c r="CQ502" s="3055"/>
      <c r="CR502" s="3055"/>
      <c r="CS502" s="3055"/>
      <c r="CU502" s="3054"/>
      <c r="CV502" s="696"/>
      <c r="CW502" s="696"/>
      <c r="CZ502" s="3060">
        <f t="shared" si="17"/>
      </c>
      <c r="DA502" s="3060">
        <f t="shared" si="1"/>
      </c>
      <c r="DB502" s="3060">
        <f t="shared" si="18"/>
      </c>
      <c r="DC502" s="3060">
        <f t="shared" si="19"/>
      </c>
      <c r="DD502" s="3060">
        <f t="shared" si="20"/>
      </c>
      <c r="DE502" s="3060">
        <f t="shared" si="21"/>
      </c>
      <c r="DF502" s="3060">
        <f t="shared" si="22"/>
      </c>
      <c r="DG502" s="3060">
        <f t="shared" si="23"/>
      </c>
      <c r="DH502" s="3060">
        <f t="shared" si="24"/>
      </c>
      <c r="DI502" s="3060">
        <f t="shared" si="1"/>
      </c>
    </row>
    <row r="503" ht="15" customHeight="1" s="3052" customFormat="1">
      <c r="B503" s="3054">
        <f t="shared" si="2"/>
      </c>
      <c r="C503" s="3054"/>
      <c r="D503" s="3054"/>
      <c r="E503" s="3055"/>
      <c r="F503" s="3055"/>
      <c r="G503" s="3055"/>
      <c r="H503" s="3055"/>
      <c r="I503" s="3055"/>
      <c r="J503" s="3055"/>
      <c r="K503" s="3055"/>
      <c r="L503" s="3055"/>
      <c r="M503" s="3055"/>
      <c r="N503" s="3055"/>
      <c r="O503" s="3055"/>
      <c r="P503" s="3055"/>
      <c r="Q503" s="3055"/>
      <c r="R503" s="3055">
        <f t="shared" si="3"/>
        <v>0</v>
      </c>
      <c r="S503" s="3055">
        <f t="shared" si="4"/>
        <v>0</v>
      </c>
      <c r="T503" s="3055">
        <f t="shared" si="5"/>
        <v>0</v>
      </c>
      <c r="U503" s="3055">
        <f t="shared" si="6"/>
        <v>0</v>
      </c>
      <c r="V503" s="3055">
        <f t="shared" si="7"/>
        <v>0</v>
      </c>
      <c r="W503" s="3055">
        <f t="shared" si="8"/>
        <v>0</v>
      </c>
      <c r="X503" s="3055">
        <f t="shared" si="9"/>
        <v>0</v>
      </c>
      <c r="Y503" s="3055">
        <f t="shared" si="10"/>
        <v>0</v>
      </c>
      <c r="Z503" s="3055">
        <f t="shared" si="11"/>
        <v>0</v>
      </c>
      <c r="AA503" s="3055">
        <f t="shared" si="12"/>
        <v>0</v>
      </c>
      <c r="AB503" s="3055">
        <f t="shared" si="13"/>
        <v>0</v>
      </c>
      <c r="AC503" s="3055">
        <f t="shared" si="14"/>
        <v>0</v>
      </c>
      <c r="AD503" s="3056"/>
      <c r="AE503" s="3057">
        <f t="shared" si="0"/>
      </c>
      <c r="AF503" s="3054"/>
      <c r="AG503" s="3054"/>
      <c r="AH503" s="3055"/>
      <c r="AI503" s="3055"/>
      <c r="AJ503" s="3055"/>
      <c r="AK503" s="3055"/>
      <c r="AL503" s="3055"/>
      <c r="AM503" s="3055"/>
      <c r="AN503" s="3055"/>
      <c r="AO503" s="3055"/>
      <c r="AP503" s="3055"/>
      <c r="AQ503" s="3055"/>
      <c r="AR503" s="3055"/>
      <c r="AS503" s="3055"/>
      <c r="AT503" s="3055"/>
      <c r="AU503" s="3056"/>
      <c r="AV503" s="3057">
        <f t="shared" si="15"/>
      </c>
      <c r="AW503" s="3054"/>
      <c r="AX503" s="3054"/>
      <c r="AY503" s="3055"/>
      <c r="AZ503" s="3055"/>
      <c r="BA503" s="3055"/>
      <c r="BB503" s="3055"/>
      <c r="BC503" s="3055"/>
      <c r="BD503" s="3055"/>
      <c r="BE503" s="3055"/>
      <c r="BF503" s="3055"/>
      <c r="BG503" s="3055"/>
      <c r="BH503" s="3055"/>
      <c r="BI503" s="3055"/>
      <c r="BJ503" s="3055"/>
      <c r="BK503" s="3055"/>
      <c r="BL503" s="3056"/>
      <c r="BM503" s="3057">
        <f t="shared" si="16"/>
      </c>
      <c r="BN503" s="3054"/>
      <c r="BO503" s="3054"/>
      <c r="BP503" s="3055"/>
      <c r="BQ503" s="3055"/>
      <c r="BR503" s="3055"/>
      <c r="BS503" s="3055"/>
      <c r="BT503" s="3055"/>
      <c r="BU503" s="3055"/>
      <c r="BV503" s="3055"/>
      <c r="BW503" s="3055"/>
      <c r="BX503" s="3055"/>
      <c r="BY503" s="3055"/>
      <c r="BZ503" s="3055"/>
      <c r="CA503" s="3055"/>
      <c r="CB503" s="3055"/>
      <c r="CC503" s="3056"/>
      <c r="CD503" s="3057">
        <f t="shared" si="0"/>
      </c>
      <c r="CE503" s="3054"/>
      <c r="CF503" s="3054"/>
      <c r="CG503" s="3055"/>
      <c r="CH503" s="3055"/>
      <c r="CI503" s="3055"/>
      <c r="CJ503" s="3055"/>
      <c r="CK503" s="3055"/>
      <c r="CL503" s="3055"/>
      <c r="CM503" s="3055"/>
      <c r="CN503" s="3055"/>
      <c r="CO503" s="3055"/>
      <c r="CP503" s="3055"/>
      <c r="CQ503" s="3055"/>
      <c r="CR503" s="3055"/>
      <c r="CS503" s="3055"/>
      <c r="CU503" s="3054"/>
      <c r="CV503" s="696"/>
      <c r="CW503" s="696"/>
      <c r="CZ503" s="3060">
        <f t="shared" si="17"/>
      </c>
      <c r="DA503" s="3060">
        <f t="shared" si="1"/>
      </c>
      <c r="DB503" s="3060">
        <f t="shared" si="18"/>
      </c>
      <c r="DC503" s="3060">
        <f t="shared" si="19"/>
      </c>
      <c r="DD503" s="3060">
        <f t="shared" si="20"/>
      </c>
      <c r="DE503" s="3060">
        <f t="shared" si="21"/>
      </c>
      <c r="DF503" s="3060">
        <f t="shared" si="22"/>
      </c>
      <c r="DG503" s="3060">
        <f t="shared" si="23"/>
      </c>
      <c r="DH503" s="3060">
        <f t="shared" si="24"/>
      </c>
      <c r="DI503" s="3060">
        <f t="shared" si="1"/>
      </c>
    </row>
    <row r="504" ht="15" customHeight="1" s="3052" customFormat="1">
      <c r="B504" s="3054">
        <f t="shared" si="2"/>
      </c>
      <c r="C504" s="3054"/>
      <c r="D504" s="3054"/>
      <c r="E504" s="3055"/>
      <c r="F504" s="3055"/>
      <c r="G504" s="3055"/>
      <c r="H504" s="3055"/>
      <c r="I504" s="3055"/>
      <c r="J504" s="3055"/>
      <c r="K504" s="3055"/>
      <c r="L504" s="3055"/>
      <c r="M504" s="3055"/>
      <c r="N504" s="3055"/>
      <c r="O504" s="3055"/>
      <c r="P504" s="3055"/>
      <c r="Q504" s="3055"/>
      <c r="R504" s="3055">
        <f t="shared" si="3"/>
        <v>0</v>
      </c>
      <c r="S504" s="3055">
        <f t="shared" si="4"/>
        <v>0</v>
      </c>
      <c r="T504" s="3055">
        <f t="shared" si="5"/>
        <v>0</v>
      </c>
      <c r="U504" s="3055">
        <f t="shared" si="6"/>
        <v>0</v>
      </c>
      <c r="V504" s="3055">
        <f t="shared" si="7"/>
        <v>0</v>
      </c>
      <c r="W504" s="3055">
        <f t="shared" si="8"/>
        <v>0</v>
      </c>
      <c r="X504" s="3055">
        <f t="shared" si="9"/>
        <v>0</v>
      </c>
      <c r="Y504" s="3055">
        <f t="shared" si="10"/>
        <v>0</v>
      </c>
      <c r="Z504" s="3055">
        <f t="shared" si="11"/>
        <v>0</v>
      </c>
      <c r="AA504" s="3055">
        <f t="shared" si="12"/>
        <v>0</v>
      </c>
      <c r="AB504" s="3055">
        <f t="shared" si="13"/>
        <v>0</v>
      </c>
      <c r="AC504" s="3055">
        <f t="shared" si="14"/>
        <v>0</v>
      </c>
      <c r="AD504" s="3056"/>
      <c r="AE504" s="3057">
        <f t="shared" si="0"/>
      </c>
      <c r="AF504" s="3054"/>
      <c r="AG504" s="3054"/>
      <c r="AH504" s="3055"/>
      <c r="AI504" s="3055"/>
      <c r="AJ504" s="3055"/>
      <c r="AK504" s="3055"/>
      <c r="AL504" s="3055"/>
      <c r="AM504" s="3055"/>
      <c r="AN504" s="3055"/>
      <c r="AO504" s="3055"/>
      <c r="AP504" s="3055"/>
      <c r="AQ504" s="3055"/>
      <c r="AR504" s="3055"/>
      <c r="AS504" s="3055"/>
      <c r="AT504" s="3055"/>
      <c r="AU504" s="3056"/>
      <c r="AV504" s="3057">
        <f t="shared" si="15"/>
      </c>
      <c r="AW504" s="3054"/>
      <c r="AX504" s="3054"/>
      <c r="AY504" s="3055"/>
      <c r="AZ504" s="3055"/>
      <c r="BA504" s="3055"/>
      <c r="BB504" s="3055"/>
      <c r="BC504" s="3055"/>
      <c r="BD504" s="3055"/>
      <c r="BE504" s="3055"/>
      <c r="BF504" s="3055"/>
      <c r="BG504" s="3055"/>
      <c r="BH504" s="3055"/>
      <c r="BI504" s="3055"/>
      <c r="BJ504" s="3055"/>
      <c r="BK504" s="3055"/>
      <c r="BL504" s="3056"/>
      <c r="BM504" s="3057">
        <f t="shared" si="16"/>
      </c>
      <c r="BN504" s="3054"/>
      <c r="BO504" s="3054"/>
      <c r="BP504" s="3055"/>
      <c r="BQ504" s="3055"/>
      <c r="BR504" s="3055"/>
      <c r="BS504" s="3055"/>
      <c r="BT504" s="3055"/>
      <c r="BU504" s="3055"/>
      <c r="BV504" s="3055"/>
      <c r="BW504" s="3055"/>
      <c r="BX504" s="3055"/>
      <c r="BY504" s="3055"/>
      <c r="BZ504" s="3055"/>
      <c r="CA504" s="3055"/>
      <c r="CB504" s="3055"/>
      <c r="CC504" s="3056"/>
      <c r="CD504" s="3057">
        <f t="shared" si="0"/>
      </c>
      <c r="CE504" s="3054"/>
      <c r="CF504" s="3054"/>
      <c r="CG504" s="3055"/>
      <c r="CH504" s="3055"/>
      <c r="CI504" s="3055"/>
      <c r="CJ504" s="3055"/>
      <c r="CK504" s="3055"/>
      <c r="CL504" s="3055"/>
      <c r="CM504" s="3055"/>
      <c r="CN504" s="3055"/>
      <c r="CO504" s="3055"/>
      <c r="CP504" s="3055"/>
      <c r="CQ504" s="3055"/>
      <c r="CR504" s="3055"/>
      <c r="CS504" s="3055"/>
      <c r="CU504" s="3054"/>
      <c r="CV504" s="696"/>
      <c r="CW504" s="696"/>
      <c r="CZ504" s="3060">
        <f t="shared" si="17"/>
      </c>
      <c r="DA504" s="3060">
        <f t="shared" si="1"/>
      </c>
      <c r="DB504" s="3060">
        <f t="shared" si="18"/>
      </c>
      <c r="DC504" s="3060">
        <f t="shared" si="19"/>
      </c>
      <c r="DD504" s="3060">
        <f t="shared" si="20"/>
      </c>
      <c r="DE504" s="3060">
        <f t="shared" si="21"/>
      </c>
      <c r="DF504" s="3060">
        <f t="shared" si="22"/>
      </c>
      <c r="DG504" s="3060">
        <f t="shared" si="23"/>
      </c>
      <c r="DH504" s="3060">
        <f t="shared" si="24"/>
      </c>
      <c r="DI504" s="3060">
        <f t="shared" si="1"/>
      </c>
    </row>
    <row r="505" ht="15" customHeight="1" s="3052" customFormat="1">
      <c r="B505" s="3054">
        <f t="shared" si="2"/>
      </c>
      <c r="C505" s="3054"/>
      <c r="D505" s="3054"/>
      <c r="E505" s="3055"/>
      <c r="F505" s="3055"/>
      <c r="G505" s="3055"/>
      <c r="H505" s="3055"/>
      <c r="I505" s="3055"/>
      <c r="J505" s="3055"/>
      <c r="K505" s="3055"/>
      <c r="L505" s="3055"/>
      <c r="M505" s="3055"/>
      <c r="N505" s="3055"/>
      <c r="O505" s="3055"/>
      <c r="P505" s="3055"/>
      <c r="Q505" s="3055"/>
      <c r="R505" s="3055">
        <f t="shared" si="3"/>
        <v>0</v>
      </c>
      <c r="S505" s="3055">
        <f t="shared" si="4"/>
        <v>0</v>
      </c>
      <c r="T505" s="3055">
        <f t="shared" si="5"/>
        <v>0</v>
      </c>
      <c r="U505" s="3055">
        <f t="shared" si="6"/>
        <v>0</v>
      </c>
      <c r="V505" s="3055">
        <f t="shared" si="7"/>
        <v>0</v>
      </c>
      <c r="W505" s="3055">
        <f t="shared" si="8"/>
        <v>0</v>
      </c>
      <c r="X505" s="3055">
        <f t="shared" si="9"/>
        <v>0</v>
      </c>
      <c r="Y505" s="3055">
        <f t="shared" si="10"/>
        <v>0</v>
      </c>
      <c r="Z505" s="3055">
        <f t="shared" si="11"/>
        <v>0</v>
      </c>
      <c r="AA505" s="3055">
        <f t="shared" si="12"/>
        <v>0</v>
      </c>
      <c r="AB505" s="3055">
        <f t="shared" si="13"/>
        <v>0</v>
      </c>
      <c r="AC505" s="3055">
        <f t="shared" si="14"/>
        <v>0</v>
      </c>
      <c r="AD505" s="3056"/>
      <c r="AE505" s="3057">
        <f t="shared" si="0"/>
      </c>
      <c r="AF505" s="3054"/>
      <c r="AG505" s="3054"/>
      <c r="AH505" s="3055"/>
      <c r="AI505" s="3055"/>
      <c r="AJ505" s="3055"/>
      <c r="AK505" s="3055"/>
      <c r="AL505" s="3055"/>
      <c r="AM505" s="3055"/>
      <c r="AN505" s="3055"/>
      <c r="AO505" s="3055"/>
      <c r="AP505" s="3055"/>
      <c r="AQ505" s="3055"/>
      <c r="AR505" s="3055"/>
      <c r="AS505" s="3055"/>
      <c r="AT505" s="3055"/>
      <c r="AU505" s="3056"/>
      <c r="AV505" s="3057">
        <f t="shared" si="15"/>
      </c>
      <c r="AW505" s="3054"/>
      <c r="AX505" s="3054"/>
      <c r="AY505" s="3055"/>
      <c r="AZ505" s="3055"/>
      <c r="BA505" s="3055"/>
      <c r="BB505" s="3055"/>
      <c r="BC505" s="3055"/>
      <c r="BD505" s="3055"/>
      <c r="BE505" s="3055"/>
      <c r="BF505" s="3055"/>
      <c r="BG505" s="3055"/>
      <c r="BH505" s="3055"/>
      <c r="BI505" s="3055"/>
      <c r="BJ505" s="3055"/>
      <c r="BK505" s="3055"/>
      <c r="BL505" s="3056"/>
      <c r="BM505" s="3057">
        <f t="shared" si="16"/>
      </c>
      <c r="BN505" s="3054"/>
      <c r="BO505" s="3054"/>
      <c r="BP505" s="3055"/>
      <c r="BQ505" s="3055"/>
      <c r="BR505" s="3055"/>
      <c r="BS505" s="3055"/>
      <c r="BT505" s="3055"/>
      <c r="BU505" s="3055"/>
      <c r="BV505" s="3055"/>
      <c r="BW505" s="3055"/>
      <c r="BX505" s="3055"/>
      <c r="BY505" s="3055"/>
      <c r="BZ505" s="3055"/>
      <c r="CA505" s="3055"/>
      <c r="CB505" s="3055"/>
      <c r="CC505" s="3056"/>
      <c r="CD505" s="3057">
        <f t="shared" si="0"/>
      </c>
      <c r="CE505" s="3054"/>
      <c r="CF505" s="3054"/>
      <c r="CG505" s="3055"/>
      <c r="CH505" s="3055"/>
      <c r="CI505" s="3055"/>
      <c r="CJ505" s="3055"/>
      <c r="CK505" s="3055"/>
      <c r="CL505" s="3055"/>
      <c r="CM505" s="3055"/>
      <c r="CN505" s="3055"/>
      <c r="CO505" s="3055"/>
      <c r="CP505" s="3055"/>
      <c r="CQ505" s="3055"/>
      <c r="CR505" s="3055"/>
      <c r="CS505" s="3055"/>
      <c r="CU505" s="3054"/>
      <c r="CV505" s="696"/>
      <c r="CW505" s="696"/>
      <c r="CZ505" s="3060">
        <f t="shared" si="17"/>
      </c>
      <c r="DA505" s="3060">
        <f t="shared" si="1"/>
      </c>
      <c r="DB505" s="3060">
        <f t="shared" si="18"/>
      </c>
      <c r="DC505" s="3060">
        <f t="shared" si="19"/>
      </c>
      <c r="DD505" s="3060">
        <f t="shared" si="20"/>
      </c>
      <c r="DE505" s="3060">
        <f t="shared" si="21"/>
      </c>
      <c r="DF505" s="3060">
        <f t="shared" si="22"/>
      </c>
      <c r="DG505" s="3060">
        <f t="shared" si="23"/>
      </c>
      <c r="DH505" s="3060">
        <f t="shared" si="24"/>
      </c>
      <c r="DI505" s="3060">
        <f t="shared" si="1"/>
      </c>
    </row>
    <row r="506" ht="15" customHeight="1" s="3052" customFormat="1">
      <c r="B506" s="3054">
        <f t="shared" si="2"/>
      </c>
      <c r="C506" s="3054"/>
      <c r="D506" s="3054"/>
      <c r="E506" s="3055"/>
      <c r="F506" s="3055"/>
      <c r="G506" s="3055"/>
      <c r="H506" s="3055"/>
      <c r="I506" s="3055"/>
      <c r="J506" s="3055"/>
      <c r="K506" s="3055"/>
      <c r="L506" s="3055"/>
      <c r="M506" s="3055"/>
      <c r="N506" s="3055"/>
      <c r="O506" s="3055"/>
      <c r="P506" s="3055"/>
      <c r="Q506" s="3055"/>
      <c r="R506" s="3055">
        <f t="shared" si="3"/>
        <v>0</v>
      </c>
      <c r="S506" s="3055">
        <f t="shared" si="4"/>
        <v>0</v>
      </c>
      <c r="T506" s="3055">
        <f t="shared" si="5"/>
        <v>0</v>
      </c>
      <c r="U506" s="3055">
        <f t="shared" si="6"/>
        <v>0</v>
      </c>
      <c r="V506" s="3055">
        <f t="shared" si="7"/>
        <v>0</v>
      </c>
      <c r="W506" s="3055">
        <f t="shared" si="8"/>
        <v>0</v>
      </c>
      <c r="X506" s="3055">
        <f t="shared" si="9"/>
        <v>0</v>
      </c>
      <c r="Y506" s="3055">
        <f t="shared" si="10"/>
        <v>0</v>
      </c>
      <c r="Z506" s="3055">
        <f t="shared" si="11"/>
        <v>0</v>
      </c>
      <c r="AA506" s="3055">
        <f t="shared" si="12"/>
        <v>0</v>
      </c>
      <c r="AB506" s="3055">
        <f t="shared" si="13"/>
        <v>0</v>
      </c>
      <c r="AC506" s="3055">
        <f t="shared" si="14"/>
        <v>0</v>
      </c>
      <c r="AD506" s="3056"/>
      <c r="AE506" s="3057">
        <f t="shared" si="0"/>
      </c>
      <c r="AF506" s="3054"/>
      <c r="AG506" s="3054"/>
      <c r="AH506" s="3055"/>
      <c r="AI506" s="3055"/>
      <c r="AJ506" s="3055"/>
      <c r="AK506" s="3055"/>
      <c r="AL506" s="3055"/>
      <c r="AM506" s="3055"/>
      <c r="AN506" s="3055"/>
      <c r="AO506" s="3055"/>
      <c r="AP506" s="3055"/>
      <c r="AQ506" s="3055"/>
      <c r="AR506" s="3055"/>
      <c r="AS506" s="3055"/>
      <c r="AT506" s="3055"/>
      <c r="AU506" s="3056"/>
      <c r="AV506" s="3057">
        <f t="shared" si="15"/>
      </c>
      <c r="AW506" s="3054"/>
      <c r="AX506" s="3054"/>
      <c r="AY506" s="3055"/>
      <c r="AZ506" s="3055"/>
      <c r="BA506" s="3055"/>
      <c r="BB506" s="3055"/>
      <c r="BC506" s="3055"/>
      <c r="BD506" s="3055"/>
      <c r="BE506" s="3055"/>
      <c r="BF506" s="3055"/>
      <c r="BG506" s="3055"/>
      <c r="BH506" s="3055"/>
      <c r="BI506" s="3055"/>
      <c r="BJ506" s="3055"/>
      <c r="BK506" s="3055"/>
      <c r="BL506" s="3056"/>
      <c r="BM506" s="3057">
        <f t="shared" si="16"/>
      </c>
      <c r="BN506" s="3054"/>
      <c r="BO506" s="3054"/>
      <c r="BP506" s="3055"/>
      <c r="BQ506" s="3055"/>
      <c r="BR506" s="3055"/>
      <c r="BS506" s="3055"/>
      <c r="BT506" s="3055"/>
      <c r="BU506" s="3055"/>
      <c r="BV506" s="3055"/>
      <c r="BW506" s="3055"/>
      <c r="BX506" s="3055"/>
      <c r="BY506" s="3055"/>
      <c r="BZ506" s="3055"/>
      <c r="CA506" s="3055"/>
      <c r="CB506" s="3055"/>
      <c r="CC506" s="3056"/>
      <c r="CD506" s="3057">
        <f t="shared" si="0"/>
      </c>
      <c r="CE506" s="3054"/>
      <c r="CF506" s="3054"/>
      <c r="CG506" s="3055"/>
      <c r="CH506" s="3055"/>
      <c r="CI506" s="3055"/>
      <c r="CJ506" s="3055"/>
      <c r="CK506" s="3055"/>
      <c r="CL506" s="3055"/>
      <c r="CM506" s="3055"/>
      <c r="CN506" s="3055"/>
      <c r="CO506" s="3055"/>
      <c r="CP506" s="3055"/>
      <c r="CQ506" s="3055"/>
      <c r="CR506" s="3055"/>
      <c r="CS506" s="3055"/>
      <c r="CU506" s="3054"/>
      <c r="CV506" s="696"/>
      <c r="CW506" s="696"/>
      <c r="CZ506" s="3060">
        <f t="shared" si="17"/>
      </c>
      <c r="DA506" s="3060">
        <f t="shared" si="1"/>
      </c>
      <c r="DB506" s="3060">
        <f t="shared" si="18"/>
      </c>
      <c r="DC506" s="3060">
        <f t="shared" si="19"/>
      </c>
      <c r="DD506" s="3060">
        <f t="shared" si="20"/>
      </c>
      <c r="DE506" s="3060">
        <f t="shared" si="21"/>
      </c>
      <c r="DF506" s="3060">
        <f t="shared" si="22"/>
      </c>
      <c r="DG506" s="3060">
        <f t="shared" si="23"/>
      </c>
      <c r="DH506" s="3060">
        <f t="shared" si="24"/>
      </c>
      <c r="DI506" s="3060">
        <f t="shared" si="1"/>
      </c>
    </row>
    <row r="507" ht="15" customHeight="1" s="3052" customFormat="1">
      <c r="B507" s="3054">
        <f t="shared" si="2"/>
      </c>
      <c r="C507" s="3054"/>
      <c r="D507" s="3054"/>
      <c r="E507" s="3055"/>
      <c r="F507" s="3055"/>
      <c r="G507" s="3055"/>
      <c r="H507" s="3055"/>
      <c r="I507" s="3055"/>
      <c r="J507" s="3055"/>
      <c r="K507" s="3055"/>
      <c r="L507" s="3055"/>
      <c r="M507" s="3055"/>
      <c r="N507" s="3055"/>
      <c r="O507" s="3055"/>
      <c r="P507" s="3055"/>
      <c r="Q507" s="3055"/>
      <c r="R507" s="3055">
        <f t="shared" si="3"/>
        <v>0</v>
      </c>
      <c r="S507" s="3055">
        <f t="shared" si="4"/>
        <v>0</v>
      </c>
      <c r="T507" s="3055">
        <f t="shared" si="5"/>
        <v>0</v>
      </c>
      <c r="U507" s="3055">
        <f t="shared" si="6"/>
        <v>0</v>
      </c>
      <c r="V507" s="3055">
        <f t="shared" si="7"/>
        <v>0</v>
      </c>
      <c r="W507" s="3055">
        <f t="shared" si="8"/>
        <v>0</v>
      </c>
      <c r="X507" s="3055">
        <f t="shared" si="9"/>
        <v>0</v>
      </c>
      <c r="Y507" s="3055">
        <f t="shared" si="10"/>
        <v>0</v>
      </c>
      <c r="Z507" s="3055">
        <f t="shared" si="11"/>
        <v>0</v>
      </c>
      <c r="AA507" s="3055">
        <f t="shared" si="12"/>
        <v>0</v>
      </c>
      <c r="AB507" s="3055">
        <f t="shared" si="13"/>
        <v>0</v>
      </c>
      <c r="AC507" s="3055">
        <f t="shared" si="14"/>
        <v>0</v>
      </c>
      <c r="AD507" s="3056"/>
      <c r="AE507" s="3057">
        <f t="shared" si="0"/>
      </c>
      <c r="AF507" s="3054"/>
      <c r="AG507" s="3054"/>
      <c r="AH507" s="3055"/>
      <c r="AI507" s="3055"/>
      <c r="AJ507" s="3055"/>
      <c r="AK507" s="3055"/>
      <c r="AL507" s="3055"/>
      <c r="AM507" s="3055"/>
      <c r="AN507" s="3055"/>
      <c r="AO507" s="3055"/>
      <c r="AP507" s="3055"/>
      <c r="AQ507" s="3055"/>
      <c r="AR507" s="3055"/>
      <c r="AS507" s="3055"/>
      <c r="AT507" s="3055"/>
      <c r="AU507" s="3056"/>
      <c r="AV507" s="3057">
        <f t="shared" si="15"/>
      </c>
      <c r="AW507" s="3054"/>
      <c r="AX507" s="3054"/>
      <c r="AY507" s="3055"/>
      <c r="AZ507" s="3055"/>
      <c r="BA507" s="3055"/>
      <c r="BB507" s="3055"/>
      <c r="BC507" s="3055"/>
      <c r="BD507" s="3055"/>
      <c r="BE507" s="3055"/>
      <c r="BF507" s="3055"/>
      <c r="BG507" s="3055"/>
      <c r="BH507" s="3055"/>
      <c r="BI507" s="3055"/>
      <c r="BJ507" s="3055"/>
      <c r="BK507" s="3055"/>
      <c r="BL507" s="3056"/>
      <c r="BM507" s="3057">
        <f t="shared" si="16"/>
      </c>
      <c r="BN507" s="3054"/>
      <c r="BO507" s="3054"/>
      <c r="BP507" s="3055"/>
      <c r="BQ507" s="3055"/>
      <c r="BR507" s="3055"/>
      <c r="BS507" s="3055"/>
      <c r="BT507" s="3055"/>
      <c r="BU507" s="3055"/>
      <c r="BV507" s="3055"/>
      <c r="BW507" s="3055"/>
      <c r="BX507" s="3055"/>
      <c r="BY507" s="3055"/>
      <c r="BZ507" s="3055"/>
      <c r="CA507" s="3055"/>
      <c r="CB507" s="3055"/>
      <c r="CC507" s="3056"/>
      <c r="CD507" s="3057">
        <f t="shared" si="0"/>
      </c>
      <c r="CE507" s="3054"/>
      <c r="CF507" s="3054"/>
      <c r="CG507" s="3055"/>
      <c r="CH507" s="3055"/>
      <c r="CI507" s="3055"/>
      <c r="CJ507" s="3055"/>
      <c r="CK507" s="3055"/>
      <c r="CL507" s="3055"/>
      <c r="CM507" s="3055"/>
      <c r="CN507" s="3055"/>
      <c r="CO507" s="3055"/>
      <c r="CP507" s="3055"/>
      <c r="CQ507" s="3055"/>
      <c r="CR507" s="3055"/>
      <c r="CS507" s="3055"/>
      <c r="CU507" s="3054"/>
      <c r="CV507" s="696"/>
      <c r="CW507" s="696"/>
      <c r="CZ507" s="3060">
        <f t="shared" si="17"/>
      </c>
      <c r="DA507" s="3060">
        <f t="shared" si="1"/>
      </c>
      <c r="DB507" s="3060">
        <f t="shared" si="18"/>
      </c>
      <c r="DC507" s="3060">
        <f t="shared" si="19"/>
      </c>
      <c r="DD507" s="3060">
        <f t="shared" si="20"/>
      </c>
      <c r="DE507" s="3060">
        <f t="shared" si="21"/>
      </c>
      <c r="DF507" s="3060">
        <f t="shared" si="22"/>
      </c>
      <c r="DG507" s="3060">
        <f t="shared" si="23"/>
      </c>
      <c r="DH507" s="3060">
        <f t="shared" si="24"/>
      </c>
      <c r="DI507" s="3060">
        <f t="shared" si="1"/>
      </c>
    </row>
    <row r="508" ht="15" customHeight="1" s="3052" customFormat="1">
      <c r="B508" s="3054">
        <f t="shared" si="2"/>
      </c>
      <c r="C508" s="3054"/>
      <c r="D508" s="3054"/>
      <c r="E508" s="3055"/>
      <c r="F508" s="3055"/>
      <c r="G508" s="3055"/>
      <c r="H508" s="3055"/>
      <c r="I508" s="3055"/>
      <c r="J508" s="3055"/>
      <c r="K508" s="3055"/>
      <c r="L508" s="3055"/>
      <c r="M508" s="3055"/>
      <c r="N508" s="3055"/>
      <c r="O508" s="3055"/>
      <c r="P508" s="3055"/>
      <c r="Q508" s="3055"/>
      <c r="R508" s="3055">
        <f t="shared" si="3"/>
        <v>0</v>
      </c>
      <c r="S508" s="3055">
        <f t="shared" si="4"/>
        <v>0</v>
      </c>
      <c r="T508" s="3055">
        <f t="shared" si="5"/>
        <v>0</v>
      </c>
      <c r="U508" s="3055">
        <f t="shared" si="6"/>
        <v>0</v>
      </c>
      <c r="V508" s="3055">
        <f t="shared" si="7"/>
        <v>0</v>
      </c>
      <c r="W508" s="3055">
        <f t="shared" si="8"/>
        <v>0</v>
      </c>
      <c r="X508" s="3055">
        <f t="shared" si="9"/>
        <v>0</v>
      </c>
      <c r="Y508" s="3055">
        <f t="shared" si="10"/>
        <v>0</v>
      </c>
      <c r="Z508" s="3055">
        <f t="shared" si="11"/>
        <v>0</v>
      </c>
      <c r="AA508" s="3055">
        <f t="shared" si="12"/>
        <v>0</v>
      </c>
      <c r="AB508" s="3055">
        <f t="shared" si="13"/>
        <v>0</v>
      </c>
      <c r="AC508" s="3055">
        <f t="shared" si="14"/>
        <v>0</v>
      </c>
      <c r="AD508" s="3056"/>
      <c r="AE508" s="3057">
        <f t="shared" si="0"/>
      </c>
      <c r="AF508" s="3054"/>
      <c r="AG508" s="3054"/>
      <c r="AH508" s="3055"/>
      <c r="AI508" s="3055"/>
      <c r="AJ508" s="3055"/>
      <c r="AK508" s="3055"/>
      <c r="AL508" s="3055"/>
      <c r="AM508" s="3055"/>
      <c r="AN508" s="3055"/>
      <c r="AO508" s="3055"/>
      <c r="AP508" s="3055"/>
      <c r="AQ508" s="3055"/>
      <c r="AR508" s="3055"/>
      <c r="AS508" s="3055"/>
      <c r="AT508" s="3055"/>
      <c r="AU508" s="3056"/>
      <c r="AV508" s="3057">
        <f t="shared" si="15"/>
      </c>
      <c r="AW508" s="3054"/>
      <c r="AX508" s="3054"/>
      <c r="AY508" s="3055"/>
      <c r="AZ508" s="3055"/>
      <c r="BA508" s="3055"/>
      <c r="BB508" s="3055"/>
      <c r="BC508" s="3055"/>
      <c r="BD508" s="3055"/>
      <c r="BE508" s="3055"/>
      <c r="BF508" s="3055"/>
      <c r="BG508" s="3055"/>
      <c r="BH508" s="3055"/>
      <c r="BI508" s="3055"/>
      <c r="BJ508" s="3055"/>
      <c r="BK508" s="3055"/>
      <c r="BL508" s="3056"/>
      <c r="BM508" s="3057">
        <f t="shared" si="16"/>
      </c>
      <c r="BN508" s="3054"/>
      <c r="BO508" s="3054"/>
      <c r="BP508" s="3055"/>
      <c r="BQ508" s="3055"/>
      <c r="BR508" s="3055"/>
      <c r="BS508" s="3055"/>
      <c r="BT508" s="3055"/>
      <c r="BU508" s="3055"/>
      <c r="BV508" s="3055"/>
      <c r="BW508" s="3055"/>
      <c r="BX508" s="3055"/>
      <c r="BY508" s="3055"/>
      <c r="BZ508" s="3055"/>
      <c r="CA508" s="3055"/>
      <c r="CB508" s="3055"/>
      <c r="CC508" s="3056"/>
      <c r="CD508" s="3057">
        <f t="shared" si="0"/>
      </c>
      <c r="CE508" s="3054"/>
      <c r="CF508" s="3054"/>
      <c r="CG508" s="3055"/>
      <c r="CH508" s="3055"/>
      <c r="CI508" s="3055"/>
      <c r="CJ508" s="3055"/>
      <c r="CK508" s="3055"/>
      <c r="CL508" s="3055"/>
      <c r="CM508" s="3055"/>
      <c r="CN508" s="3055"/>
      <c r="CO508" s="3055"/>
      <c r="CP508" s="3055"/>
      <c r="CQ508" s="3055"/>
      <c r="CR508" s="3055"/>
      <c r="CS508" s="3055"/>
      <c r="CU508" s="3054"/>
      <c r="CV508" s="696"/>
      <c r="CW508" s="696"/>
      <c r="CZ508" s="3060">
        <f t="shared" si="17"/>
      </c>
      <c r="DA508" s="3060">
        <f t="shared" si="1"/>
      </c>
      <c r="DB508" s="3060">
        <f t="shared" si="18"/>
      </c>
      <c r="DC508" s="3060">
        <f t="shared" si="19"/>
      </c>
      <c r="DD508" s="3060">
        <f t="shared" si="20"/>
      </c>
      <c r="DE508" s="3060">
        <f t="shared" si="21"/>
      </c>
      <c r="DF508" s="3060">
        <f t="shared" si="22"/>
      </c>
      <c r="DG508" s="3060">
        <f t="shared" si="23"/>
      </c>
      <c r="DH508" s="3060">
        <f t="shared" si="24"/>
      </c>
      <c r="DI508" s="3060">
        <f t="shared" si="1"/>
      </c>
    </row>
    <row r="509" ht="15" customHeight="1" s="3052" customFormat="1">
      <c r="B509" s="3054">
        <f t="shared" si="2"/>
      </c>
      <c r="C509" s="3054"/>
      <c r="D509" s="3054"/>
      <c r="E509" s="3055"/>
      <c r="F509" s="3055"/>
      <c r="G509" s="3055"/>
      <c r="H509" s="3055"/>
      <c r="I509" s="3055"/>
      <c r="J509" s="3055"/>
      <c r="K509" s="3055"/>
      <c r="L509" s="3055"/>
      <c r="M509" s="3055"/>
      <c r="N509" s="3055"/>
      <c r="O509" s="3055"/>
      <c r="P509" s="3055"/>
      <c r="Q509" s="3055"/>
      <c r="R509" s="3055">
        <f t="shared" si="3"/>
        <v>0</v>
      </c>
      <c r="S509" s="3055">
        <f t="shared" si="4"/>
        <v>0</v>
      </c>
      <c r="T509" s="3055">
        <f t="shared" si="5"/>
        <v>0</v>
      </c>
      <c r="U509" s="3055">
        <f t="shared" si="6"/>
        <v>0</v>
      </c>
      <c r="V509" s="3055">
        <f t="shared" si="7"/>
        <v>0</v>
      </c>
      <c r="W509" s="3055">
        <f t="shared" si="8"/>
        <v>0</v>
      </c>
      <c r="X509" s="3055">
        <f t="shared" si="9"/>
        <v>0</v>
      </c>
      <c r="Y509" s="3055">
        <f t="shared" si="10"/>
        <v>0</v>
      </c>
      <c r="Z509" s="3055">
        <f t="shared" si="11"/>
        <v>0</v>
      </c>
      <c r="AA509" s="3055">
        <f t="shared" si="12"/>
        <v>0</v>
      </c>
      <c r="AB509" s="3055">
        <f t="shared" si="13"/>
        <v>0</v>
      </c>
      <c r="AC509" s="3055">
        <f t="shared" si="14"/>
        <v>0</v>
      </c>
      <c r="AD509" s="3056"/>
      <c r="AE509" s="3057">
        <f t="shared" si="0"/>
      </c>
      <c r="AF509" s="3054"/>
      <c r="AG509" s="3054"/>
      <c r="AH509" s="3055"/>
      <c r="AI509" s="3055"/>
      <c r="AJ509" s="3055"/>
      <c r="AK509" s="3055"/>
      <c r="AL509" s="3055"/>
      <c r="AM509" s="3055"/>
      <c r="AN509" s="3055"/>
      <c r="AO509" s="3055"/>
      <c r="AP509" s="3055"/>
      <c r="AQ509" s="3055"/>
      <c r="AR509" s="3055"/>
      <c r="AS509" s="3055"/>
      <c r="AT509" s="3055"/>
      <c r="AU509" s="3056"/>
      <c r="AV509" s="3057">
        <f t="shared" si="15"/>
      </c>
      <c r="AW509" s="3054"/>
      <c r="AX509" s="3054"/>
      <c r="AY509" s="3055"/>
      <c r="AZ509" s="3055"/>
      <c r="BA509" s="3055"/>
      <c r="BB509" s="3055"/>
      <c r="BC509" s="3055"/>
      <c r="BD509" s="3055"/>
      <c r="BE509" s="3055"/>
      <c r="BF509" s="3055"/>
      <c r="BG509" s="3055"/>
      <c r="BH509" s="3055"/>
      <c r="BI509" s="3055"/>
      <c r="BJ509" s="3055"/>
      <c r="BK509" s="3055"/>
      <c r="BL509" s="3056"/>
      <c r="BM509" s="3057">
        <f t="shared" si="16"/>
      </c>
      <c r="BN509" s="3054"/>
      <c r="BO509" s="3054"/>
      <c r="BP509" s="3055"/>
      <c r="BQ509" s="3055"/>
      <c r="BR509" s="3055"/>
      <c r="BS509" s="3055"/>
      <c r="BT509" s="3055"/>
      <c r="BU509" s="3055"/>
      <c r="BV509" s="3055"/>
      <c r="BW509" s="3055"/>
      <c r="BX509" s="3055"/>
      <c r="BY509" s="3055"/>
      <c r="BZ509" s="3055"/>
      <c r="CA509" s="3055"/>
      <c r="CB509" s="3055"/>
      <c r="CC509" s="3056"/>
      <c r="CD509" s="3057">
        <f t="shared" si="0"/>
      </c>
      <c r="CE509" s="3054"/>
      <c r="CF509" s="3054"/>
      <c r="CG509" s="3055"/>
      <c r="CH509" s="3055"/>
      <c r="CI509" s="3055"/>
      <c r="CJ509" s="3055"/>
      <c r="CK509" s="3055"/>
      <c r="CL509" s="3055"/>
      <c r="CM509" s="3055"/>
      <c r="CN509" s="3055"/>
      <c r="CO509" s="3055"/>
      <c r="CP509" s="3055"/>
      <c r="CQ509" s="3055"/>
      <c r="CR509" s="3055"/>
      <c r="CS509" s="3055"/>
      <c r="CU509" s="3054"/>
      <c r="CV509" s="696"/>
      <c r="CW509" s="696"/>
      <c r="CZ509" s="3060">
        <f t="shared" si="17"/>
      </c>
      <c r="DA509" s="3060">
        <f t="shared" si="1"/>
      </c>
      <c r="DB509" s="3060">
        <f t="shared" si="18"/>
      </c>
      <c r="DC509" s="3060">
        <f t="shared" si="19"/>
      </c>
      <c r="DD509" s="3060">
        <f t="shared" si="20"/>
      </c>
      <c r="DE509" s="3060">
        <f t="shared" si="21"/>
      </c>
      <c r="DF509" s="3060">
        <f t="shared" si="22"/>
      </c>
      <c r="DG509" s="3060">
        <f t="shared" si="23"/>
      </c>
      <c r="DH509" s="3060">
        <f t="shared" si="24"/>
      </c>
      <c r="DI509" s="3060">
        <f t="shared" si="1"/>
      </c>
    </row>
    <row r="510" ht="15" customHeight="1" s="3052" customFormat="1">
      <c r="B510" s="3054">
        <f t="shared" si="2"/>
      </c>
      <c r="C510" s="3054"/>
      <c r="D510" s="3054"/>
      <c r="E510" s="3055"/>
      <c r="F510" s="3055"/>
      <c r="G510" s="3055"/>
      <c r="H510" s="3055"/>
      <c r="I510" s="3055"/>
      <c r="J510" s="3055"/>
      <c r="K510" s="3055"/>
      <c r="L510" s="3055"/>
      <c r="M510" s="3055"/>
      <c r="N510" s="3055"/>
      <c r="O510" s="3055"/>
      <c r="P510" s="3055"/>
      <c r="Q510" s="3055"/>
      <c r="R510" s="3055">
        <f t="shared" si="3"/>
        <v>0</v>
      </c>
      <c r="S510" s="3055">
        <f t="shared" si="4"/>
        <v>0</v>
      </c>
      <c r="T510" s="3055">
        <f t="shared" si="5"/>
        <v>0</v>
      </c>
      <c r="U510" s="3055">
        <f t="shared" si="6"/>
        <v>0</v>
      </c>
      <c r="V510" s="3055">
        <f t="shared" si="7"/>
        <v>0</v>
      </c>
      <c r="W510" s="3055">
        <f t="shared" si="8"/>
        <v>0</v>
      </c>
      <c r="X510" s="3055">
        <f t="shared" si="9"/>
        <v>0</v>
      </c>
      <c r="Y510" s="3055">
        <f t="shared" si="10"/>
        <v>0</v>
      </c>
      <c r="Z510" s="3055">
        <f t="shared" si="11"/>
        <v>0</v>
      </c>
      <c r="AA510" s="3055">
        <f t="shared" si="12"/>
        <v>0</v>
      </c>
      <c r="AB510" s="3055">
        <f t="shared" si="13"/>
        <v>0</v>
      </c>
      <c r="AC510" s="3055">
        <f t="shared" si="14"/>
        <v>0</v>
      </c>
      <c r="AD510" s="3056"/>
      <c r="AE510" s="3057">
        <f t="shared" si="0"/>
      </c>
      <c r="AF510" s="3054"/>
      <c r="AG510" s="3054"/>
      <c r="AH510" s="3055"/>
      <c r="AI510" s="3055"/>
      <c r="AJ510" s="3055"/>
      <c r="AK510" s="3055"/>
      <c r="AL510" s="3055"/>
      <c r="AM510" s="3055"/>
      <c r="AN510" s="3055"/>
      <c r="AO510" s="3055"/>
      <c r="AP510" s="3055"/>
      <c r="AQ510" s="3055"/>
      <c r="AR510" s="3055"/>
      <c r="AS510" s="3055"/>
      <c r="AT510" s="3055"/>
      <c r="AU510" s="3056"/>
      <c r="AV510" s="3057">
        <f t="shared" si="15"/>
      </c>
      <c r="AW510" s="3054"/>
      <c r="AX510" s="3054"/>
      <c r="AY510" s="3055"/>
      <c r="AZ510" s="3055"/>
      <c r="BA510" s="3055"/>
      <c r="BB510" s="3055"/>
      <c r="BC510" s="3055"/>
      <c r="BD510" s="3055"/>
      <c r="BE510" s="3055"/>
      <c r="BF510" s="3055"/>
      <c r="BG510" s="3055"/>
      <c r="BH510" s="3055"/>
      <c r="BI510" s="3055"/>
      <c r="BJ510" s="3055"/>
      <c r="BK510" s="3055"/>
      <c r="BL510" s="3056"/>
      <c r="BM510" s="3057">
        <f t="shared" si="16"/>
      </c>
      <c r="BN510" s="3054"/>
      <c r="BO510" s="3054"/>
      <c r="BP510" s="3055"/>
      <c r="BQ510" s="3055"/>
      <c r="BR510" s="3055"/>
      <c r="BS510" s="3055"/>
      <c r="BT510" s="3055"/>
      <c r="BU510" s="3055"/>
      <c r="BV510" s="3055"/>
      <c r="BW510" s="3055"/>
      <c r="BX510" s="3055"/>
      <c r="BY510" s="3055"/>
      <c r="BZ510" s="3055"/>
      <c r="CA510" s="3055"/>
      <c r="CB510" s="3055"/>
      <c r="CC510" s="3056"/>
      <c r="CD510" s="3057">
        <f t="shared" si="0"/>
      </c>
      <c r="CE510" s="3054"/>
      <c r="CF510" s="3054"/>
      <c r="CG510" s="3055"/>
      <c r="CH510" s="3055"/>
      <c r="CI510" s="3055"/>
      <c r="CJ510" s="3055"/>
      <c r="CK510" s="3055"/>
      <c r="CL510" s="3055"/>
      <c r="CM510" s="3055"/>
      <c r="CN510" s="3055"/>
      <c r="CO510" s="3055"/>
      <c r="CP510" s="3055"/>
      <c r="CQ510" s="3055"/>
      <c r="CR510" s="3055"/>
      <c r="CS510" s="3055"/>
      <c r="CU510" s="3054"/>
      <c r="CV510" s="696"/>
      <c r="CW510" s="696"/>
      <c r="CZ510" s="3060">
        <f t="shared" si="17"/>
      </c>
      <c r="DA510" s="3060">
        <f t="shared" si="1"/>
      </c>
      <c r="DB510" s="3060">
        <f t="shared" si="18"/>
      </c>
      <c r="DC510" s="3060">
        <f t="shared" si="19"/>
      </c>
      <c r="DD510" s="3060">
        <f t="shared" si="20"/>
      </c>
      <c r="DE510" s="3060">
        <f t="shared" si="21"/>
      </c>
      <c r="DF510" s="3060">
        <f t="shared" si="22"/>
      </c>
      <c r="DG510" s="3060">
        <f t="shared" si="23"/>
      </c>
      <c r="DH510" s="3060">
        <f t="shared" si="24"/>
      </c>
      <c r="DI510" s="3060">
        <f t="shared" si="1"/>
      </c>
    </row>
    <row r="511" ht="15" customHeight="1" s="3052" customFormat="1">
      <c r="B511" s="3054">
        <f t="shared" si="2"/>
      </c>
      <c r="C511" s="3054"/>
      <c r="D511" s="3054"/>
      <c r="E511" s="3055"/>
      <c r="F511" s="3055"/>
      <c r="G511" s="3055"/>
      <c r="H511" s="3055"/>
      <c r="I511" s="3055"/>
      <c r="J511" s="3055"/>
      <c r="K511" s="3055"/>
      <c r="L511" s="3055"/>
      <c r="M511" s="3055"/>
      <c r="N511" s="3055"/>
      <c r="O511" s="3055"/>
      <c r="P511" s="3055"/>
      <c r="Q511" s="3055"/>
      <c r="R511" s="3055">
        <f t="shared" si="3"/>
        <v>0</v>
      </c>
      <c r="S511" s="3055">
        <f t="shared" si="4"/>
        <v>0</v>
      </c>
      <c r="T511" s="3055">
        <f t="shared" si="5"/>
        <v>0</v>
      </c>
      <c r="U511" s="3055">
        <f t="shared" si="6"/>
        <v>0</v>
      </c>
      <c r="V511" s="3055">
        <f t="shared" si="7"/>
        <v>0</v>
      </c>
      <c r="W511" s="3055">
        <f t="shared" si="8"/>
        <v>0</v>
      </c>
      <c r="X511" s="3055">
        <f t="shared" si="9"/>
        <v>0</v>
      </c>
      <c r="Y511" s="3055">
        <f t="shared" si="10"/>
        <v>0</v>
      </c>
      <c r="Z511" s="3055">
        <f t="shared" si="11"/>
        <v>0</v>
      </c>
      <c r="AA511" s="3055">
        <f t="shared" si="12"/>
        <v>0</v>
      </c>
      <c r="AB511" s="3055">
        <f t="shared" si="13"/>
        <v>0</v>
      </c>
      <c r="AC511" s="3055">
        <f t="shared" si="14"/>
        <v>0</v>
      </c>
      <c r="AD511" s="3056"/>
      <c r="AE511" s="3057">
        <f t="shared" si="0"/>
      </c>
      <c r="AF511" s="3054"/>
      <c r="AG511" s="3054"/>
      <c r="AH511" s="3055"/>
      <c r="AI511" s="3055"/>
      <c r="AJ511" s="3055"/>
      <c r="AK511" s="3055"/>
      <c r="AL511" s="3055"/>
      <c r="AM511" s="3055"/>
      <c r="AN511" s="3055"/>
      <c r="AO511" s="3055"/>
      <c r="AP511" s="3055"/>
      <c r="AQ511" s="3055"/>
      <c r="AR511" s="3055"/>
      <c r="AS511" s="3055"/>
      <c r="AT511" s="3055"/>
      <c r="AU511" s="3056"/>
      <c r="AV511" s="3057">
        <f t="shared" si="15"/>
      </c>
      <c r="AW511" s="3054"/>
      <c r="AX511" s="3054"/>
      <c r="AY511" s="3055"/>
      <c r="AZ511" s="3055"/>
      <c r="BA511" s="3055"/>
      <c r="BB511" s="3055"/>
      <c r="BC511" s="3055"/>
      <c r="BD511" s="3055"/>
      <c r="BE511" s="3055"/>
      <c r="BF511" s="3055"/>
      <c r="BG511" s="3055"/>
      <c r="BH511" s="3055"/>
      <c r="BI511" s="3055"/>
      <c r="BJ511" s="3055"/>
      <c r="BK511" s="3055"/>
      <c r="BL511" s="3056"/>
      <c r="BM511" s="3057">
        <f t="shared" si="16"/>
      </c>
      <c r="BN511" s="3054"/>
      <c r="BO511" s="3054"/>
      <c r="BP511" s="3055"/>
      <c r="BQ511" s="3055"/>
      <c r="BR511" s="3055"/>
      <c r="BS511" s="3055"/>
      <c r="BT511" s="3055"/>
      <c r="BU511" s="3055"/>
      <c r="BV511" s="3055"/>
      <c r="BW511" s="3055"/>
      <c r="BX511" s="3055"/>
      <c r="BY511" s="3055"/>
      <c r="BZ511" s="3055"/>
      <c r="CA511" s="3055"/>
      <c r="CB511" s="3055"/>
      <c r="CC511" s="3056"/>
      <c r="CD511" s="3057">
        <f t="shared" si="0"/>
      </c>
      <c r="CE511" s="3054"/>
      <c r="CF511" s="3054"/>
      <c r="CG511" s="3055"/>
      <c r="CH511" s="3055"/>
      <c r="CI511" s="3055"/>
      <c r="CJ511" s="3055"/>
      <c r="CK511" s="3055"/>
      <c r="CL511" s="3055"/>
      <c r="CM511" s="3055"/>
      <c r="CN511" s="3055"/>
      <c r="CO511" s="3055"/>
      <c r="CP511" s="3055"/>
      <c r="CQ511" s="3055"/>
      <c r="CR511" s="3055"/>
      <c r="CS511" s="3055"/>
      <c r="CU511" s="3054"/>
      <c r="CV511" s="696"/>
      <c r="CW511" s="696"/>
      <c r="CZ511" s="3060">
        <f t="shared" si="17"/>
      </c>
      <c r="DA511" s="3060">
        <f t="shared" si="1"/>
      </c>
      <c r="DB511" s="3060">
        <f t="shared" si="18"/>
      </c>
      <c r="DC511" s="3060">
        <f t="shared" si="19"/>
      </c>
      <c r="DD511" s="3060">
        <f t="shared" si="20"/>
      </c>
      <c r="DE511" s="3060">
        <f t="shared" si="21"/>
      </c>
      <c r="DF511" s="3060">
        <f t="shared" si="22"/>
      </c>
      <c r="DG511" s="3060">
        <f t="shared" si="23"/>
      </c>
      <c r="DH511" s="3060">
        <f t="shared" si="24"/>
      </c>
      <c r="DI511" s="3060">
        <f t="shared" si="1"/>
      </c>
    </row>
    <row r="512" ht="15" customHeight="1" s="3052" customFormat="1">
      <c r="B512" s="3054">
        <f t="shared" si="2"/>
      </c>
      <c r="C512" s="3054"/>
      <c r="D512" s="3054"/>
      <c r="E512" s="3055"/>
      <c r="F512" s="3055"/>
      <c r="G512" s="3055"/>
      <c r="H512" s="3055"/>
      <c r="I512" s="3055"/>
      <c r="J512" s="3055"/>
      <c r="K512" s="3055"/>
      <c r="L512" s="3055"/>
      <c r="M512" s="3055"/>
      <c r="N512" s="3055"/>
      <c r="O512" s="3055"/>
      <c r="P512" s="3055"/>
      <c r="Q512" s="3055"/>
      <c r="R512" s="3055">
        <f t="shared" si="3"/>
        <v>0</v>
      </c>
      <c r="S512" s="3055">
        <f t="shared" si="4"/>
        <v>0</v>
      </c>
      <c r="T512" s="3055">
        <f t="shared" si="5"/>
        <v>0</v>
      </c>
      <c r="U512" s="3055">
        <f t="shared" si="6"/>
        <v>0</v>
      </c>
      <c r="V512" s="3055">
        <f t="shared" si="7"/>
        <v>0</v>
      </c>
      <c r="W512" s="3055">
        <f t="shared" si="8"/>
        <v>0</v>
      </c>
      <c r="X512" s="3055">
        <f t="shared" si="9"/>
        <v>0</v>
      </c>
      <c r="Y512" s="3055">
        <f t="shared" si="10"/>
        <v>0</v>
      </c>
      <c r="Z512" s="3055">
        <f t="shared" si="11"/>
        <v>0</v>
      </c>
      <c r="AA512" s="3055">
        <f t="shared" si="12"/>
        <v>0</v>
      </c>
      <c r="AB512" s="3055">
        <f t="shared" si="13"/>
        <v>0</v>
      </c>
      <c r="AC512" s="3055">
        <f t="shared" si="14"/>
        <v>0</v>
      </c>
      <c r="AD512" s="3056"/>
      <c r="AE512" s="3057">
        <f t="shared" si="0"/>
      </c>
      <c r="AF512" s="3054"/>
      <c r="AG512" s="3054"/>
      <c r="AH512" s="3055"/>
      <c r="AI512" s="3055"/>
      <c r="AJ512" s="3055"/>
      <c r="AK512" s="3055"/>
      <c r="AL512" s="3055"/>
      <c r="AM512" s="3055"/>
      <c r="AN512" s="3055"/>
      <c r="AO512" s="3055"/>
      <c r="AP512" s="3055"/>
      <c r="AQ512" s="3055"/>
      <c r="AR512" s="3055"/>
      <c r="AS512" s="3055"/>
      <c r="AT512" s="3055"/>
      <c r="AU512" s="3056"/>
      <c r="AV512" s="3057">
        <f t="shared" si="15"/>
      </c>
      <c r="AW512" s="3054"/>
      <c r="AX512" s="3054"/>
      <c r="AY512" s="3055"/>
      <c r="AZ512" s="3055"/>
      <c r="BA512" s="3055"/>
      <c r="BB512" s="3055"/>
      <c r="BC512" s="3055"/>
      <c r="BD512" s="3055"/>
      <c r="BE512" s="3055"/>
      <c r="BF512" s="3055"/>
      <c r="BG512" s="3055"/>
      <c r="BH512" s="3055"/>
      <c r="BI512" s="3055"/>
      <c r="BJ512" s="3055"/>
      <c r="BK512" s="3055"/>
      <c r="BL512" s="3056"/>
      <c r="BM512" s="3057">
        <f t="shared" si="16"/>
      </c>
      <c r="BN512" s="3054"/>
      <c r="BO512" s="3054"/>
      <c r="BP512" s="3055"/>
      <c r="BQ512" s="3055"/>
      <c r="BR512" s="3055"/>
      <c r="BS512" s="3055"/>
      <c r="BT512" s="3055"/>
      <c r="BU512" s="3055"/>
      <c r="BV512" s="3055"/>
      <c r="BW512" s="3055"/>
      <c r="BX512" s="3055"/>
      <c r="BY512" s="3055"/>
      <c r="BZ512" s="3055"/>
      <c r="CA512" s="3055"/>
      <c r="CB512" s="3055"/>
      <c r="CC512" s="3056"/>
      <c r="CD512" s="3057">
        <f t="shared" si="0"/>
      </c>
      <c r="CE512" s="3054"/>
      <c r="CF512" s="3054"/>
      <c r="CG512" s="3055"/>
      <c r="CH512" s="3055"/>
      <c r="CI512" s="3055"/>
      <c r="CJ512" s="3055"/>
      <c r="CK512" s="3055"/>
      <c r="CL512" s="3055"/>
      <c r="CM512" s="3055"/>
      <c r="CN512" s="3055"/>
      <c r="CO512" s="3055"/>
      <c r="CP512" s="3055"/>
      <c r="CQ512" s="3055"/>
      <c r="CR512" s="3055"/>
      <c r="CS512" s="3055"/>
      <c r="CU512" s="3054"/>
      <c r="CV512" s="696"/>
      <c r="CW512" s="696"/>
      <c r="CZ512" s="3060">
        <f t="shared" si="17"/>
      </c>
      <c r="DA512" s="3060">
        <f t="shared" si="1"/>
      </c>
      <c r="DB512" s="3060">
        <f t="shared" si="18"/>
      </c>
      <c r="DC512" s="3060">
        <f t="shared" si="19"/>
      </c>
      <c r="DD512" s="3060">
        <f t="shared" si="20"/>
      </c>
      <c r="DE512" s="3060">
        <f t="shared" si="21"/>
      </c>
      <c r="DF512" s="3060">
        <f t="shared" si="22"/>
      </c>
      <c r="DG512" s="3060">
        <f t="shared" si="23"/>
      </c>
      <c r="DH512" s="3060">
        <f t="shared" si="24"/>
      </c>
      <c r="DI512" s="3060">
        <f t="shared" si="1"/>
      </c>
    </row>
    <row r="513" ht="15" customHeight="1" s="3052" customFormat="1">
      <c r="B513" s="3054">
        <f t="shared" si="2"/>
      </c>
      <c r="C513" s="3054"/>
      <c r="D513" s="3054"/>
      <c r="E513" s="3055"/>
      <c r="F513" s="3055"/>
      <c r="G513" s="3055"/>
      <c r="H513" s="3055"/>
      <c r="I513" s="3055"/>
      <c r="J513" s="3055"/>
      <c r="K513" s="3055"/>
      <c r="L513" s="3055"/>
      <c r="M513" s="3055"/>
      <c r="N513" s="3055"/>
      <c r="O513" s="3055"/>
      <c r="P513" s="3055"/>
      <c r="Q513" s="3055"/>
      <c r="R513" s="3055">
        <f t="shared" si="3"/>
        <v>0</v>
      </c>
      <c r="S513" s="3055">
        <f t="shared" si="4"/>
        <v>0</v>
      </c>
      <c r="T513" s="3055">
        <f t="shared" si="5"/>
        <v>0</v>
      </c>
      <c r="U513" s="3055">
        <f t="shared" si="6"/>
        <v>0</v>
      </c>
      <c r="V513" s="3055">
        <f t="shared" si="7"/>
        <v>0</v>
      </c>
      <c r="W513" s="3055">
        <f t="shared" si="8"/>
        <v>0</v>
      </c>
      <c r="X513" s="3055">
        <f t="shared" si="9"/>
        <v>0</v>
      </c>
      <c r="Y513" s="3055">
        <f t="shared" si="10"/>
        <v>0</v>
      </c>
      <c r="Z513" s="3055">
        <f t="shared" si="11"/>
        <v>0</v>
      </c>
      <c r="AA513" s="3055">
        <f t="shared" si="12"/>
        <v>0</v>
      </c>
      <c r="AB513" s="3055">
        <f t="shared" si="13"/>
        <v>0</v>
      </c>
      <c r="AC513" s="3055">
        <f t="shared" si="14"/>
        <v>0</v>
      </c>
      <c r="AD513" s="3056"/>
      <c r="AE513" s="3057">
        <f t="shared" si="0"/>
      </c>
      <c r="AF513" s="3054"/>
      <c r="AG513" s="3054"/>
      <c r="AH513" s="3055"/>
      <c r="AI513" s="3055"/>
      <c r="AJ513" s="3055"/>
      <c r="AK513" s="3055"/>
      <c r="AL513" s="3055"/>
      <c r="AM513" s="3055"/>
      <c r="AN513" s="3055"/>
      <c r="AO513" s="3055"/>
      <c r="AP513" s="3055"/>
      <c r="AQ513" s="3055"/>
      <c r="AR513" s="3055"/>
      <c r="AS513" s="3055"/>
      <c r="AT513" s="3055"/>
      <c r="AU513" s="3056"/>
      <c r="AV513" s="3057">
        <f t="shared" si="15"/>
      </c>
      <c r="AW513" s="3054"/>
      <c r="AX513" s="3054"/>
      <c r="AY513" s="3055"/>
      <c r="AZ513" s="3055"/>
      <c r="BA513" s="3055"/>
      <c r="BB513" s="3055"/>
      <c r="BC513" s="3055"/>
      <c r="BD513" s="3055"/>
      <c r="BE513" s="3055"/>
      <c r="BF513" s="3055"/>
      <c r="BG513" s="3055"/>
      <c r="BH513" s="3055"/>
      <c r="BI513" s="3055"/>
      <c r="BJ513" s="3055"/>
      <c r="BK513" s="3055"/>
      <c r="BL513" s="3056"/>
      <c r="BM513" s="3057">
        <f t="shared" si="16"/>
      </c>
      <c r="BN513" s="3054"/>
      <c r="BO513" s="3054"/>
      <c r="BP513" s="3055"/>
      <c r="BQ513" s="3055"/>
      <c r="BR513" s="3055"/>
      <c r="BS513" s="3055"/>
      <c r="BT513" s="3055"/>
      <c r="BU513" s="3055"/>
      <c r="BV513" s="3055"/>
      <c r="BW513" s="3055"/>
      <c r="BX513" s="3055"/>
      <c r="BY513" s="3055"/>
      <c r="BZ513" s="3055"/>
      <c r="CA513" s="3055"/>
      <c r="CB513" s="3055"/>
      <c r="CC513" s="3056"/>
      <c r="CD513" s="3057">
        <f t="shared" si="0"/>
      </c>
      <c r="CE513" s="3054"/>
      <c r="CF513" s="3054"/>
      <c r="CG513" s="3055"/>
      <c r="CH513" s="3055"/>
      <c r="CI513" s="3055"/>
      <c r="CJ513" s="3055"/>
      <c r="CK513" s="3055"/>
      <c r="CL513" s="3055"/>
      <c r="CM513" s="3055"/>
      <c r="CN513" s="3055"/>
      <c r="CO513" s="3055"/>
      <c r="CP513" s="3055"/>
      <c r="CQ513" s="3055"/>
      <c r="CR513" s="3055"/>
      <c r="CS513" s="3055"/>
      <c r="CU513" s="3054"/>
      <c r="CV513" s="696"/>
      <c r="CW513" s="696"/>
      <c r="CZ513" s="3060">
        <f t="shared" si="17"/>
      </c>
      <c r="DA513" s="3060">
        <f t="shared" si="1"/>
      </c>
      <c r="DB513" s="3060">
        <f t="shared" si="18"/>
      </c>
      <c r="DC513" s="3060">
        <f t="shared" si="19"/>
      </c>
      <c r="DD513" s="3060">
        <f t="shared" si="20"/>
      </c>
      <c r="DE513" s="3060">
        <f t="shared" si="21"/>
      </c>
      <c r="DF513" s="3060">
        <f t="shared" si="22"/>
      </c>
      <c r="DG513" s="3060">
        <f t="shared" si="23"/>
      </c>
      <c r="DH513" s="3060">
        <f t="shared" si="24"/>
      </c>
      <c r="DI513" s="3060">
        <f t="shared" si="1"/>
      </c>
    </row>
    <row r="514" ht="15" customHeight="1" s="3052" customFormat="1">
      <c r="B514" s="3054">
        <f t="shared" si="2"/>
      </c>
      <c r="C514" s="3054"/>
      <c r="D514" s="3054"/>
      <c r="E514" s="3055"/>
      <c r="F514" s="3055"/>
      <c r="G514" s="3055"/>
      <c r="H514" s="3055"/>
      <c r="I514" s="3055"/>
      <c r="J514" s="3055"/>
      <c r="K514" s="3055"/>
      <c r="L514" s="3055"/>
      <c r="M514" s="3055"/>
      <c r="N514" s="3055"/>
      <c r="O514" s="3055"/>
      <c r="P514" s="3055"/>
      <c r="Q514" s="3055"/>
      <c r="R514" s="3055">
        <f t="shared" si="3"/>
        <v>0</v>
      </c>
      <c r="S514" s="3055">
        <f t="shared" si="4"/>
        <v>0</v>
      </c>
      <c r="T514" s="3055">
        <f t="shared" si="5"/>
        <v>0</v>
      </c>
      <c r="U514" s="3055">
        <f t="shared" si="6"/>
        <v>0</v>
      </c>
      <c r="V514" s="3055">
        <f t="shared" si="7"/>
        <v>0</v>
      </c>
      <c r="W514" s="3055">
        <f t="shared" si="8"/>
        <v>0</v>
      </c>
      <c r="X514" s="3055">
        <f t="shared" si="9"/>
        <v>0</v>
      </c>
      <c r="Y514" s="3055">
        <f t="shared" si="10"/>
        <v>0</v>
      </c>
      <c r="Z514" s="3055">
        <f t="shared" si="11"/>
        <v>0</v>
      </c>
      <c r="AA514" s="3055">
        <f t="shared" si="12"/>
        <v>0</v>
      </c>
      <c r="AB514" s="3055">
        <f t="shared" si="13"/>
        <v>0</v>
      </c>
      <c r="AC514" s="3055">
        <f t="shared" si="14"/>
        <v>0</v>
      </c>
      <c r="AD514" s="3056"/>
      <c r="AE514" s="3057">
        <f t="shared" si="0"/>
      </c>
      <c r="AF514" s="3054"/>
      <c r="AG514" s="3054"/>
      <c r="AH514" s="3055"/>
      <c r="AI514" s="3055"/>
      <c r="AJ514" s="3055"/>
      <c r="AK514" s="3055"/>
      <c r="AL514" s="3055"/>
      <c r="AM514" s="3055"/>
      <c r="AN514" s="3055"/>
      <c r="AO514" s="3055"/>
      <c r="AP514" s="3055"/>
      <c r="AQ514" s="3055"/>
      <c r="AR514" s="3055"/>
      <c r="AS514" s="3055"/>
      <c r="AT514" s="3055"/>
      <c r="AU514" s="3056"/>
      <c r="AV514" s="3057">
        <f t="shared" si="15"/>
      </c>
      <c r="AW514" s="3054"/>
      <c r="AX514" s="3054"/>
      <c r="AY514" s="3055"/>
      <c r="AZ514" s="3055"/>
      <c r="BA514" s="3055"/>
      <c r="BB514" s="3055"/>
      <c r="BC514" s="3055"/>
      <c r="BD514" s="3055"/>
      <c r="BE514" s="3055"/>
      <c r="BF514" s="3055"/>
      <c r="BG514" s="3055"/>
      <c r="BH514" s="3055"/>
      <c r="BI514" s="3055"/>
      <c r="BJ514" s="3055"/>
      <c r="BK514" s="3055"/>
      <c r="BL514" s="3056"/>
      <c r="BM514" s="3057">
        <f t="shared" si="16"/>
      </c>
      <c r="BN514" s="3054"/>
      <c r="BO514" s="3054"/>
      <c r="BP514" s="3055"/>
      <c r="BQ514" s="3055"/>
      <c r="BR514" s="3055"/>
      <c r="BS514" s="3055"/>
      <c r="BT514" s="3055"/>
      <c r="BU514" s="3055"/>
      <c r="BV514" s="3055"/>
      <c r="BW514" s="3055"/>
      <c r="BX514" s="3055"/>
      <c r="BY514" s="3055"/>
      <c r="BZ514" s="3055"/>
      <c r="CA514" s="3055"/>
      <c r="CB514" s="3055"/>
      <c r="CC514" s="3056"/>
      <c r="CD514" s="3057">
        <f t="shared" si="0"/>
      </c>
      <c r="CE514" s="3054"/>
      <c r="CF514" s="3054"/>
      <c r="CG514" s="3055"/>
      <c r="CH514" s="3055"/>
      <c r="CI514" s="3055"/>
      <c r="CJ514" s="3055"/>
      <c r="CK514" s="3055"/>
      <c r="CL514" s="3055"/>
      <c r="CM514" s="3055"/>
      <c r="CN514" s="3055"/>
      <c r="CO514" s="3055"/>
      <c r="CP514" s="3055"/>
      <c r="CQ514" s="3055"/>
      <c r="CR514" s="3055"/>
      <c r="CS514" s="3055"/>
      <c r="CU514" s="3054"/>
      <c r="CV514" s="696"/>
      <c r="CW514" s="696"/>
      <c r="CZ514" s="3060">
        <f t="shared" si="17"/>
      </c>
      <c r="DA514" s="3060">
        <f t="shared" si="1"/>
      </c>
      <c r="DB514" s="3060">
        <f t="shared" si="18"/>
      </c>
      <c r="DC514" s="3060">
        <f t="shared" si="19"/>
      </c>
      <c r="DD514" s="3060">
        <f t="shared" si="20"/>
      </c>
      <c r="DE514" s="3060">
        <f t="shared" si="21"/>
      </c>
      <c r="DF514" s="3060">
        <f t="shared" si="22"/>
      </c>
      <c r="DG514" s="3060">
        <f t="shared" si="23"/>
      </c>
      <c r="DH514" s="3060">
        <f t="shared" si="24"/>
      </c>
      <c r="DI514" s="3060">
        <f t="shared" si="1"/>
      </c>
    </row>
    <row r="515" ht="15" customHeight="1" s="3052" customFormat="1">
      <c r="B515" s="3054">
        <f t="shared" si="2"/>
      </c>
      <c r="C515" s="3054"/>
      <c r="D515" s="3054"/>
      <c r="E515" s="3055"/>
      <c r="F515" s="3055"/>
      <c r="G515" s="3055"/>
      <c r="H515" s="3055"/>
      <c r="I515" s="3055"/>
      <c r="J515" s="3055"/>
      <c r="K515" s="3055"/>
      <c r="L515" s="3055"/>
      <c r="M515" s="3055"/>
      <c r="N515" s="3055"/>
      <c r="O515" s="3055"/>
      <c r="P515" s="3055"/>
      <c r="Q515" s="3055"/>
      <c r="R515" s="3055">
        <f t="shared" si="3"/>
        <v>0</v>
      </c>
      <c r="S515" s="3055">
        <f t="shared" si="4"/>
        <v>0</v>
      </c>
      <c r="T515" s="3055">
        <f t="shared" si="5"/>
        <v>0</v>
      </c>
      <c r="U515" s="3055">
        <f t="shared" si="6"/>
        <v>0</v>
      </c>
      <c r="V515" s="3055">
        <f t="shared" si="7"/>
        <v>0</v>
      </c>
      <c r="W515" s="3055">
        <f t="shared" si="8"/>
        <v>0</v>
      </c>
      <c r="X515" s="3055">
        <f t="shared" si="9"/>
        <v>0</v>
      </c>
      <c r="Y515" s="3055">
        <f t="shared" si="10"/>
        <v>0</v>
      </c>
      <c r="Z515" s="3055">
        <f t="shared" si="11"/>
        <v>0</v>
      </c>
      <c r="AA515" s="3055">
        <f t="shared" si="12"/>
        <v>0</v>
      </c>
      <c r="AB515" s="3055">
        <f t="shared" si="13"/>
        <v>0</v>
      </c>
      <c r="AC515" s="3055">
        <f t="shared" si="14"/>
        <v>0</v>
      </c>
      <c r="AD515" s="3056"/>
      <c r="AE515" s="3057">
        <f t="shared" si="0"/>
      </c>
      <c r="AF515" s="3054"/>
      <c r="AG515" s="3054"/>
      <c r="AH515" s="3055"/>
      <c r="AI515" s="3055"/>
      <c r="AJ515" s="3055"/>
      <c r="AK515" s="3055"/>
      <c r="AL515" s="3055"/>
      <c r="AM515" s="3055"/>
      <c r="AN515" s="3055"/>
      <c r="AO515" s="3055"/>
      <c r="AP515" s="3055"/>
      <c r="AQ515" s="3055"/>
      <c r="AR515" s="3055"/>
      <c r="AS515" s="3055"/>
      <c r="AT515" s="3055"/>
      <c r="AU515" s="3056"/>
      <c r="AV515" s="3057">
        <f t="shared" si="15"/>
      </c>
      <c r="AW515" s="3054"/>
      <c r="AX515" s="3054"/>
      <c r="AY515" s="3055"/>
      <c r="AZ515" s="3055"/>
      <c r="BA515" s="3055"/>
      <c r="BB515" s="3055"/>
      <c r="BC515" s="3055"/>
      <c r="BD515" s="3055"/>
      <c r="BE515" s="3055"/>
      <c r="BF515" s="3055"/>
      <c r="BG515" s="3055"/>
      <c r="BH515" s="3055"/>
      <c r="BI515" s="3055"/>
      <c r="BJ515" s="3055"/>
      <c r="BK515" s="3055"/>
      <c r="BL515" s="3056"/>
      <c r="BM515" s="3057">
        <f t="shared" si="16"/>
      </c>
      <c r="BN515" s="3054"/>
      <c r="BO515" s="3054"/>
      <c r="BP515" s="3055"/>
      <c r="BQ515" s="3055"/>
      <c r="BR515" s="3055"/>
      <c r="BS515" s="3055"/>
      <c r="BT515" s="3055"/>
      <c r="BU515" s="3055"/>
      <c r="BV515" s="3055"/>
      <c r="BW515" s="3055"/>
      <c r="BX515" s="3055"/>
      <c r="BY515" s="3055"/>
      <c r="BZ515" s="3055"/>
      <c r="CA515" s="3055"/>
      <c r="CB515" s="3055"/>
      <c r="CC515" s="3056"/>
      <c r="CD515" s="3057">
        <f t="shared" si="0"/>
      </c>
      <c r="CE515" s="3054"/>
      <c r="CF515" s="3054"/>
      <c r="CG515" s="3055"/>
      <c r="CH515" s="3055"/>
      <c r="CI515" s="3055"/>
      <c r="CJ515" s="3055"/>
      <c r="CK515" s="3055"/>
      <c r="CL515" s="3055"/>
      <c r="CM515" s="3055"/>
      <c r="CN515" s="3055"/>
      <c r="CO515" s="3055"/>
      <c r="CP515" s="3055"/>
      <c r="CQ515" s="3055"/>
      <c r="CR515" s="3055"/>
      <c r="CS515" s="3055"/>
      <c r="CU515" s="3054"/>
      <c r="CV515" s="696"/>
      <c r="CW515" s="696"/>
      <c r="CZ515" s="3060">
        <f t="shared" si="17"/>
      </c>
      <c r="DA515" s="3060">
        <f t="shared" si="1"/>
      </c>
      <c r="DB515" s="3060">
        <f t="shared" si="18"/>
      </c>
      <c r="DC515" s="3060">
        <f t="shared" si="19"/>
      </c>
      <c r="DD515" s="3060">
        <f t="shared" si="20"/>
      </c>
      <c r="DE515" s="3060">
        <f t="shared" si="21"/>
      </c>
      <c r="DF515" s="3060">
        <f t="shared" si="22"/>
      </c>
      <c r="DG515" s="3060">
        <f t="shared" si="23"/>
      </c>
      <c r="DH515" s="3060">
        <f t="shared" si="24"/>
      </c>
      <c r="DI515" s="3060">
        <f t="shared" si="1"/>
      </c>
    </row>
    <row r="516" ht="15" customHeight="1" s="3052" customFormat="1">
      <c r="B516" s="3054">
        <f t="shared" si="2"/>
      </c>
      <c r="C516" s="3054"/>
      <c r="D516" s="3054"/>
      <c r="E516" s="3055"/>
      <c r="F516" s="3055"/>
      <c r="G516" s="3055"/>
      <c r="H516" s="3055"/>
      <c r="I516" s="3055"/>
      <c r="J516" s="3055"/>
      <c r="K516" s="3055"/>
      <c r="L516" s="3055"/>
      <c r="M516" s="3055"/>
      <c r="N516" s="3055"/>
      <c r="O516" s="3055"/>
      <c r="P516" s="3055"/>
      <c r="Q516" s="3055"/>
      <c r="R516" s="3055">
        <f t="shared" si="3"/>
        <v>0</v>
      </c>
      <c r="S516" s="3055">
        <f t="shared" si="4"/>
        <v>0</v>
      </c>
      <c r="T516" s="3055">
        <f t="shared" si="5"/>
        <v>0</v>
      </c>
      <c r="U516" s="3055">
        <f t="shared" si="6"/>
        <v>0</v>
      </c>
      <c r="V516" s="3055">
        <f t="shared" si="7"/>
        <v>0</v>
      </c>
      <c r="W516" s="3055">
        <f t="shared" si="8"/>
        <v>0</v>
      </c>
      <c r="X516" s="3055">
        <f t="shared" si="9"/>
        <v>0</v>
      </c>
      <c r="Y516" s="3055">
        <f t="shared" si="10"/>
        <v>0</v>
      </c>
      <c r="Z516" s="3055">
        <f t="shared" si="11"/>
        <v>0</v>
      </c>
      <c r="AA516" s="3055">
        <f t="shared" si="12"/>
        <v>0</v>
      </c>
      <c r="AB516" s="3055">
        <f t="shared" si="13"/>
        <v>0</v>
      </c>
      <c r="AC516" s="3055">
        <f t="shared" si="14"/>
        <v>0</v>
      </c>
      <c r="AD516" s="3056"/>
      <c r="AE516" s="3057">
        <f t="shared" si="0"/>
      </c>
      <c r="AF516" s="3054"/>
      <c r="AG516" s="3054"/>
      <c r="AH516" s="3055"/>
      <c r="AI516" s="3055"/>
      <c r="AJ516" s="3055"/>
      <c r="AK516" s="3055"/>
      <c r="AL516" s="3055"/>
      <c r="AM516" s="3055"/>
      <c r="AN516" s="3055"/>
      <c r="AO516" s="3055"/>
      <c r="AP516" s="3055"/>
      <c r="AQ516" s="3055"/>
      <c r="AR516" s="3055"/>
      <c r="AS516" s="3055"/>
      <c r="AT516" s="3055"/>
      <c r="AU516" s="3056"/>
      <c r="AV516" s="3057">
        <f t="shared" si="15"/>
      </c>
      <c r="AW516" s="3054"/>
      <c r="AX516" s="3054"/>
      <c r="AY516" s="3055"/>
      <c r="AZ516" s="3055"/>
      <c r="BA516" s="3055"/>
      <c r="BB516" s="3055"/>
      <c r="BC516" s="3055"/>
      <c r="BD516" s="3055"/>
      <c r="BE516" s="3055"/>
      <c r="BF516" s="3055"/>
      <c r="BG516" s="3055"/>
      <c r="BH516" s="3055"/>
      <c r="BI516" s="3055"/>
      <c r="BJ516" s="3055"/>
      <c r="BK516" s="3055"/>
      <c r="BL516" s="3056"/>
      <c r="BM516" s="3057">
        <f t="shared" si="16"/>
      </c>
      <c r="BN516" s="3054"/>
      <c r="BO516" s="3054"/>
      <c r="BP516" s="3055"/>
      <c r="BQ516" s="3055"/>
      <c r="BR516" s="3055"/>
      <c r="BS516" s="3055"/>
      <c r="BT516" s="3055"/>
      <c r="BU516" s="3055"/>
      <c r="BV516" s="3055"/>
      <c r="BW516" s="3055"/>
      <c r="BX516" s="3055"/>
      <c r="BY516" s="3055"/>
      <c r="BZ516" s="3055"/>
      <c r="CA516" s="3055"/>
      <c r="CB516" s="3055"/>
      <c r="CC516" s="3056"/>
      <c r="CD516" s="3057">
        <f t="shared" si="0"/>
      </c>
      <c r="CE516" s="3054"/>
      <c r="CF516" s="3054"/>
      <c r="CG516" s="3055"/>
      <c r="CH516" s="3055"/>
      <c r="CI516" s="3055"/>
      <c r="CJ516" s="3055"/>
      <c r="CK516" s="3055"/>
      <c r="CL516" s="3055"/>
      <c r="CM516" s="3055"/>
      <c r="CN516" s="3055"/>
      <c r="CO516" s="3055"/>
      <c r="CP516" s="3055"/>
      <c r="CQ516" s="3055"/>
      <c r="CR516" s="3055"/>
      <c r="CS516" s="3055"/>
      <c r="CU516" s="3054"/>
      <c r="CV516" s="696"/>
      <c r="CW516" s="696"/>
      <c r="CZ516" s="3060">
        <f t="shared" si="17"/>
      </c>
      <c r="DA516" s="3060">
        <f t="shared" si="1"/>
      </c>
      <c r="DB516" s="3060">
        <f t="shared" si="18"/>
      </c>
      <c r="DC516" s="3060">
        <f t="shared" si="19"/>
      </c>
      <c r="DD516" s="3060">
        <f t="shared" si="20"/>
      </c>
      <c r="DE516" s="3060">
        <f t="shared" si="21"/>
      </c>
      <c r="DF516" s="3060">
        <f t="shared" si="22"/>
      </c>
      <c r="DG516" s="3060">
        <f t="shared" si="23"/>
      </c>
      <c r="DH516" s="3060">
        <f t="shared" si="24"/>
      </c>
      <c r="DI516" s="3060">
        <f t="shared" si="1"/>
      </c>
    </row>
    <row r="517" ht="15" customHeight="1" s="3052" customFormat="1">
      <c r="B517" s="3054">
        <f t="shared" si="2"/>
      </c>
      <c r="C517" s="3054"/>
      <c r="D517" s="3054"/>
      <c r="E517" s="3055"/>
      <c r="F517" s="3055"/>
      <c r="G517" s="3055"/>
      <c r="H517" s="3055"/>
      <c r="I517" s="3055"/>
      <c r="J517" s="3055"/>
      <c r="K517" s="3055"/>
      <c r="L517" s="3055"/>
      <c r="M517" s="3055"/>
      <c r="N517" s="3055"/>
      <c r="O517" s="3055"/>
      <c r="P517" s="3055"/>
      <c r="Q517" s="3055"/>
      <c r="R517" s="3055">
        <f t="shared" si="3"/>
        <v>0</v>
      </c>
      <c r="S517" s="3055">
        <f t="shared" si="4"/>
        <v>0</v>
      </c>
      <c r="T517" s="3055">
        <f t="shared" si="5"/>
        <v>0</v>
      </c>
      <c r="U517" s="3055">
        <f t="shared" si="6"/>
        <v>0</v>
      </c>
      <c r="V517" s="3055">
        <f t="shared" si="7"/>
        <v>0</v>
      </c>
      <c r="W517" s="3055">
        <f t="shared" si="8"/>
        <v>0</v>
      </c>
      <c r="X517" s="3055">
        <f t="shared" si="9"/>
        <v>0</v>
      </c>
      <c r="Y517" s="3055">
        <f t="shared" si="10"/>
        <v>0</v>
      </c>
      <c r="Z517" s="3055">
        <f t="shared" si="11"/>
        <v>0</v>
      </c>
      <c r="AA517" s="3055">
        <f t="shared" si="12"/>
        <v>0</v>
      </c>
      <c r="AB517" s="3055">
        <f t="shared" si="13"/>
        <v>0</v>
      </c>
      <c r="AC517" s="3055">
        <f t="shared" si="14"/>
        <v>0</v>
      </c>
      <c r="AD517" s="3056"/>
      <c r="AE517" s="3057">
        <f t="shared" si="0"/>
      </c>
      <c r="AF517" s="3054"/>
      <c r="AG517" s="3054"/>
      <c r="AH517" s="3055"/>
      <c r="AI517" s="3055"/>
      <c r="AJ517" s="3055"/>
      <c r="AK517" s="3055"/>
      <c r="AL517" s="3055"/>
      <c r="AM517" s="3055"/>
      <c r="AN517" s="3055"/>
      <c r="AO517" s="3055"/>
      <c r="AP517" s="3055"/>
      <c r="AQ517" s="3055"/>
      <c r="AR517" s="3055"/>
      <c r="AS517" s="3055"/>
      <c r="AT517" s="3055"/>
      <c r="AU517" s="3056"/>
      <c r="AV517" s="3057">
        <f t="shared" si="15"/>
      </c>
      <c r="AW517" s="3054"/>
      <c r="AX517" s="3054"/>
      <c r="AY517" s="3055"/>
      <c r="AZ517" s="3055"/>
      <c r="BA517" s="3055"/>
      <c r="BB517" s="3055"/>
      <c r="BC517" s="3055"/>
      <c r="BD517" s="3055"/>
      <c r="BE517" s="3055"/>
      <c r="BF517" s="3055"/>
      <c r="BG517" s="3055"/>
      <c r="BH517" s="3055"/>
      <c r="BI517" s="3055"/>
      <c r="BJ517" s="3055"/>
      <c r="BK517" s="3055"/>
      <c r="BL517" s="3056"/>
      <c r="BM517" s="3057">
        <f t="shared" si="16"/>
      </c>
      <c r="BN517" s="3054"/>
      <c r="BO517" s="3054"/>
      <c r="BP517" s="3055"/>
      <c r="BQ517" s="3055"/>
      <c r="BR517" s="3055"/>
      <c r="BS517" s="3055"/>
      <c r="BT517" s="3055"/>
      <c r="BU517" s="3055"/>
      <c r="BV517" s="3055"/>
      <c r="BW517" s="3055"/>
      <c r="BX517" s="3055"/>
      <c r="BY517" s="3055"/>
      <c r="BZ517" s="3055"/>
      <c r="CA517" s="3055"/>
      <c r="CB517" s="3055"/>
      <c r="CC517" s="3056"/>
      <c r="CD517" s="3057">
        <f t="shared" si="0"/>
      </c>
      <c r="CE517" s="3054"/>
      <c r="CF517" s="3054"/>
      <c r="CG517" s="3055"/>
      <c r="CH517" s="3055"/>
      <c r="CI517" s="3055"/>
      <c r="CJ517" s="3055"/>
      <c r="CK517" s="3055"/>
      <c r="CL517" s="3055"/>
      <c r="CM517" s="3055"/>
      <c r="CN517" s="3055"/>
      <c r="CO517" s="3055"/>
      <c r="CP517" s="3055"/>
      <c r="CQ517" s="3055"/>
      <c r="CR517" s="3055"/>
      <c r="CS517" s="3055"/>
      <c r="CU517" s="3054"/>
      <c r="CV517" s="696"/>
      <c r="CW517" s="696"/>
      <c r="CZ517" s="3060">
        <f t="shared" si="17"/>
      </c>
      <c r="DA517" s="3060">
        <f t="shared" si="1"/>
      </c>
      <c r="DB517" s="3060">
        <f t="shared" si="18"/>
      </c>
      <c r="DC517" s="3060">
        <f t="shared" si="19"/>
      </c>
      <c r="DD517" s="3060">
        <f t="shared" si="20"/>
      </c>
      <c r="DE517" s="3060">
        <f t="shared" si="21"/>
      </c>
      <c r="DF517" s="3060">
        <f t="shared" si="22"/>
      </c>
      <c r="DG517" s="3060">
        <f t="shared" si="23"/>
      </c>
      <c r="DH517" s="3060">
        <f t="shared" si="24"/>
      </c>
      <c r="DI517" s="3060">
        <f t="shared" si="1"/>
      </c>
    </row>
    <row r="518" ht="15" customHeight="1" s="3052" customFormat="1">
      <c r="B518" s="3054">
        <f t="shared" si="2"/>
      </c>
      <c r="C518" s="3054"/>
      <c r="D518" s="3054"/>
      <c r="E518" s="3055"/>
      <c r="F518" s="3055"/>
      <c r="G518" s="3055"/>
      <c r="H518" s="3055"/>
      <c r="I518" s="3055"/>
      <c r="J518" s="3055"/>
      <c r="K518" s="3055"/>
      <c r="L518" s="3055"/>
      <c r="M518" s="3055"/>
      <c r="N518" s="3055"/>
      <c r="O518" s="3055"/>
      <c r="P518" s="3055"/>
      <c r="Q518" s="3055"/>
      <c r="R518" s="3055">
        <f t="shared" si="3"/>
        <v>0</v>
      </c>
      <c r="S518" s="3055">
        <f t="shared" si="4"/>
        <v>0</v>
      </c>
      <c r="T518" s="3055">
        <f t="shared" si="5"/>
        <v>0</v>
      </c>
      <c r="U518" s="3055">
        <f t="shared" si="6"/>
        <v>0</v>
      </c>
      <c r="V518" s="3055">
        <f t="shared" si="7"/>
        <v>0</v>
      </c>
      <c r="W518" s="3055">
        <f t="shared" si="8"/>
        <v>0</v>
      </c>
      <c r="X518" s="3055">
        <f t="shared" si="9"/>
        <v>0</v>
      </c>
      <c r="Y518" s="3055">
        <f t="shared" si="10"/>
        <v>0</v>
      </c>
      <c r="Z518" s="3055">
        <f t="shared" si="11"/>
        <v>0</v>
      </c>
      <c r="AA518" s="3055">
        <f t="shared" si="12"/>
        <v>0</v>
      </c>
      <c r="AB518" s="3055">
        <f t="shared" si="13"/>
        <v>0</v>
      </c>
      <c r="AC518" s="3055">
        <f t="shared" si="14"/>
        <v>0</v>
      </c>
      <c r="AD518" s="3056"/>
      <c r="AE518" s="3057">
        <f t="shared" si="0"/>
      </c>
      <c r="AF518" s="3054"/>
      <c r="AG518" s="3054"/>
      <c r="AH518" s="3055"/>
      <c r="AI518" s="3055"/>
      <c r="AJ518" s="3055"/>
      <c r="AK518" s="3055"/>
      <c r="AL518" s="3055"/>
      <c r="AM518" s="3055"/>
      <c r="AN518" s="3055"/>
      <c r="AO518" s="3055"/>
      <c r="AP518" s="3055"/>
      <c r="AQ518" s="3055"/>
      <c r="AR518" s="3055"/>
      <c r="AS518" s="3055"/>
      <c r="AT518" s="3055"/>
      <c r="AU518" s="3056"/>
      <c r="AV518" s="3057">
        <f t="shared" si="15"/>
      </c>
      <c r="AW518" s="3054"/>
      <c r="AX518" s="3054"/>
      <c r="AY518" s="3055"/>
      <c r="AZ518" s="3055"/>
      <c r="BA518" s="3055"/>
      <c r="BB518" s="3055"/>
      <c r="BC518" s="3055"/>
      <c r="BD518" s="3055"/>
      <c r="BE518" s="3055"/>
      <c r="BF518" s="3055"/>
      <c r="BG518" s="3055"/>
      <c r="BH518" s="3055"/>
      <c r="BI518" s="3055"/>
      <c r="BJ518" s="3055"/>
      <c r="BK518" s="3055"/>
      <c r="BL518" s="3056"/>
      <c r="BM518" s="3057">
        <f t="shared" si="16"/>
      </c>
      <c r="BN518" s="3054"/>
      <c r="BO518" s="3054"/>
      <c r="BP518" s="3055"/>
      <c r="BQ518" s="3055"/>
      <c r="BR518" s="3055"/>
      <c r="BS518" s="3055"/>
      <c r="BT518" s="3055"/>
      <c r="BU518" s="3055"/>
      <c r="BV518" s="3055"/>
      <c r="BW518" s="3055"/>
      <c r="BX518" s="3055"/>
      <c r="BY518" s="3055"/>
      <c r="BZ518" s="3055"/>
      <c r="CA518" s="3055"/>
      <c r="CB518" s="3055"/>
      <c r="CC518" s="3056"/>
      <c r="CD518" s="3057">
        <f t="shared" si="0"/>
      </c>
      <c r="CE518" s="3054"/>
      <c r="CF518" s="3054"/>
      <c r="CG518" s="3055"/>
      <c r="CH518" s="3055"/>
      <c r="CI518" s="3055"/>
      <c r="CJ518" s="3055"/>
      <c r="CK518" s="3055"/>
      <c r="CL518" s="3055"/>
      <c r="CM518" s="3055"/>
      <c r="CN518" s="3055"/>
      <c r="CO518" s="3055"/>
      <c r="CP518" s="3055"/>
      <c r="CQ518" s="3055"/>
      <c r="CR518" s="3055"/>
      <c r="CS518" s="3055"/>
      <c r="CU518" s="3054"/>
      <c r="CV518" s="696"/>
      <c r="CW518" s="696"/>
      <c r="CZ518" s="3060">
        <f t="shared" si="17"/>
      </c>
      <c r="DA518" s="3060">
        <f t="shared" si="1"/>
      </c>
      <c r="DB518" s="3060">
        <f t="shared" si="18"/>
      </c>
      <c r="DC518" s="3060">
        <f t="shared" si="19"/>
      </c>
      <c r="DD518" s="3060">
        <f t="shared" si="20"/>
      </c>
      <c r="DE518" s="3060">
        <f t="shared" si="21"/>
      </c>
      <c r="DF518" s="3060">
        <f t="shared" si="22"/>
      </c>
      <c r="DG518" s="3060">
        <f t="shared" si="23"/>
      </c>
      <c r="DH518" s="3060">
        <f t="shared" si="24"/>
      </c>
      <c r="DI518" s="3060">
        <f t="shared" si="1"/>
      </c>
    </row>
    <row r="519" ht="15" customHeight="1" s="3052" customFormat="1">
      <c r="B519" s="3054">
        <f t="shared" si="2"/>
      </c>
      <c r="C519" s="3054"/>
      <c r="D519" s="3054"/>
      <c r="E519" s="3055"/>
      <c r="F519" s="3055"/>
      <c r="G519" s="3055"/>
      <c r="H519" s="3055"/>
      <c r="I519" s="3055"/>
      <c r="J519" s="3055"/>
      <c r="K519" s="3055"/>
      <c r="L519" s="3055"/>
      <c r="M519" s="3055"/>
      <c r="N519" s="3055"/>
      <c r="O519" s="3055"/>
      <c r="P519" s="3055"/>
      <c r="Q519" s="3055"/>
      <c r="R519" s="3055">
        <f t="shared" si="3"/>
        <v>0</v>
      </c>
      <c r="S519" s="3055">
        <f t="shared" si="4"/>
        <v>0</v>
      </c>
      <c r="T519" s="3055">
        <f t="shared" si="5"/>
        <v>0</v>
      </c>
      <c r="U519" s="3055">
        <f t="shared" si="6"/>
        <v>0</v>
      </c>
      <c r="V519" s="3055">
        <f t="shared" si="7"/>
        <v>0</v>
      </c>
      <c r="W519" s="3055">
        <f t="shared" si="8"/>
        <v>0</v>
      </c>
      <c r="X519" s="3055">
        <f t="shared" si="9"/>
        <v>0</v>
      </c>
      <c r="Y519" s="3055">
        <f t="shared" si="10"/>
        <v>0</v>
      </c>
      <c r="Z519" s="3055">
        <f t="shared" si="11"/>
        <v>0</v>
      </c>
      <c r="AA519" s="3055">
        <f t="shared" si="12"/>
        <v>0</v>
      </c>
      <c r="AB519" s="3055">
        <f t="shared" si="13"/>
        <v>0</v>
      </c>
      <c r="AC519" s="3055">
        <f t="shared" si="14"/>
        <v>0</v>
      </c>
      <c r="AD519" s="3056"/>
      <c r="AE519" s="3057">
        <f t="shared" si="0"/>
      </c>
      <c r="AF519" s="3054"/>
      <c r="AG519" s="3054"/>
      <c r="AH519" s="3055"/>
      <c r="AI519" s="3055"/>
      <c r="AJ519" s="3055"/>
      <c r="AK519" s="3055"/>
      <c r="AL519" s="3055"/>
      <c r="AM519" s="3055"/>
      <c r="AN519" s="3055"/>
      <c r="AO519" s="3055"/>
      <c r="AP519" s="3055"/>
      <c r="AQ519" s="3055"/>
      <c r="AR519" s="3055"/>
      <c r="AS519" s="3055"/>
      <c r="AT519" s="3055"/>
      <c r="AU519" s="3056"/>
      <c r="AV519" s="3057">
        <f t="shared" si="15"/>
      </c>
      <c r="AW519" s="3054"/>
      <c r="AX519" s="3054"/>
      <c r="AY519" s="3055"/>
      <c r="AZ519" s="3055"/>
      <c r="BA519" s="3055"/>
      <c r="BB519" s="3055"/>
      <c r="BC519" s="3055"/>
      <c r="BD519" s="3055"/>
      <c r="BE519" s="3055"/>
      <c r="BF519" s="3055"/>
      <c r="BG519" s="3055"/>
      <c r="BH519" s="3055"/>
      <c r="BI519" s="3055"/>
      <c r="BJ519" s="3055"/>
      <c r="BK519" s="3055"/>
      <c r="BL519" s="3056"/>
      <c r="BM519" s="3057">
        <f t="shared" si="16"/>
      </c>
      <c r="BN519" s="3054"/>
      <c r="BO519" s="3054"/>
      <c r="BP519" s="3055"/>
      <c r="BQ519" s="3055"/>
      <c r="BR519" s="3055"/>
      <c r="BS519" s="3055"/>
      <c r="BT519" s="3055"/>
      <c r="BU519" s="3055"/>
      <c r="BV519" s="3055"/>
      <c r="BW519" s="3055"/>
      <c r="BX519" s="3055"/>
      <c r="BY519" s="3055"/>
      <c r="BZ519" s="3055"/>
      <c r="CA519" s="3055"/>
      <c r="CB519" s="3055"/>
      <c r="CC519" s="3056"/>
      <c r="CD519" s="3057">
        <f t="shared" si="0"/>
      </c>
      <c r="CE519" s="3054"/>
      <c r="CF519" s="3054"/>
      <c r="CG519" s="3055"/>
      <c r="CH519" s="3055"/>
      <c r="CI519" s="3055"/>
      <c r="CJ519" s="3055"/>
      <c r="CK519" s="3055"/>
      <c r="CL519" s="3055"/>
      <c r="CM519" s="3055"/>
      <c r="CN519" s="3055"/>
      <c r="CO519" s="3055"/>
      <c r="CP519" s="3055"/>
      <c r="CQ519" s="3055"/>
      <c r="CR519" s="3055"/>
      <c r="CS519" s="3055"/>
      <c r="CU519" s="3054"/>
      <c r="CV519" s="696"/>
      <c r="CW519" s="696"/>
      <c r="CZ519" s="3060">
        <f t="shared" si="17"/>
      </c>
      <c r="DA519" s="3060">
        <f t="shared" si="1"/>
      </c>
      <c r="DB519" s="3060">
        <f t="shared" si="18"/>
      </c>
      <c r="DC519" s="3060">
        <f t="shared" si="19"/>
      </c>
      <c r="DD519" s="3060">
        <f t="shared" si="20"/>
      </c>
      <c r="DE519" s="3060">
        <f t="shared" si="21"/>
      </c>
      <c r="DF519" s="3060">
        <f t="shared" si="22"/>
      </c>
      <c r="DG519" s="3060">
        <f t="shared" si="23"/>
      </c>
      <c r="DH519" s="3060">
        <f t="shared" si="24"/>
      </c>
      <c r="DI519" s="3060">
        <f t="shared" si="1"/>
      </c>
    </row>
    <row r="520" ht="15" customHeight="1" s="3052" customFormat="1">
      <c r="B520" s="3054">
        <f t="shared" si="2"/>
      </c>
      <c r="C520" s="3054"/>
      <c r="D520" s="3054"/>
      <c r="E520" s="3055"/>
      <c r="F520" s="3055"/>
      <c r="G520" s="3055"/>
      <c r="H520" s="3055"/>
      <c r="I520" s="3055"/>
      <c r="J520" s="3055"/>
      <c r="K520" s="3055"/>
      <c r="L520" s="3055"/>
      <c r="M520" s="3055"/>
      <c r="N520" s="3055"/>
      <c r="O520" s="3055"/>
      <c r="P520" s="3055"/>
      <c r="Q520" s="3055"/>
      <c r="R520" s="3055">
        <f t="shared" si="3"/>
        <v>0</v>
      </c>
      <c r="S520" s="3055">
        <f t="shared" si="4"/>
        <v>0</v>
      </c>
      <c r="T520" s="3055">
        <f t="shared" si="5"/>
        <v>0</v>
      </c>
      <c r="U520" s="3055">
        <f t="shared" si="6"/>
        <v>0</v>
      </c>
      <c r="V520" s="3055">
        <f t="shared" si="7"/>
        <v>0</v>
      </c>
      <c r="W520" s="3055">
        <f t="shared" si="8"/>
        <v>0</v>
      </c>
      <c r="X520" s="3055">
        <f t="shared" si="9"/>
        <v>0</v>
      </c>
      <c r="Y520" s="3055">
        <f t="shared" si="10"/>
        <v>0</v>
      </c>
      <c r="Z520" s="3055">
        <f t="shared" si="11"/>
        <v>0</v>
      </c>
      <c r="AA520" s="3055">
        <f t="shared" si="12"/>
        <v>0</v>
      </c>
      <c r="AB520" s="3055">
        <f t="shared" si="13"/>
        <v>0</v>
      </c>
      <c r="AC520" s="3055">
        <f t="shared" si="14"/>
        <v>0</v>
      </c>
      <c r="AD520" s="3056"/>
      <c r="AE520" s="3057">
        <f t="shared" si="0"/>
      </c>
      <c r="AF520" s="3054"/>
      <c r="AG520" s="3054"/>
      <c r="AH520" s="3055"/>
      <c r="AI520" s="3055"/>
      <c r="AJ520" s="3055"/>
      <c r="AK520" s="3055"/>
      <c r="AL520" s="3055"/>
      <c r="AM520" s="3055"/>
      <c r="AN520" s="3055"/>
      <c r="AO520" s="3055"/>
      <c r="AP520" s="3055"/>
      <c r="AQ520" s="3055"/>
      <c r="AR520" s="3055"/>
      <c r="AS520" s="3055"/>
      <c r="AT520" s="3055"/>
      <c r="AU520" s="3056"/>
      <c r="AV520" s="3057">
        <f t="shared" si="15"/>
      </c>
      <c r="AW520" s="3054"/>
      <c r="AX520" s="3054"/>
      <c r="AY520" s="3055"/>
      <c r="AZ520" s="3055"/>
      <c r="BA520" s="3055"/>
      <c r="BB520" s="3055"/>
      <c r="BC520" s="3055"/>
      <c r="BD520" s="3055"/>
      <c r="BE520" s="3055"/>
      <c r="BF520" s="3055"/>
      <c r="BG520" s="3055"/>
      <c r="BH520" s="3055"/>
      <c r="BI520" s="3055"/>
      <c r="BJ520" s="3055"/>
      <c r="BK520" s="3055"/>
      <c r="BL520" s="3056"/>
      <c r="BM520" s="3057">
        <f t="shared" si="16"/>
      </c>
      <c r="BN520" s="3054"/>
      <c r="BO520" s="3054"/>
      <c r="BP520" s="3055"/>
      <c r="BQ520" s="3055"/>
      <c r="BR520" s="3055"/>
      <c r="BS520" s="3055"/>
      <c r="BT520" s="3055"/>
      <c r="BU520" s="3055"/>
      <c r="BV520" s="3055"/>
      <c r="BW520" s="3055"/>
      <c r="BX520" s="3055"/>
      <c r="BY520" s="3055"/>
      <c r="BZ520" s="3055"/>
      <c r="CA520" s="3055"/>
      <c r="CB520" s="3055"/>
      <c r="CC520" s="3056"/>
      <c r="CD520" s="3057">
        <f t="shared" si="0"/>
      </c>
      <c r="CE520" s="3054"/>
      <c r="CF520" s="3054"/>
      <c r="CG520" s="3055"/>
      <c r="CH520" s="3055"/>
      <c r="CI520" s="3055"/>
      <c r="CJ520" s="3055"/>
      <c r="CK520" s="3055"/>
      <c r="CL520" s="3055"/>
      <c r="CM520" s="3055"/>
      <c r="CN520" s="3055"/>
      <c r="CO520" s="3055"/>
      <c r="CP520" s="3055"/>
      <c r="CQ520" s="3055"/>
      <c r="CR520" s="3055"/>
      <c r="CS520" s="3055"/>
      <c r="CU520" s="3054"/>
      <c r="CV520" s="696"/>
      <c r="CW520" s="696"/>
      <c r="CZ520" s="3060">
        <f t="shared" si="17"/>
      </c>
      <c r="DA520" s="3060">
        <f t="shared" si="1"/>
      </c>
      <c r="DB520" s="3060">
        <f t="shared" si="18"/>
      </c>
      <c r="DC520" s="3060">
        <f t="shared" si="19"/>
      </c>
      <c r="DD520" s="3060">
        <f t="shared" si="20"/>
      </c>
      <c r="DE520" s="3060">
        <f t="shared" si="21"/>
      </c>
      <c r="DF520" s="3060">
        <f t="shared" si="22"/>
      </c>
      <c r="DG520" s="3060">
        <f t="shared" si="23"/>
      </c>
      <c r="DH520" s="3060">
        <f t="shared" si="24"/>
      </c>
      <c r="DI520" s="3060">
        <f t="shared" si="1"/>
      </c>
    </row>
    <row r="521" ht="15" customHeight="1" s="3052" customFormat="1">
      <c r="B521" s="3054">
        <f t="shared" si="2"/>
      </c>
      <c r="C521" s="3054"/>
      <c r="D521" s="3054"/>
      <c r="E521" s="3055"/>
      <c r="F521" s="3055"/>
      <c r="G521" s="3055"/>
      <c r="H521" s="3055"/>
      <c r="I521" s="3055"/>
      <c r="J521" s="3055"/>
      <c r="K521" s="3055"/>
      <c r="L521" s="3055"/>
      <c r="M521" s="3055"/>
      <c r="N521" s="3055"/>
      <c r="O521" s="3055"/>
      <c r="P521" s="3055"/>
      <c r="Q521" s="3055"/>
      <c r="R521" s="3055">
        <f t="shared" si="3"/>
        <v>0</v>
      </c>
      <c r="S521" s="3055">
        <f t="shared" si="4"/>
        <v>0</v>
      </c>
      <c r="T521" s="3055">
        <f t="shared" si="5"/>
        <v>0</v>
      </c>
      <c r="U521" s="3055">
        <f t="shared" si="6"/>
        <v>0</v>
      </c>
      <c r="V521" s="3055">
        <f t="shared" si="7"/>
        <v>0</v>
      </c>
      <c r="W521" s="3055">
        <f t="shared" si="8"/>
        <v>0</v>
      </c>
      <c r="X521" s="3055">
        <f t="shared" si="9"/>
        <v>0</v>
      </c>
      <c r="Y521" s="3055">
        <f t="shared" si="10"/>
        <v>0</v>
      </c>
      <c r="Z521" s="3055">
        <f t="shared" si="11"/>
        <v>0</v>
      </c>
      <c r="AA521" s="3055">
        <f t="shared" si="12"/>
        <v>0</v>
      </c>
      <c r="AB521" s="3055">
        <f t="shared" si="13"/>
        <v>0</v>
      </c>
      <c r="AC521" s="3055">
        <f t="shared" si="14"/>
        <v>0</v>
      </c>
      <c r="AD521" s="3056"/>
      <c r="AE521" s="3057">
        <f t="shared" si="0"/>
      </c>
      <c r="AF521" s="3054"/>
      <c r="AG521" s="3054"/>
      <c r="AH521" s="3055"/>
      <c r="AI521" s="3055"/>
      <c r="AJ521" s="3055"/>
      <c r="AK521" s="3055"/>
      <c r="AL521" s="3055"/>
      <c r="AM521" s="3055"/>
      <c r="AN521" s="3055"/>
      <c r="AO521" s="3055"/>
      <c r="AP521" s="3055"/>
      <c r="AQ521" s="3055"/>
      <c r="AR521" s="3055"/>
      <c r="AS521" s="3055"/>
      <c r="AT521" s="3055"/>
      <c r="AU521" s="3056"/>
      <c r="AV521" s="3057">
        <f t="shared" si="15"/>
      </c>
      <c r="AW521" s="3054"/>
      <c r="AX521" s="3054"/>
      <c r="AY521" s="3055"/>
      <c r="AZ521" s="3055"/>
      <c r="BA521" s="3055"/>
      <c r="BB521" s="3055"/>
      <c r="BC521" s="3055"/>
      <c r="BD521" s="3055"/>
      <c r="BE521" s="3055"/>
      <c r="BF521" s="3055"/>
      <c r="BG521" s="3055"/>
      <c r="BH521" s="3055"/>
      <c r="BI521" s="3055"/>
      <c r="BJ521" s="3055"/>
      <c r="BK521" s="3055"/>
      <c r="BL521" s="3056"/>
      <c r="BM521" s="3057">
        <f t="shared" si="16"/>
      </c>
      <c r="BN521" s="3054"/>
      <c r="BO521" s="3054"/>
      <c r="BP521" s="3055"/>
      <c r="BQ521" s="3055"/>
      <c r="BR521" s="3055"/>
      <c r="BS521" s="3055"/>
      <c r="BT521" s="3055"/>
      <c r="BU521" s="3055"/>
      <c r="BV521" s="3055"/>
      <c r="BW521" s="3055"/>
      <c r="BX521" s="3055"/>
      <c r="BY521" s="3055"/>
      <c r="BZ521" s="3055"/>
      <c r="CA521" s="3055"/>
      <c r="CB521" s="3055"/>
      <c r="CC521" s="3056"/>
      <c r="CD521" s="3057">
        <f t="shared" si="0"/>
      </c>
      <c r="CE521" s="3054"/>
      <c r="CF521" s="3054"/>
      <c r="CG521" s="3055"/>
      <c r="CH521" s="3055"/>
      <c r="CI521" s="3055"/>
      <c r="CJ521" s="3055"/>
      <c r="CK521" s="3055"/>
      <c r="CL521" s="3055"/>
      <c r="CM521" s="3055"/>
      <c r="CN521" s="3055"/>
      <c r="CO521" s="3055"/>
      <c r="CP521" s="3055"/>
      <c r="CQ521" s="3055"/>
      <c r="CR521" s="3055"/>
      <c r="CS521" s="3055"/>
      <c r="CU521" s="3054"/>
      <c r="CV521" s="696"/>
      <c r="CW521" s="696"/>
      <c r="CZ521" s="3060">
        <f t="shared" si="17"/>
      </c>
      <c r="DA521" s="3060">
        <f t="shared" si="1"/>
      </c>
      <c r="DB521" s="3060">
        <f t="shared" si="18"/>
      </c>
      <c r="DC521" s="3060">
        <f t="shared" si="19"/>
      </c>
      <c r="DD521" s="3060">
        <f t="shared" si="20"/>
      </c>
      <c r="DE521" s="3060">
        <f t="shared" si="21"/>
      </c>
      <c r="DF521" s="3060">
        <f t="shared" si="22"/>
      </c>
      <c r="DG521" s="3060">
        <f t="shared" si="23"/>
      </c>
      <c r="DH521" s="3060">
        <f t="shared" si="24"/>
      </c>
      <c r="DI521" s="3060">
        <f t="shared" si="1"/>
      </c>
    </row>
    <row r="522" ht="15" customHeight="1" s="3052" customFormat="1">
      <c r="B522" s="3054">
        <f t="shared" si="2"/>
      </c>
      <c r="C522" s="3054"/>
      <c r="D522" s="3054"/>
      <c r="E522" s="3055"/>
      <c r="F522" s="3055"/>
      <c r="G522" s="3055"/>
      <c r="H522" s="3055"/>
      <c r="I522" s="3055"/>
      <c r="J522" s="3055"/>
      <c r="K522" s="3055"/>
      <c r="L522" s="3055"/>
      <c r="M522" s="3055"/>
      <c r="N522" s="3055"/>
      <c r="O522" s="3055"/>
      <c r="P522" s="3055"/>
      <c r="Q522" s="3055"/>
      <c r="R522" s="3055">
        <f t="shared" si="3"/>
        <v>0</v>
      </c>
      <c r="S522" s="3055">
        <f t="shared" si="4"/>
        <v>0</v>
      </c>
      <c r="T522" s="3055">
        <f t="shared" si="5"/>
        <v>0</v>
      </c>
      <c r="U522" s="3055">
        <f t="shared" si="6"/>
        <v>0</v>
      </c>
      <c r="V522" s="3055">
        <f t="shared" si="7"/>
        <v>0</v>
      </c>
      <c r="W522" s="3055">
        <f t="shared" si="8"/>
        <v>0</v>
      </c>
      <c r="X522" s="3055">
        <f t="shared" si="9"/>
        <v>0</v>
      </c>
      <c r="Y522" s="3055">
        <f t="shared" si="10"/>
        <v>0</v>
      </c>
      <c r="Z522" s="3055">
        <f t="shared" si="11"/>
        <v>0</v>
      </c>
      <c r="AA522" s="3055">
        <f t="shared" si="12"/>
        <v>0</v>
      </c>
      <c r="AB522" s="3055">
        <f t="shared" si="13"/>
        <v>0</v>
      </c>
      <c r="AC522" s="3055">
        <f t="shared" si="14"/>
        <v>0</v>
      </c>
      <c r="AD522" s="3056"/>
      <c r="AE522" s="3057">
        <f t="shared" si="0"/>
      </c>
      <c r="AF522" s="3054"/>
      <c r="AG522" s="3054"/>
      <c r="AH522" s="3055"/>
      <c r="AI522" s="3055"/>
      <c r="AJ522" s="3055"/>
      <c r="AK522" s="3055"/>
      <c r="AL522" s="3055"/>
      <c r="AM522" s="3055"/>
      <c r="AN522" s="3055"/>
      <c r="AO522" s="3055"/>
      <c r="AP522" s="3055"/>
      <c r="AQ522" s="3055"/>
      <c r="AR522" s="3055"/>
      <c r="AS522" s="3055"/>
      <c r="AT522" s="3055"/>
      <c r="AU522" s="3056"/>
      <c r="AV522" s="3057">
        <f t="shared" si="15"/>
      </c>
      <c r="AW522" s="3054"/>
      <c r="AX522" s="3054"/>
      <c r="AY522" s="3055"/>
      <c r="AZ522" s="3055"/>
      <c r="BA522" s="3055"/>
      <c r="BB522" s="3055"/>
      <c r="BC522" s="3055"/>
      <c r="BD522" s="3055"/>
      <c r="BE522" s="3055"/>
      <c r="BF522" s="3055"/>
      <c r="BG522" s="3055"/>
      <c r="BH522" s="3055"/>
      <c r="BI522" s="3055"/>
      <c r="BJ522" s="3055"/>
      <c r="BK522" s="3055"/>
      <c r="BL522" s="3056"/>
      <c r="BM522" s="3057">
        <f t="shared" si="16"/>
      </c>
      <c r="BN522" s="3054"/>
      <c r="BO522" s="3054"/>
      <c r="BP522" s="3055"/>
      <c r="BQ522" s="3055"/>
      <c r="BR522" s="3055"/>
      <c r="BS522" s="3055"/>
      <c r="BT522" s="3055"/>
      <c r="BU522" s="3055"/>
      <c r="BV522" s="3055"/>
      <c r="BW522" s="3055"/>
      <c r="BX522" s="3055"/>
      <c r="BY522" s="3055"/>
      <c r="BZ522" s="3055"/>
      <c r="CA522" s="3055"/>
      <c r="CB522" s="3055"/>
      <c r="CC522" s="3056"/>
      <c r="CD522" s="3057">
        <f t="shared" si="0"/>
      </c>
      <c r="CE522" s="3054"/>
      <c r="CF522" s="3054"/>
      <c r="CG522" s="3055"/>
      <c r="CH522" s="3055"/>
      <c r="CI522" s="3055"/>
      <c r="CJ522" s="3055"/>
      <c r="CK522" s="3055"/>
      <c r="CL522" s="3055"/>
      <c r="CM522" s="3055"/>
      <c r="CN522" s="3055"/>
      <c r="CO522" s="3055"/>
      <c r="CP522" s="3055"/>
      <c r="CQ522" s="3055"/>
      <c r="CR522" s="3055"/>
      <c r="CS522" s="3055"/>
      <c r="CU522" s="3054"/>
      <c r="CV522" s="696"/>
      <c r="CW522" s="696"/>
      <c r="CZ522" s="3060">
        <f t="shared" si="17"/>
      </c>
      <c r="DA522" s="3060">
        <f t="shared" si="1"/>
      </c>
      <c r="DB522" s="3060">
        <f t="shared" si="18"/>
      </c>
      <c r="DC522" s="3060">
        <f t="shared" si="19"/>
      </c>
      <c r="DD522" s="3060">
        <f t="shared" si="20"/>
      </c>
      <c r="DE522" s="3060">
        <f t="shared" si="21"/>
      </c>
      <c r="DF522" s="3060">
        <f t="shared" si="22"/>
      </c>
      <c r="DG522" s="3060">
        <f t="shared" si="23"/>
      </c>
      <c r="DH522" s="3060">
        <f t="shared" si="24"/>
      </c>
      <c r="DI522" s="3060">
        <f t="shared" si="1"/>
      </c>
    </row>
    <row r="523" ht="15" customHeight="1" s="3052" customFormat="1">
      <c r="B523" s="3054">
        <f t="shared" si="2"/>
      </c>
      <c r="C523" s="3054"/>
      <c r="D523" s="3054"/>
      <c r="E523" s="3055"/>
      <c r="F523" s="3055"/>
      <c r="G523" s="3055"/>
      <c r="H523" s="3055"/>
      <c r="I523" s="3055"/>
      <c r="J523" s="3055"/>
      <c r="K523" s="3055"/>
      <c r="L523" s="3055"/>
      <c r="M523" s="3055"/>
      <c r="N523" s="3055"/>
      <c r="O523" s="3055"/>
      <c r="P523" s="3055"/>
      <c r="Q523" s="3055"/>
      <c r="R523" s="3055">
        <f t="shared" si="3"/>
        <v>0</v>
      </c>
      <c r="S523" s="3055">
        <f t="shared" si="4"/>
        <v>0</v>
      </c>
      <c r="T523" s="3055">
        <f t="shared" si="5"/>
        <v>0</v>
      </c>
      <c r="U523" s="3055">
        <f t="shared" si="6"/>
        <v>0</v>
      </c>
      <c r="V523" s="3055">
        <f t="shared" si="7"/>
        <v>0</v>
      </c>
      <c r="W523" s="3055">
        <f t="shared" si="8"/>
        <v>0</v>
      </c>
      <c r="X523" s="3055">
        <f t="shared" si="9"/>
        <v>0</v>
      </c>
      <c r="Y523" s="3055">
        <f t="shared" si="10"/>
        <v>0</v>
      </c>
      <c r="Z523" s="3055">
        <f t="shared" si="11"/>
        <v>0</v>
      </c>
      <c r="AA523" s="3055">
        <f t="shared" si="12"/>
        <v>0</v>
      </c>
      <c r="AB523" s="3055">
        <f t="shared" si="13"/>
        <v>0</v>
      </c>
      <c r="AC523" s="3055">
        <f t="shared" si="14"/>
        <v>0</v>
      </c>
      <c r="AD523" s="3056"/>
      <c r="AE523" s="3057">
        <f t="shared" si="0"/>
      </c>
      <c r="AF523" s="3054"/>
      <c r="AG523" s="3054"/>
      <c r="AH523" s="3055"/>
      <c r="AI523" s="3055"/>
      <c r="AJ523" s="3055"/>
      <c r="AK523" s="3055"/>
      <c r="AL523" s="3055"/>
      <c r="AM523" s="3055"/>
      <c r="AN523" s="3055"/>
      <c r="AO523" s="3055"/>
      <c r="AP523" s="3055"/>
      <c r="AQ523" s="3055"/>
      <c r="AR523" s="3055"/>
      <c r="AS523" s="3055"/>
      <c r="AT523" s="3055"/>
      <c r="AU523" s="3056"/>
      <c r="AV523" s="3057">
        <f t="shared" si="15"/>
      </c>
      <c r="AW523" s="3054"/>
      <c r="AX523" s="3054"/>
      <c r="AY523" s="3055"/>
      <c r="AZ523" s="3055"/>
      <c r="BA523" s="3055"/>
      <c r="BB523" s="3055"/>
      <c r="BC523" s="3055"/>
      <c r="BD523" s="3055"/>
      <c r="BE523" s="3055"/>
      <c r="BF523" s="3055"/>
      <c r="BG523" s="3055"/>
      <c r="BH523" s="3055"/>
      <c r="BI523" s="3055"/>
      <c r="BJ523" s="3055"/>
      <c r="BK523" s="3055"/>
      <c r="BL523" s="3056"/>
      <c r="BM523" s="3057">
        <f t="shared" si="16"/>
      </c>
      <c r="BN523" s="3054"/>
      <c r="BO523" s="3054"/>
      <c r="BP523" s="3055"/>
      <c r="BQ523" s="3055"/>
      <c r="BR523" s="3055"/>
      <c r="BS523" s="3055"/>
      <c r="BT523" s="3055"/>
      <c r="BU523" s="3055"/>
      <c r="BV523" s="3055"/>
      <c r="BW523" s="3055"/>
      <c r="BX523" s="3055"/>
      <c r="BY523" s="3055"/>
      <c r="BZ523" s="3055"/>
      <c r="CA523" s="3055"/>
      <c r="CB523" s="3055"/>
      <c r="CC523" s="3056"/>
      <c r="CD523" s="3057">
        <f t="shared" si="0"/>
      </c>
      <c r="CE523" s="3054"/>
      <c r="CF523" s="3054"/>
      <c r="CG523" s="3055"/>
      <c r="CH523" s="3055"/>
      <c r="CI523" s="3055"/>
      <c r="CJ523" s="3055"/>
      <c r="CK523" s="3055"/>
      <c r="CL523" s="3055"/>
      <c r="CM523" s="3055"/>
      <c r="CN523" s="3055"/>
      <c r="CO523" s="3055"/>
      <c r="CP523" s="3055"/>
      <c r="CQ523" s="3055"/>
      <c r="CR523" s="3055"/>
      <c r="CS523" s="3055"/>
      <c r="CU523" s="3054"/>
      <c r="CV523" s="696"/>
      <c r="CW523" s="696"/>
      <c r="CZ523" s="3060">
        <f t="shared" si="17"/>
      </c>
      <c r="DA523" s="3060">
        <f t="shared" si="1"/>
      </c>
      <c r="DB523" s="3060">
        <f t="shared" si="18"/>
      </c>
      <c r="DC523" s="3060">
        <f t="shared" si="19"/>
      </c>
      <c r="DD523" s="3060">
        <f t="shared" si="20"/>
      </c>
      <c r="DE523" s="3060">
        <f t="shared" si="21"/>
      </c>
      <c r="DF523" s="3060">
        <f t="shared" si="22"/>
      </c>
      <c r="DG523" s="3060">
        <f t="shared" si="23"/>
      </c>
      <c r="DH523" s="3060">
        <f t="shared" si="24"/>
      </c>
      <c r="DI523" s="3060">
        <f t="shared" si="1"/>
      </c>
    </row>
    <row r="524" ht="15" customHeight="1" s="3052" customFormat="1">
      <c r="B524" s="3054">
        <f t="shared" si="2"/>
      </c>
      <c r="C524" s="3054"/>
      <c r="D524" s="3054"/>
      <c r="E524" s="3055"/>
      <c r="F524" s="3055"/>
      <c r="G524" s="3055"/>
      <c r="H524" s="3055"/>
      <c r="I524" s="3055"/>
      <c r="J524" s="3055"/>
      <c r="K524" s="3055"/>
      <c r="L524" s="3055"/>
      <c r="M524" s="3055"/>
      <c r="N524" s="3055"/>
      <c r="O524" s="3055"/>
      <c r="P524" s="3055"/>
      <c r="Q524" s="3055"/>
      <c r="R524" s="3055">
        <f t="shared" si="3"/>
        <v>0</v>
      </c>
      <c r="S524" s="3055">
        <f t="shared" si="4"/>
        <v>0</v>
      </c>
      <c r="T524" s="3055">
        <f t="shared" si="5"/>
        <v>0</v>
      </c>
      <c r="U524" s="3055">
        <f t="shared" si="6"/>
        <v>0</v>
      </c>
      <c r="V524" s="3055">
        <f t="shared" si="7"/>
        <v>0</v>
      </c>
      <c r="W524" s="3055">
        <f t="shared" si="8"/>
        <v>0</v>
      </c>
      <c r="X524" s="3055">
        <f t="shared" si="9"/>
        <v>0</v>
      </c>
      <c r="Y524" s="3055">
        <f t="shared" si="10"/>
        <v>0</v>
      </c>
      <c r="Z524" s="3055">
        <f t="shared" si="11"/>
        <v>0</v>
      </c>
      <c r="AA524" s="3055">
        <f t="shared" si="12"/>
        <v>0</v>
      </c>
      <c r="AB524" s="3055">
        <f t="shared" si="13"/>
        <v>0</v>
      </c>
      <c r="AC524" s="3055">
        <f t="shared" si="14"/>
        <v>0</v>
      </c>
      <c r="AD524" s="3056"/>
      <c r="AE524" s="3057">
        <f t="shared" si="0"/>
      </c>
      <c r="AF524" s="3054"/>
      <c r="AG524" s="3054"/>
      <c r="AH524" s="3055"/>
      <c r="AI524" s="3055"/>
      <c r="AJ524" s="3055"/>
      <c r="AK524" s="3055"/>
      <c r="AL524" s="3055"/>
      <c r="AM524" s="3055"/>
      <c r="AN524" s="3055"/>
      <c r="AO524" s="3055"/>
      <c r="AP524" s="3055"/>
      <c r="AQ524" s="3055"/>
      <c r="AR524" s="3055"/>
      <c r="AS524" s="3055"/>
      <c r="AT524" s="3055"/>
      <c r="AU524" s="3056"/>
      <c r="AV524" s="3057">
        <f t="shared" si="15"/>
      </c>
      <c r="AW524" s="3054"/>
      <c r="AX524" s="3054"/>
      <c r="AY524" s="3055"/>
      <c r="AZ524" s="3055"/>
      <c r="BA524" s="3055"/>
      <c r="BB524" s="3055"/>
      <c r="BC524" s="3055"/>
      <c r="BD524" s="3055"/>
      <c r="BE524" s="3055"/>
      <c r="BF524" s="3055"/>
      <c r="BG524" s="3055"/>
      <c r="BH524" s="3055"/>
      <c r="BI524" s="3055"/>
      <c r="BJ524" s="3055"/>
      <c r="BK524" s="3055"/>
      <c r="BL524" s="3056"/>
      <c r="BM524" s="3057">
        <f t="shared" si="16"/>
      </c>
      <c r="BN524" s="3054"/>
      <c r="BO524" s="3054"/>
      <c r="BP524" s="3055"/>
      <c r="BQ524" s="3055"/>
      <c r="BR524" s="3055"/>
      <c r="BS524" s="3055"/>
      <c r="BT524" s="3055"/>
      <c r="BU524" s="3055"/>
      <c r="BV524" s="3055"/>
      <c r="BW524" s="3055"/>
      <c r="BX524" s="3055"/>
      <c r="BY524" s="3055"/>
      <c r="BZ524" s="3055"/>
      <c r="CA524" s="3055"/>
      <c r="CB524" s="3055"/>
      <c r="CC524" s="3056"/>
      <c r="CD524" s="3057">
        <f t="shared" si="0"/>
      </c>
      <c r="CE524" s="3054"/>
      <c r="CF524" s="3054"/>
      <c r="CG524" s="3055"/>
      <c r="CH524" s="3055"/>
      <c r="CI524" s="3055"/>
      <c r="CJ524" s="3055"/>
      <c r="CK524" s="3055"/>
      <c r="CL524" s="3055"/>
      <c r="CM524" s="3055"/>
      <c r="CN524" s="3055"/>
      <c r="CO524" s="3055"/>
      <c r="CP524" s="3055"/>
      <c r="CQ524" s="3055"/>
      <c r="CR524" s="3055"/>
      <c r="CS524" s="3055"/>
      <c r="CU524" s="3054"/>
      <c r="CV524" s="696"/>
      <c r="CW524" s="696"/>
      <c r="CZ524" s="3060">
        <f t="shared" si="17"/>
      </c>
      <c r="DA524" s="3060">
        <f t="shared" si="1"/>
      </c>
      <c r="DB524" s="3060">
        <f t="shared" si="18"/>
      </c>
      <c r="DC524" s="3060">
        <f t="shared" si="19"/>
      </c>
      <c r="DD524" s="3060">
        <f t="shared" si="20"/>
      </c>
      <c r="DE524" s="3060">
        <f t="shared" si="21"/>
      </c>
      <c r="DF524" s="3060">
        <f t="shared" si="22"/>
      </c>
      <c r="DG524" s="3060">
        <f t="shared" si="23"/>
      </c>
      <c r="DH524" s="3060">
        <f t="shared" si="24"/>
      </c>
      <c r="DI524" s="3060">
        <f t="shared" si="1"/>
      </c>
    </row>
    <row r="525" ht="15" customHeight="1" s="3052" customFormat="1">
      <c r="B525" s="3054">
        <f t="shared" si="2"/>
      </c>
      <c r="C525" s="3054"/>
      <c r="D525" s="3054"/>
      <c r="E525" s="3055"/>
      <c r="F525" s="3055"/>
      <c r="G525" s="3055"/>
      <c r="H525" s="3055"/>
      <c r="I525" s="3055"/>
      <c r="J525" s="3055"/>
      <c r="K525" s="3055"/>
      <c r="L525" s="3055"/>
      <c r="M525" s="3055"/>
      <c r="N525" s="3055"/>
      <c r="O525" s="3055"/>
      <c r="P525" s="3055"/>
      <c r="Q525" s="3055"/>
      <c r="R525" s="3055">
        <f t="shared" si="3"/>
        <v>0</v>
      </c>
      <c r="S525" s="3055">
        <f t="shared" si="4"/>
        <v>0</v>
      </c>
      <c r="T525" s="3055">
        <f t="shared" si="5"/>
        <v>0</v>
      </c>
      <c r="U525" s="3055">
        <f t="shared" si="6"/>
        <v>0</v>
      </c>
      <c r="V525" s="3055">
        <f t="shared" si="7"/>
        <v>0</v>
      </c>
      <c r="W525" s="3055">
        <f t="shared" si="8"/>
        <v>0</v>
      </c>
      <c r="X525" s="3055">
        <f t="shared" si="9"/>
        <v>0</v>
      </c>
      <c r="Y525" s="3055">
        <f t="shared" si="10"/>
        <v>0</v>
      </c>
      <c r="Z525" s="3055">
        <f t="shared" si="11"/>
        <v>0</v>
      </c>
      <c r="AA525" s="3055">
        <f t="shared" si="12"/>
        <v>0</v>
      </c>
      <c r="AB525" s="3055">
        <f t="shared" si="13"/>
        <v>0</v>
      </c>
      <c r="AC525" s="3055">
        <f t="shared" si="14"/>
        <v>0</v>
      </c>
      <c r="AD525" s="3056"/>
      <c r="AE525" s="3057">
        <f t="shared" si="0"/>
      </c>
      <c r="AF525" s="3054"/>
      <c r="AG525" s="3054"/>
      <c r="AH525" s="3055"/>
      <c r="AI525" s="3055"/>
      <c r="AJ525" s="3055"/>
      <c r="AK525" s="3055"/>
      <c r="AL525" s="3055"/>
      <c r="AM525" s="3055"/>
      <c r="AN525" s="3055"/>
      <c r="AO525" s="3055"/>
      <c r="AP525" s="3055"/>
      <c r="AQ525" s="3055"/>
      <c r="AR525" s="3055"/>
      <c r="AS525" s="3055"/>
      <c r="AT525" s="3055"/>
      <c r="AU525" s="3056"/>
      <c r="AV525" s="3057">
        <f t="shared" si="15"/>
      </c>
      <c r="AW525" s="3054"/>
      <c r="AX525" s="3054"/>
      <c r="AY525" s="3055"/>
      <c r="AZ525" s="3055"/>
      <c r="BA525" s="3055"/>
      <c r="BB525" s="3055"/>
      <c r="BC525" s="3055"/>
      <c r="BD525" s="3055"/>
      <c r="BE525" s="3055"/>
      <c r="BF525" s="3055"/>
      <c r="BG525" s="3055"/>
      <c r="BH525" s="3055"/>
      <c r="BI525" s="3055"/>
      <c r="BJ525" s="3055"/>
      <c r="BK525" s="3055"/>
      <c r="BL525" s="3056"/>
      <c r="BM525" s="3057">
        <f t="shared" si="16"/>
      </c>
      <c r="BN525" s="3054"/>
      <c r="BO525" s="3054"/>
      <c r="BP525" s="3055"/>
      <c r="BQ525" s="3055"/>
      <c r="BR525" s="3055"/>
      <c r="BS525" s="3055"/>
      <c r="BT525" s="3055"/>
      <c r="BU525" s="3055"/>
      <c r="BV525" s="3055"/>
      <c r="BW525" s="3055"/>
      <c r="BX525" s="3055"/>
      <c r="BY525" s="3055"/>
      <c r="BZ525" s="3055"/>
      <c r="CA525" s="3055"/>
      <c r="CB525" s="3055"/>
      <c r="CC525" s="3056"/>
      <c r="CD525" s="3057">
        <f t="shared" si="0"/>
      </c>
      <c r="CE525" s="3054"/>
      <c r="CF525" s="3054"/>
      <c r="CG525" s="3055"/>
      <c r="CH525" s="3055"/>
      <c r="CI525" s="3055"/>
      <c r="CJ525" s="3055"/>
      <c r="CK525" s="3055"/>
      <c r="CL525" s="3055"/>
      <c r="CM525" s="3055"/>
      <c r="CN525" s="3055"/>
      <c r="CO525" s="3055"/>
      <c r="CP525" s="3055"/>
      <c r="CQ525" s="3055"/>
      <c r="CR525" s="3055"/>
      <c r="CS525" s="3055"/>
      <c r="CU525" s="3054"/>
      <c r="CV525" s="696"/>
      <c r="CW525" s="696"/>
      <c r="CZ525" s="3060">
        <f t="shared" si="17"/>
      </c>
      <c r="DA525" s="3060">
        <f t="shared" si="1"/>
      </c>
      <c r="DB525" s="3060">
        <f t="shared" si="18"/>
      </c>
      <c r="DC525" s="3060">
        <f t="shared" si="19"/>
      </c>
      <c r="DD525" s="3060">
        <f t="shared" si="20"/>
      </c>
      <c r="DE525" s="3060">
        <f t="shared" si="21"/>
      </c>
      <c r="DF525" s="3060">
        <f t="shared" si="22"/>
      </c>
      <c r="DG525" s="3060">
        <f t="shared" si="23"/>
      </c>
      <c r="DH525" s="3060">
        <f t="shared" si="24"/>
      </c>
      <c r="DI525" s="3060">
        <f t="shared" si="1"/>
      </c>
    </row>
    <row r="526" ht="15" customHeight="1" s="3052" customFormat="1">
      <c r="B526" s="3054">
        <f t="shared" si="2"/>
      </c>
      <c r="C526" s="3054"/>
      <c r="D526" s="3054"/>
      <c r="E526" s="3055"/>
      <c r="F526" s="3055"/>
      <c r="G526" s="3055"/>
      <c r="H526" s="3055"/>
      <c r="I526" s="3055"/>
      <c r="J526" s="3055"/>
      <c r="K526" s="3055"/>
      <c r="L526" s="3055"/>
      <c r="M526" s="3055"/>
      <c r="N526" s="3055"/>
      <c r="O526" s="3055"/>
      <c r="P526" s="3055"/>
      <c r="Q526" s="3055"/>
      <c r="R526" s="3055">
        <f t="shared" si="3"/>
        <v>0</v>
      </c>
      <c r="S526" s="3055">
        <f t="shared" si="4"/>
        <v>0</v>
      </c>
      <c r="T526" s="3055">
        <f t="shared" si="5"/>
        <v>0</v>
      </c>
      <c r="U526" s="3055">
        <f t="shared" si="6"/>
        <v>0</v>
      </c>
      <c r="V526" s="3055">
        <f t="shared" si="7"/>
        <v>0</v>
      </c>
      <c r="W526" s="3055">
        <f t="shared" si="8"/>
        <v>0</v>
      </c>
      <c r="X526" s="3055">
        <f t="shared" si="9"/>
        <v>0</v>
      </c>
      <c r="Y526" s="3055">
        <f t="shared" si="10"/>
        <v>0</v>
      </c>
      <c r="Z526" s="3055">
        <f t="shared" si="11"/>
        <v>0</v>
      </c>
      <c r="AA526" s="3055">
        <f t="shared" si="12"/>
        <v>0</v>
      </c>
      <c r="AB526" s="3055">
        <f t="shared" si="13"/>
        <v>0</v>
      </c>
      <c r="AC526" s="3055">
        <f t="shared" si="14"/>
        <v>0</v>
      </c>
      <c r="AD526" s="3056"/>
      <c r="AE526" s="3057">
        <f t="shared" si="0"/>
      </c>
      <c r="AF526" s="3054"/>
      <c r="AG526" s="3054"/>
      <c r="AH526" s="3055"/>
      <c r="AI526" s="3055"/>
      <c r="AJ526" s="3055"/>
      <c r="AK526" s="3055"/>
      <c r="AL526" s="3055"/>
      <c r="AM526" s="3055"/>
      <c r="AN526" s="3055"/>
      <c r="AO526" s="3055"/>
      <c r="AP526" s="3055"/>
      <c r="AQ526" s="3055"/>
      <c r="AR526" s="3055"/>
      <c r="AS526" s="3055"/>
      <c r="AT526" s="3055"/>
      <c r="AU526" s="3056"/>
      <c r="AV526" s="3057">
        <f t="shared" si="15"/>
      </c>
      <c r="AW526" s="3054"/>
      <c r="AX526" s="3054"/>
      <c r="AY526" s="3055"/>
      <c r="AZ526" s="3055"/>
      <c r="BA526" s="3055"/>
      <c r="BB526" s="3055"/>
      <c r="BC526" s="3055"/>
      <c r="BD526" s="3055"/>
      <c r="BE526" s="3055"/>
      <c r="BF526" s="3055"/>
      <c r="BG526" s="3055"/>
      <c r="BH526" s="3055"/>
      <c r="BI526" s="3055"/>
      <c r="BJ526" s="3055"/>
      <c r="BK526" s="3055"/>
      <c r="BL526" s="3056"/>
      <c r="BM526" s="3057">
        <f t="shared" si="16"/>
      </c>
      <c r="BN526" s="3054"/>
      <c r="BO526" s="3054"/>
      <c r="BP526" s="3055"/>
      <c r="BQ526" s="3055"/>
      <c r="BR526" s="3055"/>
      <c r="BS526" s="3055"/>
      <c r="BT526" s="3055"/>
      <c r="BU526" s="3055"/>
      <c r="BV526" s="3055"/>
      <c r="BW526" s="3055"/>
      <c r="BX526" s="3055"/>
      <c r="BY526" s="3055"/>
      <c r="BZ526" s="3055"/>
      <c r="CA526" s="3055"/>
      <c r="CB526" s="3055"/>
      <c r="CC526" s="3056"/>
      <c r="CD526" s="3057">
        <f t="shared" si="0"/>
      </c>
      <c r="CE526" s="3054"/>
      <c r="CF526" s="3054"/>
      <c r="CG526" s="3055"/>
      <c r="CH526" s="3055"/>
      <c r="CI526" s="3055"/>
      <c r="CJ526" s="3055"/>
      <c r="CK526" s="3055"/>
      <c r="CL526" s="3055"/>
      <c r="CM526" s="3055"/>
      <c r="CN526" s="3055"/>
      <c r="CO526" s="3055"/>
      <c r="CP526" s="3055"/>
      <c r="CQ526" s="3055"/>
      <c r="CR526" s="3055"/>
      <c r="CS526" s="3055"/>
      <c r="CU526" s="3054"/>
      <c r="CV526" s="696"/>
      <c r="CW526" s="696"/>
      <c r="CZ526" s="3060">
        <f t="shared" si="17"/>
      </c>
      <c r="DA526" s="3060">
        <f t="shared" si="1"/>
      </c>
      <c r="DB526" s="3060">
        <f t="shared" si="18"/>
      </c>
      <c r="DC526" s="3060">
        <f t="shared" si="19"/>
      </c>
      <c r="DD526" s="3060">
        <f t="shared" si="20"/>
      </c>
      <c r="DE526" s="3060">
        <f t="shared" si="21"/>
      </c>
      <c r="DF526" s="3060">
        <f t="shared" si="22"/>
      </c>
      <c r="DG526" s="3060">
        <f t="shared" si="23"/>
      </c>
      <c r="DH526" s="3060">
        <f t="shared" si="24"/>
      </c>
      <c r="DI526" s="3060">
        <f t="shared" si="1"/>
      </c>
    </row>
    <row r="527" ht="15" customHeight="1" s="3052" customFormat="1">
      <c r="B527" s="3054">
        <f t="shared" si="2"/>
      </c>
      <c r="C527" s="3054"/>
      <c r="D527" s="3054"/>
      <c r="E527" s="3055"/>
      <c r="F527" s="3055"/>
      <c r="G527" s="3055"/>
      <c r="H527" s="3055"/>
      <c r="I527" s="3055"/>
      <c r="J527" s="3055"/>
      <c r="K527" s="3055"/>
      <c r="L527" s="3055"/>
      <c r="M527" s="3055"/>
      <c r="N527" s="3055"/>
      <c r="O527" s="3055"/>
      <c r="P527" s="3055"/>
      <c r="Q527" s="3055"/>
      <c r="R527" s="3055">
        <f t="shared" si="3"/>
        <v>0</v>
      </c>
      <c r="S527" s="3055">
        <f t="shared" si="4"/>
        <v>0</v>
      </c>
      <c r="T527" s="3055">
        <f t="shared" si="5"/>
        <v>0</v>
      </c>
      <c r="U527" s="3055">
        <f t="shared" si="6"/>
        <v>0</v>
      </c>
      <c r="V527" s="3055">
        <f t="shared" si="7"/>
        <v>0</v>
      </c>
      <c r="W527" s="3055">
        <f t="shared" si="8"/>
        <v>0</v>
      </c>
      <c r="X527" s="3055">
        <f t="shared" si="9"/>
        <v>0</v>
      </c>
      <c r="Y527" s="3055">
        <f t="shared" si="10"/>
        <v>0</v>
      </c>
      <c r="Z527" s="3055">
        <f t="shared" si="11"/>
        <v>0</v>
      </c>
      <c r="AA527" s="3055">
        <f t="shared" si="12"/>
        <v>0</v>
      </c>
      <c r="AB527" s="3055">
        <f t="shared" si="13"/>
        <v>0</v>
      </c>
      <c r="AC527" s="3055">
        <f t="shared" si="14"/>
        <v>0</v>
      </c>
      <c r="AD527" s="3056"/>
      <c r="AE527" s="3057">
        <f t="shared" si="0"/>
      </c>
      <c r="AF527" s="3054"/>
      <c r="AG527" s="3054"/>
      <c r="AH527" s="3055"/>
      <c r="AI527" s="3055"/>
      <c r="AJ527" s="3055"/>
      <c r="AK527" s="3055"/>
      <c r="AL527" s="3055"/>
      <c r="AM527" s="3055"/>
      <c r="AN527" s="3055"/>
      <c r="AO527" s="3055"/>
      <c r="AP527" s="3055"/>
      <c r="AQ527" s="3055"/>
      <c r="AR527" s="3055"/>
      <c r="AS527" s="3055"/>
      <c r="AT527" s="3055"/>
      <c r="AU527" s="3056"/>
      <c r="AV527" s="3057">
        <f t="shared" si="15"/>
      </c>
      <c r="AW527" s="3054"/>
      <c r="AX527" s="3054"/>
      <c r="AY527" s="3055"/>
      <c r="AZ527" s="3055"/>
      <c r="BA527" s="3055"/>
      <c r="BB527" s="3055"/>
      <c r="BC527" s="3055"/>
      <c r="BD527" s="3055"/>
      <c r="BE527" s="3055"/>
      <c r="BF527" s="3055"/>
      <c r="BG527" s="3055"/>
      <c r="BH527" s="3055"/>
      <c r="BI527" s="3055"/>
      <c r="BJ527" s="3055"/>
      <c r="BK527" s="3055"/>
      <c r="BL527" s="3056"/>
      <c r="BM527" s="3057">
        <f t="shared" si="16"/>
      </c>
      <c r="BN527" s="3054"/>
      <c r="BO527" s="3054"/>
      <c r="BP527" s="3055"/>
      <c r="BQ527" s="3055"/>
      <c r="BR527" s="3055"/>
      <c r="BS527" s="3055"/>
      <c r="BT527" s="3055"/>
      <c r="BU527" s="3055"/>
      <c r="BV527" s="3055"/>
      <c r="BW527" s="3055"/>
      <c r="BX527" s="3055"/>
      <c r="BY527" s="3055"/>
      <c r="BZ527" s="3055"/>
      <c r="CA527" s="3055"/>
      <c r="CB527" s="3055"/>
      <c r="CC527" s="3056"/>
      <c r="CD527" s="3057">
        <f t="shared" si="0"/>
      </c>
      <c r="CE527" s="3054"/>
      <c r="CF527" s="3054"/>
      <c r="CG527" s="3055"/>
      <c r="CH527" s="3055"/>
      <c r="CI527" s="3055"/>
      <c r="CJ527" s="3055"/>
      <c r="CK527" s="3055"/>
      <c r="CL527" s="3055"/>
      <c r="CM527" s="3055"/>
      <c r="CN527" s="3055"/>
      <c r="CO527" s="3055"/>
      <c r="CP527" s="3055"/>
      <c r="CQ527" s="3055"/>
      <c r="CR527" s="3055"/>
      <c r="CS527" s="3055"/>
      <c r="CU527" s="3054"/>
      <c r="CV527" s="696"/>
      <c r="CW527" s="696"/>
      <c r="CZ527" s="3060">
        <f t="shared" si="17"/>
      </c>
      <c r="DA527" s="3060">
        <f t="shared" si="1"/>
      </c>
      <c r="DB527" s="3060">
        <f t="shared" si="18"/>
      </c>
      <c r="DC527" s="3060">
        <f t="shared" si="19"/>
      </c>
      <c r="DD527" s="3060">
        <f t="shared" si="20"/>
      </c>
      <c r="DE527" s="3060">
        <f t="shared" si="21"/>
      </c>
      <c r="DF527" s="3060">
        <f t="shared" si="22"/>
      </c>
      <c r="DG527" s="3060">
        <f t="shared" si="23"/>
      </c>
      <c r="DH527" s="3060">
        <f t="shared" si="24"/>
      </c>
      <c r="DI527" s="3060">
        <f t="shared" si="1"/>
      </c>
    </row>
    <row r="528" ht="15" customHeight="1" s="3052" customFormat="1">
      <c r="B528" s="3054">
        <f t="shared" si="2"/>
      </c>
      <c r="C528" s="3054"/>
      <c r="D528" s="3054"/>
      <c r="E528" s="3055"/>
      <c r="F528" s="3055"/>
      <c r="G528" s="3055"/>
      <c r="H528" s="3055"/>
      <c r="I528" s="3055"/>
      <c r="J528" s="3055"/>
      <c r="K528" s="3055"/>
      <c r="L528" s="3055"/>
      <c r="M528" s="3055"/>
      <c r="N528" s="3055"/>
      <c r="O528" s="3055"/>
      <c r="P528" s="3055"/>
      <c r="Q528" s="3055"/>
      <c r="R528" s="3055">
        <f t="shared" si="3"/>
        <v>0</v>
      </c>
      <c r="S528" s="3055">
        <f t="shared" si="4"/>
        <v>0</v>
      </c>
      <c r="T528" s="3055">
        <f t="shared" si="5"/>
        <v>0</v>
      </c>
      <c r="U528" s="3055">
        <f t="shared" si="6"/>
        <v>0</v>
      </c>
      <c r="V528" s="3055">
        <f t="shared" si="7"/>
        <v>0</v>
      </c>
      <c r="W528" s="3055">
        <f t="shared" si="8"/>
        <v>0</v>
      </c>
      <c r="X528" s="3055">
        <f t="shared" si="9"/>
        <v>0</v>
      </c>
      <c r="Y528" s="3055">
        <f t="shared" si="10"/>
        <v>0</v>
      </c>
      <c r="Z528" s="3055">
        <f t="shared" si="11"/>
        <v>0</v>
      </c>
      <c r="AA528" s="3055">
        <f t="shared" si="12"/>
        <v>0</v>
      </c>
      <c r="AB528" s="3055">
        <f t="shared" si="13"/>
        <v>0</v>
      </c>
      <c r="AC528" s="3055">
        <f t="shared" si="14"/>
        <v>0</v>
      </c>
      <c r="AD528" s="3056"/>
      <c r="AE528" s="3057">
        <f t="shared" si="0"/>
      </c>
      <c r="AF528" s="3054"/>
      <c r="AG528" s="3054"/>
      <c r="AH528" s="3055"/>
      <c r="AI528" s="3055"/>
      <c r="AJ528" s="3055"/>
      <c r="AK528" s="3055"/>
      <c r="AL528" s="3055"/>
      <c r="AM528" s="3055"/>
      <c r="AN528" s="3055"/>
      <c r="AO528" s="3055"/>
      <c r="AP528" s="3055"/>
      <c r="AQ528" s="3055"/>
      <c r="AR528" s="3055"/>
      <c r="AS528" s="3055"/>
      <c r="AT528" s="3055"/>
      <c r="AU528" s="3056"/>
      <c r="AV528" s="3057">
        <f t="shared" si="15"/>
      </c>
      <c r="AW528" s="3054"/>
      <c r="AX528" s="3054"/>
      <c r="AY528" s="3055"/>
      <c r="AZ528" s="3055"/>
      <c r="BA528" s="3055"/>
      <c r="BB528" s="3055"/>
      <c r="BC528" s="3055"/>
      <c r="BD528" s="3055"/>
      <c r="BE528" s="3055"/>
      <c r="BF528" s="3055"/>
      <c r="BG528" s="3055"/>
      <c r="BH528" s="3055"/>
      <c r="BI528" s="3055"/>
      <c r="BJ528" s="3055"/>
      <c r="BK528" s="3055"/>
      <c r="BL528" s="3056"/>
      <c r="BM528" s="3057">
        <f t="shared" si="16"/>
      </c>
      <c r="BN528" s="3054"/>
      <c r="BO528" s="3054"/>
      <c r="BP528" s="3055"/>
      <c r="BQ528" s="3055"/>
      <c r="BR528" s="3055"/>
      <c r="BS528" s="3055"/>
      <c r="BT528" s="3055"/>
      <c r="BU528" s="3055"/>
      <c r="BV528" s="3055"/>
      <c r="BW528" s="3055"/>
      <c r="BX528" s="3055"/>
      <c r="BY528" s="3055"/>
      <c r="BZ528" s="3055"/>
      <c r="CA528" s="3055"/>
      <c r="CB528" s="3055"/>
      <c r="CC528" s="3056"/>
      <c r="CD528" s="3057">
        <f t="shared" si="0"/>
      </c>
      <c r="CE528" s="3054"/>
      <c r="CF528" s="3054"/>
      <c r="CG528" s="3055"/>
      <c r="CH528" s="3055"/>
      <c r="CI528" s="3055"/>
      <c r="CJ528" s="3055"/>
      <c r="CK528" s="3055"/>
      <c r="CL528" s="3055"/>
      <c r="CM528" s="3055"/>
      <c r="CN528" s="3055"/>
      <c r="CO528" s="3055"/>
      <c r="CP528" s="3055"/>
      <c r="CQ528" s="3055"/>
      <c r="CR528" s="3055"/>
      <c r="CS528" s="3055"/>
      <c r="CU528" s="3054"/>
      <c r="CV528" s="696"/>
      <c r="CW528" s="696"/>
      <c r="CZ528" s="3060">
        <f t="shared" si="17"/>
      </c>
      <c r="DA528" s="3060">
        <f t="shared" si="1"/>
      </c>
      <c r="DB528" s="3060">
        <f t="shared" si="18"/>
      </c>
      <c r="DC528" s="3060">
        <f t="shared" si="19"/>
      </c>
      <c r="DD528" s="3060">
        <f t="shared" si="20"/>
      </c>
      <c r="DE528" s="3060">
        <f t="shared" si="21"/>
      </c>
      <c r="DF528" s="3060">
        <f t="shared" si="22"/>
      </c>
      <c r="DG528" s="3060">
        <f t="shared" si="23"/>
      </c>
      <c r="DH528" s="3060">
        <f t="shared" si="24"/>
      </c>
      <c r="DI528" s="3060">
        <f t="shared" si="1"/>
      </c>
    </row>
    <row r="529" ht="15" customHeight="1" s="3052" customFormat="1">
      <c r="B529" s="3054">
        <f t="shared" si="2"/>
      </c>
      <c r="C529" s="3054"/>
      <c r="D529" s="3054"/>
      <c r="E529" s="3055"/>
      <c r="F529" s="3055"/>
      <c r="G529" s="3055"/>
      <c r="H529" s="3055"/>
      <c r="I529" s="3055"/>
      <c r="J529" s="3055"/>
      <c r="K529" s="3055"/>
      <c r="L529" s="3055"/>
      <c r="M529" s="3055"/>
      <c r="N529" s="3055"/>
      <c r="O529" s="3055"/>
      <c r="P529" s="3055"/>
      <c r="Q529" s="3055"/>
      <c r="R529" s="3055">
        <f t="shared" si="3"/>
        <v>0</v>
      </c>
      <c r="S529" s="3055">
        <f t="shared" si="4"/>
        <v>0</v>
      </c>
      <c r="T529" s="3055">
        <f t="shared" si="5"/>
        <v>0</v>
      </c>
      <c r="U529" s="3055">
        <f t="shared" si="6"/>
        <v>0</v>
      </c>
      <c r="V529" s="3055">
        <f t="shared" si="7"/>
        <v>0</v>
      </c>
      <c r="W529" s="3055">
        <f t="shared" si="8"/>
        <v>0</v>
      </c>
      <c r="X529" s="3055">
        <f t="shared" si="9"/>
        <v>0</v>
      </c>
      <c r="Y529" s="3055">
        <f t="shared" si="10"/>
        <v>0</v>
      </c>
      <c r="Z529" s="3055">
        <f t="shared" si="11"/>
        <v>0</v>
      </c>
      <c r="AA529" s="3055">
        <f t="shared" si="12"/>
        <v>0</v>
      </c>
      <c r="AB529" s="3055">
        <f t="shared" si="13"/>
        <v>0</v>
      </c>
      <c r="AC529" s="3055">
        <f t="shared" si="14"/>
        <v>0</v>
      </c>
      <c r="AD529" s="3056"/>
      <c r="AE529" s="3057">
        <f t="shared" si="0"/>
      </c>
      <c r="AF529" s="3054"/>
      <c r="AG529" s="3054"/>
      <c r="AH529" s="3055"/>
      <c r="AI529" s="3055"/>
      <c r="AJ529" s="3055"/>
      <c r="AK529" s="3055"/>
      <c r="AL529" s="3055"/>
      <c r="AM529" s="3055"/>
      <c r="AN529" s="3055"/>
      <c r="AO529" s="3055"/>
      <c r="AP529" s="3055"/>
      <c r="AQ529" s="3055"/>
      <c r="AR529" s="3055"/>
      <c r="AS529" s="3055"/>
      <c r="AT529" s="3055"/>
      <c r="AU529" s="3056"/>
      <c r="AV529" s="3057">
        <f t="shared" si="15"/>
      </c>
      <c r="AW529" s="3054"/>
      <c r="AX529" s="3054"/>
      <c r="AY529" s="3055"/>
      <c r="AZ529" s="3055"/>
      <c r="BA529" s="3055"/>
      <c r="BB529" s="3055"/>
      <c r="BC529" s="3055"/>
      <c r="BD529" s="3055"/>
      <c r="BE529" s="3055"/>
      <c r="BF529" s="3055"/>
      <c r="BG529" s="3055"/>
      <c r="BH529" s="3055"/>
      <c r="BI529" s="3055"/>
      <c r="BJ529" s="3055"/>
      <c r="BK529" s="3055"/>
      <c r="BL529" s="3056"/>
      <c r="BM529" s="3057">
        <f t="shared" si="16"/>
      </c>
      <c r="BN529" s="3054"/>
      <c r="BO529" s="3054"/>
      <c r="BP529" s="3055"/>
      <c r="BQ529" s="3055"/>
      <c r="BR529" s="3055"/>
      <c r="BS529" s="3055"/>
      <c r="BT529" s="3055"/>
      <c r="BU529" s="3055"/>
      <c r="BV529" s="3055"/>
      <c r="BW529" s="3055"/>
      <c r="BX529" s="3055"/>
      <c r="BY529" s="3055"/>
      <c r="BZ529" s="3055"/>
      <c r="CA529" s="3055"/>
      <c r="CB529" s="3055"/>
      <c r="CC529" s="3056"/>
      <c r="CD529" s="3057">
        <f t="shared" si="0"/>
      </c>
      <c r="CE529" s="3054"/>
      <c r="CF529" s="3054"/>
      <c r="CG529" s="3055"/>
      <c r="CH529" s="3055"/>
      <c r="CI529" s="3055"/>
      <c r="CJ529" s="3055"/>
      <c r="CK529" s="3055"/>
      <c r="CL529" s="3055"/>
      <c r="CM529" s="3055"/>
      <c r="CN529" s="3055"/>
      <c r="CO529" s="3055"/>
      <c r="CP529" s="3055"/>
      <c r="CQ529" s="3055"/>
      <c r="CR529" s="3055"/>
      <c r="CS529" s="3055"/>
      <c r="CU529" s="3054"/>
      <c r="CV529" s="696"/>
      <c r="CW529" s="696"/>
      <c r="CZ529" s="3060">
        <f t="shared" si="17"/>
      </c>
      <c r="DA529" s="3060">
        <f t="shared" si="1"/>
      </c>
      <c r="DB529" s="3060">
        <f t="shared" si="18"/>
      </c>
      <c r="DC529" s="3060">
        <f t="shared" si="19"/>
      </c>
      <c r="DD529" s="3060">
        <f t="shared" si="20"/>
      </c>
      <c r="DE529" s="3060">
        <f t="shared" si="21"/>
      </c>
      <c r="DF529" s="3060">
        <f t="shared" si="22"/>
      </c>
      <c r="DG529" s="3060">
        <f t="shared" si="23"/>
      </c>
      <c r="DH529" s="3060">
        <f t="shared" si="24"/>
      </c>
      <c r="DI529" s="3060">
        <f t="shared" si="1"/>
      </c>
    </row>
    <row r="530" ht="15" customHeight="1" s="3052" customFormat="1">
      <c r="B530" s="3054">
        <f t="shared" si="2"/>
      </c>
      <c r="C530" s="3054"/>
      <c r="D530" s="3054"/>
      <c r="E530" s="3055"/>
      <c r="F530" s="3055"/>
      <c r="G530" s="3055"/>
      <c r="H530" s="3055"/>
      <c r="I530" s="3055"/>
      <c r="J530" s="3055"/>
      <c r="K530" s="3055"/>
      <c r="L530" s="3055"/>
      <c r="M530" s="3055"/>
      <c r="N530" s="3055"/>
      <c r="O530" s="3055"/>
      <c r="P530" s="3055"/>
      <c r="Q530" s="3055"/>
      <c r="R530" s="3055">
        <f t="shared" si="3"/>
        <v>0</v>
      </c>
      <c r="S530" s="3055">
        <f t="shared" si="4"/>
        <v>0</v>
      </c>
      <c r="T530" s="3055">
        <f t="shared" si="5"/>
        <v>0</v>
      </c>
      <c r="U530" s="3055">
        <f t="shared" si="6"/>
        <v>0</v>
      </c>
      <c r="V530" s="3055">
        <f t="shared" si="7"/>
        <v>0</v>
      </c>
      <c r="W530" s="3055">
        <f t="shared" si="8"/>
        <v>0</v>
      </c>
      <c r="X530" s="3055">
        <f t="shared" si="9"/>
        <v>0</v>
      </c>
      <c r="Y530" s="3055">
        <f t="shared" si="10"/>
        <v>0</v>
      </c>
      <c r="Z530" s="3055">
        <f t="shared" si="11"/>
        <v>0</v>
      </c>
      <c r="AA530" s="3055">
        <f t="shared" si="12"/>
        <v>0</v>
      </c>
      <c r="AB530" s="3055">
        <f t="shared" si="13"/>
        <v>0</v>
      </c>
      <c r="AC530" s="3055">
        <f t="shared" si="14"/>
        <v>0</v>
      </c>
      <c r="AD530" s="3056"/>
      <c r="AE530" s="3057">
        <f t="shared" si="0"/>
      </c>
      <c r="AF530" s="3054"/>
      <c r="AG530" s="3054"/>
      <c r="AH530" s="3055"/>
      <c r="AI530" s="3055"/>
      <c r="AJ530" s="3055"/>
      <c r="AK530" s="3055"/>
      <c r="AL530" s="3055"/>
      <c r="AM530" s="3055"/>
      <c r="AN530" s="3055"/>
      <c r="AO530" s="3055"/>
      <c r="AP530" s="3055"/>
      <c r="AQ530" s="3055"/>
      <c r="AR530" s="3055"/>
      <c r="AS530" s="3055"/>
      <c r="AT530" s="3055"/>
      <c r="AU530" s="3056"/>
      <c r="AV530" s="3057">
        <f t="shared" si="15"/>
      </c>
      <c r="AW530" s="3054"/>
      <c r="AX530" s="3054"/>
      <c r="AY530" s="3055"/>
      <c r="AZ530" s="3055"/>
      <c r="BA530" s="3055"/>
      <c r="BB530" s="3055"/>
      <c r="BC530" s="3055"/>
      <c r="BD530" s="3055"/>
      <c r="BE530" s="3055"/>
      <c r="BF530" s="3055"/>
      <c r="BG530" s="3055"/>
      <c r="BH530" s="3055"/>
      <c r="BI530" s="3055"/>
      <c r="BJ530" s="3055"/>
      <c r="BK530" s="3055"/>
      <c r="BL530" s="3056"/>
      <c r="BM530" s="3057">
        <f t="shared" si="16"/>
      </c>
      <c r="BN530" s="3054"/>
      <c r="BO530" s="3054"/>
      <c r="BP530" s="3055"/>
      <c r="BQ530" s="3055"/>
      <c r="BR530" s="3055"/>
      <c r="BS530" s="3055"/>
      <c r="BT530" s="3055"/>
      <c r="BU530" s="3055"/>
      <c r="BV530" s="3055"/>
      <c r="BW530" s="3055"/>
      <c r="BX530" s="3055"/>
      <c r="BY530" s="3055"/>
      <c r="BZ530" s="3055"/>
      <c r="CA530" s="3055"/>
      <c r="CB530" s="3055"/>
      <c r="CC530" s="3056"/>
      <c r="CD530" s="3057">
        <f t="shared" si="0"/>
      </c>
      <c r="CE530" s="3054"/>
      <c r="CF530" s="3054"/>
      <c r="CG530" s="3055"/>
      <c r="CH530" s="3055"/>
      <c r="CI530" s="3055"/>
      <c r="CJ530" s="3055"/>
      <c r="CK530" s="3055"/>
      <c r="CL530" s="3055"/>
      <c r="CM530" s="3055"/>
      <c r="CN530" s="3055"/>
      <c r="CO530" s="3055"/>
      <c r="CP530" s="3055"/>
      <c r="CQ530" s="3055"/>
      <c r="CR530" s="3055"/>
      <c r="CS530" s="3055"/>
      <c r="CU530" s="3054"/>
      <c r="CV530" s="696"/>
      <c r="CW530" s="696"/>
      <c r="CZ530" s="3060">
        <f t="shared" si="17"/>
      </c>
      <c r="DA530" s="3060">
        <f t="shared" si="1"/>
      </c>
      <c r="DB530" s="3060">
        <f t="shared" si="18"/>
      </c>
      <c r="DC530" s="3060">
        <f t="shared" si="19"/>
      </c>
      <c r="DD530" s="3060">
        <f t="shared" si="20"/>
      </c>
      <c r="DE530" s="3060">
        <f t="shared" si="21"/>
      </c>
      <c r="DF530" s="3060">
        <f t="shared" si="22"/>
      </c>
      <c r="DG530" s="3060">
        <f t="shared" si="23"/>
      </c>
      <c r="DH530" s="3060">
        <f t="shared" si="24"/>
      </c>
      <c r="DI530" s="3060">
        <f t="shared" si="1"/>
      </c>
    </row>
    <row r="531" ht="15" customHeight="1" s="3052" customFormat="1">
      <c r="B531" s="3054">
        <f t="shared" si="2"/>
      </c>
      <c r="C531" s="3054"/>
      <c r="D531" s="3054"/>
      <c r="E531" s="3055"/>
      <c r="F531" s="3055"/>
      <c r="G531" s="3055"/>
      <c r="H531" s="3055"/>
      <c r="I531" s="3055"/>
      <c r="J531" s="3055"/>
      <c r="K531" s="3055"/>
      <c r="L531" s="3055"/>
      <c r="M531" s="3055"/>
      <c r="N531" s="3055"/>
      <c r="O531" s="3055"/>
      <c r="P531" s="3055"/>
      <c r="Q531" s="3055"/>
      <c r="R531" s="3055">
        <f t="shared" si="3"/>
        <v>0</v>
      </c>
      <c r="S531" s="3055">
        <f t="shared" si="4"/>
        <v>0</v>
      </c>
      <c r="T531" s="3055">
        <f t="shared" si="5"/>
        <v>0</v>
      </c>
      <c r="U531" s="3055">
        <f t="shared" si="6"/>
        <v>0</v>
      </c>
      <c r="V531" s="3055">
        <f t="shared" si="7"/>
        <v>0</v>
      </c>
      <c r="W531" s="3055">
        <f t="shared" si="8"/>
        <v>0</v>
      </c>
      <c r="X531" s="3055">
        <f t="shared" si="9"/>
        <v>0</v>
      </c>
      <c r="Y531" s="3055">
        <f t="shared" si="10"/>
        <v>0</v>
      </c>
      <c r="Z531" s="3055">
        <f t="shared" si="11"/>
        <v>0</v>
      </c>
      <c r="AA531" s="3055">
        <f t="shared" si="12"/>
        <v>0</v>
      </c>
      <c r="AB531" s="3055">
        <f t="shared" si="13"/>
        <v>0</v>
      </c>
      <c r="AC531" s="3055">
        <f t="shared" si="14"/>
        <v>0</v>
      </c>
      <c r="AD531" s="3056"/>
      <c r="AE531" s="3057">
        <f t="shared" si="0"/>
      </c>
      <c r="AF531" s="3054"/>
      <c r="AG531" s="3054"/>
      <c r="AH531" s="3055"/>
      <c r="AI531" s="3055"/>
      <c r="AJ531" s="3055"/>
      <c r="AK531" s="3055"/>
      <c r="AL531" s="3055"/>
      <c r="AM531" s="3055"/>
      <c r="AN531" s="3055"/>
      <c r="AO531" s="3055"/>
      <c r="AP531" s="3055"/>
      <c r="AQ531" s="3055"/>
      <c r="AR531" s="3055"/>
      <c r="AS531" s="3055"/>
      <c r="AT531" s="3055"/>
      <c r="AU531" s="3056"/>
      <c r="AV531" s="3057">
        <f t="shared" si="15"/>
      </c>
      <c r="AW531" s="3054"/>
      <c r="AX531" s="3054"/>
      <c r="AY531" s="3055"/>
      <c r="AZ531" s="3055"/>
      <c r="BA531" s="3055"/>
      <c r="BB531" s="3055"/>
      <c r="BC531" s="3055"/>
      <c r="BD531" s="3055"/>
      <c r="BE531" s="3055"/>
      <c r="BF531" s="3055"/>
      <c r="BG531" s="3055"/>
      <c r="BH531" s="3055"/>
      <c r="BI531" s="3055"/>
      <c r="BJ531" s="3055"/>
      <c r="BK531" s="3055"/>
      <c r="BL531" s="3056"/>
      <c r="BM531" s="3057">
        <f t="shared" si="16"/>
      </c>
      <c r="BN531" s="3054"/>
      <c r="BO531" s="3054"/>
      <c r="BP531" s="3055"/>
      <c r="BQ531" s="3055"/>
      <c r="BR531" s="3055"/>
      <c r="BS531" s="3055"/>
      <c r="BT531" s="3055"/>
      <c r="BU531" s="3055"/>
      <c r="BV531" s="3055"/>
      <c r="BW531" s="3055"/>
      <c r="BX531" s="3055"/>
      <c r="BY531" s="3055"/>
      <c r="BZ531" s="3055"/>
      <c r="CA531" s="3055"/>
      <c r="CB531" s="3055"/>
      <c r="CC531" s="3056"/>
      <c r="CD531" s="3057">
        <f t="shared" si="0"/>
      </c>
      <c r="CE531" s="3054"/>
      <c r="CF531" s="3054"/>
      <c r="CG531" s="3055"/>
      <c r="CH531" s="3055"/>
      <c r="CI531" s="3055"/>
      <c r="CJ531" s="3055"/>
      <c r="CK531" s="3055"/>
      <c r="CL531" s="3055"/>
      <c r="CM531" s="3055"/>
      <c r="CN531" s="3055"/>
      <c r="CO531" s="3055"/>
      <c r="CP531" s="3055"/>
      <c r="CQ531" s="3055"/>
      <c r="CR531" s="3055"/>
      <c r="CS531" s="3055"/>
      <c r="CU531" s="3054"/>
      <c r="CV531" s="696"/>
      <c r="CW531" s="696"/>
      <c r="CZ531" s="3060">
        <f t="shared" si="17"/>
      </c>
      <c r="DA531" s="3060">
        <f t="shared" si="1"/>
      </c>
      <c r="DB531" s="3060">
        <f t="shared" si="18"/>
      </c>
      <c r="DC531" s="3060">
        <f t="shared" si="19"/>
      </c>
      <c r="DD531" s="3060">
        <f t="shared" si="20"/>
      </c>
      <c r="DE531" s="3060">
        <f t="shared" si="21"/>
      </c>
      <c r="DF531" s="3060">
        <f t="shared" si="22"/>
      </c>
      <c r="DG531" s="3060">
        <f t="shared" si="23"/>
      </c>
      <c r="DH531" s="3060">
        <f t="shared" si="24"/>
      </c>
      <c r="DI531" s="3060">
        <f t="shared" si="1"/>
      </c>
    </row>
    <row r="532" ht="15" customHeight="1" s="3052" customFormat="1">
      <c r="B532" s="3054">
        <f t="shared" si="2"/>
      </c>
      <c r="C532" s="3054"/>
      <c r="D532" s="3054"/>
      <c r="E532" s="3055"/>
      <c r="F532" s="3055"/>
      <c r="G532" s="3055"/>
      <c r="H532" s="3055"/>
      <c r="I532" s="3055"/>
      <c r="J532" s="3055"/>
      <c r="K532" s="3055"/>
      <c r="L532" s="3055"/>
      <c r="M532" s="3055"/>
      <c r="N532" s="3055"/>
      <c r="O532" s="3055"/>
      <c r="P532" s="3055"/>
      <c r="Q532" s="3055"/>
      <c r="R532" s="3055">
        <f t="shared" si="3"/>
        <v>0</v>
      </c>
      <c r="S532" s="3055">
        <f t="shared" si="4"/>
        <v>0</v>
      </c>
      <c r="T532" s="3055">
        <f t="shared" si="5"/>
        <v>0</v>
      </c>
      <c r="U532" s="3055">
        <f t="shared" si="6"/>
        <v>0</v>
      </c>
      <c r="V532" s="3055">
        <f t="shared" si="7"/>
        <v>0</v>
      </c>
      <c r="W532" s="3055">
        <f t="shared" si="8"/>
        <v>0</v>
      </c>
      <c r="X532" s="3055">
        <f t="shared" si="9"/>
        <v>0</v>
      </c>
      <c r="Y532" s="3055">
        <f t="shared" si="10"/>
        <v>0</v>
      </c>
      <c r="Z532" s="3055">
        <f t="shared" si="11"/>
        <v>0</v>
      </c>
      <c r="AA532" s="3055">
        <f t="shared" si="12"/>
        <v>0</v>
      </c>
      <c r="AB532" s="3055">
        <f t="shared" si="13"/>
        <v>0</v>
      </c>
      <c r="AC532" s="3055">
        <f t="shared" si="14"/>
        <v>0</v>
      </c>
      <c r="AD532" s="3056"/>
      <c r="AE532" s="3057">
        <f t="shared" si="0"/>
      </c>
      <c r="AF532" s="3054"/>
      <c r="AG532" s="3054"/>
      <c r="AH532" s="3055"/>
      <c r="AI532" s="3055"/>
      <c r="AJ532" s="3055"/>
      <c r="AK532" s="3055"/>
      <c r="AL532" s="3055"/>
      <c r="AM532" s="3055"/>
      <c r="AN532" s="3055"/>
      <c r="AO532" s="3055"/>
      <c r="AP532" s="3055"/>
      <c r="AQ532" s="3055"/>
      <c r="AR532" s="3055"/>
      <c r="AS532" s="3055"/>
      <c r="AT532" s="3055"/>
      <c r="AU532" s="3056"/>
      <c r="AV532" s="3057">
        <f t="shared" si="15"/>
      </c>
      <c r="AW532" s="3054"/>
      <c r="AX532" s="3054"/>
      <c r="AY532" s="3055"/>
      <c r="AZ532" s="3055"/>
      <c r="BA532" s="3055"/>
      <c r="BB532" s="3055"/>
      <c r="BC532" s="3055"/>
      <c r="BD532" s="3055"/>
      <c r="BE532" s="3055"/>
      <c r="BF532" s="3055"/>
      <c r="BG532" s="3055"/>
      <c r="BH532" s="3055"/>
      <c r="BI532" s="3055"/>
      <c r="BJ532" s="3055"/>
      <c r="BK532" s="3055"/>
      <c r="BL532" s="3056"/>
      <c r="BM532" s="3057">
        <f t="shared" si="16"/>
      </c>
      <c r="BN532" s="3054"/>
      <c r="BO532" s="3054"/>
      <c r="BP532" s="3055"/>
      <c r="BQ532" s="3055"/>
      <c r="BR532" s="3055"/>
      <c r="BS532" s="3055"/>
      <c r="BT532" s="3055"/>
      <c r="BU532" s="3055"/>
      <c r="BV532" s="3055"/>
      <c r="BW532" s="3055"/>
      <c r="BX532" s="3055"/>
      <c r="BY532" s="3055"/>
      <c r="BZ532" s="3055"/>
      <c r="CA532" s="3055"/>
      <c r="CB532" s="3055"/>
      <c r="CC532" s="3056"/>
      <c r="CD532" s="3057">
        <f t="shared" si="0"/>
      </c>
      <c r="CE532" s="3054"/>
      <c r="CF532" s="3054"/>
      <c r="CG532" s="3055"/>
      <c r="CH532" s="3055"/>
      <c r="CI532" s="3055"/>
      <c r="CJ532" s="3055"/>
      <c r="CK532" s="3055"/>
      <c r="CL532" s="3055"/>
      <c r="CM532" s="3055"/>
      <c r="CN532" s="3055"/>
      <c r="CO532" s="3055"/>
      <c r="CP532" s="3055"/>
      <c r="CQ532" s="3055"/>
      <c r="CR532" s="3055"/>
      <c r="CS532" s="3055"/>
      <c r="CU532" s="3054"/>
      <c r="CV532" s="696"/>
      <c r="CW532" s="696"/>
      <c r="CZ532" s="3060">
        <f t="shared" si="17"/>
      </c>
      <c r="DA532" s="3060">
        <f t="shared" si="1"/>
      </c>
      <c r="DB532" s="3060">
        <f t="shared" si="18"/>
      </c>
      <c r="DC532" s="3060">
        <f t="shared" si="19"/>
      </c>
      <c r="DD532" s="3060">
        <f t="shared" si="20"/>
      </c>
      <c r="DE532" s="3060">
        <f t="shared" si="21"/>
      </c>
      <c r="DF532" s="3060">
        <f t="shared" si="22"/>
      </c>
      <c r="DG532" s="3060">
        <f t="shared" si="23"/>
      </c>
      <c r="DH532" s="3060">
        <f t="shared" si="24"/>
      </c>
      <c r="DI532" s="3060">
        <f t="shared" si="1"/>
      </c>
    </row>
    <row r="533" ht="15" customHeight="1" s="3052" customFormat="1">
      <c r="B533" s="3054">
        <f t="shared" si="2"/>
      </c>
      <c r="C533" s="3054"/>
      <c r="D533" s="3054"/>
      <c r="E533" s="3055"/>
      <c r="F533" s="3055"/>
      <c r="G533" s="3055"/>
      <c r="H533" s="3055"/>
      <c r="I533" s="3055"/>
      <c r="J533" s="3055"/>
      <c r="K533" s="3055"/>
      <c r="L533" s="3055"/>
      <c r="M533" s="3055"/>
      <c r="N533" s="3055"/>
      <c r="O533" s="3055"/>
      <c r="P533" s="3055"/>
      <c r="Q533" s="3055"/>
      <c r="R533" s="3055">
        <f t="shared" si="3"/>
        <v>0</v>
      </c>
      <c r="S533" s="3055">
        <f t="shared" si="4"/>
        <v>0</v>
      </c>
      <c r="T533" s="3055">
        <f t="shared" si="5"/>
        <v>0</v>
      </c>
      <c r="U533" s="3055">
        <f t="shared" si="6"/>
        <v>0</v>
      </c>
      <c r="V533" s="3055">
        <f t="shared" si="7"/>
        <v>0</v>
      </c>
      <c r="W533" s="3055">
        <f t="shared" si="8"/>
        <v>0</v>
      </c>
      <c r="X533" s="3055">
        <f t="shared" si="9"/>
        <v>0</v>
      </c>
      <c r="Y533" s="3055">
        <f t="shared" si="10"/>
        <v>0</v>
      </c>
      <c r="Z533" s="3055">
        <f t="shared" si="11"/>
        <v>0</v>
      </c>
      <c r="AA533" s="3055">
        <f t="shared" si="12"/>
        <v>0</v>
      </c>
      <c r="AB533" s="3055">
        <f t="shared" si="13"/>
        <v>0</v>
      </c>
      <c r="AC533" s="3055">
        <f t="shared" si="14"/>
        <v>0</v>
      </c>
      <c r="AD533" s="3056"/>
      <c r="AE533" s="3057">
        <f t="shared" si="0"/>
      </c>
      <c r="AF533" s="3054"/>
      <c r="AG533" s="3054"/>
      <c r="AH533" s="3055"/>
      <c r="AI533" s="3055"/>
      <c r="AJ533" s="3055"/>
      <c r="AK533" s="3055"/>
      <c r="AL533" s="3055"/>
      <c r="AM533" s="3055"/>
      <c r="AN533" s="3055"/>
      <c r="AO533" s="3055"/>
      <c r="AP533" s="3055"/>
      <c r="AQ533" s="3055"/>
      <c r="AR533" s="3055"/>
      <c r="AS533" s="3055"/>
      <c r="AT533" s="3055"/>
      <c r="AU533" s="3056"/>
      <c r="AV533" s="3057">
        <f t="shared" si="15"/>
      </c>
      <c r="AW533" s="3054"/>
      <c r="AX533" s="3054"/>
      <c r="AY533" s="3055"/>
      <c r="AZ533" s="3055"/>
      <c r="BA533" s="3055"/>
      <c r="BB533" s="3055"/>
      <c r="BC533" s="3055"/>
      <c r="BD533" s="3055"/>
      <c r="BE533" s="3055"/>
      <c r="BF533" s="3055"/>
      <c r="BG533" s="3055"/>
      <c r="BH533" s="3055"/>
      <c r="BI533" s="3055"/>
      <c r="BJ533" s="3055"/>
      <c r="BK533" s="3055"/>
      <c r="BL533" s="3056"/>
      <c r="BM533" s="3057">
        <f t="shared" si="16"/>
      </c>
      <c r="BN533" s="3054"/>
      <c r="BO533" s="3054"/>
      <c r="BP533" s="3055"/>
      <c r="BQ533" s="3055"/>
      <c r="BR533" s="3055"/>
      <c r="BS533" s="3055"/>
      <c r="BT533" s="3055"/>
      <c r="BU533" s="3055"/>
      <c r="BV533" s="3055"/>
      <c r="BW533" s="3055"/>
      <c r="BX533" s="3055"/>
      <c r="BY533" s="3055"/>
      <c r="BZ533" s="3055"/>
      <c r="CA533" s="3055"/>
      <c r="CB533" s="3055"/>
      <c r="CC533" s="3056"/>
      <c r="CD533" s="3057">
        <f t="shared" si="0"/>
      </c>
      <c r="CE533" s="3054"/>
      <c r="CF533" s="3054"/>
      <c r="CG533" s="3055"/>
      <c r="CH533" s="3055"/>
      <c r="CI533" s="3055"/>
      <c r="CJ533" s="3055"/>
      <c r="CK533" s="3055"/>
      <c r="CL533" s="3055"/>
      <c r="CM533" s="3055"/>
      <c r="CN533" s="3055"/>
      <c r="CO533" s="3055"/>
      <c r="CP533" s="3055"/>
      <c r="CQ533" s="3055"/>
      <c r="CR533" s="3055"/>
      <c r="CS533" s="3055"/>
      <c r="CU533" s="3054"/>
      <c r="CV533" s="696"/>
      <c r="CW533" s="696"/>
      <c r="CZ533" s="3060">
        <f t="shared" si="17"/>
      </c>
      <c r="DA533" s="3060">
        <f t="shared" si="1"/>
      </c>
      <c r="DB533" s="3060">
        <f t="shared" si="18"/>
      </c>
      <c r="DC533" s="3060">
        <f t="shared" si="19"/>
      </c>
      <c r="DD533" s="3060">
        <f t="shared" si="20"/>
      </c>
      <c r="DE533" s="3060">
        <f t="shared" si="21"/>
      </c>
      <c r="DF533" s="3060">
        <f t="shared" si="22"/>
      </c>
      <c r="DG533" s="3060">
        <f t="shared" si="23"/>
      </c>
      <c r="DH533" s="3060">
        <f t="shared" si="24"/>
      </c>
      <c r="DI533" s="3060">
        <f t="shared" si="1"/>
      </c>
    </row>
    <row r="534" ht="15" customHeight="1" s="3052" customFormat="1">
      <c r="B534" s="3054">
        <f t="shared" si="2"/>
      </c>
      <c r="C534" s="3054"/>
      <c r="D534" s="3054"/>
      <c r="E534" s="3055"/>
      <c r="F534" s="3055"/>
      <c r="G534" s="3055"/>
      <c r="H534" s="3055"/>
      <c r="I534" s="3055"/>
      <c r="J534" s="3055"/>
      <c r="K534" s="3055"/>
      <c r="L534" s="3055"/>
      <c r="M534" s="3055"/>
      <c r="N534" s="3055"/>
      <c r="O534" s="3055"/>
      <c r="P534" s="3055"/>
      <c r="Q534" s="3055"/>
      <c r="R534" s="3055">
        <f t="shared" si="3"/>
        <v>0</v>
      </c>
      <c r="S534" s="3055">
        <f t="shared" si="4"/>
        <v>0</v>
      </c>
      <c r="T534" s="3055">
        <f t="shared" si="5"/>
        <v>0</v>
      </c>
      <c r="U534" s="3055">
        <f t="shared" si="6"/>
        <v>0</v>
      </c>
      <c r="V534" s="3055">
        <f t="shared" si="7"/>
        <v>0</v>
      </c>
      <c r="W534" s="3055">
        <f t="shared" si="8"/>
        <v>0</v>
      </c>
      <c r="X534" s="3055">
        <f t="shared" si="9"/>
        <v>0</v>
      </c>
      <c r="Y534" s="3055">
        <f t="shared" si="10"/>
        <v>0</v>
      </c>
      <c r="Z534" s="3055">
        <f t="shared" si="11"/>
        <v>0</v>
      </c>
      <c r="AA534" s="3055">
        <f t="shared" si="12"/>
        <v>0</v>
      </c>
      <c r="AB534" s="3055">
        <f t="shared" si="13"/>
        <v>0</v>
      </c>
      <c r="AC534" s="3055">
        <f t="shared" si="14"/>
        <v>0</v>
      </c>
      <c r="AD534" s="3056"/>
      <c r="AE534" s="3057">
        <f t="shared" si="0"/>
      </c>
      <c r="AF534" s="3054"/>
      <c r="AG534" s="3054"/>
      <c r="AH534" s="3055"/>
      <c r="AI534" s="3055"/>
      <c r="AJ534" s="3055"/>
      <c r="AK534" s="3055"/>
      <c r="AL534" s="3055"/>
      <c r="AM534" s="3055"/>
      <c r="AN534" s="3055"/>
      <c r="AO534" s="3055"/>
      <c r="AP534" s="3055"/>
      <c r="AQ534" s="3055"/>
      <c r="AR534" s="3055"/>
      <c r="AS534" s="3055"/>
      <c r="AT534" s="3055"/>
      <c r="AU534" s="3056"/>
      <c r="AV534" s="3057">
        <f t="shared" si="15"/>
      </c>
      <c r="AW534" s="3054"/>
      <c r="AX534" s="3054"/>
      <c r="AY534" s="3055"/>
      <c r="AZ534" s="3055"/>
      <c r="BA534" s="3055"/>
      <c r="BB534" s="3055"/>
      <c r="BC534" s="3055"/>
      <c r="BD534" s="3055"/>
      <c r="BE534" s="3055"/>
      <c r="BF534" s="3055"/>
      <c r="BG534" s="3055"/>
      <c r="BH534" s="3055"/>
      <c r="BI534" s="3055"/>
      <c r="BJ534" s="3055"/>
      <c r="BK534" s="3055"/>
      <c r="BL534" s="3056"/>
      <c r="BM534" s="3057">
        <f t="shared" si="16"/>
      </c>
      <c r="BN534" s="3054"/>
      <c r="BO534" s="3054"/>
      <c r="BP534" s="3055"/>
      <c r="BQ534" s="3055"/>
      <c r="BR534" s="3055"/>
      <c r="BS534" s="3055"/>
      <c r="BT534" s="3055"/>
      <c r="BU534" s="3055"/>
      <c r="BV534" s="3055"/>
      <c r="BW534" s="3055"/>
      <c r="BX534" s="3055"/>
      <c r="BY534" s="3055"/>
      <c r="BZ534" s="3055"/>
      <c r="CA534" s="3055"/>
      <c r="CB534" s="3055"/>
      <c r="CC534" s="3056"/>
      <c r="CD534" s="3057">
        <f t="shared" si="0"/>
      </c>
      <c r="CE534" s="3054"/>
      <c r="CF534" s="3054"/>
      <c r="CG534" s="3055"/>
      <c r="CH534" s="3055"/>
      <c r="CI534" s="3055"/>
      <c r="CJ534" s="3055"/>
      <c r="CK534" s="3055"/>
      <c r="CL534" s="3055"/>
      <c r="CM534" s="3055"/>
      <c r="CN534" s="3055"/>
      <c r="CO534" s="3055"/>
      <c r="CP534" s="3055"/>
      <c r="CQ534" s="3055"/>
      <c r="CR534" s="3055"/>
      <c r="CS534" s="3055"/>
      <c r="CU534" s="3054"/>
      <c r="CV534" s="696"/>
      <c r="CW534" s="696"/>
      <c r="CZ534" s="3060">
        <f t="shared" si="17"/>
      </c>
      <c r="DA534" s="3060">
        <f t="shared" si="1"/>
      </c>
      <c r="DB534" s="3060">
        <f t="shared" si="18"/>
      </c>
      <c r="DC534" s="3060">
        <f t="shared" si="19"/>
      </c>
      <c r="DD534" s="3060">
        <f t="shared" si="20"/>
      </c>
      <c r="DE534" s="3060">
        <f t="shared" si="21"/>
      </c>
      <c r="DF534" s="3060">
        <f t="shared" si="22"/>
      </c>
      <c r="DG534" s="3060">
        <f t="shared" si="23"/>
      </c>
      <c r="DH534" s="3060">
        <f t="shared" si="24"/>
      </c>
      <c r="DI534" s="3060">
        <f t="shared" si="1"/>
      </c>
    </row>
    <row r="535" ht="15" customHeight="1" s="3052" customFormat="1">
      <c r="B535" s="3054">
        <f t="shared" si="2"/>
      </c>
      <c r="C535" s="3054"/>
      <c r="D535" s="3054"/>
      <c r="E535" s="3055"/>
      <c r="F535" s="3055"/>
      <c r="G535" s="3055"/>
      <c r="H535" s="3055"/>
      <c r="I535" s="3055"/>
      <c r="J535" s="3055"/>
      <c r="K535" s="3055"/>
      <c r="L535" s="3055"/>
      <c r="M535" s="3055"/>
      <c r="N535" s="3055"/>
      <c r="O535" s="3055"/>
      <c r="P535" s="3055"/>
      <c r="Q535" s="3055"/>
      <c r="R535" s="3055">
        <f t="shared" si="3"/>
        <v>0</v>
      </c>
      <c r="S535" s="3055">
        <f t="shared" si="4"/>
        <v>0</v>
      </c>
      <c r="T535" s="3055">
        <f t="shared" si="5"/>
        <v>0</v>
      </c>
      <c r="U535" s="3055">
        <f t="shared" si="6"/>
        <v>0</v>
      </c>
      <c r="V535" s="3055">
        <f t="shared" si="7"/>
        <v>0</v>
      </c>
      <c r="W535" s="3055">
        <f t="shared" si="8"/>
        <v>0</v>
      </c>
      <c r="X535" s="3055">
        <f t="shared" si="9"/>
        <v>0</v>
      </c>
      <c r="Y535" s="3055">
        <f t="shared" si="10"/>
        <v>0</v>
      </c>
      <c r="Z535" s="3055">
        <f t="shared" si="11"/>
        <v>0</v>
      </c>
      <c r="AA535" s="3055">
        <f t="shared" si="12"/>
        <v>0</v>
      </c>
      <c r="AB535" s="3055">
        <f t="shared" si="13"/>
        <v>0</v>
      </c>
      <c r="AC535" s="3055">
        <f t="shared" si="14"/>
        <v>0</v>
      </c>
      <c r="AD535" s="3056"/>
      <c r="AE535" s="3057">
        <f t="shared" si="0"/>
      </c>
      <c r="AF535" s="3054"/>
      <c r="AG535" s="3054"/>
      <c r="AH535" s="3055"/>
      <c r="AI535" s="3055"/>
      <c r="AJ535" s="3055"/>
      <c r="AK535" s="3055"/>
      <c r="AL535" s="3055"/>
      <c r="AM535" s="3055"/>
      <c r="AN535" s="3055"/>
      <c r="AO535" s="3055"/>
      <c r="AP535" s="3055"/>
      <c r="AQ535" s="3055"/>
      <c r="AR535" s="3055"/>
      <c r="AS535" s="3055"/>
      <c r="AT535" s="3055"/>
      <c r="AU535" s="3056"/>
      <c r="AV535" s="3057">
        <f t="shared" si="15"/>
      </c>
      <c r="AW535" s="3054"/>
      <c r="AX535" s="3054"/>
      <c r="AY535" s="3055"/>
      <c r="AZ535" s="3055"/>
      <c r="BA535" s="3055"/>
      <c r="BB535" s="3055"/>
      <c r="BC535" s="3055"/>
      <c r="BD535" s="3055"/>
      <c r="BE535" s="3055"/>
      <c r="BF535" s="3055"/>
      <c r="BG535" s="3055"/>
      <c r="BH535" s="3055"/>
      <c r="BI535" s="3055"/>
      <c r="BJ535" s="3055"/>
      <c r="BK535" s="3055"/>
      <c r="BL535" s="3056"/>
      <c r="BM535" s="3057">
        <f t="shared" si="16"/>
      </c>
      <c r="BN535" s="3054"/>
      <c r="BO535" s="3054"/>
      <c r="BP535" s="3055"/>
      <c r="BQ535" s="3055"/>
      <c r="BR535" s="3055"/>
      <c r="BS535" s="3055"/>
      <c r="BT535" s="3055"/>
      <c r="BU535" s="3055"/>
      <c r="BV535" s="3055"/>
      <c r="BW535" s="3055"/>
      <c r="BX535" s="3055"/>
      <c r="BY535" s="3055"/>
      <c r="BZ535" s="3055"/>
      <c r="CA535" s="3055"/>
      <c r="CB535" s="3055"/>
      <c r="CC535" s="3056"/>
      <c r="CD535" s="3057">
        <f t="shared" si="0"/>
      </c>
      <c r="CE535" s="3054"/>
      <c r="CF535" s="3054"/>
      <c r="CG535" s="3055"/>
      <c r="CH535" s="3055"/>
      <c r="CI535" s="3055"/>
      <c r="CJ535" s="3055"/>
      <c r="CK535" s="3055"/>
      <c r="CL535" s="3055"/>
      <c r="CM535" s="3055"/>
      <c r="CN535" s="3055"/>
      <c r="CO535" s="3055"/>
      <c r="CP535" s="3055"/>
      <c r="CQ535" s="3055"/>
      <c r="CR535" s="3055"/>
      <c r="CS535" s="3055"/>
      <c r="CU535" s="3054"/>
      <c r="CV535" s="696"/>
      <c r="CW535" s="696"/>
      <c r="CZ535" s="3060">
        <f t="shared" si="17"/>
      </c>
      <c r="DA535" s="3060">
        <f t="shared" si="1"/>
      </c>
      <c r="DB535" s="3060">
        <f t="shared" si="18"/>
      </c>
      <c r="DC535" s="3060">
        <f t="shared" si="19"/>
      </c>
      <c r="DD535" s="3060">
        <f t="shared" si="20"/>
      </c>
      <c r="DE535" s="3060">
        <f t="shared" si="21"/>
      </c>
      <c r="DF535" s="3060">
        <f t="shared" si="22"/>
      </c>
      <c r="DG535" s="3060">
        <f t="shared" si="23"/>
      </c>
      <c r="DH535" s="3060">
        <f t="shared" si="24"/>
      </c>
      <c r="DI535" s="3060">
        <f t="shared" si="1"/>
      </c>
    </row>
    <row r="536" ht="15" customHeight="1" s="3052" customFormat="1">
      <c r="B536" s="3054">
        <f t="shared" si="2"/>
      </c>
      <c r="C536" s="3054"/>
      <c r="D536" s="3054"/>
      <c r="E536" s="3055"/>
      <c r="F536" s="3055"/>
      <c r="G536" s="3055"/>
      <c r="H536" s="3055"/>
      <c r="I536" s="3055"/>
      <c r="J536" s="3055"/>
      <c r="K536" s="3055"/>
      <c r="L536" s="3055"/>
      <c r="M536" s="3055"/>
      <c r="N536" s="3055"/>
      <c r="O536" s="3055"/>
      <c r="P536" s="3055"/>
      <c r="Q536" s="3055"/>
      <c r="R536" s="3055">
        <f t="shared" si="3"/>
        <v>0</v>
      </c>
      <c r="S536" s="3055">
        <f t="shared" si="4"/>
        <v>0</v>
      </c>
      <c r="T536" s="3055">
        <f t="shared" si="5"/>
        <v>0</v>
      </c>
      <c r="U536" s="3055">
        <f t="shared" si="6"/>
        <v>0</v>
      </c>
      <c r="V536" s="3055">
        <f t="shared" si="7"/>
        <v>0</v>
      </c>
      <c r="W536" s="3055">
        <f t="shared" si="8"/>
        <v>0</v>
      </c>
      <c r="X536" s="3055">
        <f t="shared" si="9"/>
        <v>0</v>
      </c>
      <c r="Y536" s="3055">
        <f t="shared" si="10"/>
        <v>0</v>
      </c>
      <c r="Z536" s="3055">
        <f t="shared" si="11"/>
        <v>0</v>
      </c>
      <c r="AA536" s="3055">
        <f t="shared" si="12"/>
        <v>0</v>
      </c>
      <c r="AB536" s="3055">
        <f t="shared" si="13"/>
        <v>0</v>
      </c>
      <c r="AC536" s="3055">
        <f t="shared" si="14"/>
        <v>0</v>
      </c>
      <c r="AD536" s="3056"/>
      <c r="AE536" s="3057">
        <f t="shared" si="0"/>
      </c>
      <c r="AF536" s="3054"/>
      <c r="AG536" s="3054"/>
      <c r="AH536" s="3055"/>
      <c r="AI536" s="3055"/>
      <c r="AJ536" s="3055"/>
      <c r="AK536" s="3055"/>
      <c r="AL536" s="3055"/>
      <c r="AM536" s="3055"/>
      <c r="AN536" s="3055"/>
      <c r="AO536" s="3055"/>
      <c r="AP536" s="3055"/>
      <c r="AQ536" s="3055"/>
      <c r="AR536" s="3055"/>
      <c r="AS536" s="3055"/>
      <c r="AT536" s="3055"/>
      <c r="AU536" s="3056"/>
      <c r="AV536" s="3057">
        <f t="shared" si="15"/>
      </c>
      <c r="AW536" s="3054"/>
      <c r="AX536" s="3054"/>
      <c r="AY536" s="3055"/>
      <c r="AZ536" s="3055"/>
      <c r="BA536" s="3055"/>
      <c r="BB536" s="3055"/>
      <c r="BC536" s="3055"/>
      <c r="BD536" s="3055"/>
      <c r="BE536" s="3055"/>
      <c r="BF536" s="3055"/>
      <c r="BG536" s="3055"/>
      <c r="BH536" s="3055"/>
      <c r="BI536" s="3055"/>
      <c r="BJ536" s="3055"/>
      <c r="BK536" s="3055"/>
      <c r="BL536" s="3056"/>
      <c r="BM536" s="3057">
        <f t="shared" si="16"/>
      </c>
      <c r="BN536" s="3054"/>
      <c r="BO536" s="3054"/>
      <c r="BP536" s="3055"/>
      <c r="BQ536" s="3055"/>
      <c r="BR536" s="3055"/>
      <c r="BS536" s="3055"/>
      <c r="BT536" s="3055"/>
      <c r="BU536" s="3055"/>
      <c r="BV536" s="3055"/>
      <c r="BW536" s="3055"/>
      <c r="BX536" s="3055"/>
      <c r="BY536" s="3055"/>
      <c r="BZ536" s="3055"/>
      <c r="CA536" s="3055"/>
      <c r="CB536" s="3055"/>
      <c r="CC536" s="3056"/>
      <c r="CD536" s="3057">
        <f t="shared" si="0"/>
      </c>
      <c r="CE536" s="3054"/>
      <c r="CF536" s="3054"/>
      <c r="CG536" s="3055"/>
      <c r="CH536" s="3055"/>
      <c r="CI536" s="3055"/>
      <c r="CJ536" s="3055"/>
      <c r="CK536" s="3055"/>
      <c r="CL536" s="3055"/>
      <c r="CM536" s="3055"/>
      <c r="CN536" s="3055"/>
      <c r="CO536" s="3055"/>
      <c r="CP536" s="3055"/>
      <c r="CQ536" s="3055"/>
      <c r="CR536" s="3055"/>
      <c r="CS536" s="3055"/>
      <c r="CU536" s="3054"/>
      <c r="CV536" s="696"/>
      <c r="CW536" s="696"/>
      <c r="CZ536" s="3060">
        <f t="shared" si="17"/>
      </c>
      <c r="DA536" s="3060">
        <f t="shared" si="1"/>
      </c>
      <c r="DB536" s="3060">
        <f t="shared" si="18"/>
      </c>
      <c r="DC536" s="3060">
        <f t="shared" si="19"/>
      </c>
      <c r="DD536" s="3060">
        <f t="shared" si="20"/>
      </c>
      <c r="DE536" s="3060">
        <f t="shared" si="21"/>
      </c>
      <c r="DF536" s="3060">
        <f t="shared" si="22"/>
      </c>
      <c r="DG536" s="3060">
        <f t="shared" si="23"/>
      </c>
      <c r="DH536" s="3060">
        <f t="shared" si="24"/>
      </c>
      <c r="DI536" s="3060">
        <f t="shared" si="1"/>
      </c>
    </row>
    <row r="537" ht="15" customHeight="1" s="3052" customFormat="1">
      <c r="B537" s="3054">
        <f t="shared" si="2"/>
      </c>
      <c r="C537" s="3054"/>
      <c r="D537" s="3054"/>
      <c r="E537" s="3055"/>
      <c r="F537" s="3055"/>
      <c r="G537" s="3055"/>
      <c r="H537" s="3055"/>
      <c r="I537" s="3055"/>
      <c r="J537" s="3055"/>
      <c r="K537" s="3055"/>
      <c r="L537" s="3055"/>
      <c r="M537" s="3055"/>
      <c r="N537" s="3055"/>
      <c r="O537" s="3055"/>
      <c r="P537" s="3055"/>
      <c r="Q537" s="3055"/>
      <c r="R537" s="3055">
        <f t="shared" si="3"/>
        <v>0</v>
      </c>
      <c r="S537" s="3055">
        <f t="shared" si="4"/>
        <v>0</v>
      </c>
      <c r="T537" s="3055">
        <f t="shared" si="5"/>
        <v>0</v>
      </c>
      <c r="U537" s="3055">
        <f t="shared" si="6"/>
        <v>0</v>
      </c>
      <c r="V537" s="3055">
        <f t="shared" si="7"/>
        <v>0</v>
      </c>
      <c r="W537" s="3055">
        <f t="shared" si="8"/>
        <v>0</v>
      </c>
      <c r="X537" s="3055">
        <f t="shared" si="9"/>
        <v>0</v>
      </c>
      <c r="Y537" s="3055">
        <f t="shared" si="10"/>
        <v>0</v>
      </c>
      <c r="Z537" s="3055">
        <f t="shared" si="11"/>
        <v>0</v>
      </c>
      <c r="AA537" s="3055">
        <f t="shared" si="12"/>
        <v>0</v>
      </c>
      <c r="AB537" s="3055">
        <f t="shared" si="13"/>
        <v>0</v>
      </c>
      <c r="AC537" s="3055">
        <f t="shared" si="14"/>
        <v>0</v>
      </c>
      <c r="AD537" s="3056"/>
      <c r="AE537" s="3057">
        <f t="shared" si="0"/>
      </c>
      <c r="AF537" s="3054"/>
      <c r="AG537" s="3054"/>
      <c r="AH537" s="3055"/>
      <c r="AI537" s="3055"/>
      <c r="AJ537" s="3055"/>
      <c r="AK537" s="3055"/>
      <c r="AL537" s="3055"/>
      <c r="AM537" s="3055"/>
      <c r="AN537" s="3055"/>
      <c r="AO537" s="3055"/>
      <c r="AP537" s="3055"/>
      <c r="AQ537" s="3055"/>
      <c r="AR537" s="3055"/>
      <c r="AS537" s="3055"/>
      <c r="AT537" s="3055"/>
      <c r="AU537" s="3056"/>
      <c r="AV537" s="3057">
        <f t="shared" si="15"/>
      </c>
      <c r="AW537" s="3054"/>
      <c r="AX537" s="3054"/>
      <c r="AY537" s="3055"/>
      <c r="AZ537" s="3055"/>
      <c r="BA537" s="3055"/>
      <c r="BB537" s="3055"/>
      <c r="BC537" s="3055"/>
      <c r="BD537" s="3055"/>
      <c r="BE537" s="3055"/>
      <c r="BF537" s="3055"/>
      <c r="BG537" s="3055"/>
      <c r="BH537" s="3055"/>
      <c r="BI537" s="3055"/>
      <c r="BJ537" s="3055"/>
      <c r="BK537" s="3055"/>
      <c r="BL537" s="3056"/>
      <c r="BM537" s="3057">
        <f t="shared" si="16"/>
      </c>
      <c r="BN537" s="3054"/>
      <c r="BO537" s="3054"/>
      <c r="BP537" s="3055"/>
      <c r="BQ537" s="3055"/>
      <c r="BR537" s="3055"/>
      <c r="BS537" s="3055"/>
      <c r="BT537" s="3055"/>
      <c r="BU537" s="3055"/>
      <c r="BV537" s="3055"/>
      <c r="BW537" s="3055"/>
      <c r="BX537" s="3055"/>
      <c r="BY537" s="3055"/>
      <c r="BZ537" s="3055"/>
      <c r="CA537" s="3055"/>
      <c r="CB537" s="3055"/>
      <c r="CC537" s="3056"/>
      <c r="CD537" s="3057">
        <f t="shared" si="0"/>
      </c>
      <c r="CE537" s="3054"/>
      <c r="CF537" s="3054"/>
      <c r="CG537" s="3055"/>
      <c r="CH537" s="3055"/>
      <c r="CI537" s="3055"/>
      <c r="CJ537" s="3055"/>
      <c r="CK537" s="3055"/>
      <c r="CL537" s="3055"/>
      <c r="CM537" s="3055"/>
      <c r="CN537" s="3055"/>
      <c r="CO537" s="3055"/>
      <c r="CP537" s="3055"/>
      <c r="CQ537" s="3055"/>
      <c r="CR537" s="3055"/>
      <c r="CS537" s="3055"/>
      <c r="CU537" s="3054"/>
      <c r="CV537" s="696"/>
      <c r="CW537" s="696"/>
      <c r="CZ537" s="3060">
        <f t="shared" si="17"/>
      </c>
      <c r="DA537" s="3060">
        <f t="shared" si="1"/>
      </c>
      <c r="DB537" s="3060">
        <f t="shared" si="18"/>
      </c>
      <c r="DC537" s="3060">
        <f t="shared" si="19"/>
      </c>
      <c r="DD537" s="3060">
        <f t="shared" si="20"/>
      </c>
      <c r="DE537" s="3060">
        <f t="shared" si="21"/>
      </c>
      <c r="DF537" s="3060">
        <f t="shared" si="22"/>
      </c>
      <c r="DG537" s="3060">
        <f t="shared" si="23"/>
      </c>
      <c r="DH537" s="3060">
        <f t="shared" si="24"/>
      </c>
      <c r="DI537" s="3060">
        <f t="shared" si="1"/>
      </c>
    </row>
    <row r="538" ht="15" customHeight="1" s="3052" customFormat="1">
      <c r="B538" s="3054">
        <f t="shared" si="2"/>
      </c>
      <c r="C538" s="3054"/>
      <c r="D538" s="3054"/>
      <c r="E538" s="3055"/>
      <c r="F538" s="3055"/>
      <c r="G538" s="3055"/>
      <c r="H538" s="3055"/>
      <c r="I538" s="3055"/>
      <c r="J538" s="3055"/>
      <c r="K538" s="3055"/>
      <c r="L538" s="3055"/>
      <c r="M538" s="3055"/>
      <c r="N538" s="3055"/>
      <c r="O538" s="3055"/>
      <c r="P538" s="3055"/>
      <c r="Q538" s="3055"/>
      <c r="R538" s="3055">
        <f t="shared" si="3"/>
        <v>0</v>
      </c>
      <c r="S538" s="3055">
        <f t="shared" si="4"/>
        <v>0</v>
      </c>
      <c r="T538" s="3055">
        <f t="shared" si="5"/>
        <v>0</v>
      </c>
      <c r="U538" s="3055">
        <f t="shared" si="6"/>
        <v>0</v>
      </c>
      <c r="V538" s="3055">
        <f t="shared" si="7"/>
        <v>0</v>
      </c>
      <c r="W538" s="3055">
        <f t="shared" si="8"/>
        <v>0</v>
      </c>
      <c r="X538" s="3055">
        <f t="shared" si="9"/>
        <v>0</v>
      </c>
      <c r="Y538" s="3055">
        <f t="shared" si="10"/>
        <v>0</v>
      </c>
      <c r="Z538" s="3055">
        <f t="shared" si="11"/>
        <v>0</v>
      </c>
      <c r="AA538" s="3055">
        <f t="shared" si="12"/>
        <v>0</v>
      </c>
      <c r="AB538" s="3055">
        <f t="shared" si="13"/>
        <v>0</v>
      </c>
      <c r="AC538" s="3055">
        <f t="shared" si="14"/>
        <v>0</v>
      </c>
      <c r="AD538" s="3056"/>
      <c r="AE538" s="3057">
        <f t="shared" si="0"/>
      </c>
      <c r="AF538" s="3054"/>
      <c r="AG538" s="3054"/>
      <c r="AH538" s="3055"/>
      <c r="AI538" s="3055"/>
      <c r="AJ538" s="3055"/>
      <c r="AK538" s="3055"/>
      <c r="AL538" s="3055"/>
      <c r="AM538" s="3055"/>
      <c r="AN538" s="3055"/>
      <c r="AO538" s="3055"/>
      <c r="AP538" s="3055"/>
      <c r="AQ538" s="3055"/>
      <c r="AR538" s="3055"/>
      <c r="AS538" s="3055"/>
      <c r="AT538" s="3055"/>
      <c r="AU538" s="3056"/>
      <c r="AV538" s="3057">
        <f t="shared" si="15"/>
      </c>
      <c r="AW538" s="3054"/>
      <c r="AX538" s="3054"/>
      <c r="AY538" s="3055"/>
      <c r="AZ538" s="3055"/>
      <c r="BA538" s="3055"/>
      <c r="BB538" s="3055"/>
      <c r="BC538" s="3055"/>
      <c r="BD538" s="3055"/>
      <c r="BE538" s="3055"/>
      <c r="BF538" s="3055"/>
      <c r="BG538" s="3055"/>
      <c r="BH538" s="3055"/>
      <c r="BI538" s="3055"/>
      <c r="BJ538" s="3055"/>
      <c r="BK538" s="3055"/>
      <c r="BL538" s="3056"/>
      <c r="BM538" s="3057">
        <f t="shared" si="16"/>
      </c>
      <c r="BN538" s="3054"/>
      <c r="BO538" s="3054"/>
      <c r="BP538" s="3055"/>
      <c r="BQ538" s="3055"/>
      <c r="BR538" s="3055"/>
      <c r="BS538" s="3055"/>
      <c r="BT538" s="3055"/>
      <c r="BU538" s="3055"/>
      <c r="BV538" s="3055"/>
      <c r="BW538" s="3055"/>
      <c r="BX538" s="3055"/>
      <c r="BY538" s="3055"/>
      <c r="BZ538" s="3055"/>
      <c r="CA538" s="3055"/>
      <c r="CB538" s="3055"/>
      <c r="CC538" s="3056"/>
      <c r="CD538" s="3057">
        <f t="shared" si="0"/>
      </c>
      <c r="CE538" s="3054"/>
      <c r="CF538" s="3054"/>
      <c r="CG538" s="3055"/>
      <c r="CH538" s="3055"/>
      <c r="CI538" s="3055"/>
      <c r="CJ538" s="3055"/>
      <c r="CK538" s="3055"/>
      <c r="CL538" s="3055"/>
      <c r="CM538" s="3055"/>
      <c r="CN538" s="3055"/>
      <c r="CO538" s="3055"/>
      <c r="CP538" s="3055"/>
      <c r="CQ538" s="3055"/>
      <c r="CR538" s="3055"/>
      <c r="CS538" s="3055"/>
      <c r="CU538" s="3054"/>
      <c r="CV538" s="696"/>
      <c r="CW538" s="696"/>
      <c r="CZ538" s="3060">
        <f t="shared" si="17"/>
      </c>
      <c r="DA538" s="3060">
        <f t="shared" si="1"/>
      </c>
      <c r="DB538" s="3060">
        <f t="shared" si="18"/>
      </c>
      <c r="DC538" s="3060">
        <f t="shared" si="19"/>
      </c>
      <c r="DD538" s="3060">
        <f t="shared" si="20"/>
      </c>
      <c r="DE538" s="3060">
        <f t="shared" si="21"/>
      </c>
      <c r="DF538" s="3060">
        <f t="shared" si="22"/>
      </c>
      <c r="DG538" s="3060">
        <f t="shared" si="23"/>
      </c>
      <c r="DH538" s="3060">
        <f t="shared" si="24"/>
      </c>
      <c r="DI538" s="3060">
        <f t="shared" si="1"/>
      </c>
    </row>
    <row r="539" ht="15" customHeight="1" s="3052" customFormat="1">
      <c r="B539" s="3054">
        <f t="shared" si="2"/>
      </c>
      <c r="C539" s="3054"/>
      <c r="D539" s="3054"/>
      <c r="E539" s="3055"/>
      <c r="F539" s="3055"/>
      <c r="G539" s="3055"/>
      <c r="H539" s="3055"/>
      <c r="I539" s="3055"/>
      <c r="J539" s="3055"/>
      <c r="K539" s="3055"/>
      <c r="L539" s="3055"/>
      <c r="M539" s="3055"/>
      <c r="N539" s="3055"/>
      <c r="O539" s="3055"/>
      <c r="P539" s="3055"/>
      <c r="Q539" s="3055"/>
      <c r="R539" s="3055">
        <f t="shared" si="3"/>
        <v>0</v>
      </c>
      <c r="S539" s="3055">
        <f t="shared" si="4"/>
        <v>0</v>
      </c>
      <c r="T539" s="3055">
        <f t="shared" si="5"/>
        <v>0</v>
      </c>
      <c r="U539" s="3055">
        <f t="shared" si="6"/>
        <v>0</v>
      </c>
      <c r="V539" s="3055">
        <f t="shared" si="7"/>
        <v>0</v>
      </c>
      <c r="W539" s="3055">
        <f t="shared" si="8"/>
        <v>0</v>
      </c>
      <c r="X539" s="3055">
        <f t="shared" si="9"/>
        <v>0</v>
      </c>
      <c r="Y539" s="3055">
        <f t="shared" si="10"/>
        <v>0</v>
      </c>
      <c r="Z539" s="3055">
        <f t="shared" si="11"/>
        <v>0</v>
      </c>
      <c r="AA539" s="3055">
        <f t="shared" si="12"/>
        <v>0</v>
      </c>
      <c r="AB539" s="3055">
        <f t="shared" si="13"/>
        <v>0</v>
      </c>
      <c r="AC539" s="3055">
        <f t="shared" si="14"/>
        <v>0</v>
      </c>
      <c r="AD539" s="3056"/>
      <c r="AE539" s="3057">
        <f t="shared" si="0"/>
      </c>
      <c r="AF539" s="3054"/>
      <c r="AG539" s="3054"/>
      <c r="AH539" s="3055"/>
      <c r="AI539" s="3055"/>
      <c r="AJ539" s="3055"/>
      <c r="AK539" s="3055"/>
      <c r="AL539" s="3055"/>
      <c r="AM539" s="3055"/>
      <c r="AN539" s="3055"/>
      <c r="AO539" s="3055"/>
      <c r="AP539" s="3055"/>
      <c r="AQ539" s="3055"/>
      <c r="AR539" s="3055"/>
      <c r="AS539" s="3055"/>
      <c r="AT539" s="3055"/>
      <c r="AU539" s="3056"/>
      <c r="AV539" s="3057">
        <f t="shared" si="15"/>
      </c>
      <c r="AW539" s="3054"/>
      <c r="AX539" s="3054"/>
      <c r="AY539" s="3055"/>
      <c r="AZ539" s="3055"/>
      <c r="BA539" s="3055"/>
      <c r="BB539" s="3055"/>
      <c r="BC539" s="3055"/>
      <c r="BD539" s="3055"/>
      <c r="BE539" s="3055"/>
      <c r="BF539" s="3055"/>
      <c r="BG539" s="3055"/>
      <c r="BH539" s="3055"/>
      <c r="BI539" s="3055"/>
      <c r="BJ539" s="3055"/>
      <c r="BK539" s="3055"/>
      <c r="BL539" s="3056"/>
      <c r="BM539" s="3057">
        <f t="shared" si="16"/>
      </c>
      <c r="BN539" s="3054"/>
      <c r="BO539" s="3054"/>
      <c r="BP539" s="3055"/>
      <c r="BQ539" s="3055"/>
      <c r="BR539" s="3055"/>
      <c r="BS539" s="3055"/>
      <c r="BT539" s="3055"/>
      <c r="BU539" s="3055"/>
      <c r="BV539" s="3055"/>
      <c r="BW539" s="3055"/>
      <c r="BX539" s="3055"/>
      <c r="BY539" s="3055"/>
      <c r="BZ539" s="3055"/>
      <c r="CA539" s="3055"/>
      <c r="CB539" s="3055"/>
      <c r="CC539" s="3056"/>
      <c r="CD539" s="3057">
        <f t="shared" si="0"/>
      </c>
      <c r="CE539" s="3054"/>
      <c r="CF539" s="3054"/>
      <c r="CG539" s="3055"/>
      <c r="CH539" s="3055"/>
      <c r="CI539" s="3055"/>
      <c r="CJ539" s="3055"/>
      <c r="CK539" s="3055"/>
      <c r="CL539" s="3055"/>
      <c r="CM539" s="3055"/>
      <c r="CN539" s="3055"/>
      <c r="CO539" s="3055"/>
      <c r="CP539" s="3055"/>
      <c r="CQ539" s="3055"/>
      <c r="CR539" s="3055"/>
      <c r="CS539" s="3055"/>
      <c r="CU539" s="3054"/>
      <c r="CV539" s="696"/>
      <c r="CW539" s="696"/>
      <c r="CZ539" s="3060">
        <f t="shared" si="17"/>
      </c>
      <c r="DA539" s="3060">
        <f t="shared" si="1"/>
      </c>
      <c r="DB539" s="3060">
        <f t="shared" si="18"/>
      </c>
      <c r="DC539" s="3060">
        <f t="shared" si="19"/>
      </c>
      <c r="DD539" s="3060">
        <f t="shared" si="20"/>
      </c>
      <c r="DE539" s="3060">
        <f t="shared" si="21"/>
      </c>
      <c r="DF539" s="3060">
        <f t="shared" si="22"/>
      </c>
      <c r="DG539" s="3060">
        <f t="shared" si="23"/>
      </c>
      <c r="DH539" s="3060">
        <f t="shared" si="24"/>
      </c>
      <c r="DI539" s="3060">
        <f t="shared" si="1"/>
      </c>
    </row>
    <row r="540" ht="15" customHeight="1" s="3052" customFormat="1">
      <c r="B540" s="3054">
        <f t="shared" si="2"/>
      </c>
      <c r="C540" s="3054"/>
      <c r="D540" s="3054"/>
      <c r="E540" s="3055"/>
      <c r="F540" s="3055"/>
      <c r="G540" s="3055"/>
      <c r="H540" s="3055"/>
      <c r="I540" s="3055"/>
      <c r="J540" s="3055"/>
      <c r="K540" s="3055"/>
      <c r="L540" s="3055"/>
      <c r="M540" s="3055"/>
      <c r="N540" s="3055"/>
      <c r="O540" s="3055"/>
      <c r="P540" s="3055"/>
      <c r="Q540" s="3055"/>
      <c r="R540" s="3055">
        <f t="shared" si="3"/>
        <v>0</v>
      </c>
      <c r="S540" s="3055">
        <f t="shared" si="4"/>
        <v>0</v>
      </c>
      <c r="T540" s="3055">
        <f t="shared" si="5"/>
        <v>0</v>
      </c>
      <c r="U540" s="3055">
        <f t="shared" si="6"/>
        <v>0</v>
      </c>
      <c r="V540" s="3055">
        <f t="shared" si="7"/>
        <v>0</v>
      </c>
      <c r="W540" s="3055">
        <f t="shared" si="8"/>
        <v>0</v>
      </c>
      <c r="X540" s="3055">
        <f t="shared" si="9"/>
        <v>0</v>
      </c>
      <c r="Y540" s="3055">
        <f t="shared" si="10"/>
        <v>0</v>
      </c>
      <c r="Z540" s="3055">
        <f t="shared" si="11"/>
        <v>0</v>
      </c>
      <c r="AA540" s="3055">
        <f t="shared" si="12"/>
        <v>0</v>
      </c>
      <c r="AB540" s="3055">
        <f t="shared" si="13"/>
        <v>0</v>
      </c>
      <c r="AC540" s="3055">
        <f t="shared" si="14"/>
        <v>0</v>
      </c>
      <c r="AD540" s="3056"/>
      <c r="AE540" s="3057">
        <f t="shared" si="0"/>
      </c>
      <c r="AF540" s="3054"/>
      <c r="AG540" s="3054"/>
      <c r="AH540" s="3055"/>
      <c r="AI540" s="3055"/>
      <c r="AJ540" s="3055"/>
      <c r="AK540" s="3055"/>
      <c r="AL540" s="3055"/>
      <c r="AM540" s="3055"/>
      <c r="AN540" s="3055"/>
      <c r="AO540" s="3055"/>
      <c r="AP540" s="3055"/>
      <c r="AQ540" s="3055"/>
      <c r="AR540" s="3055"/>
      <c r="AS540" s="3055"/>
      <c r="AT540" s="3055"/>
      <c r="AU540" s="3056"/>
      <c r="AV540" s="3057">
        <f t="shared" si="15"/>
      </c>
      <c r="AW540" s="3054"/>
      <c r="AX540" s="3054"/>
      <c r="AY540" s="3055"/>
      <c r="AZ540" s="3055"/>
      <c r="BA540" s="3055"/>
      <c r="BB540" s="3055"/>
      <c r="BC540" s="3055"/>
      <c r="BD540" s="3055"/>
      <c r="BE540" s="3055"/>
      <c r="BF540" s="3055"/>
      <c r="BG540" s="3055"/>
      <c r="BH540" s="3055"/>
      <c r="BI540" s="3055"/>
      <c r="BJ540" s="3055"/>
      <c r="BK540" s="3055"/>
      <c r="BL540" s="3056"/>
      <c r="BM540" s="3057">
        <f t="shared" si="16"/>
      </c>
      <c r="BN540" s="3054"/>
      <c r="BO540" s="3054"/>
      <c r="BP540" s="3055"/>
      <c r="BQ540" s="3055"/>
      <c r="BR540" s="3055"/>
      <c r="BS540" s="3055"/>
      <c r="BT540" s="3055"/>
      <c r="BU540" s="3055"/>
      <c r="BV540" s="3055"/>
      <c r="BW540" s="3055"/>
      <c r="BX540" s="3055"/>
      <c r="BY540" s="3055"/>
      <c r="BZ540" s="3055"/>
      <c r="CA540" s="3055"/>
      <c r="CB540" s="3055"/>
      <c r="CC540" s="3056"/>
      <c r="CD540" s="3057">
        <f t="shared" si="0"/>
      </c>
      <c r="CE540" s="3054"/>
      <c r="CF540" s="3054"/>
      <c r="CG540" s="3055"/>
      <c r="CH540" s="3055"/>
      <c r="CI540" s="3055"/>
      <c r="CJ540" s="3055"/>
      <c r="CK540" s="3055"/>
      <c r="CL540" s="3055"/>
      <c r="CM540" s="3055"/>
      <c r="CN540" s="3055"/>
      <c r="CO540" s="3055"/>
      <c r="CP540" s="3055"/>
      <c r="CQ540" s="3055"/>
      <c r="CR540" s="3055"/>
      <c r="CS540" s="3055"/>
      <c r="CU540" s="3054"/>
      <c r="CV540" s="696"/>
      <c r="CW540" s="696"/>
      <c r="CZ540" s="3060">
        <f t="shared" si="17"/>
      </c>
      <c r="DA540" s="3060">
        <f t="shared" si="1"/>
      </c>
      <c r="DB540" s="3060">
        <f t="shared" si="18"/>
      </c>
      <c r="DC540" s="3060">
        <f t="shared" si="19"/>
      </c>
      <c r="DD540" s="3060">
        <f t="shared" si="20"/>
      </c>
      <c r="DE540" s="3060">
        <f t="shared" si="21"/>
      </c>
      <c r="DF540" s="3060">
        <f t="shared" si="22"/>
      </c>
      <c r="DG540" s="3060">
        <f t="shared" si="23"/>
      </c>
      <c r="DH540" s="3060">
        <f t="shared" si="24"/>
      </c>
      <c r="DI540" s="3060">
        <f t="shared" si="1"/>
      </c>
    </row>
    <row r="541" ht="15" customHeight="1" s="3052" customFormat="1">
      <c r="B541" s="3054">
        <f t="shared" si="2"/>
      </c>
      <c r="C541" s="3054"/>
      <c r="D541" s="3054"/>
      <c r="E541" s="3055"/>
      <c r="F541" s="3055"/>
      <c r="G541" s="3055"/>
      <c r="H541" s="3055"/>
      <c r="I541" s="3055"/>
      <c r="J541" s="3055"/>
      <c r="K541" s="3055"/>
      <c r="L541" s="3055"/>
      <c r="M541" s="3055"/>
      <c r="N541" s="3055"/>
      <c r="O541" s="3055"/>
      <c r="P541" s="3055"/>
      <c r="Q541" s="3055"/>
      <c r="R541" s="3055">
        <f t="shared" si="3"/>
        <v>0</v>
      </c>
      <c r="S541" s="3055">
        <f t="shared" si="4"/>
        <v>0</v>
      </c>
      <c r="T541" s="3055">
        <f t="shared" si="5"/>
        <v>0</v>
      </c>
      <c r="U541" s="3055">
        <f t="shared" si="6"/>
        <v>0</v>
      </c>
      <c r="V541" s="3055">
        <f t="shared" si="7"/>
        <v>0</v>
      </c>
      <c r="W541" s="3055">
        <f t="shared" si="8"/>
        <v>0</v>
      </c>
      <c r="X541" s="3055">
        <f t="shared" si="9"/>
        <v>0</v>
      </c>
      <c r="Y541" s="3055">
        <f t="shared" si="10"/>
        <v>0</v>
      </c>
      <c r="Z541" s="3055">
        <f t="shared" si="11"/>
        <v>0</v>
      </c>
      <c r="AA541" s="3055">
        <f t="shared" si="12"/>
        <v>0</v>
      </c>
      <c r="AB541" s="3055">
        <f t="shared" si="13"/>
        <v>0</v>
      </c>
      <c r="AC541" s="3055">
        <f t="shared" si="14"/>
        <v>0</v>
      </c>
      <c r="AD541" s="3056"/>
      <c r="AE541" s="3057">
        <f t="shared" si="0"/>
      </c>
      <c r="AF541" s="3054"/>
      <c r="AG541" s="3054"/>
      <c r="AH541" s="3055"/>
      <c r="AI541" s="3055"/>
      <c r="AJ541" s="3055"/>
      <c r="AK541" s="3055"/>
      <c r="AL541" s="3055"/>
      <c r="AM541" s="3055"/>
      <c r="AN541" s="3055"/>
      <c r="AO541" s="3055"/>
      <c r="AP541" s="3055"/>
      <c r="AQ541" s="3055"/>
      <c r="AR541" s="3055"/>
      <c r="AS541" s="3055"/>
      <c r="AT541" s="3055"/>
      <c r="AU541" s="3056"/>
      <c r="AV541" s="3057">
        <f t="shared" si="15"/>
      </c>
      <c r="AW541" s="3054"/>
      <c r="AX541" s="3054"/>
      <c r="AY541" s="3055"/>
      <c r="AZ541" s="3055"/>
      <c r="BA541" s="3055"/>
      <c r="BB541" s="3055"/>
      <c r="BC541" s="3055"/>
      <c r="BD541" s="3055"/>
      <c r="BE541" s="3055"/>
      <c r="BF541" s="3055"/>
      <c r="BG541" s="3055"/>
      <c r="BH541" s="3055"/>
      <c r="BI541" s="3055"/>
      <c r="BJ541" s="3055"/>
      <c r="BK541" s="3055"/>
      <c r="BL541" s="3056"/>
      <c r="BM541" s="3057">
        <f t="shared" si="16"/>
      </c>
      <c r="BN541" s="3054"/>
      <c r="BO541" s="3054"/>
      <c r="BP541" s="3055"/>
      <c r="BQ541" s="3055"/>
      <c r="BR541" s="3055"/>
      <c r="BS541" s="3055"/>
      <c r="BT541" s="3055"/>
      <c r="BU541" s="3055"/>
      <c r="BV541" s="3055"/>
      <c r="BW541" s="3055"/>
      <c r="BX541" s="3055"/>
      <c r="BY541" s="3055"/>
      <c r="BZ541" s="3055"/>
      <c r="CA541" s="3055"/>
      <c r="CB541" s="3055"/>
      <c r="CC541" s="3056"/>
      <c r="CD541" s="3057">
        <f t="shared" si="0"/>
      </c>
      <c r="CE541" s="3054"/>
      <c r="CF541" s="3054"/>
      <c r="CG541" s="3055"/>
      <c r="CH541" s="3055"/>
      <c r="CI541" s="3055"/>
      <c r="CJ541" s="3055"/>
      <c r="CK541" s="3055"/>
      <c r="CL541" s="3055"/>
      <c r="CM541" s="3055"/>
      <c r="CN541" s="3055"/>
      <c r="CO541" s="3055"/>
      <c r="CP541" s="3055"/>
      <c r="CQ541" s="3055"/>
      <c r="CR541" s="3055"/>
      <c r="CS541" s="3055"/>
      <c r="CU541" s="3054"/>
      <c r="CV541" s="696"/>
      <c r="CW541" s="696"/>
      <c r="CZ541" s="3060">
        <f t="shared" si="17"/>
      </c>
      <c r="DA541" s="3060">
        <f t="shared" si="1"/>
      </c>
      <c r="DB541" s="3060">
        <f t="shared" si="18"/>
      </c>
      <c r="DC541" s="3060">
        <f t="shared" si="19"/>
      </c>
      <c r="DD541" s="3060">
        <f t="shared" si="20"/>
      </c>
      <c r="DE541" s="3060">
        <f t="shared" si="21"/>
      </c>
      <c r="DF541" s="3060">
        <f t="shared" si="22"/>
      </c>
      <c r="DG541" s="3060">
        <f t="shared" si="23"/>
      </c>
      <c r="DH541" s="3060">
        <f t="shared" si="24"/>
      </c>
      <c r="DI541" s="3060">
        <f t="shared" si="1"/>
      </c>
    </row>
    <row r="542" ht="15" customHeight="1" s="3052" customFormat="1">
      <c r="B542" s="3054">
        <f t="shared" si="2"/>
      </c>
      <c r="C542" s="3054"/>
      <c r="D542" s="3054"/>
      <c r="E542" s="3055"/>
      <c r="F542" s="3055"/>
      <c r="G542" s="3055"/>
      <c r="H542" s="3055"/>
      <c r="I542" s="3055"/>
      <c r="J542" s="3055"/>
      <c r="K542" s="3055"/>
      <c r="L542" s="3055"/>
      <c r="M542" s="3055"/>
      <c r="N542" s="3055"/>
      <c r="O542" s="3055"/>
      <c r="P542" s="3055"/>
      <c r="Q542" s="3055"/>
      <c r="R542" s="3055">
        <f t="shared" si="3"/>
        <v>0</v>
      </c>
      <c r="S542" s="3055">
        <f t="shared" si="4"/>
        <v>0</v>
      </c>
      <c r="T542" s="3055">
        <f t="shared" si="5"/>
        <v>0</v>
      </c>
      <c r="U542" s="3055">
        <f t="shared" si="6"/>
        <v>0</v>
      </c>
      <c r="V542" s="3055">
        <f t="shared" si="7"/>
        <v>0</v>
      </c>
      <c r="W542" s="3055">
        <f t="shared" si="8"/>
        <v>0</v>
      </c>
      <c r="X542" s="3055">
        <f t="shared" si="9"/>
        <v>0</v>
      </c>
      <c r="Y542" s="3055">
        <f t="shared" si="10"/>
        <v>0</v>
      </c>
      <c r="Z542" s="3055">
        <f t="shared" si="11"/>
        <v>0</v>
      </c>
      <c r="AA542" s="3055">
        <f t="shared" si="12"/>
        <v>0</v>
      </c>
      <c r="AB542" s="3055">
        <f t="shared" si="13"/>
        <v>0</v>
      </c>
      <c r="AC542" s="3055">
        <f t="shared" si="14"/>
        <v>0</v>
      </c>
      <c r="AD542" s="3056"/>
      <c r="AE542" s="3057">
        <f t="shared" si="0"/>
      </c>
      <c r="AF542" s="3054"/>
      <c r="AG542" s="3054"/>
      <c r="AH542" s="3055"/>
      <c r="AI542" s="3055"/>
      <c r="AJ542" s="3055"/>
      <c r="AK542" s="3055"/>
      <c r="AL542" s="3055"/>
      <c r="AM542" s="3055"/>
      <c r="AN542" s="3055"/>
      <c r="AO542" s="3055"/>
      <c r="AP542" s="3055"/>
      <c r="AQ542" s="3055"/>
      <c r="AR542" s="3055"/>
      <c r="AS542" s="3055"/>
      <c r="AT542" s="3055"/>
      <c r="AU542" s="3056"/>
      <c r="AV542" s="3057">
        <f t="shared" si="15"/>
      </c>
      <c r="AW542" s="3054"/>
      <c r="AX542" s="3054"/>
      <c r="AY542" s="3055"/>
      <c r="AZ542" s="3055"/>
      <c r="BA542" s="3055"/>
      <c r="BB542" s="3055"/>
      <c r="BC542" s="3055"/>
      <c r="BD542" s="3055"/>
      <c r="BE542" s="3055"/>
      <c r="BF542" s="3055"/>
      <c r="BG542" s="3055"/>
      <c r="BH542" s="3055"/>
      <c r="BI542" s="3055"/>
      <c r="BJ542" s="3055"/>
      <c r="BK542" s="3055"/>
      <c r="BL542" s="3056"/>
      <c r="BM542" s="3057">
        <f t="shared" si="16"/>
      </c>
      <c r="BN542" s="3054"/>
      <c r="BO542" s="3054"/>
      <c r="BP542" s="3055"/>
      <c r="BQ542" s="3055"/>
      <c r="BR542" s="3055"/>
      <c r="BS542" s="3055"/>
      <c r="BT542" s="3055"/>
      <c r="BU542" s="3055"/>
      <c r="BV542" s="3055"/>
      <c r="BW542" s="3055"/>
      <c r="BX542" s="3055"/>
      <c r="BY542" s="3055"/>
      <c r="BZ542" s="3055"/>
      <c r="CA542" s="3055"/>
      <c r="CB542" s="3055"/>
      <c r="CC542" s="3056"/>
      <c r="CD542" s="3057">
        <f t="shared" si="0"/>
      </c>
      <c r="CE542" s="3054"/>
      <c r="CF542" s="3054"/>
      <c r="CG542" s="3055"/>
      <c r="CH542" s="3055"/>
      <c r="CI542" s="3055"/>
      <c r="CJ542" s="3055"/>
      <c r="CK542" s="3055"/>
      <c r="CL542" s="3055"/>
      <c r="CM542" s="3055"/>
      <c r="CN542" s="3055"/>
      <c r="CO542" s="3055"/>
      <c r="CP542" s="3055"/>
      <c r="CQ542" s="3055"/>
      <c r="CR542" s="3055"/>
      <c r="CS542" s="3055"/>
      <c r="CU542" s="3054"/>
      <c r="CV542" s="696"/>
      <c r="CW542" s="696"/>
      <c r="CZ542" s="3060">
        <f t="shared" si="17"/>
      </c>
      <c r="DA542" s="3060">
        <f t="shared" si="1"/>
      </c>
      <c r="DB542" s="3060">
        <f t="shared" si="18"/>
      </c>
      <c r="DC542" s="3060">
        <f t="shared" si="19"/>
      </c>
      <c r="DD542" s="3060">
        <f t="shared" si="20"/>
      </c>
      <c r="DE542" s="3060">
        <f t="shared" si="21"/>
      </c>
      <c r="DF542" s="3060">
        <f t="shared" si="22"/>
      </c>
      <c r="DG542" s="3060">
        <f t="shared" si="23"/>
      </c>
      <c r="DH542" s="3060">
        <f t="shared" si="24"/>
      </c>
      <c r="DI542" s="3060">
        <f t="shared" si="1"/>
      </c>
    </row>
    <row r="543" ht="15" customHeight="1" s="3052" customFormat="1">
      <c r="B543" s="3054">
        <f t="shared" si="2"/>
      </c>
      <c r="C543" s="3054"/>
      <c r="D543" s="3054"/>
      <c r="E543" s="3055"/>
      <c r="F543" s="3055"/>
      <c r="G543" s="3055"/>
      <c r="H543" s="3055"/>
      <c r="I543" s="3055"/>
      <c r="J543" s="3055"/>
      <c r="K543" s="3055"/>
      <c r="L543" s="3055"/>
      <c r="M543" s="3055"/>
      <c r="N543" s="3055"/>
      <c r="O543" s="3055"/>
      <c r="P543" s="3055"/>
      <c r="Q543" s="3055"/>
      <c r="R543" s="3055">
        <f t="shared" si="3"/>
        <v>0</v>
      </c>
      <c r="S543" s="3055">
        <f t="shared" si="4"/>
        <v>0</v>
      </c>
      <c r="T543" s="3055">
        <f t="shared" si="5"/>
        <v>0</v>
      </c>
      <c r="U543" s="3055">
        <f t="shared" si="6"/>
        <v>0</v>
      </c>
      <c r="V543" s="3055">
        <f t="shared" si="7"/>
        <v>0</v>
      </c>
      <c r="W543" s="3055">
        <f t="shared" si="8"/>
        <v>0</v>
      </c>
      <c r="X543" s="3055">
        <f t="shared" si="9"/>
        <v>0</v>
      </c>
      <c r="Y543" s="3055">
        <f t="shared" si="10"/>
        <v>0</v>
      </c>
      <c r="Z543" s="3055">
        <f t="shared" si="11"/>
        <v>0</v>
      </c>
      <c r="AA543" s="3055">
        <f t="shared" si="12"/>
        <v>0</v>
      </c>
      <c r="AB543" s="3055">
        <f t="shared" si="13"/>
        <v>0</v>
      </c>
      <c r="AC543" s="3055">
        <f t="shared" si="14"/>
        <v>0</v>
      </c>
      <c r="AD543" s="3056"/>
      <c r="AE543" s="3057">
        <f t="shared" si="0"/>
      </c>
      <c r="AF543" s="3054"/>
      <c r="AG543" s="3054"/>
      <c r="AH543" s="3055"/>
      <c r="AI543" s="3055"/>
      <c r="AJ543" s="3055"/>
      <c r="AK543" s="3055"/>
      <c r="AL543" s="3055"/>
      <c r="AM543" s="3055"/>
      <c r="AN543" s="3055"/>
      <c r="AO543" s="3055"/>
      <c r="AP543" s="3055"/>
      <c r="AQ543" s="3055"/>
      <c r="AR543" s="3055"/>
      <c r="AS543" s="3055"/>
      <c r="AT543" s="3055"/>
      <c r="AU543" s="3056"/>
      <c r="AV543" s="3057">
        <f t="shared" si="15"/>
      </c>
      <c r="AW543" s="3054"/>
      <c r="AX543" s="3054"/>
      <c r="AY543" s="3055"/>
      <c r="AZ543" s="3055"/>
      <c r="BA543" s="3055"/>
      <c r="BB543" s="3055"/>
      <c r="BC543" s="3055"/>
      <c r="BD543" s="3055"/>
      <c r="BE543" s="3055"/>
      <c r="BF543" s="3055"/>
      <c r="BG543" s="3055"/>
      <c r="BH543" s="3055"/>
      <c r="BI543" s="3055"/>
      <c r="BJ543" s="3055"/>
      <c r="BK543" s="3055"/>
      <c r="BL543" s="3056"/>
      <c r="BM543" s="3057">
        <f t="shared" si="16"/>
      </c>
      <c r="BN543" s="3054"/>
      <c r="BO543" s="3054"/>
      <c r="BP543" s="3055"/>
      <c r="BQ543" s="3055"/>
      <c r="BR543" s="3055"/>
      <c r="BS543" s="3055"/>
      <c r="BT543" s="3055"/>
      <c r="BU543" s="3055"/>
      <c r="BV543" s="3055"/>
      <c r="BW543" s="3055"/>
      <c r="BX543" s="3055"/>
      <c r="BY543" s="3055"/>
      <c r="BZ543" s="3055"/>
      <c r="CA543" s="3055"/>
      <c r="CB543" s="3055"/>
      <c r="CC543" s="3056"/>
      <c r="CD543" s="3057">
        <f t="shared" si="0"/>
      </c>
      <c r="CE543" s="3054"/>
      <c r="CF543" s="3054"/>
      <c r="CG543" s="3055"/>
      <c r="CH543" s="3055"/>
      <c r="CI543" s="3055"/>
      <c r="CJ543" s="3055"/>
      <c r="CK543" s="3055"/>
      <c r="CL543" s="3055"/>
      <c r="CM543" s="3055"/>
      <c r="CN543" s="3055"/>
      <c r="CO543" s="3055"/>
      <c r="CP543" s="3055"/>
      <c r="CQ543" s="3055"/>
      <c r="CR543" s="3055"/>
      <c r="CS543" s="3055"/>
      <c r="CU543" s="3054"/>
      <c r="CV543" s="696"/>
      <c r="CW543" s="696"/>
      <c r="CZ543" s="3060">
        <f t="shared" si="17"/>
      </c>
      <c r="DA543" s="3060">
        <f t="shared" si="1"/>
      </c>
      <c r="DB543" s="3060">
        <f t="shared" si="18"/>
      </c>
      <c r="DC543" s="3060">
        <f t="shared" si="19"/>
      </c>
      <c r="DD543" s="3060">
        <f t="shared" si="20"/>
      </c>
      <c r="DE543" s="3060">
        <f t="shared" si="21"/>
      </c>
      <c r="DF543" s="3060">
        <f t="shared" si="22"/>
      </c>
      <c r="DG543" s="3060">
        <f t="shared" si="23"/>
      </c>
      <c r="DH543" s="3060">
        <f t="shared" si="24"/>
      </c>
      <c r="DI543" s="3060">
        <f t="shared" si="1"/>
      </c>
    </row>
    <row r="544" ht="15" customHeight="1" s="3052" customFormat="1">
      <c r="B544" s="3054">
        <f t="shared" si="2"/>
      </c>
      <c r="C544" s="3054"/>
      <c r="D544" s="3054"/>
      <c r="E544" s="3055"/>
      <c r="F544" s="3055"/>
      <c r="G544" s="3055"/>
      <c r="H544" s="3055"/>
      <c r="I544" s="3055"/>
      <c r="J544" s="3055"/>
      <c r="K544" s="3055"/>
      <c r="L544" s="3055"/>
      <c r="M544" s="3055"/>
      <c r="N544" s="3055"/>
      <c r="O544" s="3055"/>
      <c r="P544" s="3055"/>
      <c r="Q544" s="3055"/>
      <c r="R544" s="3055">
        <f t="shared" si="3"/>
        <v>0</v>
      </c>
      <c r="S544" s="3055">
        <f t="shared" si="4"/>
        <v>0</v>
      </c>
      <c r="T544" s="3055">
        <f t="shared" si="5"/>
        <v>0</v>
      </c>
      <c r="U544" s="3055">
        <f t="shared" si="6"/>
        <v>0</v>
      </c>
      <c r="V544" s="3055">
        <f t="shared" si="7"/>
        <v>0</v>
      </c>
      <c r="W544" s="3055">
        <f t="shared" si="8"/>
        <v>0</v>
      </c>
      <c r="X544" s="3055">
        <f t="shared" si="9"/>
        <v>0</v>
      </c>
      <c r="Y544" s="3055">
        <f t="shared" si="10"/>
        <v>0</v>
      </c>
      <c r="Z544" s="3055">
        <f t="shared" si="11"/>
        <v>0</v>
      </c>
      <c r="AA544" s="3055">
        <f t="shared" si="12"/>
        <v>0</v>
      </c>
      <c r="AB544" s="3055">
        <f t="shared" si="13"/>
        <v>0</v>
      </c>
      <c r="AC544" s="3055">
        <f t="shared" si="14"/>
        <v>0</v>
      </c>
      <c r="AD544" s="3056"/>
      <c r="AE544" s="3057">
        <f t="shared" si="0"/>
      </c>
      <c r="AF544" s="3054"/>
      <c r="AG544" s="3054"/>
      <c r="AH544" s="3055"/>
      <c r="AI544" s="3055"/>
      <c r="AJ544" s="3055"/>
      <c r="AK544" s="3055"/>
      <c r="AL544" s="3055"/>
      <c r="AM544" s="3055"/>
      <c r="AN544" s="3055"/>
      <c r="AO544" s="3055"/>
      <c r="AP544" s="3055"/>
      <c r="AQ544" s="3055"/>
      <c r="AR544" s="3055"/>
      <c r="AS544" s="3055"/>
      <c r="AT544" s="3055"/>
      <c r="AU544" s="3056"/>
      <c r="AV544" s="3057">
        <f t="shared" si="15"/>
      </c>
      <c r="AW544" s="3054"/>
      <c r="AX544" s="3054"/>
      <c r="AY544" s="3055"/>
      <c r="AZ544" s="3055"/>
      <c r="BA544" s="3055"/>
      <c r="BB544" s="3055"/>
      <c r="BC544" s="3055"/>
      <c r="BD544" s="3055"/>
      <c r="BE544" s="3055"/>
      <c r="BF544" s="3055"/>
      <c r="BG544" s="3055"/>
      <c r="BH544" s="3055"/>
      <c r="BI544" s="3055"/>
      <c r="BJ544" s="3055"/>
      <c r="BK544" s="3055"/>
      <c r="BL544" s="3056"/>
      <c r="BM544" s="3057">
        <f t="shared" si="16"/>
      </c>
      <c r="BN544" s="3054"/>
      <c r="BO544" s="3054"/>
      <c r="BP544" s="3055"/>
      <c r="BQ544" s="3055"/>
      <c r="BR544" s="3055"/>
      <c r="BS544" s="3055"/>
      <c r="BT544" s="3055"/>
      <c r="BU544" s="3055"/>
      <c r="BV544" s="3055"/>
      <c r="BW544" s="3055"/>
      <c r="BX544" s="3055"/>
      <c r="BY544" s="3055"/>
      <c r="BZ544" s="3055"/>
      <c r="CA544" s="3055"/>
      <c r="CB544" s="3055"/>
      <c r="CC544" s="3056"/>
      <c r="CD544" s="3057">
        <f t="shared" si="0"/>
      </c>
      <c r="CE544" s="3054"/>
      <c r="CF544" s="3054"/>
      <c r="CG544" s="3055"/>
      <c r="CH544" s="3055"/>
      <c r="CI544" s="3055"/>
      <c r="CJ544" s="3055"/>
      <c r="CK544" s="3055"/>
      <c r="CL544" s="3055"/>
      <c r="CM544" s="3055"/>
      <c r="CN544" s="3055"/>
      <c r="CO544" s="3055"/>
      <c r="CP544" s="3055"/>
      <c r="CQ544" s="3055"/>
      <c r="CR544" s="3055"/>
      <c r="CS544" s="3055"/>
      <c r="CU544" s="3054"/>
      <c r="CV544" s="696"/>
      <c r="CW544" s="696"/>
      <c r="CZ544" s="3060">
        <f t="shared" si="17"/>
      </c>
      <c r="DA544" s="3060">
        <f t="shared" si="1"/>
      </c>
      <c r="DB544" s="3060">
        <f t="shared" si="18"/>
      </c>
      <c r="DC544" s="3060">
        <f t="shared" si="19"/>
      </c>
      <c r="DD544" s="3060">
        <f t="shared" si="20"/>
      </c>
      <c r="DE544" s="3060">
        <f t="shared" si="21"/>
      </c>
      <c r="DF544" s="3060">
        <f t="shared" si="22"/>
      </c>
      <c r="DG544" s="3060">
        <f t="shared" si="23"/>
      </c>
      <c r="DH544" s="3060">
        <f t="shared" si="24"/>
      </c>
      <c r="DI544" s="3060">
        <f t="shared" si="1"/>
      </c>
    </row>
    <row r="545" ht="15" customHeight="1" s="3052" customFormat="1">
      <c r="B545" s="3054">
        <f t="shared" si="2"/>
      </c>
      <c r="C545" s="3054"/>
      <c r="D545" s="3054"/>
      <c r="E545" s="3055"/>
      <c r="F545" s="3055"/>
      <c r="G545" s="3055"/>
      <c r="H545" s="3055"/>
      <c r="I545" s="3055"/>
      <c r="J545" s="3055"/>
      <c r="K545" s="3055"/>
      <c r="L545" s="3055"/>
      <c r="M545" s="3055"/>
      <c r="N545" s="3055"/>
      <c r="O545" s="3055"/>
      <c r="P545" s="3055"/>
      <c r="Q545" s="3055"/>
      <c r="R545" s="3055">
        <f t="shared" si="3"/>
        <v>0</v>
      </c>
      <c r="S545" s="3055">
        <f t="shared" si="4"/>
        <v>0</v>
      </c>
      <c r="T545" s="3055">
        <f t="shared" si="5"/>
        <v>0</v>
      </c>
      <c r="U545" s="3055">
        <f t="shared" si="6"/>
        <v>0</v>
      </c>
      <c r="V545" s="3055">
        <f t="shared" si="7"/>
        <v>0</v>
      </c>
      <c r="W545" s="3055">
        <f t="shared" si="8"/>
        <v>0</v>
      </c>
      <c r="X545" s="3055">
        <f t="shared" si="9"/>
        <v>0</v>
      </c>
      <c r="Y545" s="3055">
        <f t="shared" si="10"/>
        <v>0</v>
      </c>
      <c r="Z545" s="3055">
        <f t="shared" si="11"/>
        <v>0</v>
      </c>
      <c r="AA545" s="3055">
        <f t="shared" si="12"/>
        <v>0</v>
      </c>
      <c r="AB545" s="3055">
        <f t="shared" si="13"/>
        <v>0</v>
      </c>
      <c r="AC545" s="3055">
        <f t="shared" si="14"/>
        <v>0</v>
      </c>
      <c r="AD545" s="3056"/>
      <c r="AE545" s="3057">
        <f t="shared" si="0"/>
      </c>
      <c r="AF545" s="3054"/>
      <c r="AG545" s="3054"/>
      <c r="AH545" s="3055"/>
      <c r="AI545" s="3055"/>
      <c r="AJ545" s="3055"/>
      <c r="AK545" s="3055"/>
      <c r="AL545" s="3055"/>
      <c r="AM545" s="3055"/>
      <c r="AN545" s="3055"/>
      <c r="AO545" s="3055"/>
      <c r="AP545" s="3055"/>
      <c r="AQ545" s="3055"/>
      <c r="AR545" s="3055"/>
      <c r="AS545" s="3055"/>
      <c r="AT545" s="3055"/>
      <c r="AU545" s="3056"/>
      <c r="AV545" s="3057">
        <f t="shared" si="15"/>
      </c>
      <c r="AW545" s="3054"/>
      <c r="AX545" s="3054"/>
      <c r="AY545" s="3055"/>
      <c r="AZ545" s="3055"/>
      <c r="BA545" s="3055"/>
      <c r="BB545" s="3055"/>
      <c r="BC545" s="3055"/>
      <c r="BD545" s="3055"/>
      <c r="BE545" s="3055"/>
      <c r="BF545" s="3055"/>
      <c r="BG545" s="3055"/>
      <c r="BH545" s="3055"/>
      <c r="BI545" s="3055"/>
      <c r="BJ545" s="3055"/>
      <c r="BK545" s="3055"/>
      <c r="BL545" s="3056"/>
      <c r="BM545" s="3057">
        <f t="shared" si="16"/>
      </c>
      <c r="BN545" s="3054"/>
      <c r="BO545" s="3054"/>
      <c r="BP545" s="3055"/>
      <c r="BQ545" s="3055"/>
      <c r="BR545" s="3055"/>
      <c r="BS545" s="3055"/>
      <c r="BT545" s="3055"/>
      <c r="BU545" s="3055"/>
      <c r="BV545" s="3055"/>
      <c r="BW545" s="3055"/>
      <c r="BX545" s="3055"/>
      <c r="BY545" s="3055"/>
      <c r="BZ545" s="3055"/>
      <c r="CA545" s="3055"/>
      <c r="CB545" s="3055"/>
      <c r="CC545" s="3056"/>
      <c r="CD545" s="3057">
        <f t="shared" si="0"/>
      </c>
      <c r="CE545" s="3054"/>
      <c r="CF545" s="3054"/>
      <c r="CG545" s="3055"/>
      <c r="CH545" s="3055"/>
      <c r="CI545" s="3055"/>
      <c r="CJ545" s="3055"/>
      <c r="CK545" s="3055"/>
      <c r="CL545" s="3055"/>
      <c r="CM545" s="3055"/>
      <c r="CN545" s="3055"/>
      <c r="CO545" s="3055"/>
      <c r="CP545" s="3055"/>
      <c r="CQ545" s="3055"/>
      <c r="CR545" s="3055"/>
      <c r="CS545" s="3055"/>
      <c r="CU545" s="3054"/>
      <c r="CV545" s="696"/>
      <c r="CW545" s="696"/>
      <c r="CZ545" s="3060">
        <f t="shared" si="17"/>
      </c>
      <c r="DA545" s="3060">
        <f t="shared" si="1"/>
      </c>
      <c r="DB545" s="3060">
        <f t="shared" si="18"/>
      </c>
      <c r="DC545" s="3060">
        <f t="shared" si="19"/>
      </c>
      <c r="DD545" s="3060">
        <f t="shared" si="20"/>
      </c>
      <c r="DE545" s="3060">
        <f t="shared" si="21"/>
      </c>
      <c r="DF545" s="3060">
        <f t="shared" si="22"/>
      </c>
      <c r="DG545" s="3060">
        <f t="shared" si="23"/>
      </c>
      <c r="DH545" s="3060">
        <f t="shared" si="24"/>
      </c>
      <c r="DI545" s="3060">
        <f t="shared" si="1"/>
      </c>
    </row>
    <row r="546" ht="15" customHeight="1" s="3052" customFormat="1">
      <c r="B546" s="3054">
        <f t="shared" si="2"/>
      </c>
      <c r="C546" s="3054"/>
      <c r="D546" s="3054"/>
      <c r="E546" s="3055"/>
      <c r="F546" s="3055"/>
      <c r="G546" s="3055"/>
      <c r="H546" s="3055"/>
      <c r="I546" s="3055"/>
      <c r="J546" s="3055"/>
      <c r="K546" s="3055"/>
      <c r="L546" s="3055"/>
      <c r="M546" s="3055"/>
      <c r="N546" s="3055"/>
      <c r="O546" s="3055"/>
      <c r="P546" s="3055"/>
      <c r="Q546" s="3055"/>
      <c r="R546" s="3055">
        <f t="shared" si="3"/>
        <v>0</v>
      </c>
      <c r="S546" s="3055">
        <f t="shared" si="4"/>
        <v>0</v>
      </c>
      <c r="T546" s="3055">
        <f t="shared" si="5"/>
        <v>0</v>
      </c>
      <c r="U546" s="3055">
        <f t="shared" si="6"/>
        <v>0</v>
      </c>
      <c r="V546" s="3055">
        <f t="shared" si="7"/>
        <v>0</v>
      </c>
      <c r="W546" s="3055">
        <f t="shared" si="8"/>
        <v>0</v>
      </c>
      <c r="X546" s="3055">
        <f t="shared" si="9"/>
        <v>0</v>
      </c>
      <c r="Y546" s="3055">
        <f t="shared" si="10"/>
        <v>0</v>
      </c>
      <c r="Z546" s="3055">
        <f t="shared" si="11"/>
        <v>0</v>
      </c>
      <c r="AA546" s="3055">
        <f t="shared" si="12"/>
        <v>0</v>
      </c>
      <c r="AB546" s="3055">
        <f t="shared" si="13"/>
        <v>0</v>
      </c>
      <c r="AC546" s="3055">
        <f t="shared" si="14"/>
        <v>0</v>
      </c>
      <c r="AD546" s="3056"/>
      <c r="AE546" s="3057">
        <f t="shared" si="0"/>
      </c>
      <c r="AF546" s="3054"/>
      <c r="AG546" s="3054"/>
      <c r="AH546" s="3055"/>
      <c r="AI546" s="3055"/>
      <c r="AJ546" s="3055"/>
      <c r="AK546" s="3055"/>
      <c r="AL546" s="3055"/>
      <c r="AM546" s="3055"/>
      <c r="AN546" s="3055"/>
      <c r="AO546" s="3055"/>
      <c r="AP546" s="3055"/>
      <c r="AQ546" s="3055"/>
      <c r="AR546" s="3055"/>
      <c r="AS546" s="3055"/>
      <c r="AT546" s="3055"/>
      <c r="AU546" s="3056"/>
      <c r="AV546" s="3057">
        <f t="shared" si="15"/>
      </c>
      <c r="AW546" s="3054"/>
      <c r="AX546" s="3054"/>
      <c r="AY546" s="3055"/>
      <c r="AZ546" s="3055"/>
      <c r="BA546" s="3055"/>
      <c r="BB546" s="3055"/>
      <c r="BC546" s="3055"/>
      <c r="BD546" s="3055"/>
      <c r="BE546" s="3055"/>
      <c r="BF546" s="3055"/>
      <c r="BG546" s="3055"/>
      <c r="BH546" s="3055"/>
      <c r="BI546" s="3055"/>
      <c r="BJ546" s="3055"/>
      <c r="BK546" s="3055"/>
      <c r="BL546" s="3056"/>
      <c r="BM546" s="3057">
        <f t="shared" si="16"/>
      </c>
      <c r="BN546" s="3054"/>
      <c r="BO546" s="3054"/>
      <c r="BP546" s="3055"/>
      <c r="BQ546" s="3055"/>
      <c r="BR546" s="3055"/>
      <c r="BS546" s="3055"/>
      <c r="BT546" s="3055"/>
      <c r="BU546" s="3055"/>
      <c r="BV546" s="3055"/>
      <c r="BW546" s="3055"/>
      <c r="BX546" s="3055"/>
      <c r="BY546" s="3055"/>
      <c r="BZ546" s="3055"/>
      <c r="CA546" s="3055"/>
      <c r="CB546" s="3055"/>
      <c r="CC546" s="3056"/>
      <c r="CD546" s="3057">
        <f t="shared" si="0"/>
      </c>
      <c r="CE546" s="3054"/>
      <c r="CF546" s="3054"/>
      <c r="CG546" s="3055"/>
      <c r="CH546" s="3055"/>
      <c r="CI546" s="3055"/>
      <c r="CJ546" s="3055"/>
      <c r="CK546" s="3055"/>
      <c r="CL546" s="3055"/>
      <c r="CM546" s="3055"/>
      <c r="CN546" s="3055"/>
      <c r="CO546" s="3055"/>
      <c r="CP546" s="3055"/>
      <c r="CQ546" s="3055"/>
      <c r="CR546" s="3055"/>
      <c r="CS546" s="3055"/>
      <c r="CU546" s="3054"/>
      <c r="CV546" s="696"/>
      <c r="CW546" s="696"/>
      <c r="CZ546" s="3060">
        <f t="shared" si="17"/>
      </c>
      <c r="DA546" s="3060">
        <f t="shared" si="1"/>
      </c>
      <c r="DB546" s="3060">
        <f t="shared" si="18"/>
      </c>
      <c r="DC546" s="3060">
        <f t="shared" si="19"/>
      </c>
      <c r="DD546" s="3060">
        <f t="shared" si="20"/>
      </c>
      <c r="DE546" s="3060">
        <f t="shared" si="21"/>
      </c>
      <c r="DF546" s="3060">
        <f t="shared" si="22"/>
      </c>
      <c r="DG546" s="3060">
        <f t="shared" si="23"/>
      </c>
      <c r="DH546" s="3060">
        <f t="shared" si="24"/>
      </c>
      <c r="DI546" s="3060">
        <f t="shared" si="1"/>
      </c>
    </row>
    <row r="547" ht="15" customHeight="1" s="3052" customFormat="1">
      <c r="B547" s="3054">
        <f t="shared" si="2"/>
      </c>
      <c r="C547" s="3054"/>
      <c r="D547" s="3054"/>
      <c r="E547" s="3055"/>
      <c r="F547" s="3055"/>
      <c r="G547" s="3055"/>
      <c r="H547" s="3055"/>
      <c r="I547" s="3055"/>
      <c r="J547" s="3055"/>
      <c r="K547" s="3055"/>
      <c r="L547" s="3055"/>
      <c r="M547" s="3055"/>
      <c r="N547" s="3055"/>
      <c r="O547" s="3055"/>
      <c r="P547" s="3055"/>
      <c r="Q547" s="3055"/>
      <c r="R547" s="3055">
        <f t="shared" si="3"/>
        <v>0</v>
      </c>
      <c r="S547" s="3055">
        <f t="shared" si="4"/>
        <v>0</v>
      </c>
      <c r="T547" s="3055">
        <f t="shared" si="5"/>
        <v>0</v>
      </c>
      <c r="U547" s="3055">
        <f t="shared" si="6"/>
        <v>0</v>
      </c>
      <c r="V547" s="3055">
        <f t="shared" si="7"/>
        <v>0</v>
      </c>
      <c r="W547" s="3055">
        <f t="shared" si="8"/>
        <v>0</v>
      </c>
      <c r="X547" s="3055">
        <f t="shared" si="9"/>
        <v>0</v>
      </c>
      <c r="Y547" s="3055">
        <f t="shared" si="10"/>
        <v>0</v>
      </c>
      <c r="Z547" s="3055">
        <f t="shared" si="11"/>
        <v>0</v>
      </c>
      <c r="AA547" s="3055">
        <f t="shared" si="12"/>
        <v>0</v>
      </c>
      <c r="AB547" s="3055">
        <f t="shared" si="13"/>
        <v>0</v>
      </c>
      <c r="AC547" s="3055">
        <f t="shared" si="14"/>
        <v>0</v>
      </c>
      <c r="AD547" s="3056"/>
      <c r="AE547" s="3057">
        <f t="shared" si="0"/>
      </c>
      <c r="AF547" s="3054"/>
      <c r="AG547" s="3054"/>
      <c r="AH547" s="3055"/>
      <c r="AI547" s="3055"/>
      <c r="AJ547" s="3055"/>
      <c r="AK547" s="3055"/>
      <c r="AL547" s="3055"/>
      <c r="AM547" s="3055"/>
      <c r="AN547" s="3055"/>
      <c r="AO547" s="3055"/>
      <c r="AP547" s="3055"/>
      <c r="AQ547" s="3055"/>
      <c r="AR547" s="3055"/>
      <c r="AS547" s="3055"/>
      <c r="AT547" s="3055"/>
      <c r="AU547" s="3056"/>
      <c r="AV547" s="3057">
        <f t="shared" si="15"/>
      </c>
      <c r="AW547" s="3054"/>
      <c r="AX547" s="3054"/>
      <c r="AY547" s="3055"/>
      <c r="AZ547" s="3055"/>
      <c r="BA547" s="3055"/>
      <c r="BB547" s="3055"/>
      <c r="BC547" s="3055"/>
      <c r="BD547" s="3055"/>
      <c r="BE547" s="3055"/>
      <c r="BF547" s="3055"/>
      <c r="BG547" s="3055"/>
      <c r="BH547" s="3055"/>
      <c r="BI547" s="3055"/>
      <c r="BJ547" s="3055"/>
      <c r="BK547" s="3055"/>
      <c r="BL547" s="3056"/>
      <c r="BM547" s="3057">
        <f t="shared" si="16"/>
      </c>
      <c r="BN547" s="3054"/>
      <c r="BO547" s="3054"/>
      <c r="BP547" s="3055"/>
      <c r="BQ547" s="3055"/>
      <c r="BR547" s="3055"/>
      <c r="BS547" s="3055"/>
      <c r="BT547" s="3055"/>
      <c r="BU547" s="3055"/>
      <c r="BV547" s="3055"/>
      <c r="BW547" s="3055"/>
      <c r="BX547" s="3055"/>
      <c r="BY547" s="3055"/>
      <c r="BZ547" s="3055"/>
      <c r="CA547" s="3055"/>
      <c r="CB547" s="3055"/>
      <c r="CC547" s="3056"/>
      <c r="CD547" s="3057">
        <f t="shared" si="0"/>
      </c>
      <c r="CE547" s="3054"/>
      <c r="CF547" s="3054"/>
      <c r="CG547" s="3055"/>
      <c r="CH547" s="3055"/>
      <c r="CI547" s="3055"/>
      <c r="CJ547" s="3055"/>
      <c r="CK547" s="3055"/>
      <c r="CL547" s="3055"/>
      <c r="CM547" s="3055"/>
      <c r="CN547" s="3055"/>
      <c r="CO547" s="3055"/>
      <c r="CP547" s="3055"/>
      <c r="CQ547" s="3055"/>
      <c r="CR547" s="3055"/>
      <c r="CS547" s="3055"/>
      <c r="CU547" s="3054"/>
      <c r="CV547" s="696"/>
      <c r="CW547" s="696"/>
      <c r="CZ547" s="3060">
        <f t="shared" si="17"/>
      </c>
      <c r="DA547" s="3060">
        <f t="shared" si="1"/>
      </c>
      <c r="DB547" s="3060">
        <f t="shared" si="18"/>
      </c>
      <c r="DC547" s="3060">
        <f t="shared" si="19"/>
      </c>
      <c r="DD547" s="3060">
        <f t="shared" si="20"/>
      </c>
      <c r="DE547" s="3060">
        <f t="shared" si="21"/>
      </c>
      <c r="DF547" s="3060">
        <f t="shared" si="22"/>
      </c>
      <c r="DG547" s="3060">
        <f t="shared" si="23"/>
      </c>
      <c r="DH547" s="3060">
        <f t="shared" si="24"/>
      </c>
      <c r="DI547" s="3060">
        <f t="shared" si="1"/>
      </c>
    </row>
    <row r="548" ht="15" customHeight="1" s="3052" customFormat="1">
      <c r="B548" s="3054">
        <f t="shared" si="2"/>
      </c>
      <c r="C548" s="3054"/>
      <c r="D548" s="3054"/>
      <c r="E548" s="3055"/>
      <c r="F548" s="3055"/>
      <c r="G548" s="3055"/>
      <c r="H548" s="3055"/>
      <c r="I548" s="3055"/>
      <c r="J548" s="3055"/>
      <c r="K548" s="3055"/>
      <c r="L548" s="3055"/>
      <c r="M548" s="3055"/>
      <c r="N548" s="3055"/>
      <c r="O548" s="3055"/>
      <c r="P548" s="3055"/>
      <c r="Q548" s="3055"/>
      <c r="R548" s="3055">
        <f t="shared" si="3"/>
        <v>0</v>
      </c>
      <c r="S548" s="3055">
        <f t="shared" si="4"/>
        <v>0</v>
      </c>
      <c r="T548" s="3055">
        <f t="shared" si="5"/>
        <v>0</v>
      </c>
      <c r="U548" s="3055">
        <f t="shared" si="6"/>
        <v>0</v>
      </c>
      <c r="V548" s="3055">
        <f t="shared" si="7"/>
        <v>0</v>
      </c>
      <c r="W548" s="3055">
        <f t="shared" si="8"/>
        <v>0</v>
      </c>
      <c r="X548" s="3055">
        <f t="shared" si="9"/>
        <v>0</v>
      </c>
      <c r="Y548" s="3055">
        <f t="shared" si="10"/>
        <v>0</v>
      </c>
      <c r="Z548" s="3055">
        <f t="shared" si="11"/>
        <v>0</v>
      </c>
      <c r="AA548" s="3055">
        <f t="shared" si="12"/>
        <v>0</v>
      </c>
      <c r="AB548" s="3055">
        <f t="shared" si="13"/>
        <v>0</v>
      </c>
      <c r="AC548" s="3055">
        <f t="shared" si="14"/>
        <v>0</v>
      </c>
      <c r="AD548" s="3056"/>
      <c r="AE548" s="3057">
        <f t="shared" si="0"/>
      </c>
      <c r="AF548" s="3054"/>
      <c r="AG548" s="3054"/>
      <c r="AH548" s="3055"/>
      <c r="AI548" s="3055"/>
      <c r="AJ548" s="3055"/>
      <c r="AK548" s="3055"/>
      <c r="AL548" s="3055"/>
      <c r="AM548" s="3055"/>
      <c r="AN548" s="3055"/>
      <c r="AO548" s="3055"/>
      <c r="AP548" s="3055"/>
      <c r="AQ548" s="3055"/>
      <c r="AR548" s="3055"/>
      <c r="AS548" s="3055"/>
      <c r="AT548" s="3055"/>
      <c r="AU548" s="3056"/>
      <c r="AV548" s="3057">
        <f t="shared" si="15"/>
      </c>
      <c r="AW548" s="3054"/>
      <c r="AX548" s="3054"/>
      <c r="AY548" s="3055"/>
      <c r="AZ548" s="3055"/>
      <c r="BA548" s="3055"/>
      <c r="BB548" s="3055"/>
      <c r="BC548" s="3055"/>
      <c r="BD548" s="3055"/>
      <c r="BE548" s="3055"/>
      <c r="BF548" s="3055"/>
      <c r="BG548" s="3055"/>
      <c r="BH548" s="3055"/>
      <c r="BI548" s="3055"/>
      <c r="BJ548" s="3055"/>
      <c r="BK548" s="3055"/>
      <c r="BL548" s="3056"/>
      <c r="BM548" s="3057">
        <f t="shared" si="16"/>
      </c>
      <c r="BN548" s="3054"/>
      <c r="BO548" s="3054"/>
      <c r="BP548" s="3055"/>
      <c r="BQ548" s="3055"/>
      <c r="BR548" s="3055"/>
      <c r="BS548" s="3055"/>
      <c r="BT548" s="3055"/>
      <c r="BU548" s="3055"/>
      <c r="BV548" s="3055"/>
      <c r="BW548" s="3055"/>
      <c r="BX548" s="3055"/>
      <c r="BY548" s="3055"/>
      <c r="BZ548" s="3055"/>
      <c r="CA548" s="3055"/>
      <c r="CB548" s="3055"/>
      <c r="CC548" s="3056"/>
      <c r="CD548" s="3057">
        <f t="shared" si="0"/>
      </c>
      <c r="CE548" s="3054"/>
      <c r="CF548" s="3054"/>
      <c r="CG548" s="3055"/>
      <c r="CH548" s="3055"/>
      <c r="CI548" s="3055"/>
      <c r="CJ548" s="3055"/>
      <c r="CK548" s="3055"/>
      <c r="CL548" s="3055"/>
      <c r="CM548" s="3055"/>
      <c r="CN548" s="3055"/>
      <c r="CO548" s="3055"/>
      <c r="CP548" s="3055"/>
      <c r="CQ548" s="3055"/>
      <c r="CR548" s="3055"/>
      <c r="CS548" s="3055"/>
      <c r="CU548" s="3054"/>
      <c r="CV548" s="696"/>
      <c r="CW548" s="696"/>
      <c r="CZ548" s="3060">
        <f t="shared" si="17"/>
      </c>
      <c r="DA548" s="3060">
        <f t="shared" si="1"/>
      </c>
      <c r="DB548" s="3060">
        <f t="shared" si="18"/>
      </c>
      <c r="DC548" s="3060">
        <f t="shared" si="19"/>
      </c>
      <c r="DD548" s="3060">
        <f t="shared" si="20"/>
      </c>
      <c r="DE548" s="3060">
        <f t="shared" si="21"/>
      </c>
      <c r="DF548" s="3060">
        <f t="shared" si="22"/>
      </c>
      <c r="DG548" s="3060">
        <f t="shared" si="23"/>
      </c>
      <c r="DH548" s="3060">
        <f t="shared" si="24"/>
      </c>
      <c r="DI548" s="3060">
        <f t="shared" si="1"/>
      </c>
    </row>
    <row r="549" ht="15" customHeight="1" s="3052" customFormat="1">
      <c r="B549" s="3054">
        <f t="shared" si="2"/>
      </c>
      <c r="C549" s="3054"/>
      <c r="D549" s="3054"/>
      <c r="E549" s="3055"/>
      <c r="F549" s="3055"/>
      <c r="G549" s="3055"/>
      <c r="H549" s="3055"/>
      <c r="I549" s="3055"/>
      <c r="J549" s="3055"/>
      <c r="K549" s="3055"/>
      <c r="L549" s="3055"/>
      <c r="M549" s="3055"/>
      <c r="N549" s="3055"/>
      <c r="O549" s="3055"/>
      <c r="P549" s="3055"/>
      <c r="Q549" s="3055"/>
      <c r="R549" s="3055">
        <f t="shared" si="3"/>
        <v>0</v>
      </c>
      <c r="S549" s="3055">
        <f t="shared" si="4"/>
        <v>0</v>
      </c>
      <c r="T549" s="3055">
        <f t="shared" si="5"/>
        <v>0</v>
      </c>
      <c r="U549" s="3055">
        <f t="shared" si="6"/>
        <v>0</v>
      </c>
      <c r="V549" s="3055">
        <f t="shared" si="7"/>
        <v>0</v>
      </c>
      <c r="W549" s="3055">
        <f t="shared" si="8"/>
        <v>0</v>
      </c>
      <c r="X549" s="3055">
        <f t="shared" si="9"/>
        <v>0</v>
      </c>
      <c r="Y549" s="3055">
        <f t="shared" si="10"/>
        <v>0</v>
      </c>
      <c r="Z549" s="3055">
        <f t="shared" si="11"/>
        <v>0</v>
      </c>
      <c r="AA549" s="3055">
        <f t="shared" si="12"/>
        <v>0</v>
      </c>
      <c r="AB549" s="3055">
        <f t="shared" si="13"/>
        <v>0</v>
      </c>
      <c r="AC549" s="3055">
        <f t="shared" si="14"/>
        <v>0</v>
      </c>
      <c r="AD549" s="3056"/>
      <c r="AE549" s="3057">
        <f t="shared" si="0"/>
      </c>
      <c r="AF549" s="3054"/>
      <c r="AG549" s="3054"/>
      <c r="AH549" s="3055"/>
      <c r="AI549" s="3055"/>
      <c r="AJ549" s="3055"/>
      <c r="AK549" s="3055"/>
      <c r="AL549" s="3055"/>
      <c r="AM549" s="3055"/>
      <c r="AN549" s="3055"/>
      <c r="AO549" s="3055"/>
      <c r="AP549" s="3055"/>
      <c r="AQ549" s="3055"/>
      <c r="AR549" s="3055"/>
      <c r="AS549" s="3055"/>
      <c r="AT549" s="3055"/>
      <c r="AU549" s="3056"/>
      <c r="AV549" s="3057">
        <f t="shared" si="15"/>
      </c>
      <c r="AW549" s="3054"/>
      <c r="AX549" s="3054"/>
      <c r="AY549" s="3055"/>
      <c r="AZ549" s="3055"/>
      <c r="BA549" s="3055"/>
      <c r="BB549" s="3055"/>
      <c r="BC549" s="3055"/>
      <c r="BD549" s="3055"/>
      <c r="BE549" s="3055"/>
      <c r="BF549" s="3055"/>
      <c r="BG549" s="3055"/>
      <c r="BH549" s="3055"/>
      <c r="BI549" s="3055"/>
      <c r="BJ549" s="3055"/>
      <c r="BK549" s="3055"/>
      <c r="BL549" s="3056"/>
      <c r="BM549" s="3057">
        <f t="shared" si="16"/>
      </c>
      <c r="BN549" s="3054"/>
      <c r="BO549" s="3054"/>
      <c r="BP549" s="3055"/>
      <c r="BQ549" s="3055"/>
      <c r="BR549" s="3055"/>
      <c r="BS549" s="3055"/>
      <c r="BT549" s="3055"/>
      <c r="BU549" s="3055"/>
      <c r="BV549" s="3055"/>
      <c r="BW549" s="3055"/>
      <c r="BX549" s="3055"/>
      <c r="BY549" s="3055"/>
      <c r="BZ549" s="3055"/>
      <c r="CA549" s="3055"/>
      <c r="CB549" s="3055"/>
      <c r="CC549" s="3056"/>
      <c r="CD549" s="3057">
        <f t="shared" si="0"/>
      </c>
      <c r="CE549" s="3054"/>
      <c r="CF549" s="3054"/>
      <c r="CG549" s="3055"/>
      <c r="CH549" s="3055"/>
      <c r="CI549" s="3055"/>
      <c r="CJ549" s="3055"/>
      <c r="CK549" s="3055"/>
      <c r="CL549" s="3055"/>
      <c r="CM549" s="3055"/>
      <c r="CN549" s="3055"/>
      <c r="CO549" s="3055"/>
      <c r="CP549" s="3055"/>
      <c r="CQ549" s="3055"/>
      <c r="CR549" s="3055"/>
      <c r="CS549" s="3055"/>
      <c r="CU549" s="3054"/>
      <c r="CV549" s="696"/>
      <c r="CW549" s="696"/>
      <c r="CZ549" s="3060">
        <f t="shared" si="17"/>
      </c>
      <c r="DA549" s="3060">
        <f t="shared" si="1"/>
      </c>
      <c r="DB549" s="3060">
        <f t="shared" si="18"/>
      </c>
      <c r="DC549" s="3060">
        <f t="shared" si="19"/>
      </c>
      <c r="DD549" s="3060">
        <f t="shared" si="20"/>
      </c>
      <c r="DE549" s="3060">
        <f t="shared" si="21"/>
      </c>
      <c r="DF549" s="3060">
        <f t="shared" si="22"/>
      </c>
      <c r="DG549" s="3060">
        <f t="shared" si="23"/>
      </c>
      <c r="DH549" s="3060">
        <f t="shared" si="24"/>
      </c>
      <c r="DI549" s="3060">
        <f t="shared" si="1"/>
      </c>
    </row>
    <row r="550" ht="15" customHeight="1" s="3052" customFormat="1">
      <c r="B550" s="3054">
        <f t="shared" si="2"/>
      </c>
      <c r="C550" s="3054"/>
      <c r="D550" s="3054"/>
      <c r="E550" s="3055"/>
      <c r="F550" s="3055"/>
      <c r="G550" s="3055"/>
      <c r="H550" s="3055"/>
      <c r="I550" s="3055"/>
      <c r="J550" s="3055"/>
      <c r="K550" s="3055"/>
      <c r="L550" s="3055"/>
      <c r="M550" s="3055"/>
      <c r="N550" s="3055"/>
      <c r="O550" s="3055"/>
      <c r="P550" s="3055"/>
      <c r="Q550" s="3055"/>
      <c r="R550" s="3055">
        <f t="shared" si="3"/>
        <v>0</v>
      </c>
      <c r="S550" s="3055">
        <f t="shared" si="4"/>
        <v>0</v>
      </c>
      <c r="T550" s="3055">
        <f t="shared" si="5"/>
        <v>0</v>
      </c>
      <c r="U550" s="3055">
        <f t="shared" si="6"/>
        <v>0</v>
      </c>
      <c r="V550" s="3055">
        <f t="shared" si="7"/>
        <v>0</v>
      </c>
      <c r="W550" s="3055">
        <f t="shared" si="8"/>
        <v>0</v>
      </c>
      <c r="X550" s="3055">
        <f t="shared" si="9"/>
        <v>0</v>
      </c>
      <c r="Y550" s="3055">
        <f t="shared" si="10"/>
        <v>0</v>
      </c>
      <c r="Z550" s="3055">
        <f t="shared" si="11"/>
        <v>0</v>
      </c>
      <c r="AA550" s="3055">
        <f t="shared" si="12"/>
        <v>0</v>
      </c>
      <c r="AB550" s="3055">
        <f t="shared" si="13"/>
        <v>0</v>
      </c>
      <c r="AC550" s="3055">
        <f t="shared" si="14"/>
        <v>0</v>
      </c>
      <c r="AD550" s="3056"/>
      <c r="AE550" s="3057">
        <f t="shared" si="0"/>
      </c>
      <c r="AF550" s="3054"/>
      <c r="AG550" s="3054"/>
      <c r="AH550" s="3055"/>
      <c r="AI550" s="3055"/>
      <c r="AJ550" s="3055"/>
      <c r="AK550" s="3055"/>
      <c r="AL550" s="3055"/>
      <c r="AM550" s="3055"/>
      <c r="AN550" s="3055"/>
      <c r="AO550" s="3055"/>
      <c r="AP550" s="3055"/>
      <c r="AQ550" s="3055"/>
      <c r="AR550" s="3055"/>
      <c r="AS550" s="3055"/>
      <c r="AT550" s="3055"/>
      <c r="AU550" s="3056"/>
      <c r="AV550" s="3057">
        <f t="shared" si="15"/>
      </c>
      <c r="AW550" s="3054"/>
      <c r="AX550" s="3054"/>
      <c r="AY550" s="3055"/>
      <c r="AZ550" s="3055"/>
      <c r="BA550" s="3055"/>
      <c r="BB550" s="3055"/>
      <c r="BC550" s="3055"/>
      <c r="BD550" s="3055"/>
      <c r="BE550" s="3055"/>
      <c r="BF550" s="3055"/>
      <c r="BG550" s="3055"/>
      <c r="BH550" s="3055"/>
      <c r="BI550" s="3055"/>
      <c r="BJ550" s="3055"/>
      <c r="BK550" s="3055"/>
      <c r="BL550" s="3056"/>
      <c r="BM550" s="3057">
        <f t="shared" si="16"/>
      </c>
      <c r="BN550" s="3054"/>
      <c r="BO550" s="3054"/>
      <c r="BP550" s="3055"/>
      <c r="BQ550" s="3055"/>
      <c r="BR550" s="3055"/>
      <c r="BS550" s="3055"/>
      <c r="BT550" s="3055"/>
      <c r="BU550" s="3055"/>
      <c r="BV550" s="3055"/>
      <c r="BW550" s="3055"/>
      <c r="BX550" s="3055"/>
      <c r="BY550" s="3055"/>
      <c r="BZ550" s="3055"/>
      <c r="CA550" s="3055"/>
      <c r="CB550" s="3055"/>
      <c r="CC550" s="3056"/>
      <c r="CD550" s="3057">
        <f t="shared" si="0"/>
      </c>
      <c r="CE550" s="3054"/>
      <c r="CF550" s="3054"/>
      <c r="CG550" s="3055"/>
      <c r="CH550" s="3055"/>
      <c r="CI550" s="3055"/>
      <c r="CJ550" s="3055"/>
      <c r="CK550" s="3055"/>
      <c r="CL550" s="3055"/>
      <c r="CM550" s="3055"/>
      <c r="CN550" s="3055"/>
      <c r="CO550" s="3055"/>
      <c r="CP550" s="3055"/>
      <c r="CQ550" s="3055"/>
      <c r="CR550" s="3055"/>
      <c r="CS550" s="3055"/>
      <c r="CU550" s="3054"/>
      <c r="CV550" s="696"/>
      <c r="CW550" s="696"/>
      <c r="CZ550" s="3060">
        <f t="shared" si="17"/>
      </c>
      <c r="DA550" s="3060">
        <f t="shared" si="1"/>
      </c>
      <c r="DB550" s="3060">
        <f t="shared" si="18"/>
      </c>
      <c r="DC550" s="3060">
        <f t="shared" si="19"/>
      </c>
      <c r="DD550" s="3060">
        <f t="shared" si="20"/>
      </c>
      <c r="DE550" s="3060">
        <f t="shared" si="21"/>
      </c>
      <c r="DF550" s="3060">
        <f t="shared" si="22"/>
      </c>
      <c r="DG550" s="3060">
        <f t="shared" si="23"/>
      </c>
      <c r="DH550" s="3060">
        <f t="shared" si="24"/>
      </c>
      <c r="DI550" s="3060">
        <f t="shared" si="1"/>
      </c>
    </row>
    <row r="551" ht="15" customHeight="1" s="3052" customFormat="1">
      <c r="B551" s="3054">
        <f t="shared" si="2"/>
      </c>
      <c r="C551" s="3054"/>
      <c r="D551" s="3054"/>
      <c r="E551" s="3055"/>
      <c r="F551" s="3055"/>
      <c r="G551" s="3055"/>
      <c r="H551" s="3055"/>
      <c r="I551" s="3055"/>
      <c r="J551" s="3055"/>
      <c r="K551" s="3055"/>
      <c r="L551" s="3055"/>
      <c r="M551" s="3055"/>
      <c r="N551" s="3055"/>
      <c r="O551" s="3055"/>
      <c r="P551" s="3055"/>
      <c r="Q551" s="3055"/>
      <c r="R551" s="3055">
        <f t="shared" si="3"/>
        <v>0</v>
      </c>
      <c r="S551" s="3055">
        <f t="shared" si="4"/>
        <v>0</v>
      </c>
      <c r="T551" s="3055">
        <f t="shared" si="5"/>
        <v>0</v>
      </c>
      <c r="U551" s="3055">
        <f t="shared" si="6"/>
        <v>0</v>
      </c>
      <c r="V551" s="3055">
        <f t="shared" si="7"/>
        <v>0</v>
      </c>
      <c r="W551" s="3055">
        <f t="shared" si="8"/>
        <v>0</v>
      </c>
      <c r="X551" s="3055">
        <f t="shared" si="9"/>
        <v>0</v>
      </c>
      <c r="Y551" s="3055">
        <f t="shared" si="10"/>
        <v>0</v>
      </c>
      <c r="Z551" s="3055">
        <f t="shared" si="11"/>
        <v>0</v>
      </c>
      <c r="AA551" s="3055">
        <f t="shared" si="12"/>
        <v>0</v>
      </c>
      <c r="AB551" s="3055">
        <f t="shared" si="13"/>
        <v>0</v>
      </c>
      <c r="AC551" s="3055">
        <f t="shared" si="14"/>
        <v>0</v>
      </c>
      <c r="AD551" s="3056"/>
      <c r="AE551" s="3057">
        <f t="shared" si="0"/>
      </c>
      <c r="AF551" s="3054"/>
      <c r="AG551" s="3054"/>
      <c r="AH551" s="3055"/>
      <c r="AI551" s="3055"/>
      <c r="AJ551" s="3055"/>
      <c r="AK551" s="3055"/>
      <c r="AL551" s="3055"/>
      <c r="AM551" s="3055"/>
      <c r="AN551" s="3055"/>
      <c r="AO551" s="3055"/>
      <c r="AP551" s="3055"/>
      <c r="AQ551" s="3055"/>
      <c r="AR551" s="3055"/>
      <c r="AS551" s="3055"/>
      <c r="AT551" s="3055"/>
      <c r="AU551" s="3056"/>
      <c r="AV551" s="3057">
        <f t="shared" si="15"/>
      </c>
      <c r="AW551" s="3054"/>
      <c r="AX551" s="3054"/>
      <c r="AY551" s="3055"/>
      <c r="AZ551" s="3055"/>
      <c r="BA551" s="3055"/>
      <c r="BB551" s="3055"/>
      <c r="BC551" s="3055"/>
      <c r="BD551" s="3055"/>
      <c r="BE551" s="3055"/>
      <c r="BF551" s="3055"/>
      <c r="BG551" s="3055"/>
      <c r="BH551" s="3055"/>
      <c r="BI551" s="3055"/>
      <c r="BJ551" s="3055"/>
      <c r="BK551" s="3055"/>
      <c r="BL551" s="3056"/>
      <c r="BM551" s="3057">
        <f t="shared" si="16"/>
      </c>
      <c r="BN551" s="3054"/>
      <c r="BO551" s="3054"/>
      <c r="BP551" s="3055"/>
      <c r="BQ551" s="3055"/>
      <c r="BR551" s="3055"/>
      <c r="BS551" s="3055"/>
      <c r="BT551" s="3055"/>
      <c r="BU551" s="3055"/>
      <c r="BV551" s="3055"/>
      <c r="BW551" s="3055"/>
      <c r="BX551" s="3055"/>
      <c r="BY551" s="3055"/>
      <c r="BZ551" s="3055"/>
      <c r="CA551" s="3055"/>
      <c r="CB551" s="3055"/>
      <c r="CC551" s="3056"/>
      <c r="CD551" s="3057">
        <f t="shared" si="0"/>
      </c>
      <c r="CE551" s="3054"/>
      <c r="CF551" s="3054"/>
      <c r="CG551" s="3055"/>
      <c r="CH551" s="3055"/>
      <c r="CI551" s="3055"/>
      <c r="CJ551" s="3055"/>
      <c r="CK551" s="3055"/>
      <c r="CL551" s="3055"/>
      <c r="CM551" s="3055"/>
      <c r="CN551" s="3055"/>
      <c r="CO551" s="3055"/>
      <c r="CP551" s="3055"/>
      <c r="CQ551" s="3055"/>
      <c r="CR551" s="3055"/>
      <c r="CS551" s="3055"/>
      <c r="CU551" s="3054"/>
      <c r="CV551" s="696"/>
      <c r="CW551" s="696"/>
      <c r="CZ551" s="3060">
        <f t="shared" si="17"/>
      </c>
      <c r="DA551" s="3060">
        <f t="shared" si="1"/>
      </c>
      <c r="DB551" s="3060">
        <f t="shared" si="18"/>
      </c>
      <c r="DC551" s="3060">
        <f t="shared" si="19"/>
      </c>
      <c r="DD551" s="3060">
        <f t="shared" si="20"/>
      </c>
      <c r="DE551" s="3060">
        <f t="shared" si="21"/>
      </c>
      <c r="DF551" s="3060">
        <f t="shared" si="22"/>
      </c>
      <c r="DG551" s="3060">
        <f t="shared" si="23"/>
      </c>
      <c r="DH551" s="3060">
        <f t="shared" si="24"/>
      </c>
      <c r="DI551" s="3060">
        <f t="shared" si="1"/>
      </c>
    </row>
    <row r="552" ht="15" customHeight="1" s="3052" customFormat="1">
      <c r="B552" s="3054">
        <f t="shared" si="2"/>
      </c>
      <c r="C552" s="3054"/>
      <c r="D552" s="3054"/>
      <c r="E552" s="3055"/>
      <c r="F552" s="3055"/>
      <c r="G552" s="3055"/>
      <c r="H552" s="3055"/>
      <c r="I552" s="3055"/>
      <c r="J552" s="3055"/>
      <c r="K552" s="3055"/>
      <c r="L552" s="3055"/>
      <c r="M552" s="3055"/>
      <c r="N552" s="3055"/>
      <c r="O552" s="3055"/>
      <c r="P552" s="3055"/>
      <c r="Q552" s="3055"/>
      <c r="R552" s="3055">
        <f t="shared" si="3"/>
        <v>0</v>
      </c>
      <c r="S552" s="3055">
        <f t="shared" si="4"/>
        <v>0</v>
      </c>
      <c r="T552" s="3055">
        <f t="shared" si="5"/>
        <v>0</v>
      </c>
      <c r="U552" s="3055">
        <f t="shared" si="6"/>
        <v>0</v>
      </c>
      <c r="V552" s="3055">
        <f t="shared" si="7"/>
        <v>0</v>
      </c>
      <c r="W552" s="3055">
        <f t="shared" si="8"/>
        <v>0</v>
      </c>
      <c r="X552" s="3055">
        <f t="shared" si="9"/>
        <v>0</v>
      </c>
      <c r="Y552" s="3055">
        <f t="shared" si="10"/>
        <v>0</v>
      </c>
      <c r="Z552" s="3055">
        <f t="shared" si="11"/>
        <v>0</v>
      </c>
      <c r="AA552" s="3055">
        <f t="shared" si="12"/>
        <v>0</v>
      </c>
      <c r="AB552" s="3055">
        <f t="shared" si="13"/>
        <v>0</v>
      </c>
      <c r="AC552" s="3055">
        <f t="shared" si="14"/>
        <v>0</v>
      </c>
      <c r="AD552" s="3056"/>
      <c r="AE552" s="3057">
        <f t="shared" si="0"/>
      </c>
      <c r="AF552" s="3054"/>
      <c r="AG552" s="3054"/>
      <c r="AH552" s="3055"/>
      <c r="AI552" s="3055"/>
      <c r="AJ552" s="3055"/>
      <c r="AK552" s="3055"/>
      <c r="AL552" s="3055"/>
      <c r="AM552" s="3055"/>
      <c r="AN552" s="3055"/>
      <c r="AO552" s="3055"/>
      <c r="AP552" s="3055"/>
      <c r="AQ552" s="3055"/>
      <c r="AR552" s="3055"/>
      <c r="AS552" s="3055"/>
      <c r="AT552" s="3055"/>
      <c r="AU552" s="3056"/>
      <c r="AV552" s="3057">
        <f t="shared" si="15"/>
      </c>
      <c r="AW552" s="3054"/>
      <c r="AX552" s="3054"/>
      <c r="AY552" s="3055"/>
      <c r="AZ552" s="3055"/>
      <c r="BA552" s="3055"/>
      <c r="BB552" s="3055"/>
      <c r="BC552" s="3055"/>
      <c r="BD552" s="3055"/>
      <c r="BE552" s="3055"/>
      <c r="BF552" s="3055"/>
      <c r="BG552" s="3055"/>
      <c r="BH552" s="3055"/>
      <c r="BI552" s="3055"/>
      <c r="BJ552" s="3055"/>
      <c r="BK552" s="3055"/>
      <c r="BL552" s="3056"/>
      <c r="BM552" s="3057">
        <f t="shared" si="16"/>
      </c>
      <c r="BN552" s="3054"/>
      <c r="BO552" s="3054"/>
      <c r="BP552" s="3055"/>
      <c r="BQ552" s="3055"/>
      <c r="BR552" s="3055"/>
      <c r="BS552" s="3055"/>
      <c r="BT552" s="3055"/>
      <c r="BU552" s="3055"/>
      <c r="BV552" s="3055"/>
      <c r="BW552" s="3055"/>
      <c r="BX552" s="3055"/>
      <c r="BY552" s="3055"/>
      <c r="BZ552" s="3055"/>
      <c r="CA552" s="3055"/>
      <c r="CB552" s="3055"/>
      <c r="CC552" s="3056"/>
      <c r="CD552" s="3057">
        <f t="shared" si="0"/>
      </c>
      <c r="CE552" s="3054"/>
      <c r="CF552" s="3054"/>
      <c r="CG552" s="3055"/>
      <c r="CH552" s="3055"/>
      <c r="CI552" s="3055"/>
      <c r="CJ552" s="3055"/>
      <c r="CK552" s="3055"/>
      <c r="CL552" s="3055"/>
      <c r="CM552" s="3055"/>
      <c r="CN552" s="3055"/>
      <c r="CO552" s="3055"/>
      <c r="CP552" s="3055"/>
      <c r="CQ552" s="3055"/>
      <c r="CR552" s="3055"/>
      <c r="CS552" s="3055"/>
      <c r="CU552" s="3054"/>
      <c r="CV552" s="696"/>
      <c r="CW552" s="696"/>
      <c r="CZ552" s="3060">
        <f t="shared" si="17"/>
      </c>
      <c r="DA552" s="3060">
        <f t="shared" si="1"/>
      </c>
      <c r="DB552" s="3060">
        <f t="shared" si="18"/>
      </c>
      <c r="DC552" s="3060">
        <f t="shared" si="19"/>
      </c>
      <c r="DD552" s="3060">
        <f t="shared" si="20"/>
      </c>
      <c r="DE552" s="3060">
        <f t="shared" si="21"/>
      </c>
      <c r="DF552" s="3060">
        <f t="shared" si="22"/>
      </c>
      <c r="DG552" s="3060">
        <f t="shared" si="23"/>
      </c>
      <c r="DH552" s="3060">
        <f t="shared" si="24"/>
      </c>
      <c r="DI552" s="3060">
        <f t="shared" si="1"/>
      </c>
    </row>
    <row r="553" ht="15" customHeight="1" s="3052" customFormat="1">
      <c r="B553" s="3054">
        <f t="shared" si="2"/>
      </c>
      <c r="C553" s="3054"/>
      <c r="D553" s="3054"/>
      <c r="E553" s="3055"/>
      <c r="F553" s="3055"/>
      <c r="G553" s="3055"/>
      <c r="H553" s="3055"/>
      <c r="I553" s="3055"/>
      <c r="J553" s="3055"/>
      <c r="K553" s="3055"/>
      <c r="L553" s="3055"/>
      <c r="M553" s="3055"/>
      <c r="N553" s="3055"/>
      <c r="O553" s="3055"/>
      <c r="P553" s="3055"/>
      <c r="Q553" s="3055"/>
      <c r="R553" s="3055">
        <f t="shared" si="3"/>
        <v>0</v>
      </c>
      <c r="S553" s="3055">
        <f t="shared" si="4"/>
        <v>0</v>
      </c>
      <c r="T553" s="3055">
        <f t="shared" si="5"/>
        <v>0</v>
      </c>
      <c r="U553" s="3055">
        <f t="shared" si="6"/>
        <v>0</v>
      </c>
      <c r="V553" s="3055">
        <f t="shared" si="7"/>
        <v>0</v>
      </c>
      <c r="W553" s="3055">
        <f t="shared" si="8"/>
        <v>0</v>
      </c>
      <c r="X553" s="3055">
        <f t="shared" si="9"/>
        <v>0</v>
      </c>
      <c r="Y553" s="3055">
        <f t="shared" si="10"/>
        <v>0</v>
      </c>
      <c r="Z553" s="3055">
        <f t="shared" si="11"/>
        <v>0</v>
      </c>
      <c r="AA553" s="3055">
        <f t="shared" si="12"/>
        <v>0</v>
      </c>
      <c r="AB553" s="3055">
        <f t="shared" si="13"/>
        <v>0</v>
      </c>
      <c r="AC553" s="3055">
        <f t="shared" si="14"/>
        <v>0</v>
      </c>
      <c r="AD553" s="3056"/>
      <c r="AE553" s="3057">
        <f t="shared" si="0"/>
      </c>
      <c r="AF553" s="3054"/>
      <c r="AG553" s="3054"/>
      <c r="AH553" s="3055"/>
      <c r="AI553" s="3055"/>
      <c r="AJ553" s="3055"/>
      <c r="AK553" s="3055"/>
      <c r="AL553" s="3055"/>
      <c r="AM553" s="3055"/>
      <c r="AN553" s="3055"/>
      <c r="AO553" s="3055"/>
      <c r="AP553" s="3055"/>
      <c r="AQ553" s="3055"/>
      <c r="AR553" s="3055"/>
      <c r="AS553" s="3055"/>
      <c r="AT553" s="3055"/>
      <c r="AU553" s="3056"/>
      <c r="AV553" s="3057">
        <f t="shared" si="15"/>
      </c>
      <c r="AW553" s="3054"/>
      <c r="AX553" s="3054"/>
      <c r="AY553" s="3055"/>
      <c r="AZ553" s="3055"/>
      <c r="BA553" s="3055"/>
      <c r="BB553" s="3055"/>
      <c r="BC553" s="3055"/>
      <c r="BD553" s="3055"/>
      <c r="BE553" s="3055"/>
      <c r="BF553" s="3055"/>
      <c r="BG553" s="3055"/>
      <c r="BH553" s="3055"/>
      <c r="BI553" s="3055"/>
      <c r="BJ553" s="3055"/>
      <c r="BK553" s="3055"/>
      <c r="BL553" s="3056"/>
      <c r="BM553" s="3057">
        <f t="shared" si="16"/>
      </c>
      <c r="BN553" s="3054"/>
      <c r="BO553" s="3054"/>
      <c r="BP553" s="3055"/>
      <c r="BQ553" s="3055"/>
      <c r="BR553" s="3055"/>
      <c r="BS553" s="3055"/>
      <c r="BT553" s="3055"/>
      <c r="BU553" s="3055"/>
      <c r="BV553" s="3055"/>
      <c r="BW553" s="3055"/>
      <c r="BX553" s="3055"/>
      <c r="BY553" s="3055"/>
      <c r="BZ553" s="3055"/>
      <c r="CA553" s="3055"/>
      <c r="CB553" s="3055"/>
      <c r="CC553" s="3056"/>
      <c r="CD553" s="3057">
        <f t="shared" si="0"/>
      </c>
      <c r="CE553" s="3054"/>
      <c r="CF553" s="3054"/>
      <c r="CG553" s="3055"/>
      <c r="CH553" s="3055"/>
      <c r="CI553" s="3055"/>
      <c r="CJ553" s="3055"/>
      <c r="CK553" s="3055"/>
      <c r="CL553" s="3055"/>
      <c r="CM553" s="3055"/>
      <c r="CN553" s="3055"/>
      <c r="CO553" s="3055"/>
      <c r="CP553" s="3055"/>
      <c r="CQ553" s="3055"/>
      <c r="CR553" s="3055"/>
      <c r="CS553" s="3055"/>
      <c r="CU553" s="3054"/>
      <c r="CV553" s="696"/>
      <c r="CW553" s="696"/>
      <c r="CZ553" s="3060">
        <f t="shared" si="17"/>
      </c>
      <c r="DA553" s="3060">
        <f t="shared" si="1"/>
      </c>
      <c r="DB553" s="3060">
        <f t="shared" si="18"/>
      </c>
      <c r="DC553" s="3060">
        <f t="shared" si="19"/>
      </c>
      <c r="DD553" s="3060">
        <f t="shared" si="20"/>
      </c>
      <c r="DE553" s="3060">
        <f t="shared" si="21"/>
      </c>
      <c r="DF553" s="3060">
        <f t="shared" si="22"/>
      </c>
      <c r="DG553" s="3060">
        <f t="shared" si="23"/>
      </c>
      <c r="DH553" s="3060">
        <f t="shared" si="24"/>
      </c>
      <c r="DI553" s="3060">
        <f t="shared" si="1"/>
      </c>
    </row>
    <row r="554" ht="15" customHeight="1" s="3052" customFormat="1">
      <c r="B554" s="3054">
        <f t="shared" si="2"/>
      </c>
      <c r="C554" s="3054"/>
      <c r="D554" s="3054"/>
      <c r="E554" s="3055"/>
      <c r="F554" s="3055"/>
      <c r="G554" s="3055"/>
      <c r="H554" s="3055"/>
      <c r="I554" s="3055"/>
      <c r="J554" s="3055"/>
      <c r="K554" s="3055"/>
      <c r="L554" s="3055"/>
      <c r="M554" s="3055"/>
      <c r="N554" s="3055"/>
      <c r="O554" s="3055"/>
      <c r="P554" s="3055"/>
      <c r="Q554" s="3055"/>
      <c r="R554" s="3055">
        <f t="shared" si="3"/>
        <v>0</v>
      </c>
      <c r="S554" s="3055">
        <f t="shared" si="4"/>
        <v>0</v>
      </c>
      <c r="T554" s="3055">
        <f t="shared" si="5"/>
        <v>0</v>
      </c>
      <c r="U554" s="3055">
        <f t="shared" si="6"/>
        <v>0</v>
      </c>
      <c r="V554" s="3055">
        <f t="shared" si="7"/>
        <v>0</v>
      </c>
      <c r="W554" s="3055">
        <f t="shared" si="8"/>
        <v>0</v>
      </c>
      <c r="X554" s="3055">
        <f t="shared" si="9"/>
        <v>0</v>
      </c>
      <c r="Y554" s="3055">
        <f t="shared" si="10"/>
        <v>0</v>
      </c>
      <c r="Z554" s="3055">
        <f t="shared" si="11"/>
        <v>0</v>
      </c>
      <c r="AA554" s="3055">
        <f t="shared" si="12"/>
        <v>0</v>
      </c>
      <c r="AB554" s="3055">
        <f t="shared" si="13"/>
        <v>0</v>
      </c>
      <c r="AC554" s="3055">
        <f t="shared" si="14"/>
        <v>0</v>
      </c>
      <c r="AD554" s="3056"/>
      <c r="AE554" s="3057">
        <f t="shared" si="0"/>
      </c>
      <c r="AF554" s="3054"/>
      <c r="AG554" s="3054"/>
      <c r="AH554" s="3055"/>
      <c r="AI554" s="3055"/>
      <c r="AJ554" s="3055"/>
      <c r="AK554" s="3055"/>
      <c r="AL554" s="3055"/>
      <c r="AM554" s="3055"/>
      <c r="AN554" s="3055"/>
      <c r="AO554" s="3055"/>
      <c r="AP554" s="3055"/>
      <c r="AQ554" s="3055"/>
      <c r="AR554" s="3055"/>
      <c r="AS554" s="3055"/>
      <c r="AT554" s="3055"/>
      <c r="AU554" s="3056"/>
      <c r="AV554" s="3057">
        <f t="shared" si="15"/>
      </c>
      <c r="AW554" s="3054"/>
      <c r="AX554" s="3054"/>
      <c r="AY554" s="3055"/>
      <c r="AZ554" s="3055"/>
      <c r="BA554" s="3055"/>
      <c r="BB554" s="3055"/>
      <c r="BC554" s="3055"/>
      <c r="BD554" s="3055"/>
      <c r="BE554" s="3055"/>
      <c r="BF554" s="3055"/>
      <c r="BG554" s="3055"/>
      <c r="BH554" s="3055"/>
      <c r="BI554" s="3055"/>
      <c r="BJ554" s="3055"/>
      <c r="BK554" s="3055"/>
      <c r="BL554" s="3056"/>
      <c r="BM554" s="3057">
        <f t="shared" si="16"/>
      </c>
      <c r="BN554" s="3054"/>
      <c r="BO554" s="3054"/>
      <c r="BP554" s="3055"/>
      <c r="BQ554" s="3055"/>
      <c r="BR554" s="3055"/>
      <c r="BS554" s="3055"/>
      <c r="BT554" s="3055"/>
      <c r="BU554" s="3055"/>
      <c r="BV554" s="3055"/>
      <c r="BW554" s="3055"/>
      <c r="BX554" s="3055"/>
      <c r="BY554" s="3055"/>
      <c r="BZ554" s="3055"/>
      <c r="CA554" s="3055"/>
      <c r="CB554" s="3055"/>
      <c r="CC554" s="3056"/>
      <c r="CD554" s="3057">
        <f t="shared" si="0"/>
      </c>
      <c r="CE554" s="3054"/>
      <c r="CF554" s="3054"/>
      <c r="CG554" s="3055"/>
      <c r="CH554" s="3055"/>
      <c r="CI554" s="3055"/>
      <c r="CJ554" s="3055"/>
      <c r="CK554" s="3055"/>
      <c r="CL554" s="3055"/>
      <c r="CM554" s="3055"/>
      <c r="CN554" s="3055"/>
      <c r="CO554" s="3055"/>
      <c r="CP554" s="3055"/>
      <c r="CQ554" s="3055"/>
      <c r="CR554" s="3055"/>
      <c r="CS554" s="3055"/>
      <c r="CU554" s="3054"/>
      <c r="CV554" s="696"/>
      <c r="CW554" s="696"/>
      <c r="CZ554" s="3060">
        <f t="shared" si="17"/>
      </c>
      <c r="DA554" s="3060">
        <f t="shared" si="1"/>
      </c>
      <c r="DB554" s="3060">
        <f t="shared" si="18"/>
      </c>
      <c r="DC554" s="3060">
        <f t="shared" si="19"/>
      </c>
      <c r="DD554" s="3060">
        <f t="shared" si="20"/>
      </c>
      <c r="DE554" s="3060">
        <f t="shared" si="21"/>
      </c>
      <c r="DF554" s="3060">
        <f t="shared" si="22"/>
      </c>
      <c r="DG554" s="3060">
        <f t="shared" si="23"/>
      </c>
      <c r="DH554" s="3060">
        <f t="shared" si="24"/>
      </c>
      <c r="DI554" s="3060">
        <f t="shared" si="1"/>
      </c>
    </row>
    <row r="555" ht="15" customHeight="1" s="3052" customFormat="1">
      <c r="B555" s="3054">
        <f t="shared" si="2"/>
      </c>
      <c r="C555" s="3054"/>
      <c r="D555" s="3054"/>
      <c r="E555" s="3055"/>
      <c r="F555" s="3055"/>
      <c r="G555" s="3055"/>
      <c r="H555" s="3055"/>
      <c r="I555" s="3055"/>
      <c r="J555" s="3055"/>
      <c r="K555" s="3055"/>
      <c r="L555" s="3055"/>
      <c r="M555" s="3055"/>
      <c r="N555" s="3055"/>
      <c r="O555" s="3055"/>
      <c r="P555" s="3055"/>
      <c r="Q555" s="3055"/>
      <c r="R555" s="3055">
        <f t="shared" si="3"/>
        <v>0</v>
      </c>
      <c r="S555" s="3055">
        <f t="shared" si="4"/>
        <v>0</v>
      </c>
      <c r="T555" s="3055">
        <f t="shared" si="5"/>
        <v>0</v>
      </c>
      <c r="U555" s="3055">
        <f t="shared" si="6"/>
        <v>0</v>
      </c>
      <c r="V555" s="3055">
        <f t="shared" si="7"/>
        <v>0</v>
      </c>
      <c r="W555" s="3055">
        <f t="shared" si="8"/>
        <v>0</v>
      </c>
      <c r="X555" s="3055">
        <f t="shared" si="9"/>
        <v>0</v>
      </c>
      <c r="Y555" s="3055">
        <f t="shared" si="10"/>
        <v>0</v>
      </c>
      <c r="Z555" s="3055">
        <f t="shared" si="11"/>
        <v>0</v>
      </c>
      <c r="AA555" s="3055">
        <f t="shared" si="12"/>
        <v>0</v>
      </c>
      <c r="AB555" s="3055">
        <f t="shared" si="13"/>
        <v>0</v>
      </c>
      <c r="AC555" s="3055">
        <f t="shared" si="14"/>
        <v>0</v>
      </c>
      <c r="AD555" s="3056"/>
      <c r="AE555" s="3057">
        <f t="shared" si="0"/>
      </c>
      <c r="AF555" s="3054"/>
      <c r="AG555" s="3054"/>
      <c r="AH555" s="3055"/>
      <c r="AI555" s="3055"/>
      <c r="AJ555" s="3055"/>
      <c r="AK555" s="3055"/>
      <c r="AL555" s="3055"/>
      <c r="AM555" s="3055"/>
      <c r="AN555" s="3055"/>
      <c r="AO555" s="3055"/>
      <c r="AP555" s="3055"/>
      <c r="AQ555" s="3055"/>
      <c r="AR555" s="3055"/>
      <c r="AS555" s="3055"/>
      <c r="AT555" s="3055"/>
      <c r="AU555" s="3056"/>
      <c r="AV555" s="3057">
        <f t="shared" si="15"/>
      </c>
      <c r="AW555" s="3054"/>
      <c r="AX555" s="3054"/>
      <c r="AY555" s="3055"/>
      <c r="AZ555" s="3055"/>
      <c r="BA555" s="3055"/>
      <c r="BB555" s="3055"/>
      <c r="BC555" s="3055"/>
      <c r="BD555" s="3055"/>
      <c r="BE555" s="3055"/>
      <c r="BF555" s="3055"/>
      <c r="BG555" s="3055"/>
      <c r="BH555" s="3055"/>
      <c r="BI555" s="3055"/>
      <c r="BJ555" s="3055"/>
      <c r="BK555" s="3055"/>
      <c r="BL555" s="3056"/>
      <c r="BM555" s="3057">
        <f t="shared" si="16"/>
      </c>
      <c r="BN555" s="3054"/>
      <c r="BO555" s="3054"/>
      <c r="BP555" s="3055"/>
      <c r="BQ555" s="3055"/>
      <c r="BR555" s="3055"/>
      <c r="BS555" s="3055"/>
      <c r="BT555" s="3055"/>
      <c r="BU555" s="3055"/>
      <c r="BV555" s="3055"/>
      <c r="BW555" s="3055"/>
      <c r="BX555" s="3055"/>
      <c r="BY555" s="3055"/>
      <c r="BZ555" s="3055"/>
      <c r="CA555" s="3055"/>
      <c r="CB555" s="3055"/>
      <c r="CC555" s="3056"/>
      <c r="CD555" s="3057">
        <f t="shared" si="0"/>
      </c>
      <c r="CE555" s="3054"/>
      <c r="CF555" s="3054"/>
      <c r="CG555" s="3055"/>
      <c r="CH555" s="3055"/>
      <c r="CI555" s="3055"/>
      <c r="CJ555" s="3055"/>
      <c r="CK555" s="3055"/>
      <c r="CL555" s="3055"/>
      <c r="CM555" s="3055"/>
      <c r="CN555" s="3055"/>
      <c r="CO555" s="3055"/>
      <c r="CP555" s="3055"/>
      <c r="CQ555" s="3055"/>
      <c r="CR555" s="3055"/>
      <c r="CS555" s="3055"/>
      <c r="CU555" s="3054"/>
      <c r="CV555" s="696"/>
      <c r="CW555" s="696"/>
      <c r="CZ555" s="3060">
        <f t="shared" si="17"/>
      </c>
      <c r="DA555" s="3060">
        <f t="shared" si="1"/>
      </c>
      <c r="DB555" s="3060">
        <f t="shared" si="18"/>
      </c>
      <c r="DC555" s="3060">
        <f t="shared" si="19"/>
      </c>
      <c r="DD555" s="3060">
        <f t="shared" si="20"/>
      </c>
      <c r="DE555" s="3060">
        <f t="shared" si="21"/>
      </c>
      <c r="DF555" s="3060">
        <f t="shared" si="22"/>
      </c>
      <c r="DG555" s="3060">
        <f t="shared" si="23"/>
      </c>
      <c r="DH555" s="3060">
        <f t="shared" si="24"/>
      </c>
      <c r="DI555" s="3060">
        <f t="shared" si="1"/>
      </c>
    </row>
    <row r="556" ht="15" customHeight="1" s="3052" customFormat="1">
      <c r="B556" s="3054">
        <f t="shared" si="2"/>
      </c>
      <c r="C556" s="3054"/>
      <c r="D556" s="3054"/>
      <c r="E556" s="3055"/>
      <c r="F556" s="3055"/>
      <c r="G556" s="3055"/>
      <c r="H556" s="3055"/>
      <c r="I556" s="3055"/>
      <c r="J556" s="3055"/>
      <c r="K556" s="3055"/>
      <c r="L556" s="3055"/>
      <c r="M556" s="3055"/>
      <c r="N556" s="3055"/>
      <c r="O556" s="3055"/>
      <c r="P556" s="3055"/>
      <c r="Q556" s="3055"/>
      <c r="R556" s="3055">
        <f t="shared" si="3"/>
        <v>0</v>
      </c>
      <c r="S556" s="3055">
        <f t="shared" si="4"/>
        <v>0</v>
      </c>
      <c r="T556" s="3055">
        <f t="shared" si="5"/>
        <v>0</v>
      </c>
      <c r="U556" s="3055">
        <f t="shared" si="6"/>
        <v>0</v>
      </c>
      <c r="V556" s="3055">
        <f t="shared" si="7"/>
        <v>0</v>
      </c>
      <c r="W556" s="3055">
        <f t="shared" si="8"/>
        <v>0</v>
      </c>
      <c r="X556" s="3055">
        <f t="shared" si="9"/>
        <v>0</v>
      </c>
      <c r="Y556" s="3055">
        <f t="shared" si="10"/>
        <v>0</v>
      </c>
      <c r="Z556" s="3055">
        <f t="shared" si="11"/>
        <v>0</v>
      </c>
      <c r="AA556" s="3055">
        <f t="shared" si="12"/>
        <v>0</v>
      </c>
      <c r="AB556" s="3055">
        <f t="shared" si="13"/>
        <v>0</v>
      </c>
      <c r="AC556" s="3055">
        <f t="shared" si="14"/>
        <v>0</v>
      </c>
      <c r="AD556" s="3056"/>
      <c r="AE556" s="3057">
        <f t="shared" si="0"/>
      </c>
      <c r="AF556" s="3054"/>
      <c r="AG556" s="3054"/>
      <c r="AH556" s="3055"/>
      <c r="AI556" s="3055"/>
      <c r="AJ556" s="3055"/>
      <c r="AK556" s="3055"/>
      <c r="AL556" s="3055"/>
      <c r="AM556" s="3055"/>
      <c r="AN556" s="3055"/>
      <c r="AO556" s="3055"/>
      <c r="AP556" s="3055"/>
      <c r="AQ556" s="3055"/>
      <c r="AR556" s="3055"/>
      <c r="AS556" s="3055"/>
      <c r="AT556" s="3055"/>
      <c r="AU556" s="3056"/>
      <c r="AV556" s="3057">
        <f t="shared" si="15"/>
      </c>
      <c r="AW556" s="3054"/>
      <c r="AX556" s="3054"/>
      <c r="AY556" s="3055"/>
      <c r="AZ556" s="3055"/>
      <c r="BA556" s="3055"/>
      <c r="BB556" s="3055"/>
      <c r="BC556" s="3055"/>
      <c r="BD556" s="3055"/>
      <c r="BE556" s="3055"/>
      <c r="BF556" s="3055"/>
      <c r="BG556" s="3055"/>
      <c r="BH556" s="3055"/>
      <c r="BI556" s="3055"/>
      <c r="BJ556" s="3055"/>
      <c r="BK556" s="3055"/>
      <c r="BL556" s="3056"/>
      <c r="BM556" s="3057">
        <f t="shared" si="16"/>
      </c>
      <c r="BN556" s="3054"/>
      <c r="BO556" s="3054"/>
      <c r="BP556" s="3055"/>
      <c r="BQ556" s="3055"/>
      <c r="BR556" s="3055"/>
      <c r="BS556" s="3055"/>
      <c r="BT556" s="3055"/>
      <c r="BU556" s="3055"/>
      <c r="BV556" s="3055"/>
      <c r="BW556" s="3055"/>
      <c r="BX556" s="3055"/>
      <c r="BY556" s="3055"/>
      <c r="BZ556" s="3055"/>
      <c r="CA556" s="3055"/>
      <c r="CB556" s="3055"/>
      <c r="CC556" s="3056"/>
      <c r="CD556" s="3057">
        <f t="shared" si="0"/>
      </c>
      <c r="CE556" s="3054"/>
      <c r="CF556" s="3054"/>
      <c r="CG556" s="3055"/>
      <c r="CH556" s="3055"/>
      <c r="CI556" s="3055"/>
      <c r="CJ556" s="3055"/>
      <c r="CK556" s="3055"/>
      <c r="CL556" s="3055"/>
      <c r="CM556" s="3055"/>
      <c r="CN556" s="3055"/>
      <c r="CO556" s="3055"/>
      <c r="CP556" s="3055"/>
      <c r="CQ556" s="3055"/>
      <c r="CR556" s="3055"/>
      <c r="CS556" s="3055"/>
      <c r="CU556" s="3054"/>
      <c r="CV556" s="696"/>
      <c r="CW556" s="696"/>
      <c r="CZ556" s="3060">
        <f t="shared" si="17"/>
      </c>
      <c r="DA556" s="3060">
        <f t="shared" si="1"/>
      </c>
      <c r="DB556" s="3060">
        <f t="shared" si="18"/>
      </c>
      <c r="DC556" s="3060">
        <f t="shared" si="19"/>
      </c>
      <c r="DD556" s="3060">
        <f t="shared" si="20"/>
      </c>
      <c r="DE556" s="3060">
        <f t="shared" si="21"/>
      </c>
      <c r="DF556" s="3060">
        <f t="shared" si="22"/>
      </c>
      <c r="DG556" s="3060">
        <f t="shared" si="23"/>
      </c>
      <c r="DH556" s="3060">
        <f t="shared" si="24"/>
      </c>
      <c r="DI556" s="3060">
        <f t="shared" si="1"/>
      </c>
    </row>
    <row r="557" ht="15" customHeight="1" s="3052" customFormat="1">
      <c r="B557" s="3054">
        <f t="shared" si="2"/>
      </c>
      <c r="C557" s="3054"/>
      <c r="D557" s="3054"/>
      <c r="E557" s="3055"/>
      <c r="F557" s="3055"/>
      <c r="G557" s="3055"/>
      <c r="H557" s="3055"/>
      <c r="I557" s="3055"/>
      <c r="J557" s="3055"/>
      <c r="K557" s="3055"/>
      <c r="L557" s="3055"/>
      <c r="M557" s="3055"/>
      <c r="N557" s="3055"/>
      <c r="O557" s="3055"/>
      <c r="P557" s="3055"/>
      <c r="Q557" s="3055"/>
      <c r="R557" s="3055">
        <f t="shared" si="3"/>
        <v>0</v>
      </c>
      <c r="S557" s="3055">
        <f t="shared" si="4"/>
        <v>0</v>
      </c>
      <c r="T557" s="3055">
        <f t="shared" si="5"/>
        <v>0</v>
      </c>
      <c r="U557" s="3055">
        <f t="shared" si="6"/>
        <v>0</v>
      </c>
      <c r="V557" s="3055">
        <f t="shared" si="7"/>
        <v>0</v>
      </c>
      <c r="W557" s="3055">
        <f t="shared" si="8"/>
        <v>0</v>
      </c>
      <c r="X557" s="3055">
        <f t="shared" si="9"/>
        <v>0</v>
      </c>
      <c r="Y557" s="3055">
        <f t="shared" si="10"/>
        <v>0</v>
      </c>
      <c r="Z557" s="3055">
        <f t="shared" si="11"/>
        <v>0</v>
      </c>
      <c r="AA557" s="3055">
        <f t="shared" si="12"/>
        <v>0</v>
      </c>
      <c r="AB557" s="3055">
        <f t="shared" si="13"/>
        <v>0</v>
      </c>
      <c r="AC557" s="3055">
        <f t="shared" si="14"/>
        <v>0</v>
      </c>
      <c r="AD557" s="3056"/>
      <c r="AE557" s="3057">
        <f t="shared" si="0"/>
      </c>
      <c r="AF557" s="3054"/>
      <c r="AG557" s="3054"/>
      <c r="AH557" s="3055"/>
      <c r="AI557" s="3055"/>
      <c r="AJ557" s="3055"/>
      <c r="AK557" s="3055"/>
      <c r="AL557" s="3055"/>
      <c r="AM557" s="3055"/>
      <c r="AN557" s="3055"/>
      <c r="AO557" s="3055"/>
      <c r="AP557" s="3055"/>
      <c r="AQ557" s="3055"/>
      <c r="AR557" s="3055"/>
      <c r="AS557" s="3055"/>
      <c r="AT557" s="3055"/>
      <c r="AU557" s="3056"/>
      <c r="AV557" s="3057">
        <f t="shared" si="15"/>
      </c>
      <c r="AW557" s="3054"/>
      <c r="AX557" s="3054"/>
      <c r="AY557" s="3055"/>
      <c r="AZ557" s="3055"/>
      <c r="BA557" s="3055"/>
      <c r="BB557" s="3055"/>
      <c r="BC557" s="3055"/>
      <c r="BD557" s="3055"/>
      <c r="BE557" s="3055"/>
      <c r="BF557" s="3055"/>
      <c r="BG557" s="3055"/>
      <c r="BH557" s="3055"/>
      <c r="BI557" s="3055"/>
      <c r="BJ557" s="3055"/>
      <c r="BK557" s="3055"/>
      <c r="BL557" s="3056"/>
      <c r="BM557" s="3057">
        <f t="shared" si="16"/>
      </c>
      <c r="BN557" s="3054"/>
      <c r="BO557" s="3054"/>
      <c r="BP557" s="3055"/>
      <c r="BQ557" s="3055"/>
      <c r="BR557" s="3055"/>
      <c r="BS557" s="3055"/>
      <c r="BT557" s="3055"/>
      <c r="BU557" s="3055"/>
      <c r="BV557" s="3055"/>
      <c r="BW557" s="3055"/>
      <c r="BX557" s="3055"/>
      <c r="BY557" s="3055"/>
      <c r="BZ557" s="3055"/>
      <c r="CA557" s="3055"/>
      <c r="CB557" s="3055"/>
      <c r="CC557" s="3056"/>
      <c r="CD557" s="3057">
        <f t="shared" si="0"/>
      </c>
      <c r="CE557" s="3054"/>
      <c r="CF557" s="3054"/>
      <c r="CG557" s="3055"/>
      <c r="CH557" s="3055"/>
      <c r="CI557" s="3055"/>
      <c r="CJ557" s="3055"/>
      <c r="CK557" s="3055"/>
      <c r="CL557" s="3055"/>
      <c r="CM557" s="3055"/>
      <c r="CN557" s="3055"/>
      <c r="CO557" s="3055"/>
      <c r="CP557" s="3055"/>
      <c r="CQ557" s="3055"/>
      <c r="CR557" s="3055"/>
      <c r="CS557" s="3055"/>
      <c r="CU557" s="3054"/>
      <c r="CV557" s="696"/>
      <c r="CW557" s="696"/>
      <c r="CZ557" s="3060">
        <f t="shared" si="17"/>
      </c>
      <c r="DA557" s="3060">
        <f t="shared" si="1"/>
      </c>
      <c r="DB557" s="3060">
        <f t="shared" si="18"/>
      </c>
      <c r="DC557" s="3060">
        <f t="shared" si="19"/>
      </c>
      <c r="DD557" s="3060">
        <f t="shared" si="20"/>
      </c>
      <c r="DE557" s="3060">
        <f t="shared" si="21"/>
      </c>
      <c r="DF557" s="3060">
        <f t="shared" si="22"/>
      </c>
      <c r="DG557" s="3060">
        <f t="shared" si="23"/>
      </c>
      <c r="DH557" s="3060">
        <f t="shared" si="24"/>
      </c>
      <c r="DI557" s="3060">
        <f t="shared" si="1"/>
      </c>
    </row>
    <row r="558" ht="15" customHeight="1" s="3052" customFormat="1">
      <c r="B558" s="3054">
        <f t="shared" si="2"/>
      </c>
      <c r="C558" s="3054"/>
      <c r="D558" s="3054"/>
      <c r="E558" s="3055"/>
      <c r="F558" s="3055"/>
      <c r="G558" s="3055"/>
      <c r="H558" s="3055"/>
      <c r="I558" s="3055"/>
      <c r="J558" s="3055"/>
      <c r="K558" s="3055"/>
      <c r="L558" s="3055"/>
      <c r="M558" s="3055"/>
      <c r="N558" s="3055"/>
      <c r="O558" s="3055"/>
      <c r="P558" s="3055"/>
      <c r="Q558" s="3055"/>
      <c r="R558" s="3055">
        <f t="shared" si="3"/>
        <v>0</v>
      </c>
      <c r="S558" s="3055">
        <f t="shared" si="4"/>
        <v>0</v>
      </c>
      <c r="T558" s="3055">
        <f t="shared" si="5"/>
        <v>0</v>
      </c>
      <c r="U558" s="3055">
        <f t="shared" si="6"/>
        <v>0</v>
      </c>
      <c r="V558" s="3055">
        <f t="shared" si="7"/>
        <v>0</v>
      </c>
      <c r="W558" s="3055">
        <f t="shared" si="8"/>
        <v>0</v>
      </c>
      <c r="X558" s="3055">
        <f t="shared" si="9"/>
        <v>0</v>
      </c>
      <c r="Y558" s="3055">
        <f t="shared" si="10"/>
        <v>0</v>
      </c>
      <c r="Z558" s="3055">
        <f t="shared" si="11"/>
        <v>0</v>
      </c>
      <c r="AA558" s="3055">
        <f t="shared" si="12"/>
        <v>0</v>
      </c>
      <c r="AB558" s="3055">
        <f t="shared" si="13"/>
        <v>0</v>
      </c>
      <c r="AC558" s="3055">
        <f t="shared" si="14"/>
        <v>0</v>
      </c>
      <c r="AD558" s="3056"/>
      <c r="AE558" s="3057">
        <f t="shared" si="0"/>
      </c>
      <c r="AF558" s="3054"/>
      <c r="AG558" s="3054"/>
      <c r="AH558" s="3055"/>
      <c r="AI558" s="3055"/>
      <c r="AJ558" s="3055"/>
      <c r="AK558" s="3055"/>
      <c r="AL558" s="3055"/>
      <c r="AM558" s="3055"/>
      <c r="AN558" s="3055"/>
      <c r="AO558" s="3055"/>
      <c r="AP558" s="3055"/>
      <c r="AQ558" s="3055"/>
      <c r="AR558" s="3055"/>
      <c r="AS558" s="3055"/>
      <c r="AT558" s="3055"/>
      <c r="AU558" s="3056"/>
      <c r="AV558" s="3057">
        <f t="shared" si="15"/>
      </c>
      <c r="AW558" s="3054"/>
      <c r="AX558" s="3054"/>
      <c r="AY558" s="3055"/>
      <c r="AZ558" s="3055"/>
      <c r="BA558" s="3055"/>
      <c r="BB558" s="3055"/>
      <c r="BC558" s="3055"/>
      <c r="BD558" s="3055"/>
      <c r="BE558" s="3055"/>
      <c r="BF558" s="3055"/>
      <c r="BG558" s="3055"/>
      <c r="BH558" s="3055"/>
      <c r="BI558" s="3055"/>
      <c r="BJ558" s="3055"/>
      <c r="BK558" s="3055"/>
      <c r="BL558" s="3056"/>
      <c r="BM558" s="3057">
        <f t="shared" si="16"/>
      </c>
      <c r="BN558" s="3054"/>
      <c r="BO558" s="3054"/>
      <c r="BP558" s="3055"/>
      <c r="BQ558" s="3055"/>
      <c r="BR558" s="3055"/>
      <c r="BS558" s="3055"/>
      <c r="BT558" s="3055"/>
      <c r="BU558" s="3055"/>
      <c r="BV558" s="3055"/>
      <c r="BW558" s="3055"/>
      <c r="BX558" s="3055"/>
      <c r="BY558" s="3055"/>
      <c r="BZ558" s="3055"/>
      <c r="CA558" s="3055"/>
      <c r="CB558" s="3055"/>
      <c r="CC558" s="3056"/>
      <c r="CD558" s="3057">
        <f t="shared" si="0"/>
      </c>
      <c r="CE558" s="3054"/>
      <c r="CF558" s="3054"/>
      <c r="CG558" s="3055"/>
      <c r="CH558" s="3055"/>
      <c r="CI558" s="3055"/>
      <c r="CJ558" s="3055"/>
      <c r="CK558" s="3055"/>
      <c r="CL558" s="3055"/>
      <c r="CM558" s="3055"/>
      <c r="CN558" s="3055"/>
      <c r="CO558" s="3055"/>
      <c r="CP558" s="3055"/>
      <c r="CQ558" s="3055"/>
      <c r="CR558" s="3055"/>
      <c r="CS558" s="3055"/>
      <c r="CU558" s="3054"/>
      <c r="CV558" s="696"/>
      <c r="CW558" s="696"/>
      <c r="CZ558" s="3060">
        <f t="shared" si="17"/>
      </c>
      <c r="DA558" s="3060">
        <f t="shared" si="1"/>
      </c>
      <c r="DB558" s="3060">
        <f t="shared" si="18"/>
      </c>
      <c r="DC558" s="3060">
        <f t="shared" si="19"/>
      </c>
      <c r="DD558" s="3060">
        <f t="shared" si="20"/>
      </c>
      <c r="DE558" s="3060">
        <f t="shared" si="21"/>
      </c>
      <c r="DF558" s="3060">
        <f t="shared" si="22"/>
      </c>
      <c r="DG558" s="3060">
        <f t="shared" si="23"/>
      </c>
      <c r="DH558" s="3060">
        <f t="shared" si="24"/>
      </c>
      <c r="DI558" s="3060">
        <f t="shared" si="1"/>
      </c>
    </row>
    <row r="559" ht="15" customHeight="1" s="3052" customFormat="1">
      <c r="B559" s="3054">
        <f t="shared" si="2"/>
      </c>
      <c r="C559" s="3054"/>
      <c r="D559" s="3054"/>
      <c r="E559" s="3055"/>
      <c r="F559" s="3055"/>
      <c r="G559" s="3055"/>
      <c r="H559" s="3055"/>
      <c r="I559" s="3055"/>
      <c r="J559" s="3055"/>
      <c r="K559" s="3055"/>
      <c r="L559" s="3055"/>
      <c r="M559" s="3055"/>
      <c r="N559" s="3055"/>
      <c r="O559" s="3055"/>
      <c r="P559" s="3055"/>
      <c r="Q559" s="3055"/>
      <c r="R559" s="3055">
        <f t="shared" si="3"/>
        <v>0</v>
      </c>
      <c r="S559" s="3055">
        <f t="shared" si="4"/>
        <v>0</v>
      </c>
      <c r="T559" s="3055">
        <f t="shared" si="5"/>
        <v>0</v>
      </c>
      <c r="U559" s="3055">
        <f t="shared" si="6"/>
        <v>0</v>
      </c>
      <c r="V559" s="3055">
        <f t="shared" si="7"/>
        <v>0</v>
      </c>
      <c r="W559" s="3055">
        <f t="shared" si="8"/>
        <v>0</v>
      </c>
      <c r="X559" s="3055">
        <f t="shared" si="9"/>
        <v>0</v>
      </c>
      <c r="Y559" s="3055">
        <f t="shared" si="10"/>
        <v>0</v>
      </c>
      <c r="Z559" s="3055">
        <f t="shared" si="11"/>
        <v>0</v>
      </c>
      <c r="AA559" s="3055">
        <f t="shared" si="12"/>
        <v>0</v>
      </c>
      <c r="AB559" s="3055">
        <f t="shared" si="13"/>
        <v>0</v>
      </c>
      <c r="AC559" s="3055">
        <f t="shared" si="14"/>
        <v>0</v>
      </c>
      <c r="AD559" s="3056"/>
      <c r="AE559" s="3057">
        <f t="shared" si="0"/>
      </c>
      <c r="AF559" s="3054"/>
      <c r="AG559" s="3054"/>
      <c r="AH559" s="3055"/>
      <c r="AI559" s="3055"/>
      <c r="AJ559" s="3055"/>
      <c r="AK559" s="3055"/>
      <c r="AL559" s="3055"/>
      <c r="AM559" s="3055"/>
      <c r="AN559" s="3055"/>
      <c r="AO559" s="3055"/>
      <c r="AP559" s="3055"/>
      <c r="AQ559" s="3055"/>
      <c r="AR559" s="3055"/>
      <c r="AS559" s="3055"/>
      <c r="AT559" s="3055"/>
      <c r="AU559" s="3056"/>
      <c r="AV559" s="3057">
        <f t="shared" si="15"/>
      </c>
      <c r="AW559" s="3054"/>
      <c r="AX559" s="3054"/>
      <c r="AY559" s="3055"/>
      <c r="AZ559" s="3055"/>
      <c r="BA559" s="3055"/>
      <c r="BB559" s="3055"/>
      <c r="BC559" s="3055"/>
      <c r="BD559" s="3055"/>
      <c r="BE559" s="3055"/>
      <c r="BF559" s="3055"/>
      <c r="BG559" s="3055"/>
      <c r="BH559" s="3055"/>
      <c r="BI559" s="3055"/>
      <c r="BJ559" s="3055"/>
      <c r="BK559" s="3055"/>
      <c r="BL559" s="3056"/>
      <c r="BM559" s="3057">
        <f t="shared" si="16"/>
      </c>
      <c r="BN559" s="3054"/>
      <c r="BO559" s="3054"/>
      <c r="BP559" s="3055"/>
      <c r="BQ559" s="3055"/>
      <c r="BR559" s="3055"/>
      <c r="BS559" s="3055"/>
      <c r="BT559" s="3055"/>
      <c r="BU559" s="3055"/>
      <c r="BV559" s="3055"/>
      <c r="BW559" s="3055"/>
      <c r="BX559" s="3055"/>
      <c r="BY559" s="3055"/>
      <c r="BZ559" s="3055"/>
      <c r="CA559" s="3055"/>
      <c r="CB559" s="3055"/>
      <c r="CC559" s="3056"/>
      <c r="CD559" s="3057">
        <f t="shared" si="0"/>
      </c>
      <c r="CE559" s="3054"/>
      <c r="CF559" s="3054"/>
      <c r="CG559" s="3055"/>
      <c r="CH559" s="3055"/>
      <c r="CI559" s="3055"/>
      <c r="CJ559" s="3055"/>
      <c r="CK559" s="3055"/>
      <c r="CL559" s="3055"/>
      <c r="CM559" s="3055"/>
      <c r="CN559" s="3055"/>
      <c r="CO559" s="3055"/>
      <c r="CP559" s="3055"/>
      <c r="CQ559" s="3055"/>
      <c r="CR559" s="3055"/>
      <c r="CS559" s="3055"/>
      <c r="CU559" s="3054"/>
      <c r="CV559" s="696"/>
      <c r="CW559" s="696"/>
      <c r="CZ559" s="3060">
        <f t="shared" si="17"/>
      </c>
      <c r="DA559" s="3060">
        <f t="shared" si="1"/>
      </c>
      <c r="DB559" s="3060">
        <f t="shared" si="18"/>
      </c>
      <c r="DC559" s="3060">
        <f t="shared" si="19"/>
      </c>
      <c r="DD559" s="3060">
        <f t="shared" si="20"/>
      </c>
      <c r="DE559" s="3060">
        <f t="shared" si="21"/>
      </c>
      <c r="DF559" s="3060">
        <f t="shared" si="22"/>
      </c>
      <c r="DG559" s="3060">
        <f t="shared" si="23"/>
      </c>
      <c r="DH559" s="3060">
        <f t="shared" si="24"/>
      </c>
      <c r="DI559" s="3060">
        <f t="shared" si="1"/>
      </c>
    </row>
    <row r="560" ht="15" customHeight="1" s="3052" customFormat="1">
      <c r="B560" s="3054">
        <f t="shared" si="2"/>
      </c>
      <c r="C560" s="3054"/>
      <c r="D560" s="3054"/>
      <c r="E560" s="3055"/>
      <c r="F560" s="3055"/>
      <c r="G560" s="3055"/>
      <c r="H560" s="3055"/>
      <c r="I560" s="3055"/>
      <c r="J560" s="3055"/>
      <c r="K560" s="3055"/>
      <c r="L560" s="3055"/>
      <c r="M560" s="3055"/>
      <c r="N560" s="3055"/>
      <c r="O560" s="3055"/>
      <c r="P560" s="3055"/>
      <c r="Q560" s="3055"/>
      <c r="R560" s="3055">
        <f t="shared" si="3"/>
        <v>0</v>
      </c>
      <c r="S560" s="3055">
        <f t="shared" si="4"/>
        <v>0</v>
      </c>
      <c r="T560" s="3055">
        <f t="shared" si="5"/>
        <v>0</v>
      </c>
      <c r="U560" s="3055">
        <f t="shared" si="6"/>
        <v>0</v>
      </c>
      <c r="V560" s="3055">
        <f t="shared" si="7"/>
        <v>0</v>
      </c>
      <c r="W560" s="3055">
        <f t="shared" si="8"/>
        <v>0</v>
      </c>
      <c r="X560" s="3055">
        <f t="shared" si="9"/>
        <v>0</v>
      </c>
      <c r="Y560" s="3055">
        <f t="shared" si="10"/>
        <v>0</v>
      </c>
      <c r="Z560" s="3055">
        <f t="shared" si="11"/>
        <v>0</v>
      </c>
      <c r="AA560" s="3055">
        <f t="shared" si="12"/>
        <v>0</v>
      </c>
      <c r="AB560" s="3055">
        <f t="shared" si="13"/>
        <v>0</v>
      </c>
      <c r="AC560" s="3055">
        <f t="shared" si="14"/>
        <v>0</v>
      </c>
      <c r="AD560" s="3056"/>
      <c r="AE560" s="3057">
        <f t="shared" si="0"/>
      </c>
      <c r="AF560" s="3054"/>
      <c r="AG560" s="3054"/>
      <c r="AH560" s="3055"/>
      <c r="AI560" s="3055"/>
      <c r="AJ560" s="3055"/>
      <c r="AK560" s="3055"/>
      <c r="AL560" s="3055"/>
      <c r="AM560" s="3055"/>
      <c r="AN560" s="3055"/>
      <c r="AO560" s="3055"/>
      <c r="AP560" s="3055"/>
      <c r="AQ560" s="3055"/>
      <c r="AR560" s="3055"/>
      <c r="AS560" s="3055"/>
      <c r="AT560" s="3055"/>
      <c r="AU560" s="3056"/>
      <c r="AV560" s="3057">
        <f t="shared" si="15"/>
      </c>
      <c r="AW560" s="3054"/>
      <c r="AX560" s="3054"/>
      <c r="AY560" s="3055"/>
      <c r="AZ560" s="3055"/>
      <c r="BA560" s="3055"/>
      <c r="BB560" s="3055"/>
      <c r="BC560" s="3055"/>
      <c r="BD560" s="3055"/>
      <c r="BE560" s="3055"/>
      <c r="BF560" s="3055"/>
      <c r="BG560" s="3055"/>
      <c r="BH560" s="3055"/>
      <c r="BI560" s="3055"/>
      <c r="BJ560" s="3055"/>
      <c r="BK560" s="3055"/>
      <c r="BL560" s="3056"/>
      <c r="BM560" s="3057">
        <f t="shared" si="16"/>
      </c>
      <c r="BN560" s="3054"/>
      <c r="BO560" s="3054"/>
      <c r="BP560" s="3055"/>
      <c r="BQ560" s="3055"/>
      <c r="BR560" s="3055"/>
      <c r="BS560" s="3055"/>
      <c r="BT560" s="3055"/>
      <c r="BU560" s="3055"/>
      <c r="BV560" s="3055"/>
      <c r="BW560" s="3055"/>
      <c r="BX560" s="3055"/>
      <c r="BY560" s="3055"/>
      <c r="BZ560" s="3055"/>
      <c r="CA560" s="3055"/>
      <c r="CB560" s="3055"/>
      <c r="CC560" s="3056"/>
      <c r="CD560" s="3057">
        <f t="shared" si="0"/>
      </c>
      <c r="CE560" s="3054"/>
      <c r="CF560" s="3054"/>
      <c r="CG560" s="3055"/>
      <c r="CH560" s="3055"/>
      <c r="CI560" s="3055"/>
      <c r="CJ560" s="3055"/>
      <c r="CK560" s="3055"/>
      <c r="CL560" s="3055"/>
      <c r="CM560" s="3055"/>
      <c r="CN560" s="3055"/>
      <c r="CO560" s="3055"/>
      <c r="CP560" s="3055"/>
      <c r="CQ560" s="3055"/>
      <c r="CR560" s="3055"/>
      <c r="CS560" s="3055"/>
      <c r="CU560" s="3054"/>
      <c r="CV560" s="696"/>
      <c r="CW560" s="696"/>
      <c r="CZ560" s="3060">
        <f t="shared" si="17"/>
      </c>
      <c r="DA560" s="3060">
        <f t="shared" si="1"/>
      </c>
      <c r="DB560" s="3060">
        <f t="shared" si="18"/>
      </c>
      <c r="DC560" s="3060">
        <f t="shared" si="19"/>
      </c>
      <c r="DD560" s="3060">
        <f t="shared" si="20"/>
      </c>
      <c r="DE560" s="3060">
        <f t="shared" si="21"/>
      </c>
      <c r="DF560" s="3060">
        <f t="shared" si="22"/>
      </c>
      <c r="DG560" s="3060">
        <f t="shared" si="23"/>
      </c>
      <c r="DH560" s="3060">
        <f t="shared" si="24"/>
      </c>
      <c r="DI560" s="3060">
        <f t="shared" si="1"/>
      </c>
    </row>
    <row r="561" ht="15" customHeight="1" s="3052" customFormat="1">
      <c r="B561" s="3054">
        <f t="shared" si="2"/>
      </c>
      <c r="C561" s="3054"/>
      <c r="D561" s="3054"/>
      <c r="E561" s="3055"/>
      <c r="F561" s="3055"/>
      <c r="G561" s="3055"/>
      <c r="H561" s="3055"/>
      <c r="I561" s="3055"/>
      <c r="J561" s="3055"/>
      <c r="K561" s="3055"/>
      <c r="L561" s="3055"/>
      <c r="M561" s="3055"/>
      <c r="N561" s="3055"/>
      <c r="O561" s="3055"/>
      <c r="P561" s="3055"/>
      <c r="Q561" s="3055"/>
      <c r="R561" s="3055">
        <f t="shared" si="3"/>
        <v>0</v>
      </c>
      <c r="S561" s="3055">
        <f t="shared" si="4"/>
        <v>0</v>
      </c>
      <c r="T561" s="3055">
        <f t="shared" si="5"/>
        <v>0</v>
      </c>
      <c r="U561" s="3055">
        <f t="shared" si="6"/>
        <v>0</v>
      </c>
      <c r="V561" s="3055">
        <f t="shared" si="7"/>
        <v>0</v>
      </c>
      <c r="W561" s="3055">
        <f t="shared" si="8"/>
        <v>0</v>
      </c>
      <c r="X561" s="3055">
        <f t="shared" si="9"/>
        <v>0</v>
      </c>
      <c r="Y561" s="3055">
        <f t="shared" si="10"/>
        <v>0</v>
      </c>
      <c r="Z561" s="3055">
        <f t="shared" si="11"/>
        <v>0</v>
      </c>
      <c r="AA561" s="3055">
        <f t="shared" si="12"/>
        <v>0</v>
      </c>
      <c r="AB561" s="3055">
        <f t="shared" si="13"/>
        <v>0</v>
      </c>
      <c r="AC561" s="3055">
        <f t="shared" si="14"/>
        <v>0</v>
      </c>
      <c r="AD561" s="3056"/>
      <c r="AE561" s="3057">
        <f t="shared" si="0"/>
      </c>
      <c r="AF561" s="3054"/>
      <c r="AG561" s="3054"/>
      <c r="AH561" s="3055"/>
      <c r="AI561" s="3055"/>
      <c r="AJ561" s="3055"/>
      <c r="AK561" s="3055"/>
      <c r="AL561" s="3055"/>
      <c r="AM561" s="3055"/>
      <c r="AN561" s="3055"/>
      <c r="AO561" s="3055"/>
      <c r="AP561" s="3055"/>
      <c r="AQ561" s="3055"/>
      <c r="AR561" s="3055"/>
      <c r="AS561" s="3055"/>
      <c r="AT561" s="3055"/>
      <c r="AU561" s="3056"/>
      <c r="AV561" s="3057">
        <f t="shared" si="15"/>
      </c>
      <c r="AW561" s="3054"/>
      <c r="AX561" s="3054"/>
      <c r="AY561" s="3055"/>
      <c r="AZ561" s="3055"/>
      <c r="BA561" s="3055"/>
      <c r="BB561" s="3055"/>
      <c r="BC561" s="3055"/>
      <c r="BD561" s="3055"/>
      <c r="BE561" s="3055"/>
      <c r="BF561" s="3055"/>
      <c r="BG561" s="3055"/>
      <c r="BH561" s="3055"/>
      <c r="BI561" s="3055"/>
      <c r="BJ561" s="3055"/>
      <c r="BK561" s="3055"/>
      <c r="BL561" s="3056"/>
      <c r="BM561" s="3057">
        <f t="shared" si="16"/>
      </c>
      <c r="BN561" s="3054"/>
      <c r="BO561" s="3054"/>
      <c r="BP561" s="3055"/>
      <c r="BQ561" s="3055"/>
      <c r="BR561" s="3055"/>
      <c r="BS561" s="3055"/>
      <c r="BT561" s="3055"/>
      <c r="BU561" s="3055"/>
      <c r="BV561" s="3055"/>
      <c r="BW561" s="3055"/>
      <c r="BX561" s="3055"/>
      <c r="BY561" s="3055"/>
      <c r="BZ561" s="3055"/>
      <c r="CA561" s="3055"/>
      <c r="CB561" s="3055"/>
      <c r="CC561" s="3056"/>
      <c r="CD561" s="3057">
        <f t="shared" si="0"/>
      </c>
      <c r="CE561" s="3054"/>
      <c r="CF561" s="3054"/>
      <c r="CG561" s="3055"/>
      <c r="CH561" s="3055"/>
      <c r="CI561" s="3055"/>
      <c r="CJ561" s="3055"/>
      <c r="CK561" s="3055"/>
      <c r="CL561" s="3055"/>
      <c r="CM561" s="3055"/>
      <c r="CN561" s="3055"/>
      <c r="CO561" s="3055"/>
      <c r="CP561" s="3055"/>
      <c r="CQ561" s="3055"/>
      <c r="CR561" s="3055"/>
      <c r="CS561" s="3055"/>
      <c r="CU561" s="3054"/>
      <c r="CV561" s="696"/>
      <c r="CW561" s="696"/>
      <c r="CZ561" s="3060">
        <f t="shared" si="17"/>
      </c>
      <c r="DA561" s="3060">
        <f t="shared" si="1"/>
      </c>
      <c r="DB561" s="3060">
        <f t="shared" si="18"/>
      </c>
      <c r="DC561" s="3060">
        <f t="shared" si="19"/>
      </c>
      <c r="DD561" s="3060">
        <f t="shared" si="20"/>
      </c>
      <c r="DE561" s="3060">
        <f t="shared" si="21"/>
      </c>
      <c r="DF561" s="3060">
        <f t="shared" si="22"/>
      </c>
      <c r="DG561" s="3060">
        <f t="shared" si="23"/>
      </c>
      <c r="DH561" s="3060">
        <f t="shared" si="24"/>
      </c>
      <c r="DI561" s="3060">
        <f t="shared" si="1"/>
      </c>
    </row>
    <row r="562" ht="15" customHeight="1" s="3052" customFormat="1">
      <c r="B562" s="3054">
        <f t="shared" si="2"/>
      </c>
      <c r="C562" s="3054"/>
      <c r="D562" s="3054"/>
      <c r="E562" s="3055"/>
      <c r="F562" s="3055"/>
      <c r="G562" s="3055"/>
      <c r="H562" s="3055"/>
      <c r="I562" s="3055"/>
      <c r="J562" s="3055"/>
      <c r="K562" s="3055"/>
      <c r="L562" s="3055"/>
      <c r="M562" s="3055"/>
      <c r="N562" s="3055"/>
      <c r="O562" s="3055"/>
      <c r="P562" s="3055"/>
      <c r="Q562" s="3055"/>
      <c r="R562" s="3055">
        <f t="shared" si="3"/>
        <v>0</v>
      </c>
      <c r="S562" s="3055">
        <f t="shared" si="4"/>
        <v>0</v>
      </c>
      <c r="T562" s="3055">
        <f t="shared" si="5"/>
        <v>0</v>
      </c>
      <c r="U562" s="3055">
        <f t="shared" si="6"/>
        <v>0</v>
      </c>
      <c r="V562" s="3055">
        <f t="shared" si="7"/>
        <v>0</v>
      </c>
      <c r="W562" s="3055">
        <f t="shared" si="8"/>
        <v>0</v>
      </c>
      <c r="X562" s="3055">
        <f t="shared" si="9"/>
        <v>0</v>
      </c>
      <c r="Y562" s="3055">
        <f t="shared" si="10"/>
        <v>0</v>
      </c>
      <c r="Z562" s="3055">
        <f t="shared" si="11"/>
        <v>0</v>
      </c>
      <c r="AA562" s="3055">
        <f t="shared" si="12"/>
        <v>0</v>
      </c>
      <c r="AB562" s="3055">
        <f t="shared" si="13"/>
        <v>0</v>
      </c>
      <c r="AC562" s="3055">
        <f t="shared" si="14"/>
        <v>0</v>
      </c>
      <c r="AD562" s="3056"/>
      <c r="AE562" s="3057">
        <f t="shared" si="0"/>
      </c>
      <c r="AF562" s="3054"/>
      <c r="AG562" s="3054"/>
      <c r="AH562" s="3055"/>
      <c r="AI562" s="3055"/>
      <c r="AJ562" s="3055"/>
      <c r="AK562" s="3055"/>
      <c r="AL562" s="3055"/>
      <c r="AM562" s="3055"/>
      <c r="AN562" s="3055"/>
      <c r="AO562" s="3055"/>
      <c r="AP562" s="3055"/>
      <c r="AQ562" s="3055"/>
      <c r="AR562" s="3055"/>
      <c r="AS562" s="3055"/>
      <c r="AT562" s="3055"/>
      <c r="AU562" s="3056"/>
      <c r="AV562" s="3057">
        <f t="shared" si="15"/>
      </c>
      <c r="AW562" s="3054"/>
      <c r="AX562" s="3054"/>
      <c r="AY562" s="3055"/>
      <c r="AZ562" s="3055"/>
      <c r="BA562" s="3055"/>
      <c r="BB562" s="3055"/>
      <c r="BC562" s="3055"/>
      <c r="BD562" s="3055"/>
      <c r="BE562" s="3055"/>
      <c r="BF562" s="3055"/>
      <c r="BG562" s="3055"/>
      <c r="BH562" s="3055"/>
      <c r="BI562" s="3055"/>
      <c r="BJ562" s="3055"/>
      <c r="BK562" s="3055"/>
      <c r="BL562" s="3056"/>
      <c r="BM562" s="3057">
        <f t="shared" si="16"/>
      </c>
      <c r="BN562" s="3054"/>
      <c r="BO562" s="3054"/>
      <c r="BP562" s="3055"/>
      <c r="BQ562" s="3055"/>
      <c r="BR562" s="3055"/>
      <c r="BS562" s="3055"/>
      <c r="BT562" s="3055"/>
      <c r="BU562" s="3055"/>
      <c r="BV562" s="3055"/>
      <c r="BW562" s="3055"/>
      <c r="BX562" s="3055"/>
      <c r="BY562" s="3055"/>
      <c r="BZ562" s="3055"/>
      <c r="CA562" s="3055"/>
      <c r="CB562" s="3055"/>
      <c r="CC562" s="3056"/>
      <c r="CD562" s="3057">
        <f t="shared" si="0"/>
      </c>
      <c r="CE562" s="3054"/>
      <c r="CF562" s="3054"/>
      <c r="CG562" s="3055"/>
      <c r="CH562" s="3055"/>
      <c r="CI562" s="3055"/>
      <c r="CJ562" s="3055"/>
      <c r="CK562" s="3055"/>
      <c r="CL562" s="3055"/>
      <c r="CM562" s="3055"/>
      <c r="CN562" s="3055"/>
      <c r="CO562" s="3055"/>
      <c r="CP562" s="3055"/>
      <c r="CQ562" s="3055"/>
      <c r="CR562" s="3055"/>
      <c r="CS562" s="3055"/>
      <c r="CU562" s="3054"/>
      <c r="CV562" s="696"/>
      <c r="CW562" s="696"/>
      <c r="CZ562" s="3060">
        <f t="shared" si="17"/>
      </c>
      <c r="DA562" s="3060">
        <f t="shared" si="1"/>
      </c>
      <c r="DB562" s="3060">
        <f t="shared" si="18"/>
      </c>
      <c r="DC562" s="3060">
        <f t="shared" si="19"/>
      </c>
      <c r="DD562" s="3060">
        <f t="shared" si="20"/>
      </c>
      <c r="DE562" s="3060">
        <f t="shared" si="21"/>
      </c>
      <c r="DF562" s="3060">
        <f t="shared" si="22"/>
      </c>
      <c r="DG562" s="3060">
        <f t="shared" si="23"/>
      </c>
      <c r="DH562" s="3060">
        <f t="shared" si="24"/>
      </c>
      <c r="DI562" s="3060">
        <f t="shared" si="1"/>
      </c>
    </row>
    <row r="563" ht="15" customHeight="1" s="3052" customFormat="1">
      <c r="B563" s="3054">
        <f t="shared" si="2"/>
      </c>
      <c r="C563" s="3054"/>
      <c r="D563" s="3054"/>
      <c r="E563" s="3055"/>
      <c r="F563" s="3055"/>
      <c r="G563" s="3055"/>
      <c r="H563" s="3055"/>
      <c r="I563" s="3055"/>
      <c r="J563" s="3055"/>
      <c r="K563" s="3055"/>
      <c r="L563" s="3055"/>
      <c r="M563" s="3055"/>
      <c r="N563" s="3055"/>
      <c r="O563" s="3055"/>
      <c r="P563" s="3055"/>
      <c r="Q563" s="3055"/>
      <c r="R563" s="3055">
        <f t="shared" si="3"/>
        <v>0</v>
      </c>
      <c r="S563" s="3055">
        <f t="shared" si="4"/>
        <v>0</v>
      </c>
      <c r="T563" s="3055">
        <f t="shared" si="5"/>
        <v>0</v>
      </c>
      <c r="U563" s="3055">
        <f t="shared" si="6"/>
        <v>0</v>
      </c>
      <c r="V563" s="3055">
        <f t="shared" si="7"/>
        <v>0</v>
      </c>
      <c r="W563" s="3055">
        <f t="shared" si="8"/>
        <v>0</v>
      </c>
      <c r="X563" s="3055">
        <f t="shared" si="9"/>
        <v>0</v>
      </c>
      <c r="Y563" s="3055">
        <f t="shared" si="10"/>
        <v>0</v>
      </c>
      <c r="Z563" s="3055">
        <f t="shared" si="11"/>
        <v>0</v>
      </c>
      <c r="AA563" s="3055">
        <f t="shared" si="12"/>
        <v>0</v>
      </c>
      <c r="AB563" s="3055">
        <f t="shared" si="13"/>
        <v>0</v>
      </c>
      <c r="AC563" s="3055">
        <f t="shared" si="14"/>
        <v>0</v>
      </c>
      <c r="AD563" s="3056"/>
      <c r="AE563" s="3057">
        <f t="shared" si="0"/>
      </c>
      <c r="AF563" s="3054"/>
      <c r="AG563" s="3054"/>
      <c r="AH563" s="3055"/>
      <c r="AI563" s="3055"/>
      <c r="AJ563" s="3055"/>
      <c r="AK563" s="3055"/>
      <c r="AL563" s="3055"/>
      <c r="AM563" s="3055"/>
      <c r="AN563" s="3055"/>
      <c r="AO563" s="3055"/>
      <c r="AP563" s="3055"/>
      <c r="AQ563" s="3055"/>
      <c r="AR563" s="3055"/>
      <c r="AS563" s="3055"/>
      <c r="AT563" s="3055"/>
      <c r="AU563" s="3056"/>
      <c r="AV563" s="3057">
        <f t="shared" si="15"/>
      </c>
      <c r="AW563" s="3054"/>
      <c r="AX563" s="3054"/>
      <c r="AY563" s="3055"/>
      <c r="AZ563" s="3055"/>
      <c r="BA563" s="3055"/>
      <c r="BB563" s="3055"/>
      <c r="BC563" s="3055"/>
      <c r="BD563" s="3055"/>
      <c r="BE563" s="3055"/>
      <c r="BF563" s="3055"/>
      <c r="BG563" s="3055"/>
      <c r="BH563" s="3055"/>
      <c r="BI563" s="3055"/>
      <c r="BJ563" s="3055"/>
      <c r="BK563" s="3055"/>
      <c r="BL563" s="3056"/>
      <c r="BM563" s="3057">
        <f t="shared" si="16"/>
      </c>
      <c r="BN563" s="3054"/>
      <c r="BO563" s="3054"/>
      <c r="BP563" s="3055"/>
      <c r="BQ563" s="3055"/>
      <c r="BR563" s="3055"/>
      <c r="BS563" s="3055"/>
      <c r="BT563" s="3055"/>
      <c r="BU563" s="3055"/>
      <c r="BV563" s="3055"/>
      <c r="BW563" s="3055"/>
      <c r="BX563" s="3055"/>
      <c r="BY563" s="3055"/>
      <c r="BZ563" s="3055"/>
      <c r="CA563" s="3055"/>
      <c r="CB563" s="3055"/>
      <c r="CC563" s="3056"/>
      <c r="CD563" s="3057">
        <f t="shared" si="0"/>
      </c>
      <c r="CE563" s="3054"/>
      <c r="CF563" s="3054"/>
      <c r="CG563" s="3055"/>
      <c r="CH563" s="3055"/>
      <c r="CI563" s="3055"/>
      <c r="CJ563" s="3055"/>
      <c r="CK563" s="3055"/>
      <c r="CL563" s="3055"/>
      <c r="CM563" s="3055"/>
      <c r="CN563" s="3055"/>
      <c r="CO563" s="3055"/>
      <c r="CP563" s="3055"/>
      <c r="CQ563" s="3055"/>
      <c r="CR563" s="3055"/>
      <c r="CS563" s="3055"/>
      <c r="CU563" s="3054"/>
      <c r="CV563" s="696"/>
      <c r="CW563" s="696"/>
      <c r="CZ563" s="3060">
        <f t="shared" si="17"/>
      </c>
      <c r="DA563" s="3060">
        <f t="shared" si="1"/>
      </c>
      <c r="DB563" s="3060">
        <f t="shared" si="18"/>
      </c>
      <c r="DC563" s="3060">
        <f t="shared" si="19"/>
      </c>
      <c r="DD563" s="3060">
        <f t="shared" si="20"/>
      </c>
      <c r="DE563" s="3060">
        <f t="shared" si="21"/>
      </c>
      <c r="DF563" s="3060">
        <f t="shared" si="22"/>
      </c>
      <c r="DG563" s="3060">
        <f t="shared" si="23"/>
      </c>
      <c r="DH563" s="3060">
        <f t="shared" si="24"/>
      </c>
      <c r="DI563" s="3060">
        <f t="shared" si="1"/>
      </c>
    </row>
    <row r="564" ht="15" customHeight="1" s="3052" customFormat="1">
      <c r="B564" s="3054">
        <f t="shared" si="2"/>
      </c>
      <c r="C564" s="3054"/>
      <c r="D564" s="3054"/>
      <c r="E564" s="3055"/>
      <c r="F564" s="3055"/>
      <c r="G564" s="3055"/>
      <c r="H564" s="3055"/>
      <c r="I564" s="3055"/>
      <c r="J564" s="3055"/>
      <c r="K564" s="3055"/>
      <c r="L564" s="3055"/>
      <c r="M564" s="3055"/>
      <c r="N564" s="3055"/>
      <c r="O564" s="3055"/>
      <c r="P564" s="3055"/>
      <c r="Q564" s="3055"/>
      <c r="R564" s="3055">
        <f t="shared" si="3"/>
        <v>0</v>
      </c>
      <c r="S564" s="3055">
        <f t="shared" si="4"/>
        <v>0</v>
      </c>
      <c r="T564" s="3055">
        <f t="shared" si="5"/>
        <v>0</v>
      </c>
      <c r="U564" s="3055">
        <f t="shared" si="6"/>
        <v>0</v>
      </c>
      <c r="V564" s="3055">
        <f t="shared" si="7"/>
        <v>0</v>
      </c>
      <c r="W564" s="3055">
        <f t="shared" si="8"/>
        <v>0</v>
      </c>
      <c r="X564" s="3055">
        <f t="shared" si="9"/>
        <v>0</v>
      </c>
      <c r="Y564" s="3055">
        <f t="shared" si="10"/>
        <v>0</v>
      </c>
      <c r="Z564" s="3055">
        <f t="shared" si="11"/>
        <v>0</v>
      </c>
      <c r="AA564" s="3055">
        <f t="shared" si="12"/>
        <v>0</v>
      </c>
      <c r="AB564" s="3055">
        <f t="shared" si="13"/>
        <v>0</v>
      </c>
      <c r="AC564" s="3055">
        <f t="shared" si="14"/>
        <v>0</v>
      </c>
      <c r="AD564" s="3056"/>
      <c r="AE564" s="3057">
        <f t="shared" si="0"/>
      </c>
      <c r="AF564" s="3054"/>
      <c r="AG564" s="3054"/>
      <c r="AH564" s="3055"/>
      <c r="AI564" s="3055"/>
      <c r="AJ564" s="3055"/>
      <c r="AK564" s="3055"/>
      <c r="AL564" s="3055"/>
      <c r="AM564" s="3055"/>
      <c r="AN564" s="3055"/>
      <c r="AO564" s="3055"/>
      <c r="AP564" s="3055"/>
      <c r="AQ564" s="3055"/>
      <c r="AR564" s="3055"/>
      <c r="AS564" s="3055"/>
      <c r="AT564" s="3055"/>
      <c r="AU564" s="3056"/>
      <c r="AV564" s="3057">
        <f t="shared" si="15"/>
      </c>
      <c r="AW564" s="3054"/>
      <c r="AX564" s="3054"/>
      <c r="AY564" s="3055"/>
      <c r="AZ564" s="3055"/>
      <c r="BA564" s="3055"/>
      <c r="BB564" s="3055"/>
      <c r="BC564" s="3055"/>
      <c r="BD564" s="3055"/>
      <c r="BE564" s="3055"/>
      <c r="BF564" s="3055"/>
      <c r="BG564" s="3055"/>
      <c r="BH564" s="3055"/>
      <c r="BI564" s="3055"/>
      <c r="BJ564" s="3055"/>
      <c r="BK564" s="3055"/>
      <c r="BL564" s="3056"/>
      <c r="BM564" s="3057">
        <f t="shared" si="16"/>
      </c>
      <c r="BN564" s="3054"/>
      <c r="BO564" s="3054"/>
      <c r="BP564" s="3055"/>
      <c r="BQ564" s="3055"/>
      <c r="BR564" s="3055"/>
      <c r="BS564" s="3055"/>
      <c r="BT564" s="3055"/>
      <c r="BU564" s="3055"/>
      <c r="BV564" s="3055"/>
      <c r="BW564" s="3055"/>
      <c r="BX564" s="3055"/>
      <c r="BY564" s="3055"/>
      <c r="BZ564" s="3055"/>
      <c r="CA564" s="3055"/>
      <c r="CB564" s="3055"/>
      <c r="CC564" s="3056"/>
      <c r="CD564" s="3057">
        <f t="shared" si="0"/>
      </c>
      <c r="CE564" s="3054"/>
      <c r="CF564" s="3054"/>
      <c r="CG564" s="3055"/>
      <c r="CH564" s="3055"/>
      <c r="CI564" s="3055"/>
      <c r="CJ564" s="3055"/>
      <c r="CK564" s="3055"/>
      <c r="CL564" s="3055"/>
      <c r="CM564" s="3055"/>
      <c r="CN564" s="3055"/>
      <c r="CO564" s="3055"/>
      <c r="CP564" s="3055"/>
      <c r="CQ564" s="3055"/>
      <c r="CR564" s="3055"/>
      <c r="CS564" s="3055"/>
      <c r="CU564" s="3054"/>
      <c r="CV564" s="696"/>
      <c r="CW564" s="696"/>
      <c r="CZ564" s="3060">
        <f t="shared" si="17"/>
      </c>
      <c r="DA564" s="3060">
        <f t="shared" si="1"/>
      </c>
      <c r="DB564" s="3060">
        <f t="shared" si="18"/>
      </c>
      <c r="DC564" s="3060">
        <f t="shared" si="19"/>
      </c>
      <c r="DD564" s="3060">
        <f t="shared" si="20"/>
      </c>
      <c r="DE564" s="3060">
        <f t="shared" si="21"/>
      </c>
      <c r="DF564" s="3060">
        <f t="shared" si="22"/>
      </c>
      <c r="DG564" s="3060">
        <f t="shared" si="23"/>
      </c>
      <c r="DH564" s="3060">
        <f t="shared" si="24"/>
      </c>
      <c r="DI564" s="3060">
        <f t="shared" si="1"/>
      </c>
    </row>
    <row r="565" ht="15" customHeight="1" s="3052" customFormat="1">
      <c r="B565" s="3054">
        <f t="shared" si="2"/>
      </c>
      <c r="C565" s="3054"/>
      <c r="D565" s="3054"/>
      <c r="E565" s="3055"/>
      <c r="F565" s="3055"/>
      <c r="G565" s="3055"/>
      <c r="H565" s="3055"/>
      <c r="I565" s="3055"/>
      <c r="J565" s="3055"/>
      <c r="K565" s="3055"/>
      <c r="L565" s="3055"/>
      <c r="M565" s="3055"/>
      <c r="N565" s="3055"/>
      <c r="O565" s="3055"/>
      <c r="P565" s="3055"/>
      <c r="Q565" s="3055"/>
      <c r="R565" s="3055">
        <f t="shared" si="3"/>
        <v>0</v>
      </c>
      <c r="S565" s="3055">
        <f t="shared" si="4"/>
        <v>0</v>
      </c>
      <c r="T565" s="3055">
        <f t="shared" si="5"/>
        <v>0</v>
      </c>
      <c r="U565" s="3055">
        <f t="shared" si="6"/>
        <v>0</v>
      </c>
      <c r="V565" s="3055">
        <f t="shared" si="7"/>
        <v>0</v>
      </c>
      <c r="W565" s="3055">
        <f t="shared" si="8"/>
        <v>0</v>
      </c>
      <c r="X565" s="3055">
        <f t="shared" si="9"/>
        <v>0</v>
      </c>
      <c r="Y565" s="3055">
        <f t="shared" si="10"/>
        <v>0</v>
      </c>
      <c r="Z565" s="3055">
        <f t="shared" si="11"/>
        <v>0</v>
      </c>
      <c r="AA565" s="3055">
        <f t="shared" si="12"/>
        <v>0</v>
      </c>
      <c r="AB565" s="3055">
        <f t="shared" si="13"/>
        <v>0</v>
      </c>
      <c r="AC565" s="3055">
        <f t="shared" si="14"/>
        <v>0</v>
      </c>
      <c r="AD565" s="3056"/>
      <c r="AE565" s="3057">
        <f t="shared" si="0"/>
      </c>
      <c r="AF565" s="3054"/>
      <c r="AG565" s="3054"/>
      <c r="AH565" s="3055"/>
      <c r="AI565" s="3055"/>
      <c r="AJ565" s="3055"/>
      <c r="AK565" s="3055"/>
      <c r="AL565" s="3055"/>
      <c r="AM565" s="3055"/>
      <c r="AN565" s="3055"/>
      <c r="AO565" s="3055"/>
      <c r="AP565" s="3055"/>
      <c r="AQ565" s="3055"/>
      <c r="AR565" s="3055"/>
      <c r="AS565" s="3055"/>
      <c r="AT565" s="3055"/>
      <c r="AU565" s="3056"/>
      <c r="AV565" s="3057">
        <f t="shared" si="15"/>
      </c>
      <c r="AW565" s="3054"/>
      <c r="AX565" s="3054"/>
      <c r="AY565" s="3055"/>
      <c r="AZ565" s="3055"/>
      <c r="BA565" s="3055"/>
      <c r="BB565" s="3055"/>
      <c r="BC565" s="3055"/>
      <c r="BD565" s="3055"/>
      <c r="BE565" s="3055"/>
      <c r="BF565" s="3055"/>
      <c r="BG565" s="3055"/>
      <c r="BH565" s="3055"/>
      <c r="BI565" s="3055"/>
      <c r="BJ565" s="3055"/>
      <c r="BK565" s="3055"/>
      <c r="BL565" s="3056"/>
      <c r="BM565" s="3057">
        <f t="shared" si="16"/>
      </c>
      <c r="BN565" s="3054"/>
      <c r="BO565" s="3054"/>
      <c r="BP565" s="3055"/>
      <c r="BQ565" s="3055"/>
      <c r="BR565" s="3055"/>
      <c r="BS565" s="3055"/>
      <c r="BT565" s="3055"/>
      <c r="BU565" s="3055"/>
      <c r="BV565" s="3055"/>
      <c r="BW565" s="3055"/>
      <c r="BX565" s="3055"/>
      <c r="BY565" s="3055"/>
      <c r="BZ565" s="3055"/>
      <c r="CA565" s="3055"/>
      <c r="CB565" s="3055"/>
      <c r="CC565" s="3056"/>
      <c r="CD565" s="3057">
        <f t="shared" si="0"/>
      </c>
      <c r="CE565" s="3054"/>
      <c r="CF565" s="3054"/>
      <c r="CG565" s="3055"/>
      <c r="CH565" s="3055"/>
      <c r="CI565" s="3055"/>
      <c r="CJ565" s="3055"/>
      <c r="CK565" s="3055"/>
      <c r="CL565" s="3055"/>
      <c r="CM565" s="3055"/>
      <c r="CN565" s="3055"/>
      <c r="CO565" s="3055"/>
      <c r="CP565" s="3055"/>
      <c r="CQ565" s="3055"/>
      <c r="CR565" s="3055"/>
      <c r="CS565" s="3055"/>
      <c r="CU565" s="3054"/>
      <c r="CV565" s="696"/>
      <c r="CW565" s="696"/>
      <c r="CZ565" s="3060">
        <f t="shared" si="17"/>
      </c>
      <c r="DA565" s="3060">
        <f t="shared" si="1"/>
      </c>
      <c r="DB565" s="3060">
        <f t="shared" si="18"/>
      </c>
      <c r="DC565" s="3060">
        <f t="shared" si="19"/>
      </c>
      <c r="DD565" s="3060">
        <f t="shared" si="20"/>
      </c>
      <c r="DE565" s="3060">
        <f t="shared" si="21"/>
      </c>
      <c r="DF565" s="3060">
        <f t="shared" si="22"/>
      </c>
      <c r="DG565" s="3060">
        <f t="shared" si="23"/>
      </c>
      <c r="DH565" s="3060">
        <f t="shared" si="24"/>
      </c>
      <c r="DI565" s="3060">
        <f t="shared" si="1"/>
      </c>
    </row>
    <row r="566" ht="15" customHeight="1" s="3052" customFormat="1">
      <c r="B566" s="3054">
        <f t="shared" si="2"/>
      </c>
      <c r="C566" s="3054"/>
      <c r="D566" s="3054"/>
      <c r="E566" s="3055"/>
      <c r="F566" s="3055"/>
      <c r="G566" s="3055"/>
      <c r="H566" s="3055"/>
      <c r="I566" s="3055"/>
      <c r="J566" s="3055"/>
      <c r="K566" s="3055"/>
      <c r="L566" s="3055"/>
      <c r="M566" s="3055"/>
      <c r="N566" s="3055"/>
      <c r="O566" s="3055"/>
      <c r="P566" s="3055"/>
      <c r="Q566" s="3055"/>
      <c r="R566" s="3055">
        <f t="shared" si="3"/>
        <v>0</v>
      </c>
      <c r="S566" s="3055">
        <f t="shared" si="4"/>
        <v>0</v>
      </c>
      <c r="T566" s="3055">
        <f t="shared" si="5"/>
        <v>0</v>
      </c>
      <c r="U566" s="3055">
        <f t="shared" si="6"/>
        <v>0</v>
      </c>
      <c r="V566" s="3055">
        <f t="shared" si="7"/>
        <v>0</v>
      </c>
      <c r="W566" s="3055">
        <f t="shared" si="8"/>
        <v>0</v>
      </c>
      <c r="X566" s="3055">
        <f t="shared" si="9"/>
        <v>0</v>
      </c>
      <c r="Y566" s="3055">
        <f t="shared" si="10"/>
        <v>0</v>
      </c>
      <c r="Z566" s="3055">
        <f t="shared" si="11"/>
        <v>0</v>
      </c>
      <c r="AA566" s="3055">
        <f t="shared" si="12"/>
        <v>0</v>
      </c>
      <c r="AB566" s="3055">
        <f t="shared" si="13"/>
        <v>0</v>
      </c>
      <c r="AC566" s="3055">
        <f t="shared" si="14"/>
        <v>0</v>
      </c>
      <c r="AD566" s="3056"/>
      <c r="AE566" s="3057">
        <f t="shared" si="0"/>
      </c>
      <c r="AF566" s="3054"/>
      <c r="AG566" s="3054"/>
      <c r="AH566" s="3055"/>
      <c r="AI566" s="3055"/>
      <c r="AJ566" s="3055"/>
      <c r="AK566" s="3055"/>
      <c r="AL566" s="3055"/>
      <c r="AM566" s="3055"/>
      <c r="AN566" s="3055"/>
      <c r="AO566" s="3055"/>
      <c r="AP566" s="3055"/>
      <c r="AQ566" s="3055"/>
      <c r="AR566" s="3055"/>
      <c r="AS566" s="3055"/>
      <c r="AT566" s="3055"/>
      <c r="AU566" s="3056"/>
      <c r="AV566" s="3057">
        <f t="shared" si="15"/>
      </c>
      <c r="AW566" s="3054"/>
      <c r="AX566" s="3054"/>
      <c r="AY566" s="3055"/>
      <c r="AZ566" s="3055"/>
      <c r="BA566" s="3055"/>
      <c r="BB566" s="3055"/>
      <c r="BC566" s="3055"/>
      <c r="BD566" s="3055"/>
      <c r="BE566" s="3055"/>
      <c r="BF566" s="3055"/>
      <c r="BG566" s="3055"/>
      <c r="BH566" s="3055"/>
      <c r="BI566" s="3055"/>
      <c r="BJ566" s="3055"/>
      <c r="BK566" s="3055"/>
      <c r="BL566" s="3056"/>
      <c r="BM566" s="3057">
        <f t="shared" si="16"/>
      </c>
      <c r="BN566" s="3054"/>
      <c r="BO566" s="3054"/>
      <c r="BP566" s="3055"/>
      <c r="BQ566" s="3055"/>
      <c r="BR566" s="3055"/>
      <c r="BS566" s="3055"/>
      <c r="BT566" s="3055"/>
      <c r="BU566" s="3055"/>
      <c r="BV566" s="3055"/>
      <c r="BW566" s="3055"/>
      <c r="BX566" s="3055"/>
      <c r="BY566" s="3055"/>
      <c r="BZ566" s="3055"/>
      <c r="CA566" s="3055"/>
      <c r="CB566" s="3055"/>
      <c r="CC566" s="3056"/>
      <c r="CD566" s="3057">
        <f t="shared" si="0"/>
      </c>
      <c r="CE566" s="3054"/>
      <c r="CF566" s="3054"/>
      <c r="CG566" s="3055"/>
      <c r="CH566" s="3055"/>
      <c r="CI566" s="3055"/>
      <c r="CJ566" s="3055"/>
      <c r="CK566" s="3055"/>
      <c r="CL566" s="3055"/>
      <c r="CM566" s="3055"/>
      <c r="CN566" s="3055"/>
      <c r="CO566" s="3055"/>
      <c r="CP566" s="3055"/>
      <c r="CQ566" s="3055"/>
      <c r="CR566" s="3055"/>
      <c r="CS566" s="3055"/>
      <c r="CU566" s="3054"/>
      <c r="CV566" s="696"/>
      <c r="CW566" s="696"/>
      <c r="CZ566" s="3060">
        <f t="shared" si="17"/>
      </c>
      <c r="DA566" s="3060">
        <f t="shared" si="1"/>
      </c>
      <c r="DB566" s="3060">
        <f t="shared" si="18"/>
      </c>
      <c r="DC566" s="3060">
        <f t="shared" si="19"/>
      </c>
      <c r="DD566" s="3060">
        <f t="shared" si="20"/>
      </c>
      <c r="DE566" s="3060">
        <f t="shared" si="21"/>
      </c>
      <c r="DF566" s="3060">
        <f t="shared" si="22"/>
      </c>
      <c r="DG566" s="3060">
        <f t="shared" si="23"/>
      </c>
      <c r="DH566" s="3060">
        <f t="shared" si="24"/>
      </c>
      <c r="DI566" s="3060">
        <f t="shared" si="1"/>
      </c>
    </row>
    <row r="567" ht="15" customHeight="1" s="3052" customFormat="1">
      <c r="B567" s="3054">
        <f t="shared" si="2"/>
      </c>
      <c r="C567" s="3054"/>
      <c r="D567" s="3054"/>
      <c r="E567" s="3055"/>
      <c r="F567" s="3055"/>
      <c r="G567" s="3055"/>
      <c r="H567" s="3055"/>
      <c r="I567" s="3055"/>
      <c r="J567" s="3055"/>
      <c r="K567" s="3055"/>
      <c r="L567" s="3055"/>
      <c r="M567" s="3055"/>
      <c r="N567" s="3055"/>
      <c r="O567" s="3055"/>
      <c r="P567" s="3055"/>
      <c r="Q567" s="3055"/>
      <c r="R567" s="3055">
        <f t="shared" si="3"/>
        <v>0</v>
      </c>
      <c r="S567" s="3055">
        <f t="shared" si="4"/>
        <v>0</v>
      </c>
      <c r="T567" s="3055">
        <f t="shared" si="5"/>
        <v>0</v>
      </c>
      <c r="U567" s="3055">
        <f t="shared" si="6"/>
        <v>0</v>
      </c>
      <c r="V567" s="3055">
        <f t="shared" si="7"/>
        <v>0</v>
      </c>
      <c r="W567" s="3055">
        <f t="shared" si="8"/>
        <v>0</v>
      </c>
      <c r="X567" s="3055">
        <f t="shared" si="9"/>
        <v>0</v>
      </c>
      <c r="Y567" s="3055">
        <f t="shared" si="10"/>
        <v>0</v>
      </c>
      <c r="Z567" s="3055">
        <f t="shared" si="11"/>
        <v>0</v>
      </c>
      <c r="AA567" s="3055">
        <f t="shared" si="12"/>
        <v>0</v>
      </c>
      <c r="AB567" s="3055">
        <f t="shared" si="13"/>
        <v>0</v>
      </c>
      <c r="AC567" s="3055">
        <f t="shared" si="14"/>
        <v>0</v>
      </c>
      <c r="AD567" s="3056"/>
      <c r="AE567" s="3057">
        <f t="shared" si="0"/>
      </c>
      <c r="AF567" s="3054"/>
      <c r="AG567" s="3054"/>
      <c r="AH567" s="3055"/>
      <c r="AI567" s="3055"/>
      <c r="AJ567" s="3055"/>
      <c r="AK567" s="3055"/>
      <c r="AL567" s="3055"/>
      <c r="AM567" s="3055"/>
      <c r="AN567" s="3055"/>
      <c r="AO567" s="3055"/>
      <c r="AP567" s="3055"/>
      <c r="AQ567" s="3055"/>
      <c r="AR567" s="3055"/>
      <c r="AS567" s="3055"/>
      <c r="AT567" s="3055"/>
      <c r="AU567" s="3056"/>
      <c r="AV567" s="3057">
        <f t="shared" si="15"/>
      </c>
      <c r="AW567" s="3054"/>
      <c r="AX567" s="3054"/>
      <c r="AY567" s="3055"/>
      <c r="AZ567" s="3055"/>
      <c r="BA567" s="3055"/>
      <c r="BB567" s="3055"/>
      <c r="BC567" s="3055"/>
      <c r="BD567" s="3055"/>
      <c r="BE567" s="3055"/>
      <c r="BF567" s="3055"/>
      <c r="BG567" s="3055"/>
      <c r="BH567" s="3055"/>
      <c r="BI567" s="3055"/>
      <c r="BJ567" s="3055"/>
      <c r="BK567" s="3055"/>
      <c r="BL567" s="3056"/>
      <c r="BM567" s="3057">
        <f t="shared" si="16"/>
      </c>
      <c r="BN567" s="3054"/>
      <c r="BO567" s="3054"/>
      <c r="BP567" s="3055"/>
      <c r="BQ567" s="3055"/>
      <c r="BR567" s="3055"/>
      <c r="BS567" s="3055"/>
      <c r="BT567" s="3055"/>
      <c r="BU567" s="3055"/>
      <c r="BV567" s="3055"/>
      <c r="BW567" s="3055"/>
      <c r="BX567" s="3055"/>
      <c r="BY567" s="3055"/>
      <c r="BZ567" s="3055"/>
      <c r="CA567" s="3055"/>
      <c r="CB567" s="3055"/>
      <c r="CC567" s="3056"/>
      <c r="CD567" s="3057">
        <f t="shared" si="0"/>
      </c>
      <c r="CE567" s="3054"/>
      <c r="CF567" s="3054"/>
      <c r="CG567" s="3055"/>
      <c r="CH567" s="3055"/>
      <c r="CI567" s="3055"/>
      <c r="CJ567" s="3055"/>
      <c r="CK567" s="3055"/>
      <c r="CL567" s="3055"/>
      <c r="CM567" s="3055"/>
      <c r="CN567" s="3055"/>
      <c r="CO567" s="3055"/>
      <c r="CP567" s="3055"/>
      <c r="CQ567" s="3055"/>
      <c r="CR567" s="3055"/>
      <c r="CS567" s="3055"/>
      <c r="CU567" s="3054"/>
      <c r="CV567" s="696"/>
      <c r="CW567" s="696"/>
      <c r="CZ567" s="3060">
        <f t="shared" si="17"/>
      </c>
      <c r="DA567" s="3060">
        <f t="shared" si="1"/>
      </c>
      <c r="DB567" s="3060">
        <f t="shared" si="18"/>
      </c>
      <c r="DC567" s="3060">
        <f t="shared" si="19"/>
      </c>
      <c r="DD567" s="3060">
        <f t="shared" si="20"/>
      </c>
      <c r="DE567" s="3060">
        <f t="shared" si="21"/>
      </c>
      <c r="DF567" s="3060">
        <f t="shared" si="22"/>
      </c>
      <c r="DG567" s="3060">
        <f t="shared" si="23"/>
      </c>
      <c r="DH567" s="3060">
        <f t="shared" si="24"/>
      </c>
      <c r="DI567" s="3060">
        <f t="shared" si="1"/>
      </c>
    </row>
    <row r="568" ht="15" customHeight="1" s="3052" customFormat="1">
      <c r="B568" s="3054">
        <f t="shared" si="2"/>
      </c>
      <c r="C568" s="3054"/>
      <c r="D568" s="3054"/>
      <c r="E568" s="3055"/>
      <c r="F568" s="3055"/>
      <c r="G568" s="3055"/>
      <c r="H568" s="3055"/>
      <c r="I568" s="3055"/>
      <c r="J568" s="3055"/>
      <c r="K568" s="3055"/>
      <c r="L568" s="3055"/>
      <c r="M568" s="3055"/>
      <c r="N568" s="3055"/>
      <c r="O568" s="3055"/>
      <c r="P568" s="3055"/>
      <c r="Q568" s="3055"/>
      <c r="R568" s="3055">
        <f t="shared" si="3"/>
        <v>0</v>
      </c>
      <c r="S568" s="3055">
        <f t="shared" si="4"/>
        <v>0</v>
      </c>
      <c r="T568" s="3055">
        <f t="shared" si="5"/>
        <v>0</v>
      </c>
      <c r="U568" s="3055">
        <f t="shared" si="6"/>
        <v>0</v>
      </c>
      <c r="V568" s="3055">
        <f t="shared" si="7"/>
        <v>0</v>
      </c>
      <c r="W568" s="3055">
        <f t="shared" si="8"/>
        <v>0</v>
      </c>
      <c r="X568" s="3055">
        <f t="shared" si="9"/>
        <v>0</v>
      </c>
      <c r="Y568" s="3055">
        <f t="shared" si="10"/>
        <v>0</v>
      </c>
      <c r="Z568" s="3055">
        <f t="shared" si="11"/>
        <v>0</v>
      </c>
      <c r="AA568" s="3055">
        <f t="shared" si="12"/>
        <v>0</v>
      </c>
      <c r="AB568" s="3055">
        <f t="shared" si="13"/>
        <v>0</v>
      </c>
      <c r="AC568" s="3055">
        <f t="shared" si="14"/>
        <v>0</v>
      </c>
      <c r="AD568" s="3056"/>
      <c r="AE568" s="3057">
        <f t="shared" si="0"/>
      </c>
      <c r="AF568" s="3054"/>
      <c r="AG568" s="3054"/>
      <c r="AH568" s="3055"/>
      <c r="AI568" s="3055"/>
      <c r="AJ568" s="3055"/>
      <c r="AK568" s="3055"/>
      <c r="AL568" s="3055"/>
      <c r="AM568" s="3055"/>
      <c r="AN568" s="3055"/>
      <c r="AO568" s="3055"/>
      <c r="AP568" s="3055"/>
      <c r="AQ568" s="3055"/>
      <c r="AR568" s="3055"/>
      <c r="AS568" s="3055"/>
      <c r="AT568" s="3055"/>
      <c r="AU568" s="3056"/>
      <c r="AV568" s="3057">
        <f t="shared" si="15"/>
      </c>
      <c r="AW568" s="3054"/>
      <c r="AX568" s="3054"/>
      <c r="AY568" s="3055"/>
      <c r="AZ568" s="3055"/>
      <c r="BA568" s="3055"/>
      <c r="BB568" s="3055"/>
      <c r="BC568" s="3055"/>
      <c r="BD568" s="3055"/>
      <c r="BE568" s="3055"/>
      <c r="BF568" s="3055"/>
      <c r="BG568" s="3055"/>
      <c r="BH568" s="3055"/>
      <c r="BI568" s="3055"/>
      <c r="BJ568" s="3055"/>
      <c r="BK568" s="3055"/>
      <c r="BL568" s="3056"/>
      <c r="BM568" s="3057">
        <f t="shared" si="16"/>
      </c>
      <c r="BN568" s="3054"/>
      <c r="BO568" s="3054"/>
      <c r="BP568" s="3055"/>
      <c r="BQ568" s="3055"/>
      <c r="BR568" s="3055"/>
      <c r="BS568" s="3055"/>
      <c r="BT568" s="3055"/>
      <c r="BU568" s="3055"/>
      <c r="BV568" s="3055"/>
      <c r="BW568" s="3055"/>
      <c r="BX568" s="3055"/>
      <c r="BY568" s="3055"/>
      <c r="BZ568" s="3055"/>
      <c r="CA568" s="3055"/>
      <c r="CB568" s="3055"/>
      <c r="CC568" s="3056"/>
      <c r="CD568" s="3057">
        <f t="shared" si="0"/>
      </c>
      <c r="CE568" s="3054"/>
      <c r="CF568" s="3054"/>
      <c r="CG568" s="3055"/>
      <c r="CH568" s="3055"/>
      <c r="CI568" s="3055"/>
      <c r="CJ568" s="3055"/>
      <c r="CK568" s="3055"/>
      <c r="CL568" s="3055"/>
      <c r="CM568" s="3055"/>
      <c r="CN568" s="3055"/>
      <c r="CO568" s="3055"/>
      <c r="CP568" s="3055"/>
      <c r="CQ568" s="3055"/>
      <c r="CR568" s="3055"/>
      <c r="CS568" s="3055"/>
      <c r="CU568" s="3054"/>
      <c r="CV568" s="696"/>
      <c r="CW568" s="696"/>
      <c r="CZ568" s="3060">
        <f t="shared" si="17"/>
      </c>
      <c r="DA568" s="3060">
        <f t="shared" si="1"/>
      </c>
      <c r="DB568" s="3060">
        <f t="shared" si="18"/>
      </c>
      <c r="DC568" s="3060">
        <f t="shared" si="19"/>
      </c>
      <c r="DD568" s="3060">
        <f t="shared" si="20"/>
      </c>
      <c r="DE568" s="3060">
        <f t="shared" si="21"/>
      </c>
      <c r="DF568" s="3060">
        <f t="shared" si="22"/>
      </c>
      <c r="DG568" s="3060">
        <f t="shared" si="23"/>
      </c>
      <c r="DH568" s="3060">
        <f t="shared" si="24"/>
      </c>
      <c r="DI568" s="3060">
        <f t="shared" si="1"/>
      </c>
    </row>
    <row r="569" ht="15" customHeight="1" s="3052" customFormat="1">
      <c r="B569" s="3054">
        <f t="shared" si="2"/>
      </c>
      <c r="C569" s="3054"/>
      <c r="D569" s="3054"/>
      <c r="E569" s="3055"/>
      <c r="F569" s="3055"/>
      <c r="G569" s="3055"/>
      <c r="H569" s="3055"/>
      <c r="I569" s="3055"/>
      <c r="J569" s="3055"/>
      <c r="K569" s="3055"/>
      <c r="L569" s="3055"/>
      <c r="M569" s="3055"/>
      <c r="N569" s="3055"/>
      <c r="O569" s="3055"/>
      <c r="P569" s="3055"/>
      <c r="Q569" s="3055"/>
      <c r="R569" s="3055">
        <f t="shared" si="3"/>
        <v>0</v>
      </c>
      <c r="S569" s="3055">
        <f t="shared" si="4"/>
        <v>0</v>
      </c>
      <c r="T569" s="3055">
        <f t="shared" si="5"/>
        <v>0</v>
      </c>
      <c r="U569" s="3055">
        <f t="shared" si="6"/>
        <v>0</v>
      </c>
      <c r="V569" s="3055">
        <f t="shared" si="7"/>
        <v>0</v>
      </c>
      <c r="W569" s="3055">
        <f t="shared" si="8"/>
        <v>0</v>
      </c>
      <c r="X569" s="3055">
        <f t="shared" si="9"/>
        <v>0</v>
      </c>
      <c r="Y569" s="3055">
        <f t="shared" si="10"/>
        <v>0</v>
      </c>
      <c r="Z569" s="3055">
        <f t="shared" si="11"/>
        <v>0</v>
      </c>
      <c r="AA569" s="3055">
        <f t="shared" si="12"/>
        <v>0</v>
      </c>
      <c r="AB569" s="3055">
        <f t="shared" si="13"/>
        <v>0</v>
      </c>
      <c r="AC569" s="3055">
        <f t="shared" si="14"/>
        <v>0</v>
      </c>
      <c r="AD569" s="3056"/>
      <c r="AE569" s="3057">
        <f t="shared" si="0"/>
      </c>
      <c r="AF569" s="3054"/>
      <c r="AG569" s="3054"/>
      <c r="AH569" s="3055"/>
      <c r="AI569" s="3055"/>
      <c r="AJ569" s="3055"/>
      <c r="AK569" s="3055"/>
      <c r="AL569" s="3055"/>
      <c r="AM569" s="3055"/>
      <c r="AN569" s="3055"/>
      <c r="AO569" s="3055"/>
      <c r="AP569" s="3055"/>
      <c r="AQ569" s="3055"/>
      <c r="AR569" s="3055"/>
      <c r="AS569" s="3055"/>
      <c r="AT569" s="3055"/>
      <c r="AU569" s="3056"/>
      <c r="AV569" s="3057">
        <f t="shared" si="15"/>
      </c>
      <c r="AW569" s="3054"/>
      <c r="AX569" s="3054"/>
      <c r="AY569" s="3055"/>
      <c r="AZ569" s="3055"/>
      <c r="BA569" s="3055"/>
      <c r="BB569" s="3055"/>
      <c r="BC569" s="3055"/>
      <c r="BD569" s="3055"/>
      <c r="BE569" s="3055"/>
      <c r="BF569" s="3055"/>
      <c r="BG569" s="3055"/>
      <c r="BH569" s="3055"/>
      <c r="BI569" s="3055"/>
      <c r="BJ569" s="3055"/>
      <c r="BK569" s="3055"/>
      <c r="BL569" s="3056"/>
      <c r="BM569" s="3057">
        <f t="shared" si="16"/>
      </c>
      <c r="BN569" s="3054"/>
      <c r="BO569" s="3054"/>
      <c r="BP569" s="3055"/>
      <c r="BQ569" s="3055"/>
      <c r="BR569" s="3055"/>
      <c r="BS569" s="3055"/>
      <c r="BT569" s="3055"/>
      <c r="BU569" s="3055"/>
      <c r="BV569" s="3055"/>
      <c r="BW569" s="3055"/>
      <c r="BX569" s="3055"/>
      <c r="BY569" s="3055"/>
      <c r="BZ569" s="3055"/>
      <c r="CA569" s="3055"/>
      <c r="CB569" s="3055"/>
      <c r="CC569" s="3056"/>
      <c r="CD569" s="3057">
        <f t="shared" si="0"/>
      </c>
      <c r="CE569" s="3054"/>
      <c r="CF569" s="3054"/>
      <c r="CG569" s="3055"/>
      <c r="CH569" s="3055"/>
      <c r="CI569" s="3055"/>
      <c r="CJ569" s="3055"/>
      <c r="CK569" s="3055"/>
      <c r="CL569" s="3055"/>
      <c r="CM569" s="3055"/>
      <c r="CN569" s="3055"/>
      <c r="CO569" s="3055"/>
      <c r="CP569" s="3055"/>
      <c r="CQ569" s="3055"/>
      <c r="CR569" s="3055"/>
      <c r="CS569" s="3055"/>
      <c r="CU569" s="3054"/>
      <c r="CV569" s="696"/>
      <c r="CW569" s="696"/>
      <c r="CZ569" s="3060">
        <f t="shared" si="17"/>
      </c>
      <c r="DA569" s="3060">
        <f t="shared" si="1"/>
      </c>
      <c r="DB569" s="3060">
        <f t="shared" si="18"/>
      </c>
      <c r="DC569" s="3060">
        <f t="shared" si="19"/>
      </c>
      <c r="DD569" s="3060">
        <f t="shared" si="20"/>
      </c>
      <c r="DE569" s="3060">
        <f t="shared" si="21"/>
      </c>
      <c r="DF569" s="3060">
        <f t="shared" si="22"/>
      </c>
      <c r="DG569" s="3060">
        <f t="shared" si="23"/>
      </c>
      <c r="DH569" s="3060">
        <f t="shared" si="24"/>
      </c>
      <c r="DI569" s="3060">
        <f t="shared" si="1"/>
      </c>
    </row>
    <row r="570" ht="15" customHeight="1" s="3052" customFormat="1">
      <c r="B570" s="3054">
        <f t="shared" si="2"/>
      </c>
      <c r="C570" s="3054"/>
      <c r="D570" s="3054"/>
      <c r="E570" s="3055"/>
      <c r="F570" s="3055"/>
      <c r="G570" s="3055"/>
      <c r="H570" s="3055"/>
      <c r="I570" s="3055"/>
      <c r="J570" s="3055"/>
      <c r="K570" s="3055"/>
      <c r="L570" s="3055"/>
      <c r="M570" s="3055"/>
      <c r="N570" s="3055"/>
      <c r="O570" s="3055"/>
      <c r="P570" s="3055"/>
      <c r="Q570" s="3055"/>
      <c r="R570" s="3055">
        <f t="shared" si="3"/>
        <v>0</v>
      </c>
      <c r="S570" s="3055">
        <f t="shared" si="4"/>
        <v>0</v>
      </c>
      <c r="T570" s="3055">
        <f t="shared" si="5"/>
        <v>0</v>
      </c>
      <c r="U570" s="3055">
        <f t="shared" si="6"/>
        <v>0</v>
      </c>
      <c r="V570" s="3055">
        <f t="shared" si="7"/>
        <v>0</v>
      </c>
      <c r="W570" s="3055">
        <f t="shared" si="8"/>
        <v>0</v>
      </c>
      <c r="X570" s="3055">
        <f t="shared" si="9"/>
        <v>0</v>
      </c>
      <c r="Y570" s="3055">
        <f t="shared" si="10"/>
        <v>0</v>
      </c>
      <c r="Z570" s="3055">
        <f t="shared" si="11"/>
        <v>0</v>
      </c>
      <c r="AA570" s="3055">
        <f t="shared" si="12"/>
        <v>0</v>
      </c>
      <c r="AB570" s="3055">
        <f t="shared" si="13"/>
        <v>0</v>
      </c>
      <c r="AC570" s="3055">
        <f t="shared" si="14"/>
        <v>0</v>
      </c>
      <c r="AD570" s="3056"/>
      <c r="AE570" s="3057">
        <f t="shared" si="0"/>
      </c>
      <c r="AF570" s="3054"/>
      <c r="AG570" s="3054"/>
      <c r="AH570" s="3055"/>
      <c r="AI570" s="3055"/>
      <c r="AJ570" s="3055"/>
      <c r="AK570" s="3055"/>
      <c r="AL570" s="3055"/>
      <c r="AM570" s="3055"/>
      <c r="AN570" s="3055"/>
      <c r="AO570" s="3055"/>
      <c r="AP570" s="3055"/>
      <c r="AQ570" s="3055"/>
      <c r="AR570" s="3055"/>
      <c r="AS570" s="3055"/>
      <c r="AT570" s="3055"/>
      <c r="AU570" s="3056"/>
      <c r="AV570" s="3057">
        <f t="shared" si="15"/>
      </c>
      <c r="AW570" s="3054"/>
      <c r="AX570" s="3054"/>
      <c r="AY570" s="3055"/>
      <c r="AZ570" s="3055"/>
      <c r="BA570" s="3055"/>
      <c r="BB570" s="3055"/>
      <c r="BC570" s="3055"/>
      <c r="BD570" s="3055"/>
      <c r="BE570" s="3055"/>
      <c r="BF570" s="3055"/>
      <c r="BG570" s="3055"/>
      <c r="BH570" s="3055"/>
      <c r="BI570" s="3055"/>
      <c r="BJ570" s="3055"/>
      <c r="BK570" s="3055"/>
      <c r="BL570" s="3056"/>
      <c r="BM570" s="3057">
        <f t="shared" si="16"/>
      </c>
      <c r="BN570" s="3054"/>
      <c r="BO570" s="3054"/>
      <c r="BP570" s="3055"/>
      <c r="BQ570" s="3055"/>
      <c r="BR570" s="3055"/>
      <c r="BS570" s="3055"/>
      <c r="BT570" s="3055"/>
      <c r="BU570" s="3055"/>
      <c r="BV570" s="3055"/>
      <c r="BW570" s="3055"/>
      <c r="BX570" s="3055"/>
      <c r="BY570" s="3055"/>
      <c r="BZ570" s="3055"/>
      <c r="CA570" s="3055"/>
      <c r="CB570" s="3055"/>
      <c r="CC570" s="3056"/>
      <c r="CD570" s="3057">
        <f t="shared" si="0"/>
      </c>
      <c r="CE570" s="3054"/>
      <c r="CF570" s="3054"/>
      <c r="CG570" s="3055"/>
      <c r="CH570" s="3055"/>
      <c r="CI570" s="3055"/>
      <c r="CJ570" s="3055"/>
      <c r="CK570" s="3055"/>
      <c r="CL570" s="3055"/>
      <c r="CM570" s="3055"/>
      <c r="CN570" s="3055"/>
      <c r="CO570" s="3055"/>
      <c r="CP570" s="3055"/>
      <c r="CQ570" s="3055"/>
      <c r="CR570" s="3055"/>
      <c r="CS570" s="3055"/>
      <c r="CU570" s="3054"/>
      <c r="CV570" s="696"/>
      <c r="CW570" s="696"/>
      <c r="CZ570" s="3060">
        <f t="shared" si="17"/>
      </c>
      <c r="DA570" s="3060">
        <f t="shared" si="1"/>
      </c>
      <c r="DB570" s="3060">
        <f t="shared" si="18"/>
      </c>
      <c r="DC570" s="3060">
        <f t="shared" si="19"/>
      </c>
      <c r="DD570" s="3060">
        <f t="shared" si="20"/>
      </c>
      <c r="DE570" s="3060">
        <f t="shared" si="21"/>
      </c>
      <c r="DF570" s="3060">
        <f t="shared" si="22"/>
      </c>
      <c r="DG570" s="3060">
        <f t="shared" si="23"/>
      </c>
      <c r="DH570" s="3060">
        <f t="shared" si="24"/>
      </c>
      <c r="DI570" s="3060">
        <f t="shared" si="1"/>
      </c>
    </row>
    <row r="571" ht="15" customHeight="1" s="3052" customFormat="1">
      <c r="B571" s="3054">
        <f t="shared" si="2"/>
      </c>
      <c r="C571" s="3054"/>
      <c r="D571" s="3054"/>
      <c r="E571" s="3055"/>
      <c r="F571" s="3055"/>
      <c r="G571" s="3055"/>
      <c r="H571" s="3055"/>
      <c r="I571" s="3055"/>
      <c r="J571" s="3055"/>
      <c r="K571" s="3055"/>
      <c r="L571" s="3055"/>
      <c r="M571" s="3055"/>
      <c r="N571" s="3055"/>
      <c r="O571" s="3055"/>
      <c r="P571" s="3055"/>
      <c r="Q571" s="3055"/>
      <c r="R571" s="3055">
        <f t="shared" si="3"/>
        <v>0</v>
      </c>
      <c r="S571" s="3055">
        <f t="shared" si="4"/>
        <v>0</v>
      </c>
      <c r="T571" s="3055">
        <f t="shared" si="5"/>
        <v>0</v>
      </c>
      <c r="U571" s="3055">
        <f t="shared" si="6"/>
        <v>0</v>
      </c>
      <c r="V571" s="3055">
        <f t="shared" si="7"/>
        <v>0</v>
      </c>
      <c r="W571" s="3055">
        <f t="shared" si="8"/>
        <v>0</v>
      </c>
      <c r="X571" s="3055">
        <f t="shared" si="9"/>
        <v>0</v>
      </c>
      <c r="Y571" s="3055">
        <f t="shared" si="10"/>
        <v>0</v>
      </c>
      <c r="Z571" s="3055">
        <f t="shared" si="11"/>
        <v>0</v>
      </c>
      <c r="AA571" s="3055">
        <f t="shared" si="12"/>
        <v>0</v>
      </c>
      <c r="AB571" s="3055">
        <f t="shared" si="13"/>
        <v>0</v>
      </c>
      <c r="AC571" s="3055">
        <f t="shared" si="14"/>
        <v>0</v>
      </c>
      <c r="AD571" s="3056"/>
      <c r="AE571" s="3057">
        <f t="shared" si="0"/>
      </c>
      <c r="AF571" s="3054"/>
      <c r="AG571" s="3054"/>
      <c r="AH571" s="3055"/>
      <c r="AI571" s="3055"/>
      <c r="AJ571" s="3055"/>
      <c r="AK571" s="3055"/>
      <c r="AL571" s="3055"/>
      <c r="AM571" s="3055"/>
      <c r="AN571" s="3055"/>
      <c r="AO571" s="3055"/>
      <c r="AP571" s="3055"/>
      <c r="AQ571" s="3055"/>
      <c r="AR571" s="3055"/>
      <c r="AS571" s="3055"/>
      <c r="AT571" s="3055"/>
      <c r="AU571" s="3056"/>
      <c r="AV571" s="3057">
        <f t="shared" si="15"/>
      </c>
      <c r="AW571" s="3054"/>
      <c r="AX571" s="3054"/>
      <c r="AY571" s="3055"/>
      <c r="AZ571" s="3055"/>
      <c r="BA571" s="3055"/>
      <c r="BB571" s="3055"/>
      <c r="BC571" s="3055"/>
      <c r="BD571" s="3055"/>
      <c r="BE571" s="3055"/>
      <c r="BF571" s="3055"/>
      <c r="BG571" s="3055"/>
      <c r="BH571" s="3055"/>
      <c r="BI571" s="3055"/>
      <c r="BJ571" s="3055"/>
      <c r="BK571" s="3055"/>
      <c r="BL571" s="3056"/>
      <c r="BM571" s="3057">
        <f t="shared" si="16"/>
      </c>
      <c r="BN571" s="3054"/>
      <c r="BO571" s="3054"/>
      <c r="BP571" s="3055"/>
      <c r="BQ571" s="3055"/>
      <c r="BR571" s="3055"/>
      <c r="BS571" s="3055"/>
      <c r="BT571" s="3055"/>
      <c r="BU571" s="3055"/>
      <c r="BV571" s="3055"/>
      <c r="BW571" s="3055"/>
      <c r="BX571" s="3055"/>
      <c r="BY571" s="3055"/>
      <c r="BZ571" s="3055"/>
      <c r="CA571" s="3055"/>
      <c r="CB571" s="3055"/>
      <c r="CC571" s="3056"/>
      <c r="CD571" s="3057">
        <f t="shared" si="0"/>
      </c>
      <c r="CE571" s="3054"/>
      <c r="CF571" s="3054"/>
      <c r="CG571" s="3055"/>
      <c r="CH571" s="3055"/>
      <c r="CI571" s="3055"/>
      <c r="CJ571" s="3055"/>
      <c r="CK571" s="3055"/>
      <c r="CL571" s="3055"/>
      <c r="CM571" s="3055"/>
      <c r="CN571" s="3055"/>
      <c r="CO571" s="3055"/>
      <c r="CP571" s="3055"/>
      <c r="CQ571" s="3055"/>
      <c r="CR571" s="3055"/>
      <c r="CS571" s="3055"/>
      <c r="CU571" s="3054"/>
      <c r="CV571" s="696"/>
      <c r="CW571" s="696"/>
      <c r="CZ571" s="3060">
        <f t="shared" si="17"/>
      </c>
      <c r="DA571" s="3060">
        <f t="shared" si="1"/>
      </c>
      <c r="DB571" s="3060">
        <f t="shared" si="18"/>
      </c>
      <c r="DC571" s="3060">
        <f t="shared" si="19"/>
      </c>
      <c r="DD571" s="3060">
        <f t="shared" si="20"/>
      </c>
      <c r="DE571" s="3060">
        <f t="shared" si="21"/>
      </c>
      <c r="DF571" s="3060">
        <f t="shared" si="22"/>
      </c>
      <c r="DG571" s="3060">
        <f t="shared" si="23"/>
      </c>
      <c r="DH571" s="3060">
        <f t="shared" si="24"/>
      </c>
      <c r="DI571" s="3060">
        <f t="shared" si="1"/>
      </c>
    </row>
    <row r="572" ht="15" customHeight="1" s="3052" customFormat="1">
      <c r="B572" s="3054">
        <f t="shared" si="2"/>
      </c>
      <c r="C572" s="3054"/>
      <c r="D572" s="3054"/>
      <c r="E572" s="3055"/>
      <c r="F572" s="3055"/>
      <c r="G572" s="3055"/>
      <c r="H572" s="3055"/>
      <c r="I572" s="3055"/>
      <c r="J572" s="3055"/>
      <c r="K572" s="3055"/>
      <c r="L572" s="3055"/>
      <c r="M572" s="3055"/>
      <c r="N572" s="3055"/>
      <c r="O572" s="3055"/>
      <c r="P572" s="3055"/>
      <c r="Q572" s="3055"/>
      <c r="R572" s="3055">
        <f t="shared" si="3"/>
        <v>0</v>
      </c>
      <c r="S572" s="3055">
        <f t="shared" si="4"/>
        <v>0</v>
      </c>
      <c r="T572" s="3055">
        <f t="shared" si="5"/>
        <v>0</v>
      </c>
      <c r="U572" s="3055">
        <f t="shared" si="6"/>
        <v>0</v>
      </c>
      <c r="V572" s="3055">
        <f t="shared" si="7"/>
        <v>0</v>
      </c>
      <c r="W572" s="3055">
        <f t="shared" si="8"/>
        <v>0</v>
      </c>
      <c r="X572" s="3055">
        <f t="shared" si="9"/>
        <v>0</v>
      </c>
      <c r="Y572" s="3055">
        <f t="shared" si="10"/>
        <v>0</v>
      </c>
      <c r="Z572" s="3055">
        <f t="shared" si="11"/>
        <v>0</v>
      </c>
      <c r="AA572" s="3055">
        <f t="shared" si="12"/>
        <v>0</v>
      </c>
      <c r="AB572" s="3055">
        <f t="shared" si="13"/>
        <v>0</v>
      </c>
      <c r="AC572" s="3055">
        <f t="shared" si="14"/>
        <v>0</v>
      </c>
      <c r="AD572" s="3056"/>
      <c r="AE572" s="3057">
        <f t="shared" si="0"/>
      </c>
      <c r="AF572" s="3054"/>
      <c r="AG572" s="3054"/>
      <c r="AH572" s="3055"/>
      <c r="AI572" s="3055"/>
      <c r="AJ572" s="3055"/>
      <c r="AK572" s="3055"/>
      <c r="AL572" s="3055"/>
      <c r="AM572" s="3055"/>
      <c r="AN572" s="3055"/>
      <c r="AO572" s="3055"/>
      <c r="AP572" s="3055"/>
      <c r="AQ572" s="3055"/>
      <c r="AR572" s="3055"/>
      <c r="AS572" s="3055"/>
      <c r="AT572" s="3055"/>
      <c r="AU572" s="3056"/>
      <c r="AV572" s="3057">
        <f t="shared" si="15"/>
      </c>
      <c r="AW572" s="3054"/>
      <c r="AX572" s="3054"/>
      <c r="AY572" s="3055"/>
      <c r="AZ572" s="3055"/>
      <c r="BA572" s="3055"/>
      <c r="BB572" s="3055"/>
      <c r="BC572" s="3055"/>
      <c r="BD572" s="3055"/>
      <c r="BE572" s="3055"/>
      <c r="BF572" s="3055"/>
      <c r="BG572" s="3055"/>
      <c r="BH572" s="3055"/>
      <c r="BI572" s="3055"/>
      <c r="BJ572" s="3055"/>
      <c r="BK572" s="3055"/>
      <c r="BL572" s="3056"/>
      <c r="BM572" s="3057">
        <f t="shared" si="16"/>
      </c>
      <c r="BN572" s="3054"/>
      <c r="BO572" s="3054"/>
      <c r="BP572" s="3055"/>
      <c r="BQ572" s="3055"/>
      <c r="BR572" s="3055"/>
      <c r="BS572" s="3055"/>
      <c r="BT572" s="3055"/>
      <c r="BU572" s="3055"/>
      <c r="BV572" s="3055"/>
      <c r="BW572" s="3055"/>
      <c r="BX572" s="3055"/>
      <c r="BY572" s="3055"/>
      <c r="BZ572" s="3055"/>
      <c r="CA572" s="3055"/>
      <c r="CB572" s="3055"/>
      <c r="CC572" s="3056"/>
      <c r="CD572" s="3057">
        <f t="shared" si="0"/>
      </c>
      <c r="CE572" s="3054"/>
      <c r="CF572" s="3054"/>
      <c r="CG572" s="3055"/>
      <c r="CH572" s="3055"/>
      <c r="CI572" s="3055"/>
      <c r="CJ572" s="3055"/>
      <c r="CK572" s="3055"/>
      <c r="CL572" s="3055"/>
      <c r="CM572" s="3055"/>
      <c r="CN572" s="3055"/>
      <c r="CO572" s="3055"/>
      <c r="CP572" s="3055"/>
      <c r="CQ572" s="3055"/>
      <c r="CR572" s="3055"/>
      <c r="CS572" s="3055"/>
      <c r="CU572" s="3054"/>
      <c r="CV572" s="696"/>
      <c r="CW572" s="696"/>
      <c r="CZ572" s="3060">
        <f t="shared" si="17"/>
      </c>
      <c r="DA572" s="3060">
        <f t="shared" si="1"/>
      </c>
      <c r="DB572" s="3060">
        <f t="shared" si="18"/>
      </c>
      <c r="DC572" s="3060">
        <f t="shared" si="19"/>
      </c>
      <c r="DD572" s="3060">
        <f t="shared" si="20"/>
      </c>
      <c r="DE572" s="3060">
        <f t="shared" si="21"/>
      </c>
      <c r="DF572" s="3060">
        <f t="shared" si="22"/>
      </c>
      <c r="DG572" s="3060">
        <f t="shared" si="23"/>
      </c>
      <c r="DH572" s="3060">
        <f t="shared" si="24"/>
      </c>
      <c r="DI572" s="3060">
        <f t="shared" si="1"/>
      </c>
    </row>
    <row r="573" ht="15" customHeight="1" s="3052" customFormat="1">
      <c r="B573" s="3054">
        <f t="shared" si="2"/>
      </c>
      <c r="C573" s="3054"/>
      <c r="D573" s="3054"/>
      <c r="E573" s="3055"/>
      <c r="F573" s="3055"/>
      <c r="G573" s="3055"/>
      <c r="H573" s="3055"/>
      <c r="I573" s="3055"/>
      <c r="J573" s="3055"/>
      <c r="K573" s="3055"/>
      <c r="L573" s="3055"/>
      <c r="M573" s="3055"/>
      <c r="N573" s="3055"/>
      <c r="O573" s="3055"/>
      <c r="P573" s="3055"/>
      <c r="Q573" s="3055"/>
      <c r="R573" s="3055">
        <f t="shared" si="3"/>
        <v>0</v>
      </c>
      <c r="S573" s="3055">
        <f t="shared" si="4"/>
        <v>0</v>
      </c>
      <c r="T573" s="3055">
        <f t="shared" si="5"/>
        <v>0</v>
      </c>
      <c r="U573" s="3055">
        <f t="shared" si="6"/>
        <v>0</v>
      </c>
      <c r="V573" s="3055">
        <f t="shared" si="7"/>
        <v>0</v>
      </c>
      <c r="W573" s="3055">
        <f t="shared" si="8"/>
        <v>0</v>
      </c>
      <c r="X573" s="3055">
        <f t="shared" si="9"/>
        <v>0</v>
      </c>
      <c r="Y573" s="3055">
        <f t="shared" si="10"/>
        <v>0</v>
      </c>
      <c r="Z573" s="3055">
        <f t="shared" si="11"/>
        <v>0</v>
      </c>
      <c r="AA573" s="3055">
        <f t="shared" si="12"/>
        <v>0</v>
      </c>
      <c r="AB573" s="3055">
        <f t="shared" si="13"/>
        <v>0</v>
      </c>
      <c r="AC573" s="3055">
        <f t="shared" si="14"/>
        <v>0</v>
      </c>
      <c r="AD573" s="3056"/>
      <c r="AE573" s="3057">
        <f t="shared" si="0"/>
      </c>
      <c r="AF573" s="3054"/>
      <c r="AG573" s="3054"/>
      <c r="AH573" s="3055"/>
      <c r="AI573" s="3055"/>
      <c r="AJ573" s="3055"/>
      <c r="AK573" s="3055"/>
      <c r="AL573" s="3055"/>
      <c r="AM573" s="3055"/>
      <c r="AN573" s="3055"/>
      <c r="AO573" s="3055"/>
      <c r="AP573" s="3055"/>
      <c r="AQ573" s="3055"/>
      <c r="AR573" s="3055"/>
      <c r="AS573" s="3055"/>
      <c r="AT573" s="3055"/>
      <c r="AU573" s="3056"/>
      <c r="AV573" s="3057">
        <f t="shared" si="15"/>
      </c>
      <c r="AW573" s="3054"/>
      <c r="AX573" s="3054"/>
      <c r="AY573" s="3055"/>
      <c r="AZ573" s="3055"/>
      <c r="BA573" s="3055"/>
      <c r="BB573" s="3055"/>
      <c r="BC573" s="3055"/>
      <c r="BD573" s="3055"/>
      <c r="BE573" s="3055"/>
      <c r="BF573" s="3055"/>
      <c r="BG573" s="3055"/>
      <c r="BH573" s="3055"/>
      <c r="BI573" s="3055"/>
      <c r="BJ573" s="3055"/>
      <c r="BK573" s="3055"/>
      <c r="BL573" s="3056"/>
      <c r="BM573" s="3057">
        <f t="shared" si="16"/>
      </c>
      <c r="BN573" s="3054"/>
      <c r="BO573" s="3054"/>
      <c r="BP573" s="3055"/>
      <c r="BQ573" s="3055"/>
      <c r="BR573" s="3055"/>
      <c r="BS573" s="3055"/>
      <c r="BT573" s="3055"/>
      <c r="BU573" s="3055"/>
      <c r="BV573" s="3055"/>
      <c r="BW573" s="3055"/>
      <c r="BX573" s="3055"/>
      <c r="BY573" s="3055"/>
      <c r="BZ573" s="3055"/>
      <c r="CA573" s="3055"/>
      <c r="CB573" s="3055"/>
      <c r="CC573" s="3056"/>
      <c r="CD573" s="3057">
        <f t="shared" si="0"/>
      </c>
      <c r="CE573" s="3054"/>
      <c r="CF573" s="3054"/>
      <c r="CG573" s="3055"/>
      <c r="CH573" s="3055"/>
      <c r="CI573" s="3055"/>
      <c r="CJ573" s="3055"/>
      <c r="CK573" s="3055"/>
      <c r="CL573" s="3055"/>
      <c r="CM573" s="3055"/>
      <c r="CN573" s="3055"/>
      <c r="CO573" s="3055"/>
      <c r="CP573" s="3055"/>
      <c r="CQ573" s="3055"/>
      <c r="CR573" s="3055"/>
      <c r="CS573" s="3055"/>
      <c r="CU573" s="3054"/>
      <c r="CV573" s="696"/>
      <c r="CW573" s="696"/>
      <c r="CZ573" s="3060">
        <f t="shared" si="17"/>
      </c>
      <c r="DA573" s="3060">
        <f t="shared" si="1"/>
      </c>
      <c r="DB573" s="3060">
        <f t="shared" si="18"/>
      </c>
      <c r="DC573" s="3060">
        <f t="shared" si="19"/>
      </c>
      <c r="DD573" s="3060">
        <f t="shared" si="20"/>
      </c>
      <c r="DE573" s="3060">
        <f t="shared" si="21"/>
      </c>
      <c r="DF573" s="3060">
        <f t="shared" si="22"/>
      </c>
      <c r="DG573" s="3060">
        <f t="shared" si="23"/>
      </c>
      <c r="DH573" s="3060">
        <f t="shared" si="24"/>
      </c>
      <c r="DI573" s="3060">
        <f t="shared" si="1"/>
      </c>
    </row>
    <row r="574" ht="15" customHeight="1" s="3052" customFormat="1">
      <c r="B574" s="3054">
        <f t="shared" si="2"/>
      </c>
      <c r="C574" s="3054"/>
      <c r="D574" s="3054"/>
      <c r="E574" s="3055"/>
      <c r="F574" s="3055"/>
      <c r="G574" s="3055"/>
      <c r="H574" s="3055"/>
      <c r="I574" s="3055"/>
      <c r="J574" s="3055"/>
      <c r="K574" s="3055"/>
      <c r="L574" s="3055"/>
      <c r="M574" s="3055"/>
      <c r="N574" s="3055"/>
      <c r="O574" s="3055"/>
      <c r="P574" s="3055"/>
      <c r="Q574" s="3055"/>
      <c r="R574" s="3055">
        <f t="shared" si="3"/>
        <v>0</v>
      </c>
      <c r="S574" s="3055">
        <f t="shared" si="4"/>
        <v>0</v>
      </c>
      <c r="T574" s="3055">
        <f t="shared" si="5"/>
        <v>0</v>
      </c>
      <c r="U574" s="3055">
        <f t="shared" si="6"/>
        <v>0</v>
      </c>
      <c r="V574" s="3055">
        <f t="shared" si="7"/>
        <v>0</v>
      </c>
      <c r="W574" s="3055">
        <f t="shared" si="8"/>
        <v>0</v>
      </c>
      <c r="X574" s="3055">
        <f t="shared" si="9"/>
        <v>0</v>
      </c>
      <c r="Y574" s="3055">
        <f t="shared" si="10"/>
        <v>0</v>
      </c>
      <c r="Z574" s="3055">
        <f t="shared" si="11"/>
        <v>0</v>
      </c>
      <c r="AA574" s="3055">
        <f t="shared" si="12"/>
        <v>0</v>
      </c>
      <c r="AB574" s="3055">
        <f t="shared" si="13"/>
        <v>0</v>
      </c>
      <c r="AC574" s="3055">
        <f t="shared" si="14"/>
        <v>0</v>
      </c>
      <c r="AD574" s="3056"/>
      <c r="AE574" s="3057">
        <f t="shared" si="0"/>
      </c>
      <c r="AF574" s="3054"/>
      <c r="AG574" s="3054"/>
      <c r="AH574" s="3055"/>
      <c r="AI574" s="3055"/>
      <c r="AJ574" s="3055"/>
      <c r="AK574" s="3055"/>
      <c r="AL574" s="3055"/>
      <c r="AM574" s="3055"/>
      <c r="AN574" s="3055"/>
      <c r="AO574" s="3055"/>
      <c r="AP574" s="3055"/>
      <c r="AQ574" s="3055"/>
      <c r="AR574" s="3055"/>
      <c r="AS574" s="3055"/>
      <c r="AT574" s="3055"/>
      <c r="AU574" s="3056"/>
      <c r="AV574" s="3057">
        <f t="shared" si="15"/>
      </c>
      <c r="AW574" s="3054"/>
      <c r="AX574" s="3054"/>
      <c r="AY574" s="3055"/>
      <c r="AZ574" s="3055"/>
      <c r="BA574" s="3055"/>
      <c r="BB574" s="3055"/>
      <c r="BC574" s="3055"/>
      <c r="BD574" s="3055"/>
      <c r="BE574" s="3055"/>
      <c r="BF574" s="3055"/>
      <c r="BG574" s="3055"/>
      <c r="BH574" s="3055"/>
      <c r="BI574" s="3055"/>
      <c r="BJ574" s="3055"/>
      <c r="BK574" s="3055"/>
      <c r="BL574" s="3056"/>
      <c r="BM574" s="3057">
        <f t="shared" si="16"/>
      </c>
      <c r="BN574" s="3054"/>
      <c r="BO574" s="3054"/>
      <c r="BP574" s="3055"/>
      <c r="BQ574" s="3055"/>
      <c r="BR574" s="3055"/>
      <c r="BS574" s="3055"/>
      <c r="BT574" s="3055"/>
      <c r="BU574" s="3055"/>
      <c r="BV574" s="3055"/>
      <c r="BW574" s="3055"/>
      <c r="BX574" s="3055"/>
      <c r="BY574" s="3055"/>
      <c r="BZ574" s="3055"/>
      <c r="CA574" s="3055"/>
      <c r="CB574" s="3055"/>
      <c r="CC574" s="3056"/>
      <c r="CD574" s="3057">
        <f t="shared" si="0"/>
      </c>
      <c r="CE574" s="3054"/>
      <c r="CF574" s="3054"/>
      <c r="CG574" s="3055"/>
      <c r="CH574" s="3055"/>
      <c r="CI574" s="3055"/>
      <c r="CJ574" s="3055"/>
      <c r="CK574" s="3055"/>
      <c r="CL574" s="3055"/>
      <c r="CM574" s="3055"/>
      <c r="CN574" s="3055"/>
      <c r="CO574" s="3055"/>
      <c r="CP574" s="3055"/>
      <c r="CQ574" s="3055"/>
      <c r="CR574" s="3055"/>
      <c r="CS574" s="3055"/>
      <c r="CU574" s="3054"/>
      <c r="CV574" s="696"/>
      <c r="CW574" s="696"/>
      <c r="CZ574" s="3060">
        <f t="shared" si="17"/>
      </c>
      <c r="DA574" s="3060">
        <f t="shared" si="1"/>
      </c>
      <c r="DB574" s="3060">
        <f t="shared" si="18"/>
      </c>
      <c r="DC574" s="3060">
        <f t="shared" si="19"/>
      </c>
      <c r="DD574" s="3060">
        <f t="shared" si="20"/>
      </c>
      <c r="DE574" s="3060">
        <f t="shared" si="21"/>
      </c>
      <c r="DF574" s="3060">
        <f t="shared" si="22"/>
      </c>
      <c r="DG574" s="3060">
        <f t="shared" si="23"/>
      </c>
      <c r="DH574" s="3060">
        <f t="shared" si="24"/>
      </c>
      <c r="DI574" s="3060">
        <f t="shared" si="1"/>
      </c>
    </row>
    <row r="575" ht="15" customHeight="1" s="3052" customFormat="1">
      <c r="B575" s="3054">
        <f t="shared" si="2"/>
      </c>
      <c r="C575" s="3054"/>
      <c r="D575" s="3054"/>
      <c r="E575" s="3055"/>
      <c r="F575" s="3055"/>
      <c r="G575" s="3055"/>
      <c r="H575" s="3055"/>
      <c r="I575" s="3055"/>
      <c r="J575" s="3055"/>
      <c r="K575" s="3055"/>
      <c r="L575" s="3055"/>
      <c r="M575" s="3055"/>
      <c r="N575" s="3055"/>
      <c r="O575" s="3055"/>
      <c r="P575" s="3055"/>
      <c r="Q575" s="3055"/>
      <c r="R575" s="3055">
        <f t="shared" si="3"/>
        <v>0</v>
      </c>
      <c r="S575" s="3055">
        <f t="shared" si="4"/>
        <v>0</v>
      </c>
      <c r="T575" s="3055">
        <f t="shared" si="5"/>
        <v>0</v>
      </c>
      <c r="U575" s="3055">
        <f t="shared" si="6"/>
        <v>0</v>
      </c>
      <c r="V575" s="3055">
        <f t="shared" si="7"/>
        <v>0</v>
      </c>
      <c r="W575" s="3055">
        <f t="shared" si="8"/>
        <v>0</v>
      </c>
      <c r="X575" s="3055">
        <f t="shared" si="9"/>
        <v>0</v>
      </c>
      <c r="Y575" s="3055">
        <f t="shared" si="10"/>
        <v>0</v>
      </c>
      <c r="Z575" s="3055">
        <f t="shared" si="11"/>
        <v>0</v>
      </c>
      <c r="AA575" s="3055">
        <f t="shared" si="12"/>
        <v>0</v>
      </c>
      <c r="AB575" s="3055">
        <f t="shared" si="13"/>
        <v>0</v>
      </c>
      <c r="AC575" s="3055">
        <f t="shared" si="14"/>
        <v>0</v>
      </c>
      <c r="AD575" s="3056"/>
      <c r="AE575" s="3057">
        <f t="shared" si="0"/>
      </c>
      <c r="AF575" s="3054"/>
      <c r="AG575" s="3054"/>
      <c r="AH575" s="3055"/>
      <c r="AI575" s="3055"/>
      <c r="AJ575" s="3055"/>
      <c r="AK575" s="3055"/>
      <c r="AL575" s="3055"/>
      <c r="AM575" s="3055"/>
      <c r="AN575" s="3055"/>
      <c r="AO575" s="3055"/>
      <c r="AP575" s="3055"/>
      <c r="AQ575" s="3055"/>
      <c r="AR575" s="3055"/>
      <c r="AS575" s="3055"/>
      <c r="AT575" s="3055"/>
      <c r="AU575" s="3056"/>
      <c r="AV575" s="3057">
        <f t="shared" si="15"/>
      </c>
      <c r="AW575" s="3054"/>
      <c r="AX575" s="3054"/>
      <c r="AY575" s="3055"/>
      <c r="AZ575" s="3055"/>
      <c r="BA575" s="3055"/>
      <c r="BB575" s="3055"/>
      <c r="BC575" s="3055"/>
      <c r="BD575" s="3055"/>
      <c r="BE575" s="3055"/>
      <c r="BF575" s="3055"/>
      <c r="BG575" s="3055"/>
      <c r="BH575" s="3055"/>
      <c r="BI575" s="3055"/>
      <c r="BJ575" s="3055"/>
      <c r="BK575" s="3055"/>
      <c r="BL575" s="3056"/>
      <c r="BM575" s="3057">
        <f t="shared" si="16"/>
      </c>
      <c r="BN575" s="3054"/>
      <c r="BO575" s="3054"/>
      <c r="BP575" s="3055"/>
      <c r="BQ575" s="3055"/>
      <c r="BR575" s="3055"/>
      <c r="BS575" s="3055"/>
      <c r="BT575" s="3055"/>
      <c r="BU575" s="3055"/>
      <c r="BV575" s="3055"/>
      <c r="BW575" s="3055"/>
      <c r="BX575" s="3055"/>
      <c r="BY575" s="3055"/>
      <c r="BZ575" s="3055"/>
      <c r="CA575" s="3055"/>
      <c r="CB575" s="3055"/>
      <c r="CC575" s="3056"/>
      <c r="CD575" s="3057">
        <f t="shared" si="0"/>
      </c>
      <c r="CE575" s="3054"/>
      <c r="CF575" s="3054"/>
      <c r="CG575" s="3055"/>
      <c r="CH575" s="3055"/>
      <c r="CI575" s="3055"/>
      <c r="CJ575" s="3055"/>
      <c r="CK575" s="3055"/>
      <c r="CL575" s="3055"/>
      <c r="CM575" s="3055"/>
      <c r="CN575" s="3055"/>
      <c r="CO575" s="3055"/>
      <c r="CP575" s="3055"/>
      <c r="CQ575" s="3055"/>
      <c r="CR575" s="3055"/>
      <c r="CS575" s="3055"/>
      <c r="CU575" s="3054"/>
      <c r="CV575" s="696"/>
      <c r="CW575" s="696"/>
      <c r="CZ575" s="3060">
        <f t="shared" si="17"/>
      </c>
      <c r="DA575" s="3060">
        <f t="shared" si="1"/>
      </c>
      <c r="DB575" s="3060">
        <f t="shared" si="18"/>
      </c>
      <c r="DC575" s="3060">
        <f t="shared" si="19"/>
      </c>
      <c r="DD575" s="3060">
        <f t="shared" si="20"/>
      </c>
      <c r="DE575" s="3060">
        <f t="shared" si="21"/>
      </c>
      <c r="DF575" s="3060">
        <f t="shared" si="22"/>
      </c>
      <c r="DG575" s="3060">
        <f t="shared" si="23"/>
      </c>
      <c r="DH575" s="3060">
        <f t="shared" si="24"/>
      </c>
      <c r="DI575" s="3060">
        <f t="shared" si="1"/>
      </c>
    </row>
    <row r="576" ht="15" customHeight="1" s="3052" customFormat="1">
      <c r="B576" s="3054">
        <f t="shared" si="2"/>
      </c>
      <c r="C576" s="3054"/>
      <c r="D576" s="3054"/>
      <c r="E576" s="3055"/>
      <c r="F576" s="3055"/>
      <c r="G576" s="3055"/>
      <c r="H576" s="3055"/>
      <c r="I576" s="3055"/>
      <c r="J576" s="3055"/>
      <c r="K576" s="3055"/>
      <c r="L576" s="3055"/>
      <c r="M576" s="3055"/>
      <c r="N576" s="3055"/>
      <c r="O576" s="3055"/>
      <c r="P576" s="3055"/>
      <c r="Q576" s="3055"/>
      <c r="R576" s="3055">
        <f t="shared" si="3"/>
        <v>0</v>
      </c>
      <c r="S576" s="3055">
        <f t="shared" si="4"/>
        <v>0</v>
      </c>
      <c r="T576" s="3055">
        <f t="shared" si="5"/>
        <v>0</v>
      </c>
      <c r="U576" s="3055">
        <f t="shared" si="6"/>
        <v>0</v>
      </c>
      <c r="V576" s="3055">
        <f t="shared" si="7"/>
        <v>0</v>
      </c>
      <c r="W576" s="3055">
        <f t="shared" si="8"/>
        <v>0</v>
      </c>
      <c r="X576" s="3055">
        <f t="shared" si="9"/>
        <v>0</v>
      </c>
      <c r="Y576" s="3055">
        <f t="shared" si="10"/>
        <v>0</v>
      </c>
      <c r="Z576" s="3055">
        <f t="shared" si="11"/>
        <v>0</v>
      </c>
      <c r="AA576" s="3055">
        <f t="shared" si="12"/>
        <v>0</v>
      </c>
      <c r="AB576" s="3055">
        <f t="shared" si="13"/>
        <v>0</v>
      </c>
      <c r="AC576" s="3055">
        <f t="shared" si="14"/>
        <v>0</v>
      </c>
      <c r="AD576" s="3056"/>
      <c r="AE576" s="3057">
        <f t="shared" si="0"/>
      </c>
      <c r="AF576" s="3054"/>
      <c r="AG576" s="3054"/>
      <c r="AH576" s="3055"/>
      <c r="AI576" s="3055"/>
      <c r="AJ576" s="3055"/>
      <c r="AK576" s="3055"/>
      <c r="AL576" s="3055"/>
      <c r="AM576" s="3055"/>
      <c r="AN576" s="3055"/>
      <c r="AO576" s="3055"/>
      <c r="AP576" s="3055"/>
      <c r="AQ576" s="3055"/>
      <c r="AR576" s="3055"/>
      <c r="AS576" s="3055"/>
      <c r="AT576" s="3055"/>
      <c r="AU576" s="3056"/>
      <c r="AV576" s="3057">
        <f t="shared" si="15"/>
      </c>
      <c r="AW576" s="3054"/>
      <c r="AX576" s="3054"/>
      <c r="AY576" s="3055"/>
      <c r="AZ576" s="3055"/>
      <c r="BA576" s="3055"/>
      <c r="BB576" s="3055"/>
      <c r="BC576" s="3055"/>
      <c r="BD576" s="3055"/>
      <c r="BE576" s="3055"/>
      <c r="BF576" s="3055"/>
      <c r="BG576" s="3055"/>
      <c r="BH576" s="3055"/>
      <c r="BI576" s="3055"/>
      <c r="BJ576" s="3055"/>
      <c r="BK576" s="3055"/>
      <c r="BL576" s="3056"/>
      <c r="BM576" s="3057">
        <f t="shared" si="16"/>
      </c>
      <c r="BN576" s="3054"/>
      <c r="BO576" s="3054"/>
      <c r="BP576" s="3055"/>
      <c r="BQ576" s="3055"/>
      <c r="BR576" s="3055"/>
      <c r="BS576" s="3055"/>
      <c r="BT576" s="3055"/>
      <c r="BU576" s="3055"/>
      <c r="BV576" s="3055"/>
      <c r="BW576" s="3055"/>
      <c r="BX576" s="3055"/>
      <c r="BY576" s="3055"/>
      <c r="BZ576" s="3055"/>
      <c r="CA576" s="3055"/>
      <c r="CB576" s="3055"/>
      <c r="CC576" s="3056"/>
      <c r="CD576" s="3057">
        <f t="shared" si="0"/>
      </c>
      <c r="CE576" s="3054"/>
      <c r="CF576" s="3054"/>
      <c r="CG576" s="3055"/>
      <c r="CH576" s="3055"/>
      <c r="CI576" s="3055"/>
      <c r="CJ576" s="3055"/>
      <c r="CK576" s="3055"/>
      <c r="CL576" s="3055"/>
      <c r="CM576" s="3055"/>
      <c r="CN576" s="3055"/>
      <c r="CO576" s="3055"/>
      <c r="CP576" s="3055"/>
      <c r="CQ576" s="3055"/>
      <c r="CR576" s="3055"/>
      <c r="CS576" s="3055"/>
      <c r="CU576" s="3054"/>
      <c r="CV576" s="696"/>
      <c r="CW576" s="696"/>
      <c r="CZ576" s="3060">
        <f t="shared" si="17"/>
      </c>
      <c r="DA576" s="3060">
        <f t="shared" si="1"/>
      </c>
      <c r="DB576" s="3060">
        <f t="shared" si="18"/>
      </c>
      <c r="DC576" s="3060">
        <f t="shared" si="19"/>
      </c>
      <c r="DD576" s="3060">
        <f t="shared" si="20"/>
      </c>
      <c r="DE576" s="3060">
        <f t="shared" si="21"/>
      </c>
      <c r="DF576" s="3060">
        <f t="shared" si="22"/>
      </c>
      <c r="DG576" s="3060">
        <f t="shared" si="23"/>
      </c>
      <c r="DH576" s="3060">
        <f t="shared" si="24"/>
      </c>
      <c r="DI576" s="3060">
        <f t="shared" si="1"/>
      </c>
    </row>
    <row r="577" ht="15" customHeight="1" s="3052" customFormat="1">
      <c r="B577" s="3054">
        <f t="shared" si="2"/>
      </c>
      <c r="C577" s="3054"/>
      <c r="D577" s="3054"/>
      <c r="E577" s="3055"/>
      <c r="F577" s="3055"/>
      <c r="G577" s="3055"/>
      <c r="H577" s="3055"/>
      <c r="I577" s="3055"/>
      <c r="J577" s="3055"/>
      <c r="K577" s="3055"/>
      <c r="L577" s="3055"/>
      <c r="M577" s="3055"/>
      <c r="N577" s="3055"/>
      <c r="O577" s="3055"/>
      <c r="P577" s="3055"/>
      <c r="Q577" s="3055"/>
      <c r="R577" s="3055">
        <f t="shared" si="3"/>
        <v>0</v>
      </c>
      <c r="S577" s="3055">
        <f t="shared" si="4"/>
        <v>0</v>
      </c>
      <c r="T577" s="3055">
        <f t="shared" si="5"/>
        <v>0</v>
      </c>
      <c r="U577" s="3055">
        <f t="shared" si="6"/>
        <v>0</v>
      </c>
      <c r="V577" s="3055">
        <f t="shared" si="7"/>
        <v>0</v>
      </c>
      <c r="W577" s="3055">
        <f t="shared" si="8"/>
        <v>0</v>
      </c>
      <c r="X577" s="3055">
        <f t="shared" si="9"/>
        <v>0</v>
      </c>
      <c r="Y577" s="3055">
        <f t="shared" si="10"/>
        <v>0</v>
      </c>
      <c r="Z577" s="3055">
        <f t="shared" si="11"/>
        <v>0</v>
      </c>
      <c r="AA577" s="3055">
        <f t="shared" si="12"/>
        <v>0</v>
      </c>
      <c r="AB577" s="3055">
        <f t="shared" si="13"/>
        <v>0</v>
      </c>
      <c r="AC577" s="3055">
        <f t="shared" si="14"/>
        <v>0</v>
      </c>
      <c r="AD577" s="3056"/>
      <c r="AE577" s="3057">
        <f t="shared" si="0"/>
      </c>
      <c r="AF577" s="3054"/>
      <c r="AG577" s="3054"/>
      <c r="AH577" s="3055"/>
      <c r="AI577" s="3055"/>
      <c r="AJ577" s="3055"/>
      <c r="AK577" s="3055"/>
      <c r="AL577" s="3055"/>
      <c r="AM577" s="3055"/>
      <c r="AN577" s="3055"/>
      <c r="AO577" s="3055"/>
      <c r="AP577" s="3055"/>
      <c r="AQ577" s="3055"/>
      <c r="AR577" s="3055"/>
      <c r="AS577" s="3055"/>
      <c r="AT577" s="3055"/>
      <c r="AU577" s="3056"/>
      <c r="AV577" s="3057">
        <f t="shared" si="15"/>
      </c>
      <c r="AW577" s="3054"/>
      <c r="AX577" s="3054"/>
      <c r="AY577" s="3055"/>
      <c r="AZ577" s="3055"/>
      <c r="BA577" s="3055"/>
      <c r="BB577" s="3055"/>
      <c r="BC577" s="3055"/>
      <c r="BD577" s="3055"/>
      <c r="BE577" s="3055"/>
      <c r="BF577" s="3055"/>
      <c r="BG577" s="3055"/>
      <c r="BH577" s="3055"/>
      <c r="BI577" s="3055"/>
      <c r="BJ577" s="3055"/>
      <c r="BK577" s="3055"/>
      <c r="BL577" s="3056"/>
      <c r="BM577" s="3057">
        <f t="shared" si="16"/>
      </c>
      <c r="BN577" s="3054"/>
      <c r="BO577" s="3054"/>
      <c r="BP577" s="3055"/>
      <c r="BQ577" s="3055"/>
      <c r="BR577" s="3055"/>
      <c r="BS577" s="3055"/>
      <c r="BT577" s="3055"/>
      <c r="BU577" s="3055"/>
      <c r="BV577" s="3055"/>
      <c r="BW577" s="3055"/>
      <c r="BX577" s="3055"/>
      <c r="BY577" s="3055"/>
      <c r="BZ577" s="3055"/>
      <c r="CA577" s="3055"/>
      <c r="CB577" s="3055"/>
      <c r="CC577" s="3056"/>
      <c r="CD577" s="3057">
        <f t="shared" si="0"/>
      </c>
      <c r="CE577" s="3054"/>
      <c r="CF577" s="3054"/>
      <c r="CG577" s="3055"/>
      <c r="CH577" s="3055"/>
      <c r="CI577" s="3055"/>
      <c r="CJ577" s="3055"/>
      <c r="CK577" s="3055"/>
      <c r="CL577" s="3055"/>
      <c r="CM577" s="3055"/>
      <c r="CN577" s="3055"/>
      <c r="CO577" s="3055"/>
      <c r="CP577" s="3055"/>
      <c r="CQ577" s="3055"/>
      <c r="CR577" s="3055"/>
      <c r="CS577" s="3055"/>
      <c r="CU577" s="3054"/>
      <c r="CV577" s="696"/>
      <c r="CW577" s="696"/>
      <c r="CZ577" s="3060">
        <f t="shared" si="17"/>
      </c>
      <c r="DA577" s="3060">
        <f t="shared" si="1"/>
      </c>
      <c r="DB577" s="3060">
        <f t="shared" si="18"/>
      </c>
      <c r="DC577" s="3060">
        <f t="shared" si="19"/>
      </c>
      <c r="DD577" s="3060">
        <f t="shared" si="20"/>
      </c>
      <c r="DE577" s="3060">
        <f t="shared" si="21"/>
      </c>
      <c r="DF577" s="3060">
        <f t="shared" si="22"/>
      </c>
      <c r="DG577" s="3060">
        <f t="shared" si="23"/>
      </c>
      <c r="DH577" s="3060">
        <f t="shared" si="24"/>
      </c>
      <c r="DI577" s="3060">
        <f t="shared" si="1"/>
      </c>
    </row>
    <row r="578" ht="15" customHeight="1" s="3052" customFormat="1">
      <c r="B578" s="3054">
        <f t="shared" si="2"/>
      </c>
      <c r="C578" s="3054"/>
      <c r="D578" s="3054"/>
      <c r="E578" s="3055"/>
      <c r="F578" s="3055"/>
      <c r="G578" s="3055"/>
      <c r="H578" s="3055"/>
      <c r="I578" s="3055"/>
      <c r="J578" s="3055"/>
      <c r="K578" s="3055"/>
      <c r="L578" s="3055"/>
      <c r="M578" s="3055"/>
      <c r="N578" s="3055"/>
      <c r="O578" s="3055"/>
      <c r="P578" s="3055"/>
      <c r="Q578" s="3055"/>
      <c r="R578" s="3055">
        <f t="shared" si="3"/>
        <v>0</v>
      </c>
      <c r="S578" s="3055">
        <f t="shared" si="4"/>
        <v>0</v>
      </c>
      <c r="T578" s="3055">
        <f t="shared" si="5"/>
        <v>0</v>
      </c>
      <c r="U578" s="3055">
        <f t="shared" si="6"/>
        <v>0</v>
      </c>
      <c r="V578" s="3055">
        <f t="shared" si="7"/>
        <v>0</v>
      </c>
      <c r="W578" s="3055">
        <f t="shared" si="8"/>
        <v>0</v>
      </c>
      <c r="X578" s="3055">
        <f t="shared" si="9"/>
        <v>0</v>
      </c>
      <c r="Y578" s="3055">
        <f t="shared" si="10"/>
        <v>0</v>
      </c>
      <c r="Z578" s="3055">
        <f t="shared" si="11"/>
        <v>0</v>
      </c>
      <c r="AA578" s="3055">
        <f t="shared" si="12"/>
        <v>0</v>
      </c>
      <c r="AB578" s="3055">
        <f t="shared" si="13"/>
        <v>0</v>
      </c>
      <c r="AC578" s="3055">
        <f t="shared" si="14"/>
        <v>0</v>
      </c>
      <c r="AD578" s="3056"/>
      <c r="AE578" s="3057">
        <f t="shared" si="0"/>
      </c>
      <c r="AF578" s="3054"/>
      <c r="AG578" s="3054"/>
      <c r="AH578" s="3055"/>
      <c r="AI578" s="3055"/>
      <c r="AJ578" s="3055"/>
      <c r="AK578" s="3055"/>
      <c r="AL578" s="3055"/>
      <c r="AM578" s="3055"/>
      <c r="AN578" s="3055"/>
      <c r="AO578" s="3055"/>
      <c r="AP578" s="3055"/>
      <c r="AQ578" s="3055"/>
      <c r="AR578" s="3055"/>
      <c r="AS578" s="3055"/>
      <c r="AT578" s="3055"/>
      <c r="AU578" s="3056"/>
      <c r="AV578" s="3057">
        <f t="shared" si="15"/>
      </c>
      <c r="AW578" s="3054"/>
      <c r="AX578" s="3054"/>
      <c r="AY578" s="3055"/>
      <c r="AZ578" s="3055"/>
      <c r="BA578" s="3055"/>
      <c r="BB578" s="3055"/>
      <c r="BC578" s="3055"/>
      <c r="BD578" s="3055"/>
      <c r="BE578" s="3055"/>
      <c r="BF578" s="3055"/>
      <c r="BG578" s="3055"/>
      <c r="BH578" s="3055"/>
      <c r="BI578" s="3055"/>
      <c r="BJ578" s="3055"/>
      <c r="BK578" s="3055"/>
      <c r="BL578" s="3056"/>
      <c r="BM578" s="3057">
        <f t="shared" si="16"/>
      </c>
      <c r="BN578" s="3054"/>
      <c r="BO578" s="3054"/>
      <c r="BP578" s="3055"/>
      <c r="BQ578" s="3055"/>
      <c r="BR578" s="3055"/>
      <c r="BS578" s="3055"/>
      <c r="BT578" s="3055"/>
      <c r="BU578" s="3055"/>
      <c r="BV578" s="3055"/>
      <c r="BW578" s="3055"/>
      <c r="BX578" s="3055"/>
      <c r="BY578" s="3055"/>
      <c r="BZ578" s="3055"/>
      <c r="CA578" s="3055"/>
      <c r="CB578" s="3055"/>
      <c r="CC578" s="3056"/>
      <c r="CD578" s="3057">
        <f t="shared" si="0"/>
      </c>
      <c r="CE578" s="3054"/>
      <c r="CF578" s="3054"/>
      <c r="CG578" s="3055"/>
      <c r="CH578" s="3055"/>
      <c r="CI578" s="3055"/>
      <c r="CJ578" s="3055"/>
      <c r="CK578" s="3055"/>
      <c r="CL578" s="3055"/>
      <c r="CM578" s="3055"/>
      <c r="CN578" s="3055"/>
      <c r="CO578" s="3055"/>
      <c r="CP578" s="3055"/>
      <c r="CQ578" s="3055"/>
      <c r="CR578" s="3055"/>
      <c r="CS578" s="3055"/>
      <c r="CU578" s="3054"/>
      <c r="CV578" s="696"/>
      <c r="CW578" s="696"/>
      <c r="CZ578" s="3060">
        <f t="shared" si="17"/>
      </c>
      <c r="DA578" s="3060">
        <f t="shared" si="1"/>
      </c>
      <c r="DB578" s="3060">
        <f t="shared" si="18"/>
      </c>
      <c r="DC578" s="3060">
        <f t="shared" si="19"/>
      </c>
      <c r="DD578" s="3060">
        <f t="shared" si="20"/>
      </c>
      <c r="DE578" s="3060">
        <f t="shared" si="21"/>
      </c>
      <c r="DF578" s="3060">
        <f t="shared" si="22"/>
      </c>
      <c r="DG578" s="3060">
        <f t="shared" si="23"/>
      </c>
      <c r="DH578" s="3060">
        <f t="shared" si="24"/>
      </c>
      <c r="DI578" s="3060">
        <f t="shared" si="1"/>
      </c>
    </row>
    <row r="579" ht="15" customHeight="1" s="3052" customFormat="1">
      <c r="B579" s="3054">
        <f t="shared" si="2"/>
      </c>
      <c r="C579" s="3054"/>
      <c r="D579" s="3054"/>
      <c r="E579" s="3055"/>
      <c r="F579" s="3055"/>
      <c r="G579" s="3055"/>
      <c r="H579" s="3055"/>
      <c r="I579" s="3055"/>
      <c r="J579" s="3055"/>
      <c r="K579" s="3055"/>
      <c r="L579" s="3055"/>
      <c r="M579" s="3055"/>
      <c r="N579" s="3055"/>
      <c r="O579" s="3055"/>
      <c r="P579" s="3055"/>
      <c r="Q579" s="3055"/>
      <c r="R579" s="3055">
        <f t="shared" si="3"/>
        <v>0</v>
      </c>
      <c r="S579" s="3055">
        <f t="shared" si="4"/>
        <v>0</v>
      </c>
      <c r="T579" s="3055">
        <f t="shared" si="5"/>
        <v>0</v>
      </c>
      <c r="U579" s="3055">
        <f t="shared" si="6"/>
        <v>0</v>
      </c>
      <c r="V579" s="3055">
        <f t="shared" si="7"/>
        <v>0</v>
      </c>
      <c r="W579" s="3055">
        <f t="shared" si="8"/>
        <v>0</v>
      </c>
      <c r="X579" s="3055">
        <f t="shared" si="9"/>
        <v>0</v>
      </c>
      <c r="Y579" s="3055">
        <f t="shared" si="10"/>
        <v>0</v>
      </c>
      <c r="Z579" s="3055">
        <f t="shared" si="11"/>
        <v>0</v>
      </c>
      <c r="AA579" s="3055">
        <f t="shared" si="12"/>
        <v>0</v>
      </c>
      <c r="AB579" s="3055">
        <f t="shared" si="13"/>
        <v>0</v>
      </c>
      <c r="AC579" s="3055">
        <f t="shared" si="14"/>
        <v>0</v>
      </c>
      <c r="AD579" s="3056"/>
      <c r="AE579" s="3057">
        <f t="shared" si="0"/>
      </c>
      <c r="AF579" s="3054"/>
      <c r="AG579" s="3054"/>
      <c r="AH579" s="3055"/>
      <c r="AI579" s="3055"/>
      <c r="AJ579" s="3055"/>
      <c r="AK579" s="3055"/>
      <c r="AL579" s="3055"/>
      <c r="AM579" s="3055"/>
      <c r="AN579" s="3055"/>
      <c r="AO579" s="3055"/>
      <c r="AP579" s="3055"/>
      <c r="AQ579" s="3055"/>
      <c r="AR579" s="3055"/>
      <c r="AS579" s="3055"/>
      <c r="AT579" s="3055"/>
      <c r="AU579" s="3056"/>
      <c r="AV579" s="3057">
        <f t="shared" si="15"/>
      </c>
      <c r="AW579" s="3054"/>
      <c r="AX579" s="3054"/>
      <c r="AY579" s="3055"/>
      <c r="AZ579" s="3055"/>
      <c r="BA579" s="3055"/>
      <c r="BB579" s="3055"/>
      <c r="BC579" s="3055"/>
      <c r="BD579" s="3055"/>
      <c r="BE579" s="3055"/>
      <c r="BF579" s="3055"/>
      <c r="BG579" s="3055"/>
      <c r="BH579" s="3055"/>
      <c r="BI579" s="3055"/>
      <c r="BJ579" s="3055"/>
      <c r="BK579" s="3055"/>
      <c r="BL579" s="3056"/>
      <c r="BM579" s="3057">
        <f t="shared" si="16"/>
      </c>
      <c r="BN579" s="3054"/>
      <c r="BO579" s="3054"/>
      <c r="BP579" s="3055"/>
      <c r="BQ579" s="3055"/>
      <c r="BR579" s="3055"/>
      <c r="BS579" s="3055"/>
      <c r="BT579" s="3055"/>
      <c r="BU579" s="3055"/>
      <c r="BV579" s="3055"/>
      <c r="BW579" s="3055"/>
      <c r="BX579" s="3055"/>
      <c r="BY579" s="3055"/>
      <c r="BZ579" s="3055"/>
      <c r="CA579" s="3055"/>
      <c r="CB579" s="3055"/>
      <c r="CC579" s="3056"/>
      <c r="CD579" s="3057">
        <f t="shared" si="0"/>
      </c>
      <c r="CE579" s="3054"/>
      <c r="CF579" s="3054"/>
      <c r="CG579" s="3055"/>
      <c r="CH579" s="3055"/>
      <c r="CI579" s="3055"/>
      <c r="CJ579" s="3055"/>
      <c r="CK579" s="3055"/>
      <c r="CL579" s="3055"/>
      <c r="CM579" s="3055"/>
      <c r="CN579" s="3055"/>
      <c r="CO579" s="3055"/>
      <c r="CP579" s="3055"/>
      <c r="CQ579" s="3055"/>
      <c r="CR579" s="3055"/>
      <c r="CS579" s="3055"/>
      <c r="CU579" s="3054"/>
      <c r="CV579" s="696"/>
      <c r="CW579" s="696"/>
      <c r="CZ579" s="3060">
        <f t="shared" si="17"/>
      </c>
      <c r="DA579" s="3060">
        <f t="shared" si="1"/>
      </c>
      <c r="DB579" s="3060">
        <f t="shared" si="18"/>
      </c>
      <c r="DC579" s="3060">
        <f t="shared" si="19"/>
      </c>
      <c r="DD579" s="3060">
        <f t="shared" si="20"/>
      </c>
      <c r="DE579" s="3060">
        <f t="shared" si="21"/>
      </c>
      <c r="DF579" s="3060">
        <f t="shared" si="22"/>
      </c>
      <c r="DG579" s="3060">
        <f t="shared" si="23"/>
      </c>
      <c r="DH579" s="3060">
        <f t="shared" si="24"/>
      </c>
      <c r="DI579" s="3060">
        <f t="shared" si="1"/>
      </c>
    </row>
    <row r="580" ht="15" customHeight="1" s="3052" customFormat="1">
      <c r="B580" s="3054">
        <f t="shared" si="2"/>
      </c>
      <c r="C580" s="3054"/>
      <c r="D580" s="3054"/>
      <c r="E580" s="3055"/>
      <c r="F580" s="3055"/>
      <c r="G580" s="3055"/>
      <c r="H580" s="3055"/>
      <c r="I580" s="3055"/>
      <c r="J580" s="3055"/>
      <c r="K580" s="3055"/>
      <c r="L580" s="3055"/>
      <c r="M580" s="3055"/>
      <c r="N580" s="3055"/>
      <c r="O580" s="3055"/>
      <c r="P580" s="3055"/>
      <c r="Q580" s="3055"/>
      <c r="R580" s="3055">
        <f t="shared" si="3"/>
        <v>0</v>
      </c>
      <c r="S580" s="3055">
        <f t="shared" si="4"/>
        <v>0</v>
      </c>
      <c r="T580" s="3055">
        <f t="shared" si="5"/>
        <v>0</v>
      </c>
      <c r="U580" s="3055">
        <f t="shared" si="6"/>
        <v>0</v>
      </c>
      <c r="V580" s="3055">
        <f t="shared" si="7"/>
        <v>0</v>
      </c>
      <c r="W580" s="3055">
        <f t="shared" si="8"/>
        <v>0</v>
      </c>
      <c r="X580" s="3055">
        <f t="shared" si="9"/>
        <v>0</v>
      </c>
      <c r="Y580" s="3055">
        <f t="shared" si="10"/>
        <v>0</v>
      </c>
      <c r="Z580" s="3055">
        <f t="shared" si="11"/>
        <v>0</v>
      </c>
      <c r="AA580" s="3055">
        <f t="shared" si="12"/>
        <v>0</v>
      </c>
      <c r="AB580" s="3055">
        <f t="shared" si="13"/>
        <v>0</v>
      </c>
      <c r="AC580" s="3055">
        <f t="shared" si="14"/>
        <v>0</v>
      </c>
      <c r="AD580" s="3056"/>
      <c r="AE580" s="3057">
        <f t="shared" si="0"/>
      </c>
      <c r="AF580" s="3054"/>
      <c r="AG580" s="3054"/>
      <c r="AH580" s="3055"/>
      <c r="AI580" s="3055"/>
      <c r="AJ580" s="3055"/>
      <c r="AK580" s="3055"/>
      <c r="AL580" s="3055"/>
      <c r="AM580" s="3055"/>
      <c r="AN580" s="3055"/>
      <c r="AO580" s="3055"/>
      <c r="AP580" s="3055"/>
      <c r="AQ580" s="3055"/>
      <c r="AR580" s="3055"/>
      <c r="AS580" s="3055"/>
      <c r="AT580" s="3055"/>
      <c r="AU580" s="3056"/>
      <c r="AV580" s="3057">
        <f t="shared" si="15"/>
      </c>
      <c r="AW580" s="3054"/>
      <c r="AX580" s="3054"/>
      <c r="AY580" s="3055"/>
      <c r="AZ580" s="3055"/>
      <c r="BA580" s="3055"/>
      <c r="BB580" s="3055"/>
      <c r="BC580" s="3055"/>
      <c r="BD580" s="3055"/>
      <c r="BE580" s="3055"/>
      <c r="BF580" s="3055"/>
      <c r="BG580" s="3055"/>
      <c r="BH580" s="3055"/>
      <c r="BI580" s="3055"/>
      <c r="BJ580" s="3055"/>
      <c r="BK580" s="3055"/>
      <c r="BL580" s="3056"/>
      <c r="BM580" s="3057">
        <f t="shared" si="16"/>
      </c>
      <c r="BN580" s="3054"/>
      <c r="BO580" s="3054"/>
      <c r="BP580" s="3055"/>
      <c r="BQ580" s="3055"/>
      <c r="BR580" s="3055"/>
      <c r="BS580" s="3055"/>
      <c r="BT580" s="3055"/>
      <c r="BU580" s="3055"/>
      <c r="BV580" s="3055"/>
      <c r="BW580" s="3055"/>
      <c r="BX580" s="3055"/>
      <c r="BY580" s="3055"/>
      <c r="BZ580" s="3055"/>
      <c r="CA580" s="3055"/>
      <c r="CB580" s="3055"/>
      <c r="CC580" s="3056"/>
      <c r="CD580" s="3057">
        <f t="shared" si="0"/>
      </c>
      <c r="CE580" s="3054"/>
      <c r="CF580" s="3054"/>
      <c r="CG580" s="3055"/>
      <c r="CH580" s="3055"/>
      <c r="CI580" s="3055"/>
      <c r="CJ580" s="3055"/>
      <c r="CK580" s="3055"/>
      <c r="CL580" s="3055"/>
      <c r="CM580" s="3055"/>
      <c r="CN580" s="3055"/>
      <c r="CO580" s="3055"/>
      <c r="CP580" s="3055"/>
      <c r="CQ580" s="3055"/>
      <c r="CR580" s="3055"/>
      <c r="CS580" s="3055"/>
      <c r="CU580" s="3054"/>
      <c r="CV580" s="696"/>
      <c r="CW580" s="696"/>
      <c r="CZ580" s="3060">
        <f t="shared" si="17"/>
      </c>
      <c r="DA580" s="3060">
        <f t="shared" si="1"/>
      </c>
      <c r="DB580" s="3060">
        <f t="shared" si="18"/>
      </c>
      <c r="DC580" s="3060">
        <f t="shared" si="19"/>
      </c>
      <c r="DD580" s="3060">
        <f t="shared" si="20"/>
      </c>
      <c r="DE580" s="3060">
        <f t="shared" si="21"/>
      </c>
      <c r="DF580" s="3060">
        <f t="shared" si="22"/>
      </c>
      <c r="DG580" s="3060">
        <f t="shared" si="23"/>
      </c>
      <c r="DH580" s="3060">
        <f t="shared" si="24"/>
      </c>
      <c r="DI580" s="3060">
        <f t="shared" si="1"/>
      </c>
    </row>
    <row r="581" ht="15" customHeight="1" s="3052" customFormat="1">
      <c r="B581" s="3054">
        <f t="shared" si="2"/>
      </c>
      <c r="C581" s="3054"/>
      <c r="D581" s="3054"/>
      <c r="E581" s="3055"/>
      <c r="F581" s="3055"/>
      <c r="G581" s="3055"/>
      <c r="H581" s="3055"/>
      <c r="I581" s="3055"/>
      <c r="J581" s="3055"/>
      <c r="K581" s="3055"/>
      <c r="L581" s="3055"/>
      <c r="M581" s="3055"/>
      <c r="N581" s="3055"/>
      <c r="O581" s="3055"/>
      <c r="P581" s="3055"/>
      <c r="Q581" s="3055"/>
      <c r="R581" s="3055">
        <f t="shared" si="3"/>
        <v>0</v>
      </c>
      <c r="S581" s="3055">
        <f t="shared" si="4"/>
        <v>0</v>
      </c>
      <c r="T581" s="3055">
        <f t="shared" si="5"/>
        <v>0</v>
      </c>
      <c r="U581" s="3055">
        <f t="shared" si="6"/>
        <v>0</v>
      </c>
      <c r="V581" s="3055">
        <f t="shared" si="7"/>
        <v>0</v>
      </c>
      <c r="W581" s="3055">
        <f t="shared" si="8"/>
        <v>0</v>
      </c>
      <c r="X581" s="3055">
        <f t="shared" si="9"/>
        <v>0</v>
      </c>
      <c r="Y581" s="3055">
        <f t="shared" si="10"/>
        <v>0</v>
      </c>
      <c r="Z581" s="3055">
        <f t="shared" si="11"/>
        <v>0</v>
      </c>
      <c r="AA581" s="3055">
        <f t="shared" si="12"/>
        <v>0</v>
      </c>
      <c r="AB581" s="3055">
        <f t="shared" si="13"/>
        <v>0</v>
      </c>
      <c r="AC581" s="3055">
        <f t="shared" si="14"/>
        <v>0</v>
      </c>
      <c r="AD581" s="3056"/>
      <c r="AE581" s="3057">
        <f t="shared" si="0"/>
      </c>
      <c r="AF581" s="3054"/>
      <c r="AG581" s="3054"/>
      <c r="AH581" s="3055"/>
      <c r="AI581" s="3055"/>
      <c r="AJ581" s="3055"/>
      <c r="AK581" s="3055"/>
      <c r="AL581" s="3055"/>
      <c r="AM581" s="3055"/>
      <c r="AN581" s="3055"/>
      <c r="AO581" s="3055"/>
      <c r="AP581" s="3055"/>
      <c r="AQ581" s="3055"/>
      <c r="AR581" s="3055"/>
      <c r="AS581" s="3055"/>
      <c r="AT581" s="3055"/>
      <c r="AU581" s="3056"/>
      <c r="AV581" s="3057">
        <f t="shared" si="15"/>
      </c>
      <c r="AW581" s="3054"/>
      <c r="AX581" s="3054"/>
      <c r="AY581" s="3055"/>
      <c r="AZ581" s="3055"/>
      <c r="BA581" s="3055"/>
      <c r="BB581" s="3055"/>
      <c r="BC581" s="3055"/>
      <c r="BD581" s="3055"/>
      <c r="BE581" s="3055"/>
      <c r="BF581" s="3055"/>
      <c r="BG581" s="3055"/>
      <c r="BH581" s="3055"/>
      <c r="BI581" s="3055"/>
      <c r="BJ581" s="3055"/>
      <c r="BK581" s="3055"/>
      <c r="BL581" s="3056"/>
      <c r="BM581" s="3057">
        <f t="shared" si="16"/>
      </c>
      <c r="BN581" s="3054"/>
      <c r="BO581" s="3054"/>
      <c r="BP581" s="3055"/>
      <c r="BQ581" s="3055"/>
      <c r="BR581" s="3055"/>
      <c r="BS581" s="3055"/>
      <c r="BT581" s="3055"/>
      <c r="BU581" s="3055"/>
      <c r="BV581" s="3055"/>
      <c r="BW581" s="3055"/>
      <c r="BX581" s="3055"/>
      <c r="BY581" s="3055"/>
      <c r="BZ581" s="3055"/>
      <c r="CA581" s="3055"/>
      <c r="CB581" s="3055"/>
      <c r="CC581" s="3056"/>
      <c r="CD581" s="3057">
        <f t="shared" si="0"/>
      </c>
      <c r="CE581" s="3054"/>
      <c r="CF581" s="3054"/>
      <c r="CG581" s="3055"/>
      <c r="CH581" s="3055"/>
      <c r="CI581" s="3055"/>
      <c r="CJ581" s="3055"/>
      <c r="CK581" s="3055"/>
      <c r="CL581" s="3055"/>
      <c r="CM581" s="3055"/>
      <c r="CN581" s="3055"/>
      <c r="CO581" s="3055"/>
      <c r="CP581" s="3055"/>
      <c r="CQ581" s="3055"/>
      <c r="CR581" s="3055"/>
      <c r="CS581" s="3055"/>
      <c r="CU581" s="3054"/>
      <c r="CV581" s="696"/>
      <c r="CW581" s="696"/>
      <c r="CZ581" s="3060">
        <f t="shared" si="17"/>
      </c>
      <c r="DA581" s="3060">
        <f t="shared" si="1"/>
      </c>
      <c r="DB581" s="3060">
        <f t="shared" si="18"/>
      </c>
      <c r="DC581" s="3060">
        <f t="shared" si="19"/>
      </c>
      <c r="DD581" s="3060">
        <f t="shared" si="20"/>
      </c>
      <c r="DE581" s="3060">
        <f t="shared" si="21"/>
      </c>
      <c r="DF581" s="3060">
        <f t="shared" si="22"/>
      </c>
      <c r="DG581" s="3060">
        <f t="shared" si="23"/>
      </c>
      <c r="DH581" s="3060">
        <f t="shared" si="24"/>
      </c>
      <c r="DI581" s="3060">
        <f t="shared" si="1"/>
      </c>
    </row>
    <row r="582" ht="15" customHeight="1" s="3052" customFormat="1">
      <c r="B582" s="3054">
        <f t="shared" si="2"/>
      </c>
      <c r="C582" s="3054"/>
      <c r="D582" s="3054"/>
      <c r="E582" s="3055"/>
      <c r="F582" s="3055"/>
      <c r="G582" s="3055"/>
      <c r="H582" s="3055"/>
      <c r="I582" s="3055"/>
      <c r="J582" s="3055"/>
      <c r="K582" s="3055"/>
      <c r="L582" s="3055"/>
      <c r="M582" s="3055"/>
      <c r="N582" s="3055"/>
      <c r="O582" s="3055"/>
      <c r="P582" s="3055"/>
      <c r="Q582" s="3055"/>
      <c r="R582" s="3055">
        <f t="shared" si="3"/>
        <v>0</v>
      </c>
      <c r="S582" s="3055">
        <f t="shared" si="4"/>
        <v>0</v>
      </c>
      <c r="T582" s="3055">
        <f t="shared" si="5"/>
        <v>0</v>
      </c>
      <c r="U582" s="3055">
        <f t="shared" si="6"/>
        <v>0</v>
      </c>
      <c r="V582" s="3055">
        <f t="shared" si="7"/>
        <v>0</v>
      </c>
      <c r="W582" s="3055">
        <f t="shared" si="8"/>
        <v>0</v>
      </c>
      <c r="X582" s="3055">
        <f t="shared" si="9"/>
        <v>0</v>
      </c>
      <c r="Y582" s="3055">
        <f t="shared" si="10"/>
        <v>0</v>
      </c>
      <c r="Z582" s="3055">
        <f t="shared" si="11"/>
        <v>0</v>
      </c>
      <c r="AA582" s="3055">
        <f t="shared" si="12"/>
        <v>0</v>
      </c>
      <c r="AB582" s="3055">
        <f t="shared" si="13"/>
        <v>0</v>
      </c>
      <c r="AC582" s="3055">
        <f t="shared" si="14"/>
        <v>0</v>
      </c>
      <c r="AD582" s="3056"/>
      <c r="AE582" s="3057">
        <f t="shared" si="0"/>
      </c>
      <c r="AF582" s="3054"/>
      <c r="AG582" s="3054"/>
      <c r="AH582" s="3055"/>
      <c r="AI582" s="3055"/>
      <c r="AJ582" s="3055"/>
      <c r="AK582" s="3055"/>
      <c r="AL582" s="3055"/>
      <c r="AM582" s="3055"/>
      <c r="AN582" s="3055"/>
      <c r="AO582" s="3055"/>
      <c r="AP582" s="3055"/>
      <c r="AQ582" s="3055"/>
      <c r="AR582" s="3055"/>
      <c r="AS582" s="3055"/>
      <c r="AT582" s="3055"/>
      <c r="AU582" s="3056"/>
      <c r="AV582" s="3057">
        <f t="shared" si="15"/>
      </c>
      <c r="AW582" s="3054"/>
      <c r="AX582" s="3054"/>
      <c r="AY582" s="3055"/>
      <c r="AZ582" s="3055"/>
      <c r="BA582" s="3055"/>
      <c r="BB582" s="3055"/>
      <c r="BC582" s="3055"/>
      <c r="BD582" s="3055"/>
      <c r="BE582" s="3055"/>
      <c r="BF582" s="3055"/>
      <c r="BG582" s="3055"/>
      <c r="BH582" s="3055"/>
      <c r="BI582" s="3055"/>
      <c r="BJ582" s="3055"/>
      <c r="BK582" s="3055"/>
      <c r="BL582" s="3056"/>
      <c r="BM582" s="3057">
        <f t="shared" si="16"/>
      </c>
      <c r="BN582" s="3054"/>
      <c r="BO582" s="3054"/>
      <c r="BP582" s="3055"/>
      <c r="BQ582" s="3055"/>
      <c r="BR582" s="3055"/>
      <c r="BS582" s="3055"/>
      <c r="BT582" s="3055"/>
      <c r="BU582" s="3055"/>
      <c r="BV582" s="3055"/>
      <c r="BW582" s="3055"/>
      <c r="BX582" s="3055"/>
      <c r="BY582" s="3055"/>
      <c r="BZ582" s="3055"/>
      <c r="CA582" s="3055"/>
      <c r="CB582" s="3055"/>
      <c r="CC582" s="3056"/>
      <c r="CD582" s="3057">
        <f t="shared" si="0"/>
      </c>
      <c r="CE582" s="3054"/>
      <c r="CF582" s="3054"/>
      <c r="CG582" s="3055"/>
      <c r="CH582" s="3055"/>
      <c r="CI582" s="3055"/>
      <c r="CJ582" s="3055"/>
      <c r="CK582" s="3055"/>
      <c r="CL582" s="3055"/>
      <c r="CM582" s="3055"/>
      <c r="CN582" s="3055"/>
      <c r="CO582" s="3055"/>
      <c r="CP582" s="3055"/>
      <c r="CQ582" s="3055"/>
      <c r="CR582" s="3055"/>
      <c r="CS582" s="3055"/>
      <c r="CU582" s="3054"/>
      <c r="CV582" s="696"/>
      <c r="CW582" s="696"/>
      <c r="CZ582" s="3060">
        <f t="shared" si="17"/>
      </c>
      <c r="DA582" s="3060">
        <f t="shared" si="1"/>
      </c>
      <c r="DB582" s="3060">
        <f t="shared" si="18"/>
      </c>
      <c r="DC582" s="3060">
        <f t="shared" si="19"/>
      </c>
      <c r="DD582" s="3060">
        <f t="shared" si="20"/>
      </c>
      <c r="DE582" s="3060">
        <f t="shared" si="21"/>
      </c>
      <c r="DF582" s="3060">
        <f t="shared" si="22"/>
      </c>
      <c r="DG582" s="3060">
        <f t="shared" si="23"/>
      </c>
      <c r="DH582" s="3060">
        <f t="shared" si="24"/>
      </c>
      <c r="DI582" s="3060">
        <f t="shared" si="1"/>
      </c>
    </row>
    <row r="583" ht="15" customHeight="1" s="3052" customFormat="1">
      <c r="B583" s="3054">
        <f t="shared" si="2"/>
      </c>
      <c r="C583" s="3054"/>
      <c r="D583" s="3054"/>
      <c r="E583" s="3055"/>
      <c r="F583" s="3055"/>
      <c r="G583" s="3055"/>
      <c r="H583" s="3055"/>
      <c r="I583" s="3055"/>
      <c r="J583" s="3055"/>
      <c r="K583" s="3055"/>
      <c r="L583" s="3055"/>
      <c r="M583" s="3055"/>
      <c r="N583" s="3055"/>
      <c r="O583" s="3055"/>
      <c r="P583" s="3055"/>
      <c r="Q583" s="3055"/>
      <c r="R583" s="3055">
        <f t="shared" si="3"/>
        <v>0</v>
      </c>
      <c r="S583" s="3055">
        <f t="shared" si="4"/>
        <v>0</v>
      </c>
      <c r="T583" s="3055">
        <f t="shared" si="5"/>
        <v>0</v>
      </c>
      <c r="U583" s="3055">
        <f t="shared" si="6"/>
        <v>0</v>
      </c>
      <c r="V583" s="3055">
        <f t="shared" si="7"/>
        <v>0</v>
      </c>
      <c r="W583" s="3055">
        <f t="shared" si="8"/>
        <v>0</v>
      </c>
      <c r="X583" s="3055">
        <f t="shared" si="9"/>
        <v>0</v>
      </c>
      <c r="Y583" s="3055">
        <f t="shared" si="10"/>
        <v>0</v>
      </c>
      <c r="Z583" s="3055">
        <f t="shared" si="11"/>
        <v>0</v>
      </c>
      <c r="AA583" s="3055">
        <f t="shared" si="12"/>
        <v>0</v>
      </c>
      <c r="AB583" s="3055">
        <f t="shared" si="13"/>
        <v>0</v>
      </c>
      <c r="AC583" s="3055">
        <f t="shared" si="14"/>
        <v>0</v>
      </c>
      <c r="AD583" s="3056"/>
      <c r="AE583" s="3057">
        <f t="shared" si="0"/>
      </c>
      <c r="AF583" s="3054"/>
      <c r="AG583" s="3054"/>
      <c r="AH583" s="3055"/>
      <c r="AI583" s="3055"/>
      <c r="AJ583" s="3055"/>
      <c r="AK583" s="3055"/>
      <c r="AL583" s="3055"/>
      <c r="AM583" s="3055"/>
      <c r="AN583" s="3055"/>
      <c r="AO583" s="3055"/>
      <c r="AP583" s="3055"/>
      <c r="AQ583" s="3055"/>
      <c r="AR583" s="3055"/>
      <c r="AS583" s="3055"/>
      <c r="AT583" s="3055"/>
      <c r="AU583" s="3056"/>
      <c r="AV583" s="3057">
        <f t="shared" si="15"/>
      </c>
      <c r="AW583" s="3054"/>
      <c r="AX583" s="3054"/>
      <c r="AY583" s="3055"/>
      <c r="AZ583" s="3055"/>
      <c r="BA583" s="3055"/>
      <c r="BB583" s="3055"/>
      <c r="BC583" s="3055"/>
      <c r="BD583" s="3055"/>
      <c r="BE583" s="3055"/>
      <c r="BF583" s="3055"/>
      <c r="BG583" s="3055"/>
      <c r="BH583" s="3055"/>
      <c r="BI583" s="3055"/>
      <c r="BJ583" s="3055"/>
      <c r="BK583" s="3055"/>
      <c r="BL583" s="3056"/>
      <c r="BM583" s="3057">
        <f t="shared" si="16"/>
      </c>
      <c r="BN583" s="3054"/>
      <c r="BO583" s="3054"/>
      <c r="BP583" s="3055"/>
      <c r="BQ583" s="3055"/>
      <c r="BR583" s="3055"/>
      <c r="BS583" s="3055"/>
      <c r="BT583" s="3055"/>
      <c r="BU583" s="3055"/>
      <c r="BV583" s="3055"/>
      <c r="BW583" s="3055"/>
      <c r="BX583" s="3055"/>
      <c r="BY583" s="3055"/>
      <c r="BZ583" s="3055"/>
      <c r="CA583" s="3055"/>
      <c r="CB583" s="3055"/>
      <c r="CC583" s="3056"/>
      <c r="CD583" s="3057">
        <f t="shared" si="0"/>
      </c>
      <c r="CE583" s="3054"/>
      <c r="CF583" s="3054"/>
      <c r="CG583" s="3055"/>
      <c r="CH583" s="3055"/>
      <c r="CI583" s="3055"/>
      <c r="CJ583" s="3055"/>
      <c r="CK583" s="3055"/>
      <c r="CL583" s="3055"/>
      <c r="CM583" s="3055"/>
      <c r="CN583" s="3055"/>
      <c r="CO583" s="3055"/>
      <c r="CP583" s="3055"/>
      <c r="CQ583" s="3055"/>
      <c r="CR583" s="3055"/>
      <c r="CS583" s="3055"/>
      <c r="CU583" s="3054"/>
      <c r="CV583" s="696"/>
      <c r="CW583" s="696"/>
      <c r="CZ583" s="3060">
        <f t="shared" si="17"/>
      </c>
      <c r="DA583" s="3060">
        <f t="shared" si="1"/>
      </c>
      <c r="DB583" s="3060">
        <f t="shared" si="18"/>
      </c>
      <c r="DC583" s="3060">
        <f t="shared" si="19"/>
      </c>
      <c r="DD583" s="3060">
        <f t="shared" si="20"/>
      </c>
      <c r="DE583" s="3060">
        <f t="shared" si="21"/>
      </c>
      <c r="DF583" s="3060">
        <f t="shared" si="22"/>
      </c>
      <c r="DG583" s="3060">
        <f t="shared" si="23"/>
      </c>
      <c r="DH583" s="3060">
        <f t="shared" si="24"/>
      </c>
      <c r="DI583" s="3060">
        <f t="shared" si="1"/>
      </c>
    </row>
    <row r="584" ht="15" customHeight="1" s="3052" customFormat="1">
      <c r="B584" s="3054">
        <f t="shared" si="2"/>
      </c>
      <c r="C584" s="3054"/>
      <c r="D584" s="3054"/>
      <c r="E584" s="3055"/>
      <c r="F584" s="3055"/>
      <c r="G584" s="3055"/>
      <c r="H584" s="3055"/>
      <c r="I584" s="3055"/>
      <c r="J584" s="3055"/>
      <c r="K584" s="3055"/>
      <c r="L584" s="3055"/>
      <c r="M584" s="3055"/>
      <c r="N584" s="3055"/>
      <c r="O584" s="3055"/>
      <c r="P584" s="3055"/>
      <c r="Q584" s="3055"/>
      <c r="R584" s="3055">
        <f t="shared" si="3"/>
        <v>0</v>
      </c>
      <c r="S584" s="3055">
        <f t="shared" si="4"/>
        <v>0</v>
      </c>
      <c r="T584" s="3055">
        <f t="shared" si="5"/>
        <v>0</v>
      </c>
      <c r="U584" s="3055">
        <f t="shared" si="6"/>
        <v>0</v>
      </c>
      <c r="V584" s="3055">
        <f t="shared" si="7"/>
        <v>0</v>
      </c>
      <c r="W584" s="3055">
        <f t="shared" si="8"/>
        <v>0</v>
      </c>
      <c r="X584" s="3055">
        <f t="shared" si="9"/>
        <v>0</v>
      </c>
      <c r="Y584" s="3055">
        <f t="shared" si="10"/>
        <v>0</v>
      </c>
      <c r="Z584" s="3055">
        <f t="shared" si="11"/>
        <v>0</v>
      </c>
      <c r="AA584" s="3055">
        <f t="shared" si="12"/>
        <v>0</v>
      </c>
      <c r="AB584" s="3055">
        <f t="shared" si="13"/>
        <v>0</v>
      </c>
      <c r="AC584" s="3055">
        <f t="shared" si="14"/>
        <v>0</v>
      </c>
      <c r="AD584" s="3056"/>
      <c r="AE584" s="3057">
        <f t="shared" si="0"/>
      </c>
      <c r="AF584" s="3054"/>
      <c r="AG584" s="3054"/>
      <c r="AH584" s="3055"/>
      <c r="AI584" s="3055"/>
      <c r="AJ584" s="3055"/>
      <c r="AK584" s="3055"/>
      <c r="AL584" s="3055"/>
      <c r="AM584" s="3055"/>
      <c r="AN584" s="3055"/>
      <c r="AO584" s="3055"/>
      <c r="AP584" s="3055"/>
      <c r="AQ584" s="3055"/>
      <c r="AR584" s="3055"/>
      <c r="AS584" s="3055"/>
      <c r="AT584" s="3055"/>
      <c r="AU584" s="3056"/>
      <c r="AV584" s="3057">
        <f t="shared" si="15"/>
      </c>
      <c r="AW584" s="3054"/>
      <c r="AX584" s="3054"/>
      <c r="AY584" s="3055"/>
      <c r="AZ584" s="3055"/>
      <c r="BA584" s="3055"/>
      <c r="BB584" s="3055"/>
      <c r="BC584" s="3055"/>
      <c r="BD584" s="3055"/>
      <c r="BE584" s="3055"/>
      <c r="BF584" s="3055"/>
      <c r="BG584" s="3055"/>
      <c r="BH584" s="3055"/>
      <c r="BI584" s="3055"/>
      <c r="BJ584" s="3055"/>
      <c r="BK584" s="3055"/>
      <c r="BL584" s="3056"/>
      <c r="BM584" s="3057">
        <f t="shared" si="16"/>
      </c>
      <c r="BN584" s="3054"/>
      <c r="BO584" s="3054"/>
      <c r="BP584" s="3055"/>
      <c r="BQ584" s="3055"/>
      <c r="BR584" s="3055"/>
      <c r="BS584" s="3055"/>
      <c r="BT584" s="3055"/>
      <c r="BU584" s="3055"/>
      <c r="BV584" s="3055"/>
      <c r="BW584" s="3055"/>
      <c r="BX584" s="3055"/>
      <c r="BY584" s="3055"/>
      <c r="BZ584" s="3055"/>
      <c r="CA584" s="3055"/>
      <c r="CB584" s="3055"/>
      <c r="CC584" s="3056"/>
      <c r="CD584" s="3057">
        <f t="shared" si="0"/>
      </c>
      <c r="CE584" s="3054"/>
      <c r="CF584" s="3054"/>
      <c r="CG584" s="3055"/>
      <c r="CH584" s="3055"/>
      <c r="CI584" s="3055"/>
      <c r="CJ584" s="3055"/>
      <c r="CK584" s="3055"/>
      <c r="CL584" s="3055"/>
      <c r="CM584" s="3055"/>
      <c r="CN584" s="3055"/>
      <c r="CO584" s="3055"/>
      <c r="CP584" s="3055"/>
      <c r="CQ584" s="3055"/>
      <c r="CR584" s="3055"/>
      <c r="CS584" s="3055"/>
      <c r="CU584" s="3054"/>
      <c r="CV584" s="696"/>
      <c r="CW584" s="696"/>
      <c r="CZ584" s="3060">
        <f t="shared" si="17"/>
      </c>
      <c r="DA584" s="3060">
        <f t="shared" si="1"/>
      </c>
      <c r="DB584" s="3060">
        <f t="shared" si="18"/>
      </c>
      <c r="DC584" s="3060">
        <f t="shared" si="19"/>
      </c>
      <c r="DD584" s="3060">
        <f t="shared" si="20"/>
      </c>
      <c r="DE584" s="3060">
        <f t="shared" si="21"/>
      </c>
      <c r="DF584" s="3060">
        <f t="shared" si="22"/>
      </c>
      <c r="DG584" s="3060">
        <f t="shared" si="23"/>
      </c>
      <c r="DH584" s="3060">
        <f t="shared" si="24"/>
      </c>
      <c r="DI584" s="3060">
        <f t="shared" si="1"/>
      </c>
    </row>
    <row r="585" ht="15" customHeight="1" s="3052" customFormat="1">
      <c r="B585" s="3054">
        <f t="shared" si="2"/>
      </c>
      <c r="C585" s="3054"/>
      <c r="D585" s="3054"/>
      <c r="E585" s="3055"/>
      <c r="F585" s="3055"/>
      <c r="G585" s="3055"/>
      <c r="H585" s="3055"/>
      <c r="I585" s="3055"/>
      <c r="J585" s="3055"/>
      <c r="K585" s="3055"/>
      <c r="L585" s="3055"/>
      <c r="M585" s="3055"/>
      <c r="N585" s="3055"/>
      <c r="O585" s="3055"/>
      <c r="P585" s="3055"/>
      <c r="Q585" s="3055"/>
      <c r="R585" s="3055">
        <f t="shared" si="3"/>
        <v>0</v>
      </c>
      <c r="S585" s="3055">
        <f t="shared" si="4"/>
        <v>0</v>
      </c>
      <c r="T585" s="3055">
        <f t="shared" si="5"/>
        <v>0</v>
      </c>
      <c r="U585" s="3055">
        <f t="shared" si="6"/>
        <v>0</v>
      </c>
      <c r="V585" s="3055">
        <f t="shared" si="7"/>
        <v>0</v>
      </c>
      <c r="W585" s="3055">
        <f t="shared" si="8"/>
        <v>0</v>
      </c>
      <c r="X585" s="3055">
        <f t="shared" si="9"/>
        <v>0</v>
      </c>
      <c r="Y585" s="3055">
        <f t="shared" si="10"/>
        <v>0</v>
      </c>
      <c r="Z585" s="3055">
        <f t="shared" si="11"/>
        <v>0</v>
      </c>
      <c r="AA585" s="3055">
        <f t="shared" si="12"/>
        <v>0</v>
      </c>
      <c r="AB585" s="3055">
        <f t="shared" si="13"/>
        <v>0</v>
      </c>
      <c r="AC585" s="3055">
        <f t="shared" si="14"/>
        <v>0</v>
      </c>
      <c r="AD585" s="3056"/>
      <c r="AE585" s="3057">
        <f t="shared" si="0"/>
      </c>
      <c r="AF585" s="3054"/>
      <c r="AG585" s="3054"/>
      <c r="AH585" s="3055"/>
      <c r="AI585" s="3055"/>
      <c r="AJ585" s="3055"/>
      <c r="AK585" s="3055"/>
      <c r="AL585" s="3055"/>
      <c r="AM585" s="3055"/>
      <c r="AN585" s="3055"/>
      <c r="AO585" s="3055"/>
      <c r="AP585" s="3055"/>
      <c r="AQ585" s="3055"/>
      <c r="AR585" s="3055"/>
      <c r="AS585" s="3055"/>
      <c r="AT585" s="3055"/>
      <c r="AU585" s="3056"/>
      <c r="AV585" s="3057">
        <f t="shared" si="15"/>
      </c>
      <c r="AW585" s="3054"/>
      <c r="AX585" s="3054"/>
      <c r="AY585" s="3055"/>
      <c r="AZ585" s="3055"/>
      <c r="BA585" s="3055"/>
      <c r="BB585" s="3055"/>
      <c r="BC585" s="3055"/>
      <c r="BD585" s="3055"/>
      <c r="BE585" s="3055"/>
      <c r="BF585" s="3055"/>
      <c r="BG585" s="3055"/>
      <c r="BH585" s="3055"/>
      <c r="BI585" s="3055"/>
      <c r="BJ585" s="3055"/>
      <c r="BK585" s="3055"/>
      <c r="BL585" s="3056"/>
      <c r="BM585" s="3057">
        <f t="shared" si="16"/>
      </c>
      <c r="BN585" s="3054"/>
      <c r="BO585" s="3054"/>
      <c r="BP585" s="3055"/>
      <c r="BQ585" s="3055"/>
      <c r="BR585" s="3055"/>
      <c r="BS585" s="3055"/>
      <c r="BT585" s="3055"/>
      <c r="BU585" s="3055"/>
      <c r="BV585" s="3055"/>
      <c r="BW585" s="3055"/>
      <c r="BX585" s="3055"/>
      <c r="BY585" s="3055"/>
      <c r="BZ585" s="3055"/>
      <c r="CA585" s="3055"/>
      <c r="CB585" s="3055"/>
      <c r="CC585" s="3056"/>
      <c r="CD585" s="3057">
        <f t="shared" si="0"/>
      </c>
      <c r="CE585" s="3054"/>
      <c r="CF585" s="3054"/>
      <c r="CG585" s="3055"/>
      <c r="CH585" s="3055"/>
      <c r="CI585" s="3055"/>
      <c r="CJ585" s="3055"/>
      <c r="CK585" s="3055"/>
      <c r="CL585" s="3055"/>
      <c r="CM585" s="3055"/>
      <c r="CN585" s="3055"/>
      <c r="CO585" s="3055"/>
      <c r="CP585" s="3055"/>
      <c r="CQ585" s="3055"/>
      <c r="CR585" s="3055"/>
      <c r="CS585" s="3055"/>
      <c r="CU585" s="3054"/>
      <c r="CV585" s="696"/>
      <c r="CW585" s="696"/>
      <c r="CZ585" s="3060">
        <f t="shared" si="17"/>
      </c>
      <c r="DA585" s="3060">
        <f t="shared" si="1"/>
      </c>
      <c r="DB585" s="3060">
        <f t="shared" si="18"/>
      </c>
      <c r="DC585" s="3060">
        <f t="shared" si="19"/>
      </c>
      <c r="DD585" s="3060">
        <f t="shared" si="20"/>
      </c>
      <c r="DE585" s="3060">
        <f t="shared" si="21"/>
      </c>
      <c r="DF585" s="3060">
        <f t="shared" si="22"/>
      </c>
      <c r="DG585" s="3060">
        <f t="shared" si="23"/>
      </c>
      <c r="DH585" s="3060">
        <f t="shared" si="24"/>
      </c>
      <c r="DI585" s="3060">
        <f t="shared" si="1"/>
      </c>
    </row>
    <row r="586" ht="15" customHeight="1" s="3052" customFormat="1">
      <c r="B586" s="3054">
        <f t="shared" si="2"/>
      </c>
      <c r="C586" s="3054"/>
      <c r="D586" s="3054"/>
      <c r="E586" s="3055"/>
      <c r="F586" s="3055"/>
      <c r="G586" s="3055"/>
      <c r="H586" s="3055"/>
      <c r="I586" s="3055"/>
      <c r="J586" s="3055"/>
      <c r="K586" s="3055"/>
      <c r="L586" s="3055"/>
      <c r="M586" s="3055"/>
      <c r="N586" s="3055"/>
      <c r="O586" s="3055"/>
      <c r="P586" s="3055"/>
      <c r="Q586" s="3055"/>
      <c r="R586" s="3055">
        <f t="shared" si="3"/>
        <v>0</v>
      </c>
      <c r="S586" s="3055">
        <f t="shared" si="4"/>
        <v>0</v>
      </c>
      <c r="T586" s="3055">
        <f t="shared" si="5"/>
        <v>0</v>
      </c>
      <c r="U586" s="3055">
        <f t="shared" si="6"/>
        <v>0</v>
      </c>
      <c r="V586" s="3055">
        <f t="shared" si="7"/>
        <v>0</v>
      </c>
      <c r="W586" s="3055">
        <f t="shared" si="8"/>
        <v>0</v>
      </c>
      <c r="X586" s="3055">
        <f t="shared" si="9"/>
        <v>0</v>
      </c>
      <c r="Y586" s="3055">
        <f t="shared" si="10"/>
        <v>0</v>
      </c>
      <c r="Z586" s="3055">
        <f t="shared" si="11"/>
        <v>0</v>
      </c>
      <c r="AA586" s="3055">
        <f t="shared" si="12"/>
        <v>0</v>
      </c>
      <c r="AB586" s="3055">
        <f t="shared" si="13"/>
        <v>0</v>
      </c>
      <c r="AC586" s="3055">
        <f t="shared" si="14"/>
        <v>0</v>
      </c>
      <c r="AD586" s="3056"/>
      <c r="AE586" s="3057">
        <f t="shared" si="0"/>
      </c>
      <c r="AF586" s="3054"/>
      <c r="AG586" s="3054"/>
      <c r="AH586" s="3055"/>
      <c r="AI586" s="3055"/>
      <c r="AJ586" s="3055"/>
      <c r="AK586" s="3055"/>
      <c r="AL586" s="3055"/>
      <c r="AM586" s="3055"/>
      <c r="AN586" s="3055"/>
      <c r="AO586" s="3055"/>
      <c r="AP586" s="3055"/>
      <c r="AQ586" s="3055"/>
      <c r="AR586" s="3055"/>
      <c r="AS586" s="3055"/>
      <c r="AT586" s="3055"/>
      <c r="AU586" s="3056"/>
      <c r="AV586" s="3057">
        <f t="shared" si="15"/>
      </c>
      <c r="AW586" s="3054"/>
      <c r="AX586" s="3054"/>
      <c r="AY586" s="3055"/>
      <c r="AZ586" s="3055"/>
      <c r="BA586" s="3055"/>
      <c r="BB586" s="3055"/>
      <c r="BC586" s="3055"/>
      <c r="BD586" s="3055"/>
      <c r="BE586" s="3055"/>
      <c r="BF586" s="3055"/>
      <c r="BG586" s="3055"/>
      <c r="BH586" s="3055"/>
      <c r="BI586" s="3055"/>
      <c r="BJ586" s="3055"/>
      <c r="BK586" s="3055"/>
      <c r="BL586" s="3056"/>
      <c r="BM586" s="3057">
        <f t="shared" si="16"/>
      </c>
      <c r="BN586" s="3054"/>
      <c r="BO586" s="3054"/>
      <c r="BP586" s="3055"/>
      <c r="BQ586" s="3055"/>
      <c r="BR586" s="3055"/>
      <c r="BS586" s="3055"/>
      <c r="BT586" s="3055"/>
      <c r="BU586" s="3055"/>
      <c r="BV586" s="3055"/>
      <c r="BW586" s="3055"/>
      <c r="BX586" s="3055"/>
      <c r="BY586" s="3055"/>
      <c r="BZ586" s="3055"/>
      <c r="CA586" s="3055"/>
      <c r="CB586" s="3055"/>
      <c r="CC586" s="3056"/>
      <c r="CD586" s="3057">
        <f t="shared" si="0"/>
      </c>
      <c r="CE586" s="3054"/>
      <c r="CF586" s="3054"/>
      <c r="CG586" s="3055"/>
      <c r="CH586" s="3055"/>
      <c r="CI586" s="3055"/>
      <c r="CJ586" s="3055"/>
      <c r="CK586" s="3055"/>
      <c r="CL586" s="3055"/>
      <c r="CM586" s="3055"/>
      <c r="CN586" s="3055"/>
      <c r="CO586" s="3055"/>
      <c r="CP586" s="3055"/>
      <c r="CQ586" s="3055"/>
      <c r="CR586" s="3055"/>
      <c r="CS586" s="3055"/>
      <c r="CU586" s="3054"/>
      <c r="CV586" s="696"/>
      <c r="CW586" s="696"/>
      <c r="CZ586" s="3060">
        <f t="shared" si="17"/>
      </c>
      <c r="DA586" s="3060">
        <f t="shared" si="1"/>
      </c>
      <c r="DB586" s="3060">
        <f t="shared" si="18"/>
      </c>
      <c r="DC586" s="3060">
        <f t="shared" si="19"/>
      </c>
      <c r="DD586" s="3060">
        <f t="shared" si="20"/>
      </c>
      <c r="DE586" s="3060">
        <f t="shared" si="21"/>
      </c>
      <c r="DF586" s="3060">
        <f t="shared" si="22"/>
      </c>
      <c r="DG586" s="3060">
        <f t="shared" si="23"/>
      </c>
      <c r="DH586" s="3060">
        <f t="shared" si="24"/>
      </c>
      <c r="DI586" s="3060">
        <f t="shared" si="1"/>
      </c>
    </row>
    <row r="587" ht="15" customHeight="1" s="3052" customFormat="1">
      <c r="B587" s="3054">
        <f t="shared" si="2"/>
      </c>
      <c r="C587" s="3054"/>
      <c r="D587" s="3054"/>
      <c r="E587" s="3055"/>
      <c r="F587" s="3055"/>
      <c r="G587" s="3055"/>
      <c r="H587" s="3055"/>
      <c r="I587" s="3055"/>
      <c r="J587" s="3055"/>
      <c r="K587" s="3055"/>
      <c r="L587" s="3055"/>
      <c r="M587" s="3055"/>
      <c r="N587" s="3055"/>
      <c r="O587" s="3055"/>
      <c r="P587" s="3055"/>
      <c r="Q587" s="3055"/>
      <c r="R587" s="3055">
        <f t="shared" si="3"/>
        <v>0</v>
      </c>
      <c r="S587" s="3055">
        <f t="shared" si="4"/>
        <v>0</v>
      </c>
      <c r="T587" s="3055">
        <f t="shared" si="5"/>
        <v>0</v>
      </c>
      <c r="U587" s="3055">
        <f t="shared" si="6"/>
        <v>0</v>
      </c>
      <c r="V587" s="3055">
        <f t="shared" si="7"/>
        <v>0</v>
      </c>
      <c r="W587" s="3055">
        <f t="shared" si="8"/>
        <v>0</v>
      </c>
      <c r="X587" s="3055">
        <f t="shared" si="9"/>
        <v>0</v>
      </c>
      <c r="Y587" s="3055">
        <f t="shared" si="10"/>
        <v>0</v>
      </c>
      <c r="Z587" s="3055">
        <f t="shared" si="11"/>
        <v>0</v>
      </c>
      <c r="AA587" s="3055">
        <f t="shared" si="12"/>
        <v>0</v>
      </c>
      <c r="AB587" s="3055">
        <f t="shared" si="13"/>
        <v>0</v>
      </c>
      <c r="AC587" s="3055">
        <f t="shared" si="14"/>
        <v>0</v>
      </c>
      <c r="AD587" s="3056"/>
      <c r="AE587" s="3057">
        <f t="shared" si="0"/>
      </c>
      <c r="AF587" s="3054"/>
      <c r="AG587" s="3054"/>
      <c r="AH587" s="3055"/>
      <c r="AI587" s="3055"/>
      <c r="AJ587" s="3055"/>
      <c r="AK587" s="3055"/>
      <c r="AL587" s="3055"/>
      <c r="AM587" s="3055"/>
      <c r="AN587" s="3055"/>
      <c r="AO587" s="3055"/>
      <c r="AP587" s="3055"/>
      <c r="AQ587" s="3055"/>
      <c r="AR587" s="3055"/>
      <c r="AS587" s="3055"/>
      <c r="AT587" s="3055"/>
      <c r="AU587" s="3056"/>
      <c r="AV587" s="3057">
        <f t="shared" si="15"/>
      </c>
      <c r="AW587" s="3054"/>
      <c r="AX587" s="3054"/>
      <c r="AY587" s="3055"/>
      <c r="AZ587" s="3055"/>
      <c r="BA587" s="3055"/>
      <c r="BB587" s="3055"/>
      <c r="BC587" s="3055"/>
      <c r="BD587" s="3055"/>
      <c r="BE587" s="3055"/>
      <c r="BF587" s="3055"/>
      <c r="BG587" s="3055"/>
      <c r="BH587" s="3055"/>
      <c r="BI587" s="3055"/>
      <c r="BJ587" s="3055"/>
      <c r="BK587" s="3055"/>
      <c r="BL587" s="3056"/>
      <c r="BM587" s="3057">
        <f t="shared" si="16"/>
      </c>
      <c r="BN587" s="3054"/>
      <c r="BO587" s="3054"/>
      <c r="BP587" s="3055"/>
      <c r="BQ587" s="3055"/>
      <c r="BR587" s="3055"/>
      <c r="BS587" s="3055"/>
      <c r="BT587" s="3055"/>
      <c r="BU587" s="3055"/>
      <c r="BV587" s="3055"/>
      <c r="BW587" s="3055"/>
      <c r="BX587" s="3055"/>
      <c r="BY587" s="3055"/>
      <c r="BZ587" s="3055"/>
      <c r="CA587" s="3055"/>
      <c r="CB587" s="3055"/>
      <c r="CC587" s="3056"/>
      <c r="CD587" s="3057">
        <f t="shared" si="0"/>
      </c>
      <c r="CE587" s="3054"/>
      <c r="CF587" s="3054"/>
      <c r="CG587" s="3055"/>
      <c r="CH587" s="3055"/>
      <c r="CI587" s="3055"/>
      <c r="CJ587" s="3055"/>
      <c r="CK587" s="3055"/>
      <c r="CL587" s="3055"/>
      <c r="CM587" s="3055"/>
      <c r="CN587" s="3055"/>
      <c r="CO587" s="3055"/>
      <c r="CP587" s="3055"/>
      <c r="CQ587" s="3055"/>
      <c r="CR587" s="3055"/>
      <c r="CS587" s="3055"/>
      <c r="CU587" s="3054"/>
      <c r="CV587" s="696"/>
      <c r="CW587" s="696"/>
      <c r="CZ587" s="3060">
        <f t="shared" si="17"/>
      </c>
      <c r="DA587" s="3060">
        <f t="shared" si="1"/>
      </c>
      <c r="DB587" s="3060">
        <f t="shared" si="18"/>
      </c>
      <c r="DC587" s="3060">
        <f t="shared" si="19"/>
      </c>
      <c r="DD587" s="3060">
        <f t="shared" si="20"/>
      </c>
      <c r="DE587" s="3060">
        <f t="shared" si="21"/>
      </c>
      <c r="DF587" s="3060">
        <f t="shared" si="22"/>
      </c>
      <c r="DG587" s="3060">
        <f t="shared" si="23"/>
      </c>
      <c r="DH587" s="3060">
        <f t="shared" si="24"/>
      </c>
      <c r="DI587" s="3060">
        <f t="shared" si="1"/>
      </c>
    </row>
    <row r="588" ht="15" customHeight="1" s="3052" customFormat="1">
      <c r="B588" s="3054">
        <f t="shared" si="2"/>
      </c>
      <c r="C588" s="3054"/>
      <c r="D588" s="3054"/>
      <c r="E588" s="3055"/>
      <c r="F588" s="3055"/>
      <c r="G588" s="3055"/>
      <c r="H588" s="3055"/>
      <c r="I588" s="3055"/>
      <c r="J588" s="3055"/>
      <c r="K588" s="3055"/>
      <c r="L588" s="3055"/>
      <c r="M588" s="3055"/>
      <c r="N588" s="3055"/>
      <c r="O588" s="3055"/>
      <c r="P588" s="3055"/>
      <c r="Q588" s="3055"/>
      <c r="R588" s="3055">
        <f t="shared" si="3"/>
        <v>0</v>
      </c>
      <c r="S588" s="3055">
        <f t="shared" si="4"/>
        <v>0</v>
      </c>
      <c r="T588" s="3055">
        <f t="shared" si="5"/>
        <v>0</v>
      </c>
      <c r="U588" s="3055">
        <f t="shared" si="6"/>
        <v>0</v>
      </c>
      <c r="V588" s="3055">
        <f t="shared" si="7"/>
        <v>0</v>
      </c>
      <c r="W588" s="3055">
        <f t="shared" si="8"/>
        <v>0</v>
      </c>
      <c r="X588" s="3055">
        <f t="shared" si="9"/>
        <v>0</v>
      </c>
      <c r="Y588" s="3055">
        <f t="shared" si="10"/>
        <v>0</v>
      </c>
      <c r="Z588" s="3055">
        <f t="shared" si="11"/>
        <v>0</v>
      </c>
      <c r="AA588" s="3055">
        <f t="shared" si="12"/>
        <v>0</v>
      </c>
      <c r="AB588" s="3055">
        <f t="shared" si="13"/>
        <v>0</v>
      </c>
      <c r="AC588" s="3055">
        <f t="shared" si="14"/>
        <v>0</v>
      </c>
      <c r="AD588" s="3056"/>
      <c r="AE588" s="3057">
        <f t="shared" si="0"/>
      </c>
      <c r="AF588" s="3054"/>
      <c r="AG588" s="3054"/>
      <c r="AH588" s="3055"/>
      <c r="AI588" s="3055"/>
      <c r="AJ588" s="3055"/>
      <c r="AK588" s="3055"/>
      <c r="AL588" s="3055"/>
      <c r="AM588" s="3055"/>
      <c r="AN588" s="3055"/>
      <c r="AO588" s="3055"/>
      <c r="AP588" s="3055"/>
      <c r="AQ588" s="3055"/>
      <c r="AR588" s="3055"/>
      <c r="AS588" s="3055"/>
      <c r="AT588" s="3055"/>
      <c r="AU588" s="3056"/>
      <c r="AV588" s="3057">
        <f t="shared" si="15"/>
      </c>
      <c r="AW588" s="3054"/>
      <c r="AX588" s="3054"/>
      <c r="AY588" s="3055"/>
      <c r="AZ588" s="3055"/>
      <c r="BA588" s="3055"/>
      <c r="BB588" s="3055"/>
      <c r="BC588" s="3055"/>
      <c r="BD588" s="3055"/>
      <c r="BE588" s="3055"/>
      <c r="BF588" s="3055"/>
      <c r="BG588" s="3055"/>
      <c r="BH588" s="3055"/>
      <c r="BI588" s="3055"/>
      <c r="BJ588" s="3055"/>
      <c r="BK588" s="3055"/>
      <c r="BL588" s="3056"/>
      <c r="BM588" s="3057">
        <f t="shared" si="16"/>
      </c>
      <c r="BN588" s="3054"/>
      <c r="BO588" s="3054"/>
      <c r="BP588" s="3055"/>
      <c r="BQ588" s="3055"/>
      <c r="BR588" s="3055"/>
      <c r="BS588" s="3055"/>
      <c r="BT588" s="3055"/>
      <c r="BU588" s="3055"/>
      <c r="BV588" s="3055"/>
      <c r="BW588" s="3055"/>
      <c r="BX588" s="3055"/>
      <c r="BY588" s="3055"/>
      <c r="BZ588" s="3055"/>
      <c r="CA588" s="3055"/>
      <c r="CB588" s="3055"/>
      <c r="CC588" s="3056"/>
      <c r="CD588" s="3057">
        <f t="shared" si="0"/>
      </c>
      <c r="CE588" s="3054"/>
      <c r="CF588" s="3054"/>
      <c r="CG588" s="3055"/>
      <c r="CH588" s="3055"/>
      <c r="CI588" s="3055"/>
      <c r="CJ588" s="3055"/>
      <c r="CK588" s="3055"/>
      <c r="CL588" s="3055"/>
      <c r="CM588" s="3055"/>
      <c r="CN588" s="3055"/>
      <c r="CO588" s="3055"/>
      <c r="CP588" s="3055"/>
      <c r="CQ588" s="3055"/>
      <c r="CR588" s="3055"/>
      <c r="CS588" s="3055"/>
      <c r="CU588" s="3054"/>
      <c r="CV588" s="696"/>
      <c r="CW588" s="696"/>
      <c r="CZ588" s="3060">
        <f t="shared" si="17"/>
      </c>
      <c r="DA588" s="3060">
        <f t="shared" si="1"/>
      </c>
      <c r="DB588" s="3060">
        <f t="shared" si="18"/>
      </c>
      <c r="DC588" s="3060">
        <f t="shared" si="19"/>
      </c>
      <c r="DD588" s="3060">
        <f t="shared" si="20"/>
      </c>
      <c r="DE588" s="3060">
        <f t="shared" si="21"/>
      </c>
      <c r="DF588" s="3060">
        <f t="shared" si="22"/>
      </c>
      <c r="DG588" s="3060">
        <f t="shared" si="23"/>
      </c>
      <c r="DH588" s="3060">
        <f t="shared" si="24"/>
      </c>
      <c r="DI588" s="3060">
        <f t="shared" si="1"/>
      </c>
    </row>
    <row r="589" ht="15" customHeight="1" s="3052" customFormat="1">
      <c r="B589" s="3054">
        <f t="shared" si="2"/>
      </c>
      <c r="C589" s="3054"/>
      <c r="D589" s="3054"/>
      <c r="E589" s="3055"/>
      <c r="F589" s="3055"/>
      <c r="G589" s="3055"/>
      <c r="H589" s="3055"/>
      <c r="I589" s="3055"/>
      <c r="J589" s="3055"/>
      <c r="K589" s="3055"/>
      <c r="L589" s="3055"/>
      <c r="M589" s="3055"/>
      <c r="N589" s="3055"/>
      <c r="O589" s="3055"/>
      <c r="P589" s="3055"/>
      <c r="Q589" s="3055"/>
      <c r="R589" s="3055">
        <f t="shared" si="3"/>
        <v>0</v>
      </c>
      <c r="S589" s="3055">
        <f t="shared" si="4"/>
        <v>0</v>
      </c>
      <c r="T589" s="3055">
        <f t="shared" si="5"/>
        <v>0</v>
      </c>
      <c r="U589" s="3055">
        <f t="shared" si="6"/>
        <v>0</v>
      </c>
      <c r="V589" s="3055">
        <f t="shared" si="7"/>
        <v>0</v>
      </c>
      <c r="W589" s="3055">
        <f t="shared" si="8"/>
        <v>0</v>
      </c>
      <c r="X589" s="3055">
        <f t="shared" si="9"/>
        <v>0</v>
      </c>
      <c r="Y589" s="3055">
        <f t="shared" si="10"/>
        <v>0</v>
      </c>
      <c r="Z589" s="3055">
        <f t="shared" si="11"/>
        <v>0</v>
      </c>
      <c r="AA589" s="3055">
        <f t="shared" si="12"/>
        <v>0</v>
      </c>
      <c r="AB589" s="3055">
        <f t="shared" si="13"/>
        <v>0</v>
      </c>
      <c r="AC589" s="3055">
        <f t="shared" si="14"/>
        <v>0</v>
      </c>
      <c r="AD589" s="3056"/>
      <c r="AE589" s="3057">
        <f t="shared" si="0"/>
      </c>
      <c r="AF589" s="3054"/>
      <c r="AG589" s="3054"/>
      <c r="AH589" s="3055"/>
      <c r="AI589" s="3055"/>
      <c r="AJ589" s="3055"/>
      <c r="AK589" s="3055"/>
      <c r="AL589" s="3055"/>
      <c r="AM589" s="3055"/>
      <c r="AN589" s="3055"/>
      <c r="AO589" s="3055"/>
      <c r="AP589" s="3055"/>
      <c r="AQ589" s="3055"/>
      <c r="AR589" s="3055"/>
      <c r="AS589" s="3055"/>
      <c r="AT589" s="3055"/>
      <c r="AU589" s="3056"/>
      <c r="AV589" s="3057">
        <f t="shared" si="15"/>
      </c>
      <c r="AW589" s="3054"/>
      <c r="AX589" s="3054"/>
      <c r="AY589" s="3055"/>
      <c r="AZ589" s="3055"/>
      <c r="BA589" s="3055"/>
      <c r="BB589" s="3055"/>
      <c r="BC589" s="3055"/>
      <c r="BD589" s="3055"/>
      <c r="BE589" s="3055"/>
      <c r="BF589" s="3055"/>
      <c r="BG589" s="3055"/>
      <c r="BH589" s="3055"/>
      <c r="BI589" s="3055"/>
      <c r="BJ589" s="3055"/>
      <c r="BK589" s="3055"/>
      <c r="BL589" s="3056"/>
      <c r="BM589" s="3057">
        <f t="shared" si="16"/>
      </c>
      <c r="BN589" s="3054"/>
      <c r="BO589" s="3054"/>
      <c r="BP589" s="3055"/>
      <c r="BQ589" s="3055"/>
      <c r="BR589" s="3055"/>
      <c r="BS589" s="3055"/>
      <c r="BT589" s="3055"/>
      <c r="BU589" s="3055"/>
      <c r="BV589" s="3055"/>
      <c r="BW589" s="3055"/>
      <c r="BX589" s="3055"/>
      <c r="BY589" s="3055"/>
      <c r="BZ589" s="3055"/>
      <c r="CA589" s="3055"/>
      <c r="CB589" s="3055"/>
      <c r="CC589" s="3056"/>
      <c r="CD589" s="3057">
        <f t="shared" si="0"/>
      </c>
      <c r="CE589" s="3054"/>
      <c r="CF589" s="3054"/>
      <c r="CG589" s="3055"/>
      <c r="CH589" s="3055"/>
      <c r="CI589" s="3055"/>
      <c r="CJ589" s="3055"/>
      <c r="CK589" s="3055"/>
      <c r="CL589" s="3055"/>
      <c r="CM589" s="3055"/>
      <c r="CN589" s="3055"/>
      <c r="CO589" s="3055"/>
      <c r="CP589" s="3055"/>
      <c r="CQ589" s="3055"/>
      <c r="CR589" s="3055"/>
      <c r="CS589" s="3055"/>
      <c r="CU589" s="3054"/>
      <c r="CV589" s="696"/>
      <c r="CW589" s="696"/>
      <c r="CZ589" s="3060">
        <f t="shared" si="17"/>
      </c>
      <c r="DA589" s="3060">
        <f t="shared" si="1"/>
      </c>
      <c r="DB589" s="3060">
        <f t="shared" si="18"/>
      </c>
      <c r="DC589" s="3060">
        <f t="shared" si="19"/>
      </c>
      <c r="DD589" s="3060">
        <f t="shared" si="20"/>
      </c>
      <c r="DE589" s="3060">
        <f t="shared" si="21"/>
      </c>
      <c r="DF589" s="3060">
        <f t="shared" si="22"/>
      </c>
      <c r="DG589" s="3060">
        <f t="shared" si="23"/>
      </c>
      <c r="DH589" s="3060">
        <f t="shared" si="24"/>
      </c>
      <c r="DI589" s="3060">
        <f t="shared" si="1"/>
      </c>
    </row>
    <row r="590" ht="15" customHeight="1" s="3052" customFormat="1">
      <c r="B590" s="3054">
        <f t="shared" si="2"/>
      </c>
      <c r="C590" s="3054"/>
      <c r="D590" s="3054"/>
      <c r="E590" s="3055"/>
      <c r="F590" s="3055"/>
      <c r="G590" s="3055"/>
      <c r="H590" s="3055"/>
      <c r="I590" s="3055"/>
      <c r="J590" s="3055"/>
      <c r="K590" s="3055"/>
      <c r="L590" s="3055"/>
      <c r="M590" s="3055"/>
      <c r="N590" s="3055"/>
      <c r="O590" s="3055"/>
      <c r="P590" s="3055"/>
      <c r="Q590" s="3055"/>
      <c r="R590" s="3055">
        <f t="shared" si="3"/>
        <v>0</v>
      </c>
      <c r="S590" s="3055">
        <f t="shared" si="4"/>
        <v>0</v>
      </c>
      <c r="T590" s="3055">
        <f t="shared" si="5"/>
        <v>0</v>
      </c>
      <c r="U590" s="3055">
        <f t="shared" si="6"/>
        <v>0</v>
      </c>
      <c r="V590" s="3055">
        <f t="shared" si="7"/>
        <v>0</v>
      </c>
      <c r="W590" s="3055">
        <f t="shared" si="8"/>
        <v>0</v>
      </c>
      <c r="X590" s="3055">
        <f t="shared" si="9"/>
        <v>0</v>
      </c>
      <c r="Y590" s="3055">
        <f t="shared" si="10"/>
        <v>0</v>
      </c>
      <c r="Z590" s="3055">
        <f t="shared" si="11"/>
        <v>0</v>
      </c>
      <c r="AA590" s="3055">
        <f t="shared" si="12"/>
        <v>0</v>
      </c>
      <c r="AB590" s="3055">
        <f t="shared" si="13"/>
        <v>0</v>
      </c>
      <c r="AC590" s="3055">
        <f t="shared" si="14"/>
        <v>0</v>
      </c>
      <c r="AD590" s="3056"/>
      <c r="AE590" s="3057">
        <f t="shared" si="0"/>
      </c>
      <c r="AF590" s="3054"/>
      <c r="AG590" s="3054"/>
      <c r="AH590" s="3055"/>
      <c r="AI590" s="3055"/>
      <c r="AJ590" s="3055"/>
      <c r="AK590" s="3055"/>
      <c r="AL590" s="3055"/>
      <c r="AM590" s="3055"/>
      <c r="AN590" s="3055"/>
      <c r="AO590" s="3055"/>
      <c r="AP590" s="3055"/>
      <c r="AQ590" s="3055"/>
      <c r="AR590" s="3055"/>
      <c r="AS590" s="3055"/>
      <c r="AT590" s="3055"/>
      <c r="AU590" s="3056"/>
      <c r="AV590" s="3057">
        <f t="shared" si="15"/>
      </c>
      <c r="AW590" s="3054"/>
      <c r="AX590" s="3054"/>
      <c r="AY590" s="3055"/>
      <c r="AZ590" s="3055"/>
      <c r="BA590" s="3055"/>
      <c r="BB590" s="3055"/>
      <c r="BC590" s="3055"/>
      <c r="BD590" s="3055"/>
      <c r="BE590" s="3055"/>
      <c r="BF590" s="3055"/>
      <c r="BG590" s="3055"/>
      <c r="BH590" s="3055"/>
      <c r="BI590" s="3055"/>
      <c r="BJ590" s="3055"/>
      <c r="BK590" s="3055"/>
      <c r="BL590" s="3056"/>
      <c r="BM590" s="3057">
        <f t="shared" si="16"/>
      </c>
      <c r="BN590" s="3054"/>
      <c r="BO590" s="3054"/>
      <c r="BP590" s="3055"/>
      <c r="BQ590" s="3055"/>
      <c r="BR590" s="3055"/>
      <c r="BS590" s="3055"/>
      <c r="BT590" s="3055"/>
      <c r="BU590" s="3055"/>
      <c r="BV590" s="3055"/>
      <c r="BW590" s="3055"/>
      <c r="BX590" s="3055"/>
      <c r="BY590" s="3055"/>
      <c r="BZ590" s="3055"/>
      <c r="CA590" s="3055"/>
      <c r="CB590" s="3055"/>
      <c r="CC590" s="3056"/>
      <c r="CD590" s="3057">
        <f t="shared" si="0"/>
      </c>
      <c r="CE590" s="3054"/>
      <c r="CF590" s="3054"/>
      <c r="CG590" s="3055"/>
      <c r="CH590" s="3055"/>
      <c r="CI590" s="3055"/>
      <c r="CJ590" s="3055"/>
      <c r="CK590" s="3055"/>
      <c r="CL590" s="3055"/>
      <c r="CM590" s="3055"/>
      <c r="CN590" s="3055"/>
      <c r="CO590" s="3055"/>
      <c r="CP590" s="3055"/>
      <c r="CQ590" s="3055"/>
      <c r="CR590" s="3055"/>
      <c r="CS590" s="3055"/>
      <c r="CU590" s="3054"/>
      <c r="CV590" s="696"/>
      <c r="CW590" s="696"/>
      <c r="CZ590" s="3060">
        <f t="shared" si="17"/>
      </c>
      <c r="DA590" s="3060">
        <f t="shared" si="1"/>
      </c>
      <c r="DB590" s="3060">
        <f t="shared" si="18"/>
      </c>
      <c r="DC590" s="3060">
        <f t="shared" si="19"/>
      </c>
      <c r="DD590" s="3060">
        <f t="shared" si="20"/>
      </c>
      <c r="DE590" s="3060">
        <f t="shared" si="21"/>
      </c>
      <c r="DF590" s="3060">
        <f t="shared" si="22"/>
      </c>
      <c r="DG590" s="3060">
        <f t="shared" si="23"/>
      </c>
      <c r="DH590" s="3060">
        <f t="shared" si="24"/>
      </c>
      <c r="DI590" s="3060">
        <f t="shared" si="1"/>
      </c>
    </row>
    <row r="591" ht="15" customHeight="1" s="3052" customFormat="1">
      <c r="B591" s="3054">
        <f t="shared" si="2"/>
      </c>
      <c r="C591" s="3054"/>
      <c r="D591" s="3054"/>
      <c r="E591" s="3055"/>
      <c r="F591" s="3055"/>
      <c r="G591" s="3055"/>
      <c r="H591" s="3055"/>
      <c r="I591" s="3055"/>
      <c r="J591" s="3055"/>
      <c r="K591" s="3055"/>
      <c r="L591" s="3055"/>
      <c r="M591" s="3055"/>
      <c r="N591" s="3055"/>
      <c r="O591" s="3055"/>
      <c r="P591" s="3055"/>
      <c r="Q591" s="3055"/>
      <c r="R591" s="3055">
        <f t="shared" si="3"/>
        <v>0</v>
      </c>
      <c r="S591" s="3055">
        <f t="shared" si="4"/>
        <v>0</v>
      </c>
      <c r="T591" s="3055">
        <f t="shared" si="5"/>
        <v>0</v>
      </c>
      <c r="U591" s="3055">
        <f t="shared" si="6"/>
        <v>0</v>
      </c>
      <c r="V591" s="3055">
        <f t="shared" si="7"/>
        <v>0</v>
      </c>
      <c r="W591" s="3055">
        <f t="shared" si="8"/>
        <v>0</v>
      </c>
      <c r="X591" s="3055">
        <f t="shared" si="9"/>
        <v>0</v>
      </c>
      <c r="Y591" s="3055">
        <f t="shared" si="10"/>
        <v>0</v>
      </c>
      <c r="Z591" s="3055">
        <f t="shared" si="11"/>
        <v>0</v>
      </c>
      <c r="AA591" s="3055">
        <f t="shared" si="12"/>
        <v>0</v>
      </c>
      <c r="AB591" s="3055">
        <f t="shared" si="13"/>
        <v>0</v>
      </c>
      <c r="AC591" s="3055">
        <f t="shared" si="14"/>
        <v>0</v>
      </c>
      <c r="AD591" s="3056"/>
      <c r="AE591" s="3057">
        <f t="shared" si="0"/>
      </c>
      <c r="AF591" s="3054"/>
      <c r="AG591" s="3054"/>
      <c r="AH591" s="3055"/>
      <c r="AI591" s="3055"/>
      <c r="AJ591" s="3055"/>
      <c r="AK591" s="3055"/>
      <c r="AL591" s="3055"/>
      <c r="AM591" s="3055"/>
      <c r="AN591" s="3055"/>
      <c r="AO591" s="3055"/>
      <c r="AP591" s="3055"/>
      <c r="AQ591" s="3055"/>
      <c r="AR591" s="3055"/>
      <c r="AS591" s="3055"/>
      <c r="AT591" s="3055"/>
      <c r="AU591" s="3056"/>
      <c r="AV591" s="3057">
        <f t="shared" si="15"/>
      </c>
      <c r="AW591" s="3054"/>
      <c r="AX591" s="3054"/>
      <c r="AY591" s="3055"/>
      <c r="AZ591" s="3055"/>
      <c r="BA591" s="3055"/>
      <c r="BB591" s="3055"/>
      <c r="BC591" s="3055"/>
      <c r="BD591" s="3055"/>
      <c r="BE591" s="3055"/>
      <c r="BF591" s="3055"/>
      <c r="BG591" s="3055"/>
      <c r="BH591" s="3055"/>
      <c r="BI591" s="3055"/>
      <c r="BJ591" s="3055"/>
      <c r="BK591" s="3055"/>
      <c r="BL591" s="3056"/>
      <c r="BM591" s="3057">
        <f t="shared" si="16"/>
      </c>
      <c r="BN591" s="3054"/>
      <c r="BO591" s="3054"/>
      <c r="BP591" s="3055"/>
      <c r="BQ591" s="3055"/>
      <c r="BR591" s="3055"/>
      <c r="BS591" s="3055"/>
      <c r="BT591" s="3055"/>
      <c r="BU591" s="3055"/>
      <c r="BV591" s="3055"/>
      <c r="BW591" s="3055"/>
      <c r="BX591" s="3055"/>
      <c r="BY591" s="3055"/>
      <c r="BZ591" s="3055"/>
      <c r="CA591" s="3055"/>
      <c r="CB591" s="3055"/>
      <c r="CC591" s="3056"/>
      <c r="CD591" s="3057">
        <f t="shared" si="0"/>
      </c>
      <c r="CE591" s="3054"/>
      <c r="CF591" s="3054"/>
      <c r="CG591" s="3055"/>
      <c r="CH591" s="3055"/>
      <c r="CI591" s="3055"/>
      <c r="CJ591" s="3055"/>
      <c r="CK591" s="3055"/>
      <c r="CL591" s="3055"/>
      <c r="CM591" s="3055"/>
      <c r="CN591" s="3055"/>
      <c r="CO591" s="3055"/>
      <c r="CP591" s="3055"/>
      <c r="CQ591" s="3055"/>
      <c r="CR591" s="3055"/>
      <c r="CS591" s="3055"/>
      <c r="CU591" s="3054"/>
      <c r="CV591" s="696"/>
      <c r="CW591" s="696"/>
      <c r="CZ591" s="3060">
        <f t="shared" si="17"/>
      </c>
      <c r="DA591" s="3060">
        <f t="shared" si="1"/>
      </c>
      <c r="DB591" s="3060">
        <f t="shared" si="18"/>
      </c>
      <c r="DC591" s="3060">
        <f t="shared" si="19"/>
      </c>
      <c r="DD591" s="3060">
        <f t="shared" si="20"/>
      </c>
      <c r="DE591" s="3060">
        <f t="shared" si="21"/>
      </c>
      <c r="DF591" s="3060">
        <f t="shared" si="22"/>
      </c>
      <c r="DG591" s="3060">
        <f t="shared" si="23"/>
      </c>
      <c r="DH591" s="3060">
        <f t="shared" si="24"/>
      </c>
      <c r="DI591" s="3060">
        <f t="shared" si="1"/>
      </c>
    </row>
    <row r="592" ht="15" customHeight="1" s="3052" customFormat="1">
      <c r="B592" s="3054">
        <f t="shared" si="2"/>
      </c>
      <c r="C592" s="3054"/>
      <c r="D592" s="3054"/>
      <c r="E592" s="3055"/>
      <c r="F592" s="3055"/>
      <c r="G592" s="3055"/>
      <c r="H592" s="3055"/>
      <c r="I592" s="3055"/>
      <c r="J592" s="3055"/>
      <c r="K592" s="3055"/>
      <c r="L592" s="3055"/>
      <c r="M592" s="3055"/>
      <c r="N592" s="3055"/>
      <c r="O592" s="3055"/>
      <c r="P592" s="3055"/>
      <c r="Q592" s="3055"/>
      <c r="R592" s="3055">
        <f t="shared" si="3"/>
        <v>0</v>
      </c>
      <c r="S592" s="3055">
        <f t="shared" si="4"/>
        <v>0</v>
      </c>
      <c r="T592" s="3055">
        <f t="shared" si="5"/>
        <v>0</v>
      </c>
      <c r="U592" s="3055">
        <f t="shared" si="6"/>
        <v>0</v>
      </c>
      <c r="V592" s="3055">
        <f t="shared" si="7"/>
        <v>0</v>
      </c>
      <c r="W592" s="3055">
        <f t="shared" si="8"/>
        <v>0</v>
      </c>
      <c r="X592" s="3055">
        <f t="shared" si="9"/>
        <v>0</v>
      </c>
      <c r="Y592" s="3055">
        <f t="shared" si="10"/>
        <v>0</v>
      </c>
      <c r="Z592" s="3055">
        <f t="shared" si="11"/>
        <v>0</v>
      </c>
      <c r="AA592" s="3055">
        <f t="shared" si="12"/>
        <v>0</v>
      </c>
      <c r="AB592" s="3055">
        <f t="shared" si="13"/>
        <v>0</v>
      </c>
      <c r="AC592" s="3055">
        <f t="shared" si="14"/>
        <v>0</v>
      </c>
      <c r="AD592" s="3056"/>
      <c r="AE592" s="3057">
        <f t="shared" si="0"/>
      </c>
      <c r="AF592" s="3054"/>
      <c r="AG592" s="3054"/>
      <c r="AH592" s="3055"/>
      <c r="AI592" s="3055"/>
      <c r="AJ592" s="3055"/>
      <c r="AK592" s="3055"/>
      <c r="AL592" s="3055"/>
      <c r="AM592" s="3055"/>
      <c r="AN592" s="3055"/>
      <c r="AO592" s="3055"/>
      <c r="AP592" s="3055"/>
      <c r="AQ592" s="3055"/>
      <c r="AR592" s="3055"/>
      <c r="AS592" s="3055"/>
      <c r="AT592" s="3055"/>
      <c r="AU592" s="3056"/>
      <c r="AV592" s="3057">
        <f t="shared" si="15"/>
      </c>
      <c r="AW592" s="3054"/>
      <c r="AX592" s="3054"/>
      <c r="AY592" s="3055"/>
      <c r="AZ592" s="3055"/>
      <c r="BA592" s="3055"/>
      <c r="BB592" s="3055"/>
      <c r="BC592" s="3055"/>
      <c r="BD592" s="3055"/>
      <c r="BE592" s="3055"/>
      <c r="BF592" s="3055"/>
      <c r="BG592" s="3055"/>
      <c r="BH592" s="3055"/>
      <c r="BI592" s="3055"/>
      <c r="BJ592" s="3055"/>
      <c r="BK592" s="3055"/>
      <c r="BL592" s="3056"/>
      <c r="BM592" s="3057">
        <f t="shared" si="16"/>
      </c>
      <c r="BN592" s="3054"/>
      <c r="BO592" s="3054"/>
      <c r="BP592" s="3055"/>
      <c r="BQ592" s="3055"/>
      <c r="BR592" s="3055"/>
      <c r="BS592" s="3055"/>
      <c r="BT592" s="3055"/>
      <c r="BU592" s="3055"/>
      <c r="BV592" s="3055"/>
      <c r="BW592" s="3055"/>
      <c r="BX592" s="3055"/>
      <c r="BY592" s="3055"/>
      <c r="BZ592" s="3055"/>
      <c r="CA592" s="3055"/>
      <c r="CB592" s="3055"/>
      <c r="CC592" s="3056"/>
      <c r="CD592" s="3057">
        <f t="shared" si="0"/>
      </c>
      <c r="CE592" s="3054"/>
      <c r="CF592" s="3054"/>
      <c r="CG592" s="3055"/>
      <c r="CH592" s="3055"/>
      <c r="CI592" s="3055"/>
      <c r="CJ592" s="3055"/>
      <c r="CK592" s="3055"/>
      <c r="CL592" s="3055"/>
      <c r="CM592" s="3055"/>
      <c r="CN592" s="3055"/>
      <c r="CO592" s="3055"/>
      <c r="CP592" s="3055"/>
      <c r="CQ592" s="3055"/>
      <c r="CR592" s="3055"/>
      <c r="CS592" s="3055"/>
      <c r="CU592" s="3054"/>
      <c r="CV592" s="696"/>
      <c r="CW592" s="696"/>
      <c r="CZ592" s="3060">
        <f t="shared" si="17"/>
      </c>
      <c r="DA592" s="3060">
        <f t="shared" si="1"/>
      </c>
      <c r="DB592" s="3060">
        <f t="shared" si="18"/>
      </c>
      <c r="DC592" s="3060">
        <f t="shared" si="19"/>
      </c>
      <c r="DD592" s="3060">
        <f t="shared" si="20"/>
      </c>
      <c r="DE592" s="3060">
        <f t="shared" si="21"/>
      </c>
      <c r="DF592" s="3060">
        <f t="shared" si="22"/>
      </c>
      <c r="DG592" s="3060">
        <f t="shared" si="23"/>
      </c>
      <c r="DH592" s="3060">
        <f t="shared" si="24"/>
      </c>
      <c r="DI592" s="3060">
        <f t="shared" si="1"/>
      </c>
    </row>
    <row r="593" ht="15" customHeight="1" s="3052" customFormat="1">
      <c r="B593" s="3054">
        <f t="shared" si="2"/>
      </c>
      <c r="C593" s="3054"/>
      <c r="D593" s="3054"/>
      <c r="E593" s="3055"/>
      <c r="F593" s="3055"/>
      <c r="G593" s="3055"/>
      <c r="H593" s="3055"/>
      <c r="I593" s="3055"/>
      <c r="J593" s="3055"/>
      <c r="K593" s="3055"/>
      <c r="L593" s="3055"/>
      <c r="M593" s="3055"/>
      <c r="N593" s="3055"/>
      <c r="O593" s="3055"/>
      <c r="P593" s="3055"/>
      <c r="Q593" s="3055"/>
      <c r="R593" s="3055">
        <f t="shared" si="3"/>
        <v>0</v>
      </c>
      <c r="S593" s="3055">
        <f t="shared" si="4"/>
        <v>0</v>
      </c>
      <c r="T593" s="3055">
        <f t="shared" si="5"/>
        <v>0</v>
      </c>
      <c r="U593" s="3055">
        <f t="shared" si="6"/>
        <v>0</v>
      </c>
      <c r="V593" s="3055">
        <f t="shared" si="7"/>
        <v>0</v>
      </c>
      <c r="W593" s="3055">
        <f t="shared" si="8"/>
        <v>0</v>
      </c>
      <c r="X593" s="3055">
        <f t="shared" si="9"/>
        <v>0</v>
      </c>
      <c r="Y593" s="3055">
        <f t="shared" si="10"/>
        <v>0</v>
      </c>
      <c r="Z593" s="3055">
        <f t="shared" si="11"/>
        <v>0</v>
      </c>
      <c r="AA593" s="3055">
        <f t="shared" si="12"/>
        <v>0</v>
      </c>
      <c r="AB593" s="3055">
        <f t="shared" si="13"/>
        <v>0</v>
      </c>
      <c r="AC593" s="3055">
        <f t="shared" si="14"/>
        <v>0</v>
      </c>
      <c r="AD593" s="3056"/>
      <c r="AE593" s="3057">
        <f t="shared" si="0"/>
      </c>
      <c r="AF593" s="3054"/>
      <c r="AG593" s="3054"/>
      <c r="AH593" s="3055"/>
      <c r="AI593" s="3055"/>
      <c r="AJ593" s="3055"/>
      <c r="AK593" s="3055"/>
      <c r="AL593" s="3055"/>
      <c r="AM593" s="3055"/>
      <c r="AN593" s="3055"/>
      <c r="AO593" s="3055"/>
      <c r="AP593" s="3055"/>
      <c r="AQ593" s="3055"/>
      <c r="AR593" s="3055"/>
      <c r="AS593" s="3055"/>
      <c r="AT593" s="3055"/>
      <c r="AU593" s="3056"/>
      <c r="AV593" s="3057">
        <f t="shared" si="15"/>
      </c>
      <c r="AW593" s="3054"/>
      <c r="AX593" s="3054"/>
      <c r="AY593" s="3055"/>
      <c r="AZ593" s="3055"/>
      <c r="BA593" s="3055"/>
      <c r="BB593" s="3055"/>
      <c r="BC593" s="3055"/>
      <c r="BD593" s="3055"/>
      <c r="BE593" s="3055"/>
      <c r="BF593" s="3055"/>
      <c r="BG593" s="3055"/>
      <c r="BH593" s="3055"/>
      <c r="BI593" s="3055"/>
      <c r="BJ593" s="3055"/>
      <c r="BK593" s="3055"/>
      <c r="BL593" s="3056"/>
      <c r="BM593" s="3057">
        <f t="shared" si="16"/>
      </c>
      <c r="BN593" s="3054"/>
      <c r="BO593" s="3054"/>
      <c r="BP593" s="3055"/>
      <c r="BQ593" s="3055"/>
      <c r="BR593" s="3055"/>
      <c r="BS593" s="3055"/>
      <c r="BT593" s="3055"/>
      <c r="BU593" s="3055"/>
      <c r="BV593" s="3055"/>
      <c r="BW593" s="3055"/>
      <c r="BX593" s="3055"/>
      <c r="BY593" s="3055"/>
      <c r="BZ593" s="3055"/>
      <c r="CA593" s="3055"/>
      <c r="CB593" s="3055"/>
      <c r="CC593" s="3056"/>
      <c r="CD593" s="3057">
        <f t="shared" si="0"/>
      </c>
      <c r="CE593" s="3054"/>
      <c r="CF593" s="3054"/>
      <c r="CG593" s="3055"/>
      <c r="CH593" s="3055"/>
      <c r="CI593" s="3055"/>
      <c r="CJ593" s="3055"/>
      <c r="CK593" s="3055"/>
      <c r="CL593" s="3055"/>
      <c r="CM593" s="3055"/>
      <c r="CN593" s="3055"/>
      <c r="CO593" s="3055"/>
      <c r="CP593" s="3055"/>
      <c r="CQ593" s="3055"/>
      <c r="CR593" s="3055"/>
      <c r="CS593" s="3055"/>
      <c r="CU593" s="3054"/>
      <c r="CV593" s="696"/>
      <c r="CW593" s="696"/>
      <c r="CZ593" s="3060">
        <f t="shared" si="17"/>
      </c>
      <c r="DA593" s="3060">
        <f t="shared" si="1"/>
      </c>
      <c r="DB593" s="3060">
        <f t="shared" si="18"/>
      </c>
      <c r="DC593" s="3060">
        <f t="shared" si="19"/>
      </c>
      <c r="DD593" s="3060">
        <f t="shared" si="20"/>
      </c>
      <c r="DE593" s="3060">
        <f t="shared" si="21"/>
      </c>
      <c r="DF593" s="3060">
        <f t="shared" si="22"/>
      </c>
      <c r="DG593" s="3060">
        <f t="shared" si="23"/>
      </c>
      <c r="DH593" s="3060">
        <f t="shared" si="24"/>
      </c>
      <c r="DI593" s="3060">
        <f t="shared" si="1"/>
      </c>
    </row>
    <row r="594" ht="15" customHeight="1" s="3052" customFormat="1">
      <c r="B594" s="3054">
        <f t="shared" si="2"/>
      </c>
      <c r="C594" s="3054"/>
      <c r="D594" s="3054"/>
      <c r="E594" s="3055"/>
      <c r="F594" s="3055"/>
      <c r="G594" s="3055"/>
      <c r="H594" s="3055"/>
      <c r="I594" s="3055"/>
      <c r="J594" s="3055"/>
      <c r="K594" s="3055"/>
      <c r="L594" s="3055"/>
      <c r="M594" s="3055"/>
      <c r="N594" s="3055"/>
      <c r="O594" s="3055"/>
      <c r="P594" s="3055"/>
      <c r="Q594" s="3055"/>
      <c r="R594" s="3055">
        <f t="shared" si="3"/>
        <v>0</v>
      </c>
      <c r="S594" s="3055">
        <f t="shared" si="4"/>
        <v>0</v>
      </c>
      <c r="T594" s="3055">
        <f t="shared" si="5"/>
        <v>0</v>
      </c>
      <c r="U594" s="3055">
        <f t="shared" si="6"/>
        <v>0</v>
      </c>
      <c r="V594" s="3055">
        <f t="shared" si="7"/>
        <v>0</v>
      </c>
      <c r="W594" s="3055">
        <f t="shared" si="8"/>
        <v>0</v>
      </c>
      <c r="X594" s="3055">
        <f t="shared" si="9"/>
        <v>0</v>
      </c>
      <c r="Y594" s="3055">
        <f t="shared" si="10"/>
        <v>0</v>
      </c>
      <c r="Z594" s="3055">
        <f t="shared" si="11"/>
        <v>0</v>
      </c>
      <c r="AA594" s="3055">
        <f t="shared" si="12"/>
        <v>0</v>
      </c>
      <c r="AB594" s="3055">
        <f t="shared" si="13"/>
        <v>0</v>
      </c>
      <c r="AC594" s="3055">
        <f t="shared" si="14"/>
        <v>0</v>
      </c>
      <c r="AD594" s="3056"/>
      <c r="AE594" s="3057">
        <f t="shared" si="0"/>
      </c>
      <c r="AF594" s="3054"/>
      <c r="AG594" s="3054"/>
      <c r="AH594" s="3055"/>
      <c r="AI594" s="3055"/>
      <c r="AJ594" s="3055"/>
      <c r="AK594" s="3055"/>
      <c r="AL594" s="3055"/>
      <c r="AM594" s="3055"/>
      <c r="AN594" s="3055"/>
      <c r="AO594" s="3055"/>
      <c r="AP594" s="3055"/>
      <c r="AQ594" s="3055"/>
      <c r="AR594" s="3055"/>
      <c r="AS594" s="3055"/>
      <c r="AT594" s="3055"/>
      <c r="AU594" s="3056"/>
      <c r="AV594" s="3057">
        <f t="shared" si="15"/>
      </c>
      <c r="AW594" s="3054"/>
      <c r="AX594" s="3054"/>
      <c r="AY594" s="3055"/>
      <c r="AZ594" s="3055"/>
      <c r="BA594" s="3055"/>
      <c r="BB594" s="3055"/>
      <c r="BC594" s="3055"/>
      <c r="BD594" s="3055"/>
      <c r="BE594" s="3055"/>
      <c r="BF594" s="3055"/>
      <c r="BG594" s="3055"/>
      <c r="BH594" s="3055"/>
      <c r="BI594" s="3055"/>
      <c r="BJ594" s="3055"/>
      <c r="BK594" s="3055"/>
      <c r="BL594" s="3056"/>
      <c r="BM594" s="3057">
        <f t="shared" si="16"/>
      </c>
      <c r="BN594" s="3054"/>
      <c r="BO594" s="3054"/>
      <c r="BP594" s="3055"/>
      <c r="BQ594" s="3055"/>
      <c r="BR594" s="3055"/>
      <c r="BS594" s="3055"/>
      <c r="BT594" s="3055"/>
      <c r="BU594" s="3055"/>
      <c r="BV594" s="3055"/>
      <c r="BW594" s="3055"/>
      <c r="BX594" s="3055"/>
      <c r="BY594" s="3055"/>
      <c r="BZ594" s="3055"/>
      <c r="CA594" s="3055"/>
      <c r="CB594" s="3055"/>
      <c r="CC594" s="3056"/>
      <c r="CD594" s="3057">
        <f t="shared" si="0"/>
      </c>
      <c r="CE594" s="3054"/>
      <c r="CF594" s="3054"/>
      <c r="CG594" s="3055"/>
      <c r="CH594" s="3055"/>
      <c r="CI594" s="3055"/>
      <c r="CJ594" s="3055"/>
      <c r="CK594" s="3055"/>
      <c r="CL594" s="3055"/>
      <c r="CM594" s="3055"/>
      <c r="CN594" s="3055"/>
      <c r="CO594" s="3055"/>
      <c r="CP594" s="3055"/>
      <c r="CQ594" s="3055"/>
      <c r="CR594" s="3055"/>
      <c r="CS594" s="3055"/>
      <c r="CU594" s="3054"/>
      <c r="CV594" s="696"/>
      <c r="CW594" s="696"/>
      <c r="CZ594" s="3060">
        <f t="shared" si="17"/>
      </c>
      <c r="DA594" s="3060">
        <f t="shared" si="1"/>
      </c>
      <c r="DB594" s="3060">
        <f t="shared" si="18"/>
      </c>
      <c r="DC594" s="3060">
        <f t="shared" si="19"/>
      </c>
      <c r="DD594" s="3060">
        <f t="shared" si="20"/>
      </c>
      <c r="DE594" s="3060">
        <f t="shared" si="21"/>
      </c>
      <c r="DF594" s="3060">
        <f t="shared" si="22"/>
      </c>
      <c r="DG594" s="3060">
        <f t="shared" si="23"/>
      </c>
      <c r="DH594" s="3060">
        <f t="shared" si="24"/>
      </c>
      <c r="DI594" s="3060">
        <f t="shared" si="1"/>
      </c>
    </row>
    <row r="595" ht="15" customHeight="1" s="3052" customFormat="1">
      <c r="B595" s="3054">
        <f t="shared" si="2"/>
      </c>
      <c r="C595" s="3054"/>
      <c r="D595" s="3054"/>
      <c r="E595" s="3055"/>
      <c r="F595" s="3055"/>
      <c r="G595" s="3055"/>
      <c r="H595" s="3055"/>
      <c r="I595" s="3055"/>
      <c r="J595" s="3055"/>
      <c r="K595" s="3055"/>
      <c r="L595" s="3055"/>
      <c r="M595" s="3055"/>
      <c r="N595" s="3055"/>
      <c r="O595" s="3055"/>
      <c r="P595" s="3055"/>
      <c r="Q595" s="3055"/>
      <c r="R595" s="3055">
        <f t="shared" si="3"/>
        <v>0</v>
      </c>
      <c r="S595" s="3055">
        <f t="shared" si="4"/>
        <v>0</v>
      </c>
      <c r="T595" s="3055">
        <f t="shared" si="5"/>
        <v>0</v>
      </c>
      <c r="U595" s="3055">
        <f t="shared" si="6"/>
        <v>0</v>
      </c>
      <c r="V595" s="3055">
        <f t="shared" si="7"/>
        <v>0</v>
      </c>
      <c r="W595" s="3055">
        <f t="shared" si="8"/>
        <v>0</v>
      </c>
      <c r="X595" s="3055">
        <f t="shared" si="9"/>
        <v>0</v>
      </c>
      <c r="Y595" s="3055">
        <f t="shared" si="10"/>
        <v>0</v>
      </c>
      <c r="Z595" s="3055">
        <f t="shared" si="11"/>
        <v>0</v>
      </c>
      <c r="AA595" s="3055">
        <f t="shared" si="12"/>
        <v>0</v>
      </c>
      <c r="AB595" s="3055">
        <f t="shared" si="13"/>
        <v>0</v>
      </c>
      <c r="AC595" s="3055">
        <f t="shared" si="14"/>
        <v>0</v>
      </c>
      <c r="AD595" s="3056"/>
      <c r="AE595" s="3057">
        <f t="shared" si="0"/>
      </c>
      <c r="AF595" s="3054"/>
      <c r="AG595" s="3054"/>
      <c r="AH595" s="3055"/>
      <c r="AI595" s="3055"/>
      <c r="AJ595" s="3055"/>
      <c r="AK595" s="3055"/>
      <c r="AL595" s="3055"/>
      <c r="AM595" s="3055"/>
      <c r="AN595" s="3055"/>
      <c r="AO595" s="3055"/>
      <c r="AP595" s="3055"/>
      <c r="AQ595" s="3055"/>
      <c r="AR595" s="3055"/>
      <c r="AS595" s="3055"/>
      <c r="AT595" s="3055"/>
      <c r="AU595" s="3056"/>
      <c r="AV595" s="3057">
        <f t="shared" si="15"/>
      </c>
      <c r="AW595" s="3054"/>
      <c r="AX595" s="3054"/>
      <c r="AY595" s="3055"/>
      <c r="AZ595" s="3055"/>
      <c r="BA595" s="3055"/>
      <c r="BB595" s="3055"/>
      <c r="BC595" s="3055"/>
      <c r="BD595" s="3055"/>
      <c r="BE595" s="3055"/>
      <c r="BF595" s="3055"/>
      <c r="BG595" s="3055"/>
      <c r="BH595" s="3055"/>
      <c r="BI595" s="3055"/>
      <c r="BJ595" s="3055"/>
      <c r="BK595" s="3055"/>
      <c r="BL595" s="3056"/>
      <c r="BM595" s="3057">
        <f t="shared" si="16"/>
      </c>
      <c r="BN595" s="3054"/>
      <c r="BO595" s="3054"/>
      <c r="BP595" s="3055"/>
      <c r="BQ595" s="3055"/>
      <c r="BR595" s="3055"/>
      <c r="BS595" s="3055"/>
      <c r="BT595" s="3055"/>
      <c r="BU595" s="3055"/>
      <c r="BV595" s="3055"/>
      <c r="BW595" s="3055"/>
      <c r="BX595" s="3055"/>
      <c r="BY595" s="3055"/>
      <c r="BZ595" s="3055"/>
      <c r="CA595" s="3055"/>
      <c r="CB595" s="3055"/>
      <c r="CC595" s="3056"/>
      <c r="CD595" s="3057">
        <f t="shared" si="0"/>
      </c>
      <c r="CE595" s="3054"/>
      <c r="CF595" s="3054"/>
      <c r="CG595" s="3055"/>
      <c r="CH595" s="3055"/>
      <c r="CI595" s="3055"/>
      <c r="CJ595" s="3055"/>
      <c r="CK595" s="3055"/>
      <c r="CL595" s="3055"/>
      <c r="CM595" s="3055"/>
      <c r="CN595" s="3055"/>
      <c r="CO595" s="3055"/>
      <c r="CP595" s="3055"/>
      <c r="CQ595" s="3055"/>
      <c r="CR595" s="3055"/>
      <c r="CS595" s="3055"/>
      <c r="CU595" s="3054"/>
      <c r="CV595" s="696"/>
      <c r="CW595" s="696"/>
      <c r="CZ595" s="3060">
        <f t="shared" si="17"/>
      </c>
      <c r="DA595" s="3060">
        <f t="shared" si="1"/>
      </c>
      <c r="DB595" s="3060">
        <f t="shared" si="18"/>
      </c>
      <c r="DC595" s="3060">
        <f t="shared" si="19"/>
      </c>
      <c r="DD595" s="3060">
        <f t="shared" si="20"/>
      </c>
      <c r="DE595" s="3060">
        <f t="shared" si="21"/>
      </c>
      <c r="DF595" s="3060">
        <f t="shared" si="22"/>
      </c>
      <c r="DG595" s="3060">
        <f t="shared" si="23"/>
      </c>
      <c r="DH595" s="3060">
        <f t="shared" si="24"/>
      </c>
      <c r="DI595" s="3060">
        <f t="shared" si="1"/>
      </c>
    </row>
    <row r="596" ht="15" customHeight="1" s="3052" customFormat="1">
      <c r="B596" s="3054">
        <f t="shared" si="2"/>
      </c>
      <c r="C596" s="3054"/>
      <c r="D596" s="3054"/>
      <c r="E596" s="3055"/>
      <c r="F596" s="3055"/>
      <c r="G596" s="3055"/>
      <c r="H596" s="3055"/>
      <c r="I596" s="3055"/>
      <c r="J596" s="3055"/>
      <c r="K596" s="3055"/>
      <c r="L596" s="3055"/>
      <c r="M596" s="3055"/>
      <c r="N596" s="3055"/>
      <c r="O596" s="3055"/>
      <c r="P596" s="3055"/>
      <c r="Q596" s="3055"/>
      <c r="R596" s="3055">
        <f t="shared" si="3"/>
        <v>0</v>
      </c>
      <c r="S596" s="3055">
        <f t="shared" si="4"/>
        <v>0</v>
      </c>
      <c r="T596" s="3055">
        <f t="shared" si="5"/>
        <v>0</v>
      </c>
      <c r="U596" s="3055">
        <f t="shared" si="6"/>
        <v>0</v>
      </c>
      <c r="V596" s="3055">
        <f t="shared" si="7"/>
        <v>0</v>
      </c>
      <c r="W596" s="3055">
        <f t="shared" si="8"/>
        <v>0</v>
      </c>
      <c r="X596" s="3055">
        <f t="shared" si="9"/>
        <v>0</v>
      </c>
      <c r="Y596" s="3055">
        <f t="shared" si="10"/>
        <v>0</v>
      </c>
      <c r="Z596" s="3055">
        <f t="shared" si="11"/>
        <v>0</v>
      </c>
      <c r="AA596" s="3055">
        <f t="shared" si="12"/>
        <v>0</v>
      </c>
      <c r="AB596" s="3055">
        <f t="shared" si="13"/>
        <v>0</v>
      </c>
      <c r="AC596" s="3055">
        <f t="shared" si="14"/>
        <v>0</v>
      </c>
      <c r="AD596" s="3056"/>
      <c r="AE596" s="3057">
        <f t="shared" si="0"/>
      </c>
      <c r="AF596" s="3054"/>
      <c r="AG596" s="3054"/>
      <c r="AH596" s="3055"/>
      <c r="AI596" s="3055"/>
      <c r="AJ596" s="3055"/>
      <c r="AK596" s="3055"/>
      <c r="AL596" s="3055"/>
      <c r="AM596" s="3055"/>
      <c r="AN596" s="3055"/>
      <c r="AO596" s="3055"/>
      <c r="AP596" s="3055"/>
      <c r="AQ596" s="3055"/>
      <c r="AR596" s="3055"/>
      <c r="AS596" s="3055"/>
      <c r="AT596" s="3055"/>
      <c r="AU596" s="3056"/>
      <c r="AV596" s="3057">
        <f t="shared" si="15"/>
      </c>
      <c r="AW596" s="3054"/>
      <c r="AX596" s="3054"/>
      <c r="AY596" s="3055"/>
      <c r="AZ596" s="3055"/>
      <c r="BA596" s="3055"/>
      <c r="BB596" s="3055"/>
      <c r="BC596" s="3055"/>
      <c r="BD596" s="3055"/>
      <c r="BE596" s="3055"/>
      <c r="BF596" s="3055"/>
      <c r="BG596" s="3055"/>
      <c r="BH596" s="3055"/>
      <c r="BI596" s="3055"/>
      <c r="BJ596" s="3055"/>
      <c r="BK596" s="3055"/>
      <c r="BL596" s="3056"/>
      <c r="BM596" s="3057">
        <f t="shared" si="16"/>
      </c>
      <c r="BN596" s="3054"/>
      <c r="BO596" s="3054"/>
      <c r="BP596" s="3055"/>
      <c r="BQ596" s="3055"/>
      <c r="BR596" s="3055"/>
      <c r="BS596" s="3055"/>
      <c r="BT596" s="3055"/>
      <c r="BU596" s="3055"/>
      <c r="BV596" s="3055"/>
      <c r="BW596" s="3055"/>
      <c r="BX596" s="3055"/>
      <c r="BY596" s="3055"/>
      <c r="BZ596" s="3055"/>
      <c r="CA596" s="3055"/>
      <c r="CB596" s="3055"/>
      <c r="CC596" s="3056"/>
      <c r="CD596" s="3057">
        <f t="shared" si="0"/>
      </c>
      <c r="CE596" s="3054"/>
      <c r="CF596" s="3054"/>
      <c r="CG596" s="3055"/>
      <c r="CH596" s="3055"/>
      <c r="CI596" s="3055"/>
      <c r="CJ596" s="3055"/>
      <c r="CK596" s="3055"/>
      <c r="CL596" s="3055"/>
      <c r="CM596" s="3055"/>
      <c r="CN596" s="3055"/>
      <c r="CO596" s="3055"/>
      <c r="CP596" s="3055"/>
      <c r="CQ596" s="3055"/>
      <c r="CR596" s="3055"/>
      <c r="CS596" s="3055"/>
      <c r="CU596" s="3054"/>
      <c r="CV596" s="696"/>
      <c r="CW596" s="696"/>
      <c r="CZ596" s="3060">
        <f t="shared" si="17"/>
      </c>
      <c r="DA596" s="3060">
        <f t="shared" si="1"/>
      </c>
      <c r="DB596" s="3060">
        <f t="shared" si="18"/>
      </c>
      <c r="DC596" s="3060">
        <f t="shared" si="19"/>
      </c>
      <c r="DD596" s="3060">
        <f t="shared" si="20"/>
      </c>
      <c r="DE596" s="3060">
        <f t="shared" si="21"/>
      </c>
      <c r="DF596" s="3060">
        <f t="shared" si="22"/>
      </c>
      <c r="DG596" s="3060">
        <f t="shared" si="23"/>
      </c>
      <c r="DH596" s="3060">
        <f t="shared" si="24"/>
      </c>
      <c r="DI596" s="3060">
        <f t="shared" si="1"/>
      </c>
    </row>
    <row r="597" ht="15" customHeight="1" s="3052" customFormat="1">
      <c r="B597" s="3054">
        <f t="shared" si="2"/>
      </c>
      <c r="C597" s="3054"/>
      <c r="D597" s="3054"/>
      <c r="E597" s="3055"/>
      <c r="F597" s="3055"/>
      <c r="G597" s="3055"/>
      <c r="H597" s="3055"/>
      <c r="I597" s="3055"/>
      <c r="J597" s="3055"/>
      <c r="K597" s="3055"/>
      <c r="L597" s="3055"/>
      <c r="M597" s="3055"/>
      <c r="N597" s="3055"/>
      <c r="O597" s="3055"/>
      <c r="P597" s="3055"/>
      <c r="Q597" s="3055"/>
      <c r="R597" s="3055">
        <f t="shared" si="3"/>
        <v>0</v>
      </c>
      <c r="S597" s="3055">
        <f t="shared" si="4"/>
        <v>0</v>
      </c>
      <c r="T597" s="3055">
        <f t="shared" si="5"/>
        <v>0</v>
      </c>
      <c r="U597" s="3055">
        <f t="shared" si="6"/>
        <v>0</v>
      </c>
      <c r="V597" s="3055">
        <f t="shared" si="7"/>
        <v>0</v>
      </c>
      <c r="W597" s="3055">
        <f t="shared" si="8"/>
        <v>0</v>
      </c>
      <c r="X597" s="3055">
        <f t="shared" si="9"/>
        <v>0</v>
      </c>
      <c r="Y597" s="3055">
        <f t="shared" si="10"/>
        <v>0</v>
      </c>
      <c r="Z597" s="3055">
        <f t="shared" si="11"/>
        <v>0</v>
      </c>
      <c r="AA597" s="3055">
        <f t="shared" si="12"/>
        <v>0</v>
      </c>
      <c r="AB597" s="3055">
        <f t="shared" si="13"/>
        <v>0</v>
      </c>
      <c r="AC597" s="3055">
        <f t="shared" si="14"/>
        <v>0</v>
      </c>
      <c r="AD597" s="3056"/>
      <c r="AE597" s="3057">
        <f t="shared" si="0"/>
      </c>
      <c r="AF597" s="3054"/>
      <c r="AG597" s="3054"/>
      <c r="AH597" s="3055"/>
      <c r="AI597" s="3055"/>
      <c r="AJ597" s="3055"/>
      <c r="AK597" s="3055"/>
      <c r="AL597" s="3055"/>
      <c r="AM597" s="3055"/>
      <c r="AN597" s="3055"/>
      <c r="AO597" s="3055"/>
      <c r="AP597" s="3055"/>
      <c r="AQ597" s="3055"/>
      <c r="AR597" s="3055"/>
      <c r="AS597" s="3055"/>
      <c r="AT597" s="3055"/>
      <c r="AU597" s="3056"/>
      <c r="AV597" s="3057">
        <f t="shared" si="15"/>
      </c>
      <c r="AW597" s="3054"/>
      <c r="AX597" s="3054"/>
      <c r="AY597" s="3055"/>
      <c r="AZ597" s="3055"/>
      <c r="BA597" s="3055"/>
      <c r="BB597" s="3055"/>
      <c r="BC597" s="3055"/>
      <c r="BD597" s="3055"/>
      <c r="BE597" s="3055"/>
      <c r="BF597" s="3055"/>
      <c r="BG597" s="3055"/>
      <c r="BH597" s="3055"/>
      <c r="BI597" s="3055"/>
      <c r="BJ597" s="3055"/>
      <c r="BK597" s="3055"/>
      <c r="BL597" s="3056"/>
      <c r="BM597" s="3057">
        <f t="shared" si="16"/>
      </c>
      <c r="BN597" s="3054"/>
      <c r="BO597" s="3054"/>
      <c r="BP597" s="3055"/>
      <c r="BQ597" s="3055"/>
      <c r="BR597" s="3055"/>
      <c r="BS597" s="3055"/>
      <c r="BT597" s="3055"/>
      <c r="BU597" s="3055"/>
      <c r="BV597" s="3055"/>
      <c r="BW597" s="3055"/>
      <c r="BX597" s="3055"/>
      <c r="BY597" s="3055"/>
      <c r="BZ597" s="3055"/>
      <c r="CA597" s="3055"/>
      <c r="CB597" s="3055"/>
      <c r="CC597" s="3056"/>
      <c r="CD597" s="3057">
        <f t="shared" si="0"/>
      </c>
      <c r="CE597" s="3054"/>
      <c r="CF597" s="3054"/>
      <c r="CG597" s="3055"/>
      <c r="CH597" s="3055"/>
      <c r="CI597" s="3055"/>
      <c r="CJ597" s="3055"/>
      <c r="CK597" s="3055"/>
      <c r="CL597" s="3055"/>
      <c r="CM597" s="3055"/>
      <c r="CN597" s="3055"/>
      <c r="CO597" s="3055"/>
      <c r="CP597" s="3055"/>
      <c r="CQ597" s="3055"/>
      <c r="CR597" s="3055"/>
      <c r="CS597" s="3055"/>
      <c r="CU597" s="3054"/>
      <c r="CV597" s="696"/>
      <c r="CW597" s="696"/>
      <c r="CZ597" s="3060">
        <f t="shared" si="17"/>
      </c>
      <c r="DA597" s="3060">
        <f t="shared" si="1"/>
      </c>
      <c r="DB597" s="3060">
        <f t="shared" si="18"/>
      </c>
      <c r="DC597" s="3060">
        <f t="shared" si="19"/>
      </c>
      <c r="DD597" s="3060">
        <f t="shared" si="20"/>
      </c>
      <c r="DE597" s="3060">
        <f t="shared" si="21"/>
      </c>
      <c r="DF597" s="3060">
        <f t="shared" si="22"/>
      </c>
      <c r="DG597" s="3060">
        <f t="shared" si="23"/>
      </c>
      <c r="DH597" s="3060">
        <f t="shared" si="24"/>
      </c>
      <c r="DI597" s="3060">
        <f t="shared" si="1"/>
      </c>
    </row>
    <row r="598" ht="15" customHeight="1" s="3052" customFormat="1">
      <c r="B598" s="3054">
        <f t="shared" si="2"/>
      </c>
      <c r="C598" s="3054"/>
      <c r="D598" s="3054"/>
      <c r="E598" s="3055"/>
      <c r="F598" s="3055"/>
      <c r="G598" s="3055"/>
      <c r="H598" s="3055"/>
      <c r="I598" s="3055"/>
      <c r="J598" s="3055"/>
      <c r="K598" s="3055"/>
      <c r="L598" s="3055"/>
      <c r="M598" s="3055"/>
      <c r="N598" s="3055"/>
      <c r="O598" s="3055"/>
      <c r="P598" s="3055"/>
      <c r="Q598" s="3055"/>
      <c r="R598" s="3055">
        <f t="shared" si="3"/>
        <v>0</v>
      </c>
      <c r="S598" s="3055">
        <f t="shared" si="4"/>
        <v>0</v>
      </c>
      <c r="T598" s="3055">
        <f t="shared" si="5"/>
        <v>0</v>
      </c>
      <c r="U598" s="3055">
        <f t="shared" si="6"/>
        <v>0</v>
      </c>
      <c r="V598" s="3055">
        <f t="shared" si="7"/>
        <v>0</v>
      </c>
      <c r="W598" s="3055">
        <f t="shared" si="8"/>
        <v>0</v>
      </c>
      <c r="X598" s="3055">
        <f t="shared" si="9"/>
        <v>0</v>
      </c>
      <c r="Y598" s="3055">
        <f t="shared" si="10"/>
        <v>0</v>
      </c>
      <c r="Z598" s="3055">
        <f t="shared" si="11"/>
        <v>0</v>
      </c>
      <c r="AA598" s="3055">
        <f t="shared" si="12"/>
        <v>0</v>
      </c>
      <c r="AB598" s="3055">
        <f t="shared" si="13"/>
        <v>0</v>
      </c>
      <c r="AC598" s="3055">
        <f t="shared" si="14"/>
        <v>0</v>
      </c>
      <c r="AD598" s="3056"/>
      <c r="AE598" s="3057">
        <f t="shared" si="0"/>
      </c>
      <c r="AF598" s="3054"/>
      <c r="AG598" s="3054"/>
      <c r="AH598" s="3055"/>
      <c r="AI598" s="3055"/>
      <c r="AJ598" s="3055"/>
      <c r="AK598" s="3055"/>
      <c r="AL598" s="3055"/>
      <c r="AM598" s="3055"/>
      <c r="AN598" s="3055"/>
      <c r="AO598" s="3055"/>
      <c r="AP598" s="3055"/>
      <c r="AQ598" s="3055"/>
      <c r="AR598" s="3055"/>
      <c r="AS598" s="3055"/>
      <c r="AT598" s="3055"/>
      <c r="AU598" s="3056"/>
      <c r="AV598" s="3057">
        <f t="shared" si="15"/>
      </c>
      <c r="AW598" s="3054"/>
      <c r="AX598" s="3054"/>
      <c r="AY598" s="3055"/>
      <c r="AZ598" s="3055"/>
      <c r="BA598" s="3055"/>
      <c r="BB598" s="3055"/>
      <c r="BC598" s="3055"/>
      <c r="BD598" s="3055"/>
      <c r="BE598" s="3055"/>
      <c r="BF598" s="3055"/>
      <c r="BG598" s="3055"/>
      <c r="BH598" s="3055"/>
      <c r="BI598" s="3055"/>
      <c r="BJ598" s="3055"/>
      <c r="BK598" s="3055"/>
      <c r="BL598" s="3056"/>
      <c r="BM598" s="3057">
        <f t="shared" si="16"/>
      </c>
      <c r="BN598" s="3054"/>
      <c r="BO598" s="3054"/>
      <c r="BP598" s="3055"/>
      <c r="BQ598" s="3055"/>
      <c r="BR598" s="3055"/>
      <c r="BS598" s="3055"/>
      <c r="BT598" s="3055"/>
      <c r="BU598" s="3055"/>
      <c r="BV598" s="3055"/>
      <c r="BW598" s="3055"/>
      <c r="BX598" s="3055"/>
      <c r="BY598" s="3055"/>
      <c r="BZ598" s="3055"/>
      <c r="CA598" s="3055"/>
      <c r="CB598" s="3055"/>
      <c r="CC598" s="3056"/>
      <c r="CD598" s="3057">
        <f t="shared" si="0"/>
      </c>
      <c r="CE598" s="3054"/>
      <c r="CF598" s="3054"/>
      <c r="CG598" s="3055"/>
      <c r="CH598" s="3055"/>
      <c r="CI598" s="3055"/>
      <c r="CJ598" s="3055"/>
      <c r="CK598" s="3055"/>
      <c r="CL598" s="3055"/>
      <c r="CM598" s="3055"/>
      <c r="CN598" s="3055"/>
      <c r="CO598" s="3055"/>
      <c r="CP598" s="3055"/>
      <c r="CQ598" s="3055"/>
      <c r="CR598" s="3055"/>
      <c r="CS598" s="3055"/>
      <c r="CU598" s="3054"/>
      <c r="CV598" s="696"/>
      <c r="CW598" s="696"/>
      <c r="CZ598" s="3060">
        <f t="shared" si="17"/>
      </c>
      <c r="DA598" s="3060">
        <f t="shared" si="1"/>
      </c>
      <c r="DB598" s="3060">
        <f t="shared" si="18"/>
      </c>
      <c r="DC598" s="3060">
        <f t="shared" si="19"/>
      </c>
      <c r="DD598" s="3060">
        <f t="shared" si="20"/>
      </c>
      <c r="DE598" s="3060">
        <f t="shared" si="21"/>
      </c>
      <c r="DF598" s="3060">
        <f t="shared" si="22"/>
      </c>
      <c r="DG598" s="3060">
        <f t="shared" si="23"/>
      </c>
      <c r="DH598" s="3060">
        <f t="shared" si="24"/>
      </c>
      <c r="DI598" s="3060">
        <f t="shared" si="1"/>
      </c>
    </row>
    <row r="599" ht="15" customHeight="1" s="3052" customFormat="1">
      <c r="B599" s="3054">
        <f t="shared" si="2"/>
      </c>
      <c r="C599" s="3054"/>
      <c r="D599" s="3054"/>
      <c r="E599" s="3055"/>
      <c r="F599" s="3055"/>
      <c r="G599" s="3055"/>
      <c r="H599" s="3055"/>
      <c r="I599" s="3055"/>
      <c r="J599" s="3055"/>
      <c r="K599" s="3055"/>
      <c r="L599" s="3055"/>
      <c r="M599" s="3055"/>
      <c r="N599" s="3055"/>
      <c r="O599" s="3055"/>
      <c r="P599" s="3055"/>
      <c r="Q599" s="3055"/>
      <c r="R599" s="3055">
        <f t="shared" si="3"/>
        <v>0</v>
      </c>
      <c r="S599" s="3055">
        <f t="shared" si="4"/>
        <v>0</v>
      </c>
      <c r="T599" s="3055">
        <f t="shared" si="5"/>
        <v>0</v>
      </c>
      <c r="U599" s="3055">
        <f t="shared" si="6"/>
        <v>0</v>
      </c>
      <c r="V599" s="3055">
        <f t="shared" si="7"/>
        <v>0</v>
      </c>
      <c r="W599" s="3055">
        <f t="shared" si="8"/>
        <v>0</v>
      </c>
      <c r="X599" s="3055">
        <f t="shared" si="9"/>
        <v>0</v>
      </c>
      <c r="Y599" s="3055">
        <f t="shared" si="10"/>
        <v>0</v>
      </c>
      <c r="Z599" s="3055">
        <f t="shared" si="11"/>
        <v>0</v>
      </c>
      <c r="AA599" s="3055">
        <f t="shared" si="12"/>
        <v>0</v>
      </c>
      <c r="AB599" s="3055">
        <f t="shared" si="13"/>
        <v>0</v>
      </c>
      <c r="AC599" s="3055">
        <f t="shared" si="14"/>
        <v>0</v>
      </c>
      <c r="AD599" s="3056"/>
      <c r="AE599" s="3057">
        <f t="shared" si="0"/>
      </c>
      <c r="AF599" s="3054"/>
      <c r="AG599" s="3054"/>
      <c r="AH599" s="3055"/>
      <c r="AI599" s="3055"/>
      <c r="AJ599" s="3055"/>
      <c r="AK599" s="3055"/>
      <c r="AL599" s="3055"/>
      <c r="AM599" s="3055"/>
      <c r="AN599" s="3055"/>
      <c r="AO599" s="3055"/>
      <c r="AP599" s="3055"/>
      <c r="AQ599" s="3055"/>
      <c r="AR599" s="3055"/>
      <c r="AS599" s="3055"/>
      <c r="AT599" s="3055"/>
      <c r="AU599" s="3056"/>
      <c r="AV599" s="3057">
        <f t="shared" si="15"/>
      </c>
      <c r="AW599" s="3054"/>
      <c r="AX599" s="3054"/>
      <c r="AY599" s="3055"/>
      <c r="AZ599" s="3055"/>
      <c r="BA599" s="3055"/>
      <c r="BB599" s="3055"/>
      <c r="BC599" s="3055"/>
      <c r="BD599" s="3055"/>
      <c r="BE599" s="3055"/>
      <c r="BF599" s="3055"/>
      <c r="BG599" s="3055"/>
      <c r="BH599" s="3055"/>
      <c r="BI599" s="3055"/>
      <c r="BJ599" s="3055"/>
      <c r="BK599" s="3055"/>
      <c r="BL599" s="3056"/>
      <c r="BM599" s="3057">
        <f t="shared" si="16"/>
      </c>
      <c r="BN599" s="3054"/>
      <c r="BO599" s="3054"/>
      <c r="BP599" s="3055"/>
      <c r="BQ599" s="3055"/>
      <c r="BR599" s="3055"/>
      <c r="BS599" s="3055"/>
      <c r="BT599" s="3055"/>
      <c r="BU599" s="3055"/>
      <c r="BV599" s="3055"/>
      <c r="BW599" s="3055"/>
      <c r="BX599" s="3055"/>
      <c r="BY599" s="3055"/>
      <c r="BZ599" s="3055"/>
      <c r="CA599" s="3055"/>
      <c r="CB599" s="3055"/>
      <c r="CC599" s="3056"/>
      <c r="CD599" s="3057">
        <f t="shared" si="0"/>
      </c>
      <c r="CE599" s="3054"/>
      <c r="CF599" s="3054"/>
      <c r="CG599" s="3055"/>
      <c r="CH599" s="3055"/>
      <c r="CI599" s="3055"/>
      <c r="CJ599" s="3055"/>
      <c r="CK599" s="3055"/>
      <c r="CL599" s="3055"/>
      <c r="CM599" s="3055"/>
      <c r="CN599" s="3055"/>
      <c r="CO599" s="3055"/>
      <c r="CP599" s="3055"/>
      <c r="CQ599" s="3055"/>
      <c r="CR599" s="3055"/>
      <c r="CS599" s="3055"/>
      <c r="CU599" s="3054"/>
      <c r="CV599" s="696"/>
      <c r="CW599" s="696"/>
      <c r="CZ599" s="3060">
        <f t="shared" si="17"/>
      </c>
      <c r="DA599" s="3060">
        <f t="shared" si="1"/>
      </c>
      <c r="DB599" s="3060">
        <f t="shared" si="18"/>
      </c>
      <c r="DC599" s="3060">
        <f t="shared" si="19"/>
      </c>
      <c r="DD599" s="3060">
        <f t="shared" si="20"/>
      </c>
      <c r="DE599" s="3060">
        <f t="shared" si="21"/>
      </c>
      <c r="DF599" s="3060">
        <f t="shared" si="22"/>
      </c>
      <c r="DG599" s="3060">
        <f t="shared" si="23"/>
      </c>
      <c r="DH599" s="3060">
        <f t="shared" si="24"/>
      </c>
      <c r="DI599" s="3060">
        <f t="shared" si="1"/>
      </c>
    </row>
    <row r="600" ht="15" customHeight="1" s="3052" customFormat="1">
      <c r="B600" s="3054">
        <f t="shared" si="2"/>
      </c>
      <c r="C600" s="3054"/>
      <c r="D600" s="3054"/>
      <c r="E600" s="3055"/>
      <c r="F600" s="3055"/>
      <c r="G600" s="3055"/>
      <c r="H600" s="3055"/>
      <c r="I600" s="3055"/>
      <c r="J600" s="3055"/>
      <c r="K600" s="3055"/>
      <c r="L600" s="3055"/>
      <c r="M600" s="3055"/>
      <c r="N600" s="3055"/>
      <c r="O600" s="3055"/>
      <c r="P600" s="3055"/>
      <c r="Q600" s="3055"/>
      <c r="R600" s="3055">
        <f t="shared" si="3"/>
        <v>0</v>
      </c>
      <c r="S600" s="3055">
        <f t="shared" si="4"/>
        <v>0</v>
      </c>
      <c r="T600" s="3055">
        <f t="shared" si="5"/>
        <v>0</v>
      </c>
      <c r="U600" s="3055">
        <f t="shared" si="6"/>
        <v>0</v>
      </c>
      <c r="V600" s="3055">
        <f t="shared" si="7"/>
        <v>0</v>
      </c>
      <c r="W600" s="3055">
        <f t="shared" si="8"/>
        <v>0</v>
      </c>
      <c r="X600" s="3055">
        <f t="shared" si="9"/>
        <v>0</v>
      </c>
      <c r="Y600" s="3055">
        <f t="shared" si="10"/>
        <v>0</v>
      </c>
      <c r="Z600" s="3055">
        <f t="shared" si="11"/>
        <v>0</v>
      </c>
      <c r="AA600" s="3055">
        <f t="shared" si="12"/>
        <v>0</v>
      </c>
      <c r="AB600" s="3055">
        <f t="shared" si="13"/>
        <v>0</v>
      </c>
      <c r="AC600" s="3055">
        <f t="shared" si="14"/>
        <v>0</v>
      </c>
      <c r="AD600" s="3056"/>
      <c r="AE600" s="3057">
        <f t="shared" si="0"/>
      </c>
      <c r="AF600" s="3054"/>
      <c r="AG600" s="3054"/>
      <c r="AH600" s="3055"/>
      <c r="AI600" s="3055"/>
      <c r="AJ600" s="3055"/>
      <c r="AK600" s="3055"/>
      <c r="AL600" s="3055"/>
      <c r="AM600" s="3055"/>
      <c r="AN600" s="3055"/>
      <c r="AO600" s="3055"/>
      <c r="AP600" s="3055"/>
      <c r="AQ600" s="3055"/>
      <c r="AR600" s="3055"/>
      <c r="AS600" s="3055"/>
      <c r="AT600" s="3055"/>
      <c r="AU600" s="3056"/>
      <c r="AV600" s="3057">
        <f t="shared" si="15"/>
      </c>
      <c r="AW600" s="3054"/>
      <c r="AX600" s="3054"/>
      <c r="AY600" s="3055"/>
      <c r="AZ600" s="3055"/>
      <c r="BA600" s="3055"/>
      <c r="BB600" s="3055"/>
      <c r="BC600" s="3055"/>
      <c r="BD600" s="3055"/>
      <c r="BE600" s="3055"/>
      <c r="BF600" s="3055"/>
      <c r="BG600" s="3055"/>
      <c r="BH600" s="3055"/>
      <c r="BI600" s="3055"/>
      <c r="BJ600" s="3055"/>
      <c r="BK600" s="3055"/>
      <c r="BL600" s="3056"/>
      <c r="BM600" s="3057">
        <f t="shared" si="16"/>
      </c>
      <c r="BN600" s="3054"/>
      <c r="BO600" s="3054"/>
      <c r="BP600" s="3055"/>
      <c r="BQ600" s="3055"/>
      <c r="BR600" s="3055"/>
      <c r="BS600" s="3055"/>
      <c r="BT600" s="3055"/>
      <c r="BU600" s="3055"/>
      <c r="BV600" s="3055"/>
      <c r="BW600" s="3055"/>
      <c r="BX600" s="3055"/>
      <c r="BY600" s="3055"/>
      <c r="BZ600" s="3055"/>
      <c r="CA600" s="3055"/>
      <c r="CB600" s="3055"/>
      <c r="CC600" s="3056"/>
      <c r="CD600" s="3057">
        <f t="shared" si="0"/>
      </c>
      <c r="CE600" s="3054"/>
      <c r="CF600" s="3054"/>
      <c r="CG600" s="3055"/>
      <c r="CH600" s="3055"/>
      <c r="CI600" s="3055"/>
      <c r="CJ600" s="3055"/>
      <c r="CK600" s="3055"/>
      <c r="CL600" s="3055"/>
      <c r="CM600" s="3055"/>
      <c r="CN600" s="3055"/>
      <c r="CO600" s="3055"/>
      <c r="CP600" s="3055"/>
      <c r="CQ600" s="3055"/>
      <c r="CR600" s="3055"/>
      <c r="CS600" s="3055"/>
      <c r="CU600" s="3054"/>
      <c r="CV600" s="696"/>
      <c r="CW600" s="696"/>
      <c r="CZ600" s="3060">
        <f t="shared" si="17"/>
      </c>
      <c r="DA600" s="3060">
        <f t="shared" si="1"/>
      </c>
      <c r="DB600" s="3060">
        <f t="shared" si="18"/>
      </c>
      <c r="DC600" s="3060">
        <f t="shared" si="19"/>
      </c>
      <c r="DD600" s="3060">
        <f t="shared" si="20"/>
      </c>
      <c r="DE600" s="3060">
        <f t="shared" si="21"/>
      </c>
      <c r="DF600" s="3060">
        <f t="shared" si="22"/>
      </c>
      <c r="DG600" s="3060">
        <f t="shared" si="23"/>
      </c>
      <c r="DH600" s="3060">
        <f t="shared" si="24"/>
      </c>
      <c r="DI600" s="3060">
        <f t="shared" si="1"/>
      </c>
    </row>
    <row r="601" ht="15" customHeight="1" s="3052" customFormat="1">
      <c r="B601" s="3054">
        <f t="shared" si="2"/>
      </c>
      <c r="C601" s="3054"/>
      <c r="D601" s="3054"/>
      <c r="E601" s="3055"/>
      <c r="F601" s="3055"/>
      <c r="G601" s="3055"/>
      <c r="H601" s="3055"/>
      <c r="I601" s="3055"/>
      <c r="J601" s="3055"/>
      <c r="K601" s="3055"/>
      <c r="L601" s="3055"/>
      <c r="M601" s="3055"/>
      <c r="N601" s="3055"/>
      <c r="O601" s="3055"/>
      <c r="P601" s="3055"/>
      <c r="Q601" s="3055"/>
      <c r="R601" s="3055">
        <f t="shared" si="3"/>
        <v>0</v>
      </c>
      <c r="S601" s="3055">
        <f t="shared" si="4"/>
        <v>0</v>
      </c>
      <c r="T601" s="3055">
        <f t="shared" si="5"/>
        <v>0</v>
      </c>
      <c r="U601" s="3055">
        <f t="shared" si="6"/>
        <v>0</v>
      </c>
      <c r="V601" s="3055">
        <f t="shared" si="7"/>
        <v>0</v>
      </c>
      <c r="W601" s="3055">
        <f t="shared" si="8"/>
        <v>0</v>
      </c>
      <c r="X601" s="3055">
        <f t="shared" si="9"/>
        <v>0</v>
      </c>
      <c r="Y601" s="3055">
        <f t="shared" si="10"/>
        <v>0</v>
      </c>
      <c r="Z601" s="3055">
        <f t="shared" si="11"/>
        <v>0</v>
      </c>
      <c r="AA601" s="3055">
        <f t="shared" si="12"/>
        <v>0</v>
      </c>
      <c r="AB601" s="3055">
        <f t="shared" si="13"/>
        <v>0</v>
      </c>
      <c r="AC601" s="3055">
        <f t="shared" si="14"/>
        <v>0</v>
      </c>
      <c r="AD601" s="3056"/>
      <c r="AE601" s="3057">
        <f t="shared" si="0"/>
      </c>
      <c r="AF601" s="3054"/>
      <c r="AG601" s="3054"/>
      <c r="AH601" s="3055"/>
      <c r="AI601" s="3055"/>
      <c r="AJ601" s="3055"/>
      <c r="AK601" s="3055"/>
      <c r="AL601" s="3055"/>
      <c r="AM601" s="3055"/>
      <c r="AN601" s="3055"/>
      <c r="AO601" s="3055"/>
      <c r="AP601" s="3055"/>
      <c r="AQ601" s="3055"/>
      <c r="AR601" s="3055"/>
      <c r="AS601" s="3055"/>
      <c r="AT601" s="3055"/>
      <c r="AU601" s="3056"/>
      <c r="AV601" s="3057">
        <f t="shared" si="15"/>
      </c>
      <c r="AW601" s="3054"/>
      <c r="AX601" s="3054"/>
      <c r="AY601" s="3055"/>
      <c r="AZ601" s="3055"/>
      <c r="BA601" s="3055"/>
      <c r="BB601" s="3055"/>
      <c r="BC601" s="3055"/>
      <c r="BD601" s="3055"/>
      <c r="BE601" s="3055"/>
      <c r="BF601" s="3055"/>
      <c r="BG601" s="3055"/>
      <c r="BH601" s="3055"/>
      <c r="BI601" s="3055"/>
      <c r="BJ601" s="3055"/>
      <c r="BK601" s="3055"/>
      <c r="BL601" s="3056"/>
      <c r="BM601" s="3057">
        <f t="shared" si="16"/>
      </c>
      <c r="BN601" s="3054"/>
      <c r="BO601" s="3054"/>
      <c r="BP601" s="3055"/>
      <c r="BQ601" s="3055"/>
      <c r="BR601" s="3055"/>
      <c r="BS601" s="3055"/>
      <c r="BT601" s="3055"/>
      <c r="BU601" s="3055"/>
      <c r="BV601" s="3055"/>
      <c r="BW601" s="3055"/>
      <c r="BX601" s="3055"/>
      <c r="BY601" s="3055"/>
      <c r="BZ601" s="3055"/>
      <c r="CA601" s="3055"/>
      <c r="CB601" s="3055"/>
      <c r="CC601" s="3056"/>
      <c r="CD601" s="3057">
        <f t="shared" si="0"/>
      </c>
      <c r="CE601" s="3054"/>
      <c r="CF601" s="3054"/>
      <c r="CG601" s="3055"/>
      <c r="CH601" s="3055"/>
      <c r="CI601" s="3055"/>
      <c r="CJ601" s="3055"/>
      <c r="CK601" s="3055"/>
      <c r="CL601" s="3055"/>
      <c r="CM601" s="3055"/>
      <c r="CN601" s="3055"/>
      <c r="CO601" s="3055"/>
      <c r="CP601" s="3055"/>
      <c r="CQ601" s="3055"/>
      <c r="CR601" s="3055"/>
      <c r="CS601" s="3055"/>
      <c r="CU601" s="3054"/>
      <c r="CV601" s="696"/>
      <c r="CW601" s="696"/>
      <c r="CZ601" s="3060">
        <f t="shared" si="17"/>
      </c>
      <c r="DA601" s="3060">
        <f t="shared" si="1"/>
      </c>
      <c r="DB601" s="3060">
        <f t="shared" si="18"/>
      </c>
      <c r="DC601" s="3060">
        <f t="shared" si="19"/>
      </c>
      <c r="DD601" s="3060">
        <f t="shared" si="20"/>
      </c>
      <c r="DE601" s="3060">
        <f t="shared" si="21"/>
      </c>
      <c r="DF601" s="3060">
        <f t="shared" si="22"/>
      </c>
      <c r="DG601" s="3060">
        <f t="shared" si="23"/>
      </c>
      <c r="DH601" s="3060">
        <f t="shared" si="24"/>
      </c>
      <c r="DI601" s="3060">
        <f t="shared" si="1"/>
      </c>
    </row>
    <row r="602" ht="15" customHeight="1" s="3052" customFormat="1">
      <c r="B602" s="3054">
        <f t="shared" si="2"/>
      </c>
      <c r="C602" s="3054"/>
      <c r="D602" s="3054"/>
      <c r="E602" s="3055"/>
      <c r="F602" s="3055"/>
      <c r="G602" s="3055"/>
      <c r="H602" s="3055"/>
      <c r="I602" s="3055"/>
      <c r="J602" s="3055"/>
      <c r="K602" s="3055"/>
      <c r="L602" s="3055"/>
      <c r="M602" s="3055"/>
      <c r="N602" s="3055"/>
      <c r="O602" s="3055"/>
      <c r="P602" s="3055"/>
      <c r="Q602" s="3055"/>
      <c r="R602" s="3055">
        <f t="shared" si="3"/>
        <v>0</v>
      </c>
      <c r="S602" s="3055">
        <f t="shared" si="4"/>
        <v>0</v>
      </c>
      <c r="T602" s="3055">
        <f t="shared" si="5"/>
        <v>0</v>
      </c>
      <c r="U602" s="3055">
        <f t="shared" si="6"/>
        <v>0</v>
      </c>
      <c r="V602" s="3055">
        <f t="shared" si="7"/>
        <v>0</v>
      </c>
      <c r="W602" s="3055">
        <f t="shared" si="8"/>
        <v>0</v>
      </c>
      <c r="X602" s="3055">
        <f t="shared" si="9"/>
        <v>0</v>
      </c>
      <c r="Y602" s="3055">
        <f t="shared" si="10"/>
        <v>0</v>
      </c>
      <c r="Z602" s="3055">
        <f t="shared" si="11"/>
        <v>0</v>
      </c>
      <c r="AA602" s="3055">
        <f t="shared" si="12"/>
        <v>0</v>
      </c>
      <c r="AB602" s="3055">
        <f t="shared" si="13"/>
        <v>0</v>
      </c>
      <c r="AC602" s="3055">
        <f t="shared" si="14"/>
        <v>0</v>
      </c>
      <c r="AD602" s="3056"/>
      <c r="AE602" s="3057">
        <f t="shared" si="0"/>
      </c>
      <c r="AF602" s="3054"/>
      <c r="AG602" s="3054"/>
      <c r="AH602" s="3055"/>
      <c r="AI602" s="3055"/>
      <c r="AJ602" s="3055"/>
      <c r="AK602" s="3055"/>
      <c r="AL602" s="3055"/>
      <c r="AM602" s="3055"/>
      <c r="AN602" s="3055"/>
      <c r="AO602" s="3055"/>
      <c r="AP602" s="3055"/>
      <c r="AQ602" s="3055"/>
      <c r="AR602" s="3055"/>
      <c r="AS602" s="3055"/>
      <c r="AT602" s="3055"/>
      <c r="AU602" s="3056"/>
      <c r="AV602" s="3057">
        <f t="shared" si="15"/>
      </c>
      <c r="AW602" s="3054"/>
      <c r="AX602" s="3054"/>
      <c r="AY602" s="3055"/>
      <c r="AZ602" s="3055"/>
      <c r="BA602" s="3055"/>
      <c r="BB602" s="3055"/>
      <c r="BC602" s="3055"/>
      <c r="BD602" s="3055"/>
      <c r="BE602" s="3055"/>
      <c r="BF602" s="3055"/>
      <c r="BG602" s="3055"/>
      <c r="BH602" s="3055"/>
      <c r="BI602" s="3055"/>
      <c r="BJ602" s="3055"/>
      <c r="BK602" s="3055"/>
      <c r="BL602" s="3056"/>
      <c r="BM602" s="3057">
        <f t="shared" si="16"/>
      </c>
      <c r="BN602" s="3054"/>
      <c r="BO602" s="3054"/>
      <c r="BP602" s="3055"/>
      <c r="BQ602" s="3055"/>
      <c r="BR602" s="3055"/>
      <c r="BS602" s="3055"/>
      <c r="BT602" s="3055"/>
      <c r="BU602" s="3055"/>
      <c r="BV602" s="3055"/>
      <c r="BW602" s="3055"/>
      <c r="BX602" s="3055"/>
      <c r="BY602" s="3055"/>
      <c r="BZ602" s="3055"/>
      <c r="CA602" s="3055"/>
      <c r="CB602" s="3055"/>
      <c r="CC602" s="3056"/>
      <c r="CD602" s="3057">
        <f t="shared" si="0"/>
      </c>
      <c r="CE602" s="3054"/>
      <c r="CF602" s="3054"/>
      <c r="CG602" s="3055"/>
      <c r="CH602" s="3055"/>
      <c r="CI602" s="3055"/>
      <c r="CJ602" s="3055"/>
      <c r="CK602" s="3055"/>
      <c r="CL602" s="3055"/>
      <c r="CM602" s="3055"/>
      <c r="CN602" s="3055"/>
      <c r="CO602" s="3055"/>
      <c r="CP602" s="3055"/>
      <c r="CQ602" s="3055"/>
      <c r="CR602" s="3055"/>
      <c r="CS602" s="3055"/>
      <c r="CU602" s="3054"/>
      <c r="CV602" s="696"/>
      <c r="CW602" s="696"/>
      <c r="CZ602" s="3060">
        <f t="shared" si="17"/>
      </c>
      <c r="DA602" s="3060">
        <f t="shared" si="1"/>
      </c>
      <c r="DB602" s="3060">
        <f t="shared" si="18"/>
      </c>
      <c r="DC602" s="3060">
        <f t="shared" si="19"/>
      </c>
      <c r="DD602" s="3060">
        <f t="shared" si="20"/>
      </c>
      <c r="DE602" s="3060">
        <f t="shared" si="21"/>
      </c>
      <c r="DF602" s="3060">
        <f t="shared" si="22"/>
      </c>
      <c r="DG602" s="3060">
        <f t="shared" si="23"/>
      </c>
      <c r="DH602" s="3060">
        <f t="shared" si="24"/>
      </c>
      <c r="DI602" s="3060">
        <f t="shared" si="1"/>
      </c>
    </row>
    <row r="603" ht="15" customHeight="1" s="3052" customFormat="1">
      <c r="B603" s="3054">
        <f t="shared" si="2"/>
      </c>
      <c r="C603" s="3054"/>
      <c r="D603" s="3054"/>
      <c r="E603" s="3055"/>
      <c r="F603" s="3055"/>
      <c r="G603" s="3055"/>
      <c r="H603" s="3055"/>
      <c r="I603" s="3055"/>
      <c r="J603" s="3055"/>
      <c r="K603" s="3055"/>
      <c r="L603" s="3055"/>
      <c r="M603" s="3055"/>
      <c r="N603" s="3055"/>
      <c r="O603" s="3055"/>
      <c r="P603" s="3055"/>
      <c r="Q603" s="3055"/>
      <c r="R603" s="3055">
        <f t="shared" si="3"/>
        <v>0</v>
      </c>
      <c r="S603" s="3055">
        <f t="shared" si="4"/>
        <v>0</v>
      </c>
      <c r="T603" s="3055">
        <f t="shared" si="5"/>
        <v>0</v>
      </c>
      <c r="U603" s="3055">
        <f t="shared" si="6"/>
        <v>0</v>
      </c>
      <c r="V603" s="3055">
        <f t="shared" si="7"/>
        <v>0</v>
      </c>
      <c r="W603" s="3055">
        <f t="shared" si="8"/>
        <v>0</v>
      </c>
      <c r="X603" s="3055">
        <f t="shared" si="9"/>
        <v>0</v>
      </c>
      <c r="Y603" s="3055">
        <f t="shared" si="10"/>
        <v>0</v>
      </c>
      <c r="Z603" s="3055">
        <f t="shared" si="11"/>
        <v>0</v>
      </c>
      <c r="AA603" s="3055">
        <f t="shared" si="12"/>
        <v>0</v>
      </c>
      <c r="AB603" s="3055">
        <f t="shared" si="13"/>
        <v>0</v>
      </c>
      <c r="AC603" s="3055">
        <f t="shared" si="14"/>
        <v>0</v>
      </c>
      <c r="AD603" s="3056"/>
      <c r="AE603" s="3057">
        <f t="shared" si="0"/>
      </c>
      <c r="AF603" s="3054"/>
      <c r="AG603" s="3054"/>
      <c r="AH603" s="3055"/>
      <c r="AI603" s="3055"/>
      <c r="AJ603" s="3055"/>
      <c r="AK603" s="3055"/>
      <c r="AL603" s="3055"/>
      <c r="AM603" s="3055"/>
      <c r="AN603" s="3055"/>
      <c r="AO603" s="3055"/>
      <c r="AP603" s="3055"/>
      <c r="AQ603" s="3055"/>
      <c r="AR603" s="3055"/>
      <c r="AS603" s="3055"/>
      <c r="AT603" s="3055"/>
      <c r="AU603" s="3056"/>
      <c r="AV603" s="3057">
        <f t="shared" si="15"/>
      </c>
      <c r="AW603" s="3054"/>
      <c r="AX603" s="3054"/>
      <c r="AY603" s="3055"/>
      <c r="AZ603" s="3055"/>
      <c r="BA603" s="3055"/>
      <c r="BB603" s="3055"/>
      <c r="BC603" s="3055"/>
      <c r="BD603" s="3055"/>
      <c r="BE603" s="3055"/>
      <c r="BF603" s="3055"/>
      <c r="BG603" s="3055"/>
      <c r="BH603" s="3055"/>
      <c r="BI603" s="3055"/>
      <c r="BJ603" s="3055"/>
      <c r="BK603" s="3055"/>
      <c r="BL603" s="3056"/>
      <c r="BM603" s="3057">
        <f t="shared" si="16"/>
      </c>
      <c r="BN603" s="3054"/>
      <c r="BO603" s="3054"/>
      <c r="BP603" s="3055"/>
      <c r="BQ603" s="3055"/>
      <c r="BR603" s="3055"/>
      <c r="BS603" s="3055"/>
      <c r="BT603" s="3055"/>
      <c r="BU603" s="3055"/>
      <c r="BV603" s="3055"/>
      <c r="BW603" s="3055"/>
      <c r="BX603" s="3055"/>
      <c r="BY603" s="3055"/>
      <c r="BZ603" s="3055"/>
      <c r="CA603" s="3055"/>
      <c r="CB603" s="3055"/>
      <c r="CC603" s="3056"/>
      <c r="CD603" s="3057">
        <f t="shared" si="0"/>
      </c>
      <c r="CE603" s="3054"/>
      <c r="CF603" s="3054"/>
      <c r="CG603" s="3055"/>
      <c r="CH603" s="3055"/>
      <c r="CI603" s="3055"/>
      <c r="CJ603" s="3055"/>
      <c r="CK603" s="3055"/>
      <c r="CL603" s="3055"/>
      <c r="CM603" s="3055"/>
      <c r="CN603" s="3055"/>
      <c r="CO603" s="3055"/>
      <c r="CP603" s="3055"/>
      <c r="CQ603" s="3055"/>
      <c r="CR603" s="3055"/>
      <c r="CS603" s="3055"/>
      <c r="CU603" s="3054"/>
      <c r="CV603" s="696"/>
      <c r="CW603" s="696"/>
      <c r="CZ603" s="3060">
        <f t="shared" si="17"/>
      </c>
      <c r="DA603" s="3060">
        <f t="shared" si="1"/>
      </c>
      <c r="DB603" s="3060">
        <f t="shared" si="18"/>
      </c>
      <c r="DC603" s="3060">
        <f t="shared" si="19"/>
      </c>
      <c r="DD603" s="3060">
        <f t="shared" si="20"/>
      </c>
      <c r="DE603" s="3060">
        <f t="shared" si="21"/>
      </c>
      <c r="DF603" s="3060">
        <f t="shared" si="22"/>
      </c>
      <c r="DG603" s="3060">
        <f t="shared" si="23"/>
      </c>
      <c r="DH603" s="3060">
        <f t="shared" si="24"/>
      </c>
      <c r="DI603" s="3060">
        <f t="shared" si="1"/>
      </c>
    </row>
    <row r="604" ht="15" customHeight="1" s="3052" customFormat="1">
      <c r="B604" s="3054">
        <f t="shared" si="2"/>
      </c>
      <c r="C604" s="3054"/>
      <c r="D604" s="3054"/>
      <c r="E604" s="3055"/>
      <c r="F604" s="3055"/>
      <c r="G604" s="3055"/>
      <c r="H604" s="3055"/>
      <c r="I604" s="3055"/>
      <c r="J604" s="3055"/>
      <c r="K604" s="3055"/>
      <c r="L604" s="3055"/>
      <c r="M604" s="3055"/>
      <c r="N604" s="3055"/>
      <c r="O604" s="3055"/>
      <c r="P604" s="3055"/>
      <c r="Q604" s="3055"/>
      <c r="R604" s="3055">
        <f t="shared" si="3"/>
        <v>0</v>
      </c>
      <c r="S604" s="3055">
        <f t="shared" si="4"/>
        <v>0</v>
      </c>
      <c r="T604" s="3055">
        <f t="shared" si="5"/>
        <v>0</v>
      </c>
      <c r="U604" s="3055">
        <f t="shared" si="6"/>
        <v>0</v>
      </c>
      <c r="V604" s="3055">
        <f t="shared" si="7"/>
        <v>0</v>
      </c>
      <c r="W604" s="3055">
        <f t="shared" si="8"/>
        <v>0</v>
      </c>
      <c r="X604" s="3055">
        <f t="shared" si="9"/>
        <v>0</v>
      </c>
      <c r="Y604" s="3055">
        <f t="shared" si="10"/>
        <v>0</v>
      </c>
      <c r="Z604" s="3055">
        <f t="shared" si="11"/>
        <v>0</v>
      </c>
      <c r="AA604" s="3055">
        <f t="shared" si="12"/>
        <v>0</v>
      </c>
      <c r="AB604" s="3055">
        <f t="shared" si="13"/>
        <v>0</v>
      </c>
      <c r="AC604" s="3055">
        <f t="shared" si="14"/>
        <v>0</v>
      </c>
      <c r="AD604" s="3056"/>
      <c r="AE604" s="3057">
        <f t="shared" si="0"/>
      </c>
      <c r="AF604" s="3054"/>
      <c r="AG604" s="3054"/>
      <c r="AH604" s="3055"/>
      <c r="AI604" s="3055"/>
      <c r="AJ604" s="3055"/>
      <c r="AK604" s="3055"/>
      <c r="AL604" s="3055"/>
      <c r="AM604" s="3055"/>
      <c r="AN604" s="3055"/>
      <c r="AO604" s="3055"/>
      <c r="AP604" s="3055"/>
      <c r="AQ604" s="3055"/>
      <c r="AR604" s="3055"/>
      <c r="AS604" s="3055"/>
      <c r="AT604" s="3055"/>
      <c r="AU604" s="3056"/>
      <c r="AV604" s="3057">
        <f t="shared" si="15"/>
      </c>
      <c r="AW604" s="3054"/>
      <c r="AX604" s="3054"/>
      <c r="AY604" s="3055"/>
      <c r="AZ604" s="3055"/>
      <c r="BA604" s="3055"/>
      <c r="BB604" s="3055"/>
      <c r="BC604" s="3055"/>
      <c r="BD604" s="3055"/>
      <c r="BE604" s="3055"/>
      <c r="BF604" s="3055"/>
      <c r="BG604" s="3055"/>
      <c r="BH604" s="3055"/>
      <c r="BI604" s="3055"/>
      <c r="BJ604" s="3055"/>
      <c r="BK604" s="3055"/>
      <c r="BL604" s="3056"/>
      <c r="BM604" s="3057">
        <f t="shared" si="16"/>
      </c>
      <c r="BN604" s="3054"/>
      <c r="BO604" s="3054"/>
      <c r="BP604" s="3055"/>
      <c r="BQ604" s="3055"/>
      <c r="BR604" s="3055"/>
      <c r="BS604" s="3055"/>
      <c r="BT604" s="3055"/>
      <c r="BU604" s="3055"/>
      <c r="BV604" s="3055"/>
      <c r="BW604" s="3055"/>
      <c r="BX604" s="3055"/>
      <c r="BY604" s="3055"/>
      <c r="BZ604" s="3055"/>
      <c r="CA604" s="3055"/>
      <c r="CB604" s="3055"/>
      <c r="CC604" s="3056"/>
      <c r="CD604" s="3057">
        <f t="shared" si="0"/>
      </c>
      <c r="CE604" s="3054"/>
      <c r="CF604" s="3054"/>
      <c r="CG604" s="3055"/>
      <c r="CH604" s="3055"/>
      <c r="CI604" s="3055"/>
      <c r="CJ604" s="3055"/>
      <c r="CK604" s="3055"/>
      <c r="CL604" s="3055"/>
      <c r="CM604" s="3055"/>
      <c r="CN604" s="3055"/>
      <c r="CO604" s="3055"/>
      <c r="CP604" s="3055"/>
      <c r="CQ604" s="3055"/>
      <c r="CR604" s="3055"/>
      <c r="CS604" s="3055"/>
      <c r="CU604" s="3054"/>
      <c r="CV604" s="696"/>
      <c r="CW604" s="696"/>
      <c r="CZ604" s="3060">
        <f t="shared" si="17"/>
      </c>
      <c r="DA604" s="3060">
        <f t="shared" si="1"/>
      </c>
      <c r="DB604" s="3060">
        <f t="shared" si="18"/>
      </c>
      <c r="DC604" s="3060">
        <f t="shared" si="19"/>
      </c>
      <c r="DD604" s="3060">
        <f t="shared" si="20"/>
      </c>
      <c r="DE604" s="3060">
        <f t="shared" si="21"/>
      </c>
      <c r="DF604" s="3060">
        <f t="shared" si="22"/>
      </c>
      <c r="DG604" s="3060">
        <f t="shared" si="23"/>
      </c>
      <c r="DH604" s="3060">
        <f t="shared" si="24"/>
      </c>
      <c r="DI604" s="3060">
        <f t="shared" si="1"/>
      </c>
    </row>
    <row r="605" ht="15" customHeight="1" s="3052" customFormat="1">
      <c r="B605" s="3054">
        <f t="shared" si="2"/>
      </c>
      <c r="C605" s="3054"/>
      <c r="D605" s="3054"/>
      <c r="E605" s="3055"/>
      <c r="F605" s="3055"/>
      <c r="G605" s="3055"/>
      <c r="H605" s="3055"/>
      <c r="I605" s="3055"/>
      <c r="J605" s="3055"/>
      <c r="K605" s="3055"/>
      <c r="L605" s="3055"/>
      <c r="M605" s="3055"/>
      <c r="N605" s="3055"/>
      <c r="O605" s="3055"/>
      <c r="P605" s="3055"/>
      <c r="Q605" s="3055"/>
      <c r="R605" s="3055">
        <f t="shared" si="3"/>
        <v>0</v>
      </c>
      <c r="S605" s="3055">
        <f t="shared" si="4"/>
        <v>0</v>
      </c>
      <c r="T605" s="3055">
        <f t="shared" si="5"/>
        <v>0</v>
      </c>
      <c r="U605" s="3055">
        <f t="shared" si="6"/>
        <v>0</v>
      </c>
      <c r="V605" s="3055">
        <f t="shared" si="7"/>
        <v>0</v>
      </c>
      <c r="W605" s="3055">
        <f t="shared" si="8"/>
        <v>0</v>
      </c>
      <c r="X605" s="3055">
        <f t="shared" si="9"/>
        <v>0</v>
      </c>
      <c r="Y605" s="3055">
        <f t="shared" si="10"/>
        <v>0</v>
      </c>
      <c r="Z605" s="3055">
        <f t="shared" si="11"/>
        <v>0</v>
      </c>
      <c r="AA605" s="3055">
        <f t="shared" si="12"/>
        <v>0</v>
      </c>
      <c r="AB605" s="3055">
        <f t="shared" si="13"/>
        <v>0</v>
      </c>
      <c r="AC605" s="3055">
        <f t="shared" si="14"/>
        <v>0</v>
      </c>
      <c r="AD605" s="3056"/>
      <c r="AE605" s="3057">
        <f t="shared" si="0"/>
      </c>
      <c r="AF605" s="3054"/>
      <c r="AG605" s="3054"/>
      <c r="AH605" s="3055"/>
      <c r="AI605" s="3055"/>
      <c r="AJ605" s="3055"/>
      <c r="AK605" s="3055"/>
      <c r="AL605" s="3055"/>
      <c r="AM605" s="3055"/>
      <c r="AN605" s="3055"/>
      <c r="AO605" s="3055"/>
      <c r="AP605" s="3055"/>
      <c r="AQ605" s="3055"/>
      <c r="AR605" s="3055"/>
      <c r="AS605" s="3055"/>
      <c r="AT605" s="3055"/>
      <c r="AU605" s="3056"/>
      <c r="AV605" s="3057">
        <f t="shared" si="15"/>
      </c>
      <c r="AW605" s="3054"/>
      <c r="AX605" s="3054"/>
      <c r="AY605" s="3055"/>
      <c r="AZ605" s="3055"/>
      <c r="BA605" s="3055"/>
      <c r="BB605" s="3055"/>
      <c r="BC605" s="3055"/>
      <c r="BD605" s="3055"/>
      <c r="BE605" s="3055"/>
      <c r="BF605" s="3055"/>
      <c r="BG605" s="3055"/>
      <c r="BH605" s="3055"/>
      <c r="BI605" s="3055"/>
      <c r="BJ605" s="3055"/>
      <c r="BK605" s="3055"/>
      <c r="BL605" s="3056"/>
      <c r="BM605" s="3057">
        <f t="shared" si="16"/>
      </c>
      <c r="BN605" s="3054"/>
      <c r="BO605" s="3054"/>
      <c r="BP605" s="3055"/>
      <c r="BQ605" s="3055"/>
      <c r="BR605" s="3055"/>
      <c r="BS605" s="3055"/>
      <c r="BT605" s="3055"/>
      <c r="BU605" s="3055"/>
      <c r="BV605" s="3055"/>
      <c r="BW605" s="3055"/>
      <c r="BX605" s="3055"/>
      <c r="BY605" s="3055"/>
      <c r="BZ605" s="3055"/>
      <c r="CA605" s="3055"/>
      <c r="CB605" s="3055"/>
      <c r="CC605" s="3056"/>
      <c r="CD605" s="3057">
        <f t="shared" si="0"/>
      </c>
      <c r="CE605" s="3054"/>
      <c r="CF605" s="3054"/>
      <c r="CG605" s="3055"/>
      <c r="CH605" s="3055"/>
      <c r="CI605" s="3055"/>
      <c r="CJ605" s="3055"/>
      <c r="CK605" s="3055"/>
      <c r="CL605" s="3055"/>
      <c r="CM605" s="3055"/>
      <c r="CN605" s="3055"/>
      <c r="CO605" s="3055"/>
      <c r="CP605" s="3055"/>
      <c r="CQ605" s="3055"/>
      <c r="CR605" s="3055"/>
      <c r="CS605" s="3055"/>
      <c r="CU605" s="3054"/>
      <c r="CV605" s="696"/>
      <c r="CW605" s="696"/>
      <c r="CZ605" s="3060">
        <f t="shared" si="17"/>
      </c>
      <c r="DA605" s="3060">
        <f t="shared" si="1"/>
      </c>
      <c r="DB605" s="3060">
        <f t="shared" si="18"/>
      </c>
      <c r="DC605" s="3060">
        <f t="shared" si="19"/>
      </c>
      <c r="DD605" s="3060">
        <f t="shared" si="20"/>
      </c>
      <c r="DE605" s="3060">
        <f t="shared" si="21"/>
      </c>
      <c r="DF605" s="3060">
        <f t="shared" si="22"/>
      </c>
      <c r="DG605" s="3060">
        <f t="shared" si="23"/>
      </c>
      <c r="DH605" s="3060">
        <f t="shared" si="24"/>
      </c>
      <c r="DI605" s="3060">
        <f t="shared" si="1"/>
      </c>
    </row>
    <row r="606" ht="15" customHeight="1" s="3052" customFormat="1">
      <c r="B606" s="3054">
        <f t="shared" si="2"/>
      </c>
      <c r="C606" s="3054"/>
      <c r="D606" s="3054"/>
      <c r="E606" s="3055"/>
      <c r="F606" s="3055"/>
      <c r="G606" s="3055"/>
      <c r="H606" s="3055"/>
      <c r="I606" s="3055"/>
      <c r="J606" s="3055"/>
      <c r="K606" s="3055"/>
      <c r="L606" s="3055"/>
      <c r="M606" s="3055"/>
      <c r="N606" s="3055"/>
      <c r="O606" s="3055"/>
      <c r="P606" s="3055"/>
      <c r="Q606" s="3055"/>
      <c r="R606" s="3055">
        <f t="shared" si="3"/>
        <v>0</v>
      </c>
      <c r="S606" s="3055">
        <f t="shared" si="4"/>
        <v>0</v>
      </c>
      <c r="T606" s="3055">
        <f t="shared" si="5"/>
        <v>0</v>
      </c>
      <c r="U606" s="3055">
        <f t="shared" si="6"/>
        <v>0</v>
      </c>
      <c r="V606" s="3055">
        <f t="shared" si="7"/>
        <v>0</v>
      </c>
      <c r="W606" s="3055">
        <f t="shared" si="8"/>
        <v>0</v>
      </c>
      <c r="X606" s="3055">
        <f t="shared" si="9"/>
        <v>0</v>
      </c>
      <c r="Y606" s="3055">
        <f t="shared" si="10"/>
        <v>0</v>
      </c>
      <c r="Z606" s="3055">
        <f t="shared" si="11"/>
        <v>0</v>
      </c>
      <c r="AA606" s="3055">
        <f t="shared" si="12"/>
        <v>0</v>
      </c>
      <c r="AB606" s="3055">
        <f t="shared" si="13"/>
        <v>0</v>
      </c>
      <c r="AC606" s="3055">
        <f t="shared" si="14"/>
        <v>0</v>
      </c>
      <c r="AD606" s="3056"/>
      <c r="AE606" s="3057">
        <f t="shared" si="0"/>
      </c>
      <c r="AF606" s="3054"/>
      <c r="AG606" s="3054"/>
      <c r="AH606" s="3055"/>
      <c r="AI606" s="3055"/>
      <c r="AJ606" s="3055"/>
      <c r="AK606" s="3055"/>
      <c r="AL606" s="3055"/>
      <c r="AM606" s="3055"/>
      <c r="AN606" s="3055"/>
      <c r="AO606" s="3055"/>
      <c r="AP606" s="3055"/>
      <c r="AQ606" s="3055"/>
      <c r="AR606" s="3055"/>
      <c r="AS606" s="3055"/>
      <c r="AT606" s="3055"/>
      <c r="AU606" s="3056"/>
      <c r="AV606" s="3057">
        <f t="shared" si="15"/>
      </c>
      <c r="AW606" s="3054"/>
      <c r="AX606" s="3054"/>
      <c r="AY606" s="3055"/>
      <c r="AZ606" s="3055"/>
      <c r="BA606" s="3055"/>
      <c r="BB606" s="3055"/>
      <c r="BC606" s="3055"/>
      <c r="BD606" s="3055"/>
      <c r="BE606" s="3055"/>
      <c r="BF606" s="3055"/>
      <c r="BG606" s="3055"/>
      <c r="BH606" s="3055"/>
      <c r="BI606" s="3055"/>
      <c r="BJ606" s="3055"/>
      <c r="BK606" s="3055"/>
      <c r="BL606" s="3056"/>
      <c r="BM606" s="3057">
        <f t="shared" si="16"/>
      </c>
      <c r="BN606" s="3054"/>
      <c r="BO606" s="3054"/>
      <c r="BP606" s="3055"/>
      <c r="BQ606" s="3055"/>
      <c r="BR606" s="3055"/>
      <c r="BS606" s="3055"/>
      <c r="BT606" s="3055"/>
      <c r="BU606" s="3055"/>
      <c r="BV606" s="3055"/>
      <c r="BW606" s="3055"/>
      <c r="BX606" s="3055"/>
      <c r="BY606" s="3055"/>
      <c r="BZ606" s="3055"/>
      <c r="CA606" s="3055"/>
      <c r="CB606" s="3055"/>
      <c r="CC606" s="3056"/>
      <c r="CD606" s="3057">
        <f t="shared" si="0"/>
      </c>
      <c r="CE606" s="3054"/>
      <c r="CF606" s="3054"/>
      <c r="CG606" s="3055"/>
      <c r="CH606" s="3055"/>
      <c r="CI606" s="3055"/>
      <c r="CJ606" s="3055"/>
      <c r="CK606" s="3055"/>
      <c r="CL606" s="3055"/>
      <c r="CM606" s="3055"/>
      <c r="CN606" s="3055"/>
      <c r="CO606" s="3055"/>
      <c r="CP606" s="3055"/>
      <c r="CQ606" s="3055"/>
      <c r="CR606" s="3055"/>
      <c r="CS606" s="3055"/>
      <c r="CU606" s="3054"/>
      <c r="CV606" s="696"/>
      <c r="CW606" s="696"/>
      <c r="CZ606" s="3060">
        <f t="shared" si="17"/>
      </c>
      <c r="DA606" s="3060">
        <f t="shared" si="1"/>
      </c>
      <c r="DB606" s="3060">
        <f t="shared" si="18"/>
      </c>
      <c r="DC606" s="3060">
        <f t="shared" si="19"/>
      </c>
      <c r="DD606" s="3060">
        <f t="shared" si="20"/>
      </c>
      <c r="DE606" s="3060">
        <f t="shared" si="21"/>
      </c>
      <c r="DF606" s="3060">
        <f t="shared" si="22"/>
      </c>
      <c r="DG606" s="3060">
        <f t="shared" si="23"/>
      </c>
      <c r="DH606" s="3060">
        <f t="shared" si="24"/>
      </c>
      <c r="DI606" s="3060">
        <f t="shared" si="1"/>
      </c>
    </row>
    <row r="607" ht="15" customHeight="1" s="3052" customFormat="1">
      <c r="B607" s="3054">
        <f t="shared" si="2"/>
      </c>
      <c r="C607" s="3054"/>
      <c r="D607" s="3054"/>
      <c r="E607" s="3055"/>
      <c r="F607" s="3055"/>
      <c r="G607" s="3055"/>
      <c r="H607" s="3055"/>
      <c r="I607" s="3055"/>
      <c r="J607" s="3055"/>
      <c r="K607" s="3055"/>
      <c r="L607" s="3055"/>
      <c r="M607" s="3055"/>
      <c r="N607" s="3055"/>
      <c r="O607" s="3055"/>
      <c r="P607" s="3055"/>
      <c r="Q607" s="3055"/>
      <c r="R607" s="3055">
        <f t="shared" si="3"/>
        <v>0</v>
      </c>
      <c r="S607" s="3055">
        <f t="shared" si="4"/>
        <v>0</v>
      </c>
      <c r="T607" s="3055">
        <f t="shared" si="5"/>
        <v>0</v>
      </c>
      <c r="U607" s="3055">
        <f t="shared" si="6"/>
        <v>0</v>
      </c>
      <c r="V607" s="3055">
        <f t="shared" si="7"/>
        <v>0</v>
      </c>
      <c r="W607" s="3055">
        <f t="shared" si="8"/>
        <v>0</v>
      </c>
      <c r="X607" s="3055">
        <f t="shared" si="9"/>
        <v>0</v>
      </c>
      <c r="Y607" s="3055">
        <f t="shared" si="10"/>
        <v>0</v>
      </c>
      <c r="Z607" s="3055">
        <f t="shared" si="11"/>
        <v>0</v>
      </c>
      <c r="AA607" s="3055">
        <f t="shared" si="12"/>
        <v>0</v>
      </c>
      <c r="AB607" s="3055">
        <f t="shared" si="13"/>
        <v>0</v>
      </c>
      <c r="AC607" s="3055">
        <f t="shared" si="14"/>
        <v>0</v>
      </c>
      <c r="AD607" s="3056"/>
      <c r="AE607" s="3057">
        <f t="shared" si="0"/>
      </c>
      <c r="AF607" s="3054"/>
      <c r="AG607" s="3054"/>
      <c r="AH607" s="3055"/>
      <c r="AI607" s="3055"/>
      <c r="AJ607" s="3055"/>
      <c r="AK607" s="3055"/>
      <c r="AL607" s="3055"/>
      <c r="AM607" s="3055"/>
      <c r="AN607" s="3055"/>
      <c r="AO607" s="3055"/>
      <c r="AP607" s="3055"/>
      <c r="AQ607" s="3055"/>
      <c r="AR607" s="3055"/>
      <c r="AS607" s="3055"/>
      <c r="AT607" s="3055"/>
      <c r="AU607" s="3056"/>
      <c r="AV607" s="3057">
        <f t="shared" si="15"/>
      </c>
      <c r="AW607" s="3054"/>
      <c r="AX607" s="3054"/>
      <c r="AY607" s="3055"/>
      <c r="AZ607" s="3055"/>
      <c r="BA607" s="3055"/>
      <c r="BB607" s="3055"/>
      <c r="BC607" s="3055"/>
      <c r="BD607" s="3055"/>
      <c r="BE607" s="3055"/>
      <c r="BF607" s="3055"/>
      <c r="BG607" s="3055"/>
      <c r="BH607" s="3055"/>
      <c r="BI607" s="3055"/>
      <c r="BJ607" s="3055"/>
      <c r="BK607" s="3055"/>
      <c r="BL607" s="3056"/>
      <c r="BM607" s="3057">
        <f t="shared" si="16"/>
      </c>
      <c r="BN607" s="3054"/>
      <c r="BO607" s="3054"/>
      <c r="BP607" s="3055"/>
      <c r="BQ607" s="3055"/>
      <c r="BR607" s="3055"/>
      <c r="BS607" s="3055"/>
      <c r="BT607" s="3055"/>
      <c r="BU607" s="3055"/>
      <c r="BV607" s="3055"/>
      <c r="BW607" s="3055"/>
      <c r="BX607" s="3055"/>
      <c r="BY607" s="3055"/>
      <c r="BZ607" s="3055"/>
      <c r="CA607" s="3055"/>
      <c r="CB607" s="3055"/>
      <c r="CC607" s="3056"/>
      <c r="CD607" s="3057">
        <f t="shared" si="0"/>
      </c>
      <c r="CE607" s="3054"/>
      <c r="CF607" s="3054"/>
      <c r="CG607" s="3055"/>
      <c r="CH607" s="3055"/>
      <c r="CI607" s="3055"/>
      <c r="CJ607" s="3055"/>
      <c r="CK607" s="3055"/>
      <c r="CL607" s="3055"/>
      <c r="CM607" s="3055"/>
      <c r="CN607" s="3055"/>
      <c r="CO607" s="3055"/>
      <c r="CP607" s="3055"/>
      <c r="CQ607" s="3055"/>
      <c r="CR607" s="3055"/>
      <c r="CS607" s="3055"/>
      <c r="CU607" s="3054"/>
      <c r="CV607" s="696"/>
      <c r="CW607" s="696"/>
      <c r="CZ607" s="3060">
        <f t="shared" si="17"/>
      </c>
      <c r="DA607" s="3060">
        <f t="shared" si="1"/>
      </c>
      <c r="DB607" s="3060">
        <f t="shared" si="18"/>
      </c>
      <c r="DC607" s="3060">
        <f t="shared" si="19"/>
      </c>
      <c r="DD607" s="3060">
        <f t="shared" si="20"/>
      </c>
      <c r="DE607" s="3060">
        <f t="shared" si="21"/>
      </c>
      <c r="DF607" s="3060">
        <f t="shared" si="22"/>
      </c>
      <c r="DG607" s="3060">
        <f t="shared" si="23"/>
      </c>
      <c r="DH607" s="3060">
        <f t="shared" si="24"/>
      </c>
      <c r="DI607" s="3060">
        <f t="shared" si="1"/>
      </c>
    </row>
    <row r="608" ht="15" customHeight="1" s="3052" customFormat="1">
      <c r="B608" s="3054">
        <f t="shared" si="2"/>
      </c>
      <c r="C608" s="3054"/>
      <c r="D608" s="3054"/>
      <c r="E608" s="3055"/>
      <c r="F608" s="3055"/>
      <c r="G608" s="3055"/>
      <c r="H608" s="3055"/>
      <c r="I608" s="3055"/>
      <c r="J608" s="3055"/>
      <c r="K608" s="3055"/>
      <c r="L608" s="3055"/>
      <c r="M608" s="3055"/>
      <c r="N608" s="3055"/>
      <c r="O608" s="3055"/>
      <c r="P608" s="3055"/>
      <c r="Q608" s="3055"/>
      <c r="R608" s="3055">
        <f t="shared" si="3"/>
        <v>0</v>
      </c>
      <c r="S608" s="3055">
        <f t="shared" si="4"/>
        <v>0</v>
      </c>
      <c r="T608" s="3055">
        <f t="shared" si="5"/>
        <v>0</v>
      </c>
      <c r="U608" s="3055">
        <f t="shared" si="6"/>
        <v>0</v>
      </c>
      <c r="V608" s="3055">
        <f t="shared" si="7"/>
        <v>0</v>
      </c>
      <c r="W608" s="3055">
        <f t="shared" si="8"/>
        <v>0</v>
      </c>
      <c r="X608" s="3055">
        <f t="shared" si="9"/>
        <v>0</v>
      </c>
      <c r="Y608" s="3055">
        <f t="shared" si="10"/>
        <v>0</v>
      </c>
      <c r="Z608" s="3055">
        <f t="shared" si="11"/>
        <v>0</v>
      </c>
      <c r="AA608" s="3055">
        <f t="shared" si="12"/>
        <v>0</v>
      </c>
      <c r="AB608" s="3055">
        <f t="shared" si="13"/>
        <v>0</v>
      </c>
      <c r="AC608" s="3055">
        <f t="shared" si="14"/>
        <v>0</v>
      </c>
      <c r="AD608" s="3056"/>
      <c r="AE608" s="3057">
        <f t="shared" si="0"/>
      </c>
      <c r="AF608" s="3054"/>
      <c r="AG608" s="3054"/>
      <c r="AH608" s="3055"/>
      <c r="AI608" s="3055"/>
      <c r="AJ608" s="3055"/>
      <c r="AK608" s="3055"/>
      <c r="AL608" s="3055"/>
      <c r="AM608" s="3055"/>
      <c r="AN608" s="3055"/>
      <c r="AO608" s="3055"/>
      <c r="AP608" s="3055"/>
      <c r="AQ608" s="3055"/>
      <c r="AR608" s="3055"/>
      <c r="AS608" s="3055"/>
      <c r="AT608" s="3055"/>
      <c r="AU608" s="3056"/>
      <c r="AV608" s="3057">
        <f t="shared" si="15"/>
      </c>
      <c r="AW608" s="3054"/>
      <c r="AX608" s="3054"/>
      <c r="AY608" s="3055"/>
      <c r="AZ608" s="3055"/>
      <c r="BA608" s="3055"/>
      <c r="BB608" s="3055"/>
      <c r="BC608" s="3055"/>
      <c r="BD608" s="3055"/>
      <c r="BE608" s="3055"/>
      <c r="BF608" s="3055"/>
      <c r="BG608" s="3055"/>
      <c r="BH608" s="3055"/>
      <c r="BI608" s="3055"/>
      <c r="BJ608" s="3055"/>
      <c r="BK608" s="3055"/>
      <c r="BL608" s="3056"/>
      <c r="BM608" s="3057">
        <f t="shared" si="16"/>
      </c>
      <c r="BN608" s="3054"/>
      <c r="BO608" s="3054"/>
      <c r="BP608" s="3055"/>
      <c r="BQ608" s="3055"/>
      <c r="BR608" s="3055"/>
      <c r="BS608" s="3055"/>
      <c r="BT608" s="3055"/>
      <c r="BU608" s="3055"/>
      <c r="BV608" s="3055"/>
      <c r="BW608" s="3055"/>
      <c r="BX608" s="3055"/>
      <c r="BY608" s="3055"/>
      <c r="BZ608" s="3055"/>
      <c r="CA608" s="3055"/>
      <c r="CB608" s="3055"/>
      <c r="CC608" s="3056"/>
      <c r="CD608" s="3057">
        <f t="shared" si="0"/>
      </c>
      <c r="CE608" s="3054"/>
      <c r="CF608" s="3054"/>
      <c r="CG608" s="3055"/>
      <c r="CH608" s="3055"/>
      <c r="CI608" s="3055"/>
      <c r="CJ608" s="3055"/>
      <c r="CK608" s="3055"/>
      <c r="CL608" s="3055"/>
      <c r="CM608" s="3055"/>
      <c r="CN608" s="3055"/>
      <c r="CO608" s="3055"/>
      <c r="CP608" s="3055"/>
      <c r="CQ608" s="3055"/>
      <c r="CR608" s="3055"/>
      <c r="CS608" s="3055"/>
      <c r="CU608" s="3054"/>
      <c r="CV608" s="696"/>
      <c r="CW608" s="696"/>
      <c r="CZ608" s="3060">
        <f t="shared" si="17"/>
      </c>
      <c r="DA608" s="3060">
        <f t="shared" si="1"/>
      </c>
      <c r="DB608" s="3060">
        <f t="shared" si="18"/>
      </c>
      <c r="DC608" s="3060">
        <f t="shared" si="19"/>
      </c>
      <c r="DD608" s="3060">
        <f t="shared" si="20"/>
      </c>
      <c r="DE608" s="3060">
        <f t="shared" si="21"/>
      </c>
      <c r="DF608" s="3060">
        <f t="shared" si="22"/>
      </c>
      <c r="DG608" s="3060">
        <f t="shared" si="23"/>
      </c>
      <c r="DH608" s="3060">
        <f t="shared" si="24"/>
      </c>
      <c r="DI608" s="3060">
        <f t="shared" si="1"/>
      </c>
    </row>
    <row r="609" ht="15" customHeight="1" s="3052" customFormat="1">
      <c r="B609" s="3054">
        <f t="shared" si="2"/>
      </c>
      <c r="C609" s="3054"/>
      <c r="D609" s="3054"/>
      <c r="E609" s="3055"/>
      <c r="F609" s="3055"/>
      <c r="G609" s="3055"/>
      <c r="H609" s="3055"/>
      <c r="I609" s="3055"/>
      <c r="J609" s="3055"/>
      <c r="K609" s="3055"/>
      <c r="L609" s="3055"/>
      <c r="M609" s="3055"/>
      <c r="N609" s="3055"/>
      <c r="O609" s="3055"/>
      <c r="P609" s="3055"/>
      <c r="Q609" s="3055"/>
      <c r="R609" s="3055">
        <f t="shared" si="3"/>
        <v>0</v>
      </c>
      <c r="S609" s="3055">
        <f t="shared" si="4"/>
        <v>0</v>
      </c>
      <c r="T609" s="3055">
        <f t="shared" si="5"/>
        <v>0</v>
      </c>
      <c r="U609" s="3055">
        <f t="shared" si="6"/>
        <v>0</v>
      </c>
      <c r="V609" s="3055">
        <f t="shared" si="7"/>
        <v>0</v>
      </c>
      <c r="W609" s="3055">
        <f t="shared" si="8"/>
        <v>0</v>
      </c>
      <c r="X609" s="3055">
        <f t="shared" si="9"/>
        <v>0</v>
      </c>
      <c r="Y609" s="3055">
        <f t="shared" si="10"/>
        <v>0</v>
      </c>
      <c r="Z609" s="3055">
        <f t="shared" si="11"/>
        <v>0</v>
      </c>
      <c r="AA609" s="3055">
        <f t="shared" si="12"/>
        <v>0</v>
      </c>
      <c r="AB609" s="3055">
        <f t="shared" si="13"/>
        <v>0</v>
      </c>
      <c r="AC609" s="3055">
        <f t="shared" si="14"/>
        <v>0</v>
      </c>
      <c r="AD609" s="3056"/>
      <c r="AE609" s="3057">
        <f t="shared" si="0"/>
      </c>
      <c r="AF609" s="3054"/>
      <c r="AG609" s="3054"/>
      <c r="AH609" s="3055"/>
      <c r="AI609" s="3055"/>
      <c r="AJ609" s="3055"/>
      <c r="AK609" s="3055"/>
      <c r="AL609" s="3055"/>
      <c r="AM609" s="3055"/>
      <c r="AN609" s="3055"/>
      <c r="AO609" s="3055"/>
      <c r="AP609" s="3055"/>
      <c r="AQ609" s="3055"/>
      <c r="AR609" s="3055"/>
      <c r="AS609" s="3055"/>
      <c r="AT609" s="3055"/>
      <c r="AU609" s="3056"/>
      <c r="AV609" s="3057">
        <f t="shared" si="15"/>
      </c>
      <c r="AW609" s="3054"/>
      <c r="AX609" s="3054"/>
      <c r="AY609" s="3055"/>
      <c r="AZ609" s="3055"/>
      <c r="BA609" s="3055"/>
      <c r="BB609" s="3055"/>
      <c r="BC609" s="3055"/>
      <c r="BD609" s="3055"/>
      <c r="BE609" s="3055"/>
      <c r="BF609" s="3055"/>
      <c r="BG609" s="3055"/>
      <c r="BH609" s="3055"/>
      <c r="BI609" s="3055"/>
      <c r="BJ609" s="3055"/>
      <c r="BK609" s="3055"/>
      <c r="BL609" s="3056"/>
      <c r="BM609" s="3057">
        <f t="shared" si="16"/>
      </c>
      <c r="BN609" s="3054"/>
      <c r="BO609" s="3054"/>
      <c r="BP609" s="3055"/>
      <c r="BQ609" s="3055"/>
      <c r="BR609" s="3055"/>
      <c r="BS609" s="3055"/>
      <c r="BT609" s="3055"/>
      <c r="BU609" s="3055"/>
      <c r="BV609" s="3055"/>
      <c r="BW609" s="3055"/>
      <c r="BX609" s="3055"/>
      <c r="BY609" s="3055"/>
      <c r="BZ609" s="3055"/>
      <c r="CA609" s="3055"/>
      <c r="CB609" s="3055"/>
      <c r="CC609" s="3056"/>
      <c r="CD609" s="3057">
        <f t="shared" si="0"/>
      </c>
      <c r="CE609" s="3054"/>
      <c r="CF609" s="3054"/>
      <c r="CG609" s="3055"/>
      <c r="CH609" s="3055"/>
      <c r="CI609" s="3055"/>
      <c r="CJ609" s="3055"/>
      <c r="CK609" s="3055"/>
      <c r="CL609" s="3055"/>
      <c r="CM609" s="3055"/>
      <c r="CN609" s="3055"/>
      <c r="CO609" s="3055"/>
      <c r="CP609" s="3055"/>
      <c r="CQ609" s="3055"/>
      <c r="CR609" s="3055"/>
      <c r="CS609" s="3055"/>
      <c r="CU609" s="3054"/>
      <c r="CV609" s="696"/>
      <c r="CW609" s="696"/>
      <c r="CZ609" s="3060">
        <f t="shared" si="17"/>
      </c>
      <c r="DA609" s="3060">
        <f t="shared" si="1"/>
      </c>
      <c r="DB609" s="3060">
        <f t="shared" si="18"/>
      </c>
      <c r="DC609" s="3060">
        <f t="shared" si="19"/>
      </c>
      <c r="DD609" s="3060">
        <f t="shared" si="20"/>
      </c>
      <c r="DE609" s="3060">
        <f t="shared" si="21"/>
      </c>
      <c r="DF609" s="3060">
        <f t="shared" si="22"/>
      </c>
      <c r="DG609" s="3060">
        <f t="shared" si="23"/>
      </c>
      <c r="DH609" s="3060">
        <f t="shared" si="24"/>
      </c>
      <c r="DI609" s="3060">
        <f t="shared" si="1"/>
      </c>
    </row>
    <row r="610" ht="15" customHeight="1" s="3052" customFormat="1">
      <c r="B610" s="3054">
        <f t="shared" si="2"/>
      </c>
      <c r="C610" s="3054"/>
      <c r="D610" s="3054"/>
      <c r="E610" s="3055"/>
      <c r="F610" s="3055"/>
      <c r="G610" s="3055"/>
      <c r="H610" s="3055"/>
      <c r="I610" s="3055"/>
      <c r="J610" s="3055"/>
      <c r="K610" s="3055"/>
      <c r="L610" s="3055"/>
      <c r="M610" s="3055"/>
      <c r="N610" s="3055"/>
      <c r="O610" s="3055"/>
      <c r="P610" s="3055"/>
      <c r="Q610" s="3055"/>
      <c r="R610" s="3055">
        <f t="shared" si="3"/>
        <v>0</v>
      </c>
      <c r="S610" s="3055">
        <f t="shared" si="4"/>
        <v>0</v>
      </c>
      <c r="T610" s="3055">
        <f t="shared" si="5"/>
        <v>0</v>
      </c>
      <c r="U610" s="3055">
        <f t="shared" si="6"/>
        <v>0</v>
      </c>
      <c r="V610" s="3055">
        <f t="shared" si="7"/>
        <v>0</v>
      </c>
      <c r="W610" s="3055">
        <f t="shared" si="8"/>
        <v>0</v>
      </c>
      <c r="X610" s="3055">
        <f t="shared" si="9"/>
        <v>0</v>
      </c>
      <c r="Y610" s="3055">
        <f t="shared" si="10"/>
        <v>0</v>
      </c>
      <c r="Z610" s="3055">
        <f t="shared" si="11"/>
        <v>0</v>
      </c>
      <c r="AA610" s="3055">
        <f t="shared" si="12"/>
        <v>0</v>
      </c>
      <c r="AB610" s="3055">
        <f t="shared" si="13"/>
        <v>0</v>
      </c>
      <c r="AC610" s="3055">
        <f t="shared" si="14"/>
        <v>0</v>
      </c>
      <c r="AD610" s="3056"/>
      <c r="AE610" s="3057">
        <f t="shared" si="0"/>
      </c>
      <c r="AF610" s="3054"/>
      <c r="AG610" s="3054"/>
      <c r="AH610" s="3055"/>
      <c r="AI610" s="3055"/>
      <c r="AJ610" s="3055"/>
      <c r="AK610" s="3055"/>
      <c r="AL610" s="3055"/>
      <c r="AM610" s="3055"/>
      <c r="AN610" s="3055"/>
      <c r="AO610" s="3055"/>
      <c r="AP610" s="3055"/>
      <c r="AQ610" s="3055"/>
      <c r="AR610" s="3055"/>
      <c r="AS610" s="3055"/>
      <c r="AT610" s="3055"/>
      <c r="AU610" s="3056"/>
      <c r="AV610" s="3057">
        <f t="shared" si="15"/>
      </c>
      <c r="AW610" s="3054"/>
      <c r="AX610" s="3054"/>
      <c r="AY610" s="3055"/>
      <c r="AZ610" s="3055"/>
      <c r="BA610" s="3055"/>
      <c r="BB610" s="3055"/>
      <c r="BC610" s="3055"/>
      <c r="BD610" s="3055"/>
      <c r="BE610" s="3055"/>
      <c r="BF610" s="3055"/>
      <c r="BG610" s="3055"/>
      <c r="BH610" s="3055"/>
      <c r="BI610" s="3055"/>
      <c r="BJ610" s="3055"/>
      <c r="BK610" s="3055"/>
      <c r="BL610" s="3056"/>
      <c r="BM610" s="3057">
        <f t="shared" si="16"/>
      </c>
      <c r="BN610" s="3054"/>
      <c r="BO610" s="3054"/>
      <c r="BP610" s="3055"/>
      <c r="BQ610" s="3055"/>
      <c r="BR610" s="3055"/>
      <c r="BS610" s="3055"/>
      <c r="BT610" s="3055"/>
      <c r="BU610" s="3055"/>
      <c r="BV610" s="3055"/>
      <c r="BW610" s="3055"/>
      <c r="BX610" s="3055"/>
      <c r="BY610" s="3055"/>
      <c r="BZ610" s="3055"/>
      <c r="CA610" s="3055"/>
      <c r="CB610" s="3055"/>
      <c r="CC610" s="3056"/>
      <c r="CD610" s="3057">
        <f t="shared" si="0"/>
      </c>
      <c r="CE610" s="3054"/>
      <c r="CF610" s="3054"/>
      <c r="CG610" s="3055"/>
      <c r="CH610" s="3055"/>
      <c r="CI610" s="3055"/>
      <c r="CJ610" s="3055"/>
      <c r="CK610" s="3055"/>
      <c r="CL610" s="3055"/>
      <c r="CM610" s="3055"/>
      <c r="CN610" s="3055"/>
      <c r="CO610" s="3055"/>
      <c r="CP610" s="3055"/>
      <c r="CQ610" s="3055"/>
      <c r="CR610" s="3055"/>
      <c r="CS610" s="3055"/>
      <c r="CU610" s="3054"/>
      <c r="CV610" s="696"/>
      <c r="CW610" s="696"/>
      <c r="CZ610" s="3060">
        <f t="shared" si="17"/>
      </c>
      <c r="DA610" s="3060">
        <f t="shared" si="1"/>
      </c>
      <c r="DB610" s="3060">
        <f t="shared" si="18"/>
      </c>
      <c r="DC610" s="3060">
        <f t="shared" si="19"/>
      </c>
      <c r="DD610" s="3060">
        <f t="shared" si="20"/>
      </c>
      <c r="DE610" s="3060">
        <f t="shared" si="21"/>
      </c>
      <c r="DF610" s="3060">
        <f t="shared" si="22"/>
      </c>
      <c r="DG610" s="3060">
        <f t="shared" si="23"/>
      </c>
      <c r="DH610" s="3060">
        <f t="shared" si="24"/>
      </c>
      <c r="DI610" s="3060">
        <f t="shared" si="1"/>
      </c>
    </row>
    <row r="611" ht="15" customHeight="1" s="3052" customFormat="1">
      <c r="B611" s="3054">
        <f t="shared" si="2"/>
      </c>
      <c r="C611" s="3054"/>
      <c r="D611" s="3054"/>
      <c r="E611" s="3055"/>
      <c r="F611" s="3055"/>
      <c r="G611" s="3055"/>
      <c r="H611" s="3055"/>
      <c r="I611" s="3055"/>
      <c r="J611" s="3055"/>
      <c r="K611" s="3055"/>
      <c r="L611" s="3055"/>
      <c r="M611" s="3055"/>
      <c r="N611" s="3055"/>
      <c r="O611" s="3055"/>
      <c r="P611" s="3055"/>
      <c r="Q611" s="3055"/>
      <c r="R611" s="3055">
        <f t="shared" si="3"/>
        <v>0</v>
      </c>
      <c r="S611" s="3055">
        <f t="shared" si="4"/>
        <v>0</v>
      </c>
      <c r="T611" s="3055">
        <f t="shared" si="5"/>
        <v>0</v>
      </c>
      <c r="U611" s="3055">
        <f t="shared" si="6"/>
        <v>0</v>
      </c>
      <c r="V611" s="3055">
        <f t="shared" si="7"/>
        <v>0</v>
      </c>
      <c r="W611" s="3055">
        <f t="shared" si="8"/>
        <v>0</v>
      </c>
      <c r="X611" s="3055">
        <f t="shared" si="9"/>
        <v>0</v>
      </c>
      <c r="Y611" s="3055">
        <f t="shared" si="10"/>
        <v>0</v>
      </c>
      <c r="Z611" s="3055">
        <f t="shared" si="11"/>
        <v>0</v>
      </c>
      <c r="AA611" s="3055">
        <f t="shared" si="12"/>
        <v>0</v>
      </c>
      <c r="AB611" s="3055">
        <f t="shared" si="13"/>
        <v>0</v>
      </c>
      <c r="AC611" s="3055">
        <f t="shared" si="14"/>
        <v>0</v>
      </c>
      <c r="AD611" s="3056"/>
      <c r="AE611" s="3057">
        <f t="shared" si="0"/>
      </c>
      <c r="AF611" s="3054"/>
      <c r="AG611" s="3054"/>
      <c r="AH611" s="3055"/>
      <c r="AI611" s="3055"/>
      <c r="AJ611" s="3055"/>
      <c r="AK611" s="3055"/>
      <c r="AL611" s="3055"/>
      <c r="AM611" s="3055"/>
      <c r="AN611" s="3055"/>
      <c r="AO611" s="3055"/>
      <c r="AP611" s="3055"/>
      <c r="AQ611" s="3055"/>
      <c r="AR611" s="3055"/>
      <c r="AS611" s="3055"/>
      <c r="AT611" s="3055"/>
      <c r="AU611" s="3056"/>
      <c r="AV611" s="3057">
        <f t="shared" si="15"/>
      </c>
      <c r="AW611" s="3054"/>
      <c r="AX611" s="3054"/>
      <c r="AY611" s="3055"/>
      <c r="AZ611" s="3055"/>
      <c r="BA611" s="3055"/>
      <c r="BB611" s="3055"/>
      <c r="BC611" s="3055"/>
      <c r="BD611" s="3055"/>
      <c r="BE611" s="3055"/>
      <c r="BF611" s="3055"/>
      <c r="BG611" s="3055"/>
      <c r="BH611" s="3055"/>
      <c r="BI611" s="3055"/>
      <c r="BJ611" s="3055"/>
      <c r="BK611" s="3055"/>
      <c r="BL611" s="3056"/>
      <c r="BM611" s="3057">
        <f t="shared" si="16"/>
      </c>
      <c r="BN611" s="3054"/>
      <c r="BO611" s="3054"/>
      <c r="BP611" s="3055"/>
      <c r="BQ611" s="3055"/>
      <c r="BR611" s="3055"/>
      <c r="BS611" s="3055"/>
      <c r="BT611" s="3055"/>
      <c r="BU611" s="3055"/>
      <c r="BV611" s="3055"/>
      <c r="BW611" s="3055"/>
      <c r="BX611" s="3055"/>
      <c r="BY611" s="3055"/>
      <c r="BZ611" s="3055"/>
      <c r="CA611" s="3055"/>
      <c r="CB611" s="3055"/>
      <c r="CC611" s="3056"/>
      <c r="CD611" s="3057">
        <f t="shared" si="0"/>
      </c>
      <c r="CE611" s="3054"/>
      <c r="CF611" s="3054"/>
      <c r="CG611" s="3055"/>
      <c r="CH611" s="3055"/>
      <c r="CI611" s="3055"/>
      <c r="CJ611" s="3055"/>
      <c r="CK611" s="3055"/>
      <c r="CL611" s="3055"/>
      <c r="CM611" s="3055"/>
      <c r="CN611" s="3055"/>
      <c r="CO611" s="3055"/>
      <c r="CP611" s="3055"/>
      <c r="CQ611" s="3055"/>
      <c r="CR611" s="3055"/>
      <c r="CS611" s="3055"/>
      <c r="CU611" s="3054"/>
      <c r="CV611" s="696"/>
      <c r="CW611" s="696"/>
      <c r="CZ611" s="3060">
        <f t="shared" si="17"/>
      </c>
      <c r="DA611" s="3060">
        <f t="shared" si="1"/>
      </c>
      <c r="DB611" s="3060">
        <f t="shared" si="18"/>
      </c>
      <c r="DC611" s="3060">
        <f t="shared" si="19"/>
      </c>
      <c r="DD611" s="3060">
        <f t="shared" si="20"/>
      </c>
      <c r="DE611" s="3060">
        <f t="shared" si="21"/>
      </c>
      <c r="DF611" s="3060">
        <f t="shared" si="22"/>
      </c>
      <c r="DG611" s="3060">
        <f t="shared" si="23"/>
      </c>
      <c r="DH611" s="3060">
        <f t="shared" si="24"/>
      </c>
      <c r="DI611" s="3060">
        <f t="shared" si="1"/>
      </c>
    </row>
    <row r="612" ht="15" customHeight="1" s="3052" customFormat="1">
      <c r="B612" s="3054">
        <f t="shared" si="2"/>
      </c>
      <c r="C612" s="3054"/>
      <c r="D612" s="3054"/>
      <c r="E612" s="3055"/>
      <c r="F612" s="3055"/>
      <c r="G612" s="3055"/>
      <c r="H612" s="3055"/>
      <c r="I612" s="3055"/>
      <c r="J612" s="3055"/>
      <c r="K612" s="3055"/>
      <c r="L612" s="3055"/>
      <c r="M612" s="3055"/>
      <c r="N612" s="3055"/>
      <c r="O612" s="3055"/>
      <c r="P612" s="3055"/>
      <c r="Q612" s="3055"/>
      <c r="R612" s="3055">
        <f t="shared" si="3"/>
        <v>0</v>
      </c>
      <c r="S612" s="3055">
        <f t="shared" si="4"/>
        <v>0</v>
      </c>
      <c r="T612" s="3055">
        <f t="shared" si="5"/>
        <v>0</v>
      </c>
      <c r="U612" s="3055">
        <f t="shared" si="6"/>
        <v>0</v>
      </c>
      <c r="V612" s="3055">
        <f t="shared" si="7"/>
        <v>0</v>
      </c>
      <c r="W612" s="3055">
        <f t="shared" si="8"/>
        <v>0</v>
      </c>
      <c r="X612" s="3055">
        <f t="shared" si="9"/>
        <v>0</v>
      </c>
      <c r="Y612" s="3055">
        <f t="shared" si="10"/>
        <v>0</v>
      </c>
      <c r="Z612" s="3055">
        <f t="shared" si="11"/>
        <v>0</v>
      </c>
      <c r="AA612" s="3055">
        <f t="shared" si="12"/>
        <v>0</v>
      </c>
      <c r="AB612" s="3055">
        <f t="shared" si="13"/>
        <v>0</v>
      </c>
      <c r="AC612" s="3055">
        <f t="shared" si="14"/>
        <v>0</v>
      </c>
      <c r="AD612" s="3056"/>
      <c r="AE612" s="3057">
        <f t="shared" si="0"/>
      </c>
      <c r="AF612" s="3054"/>
      <c r="AG612" s="3054"/>
      <c r="AH612" s="3055"/>
      <c r="AI612" s="3055"/>
      <c r="AJ612" s="3055"/>
      <c r="AK612" s="3055"/>
      <c r="AL612" s="3055"/>
      <c r="AM612" s="3055"/>
      <c r="AN612" s="3055"/>
      <c r="AO612" s="3055"/>
      <c r="AP612" s="3055"/>
      <c r="AQ612" s="3055"/>
      <c r="AR612" s="3055"/>
      <c r="AS612" s="3055"/>
      <c r="AT612" s="3055"/>
      <c r="AU612" s="3056"/>
      <c r="AV612" s="3057">
        <f t="shared" si="15"/>
      </c>
      <c r="AW612" s="3054"/>
      <c r="AX612" s="3054"/>
      <c r="AY612" s="3055"/>
      <c r="AZ612" s="3055"/>
      <c r="BA612" s="3055"/>
      <c r="BB612" s="3055"/>
      <c r="BC612" s="3055"/>
      <c r="BD612" s="3055"/>
      <c r="BE612" s="3055"/>
      <c r="BF612" s="3055"/>
      <c r="BG612" s="3055"/>
      <c r="BH612" s="3055"/>
      <c r="BI612" s="3055"/>
      <c r="BJ612" s="3055"/>
      <c r="BK612" s="3055"/>
      <c r="BL612" s="3056"/>
      <c r="BM612" s="3057">
        <f t="shared" si="16"/>
      </c>
      <c r="BN612" s="3054"/>
      <c r="BO612" s="3054"/>
      <c r="BP612" s="3055"/>
      <c r="BQ612" s="3055"/>
      <c r="BR612" s="3055"/>
      <c r="BS612" s="3055"/>
      <c r="BT612" s="3055"/>
      <c r="BU612" s="3055"/>
      <c r="BV612" s="3055"/>
      <c r="BW612" s="3055"/>
      <c r="BX612" s="3055"/>
      <c r="BY612" s="3055"/>
      <c r="BZ612" s="3055"/>
      <c r="CA612" s="3055"/>
      <c r="CB612" s="3055"/>
      <c r="CC612" s="3056"/>
      <c r="CD612" s="3057">
        <f t="shared" si="0"/>
      </c>
      <c r="CE612" s="3054"/>
      <c r="CF612" s="3054"/>
      <c r="CG612" s="3055"/>
      <c r="CH612" s="3055"/>
      <c r="CI612" s="3055"/>
      <c r="CJ612" s="3055"/>
      <c r="CK612" s="3055"/>
      <c r="CL612" s="3055"/>
      <c r="CM612" s="3055"/>
      <c r="CN612" s="3055"/>
      <c r="CO612" s="3055"/>
      <c r="CP612" s="3055"/>
      <c r="CQ612" s="3055"/>
      <c r="CR612" s="3055"/>
      <c r="CS612" s="3055"/>
      <c r="CU612" s="3054"/>
      <c r="CV612" s="696"/>
      <c r="CW612" s="696"/>
      <c r="CZ612" s="3060">
        <f t="shared" si="17"/>
      </c>
      <c r="DA612" s="3060">
        <f t="shared" si="1"/>
      </c>
      <c r="DB612" s="3060">
        <f t="shared" si="18"/>
      </c>
      <c r="DC612" s="3060">
        <f t="shared" si="19"/>
      </c>
      <c r="DD612" s="3060">
        <f t="shared" si="20"/>
      </c>
      <c r="DE612" s="3060">
        <f t="shared" si="21"/>
      </c>
      <c r="DF612" s="3060">
        <f t="shared" si="22"/>
      </c>
      <c r="DG612" s="3060">
        <f t="shared" si="23"/>
      </c>
      <c r="DH612" s="3060">
        <f t="shared" si="24"/>
      </c>
      <c r="DI612" s="3060">
        <f t="shared" si="1"/>
      </c>
    </row>
    <row r="613" ht="15" customHeight="1" s="3052" customFormat="1">
      <c r="B613" s="3054">
        <f t="shared" si="2"/>
      </c>
      <c r="C613" s="3054"/>
      <c r="D613" s="3054"/>
      <c r="E613" s="3055"/>
      <c r="F613" s="3055"/>
      <c r="G613" s="3055"/>
      <c r="H613" s="3055"/>
      <c r="I613" s="3055"/>
      <c r="J613" s="3055"/>
      <c r="K613" s="3055"/>
      <c r="L613" s="3055"/>
      <c r="M613" s="3055"/>
      <c r="N613" s="3055"/>
      <c r="O613" s="3055"/>
      <c r="P613" s="3055"/>
      <c r="Q613" s="3055"/>
      <c r="R613" s="3055">
        <f t="shared" si="3"/>
        <v>0</v>
      </c>
      <c r="S613" s="3055">
        <f t="shared" si="4"/>
        <v>0</v>
      </c>
      <c r="T613" s="3055">
        <f t="shared" si="5"/>
        <v>0</v>
      </c>
      <c r="U613" s="3055">
        <f t="shared" si="6"/>
        <v>0</v>
      </c>
      <c r="V613" s="3055">
        <f t="shared" si="7"/>
        <v>0</v>
      </c>
      <c r="W613" s="3055">
        <f t="shared" si="8"/>
        <v>0</v>
      </c>
      <c r="X613" s="3055">
        <f t="shared" si="9"/>
        <v>0</v>
      </c>
      <c r="Y613" s="3055">
        <f t="shared" si="10"/>
        <v>0</v>
      </c>
      <c r="Z613" s="3055">
        <f t="shared" si="11"/>
        <v>0</v>
      </c>
      <c r="AA613" s="3055">
        <f t="shared" si="12"/>
        <v>0</v>
      </c>
      <c r="AB613" s="3055">
        <f t="shared" si="13"/>
        <v>0</v>
      </c>
      <c r="AC613" s="3055">
        <f t="shared" si="14"/>
        <v>0</v>
      </c>
      <c r="AD613" s="3056"/>
      <c r="AE613" s="3057">
        <f t="shared" si="0"/>
      </c>
      <c r="AF613" s="3054"/>
      <c r="AG613" s="3054"/>
      <c r="AH613" s="3055"/>
      <c r="AI613" s="3055"/>
      <c r="AJ613" s="3055"/>
      <c r="AK613" s="3055"/>
      <c r="AL613" s="3055"/>
      <c r="AM613" s="3055"/>
      <c r="AN613" s="3055"/>
      <c r="AO613" s="3055"/>
      <c r="AP613" s="3055"/>
      <c r="AQ613" s="3055"/>
      <c r="AR613" s="3055"/>
      <c r="AS613" s="3055"/>
      <c r="AT613" s="3055"/>
      <c r="AU613" s="3056"/>
      <c r="AV613" s="3057">
        <f t="shared" si="15"/>
      </c>
      <c r="AW613" s="3054"/>
      <c r="AX613" s="3054"/>
      <c r="AY613" s="3055"/>
      <c r="AZ613" s="3055"/>
      <c r="BA613" s="3055"/>
      <c r="BB613" s="3055"/>
      <c r="BC613" s="3055"/>
      <c r="BD613" s="3055"/>
      <c r="BE613" s="3055"/>
      <c r="BF613" s="3055"/>
      <c r="BG613" s="3055"/>
      <c r="BH613" s="3055"/>
      <c r="BI613" s="3055"/>
      <c r="BJ613" s="3055"/>
      <c r="BK613" s="3055"/>
      <c r="BL613" s="3056"/>
      <c r="BM613" s="3057">
        <f t="shared" si="16"/>
      </c>
      <c r="BN613" s="3054"/>
      <c r="BO613" s="3054"/>
      <c r="BP613" s="3055"/>
      <c r="BQ613" s="3055"/>
      <c r="BR613" s="3055"/>
      <c r="BS613" s="3055"/>
      <c r="BT613" s="3055"/>
      <c r="BU613" s="3055"/>
      <c r="BV613" s="3055"/>
      <c r="BW613" s="3055"/>
      <c r="BX613" s="3055"/>
      <c r="BY613" s="3055"/>
      <c r="BZ613" s="3055"/>
      <c r="CA613" s="3055"/>
      <c r="CB613" s="3055"/>
      <c r="CC613" s="3056"/>
      <c r="CD613" s="3057">
        <f t="shared" si="0"/>
      </c>
      <c r="CE613" s="3054"/>
      <c r="CF613" s="3054"/>
      <c r="CG613" s="3055"/>
      <c r="CH613" s="3055"/>
      <c r="CI613" s="3055"/>
      <c r="CJ613" s="3055"/>
      <c r="CK613" s="3055"/>
      <c r="CL613" s="3055"/>
      <c r="CM613" s="3055"/>
      <c r="CN613" s="3055"/>
      <c r="CO613" s="3055"/>
      <c r="CP613" s="3055"/>
      <c r="CQ613" s="3055"/>
      <c r="CR613" s="3055"/>
      <c r="CS613" s="3055"/>
      <c r="CU613" s="3054"/>
      <c r="CV613" s="696"/>
      <c r="CW613" s="696"/>
      <c r="CZ613" s="3060">
        <f t="shared" si="17"/>
      </c>
      <c r="DA613" s="3060">
        <f t="shared" si="1"/>
      </c>
      <c r="DB613" s="3060">
        <f t="shared" si="18"/>
      </c>
      <c r="DC613" s="3060">
        <f t="shared" si="19"/>
      </c>
      <c r="DD613" s="3060">
        <f t="shared" si="20"/>
      </c>
      <c r="DE613" s="3060">
        <f t="shared" si="21"/>
      </c>
      <c r="DF613" s="3060">
        <f t="shared" si="22"/>
      </c>
      <c r="DG613" s="3060">
        <f t="shared" si="23"/>
      </c>
      <c r="DH613" s="3060">
        <f t="shared" si="24"/>
      </c>
      <c r="DI613" s="3060">
        <f t="shared" si="1"/>
      </c>
    </row>
    <row r="614" ht="15" customHeight="1" s="3052" customFormat="1">
      <c r="B614" s="3054">
        <f t="shared" si="2"/>
      </c>
      <c r="C614" s="3054"/>
      <c r="D614" s="3054"/>
      <c r="E614" s="3055"/>
      <c r="F614" s="3055"/>
      <c r="G614" s="3055"/>
      <c r="H614" s="3055"/>
      <c r="I614" s="3055"/>
      <c r="J614" s="3055"/>
      <c r="K614" s="3055"/>
      <c r="L614" s="3055"/>
      <c r="M614" s="3055"/>
      <c r="N614" s="3055"/>
      <c r="O614" s="3055"/>
      <c r="P614" s="3055"/>
      <c r="Q614" s="3055"/>
      <c r="R614" s="3055">
        <f t="shared" si="3"/>
        <v>0</v>
      </c>
      <c r="S614" s="3055">
        <f t="shared" si="4"/>
        <v>0</v>
      </c>
      <c r="T614" s="3055">
        <f t="shared" si="5"/>
        <v>0</v>
      </c>
      <c r="U614" s="3055">
        <f t="shared" si="6"/>
        <v>0</v>
      </c>
      <c r="V614" s="3055">
        <f t="shared" si="7"/>
        <v>0</v>
      </c>
      <c r="W614" s="3055">
        <f t="shared" si="8"/>
        <v>0</v>
      </c>
      <c r="X614" s="3055">
        <f t="shared" si="9"/>
        <v>0</v>
      </c>
      <c r="Y614" s="3055">
        <f t="shared" si="10"/>
        <v>0</v>
      </c>
      <c r="Z614" s="3055">
        <f t="shared" si="11"/>
        <v>0</v>
      </c>
      <c r="AA614" s="3055">
        <f t="shared" si="12"/>
        <v>0</v>
      </c>
      <c r="AB614" s="3055">
        <f t="shared" si="13"/>
        <v>0</v>
      </c>
      <c r="AC614" s="3055">
        <f t="shared" si="14"/>
        <v>0</v>
      </c>
      <c r="AD614" s="3056"/>
      <c r="AE614" s="3057">
        <f t="shared" si="0"/>
      </c>
      <c r="AF614" s="3054"/>
      <c r="AG614" s="3054"/>
      <c r="AH614" s="3055"/>
      <c r="AI614" s="3055"/>
      <c r="AJ614" s="3055"/>
      <c r="AK614" s="3055"/>
      <c r="AL614" s="3055"/>
      <c r="AM614" s="3055"/>
      <c r="AN614" s="3055"/>
      <c r="AO614" s="3055"/>
      <c r="AP614" s="3055"/>
      <c r="AQ614" s="3055"/>
      <c r="AR614" s="3055"/>
      <c r="AS614" s="3055"/>
      <c r="AT614" s="3055"/>
      <c r="AU614" s="3056"/>
      <c r="AV614" s="3057">
        <f t="shared" si="15"/>
      </c>
      <c r="AW614" s="3054"/>
      <c r="AX614" s="3054"/>
      <c r="AY614" s="3055"/>
      <c r="AZ614" s="3055"/>
      <c r="BA614" s="3055"/>
      <c r="BB614" s="3055"/>
      <c r="BC614" s="3055"/>
      <c r="BD614" s="3055"/>
      <c r="BE614" s="3055"/>
      <c r="BF614" s="3055"/>
      <c r="BG614" s="3055"/>
      <c r="BH614" s="3055"/>
      <c r="BI614" s="3055"/>
      <c r="BJ614" s="3055"/>
      <c r="BK614" s="3055"/>
      <c r="BL614" s="3056"/>
      <c r="BM614" s="3057">
        <f t="shared" si="16"/>
      </c>
      <c r="BN614" s="3054"/>
      <c r="BO614" s="3054"/>
      <c r="BP614" s="3055"/>
      <c r="BQ614" s="3055"/>
      <c r="BR614" s="3055"/>
      <c r="BS614" s="3055"/>
      <c r="BT614" s="3055"/>
      <c r="BU614" s="3055"/>
      <c r="BV614" s="3055"/>
      <c r="BW614" s="3055"/>
      <c r="BX614" s="3055"/>
      <c r="BY614" s="3055"/>
      <c r="BZ614" s="3055"/>
      <c r="CA614" s="3055"/>
      <c r="CB614" s="3055"/>
      <c r="CC614" s="3056"/>
      <c r="CD614" s="3057">
        <f t="shared" si="0"/>
      </c>
      <c r="CE614" s="3054"/>
      <c r="CF614" s="3054"/>
      <c r="CG614" s="3055"/>
      <c r="CH614" s="3055"/>
      <c r="CI614" s="3055"/>
      <c r="CJ614" s="3055"/>
      <c r="CK614" s="3055"/>
      <c r="CL614" s="3055"/>
      <c r="CM614" s="3055"/>
      <c r="CN614" s="3055"/>
      <c r="CO614" s="3055"/>
      <c r="CP614" s="3055"/>
      <c r="CQ614" s="3055"/>
      <c r="CR614" s="3055"/>
      <c r="CS614" s="3055"/>
      <c r="CU614" s="3054"/>
      <c r="CV614" s="696"/>
      <c r="CW614" s="696"/>
      <c r="CZ614" s="3060">
        <f t="shared" si="17"/>
      </c>
      <c r="DA614" s="3060">
        <f t="shared" si="1"/>
      </c>
      <c r="DB614" s="3060">
        <f t="shared" si="18"/>
      </c>
      <c r="DC614" s="3060">
        <f t="shared" si="19"/>
      </c>
      <c r="DD614" s="3060">
        <f t="shared" si="20"/>
      </c>
      <c r="DE614" s="3060">
        <f t="shared" si="21"/>
      </c>
      <c r="DF614" s="3060">
        <f t="shared" si="22"/>
      </c>
      <c r="DG614" s="3060">
        <f t="shared" si="23"/>
      </c>
      <c r="DH614" s="3060">
        <f t="shared" si="24"/>
      </c>
      <c r="DI614" s="3060">
        <f t="shared" si="1"/>
      </c>
    </row>
    <row r="615" ht="15" customHeight="1" s="3052" customFormat="1">
      <c r="B615" s="3054">
        <f t="shared" si="2"/>
      </c>
      <c r="C615" s="3054"/>
      <c r="D615" s="3054"/>
      <c r="E615" s="3055"/>
      <c r="F615" s="3055"/>
      <c r="G615" s="3055"/>
      <c r="H615" s="3055"/>
      <c r="I615" s="3055"/>
      <c r="J615" s="3055"/>
      <c r="K615" s="3055"/>
      <c r="L615" s="3055"/>
      <c r="M615" s="3055"/>
      <c r="N615" s="3055"/>
      <c r="O615" s="3055"/>
      <c r="P615" s="3055"/>
      <c r="Q615" s="3055"/>
      <c r="R615" s="3055">
        <f t="shared" si="3"/>
        <v>0</v>
      </c>
      <c r="S615" s="3055">
        <f t="shared" si="4"/>
        <v>0</v>
      </c>
      <c r="T615" s="3055">
        <f t="shared" si="5"/>
        <v>0</v>
      </c>
      <c r="U615" s="3055">
        <f t="shared" si="6"/>
        <v>0</v>
      </c>
      <c r="V615" s="3055">
        <f t="shared" si="7"/>
        <v>0</v>
      </c>
      <c r="W615" s="3055">
        <f t="shared" si="8"/>
        <v>0</v>
      </c>
      <c r="X615" s="3055">
        <f t="shared" si="9"/>
        <v>0</v>
      </c>
      <c r="Y615" s="3055">
        <f t="shared" si="10"/>
        <v>0</v>
      </c>
      <c r="Z615" s="3055">
        <f t="shared" si="11"/>
        <v>0</v>
      </c>
      <c r="AA615" s="3055">
        <f t="shared" si="12"/>
        <v>0</v>
      </c>
      <c r="AB615" s="3055">
        <f t="shared" si="13"/>
        <v>0</v>
      </c>
      <c r="AC615" s="3055">
        <f t="shared" si="14"/>
        <v>0</v>
      </c>
      <c r="AD615" s="3056"/>
      <c r="AE615" s="3057">
        <f t="shared" si="0"/>
      </c>
      <c r="AF615" s="3054"/>
      <c r="AG615" s="3054"/>
      <c r="AH615" s="3055"/>
      <c r="AI615" s="3055"/>
      <c r="AJ615" s="3055"/>
      <c r="AK615" s="3055"/>
      <c r="AL615" s="3055"/>
      <c r="AM615" s="3055"/>
      <c r="AN615" s="3055"/>
      <c r="AO615" s="3055"/>
      <c r="AP615" s="3055"/>
      <c r="AQ615" s="3055"/>
      <c r="AR615" s="3055"/>
      <c r="AS615" s="3055"/>
      <c r="AT615" s="3055"/>
      <c r="AU615" s="3056"/>
      <c r="AV615" s="3057">
        <f t="shared" si="15"/>
      </c>
      <c r="AW615" s="3054"/>
      <c r="AX615" s="3054"/>
      <c r="AY615" s="3055"/>
      <c r="AZ615" s="3055"/>
      <c r="BA615" s="3055"/>
      <c r="BB615" s="3055"/>
      <c r="BC615" s="3055"/>
      <c r="BD615" s="3055"/>
      <c r="BE615" s="3055"/>
      <c r="BF615" s="3055"/>
      <c r="BG615" s="3055"/>
      <c r="BH615" s="3055"/>
      <c r="BI615" s="3055"/>
      <c r="BJ615" s="3055"/>
      <c r="BK615" s="3055"/>
      <c r="BL615" s="3056"/>
      <c r="BM615" s="3057">
        <f t="shared" si="16"/>
      </c>
      <c r="BN615" s="3054"/>
      <c r="BO615" s="3054"/>
      <c r="BP615" s="3055"/>
      <c r="BQ615" s="3055"/>
      <c r="BR615" s="3055"/>
      <c r="BS615" s="3055"/>
      <c r="BT615" s="3055"/>
      <c r="BU615" s="3055"/>
      <c r="BV615" s="3055"/>
      <c r="BW615" s="3055"/>
      <c r="BX615" s="3055"/>
      <c r="BY615" s="3055"/>
      <c r="BZ615" s="3055"/>
      <c r="CA615" s="3055"/>
      <c r="CB615" s="3055"/>
      <c r="CC615" s="3056"/>
      <c r="CD615" s="3057">
        <f t="shared" si="0"/>
      </c>
      <c r="CE615" s="3054"/>
      <c r="CF615" s="3054"/>
      <c r="CG615" s="3055"/>
      <c r="CH615" s="3055"/>
      <c r="CI615" s="3055"/>
      <c r="CJ615" s="3055"/>
      <c r="CK615" s="3055"/>
      <c r="CL615" s="3055"/>
      <c r="CM615" s="3055"/>
      <c r="CN615" s="3055"/>
      <c r="CO615" s="3055"/>
      <c r="CP615" s="3055"/>
      <c r="CQ615" s="3055"/>
      <c r="CR615" s="3055"/>
      <c r="CS615" s="3055"/>
      <c r="CU615" s="3054"/>
      <c r="CV615" s="696"/>
      <c r="CW615" s="696"/>
      <c r="CZ615" s="3060">
        <f t="shared" si="17"/>
      </c>
      <c r="DA615" s="3060">
        <f t="shared" si="1"/>
      </c>
      <c r="DB615" s="3060">
        <f t="shared" si="18"/>
      </c>
      <c r="DC615" s="3060">
        <f t="shared" si="19"/>
      </c>
      <c r="DD615" s="3060">
        <f t="shared" si="20"/>
      </c>
      <c r="DE615" s="3060">
        <f t="shared" si="21"/>
      </c>
      <c r="DF615" s="3060">
        <f t="shared" si="22"/>
      </c>
      <c r="DG615" s="3060">
        <f t="shared" si="23"/>
      </c>
      <c r="DH615" s="3060">
        <f t="shared" si="24"/>
      </c>
      <c r="DI615" s="3060">
        <f t="shared" si="1"/>
      </c>
    </row>
    <row r="616" ht="15" customHeight="1" s="3052" customFormat="1">
      <c r="B616" s="3054">
        <f t="shared" si="2"/>
      </c>
      <c r="C616" s="3054"/>
      <c r="D616" s="3054"/>
      <c r="E616" s="3055"/>
      <c r="F616" s="3055"/>
      <c r="G616" s="3055"/>
      <c r="H616" s="3055"/>
      <c r="I616" s="3055"/>
      <c r="J616" s="3055"/>
      <c r="K616" s="3055"/>
      <c r="L616" s="3055"/>
      <c r="M616" s="3055"/>
      <c r="N616" s="3055"/>
      <c r="O616" s="3055"/>
      <c r="P616" s="3055"/>
      <c r="Q616" s="3055"/>
      <c r="R616" s="3055">
        <f t="shared" si="3"/>
        <v>0</v>
      </c>
      <c r="S616" s="3055">
        <f t="shared" si="4"/>
        <v>0</v>
      </c>
      <c r="T616" s="3055">
        <f t="shared" si="5"/>
        <v>0</v>
      </c>
      <c r="U616" s="3055">
        <f t="shared" si="6"/>
        <v>0</v>
      </c>
      <c r="V616" s="3055">
        <f t="shared" si="7"/>
        <v>0</v>
      </c>
      <c r="W616" s="3055">
        <f t="shared" si="8"/>
        <v>0</v>
      </c>
      <c r="X616" s="3055">
        <f t="shared" si="9"/>
        <v>0</v>
      </c>
      <c r="Y616" s="3055">
        <f t="shared" si="10"/>
        <v>0</v>
      </c>
      <c r="Z616" s="3055">
        <f t="shared" si="11"/>
        <v>0</v>
      </c>
      <c r="AA616" s="3055">
        <f t="shared" si="12"/>
        <v>0</v>
      </c>
      <c r="AB616" s="3055">
        <f t="shared" si="13"/>
        <v>0</v>
      </c>
      <c r="AC616" s="3055">
        <f t="shared" si="14"/>
        <v>0</v>
      </c>
      <c r="AD616" s="3056"/>
      <c r="AE616" s="3057">
        <f t="shared" si="0"/>
      </c>
      <c r="AF616" s="3054"/>
      <c r="AG616" s="3054"/>
      <c r="AH616" s="3055"/>
      <c r="AI616" s="3055"/>
      <c r="AJ616" s="3055"/>
      <c r="AK616" s="3055"/>
      <c r="AL616" s="3055"/>
      <c r="AM616" s="3055"/>
      <c r="AN616" s="3055"/>
      <c r="AO616" s="3055"/>
      <c r="AP616" s="3055"/>
      <c r="AQ616" s="3055"/>
      <c r="AR616" s="3055"/>
      <c r="AS616" s="3055"/>
      <c r="AT616" s="3055"/>
      <c r="AU616" s="3056"/>
      <c r="AV616" s="3057">
        <f t="shared" si="15"/>
      </c>
      <c r="AW616" s="3054"/>
      <c r="AX616" s="3054"/>
      <c r="AY616" s="3055"/>
      <c r="AZ616" s="3055"/>
      <c r="BA616" s="3055"/>
      <c r="BB616" s="3055"/>
      <c r="BC616" s="3055"/>
      <c r="BD616" s="3055"/>
      <c r="BE616" s="3055"/>
      <c r="BF616" s="3055"/>
      <c r="BG616" s="3055"/>
      <c r="BH616" s="3055"/>
      <c r="BI616" s="3055"/>
      <c r="BJ616" s="3055"/>
      <c r="BK616" s="3055"/>
      <c r="BL616" s="3056"/>
      <c r="BM616" s="3057">
        <f t="shared" si="16"/>
      </c>
      <c r="BN616" s="3054"/>
      <c r="BO616" s="3054"/>
      <c r="BP616" s="3055"/>
      <c r="BQ616" s="3055"/>
      <c r="BR616" s="3055"/>
      <c r="BS616" s="3055"/>
      <c r="BT616" s="3055"/>
      <c r="BU616" s="3055"/>
      <c r="BV616" s="3055"/>
      <c r="BW616" s="3055"/>
      <c r="BX616" s="3055"/>
      <c r="BY616" s="3055"/>
      <c r="BZ616" s="3055"/>
      <c r="CA616" s="3055"/>
      <c r="CB616" s="3055"/>
      <c r="CC616" s="3056"/>
      <c r="CD616" s="3057">
        <f t="shared" si="0"/>
      </c>
      <c r="CE616" s="3054"/>
      <c r="CF616" s="3054"/>
      <c r="CG616" s="3055"/>
      <c r="CH616" s="3055"/>
      <c r="CI616" s="3055"/>
      <c r="CJ616" s="3055"/>
      <c r="CK616" s="3055"/>
      <c r="CL616" s="3055"/>
      <c r="CM616" s="3055"/>
      <c r="CN616" s="3055"/>
      <c r="CO616" s="3055"/>
      <c r="CP616" s="3055"/>
      <c r="CQ616" s="3055"/>
      <c r="CR616" s="3055"/>
      <c r="CS616" s="3055"/>
      <c r="CU616" s="3054"/>
      <c r="CV616" s="696"/>
      <c r="CW616" s="696"/>
      <c r="CZ616" s="3060">
        <f t="shared" si="17"/>
      </c>
      <c r="DA616" s="3060">
        <f t="shared" si="1"/>
      </c>
      <c r="DB616" s="3060">
        <f t="shared" si="18"/>
      </c>
      <c r="DC616" s="3060">
        <f t="shared" si="19"/>
      </c>
      <c r="DD616" s="3060">
        <f t="shared" si="20"/>
      </c>
      <c r="DE616" s="3060">
        <f t="shared" si="21"/>
      </c>
      <c r="DF616" s="3060">
        <f t="shared" si="22"/>
      </c>
      <c r="DG616" s="3060">
        <f t="shared" si="23"/>
      </c>
      <c r="DH616" s="3060">
        <f t="shared" si="24"/>
      </c>
      <c r="DI616" s="3060">
        <f t="shared" si="1"/>
      </c>
    </row>
    <row r="617" ht="15" customHeight="1" s="3052" customFormat="1">
      <c r="B617" s="3054">
        <f t="shared" si="2"/>
      </c>
      <c r="C617" s="3054"/>
      <c r="D617" s="3054"/>
      <c r="E617" s="3055"/>
      <c r="F617" s="3055"/>
      <c r="G617" s="3055"/>
      <c r="H617" s="3055"/>
      <c r="I617" s="3055"/>
      <c r="J617" s="3055"/>
      <c r="K617" s="3055"/>
      <c r="L617" s="3055"/>
      <c r="M617" s="3055"/>
      <c r="N617" s="3055"/>
      <c r="O617" s="3055"/>
      <c r="P617" s="3055"/>
      <c r="Q617" s="3055"/>
      <c r="R617" s="3055">
        <f t="shared" si="3"/>
        <v>0</v>
      </c>
      <c r="S617" s="3055">
        <f t="shared" si="4"/>
        <v>0</v>
      </c>
      <c r="T617" s="3055">
        <f t="shared" si="5"/>
        <v>0</v>
      </c>
      <c r="U617" s="3055">
        <f t="shared" si="6"/>
        <v>0</v>
      </c>
      <c r="V617" s="3055">
        <f t="shared" si="7"/>
        <v>0</v>
      </c>
      <c r="W617" s="3055">
        <f t="shared" si="8"/>
        <v>0</v>
      </c>
      <c r="X617" s="3055">
        <f t="shared" si="9"/>
        <v>0</v>
      </c>
      <c r="Y617" s="3055">
        <f t="shared" si="10"/>
        <v>0</v>
      </c>
      <c r="Z617" s="3055">
        <f t="shared" si="11"/>
        <v>0</v>
      </c>
      <c r="AA617" s="3055">
        <f t="shared" si="12"/>
        <v>0</v>
      </c>
      <c r="AB617" s="3055">
        <f t="shared" si="13"/>
        <v>0</v>
      </c>
      <c r="AC617" s="3055">
        <f t="shared" si="14"/>
        <v>0</v>
      </c>
      <c r="AD617" s="3056"/>
      <c r="AE617" s="3057">
        <f t="shared" si="0"/>
      </c>
      <c r="AF617" s="3054"/>
      <c r="AG617" s="3054"/>
      <c r="AH617" s="3055"/>
      <c r="AI617" s="3055"/>
      <c r="AJ617" s="3055"/>
      <c r="AK617" s="3055"/>
      <c r="AL617" s="3055"/>
      <c r="AM617" s="3055"/>
      <c r="AN617" s="3055"/>
      <c r="AO617" s="3055"/>
      <c r="AP617" s="3055"/>
      <c r="AQ617" s="3055"/>
      <c r="AR617" s="3055"/>
      <c r="AS617" s="3055"/>
      <c r="AT617" s="3055"/>
      <c r="AU617" s="3056"/>
      <c r="AV617" s="3057">
        <f t="shared" si="15"/>
      </c>
      <c r="AW617" s="3054"/>
      <c r="AX617" s="3054"/>
      <c r="AY617" s="3055"/>
      <c r="AZ617" s="3055"/>
      <c r="BA617" s="3055"/>
      <c r="BB617" s="3055"/>
      <c r="BC617" s="3055"/>
      <c r="BD617" s="3055"/>
      <c r="BE617" s="3055"/>
      <c r="BF617" s="3055"/>
      <c r="BG617" s="3055"/>
      <c r="BH617" s="3055"/>
      <c r="BI617" s="3055"/>
      <c r="BJ617" s="3055"/>
      <c r="BK617" s="3055"/>
      <c r="BL617" s="3056"/>
      <c r="BM617" s="3057">
        <f t="shared" si="16"/>
      </c>
      <c r="BN617" s="3054"/>
      <c r="BO617" s="3054"/>
      <c r="BP617" s="3055"/>
      <c r="BQ617" s="3055"/>
      <c r="BR617" s="3055"/>
      <c r="BS617" s="3055"/>
      <c r="BT617" s="3055"/>
      <c r="BU617" s="3055"/>
      <c r="BV617" s="3055"/>
      <c r="BW617" s="3055"/>
      <c r="BX617" s="3055"/>
      <c r="BY617" s="3055"/>
      <c r="BZ617" s="3055"/>
      <c r="CA617" s="3055"/>
      <c r="CB617" s="3055"/>
      <c r="CC617" s="3056"/>
      <c r="CD617" s="3057">
        <f t="shared" si="0"/>
      </c>
      <c r="CE617" s="3054"/>
      <c r="CF617" s="3054"/>
      <c r="CG617" s="3055"/>
      <c r="CH617" s="3055"/>
      <c r="CI617" s="3055"/>
      <c r="CJ617" s="3055"/>
      <c r="CK617" s="3055"/>
      <c r="CL617" s="3055"/>
      <c r="CM617" s="3055"/>
      <c r="CN617" s="3055"/>
      <c r="CO617" s="3055"/>
      <c r="CP617" s="3055"/>
      <c r="CQ617" s="3055"/>
      <c r="CR617" s="3055"/>
      <c r="CS617" s="3055"/>
      <c r="CU617" s="3054"/>
      <c r="CV617" s="696"/>
      <c r="CW617" s="696"/>
      <c r="CZ617" s="3060">
        <f t="shared" si="17"/>
      </c>
      <c r="DA617" s="3060">
        <f t="shared" si="1"/>
      </c>
      <c r="DB617" s="3060">
        <f t="shared" si="18"/>
      </c>
      <c r="DC617" s="3060">
        <f t="shared" si="19"/>
      </c>
      <c r="DD617" s="3060">
        <f t="shared" si="20"/>
      </c>
      <c r="DE617" s="3060">
        <f t="shared" si="21"/>
      </c>
      <c r="DF617" s="3060">
        <f t="shared" si="22"/>
      </c>
      <c r="DG617" s="3060">
        <f t="shared" si="23"/>
      </c>
      <c r="DH617" s="3060">
        <f t="shared" si="24"/>
      </c>
      <c r="DI617" s="3060">
        <f t="shared" si="1"/>
      </c>
    </row>
    <row r="618" ht="15" customHeight="1" s="3052" customFormat="1">
      <c r="B618" s="3054">
        <f t="shared" si="2"/>
      </c>
      <c r="C618" s="3054"/>
      <c r="D618" s="3054"/>
      <c r="E618" s="3055"/>
      <c r="F618" s="3055"/>
      <c r="G618" s="3055"/>
      <c r="H618" s="3055"/>
      <c r="I618" s="3055"/>
      <c r="J618" s="3055"/>
      <c r="K618" s="3055"/>
      <c r="L618" s="3055"/>
      <c r="M618" s="3055"/>
      <c r="N618" s="3055"/>
      <c r="O618" s="3055"/>
      <c r="P618" s="3055"/>
      <c r="Q618" s="3055"/>
      <c r="R618" s="3055">
        <f t="shared" si="3"/>
        <v>0</v>
      </c>
      <c r="S618" s="3055">
        <f t="shared" si="4"/>
        <v>0</v>
      </c>
      <c r="T618" s="3055">
        <f t="shared" si="5"/>
        <v>0</v>
      </c>
      <c r="U618" s="3055">
        <f t="shared" si="6"/>
        <v>0</v>
      </c>
      <c r="V618" s="3055">
        <f t="shared" si="7"/>
        <v>0</v>
      </c>
      <c r="W618" s="3055">
        <f t="shared" si="8"/>
        <v>0</v>
      </c>
      <c r="X618" s="3055">
        <f t="shared" si="9"/>
        <v>0</v>
      </c>
      <c r="Y618" s="3055">
        <f t="shared" si="10"/>
        <v>0</v>
      </c>
      <c r="Z618" s="3055">
        <f t="shared" si="11"/>
        <v>0</v>
      </c>
      <c r="AA618" s="3055">
        <f t="shared" si="12"/>
        <v>0</v>
      </c>
      <c r="AB618" s="3055">
        <f t="shared" si="13"/>
        <v>0</v>
      </c>
      <c r="AC618" s="3055">
        <f t="shared" si="14"/>
        <v>0</v>
      </c>
      <c r="AD618" s="3056"/>
      <c r="AE618" s="3057">
        <f t="shared" si="0"/>
      </c>
      <c r="AF618" s="3054"/>
      <c r="AG618" s="3054"/>
      <c r="AH618" s="3055"/>
      <c r="AI618" s="3055"/>
      <c r="AJ618" s="3055"/>
      <c r="AK618" s="3055"/>
      <c r="AL618" s="3055"/>
      <c r="AM618" s="3055"/>
      <c r="AN618" s="3055"/>
      <c r="AO618" s="3055"/>
      <c r="AP618" s="3055"/>
      <c r="AQ618" s="3055"/>
      <c r="AR618" s="3055"/>
      <c r="AS618" s="3055"/>
      <c r="AT618" s="3055"/>
      <c r="AU618" s="3056"/>
      <c r="AV618" s="3057">
        <f t="shared" si="15"/>
      </c>
      <c r="AW618" s="3054"/>
      <c r="AX618" s="3054"/>
      <c r="AY618" s="3055"/>
      <c r="AZ618" s="3055"/>
      <c r="BA618" s="3055"/>
      <c r="BB618" s="3055"/>
      <c r="BC618" s="3055"/>
      <c r="BD618" s="3055"/>
      <c r="BE618" s="3055"/>
      <c r="BF618" s="3055"/>
      <c r="BG618" s="3055"/>
      <c r="BH618" s="3055"/>
      <c r="BI618" s="3055"/>
      <c r="BJ618" s="3055"/>
      <c r="BK618" s="3055"/>
      <c r="BL618" s="3056"/>
      <c r="BM618" s="3057">
        <f t="shared" si="16"/>
      </c>
      <c r="BN618" s="3054"/>
      <c r="BO618" s="3054"/>
      <c r="BP618" s="3055"/>
      <c r="BQ618" s="3055"/>
      <c r="BR618" s="3055"/>
      <c r="BS618" s="3055"/>
      <c r="BT618" s="3055"/>
      <c r="BU618" s="3055"/>
      <c r="BV618" s="3055"/>
      <c r="BW618" s="3055"/>
      <c r="BX618" s="3055"/>
      <c r="BY618" s="3055"/>
      <c r="BZ618" s="3055"/>
      <c r="CA618" s="3055"/>
      <c r="CB618" s="3055"/>
      <c r="CC618" s="3056"/>
      <c r="CD618" s="3057">
        <f t="shared" si="0"/>
      </c>
      <c r="CE618" s="3054"/>
      <c r="CF618" s="3054"/>
      <c r="CG618" s="3055"/>
      <c r="CH618" s="3055"/>
      <c r="CI618" s="3055"/>
      <c r="CJ618" s="3055"/>
      <c r="CK618" s="3055"/>
      <c r="CL618" s="3055"/>
      <c r="CM618" s="3055"/>
      <c r="CN618" s="3055"/>
      <c r="CO618" s="3055"/>
      <c r="CP618" s="3055"/>
      <c r="CQ618" s="3055"/>
      <c r="CR618" s="3055"/>
      <c r="CS618" s="3055"/>
      <c r="CU618" s="3054"/>
      <c r="CV618" s="696"/>
      <c r="CW618" s="696"/>
      <c r="CZ618" s="3060">
        <f t="shared" si="17"/>
      </c>
      <c r="DA618" s="3060">
        <f t="shared" si="1"/>
      </c>
      <c r="DB618" s="3060">
        <f t="shared" si="18"/>
      </c>
      <c r="DC618" s="3060">
        <f t="shared" si="19"/>
      </c>
      <c r="DD618" s="3060">
        <f t="shared" si="20"/>
      </c>
      <c r="DE618" s="3060">
        <f t="shared" si="21"/>
      </c>
      <c r="DF618" s="3060">
        <f t="shared" si="22"/>
      </c>
      <c r="DG618" s="3060">
        <f t="shared" si="23"/>
      </c>
      <c r="DH618" s="3060">
        <f t="shared" si="24"/>
      </c>
      <c r="DI618" s="3060">
        <f t="shared" si="1"/>
      </c>
    </row>
    <row r="619" ht="15" customHeight="1" s="3052" customFormat="1">
      <c r="B619" s="3054">
        <f t="shared" si="2"/>
      </c>
      <c r="C619" s="3054"/>
      <c r="D619" s="3054"/>
      <c r="E619" s="3055"/>
      <c r="F619" s="3055"/>
      <c r="G619" s="3055"/>
      <c r="H619" s="3055"/>
      <c r="I619" s="3055"/>
      <c r="J619" s="3055"/>
      <c r="K619" s="3055"/>
      <c r="L619" s="3055"/>
      <c r="M619" s="3055"/>
      <c r="N619" s="3055"/>
      <c r="O619" s="3055"/>
      <c r="P619" s="3055"/>
      <c r="Q619" s="3055"/>
      <c r="R619" s="3055">
        <f t="shared" si="3"/>
        <v>0</v>
      </c>
      <c r="S619" s="3055">
        <f t="shared" si="4"/>
        <v>0</v>
      </c>
      <c r="T619" s="3055">
        <f t="shared" si="5"/>
        <v>0</v>
      </c>
      <c r="U619" s="3055">
        <f t="shared" si="6"/>
        <v>0</v>
      </c>
      <c r="V619" s="3055">
        <f t="shared" si="7"/>
        <v>0</v>
      </c>
      <c r="W619" s="3055">
        <f t="shared" si="8"/>
        <v>0</v>
      </c>
      <c r="X619" s="3055">
        <f t="shared" si="9"/>
        <v>0</v>
      </c>
      <c r="Y619" s="3055">
        <f t="shared" si="10"/>
        <v>0</v>
      </c>
      <c r="Z619" s="3055">
        <f t="shared" si="11"/>
        <v>0</v>
      </c>
      <c r="AA619" s="3055">
        <f t="shared" si="12"/>
        <v>0</v>
      </c>
      <c r="AB619" s="3055">
        <f t="shared" si="13"/>
        <v>0</v>
      </c>
      <c r="AC619" s="3055">
        <f t="shared" si="14"/>
        <v>0</v>
      </c>
      <c r="AD619" s="3056"/>
      <c r="AE619" s="3057">
        <f t="shared" si="0"/>
      </c>
      <c r="AF619" s="3054"/>
      <c r="AG619" s="3054"/>
      <c r="AH619" s="3055"/>
      <c r="AI619" s="3055"/>
      <c r="AJ619" s="3055"/>
      <c r="AK619" s="3055"/>
      <c r="AL619" s="3055"/>
      <c r="AM619" s="3055"/>
      <c r="AN619" s="3055"/>
      <c r="AO619" s="3055"/>
      <c r="AP619" s="3055"/>
      <c r="AQ619" s="3055"/>
      <c r="AR619" s="3055"/>
      <c r="AS619" s="3055"/>
      <c r="AT619" s="3055"/>
      <c r="AU619" s="3056"/>
      <c r="AV619" s="3057">
        <f t="shared" si="15"/>
      </c>
      <c r="AW619" s="3054"/>
      <c r="AX619" s="3054"/>
      <c r="AY619" s="3055"/>
      <c r="AZ619" s="3055"/>
      <c r="BA619" s="3055"/>
      <c r="BB619" s="3055"/>
      <c r="BC619" s="3055"/>
      <c r="BD619" s="3055"/>
      <c r="BE619" s="3055"/>
      <c r="BF619" s="3055"/>
      <c r="BG619" s="3055"/>
      <c r="BH619" s="3055"/>
      <c r="BI619" s="3055"/>
      <c r="BJ619" s="3055"/>
      <c r="BK619" s="3055"/>
      <c r="BL619" s="3056"/>
      <c r="BM619" s="3057">
        <f t="shared" si="16"/>
      </c>
      <c r="BN619" s="3054"/>
      <c r="BO619" s="3054"/>
      <c r="BP619" s="3055"/>
      <c r="BQ619" s="3055"/>
      <c r="BR619" s="3055"/>
      <c r="BS619" s="3055"/>
      <c r="BT619" s="3055"/>
      <c r="BU619" s="3055"/>
      <c r="BV619" s="3055"/>
      <c r="BW619" s="3055"/>
      <c r="BX619" s="3055"/>
      <c r="BY619" s="3055"/>
      <c r="BZ619" s="3055"/>
      <c r="CA619" s="3055"/>
      <c r="CB619" s="3055"/>
      <c r="CC619" s="3056"/>
      <c r="CD619" s="3057">
        <f t="shared" si="0"/>
      </c>
      <c r="CE619" s="3054"/>
      <c r="CF619" s="3054"/>
      <c r="CG619" s="3055"/>
      <c r="CH619" s="3055"/>
      <c r="CI619" s="3055"/>
      <c r="CJ619" s="3055"/>
      <c r="CK619" s="3055"/>
      <c r="CL619" s="3055"/>
      <c r="CM619" s="3055"/>
      <c r="CN619" s="3055"/>
      <c r="CO619" s="3055"/>
      <c r="CP619" s="3055"/>
      <c r="CQ619" s="3055"/>
      <c r="CR619" s="3055"/>
      <c r="CS619" s="3055"/>
      <c r="CU619" s="3054"/>
      <c r="CV619" s="696"/>
      <c r="CW619" s="696"/>
      <c r="CZ619" s="3060">
        <f t="shared" si="17"/>
      </c>
      <c r="DA619" s="3060">
        <f t="shared" si="1"/>
      </c>
      <c r="DB619" s="3060">
        <f t="shared" si="18"/>
      </c>
      <c r="DC619" s="3060">
        <f t="shared" si="19"/>
      </c>
      <c r="DD619" s="3060">
        <f t="shared" si="20"/>
      </c>
      <c r="DE619" s="3060">
        <f t="shared" si="21"/>
      </c>
      <c r="DF619" s="3060">
        <f t="shared" si="22"/>
      </c>
      <c r="DG619" s="3060">
        <f t="shared" si="23"/>
      </c>
      <c r="DH619" s="3060">
        <f t="shared" si="24"/>
      </c>
      <c r="DI619" s="3060">
        <f t="shared" si="1"/>
      </c>
    </row>
    <row r="620" ht="15" customHeight="1" s="3052" customFormat="1">
      <c r="B620" s="3054">
        <f t="shared" si="2"/>
      </c>
      <c r="C620" s="3054"/>
      <c r="D620" s="3054"/>
      <c r="E620" s="3055"/>
      <c r="F620" s="3055"/>
      <c r="G620" s="3055"/>
      <c r="H620" s="3055"/>
      <c r="I620" s="3055"/>
      <c r="J620" s="3055"/>
      <c r="K620" s="3055"/>
      <c r="L620" s="3055"/>
      <c r="M620" s="3055"/>
      <c r="N620" s="3055"/>
      <c r="O620" s="3055"/>
      <c r="P620" s="3055"/>
      <c r="Q620" s="3055"/>
      <c r="R620" s="3055">
        <f t="shared" si="3"/>
        <v>0</v>
      </c>
      <c r="S620" s="3055">
        <f t="shared" si="4"/>
        <v>0</v>
      </c>
      <c r="T620" s="3055">
        <f t="shared" si="5"/>
        <v>0</v>
      </c>
      <c r="U620" s="3055">
        <f t="shared" si="6"/>
        <v>0</v>
      </c>
      <c r="V620" s="3055">
        <f t="shared" si="7"/>
        <v>0</v>
      </c>
      <c r="W620" s="3055">
        <f t="shared" si="8"/>
        <v>0</v>
      </c>
      <c r="X620" s="3055">
        <f t="shared" si="9"/>
        <v>0</v>
      </c>
      <c r="Y620" s="3055">
        <f t="shared" si="10"/>
        <v>0</v>
      </c>
      <c r="Z620" s="3055">
        <f t="shared" si="11"/>
        <v>0</v>
      </c>
      <c r="AA620" s="3055">
        <f t="shared" si="12"/>
        <v>0</v>
      </c>
      <c r="AB620" s="3055">
        <f t="shared" si="13"/>
        <v>0</v>
      </c>
      <c r="AC620" s="3055">
        <f t="shared" si="14"/>
        <v>0</v>
      </c>
      <c r="AD620" s="3056"/>
      <c r="AE620" s="3057">
        <f t="shared" si="0"/>
      </c>
      <c r="AF620" s="3054"/>
      <c r="AG620" s="3054"/>
      <c r="AH620" s="3055"/>
      <c r="AI620" s="3055"/>
      <c r="AJ620" s="3055"/>
      <c r="AK620" s="3055"/>
      <c r="AL620" s="3055"/>
      <c r="AM620" s="3055"/>
      <c r="AN620" s="3055"/>
      <c r="AO620" s="3055"/>
      <c r="AP620" s="3055"/>
      <c r="AQ620" s="3055"/>
      <c r="AR620" s="3055"/>
      <c r="AS620" s="3055"/>
      <c r="AT620" s="3055"/>
      <c r="AU620" s="3056"/>
      <c r="AV620" s="3057">
        <f t="shared" si="15"/>
      </c>
      <c r="AW620" s="3054"/>
      <c r="AX620" s="3054"/>
      <c r="AY620" s="3055"/>
      <c r="AZ620" s="3055"/>
      <c r="BA620" s="3055"/>
      <c r="BB620" s="3055"/>
      <c r="BC620" s="3055"/>
      <c r="BD620" s="3055"/>
      <c r="BE620" s="3055"/>
      <c r="BF620" s="3055"/>
      <c r="BG620" s="3055"/>
      <c r="BH620" s="3055"/>
      <c r="BI620" s="3055"/>
      <c r="BJ620" s="3055"/>
      <c r="BK620" s="3055"/>
      <c r="BL620" s="3056"/>
      <c r="BM620" s="3057">
        <f t="shared" si="16"/>
      </c>
      <c r="BN620" s="3054"/>
      <c r="BO620" s="3054"/>
      <c r="BP620" s="3055"/>
      <c r="BQ620" s="3055"/>
      <c r="BR620" s="3055"/>
      <c r="BS620" s="3055"/>
      <c r="BT620" s="3055"/>
      <c r="BU620" s="3055"/>
      <c r="BV620" s="3055"/>
      <c r="BW620" s="3055"/>
      <c r="BX620" s="3055"/>
      <c r="BY620" s="3055"/>
      <c r="BZ620" s="3055"/>
      <c r="CA620" s="3055"/>
      <c r="CB620" s="3055"/>
      <c r="CC620" s="3056"/>
      <c r="CD620" s="3057">
        <f t="shared" si="0"/>
      </c>
      <c r="CE620" s="3054"/>
      <c r="CF620" s="3054"/>
      <c r="CG620" s="3055"/>
      <c r="CH620" s="3055"/>
      <c r="CI620" s="3055"/>
      <c r="CJ620" s="3055"/>
      <c r="CK620" s="3055"/>
      <c r="CL620" s="3055"/>
      <c r="CM620" s="3055"/>
      <c r="CN620" s="3055"/>
      <c r="CO620" s="3055"/>
      <c r="CP620" s="3055"/>
      <c r="CQ620" s="3055"/>
      <c r="CR620" s="3055"/>
      <c r="CS620" s="3055"/>
      <c r="CU620" s="3054"/>
      <c r="CV620" s="696"/>
      <c r="CW620" s="696"/>
      <c r="CZ620" s="3060">
        <f t="shared" si="17"/>
      </c>
      <c r="DA620" s="3060">
        <f t="shared" si="1"/>
      </c>
      <c r="DB620" s="3060">
        <f t="shared" si="18"/>
      </c>
      <c r="DC620" s="3060">
        <f t="shared" si="19"/>
      </c>
      <c r="DD620" s="3060">
        <f t="shared" si="20"/>
      </c>
      <c r="DE620" s="3060">
        <f t="shared" si="21"/>
      </c>
      <c r="DF620" s="3060">
        <f t="shared" si="22"/>
      </c>
      <c r="DG620" s="3060">
        <f t="shared" si="23"/>
      </c>
      <c r="DH620" s="3060">
        <f t="shared" si="24"/>
      </c>
      <c r="DI620" s="3060">
        <f t="shared" si="1"/>
      </c>
    </row>
    <row r="621" ht="15" customHeight="1" s="3052" customFormat="1">
      <c r="B621" s="3054">
        <f t="shared" si="2"/>
      </c>
      <c r="C621" s="3054"/>
      <c r="D621" s="3054"/>
      <c r="E621" s="3055"/>
      <c r="F621" s="3055"/>
      <c r="G621" s="3055"/>
      <c r="H621" s="3055"/>
      <c r="I621" s="3055"/>
      <c r="J621" s="3055"/>
      <c r="K621" s="3055"/>
      <c r="L621" s="3055"/>
      <c r="M621" s="3055"/>
      <c r="N621" s="3055"/>
      <c r="O621" s="3055"/>
      <c r="P621" s="3055"/>
      <c r="Q621" s="3055"/>
      <c r="R621" s="3055">
        <f t="shared" si="3"/>
        <v>0</v>
      </c>
      <c r="S621" s="3055">
        <f t="shared" si="4"/>
        <v>0</v>
      </c>
      <c r="T621" s="3055">
        <f t="shared" si="5"/>
        <v>0</v>
      </c>
      <c r="U621" s="3055">
        <f t="shared" si="6"/>
        <v>0</v>
      </c>
      <c r="V621" s="3055">
        <f t="shared" si="7"/>
        <v>0</v>
      </c>
      <c r="W621" s="3055">
        <f t="shared" si="8"/>
        <v>0</v>
      </c>
      <c r="X621" s="3055">
        <f t="shared" si="9"/>
        <v>0</v>
      </c>
      <c r="Y621" s="3055">
        <f t="shared" si="10"/>
        <v>0</v>
      </c>
      <c r="Z621" s="3055">
        <f t="shared" si="11"/>
        <v>0</v>
      </c>
      <c r="AA621" s="3055">
        <f t="shared" si="12"/>
        <v>0</v>
      </c>
      <c r="AB621" s="3055">
        <f t="shared" si="13"/>
        <v>0</v>
      </c>
      <c r="AC621" s="3055">
        <f t="shared" si="14"/>
        <v>0</v>
      </c>
      <c r="AD621" s="3056"/>
      <c r="AE621" s="3057">
        <f t="shared" si="0"/>
      </c>
      <c r="AF621" s="3054"/>
      <c r="AG621" s="3054"/>
      <c r="AH621" s="3055"/>
      <c r="AI621" s="3055"/>
      <c r="AJ621" s="3055"/>
      <c r="AK621" s="3055"/>
      <c r="AL621" s="3055"/>
      <c r="AM621" s="3055"/>
      <c r="AN621" s="3055"/>
      <c r="AO621" s="3055"/>
      <c r="AP621" s="3055"/>
      <c r="AQ621" s="3055"/>
      <c r="AR621" s="3055"/>
      <c r="AS621" s="3055"/>
      <c r="AT621" s="3055"/>
      <c r="AU621" s="3056"/>
      <c r="AV621" s="3057">
        <f t="shared" si="15"/>
      </c>
      <c r="AW621" s="3054"/>
      <c r="AX621" s="3054"/>
      <c r="AY621" s="3055"/>
      <c r="AZ621" s="3055"/>
      <c r="BA621" s="3055"/>
      <c r="BB621" s="3055"/>
      <c r="BC621" s="3055"/>
      <c r="BD621" s="3055"/>
      <c r="BE621" s="3055"/>
      <c r="BF621" s="3055"/>
      <c r="BG621" s="3055"/>
      <c r="BH621" s="3055"/>
      <c r="BI621" s="3055"/>
      <c r="BJ621" s="3055"/>
      <c r="BK621" s="3055"/>
      <c r="BL621" s="3056"/>
      <c r="BM621" s="3057">
        <f t="shared" si="16"/>
      </c>
      <c r="BN621" s="3054"/>
      <c r="BO621" s="3054"/>
      <c r="BP621" s="3055"/>
      <c r="BQ621" s="3055"/>
      <c r="BR621" s="3055"/>
      <c r="BS621" s="3055"/>
      <c r="BT621" s="3055"/>
      <c r="BU621" s="3055"/>
      <c r="BV621" s="3055"/>
      <c r="BW621" s="3055"/>
      <c r="BX621" s="3055"/>
      <c r="BY621" s="3055"/>
      <c r="BZ621" s="3055"/>
      <c r="CA621" s="3055"/>
      <c r="CB621" s="3055"/>
      <c r="CC621" s="3056"/>
      <c r="CD621" s="3057">
        <f t="shared" si="0"/>
      </c>
      <c r="CE621" s="3054"/>
      <c r="CF621" s="3054"/>
      <c r="CG621" s="3055"/>
      <c r="CH621" s="3055"/>
      <c r="CI621" s="3055"/>
      <c r="CJ621" s="3055"/>
      <c r="CK621" s="3055"/>
      <c r="CL621" s="3055"/>
      <c r="CM621" s="3055"/>
      <c r="CN621" s="3055"/>
      <c r="CO621" s="3055"/>
      <c r="CP621" s="3055"/>
      <c r="CQ621" s="3055"/>
      <c r="CR621" s="3055"/>
      <c r="CS621" s="3055"/>
      <c r="CU621" s="3054"/>
      <c r="CV621" s="696"/>
      <c r="CW621" s="696"/>
      <c r="CZ621" s="3060">
        <f t="shared" si="17"/>
      </c>
      <c r="DA621" s="3060">
        <f t="shared" si="1"/>
      </c>
      <c r="DB621" s="3060">
        <f t="shared" si="18"/>
      </c>
      <c r="DC621" s="3060">
        <f t="shared" si="19"/>
      </c>
      <c r="DD621" s="3060">
        <f t="shared" si="20"/>
      </c>
      <c r="DE621" s="3060">
        <f t="shared" si="21"/>
      </c>
      <c r="DF621" s="3060">
        <f t="shared" si="22"/>
      </c>
      <c r="DG621" s="3060">
        <f t="shared" si="23"/>
      </c>
      <c r="DH621" s="3060">
        <f t="shared" si="24"/>
      </c>
      <c r="DI621" s="3060">
        <f t="shared" si="1"/>
      </c>
    </row>
    <row r="622" ht="15" customHeight="1" s="3052" customFormat="1">
      <c r="B622" s="3054">
        <f t="shared" si="2"/>
      </c>
      <c r="C622" s="3054"/>
      <c r="D622" s="3054"/>
      <c r="E622" s="3055"/>
      <c r="F622" s="3055"/>
      <c r="G622" s="3055"/>
      <c r="H622" s="3055"/>
      <c r="I622" s="3055"/>
      <c r="J622" s="3055"/>
      <c r="K622" s="3055"/>
      <c r="L622" s="3055"/>
      <c r="M622" s="3055"/>
      <c r="N622" s="3055"/>
      <c r="O622" s="3055"/>
      <c r="P622" s="3055"/>
      <c r="Q622" s="3055"/>
      <c r="R622" s="3055">
        <f t="shared" si="3"/>
        <v>0</v>
      </c>
      <c r="S622" s="3055">
        <f t="shared" si="4"/>
        <v>0</v>
      </c>
      <c r="T622" s="3055">
        <f t="shared" si="5"/>
        <v>0</v>
      </c>
      <c r="U622" s="3055">
        <f t="shared" si="6"/>
        <v>0</v>
      </c>
      <c r="V622" s="3055">
        <f t="shared" si="7"/>
        <v>0</v>
      </c>
      <c r="W622" s="3055">
        <f t="shared" si="8"/>
        <v>0</v>
      </c>
      <c r="X622" s="3055">
        <f t="shared" si="9"/>
        <v>0</v>
      </c>
      <c r="Y622" s="3055">
        <f t="shared" si="10"/>
        <v>0</v>
      </c>
      <c r="Z622" s="3055">
        <f t="shared" si="11"/>
        <v>0</v>
      </c>
      <c r="AA622" s="3055">
        <f t="shared" si="12"/>
        <v>0</v>
      </c>
      <c r="AB622" s="3055">
        <f t="shared" si="13"/>
        <v>0</v>
      </c>
      <c r="AC622" s="3055">
        <f t="shared" si="14"/>
        <v>0</v>
      </c>
      <c r="AD622" s="3056"/>
      <c r="AE622" s="3057">
        <f t="shared" si="0"/>
      </c>
      <c r="AF622" s="3054"/>
      <c r="AG622" s="3054"/>
      <c r="AH622" s="3055"/>
      <c r="AI622" s="3055"/>
      <c r="AJ622" s="3055"/>
      <c r="AK622" s="3055"/>
      <c r="AL622" s="3055"/>
      <c r="AM622" s="3055"/>
      <c r="AN622" s="3055"/>
      <c r="AO622" s="3055"/>
      <c r="AP622" s="3055"/>
      <c r="AQ622" s="3055"/>
      <c r="AR622" s="3055"/>
      <c r="AS622" s="3055"/>
      <c r="AT622" s="3055"/>
      <c r="AU622" s="3056"/>
      <c r="AV622" s="3057">
        <f t="shared" si="15"/>
      </c>
      <c r="AW622" s="3054"/>
      <c r="AX622" s="3054"/>
      <c r="AY622" s="3055"/>
      <c r="AZ622" s="3055"/>
      <c r="BA622" s="3055"/>
      <c r="BB622" s="3055"/>
      <c r="BC622" s="3055"/>
      <c r="BD622" s="3055"/>
      <c r="BE622" s="3055"/>
      <c r="BF622" s="3055"/>
      <c r="BG622" s="3055"/>
      <c r="BH622" s="3055"/>
      <c r="BI622" s="3055"/>
      <c r="BJ622" s="3055"/>
      <c r="BK622" s="3055"/>
      <c r="BL622" s="3056"/>
      <c r="BM622" s="3057">
        <f t="shared" si="16"/>
      </c>
      <c r="BN622" s="3054"/>
      <c r="BO622" s="3054"/>
      <c r="BP622" s="3055"/>
      <c r="BQ622" s="3055"/>
      <c r="BR622" s="3055"/>
      <c r="BS622" s="3055"/>
      <c r="BT622" s="3055"/>
      <c r="BU622" s="3055"/>
      <c r="BV622" s="3055"/>
      <c r="BW622" s="3055"/>
      <c r="BX622" s="3055"/>
      <c r="BY622" s="3055"/>
      <c r="BZ622" s="3055"/>
      <c r="CA622" s="3055"/>
      <c r="CB622" s="3055"/>
      <c r="CC622" s="3056"/>
      <c r="CD622" s="3057">
        <f t="shared" si="0"/>
      </c>
      <c r="CE622" s="3054"/>
      <c r="CF622" s="3054"/>
      <c r="CG622" s="3055"/>
      <c r="CH622" s="3055"/>
      <c r="CI622" s="3055"/>
      <c r="CJ622" s="3055"/>
      <c r="CK622" s="3055"/>
      <c r="CL622" s="3055"/>
      <c r="CM622" s="3055"/>
      <c r="CN622" s="3055"/>
      <c r="CO622" s="3055"/>
      <c r="CP622" s="3055"/>
      <c r="CQ622" s="3055"/>
      <c r="CR622" s="3055"/>
      <c r="CS622" s="3055"/>
      <c r="CU622" s="3054"/>
      <c r="CV622" s="696"/>
      <c r="CW622" s="696"/>
      <c r="CZ622" s="3060">
        <f t="shared" si="17"/>
      </c>
      <c r="DA622" s="3060">
        <f t="shared" si="1"/>
      </c>
      <c r="DB622" s="3060">
        <f t="shared" si="18"/>
      </c>
      <c r="DC622" s="3060">
        <f t="shared" si="19"/>
      </c>
      <c r="DD622" s="3060">
        <f t="shared" si="20"/>
      </c>
      <c r="DE622" s="3060">
        <f t="shared" si="21"/>
      </c>
      <c r="DF622" s="3060">
        <f t="shared" si="22"/>
      </c>
      <c r="DG622" s="3060">
        <f t="shared" si="23"/>
      </c>
      <c r="DH622" s="3060">
        <f t="shared" si="24"/>
      </c>
      <c r="DI622" s="3060">
        <f t="shared" si="1"/>
      </c>
    </row>
    <row r="623" ht="15" customHeight="1" s="3052" customFormat="1">
      <c r="B623" s="3054">
        <f t="shared" si="2"/>
      </c>
      <c r="C623" s="3054"/>
      <c r="D623" s="3054"/>
      <c r="E623" s="3055"/>
      <c r="F623" s="3055"/>
      <c r="G623" s="3055"/>
      <c r="H623" s="3055"/>
      <c r="I623" s="3055"/>
      <c r="J623" s="3055"/>
      <c r="K623" s="3055"/>
      <c r="L623" s="3055"/>
      <c r="M623" s="3055"/>
      <c r="N623" s="3055"/>
      <c r="O623" s="3055"/>
      <c r="P623" s="3055"/>
      <c r="Q623" s="3055"/>
      <c r="R623" s="3055">
        <f t="shared" si="3"/>
        <v>0</v>
      </c>
      <c r="S623" s="3055">
        <f t="shared" si="4"/>
        <v>0</v>
      </c>
      <c r="T623" s="3055">
        <f t="shared" si="5"/>
        <v>0</v>
      </c>
      <c r="U623" s="3055">
        <f t="shared" si="6"/>
        <v>0</v>
      </c>
      <c r="V623" s="3055">
        <f t="shared" si="7"/>
        <v>0</v>
      </c>
      <c r="W623" s="3055">
        <f t="shared" si="8"/>
        <v>0</v>
      </c>
      <c r="X623" s="3055">
        <f t="shared" si="9"/>
        <v>0</v>
      </c>
      <c r="Y623" s="3055">
        <f t="shared" si="10"/>
        <v>0</v>
      </c>
      <c r="Z623" s="3055">
        <f t="shared" si="11"/>
        <v>0</v>
      </c>
      <c r="AA623" s="3055">
        <f t="shared" si="12"/>
        <v>0</v>
      </c>
      <c r="AB623" s="3055">
        <f t="shared" si="13"/>
        <v>0</v>
      </c>
      <c r="AC623" s="3055">
        <f t="shared" si="14"/>
        <v>0</v>
      </c>
      <c r="AD623" s="3056"/>
      <c r="AE623" s="3057">
        <f t="shared" si="0"/>
      </c>
      <c r="AF623" s="3054"/>
      <c r="AG623" s="3054"/>
      <c r="AH623" s="3055"/>
      <c r="AI623" s="3055"/>
      <c r="AJ623" s="3055"/>
      <c r="AK623" s="3055"/>
      <c r="AL623" s="3055"/>
      <c r="AM623" s="3055"/>
      <c r="AN623" s="3055"/>
      <c r="AO623" s="3055"/>
      <c r="AP623" s="3055"/>
      <c r="AQ623" s="3055"/>
      <c r="AR623" s="3055"/>
      <c r="AS623" s="3055"/>
      <c r="AT623" s="3055"/>
      <c r="AU623" s="3056"/>
      <c r="AV623" s="3057">
        <f t="shared" si="15"/>
      </c>
      <c r="AW623" s="3054"/>
      <c r="AX623" s="3054"/>
      <c r="AY623" s="3055"/>
      <c r="AZ623" s="3055"/>
      <c r="BA623" s="3055"/>
      <c r="BB623" s="3055"/>
      <c r="BC623" s="3055"/>
      <c r="BD623" s="3055"/>
      <c r="BE623" s="3055"/>
      <c r="BF623" s="3055"/>
      <c r="BG623" s="3055"/>
      <c r="BH623" s="3055"/>
      <c r="BI623" s="3055"/>
      <c r="BJ623" s="3055"/>
      <c r="BK623" s="3055"/>
      <c r="BL623" s="3056"/>
      <c r="BM623" s="3057">
        <f t="shared" si="16"/>
      </c>
      <c r="BN623" s="3054"/>
      <c r="BO623" s="3054"/>
      <c r="BP623" s="3055"/>
      <c r="BQ623" s="3055"/>
      <c r="BR623" s="3055"/>
      <c r="BS623" s="3055"/>
      <c r="BT623" s="3055"/>
      <c r="BU623" s="3055"/>
      <c r="BV623" s="3055"/>
      <c r="BW623" s="3055"/>
      <c r="BX623" s="3055"/>
      <c r="BY623" s="3055"/>
      <c r="BZ623" s="3055"/>
      <c r="CA623" s="3055"/>
      <c r="CB623" s="3055"/>
      <c r="CC623" s="3056"/>
      <c r="CD623" s="3057">
        <f t="shared" si="0"/>
      </c>
      <c r="CE623" s="3054"/>
      <c r="CF623" s="3054"/>
      <c r="CG623" s="3055"/>
      <c r="CH623" s="3055"/>
      <c r="CI623" s="3055"/>
      <c r="CJ623" s="3055"/>
      <c r="CK623" s="3055"/>
      <c r="CL623" s="3055"/>
      <c r="CM623" s="3055"/>
      <c r="CN623" s="3055"/>
      <c r="CO623" s="3055"/>
      <c r="CP623" s="3055"/>
      <c r="CQ623" s="3055"/>
      <c r="CR623" s="3055"/>
      <c r="CS623" s="3055"/>
      <c r="CU623" s="3054"/>
      <c r="CV623" s="696"/>
      <c r="CW623" s="696"/>
      <c r="CZ623" s="3060">
        <f t="shared" si="17"/>
      </c>
      <c r="DA623" s="3060">
        <f t="shared" si="1"/>
      </c>
      <c r="DB623" s="3060">
        <f t="shared" si="18"/>
      </c>
      <c r="DC623" s="3060">
        <f t="shared" si="19"/>
      </c>
      <c r="DD623" s="3060">
        <f t="shared" si="20"/>
      </c>
      <c r="DE623" s="3060">
        <f t="shared" si="21"/>
      </c>
      <c r="DF623" s="3060">
        <f t="shared" si="22"/>
      </c>
      <c r="DG623" s="3060">
        <f t="shared" si="23"/>
      </c>
      <c r="DH623" s="3060">
        <f t="shared" si="24"/>
      </c>
      <c r="DI623" s="3060">
        <f t="shared" si="1"/>
      </c>
    </row>
    <row r="624" ht="15" customHeight="1" s="3052" customFormat="1">
      <c r="B624" s="3054">
        <f t="shared" si="2"/>
      </c>
      <c r="C624" s="3054"/>
      <c r="D624" s="3054"/>
      <c r="E624" s="3055"/>
      <c r="F624" s="3055"/>
      <c r="G624" s="3055"/>
      <c r="H624" s="3055"/>
      <c r="I624" s="3055"/>
      <c r="J624" s="3055"/>
      <c r="K624" s="3055"/>
      <c r="L624" s="3055"/>
      <c r="M624" s="3055"/>
      <c r="N624" s="3055"/>
      <c r="O624" s="3055"/>
      <c r="P624" s="3055"/>
      <c r="Q624" s="3055"/>
      <c r="R624" s="3055">
        <f t="shared" si="3"/>
        <v>0</v>
      </c>
      <c r="S624" s="3055">
        <f t="shared" si="4"/>
        <v>0</v>
      </c>
      <c r="T624" s="3055">
        <f t="shared" si="5"/>
        <v>0</v>
      </c>
      <c r="U624" s="3055">
        <f t="shared" si="6"/>
        <v>0</v>
      </c>
      <c r="V624" s="3055">
        <f t="shared" si="7"/>
        <v>0</v>
      </c>
      <c r="W624" s="3055">
        <f t="shared" si="8"/>
        <v>0</v>
      </c>
      <c r="X624" s="3055">
        <f t="shared" si="9"/>
        <v>0</v>
      </c>
      <c r="Y624" s="3055">
        <f t="shared" si="10"/>
        <v>0</v>
      </c>
      <c r="Z624" s="3055">
        <f t="shared" si="11"/>
        <v>0</v>
      </c>
      <c r="AA624" s="3055">
        <f t="shared" si="12"/>
        <v>0</v>
      </c>
      <c r="AB624" s="3055">
        <f t="shared" si="13"/>
        <v>0</v>
      </c>
      <c r="AC624" s="3055">
        <f t="shared" si="14"/>
        <v>0</v>
      </c>
      <c r="AD624" s="3056"/>
      <c r="AE624" s="3057">
        <f t="shared" si="0"/>
      </c>
      <c r="AF624" s="3054"/>
      <c r="AG624" s="3054"/>
      <c r="AH624" s="3055"/>
      <c r="AI624" s="3055"/>
      <c r="AJ624" s="3055"/>
      <c r="AK624" s="3055"/>
      <c r="AL624" s="3055"/>
      <c r="AM624" s="3055"/>
      <c r="AN624" s="3055"/>
      <c r="AO624" s="3055"/>
      <c r="AP624" s="3055"/>
      <c r="AQ624" s="3055"/>
      <c r="AR624" s="3055"/>
      <c r="AS624" s="3055"/>
      <c r="AT624" s="3055"/>
      <c r="AU624" s="3056"/>
      <c r="AV624" s="3057">
        <f t="shared" si="15"/>
      </c>
      <c r="AW624" s="3054"/>
      <c r="AX624" s="3054"/>
      <c r="AY624" s="3055"/>
      <c r="AZ624" s="3055"/>
      <c r="BA624" s="3055"/>
      <c r="BB624" s="3055"/>
      <c r="BC624" s="3055"/>
      <c r="BD624" s="3055"/>
      <c r="BE624" s="3055"/>
      <c r="BF624" s="3055"/>
      <c r="BG624" s="3055"/>
      <c r="BH624" s="3055"/>
      <c r="BI624" s="3055"/>
      <c r="BJ624" s="3055"/>
      <c r="BK624" s="3055"/>
      <c r="BL624" s="3056"/>
      <c r="BM624" s="3057">
        <f t="shared" si="16"/>
      </c>
      <c r="BN624" s="3054"/>
      <c r="BO624" s="3054"/>
      <c r="BP624" s="3055"/>
      <c r="BQ624" s="3055"/>
      <c r="BR624" s="3055"/>
      <c r="BS624" s="3055"/>
      <c r="BT624" s="3055"/>
      <c r="BU624" s="3055"/>
      <c r="BV624" s="3055"/>
      <c r="BW624" s="3055"/>
      <c r="BX624" s="3055"/>
      <c r="BY624" s="3055"/>
      <c r="BZ624" s="3055"/>
      <c r="CA624" s="3055"/>
      <c r="CB624" s="3055"/>
      <c r="CC624" s="3056"/>
      <c r="CD624" s="3057">
        <f t="shared" si="0"/>
      </c>
      <c r="CE624" s="3054"/>
      <c r="CF624" s="3054"/>
      <c r="CG624" s="3055"/>
      <c r="CH624" s="3055"/>
      <c r="CI624" s="3055"/>
      <c r="CJ624" s="3055"/>
      <c r="CK624" s="3055"/>
      <c r="CL624" s="3055"/>
      <c r="CM624" s="3055"/>
      <c r="CN624" s="3055"/>
      <c r="CO624" s="3055"/>
      <c r="CP624" s="3055"/>
      <c r="CQ624" s="3055"/>
      <c r="CR624" s="3055"/>
      <c r="CS624" s="3055"/>
      <c r="CU624" s="3054"/>
      <c r="CV624" s="696"/>
      <c r="CW624" s="696"/>
      <c r="CZ624" s="3060">
        <f t="shared" si="17"/>
      </c>
      <c r="DA624" s="3060">
        <f t="shared" si="1"/>
      </c>
      <c r="DB624" s="3060">
        <f t="shared" si="18"/>
      </c>
      <c r="DC624" s="3060">
        <f t="shared" si="19"/>
      </c>
      <c r="DD624" s="3060">
        <f t="shared" si="20"/>
      </c>
      <c r="DE624" s="3060">
        <f t="shared" si="21"/>
      </c>
      <c r="DF624" s="3060">
        <f t="shared" si="22"/>
      </c>
      <c r="DG624" s="3060">
        <f t="shared" si="23"/>
      </c>
      <c r="DH624" s="3060">
        <f t="shared" si="24"/>
      </c>
      <c r="DI624" s="3060">
        <f t="shared" si="1"/>
      </c>
    </row>
    <row r="625" ht="15" customHeight="1" s="3052" customFormat="1">
      <c r="B625" s="3054">
        <f t="shared" si="2"/>
      </c>
      <c r="C625" s="3054"/>
      <c r="D625" s="3054"/>
      <c r="E625" s="3055"/>
      <c r="F625" s="3055"/>
      <c r="G625" s="3055"/>
      <c r="H625" s="3055"/>
      <c r="I625" s="3055"/>
      <c r="J625" s="3055"/>
      <c r="K625" s="3055"/>
      <c r="L625" s="3055"/>
      <c r="M625" s="3055"/>
      <c r="N625" s="3055"/>
      <c r="O625" s="3055"/>
      <c r="P625" s="3055"/>
      <c r="Q625" s="3055"/>
      <c r="R625" s="3055">
        <f t="shared" si="3"/>
        <v>0</v>
      </c>
      <c r="S625" s="3055">
        <f t="shared" si="4"/>
        <v>0</v>
      </c>
      <c r="T625" s="3055">
        <f t="shared" si="5"/>
        <v>0</v>
      </c>
      <c r="U625" s="3055">
        <f t="shared" si="6"/>
        <v>0</v>
      </c>
      <c r="V625" s="3055">
        <f t="shared" si="7"/>
        <v>0</v>
      </c>
      <c r="W625" s="3055">
        <f t="shared" si="8"/>
        <v>0</v>
      </c>
      <c r="X625" s="3055">
        <f t="shared" si="9"/>
        <v>0</v>
      </c>
      <c r="Y625" s="3055">
        <f t="shared" si="10"/>
        <v>0</v>
      </c>
      <c r="Z625" s="3055">
        <f t="shared" si="11"/>
        <v>0</v>
      </c>
      <c r="AA625" s="3055">
        <f t="shared" si="12"/>
        <v>0</v>
      </c>
      <c r="AB625" s="3055">
        <f t="shared" si="13"/>
        <v>0</v>
      </c>
      <c r="AC625" s="3055">
        <f t="shared" si="14"/>
        <v>0</v>
      </c>
      <c r="AD625" s="3056"/>
      <c r="AE625" s="3057">
        <f t="shared" si="0"/>
      </c>
      <c r="AF625" s="3054"/>
      <c r="AG625" s="3054"/>
      <c r="AH625" s="3055"/>
      <c r="AI625" s="3055"/>
      <c r="AJ625" s="3055"/>
      <c r="AK625" s="3055"/>
      <c r="AL625" s="3055"/>
      <c r="AM625" s="3055"/>
      <c r="AN625" s="3055"/>
      <c r="AO625" s="3055"/>
      <c r="AP625" s="3055"/>
      <c r="AQ625" s="3055"/>
      <c r="AR625" s="3055"/>
      <c r="AS625" s="3055"/>
      <c r="AT625" s="3055"/>
      <c r="AU625" s="3056"/>
      <c r="AV625" s="3057">
        <f t="shared" si="15"/>
      </c>
      <c r="AW625" s="3054"/>
      <c r="AX625" s="3054"/>
      <c r="AY625" s="3055"/>
      <c r="AZ625" s="3055"/>
      <c r="BA625" s="3055"/>
      <c r="BB625" s="3055"/>
      <c r="BC625" s="3055"/>
      <c r="BD625" s="3055"/>
      <c r="BE625" s="3055"/>
      <c r="BF625" s="3055"/>
      <c r="BG625" s="3055"/>
      <c r="BH625" s="3055"/>
      <c r="BI625" s="3055"/>
      <c r="BJ625" s="3055"/>
      <c r="BK625" s="3055"/>
      <c r="BL625" s="3056"/>
      <c r="BM625" s="3057">
        <f t="shared" si="16"/>
      </c>
      <c r="BN625" s="3054"/>
      <c r="BO625" s="3054"/>
      <c r="BP625" s="3055"/>
      <c r="BQ625" s="3055"/>
      <c r="BR625" s="3055"/>
      <c r="BS625" s="3055"/>
      <c r="BT625" s="3055"/>
      <c r="BU625" s="3055"/>
      <c r="BV625" s="3055"/>
      <c r="BW625" s="3055"/>
      <c r="BX625" s="3055"/>
      <c r="BY625" s="3055"/>
      <c r="BZ625" s="3055"/>
      <c r="CA625" s="3055"/>
      <c r="CB625" s="3055"/>
      <c r="CC625" s="3056"/>
      <c r="CD625" s="3057">
        <f t="shared" si="0"/>
      </c>
      <c r="CE625" s="3054"/>
      <c r="CF625" s="3054"/>
      <c r="CG625" s="3055"/>
      <c r="CH625" s="3055"/>
      <c r="CI625" s="3055"/>
      <c r="CJ625" s="3055"/>
      <c r="CK625" s="3055"/>
      <c r="CL625" s="3055"/>
      <c r="CM625" s="3055"/>
      <c r="CN625" s="3055"/>
      <c r="CO625" s="3055"/>
      <c r="CP625" s="3055"/>
      <c r="CQ625" s="3055"/>
      <c r="CR625" s="3055"/>
      <c r="CS625" s="3055"/>
      <c r="CU625" s="3054"/>
      <c r="CV625" s="696"/>
      <c r="CW625" s="696"/>
      <c r="CZ625" s="3060">
        <f t="shared" si="17"/>
      </c>
      <c r="DA625" s="3060">
        <f t="shared" si="1"/>
      </c>
      <c r="DB625" s="3060">
        <f t="shared" si="18"/>
      </c>
      <c r="DC625" s="3060">
        <f t="shared" si="19"/>
      </c>
      <c r="DD625" s="3060">
        <f t="shared" si="20"/>
      </c>
      <c r="DE625" s="3060">
        <f t="shared" si="21"/>
      </c>
      <c r="DF625" s="3060">
        <f t="shared" si="22"/>
      </c>
      <c r="DG625" s="3060">
        <f t="shared" si="23"/>
      </c>
      <c r="DH625" s="3060">
        <f t="shared" si="24"/>
      </c>
      <c r="DI625" s="3060">
        <f t="shared" si="1"/>
      </c>
    </row>
    <row r="626" ht="15" customHeight="1" s="3052" customFormat="1">
      <c r="B626" s="3054">
        <f t="shared" si="2"/>
      </c>
      <c r="C626" s="3054"/>
      <c r="D626" s="3054"/>
      <c r="E626" s="3055"/>
      <c r="F626" s="3055"/>
      <c r="G626" s="3055"/>
      <c r="H626" s="3055"/>
      <c r="I626" s="3055"/>
      <c r="J626" s="3055"/>
      <c r="K626" s="3055"/>
      <c r="L626" s="3055"/>
      <c r="M626" s="3055"/>
      <c r="N626" s="3055"/>
      <c r="O626" s="3055"/>
      <c r="P626" s="3055"/>
      <c r="Q626" s="3055"/>
      <c r="R626" s="3055">
        <f t="shared" si="3"/>
        <v>0</v>
      </c>
      <c r="S626" s="3055">
        <f t="shared" si="4"/>
        <v>0</v>
      </c>
      <c r="T626" s="3055">
        <f t="shared" si="5"/>
        <v>0</v>
      </c>
      <c r="U626" s="3055">
        <f t="shared" si="6"/>
        <v>0</v>
      </c>
      <c r="V626" s="3055">
        <f t="shared" si="7"/>
        <v>0</v>
      </c>
      <c r="W626" s="3055">
        <f t="shared" si="8"/>
        <v>0</v>
      </c>
      <c r="X626" s="3055">
        <f t="shared" si="9"/>
        <v>0</v>
      </c>
      <c r="Y626" s="3055">
        <f t="shared" si="10"/>
        <v>0</v>
      </c>
      <c r="Z626" s="3055">
        <f t="shared" si="11"/>
        <v>0</v>
      </c>
      <c r="AA626" s="3055">
        <f t="shared" si="12"/>
        <v>0</v>
      </c>
      <c r="AB626" s="3055">
        <f t="shared" si="13"/>
        <v>0</v>
      </c>
      <c r="AC626" s="3055">
        <f t="shared" si="14"/>
        <v>0</v>
      </c>
      <c r="AD626" s="3056"/>
      <c r="AE626" s="3057">
        <f t="shared" si="0"/>
      </c>
      <c r="AF626" s="3054"/>
      <c r="AG626" s="3054"/>
      <c r="AH626" s="3055"/>
      <c r="AI626" s="3055"/>
      <c r="AJ626" s="3055"/>
      <c r="AK626" s="3055"/>
      <c r="AL626" s="3055"/>
      <c r="AM626" s="3055"/>
      <c r="AN626" s="3055"/>
      <c r="AO626" s="3055"/>
      <c r="AP626" s="3055"/>
      <c r="AQ626" s="3055"/>
      <c r="AR626" s="3055"/>
      <c r="AS626" s="3055"/>
      <c r="AT626" s="3055"/>
      <c r="AU626" s="3056"/>
      <c r="AV626" s="3057">
        <f t="shared" si="15"/>
      </c>
      <c r="AW626" s="3054"/>
      <c r="AX626" s="3054"/>
      <c r="AY626" s="3055"/>
      <c r="AZ626" s="3055"/>
      <c r="BA626" s="3055"/>
      <c r="BB626" s="3055"/>
      <c r="BC626" s="3055"/>
      <c r="BD626" s="3055"/>
      <c r="BE626" s="3055"/>
      <c r="BF626" s="3055"/>
      <c r="BG626" s="3055"/>
      <c r="BH626" s="3055"/>
      <c r="BI626" s="3055"/>
      <c r="BJ626" s="3055"/>
      <c r="BK626" s="3055"/>
      <c r="BL626" s="3056"/>
      <c r="BM626" s="3057">
        <f t="shared" si="16"/>
      </c>
      <c r="BN626" s="3054"/>
      <c r="BO626" s="3054"/>
      <c r="BP626" s="3055"/>
      <c r="BQ626" s="3055"/>
      <c r="BR626" s="3055"/>
      <c r="BS626" s="3055"/>
      <c r="BT626" s="3055"/>
      <c r="BU626" s="3055"/>
      <c r="BV626" s="3055"/>
      <c r="BW626" s="3055"/>
      <c r="BX626" s="3055"/>
      <c r="BY626" s="3055"/>
      <c r="BZ626" s="3055"/>
      <c r="CA626" s="3055"/>
      <c r="CB626" s="3055"/>
      <c r="CC626" s="3056"/>
      <c r="CD626" s="3057">
        <f t="shared" si="0"/>
      </c>
      <c r="CE626" s="3054"/>
      <c r="CF626" s="3054"/>
      <c r="CG626" s="3055"/>
      <c r="CH626" s="3055"/>
      <c r="CI626" s="3055"/>
      <c r="CJ626" s="3055"/>
      <c r="CK626" s="3055"/>
      <c r="CL626" s="3055"/>
      <c r="CM626" s="3055"/>
      <c r="CN626" s="3055"/>
      <c r="CO626" s="3055"/>
      <c r="CP626" s="3055"/>
      <c r="CQ626" s="3055"/>
      <c r="CR626" s="3055"/>
      <c r="CS626" s="3055"/>
      <c r="CU626" s="3054"/>
      <c r="CV626" s="696"/>
      <c r="CW626" s="696"/>
      <c r="CZ626" s="3060">
        <f t="shared" si="17"/>
      </c>
      <c r="DA626" s="3060">
        <f t="shared" si="1"/>
      </c>
      <c r="DB626" s="3060">
        <f t="shared" si="18"/>
      </c>
      <c r="DC626" s="3060">
        <f t="shared" si="19"/>
      </c>
      <c r="DD626" s="3060">
        <f t="shared" si="20"/>
      </c>
      <c r="DE626" s="3060">
        <f t="shared" si="21"/>
      </c>
      <c r="DF626" s="3060">
        <f t="shared" si="22"/>
      </c>
      <c r="DG626" s="3060">
        <f t="shared" si="23"/>
      </c>
      <c r="DH626" s="3060">
        <f t="shared" si="24"/>
      </c>
      <c r="DI626" s="3060">
        <f t="shared" si="1"/>
      </c>
    </row>
    <row r="627" ht="15" customHeight="1" s="3052" customFormat="1">
      <c r="B627" s="3054">
        <f t="shared" si="2"/>
      </c>
      <c r="C627" s="3054"/>
      <c r="D627" s="3054"/>
      <c r="E627" s="3055"/>
      <c r="F627" s="3055"/>
      <c r="G627" s="3055"/>
      <c r="H627" s="3055"/>
      <c r="I627" s="3055"/>
      <c r="J627" s="3055"/>
      <c r="K627" s="3055"/>
      <c r="L627" s="3055"/>
      <c r="M627" s="3055"/>
      <c r="N627" s="3055"/>
      <c r="O627" s="3055"/>
      <c r="P627" s="3055"/>
      <c r="Q627" s="3055"/>
      <c r="R627" s="3055">
        <f t="shared" si="3"/>
        <v>0</v>
      </c>
      <c r="S627" s="3055">
        <f t="shared" si="4"/>
        <v>0</v>
      </c>
      <c r="T627" s="3055">
        <f t="shared" si="5"/>
        <v>0</v>
      </c>
      <c r="U627" s="3055">
        <f t="shared" si="6"/>
        <v>0</v>
      </c>
      <c r="V627" s="3055">
        <f t="shared" si="7"/>
        <v>0</v>
      </c>
      <c r="W627" s="3055">
        <f t="shared" si="8"/>
        <v>0</v>
      </c>
      <c r="X627" s="3055">
        <f t="shared" si="9"/>
        <v>0</v>
      </c>
      <c r="Y627" s="3055">
        <f t="shared" si="10"/>
        <v>0</v>
      </c>
      <c r="Z627" s="3055">
        <f t="shared" si="11"/>
        <v>0</v>
      </c>
      <c r="AA627" s="3055">
        <f t="shared" si="12"/>
        <v>0</v>
      </c>
      <c r="AB627" s="3055">
        <f t="shared" si="13"/>
        <v>0</v>
      </c>
      <c r="AC627" s="3055">
        <f t="shared" si="14"/>
        <v>0</v>
      </c>
      <c r="AD627" s="3056"/>
      <c r="AE627" s="3057">
        <f t="shared" si="0"/>
      </c>
      <c r="AF627" s="3054"/>
      <c r="AG627" s="3054"/>
      <c r="AH627" s="3055"/>
      <c r="AI627" s="3055"/>
      <c r="AJ627" s="3055"/>
      <c r="AK627" s="3055"/>
      <c r="AL627" s="3055"/>
      <c r="AM627" s="3055"/>
      <c r="AN627" s="3055"/>
      <c r="AO627" s="3055"/>
      <c r="AP627" s="3055"/>
      <c r="AQ627" s="3055"/>
      <c r="AR627" s="3055"/>
      <c r="AS627" s="3055"/>
      <c r="AT627" s="3055"/>
      <c r="AU627" s="3056"/>
      <c r="AV627" s="3057">
        <f t="shared" si="15"/>
      </c>
      <c r="AW627" s="3054"/>
      <c r="AX627" s="3054"/>
      <c r="AY627" s="3055"/>
      <c r="AZ627" s="3055"/>
      <c r="BA627" s="3055"/>
      <c r="BB627" s="3055"/>
      <c r="BC627" s="3055"/>
      <c r="BD627" s="3055"/>
      <c r="BE627" s="3055"/>
      <c r="BF627" s="3055"/>
      <c r="BG627" s="3055"/>
      <c r="BH627" s="3055"/>
      <c r="BI627" s="3055"/>
      <c r="BJ627" s="3055"/>
      <c r="BK627" s="3055"/>
      <c r="BL627" s="3056"/>
      <c r="BM627" s="3057">
        <f t="shared" si="16"/>
      </c>
      <c r="BN627" s="3054"/>
      <c r="BO627" s="3054"/>
      <c r="BP627" s="3055"/>
      <c r="BQ627" s="3055"/>
      <c r="BR627" s="3055"/>
      <c r="BS627" s="3055"/>
      <c r="BT627" s="3055"/>
      <c r="BU627" s="3055"/>
      <c r="BV627" s="3055"/>
      <c r="BW627" s="3055"/>
      <c r="BX627" s="3055"/>
      <c r="BY627" s="3055"/>
      <c r="BZ627" s="3055"/>
      <c r="CA627" s="3055"/>
      <c r="CB627" s="3055"/>
      <c r="CC627" s="3056"/>
      <c r="CD627" s="3057">
        <f t="shared" si="0"/>
      </c>
      <c r="CE627" s="3054"/>
      <c r="CF627" s="3054"/>
      <c r="CG627" s="3055"/>
      <c r="CH627" s="3055"/>
      <c r="CI627" s="3055"/>
      <c r="CJ627" s="3055"/>
      <c r="CK627" s="3055"/>
      <c r="CL627" s="3055"/>
      <c r="CM627" s="3055"/>
      <c r="CN627" s="3055"/>
      <c r="CO627" s="3055"/>
      <c r="CP627" s="3055"/>
      <c r="CQ627" s="3055"/>
      <c r="CR627" s="3055"/>
      <c r="CS627" s="3055"/>
      <c r="CU627" s="3054"/>
      <c r="CV627" s="696"/>
      <c r="CW627" s="696"/>
      <c r="CZ627" s="3060">
        <f t="shared" si="17"/>
      </c>
      <c r="DA627" s="3060">
        <f t="shared" si="1"/>
      </c>
      <c r="DB627" s="3060">
        <f t="shared" si="18"/>
      </c>
      <c r="DC627" s="3060">
        <f t="shared" si="19"/>
      </c>
      <c r="DD627" s="3060">
        <f t="shared" si="20"/>
      </c>
      <c r="DE627" s="3060">
        <f t="shared" si="21"/>
      </c>
      <c r="DF627" s="3060">
        <f t="shared" si="22"/>
      </c>
      <c r="DG627" s="3060">
        <f t="shared" si="23"/>
      </c>
      <c r="DH627" s="3060">
        <f t="shared" si="24"/>
      </c>
      <c r="DI627" s="3060">
        <f t="shared" si="1"/>
      </c>
    </row>
    <row r="628" ht="15" customHeight="1" s="3052" customFormat="1">
      <c r="B628" s="3054">
        <f t="shared" si="2"/>
      </c>
      <c r="C628" s="3054"/>
      <c r="D628" s="3054"/>
      <c r="E628" s="3055"/>
      <c r="F628" s="3055"/>
      <c r="G628" s="3055"/>
      <c r="H628" s="3055"/>
      <c r="I628" s="3055"/>
      <c r="J628" s="3055"/>
      <c r="K628" s="3055"/>
      <c r="L628" s="3055"/>
      <c r="M628" s="3055"/>
      <c r="N628" s="3055"/>
      <c r="O628" s="3055"/>
      <c r="P628" s="3055"/>
      <c r="Q628" s="3055"/>
      <c r="R628" s="3055">
        <f t="shared" si="3"/>
        <v>0</v>
      </c>
      <c r="S628" s="3055">
        <f t="shared" si="4"/>
        <v>0</v>
      </c>
      <c r="T628" s="3055">
        <f t="shared" si="5"/>
        <v>0</v>
      </c>
      <c r="U628" s="3055">
        <f t="shared" si="6"/>
        <v>0</v>
      </c>
      <c r="V628" s="3055">
        <f t="shared" si="7"/>
        <v>0</v>
      </c>
      <c r="W628" s="3055">
        <f t="shared" si="8"/>
        <v>0</v>
      </c>
      <c r="X628" s="3055">
        <f t="shared" si="9"/>
        <v>0</v>
      </c>
      <c r="Y628" s="3055">
        <f t="shared" si="10"/>
        <v>0</v>
      </c>
      <c r="Z628" s="3055">
        <f t="shared" si="11"/>
        <v>0</v>
      </c>
      <c r="AA628" s="3055">
        <f t="shared" si="12"/>
        <v>0</v>
      </c>
      <c r="AB628" s="3055">
        <f t="shared" si="13"/>
        <v>0</v>
      </c>
      <c r="AC628" s="3055">
        <f t="shared" si="14"/>
        <v>0</v>
      </c>
      <c r="AD628" s="3056"/>
      <c r="AE628" s="3057">
        <f t="shared" si="0"/>
      </c>
      <c r="AF628" s="3054"/>
      <c r="AG628" s="3054"/>
      <c r="AH628" s="3055"/>
      <c r="AI628" s="3055"/>
      <c r="AJ628" s="3055"/>
      <c r="AK628" s="3055"/>
      <c r="AL628" s="3055"/>
      <c r="AM628" s="3055"/>
      <c r="AN628" s="3055"/>
      <c r="AO628" s="3055"/>
      <c r="AP628" s="3055"/>
      <c r="AQ628" s="3055"/>
      <c r="AR628" s="3055"/>
      <c r="AS628" s="3055"/>
      <c r="AT628" s="3055"/>
      <c r="AU628" s="3056"/>
      <c r="AV628" s="3057">
        <f t="shared" si="15"/>
      </c>
      <c r="AW628" s="3054"/>
      <c r="AX628" s="3054"/>
      <c r="AY628" s="3055"/>
      <c r="AZ628" s="3055"/>
      <c r="BA628" s="3055"/>
      <c r="BB628" s="3055"/>
      <c r="BC628" s="3055"/>
      <c r="BD628" s="3055"/>
      <c r="BE628" s="3055"/>
      <c r="BF628" s="3055"/>
      <c r="BG628" s="3055"/>
      <c r="BH628" s="3055"/>
      <c r="BI628" s="3055"/>
      <c r="BJ628" s="3055"/>
      <c r="BK628" s="3055"/>
      <c r="BL628" s="3056"/>
      <c r="BM628" s="3057">
        <f t="shared" si="16"/>
      </c>
      <c r="BN628" s="3054"/>
      <c r="BO628" s="3054"/>
      <c r="BP628" s="3055"/>
      <c r="BQ628" s="3055"/>
      <c r="BR628" s="3055"/>
      <c r="BS628" s="3055"/>
      <c r="BT628" s="3055"/>
      <c r="BU628" s="3055"/>
      <c r="BV628" s="3055"/>
      <c r="BW628" s="3055"/>
      <c r="BX628" s="3055"/>
      <c r="BY628" s="3055"/>
      <c r="BZ628" s="3055"/>
      <c r="CA628" s="3055"/>
      <c r="CB628" s="3055"/>
      <c r="CC628" s="3056"/>
      <c r="CD628" s="3057">
        <f t="shared" si="0"/>
      </c>
      <c r="CE628" s="3054"/>
      <c r="CF628" s="3054"/>
      <c r="CG628" s="3055"/>
      <c r="CH628" s="3055"/>
      <c r="CI628" s="3055"/>
      <c r="CJ628" s="3055"/>
      <c r="CK628" s="3055"/>
      <c r="CL628" s="3055"/>
      <c r="CM628" s="3055"/>
      <c r="CN628" s="3055"/>
      <c r="CO628" s="3055"/>
      <c r="CP628" s="3055"/>
      <c r="CQ628" s="3055"/>
      <c r="CR628" s="3055"/>
      <c r="CS628" s="3055"/>
      <c r="CU628" s="3054"/>
      <c r="CV628" s="696"/>
      <c r="CW628" s="696"/>
      <c r="CZ628" s="3060">
        <f t="shared" si="17"/>
      </c>
      <c r="DA628" s="3060">
        <f t="shared" si="1"/>
      </c>
      <c r="DB628" s="3060">
        <f t="shared" si="18"/>
      </c>
      <c r="DC628" s="3060">
        <f t="shared" si="19"/>
      </c>
      <c r="DD628" s="3060">
        <f t="shared" si="20"/>
      </c>
      <c r="DE628" s="3060">
        <f t="shared" si="21"/>
      </c>
      <c r="DF628" s="3060">
        <f t="shared" si="22"/>
      </c>
      <c r="DG628" s="3060">
        <f t="shared" si="23"/>
      </c>
      <c r="DH628" s="3060">
        <f t="shared" si="24"/>
      </c>
      <c r="DI628" s="3060">
        <f t="shared" si="1"/>
      </c>
    </row>
    <row r="629" ht="15" customHeight="1" s="3052" customFormat="1">
      <c r="B629" s="3054">
        <f t="shared" si="2"/>
      </c>
      <c r="C629" s="3054"/>
      <c r="D629" s="3054"/>
      <c r="E629" s="3055"/>
      <c r="F629" s="3055"/>
      <c r="G629" s="3055"/>
      <c r="H629" s="3055"/>
      <c r="I629" s="3055"/>
      <c r="J629" s="3055"/>
      <c r="K629" s="3055"/>
      <c r="L629" s="3055"/>
      <c r="M629" s="3055"/>
      <c r="N629" s="3055"/>
      <c r="O629" s="3055"/>
      <c r="P629" s="3055"/>
      <c r="Q629" s="3055"/>
      <c r="R629" s="3055">
        <f t="shared" si="3"/>
        <v>0</v>
      </c>
      <c r="S629" s="3055">
        <f t="shared" si="4"/>
        <v>0</v>
      </c>
      <c r="T629" s="3055">
        <f t="shared" si="5"/>
        <v>0</v>
      </c>
      <c r="U629" s="3055">
        <f t="shared" si="6"/>
        <v>0</v>
      </c>
      <c r="V629" s="3055">
        <f t="shared" si="7"/>
        <v>0</v>
      </c>
      <c r="W629" s="3055">
        <f t="shared" si="8"/>
        <v>0</v>
      </c>
      <c r="X629" s="3055">
        <f t="shared" si="9"/>
        <v>0</v>
      </c>
      <c r="Y629" s="3055">
        <f t="shared" si="10"/>
        <v>0</v>
      </c>
      <c r="Z629" s="3055">
        <f t="shared" si="11"/>
        <v>0</v>
      </c>
      <c r="AA629" s="3055">
        <f t="shared" si="12"/>
        <v>0</v>
      </c>
      <c r="AB629" s="3055">
        <f t="shared" si="13"/>
        <v>0</v>
      </c>
      <c r="AC629" s="3055">
        <f t="shared" si="14"/>
        <v>0</v>
      </c>
      <c r="AD629" s="3056"/>
      <c r="AE629" s="3057">
        <f t="shared" si="0"/>
      </c>
      <c r="AF629" s="3054"/>
      <c r="AG629" s="3054"/>
      <c r="AH629" s="3055"/>
      <c r="AI629" s="3055"/>
      <c r="AJ629" s="3055"/>
      <c r="AK629" s="3055"/>
      <c r="AL629" s="3055"/>
      <c r="AM629" s="3055"/>
      <c r="AN629" s="3055"/>
      <c r="AO629" s="3055"/>
      <c r="AP629" s="3055"/>
      <c r="AQ629" s="3055"/>
      <c r="AR629" s="3055"/>
      <c r="AS629" s="3055"/>
      <c r="AT629" s="3055"/>
      <c r="AU629" s="3056"/>
      <c r="AV629" s="3057">
        <f t="shared" si="15"/>
      </c>
      <c r="AW629" s="3054"/>
      <c r="AX629" s="3054"/>
      <c r="AY629" s="3055"/>
      <c r="AZ629" s="3055"/>
      <c r="BA629" s="3055"/>
      <c r="BB629" s="3055"/>
      <c r="BC629" s="3055"/>
      <c r="BD629" s="3055"/>
      <c r="BE629" s="3055"/>
      <c r="BF629" s="3055"/>
      <c r="BG629" s="3055"/>
      <c r="BH629" s="3055"/>
      <c r="BI629" s="3055"/>
      <c r="BJ629" s="3055"/>
      <c r="BK629" s="3055"/>
      <c r="BL629" s="3056"/>
      <c r="BM629" s="3057">
        <f t="shared" si="16"/>
      </c>
      <c r="BN629" s="3054"/>
      <c r="BO629" s="3054"/>
      <c r="BP629" s="3055"/>
      <c r="BQ629" s="3055"/>
      <c r="BR629" s="3055"/>
      <c r="BS629" s="3055"/>
      <c r="BT629" s="3055"/>
      <c r="BU629" s="3055"/>
      <c r="BV629" s="3055"/>
      <c r="BW629" s="3055"/>
      <c r="BX629" s="3055"/>
      <c r="BY629" s="3055"/>
      <c r="BZ629" s="3055"/>
      <c r="CA629" s="3055"/>
      <c r="CB629" s="3055"/>
      <c r="CC629" s="3056"/>
      <c r="CD629" s="3057">
        <f t="shared" si="0"/>
      </c>
      <c r="CE629" s="3054"/>
      <c r="CF629" s="3054"/>
      <c r="CG629" s="3055"/>
      <c r="CH629" s="3055"/>
      <c r="CI629" s="3055"/>
      <c r="CJ629" s="3055"/>
      <c r="CK629" s="3055"/>
      <c r="CL629" s="3055"/>
      <c r="CM629" s="3055"/>
      <c r="CN629" s="3055"/>
      <c r="CO629" s="3055"/>
      <c r="CP629" s="3055"/>
      <c r="CQ629" s="3055"/>
      <c r="CR629" s="3055"/>
      <c r="CS629" s="3055"/>
      <c r="CU629" s="3054"/>
      <c r="CV629" s="696"/>
      <c r="CW629" s="696"/>
      <c r="CZ629" s="3060">
        <f t="shared" si="17"/>
      </c>
      <c r="DA629" s="3060">
        <f t="shared" si="1"/>
      </c>
      <c r="DB629" s="3060">
        <f t="shared" si="18"/>
      </c>
      <c r="DC629" s="3060">
        <f t="shared" si="19"/>
      </c>
      <c r="DD629" s="3060">
        <f t="shared" si="20"/>
      </c>
      <c r="DE629" s="3060">
        <f t="shared" si="21"/>
      </c>
      <c r="DF629" s="3060">
        <f t="shared" si="22"/>
      </c>
      <c r="DG629" s="3060">
        <f t="shared" si="23"/>
      </c>
      <c r="DH629" s="3060">
        <f t="shared" si="24"/>
      </c>
      <c r="DI629" s="3060">
        <f t="shared" si="1"/>
      </c>
    </row>
    <row r="630" ht="15" customHeight="1" s="3052" customFormat="1">
      <c r="B630" s="3054">
        <f t="shared" si="2"/>
      </c>
      <c r="C630" s="3054"/>
      <c r="D630" s="3054"/>
      <c r="E630" s="3055"/>
      <c r="F630" s="3055"/>
      <c r="G630" s="3055"/>
      <c r="H630" s="3055"/>
      <c r="I630" s="3055"/>
      <c r="J630" s="3055"/>
      <c r="K630" s="3055"/>
      <c r="L630" s="3055"/>
      <c r="M630" s="3055"/>
      <c r="N630" s="3055"/>
      <c r="O630" s="3055"/>
      <c r="P630" s="3055"/>
      <c r="Q630" s="3055"/>
      <c r="R630" s="3055">
        <f t="shared" si="3"/>
        <v>0</v>
      </c>
      <c r="S630" s="3055">
        <f t="shared" si="4"/>
        <v>0</v>
      </c>
      <c r="T630" s="3055">
        <f t="shared" si="5"/>
        <v>0</v>
      </c>
      <c r="U630" s="3055">
        <f t="shared" si="6"/>
        <v>0</v>
      </c>
      <c r="V630" s="3055">
        <f t="shared" si="7"/>
        <v>0</v>
      </c>
      <c r="W630" s="3055">
        <f t="shared" si="8"/>
        <v>0</v>
      </c>
      <c r="X630" s="3055">
        <f t="shared" si="9"/>
        <v>0</v>
      </c>
      <c r="Y630" s="3055">
        <f t="shared" si="10"/>
        <v>0</v>
      </c>
      <c r="Z630" s="3055">
        <f t="shared" si="11"/>
        <v>0</v>
      </c>
      <c r="AA630" s="3055">
        <f t="shared" si="12"/>
        <v>0</v>
      </c>
      <c r="AB630" s="3055">
        <f t="shared" si="13"/>
        <v>0</v>
      </c>
      <c r="AC630" s="3055">
        <f t="shared" si="14"/>
        <v>0</v>
      </c>
      <c r="AD630" s="3056"/>
      <c r="AE630" s="3057">
        <f t="shared" si="0"/>
      </c>
      <c r="AF630" s="3054"/>
      <c r="AG630" s="3054"/>
      <c r="AH630" s="3055"/>
      <c r="AI630" s="3055"/>
      <c r="AJ630" s="3055"/>
      <c r="AK630" s="3055"/>
      <c r="AL630" s="3055"/>
      <c r="AM630" s="3055"/>
      <c r="AN630" s="3055"/>
      <c r="AO630" s="3055"/>
      <c r="AP630" s="3055"/>
      <c r="AQ630" s="3055"/>
      <c r="AR630" s="3055"/>
      <c r="AS630" s="3055"/>
      <c r="AT630" s="3055"/>
      <c r="AU630" s="3056"/>
      <c r="AV630" s="3057">
        <f t="shared" si="15"/>
      </c>
      <c r="AW630" s="3054"/>
      <c r="AX630" s="3054"/>
      <c r="AY630" s="3055"/>
      <c r="AZ630" s="3055"/>
      <c r="BA630" s="3055"/>
      <c r="BB630" s="3055"/>
      <c r="BC630" s="3055"/>
      <c r="BD630" s="3055"/>
      <c r="BE630" s="3055"/>
      <c r="BF630" s="3055"/>
      <c r="BG630" s="3055"/>
      <c r="BH630" s="3055"/>
      <c r="BI630" s="3055"/>
      <c r="BJ630" s="3055"/>
      <c r="BK630" s="3055"/>
      <c r="BL630" s="3056"/>
      <c r="BM630" s="3057">
        <f t="shared" si="16"/>
      </c>
      <c r="BN630" s="3054"/>
      <c r="BO630" s="3054"/>
      <c r="BP630" s="3055"/>
      <c r="BQ630" s="3055"/>
      <c r="BR630" s="3055"/>
      <c r="BS630" s="3055"/>
      <c r="BT630" s="3055"/>
      <c r="BU630" s="3055"/>
      <c r="BV630" s="3055"/>
      <c r="BW630" s="3055"/>
      <c r="BX630" s="3055"/>
      <c r="BY630" s="3055"/>
      <c r="BZ630" s="3055"/>
      <c r="CA630" s="3055"/>
      <c r="CB630" s="3055"/>
      <c r="CC630" s="3056"/>
      <c r="CD630" s="3057">
        <f t="shared" si="0"/>
      </c>
      <c r="CE630" s="3054"/>
      <c r="CF630" s="3054"/>
      <c r="CG630" s="3055"/>
      <c r="CH630" s="3055"/>
      <c r="CI630" s="3055"/>
      <c r="CJ630" s="3055"/>
      <c r="CK630" s="3055"/>
      <c r="CL630" s="3055"/>
      <c r="CM630" s="3055"/>
      <c r="CN630" s="3055"/>
      <c r="CO630" s="3055"/>
      <c r="CP630" s="3055"/>
      <c r="CQ630" s="3055"/>
      <c r="CR630" s="3055"/>
      <c r="CS630" s="3055"/>
      <c r="CU630" s="3054"/>
      <c r="CV630" s="696"/>
      <c r="CW630" s="696"/>
      <c r="CZ630" s="3060">
        <f t="shared" si="17"/>
      </c>
      <c r="DA630" s="3060">
        <f t="shared" si="1"/>
      </c>
      <c r="DB630" s="3060">
        <f t="shared" si="18"/>
      </c>
      <c r="DC630" s="3060">
        <f t="shared" si="19"/>
      </c>
      <c r="DD630" s="3060">
        <f t="shared" si="20"/>
      </c>
      <c r="DE630" s="3060">
        <f t="shared" si="21"/>
      </c>
      <c r="DF630" s="3060">
        <f t="shared" si="22"/>
      </c>
      <c r="DG630" s="3060">
        <f t="shared" si="23"/>
      </c>
      <c r="DH630" s="3060">
        <f t="shared" si="24"/>
      </c>
      <c r="DI630" s="3060">
        <f t="shared" si="1"/>
      </c>
    </row>
    <row r="631" ht="15" customHeight="1" s="3052" customFormat="1">
      <c r="B631" s="3054">
        <f t="shared" si="2"/>
      </c>
      <c r="C631" s="3054"/>
      <c r="D631" s="3054"/>
      <c r="E631" s="3055"/>
      <c r="F631" s="3055"/>
      <c r="G631" s="3055"/>
      <c r="H631" s="3055"/>
      <c r="I631" s="3055"/>
      <c r="J631" s="3055"/>
      <c r="K631" s="3055"/>
      <c r="L631" s="3055"/>
      <c r="M631" s="3055"/>
      <c r="N631" s="3055"/>
      <c r="O631" s="3055"/>
      <c r="P631" s="3055"/>
      <c r="Q631" s="3055"/>
      <c r="R631" s="3055">
        <f t="shared" si="3"/>
        <v>0</v>
      </c>
      <c r="S631" s="3055">
        <f t="shared" si="4"/>
        <v>0</v>
      </c>
      <c r="T631" s="3055">
        <f t="shared" si="5"/>
        <v>0</v>
      </c>
      <c r="U631" s="3055">
        <f t="shared" si="6"/>
        <v>0</v>
      </c>
      <c r="V631" s="3055">
        <f t="shared" si="7"/>
        <v>0</v>
      </c>
      <c r="W631" s="3055">
        <f t="shared" si="8"/>
        <v>0</v>
      </c>
      <c r="X631" s="3055">
        <f t="shared" si="9"/>
        <v>0</v>
      </c>
      <c r="Y631" s="3055">
        <f t="shared" si="10"/>
        <v>0</v>
      </c>
      <c r="Z631" s="3055">
        <f t="shared" si="11"/>
        <v>0</v>
      </c>
      <c r="AA631" s="3055">
        <f t="shared" si="12"/>
        <v>0</v>
      </c>
      <c r="AB631" s="3055">
        <f t="shared" si="13"/>
        <v>0</v>
      </c>
      <c r="AC631" s="3055">
        <f t="shared" si="14"/>
        <v>0</v>
      </c>
      <c r="AD631" s="3056"/>
      <c r="AE631" s="3057">
        <f t="shared" si="0"/>
      </c>
      <c r="AF631" s="3054"/>
      <c r="AG631" s="3054"/>
      <c r="AH631" s="3055"/>
      <c r="AI631" s="3055"/>
      <c r="AJ631" s="3055"/>
      <c r="AK631" s="3055"/>
      <c r="AL631" s="3055"/>
      <c r="AM631" s="3055"/>
      <c r="AN631" s="3055"/>
      <c r="AO631" s="3055"/>
      <c r="AP631" s="3055"/>
      <c r="AQ631" s="3055"/>
      <c r="AR631" s="3055"/>
      <c r="AS631" s="3055"/>
      <c r="AT631" s="3055"/>
      <c r="AU631" s="3056"/>
      <c r="AV631" s="3057">
        <f t="shared" si="15"/>
      </c>
      <c r="AW631" s="3054"/>
      <c r="AX631" s="3054"/>
      <c r="AY631" s="3055"/>
      <c r="AZ631" s="3055"/>
      <c r="BA631" s="3055"/>
      <c r="BB631" s="3055"/>
      <c r="BC631" s="3055"/>
      <c r="BD631" s="3055"/>
      <c r="BE631" s="3055"/>
      <c r="BF631" s="3055"/>
      <c r="BG631" s="3055"/>
      <c r="BH631" s="3055"/>
      <c r="BI631" s="3055"/>
      <c r="BJ631" s="3055"/>
      <c r="BK631" s="3055"/>
      <c r="BL631" s="3056"/>
      <c r="BM631" s="3057">
        <f t="shared" si="16"/>
      </c>
      <c r="BN631" s="3054"/>
      <c r="BO631" s="3054"/>
      <c r="BP631" s="3055"/>
      <c r="BQ631" s="3055"/>
      <c r="BR631" s="3055"/>
      <c r="BS631" s="3055"/>
      <c r="BT631" s="3055"/>
      <c r="BU631" s="3055"/>
      <c r="BV631" s="3055"/>
      <c r="BW631" s="3055"/>
      <c r="BX631" s="3055"/>
      <c r="BY631" s="3055"/>
      <c r="BZ631" s="3055"/>
      <c r="CA631" s="3055"/>
      <c r="CB631" s="3055"/>
      <c r="CC631" s="3056"/>
      <c r="CD631" s="3057">
        <f t="shared" si="0"/>
      </c>
      <c r="CE631" s="3054"/>
      <c r="CF631" s="3054"/>
      <c r="CG631" s="3055"/>
      <c r="CH631" s="3055"/>
      <c r="CI631" s="3055"/>
      <c r="CJ631" s="3055"/>
      <c r="CK631" s="3055"/>
      <c r="CL631" s="3055"/>
      <c r="CM631" s="3055"/>
      <c r="CN631" s="3055"/>
      <c r="CO631" s="3055"/>
      <c r="CP631" s="3055"/>
      <c r="CQ631" s="3055"/>
      <c r="CR631" s="3055"/>
      <c r="CS631" s="3055"/>
      <c r="CU631" s="3054"/>
      <c r="CV631" s="696"/>
      <c r="CW631" s="696"/>
      <c r="CZ631" s="3060">
        <f t="shared" si="17"/>
      </c>
      <c r="DA631" s="3060">
        <f t="shared" si="1"/>
      </c>
      <c r="DB631" s="3060">
        <f t="shared" si="18"/>
      </c>
      <c r="DC631" s="3060">
        <f t="shared" si="19"/>
      </c>
      <c r="DD631" s="3060">
        <f t="shared" si="20"/>
      </c>
      <c r="DE631" s="3060">
        <f t="shared" si="21"/>
      </c>
      <c r="DF631" s="3060">
        <f t="shared" si="22"/>
      </c>
      <c r="DG631" s="3060">
        <f t="shared" si="23"/>
      </c>
      <c r="DH631" s="3060">
        <f t="shared" si="24"/>
      </c>
      <c r="DI631" s="3060">
        <f t="shared" si="1"/>
      </c>
    </row>
    <row r="632" ht="15" customHeight="1" s="3052" customFormat="1">
      <c r="B632" s="3054">
        <f t="shared" si="2"/>
      </c>
      <c r="C632" s="3054"/>
      <c r="D632" s="3054"/>
      <c r="E632" s="3055"/>
      <c r="F632" s="3055"/>
      <c r="G632" s="3055"/>
      <c r="H632" s="3055"/>
      <c r="I632" s="3055"/>
      <c r="J632" s="3055"/>
      <c r="K632" s="3055"/>
      <c r="L632" s="3055"/>
      <c r="M632" s="3055"/>
      <c r="N632" s="3055"/>
      <c r="O632" s="3055"/>
      <c r="P632" s="3055"/>
      <c r="Q632" s="3055"/>
      <c r="R632" s="3055">
        <f t="shared" si="3"/>
        <v>0</v>
      </c>
      <c r="S632" s="3055">
        <f t="shared" si="4"/>
        <v>0</v>
      </c>
      <c r="T632" s="3055">
        <f t="shared" si="5"/>
        <v>0</v>
      </c>
      <c r="U632" s="3055">
        <f t="shared" si="6"/>
        <v>0</v>
      </c>
      <c r="V632" s="3055">
        <f t="shared" si="7"/>
        <v>0</v>
      </c>
      <c r="W632" s="3055">
        <f t="shared" si="8"/>
        <v>0</v>
      </c>
      <c r="X632" s="3055">
        <f t="shared" si="9"/>
        <v>0</v>
      </c>
      <c r="Y632" s="3055">
        <f t="shared" si="10"/>
        <v>0</v>
      </c>
      <c r="Z632" s="3055">
        <f t="shared" si="11"/>
        <v>0</v>
      </c>
      <c r="AA632" s="3055">
        <f t="shared" si="12"/>
        <v>0</v>
      </c>
      <c r="AB632" s="3055">
        <f t="shared" si="13"/>
        <v>0</v>
      </c>
      <c r="AC632" s="3055">
        <f t="shared" si="14"/>
        <v>0</v>
      </c>
      <c r="AD632" s="3056"/>
      <c r="AE632" s="3057">
        <f t="shared" si="0"/>
      </c>
      <c r="AF632" s="3054"/>
      <c r="AG632" s="3054"/>
      <c r="AH632" s="3055"/>
      <c r="AI632" s="3055"/>
      <c r="AJ632" s="3055"/>
      <c r="AK632" s="3055"/>
      <c r="AL632" s="3055"/>
      <c r="AM632" s="3055"/>
      <c r="AN632" s="3055"/>
      <c r="AO632" s="3055"/>
      <c r="AP632" s="3055"/>
      <c r="AQ632" s="3055"/>
      <c r="AR632" s="3055"/>
      <c r="AS632" s="3055"/>
      <c r="AT632" s="3055"/>
      <c r="AU632" s="3056"/>
      <c r="AV632" s="3057">
        <f t="shared" si="15"/>
      </c>
      <c r="AW632" s="3054"/>
      <c r="AX632" s="3054"/>
      <c r="AY632" s="3055"/>
      <c r="AZ632" s="3055"/>
      <c r="BA632" s="3055"/>
      <c r="BB632" s="3055"/>
      <c r="BC632" s="3055"/>
      <c r="BD632" s="3055"/>
      <c r="BE632" s="3055"/>
      <c r="BF632" s="3055"/>
      <c r="BG632" s="3055"/>
      <c r="BH632" s="3055"/>
      <c r="BI632" s="3055"/>
      <c r="BJ632" s="3055"/>
      <c r="BK632" s="3055"/>
      <c r="BL632" s="3056"/>
      <c r="BM632" s="3057">
        <f t="shared" si="16"/>
      </c>
      <c r="BN632" s="3054"/>
      <c r="BO632" s="3054"/>
      <c r="BP632" s="3055"/>
      <c r="BQ632" s="3055"/>
      <c r="BR632" s="3055"/>
      <c r="BS632" s="3055"/>
      <c r="BT632" s="3055"/>
      <c r="BU632" s="3055"/>
      <c r="BV632" s="3055"/>
      <c r="BW632" s="3055"/>
      <c r="BX632" s="3055"/>
      <c r="BY632" s="3055"/>
      <c r="BZ632" s="3055"/>
      <c r="CA632" s="3055"/>
      <c r="CB632" s="3055"/>
      <c r="CC632" s="3056"/>
      <c r="CD632" s="3057">
        <f t="shared" si="0"/>
      </c>
      <c r="CE632" s="3054"/>
      <c r="CF632" s="3054"/>
      <c r="CG632" s="3055"/>
      <c r="CH632" s="3055"/>
      <c r="CI632" s="3055"/>
      <c r="CJ632" s="3055"/>
      <c r="CK632" s="3055"/>
      <c r="CL632" s="3055"/>
      <c r="CM632" s="3055"/>
      <c r="CN632" s="3055"/>
      <c r="CO632" s="3055"/>
      <c r="CP632" s="3055"/>
      <c r="CQ632" s="3055"/>
      <c r="CR632" s="3055"/>
      <c r="CS632" s="3055"/>
      <c r="CU632" s="3054"/>
      <c r="CV632" s="696"/>
      <c r="CW632" s="696"/>
      <c r="CZ632" s="3060">
        <f t="shared" si="17"/>
      </c>
      <c r="DA632" s="3060">
        <f t="shared" si="1"/>
      </c>
      <c r="DB632" s="3060">
        <f t="shared" si="18"/>
      </c>
      <c r="DC632" s="3060">
        <f t="shared" si="19"/>
      </c>
      <c r="DD632" s="3060">
        <f t="shared" si="20"/>
      </c>
      <c r="DE632" s="3060">
        <f t="shared" si="21"/>
      </c>
      <c r="DF632" s="3060">
        <f t="shared" si="22"/>
      </c>
      <c r="DG632" s="3060">
        <f t="shared" si="23"/>
      </c>
      <c r="DH632" s="3060">
        <f t="shared" si="24"/>
      </c>
      <c r="DI632" s="3060">
        <f t="shared" si="1"/>
      </c>
    </row>
    <row r="633" ht="15" customHeight="1" s="3052" customFormat="1">
      <c r="B633" s="3054">
        <f t="shared" si="2"/>
      </c>
      <c r="C633" s="3054"/>
      <c r="D633" s="3054"/>
      <c r="E633" s="3055"/>
      <c r="F633" s="3055"/>
      <c r="G633" s="3055"/>
      <c r="H633" s="3055"/>
      <c r="I633" s="3055"/>
      <c r="J633" s="3055"/>
      <c r="K633" s="3055"/>
      <c r="L633" s="3055"/>
      <c r="M633" s="3055"/>
      <c r="N633" s="3055"/>
      <c r="O633" s="3055"/>
      <c r="P633" s="3055"/>
      <c r="Q633" s="3055"/>
      <c r="R633" s="3055">
        <f t="shared" si="3"/>
        <v>0</v>
      </c>
      <c r="S633" s="3055">
        <f t="shared" si="4"/>
        <v>0</v>
      </c>
      <c r="T633" s="3055">
        <f t="shared" si="5"/>
        <v>0</v>
      </c>
      <c r="U633" s="3055">
        <f t="shared" si="6"/>
        <v>0</v>
      </c>
      <c r="V633" s="3055">
        <f t="shared" si="7"/>
        <v>0</v>
      </c>
      <c r="W633" s="3055">
        <f t="shared" si="8"/>
        <v>0</v>
      </c>
      <c r="X633" s="3055">
        <f t="shared" si="9"/>
        <v>0</v>
      </c>
      <c r="Y633" s="3055">
        <f t="shared" si="10"/>
        <v>0</v>
      </c>
      <c r="Z633" s="3055">
        <f t="shared" si="11"/>
        <v>0</v>
      </c>
      <c r="AA633" s="3055">
        <f t="shared" si="12"/>
        <v>0</v>
      </c>
      <c r="AB633" s="3055">
        <f t="shared" si="13"/>
        <v>0</v>
      </c>
      <c r="AC633" s="3055">
        <f t="shared" si="14"/>
        <v>0</v>
      </c>
      <c r="AD633" s="3056"/>
      <c r="AE633" s="3057">
        <f t="shared" si="0"/>
      </c>
      <c r="AF633" s="3054"/>
      <c r="AG633" s="3054"/>
      <c r="AH633" s="3055"/>
      <c r="AI633" s="3055"/>
      <c r="AJ633" s="3055"/>
      <c r="AK633" s="3055"/>
      <c r="AL633" s="3055"/>
      <c r="AM633" s="3055"/>
      <c r="AN633" s="3055"/>
      <c r="AO633" s="3055"/>
      <c r="AP633" s="3055"/>
      <c r="AQ633" s="3055"/>
      <c r="AR633" s="3055"/>
      <c r="AS633" s="3055"/>
      <c r="AT633" s="3055"/>
      <c r="AU633" s="3056"/>
      <c r="AV633" s="3057">
        <f t="shared" si="15"/>
      </c>
      <c r="AW633" s="3054"/>
      <c r="AX633" s="3054"/>
      <c r="AY633" s="3055"/>
      <c r="AZ633" s="3055"/>
      <c r="BA633" s="3055"/>
      <c r="BB633" s="3055"/>
      <c r="BC633" s="3055"/>
      <c r="BD633" s="3055"/>
      <c r="BE633" s="3055"/>
      <c r="BF633" s="3055"/>
      <c r="BG633" s="3055"/>
      <c r="BH633" s="3055"/>
      <c r="BI633" s="3055"/>
      <c r="BJ633" s="3055"/>
      <c r="BK633" s="3055"/>
      <c r="BL633" s="3056"/>
      <c r="BM633" s="3057">
        <f t="shared" si="16"/>
      </c>
      <c r="BN633" s="3054"/>
      <c r="BO633" s="3054"/>
      <c r="BP633" s="3055"/>
      <c r="BQ633" s="3055"/>
      <c r="BR633" s="3055"/>
      <c r="BS633" s="3055"/>
      <c r="BT633" s="3055"/>
      <c r="BU633" s="3055"/>
      <c r="BV633" s="3055"/>
      <c r="BW633" s="3055"/>
      <c r="BX633" s="3055"/>
      <c r="BY633" s="3055"/>
      <c r="BZ633" s="3055"/>
      <c r="CA633" s="3055"/>
      <c r="CB633" s="3055"/>
      <c r="CC633" s="3056"/>
      <c r="CD633" s="3057">
        <f t="shared" si="0"/>
      </c>
      <c r="CE633" s="3054"/>
      <c r="CF633" s="3054"/>
      <c r="CG633" s="3055"/>
      <c r="CH633" s="3055"/>
      <c r="CI633" s="3055"/>
      <c r="CJ633" s="3055"/>
      <c r="CK633" s="3055"/>
      <c r="CL633" s="3055"/>
      <c r="CM633" s="3055"/>
      <c r="CN633" s="3055"/>
      <c r="CO633" s="3055"/>
      <c r="CP633" s="3055"/>
      <c r="CQ633" s="3055"/>
      <c r="CR633" s="3055"/>
      <c r="CS633" s="3055"/>
      <c r="CU633" s="3054"/>
      <c r="CV633" s="696"/>
      <c r="CW633" s="696"/>
      <c r="CZ633" s="3060">
        <f t="shared" si="17"/>
      </c>
      <c r="DA633" s="3060">
        <f t="shared" si="1"/>
      </c>
      <c r="DB633" s="3060">
        <f t="shared" si="18"/>
      </c>
      <c r="DC633" s="3060">
        <f t="shared" si="19"/>
      </c>
      <c r="DD633" s="3060">
        <f t="shared" si="20"/>
      </c>
      <c r="DE633" s="3060">
        <f t="shared" si="21"/>
      </c>
      <c r="DF633" s="3060">
        <f t="shared" si="22"/>
      </c>
      <c r="DG633" s="3060">
        <f t="shared" si="23"/>
      </c>
      <c r="DH633" s="3060">
        <f t="shared" si="24"/>
      </c>
      <c r="DI633" s="3060">
        <f t="shared" si="1"/>
      </c>
    </row>
    <row r="634" ht="15" customHeight="1" s="3052" customFormat="1">
      <c r="B634" s="3054">
        <f t="shared" si="2"/>
      </c>
      <c r="C634" s="3054"/>
      <c r="D634" s="3054"/>
      <c r="E634" s="3055"/>
      <c r="F634" s="3055"/>
      <c r="G634" s="3055"/>
      <c r="H634" s="3055"/>
      <c r="I634" s="3055"/>
      <c r="J634" s="3055"/>
      <c r="K634" s="3055"/>
      <c r="L634" s="3055"/>
      <c r="M634" s="3055"/>
      <c r="N634" s="3055"/>
      <c r="O634" s="3055"/>
      <c r="P634" s="3055"/>
      <c r="Q634" s="3055"/>
      <c r="R634" s="3055">
        <f t="shared" si="3"/>
        <v>0</v>
      </c>
      <c r="S634" s="3055">
        <f t="shared" si="4"/>
        <v>0</v>
      </c>
      <c r="T634" s="3055">
        <f t="shared" si="5"/>
        <v>0</v>
      </c>
      <c r="U634" s="3055">
        <f t="shared" si="6"/>
        <v>0</v>
      </c>
      <c r="V634" s="3055">
        <f t="shared" si="7"/>
        <v>0</v>
      </c>
      <c r="W634" s="3055">
        <f t="shared" si="8"/>
        <v>0</v>
      </c>
      <c r="X634" s="3055">
        <f t="shared" si="9"/>
        <v>0</v>
      </c>
      <c r="Y634" s="3055">
        <f t="shared" si="10"/>
        <v>0</v>
      </c>
      <c r="Z634" s="3055">
        <f t="shared" si="11"/>
        <v>0</v>
      </c>
      <c r="AA634" s="3055">
        <f t="shared" si="12"/>
        <v>0</v>
      </c>
      <c r="AB634" s="3055">
        <f t="shared" si="13"/>
        <v>0</v>
      </c>
      <c r="AC634" s="3055">
        <f t="shared" si="14"/>
        <v>0</v>
      </c>
      <c r="AD634" s="3056"/>
      <c r="AE634" s="3057">
        <f t="shared" si="0"/>
      </c>
      <c r="AF634" s="3054"/>
      <c r="AG634" s="3054"/>
      <c r="AH634" s="3055"/>
      <c r="AI634" s="3055"/>
      <c r="AJ634" s="3055"/>
      <c r="AK634" s="3055"/>
      <c r="AL634" s="3055"/>
      <c r="AM634" s="3055"/>
      <c r="AN634" s="3055"/>
      <c r="AO634" s="3055"/>
      <c r="AP634" s="3055"/>
      <c r="AQ634" s="3055"/>
      <c r="AR634" s="3055"/>
      <c r="AS634" s="3055"/>
      <c r="AT634" s="3055"/>
      <c r="AU634" s="3056"/>
      <c r="AV634" s="3057">
        <f t="shared" si="15"/>
      </c>
      <c r="AW634" s="3054"/>
      <c r="AX634" s="3054"/>
      <c r="AY634" s="3055"/>
      <c r="AZ634" s="3055"/>
      <c r="BA634" s="3055"/>
      <c r="BB634" s="3055"/>
      <c r="BC634" s="3055"/>
      <c r="BD634" s="3055"/>
      <c r="BE634" s="3055"/>
      <c r="BF634" s="3055"/>
      <c r="BG634" s="3055"/>
      <c r="BH634" s="3055"/>
      <c r="BI634" s="3055"/>
      <c r="BJ634" s="3055"/>
      <c r="BK634" s="3055"/>
      <c r="BL634" s="3056"/>
      <c r="BM634" s="3057">
        <f t="shared" si="16"/>
      </c>
      <c r="BN634" s="3054"/>
      <c r="BO634" s="3054"/>
      <c r="BP634" s="3055"/>
      <c r="BQ634" s="3055"/>
      <c r="BR634" s="3055"/>
      <c r="BS634" s="3055"/>
      <c r="BT634" s="3055"/>
      <c r="BU634" s="3055"/>
      <c r="BV634" s="3055"/>
      <c r="BW634" s="3055"/>
      <c r="BX634" s="3055"/>
      <c r="BY634" s="3055"/>
      <c r="BZ634" s="3055"/>
      <c r="CA634" s="3055"/>
      <c r="CB634" s="3055"/>
      <c r="CC634" s="3056"/>
      <c r="CD634" s="3057">
        <f t="shared" si="0"/>
      </c>
      <c r="CE634" s="3054"/>
      <c r="CF634" s="3054"/>
      <c r="CG634" s="3055"/>
      <c r="CH634" s="3055"/>
      <c r="CI634" s="3055"/>
      <c r="CJ634" s="3055"/>
      <c r="CK634" s="3055"/>
      <c r="CL634" s="3055"/>
      <c r="CM634" s="3055"/>
      <c r="CN634" s="3055"/>
      <c r="CO634" s="3055"/>
      <c r="CP634" s="3055"/>
      <c r="CQ634" s="3055"/>
      <c r="CR634" s="3055"/>
      <c r="CS634" s="3055"/>
      <c r="CU634" s="3054"/>
      <c r="CV634" s="696"/>
      <c r="CW634" s="696"/>
      <c r="CZ634" s="3060">
        <f t="shared" si="17"/>
      </c>
      <c r="DA634" s="3060">
        <f t="shared" si="1"/>
      </c>
      <c r="DB634" s="3060">
        <f t="shared" si="18"/>
      </c>
      <c r="DC634" s="3060">
        <f t="shared" si="19"/>
      </c>
      <c r="DD634" s="3060">
        <f t="shared" si="20"/>
      </c>
      <c r="DE634" s="3060">
        <f t="shared" si="21"/>
      </c>
      <c r="DF634" s="3060">
        <f t="shared" si="22"/>
      </c>
      <c r="DG634" s="3060">
        <f t="shared" si="23"/>
      </c>
      <c r="DH634" s="3060">
        <f t="shared" si="24"/>
      </c>
      <c r="DI634" s="3060">
        <f t="shared" si="1"/>
      </c>
    </row>
    <row r="635" ht="15" customHeight="1" s="3052" customFormat="1">
      <c r="B635" s="3054">
        <f t="shared" si="2"/>
      </c>
      <c r="C635" s="3054"/>
      <c r="D635" s="3054"/>
      <c r="E635" s="3055"/>
      <c r="F635" s="3055"/>
      <c r="G635" s="3055"/>
      <c r="H635" s="3055"/>
      <c r="I635" s="3055"/>
      <c r="J635" s="3055"/>
      <c r="K635" s="3055"/>
      <c r="L635" s="3055"/>
      <c r="M635" s="3055"/>
      <c r="N635" s="3055"/>
      <c r="O635" s="3055"/>
      <c r="P635" s="3055"/>
      <c r="Q635" s="3055"/>
      <c r="R635" s="3055">
        <f t="shared" si="3"/>
        <v>0</v>
      </c>
      <c r="S635" s="3055">
        <f t="shared" si="4"/>
        <v>0</v>
      </c>
      <c r="T635" s="3055">
        <f t="shared" si="5"/>
        <v>0</v>
      </c>
      <c r="U635" s="3055">
        <f t="shared" si="6"/>
        <v>0</v>
      </c>
      <c r="V635" s="3055">
        <f t="shared" si="7"/>
        <v>0</v>
      </c>
      <c r="W635" s="3055">
        <f t="shared" si="8"/>
        <v>0</v>
      </c>
      <c r="X635" s="3055">
        <f t="shared" si="9"/>
        <v>0</v>
      </c>
      <c r="Y635" s="3055">
        <f t="shared" si="10"/>
        <v>0</v>
      </c>
      <c r="Z635" s="3055">
        <f t="shared" si="11"/>
        <v>0</v>
      </c>
      <c r="AA635" s="3055">
        <f t="shared" si="12"/>
        <v>0</v>
      </c>
      <c r="AB635" s="3055">
        <f t="shared" si="13"/>
        <v>0</v>
      </c>
      <c r="AC635" s="3055">
        <f t="shared" si="14"/>
        <v>0</v>
      </c>
      <c r="AD635" s="3056"/>
      <c r="AE635" s="3057">
        <f t="shared" si="0"/>
      </c>
      <c r="AF635" s="3054"/>
      <c r="AG635" s="3054"/>
      <c r="AH635" s="3055"/>
      <c r="AI635" s="3055"/>
      <c r="AJ635" s="3055"/>
      <c r="AK635" s="3055"/>
      <c r="AL635" s="3055"/>
      <c r="AM635" s="3055"/>
      <c r="AN635" s="3055"/>
      <c r="AO635" s="3055"/>
      <c r="AP635" s="3055"/>
      <c r="AQ635" s="3055"/>
      <c r="AR635" s="3055"/>
      <c r="AS635" s="3055"/>
      <c r="AT635" s="3055"/>
      <c r="AU635" s="3056"/>
      <c r="AV635" s="3057">
        <f t="shared" si="15"/>
      </c>
      <c r="AW635" s="3054"/>
      <c r="AX635" s="3054"/>
      <c r="AY635" s="3055"/>
      <c r="AZ635" s="3055"/>
      <c r="BA635" s="3055"/>
      <c r="BB635" s="3055"/>
      <c r="BC635" s="3055"/>
      <c r="BD635" s="3055"/>
      <c r="BE635" s="3055"/>
      <c r="BF635" s="3055"/>
      <c r="BG635" s="3055"/>
      <c r="BH635" s="3055"/>
      <c r="BI635" s="3055"/>
      <c r="BJ635" s="3055"/>
      <c r="BK635" s="3055"/>
      <c r="BL635" s="3056"/>
      <c r="BM635" s="3057">
        <f t="shared" si="16"/>
      </c>
      <c r="BN635" s="3054"/>
      <c r="BO635" s="3054"/>
      <c r="BP635" s="3055"/>
      <c r="BQ635" s="3055"/>
      <c r="BR635" s="3055"/>
      <c r="BS635" s="3055"/>
      <c r="BT635" s="3055"/>
      <c r="BU635" s="3055"/>
      <c r="BV635" s="3055"/>
      <c r="BW635" s="3055"/>
      <c r="BX635" s="3055"/>
      <c r="BY635" s="3055"/>
      <c r="BZ635" s="3055"/>
      <c r="CA635" s="3055"/>
      <c r="CB635" s="3055"/>
      <c r="CC635" s="3056"/>
      <c r="CD635" s="3057">
        <f t="shared" si="0"/>
      </c>
      <c r="CE635" s="3054"/>
      <c r="CF635" s="3054"/>
      <c r="CG635" s="3055"/>
      <c r="CH635" s="3055"/>
      <c r="CI635" s="3055"/>
      <c r="CJ635" s="3055"/>
      <c r="CK635" s="3055"/>
      <c r="CL635" s="3055"/>
      <c r="CM635" s="3055"/>
      <c r="CN635" s="3055"/>
      <c r="CO635" s="3055"/>
      <c r="CP635" s="3055"/>
      <c r="CQ635" s="3055"/>
      <c r="CR635" s="3055"/>
      <c r="CS635" s="3055"/>
      <c r="CU635" s="3054"/>
      <c r="CV635" s="696"/>
      <c r="CW635" s="696"/>
      <c r="CZ635" s="3060">
        <f t="shared" si="17"/>
      </c>
      <c r="DA635" s="3060">
        <f t="shared" si="1"/>
      </c>
      <c r="DB635" s="3060">
        <f t="shared" si="18"/>
      </c>
      <c r="DC635" s="3060">
        <f t="shared" si="19"/>
      </c>
      <c r="DD635" s="3060">
        <f t="shared" si="20"/>
      </c>
      <c r="DE635" s="3060">
        <f t="shared" si="21"/>
      </c>
      <c r="DF635" s="3060">
        <f t="shared" si="22"/>
      </c>
      <c r="DG635" s="3060">
        <f t="shared" si="23"/>
      </c>
      <c r="DH635" s="3060">
        <f t="shared" si="24"/>
      </c>
      <c r="DI635" s="3060">
        <f t="shared" si="1"/>
      </c>
    </row>
    <row r="636" ht="15" customHeight="1" s="3052" customFormat="1">
      <c r="B636" s="3054">
        <f t="shared" si="2"/>
      </c>
      <c r="C636" s="3054"/>
      <c r="D636" s="3054"/>
      <c r="E636" s="3055"/>
      <c r="F636" s="3055"/>
      <c r="G636" s="3055"/>
      <c r="H636" s="3055"/>
      <c r="I636" s="3055"/>
      <c r="J636" s="3055"/>
      <c r="K636" s="3055"/>
      <c r="L636" s="3055"/>
      <c r="M636" s="3055"/>
      <c r="N636" s="3055"/>
      <c r="O636" s="3055"/>
      <c r="P636" s="3055"/>
      <c r="Q636" s="3055"/>
      <c r="R636" s="3055">
        <f t="shared" si="3"/>
        <v>0</v>
      </c>
      <c r="S636" s="3055">
        <f t="shared" si="4"/>
        <v>0</v>
      </c>
      <c r="T636" s="3055">
        <f t="shared" si="5"/>
        <v>0</v>
      </c>
      <c r="U636" s="3055">
        <f t="shared" si="6"/>
        <v>0</v>
      </c>
      <c r="V636" s="3055">
        <f t="shared" si="7"/>
        <v>0</v>
      </c>
      <c r="W636" s="3055">
        <f t="shared" si="8"/>
        <v>0</v>
      </c>
      <c r="X636" s="3055">
        <f t="shared" si="9"/>
        <v>0</v>
      </c>
      <c r="Y636" s="3055">
        <f t="shared" si="10"/>
        <v>0</v>
      </c>
      <c r="Z636" s="3055">
        <f t="shared" si="11"/>
        <v>0</v>
      </c>
      <c r="AA636" s="3055">
        <f t="shared" si="12"/>
        <v>0</v>
      </c>
      <c r="AB636" s="3055">
        <f t="shared" si="13"/>
        <v>0</v>
      </c>
      <c r="AC636" s="3055">
        <f t="shared" si="14"/>
        <v>0</v>
      </c>
      <c r="AD636" s="3056"/>
      <c r="AE636" s="3057">
        <f t="shared" si="0"/>
      </c>
      <c r="AF636" s="3054"/>
      <c r="AG636" s="3054"/>
      <c r="AH636" s="3055"/>
      <c r="AI636" s="3055"/>
      <c r="AJ636" s="3055"/>
      <c r="AK636" s="3055"/>
      <c r="AL636" s="3055"/>
      <c r="AM636" s="3055"/>
      <c r="AN636" s="3055"/>
      <c r="AO636" s="3055"/>
      <c r="AP636" s="3055"/>
      <c r="AQ636" s="3055"/>
      <c r="AR636" s="3055"/>
      <c r="AS636" s="3055"/>
      <c r="AT636" s="3055"/>
      <c r="AU636" s="3056"/>
      <c r="AV636" s="3057">
        <f t="shared" si="15"/>
      </c>
      <c r="AW636" s="3054"/>
      <c r="AX636" s="3054"/>
      <c r="AY636" s="3055"/>
      <c r="AZ636" s="3055"/>
      <c r="BA636" s="3055"/>
      <c r="BB636" s="3055"/>
      <c r="BC636" s="3055"/>
      <c r="BD636" s="3055"/>
      <c r="BE636" s="3055"/>
      <c r="BF636" s="3055"/>
      <c r="BG636" s="3055"/>
      <c r="BH636" s="3055"/>
      <c r="BI636" s="3055"/>
      <c r="BJ636" s="3055"/>
      <c r="BK636" s="3055"/>
      <c r="BL636" s="3056"/>
      <c r="BM636" s="3057">
        <f t="shared" si="16"/>
      </c>
      <c r="BN636" s="3054"/>
      <c r="BO636" s="3054"/>
      <c r="BP636" s="3055"/>
      <c r="BQ636" s="3055"/>
      <c r="BR636" s="3055"/>
      <c r="BS636" s="3055"/>
      <c r="BT636" s="3055"/>
      <c r="BU636" s="3055"/>
      <c r="BV636" s="3055"/>
      <c r="BW636" s="3055"/>
      <c r="BX636" s="3055"/>
      <c r="BY636" s="3055"/>
      <c r="BZ636" s="3055"/>
      <c r="CA636" s="3055"/>
      <c r="CB636" s="3055"/>
      <c r="CC636" s="3056"/>
      <c r="CD636" s="3057">
        <f t="shared" si="0"/>
      </c>
      <c r="CE636" s="3054"/>
      <c r="CF636" s="3054"/>
      <c r="CG636" s="3055"/>
      <c r="CH636" s="3055"/>
      <c r="CI636" s="3055"/>
      <c r="CJ636" s="3055"/>
      <c r="CK636" s="3055"/>
      <c r="CL636" s="3055"/>
      <c r="CM636" s="3055"/>
      <c r="CN636" s="3055"/>
      <c r="CO636" s="3055"/>
      <c r="CP636" s="3055"/>
      <c r="CQ636" s="3055"/>
      <c r="CR636" s="3055"/>
      <c r="CS636" s="3055"/>
      <c r="CU636" s="3054"/>
      <c r="CV636" s="696"/>
      <c r="CW636" s="696"/>
      <c r="CZ636" s="3060">
        <f t="shared" si="17"/>
      </c>
      <c r="DA636" s="3060">
        <f t="shared" si="1"/>
      </c>
      <c r="DB636" s="3060">
        <f t="shared" si="18"/>
      </c>
      <c r="DC636" s="3060">
        <f t="shared" si="19"/>
      </c>
      <c r="DD636" s="3060">
        <f t="shared" si="20"/>
      </c>
      <c r="DE636" s="3060">
        <f t="shared" si="21"/>
      </c>
      <c r="DF636" s="3060">
        <f t="shared" si="22"/>
      </c>
      <c r="DG636" s="3060">
        <f t="shared" si="23"/>
      </c>
      <c r="DH636" s="3060">
        <f t="shared" si="24"/>
      </c>
      <c r="DI636" s="3060">
        <f t="shared" si="1"/>
      </c>
    </row>
    <row r="637" ht="15" customHeight="1" s="3052" customFormat="1">
      <c r="B637" s="3054">
        <f t="shared" si="2"/>
      </c>
      <c r="C637" s="3054"/>
      <c r="D637" s="3054"/>
      <c r="E637" s="3055"/>
      <c r="F637" s="3055"/>
      <c r="G637" s="3055"/>
      <c r="H637" s="3055"/>
      <c r="I637" s="3055"/>
      <c r="J637" s="3055"/>
      <c r="K637" s="3055"/>
      <c r="L637" s="3055"/>
      <c r="M637" s="3055"/>
      <c r="N637" s="3055"/>
      <c r="O637" s="3055"/>
      <c r="P637" s="3055"/>
      <c r="Q637" s="3055"/>
      <c r="R637" s="3055">
        <f t="shared" si="3"/>
        <v>0</v>
      </c>
      <c r="S637" s="3055">
        <f t="shared" si="4"/>
        <v>0</v>
      </c>
      <c r="T637" s="3055">
        <f t="shared" si="5"/>
        <v>0</v>
      </c>
      <c r="U637" s="3055">
        <f t="shared" si="6"/>
        <v>0</v>
      </c>
      <c r="V637" s="3055">
        <f t="shared" si="7"/>
        <v>0</v>
      </c>
      <c r="W637" s="3055">
        <f t="shared" si="8"/>
        <v>0</v>
      </c>
      <c r="X637" s="3055">
        <f t="shared" si="9"/>
        <v>0</v>
      </c>
      <c r="Y637" s="3055">
        <f t="shared" si="10"/>
        <v>0</v>
      </c>
      <c r="Z637" s="3055">
        <f t="shared" si="11"/>
        <v>0</v>
      </c>
      <c r="AA637" s="3055">
        <f t="shared" si="12"/>
        <v>0</v>
      </c>
      <c r="AB637" s="3055">
        <f t="shared" si="13"/>
        <v>0</v>
      </c>
      <c r="AC637" s="3055">
        <f t="shared" si="14"/>
        <v>0</v>
      </c>
      <c r="AD637" s="3056"/>
      <c r="AE637" s="3057">
        <f t="shared" si="0"/>
      </c>
      <c r="AF637" s="3054"/>
      <c r="AG637" s="3054"/>
      <c r="AH637" s="3055"/>
      <c r="AI637" s="3055"/>
      <c r="AJ637" s="3055"/>
      <c r="AK637" s="3055"/>
      <c r="AL637" s="3055"/>
      <c r="AM637" s="3055"/>
      <c r="AN637" s="3055"/>
      <c r="AO637" s="3055"/>
      <c r="AP637" s="3055"/>
      <c r="AQ637" s="3055"/>
      <c r="AR637" s="3055"/>
      <c r="AS637" s="3055"/>
      <c r="AT637" s="3055"/>
      <c r="AU637" s="3056"/>
      <c r="AV637" s="3057">
        <f t="shared" si="15"/>
      </c>
      <c r="AW637" s="3054"/>
      <c r="AX637" s="3054"/>
      <c r="AY637" s="3055"/>
      <c r="AZ637" s="3055"/>
      <c r="BA637" s="3055"/>
      <c r="BB637" s="3055"/>
      <c r="BC637" s="3055"/>
      <c r="BD637" s="3055"/>
      <c r="BE637" s="3055"/>
      <c r="BF637" s="3055"/>
      <c r="BG637" s="3055"/>
      <c r="BH637" s="3055"/>
      <c r="BI637" s="3055"/>
      <c r="BJ637" s="3055"/>
      <c r="BK637" s="3055"/>
      <c r="BL637" s="3056"/>
      <c r="BM637" s="3057">
        <f t="shared" si="16"/>
      </c>
      <c r="BN637" s="3054"/>
      <c r="BO637" s="3054"/>
      <c r="BP637" s="3055"/>
      <c r="BQ637" s="3055"/>
      <c r="BR637" s="3055"/>
      <c r="BS637" s="3055"/>
      <c r="BT637" s="3055"/>
      <c r="BU637" s="3055"/>
      <c r="BV637" s="3055"/>
      <c r="BW637" s="3055"/>
      <c r="BX637" s="3055"/>
      <c r="BY637" s="3055"/>
      <c r="BZ637" s="3055"/>
      <c r="CA637" s="3055"/>
      <c r="CB637" s="3055"/>
      <c r="CC637" s="3056"/>
      <c r="CD637" s="3057">
        <f t="shared" si="0"/>
      </c>
      <c r="CE637" s="3054"/>
      <c r="CF637" s="3054"/>
      <c r="CG637" s="3055"/>
      <c r="CH637" s="3055"/>
      <c r="CI637" s="3055"/>
      <c r="CJ637" s="3055"/>
      <c r="CK637" s="3055"/>
      <c r="CL637" s="3055"/>
      <c r="CM637" s="3055"/>
      <c r="CN637" s="3055"/>
      <c r="CO637" s="3055"/>
      <c r="CP637" s="3055"/>
      <c r="CQ637" s="3055"/>
      <c r="CR637" s="3055"/>
      <c r="CS637" s="3055"/>
      <c r="CU637" s="3054"/>
      <c r="CV637" s="696"/>
      <c r="CW637" s="696"/>
      <c r="CZ637" s="3060">
        <f t="shared" si="17"/>
      </c>
      <c r="DA637" s="3060">
        <f t="shared" si="1"/>
      </c>
      <c r="DB637" s="3060">
        <f t="shared" si="18"/>
      </c>
      <c r="DC637" s="3060">
        <f t="shared" si="19"/>
      </c>
      <c r="DD637" s="3060">
        <f t="shared" si="20"/>
      </c>
      <c r="DE637" s="3060">
        <f t="shared" si="21"/>
      </c>
      <c r="DF637" s="3060">
        <f t="shared" si="22"/>
      </c>
      <c r="DG637" s="3060">
        <f t="shared" si="23"/>
      </c>
      <c r="DH637" s="3060">
        <f t="shared" si="24"/>
      </c>
      <c r="DI637" s="3060">
        <f t="shared" si="1"/>
      </c>
    </row>
    <row r="638" ht="15" customHeight="1" s="3052" customFormat="1">
      <c r="B638" s="3054">
        <f t="shared" si="2"/>
      </c>
      <c r="C638" s="3054"/>
      <c r="D638" s="3054"/>
      <c r="E638" s="3055"/>
      <c r="F638" s="3055"/>
      <c r="G638" s="3055"/>
      <c r="H638" s="3055"/>
      <c r="I638" s="3055"/>
      <c r="J638" s="3055"/>
      <c r="K638" s="3055"/>
      <c r="L638" s="3055"/>
      <c r="M638" s="3055"/>
      <c r="N638" s="3055"/>
      <c r="O638" s="3055"/>
      <c r="P638" s="3055"/>
      <c r="Q638" s="3055"/>
      <c r="R638" s="3055">
        <f t="shared" si="3"/>
        <v>0</v>
      </c>
      <c r="S638" s="3055">
        <f t="shared" si="4"/>
        <v>0</v>
      </c>
      <c r="T638" s="3055">
        <f t="shared" si="5"/>
        <v>0</v>
      </c>
      <c r="U638" s="3055">
        <f t="shared" si="6"/>
        <v>0</v>
      </c>
      <c r="V638" s="3055">
        <f t="shared" si="7"/>
        <v>0</v>
      </c>
      <c r="W638" s="3055">
        <f t="shared" si="8"/>
        <v>0</v>
      </c>
      <c r="X638" s="3055">
        <f t="shared" si="9"/>
        <v>0</v>
      </c>
      <c r="Y638" s="3055">
        <f t="shared" si="10"/>
        <v>0</v>
      </c>
      <c r="Z638" s="3055">
        <f t="shared" si="11"/>
        <v>0</v>
      </c>
      <c r="AA638" s="3055">
        <f t="shared" si="12"/>
        <v>0</v>
      </c>
      <c r="AB638" s="3055">
        <f t="shared" si="13"/>
        <v>0</v>
      </c>
      <c r="AC638" s="3055">
        <f t="shared" si="14"/>
        <v>0</v>
      </c>
      <c r="AD638" s="3056"/>
      <c r="AE638" s="3057">
        <f t="shared" si="0"/>
      </c>
      <c r="AF638" s="3054"/>
      <c r="AG638" s="3054"/>
      <c r="AH638" s="3055"/>
      <c r="AI638" s="3055"/>
      <c r="AJ638" s="3055"/>
      <c r="AK638" s="3055"/>
      <c r="AL638" s="3055"/>
      <c r="AM638" s="3055"/>
      <c r="AN638" s="3055"/>
      <c r="AO638" s="3055"/>
      <c r="AP638" s="3055"/>
      <c r="AQ638" s="3055"/>
      <c r="AR638" s="3055"/>
      <c r="AS638" s="3055"/>
      <c r="AT638" s="3055"/>
      <c r="AU638" s="3056"/>
      <c r="AV638" s="3057">
        <f t="shared" si="15"/>
      </c>
      <c r="AW638" s="3054"/>
      <c r="AX638" s="3054"/>
      <c r="AY638" s="3055"/>
      <c r="AZ638" s="3055"/>
      <c r="BA638" s="3055"/>
      <c r="BB638" s="3055"/>
      <c r="BC638" s="3055"/>
      <c r="BD638" s="3055"/>
      <c r="BE638" s="3055"/>
      <c r="BF638" s="3055"/>
      <c r="BG638" s="3055"/>
      <c r="BH638" s="3055"/>
      <c r="BI638" s="3055"/>
      <c r="BJ638" s="3055"/>
      <c r="BK638" s="3055"/>
      <c r="BL638" s="3056"/>
      <c r="BM638" s="3057">
        <f t="shared" si="16"/>
      </c>
      <c r="BN638" s="3054"/>
      <c r="BO638" s="3054"/>
      <c r="BP638" s="3055"/>
      <c r="BQ638" s="3055"/>
      <c r="BR638" s="3055"/>
      <c r="BS638" s="3055"/>
      <c r="BT638" s="3055"/>
      <c r="BU638" s="3055"/>
      <c r="BV638" s="3055"/>
      <c r="BW638" s="3055"/>
      <c r="BX638" s="3055"/>
      <c r="BY638" s="3055"/>
      <c r="BZ638" s="3055"/>
      <c r="CA638" s="3055"/>
      <c r="CB638" s="3055"/>
      <c r="CC638" s="3056"/>
      <c r="CD638" s="3057">
        <f t="shared" si="0"/>
      </c>
      <c r="CE638" s="3054"/>
      <c r="CF638" s="3054"/>
      <c r="CG638" s="3055"/>
      <c r="CH638" s="3055"/>
      <c r="CI638" s="3055"/>
      <c r="CJ638" s="3055"/>
      <c r="CK638" s="3055"/>
      <c r="CL638" s="3055"/>
      <c r="CM638" s="3055"/>
      <c r="CN638" s="3055"/>
      <c r="CO638" s="3055"/>
      <c r="CP638" s="3055"/>
      <c r="CQ638" s="3055"/>
      <c r="CR638" s="3055"/>
      <c r="CS638" s="3055"/>
      <c r="CU638" s="3054"/>
      <c r="CV638" s="696"/>
      <c r="CW638" s="696"/>
      <c r="CZ638" s="3060">
        <f t="shared" si="17"/>
      </c>
      <c r="DA638" s="3060">
        <f t="shared" si="1"/>
      </c>
      <c r="DB638" s="3060">
        <f t="shared" si="18"/>
      </c>
      <c r="DC638" s="3060">
        <f t="shared" si="19"/>
      </c>
      <c r="DD638" s="3060">
        <f t="shared" si="20"/>
      </c>
      <c r="DE638" s="3060">
        <f t="shared" si="21"/>
      </c>
      <c r="DF638" s="3060">
        <f t="shared" si="22"/>
      </c>
      <c r="DG638" s="3060">
        <f t="shared" si="23"/>
      </c>
      <c r="DH638" s="3060">
        <f t="shared" si="24"/>
      </c>
      <c r="DI638" s="3060">
        <f t="shared" si="1"/>
      </c>
    </row>
    <row r="639" ht="15" customHeight="1" s="3052" customFormat="1">
      <c r="B639" s="3054">
        <f t="shared" si="2"/>
      </c>
      <c r="C639" s="3054"/>
      <c r="D639" s="3054"/>
      <c r="E639" s="3055"/>
      <c r="F639" s="3055"/>
      <c r="G639" s="3055"/>
      <c r="H639" s="3055"/>
      <c r="I639" s="3055"/>
      <c r="J639" s="3055"/>
      <c r="K639" s="3055"/>
      <c r="L639" s="3055"/>
      <c r="M639" s="3055"/>
      <c r="N639" s="3055"/>
      <c r="O639" s="3055"/>
      <c r="P639" s="3055"/>
      <c r="Q639" s="3055"/>
      <c r="R639" s="3055">
        <f t="shared" si="3"/>
        <v>0</v>
      </c>
      <c r="S639" s="3055">
        <f t="shared" si="4"/>
        <v>0</v>
      </c>
      <c r="T639" s="3055">
        <f t="shared" si="5"/>
        <v>0</v>
      </c>
      <c r="U639" s="3055">
        <f t="shared" si="6"/>
        <v>0</v>
      </c>
      <c r="V639" s="3055">
        <f t="shared" si="7"/>
        <v>0</v>
      </c>
      <c r="W639" s="3055">
        <f t="shared" si="8"/>
        <v>0</v>
      </c>
      <c r="X639" s="3055">
        <f t="shared" si="9"/>
        <v>0</v>
      </c>
      <c r="Y639" s="3055">
        <f t="shared" si="10"/>
        <v>0</v>
      </c>
      <c r="Z639" s="3055">
        <f t="shared" si="11"/>
        <v>0</v>
      </c>
      <c r="AA639" s="3055">
        <f t="shared" si="12"/>
        <v>0</v>
      </c>
      <c r="AB639" s="3055">
        <f t="shared" si="13"/>
        <v>0</v>
      </c>
      <c r="AC639" s="3055">
        <f t="shared" si="14"/>
        <v>0</v>
      </c>
      <c r="AD639" s="3056"/>
      <c r="AE639" s="3057">
        <f t="shared" si="0"/>
      </c>
      <c r="AF639" s="3054"/>
      <c r="AG639" s="3054"/>
      <c r="AH639" s="3055"/>
      <c r="AI639" s="3055"/>
      <c r="AJ639" s="3055"/>
      <c r="AK639" s="3055"/>
      <c r="AL639" s="3055"/>
      <c r="AM639" s="3055"/>
      <c r="AN639" s="3055"/>
      <c r="AO639" s="3055"/>
      <c r="AP639" s="3055"/>
      <c r="AQ639" s="3055"/>
      <c r="AR639" s="3055"/>
      <c r="AS639" s="3055"/>
      <c r="AT639" s="3055"/>
      <c r="AU639" s="3056"/>
      <c r="AV639" s="3057">
        <f t="shared" si="15"/>
      </c>
      <c r="AW639" s="3054"/>
      <c r="AX639" s="3054"/>
      <c r="AY639" s="3055"/>
      <c r="AZ639" s="3055"/>
      <c r="BA639" s="3055"/>
      <c r="BB639" s="3055"/>
      <c r="BC639" s="3055"/>
      <c r="BD639" s="3055"/>
      <c r="BE639" s="3055"/>
      <c r="BF639" s="3055"/>
      <c r="BG639" s="3055"/>
      <c r="BH639" s="3055"/>
      <c r="BI639" s="3055"/>
      <c r="BJ639" s="3055"/>
      <c r="BK639" s="3055"/>
      <c r="BL639" s="3056"/>
      <c r="BM639" s="3057">
        <f t="shared" si="16"/>
      </c>
      <c r="BN639" s="3054"/>
      <c r="BO639" s="3054"/>
      <c r="BP639" s="3055"/>
      <c r="BQ639" s="3055"/>
      <c r="BR639" s="3055"/>
      <c r="BS639" s="3055"/>
      <c r="BT639" s="3055"/>
      <c r="BU639" s="3055"/>
      <c r="BV639" s="3055"/>
      <c r="BW639" s="3055"/>
      <c r="BX639" s="3055"/>
      <c r="BY639" s="3055"/>
      <c r="BZ639" s="3055"/>
      <c r="CA639" s="3055"/>
      <c r="CB639" s="3055"/>
      <c r="CC639" s="3056"/>
      <c r="CD639" s="3057">
        <f t="shared" si="0"/>
      </c>
      <c r="CE639" s="3054"/>
      <c r="CF639" s="3054"/>
      <c r="CG639" s="3055"/>
      <c r="CH639" s="3055"/>
      <c r="CI639" s="3055"/>
      <c r="CJ639" s="3055"/>
      <c r="CK639" s="3055"/>
      <c r="CL639" s="3055"/>
      <c r="CM639" s="3055"/>
      <c r="CN639" s="3055"/>
      <c r="CO639" s="3055"/>
      <c r="CP639" s="3055"/>
      <c r="CQ639" s="3055"/>
      <c r="CR639" s="3055"/>
      <c r="CS639" s="3055"/>
      <c r="CU639" s="3054"/>
      <c r="CV639" s="696"/>
      <c r="CW639" s="696"/>
      <c r="CZ639" s="3060">
        <f t="shared" si="17"/>
      </c>
      <c r="DA639" s="3060">
        <f t="shared" si="1"/>
      </c>
      <c r="DB639" s="3060">
        <f t="shared" si="18"/>
      </c>
      <c r="DC639" s="3060">
        <f t="shared" si="19"/>
      </c>
      <c r="DD639" s="3060">
        <f t="shared" si="20"/>
      </c>
      <c r="DE639" s="3060">
        <f t="shared" si="21"/>
      </c>
      <c r="DF639" s="3060">
        <f t="shared" si="22"/>
      </c>
      <c r="DG639" s="3060">
        <f t="shared" si="23"/>
      </c>
      <c r="DH639" s="3060">
        <f t="shared" si="24"/>
      </c>
      <c r="DI639" s="3060">
        <f t="shared" si="1"/>
      </c>
    </row>
    <row r="640" ht="15" customHeight="1" s="3052" customFormat="1">
      <c r="B640" s="3054">
        <f t="shared" si="2"/>
      </c>
      <c r="C640" s="3054"/>
      <c r="D640" s="3054"/>
      <c r="E640" s="3055"/>
      <c r="F640" s="3055"/>
      <c r="G640" s="3055"/>
      <c r="H640" s="3055"/>
      <c r="I640" s="3055"/>
      <c r="J640" s="3055"/>
      <c r="K640" s="3055"/>
      <c r="L640" s="3055"/>
      <c r="M640" s="3055"/>
      <c r="N640" s="3055"/>
      <c r="O640" s="3055"/>
      <c r="P640" s="3055"/>
      <c r="Q640" s="3055"/>
      <c r="R640" s="3055">
        <f t="shared" si="3"/>
        <v>0</v>
      </c>
      <c r="S640" s="3055">
        <f t="shared" si="4"/>
        <v>0</v>
      </c>
      <c r="T640" s="3055">
        <f t="shared" si="5"/>
        <v>0</v>
      </c>
      <c r="U640" s="3055">
        <f t="shared" si="6"/>
        <v>0</v>
      </c>
      <c r="V640" s="3055">
        <f t="shared" si="7"/>
        <v>0</v>
      </c>
      <c r="W640" s="3055">
        <f t="shared" si="8"/>
        <v>0</v>
      </c>
      <c r="X640" s="3055">
        <f t="shared" si="9"/>
        <v>0</v>
      </c>
      <c r="Y640" s="3055">
        <f t="shared" si="10"/>
        <v>0</v>
      </c>
      <c r="Z640" s="3055">
        <f t="shared" si="11"/>
        <v>0</v>
      </c>
      <c r="AA640" s="3055">
        <f t="shared" si="12"/>
        <v>0</v>
      </c>
      <c r="AB640" s="3055">
        <f t="shared" si="13"/>
        <v>0</v>
      </c>
      <c r="AC640" s="3055">
        <f t="shared" si="14"/>
        <v>0</v>
      </c>
      <c r="AD640" s="3056"/>
      <c r="AE640" s="3057">
        <f t="shared" si="0"/>
      </c>
      <c r="AF640" s="3054"/>
      <c r="AG640" s="3054"/>
      <c r="AH640" s="3055"/>
      <c r="AI640" s="3055"/>
      <c r="AJ640" s="3055"/>
      <c r="AK640" s="3055"/>
      <c r="AL640" s="3055"/>
      <c r="AM640" s="3055"/>
      <c r="AN640" s="3055"/>
      <c r="AO640" s="3055"/>
      <c r="AP640" s="3055"/>
      <c r="AQ640" s="3055"/>
      <c r="AR640" s="3055"/>
      <c r="AS640" s="3055"/>
      <c r="AT640" s="3055"/>
      <c r="AU640" s="3056"/>
      <c r="AV640" s="3057">
        <f t="shared" si="15"/>
      </c>
      <c r="AW640" s="3054"/>
      <c r="AX640" s="3054"/>
      <c r="AY640" s="3055"/>
      <c r="AZ640" s="3055"/>
      <c r="BA640" s="3055"/>
      <c r="BB640" s="3055"/>
      <c r="BC640" s="3055"/>
      <c r="BD640" s="3055"/>
      <c r="BE640" s="3055"/>
      <c r="BF640" s="3055"/>
      <c r="BG640" s="3055"/>
      <c r="BH640" s="3055"/>
      <c r="BI640" s="3055"/>
      <c r="BJ640" s="3055"/>
      <c r="BK640" s="3055"/>
      <c r="BL640" s="3056"/>
      <c r="BM640" s="3057">
        <f t="shared" si="16"/>
      </c>
      <c r="BN640" s="3054"/>
      <c r="BO640" s="3054"/>
      <c r="BP640" s="3055"/>
      <c r="BQ640" s="3055"/>
      <c r="BR640" s="3055"/>
      <c r="BS640" s="3055"/>
      <c r="BT640" s="3055"/>
      <c r="BU640" s="3055"/>
      <c r="BV640" s="3055"/>
      <c r="BW640" s="3055"/>
      <c r="BX640" s="3055"/>
      <c r="BY640" s="3055"/>
      <c r="BZ640" s="3055"/>
      <c r="CA640" s="3055"/>
      <c r="CB640" s="3055"/>
      <c r="CC640" s="3056"/>
      <c r="CD640" s="3057">
        <f t="shared" si="0"/>
      </c>
      <c r="CE640" s="3054"/>
      <c r="CF640" s="3054"/>
      <c r="CG640" s="3055"/>
      <c r="CH640" s="3055"/>
      <c r="CI640" s="3055"/>
      <c r="CJ640" s="3055"/>
      <c r="CK640" s="3055"/>
      <c r="CL640" s="3055"/>
      <c r="CM640" s="3055"/>
      <c r="CN640" s="3055"/>
      <c r="CO640" s="3055"/>
      <c r="CP640" s="3055"/>
      <c r="CQ640" s="3055"/>
      <c r="CR640" s="3055"/>
      <c r="CS640" s="3055"/>
      <c r="CU640" s="3054"/>
      <c r="CV640" s="696"/>
      <c r="CW640" s="696"/>
      <c r="CZ640" s="3060">
        <f t="shared" si="17"/>
      </c>
      <c r="DA640" s="3060">
        <f t="shared" si="1"/>
      </c>
      <c r="DB640" s="3060">
        <f t="shared" si="18"/>
      </c>
      <c r="DC640" s="3060">
        <f t="shared" si="19"/>
      </c>
      <c r="DD640" s="3060">
        <f t="shared" si="20"/>
      </c>
      <c r="DE640" s="3060">
        <f t="shared" si="21"/>
      </c>
      <c r="DF640" s="3060">
        <f t="shared" si="22"/>
      </c>
      <c r="DG640" s="3060">
        <f t="shared" si="23"/>
      </c>
      <c r="DH640" s="3060">
        <f t="shared" si="24"/>
      </c>
      <c r="DI640" s="3060">
        <f t="shared" si="1"/>
      </c>
    </row>
    <row r="641" ht="15" customHeight="1" s="3052" customFormat="1">
      <c r="B641" s="3054">
        <f t="shared" si="2"/>
      </c>
      <c r="C641" s="3054"/>
      <c r="D641" s="3054"/>
      <c r="E641" s="3055"/>
      <c r="F641" s="3055"/>
      <c r="G641" s="3055"/>
      <c r="H641" s="3055"/>
      <c r="I641" s="3055"/>
      <c r="J641" s="3055"/>
      <c r="K641" s="3055"/>
      <c r="L641" s="3055"/>
      <c r="M641" s="3055"/>
      <c r="N641" s="3055"/>
      <c r="O641" s="3055"/>
      <c r="P641" s="3055"/>
      <c r="Q641" s="3055"/>
      <c r="R641" s="3055">
        <f t="shared" si="3"/>
        <v>0</v>
      </c>
      <c r="S641" s="3055">
        <f t="shared" si="4"/>
        <v>0</v>
      </c>
      <c r="T641" s="3055">
        <f t="shared" si="5"/>
        <v>0</v>
      </c>
      <c r="U641" s="3055">
        <f t="shared" si="6"/>
        <v>0</v>
      </c>
      <c r="V641" s="3055">
        <f t="shared" si="7"/>
        <v>0</v>
      </c>
      <c r="W641" s="3055">
        <f t="shared" si="8"/>
        <v>0</v>
      </c>
      <c r="X641" s="3055">
        <f t="shared" si="9"/>
        <v>0</v>
      </c>
      <c r="Y641" s="3055">
        <f t="shared" si="10"/>
        <v>0</v>
      </c>
      <c r="Z641" s="3055">
        <f t="shared" si="11"/>
        <v>0</v>
      </c>
      <c r="AA641" s="3055">
        <f t="shared" si="12"/>
        <v>0</v>
      </c>
      <c r="AB641" s="3055">
        <f t="shared" si="13"/>
        <v>0</v>
      </c>
      <c r="AC641" s="3055">
        <f t="shared" si="14"/>
        <v>0</v>
      </c>
      <c r="AD641" s="3056"/>
      <c r="AE641" s="3057">
        <f t="shared" si="0"/>
      </c>
      <c r="AF641" s="3054"/>
      <c r="AG641" s="3054"/>
      <c r="AH641" s="3055"/>
      <c r="AI641" s="3055"/>
      <c r="AJ641" s="3055"/>
      <c r="AK641" s="3055"/>
      <c r="AL641" s="3055"/>
      <c r="AM641" s="3055"/>
      <c r="AN641" s="3055"/>
      <c r="AO641" s="3055"/>
      <c r="AP641" s="3055"/>
      <c r="AQ641" s="3055"/>
      <c r="AR641" s="3055"/>
      <c r="AS641" s="3055"/>
      <c r="AT641" s="3055"/>
      <c r="AU641" s="3056"/>
      <c r="AV641" s="3057">
        <f t="shared" si="15"/>
      </c>
      <c r="AW641" s="3054"/>
      <c r="AX641" s="3054"/>
      <c r="AY641" s="3055"/>
      <c r="AZ641" s="3055"/>
      <c r="BA641" s="3055"/>
      <c r="BB641" s="3055"/>
      <c r="BC641" s="3055"/>
      <c r="BD641" s="3055"/>
      <c r="BE641" s="3055"/>
      <c r="BF641" s="3055"/>
      <c r="BG641" s="3055"/>
      <c r="BH641" s="3055"/>
      <c r="BI641" s="3055"/>
      <c r="BJ641" s="3055"/>
      <c r="BK641" s="3055"/>
      <c r="BL641" s="3056"/>
      <c r="BM641" s="3057">
        <f t="shared" si="16"/>
      </c>
      <c r="BN641" s="3054"/>
      <c r="BO641" s="3054"/>
      <c r="BP641" s="3055"/>
      <c r="BQ641" s="3055"/>
      <c r="BR641" s="3055"/>
      <c r="BS641" s="3055"/>
      <c r="BT641" s="3055"/>
      <c r="BU641" s="3055"/>
      <c r="BV641" s="3055"/>
      <c r="BW641" s="3055"/>
      <c r="BX641" s="3055"/>
      <c r="BY641" s="3055"/>
      <c r="BZ641" s="3055"/>
      <c r="CA641" s="3055"/>
      <c r="CB641" s="3055"/>
      <c r="CC641" s="3056"/>
      <c r="CD641" s="3057">
        <f t="shared" si="0"/>
      </c>
      <c r="CE641" s="3054"/>
      <c r="CF641" s="3054"/>
      <c r="CG641" s="3055"/>
      <c r="CH641" s="3055"/>
      <c r="CI641" s="3055"/>
      <c r="CJ641" s="3055"/>
      <c r="CK641" s="3055"/>
      <c r="CL641" s="3055"/>
      <c r="CM641" s="3055"/>
      <c r="CN641" s="3055"/>
      <c r="CO641" s="3055"/>
      <c r="CP641" s="3055"/>
      <c r="CQ641" s="3055"/>
      <c r="CR641" s="3055"/>
      <c r="CS641" s="3055"/>
      <c r="CU641" s="3054"/>
      <c r="CV641" s="696"/>
      <c r="CW641" s="696"/>
      <c r="CZ641" s="3060">
        <f t="shared" si="17"/>
      </c>
      <c r="DA641" s="3060">
        <f t="shared" si="1"/>
      </c>
      <c r="DB641" s="3060">
        <f t="shared" si="18"/>
      </c>
      <c r="DC641" s="3060">
        <f t="shared" si="19"/>
      </c>
      <c r="DD641" s="3060">
        <f t="shared" si="20"/>
      </c>
      <c r="DE641" s="3060">
        <f t="shared" si="21"/>
      </c>
      <c r="DF641" s="3060">
        <f t="shared" si="22"/>
      </c>
      <c r="DG641" s="3060">
        <f t="shared" si="23"/>
      </c>
      <c r="DH641" s="3060">
        <f t="shared" si="24"/>
      </c>
      <c r="DI641" s="3060">
        <f t="shared" si="1"/>
      </c>
    </row>
    <row r="642" ht="15" customHeight="1" s="3052" customFormat="1">
      <c r="B642" s="3054">
        <f t="shared" si="2"/>
      </c>
      <c r="C642" s="3054"/>
      <c r="D642" s="3054"/>
      <c r="E642" s="3055"/>
      <c r="F642" s="3055"/>
      <c r="G642" s="3055"/>
      <c r="H642" s="3055"/>
      <c r="I642" s="3055"/>
      <c r="J642" s="3055"/>
      <c r="K642" s="3055"/>
      <c r="L642" s="3055"/>
      <c r="M642" s="3055"/>
      <c r="N642" s="3055"/>
      <c r="O642" s="3055"/>
      <c r="P642" s="3055"/>
      <c r="Q642" s="3055"/>
      <c r="R642" s="3055">
        <f t="shared" si="3"/>
        <v>0</v>
      </c>
      <c r="S642" s="3055">
        <f t="shared" si="4"/>
        <v>0</v>
      </c>
      <c r="T642" s="3055">
        <f t="shared" si="5"/>
        <v>0</v>
      </c>
      <c r="U642" s="3055">
        <f t="shared" si="6"/>
        <v>0</v>
      </c>
      <c r="V642" s="3055">
        <f t="shared" si="7"/>
        <v>0</v>
      </c>
      <c r="W642" s="3055">
        <f t="shared" si="8"/>
        <v>0</v>
      </c>
      <c r="X642" s="3055">
        <f t="shared" si="9"/>
        <v>0</v>
      </c>
      <c r="Y642" s="3055">
        <f t="shared" si="10"/>
        <v>0</v>
      </c>
      <c r="Z642" s="3055">
        <f t="shared" si="11"/>
        <v>0</v>
      </c>
      <c r="AA642" s="3055">
        <f t="shared" si="12"/>
        <v>0</v>
      </c>
      <c r="AB642" s="3055">
        <f t="shared" si="13"/>
        <v>0</v>
      </c>
      <c r="AC642" s="3055">
        <f t="shared" si="14"/>
        <v>0</v>
      </c>
      <c r="AD642" s="3056"/>
      <c r="AE642" s="3057">
        <f t="shared" si="0"/>
      </c>
      <c r="AF642" s="3054"/>
      <c r="AG642" s="3054"/>
      <c r="AH642" s="3055"/>
      <c r="AI642" s="3055"/>
      <c r="AJ642" s="3055"/>
      <c r="AK642" s="3055"/>
      <c r="AL642" s="3055"/>
      <c r="AM642" s="3055"/>
      <c r="AN642" s="3055"/>
      <c r="AO642" s="3055"/>
      <c r="AP642" s="3055"/>
      <c r="AQ642" s="3055"/>
      <c r="AR642" s="3055"/>
      <c r="AS642" s="3055"/>
      <c r="AT642" s="3055"/>
      <c r="AU642" s="3056"/>
      <c r="AV642" s="3057">
        <f t="shared" si="15"/>
      </c>
      <c r="AW642" s="3054"/>
      <c r="AX642" s="3054"/>
      <c r="AY642" s="3055"/>
      <c r="AZ642" s="3055"/>
      <c r="BA642" s="3055"/>
      <c r="BB642" s="3055"/>
      <c r="BC642" s="3055"/>
      <c r="BD642" s="3055"/>
      <c r="BE642" s="3055"/>
      <c r="BF642" s="3055"/>
      <c r="BG642" s="3055"/>
      <c r="BH642" s="3055"/>
      <c r="BI642" s="3055"/>
      <c r="BJ642" s="3055"/>
      <c r="BK642" s="3055"/>
      <c r="BL642" s="3056"/>
      <c r="BM642" s="3057">
        <f t="shared" si="16"/>
      </c>
      <c r="BN642" s="3054"/>
      <c r="BO642" s="3054"/>
      <c r="BP642" s="3055"/>
      <c r="BQ642" s="3055"/>
      <c r="BR642" s="3055"/>
      <c r="BS642" s="3055"/>
      <c r="BT642" s="3055"/>
      <c r="BU642" s="3055"/>
      <c r="BV642" s="3055"/>
      <c r="BW642" s="3055"/>
      <c r="BX642" s="3055"/>
      <c r="BY642" s="3055"/>
      <c r="BZ642" s="3055"/>
      <c r="CA642" s="3055"/>
      <c r="CB642" s="3055"/>
      <c r="CC642" s="3056"/>
      <c r="CD642" s="3057">
        <f t="shared" si="0"/>
      </c>
      <c r="CE642" s="3054"/>
      <c r="CF642" s="3054"/>
      <c r="CG642" s="3055"/>
      <c r="CH642" s="3055"/>
      <c r="CI642" s="3055"/>
      <c r="CJ642" s="3055"/>
      <c r="CK642" s="3055"/>
      <c r="CL642" s="3055"/>
      <c r="CM642" s="3055"/>
      <c r="CN642" s="3055"/>
      <c r="CO642" s="3055"/>
      <c r="CP642" s="3055"/>
      <c r="CQ642" s="3055"/>
      <c r="CR642" s="3055"/>
      <c r="CS642" s="3055"/>
      <c r="CU642" s="3054"/>
      <c r="CV642" s="696"/>
      <c r="CW642" s="696"/>
      <c r="CZ642" s="3060">
        <f t="shared" si="17"/>
      </c>
      <c r="DA642" s="3060">
        <f t="shared" si="1"/>
      </c>
      <c r="DB642" s="3060">
        <f t="shared" si="18"/>
      </c>
      <c r="DC642" s="3060">
        <f t="shared" si="19"/>
      </c>
      <c r="DD642" s="3060">
        <f t="shared" si="20"/>
      </c>
      <c r="DE642" s="3060">
        <f t="shared" si="21"/>
      </c>
      <c r="DF642" s="3060">
        <f t="shared" si="22"/>
      </c>
      <c r="DG642" s="3060">
        <f t="shared" si="23"/>
      </c>
      <c r="DH642" s="3060">
        <f t="shared" si="24"/>
      </c>
      <c r="DI642" s="3060">
        <f t="shared" si="1"/>
      </c>
    </row>
    <row r="643" ht="15" customHeight="1" s="3052" customFormat="1">
      <c r="B643" s="3054">
        <f t="shared" si="2"/>
      </c>
      <c r="C643" s="3054"/>
      <c r="D643" s="3054"/>
      <c r="E643" s="3055"/>
      <c r="F643" s="3055"/>
      <c r="G643" s="3055"/>
      <c r="H643" s="3055"/>
      <c r="I643" s="3055"/>
      <c r="J643" s="3055"/>
      <c r="K643" s="3055"/>
      <c r="L643" s="3055"/>
      <c r="M643" s="3055"/>
      <c r="N643" s="3055"/>
      <c r="O643" s="3055"/>
      <c r="P643" s="3055"/>
      <c r="Q643" s="3055"/>
      <c r="R643" s="3055">
        <f t="shared" si="3"/>
        <v>0</v>
      </c>
      <c r="S643" s="3055">
        <f t="shared" si="4"/>
        <v>0</v>
      </c>
      <c r="T643" s="3055">
        <f t="shared" si="5"/>
        <v>0</v>
      </c>
      <c r="U643" s="3055">
        <f t="shared" si="6"/>
        <v>0</v>
      </c>
      <c r="V643" s="3055">
        <f t="shared" si="7"/>
        <v>0</v>
      </c>
      <c r="W643" s="3055">
        <f t="shared" si="8"/>
        <v>0</v>
      </c>
      <c r="X643" s="3055">
        <f t="shared" si="9"/>
        <v>0</v>
      </c>
      <c r="Y643" s="3055">
        <f t="shared" si="10"/>
        <v>0</v>
      </c>
      <c r="Z643" s="3055">
        <f t="shared" si="11"/>
        <v>0</v>
      </c>
      <c r="AA643" s="3055">
        <f t="shared" si="12"/>
        <v>0</v>
      </c>
      <c r="AB643" s="3055">
        <f t="shared" si="13"/>
        <v>0</v>
      </c>
      <c r="AC643" s="3055">
        <f t="shared" si="14"/>
        <v>0</v>
      </c>
      <c r="AD643" s="3056"/>
      <c r="AE643" s="3057">
        <f t="shared" si="0"/>
      </c>
      <c r="AF643" s="3054"/>
      <c r="AG643" s="3054"/>
      <c r="AH643" s="3055"/>
      <c r="AI643" s="3055"/>
      <c r="AJ643" s="3055"/>
      <c r="AK643" s="3055"/>
      <c r="AL643" s="3055"/>
      <c r="AM643" s="3055"/>
      <c r="AN643" s="3055"/>
      <c r="AO643" s="3055"/>
      <c r="AP643" s="3055"/>
      <c r="AQ643" s="3055"/>
      <c r="AR643" s="3055"/>
      <c r="AS643" s="3055"/>
      <c r="AT643" s="3055"/>
      <c r="AU643" s="3056"/>
      <c r="AV643" s="3057">
        <f t="shared" si="15"/>
      </c>
      <c r="AW643" s="3054"/>
      <c r="AX643" s="3054"/>
      <c r="AY643" s="3055"/>
      <c r="AZ643" s="3055"/>
      <c r="BA643" s="3055"/>
      <c r="BB643" s="3055"/>
      <c r="BC643" s="3055"/>
      <c r="BD643" s="3055"/>
      <c r="BE643" s="3055"/>
      <c r="BF643" s="3055"/>
      <c r="BG643" s="3055"/>
      <c r="BH643" s="3055"/>
      <c r="BI643" s="3055"/>
      <c r="BJ643" s="3055"/>
      <c r="BK643" s="3055"/>
      <c r="BL643" s="3056"/>
      <c r="BM643" s="3057">
        <f t="shared" si="16"/>
      </c>
      <c r="BN643" s="3054"/>
      <c r="BO643" s="3054"/>
      <c r="BP643" s="3055"/>
      <c r="BQ643" s="3055"/>
      <c r="BR643" s="3055"/>
      <c r="BS643" s="3055"/>
      <c r="BT643" s="3055"/>
      <c r="BU643" s="3055"/>
      <c r="BV643" s="3055"/>
      <c r="BW643" s="3055"/>
      <c r="BX643" s="3055"/>
      <c r="BY643" s="3055"/>
      <c r="BZ643" s="3055"/>
      <c r="CA643" s="3055"/>
      <c r="CB643" s="3055"/>
      <c r="CC643" s="3056"/>
      <c r="CD643" s="3057">
        <f t="shared" si="0"/>
      </c>
      <c r="CE643" s="3054"/>
      <c r="CF643" s="3054"/>
      <c r="CG643" s="3055"/>
      <c r="CH643" s="3055"/>
      <c r="CI643" s="3055"/>
      <c r="CJ643" s="3055"/>
      <c r="CK643" s="3055"/>
      <c r="CL643" s="3055"/>
      <c r="CM643" s="3055"/>
      <c r="CN643" s="3055"/>
      <c r="CO643" s="3055"/>
      <c r="CP643" s="3055"/>
      <c r="CQ643" s="3055"/>
      <c r="CR643" s="3055"/>
      <c r="CS643" s="3055"/>
      <c r="CU643" s="3054"/>
      <c r="CV643" s="696"/>
      <c r="CW643" s="696"/>
      <c r="CZ643" s="3060">
        <f t="shared" si="17"/>
      </c>
      <c r="DA643" s="3060">
        <f t="shared" si="1"/>
      </c>
      <c r="DB643" s="3060">
        <f t="shared" si="18"/>
      </c>
      <c r="DC643" s="3060">
        <f t="shared" si="19"/>
      </c>
      <c r="DD643" s="3060">
        <f t="shared" si="20"/>
      </c>
      <c r="DE643" s="3060">
        <f t="shared" si="21"/>
      </c>
      <c r="DF643" s="3060">
        <f t="shared" si="22"/>
      </c>
      <c r="DG643" s="3060">
        <f t="shared" si="23"/>
      </c>
      <c r="DH643" s="3060">
        <f t="shared" si="24"/>
      </c>
      <c r="DI643" s="3060">
        <f t="shared" si="1"/>
      </c>
    </row>
    <row r="644" ht="15" customHeight="1" s="3052" customFormat="1">
      <c r="B644" s="3054">
        <f t="shared" si="2"/>
      </c>
      <c r="C644" s="3054"/>
      <c r="D644" s="3054"/>
      <c r="E644" s="3055"/>
      <c r="F644" s="3055"/>
      <c r="G644" s="3055"/>
      <c r="H644" s="3055"/>
      <c r="I644" s="3055"/>
      <c r="J644" s="3055"/>
      <c r="K644" s="3055"/>
      <c r="L644" s="3055"/>
      <c r="M644" s="3055"/>
      <c r="N644" s="3055"/>
      <c r="O644" s="3055"/>
      <c r="P644" s="3055"/>
      <c r="Q644" s="3055"/>
      <c r="R644" s="3055">
        <f t="shared" si="3"/>
        <v>0</v>
      </c>
      <c r="S644" s="3055">
        <f t="shared" si="4"/>
        <v>0</v>
      </c>
      <c r="T644" s="3055">
        <f t="shared" si="5"/>
        <v>0</v>
      </c>
      <c r="U644" s="3055">
        <f t="shared" si="6"/>
        <v>0</v>
      </c>
      <c r="V644" s="3055">
        <f t="shared" si="7"/>
        <v>0</v>
      </c>
      <c r="W644" s="3055">
        <f t="shared" si="8"/>
        <v>0</v>
      </c>
      <c r="X644" s="3055">
        <f t="shared" si="9"/>
        <v>0</v>
      </c>
      <c r="Y644" s="3055">
        <f t="shared" si="10"/>
        <v>0</v>
      </c>
      <c r="Z644" s="3055">
        <f t="shared" si="11"/>
        <v>0</v>
      </c>
      <c r="AA644" s="3055">
        <f t="shared" si="12"/>
        <v>0</v>
      </c>
      <c r="AB644" s="3055">
        <f t="shared" si="13"/>
        <v>0</v>
      </c>
      <c r="AC644" s="3055">
        <f t="shared" si="14"/>
        <v>0</v>
      </c>
      <c r="AD644" s="3056"/>
      <c r="AE644" s="3057">
        <f t="shared" si="0"/>
      </c>
      <c r="AF644" s="3054"/>
      <c r="AG644" s="3054"/>
      <c r="AH644" s="3055"/>
      <c r="AI644" s="3055"/>
      <c r="AJ644" s="3055"/>
      <c r="AK644" s="3055"/>
      <c r="AL644" s="3055"/>
      <c r="AM644" s="3055"/>
      <c r="AN644" s="3055"/>
      <c r="AO644" s="3055"/>
      <c r="AP644" s="3055"/>
      <c r="AQ644" s="3055"/>
      <c r="AR644" s="3055"/>
      <c r="AS644" s="3055"/>
      <c r="AT644" s="3055"/>
      <c r="AU644" s="3056"/>
      <c r="AV644" s="3057">
        <f t="shared" si="15"/>
      </c>
      <c r="AW644" s="3054"/>
      <c r="AX644" s="3054"/>
      <c r="AY644" s="3055"/>
      <c r="AZ644" s="3055"/>
      <c r="BA644" s="3055"/>
      <c r="BB644" s="3055"/>
      <c r="BC644" s="3055"/>
      <c r="BD644" s="3055"/>
      <c r="BE644" s="3055"/>
      <c r="BF644" s="3055"/>
      <c r="BG644" s="3055"/>
      <c r="BH644" s="3055"/>
      <c r="BI644" s="3055"/>
      <c r="BJ644" s="3055"/>
      <c r="BK644" s="3055"/>
      <c r="BL644" s="3056"/>
      <c r="BM644" s="3057">
        <f t="shared" si="16"/>
      </c>
      <c r="BN644" s="3054"/>
      <c r="BO644" s="3054"/>
      <c r="BP644" s="3055"/>
      <c r="BQ644" s="3055"/>
      <c r="BR644" s="3055"/>
      <c r="BS644" s="3055"/>
      <c r="BT644" s="3055"/>
      <c r="BU644" s="3055"/>
      <c r="BV644" s="3055"/>
      <c r="BW644" s="3055"/>
      <c r="BX644" s="3055"/>
      <c r="BY644" s="3055"/>
      <c r="BZ644" s="3055"/>
      <c r="CA644" s="3055"/>
      <c r="CB644" s="3055"/>
      <c r="CC644" s="3056"/>
      <c r="CD644" s="3057">
        <f t="shared" si="0"/>
      </c>
      <c r="CE644" s="3054"/>
      <c r="CF644" s="3054"/>
      <c r="CG644" s="3055"/>
      <c r="CH644" s="3055"/>
      <c r="CI644" s="3055"/>
      <c r="CJ644" s="3055"/>
      <c r="CK644" s="3055"/>
      <c r="CL644" s="3055"/>
      <c r="CM644" s="3055"/>
      <c r="CN644" s="3055"/>
      <c r="CO644" s="3055"/>
      <c r="CP644" s="3055"/>
      <c r="CQ644" s="3055"/>
      <c r="CR644" s="3055"/>
      <c r="CS644" s="3055"/>
      <c r="CU644" s="3054"/>
      <c r="CV644" s="696"/>
      <c r="CW644" s="696"/>
      <c r="CZ644" s="3060">
        <f t="shared" si="17"/>
      </c>
      <c r="DA644" s="3060">
        <f t="shared" si="1"/>
      </c>
      <c r="DB644" s="3060">
        <f t="shared" si="18"/>
      </c>
      <c r="DC644" s="3060">
        <f t="shared" si="19"/>
      </c>
      <c r="DD644" s="3060">
        <f t="shared" si="20"/>
      </c>
      <c r="DE644" s="3060">
        <f t="shared" si="21"/>
      </c>
      <c r="DF644" s="3060">
        <f t="shared" si="22"/>
      </c>
      <c r="DG644" s="3060">
        <f t="shared" si="23"/>
      </c>
      <c r="DH644" s="3060">
        <f t="shared" si="24"/>
      </c>
      <c r="DI644" s="3060">
        <f t="shared" si="1"/>
      </c>
    </row>
    <row r="645" ht="15" customHeight="1" s="3052" customFormat="1">
      <c r="B645" s="3054">
        <f t="shared" si="2"/>
      </c>
      <c r="C645" s="3054"/>
      <c r="D645" s="3054"/>
      <c r="E645" s="3055"/>
      <c r="F645" s="3055"/>
      <c r="G645" s="3055"/>
      <c r="H645" s="3055"/>
      <c r="I645" s="3055"/>
      <c r="J645" s="3055"/>
      <c r="K645" s="3055"/>
      <c r="L645" s="3055"/>
      <c r="M645" s="3055"/>
      <c r="N645" s="3055"/>
      <c r="O645" s="3055"/>
      <c r="P645" s="3055"/>
      <c r="Q645" s="3055"/>
      <c r="R645" s="3055">
        <f t="shared" si="3"/>
        <v>0</v>
      </c>
      <c r="S645" s="3055">
        <f t="shared" si="4"/>
        <v>0</v>
      </c>
      <c r="T645" s="3055">
        <f t="shared" si="5"/>
        <v>0</v>
      </c>
      <c r="U645" s="3055">
        <f t="shared" si="6"/>
        <v>0</v>
      </c>
      <c r="V645" s="3055">
        <f t="shared" si="7"/>
        <v>0</v>
      </c>
      <c r="W645" s="3055">
        <f t="shared" si="8"/>
        <v>0</v>
      </c>
      <c r="X645" s="3055">
        <f t="shared" si="9"/>
        <v>0</v>
      </c>
      <c r="Y645" s="3055">
        <f t="shared" si="10"/>
        <v>0</v>
      </c>
      <c r="Z645" s="3055">
        <f t="shared" si="11"/>
        <v>0</v>
      </c>
      <c r="AA645" s="3055">
        <f t="shared" si="12"/>
        <v>0</v>
      </c>
      <c r="AB645" s="3055">
        <f t="shared" si="13"/>
        <v>0</v>
      </c>
      <c r="AC645" s="3055">
        <f t="shared" si="14"/>
        <v>0</v>
      </c>
      <c r="AD645" s="3056"/>
      <c r="AE645" s="3057">
        <f t="shared" si="0"/>
      </c>
      <c r="AF645" s="3054"/>
      <c r="AG645" s="3054"/>
      <c r="AH645" s="3055"/>
      <c r="AI645" s="3055"/>
      <c r="AJ645" s="3055"/>
      <c r="AK645" s="3055"/>
      <c r="AL645" s="3055"/>
      <c r="AM645" s="3055"/>
      <c r="AN645" s="3055"/>
      <c r="AO645" s="3055"/>
      <c r="AP645" s="3055"/>
      <c r="AQ645" s="3055"/>
      <c r="AR645" s="3055"/>
      <c r="AS645" s="3055"/>
      <c r="AT645" s="3055"/>
      <c r="AU645" s="3056"/>
      <c r="AV645" s="3057">
        <f t="shared" si="15"/>
      </c>
      <c r="AW645" s="3054"/>
      <c r="AX645" s="3054"/>
      <c r="AY645" s="3055"/>
      <c r="AZ645" s="3055"/>
      <c r="BA645" s="3055"/>
      <c r="BB645" s="3055"/>
      <c r="BC645" s="3055"/>
      <c r="BD645" s="3055"/>
      <c r="BE645" s="3055"/>
      <c r="BF645" s="3055"/>
      <c r="BG645" s="3055"/>
      <c r="BH645" s="3055"/>
      <c r="BI645" s="3055"/>
      <c r="BJ645" s="3055"/>
      <c r="BK645" s="3055"/>
      <c r="BL645" s="3056"/>
      <c r="BM645" s="3057">
        <f t="shared" si="16"/>
      </c>
      <c r="BN645" s="3054"/>
      <c r="BO645" s="3054"/>
      <c r="BP645" s="3055"/>
      <c r="BQ645" s="3055"/>
      <c r="BR645" s="3055"/>
      <c r="BS645" s="3055"/>
      <c r="BT645" s="3055"/>
      <c r="BU645" s="3055"/>
      <c r="BV645" s="3055"/>
      <c r="BW645" s="3055"/>
      <c r="BX645" s="3055"/>
      <c r="BY645" s="3055"/>
      <c r="BZ645" s="3055"/>
      <c r="CA645" s="3055"/>
      <c r="CB645" s="3055"/>
      <c r="CC645" s="3056"/>
      <c r="CD645" s="3057">
        <f t="shared" si="0"/>
      </c>
      <c r="CE645" s="3054"/>
      <c r="CF645" s="3054"/>
      <c r="CG645" s="3055"/>
      <c r="CH645" s="3055"/>
      <c r="CI645" s="3055"/>
      <c r="CJ645" s="3055"/>
      <c r="CK645" s="3055"/>
      <c r="CL645" s="3055"/>
      <c r="CM645" s="3055"/>
      <c r="CN645" s="3055"/>
      <c r="CO645" s="3055"/>
      <c r="CP645" s="3055"/>
      <c r="CQ645" s="3055"/>
      <c r="CR645" s="3055"/>
      <c r="CS645" s="3055"/>
      <c r="CU645" s="3054"/>
      <c r="CV645" s="696"/>
      <c r="CW645" s="696"/>
      <c r="CZ645" s="3060">
        <f t="shared" si="17"/>
      </c>
      <c r="DA645" s="3060">
        <f t="shared" si="1"/>
      </c>
      <c r="DB645" s="3060">
        <f t="shared" si="18"/>
      </c>
      <c r="DC645" s="3060">
        <f t="shared" si="19"/>
      </c>
      <c r="DD645" s="3060">
        <f t="shared" si="20"/>
      </c>
      <c r="DE645" s="3060">
        <f t="shared" si="21"/>
      </c>
      <c r="DF645" s="3060">
        <f t="shared" si="22"/>
      </c>
      <c r="DG645" s="3060">
        <f t="shared" si="23"/>
      </c>
      <c r="DH645" s="3060">
        <f t="shared" si="24"/>
      </c>
      <c r="DI645" s="3060">
        <f t="shared" si="1"/>
      </c>
    </row>
    <row r="646" ht="15" customHeight="1" s="3052" customFormat="1">
      <c r="B646" s="3054">
        <f t="shared" si="2"/>
      </c>
      <c r="C646" s="3054"/>
      <c r="D646" s="3054"/>
      <c r="E646" s="3055"/>
      <c r="F646" s="3055"/>
      <c r="G646" s="3055"/>
      <c r="H646" s="3055"/>
      <c r="I646" s="3055"/>
      <c r="J646" s="3055"/>
      <c r="K646" s="3055"/>
      <c r="L646" s="3055"/>
      <c r="M646" s="3055"/>
      <c r="N646" s="3055"/>
      <c r="O646" s="3055"/>
      <c r="P646" s="3055"/>
      <c r="Q646" s="3055"/>
      <c r="R646" s="3055">
        <f t="shared" si="3"/>
        <v>0</v>
      </c>
      <c r="S646" s="3055">
        <f t="shared" si="4"/>
        <v>0</v>
      </c>
      <c r="T646" s="3055">
        <f t="shared" si="5"/>
        <v>0</v>
      </c>
      <c r="U646" s="3055">
        <f t="shared" si="6"/>
        <v>0</v>
      </c>
      <c r="V646" s="3055">
        <f t="shared" si="7"/>
        <v>0</v>
      </c>
      <c r="W646" s="3055">
        <f t="shared" si="8"/>
        <v>0</v>
      </c>
      <c r="X646" s="3055">
        <f t="shared" si="9"/>
        <v>0</v>
      </c>
      <c r="Y646" s="3055">
        <f t="shared" si="10"/>
        <v>0</v>
      </c>
      <c r="Z646" s="3055">
        <f t="shared" si="11"/>
        <v>0</v>
      </c>
      <c r="AA646" s="3055">
        <f t="shared" si="12"/>
        <v>0</v>
      </c>
      <c r="AB646" s="3055">
        <f t="shared" si="13"/>
        <v>0</v>
      </c>
      <c r="AC646" s="3055">
        <f t="shared" si="14"/>
        <v>0</v>
      </c>
      <c r="AD646" s="3056"/>
      <c r="AE646" s="3057">
        <f t="shared" si="0"/>
      </c>
      <c r="AF646" s="3054"/>
      <c r="AG646" s="3054"/>
      <c r="AH646" s="3055"/>
      <c r="AI646" s="3055"/>
      <c r="AJ646" s="3055"/>
      <c r="AK646" s="3055"/>
      <c r="AL646" s="3055"/>
      <c r="AM646" s="3055"/>
      <c r="AN646" s="3055"/>
      <c r="AO646" s="3055"/>
      <c r="AP646" s="3055"/>
      <c r="AQ646" s="3055"/>
      <c r="AR646" s="3055"/>
      <c r="AS646" s="3055"/>
      <c r="AT646" s="3055"/>
      <c r="AU646" s="3056"/>
      <c r="AV646" s="3057">
        <f t="shared" si="15"/>
      </c>
      <c r="AW646" s="3054"/>
      <c r="AX646" s="3054"/>
      <c r="AY646" s="3055"/>
      <c r="AZ646" s="3055"/>
      <c r="BA646" s="3055"/>
      <c r="BB646" s="3055"/>
      <c r="BC646" s="3055"/>
      <c r="BD646" s="3055"/>
      <c r="BE646" s="3055"/>
      <c r="BF646" s="3055"/>
      <c r="BG646" s="3055"/>
      <c r="BH646" s="3055"/>
      <c r="BI646" s="3055"/>
      <c r="BJ646" s="3055"/>
      <c r="BK646" s="3055"/>
      <c r="BL646" s="3056"/>
      <c r="BM646" s="3057">
        <f t="shared" si="16"/>
      </c>
      <c r="BN646" s="3054"/>
      <c r="BO646" s="3054"/>
      <c r="BP646" s="3055"/>
      <c r="BQ646" s="3055"/>
      <c r="BR646" s="3055"/>
      <c r="BS646" s="3055"/>
      <c r="BT646" s="3055"/>
      <c r="BU646" s="3055"/>
      <c r="BV646" s="3055"/>
      <c r="BW646" s="3055"/>
      <c r="BX646" s="3055"/>
      <c r="BY646" s="3055"/>
      <c r="BZ646" s="3055"/>
      <c r="CA646" s="3055"/>
      <c r="CB646" s="3055"/>
      <c r="CC646" s="3056"/>
      <c r="CD646" s="3057">
        <f t="shared" si="0"/>
      </c>
      <c r="CE646" s="3054"/>
      <c r="CF646" s="3054"/>
      <c r="CG646" s="3055"/>
      <c r="CH646" s="3055"/>
      <c r="CI646" s="3055"/>
      <c r="CJ646" s="3055"/>
      <c r="CK646" s="3055"/>
      <c r="CL646" s="3055"/>
      <c r="CM646" s="3055"/>
      <c r="CN646" s="3055"/>
      <c r="CO646" s="3055"/>
      <c r="CP646" s="3055"/>
      <c r="CQ646" s="3055"/>
      <c r="CR646" s="3055"/>
      <c r="CS646" s="3055"/>
      <c r="CU646" s="3054"/>
      <c r="CV646" s="696"/>
      <c r="CW646" s="696"/>
      <c r="CZ646" s="3060">
        <f t="shared" si="17"/>
      </c>
      <c r="DA646" s="3060">
        <f t="shared" si="1"/>
      </c>
      <c r="DB646" s="3060">
        <f t="shared" si="18"/>
      </c>
      <c r="DC646" s="3060">
        <f t="shared" si="19"/>
      </c>
      <c r="DD646" s="3060">
        <f t="shared" si="20"/>
      </c>
      <c r="DE646" s="3060">
        <f t="shared" si="21"/>
      </c>
      <c r="DF646" s="3060">
        <f t="shared" si="22"/>
      </c>
      <c r="DG646" s="3060">
        <f t="shared" si="23"/>
      </c>
      <c r="DH646" s="3060">
        <f t="shared" si="24"/>
      </c>
      <c r="DI646" s="3060">
        <f t="shared" si="1"/>
      </c>
    </row>
    <row r="647" ht="15" customHeight="1" s="3052" customFormat="1">
      <c r="B647" s="3054">
        <f t="shared" si="2"/>
      </c>
      <c r="C647" s="3054"/>
      <c r="D647" s="3054"/>
      <c r="E647" s="3055"/>
      <c r="F647" s="3055"/>
      <c r="G647" s="3055"/>
      <c r="H647" s="3055"/>
      <c r="I647" s="3055"/>
      <c r="J647" s="3055"/>
      <c r="K647" s="3055"/>
      <c r="L647" s="3055"/>
      <c r="M647" s="3055"/>
      <c r="N647" s="3055"/>
      <c r="O647" s="3055"/>
      <c r="P647" s="3055"/>
      <c r="Q647" s="3055"/>
      <c r="R647" s="3055">
        <f t="shared" si="3"/>
        <v>0</v>
      </c>
      <c r="S647" s="3055">
        <f t="shared" si="4"/>
        <v>0</v>
      </c>
      <c r="T647" s="3055">
        <f t="shared" si="5"/>
        <v>0</v>
      </c>
      <c r="U647" s="3055">
        <f t="shared" si="6"/>
        <v>0</v>
      </c>
      <c r="V647" s="3055">
        <f t="shared" si="7"/>
        <v>0</v>
      </c>
      <c r="W647" s="3055">
        <f t="shared" si="8"/>
        <v>0</v>
      </c>
      <c r="X647" s="3055">
        <f t="shared" si="9"/>
        <v>0</v>
      </c>
      <c r="Y647" s="3055">
        <f t="shared" si="10"/>
        <v>0</v>
      </c>
      <c r="Z647" s="3055">
        <f t="shared" si="11"/>
        <v>0</v>
      </c>
      <c r="AA647" s="3055">
        <f t="shared" si="12"/>
        <v>0</v>
      </c>
      <c r="AB647" s="3055">
        <f t="shared" si="13"/>
        <v>0</v>
      </c>
      <c r="AC647" s="3055">
        <f t="shared" si="14"/>
        <v>0</v>
      </c>
      <c r="AD647" s="3056"/>
      <c r="AE647" s="3057">
        <f t="shared" si="0"/>
      </c>
      <c r="AF647" s="3054"/>
      <c r="AG647" s="3054"/>
      <c r="AH647" s="3055"/>
      <c r="AI647" s="3055"/>
      <c r="AJ647" s="3055"/>
      <c r="AK647" s="3055"/>
      <c r="AL647" s="3055"/>
      <c r="AM647" s="3055"/>
      <c r="AN647" s="3055"/>
      <c r="AO647" s="3055"/>
      <c r="AP647" s="3055"/>
      <c r="AQ647" s="3055"/>
      <c r="AR647" s="3055"/>
      <c r="AS647" s="3055"/>
      <c r="AT647" s="3055"/>
      <c r="AU647" s="3056"/>
      <c r="AV647" s="3057">
        <f t="shared" si="15"/>
      </c>
      <c r="AW647" s="3054"/>
      <c r="AX647" s="3054"/>
      <c r="AY647" s="3055"/>
      <c r="AZ647" s="3055"/>
      <c r="BA647" s="3055"/>
      <c r="BB647" s="3055"/>
      <c r="BC647" s="3055"/>
      <c r="BD647" s="3055"/>
      <c r="BE647" s="3055"/>
      <c r="BF647" s="3055"/>
      <c r="BG647" s="3055"/>
      <c r="BH647" s="3055"/>
      <c r="BI647" s="3055"/>
      <c r="BJ647" s="3055"/>
      <c r="BK647" s="3055"/>
      <c r="BL647" s="3056"/>
      <c r="BM647" s="3057">
        <f t="shared" si="16"/>
      </c>
      <c r="BN647" s="3054"/>
      <c r="BO647" s="3054"/>
      <c r="BP647" s="3055"/>
      <c r="BQ647" s="3055"/>
      <c r="BR647" s="3055"/>
      <c r="BS647" s="3055"/>
      <c r="BT647" s="3055"/>
      <c r="BU647" s="3055"/>
      <c r="BV647" s="3055"/>
      <c r="BW647" s="3055"/>
      <c r="BX647" s="3055"/>
      <c r="BY647" s="3055"/>
      <c r="BZ647" s="3055"/>
      <c r="CA647" s="3055"/>
      <c r="CB647" s="3055"/>
      <c r="CC647" s="3056"/>
      <c r="CD647" s="3057">
        <f t="shared" si="0"/>
      </c>
      <c r="CE647" s="3054"/>
      <c r="CF647" s="3054"/>
      <c r="CG647" s="3055"/>
      <c r="CH647" s="3055"/>
      <c r="CI647" s="3055"/>
      <c r="CJ647" s="3055"/>
      <c r="CK647" s="3055"/>
      <c r="CL647" s="3055"/>
      <c r="CM647" s="3055"/>
      <c r="CN647" s="3055"/>
      <c r="CO647" s="3055"/>
      <c r="CP647" s="3055"/>
      <c r="CQ647" s="3055"/>
      <c r="CR647" s="3055"/>
      <c r="CS647" s="3055"/>
      <c r="CU647" s="3054"/>
      <c r="CV647" s="696"/>
      <c r="CW647" s="696"/>
      <c r="CZ647" s="3060">
        <f t="shared" si="17"/>
      </c>
      <c r="DA647" s="3060">
        <f t="shared" si="1"/>
      </c>
      <c r="DB647" s="3060">
        <f t="shared" si="18"/>
      </c>
      <c r="DC647" s="3060">
        <f t="shared" si="19"/>
      </c>
      <c r="DD647" s="3060">
        <f t="shared" si="20"/>
      </c>
      <c r="DE647" s="3060">
        <f t="shared" si="21"/>
      </c>
      <c r="DF647" s="3060">
        <f t="shared" si="22"/>
      </c>
      <c r="DG647" s="3060">
        <f t="shared" si="23"/>
      </c>
      <c r="DH647" s="3060">
        <f t="shared" si="24"/>
      </c>
      <c r="DI647" s="3060">
        <f t="shared" si="1"/>
      </c>
    </row>
    <row r="648" ht="15" customHeight="1" s="3052" customFormat="1">
      <c r="B648" s="3054">
        <f t="shared" si="2"/>
      </c>
      <c r="C648" s="3054"/>
      <c r="D648" s="3054"/>
      <c r="E648" s="3055"/>
      <c r="F648" s="3055"/>
      <c r="G648" s="3055"/>
      <c r="H648" s="3055"/>
      <c r="I648" s="3055"/>
      <c r="J648" s="3055"/>
      <c r="K648" s="3055"/>
      <c r="L648" s="3055"/>
      <c r="M648" s="3055"/>
      <c r="N648" s="3055"/>
      <c r="O648" s="3055"/>
      <c r="P648" s="3055"/>
      <c r="Q648" s="3055"/>
      <c r="R648" s="3055">
        <f t="shared" si="3"/>
        <v>0</v>
      </c>
      <c r="S648" s="3055">
        <f t="shared" si="4"/>
        <v>0</v>
      </c>
      <c r="T648" s="3055">
        <f t="shared" si="5"/>
        <v>0</v>
      </c>
      <c r="U648" s="3055">
        <f t="shared" si="6"/>
        <v>0</v>
      </c>
      <c r="V648" s="3055">
        <f t="shared" si="7"/>
        <v>0</v>
      </c>
      <c r="W648" s="3055">
        <f t="shared" si="8"/>
        <v>0</v>
      </c>
      <c r="X648" s="3055">
        <f t="shared" si="9"/>
        <v>0</v>
      </c>
      <c r="Y648" s="3055">
        <f t="shared" si="10"/>
        <v>0</v>
      </c>
      <c r="Z648" s="3055">
        <f t="shared" si="11"/>
        <v>0</v>
      </c>
      <c r="AA648" s="3055">
        <f t="shared" si="12"/>
        <v>0</v>
      </c>
      <c r="AB648" s="3055">
        <f t="shared" si="13"/>
        <v>0</v>
      </c>
      <c r="AC648" s="3055">
        <f t="shared" si="14"/>
        <v>0</v>
      </c>
      <c r="AD648" s="3056"/>
      <c r="AE648" s="3057">
        <f t="shared" si="0"/>
      </c>
      <c r="AF648" s="3054"/>
      <c r="AG648" s="3054"/>
      <c r="AH648" s="3055"/>
      <c r="AI648" s="3055"/>
      <c r="AJ648" s="3055"/>
      <c r="AK648" s="3055"/>
      <c r="AL648" s="3055"/>
      <c r="AM648" s="3055"/>
      <c r="AN648" s="3055"/>
      <c r="AO648" s="3055"/>
      <c r="AP648" s="3055"/>
      <c r="AQ648" s="3055"/>
      <c r="AR648" s="3055"/>
      <c r="AS648" s="3055"/>
      <c r="AT648" s="3055"/>
      <c r="AU648" s="3056"/>
      <c r="AV648" s="3057">
        <f t="shared" si="15"/>
      </c>
      <c r="AW648" s="3054"/>
      <c r="AX648" s="3054"/>
      <c r="AY648" s="3055"/>
      <c r="AZ648" s="3055"/>
      <c r="BA648" s="3055"/>
      <c r="BB648" s="3055"/>
      <c r="BC648" s="3055"/>
      <c r="BD648" s="3055"/>
      <c r="BE648" s="3055"/>
      <c r="BF648" s="3055"/>
      <c r="BG648" s="3055"/>
      <c r="BH648" s="3055"/>
      <c r="BI648" s="3055"/>
      <c r="BJ648" s="3055"/>
      <c r="BK648" s="3055"/>
      <c r="BL648" s="3056"/>
      <c r="BM648" s="3057">
        <f t="shared" si="16"/>
      </c>
      <c r="BN648" s="3054"/>
      <c r="BO648" s="3054"/>
      <c r="BP648" s="3055"/>
      <c r="BQ648" s="3055"/>
      <c r="BR648" s="3055"/>
      <c r="BS648" s="3055"/>
      <c r="BT648" s="3055"/>
      <c r="BU648" s="3055"/>
      <c r="BV648" s="3055"/>
      <c r="BW648" s="3055"/>
      <c r="BX648" s="3055"/>
      <c r="BY648" s="3055"/>
      <c r="BZ648" s="3055"/>
      <c r="CA648" s="3055"/>
      <c r="CB648" s="3055"/>
      <c r="CC648" s="3056"/>
      <c r="CD648" s="3057">
        <f t="shared" si="0"/>
      </c>
      <c r="CE648" s="3054"/>
      <c r="CF648" s="3054"/>
      <c r="CG648" s="3055"/>
      <c r="CH648" s="3055"/>
      <c r="CI648" s="3055"/>
      <c r="CJ648" s="3055"/>
      <c r="CK648" s="3055"/>
      <c r="CL648" s="3055"/>
      <c r="CM648" s="3055"/>
      <c r="CN648" s="3055"/>
      <c r="CO648" s="3055"/>
      <c r="CP648" s="3055"/>
      <c r="CQ648" s="3055"/>
      <c r="CR648" s="3055"/>
      <c r="CS648" s="3055"/>
      <c r="CU648" s="3054"/>
      <c r="CV648" s="696"/>
      <c r="CW648" s="696"/>
      <c r="CZ648" s="3060">
        <f t="shared" si="17"/>
      </c>
      <c r="DA648" s="3060">
        <f t="shared" si="1"/>
      </c>
      <c r="DB648" s="3060">
        <f t="shared" si="18"/>
      </c>
      <c r="DC648" s="3060">
        <f t="shared" si="19"/>
      </c>
      <c r="DD648" s="3060">
        <f t="shared" si="20"/>
      </c>
      <c r="DE648" s="3060">
        <f t="shared" si="21"/>
      </c>
      <c r="DF648" s="3060">
        <f t="shared" si="22"/>
      </c>
      <c r="DG648" s="3060">
        <f t="shared" si="23"/>
      </c>
      <c r="DH648" s="3060">
        <f t="shared" si="24"/>
      </c>
      <c r="DI648" s="3060">
        <f t="shared" si="1"/>
      </c>
    </row>
    <row r="649" ht="15" customHeight="1" s="3052" customFormat="1">
      <c r="B649" s="3054">
        <f t="shared" si="2"/>
      </c>
      <c r="C649" s="3054"/>
      <c r="D649" s="3054"/>
      <c r="E649" s="3055"/>
      <c r="F649" s="3055"/>
      <c r="G649" s="3055"/>
      <c r="H649" s="3055"/>
      <c r="I649" s="3055"/>
      <c r="J649" s="3055"/>
      <c r="K649" s="3055"/>
      <c r="L649" s="3055"/>
      <c r="M649" s="3055"/>
      <c r="N649" s="3055"/>
      <c r="O649" s="3055"/>
      <c r="P649" s="3055"/>
      <c r="Q649" s="3055"/>
      <c r="R649" s="3055">
        <f t="shared" si="3"/>
        <v>0</v>
      </c>
      <c r="S649" s="3055">
        <f t="shared" si="4"/>
        <v>0</v>
      </c>
      <c r="T649" s="3055">
        <f t="shared" si="5"/>
        <v>0</v>
      </c>
      <c r="U649" s="3055">
        <f t="shared" si="6"/>
        <v>0</v>
      </c>
      <c r="V649" s="3055">
        <f t="shared" si="7"/>
        <v>0</v>
      </c>
      <c r="W649" s="3055">
        <f t="shared" si="8"/>
        <v>0</v>
      </c>
      <c r="X649" s="3055">
        <f t="shared" si="9"/>
        <v>0</v>
      </c>
      <c r="Y649" s="3055">
        <f t="shared" si="10"/>
        <v>0</v>
      </c>
      <c r="Z649" s="3055">
        <f t="shared" si="11"/>
        <v>0</v>
      </c>
      <c r="AA649" s="3055">
        <f t="shared" si="12"/>
        <v>0</v>
      </c>
      <c r="AB649" s="3055">
        <f t="shared" si="13"/>
        <v>0</v>
      </c>
      <c r="AC649" s="3055">
        <f t="shared" si="14"/>
        <v>0</v>
      </c>
      <c r="AD649" s="3056"/>
      <c r="AE649" s="3057">
        <f t="shared" si="0"/>
      </c>
      <c r="AF649" s="3054"/>
      <c r="AG649" s="3054"/>
      <c r="AH649" s="3055"/>
      <c r="AI649" s="3055"/>
      <c r="AJ649" s="3055"/>
      <c r="AK649" s="3055"/>
      <c r="AL649" s="3055"/>
      <c r="AM649" s="3055"/>
      <c r="AN649" s="3055"/>
      <c r="AO649" s="3055"/>
      <c r="AP649" s="3055"/>
      <c r="AQ649" s="3055"/>
      <c r="AR649" s="3055"/>
      <c r="AS649" s="3055"/>
      <c r="AT649" s="3055"/>
      <c r="AU649" s="3056"/>
      <c r="AV649" s="3057">
        <f t="shared" si="15"/>
      </c>
      <c r="AW649" s="3054"/>
      <c r="AX649" s="3054"/>
      <c r="AY649" s="3055"/>
      <c r="AZ649" s="3055"/>
      <c r="BA649" s="3055"/>
      <c r="BB649" s="3055"/>
      <c r="BC649" s="3055"/>
      <c r="BD649" s="3055"/>
      <c r="BE649" s="3055"/>
      <c r="BF649" s="3055"/>
      <c r="BG649" s="3055"/>
      <c r="BH649" s="3055"/>
      <c r="BI649" s="3055"/>
      <c r="BJ649" s="3055"/>
      <c r="BK649" s="3055"/>
      <c r="BL649" s="3056"/>
      <c r="BM649" s="3057">
        <f t="shared" si="16"/>
      </c>
      <c r="BN649" s="3054"/>
      <c r="BO649" s="3054"/>
      <c r="BP649" s="3055"/>
      <c r="BQ649" s="3055"/>
      <c r="BR649" s="3055"/>
      <c r="BS649" s="3055"/>
      <c r="BT649" s="3055"/>
      <c r="BU649" s="3055"/>
      <c r="BV649" s="3055"/>
      <c r="BW649" s="3055"/>
      <c r="BX649" s="3055"/>
      <c r="BY649" s="3055"/>
      <c r="BZ649" s="3055"/>
      <c r="CA649" s="3055"/>
      <c r="CB649" s="3055"/>
      <c r="CC649" s="3056"/>
      <c r="CD649" s="3057">
        <f t="shared" si="0"/>
      </c>
      <c r="CE649" s="3054"/>
      <c r="CF649" s="3054"/>
      <c r="CG649" s="3055"/>
      <c r="CH649" s="3055"/>
      <c r="CI649" s="3055"/>
      <c r="CJ649" s="3055"/>
      <c r="CK649" s="3055"/>
      <c r="CL649" s="3055"/>
      <c r="CM649" s="3055"/>
      <c r="CN649" s="3055"/>
      <c r="CO649" s="3055"/>
      <c r="CP649" s="3055"/>
      <c r="CQ649" s="3055"/>
      <c r="CR649" s="3055"/>
      <c r="CS649" s="3055"/>
      <c r="CU649" s="3054"/>
      <c r="CV649" s="696"/>
      <c r="CW649" s="696"/>
      <c r="CZ649" s="3060">
        <f t="shared" si="17"/>
      </c>
      <c r="DA649" s="3060">
        <f t="shared" si="1"/>
      </c>
      <c r="DB649" s="3060">
        <f t="shared" si="18"/>
      </c>
      <c r="DC649" s="3060">
        <f t="shared" si="19"/>
      </c>
      <c r="DD649" s="3060">
        <f t="shared" si="20"/>
      </c>
      <c r="DE649" s="3060">
        <f t="shared" si="21"/>
      </c>
      <c r="DF649" s="3060">
        <f t="shared" si="22"/>
      </c>
      <c r="DG649" s="3060">
        <f t="shared" si="23"/>
      </c>
      <c r="DH649" s="3060">
        <f t="shared" si="24"/>
      </c>
      <c r="DI649" s="3060">
        <f t="shared" si="1"/>
      </c>
    </row>
    <row r="650" ht="15" customHeight="1" s="3052" customFormat="1">
      <c r="B650" s="3054">
        <f t="shared" si="2"/>
      </c>
      <c r="C650" s="3054"/>
      <c r="D650" s="3054"/>
      <c r="E650" s="3055"/>
      <c r="F650" s="3055"/>
      <c r="G650" s="3055"/>
      <c r="H650" s="3055"/>
      <c r="I650" s="3055"/>
      <c r="J650" s="3055"/>
      <c r="K650" s="3055"/>
      <c r="L650" s="3055"/>
      <c r="M650" s="3055"/>
      <c r="N650" s="3055"/>
      <c r="O650" s="3055"/>
      <c r="P650" s="3055"/>
      <c r="Q650" s="3055"/>
      <c r="R650" s="3055">
        <f t="shared" si="3"/>
        <v>0</v>
      </c>
      <c r="S650" s="3055">
        <f t="shared" si="4"/>
        <v>0</v>
      </c>
      <c r="T650" s="3055">
        <f t="shared" si="5"/>
        <v>0</v>
      </c>
      <c r="U650" s="3055">
        <f t="shared" si="6"/>
        <v>0</v>
      </c>
      <c r="V650" s="3055">
        <f t="shared" si="7"/>
        <v>0</v>
      </c>
      <c r="W650" s="3055">
        <f t="shared" si="8"/>
        <v>0</v>
      </c>
      <c r="X650" s="3055">
        <f t="shared" si="9"/>
        <v>0</v>
      </c>
      <c r="Y650" s="3055">
        <f t="shared" si="10"/>
        <v>0</v>
      </c>
      <c r="Z650" s="3055">
        <f t="shared" si="11"/>
        <v>0</v>
      </c>
      <c r="AA650" s="3055">
        <f t="shared" si="12"/>
        <v>0</v>
      </c>
      <c r="AB650" s="3055">
        <f t="shared" si="13"/>
        <v>0</v>
      </c>
      <c r="AC650" s="3055">
        <f t="shared" si="14"/>
        <v>0</v>
      </c>
      <c r="AD650" s="3056"/>
      <c r="AE650" s="3057">
        <f t="shared" si="0"/>
      </c>
      <c r="AF650" s="3054"/>
      <c r="AG650" s="3054"/>
      <c r="AH650" s="3055"/>
      <c r="AI650" s="3055"/>
      <c r="AJ650" s="3055"/>
      <c r="AK650" s="3055"/>
      <c r="AL650" s="3055"/>
      <c r="AM650" s="3055"/>
      <c r="AN650" s="3055"/>
      <c r="AO650" s="3055"/>
      <c r="AP650" s="3055"/>
      <c r="AQ650" s="3055"/>
      <c r="AR650" s="3055"/>
      <c r="AS650" s="3055"/>
      <c r="AT650" s="3055"/>
      <c r="AU650" s="3056"/>
      <c r="AV650" s="3057">
        <f t="shared" si="15"/>
      </c>
      <c r="AW650" s="3054"/>
      <c r="AX650" s="3054"/>
      <c r="AY650" s="3055"/>
      <c r="AZ650" s="3055"/>
      <c r="BA650" s="3055"/>
      <c r="BB650" s="3055"/>
      <c r="BC650" s="3055"/>
      <c r="BD650" s="3055"/>
      <c r="BE650" s="3055"/>
      <c r="BF650" s="3055"/>
      <c r="BG650" s="3055"/>
      <c r="BH650" s="3055"/>
      <c r="BI650" s="3055"/>
      <c r="BJ650" s="3055"/>
      <c r="BK650" s="3055"/>
      <c r="BL650" s="3056"/>
      <c r="BM650" s="3057">
        <f t="shared" si="16"/>
      </c>
      <c r="BN650" s="3054"/>
      <c r="BO650" s="3054"/>
      <c r="BP650" s="3055"/>
      <c r="BQ650" s="3055"/>
      <c r="BR650" s="3055"/>
      <c r="BS650" s="3055"/>
      <c r="BT650" s="3055"/>
      <c r="BU650" s="3055"/>
      <c r="BV650" s="3055"/>
      <c r="BW650" s="3055"/>
      <c r="BX650" s="3055"/>
      <c r="BY650" s="3055"/>
      <c r="BZ650" s="3055"/>
      <c r="CA650" s="3055"/>
      <c r="CB650" s="3055"/>
      <c r="CC650" s="3056"/>
      <c r="CD650" s="3057">
        <f t="shared" si="0"/>
      </c>
      <c r="CE650" s="3054"/>
      <c r="CF650" s="3054"/>
      <c r="CG650" s="3055"/>
      <c r="CH650" s="3055"/>
      <c r="CI650" s="3055"/>
      <c r="CJ650" s="3055"/>
      <c r="CK650" s="3055"/>
      <c r="CL650" s="3055"/>
      <c r="CM650" s="3055"/>
      <c r="CN650" s="3055"/>
      <c r="CO650" s="3055"/>
      <c r="CP650" s="3055"/>
      <c r="CQ650" s="3055"/>
      <c r="CR650" s="3055"/>
      <c r="CS650" s="3055"/>
      <c r="CU650" s="3054"/>
      <c r="CV650" s="696"/>
      <c r="CW650" s="696"/>
      <c r="CZ650" s="3060">
        <f t="shared" si="17"/>
      </c>
      <c r="DA650" s="3060">
        <f t="shared" si="1"/>
      </c>
      <c r="DB650" s="3060">
        <f t="shared" si="18"/>
      </c>
      <c r="DC650" s="3060">
        <f t="shared" si="19"/>
      </c>
      <c r="DD650" s="3060">
        <f t="shared" si="20"/>
      </c>
      <c r="DE650" s="3060">
        <f t="shared" si="21"/>
      </c>
      <c r="DF650" s="3060">
        <f t="shared" si="22"/>
      </c>
      <c r="DG650" s="3060">
        <f t="shared" si="23"/>
      </c>
      <c r="DH650" s="3060">
        <f t="shared" si="24"/>
      </c>
      <c r="DI650" s="3060">
        <f t="shared" si="1"/>
      </c>
    </row>
    <row r="651" ht="15" customHeight="1" s="3052" customFormat="1">
      <c r="B651" s="3054">
        <f t="shared" si="2"/>
      </c>
      <c r="C651" s="3054"/>
      <c r="D651" s="3054"/>
      <c r="E651" s="3055"/>
      <c r="F651" s="3055"/>
      <c r="G651" s="3055"/>
      <c r="H651" s="3055"/>
      <c r="I651" s="3055"/>
      <c r="J651" s="3055"/>
      <c r="K651" s="3055"/>
      <c r="L651" s="3055"/>
      <c r="M651" s="3055"/>
      <c r="N651" s="3055"/>
      <c r="O651" s="3055"/>
      <c r="P651" s="3055"/>
      <c r="Q651" s="3055"/>
      <c r="R651" s="3055">
        <f t="shared" si="3"/>
        <v>0</v>
      </c>
      <c r="S651" s="3055">
        <f t="shared" si="4"/>
        <v>0</v>
      </c>
      <c r="T651" s="3055">
        <f t="shared" si="5"/>
        <v>0</v>
      </c>
      <c r="U651" s="3055">
        <f t="shared" si="6"/>
        <v>0</v>
      </c>
      <c r="V651" s="3055">
        <f t="shared" si="7"/>
        <v>0</v>
      </c>
      <c r="W651" s="3055">
        <f t="shared" si="8"/>
        <v>0</v>
      </c>
      <c r="X651" s="3055">
        <f t="shared" si="9"/>
        <v>0</v>
      </c>
      <c r="Y651" s="3055">
        <f t="shared" si="10"/>
        <v>0</v>
      </c>
      <c r="Z651" s="3055">
        <f t="shared" si="11"/>
        <v>0</v>
      </c>
      <c r="AA651" s="3055">
        <f t="shared" si="12"/>
        <v>0</v>
      </c>
      <c r="AB651" s="3055">
        <f t="shared" si="13"/>
        <v>0</v>
      </c>
      <c r="AC651" s="3055">
        <f t="shared" si="14"/>
        <v>0</v>
      </c>
      <c r="AD651" s="3056"/>
      <c r="AE651" s="3057">
        <f t="shared" si="0"/>
      </c>
      <c r="AF651" s="3054"/>
      <c r="AG651" s="3054"/>
      <c r="AH651" s="3055"/>
      <c r="AI651" s="3055"/>
      <c r="AJ651" s="3055"/>
      <c r="AK651" s="3055"/>
      <c r="AL651" s="3055"/>
      <c r="AM651" s="3055"/>
      <c r="AN651" s="3055"/>
      <c r="AO651" s="3055"/>
      <c r="AP651" s="3055"/>
      <c r="AQ651" s="3055"/>
      <c r="AR651" s="3055"/>
      <c r="AS651" s="3055"/>
      <c r="AT651" s="3055"/>
      <c r="AU651" s="3056"/>
      <c r="AV651" s="3057">
        <f t="shared" si="15"/>
      </c>
      <c r="AW651" s="3054"/>
      <c r="AX651" s="3054"/>
      <c r="AY651" s="3055"/>
      <c r="AZ651" s="3055"/>
      <c r="BA651" s="3055"/>
      <c r="BB651" s="3055"/>
      <c r="BC651" s="3055"/>
      <c r="BD651" s="3055"/>
      <c r="BE651" s="3055"/>
      <c r="BF651" s="3055"/>
      <c r="BG651" s="3055"/>
      <c r="BH651" s="3055"/>
      <c r="BI651" s="3055"/>
      <c r="BJ651" s="3055"/>
      <c r="BK651" s="3055"/>
      <c r="BL651" s="3056"/>
      <c r="BM651" s="3057">
        <f t="shared" si="16"/>
      </c>
      <c r="BN651" s="3054"/>
      <c r="BO651" s="3054"/>
      <c r="BP651" s="3055"/>
      <c r="BQ651" s="3055"/>
      <c r="BR651" s="3055"/>
      <c r="BS651" s="3055"/>
      <c r="BT651" s="3055"/>
      <c r="BU651" s="3055"/>
      <c r="BV651" s="3055"/>
      <c r="BW651" s="3055"/>
      <c r="BX651" s="3055"/>
      <c r="BY651" s="3055"/>
      <c r="BZ651" s="3055"/>
      <c r="CA651" s="3055"/>
      <c r="CB651" s="3055"/>
      <c r="CC651" s="3056"/>
      <c r="CD651" s="3057">
        <f t="shared" si="0"/>
      </c>
      <c r="CE651" s="3054"/>
      <c r="CF651" s="3054"/>
      <c r="CG651" s="3055"/>
      <c r="CH651" s="3055"/>
      <c r="CI651" s="3055"/>
      <c r="CJ651" s="3055"/>
      <c r="CK651" s="3055"/>
      <c r="CL651" s="3055"/>
      <c r="CM651" s="3055"/>
      <c r="CN651" s="3055"/>
      <c r="CO651" s="3055"/>
      <c r="CP651" s="3055"/>
      <c r="CQ651" s="3055"/>
      <c r="CR651" s="3055"/>
      <c r="CS651" s="3055"/>
      <c r="CU651" s="3054"/>
      <c r="CV651" s="696"/>
      <c r="CW651" s="696"/>
      <c r="CZ651" s="3060">
        <f t="shared" si="17"/>
      </c>
      <c r="DA651" s="3060">
        <f t="shared" si="1"/>
      </c>
      <c r="DB651" s="3060">
        <f t="shared" si="18"/>
      </c>
      <c r="DC651" s="3060">
        <f t="shared" si="19"/>
      </c>
      <c r="DD651" s="3060">
        <f t="shared" si="20"/>
      </c>
      <c r="DE651" s="3060">
        <f t="shared" si="21"/>
      </c>
      <c r="DF651" s="3060">
        <f t="shared" si="22"/>
      </c>
      <c r="DG651" s="3060">
        <f t="shared" si="23"/>
      </c>
      <c r="DH651" s="3060">
        <f t="shared" si="24"/>
      </c>
      <c r="DI651" s="3060">
        <f t="shared" si="1"/>
      </c>
    </row>
    <row r="652" ht="15" customHeight="1" s="3052" customFormat="1">
      <c r="B652" s="3054">
        <f t="shared" si="2"/>
      </c>
      <c r="C652" s="3054"/>
      <c r="D652" s="3054"/>
      <c r="E652" s="3055"/>
      <c r="F652" s="3055"/>
      <c r="G652" s="3055"/>
      <c r="H652" s="3055"/>
      <c r="I652" s="3055"/>
      <c r="J652" s="3055"/>
      <c r="K652" s="3055"/>
      <c r="L652" s="3055"/>
      <c r="M652" s="3055"/>
      <c r="N652" s="3055"/>
      <c r="O652" s="3055"/>
      <c r="P652" s="3055"/>
      <c r="Q652" s="3055"/>
      <c r="R652" s="3055">
        <f t="shared" si="3"/>
        <v>0</v>
      </c>
      <c r="S652" s="3055">
        <f t="shared" si="4"/>
        <v>0</v>
      </c>
      <c r="T652" s="3055">
        <f t="shared" si="5"/>
        <v>0</v>
      </c>
      <c r="U652" s="3055">
        <f t="shared" si="6"/>
        <v>0</v>
      </c>
      <c r="V652" s="3055">
        <f t="shared" si="7"/>
        <v>0</v>
      </c>
      <c r="W652" s="3055">
        <f t="shared" si="8"/>
        <v>0</v>
      </c>
      <c r="X652" s="3055">
        <f t="shared" si="9"/>
        <v>0</v>
      </c>
      <c r="Y652" s="3055">
        <f t="shared" si="10"/>
        <v>0</v>
      </c>
      <c r="Z652" s="3055">
        <f t="shared" si="11"/>
        <v>0</v>
      </c>
      <c r="AA652" s="3055">
        <f t="shared" si="12"/>
        <v>0</v>
      </c>
      <c r="AB652" s="3055">
        <f t="shared" si="13"/>
        <v>0</v>
      </c>
      <c r="AC652" s="3055">
        <f t="shared" si="14"/>
        <v>0</v>
      </c>
      <c r="AD652" s="3056"/>
      <c r="AE652" s="3057">
        <f t="shared" si="0"/>
      </c>
      <c r="AF652" s="3054"/>
      <c r="AG652" s="3054"/>
      <c r="AH652" s="3055"/>
      <c r="AI652" s="3055"/>
      <c r="AJ652" s="3055"/>
      <c r="AK652" s="3055"/>
      <c r="AL652" s="3055"/>
      <c r="AM652" s="3055"/>
      <c r="AN652" s="3055"/>
      <c r="AO652" s="3055"/>
      <c r="AP652" s="3055"/>
      <c r="AQ652" s="3055"/>
      <c r="AR652" s="3055"/>
      <c r="AS652" s="3055"/>
      <c r="AT652" s="3055"/>
      <c r="AU652" s="3056"/>
      <c r="AV652" s="3057">
        <f t="shared" si="15"/>
      </c>
      <c r="AW652" s="3054"/>
      <c r="AX652" s="3054"/>
      <c r="AY652" s="3055"/>
      <c r="AZ652" s="3055"/>
      <c r="BA652" s="3055"/>
      <c r="BB652" s="3055"/>
      <c r="BC652" s="3055"/>
      <c r="BD652" s="3055"/>
      <c r="BE652" s="3055"/>
      <c r="BF652" s="3055"/>
      <c r="BG652" s="3055"/>
      <c r="BH652" s="3055"/>
      <c r="BI652" s="3055"/>
      <c r="BJ652" s="3055"/>
      <c r="BK652" s="3055"/>
      <c r="BL652" s="3056"/>
      <c r="BM652" s="3057">
        <f t="shared" si="16"/>
      </c>
      <c r="BN652" s="3054"/>
      <c r="BO652" s="3054"/>
      <c r="BP652" s="3055"/>
      <c r="BQ652" s="3055"/>
      <c r="BR652" s="3055"/>
      <c r="BS652" s="3055"/>
      <c r="BT652" s="3055"/>
      <c r="BU652" s="3055"/>
      <c r="BV652" s="3055"/>
      <c r="BW652" s="3055"/>
      <c r="BX652" s="3055"/>
      <c r="BY652" s="3055"/>
      <c r="BZ652" s="3055"/>
      <c r="CA652" s="3055"/>
      <c r="CB652" s="3055"/>
      <c r="CC652" s="3056"/>
      <c r="CD652" s="3057">
        <f t="shared" si="0"/>
      </c>
      <c r="CE652" s="3054"/>
      <c r="CF652" s="3054"/>
      <c r="CG652" s="3055"/>
      <c r="CH652" s="3055"/>
      <c r="CI652" s="3055"/>
      <c r="CJ652" s="3055"/>
      <c r="CK652" s="3055"/>
      <c r="CL652" s="3055"/>
      <c r="CM652" s="3055"/>
      <c r="CN652" s="3055"/>
      <c r="CO652" s="3055"/>
      <c r="CP652" s="3055"/>
      <c r="CQ652" s="3055"/>
      <c r="CR652" s="3055"/>
      <c r="CS652" s="3055"/>
      <c r="CU652" s="3054"/>
      <c r="CV652" s="696"/>
      <c r="CW652" s="696"/>
      <c r="CZ652" s="3060">
        <f t="shared" si="17"/>
      </c>
      <c r="DA652" s="3060">
        <f t="shared" si="1"/>
      </c>
      <c r="DB652" s="3060">
        <f t="shared" si="18"/>
      </c>
      <c r="DC652" s="3060">
        <f t="shared" si="19"/>
      </c>
      <c r="DD652" s="3060">
        <f t="shared" si="20"/>
      </c>
      <c r="DE652" s="3060">
        <f t="shared" si="21"/>
      </c>
      <c r="DF652" s="3060">
        <f t="shared" si="22"/>
      </c>
      <c r="DG652" s="3060">
        <f t="shared" si="23"/>
      </c>
      <c r="DH652" s="3060">
        <f t="shared" si="24"/>
      </c>
      <c r="DI652" s="3060">
        <f t="shared" si="1"/>
      </c>
    </row>
    <row r="653" ht="15" customHeight="1" s="3052" customFormat="1">
      <c r="B653" s="3054">
        <f t="shared" si="2"/>
      </c>
      <c r="C653" s="3054"/>
      <c r="D653" s="3054"/>
      <c r="E653" s="3055"/>
      <c r="F653" s="3055"/>
      <c r="G653" s="3055"/>
      <c r="H653" s="3055"/>
      <c r="I653" s="3055"/>
      <c r="J653" s="3055"/>
      <c r="K653" s="3055"/>
      <c r="L653" s="3055"/>
      <c r="M653" s="3055"/>
      <c r="N653" s="3055"/>
      <c r="O653" s="3055"/>
      <c r="P653" s="3055"/>
      <c r="Q653" s="3055"/>
      <c r="R653" s="3055">
        <f t="shared" si="3"/>
        <v>0</v>
      </c>
      <c r="S653" s="3055">
        <f t="shared" si="4"/>
        <v>0</v>
      </c>
      <c r="T653" s="3055">
        <f t="shared" si="5"/>
        <v>0</v>
      </c>
      <c r="U653" s="3055">
        <f t="shared" si="6"/>
        <v>0</v>
      </c>
      <c r="V653" s="3055">
        <f t="shared" si="7"/>
        <v>0</v>
      </c>
      <c r="W653" s="3055">
        <f t="shared" si="8"/>
        <v>0</v>
      </c>
      <c r="X653" s="3055">
        <f t="shared" si="9"/>
        <v>0</v>
      </c>
      <c r="Y653" s="3055">
        <f t="shared" si="10"/>
        <v>0</v>
      </c>
      <c r="Z653" s="3055">
        <f t="shared" si="11"/>
        <v>0</v>
      </c>
      <c r="AA653" s="3055">
        <f t="shared" si="12"/>
        <v>0</v>
      </c>
      <c r="AB653" s="3055">
        <f t="shared" si="13"/>
        <v>0</v>
      </c>
      <c r="AC653" s="3055">
        <f t="shared" si="14"/>
        <v>0</v>
      </c>
      <c r="AD653" s="3056"/>
      <c r="AE653" s="3057">
        <f t="shared" si="0"/>
      </c>
      <c r="AF653" s="3054"/>
      <c r="AG653" s="3054"/>
      <c r="AH653" s="3055"/>
      <c r="AI653" s="3055"/>
      <c r="AJ653" s="3055"/>
      <c r="AK653" s="3055"/>
      <c r="AL653" s="3055"/>
      <c r="AM653" s="3055"/>
      <c r="AN653" s="3055"/>
      <c r="AO653" s="3055"/>
      <c r="AP653" s="3055"/>
      <c r="AQ653" s="3055"/>
      <c r="AR653" s="3055"/>
      <c r="AS653" s="3055"/>
      <c r="AT653" s="3055"/>
      <c r="AU653" s="3056"/>
      <c r="AV653" s="3057">
        <f t="shared" si="15"/>
      </c>
      <c r="AW653" s="3054"/>
      <c r="AX653" s="3054"/>
      <c r="AY653" s="3055"/>
      <c r="AZ653" s="3055"/>
      <c r="BA653" s="3055"/>
      <c r="BB653" s="3055"/>
      <c r="BC653" s="3055"/>
      <c r="BD653" s="3055"/>
      <c r="BE653" s="3055"/>
      <c r="BF653" s="3055"/>
      <c r="BG653" s="3055"/>
      <c r="BH653" s="3055"/>
      <c r="BI653" s="3055"/>
      <c r="BJ653" s="3055"/>
      <c r="BK653" s="3055"/>
      <c r="BL653" s="3056"/>
      <c r="BM653" s="3057">
        <f t="shared" si="16"/>
      </c>
      <c r="BN653" s="3054"/>
      <c r="BO653" s="3054"/>
      <c r="BP653" s="3055"/>
      <c r="BQ653" s="3055"/>
      <c r="BR653" s="3055"/>
      <c r="BS653" s="3055"/>
      <c r="BT653" s="3055"/>
      <c r="BU653" s="3055"/>
      <c r="BV653" s="3055"/>
      <c r="BW653" s="3055"/>
      <c r="BX653" s="3055"/>
      <c r="BY653" s="3055"/>
      <c r="BZ653" s="3055"/>
      <c r="CA653" s="3055"/>
      <c r="CB653" s="3055"/>
      <c r="CC653" s="3056"/>
      <c r="CD653" s="3057">
        <f t="shared" si="0"/>
      </c>
      <c r="CE653" s="3054"/>
      <c r="CF653" s="3054"/>
      <c r="CG653" s="3055"/>
      <c r="CH653" s="3055"/>
      <c r="CI653" s="3055"/>
      <c r="CJ653" s="3055"/>
      <c r="CK653" s="3055"/>
      <c r="CL653" s="3055"/>
      <c r="CM653" s="3055"/>
      <c r="CN653" s="3055"/>
      <c r="CO653" s="3055"/>
      <c r="CP653" s="3055"/>
      <c r="CQ653" s="3055"/>
      <c r="CR653" s="3055"/>
      <c r="CS653" s="3055"/>
      <c r="CU653" s="3054"/>
      <c r="CV653" s="696"/>
      <c r="CW653" s="696"/>
      <c r="CZ653" s="3060">
        <f t="shared" si="17"/>
      </c>
      <c r="DA653" s="3060">
        <f t="shared" si="1"/>
      </c>
      <c r="DB653" s="3060">
        <f t="shared" si="18"/>
      </c>
      <c r="DC653" s="3060">
        <f t="shared" si="19"/>
      </c>
      <c r="DD653" s="3060">
        <f t="shared" si="20"/>
      </c>
      <c r="DE653" s="3060">
        <f t="shared" si="21"/>
      </c>
      <c r="DF653" s="3060">
        <f t="shared" si="22"/>
      </c>
      <c r="DG653" s="3060">
        <f t="shared" si="23"/>
      </c>
      <c r="DH653" s="3060">
        <f t="shared" si="24"/>
      </c>
      <c r="DI653" s="3060">
        <f t="shared" si="1"/>
      </c>
    </row>
    <row r="654" ht="15" customHeight="1" s="3052" customFormat="1">
      <c r="B654" s="3054">
        <f t="shared" si="2"/>
      </c>
      <c r="C654" s="3054"/>
      <c r="D654" s="3054"/>
      <c r="E654" s="3055"/>
      <c r="F654" s="3055"/>
      <c r="G654" s="3055"/>
      <c r="H654" s="3055"/>
      <c r="I654" s="3055"/>
      <c r="J654" s="3055"/>
      <c r="K654" s="3055"/>
      <c r="L654" s="3055"/>
      <c r="M654" s="3055"/>
      <c r="N654" s="3055"/>
      <c r="O654" s="3055"/>
      <c r="P654" s="3055"/>
      <c r="Q654" s="3055"/>
      <c r="R654" s="3055">
        <f t="shared" si="3"/>
        <v>0</v>
      </c>
      <c r="S654" s="3055">
        <f t="shared" si="4"/>
        <v>0</v>
      </c>
      <c r="T654" s="3055">
        <f t="shared" si="5"/>
        <v>0</v>
      </c>
      <c r="U654" s="3055">
        <f t="shared" si="6"/>
        <v>0</v>
      </c>
      <c r="V654" s="3055">
        <f t="shared" si="7"/>
        <v>0</v>
      </c>
      <c r="W654" s="3055">
        <f t="shared" si="8"/>
        <v>0</v>
      </c>
      <c r="X654" s="3055">
        <f t="shared" si="9"/>
        <v>0</v>
      </c>
      <c r="Y654" s="3055">
        <f t="shared" si="10"/>
        <v>0</v>
      </c>
      <c r="Z654" s="3055">
        <f t="shared" si="11"/>
        <v>0</v>
      </c>
      <c r="AA654" s="3055">
        <f t="shared" si="12"/>
        <v>0</v>
      </c>
      <c r="AB654" s="3055">
        <f t="shared" si="13"/>
        <v>0</v>
      </c>
      <c r="AC654" s="3055">
        <f t="shared" si="14"/>
        <v>0</v>
      </c>
      <c r="AD654" s="3056"/>
      <c r="AE654" s="3057">
        <f t="shared" si="0"/>
      </c>
      <c r="AF654" s="3054"/>
      <c r="AG654" s="3054"/>
      <c r="AH654" s="3055"/>
      <c r="AI654" s="3055"/>
      <c r="AJ654" s="3055"/>
      <c r="AK654" s="3055"/>
      <c r="AL654" s="3055"/>
      <c r="AM654" s="3055"/>
      <c r="AN654" s="3055"/>
      <c r="AO654" s="3055"/>
      <c r="AP654" s="3055"/>
      <c r="AQ654" s="3055"/>
      <c r="AR654" s="3055"/>
      <c r="AS654" s="3055"/>
      <c r="AT654" s="3055"/>
      <c r="AU654" s="3056"/>
      <c r="AV654" s="3057">
        <f t="shared" si="15"/>
      </c>
      <c r="AW654" s="3054"/>
      <c r="AX654" s="3054"/>
      <c r="AY654" s="3055"/>
      <c r="AZ654" s="3055"/>
      <c r="BA654" s="3055"/>
      <c r="BB654" s="3055"/>
      <c r="BC654" s="3055"/>
      <c r="BD654" s="3055"/>
      <c r="BE654" s="3055"/>
      <c r="BF654" s="3055"/>
      <c r="BG654" s="3055"/>
      <c r="BH654" s="3055"/>
      <c r="BI654" s="3055"/>
      <c r="BJ654" s="3055"/>
      <c r="BK654" s="3055"/>
      <c r="BL654" s="3056"/>
      <c r="BM654" s="3057">
        <f t="shared" si="16"/>
      </c>
      <c r="BN654" s="3054"/>
      <c r="BO654" s="3054"/>
      <c r="BP654" s="3055"/>
      <c r="BQ654" s="3055"/>
      <c r="BR654" s="3055"/>
      <c r="BS654" s="3055"/>
      <c r="BT654" s="3055"/>
      <c r="BU654" s="3055"/>
      <c r="BV654" s="3055"/>
      <c r="BW654" s="3055"/>
      <c r="BX654" s="3055"/>
      <c r="BY654" s="3055"/>
      <c r="BZ654" s="3055"/>
      <c r="CA654" s="3055"/>
      <c r="CB654" s="3055"/>
      <c r="CC654" s="3056"/>
      <c r="CD654" s="3057">
        <f t="shared" si="0"/>
      </c>
      <c r="CE654" s="3054"/>
      <c r="CF654" s="3054"/>
      <c r="CG654" s="3055"/>
      <c r="CH654" s="3055"/>
      <c r="CI654" s="3055"/>
      <c r="CJ654" s="3055"/>
      <c r="CK654" s="3055"/>
      <c r="CL654" s="3055"/>
      <c r="CM654" s="3055"/>
      <c r="CN654" s="3055"/>
      <c r="CO654" s="3055"/>
      <c r="CP654" s="3055"/>
      <c r="CQ654" s="3055"/>
      <c r="CR654" s="3055"/>
      <c r="CS654" s="3055"/>
      <c r="CU654" s="3054"/>
      <c r="CV654" s="696"/>
      <c r="CW654" s="696"/>
      <c r="CZ654" s="3060">
        <f t="shared" si="17"/>
      </c>
      <c r="DA654" s="3060">
        <f t="shared" si="1"/>
      </c>
      <c r="DB654" s="3060">
        <f t="shared" si="18"/>
      </c>
      <c r="DC654" s="3060">
        <f t="shared" si="19"/>
      </c>
      <c r="DD654" s="3060">
        <f t="shared" si="20"/>
      </c>
      <c r="DE654" s="3060">
        <f t="shared" si="21"/>
      </c>
      <c r="DF654" s="3060">
        <f t="shared" si="22"/>
      </c>
      <c r="DG654" s="3060">
        <f t="shared" si="23"/>
      </c>
      <c r="DH654" s="3060">
        <f t="shared" si="24"/>
      </c>
      <c r="DI654" s="3060">
        <f t="shared" si="1"/>
      </c>
    </row>
    <row r="655" ht="15" customHeight="1" s="3052" customFormat="1">
      <c r="B655" s="3054">
        <f t="shared" si="2"/>
      </c>
      <c r="C655" s="3054"/>
      <c r="D655" s="3054"/>
      <c r="E655" s="3055"/>
      <c r="F655" s="3055"/>
      <c r="G655" s="3055"/>
      <c r="H655" s="3055"/>
      <c r="I655" s="3055"/>
      <c r="J655" s="3055"/>
      <c r="K655" s="3055"/>
      <c r="L655" s="3055"/>
      <c r="M655" s="3055"/>
      <c r="N655" s="3055"/>
      <c r="O655" s="3055"/>
      <c r="P655" s="3055"/>
      <c r="Q655" s="3055"/>
      <c r="R655" s="3055">
        <f t="shared" si="3"/>
        <v>0</v>
      </c>
      <c r="S655" s="3055">
        <f t="shared" si="4"/>
        <v>0</v>
      </c>
      <c r="T655" s="3055">
        <f t="shared" si="5"/>
        <v>0</v>
      </c>
      <c r="U655" s="3055">
        <f t="shared" si="6"/>
        <v>0</v>
      </c>
      <c r="V655" s="3055">
        <f t="shared" si="7"/>
        <v>0</v>
      </c>
      <c r="W655" s="3055">
        <f t="shared" si="8"/>
        <v>0</v>
      </c>
      <c r="X655" s="3055">
        <f t="shared" si="9"/>
        <v>0</v>
      </c>
      <c r="Y655" s="3055">
        <f t="shared" si="10"/>
        <v>0</v>
      </c>
      <c r="Z655" s="3055">
        <f t="shared" si="11"/>
        <v>0</v>
      </c>
      <c r="AA655" s="3055">
        <f t="shared" si="12"/>
        <v>0</v>
      </c>
      <c r="AB655" s="3055">
        <f t="shared" si="13"/>
        <v>0</v>
      </c>
      <c r="AC655" s="3055">
        <f t="shared" si="14"/>
        <v>0</v>
      </c>
      <c r="AD655" s="3056"/>
      <c r="AE655" s="3057">
        <f t="shared" si="0"/>
      </c>
      <c r="AF655" s="3054"/>
      <c r="AG655" s="3054"/>
      <c r="AH655" s="3055"/>
      <c r="AI655" s="3055"/>
      <c r="AJ655" s="3055"/>
      <c r="AK655" s="3055"/>
      <c r="AL655" s="3055"/>
      <c r="AM655" s="3055"/>
      <c r="AN655" s="3055"/>
      <c r="AO655" s="3055"/>
      <c r="AP655" s="3055"/>
      <c r="AQ655" s="3055"/>
      <c r="AR655" s="3055"/>
      <c r="AS655" s="3055"/>
      <c r="AT655" s="3055"/>
      <c r="AU655" s="3056"/>
      <c r="AV655" s="3057">
        <f t="shared" si="15"/>
      </c>
      <c r="AW655" s="3054"/>
      <c r="AX655" s="3054"/>
      <c r="AY655" s="3055"/>
      <c r="AZ655" s="3055"/>
      <c r="BA655" s="3055"/>
      <c r="BB655" s="3055"/>
      <c r="BC655" s="3055"/>
      <c r="BD655" s="3055"/>
      <c r="BE655" s="3055"/>
      <c r="BF655" s="3055"/>
      <c r="BG655" s="3055"/>
      <c r="BH655" s="3055"/>
      <c r="BI655" s="3055"/>
      <c r="BJ655" s="3055"/>
      <c r="BK655" s="3055"/>
      <c r="BL655" s="3056"/>
      <c r="BM655" s="3057">
        <f t="shared" si="16"/>
      </c>
      <c r="BN655" s="3054"/>
      <c r="BO655" s="3054"/>
      <c r="BP655" s="3055"/>
      <c r="BQ655" s="3055"/>
      <c r="BR655" s="3055"/>
      <c r="BS655" s="3055"/>
      <c r="BT655" s="3055"/>
      <c r="BU655" s="3055"/>
      <c r="BV655" s="3055"/>
      <c r="BW655" s="3055"/>
      <c r="BX655" s="3055"/>
      <c r="BY655" s="3055"/>
      <c r="BZ655" s="3055"/>
      <c r="CA655" s="3055"/>
      <c r="CB655" s="3055"/>
      <c r="CC655" s="3056"/>
      <c r="CD655" s="3057">
        <f t="shared" si="0"/>
      </c>
      <c r="CE655" s="3054"/>
      <c r="CF655" s="3054"/>
      <c r="CG655" s="3055"/>
      <c r="CH655" s="3055"/>
      <c r="CI655" s="3055"/>
      <c r="CJ655" s="3055"/>
      <c r="CK655" s="3055"/>
      <c r="CL655" s="3055"/>
      <c r="CM655" s="3055"/>
      <c r="CN655" s="3055"/>
      <c r="CO655" s="3055"/>
      <c r="CP655" s="3055"/>
      <c r="CQ655" s="3055"/>
      <c r="CR655" s="3055"/>
      <c r="CS655" s="3055"/>
      <c r="CU655" s="3054"/>
      <c r="CV655" s="696"/>
      <c r="CW655" s="696"/>
      <c r="CZ655" s="3060">
        <f t="shared" si="17"/>
      </c>
      <c r="DA655" s="3060">
        <f t="shared" si="1"/>
      </c>
      <c r="DB655" s="3060">
        <f t="shared" si="18"/>
      </c>
      <c r="DC655" s="3060">
        <f t="shared" si="19"/>
      </c>
      <c r="DD655" s="3060">
        <f t="shared" si="20"/>
      </c>
      <c r="DE655" s="3060">
        <f t="shared" si="21"/>
      </c>
      <c r="DF655" s="3060">
        <f t="shared" si="22"/>
      </c>
      <c r="DG655" s="3060">
        <f t="shared" si="23"/>
      </c>
      <c r="DH655" s="3060">
        <f t="shared" si="24"/>
      </c>
      <c r="DI655" s="3060">
        <f t="shared" si="1"/>
      </c>
    </row>
    <row r="656" ht="15" customHeight="1" s="3052" customFormat="1">
      <c r="B656" s="3054">
        <f t="shared" si="2"/>
      </c>
      <c r="C656" s="3054"/>
      <c r="D656" s="3054"/>
      <c r="E656" s="3055"/>
      <c r="F656" s="3055"/>
      <c r="G656" s="3055"/>
      <c r="H656" s="3055"/>
      <c r="I656" s="3055"/>
      <c r="J656" s="3055"/>
      <c r="K656" s="3055"/>
      <c r="L656" s="3055"/>
      <c r="M656" s="3055"/>
      <c r="N656" s="3055"/>
      <c r="O656" s="3055"/>
      <c r="P656" s="3055"/>
      <c r="Q656" s="3055"/>
      <c r="R656" s="3055">
        <f t="shared" si="3"/>
        <v>0</v>
      </c>
      <c r="S656" s="3055">
        <f t="shared" si="4"/>
        <v>0</v>
      </c>
      <c r="T656" s="3055">
        <f t="shared" si="5"/>
        <v>0</v>
      </c>
      <c r="U656" s="3055">
        <f t="shared" si="6"/>
        <v>0</v>
      </c>
      <c r="V656" s="3055">
        <f t="shared" si="7"/>
        <v>0</v>
      </c>
      <c r="W656" s="3055">
        <f t="shared" si="8"/>
        <v>0</v>
      </c>
      <c r="X656" s="3055">
        <f t="shared" si="9"/>
        <v>0</v>
      </c>
      <c r="Y656" s="3055">
        <f t="shared" si="10"/>
        <v>0</v>
      </c>
      <c r="Z656" s="3055">
        <f t="shared" si="11"/>
        <v>0</v>
      </c>
      <c r="AA656" s="3055">
        <f t="shared" si="12"/>
        <v>0</v>
      </c>
      <c r="AB656" s="3055">
        <f t="shared" si="13"/>
        <v>0</v>
      </c>
      <c r="AC656" s="3055">
        <f t="shared" si="14"/>
        <v>0</v>
      </c>
      <c r="AD656" s="3056"/>
      <c r="AE656" s="3057">
        <f t="shared" si="0"/>
      </c>
      <c r="AF656" s="3054"/>
      <c r="AG656" s="3054"/>
      <c r="AH656" s="3055"/>
      <c r="AI656" s="3055"/>
      <c r="AJ656" s="3055"/>
      <c r="AK656" s="3055"/>
      <c r="AL656" s="3055"/>
      <c r="AM656" s="3055"/>
      <c r="AN656" s="3055"/>
      <c r="AO656" s="3055"/>
      <c r="AP656" s="3055"/>
      <c r="AQ656" s="3055"/>
      <c r="AR656" s="3055"/>
      <c r="AS656" s="3055"/>
      <c r="AT656" s="3055"/>
      <c r="AU656" s="3056"/>
      <c r="AV656" s="3057">
        <f t="shared" si="15"/>
      </c>
      <c r="AW656" s="3054"/>
      <c r="AX656" s="3054"/>
      <c r="AY656" s="3055"/>
      <c r="AZ656" s="3055"/>
      <c r="BA656" s="3055"/>
      <c r="BB656" s="3055"/>
      <c r="BC656" s="3055"/>
      <c r="BD656" s="3055"/>
      <c r="BE656" s="3055"/>
      <c r="BF656" s="3055"/>
      <c r="BG656" s="3055"/>
      <c r="BH656" s="3055"/>
      <c r="BI656" s="3055"/>
      <c r="BJ656" s="3055"/>
      <c r="BK656" s="3055"/>
      <c r="BL656" s="3056"/>
      <c r="BM656" s="3057">
        <f t="shared" si="16"/>
      </c>
      <c r="BN656" s="3054"/>
      <c r="BO656" s="3054"/>
      <c r="BP656" s="3055"/>
      <c r="BQ656" s="3055"/>
      <c r="BR656" s="3055"/>
      <c r="BS656" s="3055"/>
      <c r="BT656" s="3055"/>
      <c r="BU656" s="3055"/>
      <c r="BV656" s="3055"/>
      <c r="BW656" s="3055"/>
      <c r="BX656" s="3055"/>
      <c r="BY656" s="3055"/>
      <c r="BZ656" s="3055"/>
      <c r="CA656" s="3055"/>
      <c r="CB656" s="3055"/>
      <c r="CC656" s="3056"/>
      <c r="CD656" s="3057">
        <f t="shared" si="0"/>
      </c>
      <c r="CE656" s="3054"/>
      <c r="CF656" s="3054"/>
      <c r="CG656" s="3055"/>
      <c r="CH656" s="3055"/>
      <c r="CI656" s="3055"/>
      <c r="CJ656" s="3055"/>
      <c r="CK656" s="3055"/>
      <c r="CL656" s="3055"/>
      <c r="CM656" s="3055"/>
      <c r="CN656" s="3055"/>
      <c r="CO656" s="3055"/>
      <c r="CP656" s="3055"/>
      <c r="CQ656" s="3055"/>
      <c r="CR656" s="3055"/>
      <c r="CS656" s="3055"/>
      <c r="CU656" s="3054"/>
      <c r="CV656" s="696"/>
      <c r="CW656" s="696"/>
      <c r="CZ656" s="3060">
        <f t="shared" si="17"/>
      </c>
      <c r="DA656" s="3060">
        <f t="shared" si="1"/>
      </c>
      <c r="DB656" s="3060">
        <f t="shared" si="18"/>
      </c>
      <c r="DC656" s="3060">
        <f t="shared" si="19"/>
      </c>
      <c r="DD656" s="3060">
        <f t="shared" si="20"/>
      </c>
      <c r="DE656" s="3060">
        <f t="shared" si="21"/>
      </c>
      <c r="DF656" s="3060">
        <f t="shared" si="22"/>
      </c>
      <c r="DG656" s="3060">
        <f t="shared" si="23"/>
      </c>
      <c r="DH656" s="3060">
        <f t="shared" si="24"/>
      </c>
      <c r="DI656" s="3060">
        <f t="shared" si="1"/>
      </c>
    </row>
    <row r="657" ht="15" customHeight="1" s="3052" customFormat="1">
      <c r="B657" s="3054">
        <f t="shared" si="2"/>
      </c>
      <c r="C657" s="3054"/>
      <c r="D657" s="3054"/>
      <c r="E657" s="3055"/>
      <c r="F657" s="3055"/>
      <c r="G657" s="3055"/>
      <c r="H657" s="3055"/>
      <c r="I657" s="3055"/>
      <c r="J657" s="3055"/>
      <c r="K657" s="3055"/>
      <c r="L657" s="3055"/>
      <c r="M657" s="3055"/>
      <c r="N657" s="3055"/>
      <c r="O657" s="3055"/>
      <c r="P657" s="3055"/>
      <c r="Q657" s="3055"/>
      <c r="R657" s="3055">
        <f t="shared" si="3"/>
        <v>0</v>
      </c>
      <c r="S657" s="3055">
        <f t="shared" si="4"/>
        <v>0</v>
      </c>
      <c r="T657" s="3055">
        <f t="shared" si="5"/>
        <v>0</v>
      </c>
      <c r="U657" s="3055">
        <f t="shared" si="6"/>
        <v>0</v>
      </c>
      <c r="V657" s="3055">
        <f t="shared" si="7"/>
        <v>0</v>
      </c>
      <c r="W657" s="3055">
        <f t="shared" si="8"/>
        <v>0</v>
      </c>
      <c r="X657" s="3055">
        <f t="shared" si="9"/>
        <v>0</v>
      </c>
      <c r="Y657" s="3055">
        <f t="shared" si="10"/>
        <v>0</v>
      </c>
      <c r="Z657" s="3055">
        <f t="shared" si="11"/>
        <v>0</v>
      </c>
      <c r="AA657" s="3055">
        <f t="shared" si="12"/>
        <v>0</v>
      </c>
      <c r="AB657" s="3055">
        <f t="shared" si="13"/>
        <v>0</v>
      </c>
      <c r="AC657" s="3055">
        <f t="shared" si="14"/>
        <v>0</v>
      </c>
      <c r="AD657" s="3056"/>
      <c r="AE657" s="3057">
        <f t="shared" si="0"/>
      </c>
      <c r="AF657" s="3054"/>
      <c r="AG657" s="3054"/>
      <c r="AH657" s="3055"/>
      <c r="AI657" s="3055"/>
      <c r="AJ657" s="3055"/>
      <c r="AK657" s="3055"/>
      <c r="AL657" s="3055"/>
      <c r="AM657" s="3055"/>
      <c r="AN657" s="3055"/>
      <c r="AO657" s="3055"/>
      <c r="AP657" s="3055"/>
      <c r="AQ657" s="3055"/>
      <c r="AR657" s="3055"/>
      <c r="AS657" s="3055"/>
      <c r="AT657" s="3055"/>
      <c r="AU657" s="3056"/>
      <c r="AV657" s="3057">
        <f t="shared" si="15"/>
      </c>
      <c r="AW657" s="3054"/>
      <c r="AX657" s="3054"/>
      <c r="AY657" s="3055"/>
      <c r="AZ657" s="3055"/>
      <c r="BA657" s="3055"/>
      <c r="BB657" s="3055"/>
      <c r="BC657" s="3055"/>
      <c r="BD657" s="3055"/>
      <c r="BE657" s="3055"/>
      <c r="BF657" s="3055"/>
      <c r="BG657" s="3055"/>
      <c r="BH657" s="3055"/>
      <c r="BI657" s="3055"/>
      <c r="BJ657" s="3055"/>
      <c r="BK657" s="3055"/>
      <c r="BL657" s="3056"/>
      <c r="BM657" s="3057">
        <f t="shared" si="16"/>
      </c>
      <c r="BN657" s="3054"/>
      <c r="BO657" s="3054"/>
      <c r="BP657" s="3055"/>
      <c r="BQ657" s="3055"/>
      <c r="BR657" s="3055"/>
      <c r="BS657" s="3055"/>
      <c r="BT657" s="3055"/>
      <c r="BU657" s="3055"/>
      <c r="BV657" s="3055"/>
      <c r="BW657" s="3055"/>
      <c r="BX657" s="3055"/>
      <c r="BY657" s="3055"/>
      <c r="BZ657" s="3055"/>
      <c r="CA657" s="3055"/>
      <c r="CB657" s="3055"/>
      <c r="CC657" s="3056"/>
      <c r="CD657" s="3057">
        <f t="shared" si="0"/>
      </c>
      <c r="CE657" s="3054"/>
      <c r="CF657" s="3054"/>
      <c r="CG657" s="3055"/>
      <c r="CH657" s="3055"/>
      <c r="CI657" s="3055"/>
      <c r="CJ657" s="3055"/>
      <c r="CK657" s="3055"/>
      <c r="CL657" s="3055"/>
      <c r="CM657" s="3055"/>
      <c r="CN657" s="3055"/>
      <c r="CO657" s="3055"/>
      <c r="CP657" s="3055"/>
      <c r="CQ657" s="3055"/>
      <c r="CR657" s="3055"/>
      <c r="CS657" s="3055"/>
      <c r="CU657" s="3054"/>
      <c r="CV657" s="696"/>
      <c r="CW657" s="696"/>
      <c r="CZ657" s="3060">
        <f t="shared" si="17"/>
      </c>
      <c r="DA657" s="3060">
        <f t="shared" si="1"/>
      </c>
      <c r="DB657" s="3060">
        <f t="shared" si="18"/>
      </c>
      <c r="DC657" s="3060">
        <f t="shared" si="19"/>
      </c>
      <c r="DD657" s="3060">
        <f t="shared" si="20"/>
      </c>
      <c r="DE657" s="3060">
        <f t="shared" si="21"/>
      </c>
      <c r="DF657" s="3060">
        <f t="shared" si="22"/>
      </c>
      <c r="DG657" s="3060">
        <f t="shared" si="23"/>
      </c>
      <c r="DH657" s="3060">
        <f t="shared" si="24"/>
      </c>
      <c r="DI657" s="3060">
        <f t="shared" si="1"/>
      </c>
    </row>
    <row r="658" ht="15" customHeight="1" s="3052" customFormat="1">
      <c r="B658" s="3054">
        <f t="shared" si="2"/>
      </c>
      <c r="C658" s="3054"/>
      <c r="D658" s="3054"/>
      <c r="E658" s="3055"/>
      <c r="F658" s="3055"/>
      <c r="G658" s="3055"/>
      <c r="H658" s="3055"/>
      <c r="I658" s="3055"/>
      <c r="J658" s="3055"/>
      <c r="K658" s="3055"/>
      <c r="L658" s="3055"/>
      <c r="M658" s="3055"/>
      <c r="N658" s="3055"/>
      <c r="O658" s="3055"/>
      <c r="P658" s="3055"/>
      <c r="Q658" s="3055"/>
      <c r="R658" s="3055">
        <f t="shared" si="3"/>
        <v>0</v>
      </c>
      <c r="S658" s="3055">
        <f t="shared" si="4"/>
        <v>0</v>
      </c>
      <c r="T658" s="3055">
        <f t="shared" si="5"/>
        <v>0</v>
      </c>
      <c r="U658" s="3055">
        <f t="shared" si="6"/>
        <v>0</v>
      </c>
      <c r="V658" s="3055">
        <f t="shared" si="7"/>
        <v>0</v>
      </c>
      <c r="W658" s="3055">
        <f t="shared" si="8"/>
        <v>0</v>
      </c>
      <c r="X658" s="3055">
        <f t="shared" si="9"/>
        <v>0</v>
      </c>
      <c r="Y658" s="3055">
        <f t="shared" si="10"/>
        <v>0</v>
      </c>
      <c r="Z658" s="3055">
        <f t="shared" si="11"/>
        <v>0</v>
      </c>
      <c r="AA658" s="3055">
        <f t="shared" si="12"/>
        <v>0</v>
      </c>
      <c r="AB658" s="3055">
        <f t="shared" si="13"/>
        <v>0</v>
      </c>
      <c r="AC658" s="3055">
        <f t="shared" si="14"/>
        <v>0</v>
      </c>
      <c r="AD658" s="3056"/>
      <c r="AE658" s="3057">
        <f t="shared" si="0"/>
      </c>
      <c r="AF658" s="3054"/>
      <c r="AG658" s="3054"/>
      <c r="AH658" s="3055"/>
      <c r="AI658" s="3055"/>
      <c r="AJ658" s="3055"/>
      <c r="AK658" s="3055"/>
      <c r="AL658" s="3055"/>
      <c r="AM658" s="3055"/>
      <c r="AN658" s="3055"/>
      <c r="AO658" s="3055"/>
      <c r="AP658" s="3055"/>
      <c r="AQ658" s="3055"/>
      <c r="AR658" s="3055"/>
      <c r="AS658" s="3055"/>
      <c r="AT658" s="3055"/>
      <c r="AU658" s="3056"/>
      <c r="AV658" s="3057">
        <f t="shared" si="15"/>
      </c>
      <c r="AW658" s="3054"/>
      <c r="AX658" s="3054"/>
      <c r="AY658" s="3055"/>
      <c r="AZ658" s="3055"/>
      <c r="BA658" s="3055"/>
      <c r="BB658" s="3055"/>
      <c r="BC658" s="3055"/>
      <c r="BD658" s="3055"/>
      <c r="BE658" s="3055"/>
      <c r="BF658" s="3055"/>
      <c r="BG658" s="3055"/>
      <c r="BH658" s="3055"/>
      <c r="BI658" s="3055"/>
      <c r="BJ658" s="3055"/>
      <c r="BK658" s="3055"/>
      <c r="BL658" s="3056"/>
      <c r="BM658" s="3057">
        <f t="shared" si="16"/>
      </c>
      <c r="BN658" s="3054"/>
      <c r="BO658" s="3054"/>
      <c r="BP658" s="3055"/>
      <c r="BQ658" s="3055"/>
      <c r="BR658" s="3055"/>
      <c r="BS658" s="3055"/>
      <c r="BT658" s="3055"/>
      <c r="BU658" s="3055"/>
      <c r="BV658" s="3055"/>
      <c r="BW658" s="3055"/>
      <c r="BX658" s="3055"/>
      <c r="BY658" s="3055"/>
      <c r="BZ658" s="3055"/>
      <c r="CA658" s="3055"/>
      <c r="CB658" s="3055"/>
      <c r="CC658" s="3056"/>
      <c r="CD658" s="3057">
        <f t="shared" si="0"/>
      </c>
      <c r="CE658" s="3054"/>
      <c r="CF658" s="3054"/>
      <c r="CG658" s="3055"/>
      <c r="CH658" s="3055"/>
      <c r="CI658" s="3055"/>
      <c r="CJ658" s="3055"/>
      <c r="CK658" s="3055"/>
      <c r="CL658" s="3055"/>
      <c r="CM658" s="3055"/>
      <c r="CN658" s="3055"/>
      <c r="CO658" s="3055"/>
      <c r="CP658" s="3055"/>
      <c r="CQ658" s="3055"/>
      <c r="CR658" s="3055"/>
      <c r="CS658" s="3055"/>
      <c r="CU658" s="3054"/>
      <c r="CV658" s="696"/>
      <c r="CW658" s="696"/>
      <c r="CZ658" s="3060">
        <f t="shared" si="17"/>
      </c>
      <c r="DA658" s="3060">
        <f t="shared" si="1"/>
      </c>
      <c r="DB658" s="3060">
        <f t="shared" si="18"/>
      </c>
      <c r="DC658" s="3060">
        <f t="shared" si="19"/>
      </c>
      <c r="DD658" s="3060">
        <f t="shared" si="20"/>
      </c>
      <c r="DE658" s="3060">
        <f t="shared" si="21"/>
      </c>
      <c r="DF658" s="3060">
        <f t="shared" si="22"/>
      </c>
      <c r="DG658" s="3060">
        <f t="shared" si="23"/>
      </c>
      <c r="DH658" s="3060">
        <f t="shared" si="24"/>
      </c>
      <c r="DI658" s="3060">
        <f t="shared" si="1"/>
      </c>
    </row>
    <row r="659" ht="15" customHeight="1" s="3052" customFormat="1">
      <c r="B659" s="3054">
        <f t="shared" si="2"/>
      </c>
      <c r="C659" s="3054"/>
      <c r="D659" s="3054"/>
      <c r="E659" s="3055"/>
      <c r="F659" s="3055"/>
      <c r="G659" s="3055"/>
      <c r="H659" s="3055"/>
      <c r="I659" s="3055"/>
      <c r="J659" s="3055"/>
      <c r="K659" s="3055"/>
      <c r="L659" s="3055"/>
      <c r="M659" s="3055"/>
      <c r="N659" s="3055"/>
      <c r="O659" s="3055"/>
      <c r="P659" s="3055"/>
      <c r="Q659" s="3055"/>
      <c r="R659" s="3055">
        <f t="shared" si="3"/>
        <v>0</v>
      </c>
      <c r="S659" s="3055">
        <f t="shared" si="4"/>
        <v>0</v>
      </c>
      <c r="T659" s="3055">
        <f t="shared" si="5"/>
        <v>0</v>
      </c>
      <c r="U659" s="3055">
        <f t="shared" si="6"/>
        <v>0</v>
      </c>
      <c r="V659" s="3055">
        <f t="shared" si="7"/>
        <v>0</v>
      </c>
      <c r="W659" s="3055">
        <f t="shared" si="8"/>
        <v>0</v>
      </c>
      <c r="X659" s="3055">
        <f t="shared" si="9"/>
        <v>0</v>
      </c>
      <c r="Y659" s="3055">
        <f t="shared" si="10"/>
        <v>0</v>
      </c>
      <c r="Z659" s="3055">
        <f t="shared" si="11"/>
        <v>0</v>
      </c>
      <c r="AA659" s="3055">
        <f t="shared" si="12"/>
        <v>0</v>
      </c>
      <c r="AB659" s="3055">
        <f t="shared" si="13"/>
        <v>0</v>
      </c>
      <c r="AC659" s="3055">
        <f t="shared" si="14"/>
        <v>0</v>
      </c>
      <c r="AD659" s="3056"/>
      <c r="AE659" s="3057">
        <f t="shared" si="0"/>
      </c>
      <c r="AF659" s="3054"/>
      <c r="AG659" s="3054"/>
      <c r="AH659" s="3055"/>
      <c r="AI659" s="3055"/>
      <c r="AJ659" s="3055"/>
      <c r="AK659" s="3055"/>
      <c r="AL659" s="3055"/>
      <c r="AM659" s="3055"/>
      <c r="AN659" s="3055"/>
      <c r="AO659" s="3055"/>
      <c r="AP659" s="3055"/>
      <c r="AQ659" s="3055"/>
      <c r="AR659" s="3055"/>
      <c r="AS659" s="3055"/>
      <c r="AT659" s="3055"/>
      <c r="AU659" s="3056"/>
      <c r="AV659" s="3057">
        <f t="shared" si="15"/>
      </c>
      <c r="AW659" s="3054"/>
      <c r="AX659" s="3054"/>
      <c r="AY659" s="3055"/>
      <c r="AZ659" s="3055"/>
      <c r="BA659" s="3055"/>
      <c r="BB659" s="3055"/>
      <c r="BC659" s="3055"/>
      <c r="BD659" s="3055"/>
      <c r="BE659" s="3055"/>
      <c r="BF659" s="3055"/>
      <c r="BG659" s="3055"/>
      <c r="BH659" s="3055"/>
      <c r="BI659" s="3055"/>
      <c r="BJ659" s="3055"/>
      <c r="BK659" s="3055"/>
      <c r="BL659" s="3056"/>
      <c r="BM659" s="3057">
        <f t="shared" si="16"/>
      </c>
      <c r="BN659" s="3054"/>
      <c r="BO659" s="3054"/>
      <c r="BP659" s="3055"/>
      <c r="BQ659" s="3055"/>
      <c r="BR659" s="3055"/>
      <c r="BS659" s="3055"/>
      <c r="BT659" s="3055"/>
      <c r="BU659" s="3055"/>
      <c r="BV659" s="3055"/>
      <c r="BW659" s="3055"/>
      <c r="BX659" s="3055"/>
      <c r="BY659" s="3055"/>
      <c r="BZ659" s="3055"/>
      <c r="CA659" s="3055"/>
      <c r="CB659" s="3055"/>
      <c r="CC659" s="3056"/>
      <c r="CD659" s="3057">
        <f t="shared" si="0"/>
      </c>
      <c r="CE659" s="3054"/>
      <c r="CF659" s="3054"/>
      <c r="CG659" s="3055"/>
      <c r="CH659" s="3055"/>
      <c r="CI659" s="3055"/>
      <c r="CJ659" s="3055"/>
      <c r="CK659" s="3055"/>
      <c r="CL659" s="3055"/>
      <c r="CM659" s="3055"/>
      <c r="CN659" s="3055"/>
      <c r="CO659" s="3055"/>
      <c r="CP659" s="3055"/>
      <c r="CQ659" s="3055"/>
      <c r="CR659" s="3055"/>
      <c r="CS659" s="3055"/>
      <c r="CU659" s="3054"/>
      <c r="CV659" s="696"/>
      <c r="CW659" s="696"/>
      <c r="CZ659" s="3060">
        <f t="shared" si="17"/>
      </c>
      <c r="DA659" s="3060">
        <f t="shared" si="1"/>
      </c>
      <c r="DB659" s="3060">
        <f t="shared" si="18"/>
      </c>
      <c r="DC659" s="3060">
        <f t="shared" si="19"/>
      </c>
      <c r="DD659" s="3060">
        <f t="shared" si="20"/>
      </c>
      <c r="DE659" s="3060">
        <f t="shared" si="21"/>
      </c>
      <c r="DF659" s="3060">
        <f t="shared" si="22"/>
      </c>
      <c r="DG659" s="3060">
        <f t="shared" si="23"/>
      </c>
      <c r="DH659" s="3060">
        <f t="shared" si="24"/>
      </c>
      <c r="DI659" s="3060">
        <f t="shared" si="1"/>
      </c>
    </row>
    <row r="660" ht="15" customHeight="1" s="3052" customFormat="1">
      <c r="B660" s="3054">
        <f t="shared" si="2"/>
      </c>
      <c r="C660" s="3054"/>
      <c r="D660" s="3054"/>
      <c r="E660" s="3055"/>
      <c r="F660" s="3055"/>
      <c r="G660" s="3055"/>
      <c r="H660" s="3055"/>
      <c r="I660" s="3055"/>
      <c r="J660" s="3055"/>
      <c r="K660" s="3055"/>
      <c r="L660" s="3055"/>
      <c r="M660" s="3055"/>
      <c r="N660" s="3055"/>
      <c r="O660" s="3055"/>
      <c r="P660" s="3055"/>
      <c r="Q660" s="3055"/>
      <c r="R660" s="3055">
        <f t="shared" si="3"/>
        <v>0</v>
      </c>
      <c r="S660" s="3055">
        <f t="shared" si="4"/>
        <v>0</v>
      </c>
      <c r="T660" s="3055">
        <f t="shared" si="5"/>
        <v>0</v>
      </c>
      <c r="U660" s="3055">
        <f t="shared" si="6"/>
        <v>0</v>
      </c>
      <c r="V660" s="3055">
        <f t="shared" si="7"/>
        <v>0</v>
      </c>
      <c r="W660" s="3055">
        <f t="shared" si="8"/>
        <v>0</v>
      </c>
      <c r="X660" s="3055">
        <f t="shared" si="9"/>
        <v>0</v>
      </c>
      <c r="Y660" s="3055">
        <f t="shared" si="10"/>
        <v>0</v>
      </c>
      <c r="Z660" s="3055">
        <f t="shared" si="11"/>
        <v>0</v>
      </c>
      <c r="AA660" s="3055">
        <f t="shared" si="12"/>
        <v>0</v>
      </c>
      <c r="AB660" s="3055">
        <f t="shared" si="13"/>
        <v>0</v>
      </c>
      <c r="AC660" s="3055">
        <f t="shared" si="14"/>
        <v>0</v>
      </c>
      <c r="AD660" s="3056"/>
      <c r="AE660" s="3057">
        <f t="shared" si="0"/>
      </c>
      <c r="AF660" s="3054"/>
      <c r="AG660" s="3054"/>
      <c r="AH660" s="3055"/>
      <c r="AI660" s="3055"/>
      <c r="AJ660" s="3055"/>
      <c r="AK660" s="3055"/>
      <c r="AL660" s="3055"/>
      <c r="AM660" s="3055"/>
      <c r="AN660" s="3055"/>
      <c r="AO660" s="3055"/>
      <c r="AP660" s="3055"/>
      <c r="AQ660" s="3055"/>
      <c r="AR660" s="3055"/>
      <c r="AS660" s="3055"/>
      <c r="AT660" s="3055"/>
      <c r="AU660" s="3056"/>
      <c r="AV660" s="3057">
        <f t="shared" si="15"/>
      </c>
      <c r="AW660" s="3054"/>
      <c r="AX660" s="3054"/>
      <c r="AY660" s="3055"/>
      <c r="AZ660" s="3055"/>
      <c r="BA660" s="3055"/>
      <c r="BB660" s="3055"/>
      <c r="BC660" s="3055"/>
      <c r="BD660" s="3055"/>
      <c r="BE660" s="3055"/>
      <c r="BF660" s="3055"/>
      <c r="BG660" s="3055"/>
      <c r="BH660" s="3055"/>
      <c r="BI660" s="3055"/>
      <c r="BJ660" s="3055"/>
      <c r="BK660" s="3055"/>
      <c r="BL660" s="3056"/>
      <c r="BM660" s="3057">
        <f t="shared" si="16"/>
      </c>
      <c r="BN660" s="3054"/>
      <c r="BO660" s="3054"/>
      <c r="BP660" s="3055"/>
      <c r="BQ660" s="3055"/>
      <c r="BR660" s="3055"/>
      <c r="BS660" s="3055"/>
      <c r="BT660" s="3055"/>
      <c r="BU660" s="3055"/>
      <c r="BV660" s="3055"/>
      <c r="BW660" s="3055"/>
      <c r="BX660" s="3055"/>
      <c r="BY660" s="3055"/>
      <c r="BZ660" s="3055"/>
      <c r="CA660" s="3055"/>
      <c r="CB660" s="3055"/>
      <c r="CC660" s="3056"/>
      <c r="CD660" s="3057">
        <f t="shared" si="0"/>
      </c>
      <c r="CE660" s="3054"/>
      <c r="CF660" s="3054"/>
      <c r="CG660" s="3055"/>
      <c r="CH660" s="3055"/>
      <c r="CI660" s="3055"/>
      <c r="CJ660" s="3055"/>
      <c r="CK660" s="3055"/>
      <c r="CL660" s="3055"/>
      <c r="CM660" s="3055"/>
      <c r="CN660" s="3055"/>
      <c r="CO660" s="3055"/>
      <c r="CP660" s="3055"/>
      <c r="CQ660" s="3055"/>
      <c r="CR660" s="3055"/>
      <c r="CS660" s="3055"/>
      <c r="CU660" s="3054"/>
      <c r="CV660" s="696"/>
      <c r="CW660" s="696"/>
      <c r="CZ660" s="3060">
        <f t="shared" si="17"/>
      </c>
      <c r="DA660" s="3060">
        <f t="shared" si="1"/>
      </c>
      <c r="DB660" s="3060">
        <f t="shared" si="18"/>
      </c>
      <c r="DC660" s="3060">
        <f t="shared" si="19"/>
      </c>
      <c r="DD660" s="3060">
        <f t="shared" si="20"/>
      </c>
      <c r="DE660" s="3060">
        <f t="shared" si="21"/>
      </c>
      <c r="DF660" s="3060">
        <f t="shared" si="22"/>
      </c>
      <c r="DG660" s="3060">
        <f t="shared" si="23"/>
      </c>
      <c r="DH660" s="3060">
        <f t="shared" si="24"/>
      </c>
      <c r="DI660" s="3060">
        <f t="shared" si="1"/>
      </c>
    </row>
    <row r="661" ht="15" customHeight="1" s="3052" customFormat="1">
      <c r="B661" s="3054">
        <f t="shared" si="2"/>
      </c>
      <c r="C661" s="3054"/>
      <c r="D661" s="3054"/>
      <c r="E661" s="3055"/>
      <c r="F661" s="3055"/>
      <c r="G661" s="3055"/>
      <c r="H661" s="3055"/>
      <c r="I661" s="3055"/>
      <c r="J661" s="3055"/>
      <c r="K661" s="3055"/>
      <c r="L661" s="3055"/>
      <c r="M661" s="3055"/>
      <c r="N661" s="3055"/>
      <c r="O661" s="3055"/>
      <c r="P661" s="3055"/>
      <c r="Q661" s="3055"/>
      <c r="R661" s="3055">
        <f t="shared" si="3"/>
        <v>0</v>
      </c>
      <c r="S661" s="3055">
        <f t="shared" si="4"/>
        <v>0</v>
      </c>
      <c r="T661" s="3055">
        <f t="shared" si="5"/>
        <v>0</v>
      </c>
      <c r="U661" s="3055">
        <f t="shared" si="6"/>
        <v>0</v>
      </c>
      <c r="V661" s="3055">
        <f t="shared" si="7"/>
        <v>0</v>
      </c>
      <c r="W661" s="3055">
        <f t="shared" si="8"/>
        <v>0</v>
      </c>
      <c r="X661" s="3055">
        <f t="shared" si="9"/>
        <v>0</v>
      </c>
      <c r="Y661" s="3055">
        <f t="shared" si="10"/>
        <v>0</v>
      </c>
      <c r="Z661" s="3055">
        <f t="shared" si="11"/>
        <v>0</v>
      </c>
      <c r="AA661" s="3055">
        <f t="shared" si="12"/>
        <v>0</v>
      </c>
      <c r="AB661" s="3055">
        <f t="shared" si="13"/>
        <v>0</v>
      </c>
      <c r="AC661" s="3055">
        <f t="shared" si="14"/>
        <v>0</v>
      </c>
      <c r="AD661" s="3056"/>
      <c r="AE661" s="3057">
        <f t="shared" si="0"/>
      </c>
      <c r="AF661" s="3054"/>
      <c r="AG661" s="3054"/>
      <c r="AH661" s="3055"/>
      <c r="AI661" s="3055"/>
      <c r="AJ661" s="3055"/>
      <c r="AK661" s="3055"/>
      <c r="AL661" s="3055"/>
      <c r="AM661" s="3055"/>
      <c r="AN661" s="3055"/>
      <c r="AO661" s="3055"/>
      <c r="AP661" s="3055"/>
      <c r="AQ661" s="3055"/>
      <c r="AR661" s="3055"/>
      <c r="AS661" s="3055"/>
      <c r="AT661" s="3055"/>
      <c r="AU661" s="3056"/>
      <c r="AV661" s="3057">
        <f t="shared" si="15"/>
      </c>
      <c r="AW661" s="3054"/>
      <c r="AX661" s="3054"/>
      <c r="AY661" s="3055"/>
      <c r="AZ661" s="3055"/>
      <c r="BA661" s="3055"/>
      <c r="BB661" s="3055"/>
      <c r="BC661" s="3055"/>
      <c r="BD661" s="3055"/>
      <c r="BE661" s="3055"/>
      <c r="BF661" s="3055"/>
      <c r="BG661" s="3055"/>
      <c r="BH661" s="3055"/>
      <c r="BI661" s="3055"/>
      <c r="BJ661" s="3055"/>
      <c r="BK661" s="3055"/>
      <c r="BL661" s="3056"/>
      <c r="BM661" s="3057">
        <f t="shared" si="16"/>
      </c>
      <c r="BN661" s="3054"/>
      <c r="BO661" s="3054"/>
      <c r="BP661" s="3055"/>
      <c r="BQ661" s="3055"/>
      <c r="BR661" s="3055"/>
      <c r="BS661" s="3055"/>
      <c r="BT661" s="3055"/>
      <c r="BU661" s="3055"/>
      <c r="BV661" s="3055"/>
      <c r="BW661" s="3055"/>
      <c r="BX661" s="3055"/>
      <c r="BY661" s="3055"/>
      <c r="BZ661" s="3055"/>
      <c r="CA661" s="3055"/>
      <c r="CB661" s="3055"/>
      <c r="CC661" s="3056"/>
      <c r="CD661" s="3057">
        <f t="shared" si="0"/>
      </c>
      <c r="CE661" s="3054"/>
      <c r="CF661" s="3054"/>
      <c r="CG661" s="3055"/>
      <c r="CH661" s="3055"/>
      <c r="CI661" s="3055"/>
      <c r="CJ661" s="3055"/>
      <c r="CK661" s="3055"/>
      <c r="CL661" s="3055"/>
      <c r="CM661" s="3055"/>
      <c r="CN661" s="3055"/>
      <c r="CO661" s="3055"/>
      <c r="CP661" s="3055"/>
      <c r="CQ661" s="3055"/>
      <c r="CR661" s="3055"/>
      <c r="CS661" s="3055"/>
      <c r="CU661" s="3054"/>
      <c r="CV661" s="696"/>
      <c r="CW661" s="696"/>
      <c r="CZ661" s="3060">
        <f t="shared" si="17"/>
      </c>
      <c r="DA661" s="3060">
        <f t="shared" si="1"/>
      </c>
      <c r="DB661" s="3060">
        <f t="shared" si="18"/>
      </c>
      <c r="DC661" s="3060">
        <f t="shared" si="19"/>
      </c>
      <c r="DD661" s="3060">
        <f t="shared" si="20"/>
      </c>
      <c r="DE661" s="3060">
        <f t="shared" si="21"/>
      </c>
      <c r="DF661" s="3060">
        <f t="shared" si="22"/>
      </c>
      <c r="DG661" s="3060">
        <f t="shared" si="23"/>
      </c>
      <c r="DH661" s="3060">
        <f t="shared" si="24"/>
      </c>
      <c r="DI661" s="3060">
        <f t="shared" si="1"/>
      </c>
    </row>
    <row r="662" ht="15" customHeight="1" s="3052" customFormat="1">
      <c r="B662" s="3054">
        <f t="shared" si="2"/>
      </c>
      <c r="C662" s="3054"/>
      <c r="D662" s="3054"/>
      <c r="E662" s="3055"/>
      <c r="F662" s="3055"/>
      <c r="G662" s="3055"/>
      <c r="H662" s="3055"/>
      <c r="I662" s="3055"/>
      <c r="J662" s="3055"/>
      <c r="K662" s="3055"/>
      <c r="L662" s="3055"/>
      <c r="M662" s="3055"/>
      <c r="N662" s="3055"/>
      <c r="O662" s="3055"/>
      <c r="P662" s="3055"/>
      <c r="Q662" s="3055"/>
      <c r="R662" s="3055">
        <f t="shared" si="3"/>
        <v>0</v>
      </c>
      <c r="S662" s="3055">
        <f t="shared" si="4"/>
        <v>0</v>
      </c>
      <c r="T662" s="3055">
        <f t="shared" si="5"/>
        <v>0</v>
      </c>
      <c r="U662" s="3055">
        <f t="shared" si="6"/>
        <v>0</v>
      </c>
      <c r="V662" s="3055">
        <f t="shared" si="7"/>
        <v>0</v>
      </c>
      <c r="W662" s="3055">
        <f t="shared" si="8"/>
        <v>0</v>
      </c>
      <c r="X662" s="3055">
        <f t="shared" si="9"/>
        <v>0</v>
      </c>
      <c r="Y662" s="3055">
        <f t="shared" si="10"/>
        <v>0</v>
      </c>
      <c r="Z662" s="3055">
        <f t="shared" si="11"/>
        <v>0</v>
      </c>
      <c r="AA662" s="3055">
        <f t="shared" si="12"/>
        <v>0</v>
      </c>
      <c r="AB662" s="3055">
        <f t="shared" si="13"/>
        <v>0</v>
      </c>
      <c r="AC662" s="3055">
        <f t="shared" si="14"/>
        <v>0</v>
      </c>
      <c r="AD662" s="3056"/>
      <c r="AE662" s="3057">
        <f t="shared" si="0"/>
      </c>
      <c r="AF662" s="3054"/>
      <c r="AG662" s="3054"/>
      <c r="AH662" s="3055"/>
      <c r="AI662" s="3055"/>
      <c r="AJ662" s="3055"/>
      <c r="AK662" s="3055"/>
      <c r="AL662" s="3055"/>
      <c r="AM662" s="3055"/>
      <c r="AN662" s="3055"/>
      <c r="AO662" s="3055"/>
      <c r="AP662" s="3055"/>
      <c r="AQ662" s="3055"/>
      <c r="AR662" s="3055"/>
      <c r="AS662" s="3055"/>
      <c r="AT662" s="3055"/>
      <c r="AU662" s="3056"/>
      <c r="AV662" s="3057">
        <f t="shared" si="15"/>
      </c>
      <c r="AW662" s="3054"/>
      <c r="AX662" s="3054"/>
      <c r="AY662" s="3055"/>
      <c r="AZ662" s="3055"/>
      <c r="BA662" s="3055"/>
      <c r="BB662" s="3055"/>
      <c r="BC662" s="3055"/>
      <c r="BD662" s="3055"/>
      <c r="BE662" s="3055"/>
      <c r="BF662" s="3055"/>
      <c r="BG662" s="3055"/>
      <c r="BH662" s="3055"/>
      <c r="BI662" s="3055"/>
      <c r="BJ662" s="3055"/>
      <c r="BK662" s="3055"/>
      <c r="BL662" s="3056"/>
      <c r="BM662" s="3057">
        <f t="shared" si="16"/>
      </c>
      <c r="BN662" s="3054"/>
      <c r="BO662" s="3054"/>
      <c r="BP662" s="3055"/>
      <c r="BQ662" s="3055"/>
      <c r="BR662" s="3055"/>
      <c r="BS662" s="3055"/>
      <c r="BT662" s="3055"/>
      <c r="BU662" s="3055"/>
      <c r="BV662" s="3055"/>
      <c r="BW662" s="3055"/>
      <c r="BX662" s="3055"/>
      <c r="BY662" s="3055"/>
      <c r="BZ662" s="3055"/>
      <c r="CA662" s="3055"/>
      <c r="CB662" s="3055"/>
      <c r="CC662" s="3056"/>
      <c r="CD662" s="3057">
        <f t="shared" si="0"/>
      </c>
      <c r="CE662" s="3054"/>
      <c r="CF662" s="3054"/>
      <c r="CG662" s="3055"/>
      <c r="CH662" s="3055"/>
      <c r="CI662" s="3055"/>
      <c r="CJ662" s="3055"/>
      <c r="CK662" s="3055"/>
      <c r="CL662" s="3055"/>
      <c r="CM662" s="3055"/>
      <c r="CN662" s="3055"/>
      <c r="CO662" s="3055"/>
      <c r="CP662" s="3055"/>
      <c r="CQ662" s="3055"/>
      <c r="CR662" s="3055"/>
      <c r="CS662" s="3055"/>
      <c r="CU662" s="3054"/>
      <c r="CV662" s="696"/>
      <c r="CW662" s="696"/>
      <c r="CZ662" s="3060">
        <f t="shared" si="17"/>
      </c>
      <c r="DA662" s="3060">
        <f t="shared" si="1"/>
      </c>
      <c r="DB662" s="3060">
        <f t="shared" si="18"/>
      </c>
      <c r="DC662" s="3060">
        <f t="shared" si="19"/>
      </c>
      <c r="DD662" s="3060">
        <f t="shared" si="20"/>
      </c>
      <c r="DE662" s="3060">
        <f t="shared" si="21"/>
      </c>
      <c r="DF662" s="3060">
        <f t="shared" si="22"/>
      </c>
      <c r="DG662" s="3060">
        <f t="shared" si="23"/>
      </c>
      <c r="DH662" s="3060">
        <f t="shared" si="24"/>
      </c>
      <c r="DI662" s="3060">
        <f t="shared" si="1"/>
      </c>
    </row>
    <row r="663" ht="15" customHeight="1" s="3052" customFormat="1">
      <c r="B663" s="3054">
        <f t="shared" si="2"/>
      </c>
      <c r="C663" s="3054"/>
      <c r="D663" s="3054"/>
      <c r="E663" s="3055"/>
      <c r="F663" s="3055"/>
      <c r="G663" s="3055"/>
      <c r="H663" s="3055"/>
      <c r="I663" s="3055"/>
      <c r="J663" s="3055"/>
      <c r="K663" s="3055"/>
      <c r="L663" s="3055"/>
      <c r="M663" s="3055"/>
      <c r="N663" s="3055"/>
      <c r="O663" s="3055"/>
      <c r="P663" s="3055"/>
      <c r="Q663" s="3055"/>
      <c r="R663" s="3055">
        <f t="shared" si="3"/>
        <v>0</v>
      </c>
      <c r="S663" s="3055">
        <f t="shared" si="4"/>
        <v>0</v>
      </c>
      <c r="T663" s="3055">
        <f t="shared" si="5"/>
        <v>0</v>
      </c>
      <c r="U663" s="3055">
        <f t="shared" si="6"/>
        <v>0</v>
      </c>
      <c r="V663" s="3055">
        <f t="shared" si="7"/>
        <v>0</v>
      </c>
      <c r="W663" s="3055">
        <f t="shared" si="8"/>
        <v>0</v>
      </c>
      <c r="X663" s="3055">
        <f t="shared" si="9"/>
        <v>0</v>
      </c>
      <c r="Y663" s="3055">
        <f t="shared" si="10"/>
        <v>0</v>
      </c>
      <c r="Z663" s="3055">
        <f t="shared" si="11"/>
        <v>0</v>
      </c>
      <c r="AA663" s="3055">
        <f t="shared" si="12"/>
        <v>0</v>
      </c>
      <c r="AB663" s="3055">
        <f t="shared" si="13"/>
        <v>0</v>
      </c>
      <c r="AC663" s="3055">
        <f t="shared" si="14"/>
        <v>0</v>
      </c>
      <c r="AD663" s="3056"/>
      <c r="AE663" s="3057">
        <f t="shared" si="0"/>
      </c>
      <c r="AF663" s="3054"/>
      <c r="AG663" s="3054"/>
      <c r="AH663" s="3055"/>
      <c r="AI663" s="3055"/>
      <c r="AJ663" s="3055"/>
      <c r="AK663" s="3055"/>
      <c r="AL663" s="3055"/>
      <c r="AM663" s="3055"/>
      <c r="AN663" s="3055"/>
      <c r="AO663" s="3055"/>
      <c r="AP663" s="3055"/>
      <c r="AQ663" s="3055"/>
      <c r="AR663" s="3055"/>
      <c r="AS663" s="3055"/>
      <c r="AT663" s="3055"/>
      <c r="AU663" s="3056"/>
      <c r="AV663" s="3057">
        <f t="shared" si="15"/>
      </c>
      <c r="AW663" s="3054"/>
      <c r="AX663" s="3054"/>
      <c r="AY663" s="3055"/>
      <c r="AZ663" s="3055"/>
      <c r="BA663" s="3055"/>
      <c r="BB663" s="3055"/>
      <c r="BC663" s="3055"/>
      <c r="BD663" s="3055"/>
      <c r="BE663" s="3055"/>
      <c r="BF663" s="3055"/>
      <c r="BG663" s="3055"/>
      <c r="BH663" s="3055"/>
      <c r="BI663" s="3055"/>
      <c r="BJ663" s="3055"/>
      <c r="BK663" s="3055"/>
      <c r="BL663" s="3056"/>
      <c r="BM663" s="3057">
        <f t="shared" si="16"/>
      </c>
      <c r="BN663" s="3054"/>
      <c r="BO663" s="3054"/>
      <c r="BP663" s="3055"/>
      <c r="BQ663" s="3055"/>
      <c r="BR663" s="3055"/>
      <c r="BS663" s="3055"/>
      <c r="BT663" s="3055"/>
      <c r="BU663" s="3055"/>
      <c r="BV663" s="3055"/>
      <c r="BW663" s="3055"/>
      <c r="BX663" s="3055"/>
      <c r="BY663" s="3055"/>
      <c r="BZ663" s="3055"/>
      <c r="CA663" s="3055"/>
      <c r="CB663" s="3055"/>
      <c r="CC663" s="3056"/>
      <c r="CD663" s="3057">
        <f t="shared" si="0"/>
      </c>
      <c r="CE663" s="3054"/>
      <c r="CF663" s="3054"/>
      <c r="CG663" s="3055"/>
      <c r="CH663" s="3055"/>
      <c r="CI663" s="3055"/>
      <c r="CJ663" s="3055"/>
      <c r="CK663" s="3055"/>
      <c r="CL663" s="3055"/>
      <c r="CM663" s="3055"/>
      <c r="CN663" s="3055"/>
      <c r="CO663" s="3055"/>
      <c r="CP663" s="3055"/>
      <c r="CQ663" s="3055"/>
      <c r="CR663" s="3055"/>
      <c r="CS663" s="3055"/>
      <c r="CU663" s="3054"/>
      <c r="CV663" s="696"/>
      <c r="CW663" s="696"/>
      <c r="CZ663" s="3060">
        <f t="shared" si="17"/>
      </c>
      <c r="DA663" s="3060">
        <f t="shared" si="1"/>
      </c>
      <c r="DB663" s="3060">
        <f t="shared" si="18"/>
      </c>
      <c r="DC663" s="3060">
        <f t="shared" si="19"/>
      </c>
      <c r="DD663" s="3060">
        <f t="shared" si="20"/>
      </c>
      <c r="DE663" s="3060">
        <f t="shared" si="21"/>
      </c>
      <c r="DF663" s="3060">
        <f t="shared" si="22"/>
      </c>
      <c r="DG663" s="3060">
        <f t="shared" si="23"/>
      </c>
      <c r="DH663" s="3060">
        <f t="shared" si="24"/>
      </c>
      <c r="DI663" s="3060">
        <f t="shared" si="1"/>
      </c>
    </row>
    <row r="664" ht="15" customHeight="1" s="3052" customFormat="1">
      <c r="B664" s="3054">
        <f t="shared" si="2"/>
      </c>
      <c r="C664" s="3054"/>
      <c r="D664" s="3054"/>
      <c r="E664" s="3055"/>
      <c r="F664" s="3055"/>
      <c r="G664" s="3055"/>
      <c r="H664" s="3055"/>
      <c r="I664" s="3055"/>
      <c r="J664" s="3055"/>
      <c r="K664" s="3055"/>
      <c r="L664" s="3055"/>
      <c r="M664" s="3055"/>
      <c r="N664" s="3055"/>
      <c r="O664" s="3055"/>
      <c r="P664" s="3055"/>
      <c r="Q664" s="3055"/>
      <c r="R664" s="3055">
        <f t="shared" si="3"/>
        <v>0</v>
      </c>
      <c r="S664" s="3055">
        <f t="shared" si="4"/>
        <v>0</v>
      </c>
      <c r="T664" s="3055">
        <f t="shared" si="5"/>
        <v>0</v>
      </c>
      <c r="U664" s="3055">
        <f t="shared" si="6"/>
        <v>0</v>
      </c>
      <c r="V664" s="3055">
        <f t="shared" si="7"/>
        <v>0</v>
      </c>
      <c r="W664" s="3055">
        <f t="shared" si="8"/>
        <v>0</v>
      </c>
      <c r="X664" s="3055">
        <f t="shared" si="9"/>
        <v>0</v>
      </c>
      <c r="Y664" s="3055">
        <f t="shared" si="10"/>
        <v>0</v>
      </c>
      <c r="Z664" s="3055">
        <f t="shared" si="11"/>
        <v>0</v>
      </c>
      <c r="AA664" s="3055">
        <f t="shared" si="12"/>
        <v>0</v>
      </c>
      <c r="AB664" s="3055">
        <f t="shared" si="13"/>
        <v>0</v>
      </c>
      <c r="AC664" s="3055">
        <f t="shared" si="14"/>
        <v>0</v>
      </c>
      <c r="AD664" s="3056"/>
      <c r="AE664" s="3057">
        <f t="shared" si="0"/>
      </c>
      <c r="AF664" s="3054"/>
      <c r="AG664" s="3054"/>
      <c r="AH664" s="3055"/>
      <c r="AI664" s="3055"/>
      <c r="AJ664" s="3055"/>
      <c r="AK664" s="3055"/>
      <c r="AL664" s="3055"/>
      <c r="AM664" s="3055"/>
      <c r="AN664" s="3055"/>
      <c r="AO664" s="3055"/>
      <c r="AP664" s="3055"/>
      <c r="AQ664" s="3055"/>
      <c r="AR664" s="3055"/>
      <c r="AS664" s="3055"/>
      <c r="AT664" s="3055"/>
      <c r="AU664" s="3056"/>
      <c r="AV664" s="3057">
        <f t="shared" si="15"/>
      </c>
      <c r="AW664" s="3054"/>
      <c r="AX664" s="3054"/>
      <c r="AY664" s="3055"/>
      <c r="AZ664" s="3055"/>
      <c r="BA664" s="3055"/>
      <c r="BB664" s="3055"/>
      <c r="BC664" s="3055"/>
      <c r="BD664" s="3055"/>
      <c r="BE664" s="3055"/>
      <c r="BF664" s="3055"/>
      <c r="BG664" s="3055"/>
      <c r="BH664" s="3055"/>
      <c r="BI664" s="3055"/>
      <c r="BJ664" s="3055"/>
      <c r="BK664" s="3055"/>
      <c r="BL664" s="3056"/>
      <c r="BM664" s="3057">
        <f t="shared" si="16"/>
      </c>
      <c r="BN664" s="3054"/>
      <c r="BO664" s="3054"/>
      <c r="BP664" s="3055"/>
      <c r="BQ664" s="3055"/>
      <c r="BR664" s="3055"/>
      <c r="BS664" s="3055"/>
      <c r="BT664" s="3055"/>
      <c r="BU664" s="3055"/>
      <c r="BV664" s="3055"/>
      <c r="BW664" s="3055"/>
      <c r="BX664" s="3055"/>
      <c r="BY664" s="3055"/>
      <c r="BZ664" s="3055"/>
      <c r="CA664" s="3055"/>
      <c r="CB664" s="3055"/>
      <c r="CC664" s="3056"/>
      <c r="CD664" s="3057">
        <f t="shared" si="0"/>
      </c>
      <c r="CE664" s="3054"/>
      <c r="CF664" s="3054"/>
      <c r="CG664" s="3055"/>
      <c r="CH664" s="3055"/>
      <c r="CI664" s="3055"/>
      <c r="CJ664" s="3055"/>
      <c r="CK664" s="3055"/>
      <c r="CL664" s="3055"/>
      <c r="CM664" s="3055"/>
      <c r="CN664" s="3055"/>
      <c r="CO664" s="3055"/>
      <c r="CP664" s="3055"/>
      <c r="CQ664" s="3055"/>
      <c r="CR664" s="3055"/>
      <c r="CS664" s="3055"/>
      <c r="CU664" s="3054"/>
      <c r="CV664" s="696"/>
      <c r="CW664" s="696"/>
      <c r="CZ664" s="3060">
        <f t="shared" si="17"/>
      </c>
      <c r="DA664" s="3060">
        <f t="shared" si="1"/>
      </c>
      <c r="DB664" s="3060">
        <f t="shared" si="18"/>
      </c>
      <c r="DC664" s="3060">
        <f t="shared" si="19"/>
      </c>
      <c r="DD664" s="3060">
        <f t="shared" si="20"/>
      </c>
      <c r="DE664" s="3060">
        <f t="shared" si="21"/>
      </c>
      <c r="DF664" s="3060">
        <f t="shared" si="22"/>
      </c>
      <c r="DG664" s="3060">
        <f t="shared" si="23"/>
      </c>
      <c r="DH664" s="3060">
        <f t="shared" si="24"/>
      </c>
      <c r="DI664" s="3060">
        <f t="shared" si="1"/>
      </c>
    </row>
    <row r="665" ht="15" customHeight="1" s="3052" customFormat="1">
      <c r="B665" s="3054">
        <f t="shared" si="2"/>
      </c>
      <c r="C665" s="3054"/>
      <c r="D665" s="3054"/>
      <c r="E665" s="3055"/>
      <c r="F665" s="3055"/>
      <c r="G665" s="3055"/>
      <c r="H665" s="3055"/>
      <c r="I665" s="3055"/>
      <c r="J665" s="3055"/>
      <c r="K665" s="3055"/>
      <c r="L665" s="3055"/>
      <c r="M665" s="3055"/>
      <c r="N665" s="3055"/>
      <c r="O665" s="3055"/>
      <c r="P665" s="3055"/>
      <c r="Q665" s="3055"/>
      <c r="R665" s="3055">
        <f t="shared" si="3"/>
        <v>0</v>
      </c>
      <c r="S665" s="3055">
        <f t="shared" si="4"/>
        <v>0</v>
      </c>
      <c r="T665" s="3055">
        <f t="shared" si="5"/>
        <v>0</v>
      </c>
      <c r="U665" s="3055">
        <f t="shared" si="6"/>
        <v>0</v>
      </c>
      <c r="V665" s="3055">
        <f t="shared" si="7"/>
        <v>0</v>
      </c>
      <c r="W665" s="3055">
        <f t="shared" si="8"/>
        <v>0</v>
      </c>
      <c r="X665" s="3055">
        <f t="shared" si="9"/>
        <v>0</v>
      </c>
      <c r="Y665" s="3055">
        <f t="shared" si="10"/>
        <v>0</v>
      </c>
      <c r="Z665" s="3055">
        <f t="shared" si="11"/>
        <v>0</v>
      </c>
      <c r="AA665" s="3055">
        <f t="shared" si="12"/>
        <v>0</v>
      </c>
      <c r="AB665" s="3055">
        <f t="shared" si="13"/>
        <v>0</v>
      </c>
      <c r="AC665" s="3055">
        <f t="shared" si="14"/>
        <v>0</v>
      </c>
      <c r="AD665" s="3056"/>
      <c r="AE665" s="3057">
        <f t="shared" si="0"/>
      </c>
      <c r="AF665" s="3054"/>
      <c r="AG665" s="3054"/>
      <c r="AH665" s="3055"/>
      <c r="AI665" s="3055"/>
      <c r="AJ665" s="3055"/>
      <c r="AK665" s="3055"/>
      <c r="AL665" s="3055"/>
      <c r="AM665" s="3055"/>
      <c r="AN665" s="3055"/>
      <c r="AO665" s="3055"/>
      <c r="AP665" s="3055"/>
      <c r="AQ665" s="3055"/>
      <c r="AR665" s="3055"/>
      <c r="AS665" s="3055"/>
      <c r="AT665" s="3055"/>
      <c r="AU665" s="3056"/>
      <c r="AV665" s="3057">
        <f t="shared" si="15"/>
      </c>
      <c r="AW665" s="3054"/>
      <c r="AX665" s="3054"/>
      <c r="AY665" s="3055"/>
      <c r="AZ665" s="3055"/>
      <c r="BA665" s="3055"/>
      <c r="BB665" s="3055"/>
      <c r="BC665" s="3055"/>
      <c r="BD665" s="3055"/>
      <c r="BE665" s="3055"/>
      <c r="BF665" s="3055"/>
      <c r="BG665" s="3055"/>
      <c r="BH665" s="3055"/>
      <c r="BI665" s="3055"/>
      <c r="BJ665" s="3055"/>
      <c r="BK665" s="3055"/>
      <c r="BL665" s="3056"/>
      <c r="BM665" s="3057">
        <f t="shared" si="16"/>
      </c>
      <c r="BN665" s="3054"/>
      <c r="BO665" s="3054"/>
      <c r="BP665" s="3055"/>
      <c r="BQ665" s="3055"/>
      <c r="BR665" s="3055"/>
      <c r="BS665" s="3055"/>
      <c r="BT665" s="3055"/>
      <c r="BU665" s="3055"/>
      <c r="BV665" s="3055"/>
      <c r="BW665" s="3055"/>
      <c r="BX665" s="3055"/>
      <c r="BY665" s="3055"/>
      <c r="BZ665" s="3055"/>
      <c r="CA665" s="3055"/>
      <c r="CB665" s="3055"/>
      <c r="CC665" s="3056"/>
      <c r="CD665" s="3057">
        <f t="shared" si="0"/>
      </c>
      <c r="CE665" s="3054"/>
      <c r="CF665" s="3054"/>
      <c r="CG665" s="3055"/>
      <c r="CH665" s="3055"/>
      <c r="CI665" s="3055"/>
      <c r="CJ665" s="3055"/>
      <c r="CK665" s="3055"/>
      <c r="CL665" s="3055"/>
      <c r="CM665" s="3055"/>
      <c r="CN665" s="3055"/>
      <c r="CO665" s="3055"/>
      <c r="CP665" s="3055"/>
      <c r="CQ665" s="3055"/>
      <c r="CR665" s="3055"/>
      <c r="CS665" s="3055"/>
      <c r="CU665" s="3054"/>
      <c r="CV665" s="696"/>
      <c r="CW665" s="696"/>
      <c r="CZ665" s="3060">
        <f t="shared" si="17"/>
      </c>
      <c r="DA665" s="3060">
        <f t="shared" si="1"/>
      </c>
      <c r="DB665" s="3060">
        <f t="shared" si="18"/>
      </c>
      <c r="DC665" s="3060">
        <f t="shared" si="19"/>
      </c>
      <c r="DD665" s="3060">
        <f t="shared" si="20"/>
      </c>
      <c r="DE665" s="3060">
        <f t="shared" si="21"/>
      </c>
      <c r="DF665" s="3060">
        <f t="shared" si="22"/>
      </c>
      <c r="DG665" s="3060">
        <f t="shared" si="23"/>
      </c>
      <c r="DH665" s="3060">
        <f t="shared" si="24"/>
      </c>
      <c r="DI665" s="3060">
        <f t="shared" si="1"/>
      </c>
    </row>
    <row r="666" ht="15" customHeight="1" s="3052" customFormat="1">
      <c r="B666" s="3054">
        <f t="shared" si="2"/>
      </c>
      <c r="C666" s="3054"/>
      <c r="D666" s="3054"/>
      <c r="E666" s="3055"/>
      <c r="F666" s="3055"/>
      <c r="G666" s="3055"/>
      <c r="H666" s="3055"/>
      <c r="I666" s="3055"/>
      <c r="J666" s="3055"/>
      <c r="K666" s="3055"/>
      <c r="L666" s="3055"/>
      <c r="M666" s="3055"/>
      <c r="N666" s="3055"/>
      <c r="O666" s="3055"/>
      <c r="P666" s="3055"/>
      <c r="Q666" s="3055"/>
      <c r="R666" s="3055">
        <f t="shared" si="3"/>
        <v>0</v>
      </c>
      <c r="S666" s="3055">
        <f t="shared" si="4"/>
        <v>0</v>
      </c>
      <c r="T666" s="3055">
        <f t="shared" si="5"/>
        <v>0</v>
      </c>
      <c r="U666" s="3055">
        <f t="shared" si="6"/>
        <v>0</v>
      </c>
      <c r="V666" s="3055">
        <f t="shared" si="7"/>
        <v>0</v>
      </c>
      <c r="W666" s="3055">
        <f t="shared" si="8"/>
        <v>0</v>
      </c>
      <c r="X666" s="3055">
        <f t="shared" si="9"/>
        <v>0</v>
      </c>
      <c r="Y666" s="3055">
        <f t="shared" si="10"/>
        <v>0</v>
      </c>
      <c r="Z666" s="3055">
        <f t="shared" si="11"/>
        <v>0</v>
      </c>
      <c r="AA666" s="3055">
        <f t="shared" si="12"/>
        <v>0</v>
      </c>
      <c r="AB666" s="3055">
        <f t="shared" si="13"/>
        <v>0</v>
      </c>
      <c r="AC666" s="3055">
        <f t="shared" si="14"/>
        <v>0</v>
      </c>
      <c r="AD666" s="3056"/>
      <c r="AE666" s="3057">
        <f t="shared" si="0"/>
      </c>
      <c r="AF666" s="3054"/>
      <c r="AG666" s="3054"/>
      <c r="AH666" s="3055"/>
      <c r="AI666" s="3055"/>
      <c r="AJ666" s="3055"/>
      <c r="AK666" s="3055"/>
      <c r="AL666" s="3055"/>
      <c r="AM666" s="3055"/>
      <c r="AN666" s="3055"/>
      <c r="AO666" s="3055"/>
      <c r="AP666" s="3055"/>
      <c r="AQ666" s="3055"/>
      <c r="AR666" s="3055"/>
      <c r="AS666" s="3055"/>
      <c r="AT666" s="3055"/>
      <c r="AU666" s="3056"/>
      <c r="AV666" s="3057">
        <f t="shared" si="15"/>
      </c>
      <c r="AW666" s="3054"/>
      <c r="AX666" s="3054"/>
      <c r="AY666" s="3055"/>
      <c r="AZ666" s="3055"/>
      <c r="BA666" s="3055"/>
      <c r="BB666" s="3055"/>
      <c r="BC666" s="3055"/>
      <c r="BD666" s="3055"/>
      <c r="BE666" s="3055"/>
      <c r="BF666" s="3055"/>
      <c r="BG666" s="3055"/>
      <c r="BH666" s="3055"/>
      <c r="BI666" s="3055"/>
      <c r="BJ666" s="3055"/>
      <c r="BK666" s="3055"/>
      <c r="BL666" s="3056"/>
      <c r="BM666" s="3057">
        <f t="shared" si="16"/>
      </c>
      <c r="BN666" s="3054"/>
      <c r="BO666" s="3054"/>
      <c r="BP666" s="3055"/>
      <c r="BQ666" s="3055"/>
      <c r="BR666" s="3055"/>
      <c r="BS666" s="3055"/>
      <c r="BT666" s="3055"/>
      <c r="BU666" s="3055"/>
      <c r="BV666" s="3055"/>
      <c r="BW666" s="3055"/>
      <c r="BX666" s="3055"/>
      <c r="BY666" s="3055"/>
      <c r="BZ666" s="3055"/>
      <c r="CA666" s="3055"/>
      <c r="CB666" s="3055"/>
      <c r="CC666" s="3056"/>
      <c r="CD666" s="3057">
        <f t="shared" si="0"/>
      </c>
      <c r="CE666" s="3054"/>
      <c r="CF666" s="3054"/>
      <c r="CG666" s="3055"/>
      <c r="CH666" s="3055"/>
      <c r="CI666" s="3055"/>
      <c r="CJ666" s="3055"/>
      <c r="CK666" s="3055"/>
      <c r="CL666" s="3055"/>
      <c r="CM666" s="3055"/>
      <c r="CN666" s="3055"/>
      <c r="CO666" s="3055"/>
      <c r="CP666" s="3055"/>
      <c r="CQ666" s="3055"/>
      <c r="CR666" s="3055"/>
      <c r="CS666" s="3055"/>
      <c r="CU666" s="3054"/>
      <c r="CV666" s="696"/>
      <c r="CW666" s="696"/>
      <c r="CZ666" s="3060">
        <f t="shared" si="17"/>
      </c>
      <c r="DA666" s="3060">
        <f t="shared" si="1"/>
      </c>
      <c r="DB666" s="3060">
        <f t="shared" si="18"/>
      </c>
      <c r="DC666" s="3060">
        <f t="shared" si="19"/>
      </c>
      <c r="DD666" s="3060">
        <f t="shared" si="20"/>
      </c>
      <c r="DE666" s="3060">
        <f t="shared" si="21"/>
      </c>
      <c r="DF666" s="3060">
        <f t="shared" si="22"/>
      </c>
      <c r="DG666" s="3060">
        <f t="shared" si="23"/>
      </c>
      <c r="DH666" s="3060">
        <f t="shared" si="24"/>
      </c>
      <c r="DI666" s="3060">
        <f t="shared" si="1"/>
      </c>
    </row>
    <row r="667" ht="15" customHeight="1" s="3052" customFormat="1">
      <c r="B667" s="3054">
        <f t="shared" si="2"/>
      </c>
      <c r="C667" s="3054"/>
      <c r="D667" s="3054"/>
      <c r="E667" s="3055"/>
      <c r="F667" s="3055"/>
      <c r="G667" s="3055"/>
      <c r="H667" s="3055"/>
      <c r="I667" s="3055"/>
      <c r="J667" s="3055"/>
      <c r="K667" s="3055"/>
      <c r="L667" s="3055"/>
      <c r="M667" s="3055"/>
      <c r="N667" s="3055"/>
      <c r="O667" s="3055"/>
      <c r="P667" s="3055"/>
      <c r="Q667" s="3055"/>
      <c r="R667" s="3055">
        <f t="shared" si="3"/>
        <v>0</v>
      </c>
      <c r="S667" s="3055">
        <f t="shared" si="4"/>
        <v>0</v>
      </c>
      <c r="T667" s="3055">
        <f t="shared" si="5"/>
        <v>0</v>
      </c>
      <c r="U667" s="3055">
        <f t="shared" si="6"/>
        <v>0</v>
      </c>
      <c r="V667" s="3055">
        <f t="shared" si="7"/>
        <v>0</v>
      </c>
      <c r="W667" s="3055">
        <f t="shared" si="8"/>
        <v>0</v>
      </c>
      <c r="X667" s="3055">
        <f t="shared" si="9"/>
        <v>0</v>
      </c>
      <c r="Y667" s="3055">
        <f t="shared" si="10"/>
        <v>0</v>
      </c>
      <c r="Z667" s="3055">
        <f t="shared" si="11"/>
        <v>0</v>
      </c>
      <c r="AA667" s="3055">
        <f t="shared" si="12"/>
        <v>0</v>
      </c>
      <c r="AB667" s="3055">
        <f t="shared" si="13"/>
        <v>0</v>
      </c>
      <c r="AC667" s="3055">
        <f t="shared" si="14"/>
        <v>0</v>
      </c>
      <c r="AD667" s="3056"/>
      <c r="AE667" s="3057">
        <f t="shared" si="0"/>
      </c>
      <c r="AF667" s="3054"/>
      <c r="AG667" s="3054"/>
      <c r="AH667" s="3055"/>
      <c r="AI667" s="3055"/>
      <c r="AJ667" s="3055"/>
      <c r="AK667" s="3055"/>
      <c r="AL667" s="3055"/>
      <c r="AM667" s="3055"/>
      <c r="AN667" s="3055"/>
      <c r="AO667" s="3055"/>
      <c r="AP667" s="3055"/>
      <c r="AQ667" s="3055"/>
      <c r="AR667" s="3055"/>
      <c r="AS667" s="3055"/>
      <c r="AT667" s="3055"/>
      <c r="AU667" s="3056"/>
      <c r="AV667" s="3057">
        <f t="shared" si="15"/>
      </c>
      <c r="AW667" s="3054"/>
      <c r="AX667" s="3054"/>
      <c r="AY667" s="3055"/>
      <c r="AZ667" s="3055"/>
      <c r="BA667" s="3055"/>
      <c r="BB667" s="3055"/>
      <c r="BC667" s="3055"/>
      <c r="BD667" s="3055"/>
      <c r="BE667" s="3055"/>
      <c r="BF667" s="3055"/>
      <c r="BG667" s="3055"/>
      <c r="BH667" s="3055"/>
      <c r="BI667" s="3055"/>
      <c r="BJ667" s="3055"/>
      <c r="BK667" s="3055"/>
      <c r="BL667" s="3056"/>
      <c r="BM667" s="3057">
        <f t="shared" si="16"/>
      </c>
      <c r="BN667" s="3054"/>
      <c r="BO667" s="3054"/>
      <c r="BP667" s="3055"/>
      <c r="BQ667" s="3055"/>
      <c r="BR667" s="3055"/>
      <c r="BS667" s="3055"/>
      <c r="BT667" s="3055"/>
      <c r="BU667" s="3055"/>
      <c r="BV667" s="3055"/>
      <c r="BW667" s="3055"/>
      <c r="BX667" s="3055"/>
      <c r="BY667" s="3055"/>
      <c r="BZ667" s="3055"/>
      <c r="CA667" s="3055"/>
      <c r="CB667" s="3055"/>
      <c r="CC667" s="3056"/>
      <c r="CD667" s="3057">
        <f t="shared" si="0"/>
      </c>
      <c r="CE667" s="3054"/>
      <c r="CF667" s="3054"/>
      <c r="CG667" s="3055"/>
      <c r="CH667" s="3055"/>
      <c r="CI667" s="3055"/>
      <c r="CJ667" s="3055"/>
      <c r="CK667" s="3055"/>
      <c r="CL667" s="3055"/>
      <c r="CM667" s="3055"/>
      <c r="CN667" s="3055"/>
      <c r="CO667" s="3055"/>
      <c r="CP667" s="3055"/>
      <c r="CQ667" s="3055"/>
      <c r="CR667" s="3055"/>
      <c r="CS667" s="3055"/>
      <c r="CU667" s="3054"/>
      <c r="CV667" s="696"/>
      <c r="CW667" s="696"/>
      <c r="CZ667" s="3060">
        <f t="shared" si="17"/>
      </c>
      <c r="DA667" s="3060">
        <f t="shared" si="1"/>
      </c>
      <c r="DB667" s="3060">
        <f t="shared" si="18"/>
      </c>
      <c r="DC667" s="3060">
        <f t="shared" si="19"/>
      </c>
      <c r="DD667" s="3060">
        <f t="shared" si="20"/>
      </c>
      <c r="DE667" s="3060">
        <f t="shared" si="21"/>
      </c>
      <c r="DF667" s="3060">
        <f t="shared" si="22"/>
      </c>
      <c r="DG667" s="3060">
        <f t="shared" si="23"/>
      </c>
      <c r="DH667" s="3060">
        <f t="shared" si="24"/>
      </c>
      <c r="DI667" s="3060">
        <f t="shared" si="1"/>
      </c>
    </row>
    <row r="668" ht="15" customHeight="1" s="3052" customFormat="1">
      <c r="B668" s="3054">
        <f t="shared" si="2"/>
      </c>
      <c r="C668" s="3054"/>
      <c r="D668" s="3054"/>
      <c r="E668" s="3055"/>
      <c r="F668" s="3055"/>
      <c r="G668" s="3055"/>
      <c r="H668" s="3055"/>
      <c r="I668" s="3055"/>
      <c r="J668" s="3055"/>
      <c r="K668" s="3055"/>
      <c r="L668" s="3055"/>
      <c r="M668" s="3055"/>
      <c r="N668" s="3055"/>
      <c r="O668" s="3055"/>
      <c r="P668" s="3055"/>
      <c r="Q668" s="3055"/>
      <c r="R668" s="3055">
        <f t="shared" si="3"/>
        <v>0</v>
      </c>
      <c r="S668" s="3055">
        <f t="shared" si="4"/>
        <v>0</v>
      </c>
      <c r="T668" s="3055">
        <f t="shared" si="5"/>
        <v>0</v>
      </c>
      <c r="U668" s="3055">
        <f t="shared" si="6"/>
        <v>0</v>
      </c>
      <c r="V668" s="3055">
        <f t="shared" si="7"/>
        <v>0</v>
      </c>
      <c r="W668" s="3055">
        <f t="shared" si="8"/>
        <v>0</v>
      </c>
      <c r="X668" s="3055">
        <f t="shared" si="9"/>
        <v>0</v>
      </c>
      <c r="Y668" s="3055">
        <f t="shared" si="10"/>
        <v>0</v>
      </c>
      <c r="Z668" s="3055">
        <f t="shared" si="11"/>
        <v>0</v>
      </c>
      <c r="AA668" s="3055">
        <f t="shared" si="12"/>
        <v>0</v>
      </c>
      <c r="AB668" s="3055">
        <f t="shared" si="13"/>
        <v>0</v>
      </c>
      <c r="AC668" s="3055">
        <f t="shared" si="14"/>
        <v>0</v>
      </c>
      <c r="AD668" s="3056"/>
      <c r="AE668" s="3057">
        <f t="shared" si="0"/>
      </c>
      <c r="AF668" s="3054"/>
      <c r="AG668" s="3054"/>
      <c r="AH668" s="3055"/>
      <c r="AI668" s="3055"/>
      <c r="AJ668" s="3055"/>
      <c r="AK668" s="3055"/>
      <c r="AL668" s="3055"/>
      <c r="AM668" s="3055"/>
      <c r="AN668" s="3055"/>
      <c r="AO668" s="3055"/>
      <c r="AP668" s="3055"/>
      <c r="AQ668" s="3055"/>
      <c r="AR668" s="3055"/>
      <c r="AS668" s="3055"/>
      <c r="AT668" s="3055"/>
      <c r="AU668" s="3056"/>
      <c r="AV668" s="3057">
        <f t="shared" si="15"/>
      </c>
      <c r="AW668" s="3054"/>
      <c r="AX668" s="3054"/>
      <c r="AY668" s="3055"/>
      <c r="AZ668" s="3055"/>
      <c r="BA668" s="3055"/>
      <c r="BB668" s="3055"/>
      <c r="BC668" s="3055"/>
      <c r="BD668" s="3055"/>
      <c r="BE668" s="3055"/>
      <c r="BF668" s="3055"/>
      <c r="BG668" s="3055"/>
      <c r="BH668" s="3055"/>
      <c r="BI668" s="3055"/>
      <c r="BJ668" s="3055"/>
      <c r="BK668" s="3055"/>
      <c r="BL668" s="3056"/>
      <c r="BM668" s="3057">
        <f t="shared" si="16"/>
      </c>
      <c r="BN668" s="3054"/>
      <c r="BO668" s="3054"/>
      <c r="BP668" s="3055"/>
      <c r="BQ668" s="3055"/>
      <c r="BR668" s="3055"/>
      <c r="BS668" s="3055"/>
      <c r="BT668" s="3055"/>
      <c r="BU668" s="3055"/>
      <c r="BV668" s="3055"/>
      <c r="BW668" s="3055"/>
      <c r="BX668" s="3055"/>
      <c r="BY668" s="3055"/>
      <c r="BZ668" s="3055"/>
      <c r="CA668" s="3055"/>
      <c r="CB668" s="3055"/>
      <c r="CC668" s="3056"/>
      <c r="CD668" s="3057">
        <f t="shared" si="0"/>
      </c>
      <c r="CE668" s="3054"/>
      <c r="CF668" s="3054"/>
      <c r="CG668" s="3055"/>
      <c r="CH668" s="3055"/>
      <c r="CI668" s="3055"/>
      <c r="CJ668" s="3055"/>
      <c r="CK668" s="3055"/>
      <c r="CL668" s="3055"/>
      <c r="CM668" s="3055"/>
      <c r="CN668" s="3055"/>
      <c r="CO668" s="3055"/>
      <c r="CP668" s="3055"/>
      <c r="CQ668" s="3055"/>
      <c r="CR668" s="3055"/>
      <c r="CS668" s="3055"/>
      <c r="CU668" s="3054"/>
      <c r="CV668" s="696"/>
      <c r="CW668" s="696"/>
      <c r="CZ668" s="3060">
        <f t="shared" si="17"/>
      </c>
      <c r="DA668" s="3060">
        <f t="shared" si="1"/>
      </c>
      <c r="DB668" s="3060">
        <f t="shared" si="18"/>
      </c>
      <c r="DC668" s="3060">
        <f t="shared" si="19"/>
      </c>
      <c r="DD668" s="3060">
        <f t="shared" si="20"/>
      </c>
      <c r="DE668" s="3060">
        <f t="shared" si="21"/>
      </c>
      <c r="DF668" s="3060">
        <f t="shared" si="22"/>
      </c>
      <c r="DG668" s="3060">
        <f t="shared" si="23"/>
      </c>
      <c r="DH668" s="3060">
        <f t="shared" si="24"/>
      </c>
      <c r="DI668" s="3060">
        <f t="shared" si="1"/>
      </c>
    </row>
    <row r="669" ht="15" customHeight="1" s="3052" customFormat="1">
      <c r="B669" s="3054">
        <f t="shared" si="2"/>
      </c>
      <c r="C669" s="3054"/>
      <c r="D669" s="3054"/>
      <c r="E669" s="3055"/>
      <c r="F669" s="3055"/>
      <c r="G669" s="3055"/>
      <c r="H669" s="3055"/>
      <c r="I669" s="3055"/>
      <c r="J669" s="3055"/>
      <c r="K669" s="3055"/>
      <c r="L669" s="3055"/>
      <c r="M669" s="3055"/>
      <c r="N669" s="3055"/>
      <c r="O669" s="3055"/>
      <c r="P669" s="3055"/>
      <c r="Q669" s="3055"/>
      <c r="R669" s="3055">
        <f t="shared" si="3"/>
        <v>0</v>
      </c>
      <c r="S669" s="3055">
        <f t="shared" si="4"/>
        <v>0</v>
      </c>
      <c r="T669" s="3055">
        <f t="shared" si="5"/>
        <v>0</v>
      </c>
      <c r="U669" s="3055">
        <f t="shared" si="6"/>
        <v>0</v>
      </c>
      <c r="V669" s="3055">
        <f t="shared" si="7"/>
        <v>0</v>
      </c>
      <c r="W669" s="3055">
        <f t="shared" si="8"/>
        <v>0</v>
      </c>
      <c r="X669" s="3055">
        <f t="shared" si="9"/>
        <v>0</v>
      </c>
      <c r="Y669" s="3055">
        <f t="shared" si="10"/>
        <v>0</v>
      </c>
      <c r="Z669" s="3055">
        <f t="shared" si="11"/>
        <v>0</v>
      </c>
      <c r="AA669" s="3055">
        <f t="shared" si="12"/>
        <v>0</v>
      </c>
      <c r="AB669" s="3055">
        <f t="shared" si="13"/>
        <v>0</v>
      </c>
      <c r="AC669" s="3055">
        <f t="shared" si="14"/>
        <v>0</v>
      </c>
      <c r="AD669" s="3056"/>
      <c r="AE669" s="3057">
        <f t="shared" si="0"/>
      </c>
      <c r="AF669" s="3054"/>
      <c r="AG669" s="3054"/>
      <c r="AH669" s="3055"/>
      <c r="AI669" s="3055"/>
      <c r="AJ669" s="3055"/>
      <c r="AK669" s="3055"/>
      <c r="AL669" s="3055"/>
      <c r="AM669" s="3055"/>
      <c r="AN669" s="3055"/>
      <c r="AO669" s="3055"/>
      <c r="AP669" s="3055"/>
      <c r="AQ669" s="3055"/>
      <c r="AR669" s="3055"/>
      <c r="AS669" s="3055"/>
      <c r="AT669" s="3055"/>
      <c r="AU669" s="3056"/>
      <c r="AV669" s="3057">
        <f t="shared" si="15"/>
      </c>
      <c r="AW669" s="3054"/>
      <c r="AX669" s="3054"/>
      <c r="AY669" s="3055"/>
      <c r="AZ669" s="3055"/>
      <c r="BA669" s="3055"/>
      <c r="BB669" s="3055"/>
      <c r="BC669" s="3055"/>
      <c r="BD669" s="3055"/>
      <c r="BE669" s="3055"/>
      <c r="BF669" s="3055"/>
      <c r="BG669" s="3055"/>
      <c r="BH669" s="3055"/>
      <c r="BI669" s="3055"/>
      <c r="BJ669" s="3055"/>
      <c r="BK669" s="3055"/>
      <c r="BL669" s="3056"/>
      <c r="BM669" s="3057">
        <f t="shared" si="16"/>
      </c>
      <c r="BN669" s="3054"/>
      <c r="BO669" s="3054"/>
      <c r="BP669" s="3055"/>
      <c r="BQ669" s="3055"/>
      <c r="BR669" s="3055"/>
      <c r="BS669" s="3055"/>
      <c r="BT669" s="3055"/>
      <c r="BU669" s="3055"/>
      <c r="BV669" s="3055"/>
      <c r="BW669" s="3055"/>
      <c r="BX669" s="3055"/>
      <c r="BY669" s="3055"/>
      <c r="BZ669" s="3055"/>
      <c r="CA669" s="3055"/>
      <c r="CB669" s="3055"/>
      <c r="CC669" s="3056"/>
      <c r="CD669" s="3057">
        <f t="shared" si="0"/>
      </c>
      <c r="CE669" s="3054"/>
      <c r="CF669" s="3054"/>
      <c r="CG669" s="3055"/>
      <c r="CH669" s="3055"/>
      <c r="CI669" s="3055"/>
      <c r="CJ669" s="3055"/>
      <c r="CK669" s="3055"/>
      <c r="CL669" s="3055"/>
      <c r="CM669" s="3055"/>
      <c r="CN669" s="3055"/>
      <c r="CO669" s="3055"/>
      <c r="CP669" s="3055"/>
      <c r="CQ669" s="3055"/>
      <c r="CR669" s="3055"/>
      <c r="CS669" s="3055"/>
      <c r="CU669" s="3054"/>
      <c r="CV669" s="696"/>
      <c r="CW669" s="696"/>
      <c r="CZ669" s="3060">
        <f t="shared" si="17"/>
      </c>
      <c r="DA669" s="3060">
        <f t="shared" si="1"/>
      </c>
      <c r="DB669" s="3060">
        <f t="shared" si="18"/>
      </c>
      <c r="DC669" s="3060">
        <f t="shared" si="19"/>
      </c>
      <c r="DD669" s="3060">
        <f t="shared" si="20"/>
      </c>
      <c r="DE669" s="3060">
        <f t="shared" si="21"/>
      </c>
      <c r="DF669" s="3060">
        <f t="shared" si="22"/>
      </c>
      <c r="DG669" s="3060">
        <f t="shared" si="23"/>
      </c>
      <c r="DH669" s="3060">
        <f t="shared" si="24"/>
      </c>
      <c r="DI669" s="3060">
        <f t="shared" si="1"/>
      </c>
    </row>
    <row r="670" ht="15" customHeight="1" s="3052" customFormat="1">
      <c r="B670" s="3054">
        <f t="shared" si="2"/>
      </c>
      <c r="C670" s="3054"/>
      <c r="D670" s="3054"/>
      <c r="E670" s="3055"/>
      <c r="F670" s="3055"/>
      <c r="G670" s="3055"/>
      <c r="H670" s="3055"/>
      <c r="I670" s="3055"/>
      <c r="J670" s="3055"/>
      <c r="K670" s="3055"/>
      <c r="L670" s="3055"/>
      <c r="M670" s="3055"/>
      <c r="N670" s="3055"/>
      <c r="O670" s="3055"/>
      <c r="P670" s="3055"/>
      <c r="Q670" s="3055"/>
      <c r="R670" s="3055">
        <f t="shared" si="3"/>
        <v>0</v>
      </c>
      <c r="S670" s="3055">
        <f t="shared" si="4"/>
        <v>0</v>
      </c>
      <c r="T670" s="3055">
        <f t="shared" si="5"/>
        <v>0</v>
      </c>
      <c r="U670" s="3055">
        <f t="shared" si="6"/>
        <v>0</v>
      </c>
      <c r="V670" s="3055">
        <f t="shared" si="7"/>
        <v>0</v>
      </c>
      <c r="W670" s="3055">
        <f t="shared" si="8"/>
        <v>0</v>
      </c>
      <c r="X670" s="3055">
        <f t="shared" si="9"/>
        <v>0</v>
      </c>
      <c r="Y670" s="3055">
        <f t="shared" si="10"/>
        <v>0</v>
      </c>
      <c r="Z670" s="3055">
        <f t="shared" si="11"/>
        <v>0</v>
      </c>
      <c r="AA670" s="3055">
        <f t="shared" si="12"/>
        <v>0</v>
      </c>
      <c r="AB670" s="3055">
        <f t="shared" si="13"/>
        <v>0</v>
      </c>
      <c r="AC670" s="3055">
        <f t="shared" si="14"/>
        <v>0</v>
      </c>
      <c r="AD670" s="3056"/>
      <c r="AE670" s="3057">
        <f t="shared" si="0"/>
      </c>
      <c r="AF670" s="3054"/>
      <c r="AG670" s="3054"/>
      <c r="AH670" s="3055"/>
      <c r="AI670" s="3055"/>
      <c r="AJ670" s="3055"/>
      <c r="AK670" s="3055"/>
      <c r="AL670" s="3055"/>
      <c r="AM670" s="3055"/>
      <c r="AN670" s="3055"/>
      <c r="AO670" s="3055"/>
      <c r="AP670" s="3055"/>
      <c r="AQ670" s="3055"/>
      <c r="AR670" s="3055"/>
      <c r="AS670" s="3055"/>
      <c r="AT670" s="3055"/>
      <c r="AU670" s="3056"/>
      <c r="AV670" s="3057">
        <f t="shared" si="15"/>
      </c>
      <c r="AW670" s="3054"/>
      <c r="AX670" s="3054"/>
      <c r="AY670" s="3055"/>
      <c r="AZ670" s="3055"/>
      <c r="BA670" s="3055"/>
      <c r="BB670" s="3055"/>
      <c r="BC670" s="3055"/>
      <c r="BD670" s="3055"/>
      <c r="BE670" s="3055"/>
      <c r="BF670" s="3055"/>
      <c r="BG670" s="3055"/>
      <c r="BH670" s="3055"/>
      <c r="BI670" s="3055"/>
      <c r="BJ670" s="3055"/>
      <c r="BK670" s="3055"/>
      <c r="BL670" s="3056"/>
      <c r="BM670" s="3057">
        <f t="shared" si="16"/>
      </c>
      <c r="BN670" s="3054"/>
      <c r="BO670" s="3054"/>
      <c r="BP670" s="3055"/>
      <c r="BQ670" s="3055"/>
      <c r="BR670" s="3055"/>
      <c r="BS670" s="3055"/>
      <c r="BT670" s="3055"/>
      <c r="BU670" s="3055"/>
      <c r="BV670" s="3055"/>
      <c r="BW670" s="3055"/>
      <c r="BX670" s="3055"/>
      <c r="BY670" s="3055"/>
      <c r="BZ670" s="3055"/>
      <c r="CA670" s="3055"/>
      <c r="CB670" s="3055"/>
      <c r="CC670" s="3056"/>
      <c r="CD670" s="3057">
        <f t="shared" si="0"/>
      </c>
      <c r="CE670" s="3054"/>
      <c r="CF670" s="3054"/>
      <c r="CG670" s="3055"/>
      <c r="CH670" s="3055"/>
      <c r="CI670" s="3055"/>
      <c r="CJ670" s="3055"/>
      <c r="CK670" s="3055"/>
      <c r="CL670" s="3055"/>
      <c r="CM670" s="3055"/>
      <c r="CN670" s="3055"/>
      <c r="CO670" s="3055"/>
      <c r="CP670" s="3055"/>
      <c r="CQ670" s="3055"/>
      <c r="CR670" s="3055"/>
      <c r="CS670" s="3055"/>
      <c r="CU670" s="3054"/>
      <c r="CV670" s="696"/>
      <c r="CW670" s="696"/>
      <c r="CZ670" s="3060">
        <f t="shared" si="17"/>
      </c>
      <c r="DA670" s="3060">
        <f t="shared" si="1"/>
      </c>
      <c r="DB670" s="3060">
        <f t="shared" si="18"/>
      </c>
      <c r="DC670" s="3060">
        <f t="shared" si="19"/>
      </c>
      <c r="DD670" s="3060">
        <f t="shared" si="20"/>
      </c>
      <c r="DE670" s="3060">
        <f t="shared" si="21"/>
      </c>
      <c r="DF670" s="3060">
        <f t="shared" si="22"/>
      </c>
      <c r="DG670" s="3060">
        <f t="shared" si="23"/>
      </c>
      <c r="DH670" s="3060">
        <f t="shared" si="24"/>
      </c>
      <c r="DI670" s="3060">
        <f t="shared" si="1"/>
      </c>
    </row>
    <row r="671" ht="15" customHeight="1" s="3052" customFormat="1">
      <c r="B671" s="3054">
        <f t="shared" si="2"/>
      </c>
      <c r="C671" s="3054"/>
      <c r="D671" s="3054"/>
      <c r="E671" s="3055"/>
      <c r="F671" s="3055"/>
      <c r="G671" s="3055"/>
      <c r="H671" s="3055"/>
      <c r="I671" s="3055"/>
      <c r="J671" s="3055"/>
      <c r="K671" s="3055"/>
      <c r="L671" s="3055"/>
      <c r="M671" s="3055"/>
      <c r="N671" s="3055"/>
      <c r="O671" s="3055"/>
      <c r="P671" s="3055"/>
      <c r="Q671" s="3055"/>
      <c r="R671" s="3055">
        <f t="shared" si="3"/>
        <v>0</v>
      </c>
      <c r="S671" s="3055">
        <f t="shared" si="4"/>
        <v>0</v>
      </c>
      <c r="T671" s="3055">
        <f t="shared" si="5"/>
        <v>0</v>
      </c>
      <c r="U671" s="3055">
        <f t="shared" si="6"/>
        <v>0</v>
      </c>
      <c r="V671" s="3055">
        <f t="shared" si="7"/>
        <v>0</v>
      </c>
      <c r="W671" s="3055">
        <f t="shared" si="8"/>
        <v>0</v>
      </c>
      <c r="X671" s="3055">
        <f t="shared" si="9"/>
        <v>0</v>
      </c>
      <c r="Y671" s="3055">
        <f t="shared" si="10"/>
        <v>0</v>
      </c>
      <c r="Z671" s="3055">
        <f t="shared" si="11"/>
        <v>0</v>
      </c>
      <c r="AA671" s="3055">
        <f t="shared" si="12"/>
        <v>0</v>
      </c>
      <c r="AB671" s="3055">
        <f t="shared" si="13"/>
        <v>0</v>
      </c>
      <c r="AC671" s="3055">
        <f t="shared" si="14"/>
        <v>0</v>
      </c>
      <c r="AD671" s="3056"/>
      <c r="AE671" s="3057">
        <f t="shared" si="0"/>
      </c>
      <c r="AF671" s="3054"/>
      <c r="AG671" s="3054"/>
      <c r="AH671" s="3055"/>
      <c r="AI671" s="3055"/>
      <c r="AJ671" s="3055"/>
      <c r="AK671" s="3055"/>
      <c r="AL671" s="3055"/>
      <c r="AM671" s="3055"/>
      <c r="AN671" s="3055"/>
      <c r="AO671" s="3055"/>
      <c r="AP671" s="3055"/>
      <c r="AQ671" s="3055"/>
      <c r="AR671" s="3055"/>
      <c r="AS671" s="3055"/>
      <c r="AT671" s="3055"/>
      <c r="AU671" s="3056"/>
      <c r="AV671" s="3057">
        <f t="shared" si="15"/>
      </c>
      <c r="AW671" s="3054"/>
      <c r="AX671" s="3054"/>
      <c r="AY671" s="3055"/>
      <c r="AZ671" s="3055"/>
      <c r="BA671" s="3055"/>
      <c r="BB671" s="3055"/>
      <c r="BC671" s="3055"/>
      <c r="BD671" s="3055"/>
      <c r="BE671" s="3055"/>
      <c r="BF671" s="3055"/>
      <c r="BG671" s="3055"/>
      <c r="BH671" s="3055"/>
      <c r="BI671" s="3055"/>
      <c r="BJ671" s="3055"/>
      <c r="BK671" s="3055"/>
      <c r="BL671" s="3056"/>
      <c r="BM671" s="3057">
        <f t="shared" si="16"/>
      </c>
      <c r="BN671" s="3054"/>
      <c r="BO671" s="3054"/>
      <c r="BP671" s="3055"/>
      <c r="BQ671" s="3055"/>
      <c r="BR671" s="3055"/>
      <c r="BS671" s="3055"/>
      <c r="BT671" s="3055"/>
      <c r="BU671" s="3055"/>
      <c r="BV671" s="3055"/>
      <c r="BW671" s="3055"/>
      <c r="BX671" s="3055"/>
      <c r="BY671" s="3055"/>
      <c r="BZ671" s="3055"/>
      <c r="CA671" s="3055"/>
      <c r="CB671" s="3055"/>
      <c r="CC671" s="3056"/>
      <c r="CD671" s="3057">
        <f t="shared" si="0"/>
      </c>
      <c r="CE671" s="3054"/>
      <c r="CF671" s="3054"/>
      <c r="CG671" s="3055"/>
      <c r="CH671" s="3055"/>
      <c r="CI671" s="3055"/>
      <c r="CJ671" s="3055"/>
      <c r="CK671" s="3055"/>
      <c r="CL671" s="3055"/>
      <c r="CM671" s="3055"/>
      <c r="CN671" s="3055"/>
      <c r="CO671" s="3055"/>
      <c r="CP671" s="3055"/>
      <c r="CQ671" s="3055"/>
      <c r="CR671" s="3055"/>
      <c r="CS671" s="3055"/>
      <c r="CU671" s="3054"/>
      <c r="CV671" s="696"/>
      <c r="CW671" s="696"/>
      <c r="CZ671" s="3060">
        <f t="shared" si="17"/>
      </c>
      <c r="DA671" s="3060">
        <f t="shared" si="1"/>
      </c>
      <c r="DB671" s="3060">
        <f t="shared" si="18"/>
      </c>
      <c r="DC671" s="3060">
        <f t="shared" si="19"/>
      </c>
      <c r="DD671" s="3060">
        <f t="shared" si="20"/>
      </c>
      <c r="DE671" s="3060">
        <f t="shared" si="21"/>
      </c>
      <c r="DF671" s="3060">
        <f t="shared" si="22"/>
      </c>
      <c r="DG671" s="3060">
        <f t="shared" si="23"/>
      </c>
      <c r="DH671" s="3060">
        <f t="shared" si="24"/>
      </c>
      <c r="DI671" s="3060">
        <f t="shared" si="1"/>
      </c>
    </row>
    <row r="672" ht="15" customHeight="1" s="3052" customFormat="1">
      <c r="B672" s="3054">
        <f t="shared" si="2"/>
      </c>
      <c r="C672" s="3054"/>
      <c r="D672" s="3054"/>
      <c r="E672" s="3055"/>
      <c r="F672" s="3055"/>
      <c r="G672" s="3055"/>
      <c r="H672" s="3055"/>
      <c r="I672" s="3055"/>
      <c r="J672" s="3055"/>
      <c r="K672" s="3055"/>
      <c r="L672" s="3055"/>
      <c r="M672" s="3055"/>
      <c r="N672" s="3055"/>
      <c r="O672" s="3055"/>
      <c r="P672" s="3055"/>
      <c r="Q672" s="3055"/>
      <c r="R672" s="3055">
        <f t="shared" si="3"/>
        <v>0</v>
      </c>
      <c r="S672" s="3055">
        <f t="shared" si="4"/>
        <v>0</v>
      </c>
      <c r="T672" s="3055">
        <f t="shared" si="5"/>
        <v>0</v>
      </c>
      <c r="U672" s="3055">
        <f t="shared" si="6"/>
        <v>0</v>
      </c>
      <c r="V672" s="3055">
        <f t="shared" si="7"/>
        <v>0</v>
      </c>
      <c r="W672" s="3055">
        <f t="shared" si="8"/>
        <v>0</v>
      </c>
      <c r="X672" s="3055">
        <f t="shared" si="9"/>
        <v>0</v>
      </c>
      <c r="Y672" s="3055">
        <f t="shared" si="10"/>
        <v>0</v>
      </c>
      <c r="Z672" s="3055">
        <f t="shared" si="11"/>
        <v>0</v>
      </c>
      <c r="AA672" s="3055">
        <f t="shared" si="12"/>
        <v>0</v>
      </c>
      <c r="AB672" s="3055">
        <f t="shared" si="13"/>
        <v>0</v>
      </c>
      <c r="AC672" s="3055">
        <f t="shared" si="14"/>
        <v>0</v>
      </c>
      <c r="AD672" s="3056"/>
      <c r="AE672" s="3057">
        <f t="shared" si="0"/>
      </c>
      <c r="AF672" s="3054"/>
      <c r="AG672" s="3054"/>
      <c r="AH672" s="3055"/>
      <c r="AI672" s="3055"/>
      <c r="AJ672" s="3055"/>
      <c r="AK672" s="3055"/>
      <c r="AL672" s="3055"/>
      <c r="AM672" s="3055"/>
      <c r="AN672" s="3055"/>
      <c r="AO672" s="3055"/>
      <c r="AP672" s="3055"/>
      <c r="AQ672" s="3055"/>
      <c r="AR672" s="3055"/>
      <c r="AS672" s="3055"/>
      <c r="AT672" s="3055"/>
      <c r="AU672" s="3056"/>
      <c r="AV672" s="3057">
        <f t="shared" si="15"/>
      </c>
      <c r="AW672" s="3054"/>
      <c r="AX672" s="3054"/>
      <c r="AY672" s="3055"/>
      <c r="AZ672" s="3055"/>
      <c r="BA672" s="3055"/>
      <c r="BB672" s="3055"/>
      <c r="BC672" s="3055"/>
      <c r="BD672" s="3055"/>
      <c r="BE672" s="3055"/>
      <c r="BF672" s="3055"/>
      <c r="BG672" s="3055"/>
      <c r="BH672" s="3055"/>
      <c r="BI672" s="3055"/>
      <c r="BJ672" s="3055"/>
      <c r="BK672" s="3055"/>
      <c r="BL672" s="3056"/>
      <c r="BM672" s="3057">
        <f t="shared" si="16"/>
      </c>
      <c r="BN672" s="3054"/>
      <c r="BO672" s="3054"/>
      <c r="BP672" s="3055"/>
      <c r="BQ672" s="3055"/>
      <c r="BR672" s="3055"/>
      <c r="BS672" s="3055"/>
      <c r="BT672" s="3055"/>
      <c r="BU672" s="3055"/>
      <c r="BV672" s="3055"/>
      <c r="BW672" s="3055"/>
      <c r="BX672" s="3055"/>
      <c r="BY672" s="3055"/>
      <c r="BZ672" s="3055"/>
      <c r="CA672" s="3055"/>
      <c r="CB672" s="3055"/>
      <c r="CC672" s="3056"/>
      <c r="CD672" s="3057">
        <f t="shared" si="0"/>
      </c>
      <c r="CE672" s="3054"/>
      <c r="CF672" s="3054"/>
      <c r="CG672" s="3055"/>
      <c r="CH672" s="3055"/>
      <c r="CI672" s="3055"/>
      <c r="CJ672" s="3055"/>
      <c r="CK672" s="3055"/>
      <c r="CL672" s="3055"/>
      <c r="CM672" s="3055"/>
      <c r="CN672" s="3055"/>
      <c r="CO672" s="3055"/>
      <c r="CP672" s="3055"/>
      <c r="CQ672" s="3055"/>
      <c r="CR672" s="3055"/>
      <c r="CS672" s="3055"/>
      <c r="CU672" s="3054"/>
      <c r="CV672" s="696"/>
      <c r="CW672" s="696"/>
      <c r="CZ672" s="3060">
        <f t="shared" si="17"/>
      </c>
      <c r="DA672" s="3060">
        <f t="shared" si="1"/>
      </c>
      <c r="DB672" s="3060">
        <f t="shared" si="18"/>
      </c>
      <c r="DC672" s="3060">
        <f t="shared" si="19"/>
      </c>
      <c r="DD672" s="3060">
        <f t="shared" si="20"/>
      </c>
      <c r="DE672" s="3060">
        <f t="shared" si="21"/>
      </c>
      <c r="DF672" s="3060">
        <f t="shared" si="22"/>
      </c>
      <c r="DG672" s="3060">
        <f t="shared" si="23"/>
      </c>
      <c r="DH672" s="3060">
        <f t="shared" si="24"/>
      </c>
      <c r="DI672" s="3060">
        <f t="shared" si="1"/>
      </c>
    </row>
    <row r="673" ht="15" customHeight="1" s="3052" customFormat="1">
      <c r="B673" s="3054">
        <f t="shared" si="2"/>
      </c>
      <c r="C673" s="3054"/>
      <c r="D673" s="3054"/>
      <c r="E673" s="3055"/>
      <c r="F673" s="3055"/>
      <c r="G673" s="3055"/>
      <c r="H673" s="3055"/>
      <c r="I673" s="3055"/>
      <c r="J673" s="3055"/>
      <c r="K673" s="3055"/>
      <c r="L673" s="3055"/>
      <c r="M673" s="3055"/>
      <c r="N673" s="3055"/>
      <c r="O673" s="3055"/>
      <c r="P673" s="3055"/>
      <c r="Q673" s="3055"/>
      <c r="R673" s="3055">
        <f t="shared" si="3"/>
        <v>0</v>
      </c>
      <c r="S673" s="3055">
        <f t="shared" si="4"/>
        <v>0</v>
      </c>
      <c r="T673" s="3055">
        <f t="shared" si="5"/>
        <v>0</v>
      </c>
      <c r="U673" s="3055">
        <f t="shared" si="6"/>
        <v>0</v>
      </c>
      <c r="V673" s="3055">
        <f t="shared" si="7"/>
        <v>0</v>
      </c>
      <c r="W673" s="3055">
        <f t="shared" si="8"/>
        <v>0</v>
      </c>
      <c r="X673" s="3055">
        <f t="shared" si="9"/>
        <v>0</v>
      </c>
      <c r="Y673" s="3055">
        <f t="shared" si="10"/>
        <v>0</v>
      </c>
      <c r="Z673" s="3055">
        <f t="shared" si="11"/>
        <v>0</v>
      </c>
      <c r="AA673" s="3055">
        <f t="shared" si="12"/>
        <v>0</v>
      </c>
      <c r="AB673" s="3055">
        <f t="shared" si="13"/>
        <v>0</v>
      </c>
      <c r="AC673" s="3055">
        <f t="shared" si="14"/>
        <v>0</v>
      </c>
      <c r="AD673" s="3056"/>
      <c r="AE673" s="3057">
        <f t="shared" si="0"/>
      </c>
      <c r="AF673" s="3054"/>
      <c r="AG673" s="3054"/>
      <c r="AH673" s="3055"/>
      <c r="AI673" s="3055"/>
      <c r="AJ673" s="3055"/>
      <c r="AK673" s="3055"/>
      <c r="AL673" s="3055"/>
      <c r="AM673" s="3055"/>
      <c r="AN673" s="3055"/>
      <c r="AO673" s="3055"/>
      <c r="AP673" s="3055"/>
      <c r="AQ673" s="3055"/>
      <c r="AR673" s="3055"/>
      <c r="AS673" s="3055"/>
      <c r="AT673" s="3055"/>
      <c r="AU673" s="3056"/>
      <c r="AV673" s="3057">
        <f t="shared" si="15"/>
      </c>
      <c r="AW673" s="3054"/>
      <c r="AX673" s="3054"/>
      <c r="AY673" s="3055"/>
      <c r="AZ673" s="3055"/>
      <c r="BA673" s="3055"/>
      <c r="BB673" s="3055"/>
      <c r="BC673" s="3055"/>
      <c r="BD673" s="3055"/>
      <c r="BE673" s="3055"/>
      <c r="BF673" s="3055"/>
      <c r="BG673" s="3055"/>
      <c r="BH673" s="3055"/>
      <c r="BI673" s="3055"/>
      <c r="BJ673" s="3055"/>
      <c r="BK673" s="3055"/>
      <c r="BL673" s="3056"/>
      <c r="BM673" s="3057">
        <f t="shared" si="16"/>
      </c>
      <c r="BN673" s="3054"/>
      <c r="BO673" s="3054"/>
      <c r="BP673" s="3055"/>
      <c r="BQ673" s="3055"/>
      <c r="BR673" s="3055"/>
      <c r="BS673" s="3055"/>
      <c r="BT673" s="3055"/>
      <c r="BU673" s="3055"/>
      <c r="BV673" s="3055"/>
      <c r="BW673" s="3055"/>
      <c r="BX673" s="3055"/>
      <c r="BY673" s="3055"/>
      <c r="BZ673" s="3055"/>
      <c r="CA673" s="3055"/>
      <c r="CB673" s="3055"/>
      <c r="CC673" s="3056"/>
      <c r="CD673" s="3057">
        <f t="shared" si="0"/>
      </c>
      <c r="CE673" s="3054"/>
      <c r="CF673" s="3054"/>
      <c r="CG673" s="3055"/>
      <c r="CH673" s="3055"/>
      <c r="CI673" s="3055"/>
      <c r="CJ673" s="3055"/>
      <c r="CK673" s="3055"/>
      <c r="CL673" s="3055"/>
      <c r="CM673" s="3055"/>
      <c r="CN673" s="3055"/>
      <c r="CO673" s="3055"/>
      <c r="CP673" s="3055"/>
      <c r="CQ673" s="3055"/>
      <c r="CR673" s="3055"/>
      <c r="CS673" s="3055"/>
      <c r="CU673" s="3054"/>
      <c r="CV673" s="696"/>
      <c r="CW673" s="696"/>
      <c r="CZ673" s="3060">
        <f t="shared" si="17"/>
      </c>
      <c r="DA673" s="3060">
        <f t="shared" si="1"/>
      </c>
      <c r="DB673" s="3060">
        <f t="shared" si="18"/>
      </c>
      <c r="DC673" s="3060">
        <f t="shared" si="19"/>
      </c>
      <c r="DD673" s="3060">
        <f t="shared" si="20"/>
      </c>
      <c r="DE673" s="3060">
        <f t="shared" si="21"/>
      </c>
      <c r="DF673" s="3060">
        <f t="shared" si="22"/>
      </c>
      <c r="DG673" s="3060">
        <f t="shared" si="23"/>
      </c>
      <c r="DH673" s="3060">
        <f t="shared" si="24"/>
      </c>
      <c r="DI673" s="3060">
        <f t="shared" si="1"/>
      </c>
    </row>
    <row r="674" ht="15" customHeight="1" s="3052" customFormat="1">
      <c r="B674" s="3054">
        <f t="shared" si="2"/>
      </c>
      <c r="C674" s="3054"/>
      <c r="D674" s="3054"/>
      <c r="E674" s="3055"/>
      <c r="F674" s="3055"/>
      <c r="G674" s="3055"/>
      <c r="H674" s="3055"/>
      <c r="I674" s="3055"/>
      <c r="J674" s="3055"/>
      <c r="K674" s="3055"/>
      <c r="L674" s="3055"/>
      <c r="M674" s="3055"/>
      <c r="N674" s="3055"/>
      <c r="O674" s="3055"/>
      <c r="P674" s="3055"/>
      <c r="Q674" s="3055"/>
      <c r="R674" s="3055">
        <f t="shared" si="3"/>
        <v>0</v>
      </c>
      <c r="S674" s="3055">
        <f t="shared" si="4"/>
        <v>0</v>
      </c>
      <c r="T674" s="3055">
        <f t="shared" si="5"/>
        <v>0</v>
      </c>
      <c r="U674" s="3055">
        <f t="shared" si="6"/>
        <v>0</v>
      </c>
      <c r="V674" s="3055">
        <f t="shared" si="7"/>
        <v>0</v>
      </c>
      <c r="W674" s="3055">
        <f t="shared" si="8"/>
        <v>0</v>
      </c>
      <c r="X674" s="3055">
        <f t="shared" si="9"/>
        <v>0</v>
      </c>
      <c r="Y674" s="3055">
        <f t="shared" si="10"/>
        <v>0</v>
      </c>
      <c r="Z674" s="3055">
        <f t="shared" si="11"/>
        <v>0</v>
      </c>
      <c r="AA674" s="3055">
        <f t="shared" si="12"/>
        <v>0</v>
      </c>
      <c r="AB674" s="3055">
        <f t="shared" si="13"/>
        <v>0</v>
      </c>
      <c r="AC674" s="3055">
        <f t="shared" si="14"/>
        <v>0</v>
      </c>
      <c r="AD674" s="3056"/>
      <c r="AE674" s="3057">
        <f t="shared" si="0"/>
      </c>
      <c r="AF674" s="3054"/>
      <c r="AG674" s="3054"/>
      <c r="AH674" s="3055"/>
      <c r="AI674" s="3055"/>
      <c r="AJ674" s="3055"/>
      <c r="AK674" s="3055"/>
      <c r="AL674" s="3055"/>
      <c r="AM674" s="3055"/>
      <c r="AN674" s="3055"/>
      <c r="AO674" s="3055"/>
      <c r="AP674" s="3055"/>
      <c r="AQ674" s="3055"/>
      <c r="AR674" s="3055"/>
      <c r="AS674" s="3055"/>
      <c r="AT674" s="3055"/>
      <c r="AU674" s="3056"/>
      <c r="AV674" s="3057">
        <f t="shared" si="15"/>
      </c>
      <c r="AW674" s="3054"/>
      <c r="AX674" s="3054"/>
      <c r="AY674" s="3055"/>
      <c r="AZ674" s="3055"/>
      <c r="BA674" s="3055"/>
      <c r="BB674" s="3055"/>
      <c r="BC674" s="3055"/>
      <c r="BD674" s="3055"/>
      <c r="BE674" s="3055"/>
      <c r="BF674" s="3055"/>
      <c r="BG674" s="3055"/>
      <c r="BH674" s="3055"/>
      <c r="BI674" s="3055"/>
      <c r="BJ674" s="3055"/>
      <c r="BK674" s="3055"/>
      <c r="BL674" s="3056"/>
      <c r="BM674" s="3057">
        <f t="shared" si="16"/>
      </c>
      <c r="BN674" s="3054"/>
      <c r="BO674" s="3054"/>
      <c r="BP674" s="3055"/>
      <c r="BQ674" s="3055"/>
      <c r="BR674" s="3055"/>
      <c r="BS674" s="3055"/>
      <c r="BT674" s="3055"/>
      <c r="BU674" s="3055"/>
      <c r="BV674" s="3055"/>
      <c r="BW674" s="3055"/>
      <c r="BX674" s="3055"/>
      <c r="BY674" s="3055"/>
      <c r="BZ674" s="3055"/>
      <c r="CA674" s="3055"/>
      <c r="CB674" s="3055"/>
      <c r="CC674" s="3056"/>
      <c r="CD674" s="3057">
        <f t="shared" si="0"/>
      </c>
      <c r="CE674" s="3054"/>
      <c r="CF674" s="3054"/>
      <c r="CG674" s="3055"/>
      <c r="CH674" s="3055"/>
      <c r="CI674" s="3055"/>
      <c r="CJ674" s="3055"/>
      <c r="CK674" s="3055"/>
      <c r="CL674" s="3055"/>
      <c r="CM674" s="3055"/>
      <c r="CN674" s="3055"/>
      <c r="CO674" s="3055"/>
      <c r="CP674" s="3055"/>
      <c r="CQ674" s="3055"/>
      <c r="CR674" s="3055"/>
      <c r="CS674" s="3055"/>
      <c r="CU674" s="3054"/>
      <c r="CV674" s="696"/>
      <c r="CW674" s="696"/>
      <c r="CZ674" s="3060">
        <f t="shared" si="17"/>
      </c>
      <c r="DA674" s="3060">
        <f t="shared" si="1"/>
      </c>
      <c r="DB674" s="3060">
        <f t="shared" si="18"/>
      </c>
      <c r="DC674" s="3060">
        <f t="shared" si="19"/>
      </c>
      <c r="DD674" s="3060">
        <f t="shared" si="20"/>
      </c>
      <c r="DE674" s="3060">
        <f t="shared" si="21"/>
      </c>
      <c r="DF674" s="3060">
        <f t="shared" si="22"/>
      </c>
      <c r="DG674" s="3060">
        <f t="shared" si="23"/>
      </c>
      <c r="DH674" s="3060">
        <f t="shared" si="24"/>
      </c>
      <c r="DI674" s="3060">
        <f t="shared" si="1"/>
      </c>
    </row>
    <row r="675" ht="15" customHeight="1" s="3052" customFormat="1">
      <c r="B675" s="3054">
        <f t="shared" si="2"/>
      </c>
      <c r="C675" s="3054"/>
      <c r="D675" s="3054"/>
      <c r="E675" s="3055"/>
      <c r="F675" s="3055"/>
      <c r="G675" s="3055"/>
      <c r="H675" s="3055"/>
      <c r="I675" s="3055"/>
      <c r="J675" s="3055"/>
      <c r="K675" s="3055"/>
      <c r="L675" s="3055"/>
      <c r="M675" s="3055"/>
      <c r="N675" s="3055"/>
      <c r="O675" s="3055"/>
      <c r="P675" s="3055"/>
      <c r="Q675" s="3055"/>
      <c r="R675" s="3055">
        <f t="shared" si="3"/>
        <v>0</v>
      </c>
      <c r="S675" s="3055">
        <f t="shared" si="4"/>
        <v>0</v>
      </c>
      <c r="T675" s="3055">
        <f t="shared" si="5"/>
        <v>0</v>
      </c>
      <c r="U675" s="3055">
        <f t="shared" si="6"/>
        <v>0</v>
      </c>
      <c r="V675" s="3055">
        <f t="shared" si="7"/>
        <v>0</v>
      </c>
      <c r="W675" s="3055">
        <f t="shared" si="8"/>
        <v>0</v>
      </c>
      <c r="X675" s="3055">
        <f t="shared" si="9"/>
        <v>0</v>
      </c>
      <c r="Y675" s="3055">
        <f t="shared" si="10"/>
        <v>0</v>
      </c>
      <c r="Z675" s="3055">
        <f t="shared" si="11"/>
        <v>0</v>
      </c>
      <c r="AA675" s="3055">
        <f t="shared" si="12"/>
        <v>0</v>
      </c>
      <c r="AB675" s="3055">
        <f t="shared" si="13"/>
        <v>0</v>
      </c>
      <c r="AC675" s="3055">
        <f t="shared" si="14"/>
        <v>0</v>
      </c>
      <c r="AD675" s="3056"/>
      <c r="AE675" s="3057">
        <f t="shared" si="0"/>
      </c>
      <c r="AF675" s="3054"/>
      <c r="AG675" s="3054"/>
      <c r="AH675" s="3055"/>
      <c r="AI675" s="3055"/>
      <c r="AJ675" s="3055"/>
      <c r="AK675" s="3055"/>
      <c r="AL675" s="3055"/>
      <c r="AM675" s="3055"/>
      <c r="AN675" s="3055"/>
      <c r="AO675" s="3055"/>
      <c r="AP675" s="3055"/>
      <c r="AQ675" s="3055"/>
      <c r="AR675" s="3055"/>
      <c r="AS675" s="3055"/>
      <c r="AT675" s="3055"/>
      <c r="AU675" s="3056"/>
      <c r="AV675" s="3057">
        <f t="shared" si="15"/>
      </c>
      <c r="AW675" s="3054"/>
      <c r="AX675" s="3054"/>
      <c r="AY675" s="3055"/>
      <c r="AZ675" s="3055"/>
      <c r="BA675" s="3055"/>
      <c r="BB675" s="3055"/>
      <c r="BC675" s="3055"/>
      <c r="BD675" s="3055"/>
      <c r="BE675" s="3055"/>
      <c r="BF675" s="3055"/>
      <c r="BG675" s="3055"/>
      <c r="BH675" s="3055"/>
      <c r="BI675" s="3055"/>
      <c r="BJ675" s="3055"/>
      <c r="BK675" s="3055"/>
      <c r="BL675" s="3056"/>
      <c r="BM675" s="3057">
        <f t="shared" si="16"/>
      </c>
      <c r="BN675" s="3054"/>
      <c r="BO675" s="3054"/>
      <c r="BP675" s="3055"/>
      <c r="BQ675" s="3055"/>
      <c r="BR675" s="3055"/>
      <c r="BS675" s="3055"/>
      <c r="BT675" s="3055"/>
      <c r="BU675" s="3055"/>
      <c r="BV675" s="3055"/>
      <c r="BW675" s="3055"/>
      <c r="BX675" s="3055"/>
      <c r="BY675" s="3055"/>
      <c r="BZ675" s="3055"/>
      <c r="CA675" s="3055"/>
      <c r="CB675" s="3055"/>
      <c r="CC675" s="3056"/>
      <c r="CD675" s="3057">
        <f t="shared" si="0"/>
      </c>
      <c r="CE675" s="3054"/>
      <c r="CF675" s="3054"/>
      <c r="CG675" s="3055"/>
      <c r="CH675" s="3055"/>
      <c r="CI675" s="3055"/>
      <c r="CJ675" s="3055"/>
      <c r="CK675" s="3055"/>
      <c r="CL675" s="3055"/>
      <c r="CM675" s="3055"/>
      <c r="CN675" s="3055"/>
      <c r="CO675" s="3055"/>
      <c r="CP675" s="3055"/>
      <c r="CQ675" s="3055"/>
      <c r="CR675" s="3055"/>
      <c r="CS675" s="3055"/>
      <c r="CU675" s="3054"/>
      <c r="CV675" s="696"/>
      <c r="CW675" s="696"/>
      <c r="CZ675" s="3060">
        <f t="shared" si="17"/>
      </c>
      <c r="DA675" s="3060">
        <f t="shared" si="1"/>
      </c>
      <c r="DB675" s="3060">
        <f t="shared" si="18"/>
      </c>
      <c r="DC675" s="3060">
        <f t="shared" si="19"/>
      </c>
      <c r="DD675" s="3060">
        <f t="shared" si="20"/>
      </c>
      <c r="DE675" s="3060">
        <f t="shared" si="21"/>
      </c>
      <c r="DF675" s="3060">
        <f t="shared" si="22"/>
      </c>
      <c r="DG675" s="3060">
        <f t="shared" si="23"/>
      </c>
      <c r="DH675" s="3060">
        <f t="shared" si="24"/>
      </c>
      <c r="DI675" s="3060">
        <f t="shared" si="1"/>
      </c>
    </row>
    <row r="676" ht="15" customHeight="1" s="3052" customFormat="1">
      <c r="B676" s="3054">
        <f t="shared" si="2"/>
      </c>
      <c r="C676" s="3054"/>
      <c r="D676" s="3054"/>
      <c r="E676" s="3055"/>
      <c r="F676" s="3055"/>
      <c r="G676" s="3055"/>
      <c r="H676" s="3055"/>
      <c r="I676" s="3055"/>
      <c r="J676" s="3055"/>
      <c r="K676" s="3055"/>
      <c r="L676" s="3055"/>
      <c r="M676" s="3055"/>
      <c r="N676" s="3055"/>
      <c r="O676" s="3055"/>
      <c r="P676" s="3055"/>
      <c r="Q676" s="3055"/>
      <c r="R676" s="3055">
        <f t="shared" si="3"/>
        <v>0</v>
      </c>
      <c r="S676" s="3055">
        <f t="shared" si="4"/>
        <v>0</v>
      </c>
      <c r="T676" s="3055">
        <f t="shared" si="5"/>
        <v>0</v>
      </c>
      <c r="U676" s="3055">
        <f t="shared" si="6"/>
        <v>0</v>
      </c>
      <c r="V676" s="3055">
        <f t="shared" si="7"/>
        <v>0</v>
      </c>
      <c r="W676" s="3055">
        <f t="shared" si="8"/>
        <v>0</v>
      </c>
      <c r="X676" s="3055">
        <f t="shared" si="9"/>
        <v>0</v>
      </c>
      <c r="Y676" s="3055">
        <f t="shared" si="10"/>
        <v>0</v>
      </c>
      <c r="Z676" s="3055">
        <f t="shared" si="11"/>
        <v>0</v>
      </c>
      <c r="AA676" s="3055">
        <f t="shared" si="12"/>
        <v>0</v>
      </c>
      <c r="AB676" s="3055">
        <f t="shared" si="13"/>
        <v>0</v>
      </c>
      <c r="AC676" s="3055">
        <f t="shared" si="14"/>
        <v>0</v>
      </c>
      <c r="AD676" s="3056"/>
      <c r="AE676" s="3057">
        <f t="shared" si="0"/>
      </c>
      <c r="AF676" s="3054"/>
      <c r="AG676" s="3054"/>
      <c r="AH676" s="3055"/>
      <c r="AI676" s="3055"/>
      <c r="AJ676" s="3055"/>
      <c r="AK676" s="3055"/>
      <c r="AL676" s="3055"/>
      <c r="AM676" s="3055"/>
      <c r="AN676" s="3055"/>
      <c r="AO676" s="3055"/>
      <c r="AP676" s="3055"/>
      <c r="AQ676" s="3055"/>
      <c r="AR676" s="3055"/>
      <c r="AS676" s="3055"/>
      <c r="AT676" s="3055"/>
      <c r="AU676" s="3056"/>
      <c r="AV676" s="3057">
        <f t="shared" si="15"/>
      </c>
      <c r="AW676" s="3054"/>
      <c r="AX676" s="3054"/>
      <c r="AY676" s="3055"/>
      <c r="AZ676" s="3055"/>
      <c r="BA676" s="3055"/>
      <c r="BB676" s="3055"/>
      <c r="BC676" s="3055"/>
      <c r="BD676" s="3055"/>
      <c r="BE676" s="3055"/>
      <c r="BF676" s="3055"/>
      <c r="BG676" s="3055"/>
      <c r="BH676" s="3055"/>
      <c r="BI676" s="3055"/>
      <c r="BJ676" s="3055"/>
      <c r="BK676" s="3055"/>
      <c r="BL676" s="3056"/>
      <c r="BM676" s="3057">
        <f t="shared" si="16"/>
      </c>
      <c r="BN676" s="3054"/>
      <c r="BO676" s="3054"/>
      <c r="BP676" s="3055"/>
      <c r="BQ676" s="3055"/>
      <c r="BR676" s="3055"/>
      <c r="BS676" s="3055"/>
      <c r="BT676" s="3055"/>
      <c r="BU676" s="3055"/>
      <c r="BV676" s="3055"/>
      <c r="BW676" s="3055"/>
      <c r="BX676" s="3055"/>
      <c r="BY676" s="3055"/>
      <c r="BZ676" s="3055"/>
      <c r="CA676" s="3055"/>
      <c r="CB676" s="3055"/>
      <c r="CC676" s="3056"/>
      <c r="CD676" s="3057">
        <f t="shared" si="0"/>
      </c>
      <c r="CE676" s="3054"/>
      <c r="CF676" s="3054"/>
      <c r="CG676" s="3055"/>
      <c r="CH676" s="3055"/>
      <c r="CI676" s="3055"/>
      <c r="CJ676" s="3055"/>
      <c r="CK676" s="3055"/>
      <c r="CL676" s="3055"/>
      <c r="CM676" s="3055"/>
      <c r="CN676" s="3055"/>
      <c r="CO676" s="3055"/>
      <c r="CP676" s="3055"/>
      <c r="CQ676" s="3055"/>
      <c r="CR676" s="3055"/>
      <c r="CS676" s="3055"/>
      <c r="CU676" s="3054"/>
      <c r="CV676" s="696"/>
      <c r="CW676" s="696"/>
      <c r="CZ676" s="3060">
        <f t="shared" si="17"/>
      </c>
      <c r="DA676" s="3060">
        <f t="shared" si="1"/>
      </c>
      <c r="DB676" s="3060">
        <f t="shared" si="18"/>
      </c>
      <c r="DC676" s="3060">
        <f t="shared" si="19"/>
      </c>
      <c r="DD676" s="3060">
        <f t="shared" si="20"/>
      </c>
      <c r="DE676" s="3060">
        <f t="shared" si="21"/>
      </c>
      <c r="DF676" s="3060">
        <f t="shared" si="22"/>
      </c>
      <c r="DG676" s="3060">
        <f t="shared" si="23"/>
      </c>
      <c r="DH676" s="3060">
        <f t="shared" si="24"/>
      </c>
      <c r="DI676" s="3060">
        <f t="shared" si="1"/>
      </c>
    </row>
    <row r="677" ht="15" customHeight="1" s="3052" customFormat="1">
      <c r="B677" s="3054">
        <f t="shared" si="2"/>
      </c>
      <c r="C677" s="3054"/>
      <c r="D677" s="3054"/>
      <c r="E677" s="3055"/>
      <c r="F677" s="3055"/>
      <c r="G677" s="3055"/>
      <c r="H677" s="3055"/>
      <c r="I677" s="3055"/>
      <c r="J677" s="3055"/>
      <c r="K677" s="3055"/>
      <c r="L677" s="3055"/>
      <c r="M677" s="3055"/>
      <c r="N677" s="3055"/>
      <c r="O677" s="3055"/>
      <c r="P677" s="3055"/>
      <c r="Q677" s="3055"/>
      <c r="R677" s="3055">
        <f t="shared" si="3"/>
        <v>0</v>
      </c>
      <c r="S677" s="3055">
        <f t="shared" si="4"/>
        <v>0</v>
      </c>
      <c r="T677" s="3055">
        <f t="shared" si="5"/>
        <v>0</v>
      </c>
      <c r="U677" s="3055">
        <f t="shared" si="6"/>
        <v>0</v>
      </c>
      <c r="V677" s="3055">
        <f t="shared" si="7"/>
        <v>0</v>
      </c>
      <c r="W677" s="3055">
        <f t="shared" si="8"/>
        <v>0</v>
      </c>
      <c r="X677" s="3055">
        <f t="shared" si="9"/>
        <v>0</v>
      </c>
      <c r="Y677" s="3055">
        <f t="shared" si="10"/>
        <v>0</v>
      </c>
      <c r="Z677" s="3055">
        <f t="shared" si="11"/>
        <v>0</v>
      </c>
      <c r="AA677" s="3055">
        <f t="shared" si="12"/>
        <v>0</v>
      </c>
      <c r="AB677" s="3055">
        <f t="shared" si="13"/>
        <v>0</v>
      </c>
      <c r="AC677" s="3055">
        <f t="shared" si="14"/>
        <v>0</v>
      </c>
      <c r="AD677" s="3056"/>
      <c r="AE677" s="3057">
        <f t="shared" si="0"/>
      </c>
      <c r="AF677" s="3054"/>
      <c r="AG677" s="3054"/>
      <c r="AH677" s="3055"/>
      <c r="AI677" s="3055"/>
      <c r="AJ677" s="3055"/>
      <c r="AK677" s="3055"/>
      <c r="AL677" s="3055"/>
      <c r="AM677" s="3055"/>
      <c r="AN677" s="3055"/>
      <c r="AO677" s="3055"/>
      <c r="AP677" s="3055"/>
      <c r="AQ677" s="3055"/>
      <c r="AR677" s="3055"/>
      <c r="AS677" s="3055"/>
      <c r="AT677" s="3055"/>
      <c r="AU677" s="3056"/>
      <c r="AV677" s="3057">
        <f t="shared" si="15"/>
      </c>
      <c r="AW677" s="3054"/>
      <c r="AX677" s="3054"/>
      <c r="AY677" s="3055"/>
      <c r="AZ677" s="3055"/>
      <c r="BA677" s="3055"/>
      <c r="BB677" s="3055"/>
      <c r="BC677" s="3055"/>
      <c r="BD677" s="3055"/>
      <c r="BE677" s="3055"/>
      <c r="BF677" s="3055"/>
      <c r="BG677" s="3055"/>
      <c r="BH677" s="3055"/>
      <c r="BI677" s="3055"/>
      <c r="BJ677" s="3055"/>
      <c r="BK677" s="3055"/>
      <c r="BL677" s="3056"/>
      <c r="BM677" s="3057">
        <f t="shared" si="16"/>
      </c>
      <c r="BN677" s="3054"/>
      <c r="BO677" s="3054"/>
      <c r="BP677" s="3055"/>
      <c r="BQ677" s="3055"/>
      <c r="BR677" s="3055"/>
      <c r="BS677" s="3055"/>
      <c r="BT677" s="3055"/>
      <c r="BU677" s="3055"/>
      <c r="BV677" s="3055"/>
      <c r="BW677" s="3055"/>
      <c r="BX677" s="3055"/>
      <c r="BY677" s="3055"/>
      <c r="BZ677" s="3055"/>
      <c r="CA677" s="3055"/>
      <c r="CB677" s="3055"/>
      <c r="CC677" s="3056"/>
      <c r="CD677" s="3057">
        <f t="shared" si="0"/>
      </c>
      <c r="CE677" s="3054"/>
      <c r="CF677" s="3054"/>
      <c r="CG677" s="3055"/>
      <c r="CH677" s="3055"/>
      <c r="CI677" s="3055"/>
      <c r="CJ677" s="3055"/>
      <c r="CK677" s="3055"/>
      <c r="CL677" s="3055"/>
      <c r="CM677" s="3055"/>
      <c r="CN677" s="3055"/>
      <c r="CO677" s="3055"/>
      <c r="CP677" s="3055"/>
      <c r="CQ677" s="3055"/>
      <c r="CR677" s="3055"/>
      <c r="CS677" s="3055"/>
      <c r="CU677" s="3054"/>
      <c r="CV677" s="696"/>
      <c r="CW677" s="696"/>
      <c r="CZ677" s="3060">
        <f t="shared" si="17"/>
      </c>
      <c r="DA677" s="3060">
        <f t="shared" si="1"/>
      </c>
      <c r="DB677" s="3060">
        <f t="shared" si="18"/>
      </c>
      <c r="DC677" s="3060">
        <f t="shared" si="19"/>
      </c>
      <c r="DD677" s="3060">
        <f t="shared" si="20"/>
      </c>
      <c r="DE677" s="3060">
        <f t="shared" si="21"/>
      </c>
      <c r="DF677" s="3060">
        <f t="shared" si="22"/>
      </c>
      <c r="DG677" s="3060">
        <f t="shared" si="23"/>
      </c>
      <c r="DH677" s="3060">
        <f t="shared" si="24"/>
      </c>
      <c r="DI677" s="3060">
        <f t="shared" si="1"/>
      </c>
    </row>
    <row r="678" ht="15" customHeight="1" s="3052" customFormat="1">
      <c r="B678" s="3054">
        <f t="shared" si="2"/>
      </c>
      <c r="C678" s="3054"/>
      <c r="D678" s="3054"/>
      <c r="E678" s="3055"/>
      <c r="F678" s="3055"/>
      <c r="G678" s="3055"/>
      <c r="H678" s="3055"/>
      <c r="I678" s="3055"/>
      <c r="J678" s="3055"/>
      <c r="K678" s="3055"/>
      <c r="L678" s="3055"/>
      <c r="M678" s="3055"/>
      <c r="N678" s="3055"/>
      <c r="O678" s="3055"/>
      <c r="P678" s="3055"/>
      <c r="Q678" s="3055"/>
      <c r="R678" s="3055">
        <f t="shared" si="3"/>
        <v>0</v>
      </c>
      <c r="S678" s="3055">
        <f t="shared" si="4"/>
        <v>0</v>
      </c>
      <c r="T678" s="3055">
        <f t="shared" si="5"/>
        <v>0</v>
      </c>
      <c r="U678" s="3055">
        <f t="shared" si="6"/>
        <v>0</v>
      </c>
      <c r="V678" s="3055">
        <f t="shared" si="7"/>
        <v>0</v>
      </c>
      <c r="W678" s="3055">
        <f t="shared" si="8"/>
        <v>0</v>
      </c>
      <c r="X678" s="3055">
        <f t="shared" si="9"/>
        <v>0</v>
      </c>
      <c r="Y678" s="3055">
        <f t="shared" si="10"/>
        <v>0</v>
      </c>
      <c r="Z678" s="3055">
        <f t="shared" si="11"/>
        <v>0</v>
      </c>
      <c r="AA678" s="3055">
        <f t="shared" si="12"/>
        <v>0</v>
      </c>
      <c r="AB678" s="3055">
        <f t="shared" si="13"/>
        <v>0</v>
      </c>
      <c r="AC678" s="3055">
        <f t="shared" si="14"/>
        <v>0</v>
      </c>
      <c r="AD678" s="3056"/>
      <c r="AE678" s="3057">
        <f t="shared" si="0"/>
      </c>
      <c r="AF678" s="3054"/>
      <c r="AG678" s="3054"/>
      <c r="AH678" s="3055"/>
      <c r="AI678" s="3055"/>
      <c r="AJ678" s="3055"/>
      <c r="AK678" s="3055"/>
      <c r="AL678" s="3055"/>
      <c r="AM678" s="3055"/>
      <c r="AN678" s="3055"/>
      <c r="AO678" s="3055"/>
      <c r="AP678" s="3055"/>
      <c r="AQ678" s="3055"/>
      <c r="AR678" s="3055"/>
      <c r="AS678" s="3055"/>
      <c r="AT678" s="3055"/>
      <c r="AU678" s="3056"/>
      <c r="AV678" s="3057">
        <f t="shared" si="15"/>
      </c>
      <c r="AW678" s="3054"/>
      <c r="AX678" s="3054"/>
      <c r="AY678" s="3055"/>
      <c r="AZ678" s="3055"/>
      <c r="BA678" s="3055"/>
      <c r="BB678" s="3055"/>
      <c r="BC678" s="3055"/>
      <c r="BD678" s="3055"/>
      <c r="BE678" s="3055"/>
      <c r="BF678" s="3055"/>
      <c r="BG678" s="3055"/>
      <c r="BH678" s="3055"/>
      <c r="BI678" s="3055"/>
      <c r="BJ678" s="3055"/>
      <c r="BK678" s="3055"/>
      <c r="BL678" s="3056"/>
      <c r="BM678" s="3057">
        <f t="shared" si="16"/>
      </c>
      <c r="BN678" s="3054"/>
      <c r="BO678" s="3054"/>
      <c r="BP678" s="3055"/>
      <c r="BQ678" s="3055"/>
      <c r="BR678" s="3055"/>
      <c r="BS678" s="3055"/>
      <c r="BT678" s="3055"/>
      <c r="BU678" s="3055"/>
      <c r="BV678" s="3055"/>
      <c r="BW678" s="3055"/>
      <c r="BX678" s="3055"/>
      <c r="BY678" s="3055"/>
      <c r="BZ678" s="3055"/>
      <c r="CA678" s="3055"/>
      <c r="CB678" s="3055"/>
      <c r="CC678" s="3056"/>
      <c r="CD678" s="3057">
        <f t="shared" si="0"/>
      </c>
      <c r="CE678" s="3054"/>
      <c r="CF678" s="3054"/>
      <c r="CG678" s="3055"/>
      <c r="CH678" s="3055"/>
      <c r="CI678" s="3055"/>
      <c r="CJ678" s="3055"/>
      <c r="CK678" s="3055"/>
      <c r="CL678" s="3055"/>
      <c r="CM678" s="3055"/>
      <c r="CN678" s="3055"/>
      <c r="CO678" s="3055"/>
      <c r="CP678" s="3055"/>
      <c r="CQ678" s="3055"/>
      <c r="CR678" s="3055"/>
      <c r="CS678" s="3055"/>
      <c r="CU678" s="3054"/>
      <c r="CV678" s="696"/>
      <c r="CW678" s="696"/>
      <c r="CZ678" s="3060">
        <f t="shared" si="17"/>
      </c>
      <c r="DA678" s="3060">
        <f t="shared" si="1"/>
      </c>
      <c r="DB678" s="3060">
        <f t="shared" si="18"/>
      </c>
      <c r="DC678" s="3060">
        <f t="shared" si="19"/>
      </c>
      <c r="DD678" s="3060">
        <f t="shared" si="20"/>
      </c>
      <c r="DE678" s="3060">
        <f t="shared" si="21"/>
      </c>
      <c r="DF678" s="3060">
        <f t="shared" si="22"/>
      </c>
      <c r="DG678" s="3060">
        <f t="shared" si="23"/>
      </c>
      <c r="DH678" s="3060">
        <f t="shared" si="24"/>
      </c>
      <c r="DI678" s="3060">
        <f t="shared" si="1"/>
      </c>
    </row>
    <row r="679" ht="15" customHeight="1" s="3052" customFormat="1">
      <c r="B679" s="3054">
        <f t="shared" si="2"/>
      </c>
      <c r="C679" s="3054"/>
      <c r="D679" s="3054"/>
      <c r="E679" s="3055"/>
      <c r="F679" s="3055"/>
      <c r="G679" s="3055"/>
      <c r="H679" s="3055"/>
      <c r="I679" s="3055"/>
      <c r="J679" s="3055"/>
      <c r="K679" s="3055"/>
      <c r="L679" s="3055"/>
      <c r="M679" s="3055"/>
      <c r="N679" s="3055"/>
      <c r="O679" s="3055"/>
      <c r="P679" s="3055"/>
      <c r="Q679" s="3055"/>
      <c r="R679" s="3055">
        <f t="shared" si="3"/>
        <v>0</v>
      </c>
      <c r="S679" s="3055">
        <f t="shared" si="4"/>
        <v>0</v>
      </c>
      <c r="T679" s="3055">
        <f t="shared" si="5"/>
        <v>0</v>
      </c>
      <c r="U679" s="3055">
        <f t="shared" si="6"/>
        <v>0</v>
      </c>
      <c r="V679" s="3055">
        <f t="shared" si="7"/>
        <v>0</v>
      </c>
      <c r="W679" s="3055">
        <f t="shared" si="8"/>
        <v>0</v>
      </c>
      <c r="X679" s="3055">
        <f t="shared" si="9"/>
        <v>0</v>
      </c>
      <c r="Y679" s="3055">
        <f t="shared" si="10"/>
        <v>0</v>
      </c>
      <c r="Z679" s="3055">
        <f t="shared" si="11"/>
        <v>0</v>
      </c>
      <c r="AA679" s="3055">
        <f t="shared" si="12"/>
        <v>0</v>
      </c>
      <c r="AB679" s="3055">
        <f t="shared" si="13"/>
        <v>0</v>
      </c>
      <c r="AC679" s="3055">
        <f t="shared" si="14"/>
        <v>0</v>
      </c>
      <c r="AD679" s="3056"/>
      <c r="AE679" s="3057">
        <f t="shared" si="0"/>
      </c>
      <c r="AF679" s="3054"/>
      <c r="AG679" s="3054"/>
      <c r="AH679" s="3055"/>
      <c r="AI679" s="3055"/>
      <c r="AJ679" s="3055"/>
      <c r="AK679" s="3055"/>
      <c r="AL679" s="3055"/>
      <c r="AM679" s="3055"/>
      <c r="AN679" s="3055"/>
      <c r="AO679" s="3055"/>
      <c r="AP679" s="3055"/>
      <c r="AQ679" s="3055"/>
      <c r="AR679" s="3055"/>
      <c r="AS679" s="3055"/>
      <c r="AT679" s="3055"/>
      <c r="AU679" s="3056"/>
      <c r="AV679" s="3057">
        <f t="shared" si="15"/>
      </c>
      <c r="AW679" s="3054"/>
      <c r="AX679" s="3054"/>
      <c r="AY679" s="3055"/>
      <c r="AZ679" s="3055"/>
      <c r="BA679" s="3055"/>
      <c r="BB679" s="3055"/>
      <c r="BC679" s="3055"/>
      <c r="BD679" s="3055"/>
      <c r="BE679" s="3055"/>
      <c r="BF679" s="3055"/>
      <c r="BG679" s="3055"/>
      <c r="BH679" s="3055"/>
      <c r="BI679" s="3055"/>
      <c r="BJ679" s="3055"/>
      <c r="BK679" s="3055"/>
      <c r="BL679" s="3056"/>
      <c r="BM679" s="3057">
        <f t="shared" si="16"/>
      </c>
      <c r="BN679" s="3054"/>
      <c r="BO679" s="3054"/>
      <c r="BP679" s="3055"/>
      <c r="BQ679" s="3055"/>
      <c r="BR679" s="3055"/>
      <c r="BS679" s="3055"/>
      <c r="BT679" s="3055"/>
      <c r="BU679" s="3055"/>
      <c r="BV679" s="3055"/>
      <c r="BW679" s="3055"/>
      <c r="BX679" s="3055"/>
      <c r="BY679" s="3055"/>
      <c r="BZ679" s="3055"/>
      <c r="CA679" s="3055"/>
      <c r="CB679" s="3055"/>
      <c r="CC679" s="3056"/>
      <c r="CD679" s="3057">
        <f t="shared" si="0"/>
      </c>
      <c r="CE679" s="3054"/>
      <c r="CF679" s="3054"/>
      <c r="CG679" s="3055"/>
      <c r="CH679" s="3055"/>
      <c r="CI679" s="3055"/>
      <c r="CJ679" s="3055"/>
      <c r="CK679" s="3055"/>
      <c r="CL679" s="3055"/>
      <c r="CM679" s="3055"/>
      <c r="CN679" s="3055"/>
      <c r="CO679" s="3055"/>
      <c r="CP679" s="3055"/>
      <c r="CQ679" s="3055"/>
      <c r="CR679" s="3055"/>
      <c r="CS679" s="3055"/>
      <c r="CU679" s="3054"/>
      <c r="CV679" s="696"/>
      <c r="CW679" s="696"/>
      <c r="CZ679" s="3060">
        <f t="shared" si="17"/>
      </c>
      <c r="DA679" s="3060">
        <f t="shared" si="1"/>
      </c>
      <c r="DB679" s="3060">
        <f t="shared" si="18"/>
      </c>
      <c r="DC679" s="3060">
        <f t="shared" si="19"/>
      </c>
      <c r="DD679" s="3060">
        <f t="shared" si="20"/>
      </c>
      <c r="DE679" s="3060">
        <f t="shared" si="21"/>
      </c>
      <c r="DF679" s="3060">
        <f t="shared" si="22"/>
      </c>
      <c r="DG679" s="3060">
        <f t="shared" si="23"/>
      </c>
      <c r="DH679" s="3060">
        <f t="shared" si="24"/>
      </c>
      <c r="DI679" s="3060">
        <f t="shared" si="1"/>
      </c>
    </row>
    <row r="680" ht="15" customHeight="1" s="3052" customFormat="1">
      <c r="B680" s="3054">
        <f t="shared" si="2"/>
      </c>
      <c r="C680" s="3054"/>
      <c r="D680" s="3054"/>
      <c r="E680" s="3055"/>
      <c r="F680" s="3055"/>
      <c r="G680" s="3055"/>
      <c r="H680" s="3055"/>
      <c r="I680" s="3055"/>
      <c r="J680" s="3055"/>
      <c r="K680" s="3055"/>
      <c r="L680" s="3055"/>
      <c r="M680" s="3055"/>
      <c r="N680" s="3055"/>
      <c r="O680" s="3055"/>
      <c r="P680" s="3055"/>
      <c r="Q680" s="3055"/>
      <c r="R680" s="3055">
        <f t="shared" si="3"/>
        <v>0</v>
      </c>
      <c r="S680" s="3055">
        <f t="shared" si="4"/>
        <v>0</v>
      </c>
      <c r="T680" s="3055">
        <f t="shared" si="5"/>
        <v>0</v>
      </c>
      <c r="U680" s="3055">
        <f t="shared" si="6"/>
        <v>0</v>
      </c>
      <c r="V680" s="3055">
        <f t="shared" si="7"/>
        <v>0</v>
      </c>
      <c r="W680" s="3055">
        <f t="shared" si="8"/>
        <v>0</v>
      </c>
      <c r="X680" s="3055">
        <f t="shared" si="9"/>
        <v>0</v>
      </c>
      <c r="Y680" s="3055">
        <f t="shared" si="10"/>
        <v>0</v>
      </c>
      <c r="Z680" s="3055">
        <f t="shared" si="11"/>
        <v>0</v>
      </c>
      <c r="AA680" s="3055">
        <f t="shared" si="12"/>
        <v>0</v>
      </c>
      <c r="AB680" s="3055">
        <f t="shared" si="13"/>
        <v>0</v>
      </c>
      <c r="AC680" s="3055">
        <f t="shared" si="14"/>
        <v>0</v>
      </c>
      <c r="AD680" s="3056"/>
      <c r="AE680" s="3057">
        <f t="shared" si="0"/>
      </c>
      <c r="AF680" s="3054"/>
      <c r="AG680" s="3054"/>
      <c r="AH680" s="3055"/>
      <c r="AI680" s="3055"/>
      <c r="AJ680" s="3055"/>
      <c r="AK680" s="3055"/>
      <c r="AL680" s="3055"/>
      <c r="AM680" s="3055"/>
      <c r="AN680" s="3055"/>
      <c r="AO680" s="3055"/>
      <c r="AP680" s="3055"/>
      <c r="AQ680" s="3055"/>
      <c r="AR680" s="3055"/>
      <c r="AS680" s="3055"/>
      <c r="AT680" s="3055"/>
      <c r="AU680" s="3056"/>
      <c r="AV680" s="3057">
        <f t="shared" si="15"/>
      </c>
      <c r="AW680" s="3054"/>
      <c r="AX680" s="3054"/>
      <c r="AY680" s="3055"/>
      <c r="AZ680" s="3055"/>
      <c r="BA680" s="3055"/>
      <c r="BB680" s="3055"/>
      <c r="BC680" s="3055"/>
      <c r="BD680" s="3055"/>
      <c r="BE680" s="3055"/>
      <c r="BF680" s="3055"/>
      <c r="BG680" s="3055"/>
      <c r="BH680" s="3055"/>
      <c r="BI680" s="3055"/>
      <c r="BJ680" s="3055"/>
      <c r="BK680" s="3055"/>
      <c r="BL680" s="3056"/>
      <c r="BM680" s="3057">
        <f t="shared" si="16"/>
      </c>
      <c r="BN680" s="3054"/>
      <c r="BO680" s="3054"/>
      <c r="BP680" s="3055"/>
      <c r="BQ680" s="3055"/>
      <c r="BR680" s="3055"/>
      <c r="BS680" s="3055"/>
      <c r="BT680" s="3055"/>
      <c r="BU680" s="3055"/>
      <c r="BV680" s="3055"/>
      <c r="BW680" s="3055"/>
      <c r="BX680" s="3055"/>
      <c r="BY680" s="3055"/>
      <c r="BZ680" s="3055"/>
      <c r="CA680" s="3055"/>
      <c r="CB680" s="3055"/>
      <c r="CC680" s="3056"/>
      <c r="CD680" s="3057">
        <f t="shared" si="0"/>
      </c>
      <c r="CE680" s="3054"/>
      <c r="CF680" s="3054"/>
      <c r="CG680" s="3055"/>
      <c r="CH680" s="3055"/>
      <c r="CI680" s="3055"/>
      <c r="CJ680" s="3055"/>
      <c r="CK680" s="3055"/>
      <c r="CL680" s="3055"/>
      <c r="CM680" s="3055"/>
      <c r="CN680" s="3055"/>
      <c r="CO680" s="3055"/>
      <c r="CP680" s="3055"/>
      <c r="CQ680" s="3055"/>
      <c r="CR680" s="3055"/>
      <c r="CS680" s="3055"/>
      <c r="CU680" s="3054"/>
      <c r="CV680" s="696"/>
      <c r="CW680" s="696"/>
      <c r="CZ680" s="3060">
        <f t="shared" si="17"/>
      </c>
      <c r="DA680" s="3060">
        <f t="shared" si="1"/>
      </c>
      <c r="DB680" s="3060">
        <f t="shared" si="18"/>
      </c>
      <c r="DC680" s="3060">
        <f t="shared" si="19"/>
      </c>
      <c r="DD680" s="3060">
        <f t="shared" si="20"/>
      </c>
      <c r="DE680" s="3060">
        <f t="shared" si="21"/>
      </c>
      <c r="DF680" s="3060">
        <f t="shared" si="22"/>
      </c>
      <c r="DG680" s="3060">
        <f t="shared" si="23"/>
      </c>
      <c r="DH680" s="3060">
        <f t="shared" si="24"/>
      </c>
      <c r="DI680" s="3060">
        <f t="shared" si="1"/>
      </c>
    </row>
    <row r="681" ht="15" customHeight="1" s="3052" customFormat="1">
      <c r="B681" s="3054">
        <f t="shared" si="2"/>
      </c>
      <c r="C681" s="3054"/>
      <c r="D681" s="3054"/>
      <c r="E681" s="3055"/>
      <c r="F681" s="3055"/>
      <c r="G681" s="3055"/>
      <c r="H681" s="3055"/>
      <c r="I681" s="3055"/>
      <c r="J681" s="3055"/>
      <c r="K681" s="3055"/>
      <c r="L681" s="3055"/>
      <c r="M681" s="3055"/>
      <c r="N681" s="3055"/>
      <c r="O681" s="3055"/>
      <c r="P681" s="3055"/>
      <c r="Q681" s="3055"/>
      <c r="R681" s="3055">
        <f t="shared" si="3"/>
        <v>0</v>
      </c>
      <c r="S681" s="3055">
        <f t="shared" si="4"/>
        <v>0</v>
      </c>
      <c r="T681" s="3055">
        <f t="shared" si="5"/>
        <v>0</v>
      </c>
      <c r="U681" s="3055">
        <f t="shared" si="6"/>
        <v>0</v>
      </c>
      <c r="V681" s="3055">
        <f t="shared" si="7"/>
        <v>0</v>
      </c>
      <c r="W681" s="3055">
        <f t="shared" si="8"/>
        <v>0</v>
      </c>
      <c r="X681" s="3055">
        <f t="shared" si="9"/>
        <v>0</v>
      </c>
      <c r="Y681" s="3055">
        <f t="shared" si="10"/>
        <v>0</v>
      </c>
      <c r="Z681" s="3055">
        <f t="shared" si="11"/>
        <v>0</v>
      </c>
      <c r="AA681" s="3055">
        <f t="shared" si="12"/>
        <v>0</v>
      </c>
      <c r="AB681" s="3055">
        <f t="shared" si="13"/>
        <v>0</v>
      </c>
      <c r="AC681" s="3055">
        <f t="shared" si="14"/>
        <v>0</v>
      </c>
      <c r="AD681" s="3056"/>
      <c r="AE681" s="3057">
        <f t="shared" si="0"/>
      </c>
      <c r="AF681" s="3054"/>
      <c r="AG681" s="3054"/>
      <c r="AH681" s="3055"/>
      <c r="AI681" s="3055"/>
      <c r="AJ681" s="3055"/>
      <c r="AK681" s="3055"/>
      <c r="AL681" s="3055"/>
      <c r="AM681" s="3055"/>
      <c r="AN681" s="3055"/>
      <c r="AO681" s="3055"/>
      <c r="AP681" s="3055"/>
      <c r="AQ681" s="3055"/>
      <c r="AR681" s="3055"/>
      <c r="AS681" s="3055"/>
      <c r="AT681" s="3055"/>
      <c r="AU681" s="3056"/>
      <c r="AV681" s="3057">
        <f t="shared" si="15"/>
      </c>
      <c r="AW681" s="3054"/>
      <c r="AX681" s="3054"/>
      <c r="AY681" s="3055"/>
      <c r="AZ681" s="3055"/>
      <c r="BA681" s="3055"/>
      <c r="BB681" s="3055"/>
      <c r="BC681" s="3055"/>
      <c r="BD681" s="3055"/>
      <c r="BE681" s="3055"/>
      <c r="BF681" s="3055"/>
      <c r="BG681" s="3055"/>
      <c r="BH681" s="3055"/>
      <c r="BI681" s="3055"/>
      <c r="BJ681" s="3055"/>
      <c r="BK681" s="3055"/>
      <c r="BL681" s="3056"/>
      <c r="BM681" s="3057">
        <f t="shared" si="16"/>
      </c>
      <c r="BN681" s="3054"/>
      <c r="BO681" s="3054"/>
      <c r="BP681" s="3055"/>
      <c r="BQ681" s="3055"/>
      <c r="BR681" s="3055"/>
      <c r="BS681" s="3055"/>
      <c r="BT681" s="3055"/>
      <c r="BU681" s="3055"/>
      <c r="BV681" s="3055"/>
      <c r="BW681" s="3055"/>
      <c r="BX681" s="3055"/>
      <c r="BY681" s="3055"/>
      <c r="BZ681" s="3055"/>
      <c r="CA681" s="3055"/>
      <c r="CB681" s="3055"/>
      <c r="CC681" s="3056"/>
      <c r="CD681" s="3057">
        <f t="shared" si="0"/>
      </c>
      <c r="CE681" s="3054"/>
      <c r="CF681" s="3054"/>
      <c r="CG681" s="3055"/>
      <c r="CH681" s="3055"/>
      <c r="CI681" s="3055"/>
      <c r="CJ681" s="3055"/>
      <c r="CK681" s="3055"/>
      <c r="CL681" s="3055"/>
      <c r="CM681" s="3055"/>
      <c r="CN681" s="3055"/>
      <c r="CO681" s="3055"/>
      <c r="CP681" s="3055"/>
      <c r="CQ681" s="3055"/>
      <c r="CR681" s="3055"/>
      <c r="CS681" s="3055"/>
      <c r="CU681" s="3054"/>
      <c r="CV681" s="696"/>
      <c r="CW681" s="696"/>
      <c r="CZ681" s="3060">
        <f t="shared" si="17"/>
      </c>
      <c r="DA681" s="3060">
        <f t="shared" si="1"/>
      </c>
      <c r="DB681" s="3060">
        <f t="shared" si="18"/>
      </c>
      <c r="DC681" s="3060">
        <f t="shared" si="19"/>
      </c>
      <c r="DD681" s="3060">
        <f t="shared" si="20"/>
      </c>
      <c r="DE681" s="3060">
        <f t="shared" si="21"/>
      </c>
      <c r="DF681" s="3060">
        <f t="shared" si="22"/>
      </c>
      <c r="DG681" s="3060">
        <f t="shared" si="23"/>
      </c>
      <c r="DH681" s="3060">
        <f t="shared" si="24"/>
      </c>
      <c r="DI681" s="3060">
        <f t="shared" si="1"/>
      </c>
    </row>
    <row r="682" ht="15" customHeight="1" s="3052" customFormat="1">
      <c r="B682" s="3054">
        <f t="shared" si="2"/>
      </c>
      <c r="C682" s="3054"/>
      <c r="D682" s="3054"/>
      <c r="E682" s="3055"/>
      <c r="F682" s="3055"/>
      <c r="G682" s="3055"/>
      <c r="H682" s="3055"/>
      <c r="I682" s="3055"/>
      <c r="J682" s="3055"/>
      <c r="K682" s="3055"/>
      <c r="L682" s="3055"/>
      <c r="M682" s="3055"/>
      <c r="N682" s="3055"/>
      <c r="O682" s="3055"/>
      <c r="P682" s="3055"/>
      <c r="Q682" s="3055"/>
      <c r="R682" s="3055">
        <f t="shared" si="3"/>
        <v>0</v>
      </c>
      <c r="S682" s="3055">
        <f t="shared" si="4"/>
        <v>0</v>
      </c>
      <c r="T682" s="3055">
        <f t="shared" si="5"/>
        <v>0</v>
      </c>
      <c r="U682" s="3055">
        <f t="shared" si="6"/>
        <v>0</v>
      </c>
      <c r="V682" s="3055">
        <f t="shared" si="7"/>
        <v>0</v>
      </c>
      <c r="W682" s="3055">
        <f t="shared" si="8"/>
        <v>0</v>
      </c>
      <c r="X682" s="3055">
        <f t="shared" si="9"/>
        <v>0</v>
      </c>
      <c r="Y682" s="3055">
        <f t="shared" si="10"/>
        <v>0</v>
      </c>
      <c r="Z682" s="3055">
        <f t="shared" si="11"/>
        <v>0</v>
      </c>
      <c r="AA682" s="3055">
        <f t="shared" si="12"/>
        <v>0</v>
      </c>
      <c r="AB682" s="3055">
        <f t="shared" si="13"/>
        <v>0</v>
      </c>
      <c r="AC682" s="3055">
        <f t="shared" si="14"/>
        <v>0</v>
      </c>
      <c r="AD682" s="3056"/>
      <c r="AE682" s="3057">
        <f t="shared" si="0"/>
      </c>
      <c r="AF682" s="3054"/>
      <c r="AG682" s="3054"/>
      <c r="AH682" s="3055"/>
      <c r="AI682" s="3055"/>
      <c r="AJ682" s="3055"/>
      <c r="AK682" s="3055"/>
      <c r="AL682" s="3055"/>
      <c r="AM682" s="3055"/>
      <c r="AN682" s="3055"/>
      <c r="AO682" s="3055"/>
      <c r="AP682" s="3055"/>
      <c r="AQ682" s="3055"/>
      <c r="AR682" s="3055"/>
      <c r="AS682" s="3055"/>
      <c r="AT682" s="3055"/>
      <c r="AU682" s="3056"/>
      <c r="AV682" s="3057">
        <f t="shared" si="15"/>
      </c>
      <c r="AW682" s="3054"/>
      <c r="AX682" s="3054"/>
      <c r="AY682" s="3055"/>
      <c r="AZ682" s="3055"/>
      <c r="BA682" s="3055"/>
      <c r="BB682" s="3055"/>
      <c r="BC682" s="3055"/>
      <c r="BD682" s="3055"/>
      <c r="BE682" s="3055"/>
      <c r="BF682" s="3055"/>
      <c r="BG682" s="3055"/>
      <c r="BH682" s="3055"/>
      <c r="BI682" s="3055"/>
      <c r="BJ682" s="3055"/>
      <c r="BK682" s="3055"/>
      <c r="BL682" s="3056"/>
      <c r="BM682" s="3057">
        <f t="shared" si="16"/>
      </c>
      <c r="BN682" s="3054"/>
      <c r="BO682" s="3054"/>
      <c r="BP682" s="3055"/>
      <c r="BQ682" s="3055"/>
      <c r="BR682" s="3055"/>
      <c r="BS682" s="3055"/>
      <c r="BT682" s="3055"/>
      <c r="BU682" s="3055"/>
      <c r="BV682" s="3055"/>
      <c r="BW682" s="3055"/>
      <c r="BX682" s="3055"/>
      <c r="BY682" s="3055"/>
      <c r="BZ682" s="3055"/>
      <c r="CA682" s="3055"/>
      <c r="CB682" s="3055"/>
      <c r="CC682" s="3056"/>
      <c r="CD682" s="3057">
        <f t="shared" si="0"/>
      </c>
      <c r="CE682" s="3054"/>
      <c r="CF682" s="3054"/>
      <c r="CG682" s="3055"/>
      <c r="CH682" s="3055"/>
      <c r="CI682" s="3055"/>
      <c r="CJ682" s="3055"/>
      <c r="CK682" s="3055"/>
      <c r="CL682" s="3055"/>
      <c r="CM682" s="3055"/>
      <c r="CN682" s="3055"/>
      <c r="CO682" s="3055"/>
      <c r="CP682" s="3055"/>
      <c r="CQ682" s="3055"/>
      <c r="CR682" s="3055"/>
      <c r="CS682" s="3055"/>
      <c r="CU682" s="3054"/>
      <c r="CV682" s="696"/>
      <c r="CW682" s="696"/>
      <c r="CZ682" s="3060">
        <f t="shared" si="17"/>
      </c>
      <c r="DA682" s="3060">
        <f t="shared" si="1"/>
      </c>
      <c r="DB682" s="3060">
        <f t="shared" si="18"/>
      </c>
      <c r="DC682" s="3060">
        <f t="shared" si="19"/>
      </c>
      <c r="DD682" s="3060">
        <f t="shared" si="20"/>
      </c>
      <c r="DE682" s="3060">
        <f t="shared" si="21"/>
      </c>
      <c r="DF682" s="3060">
        <f t="shared" si="22"/>
      </c>
      <c r="DG682" s="3060">
        <f t="shared" si="23"/>
      </c>
      <c r="DH682" s="3060">
        <f t="shared" si="24"/>
      </c>
      <c r="DI682" s="3060">
        <f t="shared" si="1"/>
      </c>
    </row>
    <row r="683" ht="15" customHeight="1" s="3052" customFormat="1">
      <c r="B683" s="3054">
        <f t="shared" si="2"/>
      </c>
      <c r="C683" s="3054"/>
      <c r="D683" s="3054"/>
      <c r="E683" s="3055"/>
      <c r="F683" s="3055"/>
      <c r="G683" s="3055"/>
      <c r="H683" s="3055"/>
      <c r="I683" s="3055"/>
      <c r="J683" s="3055"/>
      <c r="K683" s="3055"/>
      <c r="L683" s="3055"/>
      <c r="M683" s="3055"/>
      <c r="N683" s="3055"/>
      <c r="O683" s="3055"/>
      <c r="P683" s="3055"/>
      <c r="Q683" s="3055"/>
      <c r="R683" s="3055">
        <f t="shared" si="3"/>
        <v>0</v>
      </c>
      <c r="S683" s="3055">
        <f t="shared" si="4"/>
        <v>0</v>
      </c>
      <c r="T683" s="3055">
        <f t="shared" si="5"/>
        <v>0</v>
      </c>
      <c r="U683" s="3055">
        <f t="shared" si="6"/>
        <v>0</v>
      </c>
      <c r="V683" s="3055">
        <f t="shared" si="7"/>
        <v>0</v>
      </c>
      <c r="W683" s="3055">
        <f t="shared" si="8"/>
        <v>0</v>
      </c>
      <c r="X683" s="3055">
        <f t="shared" si="9"/>
        <v>0</v>
      </c>
      <c r="Y683" s="3055">
        <f t="shared" si="10"/>
        <v>0</v>
      </c>
      <c r="Z683" s="3055">
        <f t="shared" si="11"/>
        <v>0</v>
      </c>
      <c r="AA683" s="3055">
        <f t="shared" si="12"/>
        <v>0</v>
      </c>
      <c r="AB683" s="3055">
        <f t="shared" si="13"/>
        <v>0</v>
      </c>
      <c r="AC683" s="3055">
        <f t="shared" si="14"/>
        <v>0</v>
      </c>
      <c r="AD683" s="3056"/>
      <c r="AE683" s="3057">
        <f t="shared" si="0"/>
      </c>
      <c r="AF683" s="3054"/>
      <c r="AG683" s="3054"/>
      <c r="AH683" s="3055"/>
      <c r="AI683" s="3055"/>
      <c r="AJ683" s="3055"/>
      <c r="AK683" s="3055"/>
      <c r="AL683" s="3055"/>
      <c r="AM683" s="3055"/>
      <c r="AN683" s="3055"/>
      <c r="AO683" s="3055"/>
      <c r="AP683" s="3055"/>
      <c r="AQ683" s="3055"/>
      <c r="AR683" s="3055"/>
      <c r="AS683" s="3055"/>
      <c r="AT683" s="3055"/>
      <c r="AU683" s="3056"/>
      <c r="AV683" s="3057">
        <f t="shared" si="15"/>
      </c>
      <c r="AW683" s="3054"/>
      <c r="AX683" s="3054"/>
      <c r="AY683" s="3055"/>
      <c r="AZ683" s="3055"/>
      <c r="BA683" s="3055"/>
      <c r="BB683" s="3055"/>
      <c r="BC683" s="3055"/>
      <c r="BD683" s="3055"/>
      <c r="BE683" s="3055"/>
      <c r="BF683" s="3055"/>
      <c r="BG683" s="3055"/>
      <c r="BH683" s="3055"/>
      <c r="BI683" s="3055"/>
      <c r="BJ683" s="3055"/>
      <c r="BK683" s="3055"/>
      <c r="BL683" s="3056"/>
      <c r="BM683" s="3057">
        <f t="shared" si="16"/>
      </c>
      <c r="BN683" s="3054"/>
      <c r="BO683" s="3054"/>
      <c r="BP683" s="3055"/>
      <c r="BQ683" s="3055"/>
      <c r="BR683" s="3055"/>
      <c r="BS683" s="3055"/>
      <c r="BT683" s="3055"/>
      <c r="BU683" s="3055"/>
      <c r="BV683" s="3055"/>
      <c r="BW683" s="3055"/>
      <c r="BX683" s="3055"/>
      <c r="BY683" s="3055"/>
      <c r="BZ683" s="3055"/>
      <c r="CA683" s="3055"/>
      <c r="CB683" s="3055"/>
      <c r="CC683" s="3056"/>
      <c r="CD683" s="3057">
        <f t="shared" si="0"/>
      </c>
      <c r="CE683" s="3054"/>
      <c r="CF683" s="3054"/>
      <c r="CG683" s="3055"/>
      <c r="CH683" s="3055"/>
      <c r="CI683" s="3055"/>
      <c r="CJ683" s="3055"/>
      <c r="CK683" s="3055"/>
      <c r="CL683" s="3055"/>
      <c r="CM683" s="3055"/>
      <c r="CN683" s="3055"/>
      <c r="CO683" s="3055"/>
      <c r="CP683" s="3055"/>
      <c r="CQ683" s="3055"/>
      <c r="CR683" s="3055"/>
      <c r="CS683" s="3055"/>
      <c r="CU683" s="3054"/>
      <c r="CV683" s="696"/>
      <c r="CW683" s="696"/>
      <c r="CZ683" s="3060">
        <f t="shared" si="17"/>
      </c>
      <c r="DA683" s="3060">
        <f t="shared" si="1"/>
      </c>
      <c r="DB683" s="3060">
        <f t="shared" si="18"/>
      </c>
      <c r="DC683" s="3060">
        <f t="shared" si="19"/>
      </c>
      <c r="DD683" s="3060">
        <f t="shared" si="20"/>
      </c>
      <c r="DE683" s="3060">
        <f t="shared" si="21"/>
      </c>
      <c r="DF683" s="3060">
        <f t="shared" si="22"/>
      </c>
      <c r="DG683" s="3060">
        <f t="shared" si="23"/>
      </c>
      <c r="DH683" s="3060">
        <f t="shared" si="24"/>
      </c>
      <c r="DI683" s="3060">
        <f t="shared" si="1"/>
      </c>
    </row>
    <row r="684" ht="15" customHeight="1" s="3052" customFormat="1">
      <c r="B684" s="3054">
        <f t="shared" si="2"/>
      </c>
      <c r="C684" s="3054"/>
      <c r="D684" s="3054"/>
      <c r="E684" s="3055"/>
      <c r="F684" s="3055"/>
      <c r="G684" s="3055"/>
      <c r="H684" s="3055"/>
      <c r="I684" s="3055"/>
      <c r="J684" s="3055"/>
      <c r="K684" s="3055"/>
      <c r="L684" s="3055"/>
      <c r="M684" s="3055"/>
      <c r="N684" s="3055"/>
      <c r="O684" s="3055"/>
      <c r="P684" s="3055"/>
      <c r="Q684" s="3055"/>
      <c r="R684" s="3055">
        <f t="shared" si="3"/>
        <v>0</v>
      </c>
      <c r="S684" s="3055">
        <f t="shared" si="4"/>
        <v>0</v>
      </c>
      <c r="T684" s="3055">
        <f t="shared" si="5"/>
        <v>0</v>
      </c>
      <c r="U684" s="3055">
        <f t="shared" si="6"/>
        <v>0</v>
      </c>
      <c r="V684" s="3055">
        <f t="shared" si="7"/>
        <v>0</v>
      </c>
      <c r="W684" s="3055">
        <f t="shared" si="8"/>
        <v>0</v>
      </c>
      <c r="X684" s="3055">
        <f t="shared" si="9"/>
        <v>0</v>
      </c>
      <c r="Y684" s="3055">
        <f t="shared" si="10"/>
        <v>0</v>
      </c>
      <c r="Z684" s="3055">
        <f t="shared" si="11"/>
        <v>0</v>
      </c>
      <c r="AA684" s="3055">
        <f t="shared" si="12"/>
        <v>0</v>
      </c>
      <c r="AB684" s="3055">
        <f t="shared" si="13"/>
        <v>0</v>
      </c>
      <c r="AC684" s="3055">
        <f t="shared" si="14"/>
        <v>0</v>
      </c>
      <c r="AD684" s="3056"/>
      <c r="AE684" s="3057">
        <f t="shared" si="0"/>
      </c>
      <c r="AF684" s="3054"/>
      <c r="AG684" s="3054"/>
      <c r="AH684" s="3055"/>
      <c r="AI684" s="3055"/>
      <c r="AJ684" s="3055"/>
      <c r="AK684" s="3055"/>
      <c r="AL684" s="3055"/>
      <c r="AM684" s="3055"/>
      <c r="AN684" s="3055"/>
      <c r="AO684" s="3055"/>
      <c r="AP684" s="3055"/>
      <c r="AQ684" s="3055"/>
      <c r="AR684" s="3055"/>
      <c r="AS684" s="3055"/>
      <c r="AT684" s="3055"/>
      <c r="AU684" s="3056"/>
      <c r="AV684" s="3057">
        <f t="shared" si="15"/>
      </c>
      <c r="AW684" s="3054"/>
      <c r="AX684" s="3054"/>
      <c r="AY684" s="3055"/>
      <c r="AZ684" s="3055"/>
      <c r="BA684" s="3055"/>
      <c r="BB684" s="3055"/>
      <c r="BC684" s="3055"/>
      <c r="BD684" s="3055"/>
      <c r="BE684" s="3055"/>
      <c r="BF684" s="3055"/>
      <c r="BG684" s="3055"/>
      <c r="BH684" s="3055"/>
      <c r="BI684" s="3055"/>
      <c r="BJ684" s="3055"/>
      <c r="BK684" s="3055"/>
      <c r="BL684" s="3056"/>
      <c r="BM684" s="3057">
        <f t="shared" si="16"/>
      </c>
      <c r="BN684" s="3054"/>
      <c r="BO684" s="3054"/>
      <c r="BP684" s="3055"/>
      <c r="BQ684" s="3055"/>
      <c r="BR684" s="3055"/>
      <c r="BS684" s="3055"/>
      <c r="BT684" s="3055"/>
      <c r="BU684" s="3055"/>
      <c r="BV684" s="3055"/>
      <c r="BW684" s="3055"/>
      <c r="BX684" s="3055"/>
      <c r="BY684" s="3055"/>
      <c r="BZ684" s="3055"/>
      <c r="CA684" s="3055"/>
      <c r="CB684" s="3055"/>
      <c r="CC684" s="3056"/>
      <c r="CD684" s="3057">
        <f t="shared" si="0"/>
      </c>
      <c r="CE684" s="3054"/>
      <c r="CF684" s="3054"/>
      <c r="CG684" s="3055"/>
      <c r="CH684" s="3055"/>
      <c r="CI684" s="3055"/>
      <c r="CJ684" s="3055"/>
      <c r="CK684" s="3055"/>
      <c r="CL684" s="3055"/>
      <c r="CM684" s="3055"/>
      <c r="CN684" s="3055"/>
      <c r="CO684" s="3055"/>
      <c r="CP684" s="3055"/>
      <c r="CQ684" s="3055"/>
      <c r="CR684" s="3055"/>
      <c r="CS684" s="3055"/>
      <c r="CU684" s="3054"/>
      <c r="CV684" s="696"/>
      <c r="CW684" s="696"/>
      <c r="CZ684" s="3060">
        <f t="shared" si="17"/>
      </c>
      <c r="DA684" s="3060">
        <f t="shared" si="1"/>
      </c>
      <c r="DB684" s="3060">
        <f t="shared" si="18"/>
      </c>
      <c r="DC684" s="3060">
        <f t="shared" si="19"/>
      </c>
      <c r="DD684" s="3060">
        <f t="shared" si="20"/>
      </c>
      <c r="DE684" s="3060">
        <f t="shared" si="21"/>
      </c>
      <c r="DF684" s="3060">
        <f t="shared" si="22"/>
      </c>
      <c r="DG684" s="3060">
        <f t="shared" si="23"/>
      </c>
      <c r="DH684" s="3060">
        <f t="shared" si="24"/>
      </c>
      <c r="DI684" s="3060">
        <f t="shared" si="1"/>
      </c>
    </row>
    <row r="685" ht="15" customHeight="1" s="3052" customFormat="1">
      <c r="B685" s="3054">
        <f t="shared" si="2"/>
      </c>
      <c r="C685" s="3054"/>
      <c r="D685" s="3054"/>
      <c r="E685" s="3055"/>
      <c r="F685" s="3055"/>
      <c r="G685" s="3055"/>
      <c r="H685" s="3055"/>
      <c r="I685" s="3055"/>
      <c r="J685" s="3055"/>
      <c r="K685" s="3055"/>
      <c r="L685" s="3055"/>
      <c r="M685" s="3055"/>
      <c r="N685" s="3055"/>
      <c r="O685" s="3055"/>
      <c r="P685" s="3055"/>
      <c r="Q685" s="3055"/>
      <c r="R685" s="3055">
        <f t="shared" si="3"/>
        <v>0</v>
      </c>
      <c r="S685" s="3055">
        <f t="shared" si="4"/>
        <v>0</v>
      </c>
      <c r="T685" s="3055">
        <f t="shared" si="5"/>
        <v>0</v>
      </c>
      <c r="U685" s="3055">
        <f t="shared" si="6"/>
        <v>0</v>
      </c>
      <c r="V685" s="3055">
        <f t="shared" si="7"/>
        <v>0</v>
      </c>
      <c r="W685" s="3055">
        <f t="shared" si="8"/>
        <v>0</v>
      </c>
      <c r="X685" s="3055">
        <f t="shared" si="9"/>
        <v>0</v>
      </c>
      <c r="Y685" s="3055">
        <f t="shared" si="10"/>
        <v>0</v>
      </c>
      <c r="Z685" s="3055">
        <f t="shared" si="11"/>
        <v>0</v>
      </c>
      <c r="AA685" s="3055">
        <f t="shared" si="12"/>
        <v>0</v>
      </c>
      <c r="AB685" s="3055">
        <f t="shared" si="13"/>
        <v>0</v>
      </c>
      <c r="AC685" s="3055">
        <f t="shared" si="14"/>
        <v>0</v>
      </c>
      <c r="AD685" s="3056"/>
      <c r="AE685" s="3057">
        <f t="shared" si="0"/>
      </c>
      <c r="AF685" s="3054"/>
      <c r="AG685" s="3054"/>
      <c r="AH685" s="3055"/>
      <c r="AI685" s="3055"/>
      <c r="AJ685" s="3055"/>
      <c r="AK685" s="3055"/>
      <c r="AL685" s="3055"/>
      <c r="AM685" s="3055"/>
      <c r="AN685" s="3055"/>
      <c r="AO685" s="3055"/>
      <c r="AP685" s="3055"/>
      <c r="AQ685" s="3055"/>
      <c r="AR685" s="3055"/>
      <c r="AS685" s="3055"/>
      <c r="AT685" s="3055"/>
      <c r="AU685" s="3056"/>
      <c r="AV685" s="3057">
        <f t="shared" si="15"/>
      </c>
      <c r="AW685" s="3054"/>
      <c r="AX685" s="3054"/>
      <c r="AY685" s="3055"/>
      <c r="AZ685" s="3055"/>
      <c r="BA685" s="3055"/>
      <c r="BB685" s="3055"/>
      <c r="BC685" s="3055"/>
      <c r="BD685" s="3055"/>
      <c r="BE685" s="3055"/>
      <c r="BF685" s="3055"/>
      <c r="BG685" s="3055"/>
      <c r="BH685" s="3055"/>
      <c r="BI685" s="3055"/>
      <c r="BJ685" s="3055"/>
      <c r="BK685" s="3055"/>
      <c r="BL685" s="3056"/>
      <c r="BM685" s="3057">
        <f t="shared" si="16"/>
      </c>
      <c r="BN685" s="3054"/>
      <c r="BO685" s="3054"/>
      <c r="BP685" s="3055"/>
      <c r="BQ685" s="3055"/>
      <c r="BR685" s="3055"/>
      <c r="BS685" s="3055"/>
      <c r="BT685" s="3055"/>
      <c r="BU685" s="3055"/>
      <c r="BV685" s="3055"/>
      <c r="BW685" s="3055"/>
      <c r="BX685" s="3055"/>
      <c r="BY685" s="3055"/>
      <c r="BZ685" s="3055"/>
      <c r="CA685" s="3055"/>
      <c r="CB685" s="3055"/>
      <c r="CC685" s="3056"/>
      <c r="CD685" s="3057">
        <f t="shared" si="0"/>
      </c>
      <c r="CE685" s="3054"/>
      <c r="CF685" s="3054"/>
      <c r="CG685" s="3055"/>
      <c r="CH685" s="3055"/>
      <c r="CI685" s="3055"/>
      <c r="CJ685" s="3055"/>
      <c r="CK685" s="3055"/>
      <c r="CL685" s="3055"/>
      <c r="CM685" s="3055"/>
      <c r="CN685" s="3055"/>
      <c r="CO685" s="3055"/>
      <c r="CP685" s="3055"/>
      <c r="CQ685" s="3055"/>
      <c r="CR685" s="3055"/>
      <c r="CS685" s="3055"/>
      <c r="CU685" s="3054"/>
      <c r="CV685" s="696"/>
      <c r="CW685" s="696"/>
      <c r="CZ685" s="3060">
        <f t="shared" si="17"/>
      </c>
      <c r="DA685" s="3060">
        <f t="shared" si="1"/>
      </c>
      <c r="DB685" s="3060">
        <f t="shared" si="18"/>
      </c>
      <c r="DC685" s="3060">
        <f t="shared" si="19"/>
      </c>
      <c r="DD685" s="3060">
        <f t="shared" si="20"/>
      </c>
      <c r="DE685" s="3060">
        <f t="shared" si="21"/>
      </c>
      <c r="DF685" s="3060">
        <f t="shared" si="22"/>
      </c>
      <c r="DG685" s="3060">
        <f t="shared" si="23"/>
      </c>
      <c r="DH685" s="3060">
        <f t="shared" si="24"/>
      </c>
      <c r="DI685" s="3060">
        <f t="shared" si="1"/>
      </c>
    </row>
    <row r="686" ht="15" customHeight="1" s="3052" customFormat="1">
      <c r="B686" s="3054">
        <f t="shared" si="2"/>
      </c>
      <c r="C686" s="3054"/>
      <c r="D686" s="3054"/>
      <c r="E686" s="3055"/>
      <c r="F686" s="3055"/>
      <c r="G686" s="3055"/>
      <c r="H686" s="3055"/>
      <c r="I686" s="3055"/>
      <c r="J686" s="3055"/>
      <c r="K686" s="3055"/>
      <c r="L686" s="3055"/>
      <c r="M686" s="3055"/>
      <c r="N686" s="3055"/>
      <c r="O686" s="3055"/>
      <c r="P686" s="3055"/>
      <c r="Q686" s="3055"/>
      <c r="R686" s="3055">
        <f t="shared" si="3"/>
        <v>0</v>
      </c>
      <c r="S686" s="3055">
        <f t="shared" si="4"/>
        <v>0</v>
      </c>
      <c r="T686" s="3055">
        <f t="shared" si="5"/>
        <v>0</v>
      </c>
      <c r="U686" s="3055">
        <f t="shared" si="6"/>
        <v>0</v>
      </c>
      <c r="V686" s="3055">
        <f t="shared" si="7"/>
        <v>0</v>
      </c>
      <c r="W686" s="3055">
        <f t="shared" si="8"/>
        <v>0</v>
      </c>
      <c r="X686" s="3055">
        <f t="shared" si="9"/>
        <v>0</v>
      </c>
      <c r="Y686" s="3055">
        <f t="shared" si="10"/>
        <v>0</v>
      </c>
      <c r="Z686" s="3055">
        <f t="shared" si="11"/>
        <v>0</v>
      </c>
      <c r="AA686" s="3055">
        <f t="shared" si="12"/>
        <v>0</v>
      </c>
      <c r="AB686" s="3055">
        <f t="shared" si="13"/>
        <v>0</v>
      </c>
      <c r="AC686" s="3055">
        <f t="shared" si="14"/>
        <v>0</v>
      </c>
      <c r="AD686" s="3056"/>
      <c r="AE686" s="3057">
        <f t="shared" si="0"/>
      </c>
      <c r="AF686" s="3054"/>
      <c r="AG686" s="3054"/>
      <c r="AH686" s="3055"/>
      <c r="AI686" s="3055"/>
      <c r="AJ686" s="3055"/>
      <c r="AK686" s="3055"/>
      <c r="AL686" s="3055"/>
      <c r="AM686" s="3055"/>
      <c r="AN686" s="3055"/>
      <c r="AO686" s="3055"/>
      <c r="AP686" s="3055"/>
      <c r="AQ686" s="3055"/>
      <c r="AR686" s="3055"/>
      <c r="AS686" s="3055"/>
      <c r="AT686" s="3055"/>
      <c r="AU686" s="3056"/>
      <c r="AV686" s="3057">
        <f t="shared" si="15"/>
      </c>
      <c r="AW686" s="3054"/>
      <c r="AX686" s="3054"/>
      <c r="AY686" s="3055"/>
      <c r="AZ686" s="3055"/>
      <c r="BA686" s="3055"/>
      <c r="BB686" s="3055"/>
      <c r="BC686" s="3055"/>
      <c r="BD686" s="3055"/>
      <c r="BE686" s="3055"/>
      <c r="BF686" s="3055"/>
      <c r="BG686" s="3055"/>
      <c r="BH686" s="3055"/>
      <c r="BI686" s="3055"/>
      <c r="BJ686" s="3055"/>
      <c r="BK686" s="3055"/>
      <c r="BL686" s="3056"/>
      <c r="BM686" s="3057">
        <f t="shared" si="16"/>
      </c>
      <c r="BN686" s="3054"/>
      <c r="BO686" s="3054"/>
      <c r="BP686" s="3055"/>
      <c r="BQ686" s="3055"/>
      <c r="BR686" s="3055"/>
      <c r="BS686" s="3055"/>
      <c r="BT686" s="3055"/>
      <c r="BU686" s="3055"/>
      <c r="BV686" s="3055"/>
      <c r="BW686" s="3055"/>
      <c r="BX686" s="3055"/>
      <c r="BY686" s="3055"/>
      <c r="BZ686" s="3055"/>
      <c r="CA686" s="3055"/>
      <c r="CB686" s="3055"/>
      <c r="CC686" s="3056"/>
      <c r="CD686" s="3057">
        <f t="shared" si="0"/>
      </c>
      <c r="CE686" s="3054"/>
      <c r="CF686" s="3054"/>
      <c r="CG686" s="3055"/>
      <c r="CH686" s="3055"/>
      <c r="CI686" s="3055"/>
      <c r="CJ686" s="3055"/>
      <c r="CK686" s="3055"/>
      <c r="CL686" s="3055"/>
      <c r="CM686" s="3055"/>
      <c r="CN686" s="3055"/>
      <c r="CO686" s="3055"/>
      <c r="CP686" s="3055"/>
      <c r="CQ686" s="3055"/>
      <c r="CR686" s="3055"/>
      <c r="CS686" s="3055"/>
      <c r="CU686" s="3054"/>
      <c r="CV686" s="696"/>
      <c r="CW686" s="696"/>
      <c r="CZ686" s="3060">
        <f t="shared" si="17"/>
      </c>
      <c r="DA686" s="3060">
        <f t="shared" si="1"/>
      </c>
      <c r="DB686" s="3060">
        <f t="shared" si="18"/>
      </c>
      <c r="DC686" s="3060">
        <f t="shared" si="19"/>
      </c>
      <c r="DD686" s="3060">
        <f t="shared" si="20"/>
      </c>
      <c r="DE686" s="3060">
        <f t="shared" si="21"/>
      </c>
      <c r="DF686" s="3060">
        <f t="shared" si="22"/>
      </c>
      <c r="DG686" s="3060">
        <f t="shared" si="23"/>
      </c>
      <c r="DH686" s="3060">
        <f t="shared" si="24"/>
      </c>
      <c r="DI686" s="3060">
        <f t="shared" si="1"/>
      </c>
    </row>
    <row r="687" ht="15" customHeight="1" s="3052" customFormat="1">
      <c r="B687" s="3054">
        <f t="shared" si="2"/>
      </c>
      <c r="C687" s="3054"/>
      <c r="D687" s="3054"/>
      <c r="E687" s="3055"/>
      <c r="F687" s="3055"/>
      <c r="G687" s="3055"/>
      <c r="H687" s="3055"/>
      <c r="I687" s="3055"/>
      <c r="J687" s="3055"/>
      <c r="K687" s="3055"/>
      <c r="L687" s="3055"/>
      <c r="M687" s="3055"/>
      <c r="N687" s="3055"/>
      <c r="O687" s="3055"/>
      <c r="P687" s="3055"/>
      <c r="Q687" s="3055"/>
      <c r="R687" s="3055">
        <f t="shared" si="3"/>
        <v>0</v>
      </c>
      <c r="S687" s="3055">
        <f t="shared" si="4"/>
        <v>0</v>
      </c>
      <c r="T687" s="3055">
        <f t="shared" si="5"/>
        <v>0</v>
      </c>
      <c r="U687" s="3055">
        <f t="shared" si="6"/>
        <v>0</v>
      </c>
      <c r="V687" s="3055">
        <f t="shared" si="7"/>
        <v>0</v>
      </c>
      <c r="W687" s="3055">
        <f t="shared" si="8"/>
        <v>0</v>
      </c>
      <c r="X687" s="3055">
        <f t="shared" si="9"/>
        <v>0</v>
      </c>
      <c r="Y687" s="3055">
        <f t="shared" si="10"/>
        <v>0</v>
      </c>
      <c r="Z687" s="3055">
        <f t="shared" si="11"/>
        <v>0</v>
      </c>
      <c r="AA687" s="3055">
        <f t="shared" si="12"/>
        <v>0</v>
      </c>
      <c r="AB687" s="3055">
        <f t="shared" si="13"/>
        <v>0</v>
      </c>
      <c r="AC687" s="3055">
        <f t="shared" si="14"/>
        <v>0</v>
      </c>
      <c r="AD687" s="3056"/>
      <c r="AE687" s="3057">
        <f t="shared" si="0"/>
      </c>
      <c r="AF687" s="3054"/>
      <c r="AG687" s="3054"/>
      <c r="AH687" s="3055"/>
      <c r="AI687" s="3055"/>
      <c r="AJ687" s="3055"/>
      <c r="AK687" s="3055"/>
      <c r="AL687" s="3055"/>
      <c r="AM687" s="3055"/>
      <c r="AN687" s="3055"/>
      <c r="AO687" s="3055"/>
      <c r="AP687" s="3055"/>
      <c r="AQ687" s="3055"/>
      <c r="AR687" s="3055"/>
      <c r="AS687" s="3055"/>
      <c r="AT687" s="3055"/>
      <c r="AU687" s="3056"/>
      <c r="AV687" s="3057">
        <f t="shared" si="15"/>
      </c>
      <c r="AW687" s="3054"/>
      <c r="AX687" s="3054"/>
      <c r="AY687" s="3055"/>
      <c r="AZ687" s="3055"/>
      <c r="BA687" s="3055"/>
      <c r="BB687" s="3055"/>
      <c r="BC687" s="3055"/>
      <c r="BD687" s="3055"/>
      <c r="BE687" s="3055"/>
      <c r="BF687" s="3055"/>
      <c r="BG687" s="3055"/>
      <c r="BH687" s="3055"/>
      <c r="BI687" s="3055"/>
      <c r="BJ687" s="3055"/>
      <c r="BK687" s="3055"/>
      <c r="BL687" s="3056"/>
      <c r="BM687" s="3057">
        <f t="shared" si="16"/>
      </c>
      <c r="BN687" s="3054"/>
      <c r="BO687" s="3054"/>
      <c r="BP687" s="3055"/>
      <c r="BQ687" s="3055"/>
      <c r="BR687" s="3055"/>
      <c r="BS687" s="3055"/>
      <c r="BT687" s="3055"/>
      <c r="BU687" s="3055"/>
      <c r="BV687" s="3055"/>
      <c r="BW687" s="3055"/>
      <c r="BX687" s="3055"/>
      <c r="BY687" s="3055"/>
      <c r="BZ687" s="3055"/>
      <c r="CA687" s="3055"/>
      <c r="CB687" s="3055"/>
      <c r="CC687" s="3056"/>
      <c r="CD687" s="3057">
        <f t="shared" si="0"/>
      </c>
      <c r="CE687" s="3054"/>
      <c r="CF687" s="3054"/>
      <c r="CG687" s="3055"/>
      <c r="CH687" s="3055"/>
      <c r="CI687" s="3055"/>
      <c r="CJ687" s="3055"/>
      <c r="CK687" s="3055"/>
      <c r="CL687" s="3055"/>
      <c r="CM687" s="3055"/>
      <c r="CN687" s="3055"/>
      <c r="CO687" s="3055"/>
      <c r="CP687" s="3055"/>
      <c r="CQ687" s="3055"/>
      <c r="CR687" s="3055"/>
      <c r="CS687" s="3055"/>
      <c r="CU687" s="3054"/>
      <c r="CV687" s="696"/>
      <c r="CW687" s="696"/>
      <c r="CZ687" s="3060">
        <f t="shared" si="17"/>
      </c>
      <c r="DA687" s="3060">
        <f t="shared" si="1"/>
      </c>
      <c r="DB687" s="3060">
        <f t="shared" si="18"/>
      </c>
      <c r="DC687" s="3060">
        <f t="shared" si="19"/>
      </c>
      <c r="DD687" s="3060">
        <f t="shared" si="20"/>
      </c>
      <c r="DE687" s="3060">
        <f t="shared" si="21"/>
      </c>
      <c r="DF687" s="3060">
        <f t="shared" si="22"/>
      </c>
      <c r="DG687" s="3060">
        <f t="shared" si="23"/>
      </c>
      <c r="DH687" s="3060">
        <f t="shared" si="24"/>
      </c>
      <c r="DI687" s="3060">
        <f t="shared" si="1"/>
      </c>
    </row>
    <row r="688" ht="15" customHeight="1" s="3052" customFormat="1">
      <c r="B688" s="3054">
        <f t="shared" si="2"/>
      </c>
      <c r="C688" s="3054"/>
      <c r="D688" s="3054"/>
      <c r="E688" s="3055"/>
      <c r="F688" s="3055"/>
      <c r="G688" s="3055"/>
      <c r="H688" s="3055"/>
      <c r="I688" s="3055"/>
      <c r="J688" s="3055"/>
      <c r="K688" s="3055"/>
      <c r="L688" s="3055"/>
      <c r="M688" s="3055"/>
      <c r="N688" s="3055"/>
      <c r="O688" s="3055"/>
      <c r="P688" s="3055"/>
      <c r="Q688" s="3055"/>
      <c r="R688" s="3055">
        <f t="shared" si="3"/>
        <v>0</v>
      </c>
      <c r="S688" s="3055">
        <f t="shared" si="4"/>
        <v>0</v>
      </c>
      <c r="T688" s="3055">
        <f t="shared" si="5"/>
        <v>0</v>
      </c>
      <c r="U688" s="3055">
        <f t="shared" si="6"/>
        <v>0</v>
      </c>
      <c r="V688" s="3055">
        <f t="shared" si="7"/>
        <v>0</v>
      </c>
      <c r="W688" s="3055">
        <f t="shared" si="8"/>
        <v>0</v>
      </c>
      <c r="X688" s="3055">
        <f t="shared" si="9"/>
        <v>0</v>
      </c>
      <c r="Y688" s="3055">
        <f t="shared" si="10"/>
        <v>0</v>
      </c>
      <c r="Z688" s="3055">
        <f t="shared" si="11"/>
        <v>0</v>
      </c>
      <c r="AA688" s="3055">
        <f t="shared" si="12"/>
        <v>0</v>
      </c>
      <c r="AB688" s="3055">
        <f t="shared" si="13"/>
        <v>0</v>
      </c>
      <c r="AC688" s="3055">
        <f t="shared" si="14"/>
        <v>0</v>
      </c>
      <c r="AD688" s="3056"/>
      <c r="AE688" s="3057">
        <f t="shared" si="0"/>
      </c>
      <c r="AF688" s="3054"/>
      <c r="AG688" s="3054"/>
      <c r="AH688" s="3055"/>
      <c r="AI688" s="3055"/>
      <c r="AJ688" s="3055"/>
      <c r="AK688" s="3055"/>
      <c r="AL688" s="3055"/>
      <c r="AM688" s="3055"/>
      <c r="AN688" s="3055"/>
      <c r="AO688" s="3055"/>
      <c r="AP688" s="3055"/>
      <c r="AQ688" s="3055"/>
      <c r="AR688" s="3055"/>
      <c r="AS688" s="3055"/>
      <c r="AT688" s="3055"/>
      <c r="AU688" s="3056"/>
      <c r="AV688" s="3057">
        <f t="shared" si="15"/>
      </c>
      <c r="AW688" s="3054"/>
      <c r="AX688" s="3054"/>
      <c r="AY688" s="3055"/>
      <c r="AZ688" s="3055"/>
      <c r="BA688" s="3055"/>
      <c r="BB688" s="3055"/>
      <c r="BC688" s="3055"/>
      <c r="BD688" s="3055"/>
      <c r="BE688" s="3055"/>
      <c r="BF688" s="3055"/>
      <c r="BG688" s="3055"/>
      <c r="BH688" s="3055"/>
      <c r="BI688" s="3055"/>
      <c r="BJ688" s="3055"/>
      <c r="BK688" s="3055"/>
      <c r="BL688" s="3056"/>
      <c r="BM688" s="3057">
        <f t="shared" si="16"/>
      </c>
      <c r="BN688" s="3054"/>
      <c r="BO688" s="3054"/>
      <c r="BP688" s="3055"/>
      <c r="BQ688" s="3055"/>
      <c r="BR688" s="3055"/>
      <c r="BS688" s="3055"/>
      <c r="BT688" s="3055"/>
      <c r="BU688" s="3055"/>
      <c r="BV688" s="3055"/>
      <c r="BW688" s="3055"/>
      <c r="BX688" s="3055"/>
      <c r="BY688" s="3055"/>
      <c r="BZ688" s="3055"/>
      <c r="CA688" s="3055"/>
      <c r="CB688" s="3055"/>
      <c r="CC688" s="3056"/>
      <c r="CD688" s="3057">
        <f t="shared" si="0"/>
      </c>
      <c r="CE688" s="3054"/>
      <c r="CF688" s="3054"/>
      <c r="CG688" s="3055"/>
      <c r="CH688" s="3055"/>
      <c r="CI688" s="3055"/>
      <c r="CJ688" s="3055"/>
      <c r="CK688" s="3055"/>
      <c r="CL688" s="3055"/>
      <c r="CM688" s="3055"/>
      <c r="CN688" s="3055"/>
      <c r="CO688" s="3055"/>
      <c r="CP688" s="3055"/>
      <c r="CQ688" s="3055"/>
      <c r="CR688" s="3055"/>
      <c r="CS688" s="3055"/>
      <c r="CU688" s="3054"/>
      <c r="CV688" s="696"/>
      <c r="CW688" s="696"/>
      <c r="CZ688" s="3060">
        <f t="shared" si="17"/>
      </c>
      <c r="DA688" s="3060">
        <f t="shared" si="1"/>
      </c>
      <c r="DB688" s="3060">
        <f t="shared" si="18"/>
      </c>
      <c r="DC688" s="3060">
        <f t="shared" si="19"/>
      </c>
      <c r="DD688" s="3060">
        <f t="shared" si="20"/>
      </c>
      <c r="DE688" s="3060">
        <f t="shared" si="21"/>
      </c>
      <c r="DF688" s="3060">
        <f t="shared" si="22"/>
      </c>
      <c r="DG688" s="3060">
        <f t="shared" si="23"/>
      </c>
      <c r="DH688" s="3060">
        <f t="shared" si="24"/>
      </c>
      <c r="DI688" s="3060">
        <f t="shared" si="1"/>
      </c>
    </row>
    <row r="689" ht="15" customHeight="1" s="3052" customFormat="1">
      <c r="B689" s="3054">
        <f t="shared" si="2"/>
      </c>
      <c r="C689" s="3054"/>
      <c r="D689" s="3054"/>
      <c r="E689" s="3055"/>
      <c r="F689" s="3055"/>
      <c r="G689" s="3055"/>
      <c r="H689" s="3055"/>
      <c r="I689" s="3055"/>
      <c r="J689" s="3055"/>
      <c r="K689" s="3055"/>
      <c r="L689" s="3055"/>
      <c r="M689" s="3055"/>
      <c r="N689" s="3055"/>
      <c r="O689" s="3055"/>
      <c r="P689" s="3055"/>
      <c r="Q689" s="3055"/>
      <c r="R689" s="3055">
        <f t="shared" si="3"/>
        <v>0</v>
      </c>
      <c r="S689" s="3055">
        <f t="shared" si="4"/>
        <v>0</v>
      </c>
      <c r="T689" s="3055">
        <f t="shared" si="5"/>
        <v>0</v>
      </c>
      <c r="U689" s="3055">
        <f t="shared" si="6"/>
        <v>0</v>
      </c>
      <c r="V689" s="3055">
        <f t="shared" si="7"/>
        <v>0</v>
      </c>
      <c r="W689" s="3055">
        <f t="shared" si="8"/>
        <v>0</v>
      </c>
      <c r="X689" s="3055">
        <f t="shared" si="9"/>
        <v>0</v>
      </c>
      <c r="Y689" s="3055">
        <f t="shared" si="10"/>
        <v>0</v>
      </c>
      <c r="Z689" s="3055">
        <f t="shared" si="11"/>
        <v>0</v>
      </c>
      <c r="AA689" s="3055">
        <f t="shared" si="12"/>
        <v>0</v>
      </c>
      <c r="AB689" s="3055">
        <f t="shared" si="13"/>
        <v>0</v>
      </c>
      <c r="AC689" s="3055">
        <f t="shared" si="14"/>
        <v>0</v>
      </c>
      <c r="AD689" s="3056"/>
      <c r="AE689" s="3057">
        <f t="shared" si="0"/>
      </c>
      <c r="AF689" s="3054"/>
      <c r="AG689" s="3054"/>
      <c r="AH689" s="3055"/>
      <c r="AI689" s="3055"/>
      <c r="AJ689" s="3055"/>
      <c r="AK689" s="3055"/>
      <c r="AL689" s="3055"/>
      <c r="AM689" s="3055"/>
      <c r="AN689" s="3055"/>
      <c r="AO689" s="3055"/>
      <c r="AP689" s="3055"/>
      <c r="AQ689" s="3055"/>
      <c r="AR689" s="3055"/>
      <c r="AS689" s="3055"/>
      <c r="AT689" s="3055"/>
      <c r="AU689" s="3056"/>
      <c r="AV689" s="3057">
        <f t="shared" si="15"/>
      </c>
      <c r="AW689" s="3054"/>
      <c r="AX689" s="3054"/>
      <c r="AY689" s="3055"/>
      <c r="AZ689" s="3055"/>
      <c r="BA689" s="3055"/>
      <c r="BB689" s="3055"/>
      <c r="BC689" s="3055"/>
      <c r="BD689" s="3055"/>
      <c r="BE689" s="3055"/>
      <c r="BF689" s="3055"/>
      <c r="BG689" s="3055"/>
      <c r="BH689" s="3055"/>
      <c r="BI689" s="3055"/>
      <c r="BJ689" s="3055"/>
      <c r="BK689" s="3055"/>
      <c r="BL689" s="3056"/>
      <c r="BM689" s="3057">
        <f t="shared" si="16"/>
      </c>
      <c r="BN689" s="3054"/>
      <c r="BO689" s="3054"/>
      <c r="BP689" s="3055"/>
      <c r="BQ689" s="3055"/>
      <c r="BR689" s="3055"/>
      <c r="BS689" s="3055"/>
      <c r="BT689" s="3055"/>
      <c r="BU689" s="3055"/>
      <c r="BV689" s="3055"/>
      <c r="BW689" s="3055"/>
      <c r="BX689" s="3055"/>
      <c r="BY689" s="3055"/>
      <c r="BZ689" s="3055"/>
      <c r="CA689" s="3055"/>
      <c r="CB689" s="3055"/>
      <c r="CC689" s="3056"/>
      <c r="CD689" s="3057">
        <f t="shared" si="0"/>
      </c>
      <c r="CE689" s="3054"/>
      <c r="CF689" s="3054"/>
      <c r="CG689" s="3055"/>
      <c r="CH689" s="3055"/>
      <c r="CI689" s="3055"/>
      <c r="CJ689" s="3055"/>
      <c r="CK689" s="3055"/>
      <c r="CL689" s="3055"/>
      <c r="CM689" s="3055"/>
      <c r="CN689" s="3055"/>
      <c r="CO689" s="3055"/>
      <c r="CP689" s="3055"/>
      <c r="CQ689" s="3055"/>
      <c r="CR689" s="3055"/>
      <c r="CS689" s="3055"/>
      <c r="CU689" s="3054"/>
      <c r="CV689" s="696"/>
      <c r="CW689" s="696"/>
      <c r="CZ689" s="3060">
        <f t="shared" si="17"/>
      </c>
      <c r="DA689" s="3060">
        <f t="shared" si="1"/>
      </c>
      <c r="DB689" s="3060">
        <f t="shared" si="18"/>
      </c>
      <c r="DC689" s="3060">
        <f t="shared" si="19"/>
      </c>
      <c r="DD689" s="3060">
        <f t="shared" si="20"/>
      </c>
      <c r="DE689" s="3060">
        <f t="shared" si="21"/>
      </c>
      <c r="DF689" s="3060">
        <f t="shared" si="22"/>
      </c>
      <c r="DG689" s="3060">
        <f t="shared" si="23"/>
      </c>
      <c r="DH689" s="3060">
        <f t="shared" si="24"/>
      </c>
      <c r="DI689" s="3060">
        <f t="shared" si="1"/>
      </c>
    </row>
    <row r="690" ht="15" customHeight="1" s="3052" customFormat="1">
      <c r="B690" s="3054">
        <f t="shared" si="2"/>
      </c>
      <c r="C690" s="3054"/>
      <c r="D690" s="3054"/>
      <c r="E690" s="3055"/>
      <c r="F690" s="3055"/>
      <c r="G690" s="3055"/>
      <c r="H690" s="3055"/>
      <c r="I690" s="3055"/>
      <c r="J690" s="3055"/>
      <c r="K690" s="3055"/>
      <c r="L690" s="3055"/>
      <c r="M690" s="3055"/>
      <c r="N690" s="3055"/>
      <c r="O690" s="3055"/>
      <c r="P690" s="3055"/>
      <c r="Q690" s="3055"/>
      <c r="R690" s="3055">
        <f t="shared" si="3"/>
        <v>0</v>
      </c>
      <c r="S690" s="3055">
        <f t="shared" si="4"/>
        <v>0</v>
      </c>
      <c r="T690" s="3055">
        <f t="shared" si="5"/>
        <v>0</v>
      </c>
      <c r="U690" s="3055">
        <f t="shared" si="6"/>
        <v>0</v>
      </c>
      <c r="V690" s="3055">
        <f t="shared" si="7"/>
        <v>0</v>
      </c>
      <c r="W690" s="3055">
        <f t="shared" si="8"/>
        <v>0</v>
      </c>
      <c r="X690" s="3055">
        <f t="shared" si="9"/>
        <v>0</v>
      </c>
      <c r="Y690" s="3055">
        <f t="shared" si="10"/>
        <v>0</v>
      </c>
      <c r="Z690" s="3055">
        <f t="shared" si="11"/>
        <v>0</v>
      </c>
      <c r="AA690" s="3055">
        <f t="shared" si="12"/>
        <v>0</v>
      </c>
      <c r="AB690" s="3055">
        <f t="shared" si="13"/>
        <v>0</v>
      </c>
      <c r="AC690" s="3055">
        <f t="shared" si="14"/>
        <v>0</v>
      </c>
      <c r="AD690" s="3056"/>
      <c r="AE690" s="3057">
        <f t="shared" si="0"/>
      </c>
      <c r="AF690" s="3054"/>
      <c r="AG690" s="3054"/>
      <c r="AH690" s="3055"/>
      <c r="AI690" s="3055"/>
      <c r="AJ690" s="3055"/>
      <c r="AK690" s="3055"/>
      <c r="AL690" s="3055"/>
      <c r="AM690" s="3055"/>
      <c r="AN690" s="3055"/>
      <c r="AO690" s="3055"/>
      <c r="AP690" s="3055"/>
      <c r="AQ690" s="3055"/>
      <c r="AR690" s="3055"/>
      <c r="AS690" s="3055"/>
      <c r="AT690" s="3055"/>
      <c r="AU690" s="3056"/>
      <c r="AV690" s="3057">
        <f t="shared" si="15"/>
      </c>
      <c r="AW690" s="3054"/>
      <c r="AX690" s="3054"/>
      <c r="AY690" s="3055"/>
      <c r="AZ690" s="3055"/>
      <c r="BA690" s="3055"/>
      <c r="BB690" s="3055"/>
      <c r="BC690" s="3055"/>
      <c r="BD690" s="3055"/>
      <c r="BE690" s="3055"/>
      <c r="BF690" s="3055"/>
      <c r="BG690" s="3055"/>
      <c r="BH690" s="3055"/>
      <c r="BI690" s="3055"/>
      <c r="BJ690" s="3055"/>
      <c r="BK690" s="3055"/>
      <c r="BL690" s="3056"/>
      <c r="BM690" s="3057">
        <f t="shared" si="16"/>
      </c>
      <c r="BN690" s="3054"/>
      <c r="BO690" s="3054"/>
      <c r="BP690" s="3055"/>
      <c r="BQ690" s="3055"/>
      <c r="BR690" s="3055"/>
      <c r="BS690" s="3055"/>
      <c r="BT690" s="3055"/>
      <c r="BU690" s="3055"/>
      <c r="BV690" s="3055"/>
      <c r="BW690" s="3055"/>
      <c r="BX690" s="3055"/>
      <c r="BY690" s="3055"/>
      <c r="BZ690" s="3055"/>
      <c r="CA690" s="3055"/>
      <c r="CB690" s="3055"/>
      <c r="CC690" s="3056"/>
      <c r="CD690" s="3057">
        <f t="shared" si="0"/>
      </c>
      <c r="CE690" s="3054"/>
      <c r="CF690" s="3054"/>
      <c r="CG690" s="3055"/>
      <c r="CH690" s="3055"/>
      <c r="CI690" s="3055"/>
      <c r="CJ690" s="3055"/>
      <c r="CK690" s="3055"/>
      <c r="CL690" s="3055"/>
      <c r="CM690" s="3055"/>
      <c r="CN690" s="3055"/>
      <c r="CO690" s="3055"/>
      <c r="CP690" s="3055"/>
      <c r="CQ690" s="3055"/>
      <c r="CR690" s="3055"/>
      <c r="CS690" s="3055"/>
      <c r="CU690" s="3054"/>
      <c r="CV690" s="696"/>
      <c r="CW690" s="696"/>
      <c r="CZ690" s="3060">
        <f t="shared" si="17"/>
      </c>
      <c r="DA690" s="3060">
        <f t="shared" si="1"/>
      </c>
      <c r="DB690" s="3060">
        <f t="shared" si="18"/>
      </c>
      <c r="DC690" s="3060">
        <f t="shared" si="19"/>
      </c>
      <c r="DD690" s="3060">
        <f t="shared" si="20"/>
      </c>
      <c r="DE690" s="3060">
        <f t="shared" si="21"/>
      </c>
      <c r="DF690" s="3060">
        <f t="shared" si="22"/>
      </c>
      <c r="DG690" s="3060">
        <f t="shared" si="23"/>
      </c>
      <c r="DH690" s="3060">
        <f t="shared" si="24"/>
      </c>
      <c r="DI690" s="3060">
        <f t="shared" si="1"/>
      </c>
    </row>
    <row r="691" ht="15" customHeight="1" s="3052" customFormat="1">
      <c r="B691" s="3054">
        <f t="shared" si="2"/>
      </c>
      <c r="C691" s="3054"/>
      <c r="D691" s="3054"/>
      <c r="E691" s="3055"/>
      <c r="F691" s="3055"/>
      <c r="G691" s="3055"/>
      <c r="H691" s="3055"/>
      <c r="I691" s="3055"/>
      <c r="J691" s="3055"/>
      <c r="K691" s="3055"/>
      <c r="L691" s="3055"/>
      <c r="M691" s="3055"/>
      <c r="N691" s="3055"/>
      <c r="O691" s="3055"/>
      <c r="P691" s="3055"/>
      <c r="Q691" s="3055"/>
      <c r="R691" s="3055">
        <f t="shared" si="3"/>
        <v>0</v>
      </c>
      <c r="S691" s="3055">
        <f t="shared" si="4"/>
        <v>0</v>
      </c>
      <c r="T691" s="3055">
        <f t="shared" si="5"/>
        <v>0</v>
      </c>
      <c r="U691" s="3055">
        <f t="shared" si="6"/>
        <v>0</v>
      </c>
      <c r="V691" s="3055">
        <f t="shared" si="7"/>
        <v>0</v>
      </c>
      <c r="W691" s="3055">
        <f t="shared" si="8"/>
        <v>0</v>
      </c>
      <c r="X691" s="3055">
        <f t="shared" si="9"/>
        <v>0</v>
      </c>
      <c r="Y691" s="3055">
        <f t="shared" si="10"/>
        <v>0</v>
      </c>
      <c r="Z691" s="3055">
        <f t="shared" si="11"/>
        <v>0</v>
      </c>
      <c r="AA691" s="3055">
        <f t="shared" si="12"/>
        <v>0</v>
      </c>
      <c r="AB691" s="3055">
        <f t="shared" si="13"/>
        <v>0</v>
      </c>
      <c r="AC691" s="3055">
        <f t="shared" si="14"/>
        <v>0</v>
      </c>
      <c r="AD691" s="3056"/>
      <c r="AE691" s="3057">
        <f t="shared" si="0"/>
      </c>
      <c r="AF691" s="3054"/>
      <c r="AG691" s="3054"/>
      <c r="AH691" s="3055"/>
      <c r="AI691" s="3055"/>
      <c r="AJ691" s="3055"/>
      <c r="AK691" s="3055"/>
      <c r="AL691" s="3055"/>
      <c r="AM691" s="3055"/>
      <c r="AN691" s="3055"/>
      <c r="AO691" s="3055"/>
      <c r="AP691" s="3055"/>
      <c r="AQ691" s="3055"/>
      <c r="AR691" s="3055"/>
      <c r="AS691" s="3055"/>
      <c r="AT691" s="3055"/>
      <c r="AU691" s="3056"/>
      <c r="AV691" s="3057">
        <f t="shared" si="15"/>
      </c>
      <c r="AW691" s="3054"/>
      <c r="AX691" s="3054"/>
      <c r="AY691" s="3055"/>
      <c r="AZ691" s="3055"/>
      <c r="BA691" s="3055"/>
      <c r="BB691" s="3055"/>
      <c r="BC691" s="3055"/>
      <c r="BD691" s="3055"/>
      <c r="BE691" s="3055"/>
      <c r="BF691" s="3055"/>
      <c r="BG691" s="3055"/>
      <c r="BH691" s="3055"/>
      <c r="BI691" s="3055"/>
      <c r="BJ691" s="3055"/>
      <c r="BK691" s="3055"/>
      <c r="BL691" s="3056"/>
      <c r="BM691" s="3057">
        <f t="shared" si="16"/>
      </c>
      <c r="BN691" s="3054"/>
      <c r="BO691" s="3054"/>
      <c r="BP691" s="3055"/>
      <c r="BQ691" s="3055"/>
      <c r="BR691" s="3055"/>
      <c r="BS691" s="3055"/>
      <c r="BT691" s="3055"/>
      <c r="BU691" s="3055"/>
      <c r="BV691" s="3055"/>
      <c r="BW691" s="3055"/>
      <c r="BX691" s="3055"/>
      <c r="BY691" s="3055"/>
      <c r="BZ691" s="3055"/>
      <c r="CA691" s="3055"/>
      <c r="CB691" s="3055"/>
      <c r="CC691" s="3056"/>
      <c r="CD691" s="3057">
        <f t="shared" si="0"/>
      </c>
      <c r="CE691" s="3054"/>
      <c r="CF691" s="3054"/>
      <c r="CG691" s="3055"/>
      <c r="CH691" s="3055"/>
      <c r="CI691" s="3055"/>
      <c r="CJ691" s="3055"/>
      <c r="CK691" s="3055"/>
      <c r="CL691" s="3055"/>
      <c r="CM691" s="3055"/>
      <c r="CN691" s="3055"/>
      <c r="CO691" s="3055"/>
      <c r="CP691" s="3055"/>
      <c r="CQ691" s="3055"/>
      <c r="CR691" s="3055"/>
      <c r="CS691" s="3055"/>
      <c r="CU691" s="3054"/>
      <c r="CV691" s="696"/>
      <c r="CW691" s="696"/>
      <c r="CZ691" s="3060">
        <f t="shared" si="17"/>
      </c>
      <c r="DA691" s="3060">
        <f t="shared" si="1"/>
      </c>
      <c r="DB691" s="3060">
        <f t="shared" si="18"/>
      </c>
      <c r="DC691" s="3060">
        <f t="shared" si="19"/>
      </c>
      <c r="DD691" s="3060">
        <f t="shared" si="20"/>
      </c>
      <c r="DE691" s="3060">
        <f t="shared" si="21"/>
      </c>
      <c r="DF691" s="3060">
        <f t="shared" si="22"/>
      </c>
      <c r="DG691" s="3060">
        <f t="shared" si="23"/>
      </c>
      <c r="DH691" s="3060">
        <f t="shared" si="24"/>
      </c>
      <c r="DI691" s="3060">
        <f t="shared" si="1"/>
      </c>
    </row>
    <row r="692" ht="15" customHeight="1" s="3052" customFormat="1">
      <c r="B692" s="3054">
        <f t="shared" si="2"/>
      </c>
      <c r="C692" s="3054"/>
      <c r="D692" s="3054"/>
      <c r="E692" s="3055"/>
      <c r="F692" s="3055"/>
      <c r="G692" s="3055"/>
      <c r="H692" s="3055"/>
      <c r="I692" s="3055"/>
      <c r="J692" s="3055"/>
      <c r="K692" s="3055"/>
      <c r="L692" s="3055"/>
      <c r="M692" s="3055"/>
      <c r="N692" s="3055"/>
      <c r="O692" s="3055"/>
      <c r="P692" s="3055"/>
      <c r="Q692" s="3055"/>
      <c r="R692" s="3055">
        <f t="shared" si="3"/>
        <v>0</v>
      </c>
      <c r="S692" s="3055">
        <f t="shared" si="4"/>
        <v>0</v>
      </c>
      <c r="T692" s="3055">
        <f t="shared" si="5"/>
        <v>0</v>
      </c>
      <c r="U692" s="3055">
        <f t="shared" si="6"/>
        <v>0</v>
      </c>
      <c r="V692" s="3055">
        <f t="shared" si="7"/>
        <v>0</v>
      </c>
      <c r="W692" s="3055">
        <f t="shared" si="8"/>
        <v>0</v>
      </c>
      <c r="X692" s="3055">
        <f t="shared" si="9"/>
        <v>0</v>
      </c>
      <c r="Y692" s="3055">
        <f t="shared" si="10"/>
        <v>0</v>
      </c>
      <c r="Z692" s="3055">
        <f t="shared" si="11"/>
        <v>0</v>
      </c>
      <c r="AA692" s="3055">
        <f t="shared" si="12"/>
        <v>0</v>
      </c>
      <c r="AB692" s="3055">
        <f t="shared" si="13"/>
        <v>0</v>
      </c>
      <c r="AC692" s="3055">
        <f t="shared" si="14"/>
        <v>0</v>
      </c>
      <c r="AD692" s="3056"/>
      <c r="AE692" s="3057">
        <f t="shared" si="0"/>
      </c>
      <c r="AF692" s="3054"/>
      <c r="AG692" s="3054"/>
      <c r="AH692" s="3055"/>
      <c r="AI692" s="3055"/>
      <c r="AJ692" s="3055"/>
      <c r="AK692" s="3055"/>
      <c r="AL692" s="3055"/>
      <c r="AM692" s="3055"/>
      <c r="AN692" s="3055"/>
      <c r="AO692" s="3055"/>
      <c r="AP692" s="3055"/>
      <c r="AQ692" s="3055"/>
      <c r="AR692" s="3055"/>
      <c r="AS692" s="3055"/>
      <c r="AT692" s="3055"/>
      <c r="AU692" s="3056"/>
      <c r="AV692" s="3057">
        <f t="shared" si="15"/>
      </c>
      <c r="AW692" s="3054"/>
      <c r="AX692" s="3054"/>
      <c r="AY692" s="3055"/>
      <c r="AZ692" s="3055"/>
      <c r="BA692" s="3055"/>
      <c r="BB692" s="3055"/>
      <c r="BC692" s="3055"/>
      <c r="BD692" s="3055"/>
      <c r="BE692" s="3055"/>
      <c r="BF692" s="3055"/>
      <c r="BG692" s="3055"/>
      <c r="BH692" s="3055"/>
      <c r="BI692" s="3055"/>
      <c r="BJ692" s="3055"/>
      <c r="BK692" s="3055"/>
      <c r="BL692" s="3056"/>
      <c r="BM692" s="3057">
        <f t="shared" si="16"/>
      </c>
      <c r="BN692" s="3054"/>
      <c r="BO692" s="3054"/>
      <c r="BP692" s="3055"/>
      <c r="BQ692" s="3055"/>
      <c r="BR692" s="3055"/>
      <c r="BS692" s="3055"/>
      <c r="BT692" s="3055"/>
      <c r="BU692" s="3055"/>
      <c r="BV692" s="3055"/>
      <c r="BW692" s="3055"/>
      <c r="BX692" s="3055"/>
      <c r="BY692" s="3055"/>
      <c r="BZ692" s="3055"/>
      <c r="CA692" s="3055"/>
      <c r="CB692" s="3055"/>
      <c r="CC692" s="3056"/>
      <c r="CD692" s="3057">
        <f t="shared" si="0"/>
      </c>
      <c r="CE692" s="3054"/>
      <c r="CF692" s="3054"/>
      <c r="CG692" s="3055"/>
      <c r="CH692" s="3055"/>
      <c r="CI692" s="3055"/>
      <c r="CJ692" s="3055"/>
      <c r="CK692" s="3055"/>
      <c r="CL692" s="3055"/>
      <c r="CM692" s="3055"/>
      <c r="CN692" s="3055"/>
      <c r="CO692" s="3055"/>
      <c r="CP692" s="3055"/>
      <c r="CQ692" s="3055"/>
      <c r="CR692" s="3055"/>
      <c r="CS692" s="3055"/>
      <c r="CU692" s="3054"/>
      <c r="CV692" s="696"/>
      <c r="CW692" s="696"/>
      <c r="CZ692" s="3060">
        <f t="shared" si="17"/>
      </c>
      <c r="DA692" s="3060">
        <f t="shared" si="1"/>
      </c>
      <c r="DB692" s="3060">
        <f t="shared" si="18"/>
      </c>
      <c r="DC692" s="3060">
        <f t="shared" si="19"/>
      </c>
      <c r="DD692" s="3060">
        <f t="shared" si="20"/>
      </c>
      <c r="DE692" s="3060">
        <f t="shared" si="21"/>
      </c>
      <c r="DF692" s="3060">
        <f t="shared" si="22"/>
      </c>
      <c r="DG692" s="3060">
        <f t="shared" si="23"/>
      </c>
      <c r="DH692" s="3060">
        <f t="shared" si="24"/>
      </c>
      <c r="DI692" s="3060">
        <f t="shared" si="1"/>
      </c>
    </row>
    <row r="693" ht="15" customHeight="1" s="3052" customFormat="1">
      <c r="B693" s="3054">
        <f t="shared" si="2"/>
      </c>
      <c r="C693" s="3054"/>
      <c r="D693" s="3054"/>
      <c r="E693" s="3055"/>
      <c r="F693" s="3055"/>
      <c r="G693" s="3055"/>
      <c r="H693" s="3055"/>
      <c r="I693" s="3055"/>
      <c r="J693" s="3055"/>
      <c r="K693" s="3055"/>
      <c r="L693" s="3055"/>
      <c r="M693" s="3055"/>
      <c r="N693" s="3055"/>
      <c r="O693" s="3055"/>
      <c r="P693" s="3055"/>
      <c r="Q693" s="3055"/>
      <c r="R693" s="3055">
        <f t="shared" si="3"/>
        <v>0</v>
      </c>
      <c r="S693" s="3055">
        <f t="shared" si="4"/>
        <v>0</v>
      </c>
      <c r="T693" s="3055">
        <f t="shared" si="5"/>
        <v>0</v>
      </c>
      <c r="U693" s="3055">
        <f t="shared" si="6"/>
        <v>0</v>
      </c>
      <c r="V693" s="3055">
        <f t="shared" si="7"/>
        <v>0</v>
      </c>
      <c r="W693" s="3055">
        <f t="shared" si="8"/>
        <v>0</v>
      </c>
      <c r="X693" s="3055">
        <f t="shared" si="9"/>
        <v>0</v>
      </c>
      <c r="Y693" s="3055">
        <f t="shared" si="10"/>
        <v>0</v>
      </c>
      <c r="Z693" s="3055">
        <f t="shared" si="11"/>
        <v>0</v>
      </c>
      <c r="AA693" s="3055">
        <f t="shared" si="12"/>
        <v>0</v>
      </c>
      <c r="AB693" s="3055">
        <f t="shared" si="13"/>
        <v>0</v>
      </c>
      <c r="AC693" s="3055">
        <f t="shared" si="14"/>
        <v>0</v>
      </c>
      <c r="AD693" s="3056"/>
      <c r="AE693" s="3057">
        <f t="shared" si="0"/>
      </c>
      <c r="AF693" s="3054"/>
      <c r="AG693" s="3054"/>
      <c r="AH693" s="3055"/>
      <c r="AI693" s="3055"/>
      <c r="AJ693" s="3055"/>
      <c r="AK693" s="3055"/>
      <c r="AL693" s="3055"/>
      <c r="AM693" s="3055"/>
      <c r="AN693" s="3055"/>
      <c r="AO693" s="3055"/>
      <c r="AP693" s="3055"/>
      <c r="AQ693" s="3055"/>
      <c r="AR693" s="3055"/>
      <c r="AS693" s="3055"/>
      <c r="AT693" s="3055"/>
      <c r="AU693" s="3056"/>
      <c r="AV693" s="3057">
        <f t="shared" si="15"/>
      </c>
      <c r="AW693" s="3054"/>
      <c r="AX693" s="3054"/>
      <c r="AY693" s="3055"/>
      <c r="AZ693" s="3055"/>
      <c r="BA693" s="3055"/>
      <c r="BB693" s="3055"/>
      <c r="BC693" s="3055"/>
      <c r="BD693" s="3055"/>
      <c r="BE693" s="3055"/>
      <c r="BF693" s="3055"/>
      <c r="BG693" s="3055"/>
      <c r="BH693" s="3055"/>
      <c r="BI693" s="3055"/>
      <c r="BJ693" s="3055"/>
      <c r="BK693" s="3055"/>
      <c r="BL693" s="3056"/>
      <c r="BM693" s="3057">
        <f t="shared" si="16"/>
      </c>
      <c r="BN693" s="3054"/>
      <c r="BO693" s="3054"/>
      <c r="BP693" s="3055"/>
      <c r="BQ693" s="3055"/>
      <c r="BR693" s="3055"/>
      <c r="BS693" s="3055"/>
      <c r="BT693" s="3055"/>
      <c r="BU693" s="3055"/>
      <c r="BV693" s="3055"/>
      <c r="BW693" s="3055"/>
      <c r="BX693" s="3055"/>
      <c r="BY693" s="3055"/>
      <c r="BZ693" s="3055"/>
      <c r="CA693" s="3055"/>
      <c r="CB693" s="3055"/>
      <c r="CC693" s="3056"/>
      <c r="CD693" s="3057">
        <f t="shared" si="0"/>
      </c>
      <c r="CE693" s="3054"/>
      <c r="CF693" s="3054"/>
      <c r="CG693" s="3055"/>
      <c r="CH693" s="3055"/>
      <c r="CI693" s="3055"/>
      <c r="CJ693" s="3055"/>
      <c r="CK693" s="3055"/>
      <c r="CL693" s="3055"/>
      <c r="CM693" s="3055"/>
      <c r="CN693" s="3055"/>
      <c r="CO693" s="3055"/>
      <c r="CP693" s="3055"/>
      <c r="CQ693" s="3055"/>
      <c r="CR693" s="3055"/>
      <c r="CS693" s="3055"/>
      <c r="CU693" s="3054"/>
      <c r="CV693" s="696"/>
      <c r="CW693" s="696"/>
      <c r="CZ693" s="3060">
        <f t="shared" si="17"/>
      </c>
      <c r="DA693" s="3060">
        <f t="shared" si="1"/>
      </c>
      <c r="DB693" s="3060">
        <f t="shared" si="18"/>
      </c>
      <c r="DC693" s="3060">
        <f t="shared" si="19"/>
      </c>
      <c r="DD693" s="3060">
        <f t="shared" si="20"/>
      </c>
      <c r="DE693" s="3060">
        <f t="shared" si="21"/>
      </c>
      <c r="DF693" s="3060">
        <f t="shared" si="22"/>
      </c>
      <c r="DG693" s="3060">
        <f t="shared" si="23"/>
      </c>
      <c r="DH693" s="3060">
        <f t="shared" si="24"/>
      </c>
      <c r="DI693" s="3060">
        <f t="shared" si="1"/>
      </c>
    </row>
    <row r="694" ht="15" customHeight="1" s="3052" customFormat="1">
      <c r="B694" s="3054">
        <f t="shared" si="2"/>
      </c>
      <c r="C694" s="3054"/>
      <c r="D694" s="3054"/>
      <c r="E694" s="3055"/>
      <c r="F694" s="3055"/>
      <c r="G694" s="3055"/>
      <c r="H694" s="3055"/>
      <c r="I694" s="3055"/>
      <c r="J694" s="3055"/>
      <c r="K694" s="3055"/>
      <c r="L694" s="3055"/>
      <c r="M694" s="3055"/>
      <c r="N694" s="3055"/>
      <c r="O694" s="3055"/>
      <c r="P694" s="3055"/>
      <c r="Q694" s="3055"/>
      <c r="R694" s="3055">
        <f t="shared" si="3"/>
        <v>0</v>
      </c>
      <c r="S694" s="3055">
        <f t="shared" si="4"/>
        <v>0</v>
      </c>
      <c r="T694" s="3055">
        <f t="shared" si="5"/>
        <v>0</v>
      </c>
      <c r="U694" s="3055">
        <f t="shared" si="6"/>
        <v>0</v>
      </c>
      <c r="V694" s="3055">
        <f t="shared" si="7"/>
        <v>0</v>
      </c>
      <c r="W694" s="3055">
        <f t="shared" si="8"/>
        <v>0</v>
      </c>
      <c r="X694" s="3055">
        <f t="shared" si="9"/>
        <v>0</v>
      </c>
      <c r="Y694" s="3055">
        <f t="shared" si="10"/>
        <v>0</v>
      </c>
      <c r="Z694" s="3055">
        <f t="shared" si="11"/>
        <v>0</v>
      </c>
      <c r="AA694" s="3055">
        <f t="shared" si="12"/>
        <v>0</v>
      </c>
      <c r="AB694" s="3055">
        <f t="shared" si="13"/>
        <v>0</v>
      </c>
      <c r="AC694" s="3055">
        <f t="shared" si="14"/>
        <v>0</v>
      </c>
      <c r="AD694" s="3056"/>
      <c r="AE694" s="3057">
        <f t="shared" si="0"/>
      </c>
      <c r="AF694" s="3054"/>
      <c r="AG694" s="3054"/>
      <c r="AH694" s="3055"/>
      <c r="AI694" s="3055"/>
      <c r="AJ694" s="3055"/>
      <c r="AK694" s="3055"/>
      <c r="AL694" s="3055"/>
      <c r="AM694" s="3055"/>
      <c r="AN694" s="3055"/>
      <c r="AO694" s="3055"/>
      <c r="AP694" s="3055"/>
      <c r="AQ694" s="3055"/>
      <c r="AR694" s="3055"/>
      <c r="AS694" s="3055"/>
      <c r="AT694" s="3055"/>
      <c r="AU694" s="3056"/>
      <c r="AV694" s="3057">
        <f t="shared" si="15"/>
      </c>
      <c r="AW694" s="3054"/>
      <c r="AX694" s="3054"/>
      <c r="AY694" s="3055"/>
      <c r="AZ694" s="3055"/>
      <c r="BA694" s="3055"/>
      <c r="BB694" s="3055"/>
      <c r="BC694" s="3055"/>
      <c r="BD694" s="3055"/>
      <c r="BE694" s="3055"/>
      <c r="BF694" s="3055"/>
      <c r="BG694" s="3055"/>
      <c r="BH694" s="3055"/>
      <c r="BI694" s="3055"/>
      <c r="BJ694" s="3055"/>
      <c r="BK694" s="3055"/>
      <c r="BL694" s="3056"/>
      <c r="BM694" s="3057">
        <f t="shared" si="16"/>
      </c>
      <c r="BN694" s="3054"/>
      <c r="BO694" s="3054"/>
      <c r="BP694" s="3055"/>
      <c r="BQ694" s="3055"/>
      <c r="BR694" s="3055"/>
      <c r="BS694" s="3055"/>
      <c r="BT694" s="3055"/>
      <c r="BU694" s="3055"/>
      <c r="BV694" s="3055"/>
      <c r="BW694" s="3055"/>
      <c r="BX694" s="3055"/>
      <c r="BY694" s="3055"/>
      <c r="BZ694" s="3055"/>
      <c r="CA694" s="3055"/>
      <c r="CB694" s="3055"/>
      <c r="CC694" s="3056"/>
      <c r="CD694" s="3057">
        <f t="shared" si="0"/>
      </c>
      <c r="CE694" s="3054"/>
      <c r="CF694" s="3054"/>
      <c r="CG694" s="3055"/>
      <c r="CH694" s="3055"/>
      <c r="CI694" s="3055"/>
      <c r="CJ694" s="3055"/>
      <c r="CK694" s="3055"/>
      <c r="CL694" s="3055"/>
      <c r="CM694" s="3055"/>
      <c r="CN694" s="3055"/>
      <c r="CO694" s="3055"/>
      <c r="CP694" s="3055"/>
      <c r="CQ694" s="3055"/>
      <c r="CR694" s="3055"/>
      <c r="CS694" s="3055"/>
      <c r="CU694" s="3054"/>
      <c r="CV694" s="696"/>
      <c r="CW694" s="696"/>
      <c r="CZ694" s="3060">
        <f t="shared" si="17"/>
      </c>
      <c r="DA694" s="3060">
        <f t="shared" si="1"/>
      </c>
      <c r="DB694" s="3060">
        <f t="shared" si="18"/>
      </c>
      <c r="DC694" s="3060">
        <f t="shared" si="19"/>
      </c>
      <c r="DD694" s="3060">
        <f t="shared" si="20"/>
      </c>
      <c r="DE694" s="3060">
        <f t="shared" si="21"/>
      </c>
      <c r="DF694" s="3060">
        <f t="shared" si="22"/>
      </c>
      <c r="DG694" s="3060">
        <f t="shared" si="23"/>
      </c>
      <c r="DH694" s="3060">
        <f t="shared" si="24"/>
      </c>
      <c r="DI694" s="3060">
        <f t="shared" si="1"/>
      </c>
    </row>
    <row r="695" ht="15" customHeight="1" s="3052" customFormat="1">
      <c r="B695" s="3054">
        <f t="shared" si="2"/>
      </c>
      <c r="C695" s="3054"/>
      <c r="D695" s="3054"/>
      <c r="E695" s="3055"/>
      <c r="F695" s="3055"/>
      <c r="G695" s="3055"/>
      <c r="H695" s="3055"/>
      <c r="I695" s="3055"/>
      <c r="J695" s="3055"/>
      <c r="K695" s="3055"/>
      <c r="L695" s="3055"/>
      <c r="M695" s="3055"/>
      <c r="N695" s="3055"/>
      <c r="O695" s="3055"/>
      <c r="P695" s="3055"/>
      <c r="Q695" s="3055"/>
      <c r="R695" s="3055">
        <f t="shared" si="3"/>
        <v>0</v>
      </c>
      <c r="S695" s="3055">
        <f t="shared" si="4"/>
        <v>0</v>
      </c>
      <c r="T695" s="3055">
        <f t="shared" si="5"/>
        <v>0</v>
      </c>
      <c r="U695" s="3055">
        <f t="shared" si="6"/>
        <v>0</v>
      </c>
      <c r="V695" s="3055">
        <f t="shared" si="7"/>
        <v>0</v>
      </c>
      <c r="W695" s="3055">
        <f t="shared" si="8"/>
        <v>0</v>
      </c>
      <c r="X695" s="3055">
        <f t="shared" si="9"/>
        <v>0</v>
      </c>
      <c r="Y695" s="3055">
        <f t="shared" si="10"/>
        <v>0</v>
      </c>
      <c r="Z695" s="3055">
        <f t="shared" si="11"/>
        <v>0</v>
      </c>
      <c r="AA695" s="3055">
        <f t="shared" si="12"/>
        <v>0</v>
      </c>
      <c r="AB695" s="3055">
        <f t="shared" si="13"/>
        <v>0</v>
      </c>
      <c r="AC695" s="3055">
        <f t="shared" si="14"/>
        <v>0</v>
      </c>
      <c r="AD695" s="3056"/>
      <c r="AE695" s="3057">
        <f t="shared" si="0"/>
      </c>
      <c r="AF695" s="3054"/>
      <c r="AG695" s="3054"/>
      <c r="AH695" s="3055"/>
      <c r="AI695" s="3055"/>
      <c r="AJ695" s="3055"/>
      <c r="AK695" s="3055"/>
      <c r="AL695" s="3055"/>
      <c r="AM695" s="3055"/>
      <c r="AN695" s="3055"/>
      <c r="AO695" s="3055"/>
      <c r="AP695" s="3055"/>
      <c r="AQ695" s="3055"/>
      <c r="AR695" s="3055"/>
      <c r="AS695" s="3055"/>
      <c r="AT695" s="3055"/>
      <c r="AU695" s="3056"/>
      <c r="AV695" s="3057">
        <f t="shared" si="15"/>
      </c>
      <c r="AW695" s="3054"/>
      <c r="AX695" s="3054"/>
      <c r="AY695" s="3055"/>
      <c r="AZ695" s="3055"/>
      <c r="BA695" s="3055"/>
      <c r="BB695" s="3055"/>
      <c r="BC695" s="3055"/>
      <c r="BD695" s="3055"/>
      <c r="BE695" s="3055"/>
      <c r="BF695" s="3055"/>
      <c r="BG695" s="3055"/>
      <c r="BH695" s="3055"/>
      <c r="BI695" s="3055"/>
      <c r="BJ695" s="3055"/>
      <c r="BK695" s="3055"/>
      <c r="BL695" s="3056"/>
      <c r="BM695" s="3057">
        <f t="shared" si="16"/>
      </c>
      <c r="BN695" s="3054"/>
      <c r="BO695" s="3054"/>
      <c r="BP695" s="3055"/>
      <c r="BQ695" s="3055"/>
      <c r="BR695" s="3055"/>
      <c r="BS695" s="3055"/>
      <c r="BT695" s="3055"/>
      <c r="BU695" s="3055"/>
      <c r="BV695" s="3055"/>
      <c r="BW695" s="3055"/>
      <c r="BX695" s="3055"/>
      <c r="BY695" s="3055"/>
      <c r="BZ695" s="3055"/>
      <c r="CA695" s="3055"/>
      <c r="CB695" s="3055"/>
      <c r="CC695" s="3056"/>
      <c r="CD695" s="3057">
        <f t="shared" si="0"/>
      </c>
      <c r="CE695" s="3054"/>
      <c r="CF695" s="3054"/>
      <c r="CG695" s="3055"/>
      <c r="CH695" s="3055"/>
      <c r="CI695" s="3055"/>
      <c r="CJ695" s="3055"/>
      <c r="CK695" s="3055"/>
      <c r="CL695" s="3055"/>
      <c r="CM695" s="3055"/>
      <c r="CN695" s="3055"/>
      <c r="CO695" s="3055"/>
      <c r="CP695" s="3055"/>
      <c r="CQ695" s="3055"/>
      <c r="CR695" s="3055"/>
      <c r="CS695" s="3055"/>
      <c r="CU695" s="3054"/>
      <c r="CV695" s="696"/>
      <c r="CW695" s="696"/>
      <c r="CZ695" s="3060">
        <f t="shared" si="17"/>
      </c>
      <c r="DA695" s="3060">
        <f t="shared" si="1"/>
      </c>
      <c r="DB695" s="3060">
        <f t="shared" si="18"/>
      </c>
      <c r="DC695" s="3060">
        <f t="shared" si="19"/>
      </c>
      <c r="DD695" s="3060">
        <f t="shared" si="20"/>
      </c>
      <c r="DE695" s="3060">
        <f t="shared" si="21"/>
      </c>
      <c r="DF695" s="3060">
        <f t="shared" si="22"/>
      </c>
      <c r="DG695" s="3060">
        <f t="shared" si="23"/>
      </c>
      <c r="DH695" s="3060">
        <f t="shared" si="24"/>
      </c>
      <c r="DI695" s="3060">
        <f t="shared" si="1"/>
      </c>
    </row>
    <row r="696" ht="15" customHeight="1" s="3052" customFormat="1">
      <c r="B696" s="3054">
        <f t="shared" si="2"/>
      </c>
      <c r="C696" s="3054"/>
      <c r="D696" s="3054"/>
      <c r="E696" s="3055"/>
      <c r="F696" s="3055"/>
      <c r="G696" s="3055"/>
      <c r="H696" s="3055"/>
      <c r="I696" s="3055"/>
      <c r="J696" s="3055"/>
      <c r="K696" s="3055"/>
      <c r="L696" s="3055"/>
      <c r="M696" s="3055"/>
      <c r="N696" s="3055"/>
      <c r="O696" s="3055"/>
      <c r="P696" s="3055"/>
      <c r="Q696" s="3055"/>
      <c r="R696" s="3055">
        <f t="shared" si="3"/>
        <v>0</v>
      </c>
      <c r="S696" s="3055">
        <f t="shared" si="4"/>
        <v>0</v>
      </c>
      <c r="T696" s="3055">
        <f t="shared" si="5"/>
        <v>0</v>
      </c>
      <c r="U696" s="3055">
        <f t="shared" si="6"/>
        <v>0</v>
      </c>
      <c r="V696" s="3055">
        <f t="shared" si="7"/>
        <v>0</v>
      </c>
      <c r="W696" s="3055">
        <f t="shared" si="8"/>
        <v>0</v>
      </c>
      <c r="X696" s="3055">
        <f t="shared" si="9"/>
        <v>0</v>
      </c>
      <c r="Y696" s="3055">
        <f t="shared" si="10"/>
        <v>0</v>
      </c>
      <c r="Z696" s="3055">
        <f t="shared" si="11"/>
        <v>0</v>
      </c>
      <c r="AA696" s="3055">
        <f t="shared" si="12"/>
        <v>0</v>
      </c>
      <c r="AB696" s="3055">
        <f t="shared" si="13"/>
        <v>0</v>
      </c>
      <c r="AC696" s="3055">
        <f t="shared" si="14"/>
        <v>0</v>
      </c>
      <c r="AD696" s="3056"/>
      <c r="AE696" s="3057">
        <f t="shared" si="0"/>
      </c>
      <c r="AF696" s="3054"/>
      <c r="AG696" s="3054"/>
      <c r="AH696" s="3055"/>
      <c r="AI696" s="3055"/>
      <c r="AJ696" s="3055"/>
      <c r="AK696" s="3055"/>
      <c r="AL696" s="3055"/>
      <c r="AM696" s="3055"/>
      <c r="AN696" s="3055"/>
      <c r="AO696" s="3055"/>
      <c r="AP696" s="3055"/>
      <c r="AQ696" s="3055"/>
      <c r="AR696" s="3055"/>
      <c r="AS696" s="3055"/>
      <c r="AT696" s="3055"/>
      <c r="AU696" s="3056"/>
      <c r="AV696" s="3057">
        <f t="shared" si="15"/>
      </c>
      <c r="AW696" s="3054"/>
      <c r="AX696" s="3054"/>
      <c r="AY696" s="3055"/>
      <c r="AZ696" s="3055"/>
      <c r="BA696" s="3055"/>
      <c r="BB696" s="3055"/>
      <c r="BC696" s="3055"/>
      <c r="BD696" s="3055"/>
      <c r="BE696" s="3055"/>
      <c r="BF696" s="3055"/>
      <c r="BG696" s="3055"/>
      <c r="BH696" s="3055"/>
      <c r="BI696" s="3055"/>
      <c r="BJ696" s="3055"/>
      <c r="BK696" s="3055"/>
      <c r="BL696" s="3056"/>
      <c r="BM696" s="3057">
        <f t="shared" si="16"/>
      </c>
      <c r="BN696" s="3054"/>
      <c r="BO696" s="3054"/>
      <c r="BP696" s="3055"/>
      <c r="BQ696" s="3055"/>
      <c r="BR696" s="3055"/>
      <c r="BS696" s="3055"/>
      <c r="BT696" s="3055"/>
      <c r="BU696" s="3055"/>
      <c r="BV696" s="3055"/>
      <c r="BW696" s="3055"/>
      <c r="BX696" s="3055"/>
      <c r="BY696" s="3055"/>
      <c r="BZ696" s="3055"/>
      <c r="CA696" s="3055"/>
      <c r="CB696" s="3055"/>
      <c r="CC696" s="3056"/>
      <c r="CD696" s="3057">
        <f t="shared" si="0"/>
      </c>
      <c r="CE696" s="3054"/>
      <c r="CF696" s="3054"/>
      <c r="CG696" s="3055"/>
      <c r="CH696" s="3055"/>
      <c r="CI696" s="3055"/>
      <c r="CJ696" s="3055"/>
      <c r="CK696" s="3055"/>
      <c r="CL696" s="3055"/>
      <c r="CM696" s="3055"/>
      <c r="CN696" s="3055"/>
      <c r="CO696" s="3055"/>
      <c r="CP696" s="3055"/>
      <c r="CQ696" s="3055"/>
      <c r="CR696" s="3055"/>
      <c r="CS696" s="3055"/>
      <c r="CU696" s="3054"/>
      <c r="CV696" s="696"/>
      <c r="CW696" s="696"/>
      <c r="CZ696" s="3060">
        <f t="shared" si="17"/>
      </c>
      <c r="DA696" s="3060">
        <f t="shared" si="1"/>
      </c>
      <c r="DB696" s="3060">
        <f t="shared" si="18"/>
      </c>
      <c r="DC696" s="3060">
        <f t="shared" si="19"/>
      </c>
      <c r="DD696" s="3060">
        <f t="shared" si="20"/>
      </c>
      <c r="DE696" s="3060">
        <f t="shared" si="21"/>
      </c>
      <c r="DF696" s="3060">
        <f t="shared" si="22"/>
      </c>
      <c r="DG696" s="3060">
        <f t="shared" si="23"/>
      </c>
      <c r="DH696" s="3060">
        <f t="shared" si="24"/>
      </c>
      <c r="DI696" s="3060">
        <f t="shared" si="1"/>
      </c>
    </row>
    <row r="697" ht="15" customHeight="1" s="3052" customFormat="1">
      <c r="B697" s="3054">
        <f t="shared" si="2"/>
      </c>
      <c r="C697" s="3054"/>
      <c r="D697" s="3054"/>
      <c r="E697" s="3055"/>
      <c r="F697" s="3055"/>
      <c r="G697" s="3055"/>
      <c r="H697" s="3055"/>
      <c r="I697" s="3055"/>
      <c r="J697" s="3055"/>
      <c r="K697" s="3055"/>
      <c r="L697" s="3055"/>
      <c r="M697" s="3055"/>
      <c r="N697" s="3055"/>
      <c r="O697" s="3055"/>
      <c r="P697" s="3055"/>
      <c r="Q697" s="3055"/>
      <c r="R697" s="3055">
        <f t="shared" si="3"/>
        <v>0</v>
      </c>
      <c r="S697" s="3055">
        <f t="shared" si="4"/>
        <v>0</v>
      </c>
      <c r="T697" s="3055">
        <f t="shared" si="5"/>
        <v>0</v>
      </c>
      <c r="U697" s="3055">
        <f t="shared" si="6"/>
        <v>0</v>
      </c>
      <c r="V697" s="3055">
        <f t="shared" si="7"/>
        <v>0</v>
      </c>
      <c r="W697" s="3055">
        <f t="shared" si="8"/>
        <v>0</v>
      </c>
      <c r="X697" s="3055">
        <f t="shared" si="9"/>
        <v>0</v>
      </c>
      <c r="Y697" s="3055">
        <f t="shared" si="10"/>
        <v>0</v>
      </c>
      <c r="Z697" s="3055">
        <f t="shared" si="11"/>
        <v>0</v>
      </c>
      <c r="AA697" s="3055">
        <f t="shared" si="12"/>
        <v>0</v>
      </c>
      <c r="AB697" s="3055">
        <f t="shared" si="13"/>
        <v>0</v>
      </c>
      <c r="AC697" s="3055">
        <f t="shared" si="14"/>
        <v>0</v>
      </c>
      <c r="AD697" s="3056"/>
      <c r="AE697" s="3057">
        <f t="shared" si="0"/>
      </c>
      <c r="AF697" s="3054"/>
      <c r="AG697" s="3054"/>
      <c r="AH697" s="3055"/>
      <c r="AI697" s="3055"/>
      <c r="AJ697" s="3055"/>
      <c r="AK697" s="3055"/>
      <c r="AL697" s="3055"/>
      <c r="AM697" s="3055"/>
      <c r="AN697" s="3055"/>
      <c r="AO697" s="3055"/>
      <c r="AP697" s="3055"/>
      <c r="AQ697" s="3055"/>
      <c r="AR697" s="3055"/>
      <c r="AS697" s="3055"/>
      <c r="AT697" s="3055"/>
      <c r="AU697" s="3056"/>
      <c r="AV697" s="3057">
        <f t="shared" si="15"/>
      </c>
      <c r="AW697" s="3054"/>
      <c r="AX697" s="3054"/>
      <c r="AY697" s="3055"/>
      <c r="AZ697" s="3055"/>
      <c r="BA697" s="3055"/>
      <c r="BB697" s="3055"/>
      <c r="BC697" s="3055"/>
      <c r="BD697" s="3055"/>
      <c r="BE697" s="3055"/>
      <c r="BF697" s="3055"/>
      <c r="BG697" s="3055"/>
      <c r="BH697" s="3055"/>
      <c r="BI697" s="3055"/>
      <c r="BJ697" s="3055"/>
      <c r="BK697" s="3055"/>
      <c r="BL697" s="3056"/>
      <c r="BM697" s="3057">
        <f t="shared" si="16"/>
      </c>
      <c r="BN697" s="3054"/>
      <c r="BO697" s="3054"/>
      <c r="BP697" s="3055"/>
      <c r="BQ697" s="3055"/>
      <c r="BR697" s="3055"/>
      <c r="BS697" s="3055"/>
      <c r="BT697" s="3055"/>
      <c r="BU697" s="3055"/>
      <c r="BV697" s="3055"/>
      <c r="BW697" s="3055"/>
      <c r="BX697" s="3055"/>
      <c r="BY697" s="3055"/>
      <c r="BZ697" s="3055"/>
      <c r="CA697" s="3055"/>
      <c r="CB697" s="3055"/>
      <c r="CC697" s="3056"/>
      <c r="CD697" s="3057">
        <f t="shared" si="0"/>
      </c>
      <c r="CE697" s="3054"/>
      <c r="CF697" s="3054"/>
      <c r="CG697" s="3055"/>
      <c r="CH697" s="3055"/>
      <c r="CI697" s="3055"/>
      <c r="CJ697" s="3055"/>
      <c r="CK697" s="3055"/>
      <c r="CL697" s="3055"/>
      <c r="CM697" s="3055"/>
      <c r="CN697" s="3055"/>
      <c r="CO697" s="3055"/>
      <c r="CP697" s="3055"/>
      <c r="CQ697" s="3055"/>
      <c r="CR697" s="3055"/>
      <c r="CS697" s="3055"/>
      <c r="CU697" s="3054"/>
      <c r="CV697" s="696"/>
      <c r="CW697" s="696"/>
      <c r="CZ697" s="3060">
        <f t="shared" si="17"/>
      </c>
      <c r="DA697" s="3060">
        <f t="shared" si="1"/>
      </c>
      <c r="DB697" s="3060">
        <f t="shared" si="18"/>
      </c>
      <c r="DC697" s="3060">
        <f t="shared" si="19"/>
      </c>
      <c r="DD697" s="3060">
        <f t="shared" si="20"/>
      </c>
      <c r="DE697" s="3060">
        <f t="shared" si="21"/>
      </c>
      <c r="DF697" s="3060">
        <f t="shared" si="22"/>
      </c>
      <c r="DG697" s="3060">
        <f t="shared" si="23"/>
      </c>
      <c r="DH697" s="3060">
        <f t="shared" si="24"/>
      </c>
      <c r="DI697" s="3060">
        <f t="shared" si="1"/>
      </c>
    </row>
    <row r="698" ht="15" customHeight="1" s="3052" customFormat="1">
      <c r="B698" s="3054">
        <f t="shared" si="2"/>
      </c>
      <c r="C698" s="3054"/>
      <c r="D698" s="3054"/>
      <c r="E698" s="3055"/>
      <c r="F698" s="3055"/>
      <c r="G698" s="3055"/>
      <c r="H698" s="3055"/>
      <c r="I698" s="3055"/>
      <c r="J698" s="3055"/>
      <c r="K698" s="3055"/>
      <c r="L698" s="3055"/>
      <c r="M698" s="3055"/>
      <c r="N698" s="3055"/>
      <c r="O698" s="3055"/>
      <c r="P698" s="3055"/>
      <c r="Q698" s="3055"/>
      <c r="R698" s="3055">
        <f t="shared" si="3"/>
        <v>0</v>
      </c>
      <c r="S698" s="3055">
        <f t="shared" si="4"/>
        <v>0</v>
      </c>
      <c r="T698" s="3055">
        <f t="shared" si="5"/>
        <v>0</v>
      </c>
      <c r="U698" s="3055">
        <f t="shared" si="6"/>
        <v>0</v>
      </c>
      <c r="V698" s="3055">
        <f t="shared" si="7"/>
        <v>0</v>
      </c>
      <c r="W698" s="3055">
        <f t="shared" si="8"/>
        <v>0</v>
      </c>
      <c r="X698" s="3055">
        <f t="shared" si="9"/>
        <v>0</v>
      </c>
      <c r="Y698" s="3055">
        <f t="shared" si="10"/>
        <v>0</v>
      </c>
      <c r="Z698" s="3055">
        <f t="shared" si="11"/>
        <v>0</v>
      </c>
      <c r="AA698" s="3055">
        <f t="shared" si="12"/>
        <v>0</v>
      </c>
      <c r="AB698" s="3055">
        <f t="shared" si="13"/>
        <v>0</v>
      </c>
      <c r="AC698" s="3055">
        <f t="shared" si="14"/>
        <v>0</v>
      </c>
      <c r="AD698" s="3056"/>
      <c r="AE698" s="3057">
        <f t="shared" si="0"/>
      </c>
      <c r="AF698" s="3054"/>
      <c r="AG698" s="3054"/>
      <c r="AH698" s="3055"/>
      <c r="AI698" s="3055"/>
      <c r="AJ698" s="3055"/>
      <c r="AK698" s="3055"/>
      <c r="AL698" s="3055"/>
      <c r="AM698" s="3055"/>
      <c r="AN698" s="3055"/>
      <c r="AO698" s="3055"/>
      <c r="AP698" s="3055"/>
      <c r="AQ698" s="3055"/>
      <c r="AR698" s="3055"/>
      <c r="AS698" s="3055"/>
      <c r="AT698" s="3055"/>
      <c r="AU698" s="3056"/>
      <c r="AV698" s="3057">
        <f t="shared" si="15"/>
      </c>
      <c r="AW698" s="3054"/>
      <c r="AX698" s="3054"/>
      <c r="AY698" s="3055"/>
      <c r="AZ698" s="3055"/>
      <c r="BA698" s="3055"/>
      <c r="BB698" s="3055"/>
      <c r="BC698" s="3055"/>
      <c r="BD698" s="3055"/>
      <c r="BE698" s="3055"/>
      <c r="BF698" s="3055"/>
      <c r="BG698" s="3055"/>
      <c r="BH698" s="3055"/>
      <c r="BI698" s="3055"/>
      <c r="BJ698" s="3055"/>
      <c r="BK698" s="3055"/>
      <c r="BL698" s="3056"/>
      <c r="BM698" s="3057">
        <f t="shared" si="16"/>
      </c>
      <c r="BN698" s="3054"/>
      <c r="BO698" s="3054"/>
      <c r="BP698" s="3055"/>
      <c r="BQ698" s="3055"/>
      <c r="BR698" s="3055"/>
      <c r="BS698" s="3055"/>
      <c r="BT698" s="3055"/>
      <c r="BU698" s="3055"/>
      <c r="BV698" s="3055"/>
      <c r="BW698" s="3055"/>
      <c r="BX698" s="3055"/>
      <c r="BY698" s="3055"/>
      <c r="BZ698" s="3055"/>
      <c r="CA698" s="3055"/>
      <c r="CB698" s="3055"/>
      <c r="CC698" s="3056"/>
      <c r="CD698" s="3057">
        <f t="shared" si="0"/>
      </c>
      <c r="CE698" s="3054"/>
      <c r="CF698" s="3054"/>
      <c r="CG698" s="3055"/>
      <c r="CH698" s="3055"/>
      <c r="CI698" s="3055"/>
      <c r="CJ698" s="3055"/>
      <c r="CK698" s="3055"/>
      <c r="CL698" s="3055"/>
      <c r="CM698" s="3055"/>
      <c r="CN698" s="3055"/>
      <c r="CO698" s="3055"/>
      <c r="CP698" s="3055"/>
      <c r="CQ698" s="3055"/>
      <c r="CR698" s="3055"/>
      <c r="CS698" s="3055"/>
      <c r="CU698" s="3054"/>
      <c r="CV698" s="696"/>
      <c r="CW698" s="696"/>
      <c r="CZ698" s="3060">
        <f t="shared" si="17"/>
      </c>
      <c r="DA698" s="3060">
        <f t="shared" si="1"/>
      </c>
      <c r="DB698" s="3060">
        <f t="shared" si="18"/>
      </c>
      <c r="DC698" s="3060">
        <f t="shared" si="19"/>
      </c>
      <c r="DD698" s="3060">
        <f t="shared" si="20"/>
      </c>
      <c r="DE698" s="3060">
        <f t="shared" si="21"/>
      </c>
      <c r="DF698" s="3060">
        <f t="shared" si="22"/>
      </c>
      <c r="DG698" s="3060">
        <f t="shared" si="23"/>
      </c>
      <c r="DH698" s="3060">
        <f t="shared" si="24"/>
      </c>
      <c r="DI698" s="3060">
        <f t="shared" si="1"/>
      </c>
    </row>
    <row r="699" ht="15" customHeight="1" s="3052" customFormat="1">
      <c r="B699" s="3054">
        <f t="shared" si="2"/>
      </c>
      <c r="C699" s="3054"/>
      <c r="D699" s="3054"/>
      <c r="E699" s="3055"/>
      <c r="F699" s="3055"/>
      <c r="G699" s="3055"/>
      <c r="H699" s="3055"/>
      <c r="I699" s="3055"/>
      <c r="J699" s="3055"/>
      <c r="K699" s="3055"/>
      <c r="L699" s="3055"/>
      <c r="M699" s="3055"/>
      <c r="N699" s="3055"/>
      <c r="O699" s="3055"/>
      <c r="P699" s="3055"/>
      <c r="Q699" s="3055"/>
      <c r="R699" s="3055">
        <f t="shared" si="3"/>
        <v>0</v>
      </c>
      <c r="S699" s="3055">
        <f t="shared" si="4"/>
        <v>0</v>
      </c>
      <c r="T699" s="3055">
        <f t="shared" si="5"/>
        <v>0</v>
      </c>
      <c r="U699" s="3055">
        <f t="shared" si="6"/>
        <v>0</v>
      </c>
      <c r="V699" s="3055">
        <f t="shared" si="7"/>
        <v>0</v>
      </c>
      <c r="W699" s="3055">
        <f t="shared" si="8"/>
        <v>0</v>
      </c>
      <c r="X699" s="3055">
        <f t="shared" si="9"/>
        <v>0</v>
      </c>
      <c r="Y699" s="3055">
        <f t="shared" si="10"/>
        <v>0</v>
      </c>
      <c r="Z699" s="3055">
        <f t="shared" si="11"/>
        <v>0</v>
      </c>
      <c r="AA699" s="3055">
        <f t="shared" si="12"/>
        <v>0</v>
      </c>
      <c r="AB699" s="3055">
        <f t="shared" si="13"/>
        <v>0</v>
      </c>
      <c r="AC699" s="3055">
        <f t="shared" si="14"/>
        <v>0</v>
      </c>
      <c r="AD699" s="3056"/>
      <c r="AE699" s="3057">
        <f t="shared" si="0"/>
      </c>
      <c r="AF699" s="3054"/>
      <c r="AG699" s="3054"/>
      <c r="AH699" s="3055"/>
      <c r="AI699" s="3055"/>
      <c r="AJ699" s="3055"/>
      <c r="AK699" s="3055"/>
      <c r="AL699" s="3055"/>
      <c r="AM699" s="3055"/>
      <c r="AN699" s="3055"/>
      <c r="AO699" s="3055"/>
      <c r="AP699" s="3055"/>
      <c r="AQ699" s="3055"/>
      <c r="AR699" s="3055"/>
      <c r="AS699" s="3055"/>
      <c r="AT699" s="3055"/>
      <c r="AU699" s="3056"/>
      <c r="AV699" s="3057">
        <f t="shared" si="15"/>
      </c>
      <c r="AW699" s="3054"/>
      <c r="AX699" s="3054"/>
      <c r="AY699" s="3055"/>
      <c r="AZ699" s="3055"/>
      <c r="BA699" s="3055"/>
      <c r="BB699" s="3055"/>
      <c r="BC699" s="3055"/>
      <c r="BD699" s="3055"/>
      <c r="BE699" s="3055"/>
      <c r="BF699" s="3055"/>
      <c r="BG699" s="3055"/>
      <c r="BH699" s="3055"/>
      <c r="BI699" s="3055"/>
      <c r="BJ699" s="3055"/>
      <c r="BK699" s="3055"/>
      <c r="BL699" s="3056"/>
      <c r="BM699" s="3057">
        <f t="shared" si="16"/>
      </c>
      <c r="BN699" s="3054"/>
      <c r="BO699" s="3054"/>
      <c r="BP699" s="3055"/>
      <c r="BQ699" s="3055"/>
      <c r="BR699" s="3055"/>
      <c r="BS699" s="3055"/>
      <c r="BT699" s="3055"/>
      <c r="BU699" s="3055"/>
      <c r="BV699" s="3055"/>
      <c r="BW699" s="3055"/>
      <c r="BX699" s="3055"/>
      <c r="BY699" s="3055"/>
      <c r="BZ699" s="3055"/>
      <c r="CA699" s="3055"/>
      <c r="CB699" s="3055"/>
      <c r="CC699" s="3056"/>
      <c r="CD699" s="3057">
        <f t="shared" si="0"/>
      </c>
      <c r="CE699" s="3054"/>
      <c r="CF699" s="3054"/>
      <c r="CG699" s="3055"/>
      <c r="CH699" s="3055"/>
      <c r="CI699" s="3055"/>
      <c r="CJ699" s="3055"/>
      <c r="CK699" s="3055"/>
      <c r="CL699" s="3055"/>
      <c r="CM699" s="3055"/>
      <c r="CN699" s="3055"/>
      <c r="CO699" s="3055"/>
      <c r="CP699" s="3055"/>
      <c r="CQ699" s="3055"/>
      <c r="CR699" s="3055"/>
      <c r="CS699" s="3055"/>
      <c r="CU699" s="3054"/>
      <c r="CV699" s="696"/>
      <c r="CW699" s="696"/>
      <c r="CZ699" s="3060">
        <f t="shared" si="17"/>
      </c>
      <c r="DA699" s="3060">
        <f t="shared" si="1"/>
      </c>
      <c r="DB699" s="3060">
        <f t="shared" si="18"/>
      </c>
      <c r="DC699" s="3060">
        <f t="shared" si="19"/>
      </c>
      <c r="DD699" s="3060">
        <f t="shared" si="20"/>
      </c>
      <c r="DE699" s="3060">
        <f t="shared" si="21"/>
      </c>
      <c r="DF699" s="3060">
        <f t="shared" si="22"/>
      </c>
      <c r="DG699" s="3060">
        <f t="shared" si="23"/>
      </c>
      <c r="DH699" s="3060">
        <f t="shared" si="24"/>
      </c>
      <c r="DI699" s="3060">
        <f t="shared" si="1"/>
      </c>
    </row>
    <row r="700" ht="15" customHeight="1" s="3052" customFormat="1">
      <c r="B700" s="3054">
        <f t="shared" si="2"/>
      </c>
      <c r="C700" s="3054"/>
      <c r="D700" s="3054"/>
      <c r="E700" s="3055"/>
      <c r="F700" s="3055"/>
      <c r="G700" s="3055"/>
      <c r="H700" s="3055"/>
      <c r="I700" s="3055"/>
      <c r="J700" s="3055"/>
      <c r="K700" s="3055"/>
      <c r="L700" s="3055"/>
      <c r="M700" s="3055"/>
      <c r="N700" s="3055"/>
      <c r="O700" s="3055"/>
      <c r="P700" s="3055"/>
      <c r="Q700" s="3055"/>
      <c r="R700" s="3055">
        <f t="shared" si="3"/>
        <v>0</v>
      </c>
      <c r="S700" s="3055">
        <f t="shared" si="4"/>
        <v>0</v>
      </c>
      <c r="T700" s="3055">
        <f t="shared" si="5"/>
        <v>0</v>
      </c>
      <c r="U700" s="3055">
        <f t="shared" si="6"/>
        <v>0</v>
      </c>
      <c r="V700" s="3055">
        <f t="shared" si="7"/>
        <v>0</v>
      </c>
      <c r="W700" s="3055">
        <f t="shared" si="8"/>
        <v>0</v>
      </c>
      <c r="X700" s="3055">
        <f t="shared" si="9"/>
        <v>0</v>
      </c>
      <c r="Y700" s="3055">
        <f t="shared" si="10"/>
        <v>0</v>
      </c>
      <c r="Z700" s="3055">
        <f t="shared" si="11"/>
        <v>0</v>
      </c>
      <c r="AA700" s="3055">
        <f t="shared" si="12"/>
        <v>0</v>
      </c>
      <c r="AB700" s="3055">
        <f t="shared" si="13"/>
        <v>0</v>
      </c>
      <c r="AC700" s="3055">
        <f t="shared" si="14"/>
        <v>0</v>
      </c>
      <c r="AD700" s="3056"/>
      <c r="AE700" s="3057">
        <f t="shared" si="0"/>
      </c>
      <c r="AF700" s="3054"/>
      <c r="AG700" s="3054"/>
      <c r="AH700" s="3055"/>
      <c r="AI700" s="3055"/>
      <c r="AJ700" s="3055"/>
      <c r="AK700" s="3055"/>
      <c r="AL700" s="3055"/>
      <c r="AM700" s="3055"/>
      <c r="AN700" s="3055"/>
      <c r="AO700" s="3055"/>
      <c r="AP700" s="3055"/>
      <c r="AQ700" s="3055"/>
      <c r="AR700" s="3055"/>
      <c r="AS700" s="3055"/>
      <c r="AT700" s="3055"/>
      <c r="AU700" s="3056"/>
      <c r="AV700" s="3057">
        <f t="shared" si="15"/>
      </c>
      <c r="AW700" s="3054"/>
      <c r="AX700" s="3054"/>
      <c r="AY700" s="3055"/>
      <c r="AZ700" s="3055"/>
      <c r="BA700" s="3055"/>
      <c r="BB700" s="3055"/>
      <c r="BC700" s="3055"/>
      <c r="BD700" s="3055"/>
      <c r="BE700" s="3055"/>
      <c r="BF700" s="3055"/>
      <c r="BG700" s="3055"/>
      <c r="BH700" s="3055"/>
      <c r="BI700" s="3055"/>
      <c r="BJ700" s="3055"/>
      <c r="BK700" s="3055"/>
      <c r="BL700" s="3056"/>
      <c r="BM700" s="3057">
        <f t="shared" si="16"/>
      </c>
      <c r="BN700" s="3054"/>
      <c r="BO700" s="3054"/>
      <c r="BP700" s="3055"/>
      <c r="BQ700" s="3055"/>
      <c r="BR700" s="3055"/>
      <c r="BS700" s="3055"/>
      <c r="BT700" s="3055"/>
      <c r="BU700" s="3055"/>
      <c r="BV700" s="3055"/>
      <c r="BW700" s="3055"/>
      <c r="BX700" s="3055"/>
      <c r="BY700" s="3055"/>
      <c r="BZ700" s="3055"/>
      <c r="CA700" s="3055"/>
      <c r="CB700" s="3055"/>
      <c r="CC700" s="3056"/>
      <c r="CD700" s="3057">
        <f t="shared" si="0"/>
      </c>
      <c r="CE700" s="3054"/>
      <c r="CF700" s="3054"/>
      <c r="CG700" s="3055"/>
      <c r="CH700" s="3055"/>
      <c r="CI700" s="3055"/>
      <c r="CJ700" s="3055"/>
      <c r="CK700" s="3055"/>
      <c r="CL700" s="3055"/>
      <c r="CM700" s="3055"/>
      <c r="CN700" s="3055"/>
      <c r="CO700" s="3055"/>
      <c r="CP700" s="3055"/>
      <c r="CQ700" s="3055"/>
      <c r="CR700" s="3055"/>
      <c r="CS700" s="3055"/>
      <c r="CU700" s="3054"/>
      <c r="CV700" s="696"/>
      <c r="CW700" s="696"/>
      <c r="CZ700" s="3060">
        <f t="shared" si="17"/>
      </c>
      <c r="DA700" s="3060">
        <f t="shared" si="1"/>
      </c>
      <c r="DB700" s="3060">
        <f t="shared" si="18"/>
      </c>
      <c r="DC700" s="3060">
        <f t="shared" si="19"/>
      </c>
      <c r="DD700" s="3060">
        <f t="shared" si="20"/>
      </c>
      <c r="DE700" s="3060">
        <f t="shared" si="21"/>
      </c>
      <c r="DF700" s="3060">
        <f t="shared" si="22"/>
      </c>
      <c r="DG700" s="3060">
        <f t="shared" si="23"/>
      </c>
      <c r="DH700" s="3060">
        <f t="shared" si="24"/>
      </c>
      <c r="DI700" s="3060">
        <f t="shared" si="1"/>
      </c>
    </row>
    <row r="701" ht="15" customHeight="1" s="3052" customFormat="1">
      <c r="B701" s="3054">
        <f t="shared" si="2"/>
      </c>
      <c r="C701" s="3054"/>
      <c r="D701" s="3054"/>
      <c r="E701" s="3055"/>
      <c r="F701" s="3055"/>
      <c r="G701" s="3055"/>
      <c r="H701" s="3055"/>
      <c r="I701" s="3055"/>
      <c r="J701" s="3055"/>
      <c r="K701" s="3055"/>
      <c r="L701" s="3055"/>
      <c r="M701" s="3055"/>
      <c r="N701" s="3055"/>
      <c r="O701" s="3055"/>
      <c r="P701" s="3055"/>
      <c r="Q701" s="3055"/>
      <c r="R701" s="3055">
        <f t="shared" si="3"/>
        <v>0</v>
      </c>
      <c r="S701" s="3055">
        <f t="shared" si="4"/>
        <v>0</v>
      </c>
      <c r="T701" s="3055">
        <f t="shared" si="5"/>
        <v>0</v>
      </c>
      <c r="U701" s="3055">
        <f t="shared" si="6"/>
        <v>0</v>
      </c>
      <c r="V701" s="3055">
        <f t="shared" si="7"/>
        <v>0</v>
      </c>
      <c r="W701" s="3055">
        <f t="shared" si="8"/>
        <v>0</v>
      </c>
      <c r="X701" s="3055">
        <f t="shared" si="9"/>
        <v>0</v>
      </c>
      <c r="Y701" s="3055">
        <f t="shared" si="10"/>
        <v>0</v>
      </c>
      <c r="Z701" s="3055">
        <f t="shared" si="11"/>
        <v>0</v>
      </c>
      <c r="AA701" s="3055">
        <f t="shared" si="12"/>
        <v>0</v>
      </c>
      <c r="AB701" s="3055">
        <f t="shared" si="13"/>
        <v>0</v>
      </c>
      <c r="AC701" s="3055">
        <f t="shared" si="14"/>
        <v>0</v>
      </c>
      <c r="AD701" s="3056"/>
      <c r="AE701" s="3057">
        <f t="shared" si="0"/>
      </c>
      <c r="AF701" s="3054"/>
      <c r="AG701" s="3054"/>
      <c r="AH701" s="3055"/>
      <c r="AI701" s="3055"/>
      <c r="AJ701" s="3055"/>
      <c r="AK701" s="3055"/>
      <c r="AL701" s="3055"/>
      <c r="AM701" s="3055"/>
      <c r="AN701" s="3055"/>
      <c r="AO701" s="3055"/>
      <c r="AP701" s="3055"/>
      <c r="AQ701" s="3055"/>
      <c r="AR701" s="3055"/>
      <c r="AS701" s="3055"/>
      <c r="AT701" s="3055"/>
      <c r="AU701" s="3056"/>
      <c r="AV701" s="3057">
        <f t="shared" si="15"/>
      </c>
      <c r="AW701" s="3054"/>
      <c r="AX701" s="3054"/>
      <c r="AY701" s="3055"/>
      <c r="AZ701" s="3055"/>
      <c r="BA701" s="3055"/>
      <c r="BB701" s="3055"/>
      <c r="BC701" s="3055"/>
      <c r="BD701" s="3055"/>
      <c r="BE701" s="3055"/>
      <c r="BF701" s="3055"/>
      <c r="BG701" s="3055"/>
      <c r="BH701" s="3055"/>
      <c r="BI701" s="3055"/>
      <c r="BJ701" s="3055"/>
      <c r="BK701" s="3055"/>
      <c r="BL701" s="3056"/>
      <c r="BM701" s="3057">
        <f t="shared" si="16"/>
      </c>
      <c r="BN701" s="3054"/>
      <c r="BO701" s="3054"/>
      <c r="BP701" s="3055"/>
      <c r="BQ701" s="3055"/>
      <c r="BR701" s="3055"/>
      <c r="BS701" s="3055"/>
      <c r="BT701" s="3055"/>
      <c r="BU701" s="3055"/>
      <c r="BV701" s="3055"/>
      <c r="BW701" s="3055"/>
      <c r="BX701" s="3055"/>
      <c r="BY701" s="3055"/>
      <c r="BZ701" s="3055"/>
      <c r="CA701" s="3055"/>
      <c r="CB701" s="3055"/>
      <c r="CC701" s="3056"/>
      <c r="CD701" s="3057">
        <f t="shared" si="0"/>
      </c>
      <c r="CE701" s="3054"/>
      <c r="CF701" s="3054"/>
      <c r="CG701" s="3055"/>
      <c r="CH701" s="3055"/>
      <c r="CI701" s="3055"/>
      <c r="CJ701" s="3055"/>
      <c r="CK701" s="3055"/>
      <c r="CL701" s="3055"/>
      <c r="CM701" s="3055"/>
      <c r="CN701" s="3055"/>
      <c r="CO701" s="3055"/>
      <c r="CP701" s="3055"/>
      <c r="CQ701" s="3055"/>
      <c r="CR701" s="3055"/>
      <c r="CS701" s="3055"/>
      <c r="CU701" s="3054"/>
      <c r="CV701" s="696"/>
      <c r="CW701" s="696"/>
      <c r="CZ701" s="3060">
        <f t="shared" si="17"/>
      </c>
      <c r="DA701" s="3060">
        <f t="shared" si="1"/>
      </c>
      <c r="DB701" s="3060">
        <f t="shared" si="18"/>
      </c>
      <c r="DC701" s="3060">
        <f t="shared" si="19"/>
      </c>
      <c r="DD701" s="3060">
        <f t="shared" si="20"/>
      </c>
      <c r="DE701" s="3060">
        <f t="shared" si="21"/>
      </c>
      <c r="DF701" s="3060">
        <f t="shared" si="22"/>
      </c>
      <c r="DG701" s="3060">
        <f t="shared" si="23"/>
      </c>
      <c r="DH701" s="3060">
        <f t="shared" si="24"/>
      </c>
      <c r="DI701" s="3060">
        <f t="shared" si="1"/>
      </c>
    </row>
    <row r="702" ht="15" customHeight="1" s="3052" customFormat="1">
      <c r="B702" s="3054">
        <f t="shared" si="2"/>
      </c>
      <c r="C702" s="3054"/>
      <c r="D702" s="3054"/>
      <c r="E702" s="3055"/>
      <c r="F702" s="3055"/>
      <c r="G702" s="3055"/>
      <c r="H702" s="3055"/>
      <c r="I702" s="3055"/>
      <c r="J702" s="3055"/>
      <c r="K702" s="3055"/>
      <c r="L702" s="3055"/>
      <c r="M702" s="3055"/>
      <c r="N702" s="3055"/>
      <c r="O702" s="3055"/>
      <c r="P702" s="3055"/>
      <c r="Q702" s="3055"/>
      <c r="R702" s="3055">
        <f t="shared" si="3"/>
        <v>0</v>
      </c>
      <c r="S702" s="3055">
        <f t="shared" si="4"/>
        <v>0</v>
      </c>
      <c r="T702" s="3055">
        <f t="shared" si="5"/>
        <v>0</v>
      </c>
      <c r="U702" s="3055">
        <f t="shared" si="6"/>
        <v>0</v>
      </c>
      <c r="V702" s="3055">
        <f t="shared" si="7"/>
        <v>0</v>
      </c>
      <c r="W702" s="3055">
        <f t="shared" si="8"/>
        <v>0</v>
      </c>
      <c r="X702" s="3055">
        <f t="shared" si="9"/>
        <v>0</v>
      </c>
      <c r="Y702" s="3055">
        <f t="shared" si="10"/>
        <v>0</v>
      </c>
      <c r="Z702" s="3055">
        <f t="shared" si="11"/>
        <v>0</v>
      </c>
      <c r="AA702" s="3055">
        <f t="shared" si="12"/>
        <v>0</v>
      </c>
      <c r="AB702" s="3055">
        <f t="shared" si="13"/>
        <v>0</v>
      </c>
      <c r="AC702" s="3055">
        <f t="shared" si="14"/>
        <v>0</v>
      </c>
      <c r="AD702" s="3056"/>
      <c r="AE702" s="3057">
        <f t="shared" si="0"/>
      </c>
      <c r="AF702" s="3054"/>
      <c r="AG702" s="3054"/>
      <c r="AH702" s="3055"/>
      <c r="AI702" s="3055"/>
      <c r="AJ702" s="3055"/>
      <c r="AK702" s="3055"/>
      <c r="AL702" s="3055"/>
      <c r="AM702" s="3055"/>
      <c r="AN702" s="3055"/>
      <c r="AO702" s="3055"/>
      <c r="AP702" s="3055"/>
      <c r="AQ702" s="3055"/>
      <c r="AR702" s="3055"/>
      <c r="AS702" s="3055"/>
      <c r="AT702" s="3055"/>
      <c r="AU702" s="3056"/>
      <c r="AV702" s="3057">
        <f t="shared" si="15"/>
      </c>
      <c r="AW702" s="3054"/>
      <c r="AX702" s="3054"/>
      <c r="AY702" s="3055"/>
      <c r="AZ702" s="3055"/>
      <c r="BA702" s="3055"/>
      <c r="BB702" s="3055"/>
      <c r="BC702" s="3055"/>
      <c r="BD702" s="3055"/>
      <c r="BE702" s="3055"/>
      <c r="BF702" s="3055"/>
      <c r="BG702" s="3055"/>
      <c r="BH702" s="3055"/>
      <c r="BI702" s="3055"/>
      <c r="BJ702" s="3055"/>
      <c r="BK702" s="3055"/>
      <c r="BL702" s="3056"/>
      <c r="BM702" s="3057">
        <f t="shared" si="16"/>
      </c>
      <c r="BN702" s="3054"/>
      <c r="BO702" s="3054"/>
      <c r="BP702" s="3055"/>
      <c r="BQ702" s="3055"/>
      <c r="BR702" s="3055"/>
      <c r="BS702" s="3055"/>
      <c r="BT702" s="3055"/>
      <c r="BU702" s="3055"/>
      <c r="BV702" s="3055"/>
      <c r="BW702" s="3055"/>
      <c r="BX702" s="3055"/>
      <c r="BY702" s="3055"/>
      <c r="BZ702" s="3055"/>
      <c r="CA702" s="3055"/>
      <c r="CB702" s="3055"/>
      <c r="CC702" s="3056"/>
      <c r="CD702" s="3057">
        <f t="shared" si="0"/>
      </c>
      <c r="CE702" s="3054"/>
      <c r="CF702" s="3054"/>
      <c r="CG702" s="3055"/>
      <c r="CH702" s="3055"/>
      <c r="CI702" s="3055"/>
      <c r="CJ702" s="3055"/>
      <c r="CK702" s="3055"/>
      <c r="CL702" s="3055"/>
      <c r="CM702" s="3055"/>
      <c r="CN702" s="3055"/>
      <c r="CO702" s="3055"/>
      <c r="CP702" s="3055"/>
      <c r="CQ702" s="3055"/>
      <c r="CR702" s="3055"/>
      <c r="CS702" s="3055"/>
      <c r="CU702" s="3054"/>
      <c r="CV702" s="696"/>
      <c r="CW702" s="696"/>
      <c r="CZ702" s="3060">
        <f t="shared" si="17"/>
      </c>
      <c r="DA702" s="3060">
        <f t="shared" si="1"/>
      </c>
      <c r="DB702" s="3060">
        <f t="shared" si="18"/>
      </c>
      <c r="DC702" s="3060">
        <f t="shared" si="19"/>
      </c>
      <c r="DD702" s="3060">
        <f t="shared" si="20"/>
      </c>
      <c r="DE702" s="3060">
        <f t="shared" si="21"/>
      </c>
      <c r="DF702" s="3060">
        <f t="shared" si="22"/>
      </c>
      <c r="DG702" s="3060">
        <f t="shared" si="23"/>
      </c>
      <c r="DH702" s="3060">
        <f t="shared" si="24"/>
      </c>
      <c r="DI702" s="3060">
        <f t="shared" si="1"/>
      </c>
    </row>
    <row r="703" ht="15" customHeight="1" s="3052" customFormat="1">
      <c r="B703" s="3054">
        <f t="shared" si="2"/>
      </c>
      <c r="C703" s="3054"/>
      <c r="D703" s="3054"/>
      <c r="E703" s="3055"/>
      <c r="F703" s="3055"/>
      <c r="G703" s="3055"/>
      <c r="H703" s="3055"/>
      <c r="I703" s="3055"/>
      <c r="J703" s="3055"/>
      <c r="K703" s="3055"/>
      <c r="L703" s="3055"/>
      <c r="M703" s="3055"/>
      <c r="N703" s="3055"/>
      <c r="O703" s="3055"/>
      <c r="P703" s="3055"/>
      <c r="Q703" s="3055"/>
      <c r="R703" s="3055">
        <f t="shared" si="3"/>
        <v>0</v>
      </c>
      <c r="S703" s="3055">
        <f t="shared" si="4"/>
        <v>0</v>
      </c>
      <c r="T703" s="3055">
        <f t="shared" si="5"/>
        <v>0</v>
      </c>
      <c r="U703" s="3055">
        <f t="shared" si="6"/>
        <v>0</v>
      </c>
      <c r="V703" s="3055">
        <f t="shared" si="7"/>
        <v>0</v>
      </c>
      <c r="W703" s="3055">
        <f t="shared" si="8"/>
        <v>0</v>
      </c>
      <c r="X703" s="3055">
        <f t="shared" si="9"/>
        <v>0</v>
      </c>
      <c r="Y703" s="3055">
        <f t="shared" si="10"/>
        <v>0</v>
      </c>
      <c r="Z703" s="3055">
        <f t="shared" si="11"/>
        <v>0</v>
      </c>
      <c r="AA703" s="3055">
        <f t="shared" si="12"/>
        <v>0</v>
      </c>
      <c r="AB703" s="3055">
        <f t="shared" si="13"/>
        <v>0</v>
      </c>
      <c r="AC703" s="3055">
        <f t="shared" si="14"/>
        <v>0</v>
      </c>
      <c r="AD703" s="3056"/>
      <c r="AE703" s="3057">
        <f t="shared" si="0"/>
      </c>
      <c r="AF703" s="3054"/>
      <c r="AG703" s="3054"/>
      <c r="AH703" s="3055"/>
      <c r="AI703" s="3055"/>
      <c r="AJ703" s="3055"/>
      <c r="AK703" s="3055"/>
      <c r="AL703" s="3055"/>
      <c r="AM703" s="3055"/>
      <c r="AN703" s="3055"/>
      <c r="AO703" s="3055"/>
      <c r="AP703" s="3055"/>
      <c r="AQ703" s="3055"/>
      <c r="AR703" s="3055"/>
      <c r="AS703" s="3055"/>
      <c r="AT703" s="3055"/>
      <c r="AU703" s="3056"/>
      <c r="AV703" s="3057">
        <f t="shared" si="15"/>
      </c>
      <c r="AW703" s="3054"/>
      <c r="AX703" s="3054"/>
      <c r="AY703" s="3055"/>
      <c r="AZ703" s="3055"/>
      <c r="BA703" s="3055"/>
      <c r="BB703" s="3055"/>
      <c r="BC703" s="3055"/>
      <c r="BD703" s="3055"/>
      <c r="BE703" s="3055"/>
      <c r="BF703" s="3055"/>
      <c r="BG703" s="3055"/>
      <c r="BH703" s="3055"/>
      <c r="BI703" s="3055"/>
      <c r="BJ703" s="3055"/>
      <c r="BK703" s="3055"/>
      <c r="BL703" s="3056"/>
      <c r="BM703" s="3057">
        <f t="shared" si="16"/>
      </c>
      <c r="BN703" s="3054"/>
      <c r="BO703" s="3054"/>
      <c r="BP703" s="3055"/>
      <c r="BQ703" s="3055"/>
      <c r="BR703" s="3055"/>
      <c r="BS703" s="3055"/>
      <c r="BT703" s="3055"/>
      <c r="BU703" s="3055"/>
      <c r="BV703" s="3055"/>
      <c r="BW703" s="3055"/>
      <c r="BX703" s="3055"/>
      <c r="BY703" s="3055"/>
      <c r="BZ703" s="3055"/>
      <c r="CA703" s="3055"/>
      <c r="CB703" s="3055"/>
      <c r="CC703" s="3056"/>
      <c r="CD703" s="3057">
        <f t="shared" si="0"/>
      </c>
      <c r="CE703" s="3054"/>
      <c r="CF703" s="3054"/>
      <c r="CG703" s="3055"/>
      <c r="CH703" s="3055"/>
      <c r="CI703" s="3055"/>
      <c r="CJ703" s="3055"/>
      <c r="CK703" s="3055"/>
      <c r="CL703" s="3055"/>
      <c r="CM703" s="3055"/>
      <c r="CN703" s="3055"/>
      <c r="CO703" s="3055"/>
      <c r="CP703" s="3055"/>
      <c r="CQ703" s="3055"/>
      <c r="CR703" s="3055"/>
      <c r="CS703" s="3055"/>
      <c r="CU703" s="3054"/>
      <c r="CV703" s="696"/>
      <c r="CW703" s="696"/>
      <c r="CZ703" s="3060">
        <f t="shared" si="17"/>
      </c>
      <c r="DA703" s="3060">
        <f t="shared" si="1"/>
      </c>
      <c r="DB703" s="3060">
        <f t="shared" si="18"/>
      </c>
      <c r="DC703" s="3060">
        <f t="shared" si="19"/>
      </c>
      <c r="DD703" s="3060">
        <f t="shared" si="20"/>
      </c>
      <c r="DE703" s="3060">
        <f t="shared" si="21"/>
      </c>
      <c r="DF703" s="3060">
        <f t="shared" si="22"/>
      </c>
      <c r="DG703" s="3060">
        <f t="shared" si="23"/>
      </c>
      <c r="DH703" s="3060">
        <f t="shared" si="24"/>
      </c>
      <c r="DI703" s="3060">
        <f t="shared" si="1"/>
      </c>
    </row>
    <row r="704" ht="15" customHeight="1" s="3052" customFormat="1">
      <c r="B704" s="3054">
        <f t="shared" si="2"/>
      </c>
      <c r="C704" s="3054"/>
      <c r="D704" s="3054"/>
      <c r="E704" s="3055"/>
      <c r="F704" s="3055"/>
      <c r="G704" s="3055"/>
      <c r="H704" s="3055"/>
      <c r="I704" s="3055"/>
      <c r="J704" s="3055"/>
      <c r="K704" s="3055"/>
      <c r="L704" s="3055"/>
      <c r="M704" s="3055"/>
      <c r="N704" s="3055"/>
      <c r="O704" s="3055"/>
      <c r="P704" s="3055"/>
      <c r="Q704" s="3055"/>
      <c r="R704" s="3055">
        <f t="shared" si="3"/>
        <v>0</v>
      </c>
      <c r="S704" s="3055">
        <f t="shared" si="4"/>
        <v>0</v>
      </c>
      <c r="T704" s="3055">
        <f t="shared" si="5"/>
        <v>0</v>
      </c>
      <c r="U704" s="3055">
        <f t="shared" si="6"/>
        <v>0</v>
      </c>
      <c r="V704" s="3055">
        <f t="shared" si="7"/>
        <v>0</v>
      </c>
      <c r="W704" s="3055">
        <f t="shared" si="8"/>
        <v>0</v>
      </c>
      <c r="X704" s="3055">
        <f t="shared" si="9"/>
        <v>0</v>
      </c>
      <c r="Y704" s="3055">
        <f t="shared" si="10"/>
        <v>0</v>
      </c>
      <c r="Z704" s="3055">
        <f t="shared" si="11"/>
        <v>0</v>
      </c>
      <c r="AA704" s="3055">
        <f t="shared" si="12"/>
        <v>0</v>
      </c>
      <c r="AB704" s="3055">
        <f t="shared" si="13"/>
        <v>0</v>
      </c>
      <c r="AC704" s="3055">
        <f t="shared" si="14"/>
        <v>0</v>
      </c>
      <c r="AD704" s="3056"/>
      <c r="AE704" s="3057">
        <f t="shared" si="0"/>
      </c>
      <c r="AF704" s="3054"/>
      <c r="AG704" s="3054"/>
      <c r="AH704" s="3055"/>
      <c r="AI704" s="3055"/>
      <c r="AJ704" s="3055"/>
      <c r="AK704" s="3055"/>
      <c r="AL704" s="3055"/>
      <c r="AM704" s="3055"/>
      <c r="AN704" s="3055"/>
      <c r="AO704" s="3055"/>
      <c r="AP704" s="3055"/>
      <c r="AQ704" s="3055"/>
      <c r="AR704" s="3055"/>
      <c r="AS704" s="3055"/>
      <c r="AT704" s="3055"/>
      <c r="AU704" s="3056"/>
      <c r="AV704" s="3057">
        <f t="shared" si="15"/>
      </c>
      <c r="AW704" s="3054"/>
      <c r="AX704" s="3054"/>
      <c r="AY704" s="3055"/>
      <c r="AZ704" s="3055"/>
      <c r="BA704" s="3055"/>
      <c r="BB704" s="3055"/>
      <c r="BC704" s="3055"/>
      <c r="BD704" s="3055"/>
      <c r="BE704" s="3055"/>
      <c r="BF704" s="3055"/>
      <c r="BG704" s="3055"/>
      <c r="BH704" s="3055"/>
      <c r="BI704" s="3055"/>
      <c r="BJ704" s="3055"/>
      <c r="BK704" s="3055"/>
      <c r="BL704" s="3056"/>
      <c r="BM704" s="3057">
        <f t="shared" si="16"/>
      </c>
      <c r="BN704" s="3054"/>
      <c r="BO704" s="3054"/>
      <c r="BP704" s="3055"/>
      <c r="BQ704" s="3055"/>
      <c r="BR704" s="3055"/>
      <c r="BS704" s="3055"/>
      <c r="BT704" s="3055"/>
      <c r="BU704" s="3055"/>
      <c r="BV704" s="3055"/>
      <c r="BW704" s="3055"/>
      <c r="BX704" s="3055"/>
      <c r="BY704" s="3055"/>
      <c r="BZ704" s="3055"/>
      <c r="CA704" s="3055"/>
      <c r="CB704" s="3055"/>
      <c r="CC704" s="3056"/>
      <c r="CD704" s="3057">
        <f t="shared" si="0"/>
      </c>
      <c r="CE704" s="3054"/>
      <c r="CF704" s="3054"/>
      <c r="CG704" s="3055"/>
      <c r="CH704" s="3055"/>
      <c r="CI704" s="3055"/>
      <c r="CJ704" s="3055"/>
      <c r="CK704" s="3055"/>
      <c r="CL704" s="3055"/>
      <c r="CM704" s="3055"/>
      <c r="CN704" s="3055"/>
      <c r="CO704" s="3055"/>
      <c r="CP704" s="3055"/>
      <c r="CQ704" s="3055"/>
      <c r="CR704" s="3055"/>
      <c r="CS704" s="3055"/>
      <c r="CU704" s="3054"/>
      <c r="CV704" s="696"/>
      <c r="CW704" s="696"/>
      <c r="CZ704" s="3060">
        <f t="shared" si="17"/>
      </c>
      <c r="DA704" s="3060">
        <f t="shared" si="1"/>
      </c>
      <c r="DB704" s="3060">
        <f t="shared" si="18"/>
      </c>
      <c r="DC704" s="3060">
        <f t="shared" si="19"/>
      </c>
      <c r="DD704" s="3060">
        <f t="shared" si="20"/>
      </c>
      <c r="DE704" s="3060">
        <f t="shared" si="21"/>
      </c>
      <c r="DF704" s="3060">
        <f t="shared" si="22"/>
      </c>
      <c r="DG704" s="3060">
        <f t="shared" si="23"/>
      </c>
      <c r="DH704" s="3060">
        <f t="shared" si="24"/>
      </c>
      <c r="DI704" s="3060">
        <f t="shared" si="1"/>
      </c>
    </row>
    <row r="705" ht="15" customHeight="1" s="3052" customFormat="1">
      <c r="B705" s="3054">
        <f t="shared" si="2"/>
      </c>
      <c r="C705" s="3054"/>
      <c r="D705" s="3054"/>
      <c r="E705" s="3055"/>
      <c r="F705" s="3055"/>
      <c r="G705" s="3055"/>
      <c r="H705" s="3055"/>
      <c r="I705" s="3055"/>
      <c r="J705" s="3055"/>
      <c r="K705" s="3055"/>
      <c r="L705" s="3055"/>
      <c r="M705" s="3055"/>
      <c r="N705" s="3055"/>
      <c r="O705" s="3055"/>
      <c r="P705" s="3055"/>
      <c r="Q705" s="3055"/>
      <c r="R705" s="3055">
        <f t="shared" si="3"/>
        <v>0</v>
      </c>
      <c r="S705" s="3055">
        <f t="shared" si="4"/>
        <v>0</v>
      </c>
      <c r="T705" s="3055">
        <f t="shared" si="5"/>
        <v>0</v>
      </c>
      <c r="U705" s="3055">
        <f t="shared" si="6"/>
        <v>0</v>
      </c>
      <c r="V705" s="3055">
        <f t="shared" si="7"/>
        <v>0</v>
      </c>
      <c r="W705" s="3055">
        <f t="shared" si="8"/>
        <v>0</v>
      </c>
      <c r="X705" s="3055">
        <f t="shared" si="9"/>
        <v>0</v>
      </c>
      <c r="Y705" s="3055">
        <f t="shared" si="10"/>
        <v>0</v>
      </c>
      <c r="Z705" s="3055">
        <f t="shared" si="11"/>
        <v>0</v>
      </c>
      <c r="AA705" s="3055">
        <f t="shared" si="12"/>
        <v>0</v>
      </c>
      <c r="AB705" s="3055">
        <f t="shared" si="13"/>
        <v>0</v>
      </c>
      <c r="AC705" s="3055">
        <f t="shared" si="14"/>
        <v>0</v>
      </c>
      <c r="AD705" s="3056"/>
      <c r="AE705" s="3057">
        <f t="shared" si="0"/>
      </c>
      <c r="AF705" s="3054"/>
      <c r="AG705" s="3054"/>
      <c r="AH705" s="3055"/>
      <c r="AI705" s="3055"/>
      <c r="AJ705" s="3055"/>
      <c r="AK705" s="3055"/>
      <c r="AL705" s="3055"/>
      <c r="AM705" s="3055"/>
      <c r="AN705" s="3055"/>
      <c r="AO705" s="3055"/>
      <c r="AP705" s="3055"/>
      <c r="AQ705" s="3055"/>
      <c r="AR705" s="3055"/>
      <c r="AS705" s="3055"/>
      <c r="AT705" s="3055"/>
      <c r="AU705" s="3056"/>
      <c r="AV705" s="3057">
        <f t="shared" si="15"/>
      </c>
      <c r="AW705" s="3054"/>
      <c r="AX705" s="3054"/>
      <c r="AY705" s="3055"/>
      <c r="AZ705" s="3055"/>
      <c r="BA705" s="3055"/>
      <c r="BB705" s="3055"/>
      <c r="BC705" s="3055"/>
      <c r="BD705" s="3055"/>
      <c r="BE705" s="3055"/>
      <c r="BF705" s="3055"/>
      <c r="BG705" s="3055"/>
      <c r="BH705" s="3055"/>
      <c r="BI705" s="3055"/>
      <c r="BJ705" s="3055"/>
      <c r="BK705" s="3055"/>
      <c r="BL705" s="3056"/>
      <c r="BM705" s="3057">
        <f t="shared" si="16"/>
      </c>
      <c r="BN705" s="3054"/>
      <c r="BO705" s="3054"/>
      <c r="BP705" s="3055"/>
      <c r="BQ705" s="3055"/>
      <c r="BR705" s="3055"/>
      <c r="BS705" s="3055"/>
      <c r="BT705" s="3055"/>
      <c r="BU705" s="3055"/>
      <c r="BV705" s="3055"/>
      <c r="BW705" s="3055"/>
      <c r="BX705" s="3055"/>
      <c r="BY705" s="3055"/>
      <c r="BZ705" s="3055"/>
      <c r="CA705" s="3055"/>
      <c r="CB705" s="3055"/>
      <c r="CC705" s="3056"/>
      <c r="CD705" s="3057">
        <f t="shared" si="0"/>
      </c>
      <c r="CE705" s="3054"/>
      <c r="CF705" s="3054"/>
      <c r="CG705" s="3055"/>
      <c r="CH705" s="3055"/>
      <c r="CI705" s="3055"/>
      <c r="CJ705" s="3055"/>
      <c r="CK705" s="3055"/>
      <c r="CL705" s="3055"/>
      <c r="CM705" s="3055"/>
      <c r="CN705" s="3055"/>
      <c r="CO705" s="3055"/>
      <c r="CP705" s="3055"/>
      <c r="CQ705" s="3055"/>
      <c r="CR705" s="3055"/>
      <c r="CS705" s="3055"/>
      <c r="CU705" s="3054"/>
      <c r="CV705" s="696"/>
      <c r="CW705" s="696"/>
      <c r="CZ705" s="3060">
        <f t="shared" si="17"/>
      </c>
      <c r="DA705" s="3060">
        <f t="shared" si="1"/>
      </c>
      <c r="DB705" s="3060">
        <f t="shared" si="18"/>
      </c>
      <c r="DC705" s="3060">
        <f t="shared" si="19"/>
      </c>
      <c r="DD705" s="3060">
        <f t="shared" si="20"/>
      </c>
      <c r="DE705" s="3060">
        <f t="shared" si="21"/>
      </c>
      <c r="DF705" s="3060">
        <f t="shared" si="22"/>
      </c>
      <c r="DG705" s="3060">
        <f t="shared" si="23"/>
      </c>
      <c r="DH705" s="3060">
        <f t="shared" si="24"/>
      </c>
      <c r="DI705" s="3060">
        <f t="shared" si="1"/>
      </c>
    </row>
    <row r="706" ht="15" customHeight="1" s="3052" customFormat="1">
      <c r="B706" s="3054">
        <f t="shared" si="2"/>
      </c>
      <c r="C706" s="3054"/>
      <c r="D706" s="3054"/>
      <c r="E706" s="3055"/>
      <c r="F706" s="3055"/>
      <c r="G706" s="3055"/>
      <c r="H706" s="3055"/>
      <c r="I706" s="3055"/>
      <c r="J706" s="3055"/>
      <c r="K706" s="3055"/>
      <c r="L706" s="3055"/>
      <c r="M706" s="3055"/>
      <c r="N706" s="3055"/>
      <c r="O706" s="3055"/>
      <c r="P706" s="3055"/>
      <c r="Q706" s="3055"/>
      <c r="R706" s="3055">
        <f t="shared" si="3"/>
        <v>0</v>
      </c>
      <c r="S706" s="3055">
        <f t="shared" si="4"/>
        <v>0</v>
      </c>
      <c r="T706" s="3055">
        <f t="shared" si="5"/>
        <v>0</v>
      </c>
      <c r="U706" s="3055">
        <f t="shared" si="6"/>
        <v>0</v>
      </c>
      <c r="V706" s="3055">
        <f t="shared" si="7"/>
        <v>0</v>
      </c>
      <c r="W706" s="3055">
        <f t="shared" si="8"/>
        <v>0</v>
      </c>
      <c r="X706" s="3055">
        <f t="shared" si="9"/>
        <v>0</v>
      </c>
      <c r="Y706" s="3055">
        <f t="shared" si="10"/>
        <v>0</v>
      </c>
      <c r="Z706" s="3055">
        <f t="shared" si="11"/>
        <v>0</v>
      </c>
      <c r="AA706" s="3055">
        <f t="shared" si="12"/>
        <v>0</v>
      </c>
      <c r="AB706" s="3055">
        <f t="shared" si="13"/>
        <v>0</v>
      </c>
      <c r="AC706" s="3055">
        <f t="shared" si="14"/>
        <v>0</v>
      </c>
      <c r="AD706" s="3056"/>
      <c r="AE706" s="3057">
        <f t="shared" si="0"/>
      </c>
      <c r="AF706" s="3054"/>
      <c r="AG706" s="3054"/>
      <c r="AH706" s="3055"/>
      <c r="AI706" s="3055"/>
      <c r="AJ706" s="3055"/>
      <c r="AK706" s="3055"/>
      <c r="AL706" s="3055"/>
      <c r="AM706" s="3055"/>
      <c r="AN706" s="3055"/>
      <c r="AO706" s="3055"/>
      <c r="AP706" s="3055"/>
      <c r="AQ706" s="3055"/>
      <c r="AR706" s="3055"/>
      <c r="AS706" s="3055"/>
      <c r="AT706" s="3055"/>
      <c r="AU706" s="3056"/>
      <c r="AV706" s="3057">
        <f t="shared" si="15"/>
      </c>
      <c r="AW706" s="3054"/>
      <c r="AX706" s="3054"/>
      <c r="AY706" s="3055"/>
      <c r="AZ706" s="3055"/>
      <c r="BA706" s="3055"/>
      <c r="BB706" s="3055"/>
      <c r="BC706" s="3055"/>
      <c r="BD706" s="3055"/>
      <c r="BE706" s="3055"/>
      <c r="BF706" s="3055"/>
      <c r="BG706" s="3055"/>
      <c r="BH706" s="3055"/>
      <c r="BI706" s="3055"/>
      <c r="BJ706" s="3055"/>
      <c r="BK706" s="3055"/>
      <c r="BL706" s="3056"/>
      <c r="BM706" s="3057">
        <f t="shared" si="16"/>
      </c>
      <c r="BN706" s="3054"/>
      <c r="BO706" s="3054"/>
      <c r="BP706" s="3055"/>
      <c r="BQ706" s="3055"/>
      <c r="BR706" s="3055"/>
      <c r="BS706" s="3055"/>
      <c r="BT706" s="3055"/>
      <c r="BU706" s="3055"/>
      <c r="BV706" s="3055"/>
      <c r="BW706" s="3055"/>
      <c r="BX706" s="3055"/>
      <c r="BY706" s="3055"/>
      <c r="BZ706" s="3055"/>
      <c r="CA706" s="3055"/>
      <c r="CB706" s="3055"/>
      <c r="CC706" s="3056"/>
      <c r="CD706" s="3057">
        <f t="shared" si="0"/>
      </c>
      <c r="CE706" s="3054"/>
      <c r="CF706" s="3054"/>
      <c r="CG706" s="3055"/>
      <c r="CH706" s="3055"/>
      <c r="CI706" s="3055"/>
      <c r="CJ706" s="3055"/>
      <c r="CK706" s="3055"/>
      <c r="CL706" s="3055"/>
      <c r="CM706" s="3055"/>
      <c r="CN706" s="3055"/>
      <c r="CO706" s="3055"/>
      <c r="CP706" s="3055"/>
      <c r="CQ706" s="3055"/>
      <c r="CR706" s="3055"/>
      <c r="CS706" s="3055"/>
      <c r="CU706" s="3054"/>
      <c r="CV706" s="696"/>
      <c r="CW706" s="696"/>
      <c r="CZ706" s="3060">
        <f t="shared" si="17"/>
      </c>
      <c r="DA706" s="3060">
        <f t="shared" si="1"/>
      </c>
      <c r="DB706" s="3060">
        <f t="shared" si="18"/>
      </c>
      <c r="DC706" s="3060">
        <f t="shared" si="19"/>
      </c>
      <c r="DD706" s="3060">
        <f t="shared" si="20"/>
      </c>
      <c r="DE706" s="3060">
        <f t="shared" si="21"/>
      </c>
      <c r="DF706" s="3060">
        <f t="shared" si="22"/>
      </c>
      <c r="DG706" s="3060">
        <f t="shared" si="23"/>
      </c>
      <c r="DH706" s="3060">
        <f t="shared" si="24"/>
      </c>
      <c r="DI706" s="3060">
        <f t="shared" si="1"/>
      </c>
    </row>
    <row r="707" ht="15" customHeight="1" s="3052" customFormat="1">
      <c r="B707" s="3054">
        <f t="shared" si="2"/>
      </c>
      <c r="C707" s="3054"/>
      <c r="D707" s="3054"/>
      <c r="E707" s="3055"/>
      <c r="F707" s="3055"/>
      <c r="G707" s="3055"/>
      <c r="H707" s="3055"/>
      <c r="I707" s="3055"/>
      <c r="J707" s="3055"/>
      <c r="K707" s="3055"/>
      <c r="L707" s="3055"/>
      <c r="M707" s="3055"/>
      <c r="N707" s="3055"/>
      <c r="O707" s="3055"/>
      <c r="P707" s="3055"/>
      <c r="Q707" s="3055"/>
      <c r="R707" s="3055">
        <f t="shared" si="3"/>
        <v>0</v>
      </c>
      <c r="S707" s="3055">
        <f t="shared" si="4"/>
        <v>0</v>
      </c>
      <c r="T707" s="3055">
        <f t="shared" si="5"/>
        <v>0</v>
      </c>
      <c r="U707" s="3055">
        <f t="shared" si="6"/>
        <v>0</v>
      </c>
      <c r="V707" s="3055">
        <f t="shared" si="7"/>
        <v>0</v>
      </c>
      <c r="W707" s="3055">
        <f t="shared" si="8"/>
        <v>0</v>
      </c>
      <c r="X707" s="3055">
        <f t="shared" si="9"/>
        <v>0</v>
      </c>
      <c r="Y707" s="3055">
        <f t="shared" si="10"/>
        <v>0</v>
      </c>
      <c r="Z707" s="3055">
        <f t="shared" si="11"/>
        <v>0</v>
      </c>
      <c r="AA707" s="3055">
        <f t="shared" si="12"/>
        <v>0</v>
      </c>
      <c r="AB707" s="3055">
        <f t="shared" si="13"/>
        <v>0</v>
      </c>
      <c r="AC707" s="3055">
        <f t="shared" si="14"/>
        <v>0</v>
      </c>
      <c r="AD707" s="3056"/>
      <c r="AE707" s="3057">
        <f t="shared" si="0"/>
      </c>
      <c r="AF707" s="3054"/>
      <c r="AG707" s="3054"/>
      <c r="AH707" s="3055"/>
      <c r="AI707" s="3055"/>
      <c r="AJ707" s="3055"/>
      <c r="AK707" s="3055"/>
      <c r="AL707" s="3055"/>
      <c r="AM707" s="3055"/>
      <c r="AN707" s="3055"/>
      <c r="AO707" s="3055"/>
      <c r="AP707" s="3055"/>
      <c r="AQ707" s="3055"/>
      <c r="AR707" s="3055"/>
      <c r="AS707" s="3055"/>
      <c r="AT707" s="3055"/>
      <c r="AU707" s="3056"/>
      <c r="AV707" s="3057">
        <f t="shared" si="15"/>
      </c>
      <c r="AW707" s="3054"/>
      <c r="AX707" s="3054"/>
      <c r="AY707" s="3055"/>
      <c r="AZ707" s="3055"/>
      <c r="BA707" s="3055"/>
      <c r="BB707" s="3055"/>
      <c r="BC707" s="3055"/>
      <c r="BD707" s="3055"/>
      <c r="BE707" s="3055"/>
      <c r="BF707" s="3055"/>
      <c r="BG707" s="3055"/>
      <c r="BH707" s="3055"/>
      <c r="BI707" s="3055"/>
      <c r="BJ707" s="3055"/>
      <c r="BK707" s="3055"/>
      <c r="BL707" s="3056"/>
      <c r="BM707" s="3057">
        <f t="shared" si="16"/>
      </c>
      <c r="BN707" s="3054"/>
      <c r="BO707" s="3054"/>
      <c r="BP707" s="3055"/>
      <c r="BQ707" s="3055"/>
      <c r="BR707" s="3055"/>
      <c r="BS707" s="3055"/>
      <c r="BT707" s="3055"/>
      <c r="BU707" s="3055"/>
      <c r="BV707" s="3055"/>
      <c r="BW707" s="3055"/>
      <c r="BX707" s="3055"/>
      <c r="BY707" s="3055"/>
      <c r="BZ707" s="3055"/>
      <c r="CA707" s="3055"/>
      <c r="CB707" s="3055"/>
      <c r="CC707" s="3056"/>
      <c r="CD707" s="3057">
        <f t="shared" si="0"/>
      </c>
      <c r="CE707" s="3054"/>
      <c r="CF707" s="3054"/>
      <c r="CG707" s="3055"/>
      <c r="CH707" s="3055"/>
      <c r="CI707" s="3055"/>
      <c r="CJ707" s="3055"/>
      <c r="CK707" s="3055"/>
      <c r="CL707" s="3055"/>
      <c r="CM707" s="3055"/>
      <c r="CN707" s="3055"/>
      <c r="CO707" s="3055"/>
      <c r="CP707" s="3055"/>
      <c r="CQ707" s="3055"/>
      <c r="CR707" s="3055"/>
      <c r="CS707" s="3055"/>
      <c r="CU707" s="3054"/>
      <c r="CV707" s="696"/>
      <c r="CW707" s="696"/>
      <c r="CZ707" s="3060">
        <f t="shared" si="17"/>
      </c>
      <c r="DA707" s="3060">
        <f t="shared" si="1"/>
      </c>
      <c r="DB707" s="3060">
        <f t="shared" si="18"/>
      </c>
      <c r="DC707" s="3060">
        <f t="shared" si="19"/>
      </c>
      <c r="DD707" s="3060">
        <f t="shared" si="20"/>
      </c>
      <c r="DE707" s="3060">
        <f t="shared" si="21"/>
      </c>
      <c r="DF707" s="3060">
        <f t="shared" si="22"/>
      </c>
      <c r="DG707" s="3060">
        <f t="shared" si="23"/>
      </c>
      <c r="DH707" s="3060">
        <f t="shared" si="24"/>
      </c>
      <c r="DI707" s="3060">
        <f t="shared" si="1"/>
      </c>
    </row>
    <row r="708" ht="15" customHeight="1" s="3052" customFormat="1">
      <c r="B708" s="3054">
        <f t="shared" si="2"/>
      </c>
      <c r="C708" s="3054"/>
      <c r="D708" s="3054"/>
      <c r="E708" s="3055"/>
      <c r="F708" s="3055"/>
      <c r="G708" s="3055"/>
      <c r="H708" s="3055"/>
      <c r="I708" s="3055"/>
      <c r="J708" s="3055"/>
      <c r="K708" s="3055"/>
      <c r="L708" s="3055"/>
      <c r="M708" s="3055"/>
      <c r="N708" s="3055"/>
      <c r="O708" s="3055"/>
      <c r="P708" s="3055"/>
      <c r="Q708" s="3055"/>
      <c r="R708" s="3055">
        <f t="shared" si="3"/>
        <v>0</v>
      </c>
      <c r="S708" s="3055">
        <f t="shared" si="4"/>
        <v>0</v>
      </c>
      <c r="T708" s="3055">
        <f t="shared" si="5"/>
        <v>0</v>
      </c>
      <c r="U708" s="3055">
        <f t="shared" si="6"/>
        <v>0</v>
      </c>
      <c r="V708" s="3055">
        <f t="shared" si="7"/>
        <v>0</v>
      </c>
      <c r="W708" s="3055">
        <f t="shared" si="8"/>
        <v>0</v>
      </c>
      <c r="X708" s="3055">
        <f t="shared" si="9"/>
        <v>0</v>
      </c>
      <c r="Y708" s="3055">
        <f t="shared" si="10"/>
        <v>0</v>
      </c>
      <c r="Z708" s="3055">
        <f t="shared" si="11"/>
        <v>0</v>
      </c>
      <c r="AA708" s="3055">
        <f t="shared" si="12"/>
        <v>0</v>
      </c>
      <c r="AB708" s="3055">
        <f t="shared" si="13"/>
        <v>0</v>
      </c>
      <c r="AC708" s="3055">
        <f t="shared" si="14"/>
        <v>0</v>
      </c>
      <c r="AD708" s="3056"/>
      <c r="AE708" s="3057">
        <f t="shared" si="0"/>
      </c>
      <c r="AF708" s="3054"/>
      <c r="AG708" s="3054"/>
      <c r="AH708" s="3055"/>
      <c r="AI708" s="3055"/>
      <c r="AJ708" s="3055"/>
      <c r="AK708" s="3055"/>
      <c r="AL708" s="3055"/>
      <c r="AM708" s="3055"/>
      <c r="AN708" s="3055"/>
      <c r="AO708" s="3055"/>
      <c r="AP708" s="3055"/>
      <c r="AQ708" s="3055"/>
      <c r="AR708" s="3055"/>
      <c r="AS708" s="3055"/>
      <c r="AT708" s="3055"/>
      <c r="AU708" s="3056"/>
      <c r="AV708" s="3057">
        <f t="shared" si="15"/>
      </c>
      <c r="AW708" s="3054"/>
      <c r="AX708" s="3054"/>
      <c r="AY708" s="3055"/>
      <c r="AZ708" s="3055"/>
      <c r="BA708" s="3055"/>
      <c r="BB708" s="3055"/>
      <c r="BC708" s="3055"/>
      <c r="BD708" s="3055"/>
      <c r="BE708" s="3055"/>
      <c r="BF708" s="3055"/>
      <c r="BG708" s="3055"/>
      <c r="BH708" s="3055"/>
      <c r="BI708" s="3055"/>
      <c r="BJ708" s="3055"/>
      <c r="BK708" s="3055"/>
      <c r="BL708" s="3056"/>
      <c r="BM708" s="3057">
        <f t="shared" si="16"/>
      </c>
      <c r="BN708" s="3054"/>
      <c r="BO708" s="3054"/>
      <c r="BP708" s="3055"/>
      <c r="BQ708" s="3055"/>
      <c r="BR708" s="3055"/>
      <c r="BS708" s="3055"/>
      <c r="BT708" s="3055"/>
      <c r="BU708" s="3055"/>
      <c r="BV708" s="3055"/>
      <c r="BW708" s="3055"/>
      <c r="BX708" s="3055"/>
      <c r="BY708" s="3055"/>
      <c r="BZ708" s="3055"/>
      <c r="CA708" s="3055"/>
      <c r="CB708" s="3055"/>
      <c r="CC708" s="3056"/>
      <c r="CD708" s="3057">
        <f t="shared" si="0"/>
      </c>
      <c r="CE708" s="3054"/>
      <c r="CF708" s="3054"/>
      <c r="CG708" s="3055"/>
      <c r="CH708" s="3055"/>
      <c r="CI708" s="3055"/>
      <c r="CJ708" s="3055"/>
      <c r="CK708" s="3055"/>
      <c r="CL708" s="3055"/>
      <c r="CM708" s="3055"/>
      <c r="CN708" s="3055"/>
      <c r="CO708" s="3055"/>
      <c r="CP708" s="3055"/>
      <c r="CQ708" s="3055"/>
      <c r="CR708" s="3055"/>
      <c r="CS708" s="3055"/>
      <c r="CU708" s="3054"/>
      <c r="CV708" s="696"/>
      <c r="CW708" s="696"/>
      <c r="CZ708" s="3060">
        <f t="shared" si="17"/>
      </c>
      <c r="DA708" s="3060">
        <f t="shared" si="1"/>
      </c>
      <c r="DB708" s="3060">
        <f t="shared" si="18"/>
      </c>
      <c r="DC708" s="3060">
        <f t="shared" si="19"/>
      </c>
      <c r="DD708" s="3060">
        <f t="shared" si="20"/>
      </c>
      <c r="DE708" s="3060">
        <f t="shared" si="21"/>
      </c>
      <c r="DF708" s="3060">
        <f t="shared" si="22"/>
      </c>
      <c r="DG708" s="3060">
        <f t="shared" si="23"/>
      </c>
      <c r="DH708" s="3060">
        <f t="shared" si="24"/>
      </c>
      <c r="DI708" s="3060">
        <f t="shared" si="1"/>
      </c>
    </row>
    <row r="709" ht="15" customHeight="1" s="3052" customFormat="1">
      <c r="B709" s="3054">
        <f t="shared" si="2"/>
      </c>
      <c r="C709" s="3054"/>
      <c r="D709" s="3054"/>
      <c r="E709" s="3055"/>
      <c r="F709" s="3055"/>
      <c r="G709" s="3055"/>
      <c r="H709" s="3055"/>
      <c r="I709" s="3055"/>
      <c r="J709" s="3055"/>
      <c r="K709" s="3055"/>
      <c r="L709" s="3055"/>
      <c r="M709" s="3055"/>
      <c r="N709" s="3055"/>
      <c r="O709" s="3055"/>
      <c r="P709" s="3055"/>
      <c r="Q709" s="3055"/>
      <c r="R709" s="3055">
        <f t="shared" si="3"/>
        <v>0</v>
      </c>
      <c r="S709" s="3055">
        <f t="shared" si="4"/>
        <v>0</v>
      </c>
      <c r="T709" s="3055">
        <f t="shared" si="5"/>
        <v>0</v>
      </c>
      <c r="U709" s="3055">
        <f t="shared" si="6"/>
        <v>0</v>
      </c>
      <c r="V709" s="3055">
        <f t="shared" si="7"/>
        <v>0</v>
      </c>
      <c r="W709" s="3055">
        <f t="shared" si="8"/>
        <v>0</v>
      </c>
      <c r="X709" s="3055">
        <f t="shared" si="9"/>
        <v>0</v>
      </c>
      <c r="Y709" s="3055">
        <f t="shared" si="10"/>
        <v>0</v>
      </c>
      <c r="Z709" s="3055">
        <f t="shared" si="11"/>
        <v>0</v>
      </c>
      <c r="AA709" s="3055">
        <f t="shared" si="12"/>
        <v>0</v>
      </c>
      <c r="AB709" s="3055">
        <f t="shared" si="13"/>
        <v>0</v>
      </c>
      <c r="AC709" s="3055">
        <f t="shared" si="14"/>
        <v>0</v>
      </c>
      <c r="AD709" s="3056"/>
      <c r="AE709" s="3057">
        <f t="shared" si="0"/>
      </c>
      <c r="AF709" s="3054"/>
      <c r="AG709" s="3054"/>
      <c r="AH709" s="3055"/>
      <c r="AI709" s="3055"/>
      <c r="AJ709" s="3055"/>
      <c r="AK709" s="3055"/>
      <c r="AL709" s="3055"/>
      <c r="AM709" s="3055"/>
      <c r="AN709" s="3055"/>
      <c r="AO709" s="3055"/>
      <c r="AP709" s="3055"/>
      <c r="AQ709" s="3055"/>
      <c r="AR709" s="3055"/>
      <c r="AS709" s="3055"/>
      <c r="AT709" s="3055"/>
      <c r="AU709" s="3056"/>
      <c r="AV709" s="3057">
        <f t="shared" si="15"/>
      </c>
      <c r="AW709" s="3054"/>
      <c r="AX709" s="3054"/>
      <c r="AY709" s="3055"/>
      <c r="AZ709" s="3055"/>
      <c r="BA709" s="3055"/>
      <c r="BB709" s="3055"/>
      <c r="BC709" s="3055"/>
      <c r="BD709" s="3055"/>
      <c r="BE709" s="3055"/>
      <c r="BF709" s="3055"/>
      <c r="BG709" s="3055"/>
      <c r="BH709" s="3055"/>
      <c r="BI709" s="3055"/>
      <c r="BJ709" s="3055"/>
      <c r="BK709" s="3055"/>
      <c r="BL709" s="3056"/>
      <c r="BM709" s="3057">
        <f t="shared" si="16"/>
      </c>
      <c r="BN709" s="3054"/>
      <c r="BO709" s="3054"/>
      <c r="BP709" s="3055"/>
      <c r="BQ709" s="3055"/>
      <c r="BR709" s="3055"/>
      <c r="BS709" s="3055"/>
      <c r="BT709" s="3055"/>
      <c r="BU709" s="3055"/>
      <c r="BV709" s="3055"/>
      <c r="BW709" s="3055"/>
      <c r="BX709" s="3055"/>
      <c r="BY709" s="3055"/>
      <c r="BZ709" s="3055"/>
      <c r="CA709" s="3055"/>
      <c r="CB709" s="3055"/>
      <c r="CC709" s="3056"/>
      <c r="CD709" s="3057">
        <f t="shared" si="0"/>
      </c>
      <c r="CE709" s="3054"/>
      <c r="CF709" s="3054"/>
      <c r="CG709" s="3055"/>
      <c r="CH709" s="3055"/>
      <c r="CI709" s="3055"/>
      <c r="CJ709" s="3055"/>
      <c r="CK709" s="3055"/>
      <c r="CL709" s="3055"/>
      <c r="CM709" s="3055"/>
      <c r="CN709" s="3055"/>
      <c r="CO709" s="3055"/>
      <c r="CP709" s="3055"/>
      <c r="CQ709" s="3055"/>
      <c r="CR709" s="3055"/>
      <c r="CS709" s="3055"/>
      <c r="CU709" s="3054"/>
      <c r="CV709" s="696"/>
      <c r="CW709" s="696"/>
      <c r="CZ709" s="3060">
        <f t="shared" si="17"/>
      </c>
      <c r="DA709" s="3060">
        <f t="shared" si="1"/>
      </c>
      <c r="DB709" s="3060">
        <f t="shared" si="18"/>
      </c>
      <c r="DC709" s="3060">
        <f t="shared" si="19"/>
      </c>
      <c r="DD709" s="3060">
        <f t="shared" si="20"/>
      </c>
      <c r="DE709" s="3060">
        <f t="shared" si="21"/>
      </c>
      <c r="DF709" s="3060">
        <f t="shared" si="22"/>
      </c>
      <c r="DG709" s="3060">
        <f t="shared" si="23"/>
      </c>
      <c r="DH709" s="3060">
        <f t="shared" si="24"/>
      </c>
      <c r="DI709" s="3060">
        <f t="shared" si="1"/>
      </c>
    </row>
    <row r="710" ht="15" customHeight="1" s="3052" customFormat="1">
      <c r="B710" s="3054">
        <f t="shared" si="2"/>
      </c>
      <c r="C710" s="3054"/>
      <c r="D710" s="3054"/>
      <c r="E710" s="3055"/>
      <c r="F710" s="3055"/>
      <c r="G710" s="3055"/>
      <c r="H710" s="3055"/>
      <c r="I710" s="3055"/>
      <c r="J710" s="3055"/>
      <c r="K710" s="3055"/>
      <c r="L710" s="3055"/>
      <c r="M710" s="3055"/>
      <c r="N710" s="3055"/>
      <c r="O710" s="3055"/>
      <c r="P710" s="3055"/>
      <c r="Q710" s="3055"/>
      <c r="R710" s="3055">
        <f t="shared" si="3"/>
        <v>0</v>
      </c>
      <c r="S710" s="3055">
        <f t="shared" si="4"/>
        <v>0</v>
      </c>
      <c r="T710" s="3055">
        <f t="shared" si="5"/>
        <v>0</v>
      </c>
      <c r="U710" s="3055">
        <f t="shared" si="6"/>
        <v>0</v>
      </c>
      <c r="V710" s="3055">
        <f t="shared" si="7"/>
        <v>0</v>
      </c>
      <c r="W710" s="3055">
        <f t="shared" si="8"/>
        <v>0</v>
      </c>
      <c r="X710" s="3055">
        <f t="shared" si="9"/>
        <v>0</v>
      </c>
      <c r="Y710" s="3055">
        <f t="shared" si="10"/>
        <v>0</v>
      </c>
      <c r="Z710" s="3055">
        <f t="shared" si="11"/>
        <v>0</v>
      </c>
      <c r="AA710" s="3055">
        <f t="shared" si="12"/>
        <v>0</v>
      </c>
      <c r="AB710" s="3055">
        <f t="shared" si="13"/>
        <v>0</v>
      </c>
      <c r="AC710" s="3055">
        <f t="shared" si="14"/>
        <v>0</v>
      </c>
      <c r="AD710" s="3056"/>
      <c r="AE710" s="3057">
        <f t="shared" si="0"/>
      </c>
      <c r="AF710" s="3054"/>
      <c r="AG710" s="3054"/>
      <c r="AH710" s="3055"/>
      <c r="AI710" s="3055"/>
      <c r="AJ710" s="3055"/>
      <c r="AK710" s="3055"/>
      <c r="AL710" s="3055"/>
      <c r="AM710" s="3055"/>
      <c r="AN710" s="3055"/>
      <c r="AO710" s="3055"/>
      <c r="AP710" s="3055"/>
      <c r="AQ710" s="3055"/>
      <c r="AR710" s="3055"/>
      <c r="AS710" s="3055"/>
      <c r="AT710" s="3055"/>
      <c r="AU710" s="3056"/>
      <c r="AV710" s="3057">
        <f t="shared" si="15"/>
      </c>
      <c r="AW710" s="3054"/>
      <c r="AX710" s="3054"/>
      <c r="AY710" s="3055"/>
      <c r="AZ710" s="3055"/>
      <c r="BA710" s="3055"/>
      <c r="BB710" s="3055"/>
      <c r="BC710" s="3055"/>
      <c r="BD710" s="3055"/>
      <c r="BE710" s="3055"/>
      <c r="BF710" s="3055"/>
      <c r="BG710" s="3055"/>
      <c r="BH710" s="3055"/>
      <c r="BI710" s="3055"/>
      <c r="BJ710" s="3055"/>
      <c r="BK710" s="3055"/>
      <c r="BL710" s="3056"/>
      <c r="BM710" s="3057">
        <f t="shared" si="16"/>
      </c>
      <c r="BN710" s="3054"/>
      <c r="BO710" s="3054"/>
      <c r="BP710" s="3055"/>
      <c r="BQ710" s="3055"/>
      <c r="BR710" s="3055"/>
      <c r="BS710" s="3055"/>
      <c r="BT710" s="3055"/>
      <c r="BU710" s="3055"/>
      <c r="BV710" s="3055"/>
      <c r="BW710" s="3055"/>
      <c r="BX710" s="3055"/>
      <c r="BY710" s="3055"/>
      <c r="BZ710" s="3055"/>
      <c r="CA710" s="3055"/>
      <c r="CB710" s="3055"/>
      <c r="CC710" s="3056"/>
      <c r="CD710" s="3057">
        <f t="shared" si="0"/>
      </c>
      <c r="CE710" s="3054"/>
      <c r="CF710" s="3054"/>
      <c r="CG710" s="3055"/>
      <c r="CH710" s="3055"/>
      <c r="CI710" s="3055"/>
      <c r="CJ710" s="3055"/>
      <c r="CK710" s="3055"/>
      <c r="CL710" s="3055"/>
      <c r="CM710" s="3055"/>
      <c r="CN710" s="3055"/>
      <c r="CO710" s="3055"/>
      <c r="CP710" s="3055"/>
      <c r="CQ710" s="3055"/>
      <c r="CR710" s="3055"/>
      <c r="CS710" s="3055"/>
      <c r="CU710" s="3054"/>
      <c r="CV710" s="696"/>
      <c r="CW710" s="696"/>
      <c r="CZ710" s="3060">
        <f t="shared" si="17"/>
      </c>
      <c r="DA710" s="3060">
        <f t="shared" si="1"/>
      </c>
      <c r="DB710" s="3060">
        <f t="shared" si="18"/>
      </c>
      <c r="DC710" s="3060">
        <f t="shared" si="19"/>
      </c>
      <c r="DD710" s="3060">
        <f t="shared" si="20"/>
      </c>
      <c r="DE710" s="3060">
        <f t="shared" si="21"/>
      </c>
      <c r="DF710" s="3060">
        <f t="shared" si="22"/>
      </c>
      <c r="DG710" s="3060">
        <f t="shared" si="23"/>
      </c>
      <c r="DH710" s="3060">
        <f t="shared" si="24"/>
      </c>
      <c r="DI710" s="3060">
        <f t="shared" si="1"/>
      </c>
    </row>
    <row r="711" ht="15" customHeight="1" s="3052" customFormat="1">
      <c r="B711" s="3054">
        <f t="shared" si="2"/>
      </c>
      <c r="C711" s="3054"/>
      <c r="D711" s="3054"/>
      <c r="E711" s="3055"/>
      <c r="F711" s="3055"/>
      <c r="G711" s="3055"/>
      <c r="H711" s="3055"/>
      <c r="I711" s="3055"/>
      <c r="J711" s="3055"/>
      <c r="K711" s="3055"/>
      <c r="L711" s="3055"/>
      <c r="M711" s="3055"/>
      <c r="N711" s="3055"/>
      <c r="O711" s="3055"/>
      <c r="P711" s="3055"/>
      <c r="Q711" s="3055"/>
      <c r="R711" s="3055">
        <f t="shared" si="3"/>
        <v>0</v>
      </c>
      <c r="S711" s="3055">
        <f t="shared" si="4"/>
        <v>0</v>
      </c>
      <c r="T711" s="3055">
        <f t="shared" si="5"/>
        <v>0</v>
      </c>
      <c r="U711" s="3055">
        <f t="shared" si="6"/>
        <v>0</v>
      </c>
      <c r="V711" s="3055">
        <f t="shared" si="7"/>
        <v>0</v>
      </c>
      <c r="W711" s="3055">
        <f t="shared" si="8"/>
        <v>0</v>
      </c>
      <c r="X711" s="3055">
        <f t="shared" si="9"/>
        <v>0</v>
      </c>
      <c r="Y711" s="3055">
        <f t="shared" si="10"/>
        <v>0</v>
      </c>
      <c r="Z711" s="3055">
        <f t="shared" si="11"/>
        <v>0</v>
      </c>
      <c r="AA711" s="3055">
        <f t="shared" si="12"/>
        <v>0</v>
      </c>
      <c r="AB711" s="3055">
        <f t="shared" si="13"/>
        <v>0</v>
      </c>
      <c r="AC711" s="3055">
        <f t="shared" si="14"/>
        <v>0</v>
      </c>
      <c r="AD711" s="3056"/>
      <c r="AE711" s="3057">
        <f t="shared" si="0"/>
      </c>
      <c r="AF711" s="3054"/>
      <c r="AG711" s="3054"/>
      <c r="AH711" s="3055"/>
      <c r="AI711" s="3055"/>
      <c r="AJ711" s="3055"/>
      <c r="AK711" s="3055"/>
      <c r="AL711" s="3055"/>
      <c r="AM711" s="3055"/>
      <c r="AN711" s="3055"/>
      <c r="AO711" s="3055"/>
      <c r="AP711" s="3055"/>
      <c r="AQ711" s="3055"/>
      <c r="AR711" s="3055"/>
      <c r="AS711" s="3055"/>
      <c r="AT711" s="3055"/>
      <c r="AU711" s="3056"/>
      <c r="AV711" s="3057">
        <f t="shared" si="15"/>
      </c>
      <c r="AW711" s="3054"/>
      <c r="AX711" s="3054"/>
      <c r="AY711" s="3055"/>
      <c r="AZ711" s="3055"/>
      <c r="BA711" s="3055"/>
      <c r="BB711" s="3055"/>
      <c r="BC711" s="3055"/>
      <c r="BD711" s="3055"/>
      <c r="BE711" s="3055"/>
      <c r="BF711" s="3055"/>
      <c r="BG711" s="3055"/>
      <c r="BH711" s="3055"/>
      <c r="BI711" s="3055"/>
      <c r="BJ711" s="3055"/>
      <c r="BK711" s="3055"/>
      <c r="BL711" s="3056"/>
      <c r="BM711" s="3057">
        <f t="shared" si="16"/>
      </c>
      <c r="BN711" s="3054"/>
      <c r="BO711" s="3054"/>
      <c r="BP711" s="3055"/>
      <c r="BQ711" s="3055"/>
      <c r="BR711" s="3055"/>
      <c r="BS711" s="3055"/>
      <c r="BT711" s="3055"/>
      <c r="BU711" s="3055"/>
      <c r="BV711" s="3055"/>
      <c r="BW711" s="3055"/>
      <c r="BX711" s="3055"/>
      <c r="BY711" s="3055"/>
      <c r="BZ711" s="3055"/>
      <c r="CA711" s="3055"/>
      <c r="CB711" s="3055"/>
      <c r="CC711" s="3056"/>
      <c r="CD711" s="3057">
        <f t="shared" si="0"/>
      </c>
      <c r="CE711" s="3054"/>
      <c r="CF711" s="3054"/>
      <c r="CG711" s="3055"/>
      <c r="CH711" s="3055"/>
      <c r="CI711" s="3055"/>
      <c r="CJ711" s="3055"/>
      <c r="CK711" s="3055"/>
      <c r="CL711" s="3055"/>
      <c r="CM711" s="3055"/>
      <c r="CN711" s="3055"/>
      <c r="CO711" s="3055"/>
      <c r="CP711" s="3055"/>
      <c r="CQ711" s="3055"/>
      <c r="CR711" s="3055"/>
      <c r="CS711" s="3055"/>
      <c r="CU711" s="3054"/>
      <c r="CV711" s="696"/>
      <c r="CW711" s="696"/>
      <c r="CZ711" s="3060">
        <f t="shared" si="17"/>
      </c>
      <c r="DA711" s="3060">
        <f t="shared" si="1"/>
      </c>
      <c r="DB711" s="3060">
        <f t="shared" si="18"/>
      </c>
      <c r="DC711" s="3060">
        <f t="shared" si="19"/>
      </c>
      <c r="DD711" s="3060">
        <f t="shared" si="20"/>
      </c>
      <c r="DE711" s="3060">
        <f t="shared" si="21"/>
      </c>
      <c r="DF711" s="3060">
        <f t="shared" si="22"/>
      </c>
      <c r="DG711" s="3060">
        <f t="shared" si="23"/>
      </c>
      <c r="DH711" s="3060">
        <f t="shared" si="24"/>
      </c>
      <c r="DI711" s="3060">
        <f t="shared" si="1"/>
      </c>
    </row>
    <row r="712" ht="15" customHeight="1" s="3052" customFormat="1">
      <c r="B712" s="3054">
        <f t="shared" si="2"/>
      </c>
      <c r="C712" s="3054"/>
      <c r="D712" s="3054"/>
      <c r="E712" s="3055"/>
      <c r="F712" s="3055"/>
      <c r="G712" s="3055"/>
      <c r="H712" s="3055"/>
      <c r="I712" s="3055"/>
      <c r="J712" s="3055"/>
      <c r="K712" s="3055"/>
      <c r="L712" s="3055"/>
      <c r="M712" s="3055"/>
      <c r="N712" s="3055"/>
      <c r="O712" s="3055"/>
      <c r="P712" s="3055"/>
      <c r="Q712" s="3055"/>
      <c r="R712" s="3055">
        <f t="shared" si="3"/>
        <v>0</v>
      </c>
      <c r="S712" s="3055">
        <f t="shared" si="4"/>
        <v>0</v>
      </c>
      <c r="T712" s="3055">
        <f t="shared" si="5"/>
        <v>0</v>
      </c>
      <c r="U712" s="3055">
        <f t="shared" si="6"/>
        <v>0</v>
      </c>
      <c r="V712" s="3055">
        <f t="shared" si="7"/>
        <v>0</v>
      </c>
      <c r="W712" s="3055">
        <f t="shared" si="8"/>
        <v>0</v>
      </c>
      <c r="X712" s="3055">
        <f t="shared" si="9"/>
        <v>0</v>
      </c>
      <c r="Y712" s="3055">
        <f t="shared" si="10"/>
        <v>0</v>
      </c>
      <c r="Z712" s="3055">
        <f t="shared" si="11"/>
        <v>0</v>
      </c>
      <c r="AA712" s="3055">
        <f t="shared" si="12"/>
        <v>0</v>
      </c>
      <c r="AB712" s="3055">
        <f t="shared" si="13"/>
        <v>0</v>
      </c>
      <c r="AC712" s="3055">
        <f t="shared" si="14"/>
        <v>0</v>
      </c>
      <c r="AD712" s="3056"/>
      <c r="AE712" s="3057">
        <f t="shared" si="0"/>
      </c>
      <c r="AF712" s="3054"/>
      <c r="AG712" s="3054"/>
      <c r="AH712" s="3055"/>
      <c r="AI712" s="3055"/>
      <c r="AJ712" s="3055"/>
      <c r="AK712" s="3055"/>
      <c r="AL712" s="3055"/>
      <c r="AM712" s="3055"/>
      <c r="AN712" s="3055"/>
      <c r="AO712" s="3055"/>
      <c r="AP712" s="3055"/>
      <c r="AQ712" s="3055"/>
      <c r="AR712" s="3055"/>
      <c r="AS712" s="3055"/>
      <c r="AT712" s="3055"/>
      <c r="AU712" s="3056"/>
      <c r="AV712" s="3057">
        <f t="shared" si="15"/>
      </c>
      <c r="AW712" s="3054"/>
      <c r="AX712" s="3054"/>
      <c r="AY712" s="3055"/>
      <c r="AZ712" s="3055"/>
      <c r="BA712" s="3055"/>
      <c r="BB712" s="3055"/>
      <c r="BC712" s="3055"/>
      <c r="BD712" s="3055"/>
      <c r="BE712" s="3055"/>
      <c r="BF712" s="3055"/>
      <c r="BG712" s="3055"/>
      <c r="BH712" s="3055"/>
      <c r="BI712" s="3055"/>
      <c r="BJ712" s="3055"/>
      <c r="BK712" s="3055"/>
      <c r="BL712" s="3056"/>
      <c r="BM712" s="3057">
        <f t="shared" si="16"/>
      </c>
      <c r="BN712" s="3054"/>
      <c r="BO712" s="3054"/>
      <c r="BP712" s="3055"/>
      <c r="BQ712" s="3055"/>
      <c r="BR712" s="3055"/>
      <c r="BS712" s="3055"/>
      <c r="BT712" s="3055"/>
      <c r="BU712" s="3055"/>
      <c r="BV712" s="3055"/>
      <c r="BW712" s="3055"/>
      <c r="BX712" s="3055"/>
      <c r="BY712" s="3055"/>
      <c r="BZ712" s="3055"/>
      <c r="CA712" s="3055"/>
      <c r="CB712" s="3055"/>
      <c r="CC712" s="3056"/>
      <c r="CD712" s="3057">
        <f t="shared" si="0"/>
      </c>
      <c r="CE712" s="3054"/>
      <c r="CF712" s="3054"/>
      <c r="CG712" s="3055"/>
      <c r="CH712" s="3055"/>
      <c r="CI712" s="3055"/>
      <c r="CJ712" s="3055"/>
      <c r="CK712" s="3055"/>
      <c r="CL712" s="3055"/>
      <c r="CM712" s="3055"/>
      <c r="CN712" s="3055"/>
      <c r="CO712" s="3055"/>
      <c r="CP712" s="3055"/>
      <c r="CQ712" s="3055"/>
      <c r="CR712" s="3055"/>
      <c r="CS712" s="3055"/>
      <c r="CU712" s="3054"/>
      <c r="CV712" s="696"/>
      <c r="CW712" s="696"/>
      <c r="CZ712" s="3060">
        <f t="shared" si="17"/>
      </c>
      <c r="DA712" s="3060">
        <f t="shared" si="1"/>
      </c>
      <c r="DB712" s="3060">
        <f t="shared" si="18"/>
      </c>
      <c r="DC712" s="3060">
        <f t="shared" si="19"/>
      </c>
      <c r="DD712" s="3060">
        <f t="shared" si="20"/>
      </c>
      <c r="DE712" s="3060">
        <f t="shared" si="21"/>
      </c>
      <c r="DF712" s="3060">
        <f t="shared" si="22"/>
      </c>
      <c r="DG712" s="3060">
        <f t="shared" si="23"/>
      </c>
      <c r="DH712" s="3060">
        <f t="shared" si="24"/>
      </c>
      <c r="DI712" s="3060">
        <f t="shared" si="1"/>
      </c>
    </row>
    <row r="713" ht="15" customHeight="1" s="3052" customFormat="1">
      <c r="B713" s="3054">
        <f t="shared" si="2"/>
      </c>
      <c r="C713" s="3054"/>
      <c r="D713" s="3054"/>
      <c r="E713" s="3055"/>
      <c r="F713" s="3055"/>
      <c r="G713" s="3055"/>
      <c r="H713" s="3055"/>
      <c r="I713" s="3055"/>
      <c r="J713" s="3055"/>
      <c r="K713" s="3055"/>
      <c r="L713" s="3055"/>
      <c r="M713" s="3055"/>
      <c r="N713" s="3055"/>
      <c r="O713" s="3055"/>
      <c r="P713" s="3055"/>
      <c r="Q713" s="3055"/>
      <c r="R713" s="3055">
        <f t="shared" si="3"/>
        <v>0</v>
      </c>
      <c r="S713" s="3055">
        <f t="shared" si="4"/>
        <v>0</v>
      </c>
      <c r="T713" s="3055">
        <f t="shared" si="5"/>
        <v>0</v>
      </c>
      <c r="U713" s="3055">
        <f t="shared" si="6"/>
        <v>0</v>
      </c>
      <c r="V713" s="3055">
        <f t="shared" si="7"/>
        <v>0</v>
      </c>
      <c r="W713" s="3055">
        <f t="shared" si="8"/>
        <v>0</v>
      </c>
      <c r="X713" s="3055">
        <f t="shared" si="9"/>
        <v>0</v>
      </c>
      <c r="Y713" s="3055">
        <f t="shared" si="10"/>
        <v>0</v>
      </c>
      <c r="Z713" s="3055">
        <f t="shared" si="11"/>
        <v>0</v>
      </c>
      <c r="AA713" s="3055">
        <f t="shared" si="12"/>
        <v>0</v>
      </c>
      <c r="AB713" s="3055">
        <f t="shared" si="13"/>
        <v>0</v>
      </c>
      <c r="AC713" s="3055">
        <f t="shared" si="14"/>
        <v>0</v>
      </c>
      <c r="AD713" s="3056"/>
      <c r="AE713" s="3057">
        <f t="shared" si="0"/>
      </c>
      <c r="AF713" s="3054"/>
      <c r="AG713" s="3054"/>
      <c r="AH713" s="3055"/>
      <c r="AI713" s="3055"/>
      <c r="AJ713" s="3055"/>
      <c r="AK713" s="3055"/>
      <c r="AL713" s="3055"/>
      <c r="AM713" s="3055"/>
      <c r="AN713" s="3055"/>
      <c r="AO713" s="3055"/>
      <c r="AP713" s="3055"/>
      <c r="AQ713" s="3055"/>
      <c r="AR713" s="3055"/>
      <c r="AS713" s="3055"/>
      <c r="AT713" s="3055"/>
      <c r="AU713" s="3056"/>
      <c r="AV713" s="3057">
        <f t="shared" si="15"/>
      </c>
      <c r="AW713" s="3054"/>
      <c r="AX713" s="3054"/>
      <c r="AY713" s="3055"/>
      <c r="AZ713" s="3055"/>
      <c r="BA713" s="3055"/>
      <c r="BB713" s="3055"/>
      <c r="BC713" s="3055"/>
      <c r="BD713" s="3055"/>
      <c r="BE713" s="3055"/>
      <c r="BF713" s="3055"/>
      <c r="BG713" s="3055"/>
      <c r="BH713" s="3055"/>
      <c r="BI713" s="3055"/>
      <c r="BJ713" s="3055"/>
      <c r="BK713" s="3055"/>
      <c r="BL713" s="3056"/>
      <c r="BM713" s="3057">
        <f t="shared" si="16"/>
      </c>
      <c r="BN713" s="3054"/>
      <c r="BO713" s="3054"/>
      <c r="BP713" s="3055"/>
      <c r="BQ713" s="3055"/>
      <c r="BR713" s="3055"/>
      <c r="BS713" s="3055"/>
      <c r="BT713" s="3055"/>
      <c r="BU713" s="3055"/>
      <c r="BV713" s="3055"/>
      <c r="BW713" s="3055"/>
      <c r="BX713" s="3055"/>
      <c r="BY713" s="3055"/>
      <c r="BZ713" s="3055"/>
      <c r="CA713" s="3055"/>
      <c r="CB713" s="3055"/>
      <c r="CC713" s="3056"/>
      <c r="CD713" s="3057">
        <f t="shared" si="0"/>
      </c>
      <c r="CE713" s="3054"/>
      <c r="CF713" s="3054"/>
      <c r="CG713" s="3055"/>
      <c r="CH713" s="3055"/>
      <c r="CI713" s="3055"/>
      <c r="CJ713" s="3055"/>
      <c r="CK713" s="3055"/>
      <c r="CL713" s="3055"/>
      <c r="CM713" s="3055"/>
      <c r="CN713" s="3055"/>
      <c r="CO713" s="3055"/>
      <c r="CP713" s="3055"/>
      <c r="CQ713" s="3055"/>
      <c r="CR713" s="3055"/>
      <c r="CS713" s="3055"/>
      <c r="CU713" s="3054"/>
      <c r="CV713" s="696"/>
      <c r="CW713" s="696"/>
      <c r="CZ713" s="3060">
        <f t="shared" si="17"/>
      </c>
      <c r="DA713" s="3060">
        <f t="shared" si="1"/>
      </c>
      <c r="DB713" s="3060">
        <f t="shared" si="18"/>
      </c>
      <c r="DC713" s="3060">
        <f t="shared" si="19"/>
      </c>
      <c r="DD713" s="3060">
        <f t="shared" si="20"/>
      </c>
      <c r="DE713" s="3060">
        <f t="shared" si="21"/>
      </c>
      <c r="DF713" s="3060">
        <f t="shared" si="22"/>
      </c>
      <c r="DG713" s="3060">
        <f t="shared" si="23"/>
      </c>
      <c r="DH713" s="3060">
        <f t="shared" si="24"/>
      </c>
      <c r="DI713" s="3060">
        <f t="shared" si="1"/>
      </c>
    </row>
    <row r="714" ht="15" customHeight="1" s="3052" customFormat="1">
      <c r="B714" s="3054">
        <f t="shared" si="2"/>
      </c>
      <c r="C714" s="3054"/>
      <c r="D714" s="3054"/>
      <c r="E714" s="3055"/>
      <c r="F714" s="3055"/>
      <c r="G714" s="3055"/>
      <c r="H714" s="3055"/>
      <c r="I714" s="3055"/>
      <c r="J714" s="3055"/>
      <c r="K714" s="3055"/>
      <c r="L714" s="3055"/>
      <c r="M714" s="3055"/>
      <c r="N714" s="3055"/>
      <c r="O714" s="3055"/>
      <c r="P714" s="3055"/>
      <c r="Q714" s="3055"/>
      <c r="R714" s="3055">
        <f t="shared" si="3"/>
        <v>0</v>
      </c>
      <c r="S714" s="3055">
        <f t="shared" si="4"/>
        <v>0</v>
      </c>
      <c r="T714" s="3055">
        <f t="shared" si="5"/>
        <v>0</v>
      </c>
      <c r="U714" s="3055">
        <f t="shared" si="6"/>
        <v>0</v>
      </c>
      <c r="V714" s="3055">
        <f t="shared" si="7"/>
        <v>0</v>
      </c>
      <c r="W714" s="3055">
        <f t="shared" si="8"/>
        <v>0</v>
      </c>
      <c r="X714" s="3055">
        <f t="shared" si="9"/>
        <v>0</v>
      </c>
      <c r="Y714" s="3055">
        <f t="shared" si="10"/>
        <v>0</v>
      </c>
      <c r="Z714" s="3055">
        <f t="shared" si="11"/>
        <v>0</v>
      </c>
      <c r="AA714" s="3055">
        <f t="shared" si="12"/>
        <v>0</v>
      </c>
      <c r="AB714" s="3055">
        <f t="shared" si="13"/>
        <v>0</v>
      </c>
      <c r="AC714" s="3055">
        <f t="shared" si="14"/>
        <v>0</v>
      </c>
      <c r="AD714" s="3056"/>
      <c r="AE714" s="3057">
        <f t="shared" si="0"/>
      </c>
      <c r="AF714" s="3054"/>
      <c r="AG714" s="3054"/>
      <c r="AH714" s="3055"/>
      <c r="AI714" s="3055"/>
      <c r="AJ714" s="3055"/>
      <c r="AK714" s="3055"/>
      <c r="AL714" s="3055"/>
      <c r="AM714" s="3055"/>
      <c r="AN714" s="3055"/>
      <c r="AO714" s="3055"/>
      <c r="AP714" s="3055"/>
      <c r="AQ714" s="3055"/>
      <c r="AR714" s="3055"/>
      <c r="AS714" s="3055"/>
      <c r="AT714" s="3055"/>
      <c r="AU714" s="3056"/>
      <c r="AV714" s="3057">
        <f t="shared" si="15"/>
      </c>
      <c r="AW714" s="3054"/>
      <c r="AX714" s="3054"/>
      <c r="AY714" s="3055"/>
      <c r="AZ714" s="3055"/>
      <c r="BA714" s="3055"/>
      <c r="BB714" s="3055"/>
      <c r="BC714" s="3055"/>
      <c r="BD714" s="3055"/>
      <c r="BE714" s="3055"/>
      <c r="BF714" s="3055"/>
      <c r="BG714" s="3055"/>
      <c r="BH714" s="3055"/>
      <c r="BI714" s="3055"/>
      <c r="BJ714" s="3055"/>
      <c r="BK714" s="3055"/>
      <c r="BL714" s="3056"/>
      <c r="BM714" s="3057">
        <f t="shared" si="16"/>
      </c>
      <c r="BN714" s="3054"/>
      <c r="BO714" s="3054"/>
      <c r="BP714" s="3055"/>
      <c r="BQ714" s="3055"/>
      <c r="BR714" s="3055"/>
      <c r="BS714" s="3055"/>
      <c r="BT714" s="3055"/>
      <c r="BU714" s="3055"/>
      <c r="BV714" s="3055"/>
      <c r="BW714" s="3055"/>
      <c r="BX714" s="3055"/>
      <c r="BY714" s="3055"/>
      <c r="BZ714" s="3055"/>
      <c r="CA714" s="3055"/>
      <c r="CB714" s="3055"/>
      <c r="CC714" s="3056"/>
      <c r="CD714" s="3057">
        <f t="shared" si="0"/>
      </c>
      <c r="CE714" s="3054"/>
      <c r="CF714" s="3054"/>
      <c r="CG714" s="3055"/>
      <c r="CH714" s="3055"/>
      <c r="CI714" s="3055"/>
      <c r="CJ714" s="3055"/>
      <c r="CK714" s="3055"/>
      <c r="CL714" s="3055"/>
      <c r="CM714" s="3055"/>
      <c r="CN714" s="3055"/>
      <c r="CO714" s="3055"/>
      <c r="CP714" s="3055"/>
      <c r="CQ714" s="3055"/>
      <c r="CR714" s="3055"/>
      <c r="CS714" s="3055"/>
      <c r="CU714" s="3054"/>
      <c r="CV714" s="696"/>
      <c r="CW714" s="696"/>
      <c r="CZ714" s="3060">
        <f t="shared" si="17"/>
      </c>
      <c r="DA714" s="3060">
        <f t="shared" si="1"/>
      </c>
      <c r="DB714" s="3060">
        <f t="shared" si="18"/>
      </c>
      <c r="DC714" s="3060">
        <f t="shared" si="19"/>
      </c>
      <c r="DD714" s="3060">
        <f t="shared" si="20"/>
      </c>
      <c r="DE714" s="3060">
        <f t="shared" si="21"/>
      </c>
      <c r="DF714" s="3060">
        <f t="shared" si="22"/>
      </c>
      <c r="DG714" s="3060">
        <f t="shared" si="23"/>
      </c>
      <c r="DH714" s="3060">
        <f t="shared" si="24"/>
      </c>
      <c r="DI714" s="3060">
        <f t="shared" si="1"/>
      </c>
    </row>
    <row r="715" ht="15" customHeight="1" s="3052" customFormat="1">
      <c r="B715" s="3054">
        <f t="shared" si="2"/>
      </c>
      <c r="C715" s="3054"/>
      <c r="D715" s="3054"/>
      <c r="E715" s="3055"/>
      <c r="F715" s="3055"/>
      <c r="G715" s="3055"/>
      <c r="H715" s="3055"/>
      <c r="I715" s="3055"/>
      <c r="J715" s="3055"/>
      <c r="K715" s="3055"/>
      <c r="L715" s="3055"/>
      <c r="M715" s="3055"/>
      <c r="N715" s="3055"/>
      <c r="O715" s="3055"/>
      <c r="P715" s="3055"/>
      <c r="Q715" s="3055"/>
      <c r="R715" s="3055">
        <f t="shared" si="3"/>
        <v>0</v>
      </c>
      <c r="S715" s="3055">
        <f t="shared" si="4"/>
        <v>0</v>
      </c>
      <c r="T715" s="3055">
        <f t="shared" si="5"/>
        <v>0</v>
      </c>
      <c r="U715" s="3055">
        <f t="shared" si="6"/>
        <v>0</v>
      </c>
      <c r="V715" s="3055">
        <f t="shared" si="7"/>
        <v>0</v>
      </c>
      <c r="W715" s="3055">
        <f t="shared" si="8"/>
        <v>0</v>
      </c>
      <c r="X715" s="3055">
        <f t="shared" si="9"/>
        <v>0</v>
      </c>
      <c r="Y715" s="3055">
        <f t="shared" si="10"/>
        <v>0</v>
      </c>
      <c r="Z715" s="3055">
        <f t="shared" si="11"/>
        <v>0</v>
      </c>
      <c r="AA715" s="3055">
        <f t="shared" si="12"/>
        <v>0</v>
      </c>
      <c r="AB715" s="3055">
        <f t="shared" si="13"/>
        <v>0</v>
      </c>
      <c r="AC715" s="3055">
        <f t="shared" si="14"/>
        <v>0</v>
      </c>
      <c r="AD715" s="3056"/>
      <c r="AE715" s="3057">
        <f t="shared" si="0"/>
      </c>
      <c r="AF715" s="3054"/>
      <c r="AG715" s="3054"/>
      <c r="AH715" s="3055"/>
      <c r="AI715" s="3055"/>
      <c r="AJ715" s="3055"/>
      <c r="AK715" s="3055"/>
      <c r="AL715" s="3055"/>
      <c r="AM715" s="3055"/>
      <c r="AN715" s="3055"/>
      <c r="AO715" s="3055"/>
      <c r="AP715" s="3055"/>
      <c r="AQ715" s="3055"/>
      <c r="AR715" s="3055"/>
      <c r="AS715" s="3055"/>
      <c r="AT715" s="3055"/>
      <c r="AU715" s="3056"/>
      <c r="AV715" s="3057">
        <f t="shared" si="15"/>
      </c>
      <c r="AW715" s="3054"/>
      <c r="AX715" s="3054"/>
      <c r="AY715" s="3055"/>
      <c r="AZ715" s="3055"/>
      <c r="BA715" s="3055"/>
      <c r="BB715" s="3055"/>
      <c r="BC715" s="3055"/>
      <c r="BD715" s="3055"/>
      <c r="BE715" s="3055"/>
      <c r="BF715" s="3055"/>
      <c r="BG715" s="3055"/>
      <c r="BH715" s="3055"/>
      <c r="BI715" s="3055"/>
      <c r="BJ715" s="3055"/>
      <c r="BK715" s="3055"/>
      <c r="BL715" s="3056"/>
      <c r="BM715" s="3057">
        <f t="shared" si="16"/>
      </c>
      <c r="BN715" s="3054"/>
      <c r="BO715" s="3054"/>
      <c r="BP715" s="3055"/>
      <c r="BQ715" s="3055"/>
      <c r="BR715" s="3055"/>
      <c r="BS715" s="3055"/>
      <c r="BT715" s="3055"/>
      <c r="BU715" s="3055"/>
      <c r="BV715" s="3055"/>
      <c r="BW715" s="3055"/>
      <c r="BX715" s="3055"/>
      <c r="BY715" s="3055"/>
      <c r="BZ715" s="3055"/>
      <c r="CA715" s="3055"/>
      <c r="CB715" s="3055"/>
      <c r="CC715" s="3056"/>
      <c r="CD715" s="3057">
        <f t="shared" si="0"/>
      </c>
      <c r="CE715" s="3054"/>
      <c r="CF715" s="3054"/>
      <c r="CG715" s="3055"/>
      <c r="CH715" s="3055"/>
      <c r="CI715" s="3055"/>
      <c r="CJ715" s="3055"/>
      <c r="CK715" s="3055"/>
      <c r="CL715" s="3055"/>
      <c r="CM715" s="3055"/>
      <c r="CN715" s="3055"/>
      <c r="CO715" s="3055"/>
      <c r="CP715" s="3055"/>
      <c r="CQ715" s="3055"/>
      <c r="CR715" s="3055"/>
      <c r="CS715" s="3055"/>
      <c r="CU715" s="3054"/>
      <c r="CV715" s="696"/>
      <c r="CW715" s="696"/>
      <c r="CZ715" s="3060">
        <f t="shared" si="17"/>
      </c>
      <c r="DA715" s="3060">
        <f t="shared" si="1"/>
      </c>
      <c r="DB715" s="3060">
        <f t="shared" si="18"/>
      </c>
      <c r="DC715" s="3060">
        <f t="shared" si="19"/>
      </c>
      <c r="DD715" s="3060">
        <f t="shared" si="20"/>
      </c>
      <c r="DE715" s="3060">
        <f t="shared" si="21"/>
      </c>
      <c r="DF715" s="3060">
        <f t="shared" si="22"/>
      </c>
      <c r="DG715" s="3060">
        <f t="shared" si="23"/>
      </c>
      <c r="DH715" s="3060">
        <f t="shared" si="24"/>
      </c>
      <c r="DI715" s="3060">
        <f t="shared" si="1"/>
      </c>
    </row>
    <row r="716" ht="15" customHeight="1" s="3052" customFormat="1">
      <c r="B716" s="3054">
        <f t="shared" si="2"/>
      </c>
      <c r="C716" s="3054"/>
      <c r="D716" s="3054"/>
      <c r="E716" s="3055"/>
      <c r="F716" s="3055"/>
      <c r="G716" s="3055"/>
      <c r="H716" s="3055"/>
      <c r="I716" s="3055"/>
      <c r="J716" s="3055"/>
      <c r="K716" s="3055"/>
      <c r="L716" s="3055"/>
      <c r="M716" s="3055"/>
      <c r="N716" s="3055"/>
      <c r="O716" s="3055"/>
      <c r="P716" s="3055"/>
      <c r="Q716" s="3055"/>
      <c r="R716" s="3055">
        <f t="shared" si="3"/>
        <v>0</v>
      </c>
      <c r="S716" s="3055">
        <f t="shared" si="4"/>
        <v>0</v>
      </c>
      <c r="T716" s="3055">
        <f t="shared" si="5"/>
        <v>0</v>
      </c>
      <c r="U716" s="3055">
        <f t="shared" si="6"/>
        <v>0</v>
      </c>
      <c r="V716" s="3055">
        <f t="shared" si="7"/>
        <v>0</v>
      </c>
      <c r="W716" s="3055">
        <f t="shared" si="8"/>
        <v>0</v>
      </c>
      <c r="X716" s="3055">
        <f t="shared" si="9"/>
        <v>0</v>
      </c>
      <c r="Y716" s="3055">
        <f t="shared" si="10"/>
        <v>0</v>
      </c>
      <c r="Z716" s="3055">
        <f t="shared" si="11"/>
        <v>0</v>
      </c>
      <c r="AA716" s="3055">
        <f t="shared" si="12"/>
        <v>0</v>
      </c>
      <c r="AB716" s="3055">
        <f t="shared" si="13"/>
        <v>0</v>
      </c>
      <c r="AC716" s="3055">
        <f t="shared" si="14"/>
        <v>0</v>
      </c>
      <c r="AD716" s="3056"/>
      <c r="AE716" s="3057">
        <f t="shared" si="0"/>
      </c>
      <c r="AF716" s="3054"/>
      <c r="AG716" s="3054"/>
      <c r="AH716" s="3055"/>
      <c r="AI716" s="3055"/>
      <c r="AJ716" s="3055"/>
      <c r="AK716" s="3055"/>
      <c r="AL716" s="3055"/>
      <c r="AM716" s="3055"/>
      <c r="AN716" s="3055"/>
      <c r="AO716" s="3055"/>
      <c r="AP716" s="3055"/>
      <c r="AQ716" s="3055"/>
      <c r="AR716" s="3055"/>
      <c r="AS716" s="3055"/>
      <c r="AT716" s="3055"/>
      <c r="AU716" s="3056"/>
      <c r="AV716" s="3057">
        <f t="shared" si="15"/>
      </c>
      <c r="AW716" s="3054"/>
      <c r="AX716" s="3054"/>
      <c r="AY716" s="3055"/>
      <c r="AZ716" s="3055"/>
      <c r="BA716" s="3055"/>
      <c r="BB716" s="3055"/>
      <c r="BC716" s="3055"/>
      <c r="BD716" s="3055"/>
      <c r="BE716" s="3055"/>
      <c r="BF716" s="3055"/>
      <c r="BG716" s="3055"/>
      <c r="BH716" s="3055"/>
      <c r="BI716" s="3055"/>
      <c r="BJ716" s="3055"/>
      <c r="BK716" s="3055"/>
      <c r="BL716" s="3056"/>
      <c r="BM716" s="3057">
        <f t="shared" si="16"/>
      </c>
      <c r="BN716" s="3054"/>
      <c r="BO716" s="3054"/>
      <c r="BP716" s="3055"/>
      <c r="BQ716" s="3055"/>
      <c r="BR716" s="3055"/>
      <c r="BS716" s="3055"/>
      <c r="BT716" s="3055"/>
      <c r="BU716" s="3055"/>
      <c r="BV716" s="3055"/>
      <c r="BW716" s="3055"/>
      <c r="BX716" s="3055"/>
      <c r="BY716" s="3055"/>
      <c r="BZ716" s="3055"/>
      <c r="CA716" s="3055"/>
      <c r="CB716" s="3055"/>
      <c r="CC716" s="3056"/>
      <c r="CD716" s="3057">
        <f t="shared" si="0"/>
      </c>
      <c r="CE716" s="3054"/>
      <c r="CF716" s="3054"/>
      <c r="CG716" s="3055"/>
      <c r="CH716" s="3055"/>
      <c r="CI716" s="3055"/>
      <c r="CJ716" s="3055"/>
      <c r="CK716" s="3055"/>
      <c r="CL716" s="3055"/>
      <c r="CM716" s="3055"/>
      <c r="CN716" s="3055"/>
      <c r="CO716" s="3055"/>
      <c r="CP716" s="3055"/>
      <c r="CQ716" s="3055"/>
      <c r="CR716" s="3055"/>
      <c r="CS716" s="3055"/>
      <c r="CU716" s="3054"/>
      <c r="CV716" s="696"/>
      <c r="CW716" s="696"/>
      <c r="CZ716" s="3060">
        <f t="shared" si="17"/>
      </c>
      <c r="DA716" s="3060">
        <f t="shared" si="1"/>
      </c>
      <c r="DB716" s="3060">
        <f t="shared" si="18"/>
      </c>
      <c r="DC716" s="3060">
        <f t="shared" si="19"/>
      </c>
      <c r="DD716" s="3060">
        <f t="shared" si="20"/>
      </c>
      <c r="DE716" s="3060">
        <f t="shared" si="21"/>
      </c>
      <c r="DF716" s="3060">
        <f t="shared" si="22"/>
      </c>
      <c r="DG716" s="3060">
        <f t="shared" si="23"/>
      </c>
      <c r="DH716" s="3060">
        <f t="shared" si="24"/>
      </c>
      <c r="DI716" s="3060">
        <f t="shared" si="1"/>
      </c>
    </row>
    <row r="717" ht="15" customHeight="1" s="3052" customFormat="1">
      <c r="B717" s="3054">
        <f t="shared" si="2"/>
      </c>
      <c r="C717" s="3054"/>
      <c r="D717" s="3054"/>
      <c r="E717" s="3055"/>
      <c r="F717" s="3055"/>
      <c r="G717" s="3055"/>
      <c r="H717" s="3055"/>
      <c r="I717" s="3055"/>
      <c r="J717" s="3055"/>
      <c r="K717" s="3055"/>
      <c r="L717" s="3055"/>
      <c r="M717" s="3055"/>
      <c r="N717" s="3055"/>
      <c r="O717" s="3055"/>
      <c r="P717" s="3055"/>
      <c r="Q717" s="3055"/>
      <c r="R717" s="3055">
        <f t="shared" si="3"/>
        <v>0</v>
      </c>
      <c r="S717" s="3055">
        <f t="shared" si="4"/>
        <v>0</v>
      </c>
      <c r="T717" s="3055">
        <f t="shared" si="5"/>
        <v>0</v>
      </c>
      <c r="U717" s="3055">
        <f t="shared" si="6"/>
        <v>0</v>
      </c>
      <c r="V717" s="3055">
        <f t="shared" si="7"/>
        <v>0</v>
      </c>
      <c r="W717" s="3055">
        <f t="shared" si="8"/>
        <v>0</v>
      </c>
      <c r="X717" s="3055">
        <f t="shared" si="9"/>
        <v>0</v>
      </c>
      <c r="Y717" s="3055">
        <f t="shared" si="10"/>
        <v>0</v>
      </c>
      <c r="Z717" s="3055">
        <f t="shared" si="11"/>
        <v>0</v>
      </c>
      <c r="AA717" s="3055">
        <f t="shared" si="12"/>
        <v>0</v>
      </c>
      <c r="AB717" s="3055">
        <f t="shared" si="13"/>
        <v>0</v>
      </c>
      <c r="AC717" s="3055">
        <f t="shared" si="14"/>
        <v>0</v>
      </c>
      <c r="AD717" s="3056"/>
      <c r="AE717" s="3057">
        <f t="shared" si="0"/>
      </c>
      <c r="AF717" s="3054"/>
      <c r="AG717" s="3054"/>
      <c r="AH717" s="3055"/>
      <c r="AI717" s="3055"/>
      <c r="AJ717" s="3055"/>
      <c r="AK717" s="3055"/>
      <c r="AL717" s="3055"/>
      <c r="AM717" s="3055"/>
      <c r="AN717" s="3055"/>
      <c r="AO717" s="3055"/>
      <c r="AP717" s="3055"/>
      <c r="AQ717" s="3055"/>
      <c r="AR717" s="3055"/>
      <c r="AS717" s="3055"/>
      <c r="AT717" s="3055"/>
      <c r="AU717" s="3056"/>
      <c r="AV717" s="3057">
        <f t="shared" si="15"/>
      </c>
      <c r="AW717" s="3054"/>
      <c r="AX717" s="3054"/>
      <c r="AY717" s="3055"/>
      <c r="AZ717" s="3055"/>
      <c r="BA717" s="3055"/>
      <c r="BB717" s="3055"/>
      <c r="BC717" s="3055"/>
      <c r="BD717" s="3055"/>
      <c r="BE717" s="3055"/>
      <c r="BF717" s="3055"/>
      <c r="BG717" s="3055"/>
      <c r="BH717" s="3055"/>
      <c r="BI717" s="3055"/>
      <c r="BJ717" s="3055"/>
      <c r="BK717" s="3055"/>
      <c r="BL717" s="3056"/>
      <c r="BM717" s="3057">
        <f t="shared" si="16"/>
      </c>
      <c r="BN717" s="3054"/>
      <c r="BO717" s="3054"/>
      <c r="BP717" s="3055"/>
      <c r="BQ717" s="3055"/>
      <c r="BR717" s="3055"/>
      <c r="BS717" s="3055"/>
      <c r="BT717" s="3055"/>
      <c r="BU717" s="3055"/>
      <c r="BV717" s="3055"/>
      <c r="BW717" s="3055"/>
      <c r="BX717" s="3055"/>
      <c r="BY717" s="3055"/>
      <c r="BZ717" s="3055"/>
      <c r="CA717" s="3055"/>
      <c r="CB717" s="3055"/>
      <c r="CC717" s="3056"/>
      <c r="CD717" s="3057">
        <f t="shared" si="0"/>
      </c>
      <c r="CE717" s="3054"/>
      <c r="CF717" s="3054"/>
      <c r="CG717" s="3055"/>
      <c r="CH717" s="3055"/>
      <c r="CI717" s="3055"/>
      <c r="CJ717" s="3055"/>
      <c r="CK717" s="3055"/>
      <c r="CL717" s="3055"/>
      <c r="CM717" s="3055"/>
      <c r="CN717" s="3055"/>
      <c r="CO717" s="3055"/>
      <c r="CP717" s="3055"/>
      <c r="CQ717" s="3055"/>
      <c r="CR717" s="3055"/>
      <c r="CS717" s="3055"/>
      <c r="CU717" s="3054"/>
      <c r="CV717" s="696"/>
      <c r="CW717" s="696"/>
      <c r="CZ717" s="3060">
        <f t="shared" si="17"/>
      </c>
      <c r="DA717" s="3060">
        <f t="shared" si="1"/>
      </c>
      <c r="DB717" s="3060">
        <f t="shared" si="18"/>
      </c>
      <c r="DC717" s="3060">
        <f t="shared" si="19"/>
      </c>
      <c r="DD717" s="3060">
        <f t="shared" si="20"/>
      </c>
      <c r="DE717" s="3060">
        <f t="shared" si="21"/>
      </c>
      <c r="DF717" s="3060">
        <f t="shared" si="22"/>
      </c>
      <c r="DG717" s="3060">
        <f t="shared" si="23"/>
      </c>
      <c r="DH717" s="3060">
        <f t="shared" si="24"/>
      </c>
      <c r="DI717" s="3060">
        <f t="shared" si="1"/>
      </c>
    </row>
    <row r="718" ht="15" customHeight="1" s="3052" customFormat="1">
      <c r="B718" s="3054">
        <f t="shared" si="2"/>
      </c>
      <c r="C718" s="3054"/>
      <c r="D718" s="3054"/>
      <c r="E718" s="3055"/>
      <c r="F718" s="3055"/>
      <c r="G718" s="3055"/>
      <c r="H718" s="3055"/>
      <c r="I718" s="3055"/>
      <c r="J718" s="3055"/>
      <c r="K718" s="3055"/>
      <c r="L718" s="3055"/>
      <c r="M718" s="3055"/>
      <c r="N718" s="3055"/>
      <c r="O718" s="3055"/>
      <c r="P718" s="3055"/>
      <c r="Q718" s="3055"/>
      <c r="R718" s="3055">
        <f t="shared" si="3"/>
        <v>0</v>
      </c>
      <c r="S718" s="3055">
        <f t="shared" si="4"/>
        <v>0</v>
      </c>
      <c r="T718" s="3055">
        <f t="shared" si="5"/>
        <v>0</v>
      </c>
      <c r="U718" s="3055">
        <f t="shared" si="6"/>
        <v>0</v>
      </c>
      <c r="V718" s="3055">
        <f t="shared" si="7"/>
        <v>0</v>
      </c>
      <c r="W718" s="3055">
        <f t="shared" si="8"/>
        <v>0</v>
      </c>
      <c r="X718" s="3055">
        <f t="shared" si="9"/>
        <v>0</v>
      </c>
      <c r="Y718" s="3055">
        <f t="shared" si="10"/>
        <v>0</v>
      </c>
      <c r="Z718" s="3055">
        <f t="shared" si="11"/>
        <v>0</v>
      </c>
      <c r="AA718" s="3055">
        <f t="shared" si="12"/>
        <v>0</v>
      </c>
      <c r="AB718" s="3055">
        <f t="shared" si="13"/>
        <v>0</v>
      </c>
      <c r="AC718" s="3055">
        <f t="shared" si="14"/>
        <v>0</v>
      </c>
      <c r="AD718" s="3056"/>
      <c r="AE718" s="3057">
        <f t="shared" si="0"/>
      </c>
      <c r="AF718" s="3054"/>
      <c r="AG718" s="3054"/>
      <c r="AH718" s="3055"/>
      <c r="AI718" s="3055"/>
      <c r="AJ718" s="3055"/>
      <c r="AK718" s="3055"/>
      <c r="AL718" s="3055"/>
      <c r="AM718" s="3055"/>
      <c r="AN718" s="3055"/>
      <c r="AO718" s="3055"/>
      <c r="AP718" s="3055"/>
      <c r="AQ718" s="3055"/>
      <c r="AR718" s="3055"/>
      <c r="AS718" s="3055"/>
      <c r="AT718" s="3055"/>
      <c r="AU718" s="3056"/>
      <c r="AV718" s="3057">
        <f t="shared" si="15"/>
      </c>
      <c r="AW718" s="3054"/>
      <c r="AX718" s="3054"/>
      <c r="AY718" s="3055"/>
      <c r="AZ718" s="3055"/>
      <c r="BA718" s="3055"/>
      <c r="BB718" s="3055"/>
      <c r="BC718" s="3055"/>
      <c r="BD718" s="3055"/>
      <c r="BE718" s="3055"/>
      <c r="BF718" s="3055"/>
      <c r="BG718" s="3055"/>
      <c r="BH718" s="3055"/>
      <c r="BI718" s="3055"/>
      <c r="BJ718" s="3055"/>
      <c r="BK718" s="3055"/>
      <c r="BL718" s="3056"/>
      <c r="BM718" s="3057">
        <f t="shared" si="16"/>
      </c>
      <c r="BN718" s="3054"/>
      <c r="BO718" s="3054"/>
      <c r="BP718" s="3055"/>
      <c r="BQ718" s="3055"/>
      <c r="BR718" s="3055"/>
      <c r="BS718" s="3055"/>
      <c r="BT718" s="3055"/>
      <c r="BU718" s="3055"/>
      <c r="BV718" s="3055"/>
      <c r="BW718" s="3055"/>
      <c r="BX718" s="3055"/>
      <c r="BY718" s="3055"/>
      <c r="BZ718" s="3055"/>
      <c r="CA718" s="3055"/>
      <c r="CB718" s="3055"/>
      <c r="CC718" s="3056"/>
      <c r="CD718" s="3057">
        <f t="shared" si="0"/>
      </c>
      <c r="CE718" s="3054"/>
      <c r="CF718" s="3054"/>
      <c r="CG718" s="3055"/>
      <c r="CH718" s="3055"/>
      <c r="CI718" s="3055"/>
      <c r="CJ718" s="3055"/>
      <c r="CK718" s="3055"/>
      <c r="CL718" s="3055"/>
      <c r="CM718" s="3055"/>
      <c r="CN718" s="3055"/>
      <c r="CO718" s="3055"/>
      <c r="CP718" s="3055"/>
      <c r="CQ718" s="3055"/>
      <c r="CR718" s="3055"/>
      <c r="CS718" s="3055"/>
      <c r="CU718" s="3054"/>
      <c r="CV718" s="696"/>
      <c r="CW718" s="696"/>
      <c r="CZ718" s="3060">
        <f t="shared" si="17"/>
      </c>
      <c r="DA718" s="3060">
        <f t="shared" si="1"/>
      </c>
      <c r="DB718" s="3060">
        <f t="shared" si="18"/>
      </c>
      <c r="DC718" s="3060">
        <f t="shared" si="19"/>
      </c>
      <c r="DD718" s="3060">
        <f t="shared" si="20"/>
      </c>
      <c r="DE718" s="3060">
        <f t="shared" si="21"/>
      </c>
      <c r="DF718" s="3060">
        <f t="shared" si="22"/>
      </c>
      <c r="DG718" s="3060">
        <f t="shared" si="23"/>
      </c>
      <c r="DH718" s="3060">
        <f t="shared" si="24"/>
      </c>
      <c r="DI718" s="3060">
        <f t="shared" si="1"/>
      </c>
    </row>
    <row r="719" ht="15" customHeight="1" s="3052" customFormat="1">
      <c r="B719" s="3054">
        <f t="shared" si="2"/>
      </c>
      <c r="C719" s="3054"/>
      <c r="D719" s="3054"/>
      <c r="E719" s="3055"/>
      <c r="F719" s="3055"/>
      <c r="G719" s="3055"/>
      <c r="H719" s="3055"/>
      <c r="I719" s="3055"/>
      <c r="J719" s="3055"/>
      <c r="K719" s="3055"/>
      <c r="L719" s="3055"/>
      <c r="M719" s="3055"/>
      <c r="N719" s="3055"/>
      <c r="O719" s="3055"/>
      <c r="P719" s="3055"/>
      <c r="Q719" s="3055"/>
      <c r="R719" s="3055">
        <f t="shared" si="3"/>
        <v>0</v>
      </c>
      <c r="S719" s="3055">
        <f t="shared" si="4"/>
        <v>0</v>
      </c>
      <c r="T719" s="3055">
        <f t="shared" si="5"/>
        <v>0</v>
      </c>
      <c r="U719" s="3055">
        <f t="shared" si="6"/>
        <v>0</v>
      </c>
      <c r="V719" s="3055">
        <f t="shared" si="7"/>
        <v>0</v>
      </c>
      <c r="W719" s="3055">
        <f t="shared" si="8"/>
        <v>0</v>
      </c>
      <c r="X719" s="3055">
        <f t="shared" si="9"/>
        <v>0</v>
      </c>
      <c r="Y719" s="3055">
        <f t="shared" si="10"/>
        <v>0</v>
      </c>
      <c r="Z719" s="3055">
        <f t="shared" si="11"/>
        <v>0</v>
      </c>
      <c r="AA719" s="3055">
        <f t="shared" si="12"/>
        <v>0</v>
      </c>
      <c r="AB719" s="3055">
        <f t="shared" si="13"/>
        <v>0</v>
      </c>
      <c r="AC719" s="3055">
        <f t="shared" si="14"/>
        <v>0</v>
      </c>
      <c r="AD719" s="3056"/>
      <c r="AE719" s="3057">
        <f t="shared" si="0"/>
      </c>
      <c r="AF719" s="3054"/>
      <c r="AG719" s="3054"/>
      <c r="AH719" s="3055"/>
      <c r="AI719" s="3055"/>
      <c r="AJ719" s="3055"/>
      <c r="AK719" s="3055"/>
      <c r="AL719" s="3055"/>
      <c r="AM719" s="3055"/>
      <c r="AN719" s="3055"/>
      <c r="AO719" s="3055"/>
      <c r="AP719" s="3055"/>
      <c r="AQ719" s="3055"/>
      <c r="AR719" s="3055"/>
      <c r="AS719" s="3055"/>
      <c r="AT719" s="3055"/>
      <c r="AU719" s="3056"/>
      <c r="AV719" s="3057">
        <f t="shared" si="15"/>
      </c>
      <c r="AW719" s="3054"/>
      <c r="AX719" s="3054"/>
      <c r="AY719" s="3055"/>
      <c r="AZ719" s="3055"/>
      <c r="BA719" s="3055"/>
      <c r="BB719" s="3055"/>
      <c r="BC719" s="3055"/>
      <c r="BD719" s="3055"/>
      <c r="BE719" s="3055"/>
      <c r="BF719" s="3055"/>
      <c r="BG719" s="3055"/>
      <c r="BH719" s="3055"/>
      <c r="BI719" s="3055"/>
      <c r="BJ719" s="3055"/>
      <c r="BK719" s="3055"/>
      <c r="BL719" s="3056"/>
      <c r="BM719" s="3057">
        <f t="shared" si="16"/>
      </c>
      <c r="BN719" s="3054"/>
      <c r="BO719" s="3054"/>
      <c r="BP719" s="3055"/>
      <c r="BQ719" s="3055"/>
      <c r="BR719" s="3055"/>
      <c r="BS719" s="3055"/>
      <c r="BT719" s="3055"/>
      <c r="BU719" s="3055"/>
      <c r="BV719" s="3055"/>
      <c r="BW719" s="3055"/>
      <c r="BX719" s="3055"/>
      <c r="BY719" s="3055"/>
      <c r="BZ719" s="3055"/>
      <c r="CA719" s="3055"/>
      <c r="CB719" s="3055"/>
      <c r="CC719" s="3056"/>
      <c r="CD719" s="3057">
        <f t="shared" si="0"/>
      </c>
      <c r="CE719" s="3054"/>
      <c r="CF719" s="3054"/>
      <c r="CG719" s="3055"/>
      <c r="CH719" s="3055"/>
      <c r="CI719" s="3055"/>
      <c r="CJ719" s="3055"/>
      <c r="CK719" s="3055"/>
      <c r="CL719" s="3055"/>
      <c r="CM719" s="3055"/>
      <c r="CN719" s="3055"/>
      <c r="CO719" s="3055"/>
      <c r="CP719" s="3055"/>
      <c r="CQ719" s="3055"/>
      <c r="CR719" s="3055"/>
      <c r="CS719" s="3055"/>
      <c r="CU719" s="3054"/>
      <c r="CV719" s="696"/>
      <c r="CW719" s="696"/>
      <c r="CZ719" s="3060">
        <f t="shared" si="17"/>
      </c>
      <c r="DA719" s="3060">
        <f t="shared" si="1"/>
      </c>
      <c r="DB719" s="3060">
        <f t="shared" si="18"/>
      </c>
      <c r="DC719" s="3060">
        <f t="shared" si="19"/>
      </c>
      <c r="DD719" s="3060">
        <f t="shared" si="20"/>
      </c>
      <c r="DE719" s="3060">
        <f t="shared" si="21"/>
      </c>
      <c r="DF719" s="3060">
        <f t="shared" si="22"/>
      </c>
      <c r="DG719" s="3060">
        <f t="shared" si="23"/>
      </c>
      <c r="DH719" s="3060">
        <f t="shared" si="24"/>
      </c>
      <c r="DI719" s="3060">
        <f t="shared" si="1"/>
      </c>
    </row>
    <row r="720" ht="15" customHeight="1" s="3052" customFormat="1">
      <c r="B720" s="3054">
        <f t="shared" si="2"/>
      </c>
      <c r="C720" s="3054"/>
      <c r="D720" s="3054"/>
      <c r="E720" s="3055"/>
      <c r="F720" s="3055"/>
      <c r="G720" s="3055"/>
      <c r="H720" s="3055"/>
      <c r="I720" s="3055"/>
      <c r="J720" s="3055"/>
      <c r="K720" s="3055"/>
      <c r="L720" s="3055"/>
      <c r="M720" s="3055"/>
      <c r="N720" s="3055"/>
      <c r="O720" s="3055"/>
      <c r="P720" s="3055"/>
      <c r="Q720" s="3055"/>
      <c r="R720" s="3055">
        <f t="shared" si="3"/>
        <v>0</v>
      </c>
      <c r="S720" s="3055">
        <f t="shared" si="4"/>
        <v>0</v>
      </c>
      <c r="T720" s="3055">
        <f t="shared" si="5"/>
        <v>0</v>
      </c>
      <c r="U720" s="3055">
        <f t="shared" si="6"/>
        <v>0</v>
      </c>
      <c r="V720" s="3055">
        <f t="shared" si="7"/>
        <v>0</v>
      </c>
      <c r="W720" s="3055">
        <f t="shared" si="8"/>
        <v>0</v>
      </c>
      <c r="X720" s="3055">
        <f t="shared" si="9"/>
        <v>0</v>
      </c>
      <c r="Y720" s="3055">
        <f t="shared" si="10"/>
        <v>0</v>
      </c>
      <c r="Z720" s="3055">
        <f t="shared" si="11"/>
        <v>0</v>
      </c>
      <c r="AA720" s="3055">
        <f t="shared" si="12"/>
        <v>0</v>
      </c>
      <c r="AB720" s="3055">
        <f t="shared" si="13"/>
        <v>0</v>
      </c>
      <c r="AC720" s="3055">
        <f t="shared" si="14"/>
        <v>0</v>
      </c>
      <c r="AD720" s="3056"/>
      <c r="AE720" s="3057">
        <f t="shared" si="0"/>
      </c>
      <c r="AF720" s="3054"/>
      <c r="AG720" s="3054"/>
      <c r="AH720" s="3055"/>
      <c r="AI720" s="3055"/>
      <c r="AJ720" s="3055"/>
      <c r="AK720" s="3055"/>
      <c r="AL720" s="3055"/>
      <c r="AM720" s="3055"/>
      <c r="AN720" s="3055"/>
      <c r="AO720" s="3055"/>
      <c r="AP720" s="3055"/>
      <c r="AQ720" s="3055"/>
      <c r="AR720" s="3055"/>
      <c r="AS720" s="3055"/>
      <c r="AT720" s="3055"/>
      <c r="AU720" s="3056"/>
      <c r="AV720" s="3057">
        <f t="shared" si="15"/>
      </c>
      <c r="AW720" s="3054"/>
      <c r="AX720" s="3054"/>
      <c r="AY720" s="3055"/>
      <c r="AZ720" s="3055"/>
      <c r="BA720" s="3055"/>
      <c r="BB720" s="3055"/>
      <c r="BC720" s="3055"/>
      <c r="BD720" s="3055"/>
      <c r="BE720" s="3055"/>
      <c r="BF720" s="3055"/>
      <c r="BG720" s="3055"/>
      <c r="BH720" s="3055"/>
      <c r="BI720" s="3055"/>
      <c r="BJ720" s="3055"/>
      <c r="BK720" s="3055"/>
      <c r="BL720" s="3056"/>
      <c r="BM720" s="3057">
        <f t="shared" si="16"/>
      </c>
      <c r="BN720" s="3054"/>
      <c r="BO720" s="3054"/>
      <c r="BP720" s="3055"/>
      <c r="BQ720" s="3055"/>
      <c r="BR720" s="3055"/>
      <c r="BS720" s="3055"/>
      <c r="BT720" s="3055"/>
      <c r="BU720" s="3055"/>
      <c r="BV720" s="3055"/>
      <c r="BW720" s="3055"/>
      <c r="BX720" s="3055"/>
      <c r="BY720" s="3055"/>
      <c r="BZ720" s="3055"/>
      <c r="CA720" s="3055"/>
      <c r="CB720" s="3055"/>
      <c r="CC720" s="3056"/>
      <c r="CD720" s="3057">
        <f t="shared" si="0"/>
      </c>
      <c r="CE720" s="3054"/>
      <c r="CF720" s="3054"/>
      <c r="CG720" s="3055"/>
      <c r="CH720" s="3055"/>
      <c r="CI720" s="3055"/>
      <c r="CJ720" s="3055"/>
      <c r="CK720" s="3055"/>
      <c r="CL720" s="3055"/>
      <c r="CM720" s="3055"/>
      <c r="CN720" s="3055"/>
      <c r="CO720" s="3055"/>
      <c r="CP720" s="3055"/>
      <c r="CQ720" s="3055"/>
      <c r="CR720" s="3055"/>
      <c r="CS720" s="3055"/>
      <c r="CU720" s="3054"/>
      <c r="CV720" s="696"/>
      <c r="CW720" s="696"/>
      <c r="CZ720" s="3060">
        <f t="shared" si="17"/>
      </c>
      <c r="DA720" s="3060">
        <f t="shared" si="1"/>
      </c>
      <c r="DB720" s="3060">
        <f t="shared" si="18"/>
      </c>
      <c r="DC720" s="3060">
        <f t="shared" si="19"/>
      </c>
      <c r="DD720" s="3060">
        <f t="shared" si="20"/>
      </c>
      <c r="DE720" s="3060">
        <f t="shared" si="21"/>
      </c>
      <c r="DF720" s="3060">
        <f t="shared" si="22"/>
      </c>
      <c r="DG720" s="3060">
        <f t="shared" si="23"/>
      </c>
      <c r="DH720" s="3060">
        <f t="shared" si="24"/>
      </c>
      <c r="DI720" s="3060">
        <f t="shared" si="1"/>
      </c>
    </row>
    <row r="721" ht="15" customHeight="1" s="3052" customFormat="1">
      <c r="B721" s="3054">
        <f t="shared" si="2"/>
      </c>
      <c r="C721" s="3054"/>
      <c r="D721" s="3054"/>
      <c r="E721" s="3055"/>
      <c r="F721" s="3055"/>
      <c r="G721" s="3055"/>
      <c r="H721" s="3055"/>
      <c r="I721" s="3055"/>
      <c r="J721" s="3055"/>
      <c r="K721" s="3055"/>
      <c r="L721" s="3055"/>
      <c r="M721" s="3055"/>
      <c r="N721" s="3055"/>
      <c r="O721" s="3055"/>
      <c r="P721" s="3055"/>
      <c r="Q721" s="3055"/>
      <c r="R721" s="3055">
        <f t="shared" si="3"/>
        <v>0</v>
      </c>
      <c r="S721" s="3055">
        <f t="shared" si="4"/>
        <v>0</v>
      </c>
      <c r="T721" s="3055">
        <f t="shared" si="5"/>
        <v>0</v>
      </c>
      <c r="U721" s="3055">
        <f t="shared" si="6"/>
        <v>0</v>
      </c>
      <c r="V721" s="3055">
        <f t="shared" si="7"/>
        <v>0</v>
      </c>
      <c r="W721" s="3055">
        <f t="shared" si="8"/>
        <v>0</v>
      </c>
      <c r="X721" s="3055">
        <f t="shared" si="9"/>
        <v>0</v>
      </c>
      <c r="Y721" s="3055">
        <f t="shared" si="10"/>
        <v>0</v>
      </c>
      <c r="Z721" s="3055">
        <f t="shared" si="11"/>
        <v>0</v>
      </c>
      <c r="AA721" s="3055">
        <f t="shared" si="12"/>
        <v>0</v>
      </c>
      <c r="AB721" s="3055">
        <f t="shared" si="13"/>
        <v>0</v>
      </c>
      <c r="AC721" s="3055">
        <f t="shared" si="14"/>
        <v>0</v>
      </c>
      <c r="AD721" s="3056"/>
      <c r="AE721" s="3057">
        <f t="shared" si="0"/>
      </c>
      <c r="AF721" s="3054"/>
      <c r="AG721" s="3054"/>
      <c r="AH721" s="3055"/>
      <c r="AI721" s="3055"/>
      <c r="AJ721" s="3055"/>
      <c r="AK721" s="3055"/>
      <c r="AL721" s="3055"/>
      <c r="AM721" s="3055"/>
      <c r="AN721" s="3055"/>
      <c r="AO721" s="3055"/>
      <c r="AP721" s="3055"/>
      <c r="AQ721" s="3055"/>
      <c r="AR721" s="3055"/>
      <c r="AS721" s="3055"/>
      <c r="AT721" s="3055"/>
      <c r="AU721" s="3056"/>
      <c r="AV721" s="3057">
        <f t="shared" si="15"/>
      </c>
      <c r="AW721" s="3054"/>
      <c r="AX721" s="3054"/>
      <c r="AY721" s="3055"/>
      <c r="AZ721" s="3055"/>
      <c r="BA721" s="3055"/>
      <c r="BB721" s="3055"/>
      <c r="BC721" s="3055"/>
      <c r="BD721" s="3055"/>
      <c r="BE721" s="3055"/>
      <c r="BF721" s="3055"/>
      <c r="BG721" s="3055"/>
      <c r="BH721" s="3055"/>
      <c r="BI721" s="3055"/>
      <c r="BJ721" s="3055"/>
      <c r="BK721" s="3055"/>
      <c r="BL721" s="3056"/>
      <c r="BM721" s="3057">
        <f t="shared" si="16"/>
      </c>
      <c r="BN721" s="3054"/>
      <c r="BO721" s="3054"/>
      <c r="BP721" s="3055"/>
      <c r="BQ721" s="3055"/>
      <c r="BR721" s="3055"/>
      <c r="BS721" s="3055"/>
      <c r="BT721" s="3055"/>
      <c r="BU721" s="3055"/>
      <c r="BV721" s="3055"/>
      <c r="BW721" s="3055"/>
      <c r="BX721" s="3055"/>
      <c r="BY721" s="3055"/>
      <c r="BZ721" s="3055"/>
      <c r="CA721" s="3055"/>
      <c r="CB721" s="3055"/>
      <c r="CC721" s="3056"/>
      <c r="CD721" s="3057">
        <f t="shared" si="0"/>
      </c>
      <c r="CE721" s="3054"/>
      <c r="CF721" s="3054"/>
      <c r="CG721" s="3055"/>
      <c r="CH721" s="3055"/>
      <c r="CI721" s="3055"/>
      <c r="CJ721" s="3055"/>
      <c r="CK721" s="3055"/>
      <c r="CL721" s="3055"/>
      <c r="CM721" s="3055"/>
      <c r="CN721" s="3055"/>
      <c r="CO721" s="3055"/>
      <c r="CP721" s="3055"/>
      <c r="CQ721" s="3055"/>
      <c r="CR721" s="3055"/>
      <c r="CS721" s="3055"/>
      <c r="CU721" s="3054"/>
      <c r="CV721" s="696"/>
      <c r="CW721" s="696"/>
      <c r="CZ721" s="3060">
        <f t="shared" si="17"/>
      </c>
      <c r="DA721" s="3060">
        <f t="shared" si="1"/>
      </c>
      <c r="DB721" s="3060">
        <f t="shared" si="18"/>
      </c>
      <c r="DC721" s="3060">
        <f t="shared" si="19"/>
      </c>
      <c r="DD721" s="3060">
        <f t="shared" si="20"/>
      </c>
      <c r="DE721" s="3060">
        <f t="shared" si="21"/>
      </c>
      <c r="DF721" s="3060">
        <f t="shared" si="22"/>
      </c>
      <c r="DG721" s="3060">
        <f t="shared" si="23"/>
      </c>
      <c r="DH721" s="3060">
        <f t="shared" si="24"/>
      </c>
      <c r="DI721" s="3060">
        <f t="shared" si="1"/>
      </c>
    </row>
    <row r="722" ht="15" customHeight="1" s="3052" customFormat="1">
      <c r="B722" s="3054">
        <f t="shared" si="2"/>
      </c>
      <c r="C722" s="3054"/>
      <c r="D722" s="3054"/>
      <c r="E722" s="3055"/>
      <c r="F722" s="3055"/>
      <c r="G722" s="3055"/>
      <c r="H722" s="3055"/>
      <c r="I722" s="3055"/>
      <c r="J722" s="3055"/>
      <c r="K722" s="3055"/>
      <c r="L722" s="3055"/>
      <c r="M722" s="3055"/>
      <c r="N722" s="3055"/>
      <c r="O722" s="3055"/>
      <c r="P722" s="3055"/>
      <c r="Q722" s="3055"/>
      <c r="R722" s="3055">
        <f t="shared" si="3"/>
        <v>0</v>
      </c>
      <c r="S722" s="3055">
        <f t="shared" si="4"/>
        <v>0</v>
      </c>
      <c r="T722" s="3055">
        <f t="shared" si="5"/>
        <v>0</v>
      </c>
      <c r="U722" s="3055">
        <f t="shared" si="6"/>
        <v>0</v>
      </c>
      <c r="V722" s="3055">
        <f t="shared" si="7"/>
        <v>0</v>
      </c>
      <c r="W722" s="3055">
        <f t="shared" si="8"/>
        <v>0</v>
      </c>
      <c r="X722" s="3055">
        <f t="shared" si="9"/>
        <v>0</v>
      </c>
      <c r="Y722" s="3055">
        <f t="shared" si="10"/>
        <v>0</v>
      </c>
      <c r="Z722" s="3055">
        <f t="shared" si="11"/>
        <v>0</v>
      </c>
      <c r="AA722" s="3055">
        <f t="shared" si="12"/>
        <v>0</v>
      </c>
      <c r="AB722" s="3055">
        <f t="shared" si="13"/>
        <v>0</v>
      </c>
      <c r="AC722" s="3055">
        <f t="shared" si="14"/>
        <v>0</v>
      </c>
      <c r="AD722" s="3056"/>
      <c r="AE722" s="3057">
        <f t="shared" si="0"/>
      </c>
      <c r="AF722" s="3054"/>
      <c r="AG722" s="3054"/>
      <c r="AH722" s="3055"/>
      <c r="AI722" s="3055"/>
      <c r="AJ722" s="3055"/>
      <c r="AK722" s="3055"/>
      <c r="AL722" s="3055"/>
      <c r="AM722" s="3055"/>
      <c r="AN722" s="3055"/>
      <c r="AO722" s="3055"/>
      <c r="AP722" s="3055"/>
      <c r="AQ722" s="3055"/>
      <c r="AR722" s="3055"/>
      <c r="AS722" s="3055"/>
      <c r="AT722" s="3055"/>
      <c r="AU722" s="3056"/>
      <c r="AV722" s="3057">
        <f t="shared" si="15"/>
      </c>
      <c r="AW722" s="3054"/>
      <c r="AX722" s="3054"/>
      <c r="AY722" s="3055"/>
      <c r="AZ722" s="3055"/>
      <c r="BA722" s="3055"/>
      <c r="BB722" s="3055"/>
      <c r="BC722" s="3055"/>
      <c r="BD722" s="3055"/>
      <c r="BE722" s="3055"/>
      <c r="BF722" s="3055"/>
      <c r="BG722" s="3055"/>
      <c r="BH722" s="3055"/>
      <c r="BI722" s="3055"/>
      <c r="BJ722" s="3055"/>
      <c r="BK722" s="3055"/>
      <c r="BL722" s="3056"/>
      <c r="BM722" s="3057">
        <f t="shared" si="16"/>
      </c>
      <c r="BN722" s="3054"/>
      <c r="BO722" s="3054"/>
      <c r="BP722" s="3055"/>
      <c r="BQ722" s="3055"/>
      <c r="BR722" s="3055"/>
      <c r="BS722" s="3055"/>
      <c r="BT722" s="3055"/>
      <c r="BU722" s="3055"/>
      <c r="BV722" s="3055"/>
      <c r="BW722" s="3055"/>
      <c r="BX722" s="3055"/>
      <c r="BY722" s="3055"/>
      <c r="BZ722" s="3055"/>
      <c r="CA722" s="3055"/>
      <c r="CB722" s="3055"/>
      <c r="CC722" s="3056"/>
      <c r="CD722" s="3057">
        <f t="shared" si="0"/>
      </c>
      <c r="CE722" s="3054"/>
      <c r="CF722" s="3054"/>
      <c r="CG722" s="3055"/>
      <c r="CH722" s="3055"/>
      <c r="CI722" s="3055"/>
      <c r="CJ722" s="3055"/>
      <c r="CK722" s="3055"/>
      <c r="CL722" s="3055"/>
      <c r="CM722" s="3055"/>
      <c r="CN722" s="3055"/>
      <c r="CO722" s="3055"/>
      <c r="CP722" s="3055"/>
      <c r="CQ722" s="3055"/>
      <c r="CR722" s="3055"/>
      <c r="CS722" s="3055"/>
      <c r="CU722" s="3054"/>
      <c r="CV722" s="696"/>
      <c r="CW722" s="696"/>
      <c r="CZ722" s="3060">
        <f t="shared" si="17"/>
      </c>
      <c r="DA722" s="3060">
        <f t="shared" si="1"/>
      </c>
      <c r="DB722" s="3060">
        <f t="shared" si="18"/>
      </c>
      <c r="DC722" s="3060">
        <f t="shared" si="19"/>
      </c>
      <c r="DD722" s="3060">
        <f t="shared" si="20"/>
      </c>
      <c r="DE722" s="3060">
        <f t="shared" si="21"/>
      </c>
      <c r="DF722" s="3060">
        <f t="shared" si="22"/>
      </c>
      <c r="DG722" s="3060">
        <f t="shared" si="23"/>
      </c>
      <c r="DH722" s="3060">
        <f t="shared" si="24"/>
      </c>
      <c r="DI722" s="3060">
        <f t="shared" si="1"/>
      </c>
    </row>
    <row r="723" ht="15" customHeight="1" s="3052" customFormat="1">
      <c r="B723" s="3054">
        <f t="shared" si="2"/>
      </c>
      <c r="C723" s="3054"/>
      <c r="D723" s="3054"/>
      <c r="E723" s="3055"/>
      <c r="F723" s="3055"/>
      <c r="G723" s="3055"/>
      <c r="H723" s="3055"/>
      <c r="I723" s="3055"/>
      <c r="J723" s="3055"/>
      <c r="K723" s="3055"/>
      <c r="L723" s="3055"/>
      <c r="M723" s="3055"/>
      <c r="N723" s="3055"/>
      <c r="O723" s="3055"/>
      <c r="P723" s="3055"/>
      <c r="Q723" s="3055"/>
      <c r="R723" s="3055">
        <f t="shared" si="3"/>
        <v>0</v>
      </c>
      <c r="S723" s="3055">
        <f t="shared" si="4"/>
        <v>0</v>
      </c>
      <c r="T723" s="3055">
        <f t="shared" si="5"/>
        <v>0</v>
      </c>
      <c r="U723" s="3055">
        <f t="shared" si="6"/>
        <v>0</v>
      </c>
      <c r="V723" s="3055">
        <f t="shared" si="7"/>
        <v>0</v>
      </c>
      <c r="W723" s="3055">
        <f t="shared" si="8"/>
        <v>0</v>
      </c>
      <c r="X723" s="3055">
        <f t="shared" si="9"/>
        <v>0</v>
      </c>
      <c r="Y723" s="3055">
        <f t="shared" si="10"/>
        <v>0</v>
      </c>
      <c r="Z723" s="3055">
        <f t="shared" si="11"/>
        <v>0</v>
      </c>
      <c r="AA723" s="3055">
        <f t="shared" si="12"/>
        <v>0</v>
      </c>
      <c r="AB723" s="3055">
        <f t="shared" si="13"/>
        <v>0</v>
      </c>
      <c r="AC723" s="3055">
        <f t="shared" si="14"/>
        <v>0</v>
      </c>
      <c r="AD723" s="3056"/>
      <c r="AE723" s="3057">
        <f t="shared" si="0"/>
      </c>
      <c r="AF723" s="3054"/>
      <c r="AG723" s="3054"/>
      <c r="AH723" s="3055"/>
      <c r="AI723" s="3055"/>
      <c r="AJ723" s="3055"/>
      <c r="AK723" s="3055"/>
      <c r="AL723" s="3055"/>
      <c r="AM723" s="3055"/>
      <c r="AN723" s="3055"/>
      <c r="AO723" s="3055"/>
      <c r="AP723" s="3055"/>
      <c r="AQ723" s="3055"/>
      <c r="AR723" s="3055"/>
      <c r="AS723" s="3055"/>
      <c r="AT723" s="3055"/>
      <c r="AU723" s="3056"/>
      <c r="AV723" s="3057">
        <f t="shared" si="15"/>
      </c>
      <c r="AW723" s="3054"/>
      <c r="AX723" s="3054"/>
      <c r="AY723" s="3055"/>
      <c r="AZ723" s="3055"/>
      <c r="BA723" s="3055"/>
      <c r="BB723" s="3055"/>
      <c r="BC723" s="3055"/>
      <c r="BD723" s="3055"/>
      <c r="BE723" s="3055"/>
      <c r="BF723" s="3055"/>
      <c r="BG723" s="3055"/>
      <c r="BH723" s="3055"/>
      <c r="BI723" s="3055"/>
      <c r="BJ723" s="3055"/>
      <c r="BK723" s="3055"/>
      <c r="BL723" s="3056"/>
      <c r="BM723" s="3057">
        <f t="shared" si="16"/>
      </c>
      <c r="BN723" s="3054"/>
      <c r="BO723" s="3054"/>
      <c r="BP723" s="3055"/>
      <c r="BQ723" s="3055"/>
      <c r="BR723" s="3055"/>
      <c r="BS723" s="3055"/>
      <c r="BT723" s="3055"/>
      <c r="BU723" s="3055"/>
      <c r="BV723" s="3055"/>
      <c r="BW723" s="3055"/>
      <c r="BX723" s="3055"/>
      <c r="BY723" s="3055"/>
      <c r="BZ723" s="3055"/>
      <c r="CA723" s="3055"/>
      <c r="CB723" s="3055"/>
      <c r="CC723" s="3056"/>
      <c r="CD723" s="3057">
        <f t="shared" si="0"/>
      </c>
      <c r="CE723" s="3054"/>
      <c r="CF723" s="3054"/>
      <c r="CG723" s="3055"/>
      <c r="CH723" s="3055"/>
      <c r="CI723" s="3055"/>
      <c r="CJ723" s="3055"/>
      <c r="CK723" s="3055"/>
      <c r="CL723" s="3055"/>
      <c r="CM723" s="3055"/>
      <c r="CN723" s="3055"/>
      <c r="CO723" s="3055"/>
      <c r="CP723" s="3055"/>
      <c r="CQ723" s="3055"/>
      <c r="CR723" s="3055"/>
      <c r="CS723" s="3055"/>
      <c r="CU723" s="3054"/>
      <c r="CV723" s="696"/>
      <c r="CW723" s="696"/>
      <c r="CZ723" s="3060">
        <f t="shared" si="17"/>
      </c>
      <c r="DA723" s="3060">
        <f t="shared" si="1"/>
      </c>
      <c r="DB723" s="3060">
        <f t="shared" si="18"/>
      </c>
      <c r="DC723" s="3060">
        <f t="shared" si="19"/>
      </c>
      <c r="DD723" s="3060">
        <f t="shared" si="20"/>
      </c>
      <c r="DE723" s="3060">
        <f t="shared" si="21"/>
      </c>
      <c r="DF723" s="3060">
        <f t="shared" si="22"/>
      </c>
      <c r="DG723" s="3060">
        <f t="shared" si="23"/>
      </c>
      <c r="DH723" s="3060">
        <f t="shared" si="24"/>
      </c>
      <c r="DI723" s="3060">
        <f t="shared" si="1"/>
      </c>
    </row>
    <row r="724" ht="15" customHeight="1" s="3052" customFormat="1">
      <c r="B724" s="3054">
        <f t="shared" si="2"/>
      </c>
      <c r="C724" s="3054"/>
      <c r="D724" s="3054"/>
      <c r="E724" s="3055"/>
      <c r="F724" s="3055"/>
      <c r="G724" s="3055"/>
      <c r="H724" s="3055"/>
      <c r="I724" s="3055"/>
      <c r="J724" s="3055"/>
      <c r="K724" s="3055"/>
      <c r="L724" s="3055"/>
      <c r="M724" s="3055"/>
      <c r="N724" s="3055"/>
      <c r="O724" s="3055"/>
      <c r="P724" s="3055"/>
      <c r="Q724" s="3055"/>
      <c r="R724" s="3055">
        <f t="shared" si="3"/>
        <v>0</v>
      </c>
      <c r="S724" s="3055">
        <f t="shared" si="4"/>
        <v>0</v>
      </c>
      <c r="T724" s="3055">
        <f t="shared" si="5"/>
        <v>0</v>
      </c>
      <c r="U724" s="3055">
        <f t="shared" si="6"/>
        <v>0</v>
      </c>
      <c r="V724" s="3055">
        <f t="shared" si="7"/>
        <v>0</v>
      </c>
      <c r="W724" s="3055">
        <f t="shared" si="8"/>
        <v>0</v>
      </c>
      <c r="X724" s="3055">
        <f t="shared" si="9"/>
        <v>0</v>
      </c>
      <c r="Y724" s="3055">
        <f t="shared" si="10"/>
        <v>0</v>
      </c>
      <c r="Z724" s="3055">
        <f t="shared" si="11"/>
        <v>0</v>
      </c>
      <c r="AA724" s="3055">
        <f t="shared" si="12"/>
        <v>0</v>
      </c>
      <c r="AB724" s="3055">
        <f t="shared" si="13"/>
        <v>0</v>
      </c>
      <c r="AC724" s="3055">
        <f t="shared" si="14"/>
        <v>0</v>
      </c>
      <c r="AD724" s="3056"/>
      <c r="AE724" s="3057">
        <f t="shared" si="0"/>
      </c>
      <c r="AF724" s="3054"/>
      <c r="AG724" s="3054"/>
      <c r="AH724" s="3055"/>
      <c r="AI724" s="3055"/>
      <c r="AJ724" s="3055"/>
      <c r="AK724" s="3055"/>
      <c r="AL724" s="3055"/>
      <c r="AM724" s="3055"/>
      <c r="AN724" s="3055"/>
      <c r="AO724" s="3055"/>
      <c r="AP724" s="3055"/>
      <c r="AQ724" s="3055"/>
      <c r="AR724" s="3055"/>
      <c r="AS724" s="3055"/>
      <c r="AT724" s="3055"/>
      <c r="AU724" s="3056"/>
      <c r="AV724" s="3057">
        <f t="shared" si="15"/>
      </c>
      <c r="AW724" s="3054"/>
      <c r="AX724" s="3054"/>
      <c r="AY724" s="3055"/>
      <c r="AZ724" s="3055"/>
      <c r="BA724" s="3055"/>
      <c r="BB724" s="3055"/>
      <c r="BC724" s="3055"/>
      <c r="BD724" s="3055"/>
      <c r="BE724" s="3055"/>
      <c r="BF724" s="3055"/>
      <c r="BG724" s="3055"/>
      <c r="BH724" s="3055"/>
      <c r="BI724" s="3055"/>
      <c r="BJ724" s="3055"/>
      <c r="BK724" s="3055"/>
      <c r="BL724" s="3056"/>
      <c r="BM724" s="3057">
        <f t="shared" si="16"/>
      </c>
      <c r="BN724" s="3054"/>
      <c r="BO724" s="3054"/>
      <c r="BP724" s="3055"/>
      <c r="BQ724" s="3055"/>
      <c r="BR724" s="3055"/>
      <c r="BS724" s="3055"/>
      <c r="BT724" s="3055"/>
      <c r="BU724" s="3055"/>
      <c r="BV724" s="3055"/>
      <c r="BW724" s="3055"/>
      <c r="BX724" s="3055"/>
      <c r="BY724" s="3055"/>
      <c r="BZ724" s="3055"/>
      <c r="CA724" s="3055"/>
      <c r="CB724" s="3055"/>
      <c r="CC724" s="3056"/>
      <c r="CD724" s="3057">
        <f t="shared" si="0"/>
      </c>
      <c r="CE724" s="3054"/>
      <c r="CF724" s="3054"/>
      <c r="CG724" s="3055"/>
      <c r="CH724" s="3055"/>
      <c r="CI724" s="3055"/>
      <c r="CJ724" s="3055"/>
      <c r="CK724" s="3055"/>
      <c r="CL724" s="3055"/>
      <c r="CM724" s="3055"/>
      <c r="CN724" s="3055"/>
      <c r="CO724" s="3055"/>
      <c r="CP724" s="3055"/>
      <c r="CQ724" s="3055"/>
      <c r="CR724" s="3055"/>
      <c r="CS724" s="3055"/>
      <c r="CU724" s="3054"/>
      <c r="CV724" s="696"/>
      <c r="CW724" s="696"/>
      <c r="CZ724" s="3060">
        <f t="shared" si="17"/>
      </c>
      <c r="DA724" s="3060">
        <f t="shared" si="1"/>
      </c>
      <c r="DB724" s="3060">
        <f t="shared" si="18"/>
      </c>
      <c r="DC724" s="3060">
        <f t="shared" si="19"/>
      </c>
      <c r="DD724" s="3060">
        <f t="shared" si="20"/>
      </c>
      <c r="DE724" s="3060">
        <f t="shared" si="21"/>
      </c>
      <c r="DF724" s="3060">
        <f t="shared" si="22"/>
      </c>
      <c r="DG724" s="3060">
        <f t="shared" si="23"/>
      </c>
      <c r="DH724" s="3060">
        <f t="shared" si="24"/>
      </c>
      <c r="DI724" s="3060">
        <f t="shared" si="1"/>
      </c>
    </row>
    <row r="725" ht="15" customHeight="1" s="3052" customFormat="1">
      <c r="B725" s="3054">
        <f t="shared" si="2"/>
      </c>
      <c r="C725" s="3054"/>
      <c r="D725" s="3054"/>
      <c r="E725" s="3055"/>
      <c r="F725" s="3055"/>
      <c r="G725" s="3055"/>
      <c r="H725" s="3055"/>
      <c r="I725" s="3055"/>
      <c r="J725" s="3055"/>
      <c r="K725" s="3055"/>
      <c r="L725" s="3055"/>
      <c r="M725" s="3055"/>
      <c r="N725" s="3055"/>
      <c r="O725" s="3055"/>
      <c r="P725" s="3055"/>
      <c r="Q725" s="3055"/>
      <c r="R725" s="3055">
        <f t="shared" si="3"/>
        <v>0</v>
      </c>
      <c r="S725" s="3055">
        <f t="shared" si="4"/>
        <v>0</v>
      </c>
      <c r="T725" s="3055">
        <f t="shared" si="5"/>
        <v>0</v>
      </c>
      <c r="U725" s="3055">
        <f t="shared" si="6"/>
        <v>0</v>
      </c>
      <c r="V725" s="3055">
        <f t="shared" si="7"/>
        <v>0</v>
      </c>
      <c r="W725" s="3055">
        <f t="shared" si="8"/>
        <v>0</v>
      </c>
      <c r="X725" s="3055">
        <f t="shared" si="9"/>
        <v>0</v>
      </c>
      <c r="Y725" s="3055">
        <f t="shared" si="10"/>
        <v>0</v>
      </c>
      <c r="Z725" s="3055">
        <f t="shared" si="11"/>
        <v>0</v>
      </c>
      <c r="AA725" s="3055">
        <f t="shared" si="12"/>
        <v>0</v>
      </c>
      <c r="AB725" s="3055">
        <f t="shared" si="13"/>
        <v>0</v>
      </c>
      <c r="AC725" s="3055">
        <f t="shared" si="14"/>
        <v>0</v>
      </c>
      <c r="AD725" s="3056"/>
      <c r="AE725" s="3057">
        <f t="shared" si="0"/>
      </c>
      <c r="AF725" s="3054"/>
      <c r="AG725" s="3054"/>
      <c r="AH725" s="3055"/>
      <c r="AI725" s="3055"/>
      <c r="AJ725" s="3055"/>
      <c r="AK725" s="3055"/>
      <c r="AL725" s="3055"/>
      <c r="AM725" s="3055"/>
      <c r="AN725" s="3055"/>
      <c r="AO725" s="3055"/>
      <c r="AP725" s="3055"/>
      <c r="AQ725" s="3055"/>
      <c r="AR725" s="3055"/>
      <c r="AS725" s="3055"/>
      <c r="AT725" s="3055"/>
      <c r="AU725" s="3056"/>
      <c r="AV725" s="3057">
        <f t="shared" si="15"/>
      </c>
      <c r="AW725" s="3054"/>
      <c r="AX725" s="3054"/>
      <c r="AY725" s="3055"/>
      <c r="AZ725" s="3055"/>
      <c r="BA725" s="3055"/>
      <c r="BB725" s="3055"/>
      <c r="BC725" s="3055"/>
      <c r="BD725" s="3055"/>
      <c r="BE725" s="3055"/>
      <c r="BF725" s="3055"/>
      <c r="BG725" s="3055"/>
      <c r="BH725" s="3055"/>
      <c r="BI725" s="3055"/>
      <c r="BJ725" s="3055"/>
      <c r="BK725" s="3055"/>
      <c r="BL725" s="3056"/>
      <c r="BM725" s="3057">
        <f t="shared" si="16"/>
      </c>
      <c r="BN725" s="3054"/>
      <c r="BO725" s="3054"/>
      <c r="BP725" s="3055"/>
      <c r="BQ725" s="3055"/>
      <c r="BR725" s="3055"/>
      <c r="BS725" s="3055"/>
      <c r="BT725" s="3055"/>
      <c r="BU725" s="3055"/>
      <c r="BV725" s="3055"/>
      <c r="BW725" s="3055"/>
      <c r="BX725" s="3055"/>
      <c r="BY725" s="3055"/>
      <c r="BZ725" s="3055"/>
      <c r="CA725" s="3055"/>
      <c r="CB725" s="3055"/>
      <c r="CC725" s="3056"/>
      <c r="CD725" s="3057">
        <f t="shared" si="0"/>
      </c>
      <c r="CE725" s="3054"/>
      <c r="CF725" s="3054"/>
      <c r="CG725" s="3055"/>
      <c r="CH725" s="3055"/>
      <c r="CI725" s="3055"/>
      <c r="CJ725" s="3055"/>
      <c r="CK725" s="3055"/>
      <c r="CL725" s="3055"/>
      <c r="CM725" s="3055"/>
      <c r="CN725" s="3055"/>
      <c r="CO725" s="3055"/>
      <c r="CP725" s="3055"/>
      <c r="CQ725" s="3055"/>
      <c r="CR725" s="3055"/>
      <c r="CS725" s="3055"/>
      <c r="CU725" s="3054"/>
      <c r="CV725" s="696"/>
      <c r="CW725" s="696"/>
      <c r="CZ725" s="3060">
        <f t="shared" si="17"/>
      </c>
      <c r="DA725" s="3060">
        <f t="shared" si="1"/>
      </c>
      <c r="DB725" s="3060">
        <f t="shared" si="18"/>
      </c>
      <c r="DC725" s="3060">
        <f t="shared" si="19"/>
      </c>
      <c r="DD725" s="3060">
        <f t="shared" si="20"/>
      </c>
      <c r="DE725" s="3060">
        <f t="shared" si="21"/>
      </c>
      <c r="DF725" s="3060">
        <f t="shared" si="22"/>
      </c>
      <c r="DG725" s="3060">
        <f t="shared" si="23"/>
      </c>
      <c r="DH725" s="3060">
        <f t="shared" si="24"/>
      </c>
      <c r="DI725" s="3060">
        <f t="shared" si="1"/>
      </c>
    </row>
    <row r="726" ht="15" customHeight="1" s="3052" customFormat="1">
      <c r="B726" s="3054">
        <f t="shared" si="2"/>
      </c>
      <c r="C726" s="3054"/>
      <c r="D726" s="3054"/>
      <c r="E726" s="3055"/>
      <c r="F726" s="3055"/>
      <c r="G726" s="3055"/>
      <c r="H726" s="3055"/>
      <c r="I726" s="3055"/>
      <c r="J726" s="3055"/>
      <c r="K726" s="3055"/>
      <c r="L726" s="3055"/>
      <c r="M726" s="3055"/>
      <c r="N726" s="3055"/>
      <c r="O726" s="3055"/>
      <c r="P726" s="3055"/>
      <c r="Q726" s="3055"/>
      <c r="R726" s="3055">
        <f t="shared" si="3"/>
        <v>0</v>
      </c>
      <c r="S726" s="3055">
        <f t="shared" si="4"/>
        <v>0</v>
      </c>
      <c r="T726" s="3055">
        <f t="shared" si="5"/>
        <v>0</v>
      </c>
      <c r="U726" s="3055">
        <f t="shared" si="6"/>
        <v>0</v>
      </c>
      <c r="V726" s="3055">
        <f t="shared" si="7"/>
        <v>0</v>
      </c>
      <c r="W726" s="3055">
        <f t="shared" si="8"/>
        <v>0</v>
      </c>
      <c r="X726" s="3055">
        <f t="shared" si="9"/>
        <v>0</v>
      </c>
      <c r="Y726" s="3055">
        <f t="shared" si="10"/>
        <v>0</v>
      </c>
      <c r="Z726" s="3055">
        <f t="shared" si="11"/>
        <v>0</v>
      </c>
      <c r="AA726" s="3055">
        <f t="shared" si="12"/>
        <v>0</v>
      </c>
      <c r="AB726" s="3055">
        <f t="shared" si="13"/>
        <v>0</v>
      </c>
      <c r="AC726" s="3055">
        <f t="shared" si="14"/>
        <v>0</v>
      </c>
      <c r="AD726" s="3056"/>
      <c r="AE726" s="3057">
        <f t="shared" si="0"/>
      </c>
      <c r="AF726" s="3054"/>
      <c r="AG726" s="3054"/>
      <c r="AH726" s="3055"/>
      <c r="AI726" s="3055"/>
      <c r="AJ726" s="3055"/>
      <c r="AK726" s="3055"/>
      <c r="AL726" s="3055"/>
      <c r="AM726" s="3055"/>
      <c r="AN726" s="3055"/>
      <c r="AO726" s="3055"/>
      <c r="AP726" s="3055"/>
      <c r="AQ726" s="3055"/>
      <c r="AR726" s="3055"/>
      <c r="AS726" s="3055"/>
      <c r="AT726" s="3055"/>
      <c r="AU726" s="3056"/>
      <c r="AV726" s="3057">
        <f t="shared" si="15"/>
      </c>
      <c r="AW726" s="3054"/>
      <c r="AX726" s="3054"/>
      <c r="AY726" s="3055"/>
      <c r="AZ726" s="3055"/>
      <c r="BA726" s="3055"/>
      <c r="BB726" s="3055"/>
      <c r="BC726" s="3055"/>
      <c r="BD726" s="3055"/>
      <c r="BE726" s="3055"/>
      <c r="BF726" s="3055"/>
      <c r="BG726" s="3055"/>
      <c r="BH726" s="3055"/>
      <c r="BI726" s="3055"/>
      <c r="BJ726" s="3055"/>
      <c r="BK726" s="3055"/>
      <c r="BL726" s="3056"/>
      <c r="BM726" s="3057">
        <f t="shared" si="16"/>
      </c>
      <c r="BN726" s="3054"/>
      <c r="BO726" s="3054"/>
      <c r="BP726" s="3055"/>
      <c r="BQ726" s="3055"/>
      <c r="BR726" s="3055"/>
      <c r="BS726" s="3055"/>
      <c r="BT726" s="3055"/>
      <c r="BU726" s="3055"/>
      <c r="BV726" s="3055"/>
      <c r="BW726" s="3055"/>
      <c r="BX726" s="3055"/>
      <c r="BY726" s="3055"/>
      <c r="BZ726" s="3055"/>
      <c r="CA726" s="3055"/>
      <c r="CB726" s="3055"/>
      <c r="CC726" s="3056"/>
      <c r="CD726" s="3057">
        <f t="shared" si="0"/>
      </c>
      <c r="CE726" s="3054"/>
      <c r="CF726" s="3054"/>
      <c r="CG726" s="3055"/>
      <c r="CH726" s="3055"/>
      <c r="CI726" s="3055"/>
      <c r="CJ726" s="3055"/>
      <c r="CK726" s="3055"/>
      <c r="CL726" s="3055"/>
      <c r="CM726" s="3055"/>
      <c r="CN726" s="3055"/>
      <c r="CO726" s="3055"/>
      <c r="CP726" s="3055"/>
      <c r="CQ726" s="3055"/>
      <c r="CR726" s="3055"/>
      <c r="CS726" s="3055"/>
      <c r="CU726" s="3054"/>
      <c r="CV726" s="696"/>
      <c r="CW726" s="696"/>
      <c r="CZ726" s="3060">
        <f t="shared" si="17"/>
      </c>
      <c r="DA726" s="3060">
        <f t="shared" si="1"/>
      </c>
      <c r="DB726" s="3060">
        <f t="shared" si="18"/>
      </c>
      <c r="DC726" s="3060">
        <f t="shared" si="19"/>
      </c>
      <c r="DD726" s="3060">
        <f t="shared" si="20"/>
      </c>
      <c r="DE726" s="3060">
        <f t="shared" si="21"/>
      </c>
      <c r="DF726" s="3060">
        <f t="shared" si="22"/>
      </c>
      <c r="DG726" s="3060">
        <f t="shared" si="23"/>
      </c>
      <c r="DH726" s="3060">
        <f t="shared" si="24"/>
      </c>
      <c r="DI726" s="3060">
        <f t="shared" si="1"/>
      </c>
    </row>
    <row r="727" ht="15" customHeight="1" s="3052" customFormat="1">
      <c r="B727" s="3054">
        <f t="shared" si="2"/>
      </c>
      <c r="C727" s="3054"/>
      <c r="D727" s="3054"/>
      <c r="E727" s="3055"/>
      <c r="F727" s="3055"/>
      <c r="G727" s="3055"/>
      <c r="H727" s="3055"/>
      <c r="I727" s="3055"/>
      <c r="J727" s="3055"/>
      <c r="K727" s="3055"/>
      <c r="L727" s="3055"/>
      <c r="M727" s="3055"/>
      <c r="N727" s="3055"/>
      <c r="O727" s="3055"/>
      <c r="P727" s="3055"/>
      <c r="Q727" s="3055"/>
      <c r="R727" s="3055">
        <f t="shared" si="3"/>
        <v>0</v>
      </c>
      <c r="S727" s="3055">
        <f t="shared" si="4"/>
        <v>0</v>
      </c>
      <c r="T727" s="3055">
        <f t="shared" si="5"/>
        <v>0</v>
      </c>
      <c r="U727" s="3055">
        <f t="shared" si="6"/>
        <v>0</v>
      </c>
      <c r="V727" s="3055">
        <f t="shared" si="7"/>
        <v>0</v>
      </c>
      <c r="W727" s="3055">
        <f t="shared" si="8"/>
        <v>0</v>
      </c>
      <c r="X727" s="3055">
        <f t="shared" si="9"/>
        <v>0</v>
      </c>
      <c r="Y727" s="3055">
        <f t="shared" si="10"/>
        <v>0</v>
      </c>
      <c r="Z727" s="3055">
        <f t="shared" si="11"/>
        <v>0</v>
      </c>
      <c r="AA727" s="3055">
        <f t="shared" si="12"/>
        <v>0</v>
      </c>
      <c r="AB727" s="3055">
        <f t="shared" si="13"/>
        <v>0</v>
      </c>
      <c r="AC727" s="3055">
        <f t="shared" si="14"/>
        <v>0</v>
      </c>
      <c r="AD727" s="3056"/>
      <c r="AE727" s="3057">
        <f t="shared" si="0"/>
      </c>
      <c r="AF727" s="3054"/>
      <c r="AG727" s="3054"/>
      <c r="AH727" s="3055"/>
      <c r="AI727" s="3055"/>
      <c r="AJ727" s="3055"/>
      <c r="AK727" s="3055"/>
      <c r="AL727" s="3055"/>
      <c r="AM727" s="3055"/>
      <c r="AN727" s="3055"/>
      <c r="AO727" s="3055"/>
      <c r="AP727" s="3055"/>
      <c r="AQ727" s="3055"/>
      <c r="AR727" s="3055"/>
      <c r="AS727" s="3055"/>
      <c r="AT727" s="3055"/>
      <c r="AU727" s="3056"/>
      <c r="AV727" s="3057">
        <f t="shared" si="15"/>
      </c>
      <c r="AW727" s="3054"/>
      <c r="AX727" s="3054"/>
      <c r="AY727" s="3055"/>
      <c r="AZ727" s="3055"/>
      <c r="BA727" s="3055"/>
      <c r="BB727" s="3055"/>
      <c r="BC727" s="3055"/>
      <c r="BD727" s="3055"/>
      <c r="BE727" s="3055"/>
      <c r="BF727" s="3055"/>
      <c r="BG727" s="3055"/>
      <c r="BH727" s="3055"/>
      <c r="BI727" s="3055"/>
      <c r="BJ727" s="3055"/>
      <c r="BK727" s="3055"/>
      <c r="BL727" s="3056"/>
      <c r="BM727" s="3057">
        <f t="shared" si="16"/>
      </c>
      <c r="BN727" s="3054"/>
      <c r="BO727" s="3054"/>
      <c r="BP727" s="3055"/>
      <c r="BQ727" s="3055"/>
      <c r="BR727" s="3055"/>
      <c r="BS727" s="3055"/>
      <c r="BT727" s="3055"/>
      <c r="BU727" s="3055"/>
      <c r="BV727" s="3055"/>
      <c r="BW727" s="3055"/>
      <c r="BX727" s="3055"/>
      <c r="BY727" s="3055"/>
      <c r="BZ727" s="3055"/>
      <c r="CA727" s="3055"/>
      <c r="CB727" s="3055"/>
      <c r="CC727" s="3056"/>
      <c r="CD727" s="3057">
        <f t="shared" si="0"/>
      </c>
      <c r="CE727" s="3054"/>
      <c r="CF727" s="3054"/>
      <c r="CG727" s="3055"/>
      <c r="CH727" s="3055"/>
      <c r="CI727" s="3055"/>
      <c r="CJ727" s="3055"/>
      <c r="CK727" s="3055"/>
      <c r="CL727" s="3055"/>
      <c r="CM727" s="3055"/>
      <c r="CN727" s="3055"/>
      <c r="CO727" s="3055"/>
      <c r="CP727" s="3055"/>
      <c r="CQ727" s="3055"/>
      <c r="CR727" s="3055"/>
      <c r="CS727" s="3055"/>
      <c r="CU727" s="3054"/>
      <c r="CV727" s="696"/>
      <c r="CW727" s="696"/>
      <c r="CZ727" s="3060">
        <f t="shared" si="17"/>
      </c>
      <c r="DA727" s="3060">
        <f t="shared" si="1"/>
      </c>
      <c r="DB727" s="3060">
        <f t="shared" si="18"/>
      </c>
      <c r="DC727" s="3060">
        <f t="shared" si="19"/>
      </c>
      <c r="DD727" s="3060">
        <f t="shared" si="20"/>
      </c>
      <c r="DE727" s="3060">
        <f t="shared" si="21"/>
      </c>
      <c r="DF727" s="3060">
        <f t="shared" si="22"/>
      </c>
      <c r="DG727" s="3060">
        <f t="shared" si="23"/>
      </c>
      <c r="DH727" s="3060">
        <f t="shared" si="24"/>
      </c>
      <c r="DI727" s="3060">
        <f t="shared" si="1"/>
      </c>
    </row>
    <row r="728" ht="15" customHeight="1" s="3052" customFormat="1">
      <c r="B728" s="3054">
        <f t="shared" si="2"/>
      </c>
      <c r="C728" s="3054"/>
      <c r="D728" s="3054"/>
      <c r="E728" s="3055"/>
      <c r="F728" s="3055"/>
      <c r="G728" s="3055"/>
      <c r="H728" s="3055"/>
      <c r="I728" s="3055"/>
      <c r="J728" s="3055"/>
      <c r="K728" s="3055"/>
      <c r="L728" s="3055"/>
      <c r="M728" s="3055"/>
      <c r="N728" s="3055"/>
      <c r="O728" s="3055"/>
      <c r="P728" s="3055"/>
      <c r="Q728" s="3055"/>
      <c r="R728" s="3055">
        <f t="shared" si="3"/>
        <v>0</v>
      </c>
      <c r="S728" s="3055">
        <f t="shared" si="4"/>
        <v>0</v>
      </c>
      <c r="T728" s="3055">
        <f t="shared" si="5"/>
        <v>0</v>
      </c>
      <c r="U728" s="3055">
        <f t="shared" si="6"/>
        <v>0</v>
      </c>
      <c r="V728" s="3055">
        <f t="shared" si="7"/>
        <v>0</v>
      </c>
      <c r="W728" s="3055">
        <f t="shared" si="8"/>
        <v>0</v>
      </c>
      <c r="X728" s="3055">
        <f t="shared" si="9"/>
        <v>0</v>
      </c>
      <c r="Y728" s="3055">
        <f t="shared" si="10"/>
        <v>0</v>
      </c>
      <c r="Z728" s="3055">
        <f t="shared" si="11"/>
        <v>0</v>
      </c>
      <c r="AA728" s="3055">
        <f t="shared" si="12"/>
        <v>0</v>
      </c>
      <c r="AB728" s="3055">
        <f t="shared" si="13"/>
        <v>0</v>
      </c>
      <c r="AC728" s="3055">
        <f t="shared" si="14"/>
        <v>0</v>
      </c>
      <c r="AD728" s="3056"/>
      <c r="AE728" s="3057">
        <f t="shared" si="0"/>
      </c>
      <c r="AF728" s="3054"/>
      <c r="AG728" s="3054"/>
      <c r="AH728" s="3055"/>
      <c r="AI728" s="3055"/>
      <c r="AJ728" s="3055"/>
      <c r="AK728" s="3055"/>
      <c r="AL728" s="3055"/>
      <c r="AM728" s="3055"/>
      <c r="AN728" s="3055"/>
      <c r="AO728" s="3055"/>
      <c r="AP728" s="3055"/>
      <c r="AQ728" s="3055"/>
      <c r="AR728" s="3055"/>
      <c r="AS728" s="3055"/>
      <c r="AT728" s="3055"/>
      <c r="AU728" s="3056"/>
      <c r="AV728" s="3057">
        <f t="shared" si="15"/>
      </c>
      <c r="AW728" s="3054"/>
      <c r="AX728" s="3054"/>
      <c r="AY728" s="3055"/>
      <c r="AZ728" s="3055"/>
      <c r="BA728" s="3055"/>
      <c r="BB728" s="3055"/>
      <c r="BC728" s="3055"/>
      <c r="BD728" s="3055"/>
      <c r="BE728" s="3055"/>
      <c r="BF728" s="3055"/>
      <c r="BG728" s="3055"/>
      <c r="BH728" s="3055"/>
      <c r="BI728" s="3055"/>
      <c r="BJ728" s="3055"/>
      <c r="BK728" s="3055"/>
      <c r="BL728" s="3056"/>
      <c r="BM728" s="3057">
        <f t="shared" si="16"/>
      </c>
      <c r="BN728" s="3054"/>
      <c r="BO728" s="3054"/>
      <c r="BP728" s="3055"/>
      <c r="BQ728" s="3055"/>
      <c r="BR728" s="3055"/>
      <c r="BS728" s="3055"/>
      <c r="BT728" s="3055"/>
      <c r="BU728" s="3055"/>
      <c r="BV728" s="3055"/>
      <c r="BW728" s="3055"/>
      <c r="BX728" s="3055"/>
      <c r="BY728" s="3055"/>
      <c r="BZ728" s="3055"/>
      <c r="CA728" s="3055"/>
      <c r="CB728" s="3055"/>
      <c r="CC728" s="3056"/>
      <c r="CD728" s="3057">
        <f t="shared" si="0"/>
      </c>
      <c r="CE728" s="3054"/>
      <c r="CF728" s="3054"/>
      <c r="CG728" s="3055"/>
      <c r="CH728" s="3055"/>
      <c r="CI728" s="3055"/>
      <c r="CJ728" s="3055"/>
      <c r="CK728" s="3055"/>
      <c r="CL728" s="3055"/>
      <c r="CM728" s="3055"/>
      <c r="CN728" s="3055"/>
      <c r="CO728" s="3055"/>
      <c r="CP728" s="3055"/>
      <c r="CQ728" s="3055"/>
      <c r="CR728" s="3055"/>
      <c r="CS728" s="3055"/>
      <c r="CU728" s="3054"/>
      <c r="CV728" s="696"/>
      <c r="CW728" s="696"/>
      <c r="CZ728" s="3060">
        <f t="shared" si="17"/>
      </c>
      <c r="DA728" s="3060">
        <f t="shared" si="1"/>
      </c>
      <c r="DB728" s="3060">
        <f t="shared" si="18"/>
      </c>
      <c r="DC728" s="3060">
        <f t="shared" si="19"/>
      </c>
      <c r="DD728" s="3060">
        <f t="shared" si="20"/>
      </c>
      <c r="DE728" s="3060">
        <f t="shared" si="21"/>
      </c>
      <c r="DF728" s="3060">
        <f t="shared" si="22"/>
      </c>
      <c r="DG728" s="3060">
        <f t="shared" si="23"/>
      </c>
      <c r="DH728" s="3060">
        <f t="shared" si="24"/>
      </c>
      <c r="DI728" s="3060">
        <f t="shared" si="1"/>
      </c>
    </row>
    <row r="729" ht="15" customHeight="1" s="3052" customFormat="1">
      <c r="B729" s="3054">
        <f t="shared" si="2"/>
      </c>
      <c r="C729" s="3054"/>
      <c r="D729" s="3054"/>
      <c r="E729" s="3055"/>
      <c r="F729" s="3055"/>
      <c r="G729" s="3055"/>
      <c r="H729" s="3055"/>
      <c r="I729" s="3055"/>
      <c r="J729" s="3055"/>
      <c r="K729" s="3055"/>
      <c r="L729" s="3055"/>
      <c r="M729" s="3055"/>
      <c r="N729" s="3055"/>
      <c r="O729" s="3055"/>
      <c r="P729" s="3055"/>
      <c r="Q729" s="3055"/>
      <c r="R729" s="3055">
        <f t="shared" si="3"/>
        <v>0</v>
      </c>
      <c r="S729" s="3055">
        <f t="shared" si="4"/>
        <v>0</v>
      </c>
      <c r="T729" s="3055">
        <f t="shared" si="5"/>
        <v>0</v>
      </c>
      <c r="U729" s="3055">
        <f t="shared" si="6"/>
        <v>0</v>
      </c>
      <c r="V729" s="3055">
        <f t="shared" si="7"/>
        <v>0</v>
      </c>
      <c r="W729" s="3055">
        <f t="shared" si="8"/>
        <v>0</v>
      </c>
      <c r="X729" s="3055">
        <f t="shared" si="9"/>
        <v>0</v>
      </c>
      <c r="Y729" s="3055">
        <f t="shared" si="10"/>
        <v>0</v>
      </c>
      <c r="Z729" s="3055">
        <f t="shared" si="11"/>
        <v>0</v>
      </c>
      <c r="AA729" s="3055">
        <f t="shared" si="12"/>
        <v>0</v>
      </c>
      <c r="AB729" s="3055">
        <f t="shared" si="13"/>
        <v>0</v>
      </c>
      <c r="AC729" s="3055">
        <f t="shared" si="14"/>
        <v>0</v>
      </c>
      <c r="AD729" s="3056"/>
      <c r="AE729" s="3057">
        <f t="shared" si="0"/>
      </c>
      <c r="AF729" s="3054"/>
      <c r="AG729" s="3054"/>
      <c r="AH729" s="3055"/>
      <c r="AI729" s="3055"/>
      <c r="AJ729" s="3055"/>
      <c r="AK729" s="3055"/>
      <c r="AL729" s="3055"/>
      <c r="AM729" s="3055"/>
      <c r="AN729" s="3055"/>
      <c r="AO729" s="3055"/>
      <c r="AP729" s="3055"/>
      <c r="AQ729" s="3055"/>
      <c r="AR729" s="3055"/>
      <c r="AS729" s="3055"/>
      <c r="AT729" s="3055"/>
      <c r="AU729" s="3056"/>
      <c r="AV729" s="3057">
        <f t="shared" si="15"/>
      </c>
      <c r="AW729" s="3054"/>
      <c r="AX729" s="3054"/>
      <c r="AY729" s="3055"/>
      <c r="AZ729" s="3055"/>
      <c r="BA729" s="3055"/>
      <c r="BB729" s="3055"/>
      <c r="BC729" s="3055"/>
      <c r="BD729" s="3055"/>
      <c r="BE729" s="3055"/>
      <c r="BF729" s="3055"/>
      <c r="BG729" s="3055"/>
      <c r="BH729" s="3055"/>
      <c r="BI729" s="3055"/>
      <c r="BJ729" s="3055"/>
      <c r="BK729" s="3055"/>
      <c r="BL729" s="3056"/>
      <c r="BM729" s="3057">
        <f t="shared" si="16"/>
      </c>
      <c r="BN729" s="3054"/>
      <c r="BO729" s="3054"/>
      <c r="BP729" s="3055"/>
      <c r="BQ729" s="3055"/>
      <c r="BR729" s="3055"/>
      <c r="BS729" s="3055"/>
      <c r="BT729" s="3055"/>
      <c r="BU729" s="3055"/>
      <c r="BV729" s="3055"/>
      <c r="BW729" s="3055"/>
      <c r="BX729" s="3055"/>
      <c r="BY729" s="3055"/>
      <c r="BZ729" s="3055"/>
      <c r="CA729" s="3055"/>
      <c r="CB729" s="3055"/>
      <c r="CC729" s="3056"/>
      <c r="CD729" s="3057">
        <f t="shared" si="0"/>
      </c>
      <c r="CE729" s="3054"/>
      <c r="CF729" s="3054"/>
      <c r="CG729" s="3055"/>
      <c r="CH729" s="3055"/>
      <c r="CI729" s="3055"/>
      <c r="CJ729" s="3055"/>
      <c r="CK729" s="3055"/>
      <c r="CL729" s="3055"/>
      <c r="CM729" s="3055"/>
      <c r="CN729" s="3055"/>
      <c r="CO729" s="3055"/>
      <c r="CP729" s="3055"/>
      <c r="CQ729" s="3055"/>
      <c r="CR729" s="3055"/>
      <c r="CS729" s="3055"/>
      <c r="CU729" s="3054"/>
      <c r="CV729" s="696"/>
      <c r="CW729" s="696"/>
      <c r="CZ729" s="3060">
        <f t="shared" si="17"/>
      </c>
      <c r="DA729" s="3060">
        <f t="shared" si="1"/>
      </c>
      <c r="DB729" s="3060">
        <f t="shared" si="18"/>
      </c>
      <c r="DC729" s="3060">
        <f t="shared" si="19"/>
      </c>
      <c r="DD729" s="3060">
        <f t="shared" si="20"/>
      </c>
      <c r="DE729" s="3060">
        <f t="shared" si="21"/>
      </c>
      <c r="DF729" s="3060">
        <f t="shared" si="22"/>
      </c>
      <c r="DG729" s="3060">
        <f t="shared" si="23"/>
      </c>
      <c r="DH729" s="3060">
        <f t="shared" si="24"/>
      </c>
      <c r="DI729" s="3060">
        <f t="shared" si="1"/>
      </c>
    </row>
    <row r="730" ht="15" customHeight="1" s="3052" customFormat="1">
      <c r="B730" s="3054">
        <f t="shared" si="2"/>
      </c>
      <c r="C730" s="3054"/>
      <c r="D730" s="3054"/>
      <c r="E730" s="3055"/>
      <c r="F730" s="3055"/>
      <c r="G730" s="3055"/>
      <c r="H730" s="3055"/>
      <c r="I730" s="3055"/>
      <c r="J730" s="3055"/>
      <c r="K730" s="3055"/>
      <c r="L730" s="3055"/>
      <c r="M730" s="3055"/>
      <c r="N730" s="3055"/>
      <c r="O730" s="3055"/>
      <c r="P730" s="3055"/>
      <c r="Q730" s="3055"/>
      <c r="R730" s="3055">
        <f t="shared" si="3"/>
        <v>0</v>
      </c>
      <c r="S730" s="3055">
        <f t="shared" si="4"/>
        <v>0</v>
      </c>
      <c r="T730" s="3055">
        <f t="shared" si="5"/>
        <v>0</v>
      </c>
      <c r="U730" s="3055">
        <f t="shared" si="6"/>
        <v>0</v>
      </c>
      <c r="V730" s="3055">
        <f t="shared" si="7"/>
        <v>0</v>
      </c>
      <c r="W730" s="3055">
        <f t="shared" si="8"/>
        <v>0</v>
      </c>
      <c r="X730" s="3055">
        <f t="shared" si="9"/>
        <v>0</v>
      </c>
      <c r="Y730" s="3055">
        <f t="shared" si="10"/>
        <v>0</v>
      </c>
      <c r="Z730" s="3055">
        <f t="shared" si="11"/>
        <v>0</v>
      </c>
      <c r="AA730" s="3055">
        <f t="shared" si="12"/>
        <v>0</v>
      </c>
      <c r="AB730" s="3055">
        <f t="shared" si="13"/>
        <v>0</v>
      </c>
      <c r="AC730" s="3055">
        <f t="shared" si="14"/>
        <v>0</v>
      </c>
      <c r="AD730" s="3056"/>
      <c r="AE730" s="3057">
        <f t="shared" si="0"/>
      </c>
      <c r="AF730" s="3054"/>
      <c r="AG730" s="3054"/>
      <c r="AH730" s="3055"/>
      <c r="AI730" s="3055"/>
      <c r="AJ730" s="3055"/>
      <c r="AK730" s="3055"/>
      <c r="AL730" s="3055"/>
      <c r="AM730" s="3055"/>
      <c r="AN730" s="3055"/>
      <c r="AO730" s="3055"/>
      <c r="AP730" s="3055"/>
      <c r="AQ730" s="3055"/>
      <c r="AR730" s="3055"/>
      <c r="AS730" s="3055"/>
      <c r="AT730" s="3055"/>
      <c r="AU730" s="3056"/>
      <c r="AV730" s="3057">
        <f t="shared" si="15"/>
      </c>
      <c r="AW730" s="3054"/>
      <c r="AX730" s="3054"/>
      <c r="AY730" s="3055"/>
      <c r="AZ730" s="3055"/>
      <c r="BA730" s="3055"/>
      <c r="BB730" s="3055"/>
      <c r="BC730" s="3055"/>
      <c r="BD730" s="3055"/>
      <c r="BE730" s="3055"/>
      <c r="BF730" s="3055"/>
      <c r="BG730" s="3055"/>
      <c r="BH730" s="3055"/>
      <c r="BI730" s="3055"/>
      <c r="BJ730" s="3055"/>
      <c r="BK730" s="3055"/>
      <c r="BL730" s="3056"/>
      <c r="BM730" s="3057">
        <f t="shared" si="16"/>
      </c>
      <c r="BN730" s="3054"/>
      <c r="BO730" s="3054"/>
      <c r="BP730" s="3055"/>
      <c r="BQ730" s="3055"/>
      <c r="BR730" s="3055"/>
      <c r="BS730" s="3055"/>
      <c r="BT730" s="3055"/>
      <c r="BU730" s="3055"/>
      <c r="BV730" s="3055"/>
      <c r="BW730" s="3055"/>
      <c r="BX730" s="3055"/>
      <c r="BY730" s="3055"/>
      <c r="BZ730" s="3055"/>
      <c r="CA730" s="3055"/>
      <c r="CB730" s="3055"/>
      <c r="CC730" s="3056"/>
      <c r="CD730" s="3057">
        <f t="shared" si="0"/>
      </c>
      <c r="CE730" s="3054"/>
      <c r="CF730" s="3054"/>
      <c r="CG730" s="3055"/>
      <c r="CH730" s="3055"/>
      <c r="CI730" s="3055"/>
      <c r="CJ730" s="3055"/>
      <c r="CK730" s="3055"/>
      <c r="CL730" s="3055"/>
      <c r="CM730" s="3055"/>
      <c r="CN730" s="3055"/>
      <c r="CO730" s="3055"/>
      <c r="CP730" s="3055"/>
      <c r="CQ730" s="3055"/>
      <c r="CR730" s="3055"/>
      <c r="CS730" s="3055"/>
      <c r="CU730" s="3054"/>
      <c r="CV730" s="696"/>
      <c r="CW730" s="696"/>
      <c r="CZ730" s="3060">
        <f t="shared" si="17"/>
      </c>
      <c r="DA730" s="3060">
        <f t="shared" si="1"/>
      </c>
      <c r="DB730" s="3060">
        <f t="shared" si="18"/>
      </c>
      <c r="DC730" s="3060">
        <f t="shared" si="19"/>
      </c>
      <c r="DD730" s="3060">
        <f t="shared" si="20"/>
      </c>
      <c r="DE730" s="3060">
        <f t="shared" si="21"/>
      </c>
      <c r="DF730" s="3060">
        <f t="shared" si="22"/>
      </c>
      <c r="DG730" s="3060">
        <f t="shared" si="23"/>
      </c>
      <c r="DH730" s="3060">
        <f t="shared" si="24"/>
      </c>
      <c r="DI730" s="3060">
        <f t="shared" si="1"/>
      </c>
    </row>
    <row r="731" ht="15" customHeight="1" s="3052" customFormat="1">
      <c r="B731" s="3054">
        <f t="shared" si="2"/>
      </c>
      <c r="C731" s="3054"/>
      <c r="D731" s="3054"/>
      <c r="E731" s="3055"/>
      <c r="F731" s="3055"/>
      <c r="G731" s="3055"/>
      <c r="H731" s="3055"/>
      <c r="I731" s="3055"/>
      <c r="J731" s="3055"/>
      <c r="K731" s="3055"/>
      <c r="L731" s="3055"/>
      <c r="M731" s="3055"/>
      <c r="N731" s="3055"/>
      <c r="O731" s="3055"/>
      <c r="P731" s="3055"/>
      <c r="Q731" s="3055"/>
      <c r="R731" s="3055">
        <f t="shared" si="3"/>
        <v>0</v>
      </c>
      <c r="S731" s="3055">
        <f t="shared" si="4"/>
        <v>0</v>
      </c>
      <c r="T731" s="3055">
        <f t="shared" si="5"/>
        <v>0</v>
      </c>
      <c r="U731" s="3055">
        <f t="shared" si="6"/>
        <v>0</v>
      </c>
      <c r="V731" s="3055">
        <f t="shared" si="7"/>
        <v>0</v>
      </c>
      <c r="W731" s="3055">
        <f t="shared" si="8"/>
        <v>0</v>
      </c>
      <c r="X731" s="3055">
        <f t="shared" si="9"/>
        <v>0</v>
      </c>
      <c r="Y731" s="3055">
        <f t="shared" si="10"/>
        <v>0</v>
      </c>
      <c r="Z731" s="3055">
        <f t="shared" si="11"/>
        <v>0</v>
      </c>
      <c r="AA731" s="3055">
        <f t="shared" si="12"/>
        <v>0</v>
      </c>
      <c r="AB731" s="3055">
        <f t="shared" si="13"/>
        <v>0</v>
      </c>
      <c r="AC731" s="3055">
        <f t="shared" si="14"/>
        <v>0</v>
      </c>
      <c r="AD731" s="3056"/>
      <c r="AE731" s="3057">
        <f t="shared" si="0"/>
      </c>
      <c r="AF731" s="3054"/>
      <c r="AG731" s="3054"/>
      <c r="AH731" s="3055"/>
      <c r="AI731" s="3055"/>
      <c r="AJ731" s="3055"/>
      <c r="AK731" s="3055"/>
      <c r="AL731" s="3055"/>
      <c r="AM731" s="3055"/>
      <c r="AN731" s="3055"/>
      <c r="AO731" s="3055"/>
      <c r="AP731" s="3055"/>
      <c r="AQ731" s="3055"/>
      <c r="AR731" s="3055"/>
      <c r="AS731" s="3055"/>
      <c r="AT731" s="3055"/>
      <c r="AU731" s="3056"/>
      <c r="AV731" s="3057">
        <f t="shared" si="15"/>
      </c>
      <c r="AW731" s="3054"/>
      <c r="AX731" s="3054"/>
      <c r="AY731" s="3055"/>
      <c r="AZ731" s="3055"/>
      <c r="BA731" s="3055"/>
      <c r="BB731" s="3055"/>
      <c r="BC731" s="3055"/>
      <c r="BD731" s="3055"/>
      <c r="BE731" s="3055"/>
      <c r="BF731" s="3055"/>
      <c r="BG731" s="3055"/>
      <c r="BH731" s="3055"/>
      <c r="BI731" s="3055"/>
      <c r="BJ731" s="3055"/>
      <c r="BK731" s="3055"/>
      <c r="BL731" s="3056"/>
      <c r="BM731" s="3057">
        <f t="shared" si="16"/>
      </c>
      <c r="BN731" s="3054"/>
      <c r="BO731" s="3054"/>
      <c r="BP731" s="3055"/>
      <c r="BQ731" s="3055"/>
      <c r="BR731" s="3055"/>
      <c r="BS731" s="3055"/>
      <c r="BT731" s="3055"/>
      <c r="BU731" s="3055"/>
      <c r="BV731" s="3055"/>
      <c r="BW731" s="3055"/>
      <c r="BX731" s="3055"/>
      <c r="BY731" s="3055"/>
      <c r="BZ731" s="3055"/>
      <c r="CA731" s="3055"/>
      <c r="CB731" s="3055"/>
      <c r="CC731" s="3056"/>
      <c r="CD731" s="3057">
        <f t="shared" si="0"/>
      </c>
      <c r="CE731" s="3054"/>
      <c r="CF731" s="3054"/>
      <c r="CG731" s="3055"/>
      <c r="CH731" s="3055"/>
      <c r="CI731" s="3055"/>
      <c r="CJ731" s="3055"/>
      <c r="CK731" s="3055"/>
      <c r="CL731" s="3055"/>
      <c r="CM731" s="3055"/>
      <c r="CN731" s="3055"/>
      <c r="CO731" s="3055"/>
      <c r="CP731" s="3055"/>
      <c r="CQ731" s="3055"/>
      <c r="CR731" s="3055"/>
      <c r="CS731" s="3055"/>
      <c r="CU731" s="3054"/>
      <c r="CV731" s="696"/>
      <c r="CW731" s="696"/>
      <c r="CZ731" s="3060">
        <f t="shared" si="17"/>
      </c>
      <c r="DA731" s="3060">
        <f t="shared" si="1"/>
      </c>
      <c r="DB731" s="3060">
        <f t="shared" si="18"/>
      </c>
      <c r="DC731" s="3060">
        <f t="shared" si="19"/>
      </c>
      <c r="DD731" s="3060">
        <f t="shared" si="20"/>
      </c>
      <c r="DE731" s="3060">
        <f t="shared" si="21"/>
      </c>
      <c r="DF731" s="3060">
        <f t="shared" si="22"/>
      </c>
      <c r="DG731" s="3060">
        <f t="shared" si="23"/>
      </c>
      <c r="DH731" s="3060">
        <f t="shared" si="24"/>
      </c>
      <c r="DI731" s="3060">
        <f t="shared" si="1"/>
      </c>
    </row>
    <row r="732" ht="15" customHeight="1" s="3052" customFormat="1">
      <c r="B732" s="3054">
        <f t="shared" si="2"/>
      </c>
      <c r="C732" s="3054"/>
      <c r="D732" s="3054"/>
      <c r="E732" s="3055"/>
      <c r="F732" s="3055"/>
      <c r="G732" s="3055"/>
      <c r="H732" s="3055"/>
      <c r="I732" s="3055"/>
      <c r="J732" s="3055"/>
      <c r="K732" s="3055"/>
      <c r="L732" s="3055"/>
      <c r="M732" s="3055"/>
      <c r="N732" s="3055"/>
      <c r="O732" s="3055"/>
      <c r="P732" s="3055"/>
      <c r="Q732" s="3055"/>
      <c r="R732" s="3055">
        <f t="shared" si="3"/>
        <v>0</v>
      </c>
      <c r="S732" s="3055">
        <f t="shared" si="4"/>
        <v>0</v>
      </c>
      <c r="T732" s="3055">
        <f t="shared" si="5"/>
        <v>0</v>
      </c>
      <c r="U732" s="3055">
        <f t="shared" si="6"/>
        <v>0</v>
      </c>
      <c r="V732" s="3055">
        <f t="shared" si="7"/>
        <v>0</v>
      </c>
      <c r="W732" s="3055">
        <f t="shared" si="8"/>
        <v>0</v>
      </c>
      <c r="X732" s="3055">
        <f t="shared" si="9"/>
        <v>0</v>
      </c>
      <c r="Y732" s="3055">
        <f t="shared" si="10"/>
        <v>0</v>
      </c>
      <c r="Z732" s="3055">
        <f t="shared" si="11"/>
        <v>0</v>
      </c>
      <c r="AA732" s="3055">
        <f t="shared" si="12"/>
        <v>0</v>
      </c>
      <c r="AB732" s="3055">
        <f t="shared" si="13"/>
        <v>0</v>
      </c>
      <c r="AC732" s="3055">
        <f t="shared" si="14"/>
        <v>0</v>
      </c>
      <c r="AD732" s="3056"/>
      <c r="AE732" s="3057">
        <f t="shared" si="0"/>
      </c>
      <c r="AF732" s="3054"/>
      <c r="AG732" s="3054"/>
      <c r="AH732" s="3055"/>
      <c r="AI732" s="3055"/>
      <c r="AJ732" s="3055"/>
      <c r="AK732" s="3055"/>
      <c r="AL732" s="3055"/>
      <c r="AM732" s="3055"/>
      <c r="AN732" s="3055"/>
      <c r="AO732" s="3055"/>
      <c r="AP732" s="3055"/>
      <c r="AQ732" s="3055"/>
      <c r="AR732" s="3055"/>
      <c r="AS732" s="3055"/>
      <c r="AT732" s="3055"/>
      <c r="AU732" s="3056"/>
      <c r="AV732" s="3057">
        <f t="shared" si="15"/>
      </c>
      <c r="AW732" s="3054"/>
      <c r="AX732" s="3054"/>
      <c r="AY732" s="3055"/>
      <c r="AZ732" s="3055"/>
      <c r="BA732" s="3055"/>
      <c r="BB732" s="3055"/>
      <c r="BC732" s="3055"/>
      <c r="BD732" s="3055"/>
      <c r="BE732" s="3055"/>
      <c r="BF732" s="3055"/>
      <c r="BG732" s="3055"/>
      <c r="BH732" s="3055"/>
      <c r="BI732" s="3055"/>
      <c r="BJ732" s="3055"/>
      <c r="BK732" s="3055"/>
      <c r="BL732" s="3056"/>
      <c r="BM732" s="3057">
        <f t="shared" si="16"/>
      </c>
      <c r="BN732" s="3054"/>
      <c r="BO732" s="3054"/>
      <c r="BP732" s="3055"/>
      <c r="BQ732" s="3055"/>
      <c r="BR732" s="3055"/>
      <c r="BS732" s="3055"/>
      <c r="BT732" s="3055"/>
      <c r="BU732" s="3055"/>
      <c r="BV732" s="3055"/>
      <c r="BW732" s="3055"/>
      <c r="BX732" s="3055"/>
      <c r="BY732" s="3055"/>
      <c r="BZ732" s="3055"/>
      <c r="CA732" s="3055"/>
      <c r="CB732" s="3055"/>
      <c r="CC732" s="3056"/>
      <c r="CD732" s="3057">
        <f t="shared" si="0"/>
      </c>
      <c r="CE732" s="3054"/>
      <c r="CF732" s="3054"/>
      <c r="CG732" s="3055"/>
      <c r="CH732" s="3055"/>
      <c r="CI732" s="3055"/>
      <c r="CJ732" s="3055"/>
      <c r="CK732" s="3055"/>
      <c r="CL732" s="3055"/>
      <c r="CM732" s="3055"/>
      <c r="CN732" s="3055"/>
      <c r="CO732" s="3055"/>
      <c r="CP732" s="3055"/>
      <c r="CQ732" s="3055"/>
      <c r="CR732" s="3055"/>
      <c r="CS732" s="3055"/>
      <c r="CU732" s="3054"/>
      <c r="CV732" s="696"/>
      <c r="CW732" s="696"/>
      <c r="CZ732" s="3060">
        <f t="shared" si="17"/>
      </c>
      <c r="DA732" s="3060">
        <f t="shared" si="1"/>
      </c>
      <c r="DB732" s="3060">
        <f t="shared" si="18"/>
      </c>
      <c r="DC732" s="3060">
        <f t="shared" si="19"/>
      </c>
      <c r="DD732" s="3060">
        <f t="shared" si="20"/>
      </c>
      <c r="DE732" s="3060">
        <f t="shared" si="21"/>
      </c>
      <c r="DF732" s="3060">
        <f t="shared" si="22"/>
      </c>
      <c r="DG732" s="3060">
        <f t="shared" si="23"/>
      </c>
      <c r="DH732" s="3060">
        <f t="shared" si="24"/>
      </c>
      <c r="DI732" s="3060">
        <f t="shared" si="1"/>
      </c>
    </row>
    <row r="733" ht="15" customHeight="1" s="3052" customFormat="1">
      <c r="B733" s="3054">
        <f t="shared" si="2"/>
      </c>
      <c r="C733" s="3054"/>
      <c r="D733" s="3054"/>
      <c r="E733" s="3055"/>
      <c r="F733" s="3055"/>
      <c r="G733" s="3055"/>
      <c r="H733" s="3055"/>
      <c r="I733" s="3055"/>
      <c r="J733" s="3055"/>
      <c r="K733" s="3055"/>
      <c r="L733" s="3055"/>
      <c r="M733" s="3055"/>
      <c r="N733" s="3055"/>
      <c r="O733" s="3055"/>
      <c r="P733" s="3055"/>
      <c r="Q733" s="3055"/>
      <c r="R733" s="3055">
        <f t="shared" si="3"/>
        <v>0</v>
      </c>
      <c r="S733" s="3055">
        <f t="shared" si="4"/>
        <v>0</v>
      </c>
      <c r="T733" s="3055">
        <f t="shared" si="5"/>
        <v>0</v>
      </c>
      <c r="U733" s="3055">
        <f t="shared" si="6"/>
        <v>0</v>
      </c>
      <c r="V733" s="3055">
        <f t="shared" si="7"/>
        <v>0</v>
      </c>
      <c r="W733" s="3055">
        <f t="shared" si="8"/>
        <v>0</v>
      </c>
      <c r="X733" s="3055">
        <f t="shared" si="9"/>
        <v>0</v>
      </c>
      <c r="Y733" s="3055">
        <f t="shared" si="10"/>
        <v>0</v>
      </c>
      <c r="Z733" s="3055">
        <f t="shared" si="11"/>
        <v>0</v>
      </c>
      <c r="AA733" s="3055">
        <f t="shared" si="12"/>
        <v>0</v>
      </c>
      <c r="AB733" s="3055">
        <f t="shared" si="13"/>
        <v>0</v>
      </c>
      <c r="AC733" s="3055">
        <f t="shared" si="14"/>
        <v>0</v>
      </c>
      <c r="AD733" s="3056"/>
      <c r="AE733" s="3057">
        <f t="shared" si="0"/>
      </c>
      <c r="AF733" s="3054"/>
      <c r="AG733" s="3054"/>
      <c r="AH733" s="3055"/>
      <c r="AI733" s="3055"/>
      <c r="AJ733" s="3055"/>
      <c r="AK733" s="3055"/>
      <c r="AL733" s="3055"/>
      <c r="AM733" s="3055"/>
      <c r="AN733" s="3055"/>
      <c r="AO733" s="3055"/>
      <c r="AP733" s="3055"/>
      <c r="AQ733" s="3055"/>
      <c r="AR733" s="3055"/>
      <c r="AS733" s="3055"/>
      <c r="AT733" s="3055"/>
      <c r="AU733" s="3056"/>
      <c r="AV733" s="3057">
        <f t="shared" si="15"/>
      </c>
      <c r="AW733" s="3054"/>
      <c r="AX733" s="3054"/>
      <c r="AY733" s="3055"/>
      <c r="AZ733" s="3055"/>
      <c r="BA733" s="3055"/>
      <c r="BB733" s="3055"/>
      <c r="BC733" s="3055"/>
      <c r="BD733" s="3055"/>
      <c r="BE733" s="3055"/>
      <c r="BF733" s="3055"/>
      <c r="BG733" s="3055"/>
      <c r="BH733" s="3055"/>
      <c r="BI733" s="3055"/>
      <c r="BJ733" s="3055"/>
      <c r="BK733" s="3055"/>
      <c r="BL733" s="3056"/>
      <c r="BM733" s="3057">
        <f t="shared" si="16"/>
      </c>
      <c r="BN733" s="3054"/>
      <c r="BO733" s="3054"/>
      <c r="BP733" s="3055"/>
      <c r="BQ733" s="3055"/>
      <c r="BR733" s="3055"/>
      <c r="BS733" s="3055"/>
      <c r="BT733" s="3055"/>
      <c r="BU733" s="3055"/>
      <c r="BV733" s="3055"/>
      <c r="BW733" s="3055"/>
      <c r="BX733" s="3055"/>
      <c r="BY733" s="3055"/>
      <c r="BZ733" s="3055"/>
      <c r="CA733" s="3055"/>
      <c r="CB733" s="3055"/>
      <c r="CC733" s="3056"/>
      <c r="CD733" s="3057">
        <f t="shared" si="0"/>
      </c>
      <c r="CE733" s="3054"/>
      <c r="CF733" s="3054"/>
      <c r="CG733" s="3055"/>
      <c r="CH733" s="3055"/>
      <c r="CI733" s="3055"/>
      <c r="CJ733" s="3055"/>
      <c r="CK733" s="3055"/>
      <c r="CL733" s="3055"/>
      <c r="CM733" s="3055"/>
      <c r="CN733" s="3055"/>
      <c r="CO733" s="3055"/>
      <c r="CP733" s="3055"/>
      <c r="CQ733" s="3055"/>
      <c r="CR733" s="3055"/>
      <c r="CS733" s="3055"/>
      <c r="CU733" s="3054"/>
      <c r="CV733" s="696"/>
      <c r="CW733" s="696"/>
      <c r="CZ733" s="3060">
        <f t="shared" si="17"/>
      </c>
      <c r="DA733" s="3060">
        <f t="shared" si="1"/>
      </c>
      <c r="DB733" s="3060">
        <f t="shared" si="18"/>
      </c>
      <c r="DC733" s="3060">
        <f t="shared" si="19"/>
      </c>
      <c r="DD733" s="3060">
        <f t="shared" si="20"/>
      </c>
      <c r="DE733" s="3060">
        <f t="shared" si="21"/>
      </c>
      <c r="DF733" s="3060">
        <f t="shared" si="22"/>
      </c>
      <c r="DG733" s="3060">
        <f t="shared" si="23"/>
      </c>
      <c r="DH733" s="3060">
        <f t="shared" si="24"/>
      </c>
      <c r="DI733" s="3060">
        <f t="shared" si="1"/>
      </c>
    </row>
    <row r="734" ht="15" customHeight="1" s="3052" customFormat="1">
      <c r="B734" s="3054">
        <f t="shared" si="2"/>
      </c>
      <c r="C734" s="3054"/>
      <c r="D734" s="3054"/>
      <c r="E734" s="3055"/>
      <c r="F734" s="3055"/>
      <c r="G734" s="3055"/>
      <c r="H734" s="3055"/>
      <c r="I734" s="3055"/>
      <c r="J734" s="3055"/>
      <c r="K734" s="3055"/>
      <c r="L734" s="3055"/>
      <c r="M734" s="3055"/>
      <c r="N734" s="3055"/>
      <c r="O734" s="3055"/>
      <c r="P734" s="3055"/>
      <c r="Q734" s="3055"/>
      <c r="R734" s="3055">
        <f t="shared" si="3"/>
        <v>0</v>
      </c>
      <c r="S734" s="3055">
        <f t="shared" si="4"/>
        <v>0</v>
      </c>
      <c r="T734" s="3055">
        <f t="shared" si="5"/>
        <v>0</v>
      </c>
      <c r="U734" s="3055">
        <f t="shared" si="6"/>
        <v>0</v>
      </c>
      <c r="V734" s="3055">
        <f t="shared" si="7"/>
        <v>0</v>
      </c>
      <c r="W734" s="3055">
        <f t="shared" si="8"/>
        <v>0</v>
      </c>
      <c r="X734" s="3055">
        <f t="shared" si="9"/>
        <v>0</v>
      </c>
      <c r="Y734" s="3055">
        <f t="shared" si="10"/>
        <v>0</v>
      </c>
      <c r="Z734" s="3055">
        <f t="shared" si="11"/>
        <v>0</v>
      </c>
      <c r="AA734" s="3055">
        <f t="shared" si="12"/>
        <v>0</v>
      </c>
      <c r="AB734" s="3055">
        <f t="shared" si="13"/>
        <v>0</v>
      </c>
      <c r="AC734" s="3055">
        <f t="shared" si="14"/>
        <v>0</v>
      </c>
      <c r="AD734" s="3056"/>
      <c r="AE734" s="3057">
        <f t="shared" si="0"/>
      </c>
      <c r="AF734" s="3054"/>
      <c r="AG734" s="3054"/>
      <c r="AH734" s="3055"/>
      <c r="AI734" s="3055"/>
      <c r="AJ734" s="3055"/>
      <c r="AK734" s="3055"/>
      <c r="AL734" s="3055"/>
      <c r="AM734" s="3055"/>
      <c r="AN734" s="3055"/>
      <c r="AO734" s="3055"/>
      <c r="AP734" s="3055"/>
      <c r="AQ734" s="3055"/>
      <c r="AR734" s="3055"/>
      <c r="AS734" s="3055"/>
      <c r="AT734" s="3055"/>
      <c r="AU734" s="3056"/>
      <c r="AV734" s="3057">
        <f t="shared" si="15"/>
      </c>
      <c r="AW734" s="3054"/>
      <c r="AX734" s="3054"/>
      <c r="AY734" s="3055"/>
      <c r="AZ734" s="3055"/>
      <c r="BA734" s="3055"/>
      <c r="BB734" s="3055"/>
      <c r="BC734" s="3055"/>
      <c r="BD734" s="3055"/>
      <c r="BE734" s="3055"/>
      <c r="BF734" s="3055"/>
      <c r="BG734" s="3055"/>
      <c r="BH734" s="3055"/>
      <c r="BI734" s="3055"/>
      <c r="BJ734" s="3055"/>
      <c r="BK734" s="3055"/>
      <c r="BL734" s="3056"/>
      <c r="BM734" s="3057">
        <f t="shared" si="16"/>
      </c>
      <c r="BN734" s="3054"/>
      <c r="BO734" s="3054"/>
      <c r="BP734" s="3055"/>
      <c r="BQ734" s="3055"/>
      <c r="BR734" s="3055"/>
      <c r="BS734" s="3055"/>
      <c r="BT734" s="3055"/>
      <c r="BU734" s="3055"/>
      <c r="BV734" s="3055"/>
      <c r="BW734" s="3055"/>
      <c r="BX734" s="3055"/>
      <c r="BY734" s="3055"/>
      <c r="BZ734" s="3055"/>
      <c r="CA734" s="3055"/>
      <c r="CB734" s="3055"/>
      <c r="CC734" s="3056"/>
      <c r="CD734" s="3057">
        <f t="shared" si="0"/>
      </c>
      <c r="CE734" s="3054"/>
      <c r="CF734" s="3054"/>
      <c r="CG734" s="3055"/>
      <c r="CH734" s="3055"/>
      <c r="CI734" s="3055"/>
      <c r="CJ734" s="3055"/>
      <c r="CK734" s="3055"/>
      <c r="CL734" s="3055"/>
      <c r="CM734" s="3055"/>
      <c r="CN734" s="3055"/>
      <c r="CO734" s="3055"/>
      <c r="CP734" s="3055"/>
      <c r="CQ734" s="3055"/>
      <c r="CR734" s="3055"/>
      <c r="CS734" s="3055"/>
      <c r="CU734" s="3054"/>
      <c r="CV734" s="696"/>
      <c r="CW734" s="696"/>
      <c r="CZ734" s="3060">
        <f t="shared" si="17"/>
      </c>
      <c r="DA734" s="3060">
        <f t="shared" si="1"/>
      </c>
      <c r="DB734" s="3060">
        <f t="shared" si="18"/>
      </c>
      <c r="DC734" s="3060">
        <f t="shared" si="19"/>
      </c>
      <c r="DD734" s="3060">
        <f t="shared" si="20"/>
      </c>
      <c r="DE734" s="3060">
        <f t="shared" si="21"/>
      </c>
      <c r="DF734" s="3060">
        <f t="shared" si="22"/>
      </c>
      <c r="DG734" s="3060">
        <f t="shared" si="23"/>
      </c>
      <c r="DH734" s="3060">
        <f t="shared" si="24"/>
      </c>
      <c r="DI734" s="3060">
        <f t="shared" si="1"/>
      </c>
    </row>
    <row r="735" ht="15" customHeight="1" s="3052" customFormat="1">
      <c r="B735" s="3054">
        <f t="shared" si="2"/>
      </c>
      <c r="C735" s="3054"/>
      <c r="D735" s="3054"/>
      <c r="E735" s="3055"/>
      <c r="F735" s="3055"/>
      <c r="G735" s="3055"/>
      <c r="H735" s="3055"/>
      <c r="I735" s="3055"/>
      <c r="J735" s="3055"/>
      <c r="K735" s="3055"/>
      <c r="L735" s="3055"/>
      <c r="M735" s="3055"/>
      <c r="N735" s="3055"/>
      <c r="O735" s="3055"/>
      <c r="P735" s="3055"/>
      <c r="Q735" s="3055"/>
      <c r="R735" s="3055">
        <f t="shared" si="3"/>
        <v>0</v>
      </c>
      <c r="S735" s="3055">
        <f t="shared" si="4"/>
        <v>0</v>
      </c>
      <c r="T735" s="3055">
        <f t="shared" si="5"/>
        <v>0</v>
      </c>
      <c r="U735" s="3055">
        <f t="shared" si="6"/>
        <v>0</v>
      </c>
      <c r="V735" s="3055">
        <f t="shared" si="7"/>
        <v>0</v>
      </c>
      <c r="W735" s="3055">
        <f t="shared" si="8"/>
        <v>0</v>
      </c>
      <c r="X735" s="3055">
        <f t="shared" si="9"/>
        <v>0</v>
      </c>
      <c r="Y735" s="3055">
        <f t="shared" si="10"/>
        <v>0</v>
      </c>
      <c r="Z735" s="3055">
        <f t="shared" si="11"/>
        <v>0</v>
      </c>
      <c r="AA735" s="3055">
        <f t="shared" si="12"/>
        <v>0</v>
      </c>
      <c r="AB735" s="3055">
        <f t="shared" si="13"/>
        <v>0</v>
      </c>
      <c r="AC735" s="3055">
        <f t="shared" si="14"/>
        <v>0</v>
      </c>
      <c r="AD735" s="3056"/>
      <c r="AE735" s="3057">
        <f t="shared" si="0"/>
      </c>
      <c r="AF735" s="3054"/>
      <c r="AG735" s="3054"/>
      <c r="AH735" s="3055"/>
      <c r="AI735" s="3055"/>
      <c r="AJ735" s="3055"/>
      <c r="AK735" s="3055"/>
      <c r="AL735" s="3055"/>
      <c r="AM735" s="3055"/>
      <c r="AN735" s="3055"/>
      <c r="AO735" s="3055"/>
      <c r="AP735" s="3055"/>
      <c r="AQ735" s="3055"/>
      <c r="AR735" s="3055"/>
      <c r="AS735" s="3055"/>
      <c r="AT735" s="3055"/>
      <c r="AU735" s="3056"/>
      <c r="AV735" s="3057">
        <f t="shared" si="15"/>
      </c>
      <c r="AW735" s="3054"/>
      <c r="AX735" s="3054"/>
      <c r="AY735" s="3055"/>
      <c r="AZ735" s="3055"/>
      <c r="BA735" s="3055"/>
      <c r="BB735" s="3055"/>
      <c r="BC735" s="3055"/>
      <c r="BD735" s="3055"/>
      <c r="BE735" s="3055"/>
      <c r="BF735" s="3055"/>
      <c r="BG735" s="3055"/>
      <c r="BH735" s="3055"/>
      <c r="BI735" s="3055"/>
      <c r="BJ735" s="3055"/>
      <c r="BK735" s="3055"/>
      <c r="BL735" s="3056"/>
      <c r="BM735" s="3057">
        <f t="shared" si="16"/>
      </c>
      <c r="BN735" s="3054"/>
      <c r="BO735" s="3054"/>
      <c r="BP735" s="3055"/>
      <c r="BQ735" s="3055"/>
      <c r="BR735" s="3055"/>
      <c r="BS735" s="3055"/>
      <c r="BT735" s="3055"/>
      <c r="BU735" s="3055"/>
      <c r="BV735" s="3055"/>
      <c r="BW735" s="3055"/>
      <c r="BX735" s="3055"/>
      <c r="BY735" s="3055"/>
      <c r="BZ735" s="3055"/>
      <c r="CA735" s="3055"/>
      <c r="CB735" s="3055"/>
      <c r="CC735" s="3056"/>
      <c r="CD735" s="3057">
        <f t="shared" si="0"/>
      </c>
      <c r="CE735" s="3054"/>
      <c r="CF735" s="3054"/>
      <c r="CG735" s="3055"/>
      <c r="CH735" s="3055"/>
      <c r="CI735" s="3055"/>
      <c r="CJ735" s="3055"/>
      <c r="CK735" s="3055"/>
      <c r="CL735" s="3055"/>
      <c r="CM735" s="3055"/>
      <c r="CN735" s="3055"/>
      <c r="CO735" s="3055"/>
      <c r="CP735" s="3055"/>
      <c r="CQ735" s="3055"/>
      <c r="CR735" s="3055"/>
      <c r="CS735" s="3055"/>
      <c r="CU735" s="3054"/>
      <c r="CV735" s="696"/>
      <c r="CW735" s="696"/>
      <c r="CZ735" s="3060">
        <f t="shared" si="17"/>
      </c>
      <c r="DA735" s="3060">
        <f t="shared" si="1"/>
      </c>
      <c r="DB735" s="3060">
        <f t="shared" si="18"/>
      </c>
      <c r="DC735" s="3060">
        <f t="shared" si="19"/>
      </c>
      <c r="DD735" s="3060">
        <f t="shared" si="20"/>
      </c>
      <c r="DE735" s="3060">
        <f t="shared" si="21"/>
      </c>
      <c r="DF735" s="3060">
        <f t="shared" si="22"/>
      </c>
      <c r="DG735" s="3060">
        <f t="shared" si="23"/>
      </c>
      <c r="DH735" s="3060">
        <f t="shared" si="24"/>
      </c>
      <c r="DI735" s="3060">
        <f t="shared" si="1"/>
      </c>
    </row>
    <row r="736" ht="15" customHeight="1" s="3052" customFormat="1">
      <c r="B736" s="3054">
        <f t="shared" si="2"/>
      </c>
      <c r="C736" s="3054"/>
      <c r="D736" s="3054"/>
      <c r="E736" s="3055"/>
      <c r="F736" s="3055"/>
      <c r="G736" s="3055"/>
      <c r="H736" s="3055"/>
      <c r="I736" s="3055"/>
      <c r="J736" s="3055"/>
      <c r="K736" s="3055"/>
      <c r="L736" s="3055"/>
      <c r="M736" s="3055"/>
      <c r="N736" s="3055"/>
      <c r="O736" s="3055"/>
      <c r="P736" s="3055"/>
      <c r="Q736" s="3055"/>
      <c r="R736" s="3055">
        <f t="shared" si="3"/>
        <v>0</v>
      </c>
      <c r="S736" s="3055">
        <f t="shared" si="4"/>
        <v>0</v>
      </c>
      <c r="T736" s="3055">
        <f t="shared" si="5"/>
        <v>0</v>
      </c>
      <c r="U736" s="3055">
        <f t="shared" si="6"/>
        <v>0</v>
      </c>
      <c r="V736" s="3055">
        <f t="shared" si="7"/>
        <v>0</v>
      </c>
      <c r="W736" s="3055">
        <f t="shared" si="8"/>
        <v>0</v>
      </c>
      <c r="X736" s="3055">
        <f t="shared" si="9"/>
        <v>0</v>
      </c>
      <c r="Y736" s="3055">
        <f t="shared" si="10"/>
        <v>0</v>
      </c>
      <c r="Z736" s="3055">
        <f t="shared" si="11"/>
        <v>0</v>
      </c>
      <c r="AA736" s="3055">
        <f t="shared" si="12"/>
        <v>0</v>
      </c>
      <c r="AB736" s="3055">
        <f t="shared" si="13"/>
        <v>0</v>
      </c>
      <c r="AC736" s="3055">
        <f t="shared" si="14"/>
        <v>0</v>
      </c>
      <c r="AD736" s="3056"/>
      <c r="AE736" s="3057">
        <f t="shared" si="0"/>
      </c>
      <c r="AF736" s="3054"/>
      <c r="AG736" s="3054"/>
      <c r="AH736" s="3055"/>
      <c r="AI736" s="3055"/>
      <c r="AJ736" s="3055"/>
      <c r="AK736" s="3055"/>
      <c r="AL736" s="3055"/>
      <c r="AM736" s="3055"/>
      <c r="AN736" s="3055"/>
      <c r="AO736" s="3055"/>
      <c r="AP736" s="3055"/>
      <c r="AQ736" s="3055"/>
      <c r="AR736" s="3055"/>
      <c r="AS736" s="3055"/>
      <c r="AT736" s="3055"/>
      <c r="AU736" s="3056"/>
      <c r="AV736" s="3057">
        <f t="shared" si="15"/>
      </c>
      <c r="AW736" s="3054"/>
      <c r="AX736" s="3054"/>
      <c r="AY736" s="3055"/>
      <c r="AZ736" s="3055"/>
      <c r="BA736" s="3055"/>
      <c r="BB736" s="3055"/>
      <c r="BC736" s="3055"/>
      <c r="BD736" s="3055"/>
      <c r="BE736" s="3055"/>
      <c r="BF736" s="3055"/>
      <c r="BG736" s="3055"/>
      <c r="BH736" s="3055"/>
      <c r="BI736" s="3055"/>
      <c r="BJ736" s="3055"/>
      <c r="BK736" s="3055"/>
      <c r="BL736" s="3056"/>
      <c r="BM736" s="3057">
        <f t="shared" si="16"/>
      </c>
      <c r="BN736" s="3054"/>
      <c r="BO736" s="3054"/>
      <c r="BP736" s="3055"/>
      <c r="BQ736" s="3055"/>
      <c r="BR736" s="3055"/>
      <c r="BS736" s="3055"/>
      <c r="BT736" s="3055"/>
      <c r="BU736" s="3055"/>
      <c r="BV736" s="3055"/>
      <c r="BW736" s="3055"/>
      <c r="BX736" s="3055"/>
      <c r="BY736" s="3055"/>
      <c r="BZ736" s="3055"/>
      <c r="CA736" s="3055"/>
      <c r="CB736" s="3055"/>
      <c r="CC736" s="3056"/>
      <c r="CD736" s="3057">
        <f t="shared" si="0"/>
      </c>
      <c r="CE736" s="3054"/>
      <c r="CF736" s="3054"/>
      <c r="CG736" s="3055"/>
      <c r="CH736" s="3055"/>
      <c r="CI736" s="3055"/>
      <c r="CJ736" s="3055"/>
      <c r="CK736" s="3055"/>
      <c r="CL736" s="3055"/>
      <c r="CM736" s="3055"/>
      <c r="CN736" s="3055"/>
      <c r="CO736" s="3055"/>
      <c r="CP736" s="3055"/>
      <c r="CQ736" s="3055"/>
      <c r="CR736" s="3055"/>
      <c r="CS736" s="3055"/>
      <c r="CU736" s="3054"/>
      <c r="CV736" s="696"/>
      <c r="CW736" s="696"/>
      <c r="CZ736" s="3060">
        <f t="shared" si="17"/>
      </c>
      <c r="DA736" s="3060">
        <f t="shared" si="1"/>
      </c>
      <c r="DB736" s="3060">
        <f t="shared" si="18"/>
      </c>
      <c r="DC736" s="3060">
        <f t="shared" si="19"/>
      </c>
      <c r="DD736" s="3060">
        <f t="shared" si="20"/>
      </c>
      <c r="DE736" s="3060">
        <f t="shared" si="21"/>
      </c>
      <c r="DF736" s="3060">
        <f t="shared" si="22"/>
      </c>
      <c r="DG736" s="3060">
        <f t="shared" si="23"/>
      </c>
      <c r="DH736" s="3060">
        <f t="shared" si="24"/>
      </c>
      <c r="DI736" s="3060">
        <f t="shared" si="1"/>
      </c>
    </row>
    <row r="737" ht="15" customHeight="1" s="3052" customFormat="1">
      <c r="B737" s="3054">
        <f t="shared" si="2"/>
      </c>
      <c r="C737" s="3054"/>
      <c r="D737" s="3054"/>
      <c r="E737" s="3055"/>
      <c r="F737" s="3055"/>
      <c r="G737" s="3055"/>
      <c r="H737" s="3055"/>
      <c r="I737" s="3055"/>
      <c r="J737" s="3055"/>
      <c r="K737" s="3055"/>
      <c r="L737" s="3055"/>
      <c r="M737" s="3055"/>
      <c r="N737" s="3055"/>
      <c r="O737" s="3055"/>
      <c r="P737" s="3055"/>
      <c r="Q737" s="3055"/>
      <c r="R737" s="3055">
        <f t="shared" si="3"/>
        <v>0</v>
      </c>
      <c r="S737" s="3055">
        <f t="shared" si="4"/>
        <v>0</v>
      </c>
      <c r="T737" s="3055">
        <f t="shared" si="5"/>
        <v>0</v>
      </c>
      <c r="U737" s="3055">
        <f t="shared" si="6"/>
        <v>0</v>
      </c>
      <c r="V737" s="3055">
        <f t="shared" si="7"/>
        <v>0</v>
      </c>
      <c r="W737" s="3055">
        <f t="shared" si="8"/>
        <v>0</v>
      </c>
      <c r="X737" s="3055">
        <f t="shared" si="9"/>
        <v>0</v>
      </c>
      <c r="Y737" s="3055">
        <f t="shared" si="10"/>
        <v>0</v>
      </c>
      <c r="Z737" s="3055">
        <f t="shared" si="11"/>
        <v>0</v>
      </c>
      <c r="AA737" s="3055">
        <f t="shared" si="12"/>
        <v>0</v>
      </c>
      <c r="AB737" s="3055">
        <f t="shared" si="13"/>
        <v>0</v>
      </c>
      <c r="AC737" s="3055">
        <f t="shared" si="14"/>
        <v>0</v>
      </c>
      <c r="AD737" s="3056"/>
      <c r="AE737" s="3057">
        <f t="shared" si="0"/>
      </c>
      <c r="AF737" s="3054"/>
      <c r="AG737" s="3054"/>
      <c r="AH737" s="3055"/>
      <c r="AI737" s="3055"/>
      <c r="AJ737" s="3055"/>
      <c r="AK737" s="3055"/>
      <c r="AL737" s="3055"/>
      <c r="AM737" s="3055"/>
      <c r="AN737" s="3055"/>
      <c r="AO737" s="3055"/>
      <c r="AP737" s="3055"/>
      <c r="AQ737" s="3055"/>
      <c r="AR737" s="3055"/>
      <c r="AS737" s="3055"/>
      <c r="AT737" s="3055"/>
      <c r="AU737" s="3056"/>
      <c r="AV737" s="3057">
        <f t="shared" si="15"/>
      </c>
      <c r="AW737" s="3054"/>
      <c r="AX737" s="3054"/>
      <c r="AY737" s="3055"/>
      <c r="AZ737" s="3055"/>
      <c r="BA737" s="3055"/>
      <c r="BB737" s="3055"/>
      <c r="BC737" s="3055"/>
      <c r="BD737" s="3055"/>
      <c r="BE737" s="3055"/>
      <c r="BF737" s="3055"/>
      <c r="BG737" s="3055"/>
      <c r="BH737" s="3055"/>
      <c r="BI737" s="3055"/>
      <c r="BJ737" s="3055"/>
      <c r="BK737" s="3055"/>
      <c r="BL737" s="3056"/>
      <c r="BM737" s="3057">
        <f t="shared" si="16"/>
      </c>
      <c r="BN737" s="3054"/>
      <c r="BO737" s="3054"/>
      <c r="BP737" s="3055"/>
      <c r="BQ737" s="3055"/>
      <c r="BR737" s="3055"/>
      <c r="BS737" s="3055"/>
      <c r="BT737" s="3055"/>
      <c r="BU737" s="3055"/>
      <c r="BV737" s="3055"/>
      <c r="BW737" s="3055"/>
      <c r="BX737" s="3055"/>
      <c r="BY737" s="3055"/>
      <c r="BZ737" s="3055"/>
      <c r="CA737" s="3055"/>
      <c r="CB737" s="3055"/>
      <c r="CC737" s="3056"/>
      <c r="CD737" s="3057">
        <f t="shared" si="0"/>
      </c>
      <c r="CE737" s="3054"/>
      <c r="CF737" s="3054"/>
      <c r="CG737" s="3055"/>
      <c r="CH737" s="3055"/>
      <c r="CI737" s="3055"/>
      <c r="CJ737" s="3055"/>
      <c r="CK737" s="3055"/>
      <c r="CL737" s="3055"/>
      <c r="CM737" s="3055"/>
      <c r="CN737" s="3055"/>
      <c r="CO737" s="3055"/>
      <c r="CP737" s="3055"/>
      <c r="CQ737" s="3055"/>
      <c r="CR737" s="3055"/>
      <c r="CS737" s="3055"/>
      <c r="CU737" s="3054"/>
      <c r="CV737" s="696"/>
      <c r="CW737" s="696"/>
      <c r="CZ737" s="3060">
        <f t="shared" si="17"/>
      </c>
      <c r="DA737" s="3060">
        <f t="shared" si="1"/>
      </c>
      <c r="DB737" s="3060">
        <f t="shared" si="18"/>
      </c>
      <c r="DC737" s="3060">
        <f t="shared" si="19"/>
      </c>
      <c r="DD737" s="3060">
        <f t="shared" si="20"/>
      </c>
      <c r="DE737" s="3060">
        <f t="shared" si="21"/>
      </c>
      <c r="DF737" s="3060">
        <f t="shared" si="22"/>
      </c>
      <c r="DG737" s="3060">
        <f t="shared" si="23"/>
      </c>
      <c r="DH737" s="3060">
        <f t="shared" si="24"/>
      </c>
      <c r="DI737" s="3060">
        <f t="shared" si="1"/>
      </c>
    </row>
    <row r="738" ht="15" customHeight="1" s="3052" customFormat="1">
      <c r="B738" s="3054">
        <f t="shared" si="2"/>
      </c>
      <c r="C738" s="3054"/>
      <c r="D738" s="3054"/>
      <c r="E738" s="3055"/>
      <c r="F738" s="3055"/>
      <c r="G738" s="3055"/>
      <c r="H738" s="3055"/>
      <c r="I738" s="3055"/>
      <c r="J738" s="3055"/>
      <c r="K738" s="3055"/>
      <c r="L738" s="3055"/>
      <c r="M738" s="3055"/>
      <c r="N738" s="3055"/>
      <c r="O738" s="3055"/>
      <c r="P738" s="3055"/>
      <c r="Q738" s="3055"/>
      <c r="R738" s="3055">
        <f t="shared" si="3"/>
        <v>0</v>
      </c>
      <c r="S738" s="3055">
        <f t="shared" si="4"/>
        <v>0</v>
      </c>
      <c r="T738" s="3055">
        <f t="shared" si="5"/>
        <v>0</v>
      </c>
      <c r="U738" s="3055">
        <f t="shared" si="6"/>
        <v>0</v>
      </c>
      <c r="V738" s="3055">
        <f t="shared" si="7"/>
        <v>0</v>
      </c>
      <c r="W738" s="3055">
        <f t="shared" si="8"/>
        <v>0</v>
      </c>
      <c r="X738" s="3055">
        <f t="shared" si="9"/>
        <v>0</v>
      </c>
      <c r="Y738" s="3055">
        <f t="shared" si="10"/>
        <v>0</v>
      </c>
      <c r="Z738" s="3055">
        <f t="shared" si="11"/>
        <v>0</v>
      </c>
      <c r="AA738" s="3055">
        <f t="shared" si="12"/>
        <v>0</v>
      </c>
      <c r="AB738" s="3055">
        <f t="shared" si="13"/>
        <v>0</v>
      </c>
      <c r="AC738" s="3055">
        <f t="shared" si="14"/>
        <v>0</v>
      </c>
      <c r="AD738" s="3056"/>
      <c r="AE738" s="3057">
        <f t="shared" si="0"/>
      </c>
      <c r="AF738" s="3054"/>
      <c r="AG738" s="3054"/>
      <c r="AH738" s="3055"/>
      <c r="AI738" s="3055"/>
      <c r="AJ738" s="3055"/>
      <c r="AK738" s="3055"/>
      <c r="AL738" s="3055"/>
      <c r="AM738" s="3055"/>
      <c r="AN738" s="3055"/>
      <c r="AO738" s="3055"/>
      <c r="AP738" s="3055"/>
      <c r="AQ738" s="3055"/>
      <c r="AR738" s="3055"/>
      <c r="AS738" s="3055"/>
      <c r="AT738" s="3055"/>
      <c r="AU738" s="3056"/>
      <c r="AV738" s="3057">
        <f t="shared" si="15"/>
      </c>
      <c r="AW738" s="3054"/>
      <c r="AX738" s="3054"/>
      <c r="AY738" s="3055"/>
      <c r="AZ738" s="3055"/>
      <c r="BA738" s="3055"/>
      <c r="BB738" s="3055"/>
      <c r="BC738" s="3055"/>
      <c r="BD738" s="3055"/>
      <c r="BE738" s="3055"/>
      <c r="BF738" s="3055"/>
      <c r="BG738" s="3055"/>
      <c r="BH738" s="3055"/>
      <c r="BI738" s="3055"/>
      <c r="BJ738" s="3055"/>
      <c r="BK738" s="3055"/>
      <c r="BL738" s="3056"/>
      <c r="BM738" s="3057">
        <f t="shared" si="16"/>
      </c>
      <c r="BN738" s="3054"/>
      <c r="BO738" s="3054"/>
      <c r="BP738" s="3055"/>
      <c r="BQ738" s="3055"/>
      <c r="BR738" s="3055"/>
      <c r="BS738" s="3055"/>
      <c r="BT738" s="3055"/>
      <c r="BU738" s="3055"/>
      <c r="BV738" s="3055"/>
      <c r="BW738" s="3055"/>
      <c r="BX738" s="3055"/>
      <c r="BY738" s="3055"/>
      <c r="BZ738" s="3055"/>
      <c r="CA738" s="3055"/>
      <c r="CB738" s="3055"/>
      <c r="CC738" s="3056"/>
      <c r="CD738" s="3057">
        <f t="shared" si="0"/>
      </c>
      <c r="CE738" s="3054"/>
      <c r="CF738" s="3054"/>
      <c r="CG738" s="3055"/>
      <c r="CH738" s="3055"/>
      <c r="CI738" s="3055"/>
      <c r="CJ738" s="3055"/>
      <c r="CK738" s="3055"/>
      <c r="CL738" s="3055"/>
      <c r="CM738" s="3055"/>
      <c r="CN738" s="3055"/>
      <c r="CO738" s="3055"/>
      <c r="CP738" s="3055"/>
      <c r="CQ738" s="3055"/>
      <c r="CR738" s="3055"/>
      <c r="CS738" s="3055"/>
      <c r="CU738" s="3054"/>
      <c r="CV738" s="696"/>
      <c r="CW738" s="696"/>
      <c r="CZ738" s="3060">
        <f t="shared" si="17"/>
      </c>
      <c r="DA738" s="3060">
        <f t="shared" si="1"/>
      </c>
      <c r="DB738" s="3060">
        <f t="shared" si="18"/>
      </c>
      <c r="DC738" s="3060">
        <f t="shared" si="19"/>
      </c>
      <c r="DD738" s="3060">
        <f t="shared" si="20"/>
      </c>
      <c r="DE738" s="3060">
        <f t="shared" si="21"/>
      </c>
      <c r="DF738" s="3060">
        <f t="shared" si="22"/>
      </c>
      <c r="DG738" s="3060">
        <f t="shared" si="23"/>
      </c>
      <c r="DH738" s="3060">
        <f t="shared" si="24"/>
      </c>
      <c r="DI738" s="3060">
        <f t="shared" si="1"/>
      </c>
    </row>
    <row r="739" ht="15" customHeight="1" s="3052" customFormat="1">
      <c r="B739" s="3054">
        <f t="shared" si="2"/>
      </c>
      <c r="C739" s="3054"/>
      <c r="D739" s="3054"/>
      <c r="E739" s="3055"/>
      <c r="F739" s="3055"/>
      <c r="G739" s="3055"/>
      <c r="H739" s="3055"/>
      <c r="I739" s="3055"/>
      <c r="J739" s="3055"/>
      <c r="K739" s="3055"/>
      <c r="L739" s="3055"/>
      <c r="M739" s="3055"/>
      <c r="N739" s="3055"/>
      <c r="O739" s="3055"/>
      <c r="P739" s="3055"/>
      <c r="Q739" s="3055"/>
      <c r="R739" s="3055">
        <f t="shared" si="3"/>
        <v>0</v>
      </c>
      <c r="S739" s="3055">
        <f t="shared" si="4"/>
        <v>0</v>
      </c>
      <c r="T739" s="3055">
        <f t="shared" si="5"/>
        <v>0</v>
      </c>
      <c r="U739" s="3055">
        <f t="shared" si="6"/>
        <v>0</v>
      </c>
      <c r="V739" s="3055">
        <f t="shared" si="7"/>
        <v>0</v>
      </c>
      <c r="W739" s="3055">
        <f t="shared" si="8"/>
        <v>0</v>
      </c>
      <c r="X739" s="3055">
        <f t="shared" si="9"/>
        <v>0</v>
      </c>
      <c r="Y739" s="3055">
        <f t="shared" si="10"/>
        <v>0</v>
      </c>
      <c r="Z739" s="3055">
        <f t="shared" si="11"/>
        <v>0</v>
      </c>
      <c r="AA739" s="3055">
        <f t="shared" si="12"/>
        <v>0</v>
      </c>
      <c r="AB739" s="3055">
        <f t="shared" si="13"/>
        <v>0</v>
      </c>
      <c r="AC739" s="3055">
        <f t="shared" si="14"/>
        <v>0</v>
      </c>
      <c r="AD739" s="3056"/>
      <c r="AE739" s="3057">
        <f t="shared" si="0"/>
      </c>
      <c r="AF739" s="3054"/>
      <c r="AG739" s="3054"/>
      <c r="AH739" s="3055"/>
      <c r="AI739" s="3055"/>
      <c r="AJ739" s="3055"/>
      <c r="AK739" s="3055"/>
      <c r="AL739" s="3055"/>
      <c r="AM739" s="3055"/>
      <c r="AN739" s="3055"/>
      <c r="AO739" s="3055"/>
      <c r="AP739" s="3055"/>
      <c r="AQ739" s="3055"/>
      <c r="AR739" s="3055"/>
      <c r="AS739" s="3055"/>
      <c r="AT739" s="3055"/>
      <c r="AU739" s="3056"/>
      <c r="AV739" s="3057">
        <f t="shared" si="15"/>
      </c>
      <c r="AW739" s="3054"/>
      <c r="AX739" s="3054"/>
      <c r="AY739" s="3055"/>
      <c r="AZ739" s="3055"/>
      <c r="BA739" s="3055"/>
      <c r="BB739" s="3055"/>
      <c r="BC739" s="3055"/>
      <c r="BD739" s="3055"/>
      <c r="BE739" s="3055"/>
      <c r="BF739" s="3055"/>
      <c r="BG739" s="3055"/>
      <c r="BH739" s="3055"/>
      <c r="BI739" s="3055"/>
      <c r="BJ739" s="3055"/>
      <c r="BK739" s="3055"/>
      <c r="BL739" s="3056"/>
      <c r="BM739" s="3057">
        <f t="shared" si="16"/>
      </c>
      <c r="BN739" s="3054"/>
      <c r="BO739" s="3054"/>
      <c r="BP739" s="3055"/>
      <c r="BQ739" s="3055"/>
      <c r="BR739" s="3055"/>
      <c r="BS739" s="3055"/>
      <c r="BT739" s="3055"/>
      <c r="BU739" s="3055"/>
      <c r="BV739" s="3055"/>
      <c r="BW739" s="3055"/>
      <c r="BX739" s="3055"/>
      <c r="BY739" s="3055"/>
      <c r="BZ739" s="3055"/>
      <c r="CA739" s="3055"/>
      <c r="CB739" s="3055"/>
      <c r="CC739" s="3056"/>
      <c r="CD739" s="3057">
        <f t="shared" si="0"/>
      </c>
      <c r="CE739" s="3054"/>
      <c r="CF739" s="3054"/>
      <c r="CG739" s="3055"/>
      <c r="CH739" s="3055"/>
      <c r="CI739" s="3055"/>
      <c r="CJ739" s="3055"/>
      <c r="CK739" s="3055"/>
      <c r="CL739" s="3055"/>
      <c r="CM739" s="3055"/>
      <c r="CN739" s="3055"/>
      <c r="CO739" s="3055"/>
      <c r="CP739" s="3055"/>
      <c r="CQ739" s="3055"/>
      <c r="CR739" s="3055"/>
      <c r="CS739" s="3055"/>
      <c r="CU739" s="3054"/>
      <c r="CV739" s="696"/>
      <c r="CW739" s="696"/>
      <c r="CZ739" s="3060">
        <f t="shared" si="17"/>
      </c>
      <c r="DA739" s="3060">
        <f t="shared" si="1"/>
      </c>
      <c r="DB739" s="3060">
        <f t="shared" si="18"/>
      </c>
      <c r="DC739" s="3060">
        <f t="shared" si="19"/>
      </c>
      <c r="DD739" s="3060">
        <f t="shared" si="20"/>
      </c>
      <c r="DE739" s="3060">
        <f t="shared" si="21"/>
      </c>
      <c r="DF739" s="3060">
        <f t="shared" si="22"/>
      </c>
      <c r="DG739" s="3060">
        <f t="shared" si="23"/>
      </c>
      <c r="DH739" s="3060">
        <f t="shared" si="24"/>
      </c>
      <c r="DI739" s="3060">
        <f t="shared" si="1"/>
      </c>
    </row>
    <row r="740" ht="15" customHeight="1" s="3052" customFormat="1">
      <c r="B740" s="3054">
        <f t="shared" si="2"/>
      </c>
      <c r="C740" s="3054"/>
      <c r="D740" s="3054"/>
      <c r="E740" s="3055"/>
      <c r="F740" s="3055"/>
      <c r="G740" s="3055"/>
      <c r="H740" s="3055"/>
      <c r="I740" s="3055"/>
      <c r="J740" s="3055"/>
      <c r="K740" s="3055"/>
      <c r="L740" s="3055"/>
      <c r="M740" s="3055"/>
      <c r="N740" s="3055"/>
      <c r="O740" s="3055"/>
      <c r="P740" s="3055"/>
      <c r="Q740" s="3055"/>
      <c r="R740" s="3055">
        <f t="shared" si="3"/>
        <v>0</v>
      </c>
      <c r="S740" s="3055">
        <f t="shared" si="4"/>
        <v>0</v>
      </c>
      <c r="T740" s="3055">
        <f t="shared" si="5"/>
        <v>0</v>
      </c>
      <c r="U740" s="3055">
        <f t="shared" si="6"/>
        <v>0</v>
      </c>
      <c r="V740" s="3055">
        <f t="shared" si="7"/>
        <v>0</v>
      </c>
      <c r="W740" s="3055">
        <f t="shared" si="8"/>
        <v>0</v>
      </c>
      <c r="X740" s="3055">
        <f t="shared" si="9"/>
        <v>0</v>
      </c>
      <c r="Y740" s="3055">
        <f t="shared" si="10"/>
        <v>0</v>
      </c>
      <c r="Z740" s="3055">
        <f t="shared" si="11"/>
        <v>0</v>
      </c>
      <c r="AA740" s="3055">
        <f t="shared" si="12"/>
        <v>0</v>
      </c>
      <c r="AB740" s="3055">
        <f t="shared" si="13"/>
        <v>0</v>
      </c>
      <c r="AC740" s="3055">
        <f t="shared" si="14"/>
        <v>0</v>
      </c>
      <c r="AD740" s="3056"/>
      <c r="AE740" s="3057">
        <f t="shared" si="0"/>
      </c>
      <c r="AF740" s="3054"/>
      <c r="AG740" s="3054"/>
      <c r="AH740" s="3055"/>
      <c r="AI740" s="3055"/>
      <c r="AJ740" s="3055"/>
      <c r="AK740" s="3055"/>
      <c r="AL740" s="3055"/>
      <c r="AM740" s="3055"/>
      <c r="AN740" s="3055"/>
      <c r="AO740" s="3055"/>
      <c r="AP740" s="3055"/>
      <c r="AQ740" s="3055"/>
      <c r="AR740" s="3055"/>
      <c r="AS740" s="3055"/>
      <c r="AT740" s="3055"/>
      <c r="AU740" s="3056"/>
      <c r="AV740" s="3057">
        <f t="shared" si="15"/>
      </c>
      <c r="AW740" s="3054"/>
      <c r="AX740" s="3054"/>
      <c r="AY740" s="3055"/>
      <c r="AZ740" s="3055"/>
      <c r="BA740" s="3055"/>
      <c r="BB740" s="3055"/>
      <c r="BC740" s="3055"/>
      <c r="BD740" s="3055"/>
      <c r="BE740" s="3055"/>
      <c r="BF740" s="3055"/>
      <c r="BG740" s="3055"/>
      <c r="BH740" s="3055"/>
      <c r="BI740" s="3055"/>
      <c r="BJ740" s="3055"/>
      <c r="BK740" s="3055"/>
      <c r="BL740" s="3056"/>
      <c r="BM740" s="3057">
        <f t="shared" si="16"/>
      </c>
      <c r="BN740" s="3054"/>
      <c r="BO740" s="3054"/>
      <c r="BP740" s="3055"/>
      <c r="BQ740" s="3055"/>
      <c r="BR740" s="3055"/>
      <c r="BS740" s="3055"/>
      <c r="BT740" s="3055"/>
      <c r="BU740" s="3055"/>
      <c r="BV740" s="3055"/>
      <c r="BW740" s="3055"/>
      <c r="BX740" s="3055"/>
      <c r="BY740" s="3055"/>
      <c r="BZ740" s="3055"/>
      <c r="CA740" s="3055"/>
      <c r="CB740" s="3055"/>
      <c r="CC740" s="3056"/>
      <c r="CD740" s="3057">
        <f t="shared" si="0"/>
      </c>
      <c r="CE740" s="3054"/>
      <c r="CF740" s="3054"/>
      <c r="CG740" s="3055"/>
      <c r="CH740" s="3055"/>
      <c r="CI740" s="3055"/>
      <c r="CJ740" s="3055"/>
      <c r="CK740" s="3055"/>
      <c r="CL740" s="3055"/>
      <c r="CM740" s="3055"/>
      <c r="CN740" s="3055"/>
      <c r="CO740" s="3055"/>
      <c r="CP740" s="3055"/>
      <c r="CQ740" s="3055"/>
      <c r="CR740" s="3055"/>
      <c r="CS740" s="3055"/>
      <c r="CU740" s="3054"/>
      <c r="CV740" s="696"/>
      <c r="CW740" s="696"/>
      <c r="CZ740" s="3060">
        <f t="shared" si="17"/>
      </c>
      <c r="DA740" s="3060">
        <f t="shared" si="1"/>
      </c>
      <c r="DB740" s="3060">
        <f t="shared" si="18"/>
      </c>
      <c r="DC740" s="3060">
        <f t="shared" si="19"/>
      </c>
      <c r="DD740" s="3060">
        <f t="shared" si="20"/>
      </c>
      <c r="DE740" s="3060">
        <f t="shared" si="21"/>
      </c>
      <c r="DF740" s="3060">
        <f t="shared" si="22"/>
      </c>
      <c r="DG740" s="3060">
        <f t="shared" si="23"/>
      </c>
      <c r="DH740" s="3060">
        <f t="shared" si="24"/>
      </c>
      <c r="DI740" s="3060">
        <f t="shared" si="1"/>
      </c>
    </row>
    <row r="741" ht="15" customHeight="1" s="3052" customFormat="1">
      <c r="B741" s="3054">
        <f t="shared" si="2"/>
      </c>
      <c r="C741" s="3054"/>
      <c r="D741" s="3054"/>
      <c r="E741" s="3055"/>
      <c r="F741" s="3055"/>
      <c r="G741" s="3055"/>
      <c r="H741" s="3055"/>
      <c r="I741" s="3055"/>
      <c r="J741" s="3055"/>
      <c r="K741" s="3055"/>
      <c r="L741" s="3055"/>
      <c r="M741" s="3055"/>
      <c r="N741" s="3055"/>
      <c r="O741" s="3055"/>
      <c r="P741" s="3055"/>
      <c r="Q741" s="3055"/>
      <c r="R741" s="3055">
        <f t="shared" si="3"/>
        <v>0</v>
      </c>
      <c r="S741" s="3055">
        <f t="shared" si="4"/>
        <v>0</v>
      </c>
      <c r="T741" s="3055">
        <f t="shared" si="5"/>
        <v>0</v>
      </c>
      <c r="U741" s="3055">
        <f t="shared" si="6"/>
        <v>0</v>
      </c>
      <c r="V741" s="3055">
        <f t="shared" si="7"/>
        <v>0</v>
      </c>
      <c r="W741" s="3055">
        <f t="shared" si="8"/>
        <v>0</v>
      </c>
      <c r="X741" s="3055">
        <f t="shared" si="9"/>
        <v>0</v>
      </c>
      <c r="Y741" s="3055">
        <f t="shared" si="10"/>
        <v>0</v>
      </c>
      <c r="Z741" s="3055">
        <f t="shared" si="11"/>
        <v>0</v>
      </c>
      <c r="AA741" s="3055">
        <f t="shared" si="12"/>
        <v>0</v>
      </c>
      <c r="AB741" s="3055">
        <f t="shared" si="13"/>
        <v>0</v>
      </c>
      <c r="AC741" s="3055">
        <f t="shared" si="14"/>
        <v>0</v>
      </c>
      <c r="AD741" s="3056"/>
      <c r="AE741" s="3057">
        <f t="shared" si="0"/>
      </c>
      <c r="AF741" s="3054"/>
      <c r="AG741" s="3054"/>
      <c r="AH741" s="3055"/>
      <c r="AI741" s="3055"/>
      <c r="AJ741" s="3055"/>
      <c r="AK741" s="3055"/>
      <c r="AL741" s="3055"/>
      <c r="AM741" s="3055"/>
      <c r="AN741" s="3055"/>
      <c r="AO741" s="3055"/>
      <c r="AP741" s="3055"/>
      <c r="AQ741" s="3055"/>
      <c r="AR741" s="3055"/>
      <c r="AS741" s="3055"/>
      <c r="AT741" s="3055"/>
      <c r="AU741" s="3056"/>
      <c r="AV741" s="3057">
        <f t="shared" si="15"/>
      </c>
      <c r="AW741" s="3054"/>
      <c r="AX741" s="3054"/>
      <c r="AY741" s="3055"/>
      <c r="AZ741" s="3055"/>
      <c r="BA741" s="3055"/>
      <c r="BB741" s="3055"/>
      <c r="BC741" s="3055"/>
      <c r="BD741" s="3055"/>
      <c r="BE741" s="3055"/>
      <c r="BF741" s="3055"/>
      <c r="BG741" s="3055"/>
      <c r="BH741" s="3055"/>
      <c r="BI741" s="3055"/>
      <c r="BJ741" s="3055"/>
      <c r="BK741" s="3055"/>
      <c r="BL741" s="3056"/>
      <c r="BM741" s="3057">
        <f t="shared" si="16"/>
      </c>
      <c r="BN741" s="3054"/>
      <c r="BO741" s="3054"/>
      <c r="BP741" s="3055"/>
      <c r="BQ741" s="3055"/>
      <c r="BR741" s="3055"/>
      <c r="BS741" s="3055"/>
      <c r="BT741" s="3055"/>
      <c r="BU741" s="3055"/>
      <c r="BV741" s="3055"/>
      <c r="BW741" s="3055"/>
      <c r="BX741" s="3055"/>
      <c r="BY741" s="3055"/>
      <c r="BZ741" s="3055"/>
      <c r="CA741" s="3055"/>
      <c r="CB741" s="3055"/>
      <c r="CC741" s="3056"/>
      <c r="CD741" s="3057">
        <f t="shared" si="0"/>
      </c>
      <c r="CE741" s="3054"/>
      <c r="CF741" s="3054"/>
      <c r="CG741" s="3055"/>
      <c r="CH741" s="3055"/>
      <c r="CI741" s="3055"/>
      <c r="CJ741" s="3055"/>
      <c r="CK741" s="3055"/>
      <c r="CL741" s="3055"/>
      <c r="CM741" s="3055"/>
      <c r="CN741" s="3055"/>
      <c r="CO741" s="3055"/>
      <c r="CP741" s="3055"/>
      <c r="CQ741" s="3055"/>
      <c r="CR741" s="3055"/>
      <c r="CS741" s="3055"/>
      <c r="CU741" s="3054"/>
      <c r="CV741" s="696"/>
      <c r="CW741" s="696"/>
      <c r="CZ741" s="3060">
        <f t="shared" si="17"/>
      </c>
      <c r="DA741" s="3060">
        <f t="shared" si="1"/>
      </c>
      <c r="DB741" s="3060">
        <f t="shared" si="18"/>
      </c>
      <c r="DC741" s="3060">
        <f t="shared" si="19"/>
      </c>
      <c r="DD741" s="3060">
        <f t="shared" si="20"/>
      </c>
      <c r="DE741" s="3060">
        <f t="shared" si="21"/>
      </c>
      <c r="DF741" s="3060">
        <f t="shared" si="22"/>
      </c>
      <c r="DG741" s="3060">
        <f t="shared" si="23"/>
      </c>
      <c r="DH741" s="3060">
        <f t="shared" si="24"/>
      </c>
      <c r="DI741" s="3060">
        <f t="shared" si="1"/>
      </c>
    </row>
    <row r="742" ht="15" customHeight="1" s="3052" customFormat="1">
      <c r="B742" s="3054">
        <f t="shared" si="2"/>
      </c>
      <c r="C742" s="3054"/>
      <c r="D742" s="3054"/>
      <c r="E742" s="3055"/>
      <c r="F742" s="3055"/>
      <c r="G742" s="3055"/>
      <c r="H742" s="3055"/>
      <c r="I742" s="3055"/>
      <c r="J742" s="3055"/>
      <c r="K742" s="3055"/>
      <c r="L742" s="3055"/>
      <c r="M742" s="3055"/>
      <c r="N742" s="3055"/>
      <c r="O742" s="3055"/>
      <c r="P742" s="3055"/>
      <c r="Q742" s="3055"/>
      <c r="R742" s="3055">
        <f t="shared" si="3"/>
        <v>0</v>
      </c>
      <c r="S742" s="3055">
        <f t="shared" si="4"/>
        <v>0</v>
      </c>
      <c r="T742" s="3055">
        <f t="shared" si="5"/>
        <v>0</v>
      </c>
      <c r="U742" s="3055">
        <f t="shared" si="6"/>
        <v>0</v>
      </c>
      <c r="V742" s="3055">
        <f t="shared" si="7"/>
        <v>0</v>
      </c>
      <c r="W742" s="3055">
        <f t="shared" si="8"/>
        <v>0</v>
      </c>
      <c r="X742" s="3055">
        <f t="shared" si="9"/>
        <v>0</v>
      </c>
      <c r="Y742" s="3055">
        <f t="shared" si="10"/>
        <v>0</v>
      </c>
      <c r="Z742" s="3055">
        <f t="shared" si="11"/>
        <v>0</v>
      </c>
      <c r="AA742" s="3055">
        <f t="shared" si="12"/>
        <v>0</v>
      </c>
      <c r="AB742" s="3055">
        <f t="shared" si="13"/>
        <v>0</v>
      </c>
      <c r="AC742" s="3055">
        <f t="shared" si="14"/>
        <v>0</v>
      </c>
      <c r="AD742" s="3056"/>
      <c r="AE742" s="3057">
        <f t="shared" si="0"/>
      </c>
      <c r="AF742" s="3054"/>
      <c r="AG742" s="3054"/>
      <c r="AH742" s="3055"/>
      <c r="AI742" s="3055"/>
      <c r="AJ742" s="3055"/>
      <c r="AK742" s="3055"/>
      <c r="AL742" s="3055"/>
      <c r="AM742" s="3055"/>
      <c r="AN742" s="3055"/>
      <c r="AO742" s="3055"/>
      <c r="AP742" s="3055"/>
      <c r="AQ742" s="3055"/>
      <c r="AR742" s="3055"/>
      <c r="AS742" s="3055"/>
      <c r="AT742" s="3055"/>
      <c r="AU742" s="3056"/>
      <c r="AV742" s="3057">
        <f t="shared" si="15"/>
      </c>
      <c r="AW742" s="3054"/>
      <c r="AX742" s="3054"/>
      <c r="AY742" s="3055"/>
      <c r="AZ742" s="3055"/>
      <c r="BA742" s="3055"/>
      <c r="BB742" s="3055"/>
      <c r="BC742" s="3055"/>
      <c r="BD742" s="3055"/>
      <c r="BE742" s="3055"/>
      <c r="BF742" s="3055"/>
      <c r="BG742" s="3055"/>
      <c r="BH742" s="3055"/>
      <c r="BI742" s="3055"/>
      <c r="BJ742" s="3055"/>
      <c r="BK742" s="3055"/>
      <c r="BL742" s="3056"/>
      <c r="BM742" s="3057">
        <f t="shared" si="16"/>
      </c>
      <c r="BN742" s="3054"/>
      <c r="BO742" s="3054"/>
      <c r="BP742" s="3055"/>
      <c r="BQ742" s="3055"/>
      <c r="BR742" s="3055"/>
      <c r="BS742" s="3055"/>
      <c r="BT742" s="3055"/>
      <c r="BU742" s="3055"/>
      <c r="BV742" s="3055"/>
      <c r="BW742" s="3055"/>
      <c r="BX742" s="3055"/>
      <c r="BY742" s="3055"/>
      <c r="BZ742" s="3055"/>
      <c r="CA742" s="3055"/>
      <c r="CB742" s="3055"/>
      <c r="CC742" s="3056"/>
      <c r="CD742" s="3057">
        <f t="shared" si="0"/>
      </c>
      <c r="CE742" s="3054"/>
      <c r="CF742" s="3054"/>
      <c r="CG742" s="3055"/>
      <c r="CH742" s="3055"/>
      <c r="CI742" s="3055"/>
      <c r="CJ742" s="3055"/>
      <c r="CK742" s="3055"/>
      <c r="CL742" s="3055"/>
      <c r="CM742" s="3055"/>
      <c r="CN742" s="3055"/>
      <c r="CO742" s="3055"/>
      <c r="CP742" s="3055"/>
      <c r="CQ742" s="3055"/>
      <c r="CR742" s="3055"/>
      <c r="CS742" s="3055"/>
      <c r="CU742" s="3054"/>
      <c r="CV742" s="696"/>
      <c r="CW742" s="696"/>
      <c r="CZ742" s="3060">
        <f t="shared" si="17"/>
      </c>
      <c r="DA742" s="3060">
        <f t="shared" si="1"/>
      </c>
      <c r="DB742" s="3060">
        <f t="shared" si="18"/>
      </c>
      <c r="DC742" s="3060">
        <f t="shared" si="19"/>
      </c>
      <c r="DD742" s="3060">
        <f t="shared" si="20"/>
      </c>
      <c r="DE742" s="3060">
        <f t="shared" si="21"/>
      </c>
      <c r="DF742" s="3060">
        <f t="shared" si="22"/>
      </c>
      <c r="DG742" s="3060">
        <f t="shared" si="23"/>
      </c>
      <c r="DH742" s="3060">
        <f t="shared" si="24"/>
      </c>
      <c r="DI742" s="3060">
        <f t="shared" si="1"/>
      </c>
    </row>
    <row r="743" ht="15" customHeight="1" s="3052" customFormat="1">
      <c r="B743" s="3054">
        <f t="shared" si="2"/>
      </c>
      <c r="C743" s="3054"/>
      <c r="D743" s="3054"/>
      <c r="E743" s="3055"/>
      <c r="F743" s="3055"/>
      <c r="G743" s="3055"/>
      <c r="H743" s="3055"/>
      <c r="I743" s="3055"/>
      <c r="J743" s="3055"/>
      <c r="K743" s="3055"/>
      <c r="L743" s="3055"/>
      <c r="M743" s="3055"/>
      <c r="N743" s="3055"/>
      <c r="O743" s="3055"/>
      <c r="P743" s="3055"/>
      <c r="Q743" s="3055"/>
      <c r="R743" s="3055">
        <f t="shared" si="3"/>
        <v>0</v>
      </c>
      <c r="S743" s="3055">
        <f t="shared" si="4"/>
        <v>0</v>
      </c>
      <c r="T743" s="3055">
        <f t="shared" si="5"/>
        <v>0</v>
      </c>
      <c r="U743" s="3055">
        <f t="shared" si="6"/>
        <v>0</v>
      </c>
      <c r="V743" s="3055">
        <f t="shared" si="7"/>
        <v>0</v>
      </c>
      <c r="W743" s="3055">
        <f t="shared" si="8"/>
        <v>0</v>
      </c>
      <c r="X743" s="3055">
        <f t="shared" si="9"/>
        <v>0</v>
      </c>
      <c r="Y743" s="3055">
        <f t="shared" si="10"/>
        <v>0</v>
      </c>
      <c r="Z743" s="3055">
        <f t="shared" si="11"/>
        <v>0</v>
      </c>
      <c r="AA743" s="3055">
        <f t="shared" si="12"/>
        <v>0</v>
      </c>
      <c r="AB743" s="3055">
        <f t="shared" si="13"/>
        <v>0</v>
      </c>
      <c r="AC743" s="3055">
        <f t="shared" si="14"/>
        <v>0</v>
      </c>
      <c r="AD743" s="3056"/>
      <c r="AE743" s="3057">
        <f t="shared" si="0"/>
      </c>
      <c r="AF743" s="3054"/>
      <c r="AG743" s="3054"/>
      <c r="AH743" s="3055"/>
      <c r="AI743" s="3055"/>
      <c r="AJ743" s="3055"/>
      <c r="AK743" s="3055"/>
      <c r="AL743" s="3055"/>
      <c r="AM743" s="3055"/>
      <c r="AN743" s="3055"/>
      <c r="AO743" s="3055"/>
      <c r="AP743" s="3055"/>
      <c r="AQ743" s="3055"/>
      <c r="AR743" s="3055"/>
      <c r="AS743" s="3055"/>
      <c r="AT743" s="3055"/>
      <c r="AU743" s="3056"/>
      <c r="AV743" s="3057">
        <f t="shared" si="15"/>
      </c>
      <c r="AW743" s="3054"/>
      <c r="AX743" s="3054"/>
      <c r="AY743" s="3055"/>
      <c r="AZ743" s="3055"/>
      <c r="BA743" s="3055"/>
      <c r="BB743" s="3055"/>
      <c r="BC743" s="3055"/>
      <c r="BD743" s="3055"/>
      <c r="BE743" s="3055"/>
      <c r="BF743" s="3055"/>
      <c r="BG743" s="3055"/>
      <c r="BH743" s="3055"/>
      <c r="BI743" s="3055"/>
      <c r="BJ743" s="3055"/>
      <c r="BK743" s="3055"/>
      <c r="BL743" s="3056"/>
      <c r="BM743" s="3057">
        <f t="shared" si="16"/>
      </c>
      <c r="BN743" s="3054"/>
      <c r="BO743" s="3054"/>
      <c r="BP743" s="3055"/>
      <c r="BQ743" s="3055"/>
      <c r="BR743" s="3055"/>
      <c r="BS743" s="3055"/>
      <c r="BT743" s="3055"/>
      <c r="BU743" s="3055"/>
      <c r="BV743" s="3055"/>
      <c r="BW743" s="3055"/>
      <c r="BX743" s="3055"/>
      <c r="BY743" s="3055"/>
      <c r="BZ743" s="3055"/>
      <c r="CA743" s="3055"/>
      <c r="CB743" s="3055"/>
      <c r="CC743" s="3056"/>
      <c r="CD743" s="3057">
        <f t="shared" si="0"/>
      </c>
      <c r="CE743" s="3054"/>
      <c r="CF743" s="3054"/>
      <c r="CG743" s="3055"/>
      <c r="CH743" s="3055"/>
      <c r="CI743" s="3055"/>
      <c r="CJ743" s="3055"/>
      <c r="CK743" s="3055"/>
      <c r="CL743" s="3055"/>
      <c r="CM743" s="3055"/>
      <c r="CN743" s="3055"/>
      <c r="CO743" s="3055"/>
      <c r="CP743" s="3055"/>
      <c r="CQ743" s="3055"/>
      <c r="CR743" s="3055"/>
      <c r="CS743" s="3055"/>
      <c r="CU743" s="3054"/>
      <c r="CV743" s="696"/>
      <c r="CW743" s="696"/>
      <c r="CZ743" s="3060">
        <f t="shared" si="17"/>
      </c>
      <c r="DA743" s="3060">
        <f t="shared" si="1"/>
      </c>
      <c r="DB743" s="3060">
        <f t="shared" si="18"/>
      </c>
      <c r="DC743" s="3060">
        <f t="shared" si="19"/>
      </c>
      <c r="DD743" s="3060">
        <f t="shared" si="20"/>
      </c>
      <c r="DE743" s="3060">
        <f t="shared" si="21"/>
      </c>
      <c r="DF743" s="3060">
        <f t="shared" si="22"/>
      </c>
      <c r="DG743" s="3060">
        <f t="shared" si="23"/>
      </c>
      <c r="DH743" s="3060">
        <f t="shared" si="24"/>
      </c>
      <c r="DI743" s="3060">
        <f t="shared" si="1"/>
      </c>
    </row>
    <row r="744" ht="15" customHeight="1" s="3052" customFormat="1">
      <c r="B744" s="3054">
        <f t="shared" si="2"/>
      </c>
      <c r="C744" s="3054"/>
      <c r="D744" s="3054"/>
      <c r="E744" s="3055"/>
      <c r="F744" s="3055"/>
      <c r="G744" s="3055"/>
      <c r="H744" s="3055"/>
      <c r="I744" s="3055"/>
      <c r="J744" s="3055"/>
      <c r="K744" s="3055"/>
      <c r="L744" s="3055"/>
      <c r="M744" s="3055"/>
      <c r="N744" s="3055"/>
      <c r="O744" s="3055"/>
      <c r="P744" s="3055"/>
      <c r="Q744" s="3055"/>
      <c r="R744" s="3055">
        <f t="shared" si="3"/>
        <v>0</v>
      </c>
      <c r="S744" s="3055">
        <f t="shared" si="4"/>
        <v>0</v>
      </c>
      <c r="T744" s="3055">
        <f t="shared" si="5"/>
        <v>0</v>
      </c>
      <c r="U744" s="3055">
        <f t="shared" si="6"/>
        <v>0</v>
      </c>
      <c r="V744" s="3055">
        <f t="shared" si="7"/>
        <v>0</v>
      </c>
      <c r="W744" s="3055">
        <f t="shared" si="8"/>
        <v>0</v>
      </c>
      <c r="X744" s="3055">
        <f t="shared" si="9"/>
        <v>0</v>
      </c>
      <c r="Y744" s="3055">
        <f t="shared" si="10"/>
        <v>0</v>
      </c>
      <c r="Z744" s="3055">
        <f t="shared" si="11"/>
        <v>0</v>
      </c>
      <c r="AA744" s="3055">
        <f t="shared" si="12"/>
        <v>0</v>
      </c>
      <c r="AB744" s="3055">
        <f t="shared" si="13"/>
        <v>0</v>
      </c>
      <c r="AC744" s="3055">
        <f t="shared" si="14"/>
        <v>0</v>
      </c>
      <c r="AD744" s="3056"/>
      <c r="AE744" s="3057">
        <f t="shared" si="0"/>
      </c>
      <c r="AF744" s="3054"/>
      <c r="AG744" s="3054"/>
      <c r="AH744" s="3055"/>
      <c r="AI744" s="3055"/>
      <c r="AJ744" s="3055"/>
      <c r="AK744" s="3055"/>
      <c r="AL744" s="3055"/>
      <c r="AM744" s="3055"/>
      <c r="AN744" s="3055"/>
      <c r="AO744" s="3055"/>
      <c r="AP744" s="3055"/>
      <c r="AQ744" s="3055"/>
      <c r="AR744" s="3055"/>
      <c r="AS744" s="3055"/>
      <c r="AT744" s="3055"/>
      <c r="AU744" s="3056"/>
      <c r="AV744" s="3057">
        <f t="shared" si="15"/>
      </c>
      <c r="AW744" s="3054"/>
      <c r="AX744" s="3054"/>
      <c r="AY744" s="3055"/>
      <c r="AZ744" s="3055"/>
      <c r="BA744" s="3055"/>
      <c r="BB744" s="3055"/>
      <c r="BC744" s="3055"/>
      <c r="BD744" s="3055"/>
      <c r="BE744" s="3055"/>
      <c r="BF744" s="3055"/>
      <c r="BG744" s="3055"/>
      <c r="BH744" s="3055"/>
      <c r="BI744" s="3055"/>
      <c r="BJ744" s="3055"/>
      <c r="BK744" s="3055"/>
      <c r="BL744" s="3056"/>
      <c r="BM744" s="3057">
        <f t="shared" si="16"/>
      </c>
      <c r="BN744" s="3054"/>
      <c r="BO744" s="3054"/>
      <c r="BP744" s="3055"/>
      <c r="BQ744" s="3055"/>
      <c r="BR744" s="3055"/>
      <c r="BS744" s="3055"/>
      <c r="BT744" s="3055"/>
      <c r="BU744" s="3055"/>
      <c r="BV744" s="3055"/>
      <c r="BW744" s="3055"/>
      <c r="BX744" s="3055"/>
      <c r="BY744" s="3055"/>
      <c r="BZ744" s="3055"/>
      <c r="CA744" s="3055"/>
      <c r="CB744" s="3055"/>
      <c r="CC744" s="3056"/>
      <c r="CD744" s="3057">
        <f t="shared" si="0"/>
      </c>
      <c r="CE744" s="3054"/>
      <c r="CF744" s="3054"/>
      <c r="CG744" s="3055"/>
      <c r="CH744" s="3055"/>
      <c r="CI744" s="3055"/>
      <c r="CJ744" s="3055"/>
      <c r="CK744" s="3055"/>
      <c r="CL744" s="3055"/>
      <c r="CM744" s="3055"/>
      <c r="CN744" s="3055"/>
      <c r="CO744" s="3055"/>
      <c r="CP744" s="3055"/>
      <c r="CQ744" s="3055"/>
      <c r="CR744" s="3055"/>
      <c r="CS744" s="3055"/>
      <c r="CU744" s="3054"/>
      <c r="CV744" s="696"/>
      <c r="CW744" s="696"/>
      <c r="CZ744" s="3060">
        <f t="shared" si="17"/>
      </c>
      <c r="DA744" s="3060">
        <f t="shared" si="1"/>
      </c>
      <c r="DB744" s="3060">
        <f t="shared" si="18"/>
      </c>
      <c r="DC744" s="3060">
        <f t="shared" si="19"/>
      </c>
      <c r="DD744" s="3060">
        <f t="shared" si="20"/>
      </c>
      <c r="DE744" s="3060">
        <f t="shared" si="21"/>
      </c>
      <c r="DF744" s="3060">
        <f t="shared" si="22"/>
      </c>
      <c r="DG744" s="3060">
        <f t="shared" si="23"/>
      </c>
      <c r="DH744" s="3060">
        <f t="shared" si="24"/>
      </c>
      <c r="DI744" s="3060">
        <f t="shared" si="1"/>
      </c>
    </row>
    <row r="745" ht="15" customHeight="1" s="3052" customFormat="1">
      <c r="B745" s="3054">
        <f t="shared" si="2"/>
      </c>
      <c r="C745" s="3054"/>
      <c r="D745" s="3054"/>
      <c r="E745" s="3055"/>
      <c r="F745" s="3055"/>
      <c r="G745" s="3055"/>
      <c r="H745" s="3055"/>
      <c r="I745" s="3055"/>
      <c r="J745" s="3055"/>
      <c r="K745" s="3055"/>
      <c r="L745" s="3055"/>
      <c r="M745" s="3055"/>
      <c r="N745" s="3055"/>
      <c r="O745" s="3055"/>
      <c r="P745" s="3055"/>
      <c r="Q745" s="3055"/>
      <c r="R745" s="3055">
        <f t="shared" si="3"/>
        <v>0</v>
      </c>
      <c r="S745" s="3055">
        <f t="shared" si="4"/>
        <v>0</v>
      </c>
      <c r="T745" s="3055">
        <f t="shared" si="5"/>
        <v>0</v>
      </c>
      <c r="U745" s="3055">
        <f t="shared" si="6"/>
        <v>0</v>
      </c>
      <c r="V745" s="3055">
        <f t="shared" si="7"/>
        <v>0</v>
      </c>
      <c r="W745" s="3055">
        <f t="shared" si="8"/>
        <v>0</v>
      </c>
      <c r="X745" s="3055">
        <f t="shared" si="9"/>
        <v>0</v>
      </c>
      <c r="Y745" s="3055">
        <f t="shared" si="10"/>
        <v>0</v>
      </c>
      <c r="Z745" s="3055">
        <f t="shared" si="11"/>
        <v>0</v>
      </c>
      <c r="AA745" s="3055">
        <f t="shared" si="12"/>
        <v>0</v>
      </c>
      <c r="AB745" s="3055">
        <f t="shared" si="13"/>
        <v>0</v>
      </c>
      <c r="AC745" s="3055">
        <f t="shared" si="14"/>
        <v>0</v>
      </c>
      <c r="AD745" s="3056"/>
      <c r="AE745" s="3057">
        <f t="shared" si="0"/>
      </c>
      <c r="AF745" s="3054"/>
      <c r="AG745" s="3054"/>
      <c r="AH745" s="3055"/>
      <c r="AI745" s="3055"/>
      <c r="AJ745" s="3055"/>
      <c r="AK745" s="3055"/>
      <c r="AL745" s="3055"/>
      <c r="AM745" s="3055"/>
      <c r="AN745" s="3055"/>
      <c r="AO745" s="3055"/>
      <c r="AP745" s="3055"/>
      <c r="AQ745" s="3055"/>
      <c r="AR745" s="3055"/>
      <c r="AS745" s="3055"/>
      <c r="AT745" s="3055"/>
      <c r="AU745" s="3056"/>
      <c r="AV745" s="3057">
        <f t="shared" si="15"/>
      </c>
      <c r="AW745" s="3054"/>
      <c r="AX745" s="3054"/>
      <c r="AY745" s="3055"/>
      <c r="AZ745" s="3055"/>
      <c r="BA745" s="3055"/>
      <c r="BB745" s="3055"/>
      <c r="BC745" s="3055"/>
      <c r="BD745" s="3055"/>
      <c r="BE745" s="3055"/>
      <c r="BF745" s="3055"/>
      <c r="BG745" s="3055"/>
      <c r="BH745" s="3055"/>
      <c r="BI745" s="3055"/>
      <c r="BJ745" s="3055"/>
      <c r="BK745" s="3055"/>
      <c r="BL745" s="3056"/>
      <c r="BM745" s="3057">
        <f t="shared" si="16"/>
      </c>
      <c r="BN745" s="3054"/>
      <c r="BO745" s="3054"/>
      <c r="BP745" s="3055"/>
      <c r="BQ745" s="3055"/>
      <c r="BR745" s="3055"/>
      <c r="BS745" s="3055"/>
      <c r="BT745" s="3055"/>
      <c r="BU745" s="3055"/>
      <c r="BV745" s="3055"/>
      <c r="BW745" s="3055"/>
      <c r="BX745" s="3055"/>
      <c r="BY745" s="3055"/>
      <c r="BZ745" s="3055"/>
      <c r="CA745" s="3055"/>
      <c r="CB745" s="3055"/>
      <c r="CC745" s="3056"/>
      <c r="CD745" s="3057">
        <f t="shared" si="0"/>
      </c>
      <c r="CE745" s="3054"/>
      <c r="CF745" s="3054"/>
      <c r="CG745" s="3055"/>
      <c r="CH745" s="3055"/>
      <c r="CI745" s="3055"/>
      <c r="CJ745" s="3055"/>
      <c r="CK745" s="3055"/>
      <c r="CL745" s="3055"/>
      <c r="CM745" s="3055"/>
      <c r="CN745" s="3055"/>
      <c r="CO745" s="3055"/>
      <c r="CP745" s="3055"/>
      <c r="CQ745" s="3055"/>
      <c r="CR745" s="3055"/>
      <c r="CS745" s="3055"/>
      <c r="CU745" s="3054"/>
      <c r="CV745" s="696"/>
      <c r="CW745" s="696"/>
      <c r="CZ745" s="3060">
        <f t="shared" si="17"/>
      </c>
      <c r="DA745" s="3060">
        <f t="shared" si="1"/>
      </c>
      <c r="DB745" s="3060">
        <f t="shared" si="18"/>
      </c>
      <c r="DC745" s="3060">
        <f t="shared" si="19"/>
      </c>
      <c r="DD745" s="3060">
        <f t="shared" si="20"/>
      </c>
      <c r="DE745" s="3060">
        <f t="shared" si="21"/>
      </c>
      <c r="DF745" s="3060">
        <f t="shared" si="22"/>
      </c>
      <c r="DG745" s="3060">
        <f t="shared" si="23"/>
      </c>
      <c r="DH745" s="3060">
        <f t="shared" si="24"/>
      </c>
      <c r="DI745" s="3060">
        <f t="shared" si="1"/>
      </c>
    </row>
    <row r="746" ht="15" customHeight="1" s="3052" customFormat="1">
      <c r="B746" s="3054">
        <f t="shared" si="2"/>
      </c>
      <c r="C746" s="3054"/>
      <c r="D746" s="3054"/>
      <c r="E746" s="3055"/>
      <c r="F746" s="3055"/>
      <c r="G746" s="3055"/>
      <c r="H746" s="3055"/>
      <c r="I746" s="3055"/>
      <c r="J746" s="3055"/>
      <c r="K746" s="3055"/>
      <c r="L746" s="3055"/>
      <c r="M746" s="3055"/>
      <c r="N746" s="3055"/>
      <c r="O746" s="3055"/>
      <c r="P746" s="3055"/>
      <c r="Q746" s="3055"/>
      <c r="R746" s="3055">
        <f t="shared" si="3"/>
        <v>0</v>
      </c>
      <c r="S746" s="3055">
        <f t="shared" si="4"/>
        <v>0</v>
      </c>
      <c r="T746" s="3055">
        <f t="shared" si="5"/>
        <v>0</v>
      </c>
      <c r="U746" s="3055">
        <f t="shared" si="6"/>
        <v>0</v>
      </c>
      <c r="V746" s="3055">
        <f t="shared" si="7"/>
        <v>0</v>
      </c>
      <c r="W746" s="3055">
        <f t="shared" si="8"/>
        <v>0</v>
      </c>
      <c r="X746" s="3055">
        <f t="shared" si="9"/>
        <v>0</v>
      </c>
      <c r="Y746" s="3055">
        <f t="shared" si="10"/>
        <v>0</v>
      </c>
      <c r="Z746" s="3055">
        <f t="shared" si="11"/>
        <v>0</v>
      </c>
      <c r="AA746" s="3055">
        <f t="shared" si="12"/>
        <v>0</v>
      </c>
      <c r="AB746" s="3055">
        <f t="shared" si="13"/>
        <v>0</v>
      </c>
      <c r="AC746" s="3055">
        <f t="shared" si="14"/>
        <v>0</v>
      </c>
      <c r="AD746" s="3056"/>
      <c r="AE746" s="3057">
        <f t="shared" si="0"/>
      </c>
      <c r="AF746" s="3054"/>
      <c r="AG746" s="3054"/>
      <c r="AH746" s="3055"/>
      <c r="AI746" s="3055"/>
      <c r="AJ746" s="3055"/>
      <c r="AK746" s="3055"/>
      <c r="AL746" s="3055"/>
      <c r="AM746" s="3055"/>
      <c r="AN746" s="3055"/>
      <c r="AO746" s="3055"/>
      <c r="AP746" s="3055"/>
      <c r="AQ746" s="3055"/>
      <c r="AR746" s="3055"/>
      <c r="AS746" s="3055"/>
      <c r="AT746" s="3055"/>
      <c r="AU746" s="3056"/>
      <c r="AV746" s="3057">
        <f t="shared" si="15"/>
      </c>
      <c r="AW746" s="3054"/>
      <c r="AX746" s="3054"/>
      <c r="AY746" s="3055"/>
      <c r="AZ746" s="3055"/>
      <c r="BA746" s="3055"/>
      <c r="BB746" s="3055"/>
      <c r="BC746" s="3055"/>
      <c r="BD746" s="3055"/>
      <c r="BE746" s="3055"/>
      <c r="BF746" s="3055"/>
      <c r="BG746" s="3055"/>
      <c r="BH746" s="3055"/>
      <c r="BI746" s="3055"/>
      <c r="BJ746" s="3055"/>
      <c r="BK746" s="3055"/>
      <c r="BL746" s="3056"/>
      <c r="BM746" s="3057">
        <f t="shared" si="16"/>
      </c>
      <c r="BN746" s="3054"/>
      <c r="BO746" s="3054"/>
      <c r="BP746" s="3055"/>
      <c r="BQ746" s="3055"/>
      <c r="BR746" s="3055"/>
      <c r="BS746" s="3055"/>
      <c r="BT746" s="3055"/>
      <c r="BU746" s="3055"/>
      <c r="BV746" s="3055"/>
      <c r="BW746" s="3055"/>
      <c r="BX746" s="3055"/>
      <c r="BY746" s="3055"/>
      <c r="BZ746" s="3055"/>
      <c r="CA746" s="3055"/>
      <c r="CB746" s="3055"/>
      <c r="CC746" s="3056"/>
      <c r="CD746" s="3057">
        <f t="shared" si="0"/>
      </c>
      <c r="CE746" s="3054"/>
      <c r="CF746" s="3054"/>
      <c r="CG746" s="3055"/>
      <c r="CH746" s="3055"/>
      <c r="CI746" s="3055"/>
      <c r="CJ746" s="3055"/>
      <c r="CK746" s="3055"/>
      <c r="CL746" s="3055"/>
      <c r="CM746" s="3055"/>
      <c r="CN746" s="3055"/>
      <c r="CO746" s="3055"/>
      <c r="CP746" s="3055"/>
      <c r="CQ746" s="3055"/>
      <c r="CR746" s="3055"/>
      <c r="CS746" s="3055"/>
      <c r="CU746" s="3054"/>
      <c r="CV746" s="696"/>
      <c r="CW746" s="696"/>
      <c r="CZ746" s="3060">
        <f t="shared" si="17"/>
      </c>
      <c r="DA746" s="3060">
        <f t="shared" si="1"/>
      </c>
      <c r="DB746" s="3060">
        <f t="shared" si="18"/>
      </c>
      <c r="DC746" s="3060">
        <f t="shared" si="19"/>
      </c>
      <c r="DD746" s="3060">
        <f t="shared" si="20"/>
      </c>
      <c r="DE746" s="3060">
        <f t="shared" si="21"/>
      </c>
      <c r="DF746" s="3060">
        <f t="shared" si="22"/>
      </c>
      <c r="DG746" s="3060">
        <f t="shared" si="23"/>
      </c>
      <c r="DH746" s="3060">
        <f t="shared" si="24"/>
      </c>
      <c r="DI746" s="3060">
        <f t="shared" si="1"/>
      </c>
    </row>
    <row r="747" ht="15" customHeight="1" s="3052" customFormat="1">
      <c r="B747" s="3054">
        <f t="shared" si="2"/>
      </c>
      <c r="C747" s="3054"/>
      <c r="D747" s="3054"/>
      <c r="E747" s="3055"/>
      <c r="F747" s="3055"/>
      <c r="G747" s="3055"/>
      <c r="H747" s="3055"/>
      <c r="I747" s="3055"/>
      <c r="J747" s="3055"/>
      <c r="K747" s="3055"/>
      <c r="L747" s="3055"/>
      <c r="M747" s="3055"/>
      <c r="N747" s="3055"/>
      <c r="O747" s="3055"/>
      <c r="P747" s="3055"/>
      <c r="Q747" s="3055"/>
      <c r="R747" s="3055">
        <f t="shared" si="3"/>
        <v>0</v>
      </c>
      <c r="S747" s="3055">
        <f t="shared" si="4"/>
        <v>0</v>
      </c>
      <c r="T747" s="3055">
        <f t="shared" si="5"/>
        <v>0</v>
      </c>
      <c r="U747" s="3055">
        <f t="shared" si="6"/>
        <v>0</v>
      </c>
      <c r="V747" s="3055">
        <f t="shared" si="7"/>
        <v>0</v>
      </c>
      <c r="W747" s="3055">
        <f t="shared" si="8"/>
        <v>0</v>
      </c>
      <c r="X747" s="3055">
        <f t="shared" si="9"/>
        <v>0</v>
      </c>
      <c r="Y747" s="3055">
        <f t="shared" si="10"/>
        <v>0</v>
      </c>
      <c r="Z747" s="3055">
        <f t="shared" si="11"/>
        <v>0</v>
      </c>
      <c r="AA747" s="3055">
        <f t="shared" si="12"/>
        <v>0</v>
      </c>
      <c r="AB747" s="3055">
        <f t="shared" si="13"/>
        <v>0</v>
      </c>
      <c r="AC747" s="3055">
        <f t="shared" si="14"/>
        <v>0</v>
      </c>
      <c r="AD747" s="3056"/>
      <c r="AE747" s="3057">
        <f t="shared" si="0"/>
      </c>
      <c r="AF747" s="3054"/>
      <c r="AG747" s="3054"/>
      <c r="AH747" s="3055"/>
      <c r="AI747" s="3055"/>
      <c r="AJ747" s="3055"/>
      <c r="AK747" s="3055"/>
      <c r="AL747" s="3055"/>
      <c r="AM747" s="3055"/>
      <c r="AN747" s="3055"/>
      <c r="AO747" s="3055"/>
      <c r="AP747" s="3055"/>
      <c r="AQ747" s="3055"/>
      <c r="AR747" s="3055"/>
      <c r="AS747" s="3055"/>
      <c r="AT747" s="3055"/>
      <c r="AU747" s="3056"/>
      <c r="AV747" s="3057">
        <f t="shared" si="15"/>
      </c>
      <c r="AW747" s="3054"/>
      <c r="AX747" s="3054"/>
      <c r="AY747" s="3055"/>
      <c r="AZ747" s="3055"/>
      <c r="BA747" s="3055"/>
      <c r="BB747" s="3055"/>
      <c r="BC747" s="3055"/>
      <c r="BD747" s="3055"/>
      <c r="BE747" s="3055"/>
      <c r="BF747" s="3055"/>
      <c r="BG747" s="3055"/>
      <c r="BH747" s="3055"/>
      <c r="BI747" s="3055"/>
      <c r="BJ747" s="3055"/>
      <c r="BK747" s="3055"/>
      <c r="BL747" s="3056"/>
      <c r="BM747" s="3057">
        <f t="shared" si="16"/>
      </c>
      <c r="BN747" s="3054"/>
      <c r="BO747" s="3054"/>
      <c r="BP747" s="3055"/>
      <c r="BQ747" s="3055"/>
      <c r="BR747" s="3055"/>
      <c r="BS747" s="3055"/>
      <c r="BT747" s="3055"/>
      <c r="BU747" s="3055"/>
      <c r="BV747" s="3055"/>
      <c r="BW747" s="3055"/>
      <c r="BX747" s="3055"/>
      <c r="BY747" s="3055"/>
      <c r="BZ747" s="3055"/>
      <c r="CA747" s="3055"/>
      <c r="CB747" s="3055"/>
      <c r="CC747" s="3056"/>
      <c r="CD747" s="3057">
        <f t="shared" si="0"/>
      </c>
      <c r="CE747" s="3054"/>
      <c r="CF747" s="3054"/>
      <c r="CG747" s="3055"/>
      <c r="CH747" s="3055"/>
      <c r="CI747" s="3055"/>
      <c r="CJ747" s="3055"/>
      <c r="CK747" s="3055"/>
      <c r="CL747" s="3055"/>
      <c r="CM747" s="3055"/>
      <c r="CN747" s="3055"/>
      <c r="CO747" s="3055"/>
      <c r="CP747" s="3055"/>
      <c r="CQ747" s="3055"/>
      <c r="CR747" s="3055"/>
      <c r="CS747" s="3055"/>
      <c r="CU747" s="3054"/>
      <c r="CV747" s="696"/>
      <c r="CW747" s="696"/>
      <c r="CZ747" s="3060">
        <f t="shared" si="17"/>
      </c>
      <c r="DA747" s="3060">
        <f t="shared" si="1"/>
      </c>
      <c r="DB747" s="3060">
        <f t="shared" si="18"/>
      </c>
      <c r="DC747" s="3060">
        <f t="shared" si="19"/>
      </c>
      <c r="DD747" s="3060">
        <f t="shared" si="20"/>
      </c>
      <c r="DE747" s="3060">
        <f t="shared" si="21"/>
      </c>
      <c r="DF747" s="3060">
        <f t="shared" si="22"/>
      </c>
      <c r="DG747" s="3060">
        <f t="shared" si="23"/>
      </c>
      <c r="DH747" s="3060">
        <f t="shared" si="24"/>
      </c>
      <c r="DI747" s="3060">
        <f t="shared" si="1"/>
      </c>
    </row>
    <row r="748" ht="15" customHeight="1" s="3052" customFormat="1">
      <c r="B748" s="3054">
        <f t="shared" si="2"/>
      </c>
      <c r="C748" s="3054"/>
      <c r="D748" s="3054"/>
      <c r="E748" s="3055"/>
      <c r="F748" s="3055"/>
      <c r="G748" s="3055"/>
      <c r="H748" s="3055"/>
      <c r="I748" s="3055"/>
      <c r="J748" s="3055"/>
      <c r="K748" s="3055"/>
      <c r="L748" s="3055"/>
      <c r="M748" s="3055"/>
      <c r="N748" s="3055"/>
      <c r="O748" s="3055"/>
      <c r="P748" s="3055"/>
      <c r="Q748" s="3055"/>
      <c r="R748" s="3055">
        <f t="shared" si="3"/>
        <v>0</v>
      </c>
      <c r="S748" s="3055">
        <f t="shared" si="4"/>
        <v>0</v>
      </c>
      <c r="T748" s="3055">
        <f t="shared" si="5"/>
        <v>0</v>
      </c>
      <c r="U748" s="3055">
        <f t="shared" si="6"/>
        <v>0</v>
      </c>
      <c r="V748" s="3055">
        <f t="shared" si="7"/>
        <v>0</v>
      </c>
      <c r="W748" s="3055">
        <f t="shared" si="8"/>
        <v>0</v>
      </c>
      <c r="X748" s="3055">
        <f t="shared" si="9"/>
        <v>0</v>
      </c>
      <c r="Y748" s="3055">
        <f t="shared" si="10"/>
        <v>0</v>
      </c>
      <c r="Z748" s="3055">
        <f t="shared" si="11"/>
        <v>0</v>
      </c>
      <c r="AA748" s="3055">
        <f t="shared" si="12"/>
        <v>0</v>
      </c>
      <c r="AB748" s="3055">
        <f t="shared" si="13"/>
        <v>0</v>
      </c>
      <c r="AC748" s="3055">
        <f t="shared" si="14"/>
        <v>0</v>
      </c>
      <c r="AD748" s="3056"/>
      <c r="AE748" s="3057">
        <f t="shared" si="0"/>
      </c>
      <c r="AF748" s="3054"/>
      <c r="AG748" s="3054"/>
      <c r="AH748" s="3055"/>
      <c r="AI748" s="3055"/>
      <c r="AJ748" s="3055"/>
      <c r="AK748" s="3055"/>
      <c r="AL748" s="3055"/>
      <c r="AM748" s="3055"/>
      <c r="AN748" s="3055"/>
      <c r="AO748" s="3055"/>
      <c r="AP748" s="3055"/>
      <c r="AQ748" s="3055"/>
      <c r="AR748" s="3055"/>
      <c r="AS748" s="3055"/>
      <c r="AT748" s="3055"/>
      <c r="AU748" s="3056"/>
      <c r="AV748" s="3057">
        <f t="shared" si="15"/>
      </c>
      <c r="AW748" s="3054"/>
      <c r="AX748" s="3054"/>
      <c r="AY748" s="3055"/>
      <c r="AZ748" s="3055"/>
      <c r="BA748" s="3055"/>
      <c r="BB748" s="3055"/>
      <c r="BC748" s="3055"/>
      <c r="BD748" s="3055"/>
      <c r="BE748" s="3055"/>
      <c r="BF748" s="3055"/>
      <c r="BG748" s="3055"/>
      <c r="BH748" s="3055"/>
      <c r="BI748" s="3055"/>
      <c r="BJ748" s="3055"/>
      <c r="BK748" s="3055"/>
      <c r="BL748" s="3056"/>
      <c r="BM748" s="3057">
        <f t="shared" si="16"/>
      </c>
      <c r="BN748" s="3054"/>
      <c r="BO748" s="3054"/>
      <c r="BP748" s="3055"/>
      <c r="BQ748" s="3055"/>
      <c r="BR748" s="3055"/>
      <c r="BS748" s="3055"/>
      <c r="BT748" s="3055"/>
      <c r="BU748" s="3055"/>
      <c r="BV748" s="3055"/>
      <c r="BW748" s="3055"/>
      <c r="BX748" s="3055"/>
      <c r="BY748" s="3055"/>
      <c r="BZ748" s="3055"/>
      <c r="CA748" s="3055"/>
      <c r="CB748" s="3055"/>
      <c r="CC748" s="3056"/>
      <c r="CD748" s="3057">
        <f t="shared" si="0"/>
      </c>
      <c r="CE748" s="3054"/>
      <c r="CF748" s="3054"/>
      <c r="CG748" s="3055"/>
      <c r="CH748" s="3055"/>
      <c r="CI748" s="3055"/>
      <c r="CJ748" s="3055"/>
      <c r="CK748" s="3055"/>
      <c r="CL748" s="3055"/>
      <c r="CM748" s="3055"/>
      <c r="CN748" s="3055"/>
      <c r="CO748" s="3055"/>
      <c r="CP748" s="3055"/>
      <c r="CQ748" s="3055"/>
      <c r="CR748" s="3055"/>
      <c r="CS748" s="3055"/>
      <c r="CU748" s="3054"/>
      <c r="CV748" s="696"/>
      <c r="CW748" s="696"/>
      <c r="CZ748" s="3060">
        <f t="shared" si="17"/>
      </c>
      <c r="DA748" s="3060">
        <f t="shared" si="1"/>
      </c>
      <c r="DB748" s="3060">
        <f t="shared" si="18"/>
      </c>
      <c r="DC748" s="3060">
        <f t="shared" si="19"/>
      </c>
      <c r="DD748" s="3060">
        <f t="shared" si="20"/>
      </c>
      <c r="DE748" s="3060">
        <f t="shared" si="21"/>
      </c>
      <c r="DF748" s="3060">
        <f t="shared" si="22"/>
      </c>
      <c r="DG748" s="3060">
        <f t="shared" si="23"/>
      </c>
      <c r="DH748" s="3060">
        <f t="shared" si="24"/>
      </c>
      <c r="DI748" s="3060">
        <f t="shared" si="1"/>
      </c>
    </row>
    <row r="749" ht="15" customHeight="1" s="3052" customFormat="1">
      <c r="B749" s="3054">
        <f t="shared" si="2"/>
      </c>
      <c r="C749" s="3054"/>
      <c r="D749" s="3054"/>
      <c r="E749" s="3055"/>
      <c r="F749" s="3055"/>
      <c r="G749" s="3055"/>
      <c r="H749" s="3055"/>
      <c r="I749" s="3055"/>
      <c r="J749" s="3055"/>
      <c r="K749" s="3055"/>
      <c r="L749" s="3055"/>
      <c r="M749" s="3055"/>
      <c r="N749" s="3055"/>
      <c r="O749" s="3055"/>
      <c r="P749" s="3055"/>
      <c r="Q749" s="3055"/>
      <c r="R749" s="3055">
        <f t="shared" si="3"/>
        <v>0</v>
      </c>
      <c r="S749" s="3055">
        <f t="shared" si="4"/>
        <v>0</v>
      </c>
      <c r="T749" s="3055">
        <f t="shared" si="5"/>
        <v>0</v>
      </c>
      <c r="U749" s="3055">
        <f t="shared" si="6"/>
        <v>0</v>
      </c>
      <c r="V749" s="3055">
        <f t="shared" si="7"/>
        <v>0</v>
      </c>
      <c r="W749" s="3055">
        <f t="shared" si="8"/>
        <v>0</v>
      </c>
      <c r="X749" s="3055">
        <f t="shared" si="9"/>
        <v>0</v>
      </c>
      <c r="Y749" s="3055">
        <f t="shared" si="10"/>
        <v>0</v>
      </c>
      <c r="Z749" s="3055">
        <f t="shared" si="11"/>
        <v>0</v>
      </c>
      <c r="AA749" s="3055">
        <f t="shared" si="12"/>
        <v>0</v>
      </c>
      <c r="AB749" s="3055">
        <f t="shared" si="13"/>
        <v>0</v>
      </c>
      <c r="AC749" s="3055">
        <f t="shared" si="14"/>
        <v>0</v>
      </c>
      <c r="AD749" s="3056"/>
      <c r="AE749" s="3057">
        <f t="shared" si="0"/>
      </c>
      <c r="AF749" s="3054"/>
      <c r="AG749" s="3054"/>
      <c r="AH749" s="3055"/>
      <c r="AI749" s="3055"/>
      <c r="AJ749" s="3055"/>
      <c r="AK749" s="3055"/>
      <c r="AL749" s="3055"/>
      <c r="AM749" s="3055"/>
      <c r="AN749" s="3055"/>
      <c r="AO749" s="3055"/>
      <c r="AP749" s="3055"/>
      <c r="AQ749" s="3055"/>
      <c r="AR749" s="3055"/>
      <c r="AS749" s="3055"/>
      <c r="AT749" s="3055"/>
      <c r="AU749" s="3056"/>
      <c r="AV749" s="3057">
        <f t="shared" si="15"/>
      </c>
      <c r="AW749" s="3054"/>
      <c r="AX749" s="3054"/>
      <c r="AY749" s="3055"/>
      <c r="AZ749" s="3055"/>
      <c r="BA749" s="3055"/>
      <c r="BB749" s="3055"/>
      <c r="BC749" s="3055"/>
      <c r="BD749" s="3055"/>
      <c r="BE749" s="3055"/>
      <c r="BF749" s="3055"/>
      <c r="BG749" s="3055"/>
      <c r="BH749" s="3055"/>
      <c r="BI749" s="3055"/>
      <c r="BJ749" s="3055"/>
      <c r="BK749" s="3055"/>
      <c r="BL749" s="3056"/>
      <c r="BM749" s="3057">
        <f t="shared" si="16"/>
      </c>
      <c r="BN749" s="3054"/>
      <c r="BO749" s="3054"/>
      <c r="BP749" s="3055"/>
      <c r="BQ749" s="3055"/>
      <c r="BR749" s="3055"/>
      <c r="BS749" s="3055"/>
      <c r="BT749" s="3055"/>
      <c r="BU749" s="3055"/>
      <c r="BV749" s="3055"/>
      <c r="BW749" s="3055"/>
      <c r="BX749" s="3055"/>
      <c r="BY749" s="3055"/>
      <c r="BZ749" s="3055"/>
      <c r="CA749" s="3055"/>
      <c r="CB749" s="3055"/>
      <c r="CC749" s="3056"/>
      <c r="CD749" s="3057">
        <f t="shared" si="0"/>
      </c>
      <c r="CE749" s="3054"/>
      <c r="CF749" s="3054"/>
      <c r="CG749" s="3055"/>
      <c r="CH749" s="3055"/>
      <c r="CI749" s="3055"/>
      <c r="CJ749" s="3055"/>
      <c r="CK749" s="3055"/>
      <c r="CL749" s="3055"/>
      <c r="CM749" s="3055"/>
      <c r="CN749" s="3055"/>
      <c r="CO749" s="3055"/>
      <c r="CP749" s="3055"/>
      <c r="CQ749" s="3055"/>
      <c r="CR749" s="3055"/>
      <c r="CS749" s="3055"/>
      <c r="CU749" s="3054"/>
      <c r="CV749" s="696"/>
      <c r="CW749" s="696"/>
      <c r="CZ749" s="3060">
        <f t="shared" si="17"/>
      </c>
      <c r="DA749" s="3060">
        <f t="shared" si="1"/>
      </c>
      <c r="DB749" s="3060">
        <f t="shared" si="18"/>
      </c>
      <c r="DC749" s="3060">
        <f t="shared" si="19"/>
      </c>
      <c r="DD749" s="3060">
        <f t="shared" si="20"/>
      </c>
      <c r="DE749" s="3060">
        <f t="shared" si="21"/>
      </c>
      <c r="DF749" s="3060">
        <f t="shared" si="22"/>
      </c>
      <c r="DG749" s="3060">
        <f t="shared" si="23"/>
      </c>
      <c r="DH749" s="3060">
        <f t="shared" si="24"/>
      </c>
      <c r="DI749" s="3060">
        <f t="shared" si="1"/>
      </c>
    </row>
    <row r="750" ht="15" customHeight="1" s="3052" customFormat="1">
      <c r="B750" s="3054">
        <f t="shared" si="2"/>
      </c>
      <c r="C750" s="3054"/>
      <c r="D750" s="3054"/>
      <c r="E750" s="3055"/>
      <c r="F750" s="3055"/>
      <c r="G750" s="3055"/>
      <c r="H750" s="3055"/>
      <c r="I750" s="3055"/>
      <c r="J750" s="3055"/>
      <c r="K750" s="3055"/>
      <c r="L750" s="3055"/>
      <c r="M750" s="3055"/>
      <c r="N750" s="3055"/>
      <c r="O750" s="3055"/>
      <c r="P750" s="3055"/>
      <c r="Q750" s="3055"/>
      <c r="R750" s="3055">
        <f t="shared" si="3"/>
        <v>0</v>
      </c>
      <c r="S750" s="3055">
        <f t="shared" si="4"/>
        <v>0</v>
      </c>
      <c r="T750" s="3055">
        <f t="shared" si="5"/>
        <v>0</v>
      </c>
      <c r="U750" s="3055">
        <f t="shared" si="6"/>
        <v>0</v>
      </c>
      <c r="V750" s="3055">
        <f t="shared" si="7"/>
        <v>0</v>
      </c>
      <c r="W750" s="3055">
        <f t="shared" si="8"/>
        <v>0</v>
      </c>
      <c r="X750" s="3055">
        <f t="shared" si="9"/>
        <v>0</v>
      </c>
      <c r="Y750" s="3055">
        <f t="shared" si="10"/>
        <v>0</v>
      </c>
      <c r="Z750" s="3055">
        <f t="shared" si="11"/>
        <v>0</v>
      </c>
      <c r="AA750" s="3055">
        <f t="shared" si="12"/>
        <v>0</v>
      </c>
      <c r="AB750" s="3055">
        <f t="shared" si="13"/>
        <v>0</v>
      </c>
      <c r="AC750" s="3055">
        <f t="shared" si="14"/>
        <v>0</v>
      </c>
      <c r="AD750" s="3056"/>
      <c r="AE750" s="3057">
        <f t="shared" si="0"/>
      </c>
      <c r="AF750" s="3054"/>
      <c r="AG750" s="3054"/>
      <c r="AH750" s="3055"/>
      <c r="AI750" s="3055"/>
      <c r="AJ750" s="3055"/>
      <c r="AK750" s="3055"/>
      <c r="AL750" s="3055"/>
      <c r="AM750" s="3055"/>
      <c r="AN750" s="3055"/>
      <c r="AO750" s="3055"/>
      <c r="AP750" s="3055"/>
      <c r="AQ750" s="3055"/>
      <c r="AR750" s="3055"/>
      <c r="AS750" s="3055"/>
      <c r="AT750" s="3055"/>
      <c r="AU750" s="3056"/>
      <c r="AV750" s="3057">
        <f t="shared" si="15"/>
      </c>
      <c r="AW750" s="3054"/>
      <c r="AX750" s="3054"/>
      <c r="AY750" s="3055"/>
      <c r="AZ750" s="3055"/>
      <c r="BA750" s="3055"/>
      <c r="BB750" s="3055"/>
      <c r="BC750" s="3055"/>
      <c r="BD750" s="3055"/>
      <c r="BE750" s="3055"/>
      <c r="BF750" s="3055"/>
      <c r="BG750" s="3055"/>
      <c r="BH750" s="3055"/>
      <c r="BI750" s="3055"/>
      <c r="BJ750" s="3055"/>
      <c r="BK750" s="3055"/>
      <c r="BL750" s="3056"/>
      <c r="BM750" s="3057">
        <f t="shared" si="16"/>
      </c>
      <c r="BN750" s="3054"/>
      <c r="BO750" s="3054"/>
      <c r="BP750" s="3055"/>
      <c r="BQ750" s="3055"/>
      <c r="BR750" s="3055"/>
      <c r="BS750" s="3055"/>
      <c r="BT750" s="3055"/>
      <c r="BU750" s="3055"/>
      <c r="BV750" s="3055"/>
      <c r="BW750" s="3055"/>
      <c r="BX750" s="3055"/>
      <c r="BY750" s="3055"/>
      <c r="BZ750" s="3055"/>
      <c r="CA750" s="3055"/>
      <c r="CB750" s="3055"/>
      <c r="CC750" s="3056"/>
      <c r="CD750" s="3057">
        <f t="shared" si="0"/>
      </c>
      <c r="CE750" s="3054"/>
      <c r="CF750" s="3054"/>
      <c r="CG750" s="3055"/>
      <c r="CH750" s="3055"/>
      <c r="CI750" s="3055"/>
      <c r="CJ750" s="3055"/>
      <c r="CK750" s="3055"/>
      <c r="CL750" s="3055"/>
      <c r="CM750" s="3055"/>
      <c r="CN750" s="3055"/>
      <c r="CO750" s="3055"/>
      <c r="CP750" s="3055"/>
      <c r="CQ750" s="3055"/>
      <c r="CR750" s="3055"/>
      <c r="CS750" s="3055"/>
      <c r="CU750" s="3054"/>
      <c r="CV750" s="696"/>
      <c r="CW750" s="696"/>
      <c r="CZ750" s="3060">
        <f t="shared" si="17"/>
      </c>
      <c r="DA750" s="3060">
        <f t="shared" si="1"/>
      </c>
      <c r="DB750" s="3060">
        <f t="shared" si="18"/>
      </c>
      <c r="DC750" s="3060">
        <f t="shared" si="19"/>
      </c>
      <c r="DD750" s="3060">
        <f t="shared" si="20"/>
      </c>
      <c r="DE750" s="3060">
        <f t="shared" si="21"/>
      </c>
      <c r="DF750" s="3060">
        <f t="shared" si="22"/>
      </c>
      <c r="DG750" s="3060">
        <f t="shared" si="23"/>
      </c>
      <c r="DH750" s="3060">
        <f t="shared" si="24"/>
      </c>
      <c r="DI750" s="3060">
        <f t="shared" si="1"/>
      </c>
    </row>
    <row r="751" ht="15" customHeight="1" s="3052" customFormat="1">
      <c r="B751" s="3054">
        <f t="shared" si="2"/>
      </c>
      <c r="C751" s="3054"/>
      <c r="D751" s="3054"/>
      <c r="E751" s="3055"/>
      <c r="F751" s="3055"/>
      <c r="G751" s="3055"/>
      <c r="H751" s="3055"/>
      <c r="I751" s="3055"/>
      <c r="J751" s="3055"/>
      <c r="K751" s="3055"/>
      <c r="L751" s="3055"/>
      <c r="M751" s="3055"/>
      <c r="N751" s="3055"/>
      <c r="O751" s="3055"/>
      <c r="P751" s="3055"/>
      <c r="Q751" s="3055"/>
      <c r="R751" s="3055">
        <f t="shared" si="3"/>
        <v>0</v>
      </c>
      <c r="S751" s="3055">
        <f t="shared" si="4"/>
        <v>0</v>
      </c>
      <c r="T751" s="3055">
        <f t="shared" si="5"/>
        <v>0</v>
      </c>
      <c r="U751" s="3055">
        <f t="shared" si="6"/>
        <v>0</v>
      </c>
      <c r="V751" s="3055">
        <f t="shared" si="7"/>
        <v>0</v>
      </c>
      <c r="W751" s="3055">
        <f t="shared" si="8"/>
        <v>0</v>
      </c>
      <c r="X751" s="3055">
        <f t="shared" si="9"/>
        <v>0</v>
      </c>
      <c r="Y751" s="3055">
        <f t="shared" si="10"/>
        <v>0</v>
      </c>
      <c r="Z751" s="3055">
        <f t="shared" si="11"/>
        <v>0</v>
      </c>
      <c r="AA751" s="3055">
        <f t="shared" si="12"/>
        <v>0</v>
      </c>
      <c r="AB751" s="3055">
        <f t="shared" si="13"/>
        <v>0</v>
      </c>
      <c r="AC751" s="3055">
        <f t="shared" si="14"/>
        <v>0</v>
      </c>
      <c r="AD751" s="3056"/>
      <c r="AE751" s="3057">
        <f t="shared" si="0"/>
      </c>
      <c r="AF751" s="3054"/>
      <c r="AG751" s="3054"/>
      <c r="AH751" s="3055"/>
      <c r="AI751" s="3055"/>
      <c r="AJ751" s="3055"/>
      <c r="AK751" s="3055"/>
      <c r="AL751" s="3055"/>
      <c r="AM751" s="3055"/>
      <c r="AN751" s="3055"/>
      <c r="AO751" s="3055"/>
      <c r="AP751" s="3055"/>
      <c r="AQ751" s="3055"/>
      <c r="AR751" s="3055"/>
      <c r="AS751" s="3055"/>
      <c r="AT751" s="3055"/>
      <c r="AU751" s="3056"/>
      <c r="AV751" s="3057">
        <f t="shared" si="15"/>
      </c>
      <c r="AW751" s="3054"/>
      <c r="AX751" s="3054"/>
      <c r="AY751" s="3055"/>
      <c r="AZ751" s="3055"/>
      <c r="BA751" s="3055"/>
      <c r="BB751" s="3055"/>
      <c r="BC751" s="3055"/>
      <c r="BD751" s="3055"/>
      <c r="BE751" s="3055"/>
      <c r="BF751" s="3055"/>
      <c r="BG751" s="3055"/>
      <c r="BH751" s="3055"/>
      <c r="BI751" s="3055"/>
      <c r="BJ751" s="3055"/>
      <c r="BK751" s="3055"/>
      <c r="BL751" s="3056"/>
      <c r="BM751" s="3057">
        <f t="shared" si="16"/>
      </c>
      <c r="BN751" s="3054"/>
      <c r="BO751" s="3054"/>
      <c r="BP751" s="3055"/>
      <c r="BQ751" s="3055"/>
      <c r="BR751" s="3055"/>
      <c r="BS751" s="3055"/>
      <c r="BT751" s="3055"/>
      <c r="BU751" s="3055"/>
      <c r="BV751" s="3055"/>
      <c r="BW751" s="3055"/>
      <c r="BX751" s="3055"/>
      <c r="BY751" s="3055"/>
      <c r="BZ751" s="3055"/>
      <c r="CA751" s="3055"/>
      <c r="CB751" s="3055"/>
      <c r="CC751" s="3056"/>
      <c r="CD751" s="3057">
        <f t="shared" si="0"/>
      </c>
      <c r="CE751" s="3054"/>
      <c r="CF751" s="3054"/>
      <c r="CG751" s="3055"/>
      <c r="CH751" s="3055"/>
      <c r="CI751" s="3055"/>
      <c r="CJ751" s="3055"/>
      <c r="CK751" s="3055"/>
      <c r="CL751" s="3055"/>
      <c r="CM751" s="3055"/>
      <c r="CN751" s="3055"/>
      <c r="CO751" s="3055"/>
      <c r="CP751" s="3055"/>
      <c r="CQ751" s="3055"/>
      <c r="CR751" s="3055"/>
      <c r="CS751" s="3055"/>
      <c r="CU751" s="3054"/>
      <c r="CV751" s="696"/>
      <c r="CW751" s="696"/>
      <c r="CZ751" s="3060">
        <f t="shared" si="17"/>
      </c>
      <c r="DA751" s="3060">
        <f t="shared" si="1"/>
      </c>
      <c r="DB751" s="3060">
        <f t="shared" si="18"/>
      </c>
      <c r="DC751" s="3060">
        <f t="shared" si="19"/>
      </c>
      <c r="DD751" s="3060">
        <f t="shared" si="20"/>
      </c>
      <c r="DE751" s="3060">
        <f t="shared" si="21"/>
      </c>
      <c r="DF751" s="3060">
        <f t="shared" si="22"/>
      </c>
      <c r="DG751" s="3060">
        <f t="shared" si="23"/>
      </c>
      <c r="DH751" s="3060">
        <f t="shared" si="24"/>
      </c>
      <c r="DI751" s="3060">
        <f t="shared" si="1"/>
      </c>
    </row>
    <row r="752" ht="15" customHeight="1" s="3052" customFormat="1">
      <c r="B752" s="3054">
        <f t="shared" si="2"/>
      </c>
      <c r="C752" s="3054"/>
      <c r="D752" s="3054"/>
      <c r="E752" s="3055"/>
      <c r="F752" s="3055"/>
      <c r="G752" s="3055"/>
      <c r="H752" s="3055"/>
      <c r="I752" s="3055"/>
      <c r="J752" s="3055"/>
      <c r="K752" s="3055"/>
      <c r="L752" s="3055"/>
      <c r="M752" s="3055"/>
      <c r="N752" s="3055"/>
      <c r="O752" s="3055"/>
      <c r="P752" s="3055"/>
      <c r="Q752" s="3055"/>
      <c r="R752" s="3055">
        <f t="shared" si="3"/>
        <v>0</v>
      </c>
      <c r="S752" s="3055">
        <f t="shared" si="4"/>
        <v>0</v>
      </c>
      <c r="T752" s="3055">
        <f t="shared" si="5"/>
        <v>0</v>
      </c>
      <c r="U752" s="3055">
        <f t="shared" si="6"/>
        <v>0</v>
      </c>
      <c r="V752" s="3055">
        <f t="shared" si="7"/>
        <v>0</v>
      </c>
      <c r="W752" s="3055">
        <f t="shared" si="8"/>
        <v>0</v>
      </c>
      <c r="X752" s="3055">
        <f t="shared" si="9"/>
        <v>0</v>
      </c>
      <c r="Y752" s="3055">
        <f t="shared" si="10"/>
        <v>0</v>
      </c>
      <c r="Z752" s="3055">
        <f t="shared" si="11"/>
        <v>0</v>
      </c>
      <c r="AA752" s="3055">
        <f t="shared" si="12"/>
        <v>0</v>
      </c>
      <c r="AB752" s="3055">
        <f t="shared" si="13"/>
        <v>0</v>
      </c>
      <c r="AC752" s="3055">
        <f t="shared" si="14"/>
        <v>0</v>
      </c>
      <c r="AD752" s="3056"/>
      <c r="AE752" s="3057">
        <f t="shared" si="0"/>
      </c>
      <c r="AF752" s="3054"/>
      <c r="AG752" s="3054"/>
      <c r="AH752" s="3055"/>
      <c r="AI752" s="3055"/>
      <c r="AJ752" s="3055"/>
      <c r="AK752" s="3055"/>
      <c r="AL752" s="3055"/>
      <c r="AM752" s="3055"/>
      <c r="AN752" s="3055"/>
      <c r="AO752" s="3055"/>
      <c r="AP752" s="3055"/>
      <c r="AQ752" s="3055"/>
      <c r="AR752" s="3055"/>
      <c r="AS752" s="3055"/>
      <c r="AT752" s="3055"/>
      <c r="AU752" s="3056"/>
      <c r="AV752" s="3057">
        <f t="shared" si="15"/>
      </c>
      <c r="AW752" s="3054"/>
      <c r="AX752" s="3054"/>
      <c r="AY752" s="3055"/>
      <c r="AZ752" s="3055"/>
      <c r="BA752" s="3055"/>
      <c r="BB752" s="3055"/>
      <c r="BC752" s="3055"/>
      <c r="BD752" s="3055"/>
      <c r="BE752" s="3055"/>
      <c r="BF752" s="3055"/>
      <c r="BG752" s="3055"/>
      <c r="BH752" s="3055"/>
      <c r="BI752" s="3055"/>
      <c r="BJ752" s="3055"/>
      <c r="BK752" s="3055"/>
      <c r="BL752" s="3056"/>
      <c r="BM752" s="3057">
        <f t="shared" si="16"/>
      </c>
      <c r="BN752" s="3054"/>
      <c r="BO752" s="3054"/>
      <c r="BP752" s="3055"/>
      <c r="BQ752" s="3055"/>
      <c r="BR752" s="3055"/>
      <c r="BS752" s="3055"/>
      <c r="BT752" s="3055"/>
      <c r="BU752" s="3055"/>
      <c r="BV752" s="3055"/>
      <c r="BW752" s="3055"/>
      <c r="BX752" s="3055"/>
      <c r="BY752" s="3055"/>
      <c r="BZ752" s="3055"/>
      <c r="CA752" s="3055"/>
      <c r="CB752" s="3055"/>
      <c r="CC752" s="3056"/>
      <c r="CD752" s="3057">
        <f t="shared" si="0"/>
      </c>
      <c r="CE752" s="3054"/>
      <c r="CF752" s="3054"/>
      <c r="CG752" s="3055"/>
      <c r="CH752" s="3055"/>
      <c r="CI752" s="3055"/>
      <c r="CJ752" s="3055"/>
      <c r="CK752" s="3055"/>
      <c r="CL752" s="3055"/>
      <c r="CM752" s="3055"/>
      <c r="CN752" s="3055"/>
      <c r="CO752" s="3055"/>
      <c r="CP752" s="3055"/>
      <c r="CQ752" s="3055"/>
      <c r="CR752" s="3055"/>
      <c r="CS752" s="3055"/>
      <c r="CU752" s="3054"/>
      <c r="CV752" s="696"/>
      <c r="CW752" s="696"/>
      <c r="CZ752" s="3060">
        <f t="shared" si="17"/>
      </c>
      <c r="DA752" s="3060">
        <f t="shared" si="1"/>
      </c>
      <c r="DB752" s="3060">
        <f t="shared" si="18"/>
      </c>
      <c r="DC752" s="3060">
        <f t="shared" si="19"/>
      </c>
      <c r="DD752" s="3060">
        <f t="shared" si="20"/>
      </c>
      <c r="DE752" s="3060">
        <f t="shared" si="21"/>
      </c>
      <c r="DF752" s="3060">
        <f t="shared" si="22"/>
      </c>
      <c r="DG752" s="3060">
        <f t="shared" si="23"/>
      </c>
      <c r="DH752" s="3060">
        <f t="shared" si="24"/>
      </c>
      <c r="DI752" s="3060">
        <f t="shared" si="1"/>
      </c>
    </row>
    <row r="753" ht="15" customHeight="1" s="3052" customFormat="1">
      <c r="B753" s="3054">
        <f t="shared" si="2"/>
      </c>
      <c r="C753" s="3054"/>
      <c r="D753" s="3054"/>
      <c r="E753" s="3055"/>
      <c r="F753" s="3055"/>
      <c r="G753" s="3055"/>
      <c r="H753" s="3055"/>
      <c r="I753" s="3055"/>
      <c r="J753" s="3055"/>
      <c r="K753" s="3055"/>
      <c r="L753" s="3055"/>
      <c r="M753" s="3055"/>
      <c r="N753" s="3055"/>
      <c r="O753" s="3055"/>
      <c r="P753" s="3055"/>
      <c r="Q753" s="3055"/>
      <c r="R753" s="3055">
        <f t="shared" si="3"/>
        <v>0</v>
      </c>
      <c r="S753" s="3055">
        <f t="shared" si="4"/>
        <v>0</v>
      </c>
      <c r="T753" s="3055">
        <f t="shared" si="5"/>
        <v>0</v>
      </c>
      <c r="U753" s="3055">
        <f t="shared" si="6"/>
        <v>0</v>
      </c>
      <c r="V753" s="3055">
        <f t="shared" si="7"/>
        <v>0</v>
      </c>
      <c r="W753" s="3055">
        <f t="shared" si="8"/>
        <v>0</v>
      </c>
      <c r="X753" s="3055">
        <f t="shared" si="9"/>
        <v>0</v>
      </c>
      <c r="Y753" s="3055">
        <f t="shared" si="10"/>
        <v>0</v>
      </c>
      <c r="Z753" s="3055">
        <f t="shared" si="11"/>
        <v>0</v>
      </c>
      <c r="AA753" s="3055">
        <f t="shared" si="12"/>
        <v>0</v>
      </c>
      <c r="AB753" s="3055">
        <f t="shared" si="13"/>
        <v>0</v>
      </c>
      <c r="AC753" s="3055">
        <f t="shared" si="14"/>
        <v>0</v>
      </c>
      <c r="AD753" s="3056"/>
      <c r="AE753" s="3057">
        <f t="shared" si="0"/>
      </c>
      <c r="AF753" s="3054"/>
      <c r="AG753" s="3054"/>
      <c r="AH753" s="3055"/>
      <c r="AI753" s="3055"/>
      <c r="AJ753" s="3055"/>
      <c r="AK753" s="3055"/>
      <c r="AL753" s="3055"/>
      <c r="AM753" s="3055"/>
      <c r="AN753" s="3055"/>
      <c r="AO753" s="3055"/>
      <c r="AP753" s="3055"/>
      <c r="AQ753" s="3055"/>
      <c r="AR753" s="3055"/>
      <c r="AS753" s="3055"/>
      <c r="AT753" s="3055"/>
      <c r="AU753" s="3056"/>
      <c r="AV753" s="3057">
        <f t="shared" si="15"/>
      </c>
      <c r="AW753" s="3054"/>
      <c r="AX753" s="3054"/>
      <c r="AY753" s="3055"/>
      <c r="AZ753" s="3055"/>
      <c r="BA753" s="3055"/>
      <c r="BB753" s="3055"/>
      <c r="BC753" s="3055"/>
      <c r="BD753" s="3055"/>
      <c r="BE753" s="3055"/>
      <c r="BF753" s="3055"/>
      <c r="BG753" s="3055"/>
      <c r="BH753" s="3055"/>
      <c r="BI753" s="3055"/>
      <c r="BJ753" s="3055"/>
      <c r="BK753" s="3055"/>
      <c r="BL753" s="3056"/>
      <c r="BM753" s="3057">
        <f t="shared" si="16"/>
      </c>
      <c r="BN753" s="3054"/>
      <c r="BO753" s="3054"/>
      <c r="BP753" s="3055"/>
      <c r="BQ753" s="3055"/>
      <c r="BR753" s="3055"/>
      <c r="BS753" s="3055"/>
      <c r="BT753" s="3055"/>
      <c r="BU753" s="3055"/>
      <c r="BV753" s="3055"/>
      <c r="BW753" s="3055"/>
      <c r="BX753" s="3055"/>
      <c r="BY753" s="3055"/>
      <c r="BZ753" s="3055"/>
      <c r="CA753" s="3055"/>
      <c r="CB753" s="3055"/>
      <c r="CC753" s="3056"/>
      <c r="CD753" s="3057">
        <f t="shared" si="0"/>
      </c>
      <c r="CE753" s="3054"/>
      <c r="CF753" s="3054"/>
      <c r="CG753" s="3055"/>
      <c r="CH753" s="3055"/>
      <c r="CI753" s="3055"/>
      <c r="CJ753" s="3055"/>
      <c r="CK753" s="3055"/>
      <c r="CL753" s="3055"/>
      <c r="CM753" s="3055"/>
      <c r="CN753" s="3055"/>
      <c r="CO753" s="3055"/>
      <c r="CP753" s="3055"/>
      <c r="CQ753" s="3055"/>
      <c r="CR753" s="3055"/>
      <c r="CS753" s="3055"/>
      <c r="CU753" s="3054"/>
      <c r="CV753" s="696"/>
      <c r="CW753" s="696"/>
      <c r="CZ753" s="3060">
        <f t="shared" si="17"/>
      </c>
      <c r="DA753" s="3060">
        <f t="shared" si="1"/>
      </c>
      <c r="DB753" s="3060">
        <f t="shared" si="18"/>
      </c>
      <c r="DC753" s="3060">
        <f t="shared" si="19"/>
      </c>
      <c r="DD753" s="3060">
        <f t="shared" si="20"/>
      </c>
      <c r="DE753" s="3060">
        <f t="shared" si="21"/>
      </c>
      <c r="DF753" s="3060">
        <f t="shared" si="22"/>
      </c>
      <c r="DG753" s="3060">
        <f t="shared" si="23"/>
      </c>
      <c r="DH753" s="3060">
        <f t="shared" si="24"/>
      </c>
      <c r="DI753" s="3060">
        <f t="shared" si="1"/>
      </c>
    </row>
    <row r="754" ht="15" customHeight="1" s="3052" customFormat="1">
      <c r="B754" s="3054">
        <f t="shared" si="2"/>
      </c>
      <c r="C754" s="3054"/>
      <c r="D754" s="3054"/>
      <c r="E754" s="3055"/>
      <c r="F754" s="3055"/>
      <c r="G754" s="3055"/>
      <c r="H754" s="3055"/>
      <c r="I754" s="3055"/>
      <c r="J754" s="3055"/>
      <c r="K754" s="3055"/>
      <c r="L754" s="3055"/>
      <c r="M754" s="3055"/>
      <c r="N754" s="3055"/>
      <c r="O754" s="3055"/>
      <c r="P754" s="3055"/>
      <c r="Q754" s="3055"/>
      <c r="R754" s="3055">
        <f t="shared" si="3"/>
        <v>0</v>
      </c>
      <c r="S754" s="3055">
        <f t="shared" si="4"/>
        <v>0</v>
      </c>
      <c r="T754" s="3055">
        <f t="shared" si="5"/>
        <v>0</v>
      </c>
      <c r="U754" s="3055">
        <f t="shared" si="6"/>
        <v>0</v>
      </c>
      <c r="V754" s="3055">
        <f t="shared" si="7"/>
        <v>0</v>
      </c>
      <c r="W754" s="3055">
        <f t="shared" si="8"/>
        <v>0</v>
      </c>
      <c r="X754" s="3055">
        <f t="shared" si="9"/>
        <v>0</v>
      </c>
      <c r="Y754" s="3055">
        <f t="shared" si="10"/>
        <v>0</v>
      </c>
      <c r="Z754" s="3055">
        <f t="shared" si="11"/>
        <v>0</v>
      </c>
      <c r="AA754" s="3055">
        <f t="shared" si="12"/>
        <v>0</v>
      </c>
      <c r="AB754" s="3055">
        <f t="shared" si="13"/>
        <v>0</v>
      </c>
      <c r="AC754" s="3055">
        <f t="shared" si="14"/>
        <v>0</v>
      </c>
      <c r="AD754" s="3056"/>
      <c r="AE754" s="3057">
        <f t="shared" si="0"/>
      </c>
      <c r="AF754" s="3054"/>
      <c r="AG754" s="3054"/>
      <c r="AH754" s="3055"/>
      <c r="AI754" s="3055"/>
      <c r="AJ754" s="3055"/>
      <c r="AK754" s="3055"/>
      <c r="AL754" s="3055"/>
      <c r="AM754" s="3055"/>
      <c r="AN754" s="3055"/>
      <c r="AO754" s="3055"/>
      <c r="AP754" s="3055"/>
      <c r="AQ754" s="3055"/>
      <c r="AR754" s="3055"/>
      <c r="AS754" s="3055"/>
      <c r="AT754" s="3055"/>
      <c r="AU754" s="3056"/>
      <c r="AV754" s="3057">
        <f t="shared" si="15"/>
      </c>
      <c r="AW754" s="3054"/>
      <c r="AX754" s="3054"/>
      <c r="AY754" s="3055"/>
      <c r="AZ754" s="3055"/>
      <c r="BA754" s="3055"/>
      <c r="BB754" s="3055"/>
      <c r="BC754" s="3055"/>
      <c r="BD754" s="3055"/>
      <c r="BE754" s="3055"/>
      <c r="BF754" s="3055"/>
      <c r="BG754" s="3055"/>
      <c r="BH754" s="3055"/>
      <c r="BI754" s="3055"/>
      <c r="BJ754" s="3055"/>
      <c r="BK754" s="3055"/>
      <c r="BL754" s="3056"/>
      <c r="BM754" s="3057">
        <f t="shared" si="16"/>
      </c>
      <c r="BN754" s="3054"/>
      <c r="BO754" s="3054"/>
      <c r="BP754" s="3055"/>
      <c r="BQ754" s="3055"/>
      <c r="BR754" s="3055"/>
      <c r="BS754" s="3055"/>
      <c r="BT754" s="3055"/>
      <c r="BU754" s="3055"/>
      <c r="BV754" s="3055"/>
      <c r="BW754" s="3055"/>
      <c r="BX754" s="3055"/>
      <c r="BY754" s="3055"/>
      <c r="BZ754" s="3055"/>
      <c r="CA754" s="3055"/>
      <c r="CB754" s="3055"/>
      <c r="CC754" s="3056"/>
      <c r="CD754" s="3057">
        <f t="shared" si="0"/>
      </c>
      <c r="CE754" s="3054"/>
      <c r="CF754" s="3054"/>
      <c r="CG754" s="3055"/>
      <c r="CH754" s="3055"/>
      <c r="CI754" s="3055"/>
      <c r="CJ754" s="3055"/>
      <c r="CK754" s="3055"/>
      <c r="CL754" s="3055"/>
      <c r="CM754" s="3055"/>
      <c r="CN754" s="3055"/>
      <c r="CO754" s="3055"/>
      <c r="CP754" s="3055"/>
      <c r="CQ754" s="3055"/>
      <c r="CR754" s="3055"/>
      <c r="CS754" s="3055"/>
      <c r="CU754" s="3054"/>
      <c r="CV754" s="696"/>
      <c r="CW754" s="696"/>
      <c r="CZ754" s="3060">
        <f t="shared" si="17"/>
      </c>
      <c r="DA754" s="3060">
        <f t="shared" si="1"/>
      </c>
      <c r="DB754" s="3060">
        <f t="shared" si="18"/>
      </c>
      <c r="DC754" s="3060">
        <f t="shared" si="19"/>
      </c>
      <c r="DD754" s="3060">
        <f t="shared" si="20"/>
      </c>
      <c r="DE754" s="3060">
        <f t="shared" si="21"/>
      </c>
      <c r="DF754" s="3060">
        <f t="shared" si="22"/>
      </c>
      <c r="DG754" s="3060">
        <f t="shared" si="23"/>
      </c>
      <c r="DH754" s="3060">
        <f t="shared" si="24"/>
      </c>
      <c r="DI754" s="3060">
        <f t="shared" si="1"/>
      </c>
    </row>
    <row r="755" ht="15" customHeight="1" s="3052" customFormat="1">
      <c r="B755" s="3054">
        <f t="shared" si="2"/>
      </c>
      <c r="C755" s="3054"/>
      <c r="D755" s="3054"/>
      <c r="E755" s="3055"/>
      <c r="F755" s="3055"/>
      <c r="G755" s="3055"/>
      <c r="H755" s="3055"/>
      <c r="I755" s="3055"/>
      <c r="J755" s="3055"/>
      <c r="K755" s="3055"/>
      <c r="L755" s="3055"/>
      <c r="M755" s="3055"/>
      <c r="N755" s="3055"/>
      <c r="O755" s="3055"/>
      <c r="P755" s="3055"/>
      <c r="Q755" s="3055"/>
      <c r="R755" s="3055">
        <f t="shared" si="3"/>
        <v>0</v>
      </c>
      <c r="S755" s="3055">
        <f t="shared" si="4"/>
        <v>0</v>
      </c>
      <c r="T755" s="3055">
        <f t="shared" si="5"/>
        <v>0</v>
      </c>
      <c r="U755" s="3055">
        <f t="shared" si="6"/>
        <v>0</v>
      </c>
      <c r="V755" s="3055">
        <f t="shared" si="7"/>
        <v>0</v>
      </c>
      <c r="W755" s="3055">
        <f t="shared" si="8"/>
        <v>0</v>
      </c>
      <c r="X755" s="3055">
        <f t="shared" si="9"/>
        <v>0</v>
      </c>
      <c r="Y755" s="3055">
        <f t="shared" si="10"/>
        <v>0</v>
      </c>
      <c r="Z755" s="3055">
        <f t="shared" si="11"/>
        <v>0</v>
      </c>
      <c r="AA755" s="3055">
        <f t="shared" si="12"/>
        <v>0</v>
      </c>
      <c r="AB755" s="3055">
        <f t="shared" si="13"/>
        <v>0</v>
      </c>
      <c r="AC755" s="3055">
        <f t="shared" si="14"/>
        <v>0</v>
      </c>
      <c r="AD755" s="3056"/>
      <c r="AE755" s="3057">
        <f t="shared" si="0"/>
      </c>
      <c r="AF755" s="3054"/>
      <c r="AG755" s="3054"/>
      <c r="AH755" s="3055"/>
      <c r="AI755" s="3055"/>
      <c r="AJ755" s="3055"/>
      <c r="AK755" s="3055"/>
      <c r="AL755" s="3055"/>
      <c r="AM755" s="3055"/>
      <c r="AN755" s="3055"/>
      <c r="AO755" s="3055"/>
      <c r="AP755" s="3055"/>
      <c r="AQ755" s="3055"/>
      <c r="AR755" s="3055"/>
      <c r="AS755" s="3055"/>
      <c r="AT755" s="3055"/>
      <c r="AU755" s="3056"/>
      <c r="AV755" s="3057">
        <f t="shared" si="15"/>
      </c>
      <c r="AW755" s="3054"/>
      <c r="AX755" s="3054"/>
      <c r="AY755" s="3055"/>
      <c r="AZ755" s="3055"/>
      <c r="BA755" s="3055"/>
      <c r="BB755" s="3055"/>
      <c r="BC755" s="3055"/>
      <c r="BD755" s="3055"/>
      <c r="BE755" s="3055"/>
      <c r="BF755" s="3055"/>
      <c r="BG755" s="3055"/>
      <c r="BH755" s="3055"/>
      <c r="BI755" s="3055"/>
      <c r="BJ755" s="3055"/>
      <c r="BK755" s="3055"/>
      <c r="BL755" s="3056"/>
      <c r="BM755" s="3057">
        <f t="shared" si="16"/>
      </c>
      <c r="BN755" s="3054"/>
      <c r="BO755" s="3054"/>
      <c r="BP755" s="3055"/>
      <c r="BQ755" s="3055"/>
      <c r="BR755" s="3055"/>
      <c r="BS755" s="3055"/>
      <c r="BT755" s="3055"/>
      <c r="BU755" s="3055"/>
      <c r="BV755" s="3055"/>
      <c r="BW755" s="3055"/>
      <c r="BX755" s="3055"/>
      <c r="BY755" s="3055"/>
      <c r="BZ755" s="3055"/>
      <c r="CA755" s="3055"/>
      <c r="CB755" s="3055"/>
      <c r="CC755" s="3056"/>
      <c r="CD755" s="3057">
        <f t="shared" si="0"/>
      </c>
      <c r="CE755" s="3054"/>
      <c r="CF755" s="3054"/>
      <c r="CG755" s="3055"/>
      <c r="CH755" s="3055"/>
      <c r="CI755" s="3055"/>
      <c r="CJ755" s="3055"/>
      <c r="CK755" s="3055"/>
      <c r="CL755" s="3055"/>
      <c r="CM755" s="3055"/>
      <c r="CN755" s="3055"/>
      <c r="CO755" s="3055"/>
      <c r="CP755" s="3055"/>
      <c r="CQ755" s="3055"/>
      <c r="CR755" s="3055"/>
      <c r="CS755" s="3055"/>
      <c r="CU755" s="3054"/>
      <c r="CV755" s="696"/>
      <c r="CW755" s="696"/>
      <c r="CZ755" s="3060">
        <f t="shared" si="17"/>
      </c>
      <c r="DA755" s="3060">
        <f t="shared" si="1"/>
      </c>
      <c r="DB755" s="3060">
        <f t="shared" si="18"/>
      </c>
      <c r="DC755" s="3060">
        <f t="shared" si="19"/>
      </c>
      <c r="DD755" s="3060">
        <f t="shared" si="20"/>
      </c>
      <c r="DE755" s="3060">
        <f t="shared" si="21"/>
      </c>
      <c r="DF755" s="3060">
        <f t="shared" si="22"/>
      </c>
      <c r="DG755" s="3060">
        <f t="shared" si="23"/>
      </c>
      <c r="DH755" s="3060">
        <f t="shared" si="24"/>
      </c>
      <c r="DI755" s="3060">
        <f t="shared" si="1"/>
      </c>
    </row>
    <row r="756" ht="15" customHeight="1" s="3052" customFormat="1">
      <c r="B756" s="3054">
        <f t="shared" si="2"/>
      </c>
      <c r="C756" s="3054"/>
      <c r="D756" s="3054"/>
      <c r="E756" s="3055"/>
      <c r="F756" s="3055"/>
      <c r="G756" s="3055"/>
      <c r="H756" s="3055"/>
      <c r="I756" s="3055"/>
      <c r="J756" s="3055"/>
      <c r="K756" s="3055"/>
      <c r="L756" s="3055"/>
      <c r="M756" s="3055"/>
      <c r="N756" s="3055"/>
      <c r="O756" s="3055"/>
      <c r="P756" s="3055"/>
      <c r="Q756" s="3055"/>
      <c r="R756" s="3055">
        <f t="shared" si="3"/>
        <v>0</v>
      </c>
      <c r="S756" s="3055">
        <f t="shared" si="4"/>
        <v>0</v>
      </c>
      <c r="T756" s="3055">
        <f t="shared" si="5"/>
        <v>0</v>
      </c>
      <c r="U756" s="3055">
        <f t="shared" si="6"/>
        <v>0</v>
      </c>
      <c r="V756" s="3055">
        <f t="shared" si="7"/>
        <v>0</v>
      </c>
      <c r="W756" s="3055">
        <f t="shared" si="8"/>
        <v>0</v>
      </c>
      <c r="X756" s="3055">
        <f t="shared" si="9"/>
        <v>0</v>
      </c>
      <c r="Y756" s="3055">
        <f t="shared" si="10"/>
        <v>0</v>
      </c>
      <c r="Z756" s="3055">
        <f t="shared" si="11"/>
        <v>0</v>
      </c>
      <c r="AA756" s="3055">
        <f t="shared" si="12"/>
        <v>0</v>
      </c>
      <c r="AB756" s="3055">
        <f t="shared" si="13"/>
        <v>0</v>
      </c>
      <c r="AC756" s="3055">
        <f t="shared" si="14"/>
        <v>0</v>
      </c>
      <c r="AD756" s="3056"/>
      <c r="AE756" s="3057">
        <f t="shared" si="0"/>
      </c>
      <c r="AF756" s="3054"/>
      <c r="AG756" s="3054"/>
      <c r="AH756" s="3055"/>
      <c r="AI756" s="3055"/>
      <c r="AJ756" s="3055"/>
      <c r="AK756" s="3055"/>
      <c r="AL756" s="3055"/>
      <c r="AM756" s="3055"/>
      <c r="AN756" s="3055"/>
      <c r="AO756" s="3055"/>
      <c r="AP756" s="3055"/>
      <c r="AQ756" s="3055"/>
      <c r="AR756" s="3055"/>
      <c r="AS756" s="3055"/>
      <c r="AT756" s="3055"/>
      <c r="AU756" s="3056"/>
      <c r="AV756" s="3057">
        <f t="shared" si="15"/>
      </c>
      <c r="AW756" s="3054"/>
      <c r="AX756" s="3054"/>
      <c r="AY756" s="3055"/>
      <c r="AZ756" s="3055"/>
      <c r="BA756" s="3055"/>
      <c r="BB756" s="3055"/>
      <c r="BC756" s="3055"/>
      <c r="BD756" s="3055"/>
      <c r="BE756" s="3055"/>
      <c r="BF756" s="3055"/>
      <c r="BG756" s="3055"/>
      <c r="BH756" s="3055"/>
      <c r="BI756" s="3055"/>
      <c r="BJ756" s="3055"/>
      <c r="BK756" s="3055"/>
      <c r="BL756" s="3056"/>
      <c r="BM756" s="3057">
        <f t="shared" si="16"/>
      </c>
      <c r="BN756" s="3054"/>
      <c r="BO756" s="3054"/>
      <c r="BP756" s="3055"/>
      <c r="BQ756" s="3055"/>
      <c r="BR756" s="3055"/>
      <c r="BS756" s="3055"/>
      <c r="BT756" s="3055"/>
      <c r="BU756" s="3055"/>
      <c r="BV756" s="3055"/>
      <c r="BW756" s="3055"/>
      <c r="BX756" s="3055"/>
      <c r="BY756" s="3055"/>
      <c r="BZ756" s="3055"/>
      <c r="CA756" s="3055"/>
      <c r="CB756" s="3055"/>
      <c r="CC756" s="3056"/>
      <c r="CD756" s="3057">
        <f t="shared" si="0"/>
      </c>
      <c r="CE756" s="3054"/>
      <c r="CF756" s="3054"/>
      <c r="CG756" s="3055"/>
      <c r="CH756" s="3055"/>
      <c r="CI756" s="3055"/>
      <c r="CJ756" s="3055"/>
      <c r="CK756" s="3055"/>
      <c r="CL756" s="3055"/>
      <c r="CM756" s="3055"/>
      <c r="CN756" s="3055"/>
      <c r="CO756" s="3055"/>
      <c r="CP756" s="3055"/>
      <c r="CQ756" s="3055"/>
      <c r="CR756" s="3055"/>
      <c r="CS756" s="3055"/>
      <c r="CU756" s="3054"/>
      <c r="CV756" s="696"/>
      <c r="CW756" s="696"/>
      <c r="CZ756" s="3060">
        <f t="shared" si="17"/>
      </c>
      <c r="DA756" s="3060">
        <f t="shared" si="1"/>
      </c>
      <c r="DB756" s="3060">
        <f t="shared" si="18"/>
      </c>
      <c r="DC756" s="3060">
        <f t="shared" si="19"/>
      </c>
      <c r="DD756" s="3060">
        <f t="shared" si="20"/>
      </c>
      <c r="DE756" s="3060">
        <f t="shared" si="21"/>
      </c>
      <c r="DF756" s="3060">
        <f t="shared" si="22"/>
      </c>
      <c r="DG756" s="3060">
        <f t="shared" si="23"/>
      </c>
      <c r="DH756" s="3060">
        <f t="shared" si="24"/>
      </c>
      <c r="DI756" s="3060">
        <f t="shared" si="1"/>
      </c>
    </row>
    <row r="757" ht="15" customHeight="1" s="3052" customFormat="1">
      <c r="B757" s="3054">
        <f t="shared" si="2"/>
      </c>
      <c r="C757" s="3054"/>
      <c r="D757" s="3054"/>
      <c r="E757" s="3055"/>
      <c r="F757" s="3055"/>
      <c r="G757" s="3055"/>
      <c r="H757" s="3055"/>
      <c r="I757" s="3055"/>
      <c r="J757" s="3055"/>
      <c r="K757" s="3055"/>
      <c r="L757" s="3055"/>
      <c r="M757" s="3055"/>
      <c r="N757" s="3055"/>
      <c r="O757" s="3055"/>
      <c r="P757" s="3055"/>
      <c r="Q757" s="3055"/>
      <c r="R757" s="3055">
        <f t="shared" si="3"/>
        <v>0</v>
      </c>
      <c r="S757" s="3055">
        <f t="shared" si="4"/>
        <v>0</v>
      </c>
      <c r="T757" s="3055">
        <f t="shared" si="5"/>
        <v>0</v>
      </c>
      <c r="U757" s="3055">
        <f t="shared" si="6"/>
        <v>0</v>
      </c>
      <c r="V757" s="3055">
        <f t="shared" si="7"/>
        <v>0</v>
      </c>
      <c r="W757" s="3055">
        <f t="shared" si="8"/>
        <v>0</v>
      </c>
      <c r="X757" s="3055">
        <f t="shared" si="9"/>
        <v>0</v>
      </c>
      <c r="Y757" s="3055">
        <f t="shared" si="10"/>
        <v>0</v>
      </c>
      <c r="Z757" s="3055">
        <f t="shared" si="11"/>
        <v>0</v>
      </c>
      <c r="AA757" s="3055">
        <f t="shared" si="12"/>
        <v>0</v>
      </c>
      <c r="AB757" s="3055">
        <f t="shared" si="13"/>
        <v>0</v>
      </c>
      <c r="AC757" s="3055">
        <f t="shared" si="14"/>
        <v>0</v>
      </c>
      <c r="AD757" s="3056"/>
      <c r="AE757" s="3057">
        <f t="shared" si="0"/>
      </c>
      <c r="AF757" s="3054"/>
      <c r="AG757" s="3054"/>
      <c r="AH757" s="3055"/>
      <c r="AI757" s="3055"/>
      <c r="AJ757" s="3055"/>
      <c r="AK757" s="3055"/>
      <c r="AL757" s="3055"/>
      <c r="AM757" s="3055"/>
      <c r="AN757" s="3055"/>
      <c r="AO757" s="3055"/>
      <c r="AP757" s="3055"/>
      <c r="AQ757" s="3055"/>
      <c r="AR757" s="3055"/>
      <c r="AS757" s="3055"/>
      <c r="AT757" s="3055"/>
      <c r="AU757" s="3056"/>
      <c r="AV757" s="3057">
        <f t="shared" si="15"/>
      </c>
      <c r="AW757" s="3054"/>
      <c r="AX757" s="3054"/>
      <c r="AY757" s="3055"/>
      <c r="AZ757" s="3055"/>
      <c r="BA757" s="3055"/>
      <c r="BB757" s="3055"/>
      <c r="BC757" s="3055"/>
      <c r="BD757" s="3055"/>
      <c r="BE757" s="3055"/>
      <c r="BF757" s="3055"/>
      <c r="BG757" s="3055"/>
      <c r="BH757" s="3055"/>
      <c r="BI757" s="3055"/>
      <c r="BJ757" s="3055"/>
      <c r="BK757" s="3055"/>
      <c r="BL757" s="3056"/>
      <c r="BM757" s="3057">
        <f t="shared" si="16"/>
      </c>
      <c r="BN757" s="3054"/>
      <c r="BO757" s="3054"/>
      <c r="BP757" s="3055"/>
      <c r="BQ757" s="3055"/>
      <c r="BR757" s="3055"/>
      <c r="BS757" s="3055"/>
      <c r="BT757" s="3055"/>
      <c r="BU757" s="3055"/>
      <c r="BV757" s="3055"/>
      <c r="BW757" s="3055"/>
      <c r="BX757" s="3055"/>
      <c r="BY757" s="3055"/>
      <c r="BZ757" s="3055"/>
      <c r="CA757" s="3055"/>
      <c r="CB757" s="3055"/>
      <c r="CC757" s="3056"/>
      <c r="CD757" s="3057">
        <f t="shared" si="0"/>
      </c>
      <c r="CE757" s="3054"/>
      <c r="CF757" s="3054"/>
      <c r="CG757" s="3055"/>
      <c r="CH757" s="3055"/>
      <c r="CI757" s="3055"/>
      <c r="CJ757" s="3055"/>
      <c r="CK757" s="3055"/>
      <c r="CL757" s="3055"/>
      <c r="CM757" s="3055"/>
      <c r="CN757" s="3055"/>
      <c r="CO757" s="3055"/>
      <c r="CP757" s="3055"/>
      <c r="CQ757" s="3055"/>
      <c r="CR757" s="3055"/>
      <c r="CS757" s="3055"/>
      <c r="CU757" s="3054"/>
      <c r="CV757" s="696"/>
      <c r="CW757" s="696"/>
      <c r="CZ757" s="3060">
        <f t="shared" si="17"/>
      </c>
      <c r="DA757" s="3060">
        <f t="shared" si="1"/>
      </c>
      <c r="DB757" s="3060">
        <f t="shared" si="18"/>
      </c>
      <c r="DC757" s="3060">
        <f t="shared" si="19"/>
      </c>
      <c r="DD757" s="3060">
        <f t="shared" si="20"/>
      </c>
      <c r="DE757" s="3060">
        <f t="shared" si="21"/>
      </c>
      <c r="DF757" s="3060">
        <f t="shared" si="22"/>
      </c>
      <c r="DG757" s="3060">
        <f t="shared" si="23"/>
      </c>
      <c r="DH757" s="3060">
        <f t="shared" si="24"/>
      </c>
      <c r="DI757" s="3060">
        <f t="shared" si="1"/>
      </c>
    </row>
    <row r="758" ht="15" customHeight="1" s="3052" customFormat="1">
      <c r="B758" s="3054">
        <f t="shared" si="2"/>
      </c>
      <c r="C758" s="3054"/>
      <c r="D758" s="3054"/>
      <c r="E758" s="3055"/>
      <c r="F758" s="3055"/>
      <c r="G758" s="3055"/>
      <c r="H758" s="3055"/>
      <c r="I758" s="3055"/>
      <c r="J758" s="3055"/>
      <c r="K758" s="3055"/>
      <c r="L758" s="3055"/>
      <c r="M758" s="3055"/>
      <c r="N758" s="3055"/>
      <c r="O758" s="3055"/>
      <c r="P758" s="3055"/>
      <c r="Q758" s="3055"/>
      <c r="R758" s="3055">
        <f t="shared" si="3"/>
        <v>0</v>
      </c>
      <c r="S758" s="3055">
        <f t="shared" si="4"/>
        <v>0</v>
      </c>
      <c r="T758" s="3055">
        <f t="shared" si="5"/>
        <v>0</v>
      </c>
      <c r="U758" s="3055">
        <f t="shared" si="6"/>
        <v>0</v>
      </c>
      <c r="V758" s="3055">
        <f t="shared" si="7"/>
        <v>0</v>
      </c>
      <c r="W758" s="3055">
        <f t="shared" si="8"/>
        <v>0</v>
      </c>
      <c r="X758" s="3055">
        <f t="shared" si="9"/>
        <v>0</v>
      </c>
      <c r="Y758" s="3055">
        <f t="shared" si="10"/>
        <v>0</v>
      </c>
      <c r="Z758" s="3055">
        <f t="shared" si="11"/>
        <v>0</v>
      </c>
      <c r="AA758" s="3055">
        <f t="shared" si="12"/>
        <v>0</v>
      </c>
      <c r="AB758" s="3055">
        <f t="shared" si="13"/>
        <v>0</v>
      </c>
      <c r="AC758" s="3055">
        <f t="shared" si="14"/>
        <v>0</v>
      </c>
      <c r="AD758" s="3056"/>
      <c r="AE758" s="3057">
        <f t="shared" si="0"/>
      </c>
      <c r="AF758" s="3054"/>
      <c r="AG758" s="3054"/>
      <c r="AH758" s="3055"/>
      <c r="AI758" s="3055"/>
      <c r="AJ758" s="3055"/>
      <c r="AK758" s="3055"/>
      <c r="AL758" s="3055"/>
      <c r="AM758" s="3055"/>
      <c r="AN758" s="3055"/>
      <c r="AO758" s="3055"/>
      <c r="AP758" s="3055"/>
      <c r="AQ758" s="3055"/>
      <c r="AR758" s="3055"/>
      <c r="AS758" s="3055"/>
      <c r="AT758" s="3055"/>
      <c r="AU758" s="3056"/>
      <c r="AV758" s="3057">
        <f t="shared" si="15"/>
      </c>
      <c r="AW758" s="3054"/>
      <c r="AX758" s="3054"/>
      <c r="AY758" s="3055"/>
      <c r="AZ758" s="3055"/>
      <c r="BA758" s="3055"/>
      <c r="BB758" s="3055"/>
      <c r="BC758" s="3055"/>
      <c r="BD758" s="3055"/>
      <c r="BE758" s="3055"/>
      <c r="BF758" s="3055"/>
      <c r="BG758" s="3055"/>
      <c r="BH758" s="3055"/>
      <c r="BI758" s="3055"/>
      <c r="BJ758" s="3055"/>
      <c r="BK758" s="3055"/>
      <c r="BL758" s="3056"/>
      <c r="BM758" s="3057">
        <f t="shared" si="16"/>
      </c>
      <c r="BN758" s="3054"/>
      <c r="BO758" s="3054"/>
      <c r="BP758" s="3055"/>
      <c r="BQ758" s="3055"/>
      <c r="BR758" s="3055"/>
      <c r="BS758" s="3055"/>
      <c r="BT758" s="3055"/>
      <c r="BU758" s="3055"/>
      <c r="BV758" s="3055"/>
      <c r="BW758" s="3055"/>
      <c r="BX758" s="3055"/>
      <c r="BY758" s="3055"/>
      <c r="BZ758" s="3055"/>
      <c r="CA758" s="3055"/>
      <c r="CB758" s="3055"/>
      <c r="CC758" s="3056"/>
      <c r="CD758" s="3057">
        <f t="shared" si="0"/>
      </c>
      <c r="CE758" s="3054"/>
      <c r="CF758" s="3054"/>
      <c r="CG758" s="3055"/>
      <c r="CH758" s="3055"/>
      <c r="CI758" s="3055"/>
      <c r="CJ758" s="3055"/>
      <c r="CK758" s="3055"/>
      <c r="CL758" s="3055"/>
      <c r="CM758" s="3055"/>
      <c r="CN758" s="3055"/>
      <c r="CO758" s="3055"/>
      <c r="CP758" s="3055"/>
      <c r="CQ758" s="3055"/>
      <c r="CR758" s="3055"/>
      <c r="CS758" s="3055"/>
      <c r="CU758" s="3054"/>
      <c r="CV758" s="696"/>
      <c r="CW758" s="696"/>
      <c r="CZ758" s="3060">
        <f t="shared" si="17"/>
      </c>
      <c r="DA758" s="3060">
        <f t="shared" si="1"/>
      </c>
      <c r="DB758" s="3060">
        <f t="shared" si="18"/>
      </c>
      <c r="DC758" s="3060">
        <f t="shared" si="19"/>
      </c>
      <c r="DD758" s="3060">
        <f t="shared" si="20"/>
      </c>
      <c r="DE758" s="3060">
        <f t="shared" si="21"/>
      </c>
      <c r="DF758" s="3060">
        <f t="shared" si="22"/>
      </c>
      <c r="DG758" s="3060">
        <f t="shared" si="23"/>
      </c>
      <c r="DH758" s="3060">
        <f t="shared" si="24"/>
      </c>
      <c r="DI758" s="3060">
        <f t="shared" si="1"/>
      </c>
    </row>
    <row r="759" ht="15" customHeight="1" s="3052" customFormat="1">
      <c r="B759" s="3054">
        <f t="shared" si="2"/>
      </c>
      <c r="C759" s="3054"/>
      <c r="D759" s="3054"/>
      <c r="E759" s="3055"/>
      <c r="F759" s="3055"/>
      <c r="G759" s="3055"/>
      <c r="H759" s="3055"/>
      <c r="I759" s="3055"/>
      <c r="J759" s="3055"/>
      <c r="K759" s="3055"/>
      <c r="L759" s="3055"/>
      <c r="M759" s="3055"/>
      <c r="N759" s="3055"/>
      <c r="O759" s="3055"/>
      <c r="P759" s="3055"/>
      <c r="Q759" s="3055"/>
      <c r="R759" s="3055">
        <f t="shared" si="3"/>
        <v>0</v>
      </c>
      <c r="S759" s="3055">
        <f t="shared" si="4"/>
        <v>0</v>
      </c>
      <c r="T759" s="3055">
        <f t="shared" si="5"/>
        <v>0</v>
      </c>
      <c r="U759" s="3055">
        <f t="shared" si="6"/>
        <v>0</v>
      </c>
      <c r="V759" s="3055">
        <f t="shared" si="7"/>
        <v>0</v>
      </c>
      <c r="W759" s="3055">
        <f t="shared" si="8"/>
        <v>0</v>
      </c>
      <c r="X759" s="3055">
        <f t="shared" si="9"/>
        <v>0</v>
      </c>
      <c r="Y759" s="3055">
        <f t="shared" si="10"/>
        <v>0</v>
      </c>
      <c r="Z759" s="3055">
        <f t="shared" si="11"/>
        <v>0</v>
      </c>
      <c r="AA759" s="3055">
        <f t="shared" si="12"/>
        <v>0</v>
      </c>
      <c r="AB759" s="3055">
        <f t="shared" si="13"/>
        <v>0</v>
      </c>
      <c r="AC759" s="3055">
        <f t="shared" si="14"/>
        <v>0</v>
      </c>
      <c r="AD759" s="3056"/>
      <c r="AE759" s="3057">
        <f t="shared" si="0"/>
      </c>
      <c r="AF759" s="3054"/>
      <c r="AG759" s="3054"/>
      <c r="AH759" s="3055"/>
      <c r="AI759" s="3055"/>
      <c r="AJ759" s="3055"/>
      <c r="AK759" s="3055"/>
      <c r="AL759" s="3055"/>
      <c r="AM759" s="3055"/>
      <c r="AN759" s="3055"/>
      <c r="AO759" s="3055"/>
      <c r="AP759" s="3055"/>
      <c r="AQ759" s="3055"/>
      <c r="AR759" s="3055"/>
      <c r="AS759" s="3055"/>
      <c r="AT759" s="3055"/>
      <c r="AU759" s="3056"/>
      <c r="AV759" s="3057">
        <f t="shared" si="15"/>
      </c>
      <c r="AW759" s="3054"/>
      <c r="AX759" s="3054"/>
      <c r="AY759" s="3055"/>
      <c r="AZ759" s="3055"/>
      <c r="BA759" s="3055"/>
      <c r="BB759" s="3055"/>
      <c r="BC759" s="3055"/>
      <c r="BD759" s="3055"/>
      <c r="BE759" s="3055"/>
      <c r="BF759" s="3055"/>
      <c r="BG759" s="3055"/>
      <c r="BH759" s="3055"/>
      <c r="BI759" s="3055"/>
      <c r="BJ759" s="3055"/>
      <c r="BK759" s="3055"/>
      <c r="BL759" s="3056"/>
      <c r="BM759" s="3057">
        <f t="shared" si="16"/>
      </c>
      <c r="BN759" s="3054"/>
      <c r="BO759" s="3054"/>
      <c r="BP759" s="3055"/>
      <c r="BQ759" s="3055"/>
      <c r="BR759" s="3055"/>
      <c r="BS759" s="3055"/>
      <c r="BT759" s="3055"/>
      <c r="BU759" s="3055"/>
      <c r="BV759" s="3055"/>
      <c r="BW759" s="3055"/>
      <c r="BX759" s="3055"/>
      <c r="BY759" s="3055"/>
      <c r="BZ759" s="3055"/>
      <c r="CA759" s="3055"/>
      <c r="CB759" s="3055"/>
      <c r="CC759" s="3056"/>
      <c r="CD759" s="3057">
        <f t="shared" si="0"/>
      </c>
      <c r="CE759" s="3054"/>
      <c r="CF759" s="3054"/>
      <c r="CG759" s="3055"/>
      <c r="CH759" s="3055"/>
      <c r="CI759" s="3055"/>
      <c r="CJ759" s="3055"/>
      <c r="CK759" s="3055"/>
      <c r="CL759" s="3055"/>
      <c r="CM759" s="3055"/>
      <c r="CN759" s="3055"/>
      <c r="CO759" s="3055"/>
      <c r="CP759" s="3055"/>
      <c r="CQ759" s="3055"/>
      <c r="CR759" s="3055"/>
      <c r="CS759" s="3055"/>
      <c r="CU759" s="3054"/>
      <c r="CV759" s="696"/>
      <c r="CW759" s="696"/>
      <c r="CZ759" s="3060">
        <f t="shared" si="17"/>
      </c>
      <c r="DA759" s="3060">
        <f t="shared" si="1"/>
      </c>
      <c r="DB759" s="3060">
        <f t="shared" si="18"/>
      </c>
      <c r="DC759" s="3060">
        <f t="shared" si="19"/>
      </c>
      <c r="DD759" s="3060">
        <f t="shared" si="20"/>
      </c>
      <c r="DE759" s="3060">
        <f t="shared" si="21"/>
      </c>
      <c r="DF759" s="3060">
        <f t="shared" si="22"/>
      </c>
      <c r="DG759" s="3060">
        <f t="shared" si="23"/>
      </c>
      <c r="DH759" s="3060">
        <f t="shared" si="24"/>
      </c>
      <c r="DI759" s="3060">
        <f t="shared" si="1"/>
      </c>
    </row>
    <row r="760" ht="15" customHeight="1" s="3052" customFormat="1">
      <c r="B760" s="3054">
        <f t="shared" si="2"/>
      </c>
      <c r="C760" s="3054"/>
      <c r="D760" s="3054"/>
      <c r="E760" s="3055"/>
      <c r="F760" s="3055"/>
      <c r="G760" s="3055"/>
      <c r="H760" s="3055"/>
      <c r="I760" s="3055"/>
      <c r="J760" s="3055"/>
      <c r="K760" s="3055"/>
      <c r="L760" s="3055"/>
      <c r="M760" s="3055"/>
      <c r="N760" s="3055"/>
      <c r="O760" s="3055"/>
      <c r="P760" s="3055"/>
      <c r="Q760" s="3055"/>
      <c r="R760" s="3055">
        <f t="shared" si="3"/>
        <v>0</v>
      </c>
      <c r="S760" s="3055">
        <f t="shared" si="4"/>
        <v>0</v>
      </c>
      <c r="T760" s="3055">
        <f t="shared" si="5"/>
        <v>0</v>
      </c>
      <c r="U760" s="3055">
        <f t="shared" si="6"/>
        <v>0</v>
      </c>
      <c r="V760" s="3055">
        <f t="shared" si="7"/>
        <v>0</v>
      </c>
      <c r="W760" s="3055">
        <f t="shared" si="8"/>
        <v>0</v>
      </c>
      <c r="X760" s="3055">
        <f t="shared" si="9"/>
        <v>0</v>
      </c>
      <c r="Y760" s="3055">
        <f t="shared" si="10"/>
        <v>0</v>
      </c>
      <c r="Z760" s="3055">
        <f t="shared" si="11"/>
        <v>0</v>
      </c>
      <c r="AA760" s="3055">
        <f t="shared" si="12"/>
        <v>0</v>
      </c>
      <c r="AB760" s="3055">
        <f t="shared" si="13"/>
        <v>0</v>
      </c>
      <c r="AC760" s="3055">
        <f t="shared" si="14"/>
        <v>0</v>
      </c>
      <c r="AD760" s="3056"/>
      <c r="AE760" s="3057">
        <f t="shared" si="0"/>
      </c>
      <c r="AF760" s="3054"/>
      <c r="AG760" s="3054"/>
      <c r="AH760" s="3055"/>
      <c r="AI760" s="3055"/>
      <c r="AJ760" s="3055"/>
      <c r="AK760" s="3055"/>
      <c r="AL760" s="3055"/>
      <c r="AM760" s="3055"/>
      <c r="AN760" s="3055"/>
      <c r="AO760" s="3055"/>
      <c r="AP760" s="3055"/>
      <c r="AQ760" s="3055"/>
      <c r="AR760" s="3055"/>
      <c r="AS760" s="3055"/>
      <c r="AT760" s="3055"/>
      <c r="AU760" s="3056"/>
      <c r="AV760" s="3057">
        <f t="shared" si="15"/>
      </c>
      <c r="AW760" s="3054"/>
      <c r="AX760" s="3054"/>
      <c r="AY760" s="3055"/>
      <c r="AZ760" s="3055"/>
      <c r="BA760" s="3055"/>
      <c r="BB760" s="3055"/>
      <c r="BC760" s="3055"/>
      <c r="BD760" s="3055"/>
      <c r="BE760" s="3055"/>
      <c r="BF760" s="3055"/>
      <c r="BG760" s="3055"/>
      <c r="BH760" s="3055"/>
      <c r="BI760" s="3055"/>
      <c r="BJ760" s="3055"/>
      <c r="BK760" s="3055"/>
      <c r="BL760" s="3056"/>
      <c r="BM760" s="3057">
        <f t="shared" si="16"/>
      </c>
      <c r="BN760" s="3054"/>
      <c r="BO760" s="3054"/>
      <c r="BP760" s="3055"/>
      <c r="BQ760" s="3055"/>
      <c r="BR760" s="3055"/>
      <c r="BS760" s="3055"/>
      <c r="BT760" s="3055"/>
      <c r="BU760" s="3055"/>
      <c r="BV760" s="3055"/>
      <c r="BW760" s="3055"/>
      <c r="BX760" s="3055"/>
      <c r="BY760" s="3055"/>
      <c r="BZ760" s="3055"/>
      <c r="CA760" s="3055"/>
      <c r="CB760" s="3055"/>
      <c r="CC760" s="3056"/>
      <c r="CD760" s="3057">
        <f t="shared" si="0"/>
      </c>
      <c r="CE760" s="3054"/>
      <c r="CF760" s="3054"/>
      <c r="CG760" s="3055"/>
      <c r="CH760" s="3055"/>
      <c r="CI760" s="3055"/>
      <c r="CJ760" s="3055"/>
      <c r="CK760" s="3055"/>
      <c r="CL760" s="3055"/>
      <c r="CM760" s="3055"/>
      <c r="CN760" s="3055"/>
      <c r="CO760" s="3055"/>
      <c r="CP760" s="3055"/>
      <c r="CQ760" s="3055"/>
      <c r="CR760" s="3055"/>
      <c r="CS760" s="3055"/>
      <c r="CU760" s="3054"/>
      <c r="CV760" s="696"/>
      <c r="CW760" s="696"/>
      <c r="CZ760" s="3060">
        <f t="shared" si="17"/>
      </c>
      <c r="DA760" s="3060">
        <f t="shared" si="1"/>
      </c>
      <c r="DB760" s="3060">
        <f t="shared" si="18"/>
      </c>
      <c r="DC760" s="3060">
        <f t="shared" si="19"/>
      </c>
      <c r="DD760" s="3060">
        <f t="shared" si="20"/>
      </c>
      <c r="DE760" s="3060">
        <f t="shared" si="21"/>
      </c>
      <c r="DF760" s="3060">
        <f t="shared" si="22"/>
      </c>
      <c r="DG760" s="3060">
        <f t="shared" si="23"/>
      </c>
      <c r="DH760" s="3060">
        <f t="shared" si="24"/>
      </c>
      <c r="DI760" s="3060">
        <f t="shared" si="1"/>
      </c>
    </row>
    <row r="761" ht="15" customHeight="1" s="3052" customFormat="1">
      <c r="B761" s="3054">
        <f t="shared" si="2"/>
      </c>
      <c r="C761" s="3054"/>
      <c r="D761" s="3054"/>
      <c r="E761" s="3055"/>
      <c r="F761" s="3055"/>
      <c r="G761" s="3055"/>
      <c r="H761" s="3055"/>
      <c r="I761" s="3055"/>
      <c r="J761" s="3055"/>
      <c r="K761" s="3055"/>
      <c r="L761" s="3055"/>
      <c r="M761" s="3055"/>
      <c r="N761" s="3055"/>
      <c r="O761" s="3055"/>
      <c r="P761" s="3055"/>
      <c r="Q761" s="3055"/>
      <c r="R761" s="3055">
        <f t="shared" si="3"/>
        <v>0</v>
      </c>
      <c r="S761" s="3055">
        <f t="shared" si="4"/>
        <v>0</v>
      </c>
      <c r="T761" s="3055">
        <f t="shared" si="5"/>
        <v>0</v>
      </c>
      <c r="U761" s="3055">
        <f t="shared" si="6"/>
        <v>0</v>
      </c>
      <c r="V761" s="3055">
        <f t="shared" si="7"/>
        <v>0</v>
      </c>
      <c r="W761" s="3055">
        <f t="shared" si="8"/>
        <v>0</v>
      </c>
      <c r="X761" s="3055">
        <f t="shared" si="9"/>
        <v>0</v>
      </c>
      <c r="Y761" s="3055">
        <f t="shared" si="10"/>
        <v>0</v>
      </c>
      <c r="Z761" s="3055">
        <f t="shared" si="11"/>
        <v>0</v>
      </c>
      <c r="AA761" s="3055">
        <f t="shared" si="12"/>
        <v>0</v>
      </c>
      <c r="AB761" s="3055">
        <f t="shared" si="13"/>
        <v>0</v>
      </c>
      <c r="AC761" s="3055">
        <f t="shared" si="14"/>
        <v>0</v>
      </c>
      <c r="AD761" s="3056"/>
      <c r="AE761" s="3057">
        <f t="shared" si="0"/>
      </c>
      <c r="AF761" s="3054"/>
      <c r="AG761" s="3054"/>
      <c r="AH761" s="3055"/>
      <c r="AI761" s="3055"/>
      <c r="AJ761" s="3055"/>
      <c r="AK761" s="3055"/>
      <c r="AL761" s="3055"/>
      <c r="AM761" s="3055"/>
      <c r="AN761" s="3055"/>
      <c r="AO761" s="3055"/>
      <c r="AP761" s="3055"/>
      <c r="AQ761" s="3055"/>
      <c r="AR761" s="3055"/>
      <c r="AS761" s="3055"/>
      <c r="AT761" s="3055"/>
      <c r="AU761" s="3056"/>
      <c r="AV761" s="3057">
        <f t="shared" si="15"/>
      </c>
      <c r="AW761" s="3054"/>
      <c r="AX761" s="3054"/>
      <c r="AY761" s="3055"/>
      <c r="AZ761" s="3055"/>
      <c r="BA761" s="3055"/>
      <c r="BB761" s="3055"/>
      <c r="BC761" s="3055"/>
      <c r="BD761" s="3055"/>
      <c r="BE761" s="3055"/>
      <c r="BF761" s="3055"/>
      <c r="BG761" s="3055"/>
      <c r="BH761" s="3055"/>
      <c r="BI761" s="3055"/>
      <c r="BJ761" s="3055"/>
      <c r="BK761" s="3055"/>
      <c r="BL761" s="3056"/>
      <c r="BM761" s="3057">
        <f t="shared" si="16"/>
      </c>
      <c r="BN761" s="3054"/>
      <c r="BO761" s="3054"/>
      <c r="BP761" s="3055"/>
      <c r="BQ761" s="3055"/>
      <c r="BR761" s="3055"/>
      <c r="BS761" s="3055"/>
      <c r="BT761" s="3055"/>
      <c r="BU761" s="3055"/>
      <c r="BV761" s="3055"/>
      <c r="BW761" s="3055"/>
      <c r="BX761" s="3055"/>
      <c r="BY761" s="3055"/>
      <c r="BZ761" s="3055"/>
      <c r="CA761" s="3055"/>
      <c r="CB761" s="3055"/>
      <c r="CC761" s="3056"/>
      <c r="CD761" s="3057">
        <f t="shared" si="0"/>
      </c>
      <c r="CE761" s="3054"/>
      <c r="CF761" s="3054"/>
      <c r="CG761" s="3055"/>
      <c r="CH761" s="3055"/>
      <c r="CI761" s="3055"/>
      <c r="CJ761" s="3055"/>
      <c r="CK761" s="3055"/>
      <c r="CL761" s="3055"/>
      <c r="CM761" s="3055"/>
      <c r="CN761" s="3055"/>
      <c r="CO761" s="3055"/>
      <c r="CP761" s="3055"/>
      <c r="CQ761" s="3055"/>
      <c r="CR761" s="3055"/>
      <c r="CS761" s="3055"/>
      <c r="CU761" s="3054"/>
      <c r="CV761" s="696"/>
      <c r="CW761" s="696"/>
      <c r="CZ761" s="3060">
        <f t="shared" si="17"/>
      </c>
      <c r="DA761" s="3060">
        <f t="shared" si="1"/>
      </c>
      <c r="DB761" s="3060">
        <f t="shared" si="18"/>
      </c>
      <c r="DC761" s="3060">
        <f t="shared" si="19"/>
      </c>
      <c r="DD761" s="3060">
        <f t="shared" si="20"/>
      </c>
      <c r="DE761" s="3060">
        <f t="shared" si="21"/>
      </c>
      <c r="DF761" s="3060">
        <f t="shared" si="22"/>
      </c>
      <c r="DG761" s="3060">
        <f t="shared" si="23"/>
      </c>
      <c r="DH761" s="3060">
        <f t="shared" si="24"/>
      </c>
      <c r="DI761" s="3060">
        <f t="shared" si="1"/>
      </c>
    </row>
    <row r="762" ht="15" customHeight="1" s="3052" customFormat="1">
      <c r="B762" s="3054">
        <f t="shared" si="2"/>
      </c>
      <c r="C762" s="3054"/>
      <c r="D762" s="3054"/>
      <c r="E762" s="3055"/>
      <c r="F762" s="3055"/>
      <c r="G762" s="3055"/>
      <c r="H762" s="3055"/>
      <c r="I762" s="3055"/>
      <c r="J762" s="3055"/>
      <c r="K762" s="3055"/>
      <c r="L762" s="3055"/>
      <c r="M762" s="3055"/>
      <c r="N762" s="3055"/>
      <c r="O762" s="3055"/>
      <c r="P762" s="3055"/>
      <c r="Q762" s="3055"/>
      <c r="R762" s="3055">
        <f t="shared" si="3"/>
        <v>0</v>
      </c>
      <c r="S762" s="3055">
        <f t="shared" si="4"/>
        <v>0</v>
      </c>
      <c r="T762" s="3055">
        <f t="shared" si="5"/>
        <v>0</v>
      </c>
      <c r="U762" s="3055">
        <f t="shared" si="6"/>
        <v>0</v>
      </c>
      <c r="V762" s="3055">
        <f t="shared" si="7"/>
        <v>0</v>
      </c>
      <c r="W762" s="3055">
        <f t="shared" si="8"/>
        <v>0</v>
      </c>
      <c r="X762" s="3055">
        <f t="shared" si="9"/>
        <v>0</v>
      </c>
      <c r="Y762" s="3055">
        <f t="shared" si="10"/>
        <v>0</v>
      </c>
      <c r="Z762" s="3055">
        <f t="shared" si="11"/>
        <v>0</v>
      </c>
      <c r="AA762" s="3055">
        <f t="shared" si="12"/>
        <v>0</v>
      </c>
      <c r="AB762" s="3055">
        <f t="shared" si="13"/>
        <v>0</v>
      </c>
      <c r="AC762" s="3055">
        <f t="shared" si="14"/>
        <v>0</v>
      </c>
      <c r="AD762" s="3056"/>
      <c r="AE762" s="3057">
        <f t="shared" si="0"/>
      </c>
      <c r="AF762" s="3054"/>
      <c r="AG762" s="3054"/>
      <c r="AH762" s="3055"/>
      <c r="AI762" s="3055"/>
      <c r="AJ762" s="3055"/>
      <c r="AK762" s="3055"/>
      <c r="AL762" s="3055"/>
      <c r="AM762" s="3055"/>
      <c r="AN762" s="3055"/>
      <c r="AO762" s="3055"/>
      <c r="AP762" s="3055"/>
      <c r="AQ762" s="3055"/>
      <c r="AR762" s="3055"/>
      <c r="AS762" s="3055"/>
      <c r="AT762" s="3055"/>
      <c r="AU762" s="3056"/>
      <c r="AV762" s="3057">
        <f t="shared" si="15"/>
      </c>
      <c r="AW762" s="3054"/>
      <c r="AX762" s="3054"/>
      <c r="AY762" s="3055"/>
      <c r="AZ762" s="3055"/>
      <c r="BA762" s="3055"/>
      <c r="BB762" s="3055"/>
      <c r="BC762" s="3055"/>
      <c r="BD762" s="3055"/>
      <c r="BE762" s="3055"/>
      <c r="BF762" s="3055"/>
      <c r="BG762" s="3055"/>
      <c r="BH762" s="3055"/>
      <c r="BI762" s="3055"/>
      <c r="BJ762" s="3055"/>
      <c r="BK762" s="3055"/>
      <c r="BL762" s="3056"/>
      <c r="BM762" s="3057">
        <f t="shared" si="16"/>
      </c>
      <c r="BN762" s="3054"/>
      <c r="BO762" s="3054"/>
      <c r="BP762" s="3055"/>
      <c r="BQ762" s="3055"/>
      <c r="BR762" s="3055"/>
      <c r="BS762" s="3055"/>
      <c r="BT762" s="3055"/>
      <c r="BU762" s="3055"/>
      <c r="BV762" s="3055"/>
      <c r="BW762" s="3055"/>
      <c r="BX762" s="3055"/>
      <c r="BY762" s="3055"/>
      <c r="BZ762" s="3055"/>
      <c r="CA762" s="3055"/>
      <c r="CB762" s="3055"/>
      <c r="CC762" s="3056"/>
      <c r="CD762" s="3057">
        <f t="shared" si="0"/>
      </c>
      <c r="CE762" s="3054"/>
      <c r="CF762" s="3054"/>
      <c r="CG762" s="3055"/>
      <c r="CH762" s="3055"/>
      <c r="CI762" s="3055"/>
      <c r="CJ762" s="3055"/>
      <c r="CK762" s="3055"/>
      <c r="CL762" s="3055"/>
      <c r="CM762" s="3055"/>
      <c r="CN762" s="3055"/>
      <c r="CO762" s="3055"/>
      <c r="CP762" s="3055"/>
      <c r="CQ762" s="3055"/>
      <c r="CR762" s="3055"/>
      <c r="CS762" s="3055"/>
      <c r="CU762" s="3054"/>
      <c r="CV762" s="696"/>
      <c r="CW762" s="696"/>
      <c r="CZ762" s="3060">
        <f t="shared" si="17"/>
      </c>
      <c r="DA762" s="3060">
        <f t="shared" si="1"/>
      </c>
      <c r="DB762" s="3060">
        <f t="shared" si="18"/>
      </c>
      <c r="DC762" s="3060">
        <f t="shared" si="19"/>
      </c>
      <c r="DD762" s="3060">
        <f t="shared" si="20"/>
      </c>
      <c r="DE762" s="3060">
        <f t="shared" si="21"/>
      </c>
      <c r="DF762" s="3060">
        <f t="shared" si="22"/>
      </c>
      <c r="DG762" s="3060">
        <f t="shared" si="23"/>
      </c>
      <c r="DH762" s="3060">
        <f t="shared" si="24"/>
      </c>
      <c r="DI762" s="3060">
        <f t="shared" si="1"/>
      </c>
    </row>
    <row r="763" ht="15" customHeight="1" s="3052" customFormat="1">
      <c r="B763" s="3054">
        <f t="shared" si="2"/>
      </c>
      <c r="C763" s="3054"/>
      <c r="D763" s="3054"/>
      <c r="E763" s="3055"/>
      <c r="F763" s="3055"/>
      <c r="G763" s="3055"/>
      <c r="H763" s="3055"/>
      <c r="I763" s="3055"/>
      <c r="J763" s="3055"/>
      <c r="K763" s="3055"/>
      <c r="L763" s="3055"/>
      <c r="M763" s="3055"/>
      <c r="N763" s="3055"/>
      <c r="O763" s="3055"/>
      <c r="P763" s="3055"/>
      <c r="Q763" s="3055"/>
      <c r="R763" s="3055">
        <f t="shared" si="3"/>
        <v>0</v>
      </c>
      <c r="S763" s="3055">
        <f t="shared" si="4"/>
        <v>0</v>
      </c>
      <c r="T763" s="3055">
        <f t="shared" si="5"/>
        <v>0</v>
      </c>
      <c r="U763" s="3055">
        <f t="shared" si="6"/>
        <v>0</v>
      </c>
      <c r="V763" s="3055">
        <f t="shared" si="7"/>
        <v>0</v>
      </c>
      <c r="W763" s="3055">
        <f t="shared" si="8"/>
        <v>0</v>
      </c>
      <c r="X763" s="3055">
        <f t="shared" si="9"/>
        <v>0</v>
      </c>
      <c r="Y763" s="3055">
        <f t="shared" si="10"/>
        <v>0</v>
      </c>
      <c r="Z763" s="3055">
        <f t="shared" si="11"/>
        <v>0</v>
      </c>
      <c r="AA763" s="3055">
        <f t="shared" si="12"/>
        <v>0</v>
      </c>
      <c r="AB763" s="3055">
        <f t="shared" si="13"/>
        <v>0</v>
      </c>
      <c r="AC763" s="3055">
        <f t="shared" si="14"/>
        <v>0</v>
      </c>
      <c r="AD763" s="3056"/>
      <c r="AE763" s="3057">
        <f t="shared" si="0"/>
      </c>
      <c r="AF763" s="3054"/>
      <c r="AG763" s="3054"/>
      <c r="AH763" s="3055"/>
      <c r="AI763" s="3055"/>
      <c r="AJ763" s="3055"/>
      <c r="AK763" s="3055"/>
      <c r="AL763" s="3055"/>
      <c r="AM763" s="3055"/>
      <c r="AN763" s="3055"/>
      <c r="AO763" s="3055"/>
      <c r="AP763" s="3055"/>
      <c r="AQ763" s="3055"/>
      <c r="AR763" s="3055"/>
      <c r="AS763" s="3055"/>
      <c r="AT763" s="3055"/>
      <c r="AU763" s="3056"/>
      <c r="AV763" s="3057">
        <f t="shared" si="15"/>
      </c>
      <c r="AW763" s="3054"/>
      <c r="AX763" s="3054"/>
      <c r="AY763" s="3055"/>
      <c r="AZ763" s="3055"/>
      <c r="BA763" s="3055"/>
      <c r="BB763" s="3055"/>
      <c r="BC763" s="3055"/>
      <c r="BD763" s="3055"/>
      <c r="BE763" s="3055"/>
      <c r="BF763" s="3055"/>
      <c r="BG763" s="3055"/>
      <c r="BH763" s="3055"/>
      <c r="BI763" s="3055"/>
      <c r="BJ763" s="3055"/>
      <c r="BK763" s="3055"/>
      <c r="BL763" s="3056"/>
      <c r="BM763" s="3057">
        <f t="shared" si="16"/>
      </c>
      <c r="BN763" s="3054"/>
      <c r="BO763" s="3054"/>
      <c r="BP763" s="3055"/>
      <c r="BQ763" s="3055"/>
      <c r="BR763" s="3055"/>
      <c r="BS763" s="3055"/>
      <c r="BT763" s="3055"/>
      <c r="BU763" s="3055"/>
      <c r="BV763" s="3055"/>
      <c r="BW763" s="3055"/>
      <c r="BX763" s="3055"/>
      <c r="BY763" s="3055"/>
      <c r="BZ763" s="3055"/>
      <c r="CA763" s="3055"/>
      <c r="CB763" s="3055"/>
      <c r="CC763" s="3056"/>
      <c r="CD763" s="3057">
        <f t="shared" si="0"/>
      </c>
      <c r="CE763" s="3054"/>
      <c r="CF763" s="3054"/>
      <c r="CG763" s="3055"/>
      <c r="CH763" s="3055"/>
      <c r="CI763" s="3055"/>
      <c r="CJ763" s="3055"/>
      <c r="CK763" s="3055"/>
      <c r="CL763" s="3055"/>
      <c r="CM763" s="3055"/>
      <c r="CN763" s="3055"/>
      <c r="CO763" s="3055"/>
      <c r="CP763" s="3055"/>
      <c r="CQ763" s="3055"/>
      <c r="CR763" s="3055"/>
      <c r="CS763" s="3055"/>
      <c r="CU763" s="3054"/>
      <c r="CV763" s="696"/>
      <c r="CW763" s="696"/>
      <c r="CZ763" s="3060">
        <f t="shared" si="17"/>
      </c>
      <c r="DA763" s="3060">
        <f t="shared" si="1"/>
      </c>
      <c r="DB763" s="3060">
        <f t="shared" si="18"/>
      </c>
      <c r="DC763" s="3060">
        <f t="shared" si="19"/>
      </c>
      <c r="DD763" s="3060">
        <f t="shared" si="20"/>
      </c>
      <c r="DE763" s="3060">
        <f t="shared" si="21"/>
      </c>
      <c r="DF763" s="3060">
        <f t="shared" si="22"/>
      </c>
      <c r="DG763" s="3060">
        <f t="shared" si="23"/>
      </c>
      <c r="DH763" s="3060">
        <f t="shared" si="24"/>
      </c>
      <c r="DI763" s="3060">
        <f t="shared" si="1"/>
      </c>
    </row>
    <row r="764" ht="15" customHeight="1" s="3052" customFormat="1">
      <c r="B764" s="3054">
        <f t="shared" si="2"/>
      </c>
      <c r="C764" s="3054"/>
      <c r="D764" s="3054"/>
      <c r="E764" s="3055"/>
      <c r="F764" s="3055"/>
      <c r="G764" s="3055"/>
      <c r="H764" s="3055"/>
      <c r="I764" s="3055"/>
      <c r="J764" s="3055"/>
      <c r="K764" s="3055"/>
      <c r="L764" s="3055"/>
      <c r="M764" s="3055"/>
      <c r="N764" s="3055"/>
      <c r="O764" s="3055"/>
      <c r="P764" s="3055"/>
      <c r="Q764" s="3055"/>
      <c r="R764" s="3055">
        <f t="shared" si="3"/>
        <v>0</v>
      </c>
      <c r="S764" s="3055">
        <f t="shared" si="4"/>
        <v>0</v>
      </c>
      <c r="T764" s="3055">
        <f t="shared" si="5"/>
        <v>0</v>
      </c>
      <c r="U764" s="3055">
        <f t="shared" si="6"/>
        <v>0</v>
      </c>
      <c r="V764" s="3055">
        <f t="shared" si="7"/>
        <v>0</v>
      </c>
      <c r="W764" s="3055">
        <f t="shared" si="8"/>
        <v>0</v>
      </c>
      <c r="X764" s="3055">
        <f t="shared" si="9"/>
        <v>0</v>
      </c>
      <c r="Y764" s="3055">
        <f t="shared" si="10"/>
        <v>0</v>
      </c>
      <c r="Z764" s="3055">
        <f t="shared" si="11"/>
        <v>0</v>
      </c>
      <c r="AA764" s="3055">
        <f t="shared" si="12"/>
        <v>0</v>
      </c>
      <c r="AB764" s="3055">
        <f t="shared" si="13"/>
        <v>0</v>
      </c>
      <c r="AC764" s="3055">
        <f t="shared" si="14"/>
        <v>0</v>
      </c>
      <c r="AD764" s="3056"/>
      <c r="AE764" s="3057">
        <f t="shared" si="0"/>
      </c>
      <c r="AF764" s="3054"/>
      <c r="AG764" s="3054"/>
      <c r="AH764" s="3055"/>
      <c r="AI764" s="3055"/>
      <c r="AJ764" s="3055"/>
      <c r="AK764" s="3055"/>
      <c r="AL764" s="3055"/>
      <c r="AM764" s="3055"/>
      <c r="AN764" s="3055"/>
      <c r="AO764" s="3055"/>
      <c r="AP764" s="3055"/>
      <c r="AQ764" s="3055"/>
      <c r="AR764" s="3055"/>
      <c r="AS764" s="3055"/>
      <c r="AT764" s="3055"/>
      <c r="AU764" s="3056"/>
      <c r="AV764" s="3057">
        <f t="shared" si="15"/>
      </c>
      <c r="AW764" s="3054"/>
      <c r="AX764" s="3054"/>
      <c r="AY764" s="3055"/>
      <c r="AZ764" s="3055"/>
      <c r="BA764" s="3055"/>
      <c r="BB764" s="3055"/>
      <c r="BC764" s="3055"/>
      <c r="BD764" s="3055"/>
      <c r="BE764" s="3055"/>
      <c r="BF764" s="3055"/>
      <c r="BG764" s="3055"/>
      <c r="BH764" s="3055"/>
      <c r="BI764" s="3055"/>
      <c r="BJ764" s="3055"/>
      <c r="BK764" s="3055"/>
      <c r="BL764" s="3056"/>
      <c r="BM764" s="3057">
        <f t="shared" si="16"/>
      </c>
      <c r="BN764" s="3054"/>
      <c r="BO764" s="3054"/>
      <c r="BP764" s="3055"/>
      <c r="BQ764" s="3055"/>
      <c r="BR764" s="3055"/>
      <c r="BS764" s="3055"/>
      <c r="BT764" s="3055"/>
      <c r="BU764" s="3055"/>
      <c r="BV764" s="3055"/>
      <c r="BW764" s="3055"/>
      <c r="BX764" s="3055"/>
      <c r="BY764" s="3055"/>
      <c r="BZ764" s="3055"/>
      <c r="CA764" s="3055"/>
      <c r="CB764" s="3055"/>
      <c r="CC764" s="3056"/>
      <c r="CD764" s="3057">
        <f t="shared" si="0"/>
      </c>
      <c r="CE764" s="3054"/>
      <c r="CF764" s="3054"/>
      <c r="CG764" s="3055"/>
      <c r="CH764" s="3055"/>
      <c r="CI764" s="3055"/>
      <c r="CJ764" s="3055"/>
      <c r="CK764" s="3055"/>
      <c r="CL764" s="3055"/>
      <c r="CM764" s="3055"/>
      <c r="CN764" s="3055"/>
      <c r="CO764" s="3055"/>
      <c r="CP764" s="3055"/>
      <c r="CQ764" s="3055"/>
      <c r="CR764" s="3055"/>
      <c r="CS764" s="3055"/>
      <c r="CU764" s="3054"/>
      <c r="CV764" s="696"/>
      <c r="CW764" s="696"/>
      <c r="CZ764" s="3060">
        <f t="shared" si="17"/>
      </c>
      <c r="DA764" s="3060">
        <f t="shared" si="1"/>
      </c>
      <c r="DB764" s="3060">
        <f t="shared" si="18"/>
      </c>
      <c r="DC764" s="3060">
        <f t="shared" si="19"/>
      </c>
      <c r="DD764" s="3060">
        <f t="shared" si="20"/>
      </c>
      <c r="DE764" s="3060">
        <f t="shared" si="21"/>
      </c>
      <c r="DF764" s="3060">
        <f t="shared" si="22"/>
      </c>
      <c r="DG764" s="3060">
        <f t="shared" si="23"/>
      </c>
      <c r="DH764" s="3060">
        <f t="shared" si="24"/>
      </c>
      <c r="DI764" s="3060">
        <f t="shared" si="1"/>
      </c>
    </row>
    <row r="765" ht="15" customHeight="1" s="3052" customFormat="1">
      <c r="B765" s="3054">
        <f t="shared" si="2"/>
      </c>
      <c r="C765" s="3054"/>
      <c r="D765" s="3054"/>
      <c r="E765" s="3055"/>
      <c r="F765" s="3055"/>
      <c r="G765" s="3055"/>
      <c r="H765" s="3055"/>
      <c r="I765" s="3055"/>
      <c r="J765" s="3055"/>
      <c r="K765" s="3055"/>
      <c r="L765" s="3055"/>
      <c r="M765" s="3055"/>
      <c r="N765" s="3055"/>
      <c r="O765" s="3055"/>
      <c r="P765" s="3055"/>
      <c r="Q765" s="3055"/>
      <c r="R765" s="3055">
        <f t="shared" si="3"/>
        <v>0</v>
      </c>
      <c r="S765" s="3055">
        <f t="shared" si="4"/>
        <v>0</v>
      </c>
      <c r="T765" s="3055">
        <f t="shared" si="5"/>
        <v>0</v>
      </c>
      <c r="U765" s="3055">
        <f t="shared" si="6"/>
        <v>0</v>
      </c>
      <c r="V765" s="3055">
        <f t="shared" si="7"/>
        <v>0</v>
      </c>
      <c r="W765" s="3055">
        <f t="shared" si="8"/>
        <v>0</v>
      </c>
      <c r="X765" s="3055">
        <f t="shared" si="9"/>
        <v>0</v>
      </c>
      <c r="Y765" s="3055">
        <f t="shared" si="10"/>
        <v>0</v>
      </c>
      <c r="Z765" s="3055">
        <f t="shared" si="11"/>
        <v>0</v>
      </c>
      <c r="AA765" s="3055">
        <f t="shared" si="12"/>
        <v>0</v>
      </c>
      <c r="AB765" s="3055">
        <f t="shared" si="13"/>
        <v>0</v>
      </c>
      <c r="AC765" s="3055">
        <f t="shared" si="14"/>
        <v>0</v>
      </c>
      <c r="AD765" s="3056"/>
      <c r="AE765" s="3057">
        <f t="shared" si="0"/>
      </c>
      <c r="AF765" s="3054"/>
      <c r="AG765" s="3054"/>
      <c r="AH765" s="3055"/>
      <c r="AI765" s="3055"/>
      <c r="AJ765" s="3055"/>
      <c r="AK765" s="3055"/>
      <c r="AL765" s="3055"/>
      <c r="AM765" s="3055"/>
      <c r="AN765" s="3055"/>
      <c r="AO765" s="3055"/>
      <c r="AP765" s="3055"/>
      <c r="AQ765" s="3055"/>
      <c r="AR765" s="3055"/>
      <c r="AS765" s="3055"/>
      <c r="AT765" s="3055"/>
      <c r="AU765" s="3056"/>
      <c r="AV765" s="3057">
        <f t="shared" si="15"/>
      </c>
      <c r="AW765" s="3054"/>
      <c r="AX765" s="3054"/>
      <c r="AY765" s="3055"/>
      <c r="AZ765" s="3055"/>
      <c r="BA765" s="3055"/>
      <c r="BB765" s="3055"/>
      <c r="BC765" s="3055"/>
      <c r="BD765" s="3055"/>
      <c r="BE765" s="3055"/>
      <c r="BF765" s="3055"/>
      <c r="BG765" s="3055"/>
      <c r="BH765" s="3055"/>
      <c r="BI765" s="3055"/>
      <c r="BJ765" s="3055"/>
      <c r="BK765" s="3055"/>
      <c r="BL765" s="3056"/>
      <c r="BM765" s="3057">
        <f t="shared" si="16"/>
      </c>
      <c r="BN765" s="3054"/>
      <c r="BO765" s="3054"/>
      <c r="BP765" s="3055"/>
      <c r="BQ765" s="3055"/>
      <c r="BR765" s="3055"/>
      <c r="BS765" s="3055"/>
      <c r="BT765" s="3055"/>
      <c r="BU765" s="3055"/>
      <c r="BV765" s="3055"/>
      <c r="BW765" s="3055"/>
      <c r="BX765" s="3055"/>
      <c r="BY765" s="3055"/>
      <c r="BZ765" s="3055"/>
      <c r="CA765" s="3055"/>
      <c r="CB765" s="3055"/>
      <c r="CC765" s="3056"/>
      <c r="CD765" s="3057">
        <f t="shared" si="0"/>
      </c>
      <c r="CE765" s="3054"/>
      <c r="CF765" s="3054"/>
      <c r="CG765" s="3055"/>
      <c r="CH765" s="3055"/>
      <c r="CI765" s="3055"/>
      <c r="CJ765" s="3055"/>
      <c r="CK765" s="3055"/>
      <c r="CL765" s="3055"/>
      <c r="CM765" s="3055"/>
      <c r="CN765" s="3055"/>
      <c r="CO765" s="3055"/>
      <c r="CP765" s="3055"/>
      <c r="CQ765" s="3055"/>
      <c r="CR765" s="3055"/>
      <c r="CS765" s="3055"/>
      <c r="CU765" s="3054"/>
      <c r="CV765" s="696"/>
      <c r="CW765" s="696"/>
      <c r="CZ765" s="3060">
        <f t="shared" si="17"/>
      </c>
      <c r="DA765" s="3060">
        <f t="shared" si="1"/>
      </c>
      <c r="DB765" s="3060">
        <f t="shared" si="18"/>
      </c>
      <c r="DC765" s="3060">
        <f t="shared" si="19"/>
      </c>
      <c r="DD765" s="3060">
        <f t="shared" si="20"/>
      </c>
      <c r="DE765" s="3060">
        <f t="shared" si="21"/>
      </c>
      <c r="DF765" s="3060">
        <f t="shared" si="22"/>
      </c>
      <c r="DG765" s="3060">
        <f t="shared" si="23"/>
      </c>
      <c r="DH765" s="3060">
        <f t="shared" si="24"/>
      </c>
      <c r="DI765" s="3060">
        <f t="shared" si="1"/>
      </c>
    </row>
    <row r="766" ht="15" customHeight="1" s="3052" customFormat="1">
      <c r="B766" s="3054">
        <f t="shared" si="2"/>
      </c>
      <c r="C766" s="3054"/>
      <c r="D766" s="3054"/>
      <c r="E766" s="3055"/>
      <c r="F766" s="3055"/>
      <c r="G766" s="3055"/>
      <c r="H766" s="3055"/>
      <c r="I766" s="3055"/>
      <c r="J766" s="3055"/>
      <c r="K766" s="3055"/>
      <c r="L766" s="3055"/>
      <c r="M766" s="3055"/>
      <c r="N766" s="3055"/>
      <c r="O766" s="3055"/>
      <c r="P766" s="3055"/>
      <c r="Q766" s="3055"/>
      <c r="R766" s="3055">
        <f t="shared" si="3"/>
        <v>0</v>
      </c>
      <c r="S766" s="3055">
        <f t="shared" si="4"/>
        <v>0</v>
      </c>
      <c r="T766" s="3055">
        <f t="shared" si="5"/>
        <v>0</v>
      </c>
      <c r="U766" s="3055">
        <f t="shared" si="6"/>
        <v>0</v>
      </c>
      <c r="V766" s="3055">
        <f t="shared" si="7"/>
        <v>0</v>
      </c>
      <c r="W766" s="3055">
        <f t="shared" si="8"/>
        <v>0</v>
      </c>
      <c r="X766" s="3055">
        <f t="shared" si="9"/>
        <v>0</v>
      </c>
      <c r="Y766" s="3055">
        <f t="shared" si="10"/>
        <v>0</v>
      </c>
      <c r="Z766" s="3055">
        <f t="shared" si="11"/>
        <v>0</v>
      </c>
      <c r="AA766" s="3055">
        <f t="shared" si="12"/>
        <v>0</v>
      </c>
      <c r="AB766" s="3055">
        <f t="shared" si="13"/>
        <v>0</v>
      </c>
      <c r="AC766" s="3055">
        <f t="shared" si="14"/>
        <v>0</v>
      </c>
      <c r="AD766" s="3056"/>
      <c r="AE766" s="3057">
        <f t="shared" si="0"/>
      </c>
      <c r="AF766" s="3054"/>
      <c r="AG766" s="3054"/>
      <c r="AH766" s="3055"/>
      <c r="AI766" s="3055"/>
      <c r="AJ766" s="3055"/>
      <c r="AK766" s="3055"/>
      <c r="AL766" s="3055"/>
      <c r="AM766" s="3055"/>
      <c r="AN766" s="3055"/>
      <c r="AO766" s="3055"/>
      <c r="AP766" s="3055"/>
      <c r="AQ766" s="3055"/>
      <c r="AR766" s="3055"/>
      <c r="AS766" s="3055"/>
      <c r="AT766" s="3055"/>
      <c r="AU766" s="3056"/>
      <c r="AV766" s="3057">
        <f t="shared" si="15"/>
      </c>
      <c r="AW766" s="3054"/>
      <c r="AX766" s="3054"/>
      <c r="AY766" s="3055"/>
      <c r="AZ766" s="3055"/>
      <c r="BA766" s="3055"/>
      <c r="BB766" s="3055"/>
      <c r="BC766" s="3055"/>
      <c r="BD766" s="3055"/>
      <c r="BE766" s="3055"/>
      <c r="BF766" s="3055"/>
      <c r="BG766" s="3055"/>
      <c r="BH766" s="3055"/>
      <c r="BI766" s="3055"/>
      <c r="BJ766" s="3055"/>
      <c r="BK766" s="3055"/>
      <c r="BL766" s="3056"/>
      <c r="BM766" s="3057">
        <f t="shared" si="16"/>
      </c>
      <c r="BN766" s="3054"/>
      <c r="BO766" s="3054"/>
      <c r="BP766" s="3055"/>
      <c r="BQ766" s="3055"/>
      <c r="BR766" s="3055"/>
      <c r="BS766" s="3055"/>
      <c r="BT766" s="3055"/>
      <c r="BU766" s="3055"/>
      <c r="BV766" s="3055"/>
      <c r="BW766" s="3055"/>
      <c r="BX766" s="3055"/>
      <c r="BY766" s="3055"/>
      <c r="BZ766" s="3055"/>
      <c r="CA766" s="3055"/>
      <c r="CB766" s="3055"/>
      <c r="CC766" s="3056"/>
      <c r="CD766" s="3057">
        <f t="shared" si="0"/>
      </c>
      <c r="CE766" s="3054"/>
      <c r="CF766" s="3054"/>
      <c r="CG766" s="3055"/>
      <c r="CH766" s="3055"/>
      <c r="CI766" s="3055"/>
      <c r="CJ766" s="3055"/>
      <c r="CK766" s="3055"/>
      <c r="CL766" s="3055"/>
      <c r="CM766" s="3055"/>
      <c r="CN766" s="3055"/>
      <c r="CO766" s="3055"/>
      <c r="CP766" s="3055"/>
      <c r="CQ766" s="3055"/>
      <c r="CR766" s="3055"/>
      <c r="CS766" s="3055"/>
      <c r="CU766" s="3054"/>
      <c r="CV766" s="696"/>
      <c r="CW766" s="696"/>
      <c r="CZ766" s="3060">
        <f t="shared" si="17"/>
      </c>
      <c r="DA766" s="3060">
        <f t="shared" si="1"/>
      </c>
      <c r="DB766" s="3060">
        <f t="shared" si="18"/>
      </c>
      <c r="DC766" s="3060">
        <f t="shared" si="19"/>
      </c>
      <c r="DD766" s="3060">
        <f t="shared" si="20"/>
      </c>
      <c r="DE766" s="3060">
        <f t="shared" si="21"/>
      </c>
      <c r="DF766" s="3060">
        <f t="shared" si="22"/>
      </c>
      <c r="DG766" s="3060">
        <f t="shared" si="23"/>
      </c>
      <c r="DH766" s="3060">
        <f t="shared" si="24"/>
      </c>
      <c r="DI766" s="3060">
        <f t="shared" si="1"/>
      </c>
    </row>
    <row r="767" ht="15" customHeight="1" s="3052" customFormat="1">
      <c r="B767" s="3054">
        <f t="shared" si="2"/>
      </c>
      <c r="C767" s="3054"/>
      <c r="D767" s="3054"/>
      <c r="E767" s="3055"/>
      <c r="F767" s="3055"/>
      <c r="G767" s="3055"/>
      <c r="H767" s="3055"/>
      <c r="I767" s="3055"/>
      <c r="J767" s="3055"/>
      <c r="K767" s="3055"/>
      <c r="L767" s="3055"/>
      <c r="M767" s="3055"/>
      <c r="N767" s="3055"/>
      <c r="O767" s="3055"/>
      <c r="P767" s="3055"/>
      <c r="Q767" s="3055"/>
      <c r="R767" s="3055">
        <f t="shared" si="3"/>
        <v>0</v>
      </c>
      <c r="S767" s="3055">
        <f t="shared" si="4"/>
        <v>0</v>
      </c>
      <c r="T767" s="3055">
        <f t="shared" si="5"/>
        <v>0</v>
      </c>
      <c r="U767" s="3055">
        <f t="shared" si="6"/>
        <v>0</v>
      </c>
      <c r="V767" s="3055">
        <f t="shared" si="7"/>
        <v>0</v>
      </c>
      <c r="W767" s="3055">
        <f t="shared" si="8"/>
        <v>0</v>
      </c>
      <c r="X767" s="3055">
        <f t="shared" si="9"/>
        <v>0</v>
      </c>
      <c r="Y767" s="3055">
        <f t="shared" si="10"/>
        <v>0</v>
      </c>
      <c r="Z767" s="3055">
        <f t="shared" si="11"/>
        <v>0</v>
      </c>
      <c r="AA767" s="3055">
        <f t="shared" si="12"/>
        <v>0</v>
      </c>
      <c r="AB767" s="3055">
        <f t="shared" si="13"/>
        <v>0</v>
      </c>
      <c r="AC767" s="3055">
        <f t="shared" si="14"/>
        <v>0</v>
      </c>
      <c r="AD767" s="3056"/>
      <c r="AE767" s="3057">
        <f t="shared" si="0"/>
      </c>
      <c r="AF767" s="3054"/>
      <c r="AG767" s="3054"/>
      <c r="AH767" s="3055"/>
      <c r="AI767" s="3055"/>
      <c r="AJ767" s="3055"/>
      <c r="AK767" s="3055"/>
      <c r="AL767" s="3055"/>
      <c r="AM767" s="3055"/>
      <c r="AN767" s="3055"/>
      <c r="AO767" s="3055"/>
      <c r="AP767" s="3055"/>
      <c r="AQ767" s="3055"/>
      <c r="AR767" s="3055"/>
      <c r="AS767" s="3055"/>
      <c r="AT767" s="3055"/>
      <c r="AU767" s="3056"/>
      <c r="AV767" s="3057">
        <f t="shared" si="15"/>
      </c>
      <c r="AW767" s="3054"/>
      <c r="AX767" s="3054"/>
      <c r="AY767" s="3055"/>
      <c r="AZ767" s="3055"/>
      <c r="BA767" s="3055"/>
      <c r="BB767" s="3055"/>
      <c r="BC767" s="3055"/>
      <c r="BD767" s="3055"/>
      <c r="BE767" s="3055"/>
      <c r="BF767" s="3055"/>
      <c r="BG767" s="3055"/>
      <c r="BH767" s="3055"/>
      <c r="BI767" s="3055"/>
      <c r="BJ767" s="3055"/>
      <c r="BK767" s="3055"/>
      <c r="BL767" s="3056"/>
      <c r="BM767" s="3057">
        <f t="shared" si="16"/>
      </c>
      <c r="BN767" s="3054"/>
      <c r="BO767" s="3054"/>
      <c r="BP767" s="3055"/>
      <c r="BQ767" s="3055"/>
      <c r="BR767" s="3055"/>
      <c r="BS767" s="3055"/>
      <c r="BT767" s="3055"/>
      <c r="BU767" s="3055"/>
      <c r="BV767" s="3055"/>
      <c r="BW767" s="3055"/>
      <c r="BX767" s="3055"/>
      <c r="BY767" s="3055"/>
      <c r="BZ767" s="3055"/>
      <c r="CA767" s="3055"/>
      <c r="CB767" s="3055"/>
      <c r="CC767" s="3056"/>
      <c r="CD767" s="3057">
        <f t="shared" si="0"/>
      </c>
      <c r="CE767" s="3054"/>
      <c r="CF767" s="3054"/>
      <c r="CG767" s="3055"/>
      <c r="CH767" s="3055"/>
      <c r="CI767" s="3055"/>
      <c r="CJ767" s="3055"/>
      <c r="CK767" s="3055"/>
      <c r="CL767" s="3055"/>
      <c r="CM767" s="3055"/>
      <c r="CN767" s="3055"/>
      <c r="CO767" s="3055"/>
      <c r="CP767" s="3055"/>
      <c r="CQ767" s="3055"/>
      <c r="CR767" s="3055"/>
      <c r="CS767" s="3055"/>
      <c r="CU767" s="3054"/>
      <c r="CV767" s="696"/>
      <c r="CW767" s="696"/>
      <c r="CZ767" s="3060">
        <f t="shared" si="17"/>
      </c>
      <c r="DA767" s="3060">
        <f t="shared" si="1"/>
      </c>
      <c r="DB767" s="3060">
        <f t="shared" si="18"/>
      </c>
      <c r="DC767" s="3060">
        <f t="shared" si="19"/>
      </c>
      <c r="DD767" s="3060">
        <f t="shared" si="20"/>
      </c>
      <c r="DE767" s="3060">
        <f t="shared" si="21"/>
      </c>
      <c r="DF767" s="3060">
        <f t="shared" si="22"/>
      </c>
      <c r="DG767" s="3060">
        <f t="shared" si="23"/>
      </c>
      <c r="DH767" s="3060">
        <f t="shared" si="24"/>
      </c>
      <c r="DI767" s="3060">
        <f t="shared" si="1"/>
      </c>
    </row>
    <row r="768" ht="15" customHeight="1" s="3052" customFormat="1">
      <c r="B768" s="3054">
        <f t="shared" si="2"/>
      </c>
      <c r="C768" s="3054"/>
      <c r="D768" s="3054"/>
      <c r="E768" s="3055"/>
      <c r="F768" s="3055"/>
      <c r="G768" s="3055"/>
      <c r="H768" s="3055"/>
      <c r="I768" s="3055"/>
      <c r="J768" s="3055"/>
      <c r="K768" s="3055"/>
      <c r="L768" s="3055"/>
      <c r="M768" s="3055"/>
      <c r="N768" s="3055"/>
      <c r="O768" s="3055"/>
      <c r="P768" s="3055"/>
      <c r="Q768" s="3055"/>
      <c r="R768" s="3055">
        <f t="shared" si="3"/>
        <v>0</v>
      </c>
      <c r="S768" s="3055">
        <f t="shared" si="4"/>
        <v>0</v>
      </c>
      <c r="T768" s="3055">
        <f t="shared" si="5"/>
        <v>0</v>
      </c>
      <c r="U768" s="3055">
        <f t="shared" si="6"/>
        <v>0</v>
      </c>
      <c r="V768" s="3055">
        <f t="shared" si="7"/>
        <v>0</v>
      </c>
      <c r="W768" s="3055">
        <f t="shared" si="8"/>
        <v>0</v>
      </c>
      <c r="X768" s="3055">
        <f t="shared" si="9"/>
        <v>0</v>
      </c>
      <c r="Y768" s="3055">
        <f t="shared" si="10"/>
        <v>0</v>
      </c>
      <c r="Z768" s="3055">
        <f t="shared" si="11"/>
        <v>0</v>
      </c>
      <c r="AA768" s="3055">
        <f t="shared" si="12"/>
        <v>0</v>
      </c>
      <c r="AB768" s="3055">
        <f t="shared" si="13"/>
        <v>0</v>
      </c>
      <c r="AC768" s="3055">
        <f t="shared" si="14"/>
        <v>0</v>
      </c>
      <c r="AD768" s="3056"/>
      <c r="AE768" s="3057">
        <f t="shared" si="0"/>
      </c>
      <c r="AF768" s="3054"/>
      <c r="AG768" s="3054"/>
      <c r="AH768" s="3055"/>
      <c r="AI768" s="3055"/>
      <c r="AJ768" s="3055"/>
      <c r="AK768" s="3055"/>
      <c r="AL768" s="3055"/>
      <c r="AM768" s="3055"/>
      <c r="AN768" s="3055"/>
      <c r="AO768" s="3055"/>
      <c r="AP768" s="3055"/>
      <c r="AQ768" s="3055"/>
      <c r="AR768" s="3055"/>
      <c r="AS768" s="3055"/>
      <c r="AT768" s="3055"/>
      <c r="AU768" s="3056"/>
      <c r="AV768" s="3057">
        <f t="shared" si="15"/>
      </c>
      <c r="AW768" s="3054"/>
      <c r="AX768" s="3054"/>
      <c r="AY768" s="3055"/>
      <c r="AZ768" s="3055"/>
      <c r="BA768" s="3055"/>
      <c r="BB768" s="3055"/>
      <c r="BC768" s="3055"/>
      <c r="BD768" s="3055"/>
      <c r="BE768" s="3055"/>
      <c r="BF768" s="3055"/>
      <c r="BG768" s="3055"/>
      <c r="BH768" s="3055"/>
      <c r="BI768" s="3055"/>
      <c r="BJ768" s="3055"/>
      <c r="BK768" s="3055"/>
      <c r="BL768" s="3056"/>
      <c r="BM768" s="3057">
        <f t="shared" si="16"/>
      </c>
      <c r="BN768" s="3054"/>
      <c r="BO768" s="3054"/>
      <c r="BP768" s="3055"/>
      <c r="BQ768" s="3055"/>
      <c r="BR768" s="3055"/>
      <c r="BS768" s="3055"/>
      <c r="BT768" s="3055"/>
      <c r="BU768" s="3055"/>
      <c r="BV768" s="3055"/>
      <c r="BW768" s="3055"/>
      <c r="BX768" s="3055"/>
      <c r="BY768" s="3055"/>
      <c r="BZ768" s="3055"/>
      <c r="CA768" s="3055"/>
      <c r="CB768" s="3055"/>
      <c r="CC768" s="3056"/>
      <c r="CD768" s="3057">
        <f t="shared" si="0"/>
      </c>
      <c r="CE768" s="3054"/>
      <c r="CF768" s="3054"/>
      <c r="CG768" s="3055"/>
      <c r="CH768" s="3055"/>
      <c r="CI768" s="3055"/>
      <c r="CJ768" s="3055"/>
      <c r="CK768" s="3055"/>
      <c r="CL768" s="3055"/>
      <c r="CM768" s="3055"/>
      <c r="CN768" s="3055"/>
      <c r="CO768" s="3055"/>
      <c r="CP768" s="3055"/>
      <c r="CQ768" s="3055"/>
      <c r="CR768" s="3055"/>
      <c r="CS768" s="3055"/>
      <c r="CU768" s="3054"/>
      <c r="CV768" s="696"/>
      <c r="CW768" s="696"/>
      <c r="CZ768" s="3060">
        <f t="shared" si="17"/>
      </c>
      <c r="DA768" s="3060">
        <f t="shared" si="1"/>
      </c>
      <c r="DB768" s="3060">
        <f t="shared" si="18"/>
      </c>
      <c r="DC768" s="3060">
        <f t="shared" si="19"/>
      </c>
      <c r="DD768" s="3060">
        <f t="shared" si="20"/>
      </c>
      <c r="DE768" s="3060">
        <f t="shared" si="21"/>
      </c>
      <c r="DF768" s="3060">
        <f t="shared" si="22"/>
      </c>
      <c r="DG768" s="3060">
        <f t="shared" si="23"/>
      </c>
      <c r="DH768" s="3060">
        <f t="shared" si="24"/>
      </c>
      <c r="DI768" s="3060">
        <f t="shared" si="1"/>
      </c>
    </row>
    <row r="769" ht="15" customHeight="1" s="3052" customFormat="1">
      <c r="B769" s="3054">
        <f t="shared" si="2"/>
      </c>
      <c r="C769" s="3054"/>
      <c r="D769" s="3054"/>
      <c r="E769" s="3055"/>
      <c r="F769" s="3055"/>
      <c r="G769" s="3055"/>
      <c r="H769" s="3055"/>
      <c r="I769" s="3055"/>
      <c r="J769" s="3055"/>
      <c r="K769" s="3055"/>
      <c r="L769" s="3055"/>
      <c r="M769" s="3055"/>
      <c r="N769" s="3055"/>
      <c r="O769" s="3055"/>
      <c r="P769" s="3055"/>
      <c r="Q769" s="3055"/>
      <c r="R769" s="3055">
        <f t="shared" si="3"/>
        <v>0</v>
      </c>
      <c r="S769" s="3055">
        <f t="shared" si="4"/>
        <v>0</v>
      </c>
      <c r="T769" s="3055">
        <f t="shared" si="5"/>
        <v>0</v>
      </c>
      <c r="U769" s="3055">
        <f t="shared" si="6"/>
        <v>0</v>
      </c>
      <c r="V769" s="3055">
        <f t="shared" si="7"/>
        <v>0</v>
      </c>
      <c r="W769" s="3055">
        <f t="shared" si="8"/>
        <v>0</v>
      </c>
      <c r="X769" s="3055">
        <f t="shared" si="9"/>
        <v>0</v>
      </c>
      <c r="Y769" s="3055">
        <f t="shared" si="10"/>
        <v>0</v>
      </c>
      <c r="Z769" s="3055">
        <f t="shared" si="11"/>
        <v>0</v>
      </c>
      <c r="AA769" s="3055">
        <f t="shared" si="12"/>
        <v>0</v>
      </c>
      <c r="AB769" s="3055">
        <f t="shared" si="13"/>
        <v>0</v>
      </c>
      <c r="AC769" s="3055">
        <f t="shared" si="14"/>
        <v>0</v>
      </c>
      <c r="AD769" s="3056"/>
      <c r="AE769" s="3057">
        <f t="shared" si="0"/>
      </c>
      <c r="AF769" s="3054"/>
      <c r="AG769" s="3054"/>
      <c r="AH769" s="3055"/>
      <c r="AI769" s="3055"/>
      <c r="AJ769" s="3055"/>
      <c r="AK769" s="3055"/>
      <c r="AL769" s="3055"/>
      <c r="AM769" s="3055"/>
      <c r="AN769" s="3055"/>
      <c r="AO769" s="3055"/>
      <c r="AP769" s="3055"/>
      <c r="AQ769" s="3055"/>
      <c r="AR769" s="3055"/>
      <c r="AS769" s="3055"/>
      <c r="AT769" s="3055"/>
      <c r="AU769" s="3056"/>
      <c r="AV769" s="3057">
        <f t="shared" si="15"/>
      </c>
      <c r="AW769" s="3054"/>
      <c r="AX769" s="3054"/>
      <c r="AY769" s="3055"/>
      <c r="AZ769" s="3055"/>
      <c r="BA769" s="3055"/>
      <c r="BB769" s="3055"/>
      <c r="BC769" s="3055"/>
      <c r="BD769" s="3055"/>
      <c r="BE769" s="3055"/>
      <c r="BF769" s="3055"/>
      <c r="BG769" s="3055"/>
      <c r="BH769" s="3055"/>
      <c r="BI769" s="3055"/>
      <c r="BJ769" s="3055"/>
      <c r="BK769" s="3055"/>
      <c r="BL769" s="3056"/>
      <c r="BM769" s="3057">
        <f t="shared" si="16"/>
      </c>
      <c r="BN769" s="3054"/>
      <c r="BO769" s="3054"/>
      <c r="BP769" s="3055"/>
      <c r="BQ769" s="3055"/>
      <c r="BR769" s="3055"/>
      <c r="BS769" s="3055"/>
      <c r="BT769" s="3055"/>
      <c r="BU769" s="3055"/>
      <c r="BV769" s="3055"/>
      <c r="BW769" s="3055"/>
      <c r="BX769" s="3055"/>
      <c r="BY769" s="3055"/>
      <c r="BZ769" s="3055"/>
      <c r="CA769" s="3055"/>
      <c r="CB769" s="3055"/>
      <c r="CC769" s="3056"/>
      <c r="CD769" s="3057">
        <f t="shared" si="0"/>
      </c>
      <c r="CE769" s="3054"/>
      <c r="CF769" s="3054"/>
      <c r="CG769" s="3055"/>
      <c r="CH769" s="3055"/>
      <c r="CI769" s="3055"/>
      <c r="CJ769" s="3055"/>
      <c r="CK769" s="3055"/>
      <c r="CL769" s="3055"/>
      <c r="CM769" s="3055"/>
      <c r="CN769" s="3055"/>
      <c r="CO769" s="3055"/>
      <c r="CP769" s="3055"/>
      <c r="CQ769" s="3055"/>
      <c r="CR769" s="3055"/>
      <c r="CS769" s="3055"/>
      <c r="CU769" s="3054"/>
      <c r="CV769" s="696"/>
      <c r="CW769" s="696"/>
      <c r="CZ769" s="3060">
        <f t="shared" si="17"/>
      </c>
      <c r="DA769" s="3060">
        <f t="shared" si="1"/>
      </c>
      <c r="DB769" s="3060">
        <f t="shared" si="18"/>
      </c>
      <c r="DC769" s="3060">
        <f t="shared" si="19"/>
      </c>
      <c r="DD769" s="3060">
        <f t="shared" si="20"/>
      </c>
      <c r="DE769" s="3060">
        <f t="shared" si="21"/>
      </c>
      <c r="DF769" s="3060">
        <f t="shared" si="22"/>
      </c>
      <c r="DG769" s="3060">
        <f t="shared" si="23"/>
      </c>
      <c r="DH769" s="3060">
        <f t="shared" si="24"/>
      </c>
      <c r="DI769" s="3060">
        <f t="shared" si="1"/>
      </c>
    </row>
    <row r="770" ht="15" customHeight="1" s="3052" customFormat="1">
      <c r="B770" s="3054">
        <f t="shared" si="2"/>
      </c>
      <c r="C770" s="3054"/>
      <c r="D770" s="3054"/>
      <c r="E770" s="3055"/>
      <c r="F770" s="3055"/>
      <c r="G770" s="3055"/>
      <c r="H770" s="3055"/>
      <c r="I770" s="3055"/>
      <c r="J770" s="3055"/>
      <c r="K770" s="3055"/>
      <c r="L770" s="3055"/>
      <c r="M770" s="3055"/>
      <c r="N770" s="3055"/>
      <c r="O770" s="3055"/>
      <c r="P770" s="3055"/>
      <c r="Q770" s="3055"/>
      <c r="R770" s="3055">
        <f t="shared" si="3"/>
        <v>0</v>
      </c>
      <c r="S770" s="3055">
        <f t="shared" si="4"/>
        <v>0</v>
      </c>
      <c r="T770" s="3055">
        <f t="shared" si="5"/>
        <v>0</v>
      </c>
      <c r="U770" s="3055">
        <f t="shared" si="6"/>
        <v>0</v>
      </c>
      <c r="V770" s="3055">
        <f t="shared" si="7"/>
        <v>0</v>
      </c>
      <c r="W770" s="3055">
        <f t="shared" si="8"/>
        <v>0</v>
      </c>
      <c r="X770" s="3055">
        <f t="shared" si="9"/>
        <v>0</v>
      </c>
      <c r="Y770" s="3055">
        <f t="shared" si="10"/>
        <v>0</v>
      </c>
      <c r="Z770" s="3055">
        <f t="shared" si="11"/>
        <v>0</v>
      </c>
      <c r="AA770" s="3055">
        <f t="shared" si="12"/>
        <v>0</v>
      </c>
      <c r="AB770" s="3055">
        <f t="shared" si="13"/>
        <v>0</v>
      </c>
      <c r="AC770" s="3055">
        <f t="shared" si="14"/>
        <v>0</v>
      </c>
      <c r="AD770" s="3056"/>
      <c r="AE770" s="3057">
        <f t="shared" si="0"/>
      </c>
      <c r="AF770" s="3054"/>
      <c r="AG770" s="3054"/>
      <c r="AH770" s="3055"/>
      <c r="AI770" s="3055"/>
      <c r="AJ770" s="3055"/>
      <c r="AK770" s="3055"/>
      <c r="AL770" s="3055"/>
      <c r="AM770" s="3055"/>
      <c r="AN770" s="3055"/>
      <c r="AO770" s="3055"/>
      <c r="AP770" s="3055"/>
      <c r="AQ770" s="3055"/>
      <c r="AR770" s="3055"/>
      <c r="AS770" s="3055"/>
      <c r="AT770" s="3055"/>
      <c r="AU770" s="3056"/>
      <c r="AV770" s="3057">
        <f t="shared" si="15"/>
      </c>
      <c r="AW770" s="3054"/>
      <c r="AX770" s="3054"/>
      <c r="AY770" s="3055"/>
      <c r="AZ770" s="3055"/>
      <c r="BA770" s="3055"/>
      <c r="BB770" s="3055"/>
      <c r="BC770" s="3055"/>
      <c r="BD770" s="3055"/>
      <c r="BE770" s="3055"/>
      <c r="BF770" s="3055"/>
      <c r="BG770" s="3055"/>
      <c r="BH770" s="3055"/>
      <c r="BI770" s="3055"/>
      <c r="BJ770" s="3055"/>
      <c r="BK770" s="3055"/>
      <c r="BL770" s="3056"/>
      <c r="BM770" s="3057">
        <f t="shared" si="16"/>
      </c>
      <c r="BN770" s="3054"/>
      <c r="BO770" s="3054"/>
      <c r="BP770" s="3055"/>
      <c r="BQ770" s="3055"/>
      <c r="BR770" s="3055"/>
      <c r="BS770" s="3055"/>
      <c r="BT770" s="3055"/>
      <c r="BU770" s="3055"/>
      <c r="BV770" s="3055"/>
      <c r="BW770" s="3055"/>
      <c r="BX770" s="3055"/>
      <c r="BY770" s="3055"/>
      <c r="BZ770" s="3055"/>
      <c r="CA770" s="3055"/>
      <c r="CB770" s="3055"/>
      <c r="CC770" s="3056"/>
      <c r="CD770" s="3057">
        <f t="shared" si="0"/>
      </c>
      <c r="CE770" s="3054"/>
      <c r="CF770" s="3054"/>
      <c r="CG770" s="3055"/>
      <c r="CH770" s="3055"/>
      <c r="CI770" s="3055"/>
      <c r="CJ770" s="3055"/>
      <c r="CK770" s="3055"/>
      <c r="CL770" s="3055"/>
      <c r="CM770" s="3055"/>
      <c r="CN770" s="3055"/>
      <c r="CO770" s="3055"/>
      <c r="CP770" s="3055"/>
      <c r="CQ770" s="3055"/>
      <c r="CR770" s="3055"/>
      <c r="CS770" s="3055"/>
      <c r="CU770" s="3054"/>
      <c r="CV770" s="696"/>
      <c r="CW770" s="696"/>
      <c r="CZ770" s="3060">
        <f t="shared" si="17"/>
      </c>
      <c r="DA770" s="3060">
        <f t="shared" si="1"/>
      </c>
      <c r="DB770" s="3060">
        <f t="shared" si="18"/>
      </c>
      <c r="DC770" s="3060">
        <f t="shared" si="19"/>
      </c>
      <c r="DD770" s="3060">
        <f t="shared" si="20"/>
      </c>
      <c r="DE770" s="3060">
        <f t="shared" si="21"/>
      </c>
      <c r="DF770" s="3060">
        <f t="shared" si="22"/>
      </c>
      <c r="DG770" s="3060">
        <f t="shared" si="23"/>
      </c>
      <c r="DH770" s="3060">
        <f t="shared" si="24"/>
      </c>
      <c r="DI770" s="3060">
        <f t="shared" si="1"/>
      </c>
    </row>
    <row r="771" ht="15" customHeight="1" s="3052" customFormat="1">
      <c r="B771" s="3054">
        <f t="shared" si="2"/>
      </c>
      <c r="C771" s="3054"/>
      <c r="D771" s="3054"/>
      <c r="E771" s="3055"/>
      <c r="F771" s="3055"/>
      <c r="G771" s="3055"/>
      <c r="H771" s="3055"/>
      <c r="I771" s="3055"/>
      <c r="J771" s="3055"/>
      <c r="K771" s="3055"/>
      <c r="L771" s="3055"/>
      <c r="M771" s="3055"/>
      <c r="N771" s="3055"/>
      <c r="O771" s="3055"/>
      <c r="P771" s="3055"/>
      <c r="Q771" s="3055"/>
      <c r="R771" s="3055">
        <f t="shared" si="3"/>
        <v>0</v>
      </c>
      <c r="S771" s="3055">
        <f t="shared" si="4"/>
        <v>0</v>
      </c>
      <c r="T771" s="3055">
        <f t="shared" si="5"/>
        <v>0</v>
      </c>
      <c r="U771" s="3055">
        <f t="shared" si="6"/>
        <v>0</v>
      </c>
      <c r="V771" s="3055">
        <f t="shared" si="7"/>
        <v>0</v>
      </c>
      <c r="W771" s="3055">
        <f t="shared" si="8"/>
        <v>0</v>
      </c>
      <c r="X771" s="3055">
        <f t="shared" si="9"/>
        <v>0</v>
      </c>
      <c r="Y771" s="3055">
        <f t="shared" si="10"/>
        <v>0</v>
      </c>
      <c r="Z771" s="3055">
        <f t="shared" si="11"/>
        <v>0</v>
      </c>
      <c r="AA771" s="3055">
        <f t="shared" si="12"/>
        <v>0</v>
      </c>
      <c r="AB771" s="3055">
        <f t="shared" si="13"/>
        <v>0</v>
      </c>
      <c r="AC771" s="3055">
        <f t="shared" si="14"/>
        <v>0</v>
      </c>
      <c r="AD771" s="3056"/>
      <c r="AE771" s="3057">
        <f t="shared" si="0"/>
      </c>
      <c r="AF771" s="3054"/>
      <c r="AG771" s="3054"/>
      <c r="AH771" s="3055"/>
      <c r="AI771" s="3055"/>
      <c r="AJ771" s="3055"/>
      <c r="AK771" s="3055"/>
      <c r="AL771" s="3055"/>
      <c r="AM771" s="3055"/>
      <c r="AN771" s="3055"/>
      <c r="AO771" s="3055"/>
      <c r="AP771" s="3055"/>
      <c r="AQ771" s="3055"/>
      <c r="AR771" s="3055"/>
      <c r="AS771" s="3055"/>
      <c r="AT771" s="3055"/>
      <c r="AU771" s="3056"/>
      <c r="AV771" s="3057">
        <f t="shared" si="15"/>
      </c>
      <c r="AW771" s="3054"/>
      <c r="AX771" s="3054"/>
      <c r="AY771" s="3055"/>
      <c r="AZ771" s="3055"/>
      <c r="BA771" s="3055"/>
      <c r="BB771" s="3055"/>
      <c r="BC771" s="3055"/>
      <c r="BD771" s="3055"/>
      <c r="BE771" s="3055"/>
      <c r="BF771" s="3055"/>
      <c r="BG771" s="3055"/>
      <c r="BH771" s="3055"/>
      <c r="BI771" s="3055"/>
      <c r="BJ771" s="3055"/>
      <c r="BK771" s="3055"/>
      <c r="BL771" s="3056"/>
      <c r="BM771" s="3057">
        <f t="shared" si="16"/>
      </c>
      <c r="BN771" s="3054"/>
      <c r="BO771" s="3054"/>
      <c r="BP771" s="3055"/>
      <c r="BQ771" s="3055"/>
      <c r="BR771" s="3055"/>
      <c r="BS771" s="3055"/>
      <c r="BT771" s="3055"/>
      <c r="BU771" s="3055"/>
      <c r="BV771" s="3055"/>
      <c r="BW771" s="3055"/>
      <c r="BX771" s="3055"/>
      <c r="BY771" s="3055"/>
      <c r="BZ771" s="3055"/>
      <c r="CA771" s="3055"/>
      <c r="CB771" s="3055"/>
      <c r="CC771" s="3056"/>
      <c r="CD771" s="3057">
        <f t="shared" si="0"/>
      </c>
      <c r="CE771" s="3054"/>
      <c r="CF771" s="3054"/>
      <c r="CG771" s="3055"/>
      <c r="CH771" s="3055"/>
      <c r="CI771" s="3055"/>
      <c r="CJ771" s="3055"/>
      <c r="CK771" s="3055"/>
      <c r="CL771" s="3055"/>
      <c r="CM771" s="3055"/>
      <c r="CN771" s="3055"/>
      <c r="CO771" s="3055"/>
      <c r="CP771" s="3055"/>
      <c r="CQ771" s="3055"/>
      <c r="CR771" s="3055"/>
      <c r="CS771" s="3055"/>
      <c r="CU771" s="3054"/>
      <c r="CV771" s="696"/>
      <c r="CW771" s="696"/>
      <c r="CZ771" s="3060">
        <f t="shared" si="17"/>
      </c>
      <c r="DA771" s="3060">
        <f t="shared" si="1"/>
      </c>
      <c r="DB771" s="3060">
        <f t="shared" si="18"/>
      </c>
      <c r="DC771" s="3060">
        <f t="shared" si="19"/>
      </c>
      <c r="DD771" s="3060">
        <f t="shared" si="20"/>
      </c>
      <c r="DE771" s="3060">
        <f t="shared" si="21"/>
      </c>
      <c r="DF771" s="3060">
        <f t="shared" si="22"/>
      </c>
      <c r="DG771" s="3060">
        <f t="shared" si="23"/>
      </c>
      <c r="DH771" s="3060">
        <f t="shared" si="24"/>
      </c>
      <c r="DI771" s="3060">
        <f t="shared" si="1"/>
      </c>
    </row>
    <row r="772" ht="15" customHeight="1" s="3052" customFormat="1">
      <c r="B772" s="3054">
        <f t="shared" si="2"/>
      </c>
      <c r="C772" s="3054"/>
      <c r="D772" s="3054"/>
      <c r="E772" s="3055"/>
      <c r="F772" s="3055"/>
      <c r="G772" s="3055"/>
      <c r="H772" s="3055"/>
      <c r="I772" s="3055"/>
      <c r="J772" s="3055"/>
      <c r="K772" s="3055"/>
      <c r="L772" s="3055"/>
      <c r="M772" s="3055"/>
      <c r="N772" s="3055"/>
      <c r="O772" s="3055"/>
      <c r="P772" s="3055"/>
      <c r="Q772" s="3055"/>
      <c r="R772" s="3055">
        <f t="shared" si="3"/>
        <v>0</v>
      </c>
      <c r="S772" s="3055">
        <f t="shared" si="4"/>
        <v>0</v>
      </c>
      <c r="T772" s="3055">
        <f t="shared" si="5"/>
        <v>0</v>
      </c>
      <c r="U772" s="3055">
        <f t="shared" si="6"/>
        <v>0</v>
      </c>
      <c r="V772" s="3055">
        <f t="shared" si="7"/>
        <v>0</v>
      </c>
      <c r="W772" s="3055">
        <f t="shared" si="8"/>
        <v>0</v>
      </c>
      <c r="X772" s="3055">
        <f t="shared" si="9"/>
        <v>0</v>
      </c>
      <c r="Y772" s="3055">
        <f t="shared" si="10"/>
        <v>0</v>
      </c>
      <c r="Z772" s="3055">
        <f t="shared" si="11"/>
        <v>0</v>
      </c>
      <c r="AA772" s="3055">
        <f t="shared" si="12"/>
        <v>0</v>
      </c>
      <c r="AB772" s="3055">
        <f t="shared" si="13"/>
        <v>0</v>
      </c>
      <c r="AC772" s="3055">
        <f t="shared" si="14"/>
        <v>0</v>
      </c>
      <c r="AD772" s="3056"/>
      <c r="AE772" s="3057">
        <f t="shared" si="0"/>
      </c>
      <c r="AF772" s="3054"/>
      <c r="AG772" s="3054"/>
      <c r="AH772" s="3055"/>
      <c r="AI772" s="3055"/>
      <c r="AJ772" s="3055"/>
      <c r="AK772" s="3055"/>
      <c r="AL772" s="3055"/>
      <c r="AM772" s="3055"/>
      <c r="AN772" s="3055"/>
      <c r="AO772" s="3055"/>
      <c r="AP772" s="3055"/>
      <c r="AQ772" s="3055"/>
      <c r="AR772" s="3055"/>
      <c r="AS772" s="3055"/>
      <c r="AT772" s="3055"/>
      <c r="AU772" s="3056"/>
      <c r="AV772" s="3057">
        <f t="shared" si="15"/>
      </c>
      <c r="AW772" s="3054"/>
      <c r="AX772" s="3054"/>
      <c r="AY772" s="3055"/>
      <c r="AZ772" s="3055"/>
      <c r="BA772" s="3055"/>
      <c r="BB772" s="3055"/>
      <c r="BC772" s="3055"/>
      <c r="BD772" s="3055"/>
      <c r="BE772" s="3055"/>
      <c r="BF772" s="3055"/>
      <c r="BG772" s="3055"/>
      <c r="BH772" s="3055"/>
      <c r="BI772" s="3055"/>
      <c r="BJ772" s="3055"/>
      <c r="BK772" s="3055"/>
      <c r="BL772" s="3056"/>
      <c r="BM772" s="3057">
        <f t="shared" si="16"/>
      </c>
      <c r="BN772" s="3054"/>
      <c r="BO772" s="3054"/>
      <c r="BP772" s="3055"/>
      <c r="BQ772" s="3055"/>
      <c r="BR772" s="3055"/>
      <c r="BS772" s="3055"/>
      <c r="BT772" s="3055"/>
      <c r="BU772" s="3055"/>
      <c r="BV772" s="3055"/>
      <c r="BW772" s="3055"/>
      <c r="BX772" s="3055"/>
      <c r="BY772" s="3055"/>
      <c r="BZ772" s="3055"/>
      <c r="CA772" s="3055"/>
      <c r="CB772" s="3055"/>
      <c r="CC772" s="3056"/>
      <c r="CD772" s="3057">
        <f t="shared" si="0"/>
      </c>
      <c r="CE772" s="3054"/>
      <c r="CF772" s="3054"/>
      <c r="CG772" s="3055"/>
      <c r="CH772" s="3055"/>
      <c r="CI772" s="3055"/>
      <c r="CJ772" s="3055"/>
      <c r="CK772" s="3055"/>
      <c r="CL772" s="3055"/>
      <c r="CM772" s="3055"/>
      <c r="CN772" s="3055"/>
      <c r="CO772" s="3055"/>
      <c r="CP772" s="3055"/>
      <c r="CQ772" s="3055"/>
      <c r="CR772" s="3055"/>
      <c r="CS772" s="3055"/>
      <c r="CU772" s="3054"/>
      <c r="CV772" s="696"/>
      <c r="CW772" s="696"/>
      <c r="CZ772" s="3060">
        <f t="shared" si="17"/>
      </c>
      <c r="DA772" s="3060">
        <f t="shared" si="1"/>
      </c>
      <c r="DB772" s="3060">
        <f t="shared" si="18"/>
      </c>
      <c r="DC772" s="3060">
        <f t="shared" si="19"/>
      </c>
      <c r="DD772" s="3060">
        <f t="shared" si="20"/>
      </c>
      <c r="DE772" s="3060">
        <f t="shared" si="21"/>
      </c>
      <c r="DF772" s="3060">
        <f t="shared" si="22"/>
      </c>
      <c r="DG772" s="3060">
        <f t="shared" si="23"/>
      </c>
      <c r="DH772" s="3060">
        <f t="shared" si="24"/>
      </c>
      <c r="DI772" s="3060">
        <f t="shared" si="1"/>
      </c>
    </row>
    <row r="773" ht="15" customHeight="1" s="3052" customFormat="1">
      <c r="B773" s="3054">
        <f t="shared" si="2"/>
      </c>
      <c r="C773" s="3054"/>
      <c r="D773" s="3054"/>
      <c r="E773" s="3055"/>
      <c r="F773" s="3055"/>
      <c r="G773" s="3055"/>
      <c r="H773" s="3055"/>
      <c r="I773" s="3055"/>
      <c r="J773" s="3055"/>
      <c r="K773" s="3055"/>
      <c r="L773" s="3055"/>
      <c r="M773" s="3055"/>
      <c r="N773" s="3055"/>
      <c r="O773" s="3055"/>
      <c r="P773" s="3055"/>
      <c r="Q773" s="3055"/>
      <c r="R773" s="3055">
        <f t="shared" si="3"/>
        <v>0</v>
      </c>
      <c r="S773" s="3055">
        <f t="shared" si="4"/>
        <v>0</v>
      </c>
      <c r="T773" s="3055">
        <f t="shared" si="5"/>
        <v>0</v>
      </c>
      <c r="U773" s="3055">
        <f t="shared" si="6"/>
        <v>0</v>
      </c>
      <c r="V773" s="3055">
        <f t="shared" si="7"/>
        <v>0</v>
      </c>
      <c r="W773" s="3055">
        <f t="shared" si="8"/>
        <v>0</v>
      </c>
      <c r="X773" s="3055">
        <f t="shared" si="9"/>
        <v>0</v>
      </c>
      <c r="Y773" s="3055">
        <f t="shared" si="10"/>
        <v>0</v>
      </c>
      <c r="Z773" s="3055">
        <f t="shared" si="11"/>
        <v>0</v>
      </c>
      <c r="AA773" s="3055">
        <f t="shared" si="12"/>
        <v>0</v>
      </c>
      <c r="AB773" s="3055">
        <f t="shared" si="13"/>
        <v>0</v>
      </c>
      <c r="AC773" s="3055">
        <f t="shared" si="14"/>
        <v>0</v>
      </c>
      <c r="AD773" s="3056"/>
      <c r="AE773" s="3057">
        <f t="shared" si="0"/>
      </c>
      <c r="AF773" s="3054"/>
      <c r="AG773" s="3054"/>
      <c r="AH773" s="3055"/>
      <c r="AI773" s="3055"/>
      <c r="AJ773" s="3055"/>
      <c r="AK773" s="3055"/>
      <c r="AL773" s="3055"/>
      <c r="AM773" s="3055"/>
      <c r="AN773" s="3055"/>
      <c r="AO773" s="3055"/>
      <c r="AP773" s="3055"/>
      <c r="AQ773" s="3055"/>
      <c r="AR773" s="3055"/>
      <c r="AS773" s="3055"/>
      <c r="AT773" s="3055"/>
      <c r="AU773" s="3056"/>
      <c r="AV773" s="3057">
        <f t="shared" si="15"/>
      </c>
      <c r="AW773" s="3054"/>
      <c r="AX773" s="3054"/>
      <c r="AY773" s="3055"/>
      <c r="AZ773" s="3055"/>
      <c r="BA773" s="3055"/>
      <c r="BB773" s="3055"/>
      <c r="BC773" s="3055"/>
      <c r="BD773" s="3055"/>
      <c r="BE773" s="3055"/>
      <c r="BF773" s="3055"/>
      <c r="BG773" s="3055"/>
      <c r="BH773" s="3055"/>
      <c r="BI773" s="3055"/>
      <c r="BJ773" s="3055"/>
      <c r="BK773" s="3055"/>
      <c r="BL773" s="3056"/>
      <c r="BM773" s="3057">
        <f t="shared" si="16"/>
      </c>
      <c r="BN773" s="3054"/>
      <c r="BO773" s="3054"/>
      <c r="BP773" s="3055"/>
      <c r="BQ773" s="3055"/>
      <c r="BR773" s="3055"/>
      <c r="BS773" s="3055"/>
      <c r="BT773" s="3055"/>
      <c r="BU773" s="3055"/>
      <c r="BV773" s="3055"/>
      <c r="BW773" s="3055"/>
      <c r="BX773" s="3055"/>
      <c r="BY773" s="3055"/>
      <c r="BZ773" s="3055"/>
      <c r="CA773" s="3055"/>
      <c r="CB773" s="3055"/>
      <c r="CC773" s="3056"/>
      <c r="CD773" s="3057">
        <f t="shared" si="0"/>
      </c>
      <c r="CE773" s="3054"/>
      <c r="CF773" s="3054"/>
      <c r="CG773" s="3055"/>
      <c r="CH773" s="3055"/>
      <c r="CI773" s="3055"/>
      <c r="CJ773" s="3055"/>
      <c r="CK773" s="3055"/>
      <c r="CL773" s="3055"/>
      <c r="CM773" s="3055"/>
      <c r="CN773" s="3055"/>
      <c r="CO773" s="3055"/>
      <c r="CP773" s="3055"/>
      <c r="CQ773" s="3055"/>
      <c r="CR773" s="3055"/>
      <c r="CS773" s="3055"/>
      <c r="CU773" s="3054"/>
      <c r="CV773" s="696"/>
      <c r="CW773" s="696"/>
      <c r="CZ773" s="3060">
        <f t="shared" si="17"/>
      </c>
      <c r="DA773" s="3060">
        <f t="shared" si="1"/>
      </c>
      <c r="DB773" s="3060">
        <f t="shared" si="18"/>
      </c>
      <c r="DC773" s="3060">
        <f t="shared" si="19"/>
      </c>
      <c r="DD773" s="3060">
        <f t="shared" si="20"/>
      </c>
      <c r="DE773" s="3060">
        <f t="shared" si="21"/>
      </c>
      <c r="DF773" s="3060">
        <f t="shared" si="22"/>
      </c>
      <c r="DG773" s="3060">
        <f t="shared" si="23"/>
      </c>
      <c r="DH773" s="3060">
        <f t="shared" si="24"/>
      </c>
      <c r="DI773" s="3060">
        <f t="shared" si="1"/>
      </c>
    </row>
    <row r="774" ht="15" customHeight="1" s="3052" customFormat="1">
      <c r="B774" s="3054">
        <f t="shared" si="2"/>
      </c>
      <c r="C774" s="3054"/>
      <c r="D774" s="3054"/>
      <c r="E774" s="3055"/>
      <c r="F774" s="3055"/>
      <c r="G774" s="3055"/>
      <c r="H774" s="3055"/>
      <c r="I774" s="3055"/>
      <c r="J774" s="3055"/>
      <c r="K774" s="3055"/>
      <c r="L774" s="3055"/>
      <c r="M774" s="3055"/>
      <c r="N774" s="3055"/>
      <c r="O774" s="3055"/>
      <c r="P774" s="3055"/>
      <c r="Q774" s="3055"/>
      <c r="R774" s="3055">
        <f t="shared" si="3"/>
        <v>0</v>
      </c>
      <c r="S774" s="3055">
        <f t="shared" si="4"/>
        <v>0</v>
      </c>
      <c r="T774" s="3055">
        <f t="shared" si="5"/>
        <v>0</v>
      </c>
      <c r="U774" s="3055">
        <f t="shared" si="6"/>
        <v>0</v>
      </c>
      <c r="V774" s="3055">
        <f t="shared" si="7"/>
        <v>0</v>
      </c>
      <c r="W774" s="3055">
        <f t="shared" si="8"/>
        <v>0</v>
      </c>
      <c r="X774" s="3055">
        <f t="shared" si="9"/>
        <v>0</v>
      </c>
      <c r="Y774" s="3055">
        <f t="shared" si="10"/>
        <v>0</v>
      </c>
      <c r="Z774" s="3055">
        <f t="shared" si="11"/>
        <v>0</v>
      </c>
      <c r="AA774" s="3055">
        <f t="shared" si="12"/>
        <v>0</v>
      </c>
      <c r="AB774" s="3055">
        <f t="shared" si="13"/>
        <v>0</v>
      </c>
      <c r="AC774" s="3055">
        <f t="shared" si="14"/>
        <v>0</v>
      </c>
      <c r="AD774" s="3056"/>
      <c r="AE774" s="3057">
        <f t="shared" si="0"/>
      </c>
      <c r="AF774" s="3054"/>
      <c r="AG774" s="3054"/>
      <c r="AH774" s="3055"/>
      <c r="AI774" s="3055"/>
      <c r="AJ774" s="3055"/>
      <c r="AK774" s="3055"/>
      <c r="AL774" s="3055"/>
      <c r="AM774" s="3055"/>
      <c r="AN774" s="3055"/>
      <c r="AO774" s="3055"/>
      <c r="AP774" s="3055"/>
      <c r="AQ774" s="3055"/>
      <c r="AR774" s="3055"/>
      <c r="AS774" s="3055"/>
      <c r="AT774" s="3055"/>
      <c r="AU774" s="3056"/>
      <c r="AV774" s="3057">
        <f t="shared" si="15"/>
      </c>
      <c r="AW774" s="3054"/>
      <c r="AX774" s="3054"/>
      <c r="AY774" s="3055"/>
      <c r="AZ774" s="3055"/>
      <c r="BA774" s="3055"/>
      <c r="BB774" s="3055"/>
      <c r="BC774" s="3055"/>
      <c r="BD774" s="3055"/>
      <c r="BE774" s="3055"/>
      <c r="BF774" s="3055"/>
      <c r="BG774" s="3055"/>
      <c r="BH774" s="3055"/>
      <c r="BI774" s="3055"/>
      <c r="BJ774" s="3055"/>
      <c r="BK774" s="3055"/>
      <c r="BL774" s="3056"/>
      <c r="BM774" s="3057">
        <f t="shared" si="16"/>
      </c>
      <c r="BN774" s="3054"/>
      <c r="BO774" s="3054"/>
      <c r="BP774" s="3055"/>
      <c r="BQ774" s="3055"/>
      <c r="BR774" s="3055"/>
      <c r="BS774" s="3055"/>
      <c r="BT774" s="3055"/>
      <c r="BU774" s="3055"/>
      <c r="BV774" s="3055"/>
      <c r="BW774" s="3055"/>
      <c r="BX774" s="3055"/>
      <c r="BY774" s="3055"/>
      <c r="BZ774" s="3055"/>
      <c r="CA774" s="3055"/>
      <c r="CB774" s="3055"/>
      <c r="CC774" s="3056"/>
      <c r="CD774" s="3057">
        <f t="shared" si="0"/>
      </c>
      <c r="CE774" s="3054"/>
      <c r="CF774" s="3054"/>
      <c r="CG774" s="3055"/>
      <c r="CH774" s="3055"/>
      <c r="CI774" s="3055"/>
      <c r="CJ774" s="3055"/>
      <c r="CK774" s="3055"/>
      <c r="CL774" s="3055"/>
      <c r="CM774" s="3055"/>
      <c r="CN774" s="3055"/>
      <c r="CO774" s="3055"/>
      <c r="CP774" s="3055"/>
      <c r="CQ774" s="3055"/>
      <c r="CR774" s="3055"/>
      <c r="CS774" s="3055"/>
      <c r="CU774" s="3054"/>
      <c r="CV774" s="696"/>
      <c r="CW774" s="696"/>
      <c r="CZ774" s="3060">
        <f t="shared" si="17"/>
      </c>
      <c r="DA774" s="3060">
        <f t="shared" si="1"/>
      </c>
      <c r="DB774" s="3060">
        <f t="shared" si="18"/>
      </c>
      <c r="DC774" s="3060">
        <f t="shared" si="19"/>
      </c>
      <c r="DD774" s="3060">
        <f t="shared" si="20"/>
      </c>
      <c r="DE774" s="3060">
        <f t="shared" si="21"/>
      </c>
      <c r="DF774" s="3060">
        <f t="shared" si="22"/>
      </c>
      <c r="DG774" s="3060">
        <f t="shared" si="23"/>
      </c>
      <c r="DH774" s="3060">
        <f t="shared" si="24"/>
      </c>
      <c r="DI774" s="3060">
        <f t="shared" si="1"/>
      </c>
    </row>
    <row r="775" ht="15" customHeight="1" s="3052" customFormat="1">
      <c r="B775" s="3054">
        <f t="shared" si="2"/>
      </c>
      <c r="C775" s="3054"/>
      <c r="D775" s="3054"/>
      <c r="E775" s="3055"/>
      <c r="F775" s="3055"/>
      <c r="G775" s="3055"/>
      <c r="H775" s="3055"/>
      <c r="I775" s="3055"/>
      <c r="J775" s="3055"/>
      <c r="K775" s="3055"/>
      <c r="L775" s="3055"/>
      <c r="M775" s="3055"/>
      <c r="N775" s="3055"/>
      <c r="O775" s="3055"/>
      <c r="P775" s="3055"/>
      <c r="Q775" s="3055"/>
      <c r="R775" s="3055">
        <f t="shared" si="3"/>
        <v>0</v>
      </c>
      <c r="S775" s="3055">
        <f t="shared" si="4"/>
        <v>0</v>
      </c>
      <c r="T775" s="3055">
        <f t="shared" si="5"/>
        <v>0</v>
      </c>
      <c r="U775" s="3055">
        <f t="shared" si="6"/>
        <v>0</v>
      </c>
      <c r="V775" s="3055">
        <f t="shared" si="7"/>
        <v>0</v>
      </c>
      <c r="W775" s="3055">
        <f t="shared" si="8"/>
        <v>0</v>
      </c>
      <c r="X775" s="3055">
        <f t="shared" si="9"/>
        <v>0</v>
      </c>
      <c r="Y775" s="3055">
        <f t="shared" si="10"/>
        <v>0</v>
      </c>
      <c r="Z775" s="3055">
        <f t="shared" si="11"/>
        <v>0</v>
      </c>
      <c r="AA775" s="3055">
        <f t="shared" si="12"/>
        <v>0</v>
      </c>
      <c r="AB775" s="3055">
        <f t="shared" si="13"/>
        <v>0</v>
      </c>
      <c r="AC775" s="3055">
        <f t="shared" si="14"/>
        <v>0</v>
      </c>
      <c r="AD775" s="3056"/>
      <c r="AE775" s="3057">
        <f t="shared" si="0"/>
      </c>
      <c r="AF775" s="3054"/>
      <c r="AG775" s="3054"/>
      <c r="AH775" s="3055"/>
      <c r="AI775" s="3055"/>
      <c r="AJ775" s="3055"/>
      <c r="AK775" s="3055"/>
      <c r="AL775" s="3055"/>
      <c r="AM775" s="3055"/>
      <c r="AN775" s="3055"/>
      <c r="AO775" s="3055"/>
      <c r="AP775" s="3055"/>
      <c r="AQ775" s="3055"/>
      <c r="AR775" s="3055"/>
      <c r="AS775" s="3055"/>
      <c r="AT775" s="3055"/>
      <c r="AU775" s="3056"/>
      <c r="AV775" s="3057">
        <f t="shared" si="15"/>
      </c>
      <c r="AW775" s="3054"/>
      <c r="AX775" s="3054"/>
      <c r="AY775" s="3055"/>
      <c r="AZ775" s="3055"/>
      <c r="BA775" s="3055"/>
      <c r="BB775" s="3055"/>
      <c r="BC775" s="3055"/>
      <c r="BD775" s="3055"/>
      <c r="BE775" s="3055"/>
      <c r="BF775" s="3055"/>
      <c r="BG775" s="3055"/>
      <c r="BH775" s="3055"/>
      <c r="BI775" s="3055"/>
      <c r="BJ775" s="3055"/>
      <c r="BK775" s="3055"/>
      <c r="BL775" s="3056"/>
      <c r="BM775" s="3057">
        <f t="shared" si="16"/>
      </c>
      <c r="BN775" s="3054"/>
      <c r="BO775" s="3054"/>
      <c r="BP775" s="3055"/>
      <c r="BQ775" s="3055"/>
      <c r="BR775" s="3055"/>
      <c r="BS775" s="3055"/>
      <c r="BT775" s="3055"/>
      <c r="BU775" s="3055"/>
      <c r="BV775" s="3055"/>
      <c r="BW775" s="3055"/>
      <c r="BX775" s="3055"/>
      <c r="BY775" s="3055"/>
      <c r="BZ775" s="3055"/>
      <c r="CA775" s="3055"/>
      <c r="CB775" s="3055"/>
      <c r="CC775" s="3056"/>
      <c r="CD775" s="3057">
        <f t="shared" si="0"/>
      </c>
      <c r="CE775" s="3054"/>
      <c r="CF775" s="3054"/>
      <c r="CG775" s="3055"/>
      <c r="CH775" s="3055"/>
      <c r="CI775" s="3055"/>
      <c r="CJ775" s="3055"/>
      <c r="CK775" s="3055"/>
      <c r="CL775" s="3055"/>
      <c r="CM775" s="3055"/>
      <c r="CN775" s="3055"/>
      <c r="CO775" s="3055"/>
      <c r="CP775" s="3055"/>
      <c r="CQ775" s="3055"/>
      <c r="CR775" s="3055"/>
      <c r="CS775" s="3055"/>
      <c r="CU775" s="3054"/>
      <c r="CV775" s="696"/>
      <c r="CW775" s="696"/>
      <c r="CZ775" s="3060">
        <f t="shared" si="17"/>
      </c>
      <c r="DA775" s="3060">
        <f t="shared" si="1"/>
      </c>
      <c r="DB775" s="3060">
        <f t="shared" si="18"/>
      </c>
      <c r="DC775" s="3060">
        <f t="shared" si="19"/>
      </c>
      <c r="DD775" s="3060">
        <f t="shared" si="20"/>
      </c>
      <c r="DE775" s="3060">
        <f t="shared" si="21"/>
      </c>
      <c r="DF775" s="3060">
        <f t="shared" si="22"/>
      </c>
      <c r="DG775" s="3060">
        <f t="shared" si="23"/>
      </c>
      <c r="DH775" s="3060">
        <f t="shared" si="24"/>
      </c>
      <c r="DI775" s="3060">
        <f t="shared" si="1"/>
      </c>
    </row>
    <row r="776" ht="15" customHeight="1" s="3052" customFormat="1">
      <c r="B776" s="3054">
        <f t="shared" si="2"/>
      </c>
      <c r="C776" s="3054"/>
      <c r="D776" s="3054"/>
      <c r="E776" s="3055"/>
      <c r="F776" s="3055"/>
      <c r="G776" s="3055"/>
      <c r="H776" s="3055"/>
      <c r="I776" s="3055"/>
      <c r="J776" s="3055"/>
      <c r="K776" s="3055"/>
      <c r="L776" s="3055"/>
      <c r="M776" s="3055"/>
      <c r="N776" s="3055"/>
      <c r="O776" s="3055"/>
      <c r="P776" s="3055"/>
      <c r="Q776" s="3055"/>
      <c r="R776" s="3055">
        <f t="shared" si="3"/>
        <v>0</v>
      </c>
      <c r="S776" s="3055">
        <f t="shared" si="4"/>
        <v>0</v>
      </c>
      <c r="T776" s="3055">
        <f t="shared" si="5"/>
        <v>0</v>
      </c>
      <c r="U776" s="3055">
        <f t="shared" si="6"/>
        <v>0</v>
      </c>
      <c r="V776" s="3055">
        <f t="shared" si="7"/>
        <v>0</v>
      </c>
      <c r="W776" s="3055">
        <f t="shared" si="8"/>
        <v>0</v>
      </c>
      <c r="X776" s="3055">
        <f t="shared" si="9"/>
        <v>0</v>
      </c>
      <c r="Y776" s="3055">
        <f t="shared" si="10"/>
        <v>0</v>
      </c>
      <c r="Z776" s="3055">
        <f t="shared" si="11"/>
        <v>0</v>
      </c>
      <c r="AA776" s="3055">
        <f t="shared" si="12"/>
        <v>0</v>
      </c>
      <c r="AB776" s="3055">
        <f t="shared" si="13"/>
        <v>0</v>
      </c>
      <c r="AC776" s="3055">
        <f t="shared" si="14"/>
        <v>0</v>
      </c>
      <c r="AD776" s="3056"/>
      <c r="AE776" s="3057">
        <f t="shared" si="0"/>
      </c>
      <c r="AF776" s="3054"/>
      <c r="AG776" s="3054"/>
      <c r="AH776" s="3055"/>
      <c r="AI776" s="3055"/>
      <c r="AJ776" s="3055"/>
      <c r="AK776" s="3055"/>
      <c r="AL776" s="3055"/>
      <c r="AM776" s="3055"/>
      <c r="AN776" s="3055"/>
      <c r="AO776" s="3055"/>
      <c r="AP776" s="3055"/>
      <c r="AQ776" s="3055"/>
      <c r="AR776" s="3055"/>
      <c r="AS776" s="3055"/>
      <c r="AT776" s="3055"/>
      <c r="AU776" s="3056"/>
      <c r="AV776" s="3057">
        <f t="shared" si="15"/>
      </c>
      <c r="AW776" s="3054"/>
      <c r="AX776" s="3054"/>
      <c r="AY776" s="3055"/>
      <c r="AZ776" s="3055"/>
      <c r="BA776" s="3055"/>
      <c r="BB776" s="3055"/>
      <c r="BC776" s="3055"/>
      <c r="BD776" s="3055"/>
      <c r="BE776" s="3055"/>
      <c r="BF776" s="3055"/>
      <c r="BG776" s="3055"/>
      <c r="BH776" s="3055"/>
      <c r="BI776" s="3055"/>
      <c r="BJ776" s="3055"/>
      <c r="BK776" s="3055"/>
      <c r="BL776" s="3056"/>
      <c r="BM776" s="3057">
        <f t="shared" si="16"/>
      </c>
      <c r="BN776" s="3054"/>
      <c r="BO776" s="3054"/>
      <c r="BP776" s="3055"/>
      <c r="BQ776" s="3055"/>
      <c r="BR776" s="3055"/>
      <c r="BS776" s="3055"/>
      <c r="BT776" s="3055"/>
      <c r="BU776" s="3055"/>
      <c r="BV776" s="3055"/>
      <c r="BW776" s="3055"/>
      <c r="BX776" s="3055"/>
      <c r="BY776" s="3055"/>
      <c r="BZ776" s="3055"/>
      <c r="CA776" s="3055"/>
      <c r="CB776" s="3055"/>
      <c r="CC776" s="3056"/>
      <c r="CD776" s="3057">
        <f t="shared" si="0"/>
      </c>
      <c r="CE776" s="3054"/>
      <c r="CF776" s="3054"/>
      <c r="CG776" s="3055"/>
      <c r="CH776" s="3055"/>
      <c r="CI776" s="3055"/>
      <c r="CJ776" s="3055"/>
      <c r="CK776" s="3055"/>
      <c r="CL776" s="3055"/>
      <c r="CM776" s="3055"/>
      <c r="CN776" s="3055"/>
      <c r="CO776" s="3055"/>
      <c r="CP776" s="3055"/>
      <c r="CQ776" s="3055"/>
      <c r="CR776" s="3055"/>
      <c r="CS776" s="3055"/>
      <c r="CU776" s="3054"/>
      <c r="CV776" s="696"/>
      <c r="CW776" s="696"/>
      <c r="CZ776" s="3060">
        <f t="shared" si="17"/>
      </c>
      <c r="DA776" s="3060">
        <f t="shared" si="1"/>
      </c>
      <c r="DB776" s="3060">
        <f t="shared" si="18"/>
      </c>
      <c r="DC776" s="3060">
        <f t="shared" si="19"/>
      </c>
      <c r="DD776" s="3060">
        <f t="shared" si="20"/>
      </c>
      <c r="DE776" s="3060">
        <f t="shared" si="21"/>
      </c>
      <c r="DF776" s="3060">
        <f t="shared" si="22"/>
      </c>
      <c r="DG776" s="3060">
        <f t="shared" si="23"/>
      </c>
      <c r="DH776" s="3060">
        <f t="shared" si="24"/>
      </c>
      <c r="DI776" s="3060">
        <f t="shared" si="1"/>
      </c>
    </row>
    <row r="777" ht="15" customHeight="1" s="3052" customFormat="1">
      <c r="B777" s="3054">
        <f t="shared" si="2"/>
      </c>
      <c r="C777" s="3054"/>
      <c r="D777" s="3054"/>
      <c r="E777" s="3055"/>
      <c r="F777" s="3055"/>
      <c r="G777" s="3055"/>
      <c r="H777" s="3055"/>
      <c r="I777" s="3055"/>
      <c r="J777" s="3055"/>
      <c r="K777" s="3055"/>
      <c r="L777" s="3055"/>
      <c r="M777" s="3055"/>
      <c r="N777" s="3055"/>
      <c r="O777" s="3055"/>
      <c r="P777" s="3055"/>
      <c r="Q777" s="3055"/>
      <c r="R777" s="3055">
        <f t="shared" si="3"/>
        <v>0</v>
      </c>
      <c r="S777" s="3055">
        <f t="shared" si="4"/>
        <v>0</v>
      </c>
      <c r="T777" s="3055">
        <f t="shared" si="5"/>
        <v>0</v>
      </c>
      <c r="U777" s="3055">
        <f t="shared" si="6"/>
        <v>0</v>
      </c>
      <c r="V777" s="3055">
        <f t="shared" si="7"/>
        <v>0</v>
      </c>
      <c r="W777" s="3055">
        <f t="shared" si="8"/>
        <v>0</v>
      </c>
      <c r="X777" s="3055">
        <f t="shared" si="9"/>
        <v>0</v>
      </c>
      <c r="Y777" s="3055">
        <f t="shared" si="10"/>
        <v>0</v>
      </c>
      <c r="Z777" s="3055">
        <f t="shared" si="11"/>
        <v>0</v>
      </c>
      <c r="AA777" s="3055">
        <f t="shared" si="12"/>
        <v>0</v>
      </c>
      <c r="AB777" s="3055">
        <f t="shared" si="13"/>
        <v>0</v>
      </c>
      <c r="AC777" s="3055">
        <f t="shared" si="14"/>
        <v>0</v>
      </c>
      <c r="AD777" s="3056"/>
      <c r="AE777" s="3057">
        <f t="shared" si="0"/>
      </c>
      <c r="AF777" s="3054"/>
      <c r="AG777" s="3054"/>
      <c r="AH777" s="3055"/>
      <c r="AI777" s="3055"/>
      <c r="AJ777" s="3055"/>
      <c r="AK777" s="3055"/>
      <c r="AL777" s="3055"/>
      <c r="AM777" s="3055"/>
      <c r="AN777" s="3055"/>
      <c r="AO777" s="3055"/>
      <c r="AP777" s="3055"/>
      <c r="AQ777" s="3055"/>
      <c r="AR777" s="3055"/>
      <c r="AS777" s="3055"/>
      <c r="AT777" s="3055"/>
      <c r="AU777" s="3056"/>
      <c r="AV777" s="3057">
        <f t="shared" si="15"/>
      </c>
      <c r="AW777" s="3054"/>
      <c r="AX777" s="3054"/>
      <c r="AY777" s="3055"/>
      <c r="AZ777" s="3055"/>
      <c r="BA777" s="3055"/>
      <c r="BB777" s="3055"/>
      <c r="BC777" s="3055"/>
      <c r="BD777" s="3055"/>
      <c r="BE777" s="3055"/>
      <c r="BF777" s="3055"/>
      <c r="BG777" s="3055"/>
      <c r="BH777" s="3055"/>
      <c r="BI777" s="3055"/>
      <c r="BJ777" s="3055"/>
      <c r="BK777" s="3055"/>
      <c r="BL777" s="3056"/>
      <c r="BM777" s="3057">
        <f t="shared" si="16"/>
      </c>
      <c r="BN777" s="3054"/>
      <c r="BO777" s="3054"/>
      <c r="BP777" s="3055"/>
      <c r="BQ777" s="3055"/>
      <c r="BR777" s="3055"/>
      <c r="BS777" s="3055"/>
      <c r="BT777" s="3055"/>
      <c r="BU777" s="3055"/>
      <c r="BV777" s="3055"/>
      <c r="BW777" s="3055"/>
      <c r="BX777" s="3055"/>
      <c r="BY777" s="3055"/>
      <c r="BZ777" s="3055"/>
      <c r="CA777" s="3055"/>
      <c r="CB777" s="3055"/>
      <c r="CC777" s="3056"/>
      <c r="CD777" s="3057">
        <f t="shared" si="0"/>
      </c>
      <c r="CE777" s="3054"/>
      <c r="CF777" s="3054"/>
      <c r="CG777" s="3055"/>
      <c r="CH777" s="3055"/>
      <c r="CI777" s="3055"/>
      <c r="CJ777" s="3055"/>
      <c r="CK777" s="3055"/>
      <c r="CL777" s="3055"/>
      <c r="CM777" s="3055"/>
      <c r="CN777" s="3055"/>
      <c r="CO777" s="3055"/>
      <c r="CP777" s="3055"/>
      <c r="CQ777" s="3055"/>
      <c r="CR777" s="3055"/>
      <c r="CS777" s="3055"/>
      <c r="CU777" s="3054"/>
      <c r="CV777" s="696"/>
      <c r="CW777" s="696"/>
      <c r="CZ777" s="3060">
        <f t="shared" si="17"/>
      </c>
      <c r="DA777" s="3060">
        <f t="shared" si="1"/>
      </c>
      <c r="DB777" s="3060">
        <f t="shared" si="18"/>
      </c>
      <c r="DC777" s="3060">
        <f t="shared" si="19"/>
      </c>
      <c r="DD777" s="3060">
        <f t="shared" si="20"/>
      </c>
      <c r="DE777" s="3060">
        <f t="shared" si="21"/>
      </c>
      <c r="DF777" s="3060">
        <f t="shared" si="22"/>
      </c>
      <c r="DG777" s="3060">
        <f t="shared" si="23"/>
      </c>
      <c r="DH777" s="3060">
        <f t="shared" si="24"/>
      </c>
      <c r="DI777" s="3060">
        <f t="shared" si="1"/>
      </c>
    </row>
    <row r="778" ht="15" customHeight="1" s="3052" customFormat="1">
      <c r="B778" s="3054">
        <f t="shared" si="2"/>
      </c>
      <c r="C778" s="3054"/>
      <c r="D778" s="3054"/>
      <c r="E778" s="3055"/>
      <c r="F778" s="3055"/>
      <c r="G778" s="3055"/>
      <c r="H778" s="3055"/>
      <c r="I778" s="3055"/>
      <c r="J778" s="3055"/>
      <c r="K778" s="3055"/>
      <c r="L778" s="3055"/>
      <c r="M778" s="3055"/>
      <c r="N778" s="3055"/>
      <c r="O778" s="3055"/>
      <c r="P778" s="3055"/>
      <c r="Q778" s="3055"/>
      <c r="R778" s="3055">
        <f t="shared" si="3"/>
        <v>0</v>
      </c>
      <c r="S778" s="3055">
        <f t="shared" si="4"/>
        <v>0</v>
      </c>
      <c r="T778" s="3055">
        <f t="shared" si="5"/>
        <v>0</v>
      </c>
      <c r="U778" s="3055">
        <f t="shared" si="6"/>
        <v>0</v>
      </c>
      <c r="V778" s="3055">
        <f t="shared" si="7"/>
        <v>0</v>
      </c>
      <c r="W778" s="3055">
        <f t="shared" si="8"/>
        <v>0</v>
      </c>
      <c r="X778" s="3055">
        <f t="shared" si="9"/>
        <v>0</v>
      </c>
      <c r="Y778" s="3055">
        <f t="shared" si="10"/>
        <v>0</v>
      </c>
      <c r="Z778" s="3055">
        <f t="shared" si="11"/>
        <v>0</v>
      </c>
      <c r="AA778" s="3055">
        <f t="shared" si="12"/>
        <v>0</v>
      </c>
      <c r="AB778" s="3055">
        <f t="shared" si="13"/>
        <v>0</v>
      </c>
      <c r="AC778" s="3055">
        <f t="shared" si="14"/>
        <v>0</v>
      </c>
      <c r="AD778" s="3056"/>
      <c r="AE778" s="3057">
        <f t="shared" si="0"/>
      </c>
      <c r="AF778" s="3054"/>
      <c r="AG778" s="3054"/>
      <c r="AH778" s="3055"/>
      <c r="AI778" s="3055"/>
      <c r="AJ778" s="3055"/>
      <c r="AK778" s="3055"/>
      <c r="AL778" s="3055"/>
      <c r="AM778" s="3055"/>
      <c r="AN778" s="3055"/>
      <c r="AO778" s="3055"/>
      <c r="AP778" s="3055"/>
      <c r="AQ778" s="3055"/>
      <c r="AR778" s="3055"/>
      <c r="AS778" s="3055"/>
      <c r="AT778" s="3055"/>
      <c r="AU778" s="3056"/>
      <c r="AV778" s="3057">
        <f t="shared" si="15"/>
      </c>
      <c r="AW778" s="3054"/>
      <c r="AX778" s="3054"/>
      <c r="AY778" s="3055"/>
      <c r="AZ778" s="3055"/>
      <c r="BA778" s="3055"/>
      <c r="BB778" s="3055"/>
      <c r="BC778" s="3055"/>
      <c r="BD778" s="3055"/>
      <c r="BE778" s="3055"/>
      <c r="BF778" s="3055"/>
      <c r="BG778" s="3055"/>
      <c r="BH778" s="3055"/>
      <c r="BI778" s="3055"/>
      <c r="BJ778" s="3055"/>
      <c r="BK778" s="3055"/>
      <c r="BL778" s="3056"/>
      <c r="BM778" s="3057">
        <f t="shared" si="16"/>
      </c>
      <c r="BN778" s="3054"/>
      <c r="BO778" s="3054"/>
      <c r="BP778" s="3055"/>
      <c r="BQ778" s="3055"/>
      <c r="BR778" s="3055"/>
      <c r="BS778" s="3055"/>
      <c r="BT778" s="3055"/>
      <c r="BU778" s="3055"/>
      <c r="BV778" s="3055"/>
      <c r="BW778" s="3055"/>
      <c r="BX778" s="3055"/>
      <c r="BY778" s="3055"/>
      <c r="BZ778" s="3055"/>
      <c r="CA778" s="3055"/>
      <c r="CB778" s="3055"/>
      <c r="CC778" s="3056"/>
      <c r="CD778" s="3057">
        <f t="shared" si="0"/>
      </c>
      <c r="CE778" s="3054"/>
      <c r="CF778" s="3054"/>
      <c r="CG778" s="3055"/>
      <c r="CH778" s="3055"/>
      <c r="CI778" s="3055"/>
      <c r="CJ778" s="3055"/>
      <c r="CK778" s="3055"/>
      <c r="CL778" s="3055"/>
      <c r="CM778" s="3055"/>
      <c r="CN778" s="3055"/>
      <c r="CO778" s="3055"/>
      <c r="CP778" s="3055"/>
      <c r="CQ778" s="3055"/>
      <c r="CR778" s="3055"/>
      <c r="CS778" s="3055"/>
      <c r="CU778" s="3054"/>
      <c r="CV778" s="696"/>
      <c r="CW778" s="696"/>
      <c r="CZ778" s="3060">
        <f t="shared" si="17"/>
      </c>
      <c r="DA778" s="3060">
        <f t="shared" si="1"/>
      </c>
      <c r="DB778" s="3060">
        <f t="shared" si="18"/>
      </c>
      <c r="DC778" s="3060">
        <f t="shared" si="19"/>
      </c>
      <c r="DD778" s="3060">
        <f t="shared" si="20"/>
      </c>
      <c r="DE778" s="3060">
        <f t="shared" si="21"/>
      </c>
      <c r="DF778" s="3060">
        <f t="shared" si="22"/>
      </c>
      <c r="DG778" s="3060">
        <f t="shared" si="23"/>
      </c>
      <c r="DH778" s="3060">
        <f t="shared" si="24"/>
      </c>
      <c r="DI778" s="3060">
        <f t="shared" si="1"/>
      </c>
    </row>
    <row r="779" ht="15" customHeight="1" s="3052" customFormat="1">
      <c r="B779" s="3054">
        <f t="shared" si="2"/>
      </c>
      <c r="C779" s="3054"/>
      <c r="D779" s="3054"/>
      <c r="E779" s="3055"/>
      <c r="F779" s="3055"/>
      <c r="G779" s="3055"/>
      <c r="H779" s="3055"/>
      <c r="I779" s="3055"/>
      <c r="J779" s="3055"/>
      <c r="K779" s="3055"/>
      <c r="L779" s="3055"/>
      <c r="M779" s="3055"/>
      <c r="N779" s="3055"/>
      <c r="O779" s="3055"/>
      <c r="P779" s="3055"/>
      <c r="Q779" s="3055"/>
      <c r="R779" s="3055">
        <f t="shared" si="3"/>
        <v>0</v>
      </c>
      <c r="S779" s="3055">
        <f t="shared" si="4"/>
        <v>0</v>
      </c>
      <c r="T779" s="3055">
        <f t="shared" si="5"/>
        <v>0</v>
      </c>
      <c r="U779" s="3055">
        <f t="shared" si="6"/>
        <v>0</v>
      </c>
      <c r="V779" s="3055">
        <f t="shared" si="7"/>
        <v>0</v>
      </c>
      <c r="W779" s="3055">
        <f t="shared" si="8"/>
        <v>0</v>
      </c>
      <c r="X779" s="3055">
        <f t="shared" si="9"/>
        <v>0</v>
      </c>
      <c r="Y779" s="3055">
        <f t="shared" si="10"/>
        <v>0</v>
      </c>
      <c r="Z779" s="3055">
        <f t="shared" si="11"/>
        <v>0</v>
      </c>
      <c r="AA779" s="3055">
        <f t="shared" si="12"/>
        <v>0</v>
      </c>
      <c r="AB779" s="3055">
        <f t="shared" si="13"/>
        <v>0</v>
      </c>
      <c r="AC779" s="3055">
        <f t="shared" si="14"/>
        <v>0</v>
      </c>
      <c r="AD779" s="3056"/>
      <c r="AE779" s="3057">
        <f t="shared" si="0"/>
      </c>
      <c r="AF779" s="3054"/>
      <c r="AG779" s="3054"/>
      <c r="AH779" s="3055"/>
      <c r="AI779" s="3055"/>
      <c r="AJ779" s="3055"/>
      <c r="AK779" s="3055"/>
      <c r="AL779" s="3055"/>
      <c r="AM779" s="3055"/>
      <c r="AN779" s="3055"/>
      <c r="AO779" s="3055"/>
      <c r="AP779" s="3055"/>
      <c r="AQ779" s="3055"/>
      <c r="AR779" s="3055"/>
      <c r="AS779" s="3055"/>
      <c r="AT779" s="3055"/>
      <c r="AU779" s="3056"/>
      <c r="AV779" s="3057">
        <f t="shared" si="15"/>
      </c>
      <c r="AW779" s="3054"/>
      <c r="AX779" s="3054"/>
      <c r="AY779" s="3055"/>
      <c r="AZ779" s="3055"/>
      <c r="BA779" s="3055"/>
      <c r="BB779" s="3055"/>
      <c r="BC779" s="3055"/>
      <c r="BD779" s="3055"/>
      <c r="BE779" s="3055"/>
      <c r="BF779" s="3055"/>
      <c r="BG779" s="3055"/>
      <c r="BH779" s="3055"/>
      <c r="BI779" s="3055"/>
      <c r="BJ779" s="3055"/>
      <c r="BK779" s="3055"/>
      <c r="BL779" s="3056"/>
      <c r="BM779" s="3057">
        <f t="shared" si="16"/>
      </c>
      <c r="BN779" s="3054"/>
      <c r="BO779" s="3054"/>
      <c r="BP779" s="3055"/>
      <c r="BQ779" s="3055"/>
      <c r="BR779" s="3055"/>
      <c r="BS779" s="3055"/>
      <c r="BT779" s="3055"/>
      <c r="BU779" s="3055"/>
      <c r="BV779" s="3055"/>
      <c r="BW779" s="3055"/>
      <c r="BX779" s="3055"/>
      <c r="BY779" s="3055"/>
      <c r="BZ779" s="3055"/>
      <c r="CA779" s="3055"/>
      <c r="CB779" s="3055"/>
      <c r="CC779" s="3056"/>
      <c r="CD779" s="3057">
        <f t="shared" si="0"/>
      </c>
      <c r="CE779" s="3054"/>
      <c r="CF779" s="3054"/>
      <c r="CG779" s="3055"/>
      <c r="CH779" s="3055"/>
      <c r="CI779" s="3055"/>
      <c r="CJ779" s="3055"/>
      <c r="CK779" s="3055"/>
      <c r="CL779" s="3055"/>
      <c r="CM779" s="3055"/>
      <c r="CN779" s="3055"/>
      <c r="CO779" s="3055"/>
      <c r="CP779" s="3055"/>
      <c r="CQ779" s="3055"/>
      <c r="CR779" s="3055"/>
      <c r="CS779" s="3055"/>
      <c r="CU779" s="3054"/>
      <c r="CV779" s="696"/>
      <c r="CW779" s="696"/>
      <c r="CZ779" s="3060">
        <f t="shared" si="17"/>
      </c>
      <c r="DA779" s="3060">
        <f t="shared" si="1"/>
      </c>
      <c r="DB779" s="3060">
        <f t="shared" si="18"/>
      </c>
      <c r="DC779" s="3060">
        <f t="shared" si="19"/>
      </c>
      <c r="DD779" s="3060">
        <f t="shared" si="20"/>
      </c>
      <c r="DE779" s="3060">
        <f t="shared" si="21"/>
      </c>
      <c r="DF779" s="3060">
        <f t="shared" si="22"/>
      </c>
      <c r="DG779" s="3060">
        <f t="shared" si="23"/>
      </c>
      <c r="DH779" s="3060">
        <f t="shared" si="24"/>
      </c>
      <c r="DI779" s="3060">
        <f t="shared" si="1"/>
      </c>
    </row>
    <row r="780" ht="15" customHeight="1" s="3052" customFormat="1">
      <c r="B780" s="3054">
        <f t="shared" si="2"/>
      </c>
      <c r="C780" s="3054"/>
      <c r="D780" s="3054"/>
      <c r="E780" s="3055"/>
      <c r="F780" s="3055"/>
      <c r="G780" s="3055"/>
      <c r="H780" s="3055"/>
      <c r="I780" s="3055"/>
      <c r="J780" s="3055"/>
      <c r="K780" s="3055"/>
      <c r="L780" s="3055"/>
      <c r="M780" s="3055"/>
      <c r="N780" s="3055"/>
      <c r="O780" s="3055"/>
      <c r="P780" s="3055"/>
      <c r="Q780" s="3055"/>
      <c r="R780" s="3055">
        <f t="shared" si="3"/>
        <v>0</v>
      </c>
      <c r="S780" s="3055">
        <f t="shared" si="4"/>
        <v>0</v>
      </c>
      <c r="T780" s="3055">
        <f t="shared" si="5"/>
        <v>0</v>
      </c>
      <c r="U780" s="3055">
        <f t="shared" si="6"/>
        <v>0</v>
      </c>
      <c r="V780" s="3055">
        <f t="shared" si="7"/>
        <v>0</v>
      </c>
      <c r="W780" s="3055">
        <f t="shared" si="8"/>
        <v>0</v>
      </c>
      <c r="X780" s="3055">
        <f t="shared" si="9"/>
        <v>0</v>
      </c>
      <c r="Y780" s="3055">
        <f t="shared" si="10"/>
        <v>0</v>
      </c>
      <c r="Z780" s="3055">
        <f t="shared" si="11"/>
        <v>0</v>
      </c>
      <c r="AA780" s="3055">
        <f t="shared" si="12"/>
        <v>0</v>
      </c>
      <c r="AB780" s="3055">
        <f t="shared" si="13"/>
        <v>0</v>
      </c>
      <c r="AC780" s="3055">
        <f t="shared" si="14"/>
        <v>0</v>
      </c>
      <c r="AD780" s="3056"/>
      <c r="AE780" s="3057">
        <f t="shared" si="0"/>
      </c>
      <c r="AF780" s="3054"/>
      <c r="AG780" s="3054"/>
      <c r="AH780" s="3055"/>
      <c r="AI780" s="3055"/>
      <c r="AJ780" s="3055"/>
      <c r="AK780" s="3055"/>
      <c r="AL780" s="3055"/>
      <c r="AM780" s="3055"/>
      <c r="AN780" s="3055"/>
      <c r="AO780" s="3055"/>
      <c r="AP780" s="3055"/>
      <c r="AQ780" s="3055"/>
      <c r="AR780" s="3055"/>
      <c r="AS780" s="3055"/>
      <c r="AT780" s="3055"/>
      <c r="AU780" s="3056"/>
      <c r="AV780" s="3057">
        <f t="shared" si="15"/>
      </c>
      <c r="AW780" s="3054"/>
      <c r="AX780" s="3054"/>
      <c r="AY780" s="3055"/>
      <c r="AZ780" s="3055"/>
      <c r="BA780" s="3055"/>
      <c r="BB780" s="3055"/>
      <c r="BC780" s="3055"/>
      <c r="BD780" s="3055"/>
      <c r="BE780" s="3055"/>
      <c r="BF780" s="3055"/>
      <c r="BG780" s="3055"/>
      <c r="BH780" s="3055"/>
      <c r="BI780" s="3055"/>
      <c r="BJ780" s="3055"/>
      <c r="BK780" s="3055"/>
      <c r="BL780" s="3056"/>
      <c r="BM780" s="3057">
        <f t="shared" si="16"/>
      </c>
      <c r="BN780" s="3054"/>
      <c r="BO780" s="3054"/>
      <c r="BP780" s="3055"/>
      <c r="BQ780" s="3055"/>
      <c r="BR780" s="3055"/>
      <c r="BS780" s="3055"/>
      <c r="BT780" s="3055"/>
      <c r="BU780" s="3055"/>
      <c r="BV780" s="3055"/>
      <c r="BW780" s="3055"/>
      <c r="BX780" s="3055"/>
      <c r="BY780" s="3055"/>
      <c r="BZ780" s="3055"/>
      <c r="CA780" s="3055"/>
      <c r="CB780" s="3055"/>
      <c r="CC780" s="3056"/>
      <c r="CD780" s="3057">
        <f t="shared" si="0"/>
      </c>
      <c r="CE780" s="3054"/>
      <c r="CF780" s="3054"/>
      <c r="CG780" s="3055"/>
      <c r="CH780" s="3055"/>
      <c r="CI780" s="3055"/>
      <c r="CJ780" s="3055"/>
      <c r="CK780" s="3055"/>
      <c r="CL780" s="3055"/>
      <c r="CM780" s="3055"/>
      <c r="CN780" s="3055"/>
      <c r="CO780" s="3055"/>
      <c r="CP780" s="3055"/>
      <c r="CQ780" s="3055"/>
      <c r="CR780" s="3055"/>
      <c r="CS780" s="3055"/>
      <c r="CU780" s="3054"/>
      <c r="CV780" s="696"/>
      <c r="CW780" s="696"/>
      <c r="CZ780" s="3060">
        <f t="shared" si="17"/>
      </c>
      <c r="DA780" s="3060">
        <f t="shared" si="1"/>
      </c>
      <c r="DB780" s="3060">
        <f t="shared" si="18"/>
      </c>
      <c r="DC780" s="3060">
        <f t="shared" si="19"/>
      </c>
      <c r="DD780" s="3060">
        <f t="shared" si="20"/>
      </c>
      <c r="DE780" s="3060">
        <f t="shared" si="21"/>
      </c>
      <c r="DF780" s="3060">
        <f t="shared" si="22"/>
      </c>
      <c r="DG780" s="3060">
        <f t="shared" si="23"/>
      </c>
      <c r="DH780" s="3060">
        <f t="shared" si="24"/>
      </c>
      <c r="DI780" s="3060">
        <f t="shared" si="1"/>
      </c>
    </row>
    <row r="781" ht="15" customHeight="1" s="3052" customFormat="1">
      <c r="B781" s="3054">
        <f t="shared" si="2"/>
      </c>
      <c r="C781" s="3054"/>
      <c r="D781" s="3054"/>
      <c r="E781" s="3055"/>
      <c r="F781" s="3055"/>
      <c r="G781" s="3055"/>
      <c r="H781" s="3055"/>
      <c r="I781" s="3055"/>
      <c r="J781" s="3055"/>
      <c r="K781" s="3055"/>
      <c r="L781" s="3055"/>
      <c r="M781" s="3055"/>
      <c r="N781" s="3055"/>
      <c r="O781" s="3055"/>
      <c r="P781" s="3055"/>
      <c r="Q781" s="3055"/>
      <c r="R781" s="3055">
        <f t="shared" si="3"/>
        <v>0</v>
      </c>
      <c r="S781" s="3055">
        <f t="shared" si="4"/>
        <v>0</v>
      </c>
      <c r="T781" s="3055">
        <f t="shared" si="5"/>
        <v>0</v>
      </c>
      <c r="U781" s="3055">
        <f t="shared" si="6"/>
        <v>0</v>
      </c>
      <c r="V781" s="3055">
        <f t="shared" si="7"/>
        <v>0</v>
      </c>
      <c r="W781" s="3055">
        <f t="shared" si="8"/>
        <v>0</v>
      </c>
      <c r="X781" s="3055">
        <f t="shared" si="9"/>
        <v>0</v>
      </c>
      <c r="Y781" s="3055">
        <f t="shared" si="10"/>
        <v>0</v>
      </c>
      <c r="Z781" s="3055">
        <f t="shared" si="11"/>
        <v>0</v>
      </c>
      <c r="AA781" s="3055">
        <f t="shared" si="12"/>
        <v>0</v>
      </c>
      <c r="AB781" s="3055">
        <f t="shared" si="13"/>
        <v>0</v>
      </c>
      <c r="AC781" s="3055">
        <f t="shared" si="14"/>
        <v>0</v>
      </c>
      <c r="AD781" s="3056"/>
      <c r="AE781" s="3057">
        <f t="shared" si="0"/>
      </c>
      <c r="AF781" s="3054"/>
      <c r="AG781" s="3054"/>
      <c r="AH781" s="3055"/>
      <c r="AI781" s="3055"/>
      <c r="AJ781" s="3055"/>
      <c r="AK781" s="3055"/>
      <c r="AL781" s="3055"/>
      <c r="AM781" s="3055"/>
      <c r="AN781" s="3055"/>
      <c r="AO781" s="3055"/>
      <c r="AP781" s="3055"/>
      <c r="AQ781" s="3055"/>
      <c r="AR781" s="3055"/>
      <c r="AS781" s="3055"/>
      <c r="AT781" s="3055"/>
      <c r="AU781" s="3056"/>
      <c r="AV781" s="3057">
        <f t="shared" si="15"/>
      </c>
      <c r="AW781" s="3054"/>
      <c r="AX781" s="3054"/>
      <c r="AY781" s="3055"/>
      <c r="AZ781" s="3055"/>
      <c r="BA781" s="3055"/>
      <c r="BB781" s="3055"/>
      <c r="BC781" s="3055"/>
      <c r="BD781" s="3055"/>
      <c r="BE781" s="3055"/>
      <c r="BF781" s="3055"/>
      <c r="BG781" s="3055"/>
      <c r="BH781" s="3055"/>
      <c r="BI781" s="3055"/>
      <c r="BJ781" s="3055"/>
      <c r="BK781" s="3055"/>
      <c r="BL781" s="3056"/>
      <c r="BM781" s="3057">
        <f t="shared" si="16"/>
      </c>
      <c r="BN781" s="3054"/>
      <c r="BO781" s="3054"/>
      <c r="BP781" s="3055"/>
      <c r="BQ781" s="3055"/>
      <c r="BR781" s="3055"/>
      <c r="BS781" s="3055"/>
      <c r="BT781" s="3055"/>
      <c r="BU781" s="3055"/>
      <c r="BV781" s="3055"/>
      <c r="BW781" s="3055"/>
      <c r="BX781" s="3055"/>
      <c r="BY781" s="3055"/>
      <c r="BZ781" s="3055"/>
      <c r="CA781" s="3055"/>
      <c r="CB781" s="3055"/>
      <c r="CC781" s="3056"/>
      <c r="CD781" s="3057">
        <f t="shared" si="0"/>
      </c>
      <c r="CE781" s="3054"/>
      <c r="CF781" s="3054"/>
      <c r="CG781" s="3055"/>
      <c r="CH781" s="3055"/>
      <c r="CI781" s="3055"/>
      <c r="CJ781" s="3055"/>
      <c r="CK781" s="3055"/>
      <c r="CL781" s="3055"/>
      <c r="CM781" s="3055"/>
      <c r="CN781" s="3055"/>
      <c r="CO781" s="3055"/>
      <c r="CP781" s="3055"/>
      <c r="CQ781" s="3055"/>
      <c r="CR781" s="3055"/>
      <c r="CS781" s="3055"/>
      <c r="CU781" s="3054"/>
      <c r="CV781" s="696"/>
      <c r="CW781" s="696"/>
      <c r="CZ781" s="3060">
        <f t="shared" si="17"/>
      </c>
      <c r="DA781" s="3060">
        <f t="shared" si="1"/>
      </c>
      <c r="DB781" s="3060">
        <f t="shared" si="18"/>
      </c>
      <c r="DC781" s="3060">
        <f t="shared" si="19"/>
      </c>
      <c r="DD781" s="3060">
        <f t="shared" si="20"/>
      </c>
      <c r="DE781" s="3060">
        <f t="shared" si="21"/>
      </c>
      <c r="DF781" s="3060">
        <f t="shared" si="22"/>
      </c>
      <c r="DG781" s="3060">
        <f t="shared" si="23"/>
      </c>
      <c r="DH781" s="3060">
        <f t="shared" si="24"/>
      </c>
      <c r="DI781" s="3060">
        <f t="shared" si="1"/>
      </c>
    </row>
    <row r="782" ht="15" customHeight="1" s="3052" customFormat="1">
      <c r="B782" s="3054">
        <f t="shared" si="2"/>
      </c>
      <c r="C782" s="3054"/>
      <c r="D782" s="3054"/>
      <c r="E782" s="3055"/>
      <c r="F782" s="3055"/>
      <c r="G782" s="3055"/>
      <c r="H782" s="3055"/>
      <c r="I782" s="3055"/>
      <c r="J782" s="3055"/>
      <c r="K782" s="3055"/>
      <c r="L782" s="3055"/>
      <c r="M782" s="3055"/>
      <c r="N782" s="3055"/>
      <c r="O782" s="3055"/>
      <c r="P782" s="3055"/>
      <c r="Q782" s="3055"/>
      <c r="R782" s="3055">
        <f t="shared" si="3"/>
        <v>0</v>
      </c>
      <c r="S782" s="3055">
        <f t="shared" si="4"/>
        <v>0</v>
      </c>
      <c r="T782" s="3055">
        <f t="shared" si="5"/>
        <v>0</v>
      </c>
      <c r="U782" s="3055">
        <f t="shared" si="6"/>
        <v>0</v>
      </c>
      <c r="V782" s="3055">
        <f t="shared" si="7"/>
        <v>0</v>
      </c>
      <c r="W782" s="3055">
        <f t="shared" si="8"/>
        <v>0</v>
      </c>
      <c r="X782" s="3055">
        <f t="shared" si="9"/>
        <v>0</v>
      </c>
      <c r="Y782" s="3055">
        <f t="shared" si="10"/>
        <v>0</v>
      </c>
      <c r="Z782" s="3055">
        <f t="shared" si="11"/>
        <v>0</v>
      </c>
      <c r="AA782" s="3055">
        <f t="shared" si="12"/>
        <v>0</v>
      </c>
      <c r="AB782" s="3055">
        <f t="shared" si="13"/>
        <v>0</v>
      </c>
      <c r="AC782" s="3055">
        <f t="shared" si="14"/>
        <v>0</v>
      </c>
      <c r="AD782" s="3056"/>
      <c r="AE782" s="3057">
        <f t="shared" si="0"/>
      </c>
      <c r="AF782" s="3054"/>
      <c r="AG782" s="3054"/>
      <c r="AH782" s="3055"/>
      <c r="AI782" s="3055"/>
      <c r="AJ782" s="3055"/>
      <c r="AK782" s="3055"/>
      <c r="AL782" s="3055"/>
      <c r="AM782" s="3055"/>
      <c r="AN782" s="3055"/>
      <c r="AO782" s="3055"/>
      <c r="AP782" s="3055"/>
      <c r="AQ782" s="3055"/>
      <c r="AR782" s="3055"/>
      <c r="AS782" s="3055"/>
      <c r="AT782" s="3055"/>
      <c r="AU782" s="3056"/>
      <c r="AV782" s="3057">
        <f t="shared" si="15"/>
      </c>
      <c r="AW782" s="3054"/>
      <c r="AX782" s="3054"/>
      <c r="AY782" s="3055"/>
      <c r="AZ782" s="3055"/>
      <c r="BA782" s="3055"/>
      <c r="BB782" s="3055"/>
      <c r="BC782" s="3055"/>
      <c r="BD782" s="3055"/>
      <c r="BE782" s="3055"/>
      <c r="BF782" s="3055"/>
      <c r="BG782" s="3055"/>
      <c r="BH782" s="3055"/>
      <c r="BI782" s="3055"/>
      <c r="BJ782" s="3055"/>
      <c r="BK782" s="3055"/>
      <c r="BL782" s="3056"/>
      <c r="BM782" s="3057">
        <f t="shared" si="16"/>
      </c>
      <c r="BN782" s="3054"/>
      <c r="BO782" s="3054"/>
      <c r="BP782" s="3055"/>
      <c r="BQ782" s="3055"/>
      <c r="BR782" s="3055"/>
      <c r="BS782" s="3055"/>
      <c r="BT782" s="3055"/>
      <c r="BU782" s="3055"/>
      <c r="BV782" s="3055"/>
      <c r="BW782" s="3055"/>
      <c r="BX782" s="3055"/>
      <c r="BY782" s="3055"/>
      <c r="BZ782" s="3055"/>
      <c r="CA782" s="3055"/>
      <c r="CB782" s="3055"/>
      <c r="CC782" s="3056"/>
      <c r="CD782" s="3057">
        <f t="shared" si="0"/>
      </c>
      <c r="CE782" s="3054"/>
      <c r="CF782" s="3054"/>
      <c r="CG782" s="3055"/>
      <c r="CH782" s="3055"/>
      <c r="CI782" s="3055"/>
      <c r="CJ782" s="3055"/>
      <c r="CK782" s="3055"/>
      <c r="CL782" s="3055"/>
      <c r="CM782" s="3055"/>
      <c r="CN782" s="3055"/>
      <c r="CO782" s="3055"/>
      <c r="CP782" s="3055"/>
      <c r="CQ782" s="3055"/>
      <c r="CR782" s="3055"/>
      <c r="CS782" s="3055"/>
      <c r="CU782" s="3054"/>
      <c r="CV782" s="696"/>
      <c r="CW782" s="696"/>
      <c r="CZ782" s="3060">
        <f t="shared" si="17"/>
      </c>
      <c r="DA782" s="3060">
        <f t="shared" si="1"/>
      </c>
      <c r="DB782" s="3060">
        <f t="shared" si="18"/>
      </c>
      <c r="DC782" s="3060">
        <f t="shared" si="19"/>
      </c>
      <c r="DD782" s="3060">
        <f t="shared" si="20"/>
      </c>
      <c r="DE782" s="3060">
        <f t="shared" si="21"/>
      </c>
      <c r="DF782" s="3060">
        <f t="shared" si="22"/>
      </c>
      <c r="DG782" s="3060">
        <f t="shared" si="23"/>
      </c>
      <c r="DH782" s="3060">
        <f t="shared" si="24"/>
      </c>
      <c r="DI782" s="3060">
        <f t="shared" si="1"/>
      </c>
    </row>
    <row r="783" ht="15" customHeight="1" s="3052" customFormat="1">
      <c r="B783" s="3054">
        <f t="shared" si="2"/>
      </c>
      <c r="C783" s="3054"/>
      <c r="D783" s="3054"/>
      <c r="E783" s="3055"/>
      <c r="F783" s="3055"/>
      <c r="G783" s="3055"/>
      <c r="H783" s="3055"/>
      <c r="I783" s="3055"/>
      <c r="J783" s="3055"/>
      <c r="K783" s="3055"/>
      <c r="L783" s="3055"/>
      <c r="M783" s="3055"/>
      <c r="N783" s="3055"/>
      <c r="O783" s="3055"/>
      <c r="P783" s="3055"/>
      <c r="Q783" s="3055"/>
      <c r="R783" s="3055">
        <f t="shared" si="3"/>
        <v>0</v>
      </c>
      <c r="S783" s="3055">
        <f t="shared" si="4"/>
        <v>0</v>
      </c>
      <c r="T783" s="3055">
        <f t="shared" si="5"/>
        <v>0</v>
      </c>
      <c r="U783" s="3055">
        <f t="shared" si="6"/>
        <v>0</v>
      </c>
      <c r="V783" s="3055">
        <f t="shared" si="7"/>
        <v>0</v>
      </c>
      <c r="W783" s="3055">
        <f t="shared" si="8"/>
        <v>0</v>
      </c>
      <c r="X783" s="3055">
        <f t="shared" si="9"/>
        <v>0</v>
      </c>
      <c r="Y783" s="3055">
        <f t="shared" si="10"/>
        <v>0</v>
      </c>
      <c r="Z783" s="3055">
        <f t="shared" si="11"/>
        <v>0</v>
      </c>
      <c r="AA783" s="3055">
        <f t="shared" si="12"/>
        <v>0</v>
      </c>
      <c r="AB783" s="3055">
        <f t="shared" si="13"/>
        <v>0</v>
      </c>
      <c r="AC783" s="3055">
        <f t="shared" si="14"/>
        <v>0</v>
      </c>
      <c r="AD783" s="3056"/>
      <c r="AE783" s="3057">
        <f t="shared" si="0"/>
      </c>
      <c r="AF783" s="3054"/>
      <c r="AG783" s="3054"/>
      <c r="AH783" s="3055"/>
      <c r="AI783" s="3055"/>
      <c r="AJ783" s="3055"/>
      <c r="AK783" s="3055"/>
      <c r="AL783" s="3055"/>
      <c r="AM783" s="3055"/>
      <c r="AN783" s="3055"/>
      <c r="AO783" s="3055"/>
      <c r="AP783" s="3055"/>
      <c r="AQ783" s="3055"/>
      <c r="AR783" s="3055"/>
      <c r="AS783" s="3055"/>
      <c r="AT783" s="3055"/>
      <c r="AU783" s="3056"/>
      <c r="AV783" s="3057">
        <f t="shared" si="15"/>
      </c>
      <c r="AW783" s="3054"/>
      <c r="AX783" s="3054"/>
      <c r="AY783" s="3055"/>
      <c r="AZ783" s="3055"/>
      <c r="BA783" s="3055"/>
      <c r="BB783" s="3055"/>
      <c r="BC783" s="3055"/>
      <c r="BD783" s="3055"/>
      <c r="BE783" s="3055"/>
      <c r="BF783" s="3055"/>
      <c r="BG783" s="3055"/>
      <c r="BH783" s="3055"/>
      <c r="BI783" s="3055"/>
      <c r="BJ783" s="3055"/>
      <c r="BK783" s="3055"/>
      <c r="BL783" s="3056"/>
      <c r="BM783" s="3057">
        <f t="shared" si="16"/>
      </c>
      <c r="BN783" s="3054"/>
      <c r="BO783" s="3054"/>
      <c r="BP783" s="3055"/>
      <c r="BQ783" s="3055"/>
      <c r="BR783" s="3055"/>
      <c r="BS783" s="3055"/>
      <c r="BT783" s="3055"/>
      <c r="BU783" s="3055"/>
      <c r="BV783" s="3055"/>
      <c r="BW783" s="3055"/>
      <c r="BX783" s="3055"/>
      <c r="BY783" s="3055"/>
      <c r="BZ783" s="3055"/>
      <c r="CA783" s="3055"/>
      <c r="CB783" s="3055"/>
      <c r="CC783" s="3056"/>
      <c r="CD783" s="3057">
        <f t="shared" si="0"/>
      </c>
      <c r="CE783" s="3054"/>
      <c r="CF783" s="3054"/>
      <c r="CG783" s="3055"/>
      <c r="CH783" s="3055"/>
      <c r="CI783" s="3055"/>
      <c r="CJ783" s="3055"/>
      <c r="CK783" s="3055"/>
      <c r="CL783" s="3055"/>
      <c r="CM783" s="3055"/>
      <c r="CN783" s="3055"/>
      <c r="CO783" s="3055"/>
      <c r="CP783" s="3055"/>
      <c r="CQ783" s="3055"/>
      <c r="CR783" s="3055"/>
      <c r="CS783" s="3055"/>
      <c r="CU783" s="3054"/>
      <c r="CV783" s="696"/>
      <c r="CW783" s="696"/>
      <c r="CZ783" s="3060">
        <f t="shared" si="17"/>
      </c>
      <c r="DA783" s="3060">
        <f t="shared" si="1"/>
      </c>
      <c r="DB783" s="3060">
        <f t="shared" si="18"/>
      </c>
      <c r="DC783" s="3060">
        <f t="shared" si="19"/>
      </c>
      <c r="DD783" s="3060">
        <f t="shared" si="20"/>
      </c>
      <c r="DE783" s="3060">
        <f t="shared" si="21"/>
      </c>
      <c r="DF783" s="3060">
        <f t="shared" si="22"/>
      </c>
      <c r="DG783" s="3060">
        <f t="shared" si="23"/>
      </c>
      <c r="DH783" s="3060">
        <f t="shared" si="24"/>
      </c>
      <c r="DI783" s="3060">
        <f t="shared" si="1"/>
      </c>
    </row>
    <row r="784" ht="15" customHeight="1" s="3052" customFormat="1">
      <c r="B784" s="3054">
        <f t="shared" si="2"/>
      </c>
      <c r="C784" s="3054"/>
      <c r="D784" s="3054"/>
      <c r="E784" s="3055"/>
      <c r="F784" s="3055"/>
      <c r="G784" s="3055"/>
      <c r="H784" s="3055"/>
      <c r="I784" s="3055"/>
      <c r="J784" s="3055"/>
      <c r="K784" s="3055"/>
      <c r="L784" s="3055"/>
      <c r="M784" s="3055"/>
      <c r="N784" s="3055"/>
      <c r="O784" s="3055"/>
      <c r="P784" s="3055"/>
      <c r="Q784" s="3055"/>
      <c r="R784" s="3055">
        <f t="shared" si="3"/>
        <v>0</v>
      </c>
      <c r="S784" s="3055">
        <f t="shared" si="4"/>
        <v>0</v>
      </c>
      <c r="T784" s="3055">
        <f t="shared" si="5"/>
        <v>0</v>
      </c>
      <c r="U784" s="3055">
        <f t="shared" si="6"/>
        <v>0</v>
      </c>
      <c r="V784" s="3055">
        <f t="shared" si="7"/>
        <v>0</v>
      </c>
      <c r="W784" s="3055">
        <f t="shared" si="8"/>
        <v>0</v>
      </c>
      <c r="X784" s="3055">
        <f t="shared" si="9"/>
        <v>0</v>
      </c>
      <c r="Y784" s="3055">
        <f t="shared" si="10"/>
        <v>0</v>
      </c>
      <c r="Z784" s="3055">
        <f t="shared" si="11"/>
        <v>0</v>
      </c>
      <c r="AA784" s="3055">
        <f t="shared" si="12"/>
        <v>0</v>
      </c>
      <c r="AB784" s="3055">
        <f t="shared" si="13"/>
        <v>0</v>
      </c>
      <c r="AC784" s="3055">
        <f t="shared" si="14"/>
        <v>0</v>
      </c>
      <c r="AD784" s="3056"/>
      <c r="AE784" s="3057">
        <f t="shared" si="0"/>
      </c>
      <c r="AF784" s="3054"/>
      <c r="AG784" s="3054"/>
      <c r="AH784" s="3055"/>
      <c r="AI784" s="3055"/>
      <c r="AJ784" s="3055"/>
      <c r="AK784" s="3055"/>
      <c r="AL784" s="3055"/>
      <c r="AM784" s="3055"/>
      <c r="AN784" s="3055"/>
      <c r="AO784" s="3055"/>
      <c r="AP784" s="3055"/>
      <c r="AQ784" s="3055"/>
      <c r="AR784" s="3055"/>
      <c r="AS784" s="3055"/>
      <c r="AT784" s="3055"/>
      <c r="AU784" s="3056"/>
      <c r="AV784" s="3057">
        <f t="shared" si="15"/>
      </c>
      <c r="AW784" s="3054"/>
      <c r="AX784" s="3054"/>
      <c r="AY784" s="3055"/>
      <c r="AZ784" s="3055"/>
      <c r="BA784" s="3055"/>
      <c r="BB784" s="3055"/>
      <c r="BC784" s="3055"/>
      <c r="BD784" s="3055"/>
      <c r="BE784" s="3055"/>
      <c r="BF784" s="3055"/>
      <c r="BG784" s="3055"/>
      <c r="BH784" s="3055"/>
      <c r="BI784" s="3055"/>
      <c r="BJ784" s="3055"/>
      <c r="BK784" s="3055"/>
      <c r="BL784" s="3056"/>
      <c r="BM784" s="3057">
        <f t="shared" si="16"/>
      </c>
      <c r="BN784" s="3054"/>
      <c r="BO784" s="3054"/>
      <c r="BP784" s="3055"/>
      <c r="BQ784" s="3055"/>
      <c r="BR784" s="3055"/>
      <c r="BS784" s="3055"/>
      <c r="BT784" s="3055"/>
      <c r="BU784" s="3055"/>
      <c r="BV784" s="3055"/>
      <c r="BW784" s="3055"/>
      <c r="BX784" s="3055"/>
      <c r="BY784" s="3055"/>
      <c r="BZ784" s="3055"/>
      <c r="CA784" s="3055"/>
      <c r="CB784" s="3055"/>
      <c r="CC784" s="3056"/>
      <c r="CD784" s="3057">
        <f t="shared" si="0"/>
      </c>
      <c r="CE784" s="3054"/>
      <c r="CF784" s="3054"/>
      <c r="CG784" s="3055"/>
      <c r="CH784" s="3055"/>
      <c r="CI784" s="3055"/>
      <c r="CJ784" s="3055"/>
      <c r="CK784" s="3055"/>
      <c r="CL784" s="3055"/>
      <c r="CM784" s="3055"/>
      <c r="CN784" s="3055"/>
      <c r="CO784" s="3055"/>
      <c r="CP784" s="3055"/>
      <c r="CQ784" s="3055"/>
      <c r="CR784" s="3055"/>
      <c r="CS784" s="3055"/>
      <c r="CU784" s="3054"/>
      <c r="CV784" s="696"/>
      <c r="CW784" s="696"/>
      <c r="CZ784" s="3060">
        <f t="shared" si="17"/>
      </c>
      <c r="DA784" s="3060">
        <f t="shared" si="1"/>
      </c>
      <c r="DB784" s="3060">
        <f t="shared" si="18"/>
      </c>
      <c r="DC784" s="3060">
        <f t="shared" si="19"/>
      </c>
      <c r="DD784" s="3060">
        <f t="shared" si="20"/>
      </c>
      <c r="DE784" s="3060">
        <f t="shared" si="21"/>
      </c>
      <c r="DF784" s="3060">
        <f t="shared" si="22"/>
      </c>
      <c r="DG784" s="3060">
        <f t="shared" si="23"/>
      </c>
      <c r="DH784" s="3060">
        <f t="shared" si="24"/>
      </c>
      <c r="DI784" s="3060">
        <f t="shared" si="1"/>
      </c>
    </row>
    <row r="785" ht="15" customHeight="1" s="3052" customFormat="1">
      <c r="B785" s="3054">
        <f t="shared" si="2"/>
      </c>
      <c r="C785" s="3054"/>
      <c r="D785" s="3054"/>
      <c r="E785" s="3055"/>
      <c r="F785" s="3055"/>
      <c r="G785" s="3055"/>
      <c r="H785" s="3055"/>
      <c r="I785" s="3055"/>
      <c r="J785" s="3055"/>
      <c r="K785" s="3055"/>
      <c r="L785" s="3055"/>
      <c r="M785" s="3055"/>
      <c r="N785" s="3055"/>
      <c r="O785" s="3055"/>
      <c r="P785" s="3055"/>
      <c r="Q785" s="3055"/>
      <c r="R785" s="3055">
        <f t="shared" si="3"/>
        <v>0</v>
      </c>
      <c r="S785" s="3055">
        <f t="shared" si="4"/>
        <v>0</v>
      </c>
      <c r="T785" s="3055">
        <f t="shared" si="5"/>
        <v>0</v>
      </c>
      <c r="U785" s="3055">
        <f t="shared" si="6"/>
        <v>0</v>
      </c>
      <c r="V785" s="3055">
        <f t="shared" si="7"/>
        <v>0</v>
      </c>
      <c r="W785" s="3055">
        <f t="shared" si="8"/>
        <v>0</v>
      </c>
      <c r="X785" s="3055">
        <f t="shared" si="9"/>
        <v>0</v>
      </c>
      <c r="Y785" s="3055">
        <f t="shared" si="10"/>
        <v>0</v>
      </c>
      <c r="Z785" s="3055">
        <f t="shared" si="11"/>
        <v>0</v>
      </c>
      <c r="AA785" s="3055">
        <f t="shared" si="12"/>
        <v>0</v>
      </c>
      <c r="AB785" s="3055">
        <f t="shared" si="13"/>
        <v>0</v>
      </c>
      <c r="AC785" s="3055">
        <f t="shared" si="14"/>
        <v>0</v>
      </c>
      <c r="AD785" s="3056"/>
      <c r="AE785" s="3057">
        <f t="shared" si="0"/>
      </c>
      <c r="AF785" s="3054"/>
      <c r="AG785" s="3054"/>
      <c r="AH785" s="3055"/>
      <c r="AI785" s="3055"/>
      <c r="AJ785" s="3055"/>
      <c r="AK785" s="3055"/>
      <c r="AL785" s="3055"/>
      <c r="AM785" s="3055"/>
      <c r="AN785" s="3055"/>
      <c r="AO785" s="3055"/>
      <c r="AP785" s="3055"/>
      <c r="AQ785" s="3055"/>
      <c r="AR785" s="3055"/>
      <c r="AS785" s="3055"/>
      <c r="AT785" s="3055"/>
      <c r="AU785" s="3056"/>
      <c r="AV785" s="3057">
        <f t="shared" si="15"/>
      </c>
      <c r="AW785" s="3054"/>
      <c r="AX785" s="3054"/>
      <c r="AY785" s="3055"/>
      <c r="AZ785" s="3055"/>
      <c r="BA785" s="3055"/>
      <c r="BB785" s="3055"/>
      <c r="BC785" s="3055"/>
      <c r="BD785" s="3055"/>
      <c r="BE785" s="3055"/>
      <c r="BF785" s="3055"/>
      <c r="BG785" s="3055"/>
      <c r="BH785" s="3055"/>
      <c r="BI785" s="3055"/>
      <c r="BJ785" s="3055"/>
      <c r="BK785" s="3055"/>
      <c r="BL785" s="3056"/>
      <c r="BM785" s="3057">
        <f t="shared" si="16"/>
      </c>
      <c r="BN785" s="3054"/>
      <c r="BO785" s="3054"/>
      <c r="BP785" s="3055"/>
      <c r="BQ785" s="3055"/>
      <c r="BR785" s="3055"/>
      <c r="BS785" s="3055"/>
      <c r="BT785" s="3055"/>
      <c r="BU785" s="3055"/>
      <c r="BV785" s="3055"/>
      <c r="BW785" s="3055"/>
      <c r="BX785" s="3055"/>
      <c r="BY785" s="3055"/>
      <c r="BZ785" s="3055"/>
      <c r="CA785" s="3055"/>
      <c r="CB785" s="3055"/>
      <c r="CC785" s="3056"/>
      <c r="CD785" s="3057">
        <f t="shared" si="0"/>
      </c>
      <c r="CE785" s="3054"/>
      <c r="CF785" s="3054"/>
      <c r="CG785" s="3055"/>
      <c r="CH785" s="3055"/>
      <c r="CI785" s="3055"/>
      <c r="CJ785" s="3055"/>
      <c r="CK785" s="3055"/>
      <c r="CL785" s="3055"/>
      <c r="CM785" s="3055"/>
      <c r="CN785" s="3055"/>
      <c r="CO785" s="3055"/>
      <c r="CP785" s="3055"/>
      <c r="CQ785" s="3055"/>
      <c r="CR785" s="3055"/>
      <c r="CS785" s="3055"/>
      <c r="CU785" s="3054"/>
      <c r="CV785" s="696"/>
      <c r="CW785" s="696"/>
      <c r="CZ785" s="3060">
        <f t="shared" si="17"/>
      </c>
      <c r="DA785" s="3060">
        <f t="shared" si="1"/>
      </c>
      <c r="DB785" s="3060">
        <f t="shared" si="18"/>
      </c>
      <c r="DC785" s="3060">
        <f t="shared" si="19"/>
      </c>
      <c r="DD785" s="3060">
        <f t="shared" si="20"/>
      </c>
      <c r="DE785" s="3060">
        <f t="shared" si="21"/>
      </c>
      <c r="DF785" s="3060">
        <f t="shared" si="22"/>
      </c>
      <c r="DG785" s="3060">
        <f t="shared" si="23"/>
      </c>
      <c r="DH785" s="3060">
        <f t="shared" si="24"/>
      </c>
      <c r="DI785" s="3060">
        <f t="shared" si="1"/>
      </c>
    </row>
    <row r="786" ht="15" customHeight="1" s="3052" customFormat="1">
      <c r="B786" s="3054">
        <f t="shared" si="2"/>
      </c>
      <c r="C786" s="3054"/>
      <c r="D786" s="3054"/>
      <c r="E786" s="3055"/>
      <c r="F786" s="3055"/>
      <c r="G786" s="3055"/>
      <c r="H786" s="3055"/>
      <c r="I786" s="3055"/>
      <c r="J786" s="3055"/>
      <c r="K786" s="3055"/>
      <c r="L786" s="3055"/>
      <c r="M786" s="3055"/>
      <c r="N786" s="3055"/>
      <c r="O786" s="3055"/>
      <c r="P786" s="3055"/>
      <c r="Q786" s="3055"/>
      <c r="R786" s="3055">
        <f t="shared" si="3"/>
        <v>0</v>
      </c>
      <c r="S786" s="3055">
        <f t="shared" si="4"/>
        <v>0</v>
      </c>
      <c r="T786" s="3055">
        <f t="shared" si="5"/>
        <v>0</v>
      </c>
      <c r="U786" s="3055">
        <f t="shared" si="6"/>
        <v>0</v>
      </c>
      <c r="V786" s="3055">
        <f t="shared" si="7"/>
        <v>0</v>
      </c>
      <c r="W786" s="3055">
        <f t="shared" si="8"/>
        <v>0</v>
      </c>
      <c r="X786" s="3055">
        <f t="shared" si="9"/>
        <v>0</v>
      </c>
      <c r="Y786" s="3055">
        <f t="shared" si="10"/>
        <v>0</v>
      </c>
      <c r="Z786" s="3055">
        <f t="shared" si="11"/>
        <v>0</v>
      </c>
      <c r="AA786" s="3055">
        <f t="shared" si="12"/>
        <v>0</v>
      </c>
      <c r="AB786" s="3055">
        <f t="shared" si="13"/>
        <v>0</v>
      </c>
      <c r="AC786" s="3055">
        <f t="shared" si="14"/>
        <v>0</v>
      </c>
      <c r="AD786" s="3056"/>
      <c r="AE786" s="3057">
        <f t="shared" si="0"/>
      </c>
      <c r="AF786" s="3054"/>
      <c r="AG786" s="3054"/>
      <c r="AH786" s="3055"/>
      <c r="AI786" s="3055"/>
      <c r="AJ786" s="3055"/>
      <c r="AK786" s="3055"/>
      <c r="AL786" s="3055"/>
      <c r="AM786" s="3055"/>
      <c r="AN786" s="3055"/>
      <c r="AO786" s="3055"/>
      <c r="AP786" s="3055"/>
      <c r="AQ786" s="3055"/>
      <c r="AR786" s="3055"/>
      <c r="AS786" s="3055"/>
      <c r="AT786" s="3055"/>
      <c r="AU786" s="3056"/>
      <c r="AV786" s="3057">
        <f t="shared" si="15"/>
      </c>
      <c r="AW786" s="3054"/>
      <c r="AX786" s="3054"/>
      <c r="AY786" s="3055"/>
      <c r="AZ786" s="3055"/>
      <c r="BA786" s="3055"/>
      <c r="BB786" s="3055"/>
      <c r="BC786" s="3055"/>
      <c r="BD786" s="3055"/>
      <c r="BE786" s="3055"/>
      <c r="BF786" s="3055"/>
      <c r="BG786" s="3055"/>
      <c r="BH786" s="3055"/>
      <c r="BI786" s="3055"/>
      <c r="BJ786" s="3055"/>
      <c r="BK786" s="3055"/>
      <c r="BL786" s="3056"/>
      <c r="BM786" s="3057">
        <f t="shared" si="16"/>
      </c>
      <c r="BN786" s="3054"/>
      <c r="BO786" s="3054"/>
      <c r="BP786" s="3055"/>
      <c r="BQ786" s="3055"/>
      <c r="BR786" s="3055"/>
      <c r="BS786" s="3055"/>
      <c r="BT786" s="3055"/>
      <c r="BU786" s="3055"/>
      <c r="BV786" s="3055"/>
      <c r="BW786" s="3055"/>
      <c r="BX786" s="3055"/>
      <c r="BY786" s="3055"/>
      <c r="BZ786" s="3055"/>
      <c r="CA786" s="3055"/>
      <c r="CB786" s="3055"/>
      <c r="CC786" s="3056"/>
      <c r="CD786" s="3057">
        <f t="shared" si="0"/>
      </c>
      <c r="CE786" s="3054"/>
      <c r="CF786" s="3054"/>
      <c r="CG786" s="3055"/>
      <c r="CH786" s="3055"/>
      <c r="CI786" s="3055"/>
      <c r="CJ786" s="3055"/>
      <c r="CK786" s="3055"/>
      <c r="CL786" s="3055"/>
      <c r="CM786" s="3055"/>
      <c r="CN786" s="3055"/>
      <c r="CO786" s="3055"/>
      <c r="CP786" s="3055"/>
      <c r="CQ786" s="3055"/>
      <c r="CR786" s="3055"/>
      <c r="CS786" s="3055"/>
      <c r="CU786" s="3054"/>
      <c r="CV786" s="696"/>
      <c r="CW786" s="696"/>
      <c r="CZ786" s="3060">
        <f t="shared" si="17"/>
      </c>
      <c r="DA786" s="3060">
        <f t="shared" si="1"/>
      </c>
      <c r="DB786" s="3060">
        <f t="shared" si="18"/>
      </c>
      <c r="DC786" s="3060">
        <f t="shared" si="19"/>
      </c>
      <c r="DD786" s="3060">
        <f t="shared" si="20"/>
      </c>
      <c r="DE786" s="3060">
        <f t="shared" si="21"/>
      </c>
      <c r="DF786" s="3060">
        <f t="shared" si="22"/>
      </c>
      <c r="DG786" s="3060">
        <f t="shared" si="23"/>
      </c>
      <c r="DH786" s="3060">
        <f t="shared" si="24"/>
      </c>
      <c r="DI786" s="3060">
        <f t="shared" si="1"/>
      </c>
    </row>
    <row r="787" ht="15" customHeight="1" s="3052" customFormat="1">
      <c r="B787" s="3054">
        <f t="shared" si="2"/>
      </c>
      <c r="C787" s="3054"/>
      <c r="D787" s="3054"/>
      <c r="E787" s="3055"/>
      <c r="F787" s="3055"/>
      <c r="G787" s="3055"/>
      <c r="H787" s="3055"/>
      <c r="I787" s="3055"/>
      <c r="J787" s="3055"/>
      <c r="K787" s="3055"/>
      <c r="L787" s="3055"/>
      <c r="M787" s="3055"/>
      <c r="N787" s="3055"/>
      <c r="O787" s="3055"/>
      <c r="P787" s="3055"/>
      <c r="Q787" s="3055"/>
      <c r="R787" s="3055">
        <f t="shared" si="3"/>
        <v>0</v>
      </c>
      <c r="S787" s="3055">
        <f t="shared" si="4"/>
        <v>0</v>
      </c>
      <c r="T787" s="3055">
        <f t="shared" si="5"/>
        <v>0</v>
      </c>
      <c r="U787" s="3055">
        <f t="shared" si="6"/>
        <v>0</v>
      </c>
      <c r="V787" s="3055">
        <f t="shared" si="7"/>
        <v>0</v>
      </c>
      <c r="W787" s="3055">
        <f t="shared" si="8"/>
        <v>0</v>
      </c>
      <c r="X787" s="3055">
        <f t="shared" si="9"/>
        <v>0</v>
      </c>
      <c r="Y787" s="3055">
        <f t="shared" si="10"/>
        <v>0</v>
      </c>
      <c r="Z787" s="3055">
        <f t="shared" si="11"/>
        <v>0</v>
      </c>
      <c r="AA787" s="3055">
        <f t="shared" si="12"/>
        <v>0</v>
      </c>
      <c r="AB787" s="3055">
        <f t="shared" si="13"/>
        <v>0</v>
      </c>
      <c r="AC787" s="3055">
        <f t="shared" si="14"/>
        <v>0</v>
      </c>
      <c r="AD787" s="3056"/>
      <c r="AE787" s="3057">
        <f t="shared" si="0"/>
      </c>
      <c r="AF787" s="3054"/>
      <c r="AG787" s="3054"/>
      <c r="AH787" s="3055"/>
      <c r="AI787" s="3055"/>
      <c r="AJ787" s="3055"/>
      <c r="AK787" s="3055"/>
      <c r="AL787" s="3055"/>
      <c r="AM787" s="3055"/>
      <c r="AN787" s="3055"/>
      <c r="AO787" s="3055"/>
      <c r="AP787" s="3055"/>
      <c r="AQ787" s="3055"/>
      <c r="AR787" s="3055"/>
      <c r="AS787" s="3055"/>
      <c r="AT787" s="3055"/>
      <c r="AU787" s="3056"/>
      <c r="AV787" s="3057">
        <f t="shared" si="15"/>
      </c>
      <c r="AW787" s="3054"/>
      <c r="AX787" s="3054"/>
      <c r="AY787" s="3055"/>
      <c r="AZ787" s="3055"/>
      <c r="BA787" s="3055"/>
      <c r="BB787" s="3055"/>
      <c r="BC787" s="3055"/>
      <c r="BD787" s="3055"/>
      <c r="BE787" s="3055"/>
      <c r="BF787" s="3055"/>
      <c r="BG787" s="3055"/>
      <c r="BH787" s="3055"/>
      <c r="BI787" s="3055"/>
      <c r="BJ787" s="3055"/>
      <c r="BK787" s="3055"/>
      <c r="BL787" s="3056"/>
      <c r="BM787" s="3057">
        <f t="shared" si="16"/>
      </c>
      <c r="BN787" s="3054"/>
      <c r="BO787" s="3054"/>
      <c r="BP787" s="3055"/>
      <c r="BQ787" s="3055"/>
      <c r="BR787" s="3055"/>
      <c r="BS787" s="3055"/>
      <c r="BT787" s="3055"/>
      <c r="BU787" s="3055"/>
      <c r="BV787" s="3055"/>
      <c r="BW787" s="3055"/>
      <c r="BX787" s="3055"/>
      <c r="BY787" s="3055"/>
      <c r="BZ787" s="3055"/>
      <c r="CA787" s="3055"/>
      <c r="CB787" s="3055"/>
      <c r="CC787" s="3056"/>
      <c r="CD787" s="3057">
        <f t="shared" si="0"/>
      </c>
      <c r="CE787" s="3054"/>
      <c r="CF787" s="3054"/>
      <c r="CG787" s="3055"/>
      <c r="CH787" s="3055"/>
      <c r="CI787" s="3055"/>
      <c r="CJ787" s="3055"/>
      <c r="CK787" s="3055"/>
      <c r="CL787" s="3055"/>
      <c r="CM787" s="3055"/>
      <c r="CN787" s="3055"/>
      <c r="CO787" s="3055"/>
      <c r="CP787" s="3055"/>
      <c r="CQ787" s="3055"/>
      <c r="CR787" s="3055"/>
      <c r="CS787" s="3055"/>
      <c r="CU787" s="3054"/>
      <c r="CV787" s="696"/>
      <c r="CW787" s="696"/>
      <c r="CZ787" s="3060">
        <f t="shared" si="17"/>
      </c>
      <c r="DA787" s="3060">
        <f t="shared" si="1"/>
      </c>
      <c r="DB787" s="3060">
        <f t="shared" si="18"/>
      </c>
      <c r="DC787" s="3060">
        <f t="shared" si="19"/>
      </c>
      <c r="DD787" s="3060">
        <f t="shared" si="20"/>
      </c>
      <c r="DE787" s="3060">
        <f t="shared" si="21"/>
      </c>
      <c r="DF787" s="3060">
        <f t="shared" si="22"/>
      </c>
      <c r="DG787" s="3060">
        <f t="shared" si="23"/>
      </c>
      <c r="DH787" s="3060">
        <f t="shared" si="24"/>
      </c>
      <c r="DI787" s="3060">
        <f t="shared" si="1"/>
      </c>
    </row>
    <row r="788" ht="15" customHeight="1" s="3052" customFormat="1">
      <c r="B788" s="3054">
        <f t="shared" si="2"/>
      </c>
      <c r="C788" s="3054"/>
      <c r="D788" s="3054"/>
      <c r="E788" s="3055"/>
      <c r="F788" s="3055"/>
      <c r="G788" s="3055"/>
      <c r="H788" s="3055"/>
      <c r="I788" s="3055"/>
      <c r="J788" s="3055"/>
      <c r="K788" s="3055"/>
      <c r="L788" s="3055"/>
      <c r="M788" s="3055"/>
      <c r="N788" s="3055"/>
      <c r="O788" s="3055"/>
      <c r="P788" s="3055"/>
      <c r="Q788" s="3055"/>
      <c r="R788" s="3055">
        <f t="shared" si="3"/>
        <v>0</v>
      </c>
      <c r="S788" s="3055">
        <f t="shared" si="4"/>
        <v>0</v>
      </c>
      <c r="T788" s="3055">
        <f t="shared" si="5"/>
        <v>0</v>
      </c>
      <c r="U788" s="3055">
        <f t="shared" si="6"/>
        <v>0</v>
      </c>
      <c r="V788" s="3055">
        <f t="shared" si="7"/>
        <v>0</v>
      </c>
      <c r="W788" s="3055">
        <f t="shared" si="8"/>
        <v>0</v>
      </c>
      <c r="X788" s="3055">
        <f t="shared" si="9"/>
        <v>0</v>
      </c>
      <c r="Y788" s="3055">
        <f t="shared" si="10"/>
        <v>0</v>
      </c>
      <c r="Z788" s="3055">
        <f t="shared" si="11"/>
        <v>0</v>
      </c>
      <c r="AA788" s="3055">
        <f t="shared" si="12"/>
        <v>0</v>
      </c>
      <c r="AB788" s="3055">
        <f t="shared" si="13"/>
        <v>0</v>
      </c>
      <c r="AC788" s="3055">
        <f t="shared" si="14"/>
        <v>0</v>
      </c>
      <c r="AD788" s="3056"/>
      <c r="AE788" s="3057">
        <f t="shared" si="0"/>
      </c>
      <c r="AF788" s="3054"/>
      <c r="AG788" s="3054"/>
      <c r="AH788" s="3055"/>
      <c r="AI788" s="3055"/>
      <c r="AJ788" s="3055"/>
      <c r="AK788" s="3055"/>
      <c r="AL788" s="3055"/>
      <c r="AM788" s="3055"/>
      <c r="AN788" s="3055"/>
      <c r="AO788" s="3055"/>
      <c r="AP788" s="3055"/>
      <c r="AQ788" s="3055"/>
      <c r="AR788" s="3055"/>
      <c r="AS788" s="3055"/>
      <c r="AT788" s="3055"/>
      <c r="AU788" s="3056"/>
      <c r="AV788" s="3057">
        <f t="shared" si="15"/>
      </c>
      <c r="AW788" s="3054"/>
      <c r="AX788" s="3054"/>
      <c r="AY788" s="3055"/>
      <c r="AZ788" s="3055"/>
      <c r="BA788" s="3055"/>
      <c r="BB788" s="3055"/>
      <c r="BC788" s="3055"/>
      <c r="BD788" s="3055"/>
      <c r="BE788" s="3055"/>
      <c r="BF788" s="3055"/>
      <c r="BG788" s="3055"/>
      <c r="BH788" s="3055"/>
      <c r="BI788" s="3055"/>
      <c r="BJ788" s="3055"/>
      <c r="BK788" s="3055"/>
      <c r="BL788" s="3056"/>
      <c r="BM788" s="3057">
        <f t="shared" si="16"/>
      </c>
      <c r="BN788" s="3054"/>
      <c r="BO788" s="3054"/>
      <c r="BP788" s="3055"/>
      <c r="BQ788" s="3055"/>
      <c r="BR788" s="3055"/>
      <c r="BS788" s="3055"/>
      <c r="BT788" s="3055"/>
      <c r="BU788" s="3055"/>
      <c r="BV788" s="3055"/>
      <c r="BW788" s="3055"/>
      <c r="BX788" s="3055"/>
      <c r="BY788" s="3055"/>
      <c r="BZ788" s="3055"/>
      <c r="CA788" s="3055"/>
      <c r="CB788" s="3055"/>
      <c r="CC788" s="3056"/>
      <c r="CD788" s="3057">
        <f t="shared" si="0"/>
      </c>
      <c r="CE788" s="3054"/>
      <c r="CF788" s="3054"/>
      <c r="CG788" s="3055"/>
      <c r="CH788" s="3055"/>
      <c r="CI788" s="3055"/>
      <c r="CJ788" s="3055"/>
      <c r="CK788" s="3055"/>
      <c r="CL788" s="3055"/>
      <c r="CM788" s="3055"/>
      <c r="CN788" s="3055"/>
      <c r="CO788" s="3055"/>
      <c r="CP788" s="3055"/>
      <c r="CQ788" s="3055"/>
      <c r="CR788" s="3055"/>
      <c r="CS788" s="3055"/>
      <c r="CU788" s="3054"/>
      <c r="CV788" s="696"/>
      <c r="CW788" s="696"/>
      <c r="CZ788" s="3060">
        <f t="shared" si="17"/>
      </c>
      <c r="DA788" s="3060">
        <f t="shared" si="1"/>
      </c>
      <c r="DB788" s="3060">
        <f t="shared" si="18"/>
      </c>
      <c r="DC788" s="3060">
        <f t="shared" si="19"/>
      </c>
      <c r="DD788" s="3060">
        <f t="shared" si="20"/>
      </c>
      <c r="DE788" s="3060">
        <f t="shared" si="21"/>
      </c>
      <c r="DF788" s="3060">
        <f t="shared" si="22"/>
      </c>
      <c r="DG788" s="3060">
        <f t="shared" si="23"/>
      </c>
      <c r="DH788" s="3060">
        <f t="shared" si="24"/>
      </c>
      <c r="DI788" s="3060">
        <f t="shared" si="1"/>
      </c>
    </row>
    <row r="789" ht="15" customHeight="1" s="3052" customFormat="1">
      <c r="B789" s="3054">
        <f t="shared" si="2"/>
      </c>
      <c r="C789" s="3054"/>
      <c r="D789" s="3054"/>
      <c r="E789" s="3055"/>
      <c r="F789" s="3055"/>
      <c r="G789" s="3055"/>
      <c r="H789" s="3055"/>
      <c r="I789" s="3055"/>
      <c r="J789" s="3055"/>
      <c r="K789" s="3055"/>
      <c r="L789" s="3055"/>
      <c r="M789" s="3055"/>
      <c r="N789" s="3055"/>
      <c r="O789" s="3055"/>
      <c r="P789" s="3055"/>
      <c r="Q789" s="3055"/>
      <c r="R789" s="3055">
        <f t="shared" si="3"/>
        <v>0</v>
      </c>
      <c r="S789" s="3055">
        <f t="shared" si="4"/>
        <v>0</v>
      </c>
      <c r="T789" s="3055">
        <f t="shared" si="5"/>
        <v>0</v>
      </c>
      <c r="U789" s="3055">
        <f t="shared" si="6"/>
        <v>0</v>
      </c>
      <c r="V789" s="3055">
        <f t="shared" si="7"/>
        <v>0</v>
      </c>
      <c r="W789" s="3055">
        <f t="shared" si="8"/>
        <v>0</v>
      </c>
      <c r="X789" s="3055">
        <f t="shared" si="9"/>
        <v>0</v>
      </c>
      <c r="Y789" s="3055">
        <f t="shared" si="10"/>
        <v>0</v>
      </c>
      <c r="Z789" s="3055">
        <f t="shared" si="11"/>
        <v>0</v>
      </c>
      <c r="AA789" s="3055">
        <f t="shared" si="12"/>
        <v>0</v>
      </c>
      <c r="AB789" s="3055">
        <f t="shared" si="13"/>
        <v>0</v>
      </c>
      <c r="AC789" s="3055">
        <f t="shared" si="14"/>
        <v>0</v>
      </c>
      <c r="AD789" s="3056"/>
      <c r="AE789" s="3057">
        <f t="shared" si="0"/>
      </c>
      <c r="AF789" s="3054"/>
      <c r="AG789" s="3054"/>
      <c r="AH789" s="3055"/>
      <c r="AI789" s="3055"/>
      <c r="AJ789" s="3055"/>
      <c r="AK789" s="3055"/>
      <c r="AL789" s="3055"/>
      <c r="AM789" s="3055"/>
      <c r="AN789" s="3055"/>
      <c r="AO789" s="3055"/>
      <c r="AP789" s="3055"/>
      <c r="AQ789" s="3055"/>
      <c r="AR789" s="3055"/>
      <c r="AS789" s="3055"/>
      <c r="AT789" s="3055"/>
      <c r="AU789" s="3056"/>
      <c r="AV789" s="3057">
        <f t="shared" si="15"/>
      </c>
      <c r="AW789" s="3054"/>
      <c r="AX789" s="3054"/>
      <c r="AY789" s="3055"/>
      <c r="AZ789" s="3055"/>
      <c r="BA789" s="3055"/>
      <c r="BB789" s="3055"/>
      <c r="BC789" s="3055"/>
      <c r="BD789" s="3055"/>
      <c r="BE789" s="3055"/>
      <c r="BF789" s="3055"/>
      <c r="BG789" s="3055"/>
      <c r="BH789" s="3055"/>
      <c r="BI789" s="3055"/>
      <c r="BJ789" s="3055"/>
      <c r="BK789" s="3055"/>
      <c r="BL789" s="3056"/>
      <c r="BM789" s="3057">
        <f t="shared" si="16"/>
      </c>
      <c r="BN789" s="3054"/>
      <c r="BO789" s="3054"/>
      <c r="BP789" s="3055"/>
      <c r="BQ789" s="3055"/>
      <c r="BR789" s="3055"/>
      <c r="BS789" s="3055"/>
      <c r="BT789" s="3055"/>
      <c r="BU789" s="3055"/>
      <c r="BV789" s="3055"/>
      <c r="BW789" s="3055"/>
      <c r="BX789" s="3055"/>
      <c r="BY789" s="3055"/>
      <c r="BZ789" s="3055"/>
      <c r="CA789" s="3055"/>
      <c r="CB789" s="3055"/>
      <c r="CC789" s="3056"/>
      <c r="CD789" s="3057">
        <f t="shared" si="0"/>
      </c>
      <c r="CE789" s="3054"/>
      <c r="CF789" s="3054"/>
      <c r="CG789" s="3055"/>
      <c r="CH789" s="3055"/>
      <c r="CI789" s="3055"/>
      <c r="CJ789" s="3055"/>
      <c r="CK789" s="3055"/>
      <c r="CL789" s="3055"/>
      <c r="CM789" s="3055"/>
      <c r="CN789" s="3055"/>
      <c r="CO789" s="3055"/>
      <c r="CP789" s="3055"/>
      <c r="CQ789" s="3055"/>
      <c r="CR789" s="3055"/>
      <c r="CS789" s="3055"/>
      <c r="CU789" s="3054"/>
      <c r="CV789" s="696"/>
      <c r="CW789" s="696"/>
      <c r="CZ789" s="3060">
        <f t="shared" si="17"/>
      </c>
      <c r="DA789" s="3060">
        <f t="shared" si="1"/>
      </c>
      <c r="DB789" s="3060">
        <f t="shared" si="18"/>
      </c>
      <c r="DC789" s="3060">
        <f t="shared" si="19"/>
      </c>
      <c r="DD789" s="3060">
        <f t="shared" si="20"/>
      </c>
      <c r="DE789" s="3060">
        <f t="shared" si="21"/>
      </c>
      <c r="DF789" s="3060">
        <f t="shared" si="22"/>
      </c>
      <c r="DG789" s="3060">
        <f t="shared" si="23"/>
      </c>
      <c r="DH789" s="3060">
        <f t="shared" si="24"/>
      </c>
      <c r="DI789" s="3060">
        <f t="shared" si="1"/>
      </c>
    </row>
    <row r="790" ht="15" customHeight="1" s="3052" customFormat="1">
      <c r="B790" s="3054">
        <f t="shared" si="2"/>
      </c>
      <c r="C790" s="3054"/>
      <c r="D790" s="3054"/>
      <c r="E790" s="3055"/>
      <c r="F790" s="3055"/>
      <c r="G790" s="3055"/>
      <c r="H790" s="3055"/>
      <c r="I790" s="3055"/>
      <c r="J790" s="3055"/>
      <c r="K790" s="3055"/>
      <c r="L790" s="3055"/>
      <c r="M790" s="3055"/>
      <c r="N790" s="3055"/>
      <c r="O790" s="3055"/>
      <c r="P790" s="3055"/>
      <c r="Q790" s="3055"/>
      <c r="R790" s="3055">
        <f t="shared" si="3"/>
        <v>0</v>
      </c>
      <c r="S790" s="3055">
        <f t="shared" si="4"/>
        <v>0</v>
      </c>
      <c r="T790" s="3055">
        <f t="shared" si="5"/>
        <v>0</v>
      </c>
      <c r="U790" s="3055">
        <f t="shared" si="6"/>
        <v>0</v>
      </c>
      <c r="V790" s="3055">
        <f t="shared" si="7"/>
        <v>0</v>
      </c>
      <c r="W790" s="3055">
        <f t="shared" si="8"/>
        <v>0</v>
      </c>
      <c r="X790" s="3055">
        <f t="shared" si="9"/>
        <v>0</v>
      </c>
      <c r="Y790" s="3055">
        <f t="shared" si="10"/>
        <v>0</v>
      </c>
      <c r="Z790" s="3055">
        <f t="shared" si="11"/>
        <v>0</v>
      </c>
      <c r="AA790" s="3055">
        <f t="shared" si="12"/>
        <v>0</v>
      </c>
      <c r="AB790" s="3055">
        <f t="shared" si="13"/>
        <v>0</v>
      </c>
      <c r="AC790" s="3055">
        <f t="shared" si="14"/>
        <v>0</v>
      </c>
      <c r="AD790" s="3056"/>
      <c r="AE790" s="3057">
        <f t="shared" si="0"/>
      </c>
      <c r="AF790" s="3054"/>
      <c r="AG790" s="3054"/>
      <c r="AH790" s="3055"/>
      <c r="AI790" s="3055"/>
      <c r="AJ790" s="3055"/>
      <c r="AK790" s="3055"/>
      <c r="AL790" s="3055"/>
      <c r="AM790" s="3055"/>
      <c r="AN790" s="3055"/>
      <c r="AO790" s="3055"/>
      <c r="AP790" s="3055"/>
      <c r="AQ790" s="3055"/>
      <c r="AR790" s="3055"/>
      <c r="AS790" s="3055"/>
      <c r="AT790" s="3055"/>
      <c r="AU790" s="3056"/>
      <c r="AV790" s="3057">
        <f t="shared" si="15"/>
      </c>
      <c r="AW790" s="3054"/>
      <c r="AX790" s="3054"/>
      <c r="AY790" s="3055"/>
      <c r="AZ790" s="3055"/>
      <c r="BA790" s="3055"/>
      <c r="BB790" s="3055"/>
      <c r="BC790" s="3055"/>
      <c r="BD790" s="3055"/>
      <c r="BE790" s="3055"/>
      <c r="BF790" s="3055"/>
      <c r="BG790" s="3055"/>
      <c r="BH790" s="3055"/>
      <c r="BI790" s="3055"/>
      <c r="BJ790" s="3055"/>
      <c r="BK790" s="3055"/>
      <c r="BL790" s="3056"/>
      <c r="BM790" s="3057">
        <f t="shared" si="16"/>
      </c>
      <c r="BN790" s="3054"/>
      <c r="BO790" s="3054"/>
      <c r="BP790" s="3055"/>
      <c r="BQ790" s="3055"/>
      <c r="BR790" s="3055"/>
      <c r="BS790" s="3055"/>
      <c r="BT790" s="3055"/>
      <c r="BU790" s="3055"/>
      <c r="BV790" s="3055"/>
      <c r="BW790" s="3055"/>
      <c r="BX790" s="3055"/>
      <c r="BY790" s="3055"/>
      <c r="BZ790" s="3055"/>
      <c r="CA790" s="3055"/>
      <c r="CB790" s="3055"/>
      <c r="CC790" s="3056"/>
      <c r="CD790" s="3057">
        <f t="shared" si="0"/>
      </c>
      <c r="CE790" s="3054"/>
      <c r="CF790" s="3054"/>
      <c r="CG790" s="3055"/>
      <c r="CH790" s="3055"/>
      <c r="CI790" s="3055"/>
      <c r="CJ790" s="3055"/>
      <c r="CK790" s="3055"/>
      <c r="CL790" s="3055"/>
      <c r="CM790" s="3055"/>
      <c r="CN790" s="3055"/>
      <c r="CO790" s="3055"/>
      <c r="CP790" s="3055"/>
      <c r="CQ790" s="3055"/>
      <c r="CR790" s="3055"/>
      <c r="CS790" s="3055"/>
      <c r="CU790" s="3054"/>
      <c r="CV790" s="696"/>
      <c r="CW790" s="696"/>
      <c r="CZ790" s="3060">
        <f t="shared" si="17"/>
      </c>
      <c r="DA790" s="3060">
        <f t="shared" si="1"/>
      </c>
      <c r="DB790" s="3060">
        <f t="shared" si="18"/>
      </c>
      <c r="DC790" s="3060">
        <f t="shared" si="19"/>
      </c>
      <c r="DD790" s="3060">
        <f t="shared" si="20"/>
      </c>
      <c r="DE790" s="3060">
        <f t="shared" si="21"/>
      </c>
      <c r="DF790" s="3060">
        <f t="shared" si="22"/>
      </c>
      <c r="DG790" s="3060">
        <f t="shared" si="23"/>
      </c>
      <c r="DH790" s="3060">
        <f t="shared" si="24"/>
      </c>
      <c r="DI790" s="3060">
        <f t="shared" si="1"/>
      </c>
    </row>
    <row r="791" ht="15" customHeight="1" s="3052" customFormat="1">
      <c r="B791" s="3054">
        <f t="shared" si="2"/>
      </c>
      <c r="C791" s="3054"/>
      <c r="D791" s="3054"/>
      <c r="E791" s="3055"/>
      <c r="F791" s="3055"/>
      <c r="G791" s="3055"/>
      <c r="H791" s="3055"/>
      <c r="I791" s="3055"/>
      <c r="J791" s="3055"/>
      <c r="K791" s="3055"/>
      <c r="L791" s="3055"/>
      <c r="M791" s="3055"/>
      <c r="N791" s="3055"/>
      <c r="O791" s="3055"/>
      <c r="P791" s="3055"/>
      <c r="Q791" s="3055"/>
      <c r="R791" s="3055">
        <f t="shared" si="3"/>
        <v>0</v>
      </c>
      <c r="S791" s="3055">
        <f t="shared" si="4"/>
        <v>0</v>
      </c>
      <c r="T791" s="3055">
        <f t="shared" si="5"/>
        <v>0</v>
      </c>
      <c r="U791" s="3055">
        <f t="shared" si="6"/>
        <v>0</v>
      </c>
      <c r="V791" s="3055">
        <f t="shared" si="7"/>
        <v>0</v>
      </c>
      <c r="W791" s="3055">
        <f t="shared" si="8"/>
        <v>0</v>
      </c>
      <c r="X791" s="3055">
        <f t="shared" si="9"/>
        <v>0</v>
      </c>
      <c r="Y791" s="3055">
        <f t="shared" si="10"/>
        <v>0</v>
      </c>
      <c r="Z791" s="3055">
        <f t="shared" si="11"/>
        <v>0</v>
      </c>
      <c r="AA791" s="3055">
        <f t="shared" si="12"/>
        <v>0</v>
      </c>
      <c r="AB791" s="3055">
        <f t="shared" si="13"/>
        <v>0</v>
      </c>
      <c r="AC791" s="3055">
        <f t="shared" si="14"/>
        <v>0</v>
      </c>
      <c r="AD791" s="3056"/>
      <c r="AE791" s="3057">
        <f t="shared" si="0"/>
      </c>
      <c r="AF791" s="3054"/>
      <c r="AG791" s="3054"/>
      <c r="AH791" s="3055"/>
      <c r="AI791" s="3055"/>
      <c r="AJ791" s="3055"/>
      <c r="AK791" s="3055"/>
      <c r="AL791" s="3055"/>
      <c r="AM791" s="3055"/>
      <c r="AN791" s="3055"/>
      <c r="AO791" s="3055"/>
      <c r="AP791" s="3055"/>
      <c r="AQ791" s="3055"/>
      <c r="AR791" s="3055"/>
      <c r="AS791" s="3055"/>
      <c r="AT791" s="3055"/>
      <c r="AU791" s="3056"/>
      <c r="AV791" s="3057">
        <f t="shared" si="15"/>
      </c>
      <c r="AW791" s="3054"/>
      <c r="AX791" s="3054"/>
      <c r="AY791" s="3055"/>
      <c r="AZ791" s="3055"/>
      <c r="BA791" s="3055"/>
      <c r="BB791" s="3055"/>
      <c r="BC791" s="3055"/>
      <c r="BD791" s="3055"/>
      <c r="BE791" s="3055"/>
      <c r="BF791" s="3055"/>
      <c r="BG791" s="3055"/>
      <c r="BH791" s="3055"/>
      <c r="BI791" s="3055"/>
      <c r="BJ791" s="3055"/>
      <c r="BK791" s="3055"/>
      <c r="BL791" s="3056"/>
      <c r="BM791" s="3057">
        <f t="shared" si="16"/>
      </c>
      <c r="BN791" s="3054"/>
      <c r="BO791" s="3054"/>
      <c r="BP791" s="3055"/>
      <c r="BQ791" s="3055"/>
      <c r="BR791" s="3055"/>
      <c r="BS791" s="3055"/>
      <c r="BT791" s="3055"/>
      <c r="BU791" s="3055"/>
      <c r="BV791" s="3055"/>
      <c r="BW791" s="3055"/>
      <c r="BX791" s="3055"/>
      <c r="BY791" s="3055"/>
      <c r="BZ791" s="3055"/>
      <c r="CA791" s="3055"/>
      <c r="CB791" s="3055"/>
      <c r="CC791" s="3056"/>
      <c r="CD791" s="3057">
        <f t="shared" si="0"/>
      </c>
      <c r="CE791" s="3054"/>
      <c r="CF791" s="3054"/>
      <c r="CG791" s="3055"/>
      <c r="CH791" s="3055"/>
      <c r="CI791" s="3055"/>
      <c r="CJ791" s="3055"/>
      <c r="CK791" s="3055"/>
      <c r="CL791" s="3055"/>
      <c r="CM791" s="3055"/>
      <c r="CN791" s="3055"/>
      <c r="CO791" s="3055"/>
      <c r="CP791" s="3055"/>
      <c r="CQ791" s="3055"/>
      <c r="CR791" s="3055"/>
      <c r="CS791" s="3055"/>
      <c r="CU791" s="3054"/>
      <c r="CV791" s="696"/>
      <c r="CW791" s="696"/>
      <c r="CZ791" s="3060">
        <f t="shared" si="17"/>
      </c>
      <c r="DA791" s="3060">
        <f t="shared" si="1"/>
      </c>
      <c r="DB791" s="3060">
        <f t="shared" si="18"/>
      </c>
      <c r="DC791" s="3060">
        <f t="shared" si="19"/>
      </c>
      <c r="DD791" s="3060">
        <f t="shared" si="20"/>
      </c>
      <c r="DE791" s="3060">
        <f t="shared" si="21"/>
      </c>
      <c r="DF791" s="3060">
        <f t="shared" si="22"/>
      </c>
      <c r="DG791" s="3060">
        <f t="shared" si="23"/>
      </c>
      <c r="DH791" s="3060">
        <f t="shared" si="24"/>
      </c>
      <c r="DI791" s="3060">
        <f t="shared" si="1"/>
      </c>
    </row>
    <row r="792" ht="15" customHeight="1" s="3052" customFormat="1">
      <c r="B792" s="3054">
        <f t="shared" si="2"/>
      </c>
      <c r="C792" s="3054"/>
      <c r="D792" s="3054"/>
      <c r="E792" s="3055"/>
      <c r="F792" s="3055"/>
      <c r="G792" s="3055"/>
      <c r="H792" s="3055"/>
      <c r="I792" s="3055"/>
      <c r="J792" s="3055"/>
      <c r="K792" s="3055"/>
      <c r="L792" s="3055"/>
      <c r="M792" s="3055"/>
      <c r="N792" s="3055"/>
      <c r="O792" s="3055"/>
      <c r="P792" s="3055"/>
      <c r="Q792" s="3055"/>
      <c r="R792" s="3055">
        <f t="shared" si="3"/>
        <v>0</v>
      </c>
      <c r="S792" s="3055">
        <f t="shared" si="4"/>
        <v>0</v>
      </c>
      <c r="T792" s="3055">
        <f t="shared" si="5"/>
        <v>0</v>
      </c>
      <c r="U792" s="3055">
        <f t="shared" si="6"/>
        <v>0</v>
      </c>
      <c r="V792" s="3055">
        <f t="shared" si="7"/>
        <v>0</v>
      </c>
      <c r="W792" s="3055">
        <f t="shared" si="8"/>
        <v>0</v>
      </c>
      <c r="X792" s="3055">
        <f t="shared" si="9"/>
        <v>0</v>
      </c>
      <c r="Y792" s="3055">
        <f t="shared" si="10"/>
        <v>0</v>
      </c>
      <c r="Z792" s="3055">
        <f t="shared" si="11"/>
        <v>0</v>
      </c>
      <c r="AA792" s="3055">
        <f t="shared" si="12"/>
        <v>0</v>
      </c>
      <c r="AB792" s="3055">
        <f t="shared" si="13"/>
        <v>0</v>
      </c>
      <c r="AC792" s="3055">
        <f t="shared" si="14"/>
        <v>0</v>
      </c>
      <c r="AD792" s="3056"/>
      <c r="AE792" s="3057">
        <f t="shared" si="0"/>
      </c>
      <c r="AF792" s="3054"/>
      <c r="AG792" s="3054"/>
      <c r="AH792" s="3055"/>
      <c r="AI792" s="3055"/>
      <c r="AJ792" s="3055"/>
      <c r="AK792" s="3055"/>
      <c r="AL792" s="3055"/>
      <c r="AM792" s="3055"/>
      <c r="AN792" s="3055"/>
      <c r="AO792" s="3055"/>
      <c r="AP792" s="3055"/>
      <c r="AQ792" s="3055"/>
      <c r="AR792" s="3055"/>
      <c r="AS792" s="3055"/>
      <c r="AT792" s="3055"/>
      <c r="AU792" s="3056"/>
      <c r="AV792" s="3057">
        <f t="shared" si="15"/>
      </c>
      <c r="AW792" s="3054"/>
      <c r="AX792" s="3054"/>
      <c r="AY792" s="3055"/>
      <c r="AZ792" s="3055"/>
      <c r="BA792" s="3055"/>
      <c r="BB792" s="3055"/>
      <c r="BC792" s="3055"/>
      <c r="BD792" s="3055"/>
      <c r="BE792" s="3055"/>
      <c r="BF792" s="3055"/>
      <c r="BG792" s="3055"/>
      <c r="BH792" s="3055"/>
      <c r="BI792" s="3055"/>
      <c r="BJ792" s="3055"/>
      <c r="BK792" s="3055"/>
      <c r="BL792" s="3056"/>
      <c r="BM792" s="3057">
        <f t="shared" si="16"/>
      </c>
      <c r="BN792" s="3054"/>
      <c r="BO792" s="3054"/>
      <c r="BP792" s="3055"/>
      <c r="BQ792" s="3055"/>
      <c r="BR792" s="3055"/>
      <c r="BS792" s="3055"/>
      <c r="BT792" s="3055"/>
      <c r="BU792" s="3055"/>
      <c r="BV792" s="3055"/>
      <c r="BW792" s="3055"/>
      <c r="BX792" s="3055"/>
      <c r="BY792" s="3055"/>
      <c r="BZ792" s="3055"/>
      <c r="CA792" s="3055"/>
      <c r="CB792" s="3055"/>
      <c r="CC792" s="3056"/>
      <c r="CD792" s="3057">
        <f t="shared" si="0"/>
      </c>
      <c r="CE792" s="3054"/>
      <c r="CF792" s="3054"/>
      <c r="CG792" s="3055"/>
      <c r="CH792" s="3055"/>
      <c r="CI792" s="3055"/>
      <c r="CJ792" s="3055"/>
      <c r="CK792" s="3055"/>
      <c r="CL792" s="3055"/>
      <c r="CM792" s="3055"/>
      <c r="CN792" s="3055"/>
      <c r="CO792" s="3055"/>
      <c r="CP792" s="3055"/>
      <c r="CQ792" s="3055"/>
      <c r="CR792" s="3055"/>
      <c r="CS792" s="3055"/>
      <c r="CU792" s="3054"/>
      <c r="CV792" s="696"/>
      <c r="CW792" s="696"/>
      <c r="CZ792" s="3060">
        <f t="shared" si="17"/>
      </c>
      <c r="DA792" s="3060">
        <f t="shared" si="1"/>
      </c>
      <c r="DB792" s="3060">
        <f t="shared" si="18"/>
      </c>
      <c r="DC792" s="3060">
        <f t="shared" si="19"/>
      </c>
      <c r="DD792" s="3060">
        <f t="shared" si="20"/>
      </c>
      <c r="DE792" s="3060">
        <f t="shared" si="21"/>
      </c>
      <c r="DF792" s="3060">
        <f t="shared" si="22"/>
      </c>
      <c r="DG792" s="3060">
        <f t="shared" si="23"/>
      </c>
      <c r="DH792" s="3060">
        <f t="shared" si="24"/>
      </c>
      <c r="DI792" s="3060">
        <f t="shared" si="1"/>
      </c>
    </row>
    <row r="793" ht="15" customHeight="1" s="3052" customFormat="1">
      <c r="B793" s="3054">
        <f t="shared" si="2"/>
      </c>
      <c r="C793" s="3054"/>
      <c r="D793" s="3054"/>
      <c r="E793" s="3055"/>
      <c r="F793" s="3055"/>
      <c r="G793" s="3055"/>
      <c r="H793" s="3055"/>
      <c r="I793" s="3055"/>
      <c r="J793" s="3055"/>
      <c r="K793" s="3055"/>
      <c r="L793" s="3055"/>
      <c r="M793" s="3055"/>
      <c r="N793" s="3055"/>
      <c r="O793" s="3055"/>
      <c r="P793" s="3055"/>
      <c r="Q793" s="3055"/>
      <c r="R793" s="3055">
        <f t="shared" si="3"/>
        <v>0</v>
      </c>
      <c r="S793" s="3055">
        <f t="shared" si="4"/>
        <v>0</v>
      </c>
      <c r="T793" s="3055">
        <f t="shared" si="5"/>
        <v>0</v>
      </c>
      <c r="U793" s="3055">
        <f t="shared" si="6"/>
        <v>0</v>
      </c>
      <c r="V793" s="3055">
        <f t="shared" si="7"/>
        <v>0</v>
      </c>
      <c r="W793" s="3055">
        <f t="shared" si="8"/>
        <v>0</v>
      </c>
      <c r="X793" s="3055">
        <f t="shared" si="9"/>
        <v>0</v>
      </c>
      <c r="Y793" s="3055">
        <f t="shared" si="10"/>
        <v>0</v>
      </c>
      <c r="Z793" s="3055">
        <f t="shared" si="11"/>
        <v>0</v>
      </c>
      <c r="AA793" s="3055">
        <f t="shared" si="12"/>
        <v>0</v>
      </c>
      <c r="AB793" s="3055">
        <f t="shared" si="13"/>
        <v>0</v>
      </c>
      <c r="AC793" s="3055">
        <f t="shared" si="14"/>
        <v>0</v>
      </c>
      <c r="AD793" s="3056"/>
      <c r="AE793" s="3057">
        <f t="shared" si="0"/>
      </c>
      <c r="AF793" s="3054"/>
      <c r="AG793" s="3054"/>
      <c r="AH793" s="3055"/>
      <c r="AI793" s="3055"/>
      <c r="AJ793" s="3055"/>
      <c r="AK793" s="3055"/>
      <c r="AL793" s="3055"/>
      <c r="AM793" s="3055"/>
      <c r="AN793" s="3055"/>
      <c r="AO793" s="3055"/>
      <c r="AP793" s="3055"/>
      <c r="AQ793" s="3055"/>
      <c r="AR793" s="3055"/>
      <c r="AS793" s="3055"/>
      <c r="AT793" s="3055"/>
      <c r="AU793" s="3056"/>
      <c r="AV793" s="3057">
        <f t="shared" si="15"/>
      </c>
      <c r="AW793" s="3054"/>
      <c r="AX793" s="3054"/>
      <c r="AY793" s="3055"/>
      <c r="AZ793" s="3055"/>
      <c r="BA793" s="3055"/>
      <c r="BB793" s="3055"/>
      <c r="BC793" s="3055"/>
      <c r="BD793" s="3055"/>
      <c r="BE793" s="3055"/>
      <c r="BF793" s="3055"/>
      <c r="BG793" s="3055"/>
      <c r="BH793" s="3055"/>
      <c r="BI793" s="3055"/>
      <c r="BJ793" s="3055"/>
      <c r="BK793" s="3055"/>
      <c r="BL793" s="3056"/>
      <c r="BM793" s="3057">
        <f t="shared" si="16"/>
      </c>
      <c r="BN793" s="3054"/>
      <c r="BO793" s="3054"/>
      <c r="BP793" s="3055"/>
      <c r="BQ793" s="3055"/>
      <c r="BR793" s="3055"/>
      <c r="BS793" s="3055"/>
      <c r="BT793" s="3055"/>
      <c r="BU793" s="3055"/>
      <c r="BV793" s="3055"/>
      <c r="BW793" s="3055"/>
      <c r="BX793" s="3055"/>
      <c r="BY793" s="3055"/>
      <c r="BZ793" s="3055"/>
      <c r="CA793" s="3055"/>
      <c r="CB793" s="3055"/>
      <c r="CC793" s="3056"/>
      <c r="CD793" s="3057">
        <f t="shared" si="0"/>
      </c>
      <c r="CE793" s="3054"/>
      <c r="CF793" s="3054"/>
      <c r="CG793" s="3055"/>
      <c r="CH793" s="3055"/>
      <c r="CI793" s="3055"/>
      <c r="CJ793" s="3055"/>
      <c r="CK793" s="3055"/>
      <c r="CL793" s="3055"/>
      <c r="CM793" s="3055"/>
      <c r="CN793" s="3055"/>
      <c r="CO793" s="3055"/>
      <c r="CP793" s="3055"/>
      <c r="CQ793" s="3055"/>
      <c r="CR793" s="3055"/>
      <c r="CS793" s="3055"/>
      <c r="CU793" s="3054"/>
      <c r="CV793" s="696"/>
      <c r="CW793" s="696"/>
      <c r="CZ793" s="3060">
        <f t="shared" si="17"/>
      </c>
      <c r="DA793" s="3060">
        <f t="shared" si="1"/>
      </c>
      <c r="DB793" s="3060">
        <f t="shared" si="18"/>
      </c>
      <c r="DC793" s="3060">
        <f t="shared" si="19"/>
      </c>
      <c r="DD793" s="3060">
        <f t="shared" si="20"/>
      </c>
      <c r="DE793" s="3060">
        <f t="shared" si="21"/>
      </c>
      <c r="DF793" s="3060">
        <f t="shared" si="22"/>
      </c>
      <c r="DG793" s="3060">
        <f t="shared" si="23"/>
      </c>
      <c r="DH793" s="3060">
        <f t="shared" si="24"/>
      </c>
      <c r="DI793" s="3060">
        <f t="shared" si="1"/>
      </c>
    </row>
    <row r="794" ht="15" customHeight="1" s="3052" customFormat="1">
      <c r="B794" s="3054">
        <f t="shared" si="2"/>
      </c>
      <c r="C794" s="3054"/>
      <c r="D794" s="3054"/>
      <c r="E794" s="3055"/>
      <c r="F794" s="3055"/>
      <c r="G794" s="3055"/>
      <c r="H794" s="3055"/>
      <c r="I794" s="3055"/>
      <c r="J794" s="3055"/>
      <c r="K794" s="3055"/>
      <c r="L794" s="3055"/>
      <c r="M794" s="3055"/>
      <c r="N794" s="3055"/>
      <c r="O794" s="3055"/>
      <c r="P794" s="3055"/>
      <c r="Q794" s="3055"/>
      <c r="R794" s="3055">
        <f t="shared" si="3"/>
        <v>0</v>
      </c>
      <c r="S794" s="3055">
        <f t="shared" si="4"/>
        <v>0</v>
      </c>
      <c r="T794" s="3055">
        <f t="shared" si="5"/>
        <v>0</v>
      </c>
      <c r="U794" s="3055">
        <f t="shared" si="6"/>
        <v>0</v>
      </c>
      <c r="V794" s="3055">
        <f t="shared" si="7"/>
        <v>0</v>
      </c>
      <c r="W794" s="3055">
        <f t="shared" si="8"/>
        <v>0</v>
      </c>
      <c r="X794" s="3055">
        <f t="shared" si="9"/>
        <v>0</v>
      </c>
      <c r="Y794" s="3055">
        <f t="shared" si="10"/>
        <v>0</v>
      </c>
      <c r="Z794" s="3055">
        <f t="shared" si="11"/>
        <v>0</v>
      </c>
      <c r="AA794" s="3055">
        <f t="shared" si="12"/>
        <v>0</v>
      </c>
      <c r="AB794" s="3055">
        <f t="shared" si="13"/>
        <v>0</v>
      </c>
      <c r="AC794" s="3055">
        <f t="shared" si="14"/>
        <v>0</v>
      </c>
      <c r="AD794" s="3056"/>
      <c r="AE794" s="3057">
        <f t="shared" si="0"/>
      </c>
      <c r="AF794" s="3054"/>
      <c r="AG794" s="3054"/>
      <c r="AH794" s="3055"/>
      <c r="AI794" s="3055"/>
      <c r="AJ794" s="3055"/>
      <c r="AK794" s="3055"/>
      <c r="AL794" s="3055"/>
      <c r="AM794" s="3055"/>
      <c r="AN794" s="3055"/>
      <c r="AO794" s="3055"/>
      <c r="AP794" s="3055"/>
      <c r="AQ794" s="3055"/>
      <c r="AR794" s="3055"/>
      <c r="AS794" s="3055"/>
      <c r="AT794" s="3055"/>
      <c r="AU794" s="3056"/>
      <c r="AV794" s="3057">
        <f t="shared" si="15"/>
      </c>
      <c r="AW794" s="3054"/>
      <c r="AX794" s="3054"/>
      <c r="AY794" s="3055"/>
      <c r="AZ794" s="3055"/>
      <c r="BA794" s="3055"/>
      <c r="BB794" s="3055"/>
      <c r="BC794" s="3055"/>
      <c r="BD794" s="3055"/>
      <c r="BE794" s="3055"/>
      <c r="BF794" s="3055"/>
      <c r="BG794" s="3055"/>
      <c r="BH794" s="3055"/>
      <c r="BI794" s="3055"/>
      <c r="BJ794" s="3055"/>
      <c r="BK794" s="3055"/>
      <c r="BL794" s="3056"/>
      <c r="BM794" s="3057">
        <f t="shared" si="16"/>
      </c>
      <c r="BN794" s="3054"/>
      <c r="BO794" s="3054"/>
      <c r="BP794" s="3055"/>
      <c r="BQ794" s="3055"/>
      <c r="BR794" s="3055"/>
      <c r="BS794" s="3055"/>
      <c r="BT794" s="3055"/>
      <c r="BU794" s="3055"/>
      <c r="BV794" s="3055"/>
      <c r="BW794" s="3055"/>
      <c r="BX794" s="3055"/>
      <c r="BY794" s="3055"/>
      <c r="BZ794" s="3055"/>
      <c r="CA794" s="3055"/>
      <c r="CB794" s="3055"/>
      <c r="CC794" s="3056"/>
      <c r="CD794" s="3057">
        <f t="shared" si="0"/>
      </c>
      <c r="CE794" s="3054"/>
      <c r="CF794" s="3054"/>
      <c r="CG794" s="3055"/>
      <c r="CH794" s="3055"/>
      <c r="CI794" s="3055"/>
      <c r="CJ794" s="3055"/>
      <c r="CK794" s="3055"/>
      <c r="CL794" s="3055"/>
      <c r="CM794" s="3055"/>
      <c r="CN794" s="3055"/>
      <c r="CO794" s="3055"/>
      <c r="CP794" s="3055"/>
      <c r="CQ794" s="3055"/>
      <c r="CR794" s="3055"/>
      <c r="CS794" s="3055"/>
      <c r="CU794" s="3054"/>
      <c r="CV794" s="696"/>
      <c r="CW794" s="696"/>
      <c r="CZ794" s="3060">
        <f t="shared" si="17"/>
      </c>
      <c r="DA794" s="3060">
        <f t="shared" si="1"/>
      </c>
      <c r="DB794" s="3060">
        <f t="shared" si="18"/>
      </c>
      <c r="DC794" s="3060">
        <f t="shared" si="19"/>
      </c>
      <c r="DD794" s="3060">
        <f t="shared" si="20"/>
      </c>
      <c r="DE794" s="3060">
        <f t="shared" si="21"/>
      </c>
      <c r="DF794" s="3060">
        <f t="shared" si="22"/>
      </c>
      <c r="DG794" s="3060">
        <f t="shared" si="23"/>
      </c>
      <c r="DH794" s="3060">
        <f t="shared" si="24"/>
      </c>
      <c r="DI794" s="3060">
        <f t="shared" si="1"/>
      </c>
    </row>
    <row r="795" ht="15" customHeight="1" s="3052" customFormat="1">
      <c r="B795" s="3054">
        <f t="shared" si="2"/>
      </c>
      <c r="C795" s="3054"/>
      <c r="D795" s="3054"/>
      <c r="E795" s="3055"/>
      <c r="F795" s="3055"/>
      <c r="G795" s="3055"/>
      <c r="H795" s="3055"/>
      <c r="I795" s="3055"/>
      <c r="J795" s="3055"/>
      <c r="K795" s="3055"/>
      <c r="L795" s="3055"/>
      <c r="M795" s="3055"/>
      <c r="N795" s="3055"/>
      <c r="O795" s="3055"/>
      <c r="P795" s="3055"/>
      <c r="Q795" s="3055"/>
      <c r="R795" s="3055">
        <f t="shared" si="3"/>
        <v>0</v>
      </c>
      <c r="S795" s="3055">
        <f t="shared" si="4"/>
        <v>0</v>
      </c>
      <c r="T795" s="3055">
        <f t="shared" si="5"/>
        <v>0</v>
      </c>
      <c r="U795" s="3055">
        <f t="shared" si="6"/>
        <v>0</v>
      </c>
      <c r="V795" s="3055">
        <f t="shared" si="7"/>
        <v>0</v>
      </c>
      <c r="W795" s="3055">
        <f t="shared" si="8"/>
        <v>0</v>
      </c>
      <c r="X795" s="3055">
        <f t="shared" si="9"/>
        <v>0</v>
      </c>
      <c r="Y795" s="3055">
        <f t="shared" si="10"/>
        <v>0</v>
      </c>
      <c r="Z795" s="3055">
        <f t="shared" si="11"/>
        <v>0</v>
      </c>
      <c r="AA795" s="3055">
        <f t="shared" si="12"/>
        <v>0</v>
      </c>
      <c r="AB795" s="3055">
        <f t="shared" si="13"/>
        <v>0</v>
      </c>
      <c r="AC795" s="3055">
        <f t="shared" si="14"/>
        <v>0</v>
      </c>
      <c r="AD795" s="3056"/>
      <c r="AE795" s="3057">
        <f t="shared" si="0"/>
      </c>
      <c r="AF795" s="3054"/>
      <c r="AG795" s="3054"/>
      <c r="AH795" s="3055"/>
      <c r="AI795" s="3055"/>
      <c r="AJ795" s="3055"/>
      <c r="AK795" s="3055"/>
      <c r="AL795" s="3055"/>
      <c r="AM795" s="3055"/>
      <c r="AN795" s="3055"/>
      <c r="AO795" s="3055"/>
      <c r="AP795" s="3055"/>
      <c r="AQ795" s="3055"/>
      <c r="AR795" s="3055"/>
      <c r="AS795" s="3055"/>
      <c r="AT795" s="3055"/>
      <c r="AU795" s="3056"/>
      <c r="AV795" s="3057">
        <f t="shared" si="15"/>
      </c>
      <c r="AW795" s="3054"/>
      <c r="AX795" s="3054"/>
      <c r="AY795" s="3055"/>
      <c r="AZ795" s="3055"/>
      <c r="BA795" s="3055"/>
      <c r="BB795" s="3055"/>
      <c r="BC795" s="3055"/>
      <c r="BD795" s="3055"/>
      <c r="BE795" s="3055"/>
      <c r="BF795" s="3055"/>
      <c r="BG795" s="3055"/>
      <c r="BH795" s="3055"/>
      <c r="BI795" s="3055"/>
      <c r="BJ795" s="3055"/>
      <c r="BK795" s="3055"/>
      <c r="BL795" s="3056"/>
      <c r="BM795" s="3057">
        <f t="shared" si="16"/>
      </c>
      <c r="BN795" s="3054"/>
      <c r="BO795" s="3054"/>
      <c r="BP795" s="3055"/>
      <c r="BQ795" s="3055"/>
      <c r="BR795" s="3055"/>
      <c r="BS795" s="3055"/>
      <c r="BT795" s="3055"/>
      <c r="BU795" s="3055"/>
      <c r="BV795" s="3055"/>
      <c r="BW795" s="3055"/>
      <c r="BX795" s="3055"/>
      <c r="BY795" s="3055"/>
      <c r="BZ795" s="3055"/>
      <c r="CA795" s="3055"/>
      <c r="CB795" s="3055"/>
      <c r="CC795" s="3056"/>
      <c r="CD795" s="3057">
        <f t="shared" si="0"/>
      </c>
      <c r="CE795" s="3054"/>
      <c r="CF795" s="3054"/>
      <c r="CG795" s="3055"/>
      <c r="CH795" s="3055"/>
      <c r="CI795" s="3055"/>
      <c r="CJ795" s="3055"/>
      <c r="CK795" s="3055"/>
      <c r="CL795" s="3055"/>
      <c r="CM795" s="3055"/>
      <c r="CN795" s="3055"/>
      <c r="CO795" s="3055"/>
      <c r="CP795" s="3055"/>
      <c r="CQ795" s="3055"/>
      <c r="CR795" s="3055"/>
      <c r="CS795" s="3055"/>
      <c r="CU795" s="3054"/>
      <c r="CV795" s="696"/>
      <c r="CW795" s="696"/>
      <c r="CZ795" s="3060">
        <f t="shared" si="17"/>
      </c>
      <c r="DA795" s="3060">
        <f t="shared" si="1"/>
      </c>
      <c r="DB795" s="3060">
        <f t="shared" si="18"/>
      </c>
      <c r="DC795" s="3060">
        <f t="shared" si="19"/>
      </c>
      <c r="DD795" s="3060">
        <f t="shared" si="20"/>
      </c>
      <c r="DE795" s="3060">
        <f t="shared" si="21"/>
      </c>
      <c r="DF795" s="3060">
        <f t="shared" si="22"/>
      </c>
      <c r="DG795" s="3060">
        <f t="shared" si="23"/>
      </c>
      <c r="DH795" s="3060">
        <f t="shared" si="24"/>
      </c>
      <c r="DI795" s="3060">
        <f t="shared" si="1"/>
      </c>
    </row>
    <row r="796" ht="15" customHeight="1" s="3052" customFormat="1">
      <c r="B796" s="3054">
        <f t="shared" si="2"/>
      </c>
      <c r="C796" s="3054"/>
      <c r="D796" s="3054"/>
      <c r="E796" s="3055"/>
      <c r="F796" s="3055"/>
      <c r="G796" s="3055"/>
      <c r="H796" s="3055"/>
      <c r="I796" s="3055"/>
      <c r="J796" s="3055"/>
      <c r="K796" s="3055"/>
      <c r="L796" s="3055"/>
      <c r="M796" s="3055"/>
      <c r="N796" s="3055"/>
      <c r="O796" s="3055"/>
      <c r="P796" s="3055"/>
      <c r="Q796" s="3055"/>
      <c r="R796" s="3055">
        <f t="shared" si="3"/>
        <v>0</v>
      </c>
      <c r="S796" s="3055">
        <f t="shared" si="4"/>
        <v>0</v>
      </c>
      <c r="T796" s="3055">
        <f t="shared" si="5"/>
        <v>0</v>
      </c>
      <c r="U796" s="3055">
        <f t="shared" si="6"/>
        <v>0</v>
      </c>
      <c r="V796" s="3055">
        <f t="shared" si="7"/>
        <v>0</v>
      </c>
      <c r="W796" s="3055">
        <f t="shared" si="8"/>
        <v>0</v>
      </c>
      <c r="X796" s="3055">
        <f t="shared" si="9"/>
        <v>0</v>
      </c>
      <c r="Y796" s="3055">
        <f t="shared" si="10"/>
        <v>0</v>
      </c>
      <c r="Z796" s="3055">
        <f t="shared" si="11"/>
        <v>0</v>
      </c>
      <c r="AA796" s="3055">
        <f t="shared" si="12"/>
        <v>0</v>
      </c>
      <c r="AB796" s="3055">
        <f t="shared" si="13"/>
        <v>0</v>
      </c>
      <c r="AC796" s="3055">
        <f t="shared" si="14"/>
        <v>0</v>
      </c>
      <c r="AD796" s="3056"/>
      <c r="AE796" s="3057">
        <f t="shared" si="0"/>
      </c>
      <c r="AF796" s="3054"/>
      <c r="AG796" s="3054"/>
      <c r="AH796" s="3055"/>
      <c r="AI796" s="3055"/>
      <c r="AJ796" s="3055"/>
      <c r="AK796" s="3055"/>
      <c r="AL796" s="3055"/>
      <c r="AM796" s="3055"/>
      <c r="AN796" s="3055"/>
      <c r="AO796" s="3055"/>
      <c r="AP796" s="3055"/>
      <c r="AQ796" s="3055"/>
      <c r="AR796" s="3055"/>
      <c r="AS796" s="3055"/>
      <c r="AT796" s="3055"/>
      <c r="AU796" s="3056"/>
      <c r="AV796" s="3057">
        <f t="shared" si="15"/>
      </c>
      <c r="AW796" s="3054"/>
      <c r="AX796" s="3054"/>
      <c r="AY796" s="3055"/>
      <c r="AZ796" s="3055"/>
      <c r="BA796" s="3055"/>
      <c r="BB796" s="3055"/>
      <c r="BC796" s="3055"/>
      <c r="BD796" s="3055"/>
      <c r="BE796" s="3055"/>
      <c r="BF796" s="3055"/>
      <c r="BG796" s="3055"/>
      <c r="BH796" s="3055"/>
      <c r="BI796" s="3055"/>
      <c r="BJ796" s="3055"/>
      <c r="BK796" s="3055"/>
      <c r="BL796" s="3056"/>
      <c r="BM796" s="3057">
        <f t="shared" si="16"/>
      </c>
      <c r="BN796" s="3054"/>
      <c r="BO796" s="3054"/>
      <c r="BP796" s="3055"/>
      <c r="BQ796" s="3055"/>
      <c r="BR796" s="3055"/>
      <c r="BS796" s="3055"/>
      <c r="BT796" s="3055"/>
      <c r="BU796" s="3055"/>
      <c r="BV796" s="3055"/>
      <c r="BW796" s="3055"/>
      <c r="BX796" s="3055"/>
      <c r="BY796" s="3055"/>
      <c r="BZ796" s="3055"/>
      <c r="CA796" s="3055"/>
      <c r="CB796" s="3055"/>
      <c r="CC796" s="3056"/>
      <c r="CD796" s="3057">
        <f t="shared" si="0"/>
      </c>
      <c r="CE796" s="3054"/>
      <c r="CF796" s="3054"/>
      <c r="CG796" s="3055"/>
      <c r="CH796" s="3055"/>
      <c r="CI796" s="3055"/>
      <c r="CJ796" s="3055"/>
      <c r="CK796" s="3055"/>
      <c r="CL796" s="3055"/>
      <c r="CM796" s="3055"/>
      <c r="CN796" s="3055"/>
      <c r="CO796" s="3055"/>
      <c r="CP796" s="3055"/>
      <c r="CQ796" s="3055"/>
      <c r="CR796" s="3055"/>
      <c r="CS796" s="3055"/>
      <c r="CU796" s="3054"/>
      <c r="CV796" s="696"/>
      <c r="CW796" s="696"/>
      <c r="CZ796" s="3060">
        <f t="shared" si="17"/>
      </c>
      <c r="DA796" s="3060">
        <f t="shared" si="1"/>
      </c>
      <c r="DB796" s="3060">
        <f t="shared" si="18"/>
      </c>
      <c r="DC796" s="3060">
        <f t="shared" si="19"/>
      </c>
      <c r="DD796" s="3060">
        <f t="shared" si="20"/>
      </c>
      <c r="DE796" s="3060">
        <f t="shared" si="21"/>
      </c>
      <c r="DF796" s="3060">
        <f t="shared" si="22"/>
      </c>
      <c r="DG796" s="3060">
        <f t="shared" si="23"/>
      </c>
      <c r="DH796" s="3060">
        <f t="shared" si="24"/>
      </c>
      <c r="DI796" s="3060">
        <f t="shared" si="1"/>
      </c>
    </row>
    <row r="797" ht="15" customHeight="1" s="3052" customFormat="1">
      <c r="B797" s="3054">
        <f t="shared" si="2"/>
      </c>
      <c r="C797" s="3054"/>
      <c r="D797" s="3054"/>
      <c r="E797" s="3055"/>
      <c r="F797" s="3055"/>
      <c r="G797" s="3055"/>
      <c r="H797" s="3055"/>
      <c r="I797" s="3055"/>
      <c r="J797" s="3055"/>
      <c r="K797" s="3055"/>
      <c r="L797" s="3055"/>
      <c r="M797" s="3055"/>
      <c r="N797" s="3055"/>
      <c r="O797" s="3055"/>
      <c r="P797" s="3055"/>
      <c r="Q797" s="3055"/>
      <c r="R797" s="3055">
        <f t="shared" si="3"/>
        <v>0</v>
      </c>
      <c r="S797" s="3055">
        <f t="shared" si="4"/>
        <v>0</v>
      </c>
      <c r="T797" s="3055">
        <f t="shared" si="5"/>
        <v>0</v>
      </c>
      <c r="U797" s="3055">
        <f t="shared" si="6"/>
        <v>0</v>
      </c>
      <c r="V797" s="3055">
        <f t="shared" si="7"/>
        <v>0</v>
      </c>
      <c r="W797" s="3055">
        <f t="shared" si="8"/>
        <v>0</v>
      </c>
      <c r="X797" s="3055">
        <f t="shared" si="9"/>
        <v>0</v>
      </c>
      <c r="Y797" s="3055">
        <f t="shared" si="10"/>
        <v>0</v>
      </c>
      <c r="Z797" s="3055">
        <f t="shared" si="11"/>
        <v>0</v>
      </c>
      <c r="AA797" s="3055">
        <f t="shared" si="12"/>
        <v>0</v>
      </c>
      <c r="AB797" s="3055">
        <f t="shared" si="13"/>
        <v>0</v>
      </c>
      <c r="AC797" s="3055">
        <f t="shared" si="14"/>
        <v>0</v>
      </c>
      <c r="AD797" s="3056"/>
      <c r="AE797" s="3057">
        <f t="shared" si="0"/>
      </c>
      <c r="AF797" s="3054"/>
      <c r="AG797" s="3054"/>
      <c r="AH797" s="3055"/>
      <c r="AI797" s="3055"/>
      <c r="AJ797" s="3055"/>
      <c r="AK797" s="3055"/>
      <c r="AL797" s="3055"/>
      <c r="AM797" s="3055"/>
      <c r="AN797" s="3055"/>
      <c r="AO797" s="3055"/>
      <c r="AP797" s="3055"/>
      <c r="AQ797" s="3055"/>
      <c r="AR797" s="3055"/>
      <c r="AS797" s="3055"/>
      <c r="AT797" s="3055"/>
      <c r="AU797" s="3056"/>
      <c r="AV797" s="3057">
        <f t="shared" si="15"/>
      </c>
      <c r="AW797" s="3054"/>
      <c r="AX797" s="3054"/>
      <c r="AY797" s="3055"/>
      <c r="AZ797" s="3055"/>
      <c r="BA797" s="3055"/>
      <c r="BB797" s="3055"/>
      <c r="BC797" s="3055"/>
      <c r="BD797" s="3055"/>
      <c r="BE797" s="3055"/>
      <c r="BF797" s="3055"/>
      <c r="BG797" s="3055"/>
      <c r="BH797" s="3055"/>
      <c r="BI797" s="3055"/>
      <c r="BJ797" s="3055"/>
      <c r="BK797" s="3055"/>
      <c r="BL797" s="3056"/>
      <c r="BM797" s="3057">
        <f t="shared" si="16"/>
      </c>
      <c r="BN797" s="3054"/>
      <c r="BO797" s="3054"/>
      <c r="BP797" s="3055"/>
      <c r="BQ797" s="3055"/>
      <c r="BR797" s="3055"/>
      <c r="BS797" s="3055"/>
      <c r="BT797" s="3055"/>
      <c r="BU797" s="3055"/>
      <c r="BV797" s="3055"/>
      <c r="BW797" s="3055"/>
      <c r="BX797" s="3055"/>
      <c r="BY797" s="3055"/>
      <c r="BZ797" s="3055"/>
      <c r="CA797" s="3055"/>
      <c r="CB797" s="3055"/>
      <c r="CC797" s="3056"/>
      <c r="CD797" s="3057">
        <f t="shared" si="0"/>
      </c>
      <c r="CE797" s="3054"/>
      <c r="CF797" s="3054"/>
      <c r="CG797" s="3055"/>
      <c r="CH797" s="3055"/>
      <c r="CI797" s="3055"/>
      <c r="CJ797" s="3055"/>
      <c r="CK797" s="3055"/>
      <c r="CL797" s="3055"/>
      <c r="CM797" s="3055"/>
      <c r="CN797" s="3055"/>
      <c r="CO797" s="3055"/>
      <c r="CP797" s="3055"/>
      <c r="CQ797" s="3055"/>
      <c r="CR797" s="3055"/>
      <c r="CS797" s="3055"/>
      <c r="CU797" s="3054"/>
      <c r="CV797" s="696"/>
      <c r="CW797" s="696"/>
      <c r="CZ797" s="3060">
        <f t="shared" si="17"/>
      </c>
      <c r="DA797" s="3060">
        <f t="shared" si="1"/>
      </c>
      <c r="DB797" s="3060">
        <f t="shared" si="18"/>
      </c>
      <c r="DC797" s="3060">
        <f t="shared" si="19"/>
      </c>
      <c r="DD797" s="3060">
        <f t="shared" si="20"/>
      </c>
      <c r="DE797" s="3060">
        <f t="shared" si="21"/>
      </c>
      <c r="DF797" s="3060">
        <f t="shared" si="22"/>
      </c>
      <c r="DG797" s="3060">
        <f t="shared" si="23"/>
      </c>
      <c r="DH797" s="3060">
        <f t="shared" si="24"/>
      </c>
      <c r="DI797" s="3060">
        <f t="shared" si="1"/>
      </c>
    </row>
    <row r="798" ht="15" customHeight="1" s="3052" customFormat="1">
      <c r="B798" s="3054">
        <f t="shared" si="2"/>
      </c>
      <c r="C798" s="3054"/>
      <c r="D798" s="3054"/>
      <c r="E798" s="3055"/>
      <c r="F798" s="3055"/>
      <c r="G798" s="3055"/>
      <c r="H798" s="3055"/>
      <c r="I798" s="3055"/>
      <c r="J798" s="3055"/>
      <c r="K798" s="3055"/>
      <c r="L798" s="3055"/>
      <c r="M798" s="3055"/>
      <c r="N798" s="3055"/>
      <c r="O798" s="3055"/>
      <c r="P798" s="3055"/>
      <c r="Q798" s="3055"/>
      <c r="R798" s="3055">
        <f t="shared" si="3"/>
        <v>0</v>
      </c>
      <c r="S798" s="3055">
        <f t="shared" si="4"/>
        <v>0</v>
      </c>
      <c r="T798" s="3055">
        <f t="shared" si="5"/>
        <v>0</v>
      </c>
      <c r="U798" s="3055">
        <f t="shared" si="6"/>
        <v>0</v>
      </c>
      <c r="V798" s="3055">
        <f t="shared" si="7"/>
        <v>0</v>
      </c>
      <c r="W798" s="3055">
        <f t="shared" si="8"/>
        <v>0</v>
      </c>
      <c r="X798" s="3055">
        <f t="shared" si="9"/>
        <v>0</v>
      </c>
      <c r="Y798" s="3055">
        <f t="shared" si="10"/>
        <v>0</v>
      </c>
      <c r="Z798" s="3055">
        <f t="shared" si="11"/>
        <v>0</v>
      </c>
      <c r="AA798" s="3055">
        <f t="shared" si="12"/>
        <v>0</v>
      </c>
      <c r="AB798" s="3055">
        <f t="shared" si="13"/>
        <v>0</v>
      </c>
      <c r="AC798" s="3055">
        <f t="shared" si="14"/>
        <v>0</v>
      </c>
      <c r="AD798" s="3056"/>
      <c r="AE798" s="3057">
        <f t="shared" si="0"/>
      </c>
      <c r="AF798" s="3054"/>
      <c r="AG798" s="3054"/>
      <c r="AH798" s="3055"/>
      <c r="AI798" s="3055"/>
      <c r="AJ798" s="3055"/>
      <c r="AK798" s="3055"/>
      <c r="AL798" s="3055"/>
      <c r="AM798" s="3055"/>
      <c r="AN798" s="3055"/>
      <c r="AO798" s="3055"/>
      <c r="AP798" s="3055"/>
      <c r="AQ798" s="3055"/>
      <c r="AR798" s="3055"/>
      <c r="AS798" s="3055"/>
      <c r="AT798" s="3055"/>
      <c r="AU798" s="3056"/>
      <c r="AV798" s="3057">
        <f t="shared" si="15"/>
      </c>
      <c r="AW798" s="3054"/>
      <c r="AX798" s="3054"/>
      <c r="AY798" s="3055"/>
      <c r="AZ798" s="3055"/>
      <c r="BA798" s="3055"/>
      <c r="BB798" s="3055"/>
      <c r="BC798" s="3055"/>
      <c r="BD798" s="3055"/>
      <c r="BE798" s="3055"/>
      <c r="BF798" s="3055"/>
      <c r="BG798" s="3055"/>
      <c r="BH798" s="3055"/>
      <c r="BI798" s="3055"/>
      <c r="BJ798" s="3055"/>
      <c r="BK798" s="3055"/>
      <c r="BL798" s="3056"/>
      <c r="BM798" s="3057">
        <f t="shared" si="16"/>
      </c>
      <c r="BN798" s="3054"/>
      <c r="BO798" s="3054"/>
      <c r="BP798" s="3055"/>
      <c r="BQ798" s="3055"/>
      <c r="BR798" s="3055"/>
      <c r="BS798" s="3055"/>
      <c r="BT798" s="3055"/>
      <c r="BU798" s="3055"/>
      <c r="BV798" s="3055"/>
      <c r="BW798" s="3055"/>
      <c r="BX798" s="3055"/>
      <c r="BY798" s="3055"/>
      <c r="BZ798" s="3055"/>
      <c r="CA798" s="3055"/>
      <c r="CB798" s="3055"/>
      <c r="CC798" s="3056"/>
      <c r="CD798" s="3057">
        <f t="shared" si="0"/>
      </c>
      <c r="CE798" s="3054"/>
      <c r="CF798" s="3054"/>
      <c r="CG798" s="3055"/>
      <c r="CH798" s="3055"/>
      <c r="CI798" s="3055"/>
      <c r="CJ798" s="3055"/>
      <c r="CK798" s="3055"/>
      <c r="CL798" s="3055"/>
      <c r="CM798" s="3055"/>
      <c r="CN798" s="3055"/>
      <c r="CO798" s="3055"/>
      <c r="CP798" s="3055"/>
      <c r="CQ798" s="3055"/>
      <c r="CR798" s="3055"/>
      <c r="CS798" s="3055"/>
      <c r="CU798" s="3054"/>
      <c r="CV798" s="696"/>
      <c r="CW798" s="696"/>
      <c r="CZ798" s="3060">
        <f t="shared" si="17"/>
      </c>
      <c r="DA798" s="3060">
        <f t="shared" si="1"/>
      </c>
      <c r="DB798" s="3060">
        <f t="shared" si="18"/>
      </c>
      <c r="DC798" s="3060">
        <f t="shared" si="19"/>
      </c>
      <c r="DD798" s="3060">
        <f t="shared" si="20"/>
      </c>
      <c r="DE798" s="3060">
        <f t="shared" si="21"/>
      </c>
      <c r="DF798" s="3060">
        <f t="shared" si="22"/>
      </c>
      <c r="DG798" s="3060">
        <f t="shared" si="23"/>
      </c>
      <c r="DH798" s="3060">
        <f t="shared" si="24"/>
      </c>
      <c r="DI798" s="3060">
        <f t="shared" si="1"/>
      </c>
    </row>
    <row r="799" ht="15" customHeight="1" s="3052" customFormat="1">
      <c r="B799" s="3054">
        <f t="shared" si="2"/>
      </c>
      <c r="C799" s="3054"/>
      <c r="D799" s="3054"/>
      <c r="E799" s="3055"/>
      <c r="F799" s="3055"/>
      <c r="G799" s="3055"/>
      <c r="H799" s="3055"/>
      <c r="I799" s="3055"/>
      <c r="J799" s="3055"/>
      <c r="K799" s="3055"/>
      <c r="L799" s="3055"/>
      <c r="M799" s="3055"/>
      <c r="N799" s="3055"/>
      <c r="O799" s="3055"/>
      <c r="P799" s="3055"/>
      <c r="Q799" s="3055"/>
      <c r="R799" s="3055">
        <f t="shared" si="3"/>
        <v>0</v>
      </c>
      <c r="S799" s="3055">
        <f t="shared" si="4"/>
        <v>0</v>
      </c>
      <c r="T799" s="3055">
        <f t="shared" si="5"/>
        <v>0</v>
      </c>
      <c r="U799" s="3055">
        <f t="shared" si="6"/>
        <v>0</v>
      </c>
      <c r="V799" s="3055">
        <f t="shared" si="7"/>
        <v>0</v>
      </c>
      <c r="W799" s="3055">
        <f t="shared" si="8"/>
        <v>0</v>
      </c>
      <c r="X799" s="3055">
        <f t="shared" si="9"/>
        <v>0</v>
      </c>
      <c r="Y799" s="3055">
        <f t="shared" si="10"/>
        <v>0</v>
      </c>
      <c r="Z799" s="3055">
        <f t="shared" si="11"/>
        <v>0</v>
      </c>
      <c r="AA799" s="3055">
        <f t="shared" si="12"/>
        <v>0</v>
      </c>
      <c r="AB799" s="3055">
        <f t="shared" si="13"/>
        <v>0</v>
      </c>
      <c r="AC799" s="3055">
        <f t="shared" si="14"/>
        <v>0</v>
      </c>
      <c r="AD799" s="3056"/>
      <c r="AE799" s="3057">
        <f t="shared" si="0"/>
      </c>
      <c r="AF799" s="3054"/>
      <c r="AG799" s="3054"/>
      <c r="AH799" s="3055"/>
      <c r="AI799" s="3055"/>
      <c r="AJ799" s="3055"/>
      <c r="AK799" s="3055"/>
      <c r="AL799" s="3055"/>
      <c r="AM799" s="3055"/>
      <c r="AN799" s="3055"/>
      <c r="AO799" s="3055"/>
      <c r="AP799" s="3055"/>
      <c r="AQ799" s="3055"/>
      <c r="AR799" s="3055"/>
      <c r="AS799" s="3055"/>
      <c r="AT799" s="3055"/>
      <c r="AU799" s="3056"/>
      <c r="AV799" s="3057">
        <f t="shared" si="15"/>
      </c>
      <c r="AW799" s="3054"/>
      <c r="AX799" s="3054"/>
      <c r="AY799" s="3055"/>
      <c r="AZ799" s="3055"/>
      <c r="BA799" s="3055"/>
      <c r="BB799" s="3055"/>
      <c r="BC799" s="3055"/>
      <c r="BD799" s="3055"/>
      <c r="BE799" s="3055"/>
      <c r="BF799" s="3055"/>
      <c r="BG799" s="3055"/>
      <c r="BH799" s="3055"/>
      <c r="BI799" s="3055"/>
      <c r="BJ799" s="3055"/>
      <c r="BK799" s="3055"/>
      <c r="BL799" s="3056"/>
      <c r="BM799" s="3057">
        <f t="shared" si="16"/>
      </c>
      <c r="BN799" s="3054"/>
      <c r="BO799" s="3054"/>
      <c r="BP799" s="3055"/>
      <c r="BQ799" s="3055"/>
      <c r="BR799" s="3055"/>
      <c r="BS799" s="3055"/>
      <c r="BT799" s="3055"/>
      <c r="BU799" s="3055"/>
      <c r="BV799" s="3055"/>
      <c r="BW799" s="3055"/>
      <c r="BX799" s="3055"/>
      <c r="BY799" s="3055"/>
      <c r="BZ799" s="3055"/>
      <c r="CA799" s="3055"/>
      <c r="CB799" s="3055"/>
      <c r="CC799" s="3056"/>
      <c r="CD799" s="3057">
        <f t="shared" si="0"/>
      </c>
      <c r="CE799" s="3054"/>
      <c r="CF799" s="3054"/>
      <c r="CG799" s="3055"/>
      <c r="CH799" s="3055"/>
      <c r="CI799" s="3055"/>
      <c r="CJ799" s="3055"/>
      <c r="CK799" s="3055"/>
      <c r="CL799" s="3055"/>
      <c r="CM799" s="3055"/>
      <c r="CN799" s="3055"/>
      <c r="CO799" s="3055"/>
      <c r="CP799" s="3055"/>
      <c r="CQ799" s="3055"/>
      <c r="CR799" s="3055"/>
      <c r="CS799" s="3055"/>
      <c r="CU799" s="3054"/>
      <c r="CV799" s="696"/>
      <c r="CW799" s="696"/>
      <c r="CZ799" s="3060">
        <f t="shared" si="17"/>
      </c>
      <c r="DA799" s="3060">
        <f t="shared" si="1"/>
      </c>
      <c r="DB799" s="3060">
        <f t="shared" si="18"/>
      </c>
      <c r="DC799" s="3060">
        <f t="shared" si="19"/>
      </c>
      <c r="DD799" s="3060">
        <f t="shared" si="20"/>
      </c>
      <c r="DE799" s="3060">
        <f t="shared" si="21"/>
      </c>
      <c r="DF799" s="3060">
        <f t="shared" si="22"/>
      </c>
      <c r="DG799" s="3060">
        <f t="shared" si="23"/>
      </c>
      <c r="DH799" s="3060">
        <f t="shared" si="24"/>
      </c>
      <c r="DI799" s="3060">
        <f t="shared" si="1"/>
      </c>
    </row>
    <row r="800" ht="15" customHeight="1" s="3052" customFormat="1">
      <c r="B800" s="3054">
        <f t="shared" si="2"/>
      </c>
      <c r="C800" s="3054"/>
      <c r="D800" s="3054"/>
      <c r="E800" s="3055"/>
      <c r="F800" s="3055"/>
      <c r="G800" s="3055"/>
      <c r="H800" s="3055"/>
      <c r="I800" s="3055"/>
      <c r="J800" s="3055"/>
      <c r="K800" s="3055"/>
      <c r="L800" s="3055"/>
      <c r="M800" s="3055"/>
      <c r="N800" s="3055"/>
      <c r="O800" s="3055"/>
      <c r="P800" s="3055"/>
      <c r="Q800" s="3055"/>
      <c r="R800" s="3055">
        <f t="shared" si="3"/>
        <v>0</v>
      </c>
      <c r="S800" s="3055">
        <f t="shared" si="4"/>
        <v>0</v>
      </c>
      <c r="T800" s="3055">
        <f t="shared" si="5"/>
        <v>0</v>
      </c>
      <c r="U800" s="3055">
        <f t="shared" si="6"/>
        <v>0</v>
      </c>
      <c r="V800" s="3055">
        <f t="shared" si="7"/>
        <v>0</v>
      </c>
      <c r="W800" s="3055">
        <f t="shared" si="8"/>
        <v>0</v>
      </c>
      <c r="X800" s="3055">
        <f t="shared" si="9"/>
        <v>0</v>
      </c>
      <c r="Y800" s="3055">
        <f t="shared" si="10"/>
        <v>0</v>
      </c>
      <c r="Z800" s="3055">
        <f t="shared" si="11"/>
        <v>0</v>
      </c>
      <c r="AA800" s="3055">
        <f t="shared" si="12"/>
        <v>0</v>
      </c>
      <c r="AB800" s="3055">
        <f t="shared" si="13"/>
        <v>0</v>
      </c>
      <c r="AC800" s="3055">
        <f t="shared" si="14"/>
        <v>0</v>
      </c>
      <c r="AD800" s="3056"/>
      <c r="AE800" s="3057">
        <f t="shared" si="0"/>
      </c>
      <c r="AF800" s="3054"/>
      <c r="AG800" s="3054"/>
      <c r="AH800" s="3055"/>
      <c r="AI800" s="3055"/>
      <c r="AJ800" s="3055"/>
      <c r="AK800" s="3055"/>
      <c r="AL800" s="3055"/>
      <c r="AM800" s="3055"/>
      <c r="AN800" s="3055"/>
      <c r="AO800" s="3055"/>
      <c r="AP800" s="3055"/>
      <c r="AQ800" s="3055"/>
      <c r="AR800" s="3055"/>
      <c r="AS800" s="3055"/>
      <c r="AT800" s="3055"/>
      <c r="AU800" s="3056"/>
      <c r="AV800" s="3057">
        <f t="shared" si="15"/>
      </c>
      <c r="AW800" s="3054"/>
      <c r="AX800" s="3054"/>
      <c r="AY800" s="3055"/>
      <c r="AZ800" s="3055"/>
      <c r="BA800" s="3055"/>
      <c r="BB800" s="3055"/>
      <c r="BC800" s="3055"/>
      <c r="BD800" s="3055"/>
      <c r="BE800" s="3055"/>
      <c r="BF800" s="3055"/>
      <c r="BG800" s="3055"/>
      <c r="BH800" s="3055"/>
      <c r="BI800" s="3055"/>
      <c r="BJ800" s="3055"/>
      <c r="BK800" s="3055"/>
      <c r="BL800" s="3056"/>
      <c r="BM800" s="3057">
        <f t="shared" si="16"/>
      </c>
      <c r="BN800" s="3054"/>
      <c r="BO800" s="3054"/>
      <c r="BP800" s="3055"/>
      <c r="BQ800" s="3055"/>
      <c r="BR800" s="3055"/>
      <c r="BS800" s="3055"/>
      <c r="BT800" s="3055"/>
      <c r="BU800" s="3055"/>
      <c r="BV800" s="3055"/>
      <c r="BW800" s="3055"/>
      <c r="BX800" s="3055"/>
      <c r="BY800" s="3055"/>
      <c r="BZ800" s="3055"/>
      <c r="CA800" s="3055"/>
      <c r="CB800" s="3055"/>
      <c r="CC800" s="3056"/>
      <c r="CD800" s="3057">
        <f t="shared" si="0"/>
      </c>
      <c r="CE800" s="3054"/>
      <c r="CF800" s="3054"/>
      <c r="CG800" s="3055"/>
      <c r="CH800" s="3055"/>
      <c r="CI800" s="3055"/>
      <c r="CJ800" s="3055"/>
      <c r="CK800" s="3055"/>
      <c r="CL800" s="3055"/>
      <c r="CM800" s="3055"/>
      <c r="CN800" s="3055"/>
      <c r="CO800" s="3055"/>
      <c r="CP800" s="3055"/>
      <c r="CQ800" s="3055"/>
      <c r="CR800" s="3055"/>
      <c r="CS800" s="3055"/>
      <c r="CU800" s="3054"/>
      <c r="CV800" s="696"/>
      <c r="CW800" s="696"/>
      <c r="CZ800" s="3060">
        <f t="shared" si="17"/>
      </c>
      <c r="DA800" s="3060">
        <f t="shared" si="1"/>
      </c>
      <c r="DB800" s="3060">
        <f t="shared" si="18"/>
      </c>
      <c r="DC800" s="3060">
        <f t="shared" si="19"/>
      </c>
      <c r="DD800" s="3060">
        <f t="shared" si="20"/>
      </c>
      <c r="DE800" s="3060">
        <f t="shared" si="21"/>
      </c>
      <c r="DF800" s="3060">
        <f t="shared" si="22"/>
      </c>
      <c r="DG800" s="3060">
        <f t="shared" si="23"/>
      </c>
      <c r="DH800" s="3060">
        <f t="shared" si="24"/>
      </c>
      <c r="DI800" s="3060">
        <f t="shared" si="1"/>
      </c>
    </row>
    <row r="801" ht="15" customHeight="1" s="3052" customFormat="1">
      <c r="B801" s="3054">
        <f t="shared" si="2"/>
      </c>
      <c r="C801" s="3054"/>
      <c r="D801" s="3054"/>
      <c r="E801" s="3055"/>
      <c r="F801" s="3055"/>
      <c r="G801" s="3055"/>
      <c r="H801" s="3055"/>
      <c r="I801" s="3055"/>
      <c r="J801" s="3055"/>
      <c r="K801" s="3055"/>
      <c r="L801" s="3055"/>
      <c r="M801" s="3055"/>
      <c r="N801" s="3055"/>
      <c r="O801" s="3055"/>
      <c r="P801" s="3055"/>
      <c r="Q801" s="3055"/>
      <c r="R801" s="3055">
        <f t="shared" si="3"/>
        <v>0</v>
      </c>
      <c r="S801" s="3055">
        <f t="shared" si="4"/>
        <v>0</v>
      </c>
      <c r="T801" s="3055">
        <f t="shared" si="5"/>
        <v>0</v>
      </c>
      <c r="U801" s="3055">
        <f t="shared" si="6"/>
        <v>0</v>
      </c>
      <c r="V801" s="3055">
        <f t="shared" si="7"/>
        <v>0</v>
      </c>
      <c r="W801" s="3055">
        <f t="shared" si="8"/>
        <v>0</v>
      </c>
      <c r="X801" s="3055">
        <f t="shared" si="9"/>
        <v>0</v>
      </c>
      <c r="Y801" s="3055">
        <f t="shared" si="10"/>
        <v>0</v>
      </c>
      <c r="Z801" s="3055">
        <f t="shared" si="11"/>
        <v>0</v>
      </c>
      <c r="AA801" s="3055">
        <f t="shared" si="12"/>
        <v>0</v>
      </c>
      <c r="AB801" s="3055">
        <f t="shared" si="13"/>
        <v>0</v>
      </c>
      <c r="AC801" s="3055">
        <f t="shared" si="14"/>
        <v>0</v>
      </c>
      <c r="AD801" s="3056"/>
      <c r="AE801" s="3057">
        <f t="shared" si="0"/>
      </c>
      <c r="AF801" s="3054"/>
      <c r="AG801" s="3054"/>
      <c r="AH801" s="3055"/>
      <c r="AI801" s="3055"/>
      <c r="AJ801" s="3055"/>
      <c r="AK801" s="3055"/>
      <c r="AL801" s="3055"/>
      <c r="AM801" s="3055"/>
      <c r="AN801" s="3055"/>
      <c r="AO801" s="3055"/>
      <c r="AP801" s="3055"/>
      <c r="AQ801" s="3055"/>
      <c r="AR801" s="3055"/>
      <c r="AS801" s="3055"/>
      <c r="AT801" s="3055"/>
      <c r="AU801" s="3056"/>
      <c r="AV801" s="3057">
        <f t="shared" si="15"/>
      </c>
      <c r="AW801" s="3054"/>
      <c r="AX801" s="3054"/>
      <c r="AY801" s="3055"/>
      <c r="AZ801" s="3055"/>
      <c r="BA801" s="3055"/>
      <c r="BB801" s="3055"/>
      <c r="BC801" s="3055"/>
      <c r="BD801" s="3055"/>
      <c r="BE801" s="3055"/>
      <c r="BF801" s="3055"/>
      <c r="BG801" s="3055"/>
      <c r="BH801" s="3055"/>
      <c r="BI801" s="3055"/>
      <c r="BJ801" s="3055"/>
      <c r="BK801" s="3055"/>
      <c r="BL801" s="3056"/>
      <c r="BM801" s="3057">
        <f t="shared" si="16"/>
      </c>
      <c r="BN801" s="3054"/>
      <c r="BO801" s="3054"/>
      <c r="BP801" s="3055"/>
      <c r="BQ801" s="3055"/>
      <c r="BR801" s="3055"/>
      <c r="BS801" s="3055"/>
      <c r="BT801" s="3055"/>
      <c r="BU801" s="3055"/>
      <c r="BV801" s="3055"/>
      <c r="BW801" s="3055"/>
      <c r="BX801" s="3055"/>
      <c r="BY801" s="3055"/>
      <c r="BZ801" s="3055"/>
      <c r="CA801" s="3055"/>
      <c r="CB801" s="3055"/>
      <c r="CC801" s="3056"/>
      <c r="CD801" s="3057">
        <f t="shared" si="0"/>
      </c>
      <c r="CE801" s="3054"/>
      <c r="CF801" s="3054"/>
      <c r="CG801" s="3055"/>
      <c r="CH801" s="3055"/>
      <c r="CI801" s="3055"/>
      <c r="CJ801" s="3055"/>
      <c r="CK801" s="3055"/>
      <c r="CL801" s="3055"/>
      <c r="CM801" s="3055"/>
      <c r="CN801" s="3055"/>
      <c r="CO801" s="3055"/>
      <c r="CP801" s="3055"/>
      <c r="CQ801" s="3055"/>
      <c r="CR801" s="3055"/>
      <c r="CS801" s="3055"/>
      <c r="CU801" s="3054"/>
      <c r="CV801" s="696"/>
      <c r="CW801" s="696"/>
      <c r="CZ801" s="3060">
        <f t="shared" si="17"/>
      </c>
      <c r="DA801" s="3060">
        <f t="shared" si="1"/>
      </c>
      <c r="DB801" s="3060">
        <f t="shared" si="18"/>
      </c>
      <c r="DC801" s="3060">
        <f t="shared" si="19"/>
      </c>
      <c r="DD801" s="3060">
        <f t="shared" si="20"/>
      </c>
      <c r="DE801" s="3060">
        <f t="shared" si="21"/>
      </c>
      <c r="DF801" s="3060">
        <f t="shared" si="22"/>
      </c>
      <c r="DG801" s="3060">
        <f t="shared" si="23"/>
      </c>
      <c r="DH801" s="3060">
        <f t="shared" si="24"/>
      </c>
      <c r="DI801" s="3060">
        <f t="shared" si="1"/>
      </c>
    </row>
    <row r="802" ht="15" customHeight="1" s="3052" customFormat="1">
      <c r="B802" s="3054">
        <f t="shared" si="2"/>
      </c>
      <c r="C802" s="3054"/>
      <c r="D802" s="3054"/>
      <c r="E802" s="3055"/>
      <c r="F802" s="3055"/>
      <c r="G802" s="3055"/>
      <c r="H802" s="3055"/>
      <c r="I802" s="3055"/>
      <c r="J802" s="3055"/>
      <c r="K802" s="3055"/>
      <c r="L802" s="3055"/>
      <c r="M802" s="3055"/>
      <c r="N802" s="3055"/>
      <c r="O802" s="3055"/>
      <c r="P802" s="3055"/>
      <c r="Q802" s="3055"/>
      <c r="R802" s="3055">
        <f t="shared" si="3"/>
        <v>0</v>
      </c>
      <c r="S802" s="3055">
        <f t="shared" si="4"/>
        <v>0</v>
      </c>
      <c r="T802" s="3055">
        <f t="shared" si="5"/>
        <v>0</v>
      </c>
      <c r="U802" s="3055">
        <f t="shared" si="6"/>
        <v>0</v>
      </c>
      <c r="V802" s="3055">
        <f t="shared" si="7"/>
        <v>0</v>
      </c>
      <c r="W802" s="3055">
        <f t="shared" si="8"/>
        <v>0</v>
      </c>
      <c r="X802" s="3055">
        <f t="shared" si="9"/>
        <v>0</v>
      </c>
      <c r="Y802" s="3055">
        <f t="shared" si="10"/>
        <v>0</v>
      </c>
      <c r="Z802" s="3055">
        <f t="shared" si="11"/>
        <v>0</v>
      </c>
      <c r="AA802" s="3055">
        <f t="shared" si="12"/>
        <v>0</v>
      </c>
      <c r="AB802" s="3055">
        <f t="shared" si="13"/>
        <v>0</v>
      </c>
      <c r="AC802" s="3055">
        <f t="shared" si="14"/>
        <v>0</v>
      </c>
      <c r="AD802" s="3056"/>
      <c r="AE802" s="3057">
        <f t="shared" si="0"/>
      </c>
      <c r="AF802" s="3054"/>
      <c r="AG802" s="3054"/>
      <c r="AH802" s="3055"/>
      <c r="AI802" s="3055"/>
      <c r="AJ802" s="3055"/>
      <c r="AK802" s="3055"/>
      <c r="AL802" s="3055"/>
      <c r="AM802" s="3055"/>
      <c r="AN802" s="3055"/>
      <c r="AO802" s="3055"/>
      <c r="AP802" s="3055"/>
      <c r="AQ802" s="3055"/>
      <c r="AR802" s="3055"/>
      <c r="AS802" s="3055"/>
      <c r="AT802" s="3055"/>
      <c r="AU802" s="3056"/>
      <c r="AV802" s="3057">
        <f t="shared" si="15"/>
      </c>
      <c r="AW802" s="3054"/>
      <c r="AX802" s="3054"/>
      <c r="AY802" s="3055"/>
      <c r="AZ802" s="3055"/>
      <c r="BA802" s="3055"/>
      <c r="BB802" s="3055"/>
      <c r="BC802" s="3055"/>
      <c r="BD802" s="3055"/>
      <c r="BE802" s="3055"/>
      <c r="BF802" s="3055"/>
      <c r="BG802" s="3055"/>
      <c r="BH802" s="3055"/>
      <c r="BI802" s="3055"/>
      <c r="BJ802" s="3055"/>
      <c r="BK802" s="3055"/>
      <c r="BL802" s="3056"/>
      <c r="BM802" s="3057">
        <f t="shared" si="16"/>
      </c>
      <c r="BN802" s="3054"/>
      <c r="BO802" s="3054"/>
      <c r="BP802" s="3055"/>
      <c r="BQ802" s="3055"/>
      <c r="BR802" s="3055"/>
      <c r="BS802" s="3055"/>
      <c r="BT802" s="3055"/>
      <c r="BU802" s="3055"/>
      <c r="BV802" s="3055"/>
      <c r="BW802" s="3055"/>
      <c r="BX802" s="3055"/>
      <c r="BY802" s="3055"/>
      <c r="BZ802" s="3055"/>
      <c r="CA802" s="3055"/>
      <c r="CB802" s="3055"/>
      <c r="CC802" s="3056"/>
      <c r="CD802" s="3057">
        <f t="shared" si="0"/>
      </c>
      <c r="CE802" s="3054"/>
      <c r="CF802" s="3054"/>
      <c r="CG802" s="3055"/>
      <c r="CH802" s="3055"/>
      <c r="CI802" s="3055"/>
      <c r="CJ802" s="3055"/>
      <c r="CK802" s="3055"/>
      <c r="CL802" s="3055"/>
      <c r="CM802" s="3055"/>
      <c r="CN802" s="3055"/>
      <c r="CO802" s="3055"/>
      <c r="CP802" s="3055"/>
      <c r="CQ802" s="3055"/>
      <c r="CR802" s="3055"/>
      <c r="CS802" s="3055"/>
      <c r="CU802" s="3054"/>
      <c r="CV802" s="696"/>
      <c r="CW802" s="696"/>
      <c r="CZ802" s="3060">
        <f t="shared" si="17"/>
      </c>
      <c r="DA802" s="3060">
        <f t="shared" si="1"/>
      </c>
      <c r="DB802" s="3060">
        <f t="shared" si="18"/>
      </c>
      <c r="DC802" s="3060">
        <f t="shared" si="19"/>
      </c>
      <c r="DD802" s="3060">
        <f t="shared" si="20"/>
      </c>
      <c r="DE802" s="3060">
        <f t="shared" si="21"/>
      </c>
      <c r="DF802" s="3060">
        <f t="shared" si="22"/>
      </c>
      <c r="DG802" s="3060">
        <f t="shared" si="23"/>
      </c>
      <c r="DH802" s="3060">
        <f t="shared" si="24"/>
      </c>
      <c r="DI802" s="3060">
        <f t="shared" si="1"/>
      </c>
    </row>
    <row r="803" ht="15" customHeight="1" s="3052" customFormat="1">
      <c r="B803" s="3054">
        <f t="shared" si="2"/>
      </c>
      <c r="C803" s="3054"/>
      <c r="D803" s="3054"/>
      <c r="E803" s="3055"/>
      <c r="F803" s="3055"/>
      <c r="G803" s="3055"/>
      <c r="H803" s="3055"/>
      <c r="I803" s="3055"/>
      <c r="J803" s="3055"/>
      <c r="K803" s="3055"/>
      <c r="L803" s="3055"/>
      <c r="M803" s="3055"/>
      <c r="N803" s="3055"/>
      <c r="O803" s="3055"/>
      <c r="P803" s="3055"/>
      <c r="Q803" s="3055"/>
      <c r="R803" s="3055">
        <f t="shared" si="3"/>
        <v>0</v>
      </c>
      <c r="S803" s="3055">
        <f t="shared" si="4"/>
        <v>0</v>
      </c>
      <c r="T803" s="3055">
        <f t="shared" si="5"/>
        <v>0</v>
      </c>
      <c r="U803" s="3055">
        <f t="shared" si="6"/>
        <v>0</v>
      </c>
      <c r="V803" s="3055">
        <f t="shared" si="7"/>
        <v>0</v>
      </c>
      <c r="W803" s="3055">
        <f t="shared" si="8"/>
        <v>0</v>
      </c>
      <c r="X803" s="3055">
        <f t="shared" si="9"/>
        <v>0</v>
      </c>
      <c r="Y803" s="3055">
        <f t="shared" si="10"/>
        <v>0</v>
      </c>
      <c r="Z803" s="3055">
        <f t="shared" si="11"/>
        <v>0</v>
      </c>
      <c r="AA803" s="3055">
        <f t="shared" si="12"/>
        <v>0</v>
      </c>
      <c r="AB803" s="3055">
        <f t="shared" si="13"/>
        <v>0</v>
      </c>
      <c r="AC803" s="3055">
        <f t="shared" si="14"/>
        <v>0</v>
      </c>
      <c r="AD803" s="3056"/>
      <c r="AE803" s="3057">
        <f t="shared" si="0"/>
      </c>
      <c r="AF803" s="3054"/>
      <c r="AG803" s="3054"/>
      <c r="AH803" s="3055"/>
      <c r="AI803" s="3055"/>
      <c r="AJ803" s="3055"/>
      <c r="AK803" s="3055"/>
      <c r="AL803" s="3055"/>
      <c r="AM803" s="3055"/>
      <c r="AN803" s="3055"/>
      <c r="AO803" s="3055"/>
      <c r="AP803" s="3055"/>
      <c r="AQ803" s="3055"/>
      <c r="AR803" s="3055"/>
      <c r="AS803" s="3055"/>
      <c r="AT803" s="3055"/>
      <c r="AU803" s="3056"/>
      <c r="AV803" s="3057">
        <f t="shared" si="15"/>
      </c>
      <c r="AW803" s="3054"/>
      <c r="AX803" s="3054"/>
      <c r="AY803" s="3055"/>
      <c r="AZ803" s="3055"/>
      <c r="BA803" s="3055"/>
      <c r="BB803" s="3055"/>
      <c r="BC803" s="3055"/>
      <c r="BD803" s="3055"/>
      <c r="BE803" s="3055"/>
      <c r="BF803" s="3055"/>
      <c r="BG803" s="3055"/>
      <c r="BH803" s="3055"/>
      <c r="BI803" s="3055"/>
      <c r="BJ803" s="3055"/>
      <c r="BK803" s="3055"/>
      <c r="BL803" s="3056"/>
      <c r="BM803" s="3057">
        <f t="shared" si="16"/>
      </c>
      <c r="BN803" s="3054"/>
      <c r="BO803" s="3054"/>
      <c r="BP803" s="3055"/>
      <c r="BQ803" s="3055"/>
      <c r="BR803" s="3055"/>
      <c r="BS803" s="3055"/>
      <c r="BT803" s="3055"/>
      <c r="BU803" s="3055"/>
      <c r="BV803" s="3055"/>
      <c r="BW803" s="3055"/>
      <c r="BX803" s="3055"/>
      <c r="BY803" s="3055"/>
      <c r="BZ803" s="3055"/>
      <c r="CA803" s="3055"/>
      <c r="CB803" s="3055"/>
      <c r="CC803" s="3056"/>
      <c r="CD803" s="3057">
        <f t="shared" si="0"/>
      </c>
      <c r="CE803" s="3054"/>
      <c r="CF803" s="3054"/>
      <c r="CG803" s="3055"/>
      <c r="CH803" s="3055"/>
      <c r="CI803" s="3055"/>
      <c r="CJ803" s="3055"/>
      <c r="CK803" s="3055"/>
      <c r="CL803" s="3055"/>
      <c r="CM803" s="3055"/>
      <c r="CN803" s="3055"/>
      <c r="CO803" s="3055"/>
      <c r="CP803" s="3055"/>
      <c r="CQ803" s="3055"/>
      <c r="CR803" s="3055"/>
      <c r="CS803" s="3055"/>
      <c r="CU803" s="3054"/>
      <c r="CV803" s="696"/>
      <c r="CW803" s="696"/>
      <c r="CZ803" s="3060">
        <f t="shared" si="17"/>
      </c>
      <c r="DA803" s="3060">
        <f t="shared" si="1"/>
      </c>
      <c r="DB803" s="3060">
        <f t="shared" si="18"/>
      </c>
      <c r="DC803" s="3060">
        <f t="shared" si="19"/>
      </c>
      <c r="DD803" s="3060">
        <f t="shared" si="20"/>
      </c>
      <c r="DE803" s="3060">
        <f t="shared" si="21"/>
      </c>
      <c r="DF803" s="3060">
        <f t="shared" si="22"/>
      </c>
      <c r="DG803" s="3060">
        <f t="shared" si="23"/>
      </c>
      <c r="DH803" s="3060">
        <f t="shared" si="24"/>
      </c>
      <c r="DI803" s="3060">
        <f t="shared" si="1"/>
      </c>
    </row>
    <row r="804" ht="15" customHeight="1" s="3052" customFormat="1">
      <c r="B804" s="3054">
        <f t="shared" si="2"/>
      </c>
      <c r="C804" s="3054"/>
      <c r="D804" s="3054"/>
      <c r="E804" s="3055"/>
      <c r="F804" s="3055"/>
      <c r="G804" s="3055"/>
      <c r="H804" s="3055"/>
      <c r="I804" s="3055"/>
      <c r="J804" s="3055"/>
      <c r="K804" s="3055"/>
      <c r="L804" s="3055"/>
      <c r="M804" s="3055"/>
      <c r="N804" s="3055"/>
      <c r="O804" s="3055"/>
      <c r="P804" s="3055"/>
      <c r="Q804" s="3055"/>
      <c r="R804" s="3055">
        <f t="shared" si="3"/>
        <v>0</v>
      </c>
      <c r="S804" s="3055">
        <f t="shared" si="4"/>
        <v>0</v>
      </c>
      <c r="T804" s="3055">
        <f t="shared" si="5"/>
        <v>0</v>
      </c>
      <c r="U804" s="3055">
        <f t="shared" si="6"/>
        <v>0</v>
      </c>
      <c r="V804" s="3055">
        <f t="shared" si="7"/>
        <v>0</v>
      </c>
      <c r="W804" s="3055">
        <f t="shared" si="8"/>
        <v>0</v>
      </c>
      <c r="X804" s="3055">
        <f t="shared" si="9"/>
        <v>0</v>
      </c>
      <c r="Y804" s="3055">
        <f t="shared" si="10"/>
        <v>0</v>
      </c>
      <c r="Z804" s="3055">
        <f t="shared" si="11"/>
        <v>0</v>
      </c>
      <c r="AA804" s="3055">
        <f t="shared" si="12"/>
        <v>0</v>
      </c>
      <c r="AB804" s="3055">
        <f t="shared" si="13"/>
        <v>0</v>
      </c>
      <c r="AC804" s="3055">
        <f t="shared" si="14"/>
        <v>0</v>
      </c>
      <c r="AD804" s="3056"/>
      <c r="AE804" s="3057">
        <f t="shared" si="0"/>
      </c>
      <c r="AF804" s="3054"/>
      <c r="AG804" s="3054"/>
      <c r="AH804" s="3055"/>
      <c r="AI804" s="3055"/>
      <c r="AJ804" s="3055"/>
      <c r="AK804" s="3055"/>
      <c r="AL804" s="3055"/>
      <c r="AM804" s="3055"/>
      <c r="AN804" s="3055"/>
      <c r="AO804" s="3055"/>
      <c r="AP804" s="3055"/>
      <c r="AQ804" s="3055"/>
      <c r="AR804" s="3055"/>
      <c r="AS804" s="3055"/>
      <c r="AT804" s="3055"/>
      <c r="AU804" s="3056"/>
      <c r="AV804" s="3057">
        <f t="shared" si="15"/>
      </c>
      <c r="AW804" s="3054"/>
      <c r="AX804" s="3054"/>
      <c r="AY804" s="3055"/>
      <c r="AZ804" s="3055"/>
      <c r="BA804" s="3055"/>
      <c r="BB804" s="3055"/>
      <c r="BC804" s="3055"/>
      <c r="BD804" s="3055"/>
      <c r="BE804" s="3055"/>
      <c r="BF804" s="3055"/>
      <c r="BG804" s="3055"/>
      <c r="BH804" s="3055"/>
      <c r="BI804" s="3055"/>
      <c r="BJ804" s="3055"/>
      <c r="BK804" s="3055"/>
      <c r="BL804" s="3056"/>
      <c r="BM804" s="3057">
        <f t="shared" si="16"/>
      </c>
      <c r="BN804" s="3054"/>
      <c r="BO804" s="3054"/>
      <c r="BP804" s="3055"/>
      <c r="BQ804" s="3055"/>
      <c r="BR804" s="3055"/>
      <c r="BS804" s="3055"/>
      <c r="BT804" s="3055"/>
      <c r="BU804" s="3055"/>
      <c r="BV804" s="3055"/>
      <c r="BW804" s="3055"/>
      <c r="BX804" s="3055"/>
      <c r="BY804" s="3055"/>
      <c r="BZ804" s="3055"/>
      <c r="CA804" s="3055"/>
      <c r="CB804" s="3055"/>
      <c r="CC804" s="3056"/>
      <c r="CD804" s="3057">
        <f t="shared" si="0"/>
      </c>
      <c r="CE804" s="3054"/>
      <c r="CF804" s="3054"/>
      <c r="CG804" s="3055"/>
      <c r="CH804" s="3055"/>
      <c r="CI804" s="3055"/>
      <c r="CJ804" s="3055"/>
      <c r="CK804" s="3055"/>
      <c r="CL804" s="3055"/>
      <c r="CM804" s="3055"/>
      <c r="CN804" s="3055"/>
      <c r="CO804" s="3055"/>
      <c r="CP804" s="3055"/>
      <c r="CQ804" s="3055"/>
      <c r="CR804" s="3055"/>
      <c r="CS804" s="3055"/>
      <c r="CU804" s="3054"/>
      <c r="CV804" s="696"/>
      <c r="CW804" s="696"/>
      <c r="CZ804" s="3060">
        <f t="shared" si="17"/>
      </c>
      <c r="DA804" s="3060">
        <f t="shared" si="1"/>
      </c>
      <c r="DB804" s="3060">
        <f t="shared" si="18"/>
      </c>
      <c r="DC804" s="3060">
        <f t="shared" si="19"/>
      </c>
      <c r="DD804" s="3060">
        <f t="shared" si="20"/>
      </c>
      <c r="DE804" s="3060">
        <f t="shared" si="21"/>
      </c>
      <c r="DF804" s="3060">
        <f t="shared" si="22"/>
      </c>
      <c r="DG804" s="3060">
        <f t="shared" si="23"/>
      </c>
      <c r="DH804" s="3060">
        <f t="shared" si="24"/>
      </c>
      <c r="DI804" s="3060">
        <f t="shared" si="1"/>
      </c>
    </row>
    <row r="805" ht="15" customHeight="1" s="3052" customFormat="1">
      <c r="B805" s="3054">
        <f t="shared" si="2"/>
      </c>
      <c r="C805" s="3054"/>
      <c r="D805" s="3054"/>
      <c r="E805" s="3055"/>
      <c r="F805" s="3055"/>
      <c r="G805" s="3055"/>
      <c r="H805" s="3055"/>
      <c r="I805" s="3055"/>
      <c r="J805" s="3055"/>
      <c r="K805" s="3055"/>
      <c r="L805" s="3055"/>
      <c r="M805" s="3055"/>
      <c r="N805" s="3055"/>
      <c r="O805" s="3055"/>
      <c r="P805" s="3055"/>
      <c r="Q805" s="3055"/>
      <c r="R805" s="3055">
        <f t="shared" si="3"/>
        <v>0</v>
      </c>
      <c r="S805" s="3055">
        <f t="shared" si="4"/>
        <v>0</v>
      </c>
      <c r="T805" s="3055">
        <f t="shared" si="5"/>
        <v>0</v>
      </c>
      <c r="U805" s="3055">
        <f t="shared" si="6"/>
        <v>0</v>
      </c>
      <c r="V805" s="3055">
        <f t="shared" si="7"/>
        <v>0</v>
      </c>
      <c r="W805" s="3055">
        <f t="shared" si="8"/>
        <v>0</v>
      </c>
      <c r="X805" s="3055">
        <f t="shared" si="9"/>
        <v>0</v>
      </c>
      <c r="Y805" s="3055">
        <f t="shared" si="10"/>
        <v>0</v>
      </c>
      <c r="Z805" s="3055">
        <f t="shared" si="11"/>
        <v>0</v>
      </c>
      <c r="AA805" s="3055">
        <f t="shared" si="12"/>
        <v>0</v>
      </c>
      <c r="AB805" s="3055">
        <f t="shared" si="13"/>
        <v>0</v>
      </c>
      <c r="AC805" s="3055">
        <f t="shared" si="14"/>
        <v>0</v>
      </c>
      <c r="AD805" s="3056"/>
      <c r="AE805" s="3057">
        <f t="shared" si="0"/>
      </c>
      <c r="AF805" s="3054"/>
      <c r="AG805" s="3054"/>
      <c r="AH805" s="3055"/>
      <c r="AI805" s="3055"/>
      <c r="AJ805" s="3055"/>
      <c r="AK805" s="3055"/>
      <c r="AL805" s="3055"/>
      <c r="AM805" s="3055"/>
      <c r="AN805" s="3055"/>
      <c r="AO805" s="3055"/>
      <c r="AP805" s="3055"/>
      <c r="AQ805" s="3055"/>
      <c r="AR805" s="3055"/>
      <c r="AS805" s="3055"/>
      <c r="AT805" s="3055"/>
      <c r="AU805" s="3056"/>
      <c r="AV805" s="3057">
        <f t="shared" si="15"/>
      </c>
      <c r="AW805" s="3054"/>
      <c r="AX805" s="3054"/>
      <c r="AY805" s="3055"/>
      <c r="AZ805" s="3055"/>
      <c r="BA805" s="3055"/>
      <c r="BB805" s="3055"/>
      <c r="BC805" s="3055"/>
      <c r="BD805" s="3055"/>
      <c r="BE805" s="3055"/>
      <c r="BF805" s="3055"/>
      <c r="BG805" s="3055"/>
      <c r="BH805" s="3055"/>
      <c r="BI805" s="3055"/>
      <c r="BJ805" s="3055"/>
      <c r="BK805" s="3055"/>
      <c r="BL805" s="3056"/>
      <c r="BM805" s="3057">
        <f t="shared" si="16"/>
      </c>
      <c r="BN805" s="3054"/>
      <c r="BO805" s="3054"/>
      <c r="BP805" s="3055"/>
      <c r="BQ805" s="3055"/>
      <c r="BR805" s="3055"/>
      <c r="BS805" s="3055"/>
      <c r="BT805" s="3055"/>
      <c r="BU805" s="3055"/>
      <c r="BV805" s="3055"/>
      <c r="BW805" s="3055"/>
      <c r="BX805" s="3055"/>
      <c r="BY805" s="3055"/>
      <c r="BZ805" s="3055"/>
      <c r="CA805" s="3055"/>
      <c r="CB805" s="3055"/>
      <c r="CC805" s="3056"/>
      <c r="CD805" s="3057">
        <f t="shared" si="0"/>
      </c>
      <c r="CE805" s="3054"/>
      <c r="CF805" s="3054"/>
      <c r="CG805" s="3055"/>
      <c r="CH805" s="3055"/>
      <c r="CI805" s="3055"/>
      <c r="CJ805" s="3055"/>
      <c r="CK805" s="3055"/>
      <c r="CL805" s="3055"/>
      <c r="CM805" s="3055"/>
      <c r="CN805" s="3055"/>
      <c r="CO805" s="3055"/>
      <c r="CP805" s="3055"/>
      <c r="CQ805" s="3055"/>
      <c r="CR805" s="3055"/>
      <c r="CS805" s="3055"/>
      <c r="CU805" s="3054"/>
      <c r="CV805" s="696"/>
      <c r="CW805" s="696"/>
      <c r="CZ805" s="3060">
        <f t="shared" si="17"/>
      </c>
      <c r="DA805" s="3060">
        <f t="shared" si="1"/>
      </c>
      <c r="DB805" s="3060">
        <f t="shared" si="18"/>
      </c>
      <c r="DC805" s="3060">
        <f t="shared" si="19"/>
      </c>
      <c r="DD805" s="3060">
        <f t="shared" si="20"/>
      </c>
      <c r="DE805" s="3060">
        <f t="shared" si="21"/>
      </c>
      <c r="DF805" s="3060">
        <f t="shared" si="22"/>
      </c>
      <c r="DG805" s="3060">
        <f t="shared" si="23"/>
      </c>
      <c r="DH805" s="3060">
        <f t="shared" si="24"/>
      </c>
      <c r="DI805" s="3060">
        <f t="shared" si="1"/>
      </c>
    </row>
    <row r="806" ht="15" customHeight="1" s="3052" customFormat="1">
      <c r="B806" s="3054">
        <f t="shared" si="2"/>
      </c>
      <c r="C806" s="3054"/>
      <c r="D806" s="3054"/>
      <c r="E806" s="3055"/>
      <c r="F806" s="3055"/>
      <c r="G806" s="3055"/>
      <c r="H806" s="3055"/>
      <c r="I806" s="3055"/>
      <c r="J806" s="3055"/>
      <c r="K806" s="3055"/>
      <c r="L806" s="3055"/>
      <c r="M806" s="3055"/>
      <c r="N806" s="3055"/>
      <c r="O806" s="3055"/>
      <c r="P806" s="3055"/>
      <c r="Q806" s="3055"/>
      <c r="R806" s="3055">
        <f t="shared" si="3"/>
        <v>0</v>
      </c>
      <c r="S806" s="3055">
        <f t="shared" si="4"/>
        <v>0</v>
      </c>
      <c r="T806" s="3055">
        <f t="shared" si="5"/>
        <v>0</v>
      </c>
      <c r="U806" s="3055">
        <f t="shared" si="6"/>
        <v>0</v>
      </c>
      <c r="V806" s="3055">
        <f t="shared" si="7"/>
        <v>0</v>
      </c>
      <c r="W806" s="3055">
        <f t="shared" si="8"/>
        <v>0</v>
      </c>
      <c r="X806" s="3055">
        <f t="shared" si="9"/>
        <v>0</v>
      </c>
      <c r="Y806" s="3055">
        <f t="shared" si="10"/>
        <v>0</v>
      </c>
      <c r="Z806" s="3055">
        <f t="shared" si="11"/>
        <v>0</v>
      </c>
      <c r="AA806" s="3055">
        <f t="shared" si="12"/>
        <v>0</v>
      </c>
      <c r="AB806" s="3055">
        <f t="shared" si="13"/>
        <v>0</v>
      </c>
      <c r="AC806" s="3055">
        <f t="shared" si="14"/>
        <v>0</v>
      </c>
      <c r="AD806" s="3056"/>
      <c r="AE806" s="3057">
        <f t="shared" si="0"/>
      </c>
      <c r="AF806" s="3054"/>
      <c r="AG806" s="3054"/>
      <c r="AH806" s="3055"/>
      <c r="AI806" s="3055"/>
      <c r="AJ806" s="3055"/>
      <c r="AK806" s="3055"/>
      <c r="AL806" s="3055"/>
      <c r="AM806" s="3055"/>
      <c r="AN806" s="3055"/>
      <c r="AO806" s="3055"/>
      <c r="AP806" s="3055"/>
      <c r="AQ806" s="3055"/>
      <c r="AR806" s="3055"/>
      <c r="AS806" s="3055"/>
      <c r="AT806" s="3055"/>
      <c r="AU806" s="3056"/>
      <c r="AV806" s="3057">
        <f t="shared" si="15"/>
      </c>
      <c r="AW806" s="3054"/>
      <c r="AX806" s="3054"/>
      <c r="AY806" s="3055"/>
      <c r="AZ806" s="3055"/>
      <c r="BA806" s="3055"/>
      <c r="BB806" s="3055"/>
      <c r="BC806" s="3055"/>
      <c r="BD806" s="3055"/>
      <c r="BE806" s="3055"/>
      <c r="BF806" s="3055"/>
      <c r="BG806" s="3055"/>
      <c r="BH806" s="3055"/>
      <c r="BI806" s="3055"/>
      <c r="BJ806" s="3055"/>
      <c r="BK806" s="3055"/>
      <c r="BL806" s="3056"/>
      <c r="BM806" s="3057">
        <f t="shared" si="16"/>
      </c>
      <c r="BN806" s="3054"/>
      <c r="BO806" s="3054"/>
      <c r="BP806" s="3055"/>
      <c r="BQ806" s="3055"/>
      <c r="BR806" s="3055"/>
      <c r="BS806" s="3055"/>
      <c r="BT806" s="3055"/>
      <c r="BU806" s="3055"/>
      <c r="BV806" s="3055"/>
      <c r="BW806" s="3055"/>
      <c r="BX806" s="3055"/>
      <c r="BY806" s="3055"/>
      <c r="BZ806" s="3055"/>
      <c r="CA806" s="3055"/>
      <c r="CB806" s="3055"/>
      <c r="CC806" s="3056"/>
      <c r="CD806" s="3057">
        <f t="shared" si="0"/>
      </c>
      <c r="CE806" s="3054"/>
      <c r="CF806" s="3054"/>
      <c r="CG806" s="3055"/>
      <c r="CH806" s="3055"/>
      <c r="CI806" s="3055"/>
      <c r="CJ806" s="3055"/>
      <c r="CK806" s="3055"/>
      <c r="CL806" s="3055"/>
      <c r="CM806" s="3055"/>
      <c r="CN806" s="3055"/>
      <c r="CO806" s="3055"/>
      <c r="CP806" s="3055"/>
      <c r="CQ806" s="3055"/>
      <c r="CR806" s="3055"/>
      <c r="CS806" s="3055"/>
      <c r="CU806" s="3054"/>
      <c r="CV806" s="696"/>
      <c r="CW806" s="696"/>
      <c r="CZ806" s="3060">
        <f t="shared" si="17"/>
      </c>
      <c r="DA806" s="3060">
        <f t="shared" si="1"/>
      </c>
      <c r="DB806" s="3060">
        <f t="shared" si="18"/>
      </c>
      <c r="DC806" s="3060">
        <f t="shared" si="19"/>
      </c>
      <c r="DD806" s="3060">
        <f t="shared" si="20"/>
      </c>
      <c r="DE806" s="3060">
        <f t="shared" si="21"/>
      </c>
      <c r="DF806" s="3060">
        <f t="shared" si="22"/>
      </c>
      <c r="DG806" s="3060">
        <f t="shared" si="23"/>
      </c>
      <c r="DH806" s="3060">
        <f t="shared" si="24"/>
      </c>
      <c r="DI806" s="3060">
        <f t="shared" si="1"/>
      </c>
    </row>
    <row r="807" ht="15" customHeight="1" s="3052" customFormat="1">
      <c r="B807" s="3054">
        <f t="shared" si="2"/>
      </c>
      <c r="C807" s="3054"/>
      <c r="D807" s="3054"/>
      <c r="E807" s="3055"/>
      <c r="F807" s="3055"/>
      <c r="G807" s="3055"/>
      <c r="H807" s="3055"/>
      <c r="I807" s="3055"/>
      <c r="J807" s="3055"/>
      <c r="K807" s="3055"/>
      <c r="L807" s="3055"/>
      <c r="M807" s="3055"/>
      <c r="N807" s="3055"/>
      <c r="O807" s="3055"/>
      <c r="P807" s="3055"/>
      <c r="Q807" s="3055"/>
      <c r="R807" s="3055">
        <f t="shared" si="3"/>
        <v>0</v>
      </c>
      <c r="S807" s="3055">
        <f t="shared" si="4"/>
        <v>0</v>
      </c>
      <c r="T807" s="3055">
        <f t="shared" si="5"/>
        <v>0</v>
      </c>
      <c r="U807" s="3055">
        <f t="shared" si="6"/>
        <v>0</v>
      </c>
      <c r="V807" s="3055">
        <f t="shared" si="7"/>
        <v>0</v>
      </c>
      <c r="W807" s="3055">
        <f t="shared" si="8"/>
        <v>0</v>
      </c>
      <c r="X807" s="3055">
        <f t="shared" si="9"/>
        <v>0</v>
      </c>
      <c r="Y807" s="3055">
        <f t="shared" si="10"/>
        <v>0</v>
      </c>
      <c r="Z807" s="3055">
        <f t="shared" si="11"/>
        <v>0</v>
      </c>
      <c r="AA807" s="3055">
        <f t="shared" si="12"/>
        <v>0</v>
      </c>
      <c r="AB807" s="3055">
        <f t="shared" si="13"/>
        <v>0</v>
      </c>
      <c r="AC807" s="3055">
        <f t="shared" si="14"/>
        <v>0</v>
      </c>
      <c r="AD807" s="3056"/>
      <c r="AE807" s="3057">
        <f t="shared" si="0"/>
      </c>
      <c r="AF807" s="3054"/>
      <c r="AG807" s="3054"/>
      <c r="AH807" s="3055"/>
      <c r="AI807" s="3055"/>
      <c r="AJ807" s="3055"/>
      <c r="AK807" s="3055"/>
      <c r="AL807" s="3055"/>
      <c r="AM807" s="3055"/>
      <c r="AN807" s="3055"/>
      <c r="AO807" s="3055"/>
      <c r="AP807" s="3055"/>
      <c r="AQ807" s="3055"/>
      <c r="AR807" s="3055"/>
      <c r="AS807" s="3055"/>
      <c r="AT807" s="3055"/>
      <c r="AU807" s="3056"/>
      <c r="AV807" s="3057">
        <f t="shared" si="15"/>
      </c>
      <c r="AW807" s="3054"/>
      <c r="AX807" s="3054"/>
      <c r="AY807" s="3055"/>
      <c r="AZ807" s="3055"/>
      <c r="BA807" s="3055"/>
      <c r="BB807" s="3055"/>
      <c r="BC807" s="3055"/>
      <c r="BD807" s="3055"/>
      <c r="BE807" s="3055"/>
      <c r="BF807" s="3055"/>
      <c r="BG807" s="3055"/>
      <c r="BH807" s="3055"/>
      <c r="BI807" s="3055"/>
      <c r="BJ807" s="3055"/>
      <c r="BK807" s="3055"/>
      <c r="BL807" s="3056"/>
      <c r="BM807" s="3057">
        <f t="shared" si="16"/>
      </c>
      <c r="BN807" s="3054"/>
      <c r="BO807" s="3054"/>
      <c r="BP807" s="3055"/>
      <c r="BQ807" s="3055"/>
      <c r="BR807" s="3055"/>
      <c r="BS807" s="3055"/>
      <c r="BT807" s="3055"/>
      <c r="BU807" s="3055"/>
      <c r="BV807" s="3055"/>
      <c r="BW807" s="3055"/>
      <c r="BX807" s="3055"/>
      <c r="BY807" s="3055"/>
      <c r="BZ807" s="3055"/>
      <c r="CA807" s="3055"/>
      <c r="CB807" s="3055"/>
      <c r="CC807" s="3056"/>
      <c r="CD807" s="3057">
        <f t="shared" si="0"/>
      </c>
      <c r="CE807" s="3054"/>
      <c r="CF807" s="3054"/>
      <c r="CG807" s="3055"/>
      <c r="CH807" s="3055"/>
      <c r="CI807" s="3055"/>
      <c r="CJ807" s="3055"/>
      <c r="CK807" s="3055"/>
      <c r="CL807" s="3055"/>
      <c r="CM807" s="3055"/>
      <c r="CN807" s="3055"/>
      <c r="CO807" s="3055"/>
      <c r="CP807" s="3055"/>
      <c r="CQ807" s="3055"/>
      <c r="CR807" s="3055"/>
      <c r="CS807" s="3055"/>
      <c r="CU807" s="3054"/>
      <c r="CV807" s="696"/>
      <c r="CW807" s="696"/>
      <c r="CZ807" s="3060">
        <f t="shared" si="17"/>
      </c>
      <c r="DA807" s="3060">
        <f t="shared" si="1"/>
      </c>
      <c r="DB807" s="3060">
        <f t="shared" si="18"/>
      </c>
      <c r="DC807" s="3060">
        <f t="shared" si="19"/>
      </c>
      <c r="DD807" s="3060">
        <f t="shared" si="20"/>
      </c>
      <c r="DE807" s="3060">
        <f t="shared" si="21"/>
      </c>
      <c r="DF807" s="3060">
        <f t="shared" si="22"/>
      </c>
      <c r="DG807" s="3060">
        <f t="shared" si="23"/>
      </c>
      <c r="DH807" s="3060">
        <f t="shared" si="24"/>
      </c>
      <c r="DI807" s="3060">
        <f t="shared" si="1"/>
      </c>
    </row>
    <row r="808" ht="15" customHeight="1" s="3052" customFormat="1">
      <c r="B808" s="3054">
        <f t="shared" si="2"/>
      </c>
      <c r="C808" s="3054"/>
      <c r="D808" s="3054"/>
      <c r="E808" s="3055"/>
      <c r="F808" s="3055"/>
      <c r="G808" s="3055"/>
      <c r="H808" s="3055"/>
      <c r="I808" s="3055"/>
      <c r="J808" s="3055"/>
      <c r="K808" s="3055"/>
      <c r="L808" s="3055"/>
      <c r="M808" s="3055"/>
      <c r="N808" s="3055"/>
      <c r="O808" s="3055"/>
      <c r="P808" s="3055"/>
      <c r="Q808" s="3055"/>
      <c r="R808" s="3055">
        <f t="shared" si="3"/>
        <v>0</v>
      </c>
      <c r="S808" s="3055">
        <f t="shared" si="4"/>
        <v>0</v>
      </c>
      <c r="T808" s="3055">
        <f t="shared" si="5"/>
        <v>0</v>
      </c>
      <c r="U808" s="3055">
        <f t="shared" si="6"/>
        <v>0</v>
      </c>
      <c r="V808" s="3055">
        <f t="shared" si="7"/>
        <v>0</v>
      </c>
      <c r="W808" s="3055">
        <f t="shared" si="8"/>
        <v>0</v>
      </c>
      <c r="X808" s="3055">
        <f t="shared" si="9"/>
        <v>0</v>
      </c>
      <c r="Y808" s="3055">
        <f t="shared" si="10"/>
        <v>0</v>
      </c>
      <c r="Z808" s="3055">
        <f t="shared" si="11"/>
        <v>0</v>
      </c>
      <c r="AA808" s="3055">
        <f t="shared" si="12"/>
        <v>0</v>
      </c>
      <c r="AB808" s="3055">
        <f t="shared" si="13"/>
        <v>0</v>
      </c>
      <c r="AC808" s="3055">
        <f t="shared" si="14"/>
        <v>0</v>
      </c>
      <c r="AD808" s="3056"/>
      <c r="AE808" s="3057">
        <f t="shared" si="0"/>
      </c>
      <c r="AF808" s="3054"/>
      <c r="AG808" s="3054"/>
      <c r="AH808" s="3055"/>
      <c r="AI808" s="3055"/>
      <c r="AJ808" s="3055"/>
      <c r="AK808" s="3055"/>
      <c r="AL808" s="3055"/>
      <c r="AM808" s="3055"/>
      <c r="AN808" s="3055"/>
      <c r="AO808" s="3055"/>
      <c r="AP808" s="3055"/>
      <c r="AQ808" s="3055"/>
      <c r="AR808" s="3055"/>
      <c r="AS808" s="3055"/>
      <c r="AT808" s="3055"/>
      <c r="AU808" s="3056"/>
      <c r="AV808" s="3057">
        <f t="shared" si="15"/>
      </c>
      <c r="AW808" s="3054"/>
      <c r="AX808" s="3054"/>
      <c r="AY808" s="3055"/>
      <c r="AZ808" s="3055"/>
      <c r="BA808" s="3055"/>
      <c r="BB808" s="3055"/>
      <c r="BC808" s="3055"/>
      <c r="BD808" s="3055"/>
      <c r="BE808" s="3055"/>
      <c r="BF808" s="3055"/>
      <c r="BG808" s="3055"/>
      <c r="BH808" s="3055"/>
      <c r="BI808" s="3055"/>
      <c r="BJ808" s="3055"/>
      <c r="BK808" s="3055"/>
      <c r="BL808" s="3056"/>
      <c r="BM808" s="3057">
        <f t="shared" si="16"/>
      </c>
      <c r="BN808" s="3054"/>
      <c r="BO808" s="3054"/>
      <c r="BP808" s="3055"/>
      <c r="BQ808" s="3055"/>
      <c r="BR808" s="3055"/>
      <c r="BS808" s="3055"/>
      <c r="BT808" s="3055"/>
      <c r="BU808" s="3055"/>
      <c r="BV808" s="3055"/>
      <c r="BW808" s="3055"/>
      <c r="BX808" s="3055"/>
      <c r="BY808" s="3055"/>
      <c r="BZ808" s="3055"/>
      <c r="CA808" s="3055"/>
      <c r="CB808" s="3055"/>
      <c r="CC808" s="3056"/>
      <c r="CD808" s="3057">
        <f t="shared" si="0"/>
      </c>
      <c r="CE808" s="3054"/>
      <c r="CF808" s="3054"/>
      <c r="CG808" s="3055"/>
      <c r="CH808" s="3055"/>
      <c r="CI808" s="3055"/>
      <c r="CJ808" s="3055"/>
      <c r="CK808" s="3055"/>
      <c r="CL808" s="3055"/>
      <c r="CM808" s="3055"/>
      <c r="CN808" s="3055"/>
      <c r="CO808" s="3055"/>
      <c r="CP808" s="3055"/>
      <c r="CQ808" s="3055"/>
      <c r="CR808" s="3055"/>
      <c r="CS808" s="3055"/>
      <c r="CU808" s="3054"/>
      <c r="CV808" s="696"/>
      <c r="CW808" s="696"/>
      <c r="CZ808" s="3060">
        <f t="shared" si="17"/>
      </c>
      <c r="DA808" s="3060">
        <f t="shared" si="1"/>
      </c>
      <c r="DB808" s="3060">
        <f t="shared" si="18"/>
      </c>
      <c r="DC808" s="3060">
        <f t="shared" si="19"/>
      </c>
      <c r="DD808" s="3060">
        <f t="shared" si="20"/>
      </c>
      <c r="DE808" s="3060">
        <f t="shared" si="21"/>
      </c>
      <c r="DF808" s="3060">
        <f t="shared" si="22"/>
      </c>
      <c r="DG808" s="3060">
        <f t="shared" si="23"/>
      </c>
      <c r="DH808" s="3060">
        <f t="shared" si="24"/>
      </c>
      <c r="DI808" s="3060">
        <f t="shared" si="1"/>
      </c>
    </row>
    <row r="809" ht="15" customHeight="1" s="3052" customFormat="1">
      <c r="B809" s="3054">
        <f t="shared" si="2"/>
      </c>
      <c r="C809" s="3054"/>
      <c r="D809" s="3054"/>
      <c r="E809" s="3055"/>
      <c r="F809" s="3055"/>
      <c r="G809" s="3055"/>
      <c r="H809" s="3055"/>
      <c r="I809" s="3055"/>
      <c r="J809" s="3055"/>
      <c r="K809" s="3055"/>
      <c r="L809" s="3055"/>
      <c r="M809" s="3055"/>
      <c r="N809" s="3055"/>
      <c r="O809" s="3055"/>
      <c r="P809" s="3055"/>
      <c r="Q809" s="3055"/>
      <c r="R809" s="3055">
        <f t="shared" si="3"/>
        <v>0</v>
      </c>
      <c r="S809" s="3055">
        <f t="shared" si="4"/>
        <v>0</v>
      </c>
      <c r="T809" s="3055">
        <f t="shared" si="5"/>
        <v>0</v>
      </c>
      <c r="U809" s="3055">
        <f t="shared" si="6"/>
        <v>0</v>
      </c>
      <c r="V809" s="3055">
        <f t="shared" si="7"/>
        <v>0</v>
      </c>
      <c r="W809" s="3055">
        <f t="shared" si="8"/>
        <v>0</v>
      </c>
      <c r="X809" s="3055">
        <f t="shared" si="9"/>
        <v>0</v>
      </c>
      <c r="Y809" s="3055">
        <f t="shared" si="10"/>
        <v>0</v>
      </c>
      <c r="Z809" s="3055">
        <f t="shared" si="11"/>
        <v>0</v>
      </c>
      <c r="AA809" s="3055">
        <f t="shared" si="12"/>
        <v>0</v>
      </c>
      <c r="AB809" s="3055">
        <f t="shared" si="13"/>
        <v>0</v>
      </c>
      <c r="AC809" s="3055">
        <f t="shared" si="14"/>
        <v>0</v>
      </c>
      <c r="AD809" s="3056"/>
      <c r="AE809" s="3057">
        <f t="shared" si="0"/>
      </c>
      <c r="AF809" s="3054"/>
      <c r="AG809" s="3054"/>
      <c r="AH809" s="3055"/>
      <c r="AI809" s="3055"/>
      <c r="AJ809" s="3055"/>
      <c r="AK809" s="3055"/>
      <c r="AL809" s="3055"/>
      <c r="AM809" s="3055"/>
      <c r="AN809" s="3055"/>
      <c r="AO809" s="3055"/>
      <c r="AP809" s="3055"/>
      <c r="AQ809" s="3055"/>
      <c r="AR809" s="3055"/>
      <c r="AS809" s="3055"/>
      <c r="AT809" s="3055"/>
      <c r="AU809" s="3056"/>
      <c r="AV809" s="3057">
        <f t="shared" si="15"/>
      </c>
      <c r="AW809" s="3054"/>
      <c r="AX809" s="3054"/>
      <c r="AY809" s="3055"/>
      <c r="AZ809" s="3055"/>
      <c r="BA809" s="3055"/>
      <c r="BB809" s="3055"/>
      <c r="BC809" s="3055"/>
      <c r="BD809" s="3055"/>
      <c r="BE809" s="3055"/>
      <c r="BF809" s="3055"/>
      <c r="BG809" s="3055"/>
      <c r="BH809" s="3055"/>
      <c r="BI809" s="3055"/>
      <c r="BJ809" s="3055"/>
      <c r="BK809" s="3055"/>
      <c r="BL809" s="3056"/>
      <c r="BM809" s="3057">
        <f t="shared" si="16"/>
      </c>
      <c r="BN809" s="3054"/>
      <c r="BO809" s="3054"/>
      <c r="BP809" s="3055"/>
      <c r="BQ809" s="3055"/>
      <c r="BR809" s="3055"/>
      <c r="BS809" s="3055"/>
      <c r="BT809" s="3055"/>
      <c r="BU809" s="3055"/>
      <c r="BV809" s="3055"/>
      <c r="BW809" s="3055"/>
      <c r="BX809" s="3055"/>
      <c r="BY809" s="3055"/>
      <c r="BZ809" s="3055"/>
      <c r="CA809" s="3055"/>
      <c r="CB809" s="3055"/>
      <c r="CC809" s="3056"/>
      <c r="CD809" s="3057">
        <f t="shared" si="0"/>
      </c>
      <c r="CE809" s="3054"/>
      <c r="CF809" s="3054"/>
      <c r="CG809" s="3055"/>
      <c r="CH809" s="3055"/>
      <c r="CI809" s="3055"/>
      <c r="CJ809" s="3055"/>
      <c r="CK809" s="3055"/>
      <c r="CL809" s="3055"/>
      <c r="CM809" s="3055"/>
      <c r="CN809" s="3055"/>
      <c r="CO809" s="3055"/>
      <c r="CP809" s="3055"/>
      <c r="CQ809" s="3055"/>
      <c r="CR809" s="3055"/>
      <c r="CS809" s="3055"/>
      <c r="CU809" s="3054"/>
      <c r="CV809" s="696"/>
      <c r="CW809" s="696"/>
      <c r="CZ809" s="3060">
        <f t="shared" si="17"/>
      </c>
      <c r="DA809" s="3060">
        <f t="shared" si="1"/>
      </c>
      <c r="DB809" s="3060">
        <f t="shared" si="18"/>
      </c>
      <c r="DC809" s="3060">
        <f t="shared" si="19"/>
      </c>
      <c r="DD809" s="3060">
        <f t="shared" si="20"/>
      </c>
      <c r="DE809" s="3060">
        <f t="shared" si="21"/>
      </c>
      <c r="DF809" s="3060">
        <f t="shared" si="22"/>
      </c>
      <c r="DG809" s="3060">
        <f t="shared" si="23"/>
      </c>
      <c r="DH809" s="3060">
        <f t="shared" si="24"/>
      </c>
      <c r="DI809" s="3060">
        <f t="shared" si="1"/>
      </c>
    </row>
    <row r="810" ht="15" customHeight="1" s="3052" customFormat="1">
      <c r="B810" s="3054">
        <f t="shared" si="2"/>
      </c>
      <c r="C810" s="3054"/>
      <c r="D810" s="3054"/>
      <c r="E810" s="3055"/>
      <c r="F810" s="3055"/>
      <c r="G810" s="3055"/>
      <c r="H810" s="3055"/>
      <c r="I810" s="3055"/>
      <c r="J810" s="3055"/>
      <c r="K810" s="3055"/>
      <c r="L810" s="3055"/>
      <c r="M810" s="3055"/>
      <c r="N810" s="3055"/>
      <c r="O810" s="3055"/>
      <c r="P810" s="3055"/>
      <c r="Q810" s="3055"/>
      <c r="R810" s="3055">
        <f t="shared" si="3"/>
        <v>0</v>
      </c>
      <c r="S810" s="3055">
        <f t="shared" si="4"/>
        <v>0</v>
      </c>
      <c r="T810" s="3055">
        <f t="shared" si="5"/>
        <v>0</v>
      </c>
      <c r="U810" s="3055">
        <f t="shared" si="6"/>
        <v>0</v>
      </c>
      <c r="V810" s="3055">
        <f t="shared" si="7"/>
        <v>0</v>
      </c>
      <c r="W810" s="3055">
        <f t="shared" si="8"/>
        <v>0</v>
      </c>
      <c r="X810" s="3055">
        <f t="shared" si="9"/>
        <v>0</v>
      </c>
      <c r="Y810" s="3055">
        <f t="shared" si="10"/>
        <v>0</v>
      </c>
      <c r="Z810" s="3055">
        <f t="shared" si="11"/>
        <v>0</v>
      </c>
      <c r="AA810" s="3055">
        <f t="shared" si="12"/>
        <v>0</v>
      </c>
      <c r="AB810" s="3055">
        <f t="shared" si="13"/>
        <v>0</v>
      </c>
      <c r="AC810" s="3055">
        <f t="shared" si="14"/>
        <v>0</v>
      </c>
      <c r="AD810" s="3056"/>
      <c r="AE810" s="3057">
        <f t="shared" si="0"/>
      </c>
      <c r="AF810" s="3054"/>
      <c r="AG810" s="3054"/>
      <c r="AH810" s="3055"/>
      <c r="AI810" s="3055"/>
      <c r="AJ810" s="3055"/>
      <c r="AK810" s="3055"/>
      <c r="AL810" s="3055"/>
      <c r="AM810" s="3055"/>
      <c r="AN810" s="3055"/>
      <c r="AO810" s="3055"/>
      <c r="AP810" s="3055"/>
      <c r="AQ810" s="3055"/>
      <c r="AR810" s="3055"/>
      <c r="AS810" s="3055"/>
      <c r="AT810" s="3055"/>
      <c r="AU810" s="3056"/>
      <c r="AV810" s="3057">
        <f t="shared" si="15"/>
      </c>
      <c r="AW810" s="3054"/>
      <c r="AX810" s="3054"/>
      <c r="AY810" s="3055"/>
      <c r="AZ810" s="3055"/>
      <c r="BA810" s="3055"/>
      <c r="BB810" s="3055"/>
      <c r="BC810" s="3055"/>
      <c r="BD810" s="3055"/>
      <c r="BE810" s="3055"/>
      <c r="BF810" s="3055"/>
      <c r="BG810" s="3055"/>
      <c r="BH810" s="3055"/>
      <c r="BI810" s="3055"/>
      <c r="BJ810" s="3055"/>
      <c r="BK810" s="3055"/>
      <c r="BL810" s="3056"/>
      <c r="BM810" s="3057">
        <f t="shared" si="16"/>
      </c>
      <c r="BN810" s="3054"/>
      <c r="BO810" s="3054"/>
      <c r="BP810" s="3055"/>
      <c r="BQ810" s="3055"/>
      <c r="BR810" s="3055"/>
      <c r="BS810" s="3055"/>
      <c r="BT810" s="3055"/>
      <c r="BU810" s="3055"/>
      <c r="BV810" s="3055"/>
      <c r="BW810" s="3055"/>
      <c r="BX810" s="3055"/>
      <c r="BY810" s="3055"/>
      <c r="BZ810" s="3055"/>
      <c r="CA810" s="3055"/>
      <c r="CB810" s="3055"/>
      <c r="CC810" s="3056"/>
      <c r="CD810" s="3057">
        <f t="shared" si="0"/>
      </c>
      <c r="CE810" s="3054"/>
      <c r="CF810" s="3054"/>
      <c r="CG810" s="3055"/>
      <c r="CH810" s="3055"/>
      <c r="CI810" s="3055"/>
      <c r="CJ810" s="3055"/>
      <c r="CK810" s="3055"/>
      <c r="CL810" s="3055"/>
      <c r="CM810" s="3055"/>
      <c r="CN810" s="3055"/>
      <c r="CO810" s="3055"/>
      <c r="CP810" s="3055"/>
      <c r="CQ810" s="3055"/>
      <c r="CR810" s="3055"/>
      <c r="CS810" s="3055"/>
      <c r="CU810" s="3054"/>
      <c r="CV810" s="696"/>
      <c r="CW810" s="696"/>
      <c r="CZ810" s="3060">
        <f t="shared" si="17"/>
      </c>
      <c r="DA810" s="3060">
        <f t="shared" si="1"/>
      </c>
      <c r="DB810" s="3060">
        <f t="shared" si="18"/>
      </c>
      <c r="DC810" s="3060">
        <f t="shared" si="19"/>
      </c>
      <c r="DD810" s="3060">
        <f t="shared" si="20"/>
      </c>
      <c r="DE810" s="3060">
        <f t="shared" si="21"/>
      </c>
      <c r="DF810" s="3060">
        <f t="shared" si="22"/>
      </c>
      <c r="DG810" s="3060">
        <f t="shared" si="23"/>
      </c>
      <c r="DH810" s="3060">
        <f t="shared" si="24"/>
      </c>
      <c r="DI810" s="3060">
        <f t="shared" si="1"/>
      </c>
    </row>
    <row r="811" ht="15" customHeight="1" s="3052" customFormat="1">
      <c r="B811" s="3054">
        <f t="shared" si="2"/>
      </c>
      <c r="C811" s="3054"/>
      <c r="D811" s="3054"/>
      <c r="E811" s="3055"/>
      <c r="F811" s="3055"/>
      <c r="G811" s="3055"/>
      <c r="H811" s="3055"/>
      <c r="I811" s="3055"/>
      <c r="J811" s="3055"/>
      <c r="K811" s="3055"/>
      <c r="L811" s="3055"/>
      <c r="M811" s="3055"/>
      <c r="N811" s="3055"/>
      <c r="O811" s="3055"/>
      <c r="P811" s="3055"/>
      <c r="Q811" s="3055"/>
      <c r="R811" s="3055">
        <f t="shared" si="3"/>
        <v>0</v>
      </c>
      <c r="S811" s="3055">
        <f t="shared" si="4"/>
        <v>0</v>
      </c>
      <c r="T811" s="3055">
        <f t="shared" si="5"/>
        <v>0</v>
      </c>
      <c r="U811" s="3055">
        <f t="shared" si="6"/>
        <v>0</v>
      </c>
      <c r="V811" s="3055">
        <f t="shared" si="7"/>
        <v>0</v>
      </c>
      <c r="W811" s="3055">
        <f t="shared" si="8"/>
        <v>0</v>
      </c>
      <c r="X811" s="3055">
        <f t="shared" si="9"/>
        <v>0</v>
      </c>
      <c r="Y811" s="3055">
        <f t="shared" si="10"/>
        <v>0</v>
      </c>
      <c r="Z811" s="3055">
        <f t="shared" si="11"/>
        <v>0</v>
      </c>
      <c r="AA811" s="3055">
        <f t="shared" si="12"/>
        <v>0</v>
      </c>
      <c r="AB811" s="3055">
        <f t="shared" si="13"/>
        <v>0</v>
      </c>
      <c r="AC811" s="3055">
        <f t="shared" si="14"/>
        <v>0</v>
      </c>
      <c r="AD811" s="3056"/>
      <c r="AE811" s="3057">
        <f t="shared" si="0"/>
      </c>
      <c r="AF811" s="3054"/>
      <c r="AG811" s="3054"/>
      <c r="AH811" s="3055"/>
      <c r="AI811" s="3055"/>
      <c r="AJ811" s="3055"/>
      <c r="AK811" s="3055"/>
      <c r="AL811" s="3055"/>
      <c r="AM811" s="3055"/>
      <c r="AN811" s="3055"/>
      <c r="AO811" s="3055"/>
      <c r="AP811" s="3055"/>
      <c r="AQ811" s="3055"/>
      <c r="AR811" s="3055"/>
      <c r="AS811" s="3055"/>
      <c r="AT811" s="3055"/>
      <c r="AU811" s="3056"/>
      <c r="AV811" s="3057">
        <f t="shared" si="15"/>
      </c>
      <c r="AW811" s="3054"/>
      <c r="AX811" s="3054"/>
      <c r="AY811" s="3055"/>
      <c r="AZ811" s="3055"/>
      <c r="BA811" s="3055"/>
      <c r="BB811" s="3055"/>
      <c r="BC811" s="3055"/>
      <c r="BD811" s="3055"/>
      <c r="BE811" s="3055"/>
      <c r="BF811" s="3055"/>
      <c r="BG811" s="3055"/>
      <c r="BH811" s="3055"/>
      <c r="BI811" s="3055"/>
      <c r="BJ811" s="3055"/>
      <c r="BK811" s="3055"/>
      <c r="BL811" s="3056"/>
      <c r="BM811" s="3057">
        <f t="shared" si="16"/>
      </c>
      <c r="BN811" s="3054"/>
      <c r="BO811" s="3054"/>
      <c r="BP811" s="3055"/>
      <c r="BQ811" s="3055"/>
      <c r="BR811" s="3055"/>
      <c r="BS811" s="3055"/>
      <c r="BT811" s="3055"/>
      <c r="BU811" s="3055"/>
      <c r="BV811" s="3055"/>
      <c r="BW811" s="3055"/>
      <c r="BX811" s="3055"/>
      <c r="BY811" s="3055"/>
      <c r="BZ811" s="3055"/>
      <c r="CA811" s="3055"/>
      <c r="CB811" s="3055"/>
      <c r="CC811" s="3056"/>
      <c r="CD811" s="3057">
        <f t="shared" si="0"/>
      </c>
      <c r="CE811" s="3054"/>
      <c r="CF811" s="3054"/>
      <c r="CG811" s="3055"/>
      <c r="CH811" s="3055"/>
      <c r="CI811" s="3055"/>
      <c r="CJ811" s="3055"/>
      <c r="CK811" s="3055"/>
      <c r="CL811" s="3055"/>
      <c r="CM811" s="3055"/>
      <c r="CN811" s="3055"/>
      <c r="CO811" s="3055"/>
      <c r="CP811" s="3055"/>
      <c r="CQ811" s="3055"/>
      <c r="CR811" s="3055"/>
      <c r="CS811" s="3055"/>
      <c r="CU811" s="3054"/>
      <c r="CV811" s="696"/>
      <c r="CW811" s="696"/>
      <c r="CZ811" s="3060">
        <f t="shared" si="17"/>
      </c>
      <c r="DA811" s="3060">
        <f t="shared" si="1"/>
      </c>
      <c r="DB811" s="3060">
        <f t="shared" si="18"/>
      </c>
      <c r="DC811" s="3060">
        <f t="shared" si="19"/>
      </c>
      <c r="DD811" s="3060">
        <f t="shared" si="20"/>
      </c>
      <c r="DE811" s="3060">
        <f t="shared" si="21"/>
      </c>
      <c r="DF811" s="3060">
        <f t="shared" si="22"/>
      </c>
      <c r="DG811" s="3060">
        <f t="shared" si="23"/>
      </c>
      <c r="DH811" s="3060">
        <f t="shared" si="24"/>
      </c>
      <c r="DI811" s="3060">
        <f t="shared" si="1"/>
      </c>
    </row>
    <row r="812" ht="15" customHeight="1" s="3052" customFormat="1">
      <c r="B812" s="3054">
        <f t="shared" si="2"/>
      </c>
      <c r="C812" s="3054"/>
      <c r="D812" s="3054"/>
      <c r="E812" s="3055"/>
      <c r="F812" s="3055"/>
      <c r="G812" s="3055"/>
      <c r="H812" s="3055"/>
      <c r="I812" s="3055"/>
      <c r="J812" s="3055"/>
      <c r="K812" s="3055"/>
      <c r="L812" s="3055"/>
      <c r="M812" s="3055"/>
      <c r="N812" s="3055"/>
      <c r="O812" s="3055"/>
      <c r="P812" s="3055"/>
      <c r="Q812" s="3055"/>
      <c r="R812" s="3055">
        <f t="shared" si="3"/>
        <v>0</v>
      </c>
      <c r="S812" s="3055">
        <f t="shared" si="4"/>
        <v>0</v>
      </c>
      <c r="T812" s="3055">
        <f t="shared" si="5"/>
        <v>0</v>
      </c>
      <c r="U812" s="3055">
        <f t="shared" si="6"/>
        <v>0</v>
      </c>
      <c r="V812" s="3055">
        <f t="shared" si="7"/>
        <v>0</v>
      </c>
      <c r="W812" s="3055">
        <f t="shared" si="8"/>
        <v>0</v>
      </c>
      <c r="X812" s="3055">
        <f t="shared" si="9"/>
        <v>0</v>
      </c>
      <c r="Y812" s="3055">
        <f t="shared" si="10"/>
        <v>0</v>
      </c>
      <c r="Z812" s="3055">
        <f t="shared" si="11"/>
        <v>0</v>
      </c>
      <c r="AA812" s="3055">
        <f t="shared" si="12"/>
        <v>0</v>
      </c>
      <c r="AB812" s="3055">
        <f t="shared" si="13"/>
        <v>0</v>
      </c>
      <c r="AC812" s="3055">
        <f t="shared" si="14"/>
        <v>0</v>
      </c>
      <c r="AD812" s="3056"/>
      <c r="AE812" s="3057">
        <f t="shared" si="0"/>
      </c>
      <c r="AF812" s="3054"/>
      <c r="AG812" s="3054"/>
      <c r="AH812" s="3055"/>
      <c r="AI812" s="3055"/>
      <c r="AJ812" s="3055"/>
      <c r="AK812" s="3055"/>
      <c r="AL812" s="3055"/>
      <c r="AM812" s="3055"/>
      <c r="AN812" s="3055"/>
      <c r="AO812" s="3055"/>
      <c r="AP812" s="3055"/>
      <c r="AQ812" s="3055"/>
      <c r="AR812" s="3055"/>
      <c r="AS812" s="3055"/>
      <c r="AT812" s="3055"/>
      <c r="AU812" s="3056"/>
      <c r="AV812" s="3057">
        <f t="shared" si="15"/>
      </c>
      <c r="AW812" s="3054"/>
      <c r="AX812" s="3054"/>
      <c r="AY812" s="3055"/>
      <c r="AZ812" s="3055"/>
      <c r="BA812" s="3055"/>
      <c r="BB812" s="3055"/>
      <c r="BC812" s="3055"/>
      <c r="BD812" s="3055"/>
      <c r="BE812" s="3055"/>
      <c r="BF812" s="3055"/>
      <c r="BG812" s="3055"/>
      <c r="BH812" s="3055"/>
      <c r="BI812" s="3055"/>
      <c r="BJ812" s="3055"/>
      <c r="BK812" s="3055"/>
      <c r="BL812" s="3056"/>
      <c r="BM812" s="3057">
        <f t="shared" si="16"/>
      </c>
      <c r="BN812" s="3054"/>
      <c r="BO812" s="3054"/>
      <c r="BP812" s="3055"/>
      <c r="BQ812" s="3055"/>
      <c r="BR812" s="3055"/>
      <c r="BS812" s="3055"/>
      <c r="BT812" s="3055"/>
      <c r="BU812" s="3055"/>
      <c r="BV812" s="3055"/>
      <c r="BW812" s="3055"/>
      <c r="BX812" s="3055"/>
      <c r="BY812" s="3055"/>
      <c r="BZ812" s="3055"/>
      <c r="CA812" s="3055"/>
      <c r="CB812" s="3055"/>
      <c r="CC812" s="3056"/>
      <c r="CD812" s="3057">
        <f t="shared" si="0"/>
      </c>
      <c r="CE812" s="3054"/>
      <c r="CF812" s="3054"/>
      <c r="CG812" s="3055"/>
      <c r="CH812" s="3055"/>
      <c r="CI812" s="3055"/>
      <c r="CJ812" s="3055"/>
      <c r="CK812" s="3055"/>
      <c r="CL812" s="3055"/>
      <c r="CM812" s="3055"/>
      <c r="CN812" s="3055"/>
      <c r="CO812" s="3055"/>
      <c r="CP812" s="3055"/>
      <c r="CQ812" s="3055"/>
      <c r="CR812" s="3055"/>
      <c r="CS812" s="3055"/>
      <c r="CU812" s="3054"/>
      <c r="CV812" s="696"/>
      <c r="CW812" s="696"/>
      <c r="CZ812" s="3060">
        <f t="shared" si="17"/>
      </c>
      <c r="DA812" s="3060">
        <f t="shared" si="1"/>
      </c>
      <c r="DB812" s="3060">
        <f t="shared" si="18"/>
      </c>
      <c r="DC812" s="3060">
        <f t="shared" si="19"/>
      </c>
      <c r="DD812" s="3060">
        <f t="shared" si="20"/>
      </c>
      <c r="DE812" s="3060">
        <f t="shared" si="21"/>
      </c>
      <c r="DF812" s="3060">
        <f t="shared" si="22"/>
      </c>
      <c r="DG812" s="3060">
        <f t="shared" si="23"/>
      </c>
      <c r="DH812" s="3060">
        <f t="shared" si="24"/>
      </c>
      <c r="DI812" s="3060">
        <f t="shared" si="1"/>
      </c>
    </row>
    <row r="813" ht="15" customHeight="1" s="3052" customFormat="1">
      <c r="B813" s="3054">
        <f t="shared" si="2"/>
      </c>
      <c r="C813" s="3054"/>
      <c r="D813" s="3054"/>
      <c r="E813" s="3055"/>
      <c r="F813" s="3055"/>
      <c r="G813" s="3055"/>
      <c r="H813" s="3055"/>
      <c r="I813" s="3055"/>
      <c r="J813" s="3055"/>
      <c r="K813" s="3055"/>
      <c r="L813" s="3055"/>
      <c r="M813" s="3055"/>
      <c r="N813" s="3055"/>
      <c r="O813" s="3055"/>
      <c r="P813" s="3055"/>
      <c r="Q813" s="3055"/>
      <c r="R813" s="3055">
        <f t="shared" si="3"/>
        <v>0</v>
      </c>
      <c r="S813" s="3055">
        <f t="shared" si="4"/>
        <v>0</v>
      </c>
      <c r="T813" s="3055">
        <f t="shared" si="5"/>
        <v>0</v>
      </c>
      <c r="U813" s="3055">
        <f t="shared" si="6"/>
        <v>0</v>
      </c>
      <c r="V813" s="3055">
        <f t="shared" si="7"/>
        <v>0</v>
      </c>
      <c r="W813" s="3055">
        <f t="shared" si="8"/>
        <v>0</v>
      </c>
      <c r="X813" s="3055">
        <f t="shared" si="9"/>
        <v>0</v>
      </c>
      <c r="Y813" s="3055">
        <f t="shared" si="10"/>
        <v>0</v>
      </c>
      <c r="Z813" s="3055">
        <f t="shared" si="11"/>
        <v>0</v>
      </c>
      <c r="AA813" s="3055">
        <f t="shared" si="12"/>
        <v>0</v>
      </c>
      <c r="AB813" s="3055">
        <f t="shared" si="13"/>
        <v>0</v>
      </c>
      <c r="AC813" s="3055">
        <f t="shared" si="14"/>
        <v>0</v>
      </c>
      <c r="AD813" s="3056"/>
      <c r="AE813" s="3057">
        <f t="shared" si="0"/>
      </c>
      <c r="AF813" s="3054"/>
      <c r="AG813" s="3054"/>
      <c r="AH813" s="3055"/>
      <c r="AI813" s="3055"/>
      <c r="AJ813" s="3055"/>
      <c r="AK813" s="3055"/>
      <c r="AL813" s="3055"/>
      <c r="AM813" s="3055"/>
      <c r="AN813" s="3055"/>
      <c r="AO813" s="3055"/>
      <c r="AP813" s="3055"/>
      <c r="AQ813" s="3055"/>
      <c r="AR813" s="3055"/>
      <c r="AS813" s="3055"/>
      <c r="AT813" s="3055"/>
      <c r="AU813" s="3056"/>
      <c r="AV813" s="3057">
        <f t="shared" si="15"/>
      </c>
      <c r="AW813" s="3054"/>
      <c r="AX813" s="3054"/>
      <c r="AY813" s="3055"/>
      <c r="AZ813" s="3055"/>
      <c r="BA813" s="3055"/>
      <c r="BB813" s="3055"/>
      <c r="BC813" s="3055"/>
      <c r="BD813" s="3055"/>
      <c r="BE813" s="3055"/>
      <c r="BF813" s="3055"/>
      <c r="BG813" s="3055"/>
      <c r="BH813" s="3055"/>
      <c r="BI813" s="3055"/>
      <c r="BJ813" s="3055"/>
      <c r="BK813" s="3055"/>
      <c r="BL813" s="3056"/>
      <c r="BM813" s="3057">
        <f t="shared" si="16"/>
      </c>
      <c r="BN813" s="3054"/>
      <c r="BO813" s="3054"/>
      <c r="BP813" s="3055"/>
      <c r="BQ813" s="3055"/>
      <c r="BR813" s="3055"/>
      <c r="BS813" s="3055"/>
      <c r="BT813" s="3055"/>
      <c r="BU813" s="3055"/>
      <c r="BV813" s="3055"/>
      <c r="BW813" s="3055"/>
      <c r="BX813" s="3055"/>
      <c r="BY813" s="3055"/>
      <c r="BZ813" s="3055"/>
      <c r="CA813" s="3055"/>
      <c r="CB813" s="3055"/>
      <c r="CC813" s="3056"/>
      <c r="CD813" s="3057">
        <f t="shared" si="0"/>
      </c>
      <c r="CE813" s="3054"/>
      <c r="CF813" s="3054"/>
      <c r="CG813" s="3055"/>
      <c r="CH813" s="3055"/>
      <c r="CI813" s="3055"/>
      <c r="CJ813" s="3055"/>
      <c r="CK813" s="3055"/>
      <c r="CL813" s="3055"/>
      <c r="CM813" s="3055"/>
      <c r="CN813" s="3055"/>
      <c r="CO813" s="3055"/>
      <c r="CP813" s="3055"/>
      <c r="CQ813" s="3055"/>
      <c r="CR813" s="3055"/>
      <c r="CS813" s="3055"/>
      <c r="CU813" s="3054"/>
      <c r="CV813" s="696"/>
      <c r="CW813" s="696"/>
      <c r="CZ813" s="3060">
        <f t="shared" si="17"/>
      </c>
      <c r="DA813" s="3060">
        <f t="shared" si="1"/>
      </c>
      <c r="DB813" s="3060">
        <f t="shared" si="18"/>
      </c>
      <c r="DC813" s="3060">
        <f t="shared" si="19"/>
      </c>
      <c r="DD813" s="3060">
        <f t="shared" si="20"/>
      </c>
      <c r="DE813" s="3060">
        <f t="shared" si="21"/>
      </c>
      <c r="DF813" s="3060">
        <f t="shared" si="22"/>
      </c>
      <c r="DG813" s="3060">
        <f t="shared" si="23"/>
      </c>
      <c r="DH813" s="3060">
        <f t="shared" si="24"/>
      </c>
      <c r="DI813" s="3060">
        <f t="shared" si="1"/>
      </c>
    </row>
    <row r="814" ht="15" customHeight="1" s="3052" customFormat="1">
      <c r="B814" s="3054">
        <f t="shared" si="2"/>
      </c>
      <c r="C814" s="3054"/>
      <c r="D814" s="3054"/>
      <c r="E814" s="3055"/>
      <c r="F814" s="3055"/>
      <c r="G814" s="3055"/>
      <c r="H814" s="3055"/>
      <c r="I814" s="3055"/>
      <c r="J814" s="3055"/>
      <c r="K814" s="3055"/>
      <c r="L814" s="3055"/>
      <c r="M814" s="3055"/>
      <c r="N814" s="3055"/>
      <c r="O814" s="3055"/>
      <c r="P814" s="3055"/>
      <c r="Q814" s="3055"/>
      <c r="R814" s="3055">
        <f t="shared" si="3"/>
        <v>0</v>
      </c>
      <c r="S814" s="3055">
        <f t="shared" si="4"/>
        <v>0</v>
      </c>
      <c r="T814" s="3055">
        <f t="shared" si="5"/>
        <v>0</v>
      </c>
      <c r="U814" s="3055">
        <f t="shared" si="6"/>
        <v>0</v>
      </c>
      <c r="V814" s="3055">
        <f t="shared" si="7"/>
        <v>0</v>
      </c>
      <c r="W814" s="3055">
        <f t="shared" si="8"/>
        <v>0</v>
      </c>
      <c r="X814" s="3055">
        <f t="shared" si="9"/>
        <v>0</v>
      </c>
      <c r="Y814" s="3055">
        <f t="shared" si="10"/>
        <v>0</v>
      </c>
      <c r="Z814" s="3055">
        <f t="shared" si="11"/>
        <v>0</v>
      </c>
      <c r="AA814" s="3055">
        <f t="shared" si="12"/>
        <v>0</v>
      </c>
      <c r="AB814" s="3055">
        <f t="shared" si="13"/>
        <v>0</v>
      </c>
      <c r="AC814" s="3055">
        <f t="shared" si="14"/>
        <v>0</v>
      </c>
      <c r="AD814" s="3056"/>
      <c r="AE814" s="3057">
        <f t="shared" si="0"/>
      </c>
      <c r="AF814" s="3054"/>
      <c r="AG814" s="3054"/>
      <c r="AH814" s="3055"/>
      <c r="AI814" s="3055"/>
      <c r="AJ814" s="3055"/>
      <c r="AK814" s="3055"/>
      <c r="AL814" s="3055"/>
      <c r="AM814" s="3055"/>
      <c r="AN814" s="3055"/>
      <c r="AO814" s="3055"/>
      <c r="AP814" s="3055"/>
      <c r="AQ814" s="3055"/>
      <c r="AR814" s="3055"/>
      <c r="AS814" s="3055"/>
      <c r="AT814" s="3055"/>
      <c r="AU814" s="3056"/>
      <c r="AV814" s="3057">
        <f t="shared" si="15"/>
      </c>
      <c r="AW814" s="3054"/>
      <c r="AX814" s="3054"/>
      <c r="AY814" s="3055"/>
      <c r="AZ814" s="3055"/>
      <c r="BA814" s="3055"/>
      <c r="BB814" s="3055"/>
      <c r="BC814" s="3055"/>
      <c r="BD814" s="3055"/>
      <c r="BE814" s="3055"/>
      <c r="BF814" s="3055"/>
      <c r="BG814" s="3055"/>
      <c r="BH814" s="3055"/>
      <c r="BI814" s="3055"/>
      <c r="BJ814" s="3055"/>
      <c r="BK814" s="3055"/>
      <c r="BL814" s="3056"/>
      <c r="BM814" s="3057">
        <f t="shared" si="16"/>
      </c>
      <c r="BN814" s="3054"/>
      <c r="BO814" s="3054"/>
      <c r="BP814" s="3055"/>
      <c r="BQ814" s="3055"/>
      <c r="BR814" s="3055"/>
      <c r="BS814" s="3055"/>
      <c r="BT814" s="3055"/>
      <c r="BU814" s="3055"/>
      <c r="BV814" s="3055"/>
      <c r="BW814" s="3055"/>
      <c r="BX814" s="3055"/>
      <c r="BY814" s="3055"/>
      <c r="BZ814" s="3055"/>
      <c r="CA814" s="3055"/>
      <c r="CB814" s="3055"/>
      <c r="CC814" s="3056"/>
      <c r="CD814" s="3057">
        <f t="shared" si="0"/>
      </c>
      <c r="CE814" s="3054"/>
      <c r="CF814" s="3054"/>
      <c r="CG814" s="3055"/>
      <c r="CH814" s="3055"/>
      <c r="CI814" s="3055"/>
      <c r="CJ814" s="3055"/>
      <c r="CK814" s="3055"/>
      <c r="CL814" s="3055"/>
      <c r="CM814" s="3055"/>
      <c r="CN814" s="3055"/>
      <c r="CO814" s="3055"/>
      <c r="CP814" s="3055"/>
      <c r="CQ814" s="3055"/>
      <c r="CR814" s="3055"/>
      <c r="CS814" s="3055"/>
      <c r="CU814" s="3054"/>
      <c r="CV814" s="696"/>
      <c r="CW814" s="696"/>
      <c r="CZ814" s="3060">
        <f t="shared" si="17"/>
      </c>
      <c r="DA814" s="3060">
        <f t="shared" si="1"/>
      </c>
      <c r="DB814" s="3060">
        <f t="shared" si="18"/>
      </c>
      <c r="DC814" s="3060">
        <f t="shared" si="19"/>
      </c>
      <c r="DD814" s="3060">
        <f t="shared" si="20"/>
      </c>
      <c r="DE814" s="3060">
        <f t="shared" si="21"/>
      </c>
      <c r="DF814" s="3060">
        <f t="shared" si="22"/>
      </c>
      <c r="DG814" s="3060">
        <f t="shared" si="23"/>
      </c>
      <c r="DH814" s="3060">
        <f t="shared" si="24"/>
      </c>
      <c r="DI814" s="3060">
        <f t="shared" si="1"/>
      </c>
    </row>
    <row r="815" ht="15" customHeight="1" s="3052" customFormat="1">
      <c r="B815" s="3054">
        <f t="shared" si="2"/>
      </c>
      <c r="C815" s="3054"/>
      <c r="D815" s="3054"/>
      <c r="E815" s="3055"/>
      <c r="F815" s="3055"/>
      <c r="G815" s="3055"/>
      <c r="H815" s="3055"/>
      <c r="I815" s="3055"/>
      <c r="J815" s="3055"/>
      <c r="K815" s="3055"/>
      <c r="L815" s="3055"/>
      <c r="M815" s="3055"/>
      <c r="N815" s="3055"/>
      <c r="O815" s="3055"/>
      <c r="P815" s="3055"/>
      <c r="Q815" s="3055"/>
      <c r="R815" s="3055">
        <f t="shared" si="3"/>
        <v>0</v>
      </c>
      <c r="S815" s="3055">
        <f t="shared" si="4"/>
        <v>0</v>
      </c>
      <c r="T815" s="3055">
        <f t="shared" si="5"/>
        <v>0</v>
      </c>
      <c r="U815" s="3055">
        <f t="shared" si="6"/>
        <v>0</v>
      </c>
      <c r="V815" s="3055">
        <f t="shared" si="7"/>
        <v>0</v>
      </c>
      <c r="W815" s="3055">
        <f t="shared" si="8"/>
        <v>0</v>
      </c>
      <c r="X815" s="3055">
        <f t="shared" si="9"/>
        <v>0</v>
      </c>
      <c r="Y815" s="3055">
        <f t="shared" si="10"/>
        <v>0</v>
      </c>
      <c r="Z815" s="3055">
        <f t="shared" si="11"/>
        <v>0</v>
      </c>
      <c r="AA815" s="3055">
        <f t="shared" si="12"/>
        <v>0</v>
      </c>
      <c r="AB815" s="3055">
        <f t="shared" si="13"/>
        <v>0</v>
      </c>
      <c r="AC815" s="3055">
        <f t="shared" si="14"/>
        <v>0</v>
      </c>
      <c r="AD815" s="3056"/>
      <c r="AE815" s="3057">
        <f t="shared" si="0"/>
      </c>
      <c r="AF815" s="3054"/>
      <c r="AG815" s="3054"/>
      <c r="AH815" s="3055"/>
      <c r="AI815" s="3055"/>
      <c r="AJ815" s="3055"/>
      <c r="AK815" s="3055"/>
      <c r="AL815" s="3055"/>
      <c r="AM815" s="3055"/>
      <c r="AN815" s="3055"/>
      <c r="AO815" s="3055"/>
      <c r="AP815" s="3055"/>
      <c r="AQ815" s="3055"/>
      <c r="AR815" s="3055"/>
      <c r="AS815" s="3055"/>
      <c r="AT815" s="3055"/>
      <c r="AU815" s="3056"/>
      <c r="AV815" s="3057">
        <f t="shared" si="15"/>
      </c>
      <c r="AW815" s="3054"/>
      <c r="AX815" s="3054"/>
      <c r="AY815" s="3055"/>
      <c r="AZ815" s="3055"/>
      <c r="BA815" s="3055"/>
      <c r="BB815" s="3055"/>
      <c r="BC815" s="3055"/>
      <c r="BD815" s="3055"/>
      <c r="BE815" s="3055"/>
      <c r="BF815" s="3055"/>
      <c r="BG815" s="3055"/>
      <c r="BH815" s="3055"/>
      <c r="BI815" s="3055"/>
      <c r="BJ815" s="3055"/>
      <c r="BK815" s="3055"/>
      <c r="BL815" s="3056"/>
      <c r="BM815" s="3057">
        <f t="shared" si="16"/>
      </c>
      <c r="BN815" s="3054"/>
      <c r="BO815" s="3054"/>
      <c r="BP815" s="3055"/>
      <c r="BQ815" s="3055"/>
      <c r="BR815" s="3055"/>
      <c r="BS815" s="3055"/>
      <c r="BT815" s="3055"/>
      <c r="BU815" s="3055"/>
      <c r="BV815" s="3055"/>
      <c r="BW815" s="3055"/>
      <c r="BX815" s="3055"/>
      <c r="BY815" s="3055"/>
      <c r="BZ815" s="3055"/>
      <c r="CA815" s="3055"/>
      <c r="CB815" s="3055"/>
      <c r="CC815" s="3056"/>
      <c r="CD815" s="3057">
        <f t="shared" si="0"/>
      </c>
      <c r="CE815" s="3054"/>
      <c r="CF815" s="3054"/>
      <c r="CG815" s="3055"/>
      <c r="CH815" s="3055"/>
      <c r="CI815" s="3055"/>
      <c r="CJ815" s="3055"/>
      <c r="CK815" s="3055"/>
      <c r="CL815" s="3055"/>
      <c r="CM815" s="3055"/>
      <c r="CN815" s="3055"/>
      <c r="CO815" s="3055"/>
      <c r="CP815" s="3055"/>
      <c r="CQ815" s="3055"/>
      <c r="CR815" s="3055"/>
      <c r="CS815" s="3055"/>
      <c r="CU815" s="3054"/>
      <c r="CV815" s="696"/>
      <c r="CW815" s="696"/>
      <c r="CZ815" s="3060">
        <f t="shared" si="17"/>
      </c>
      <c r="DA815" s="3060">
        <f t="shared" si="1"/>
      </c>
      <c r="DB815" s="3060">
        <f t="shared" si="18"/>
      </c>
      <c r="DC815" s="3060">
        <f t="shared" si="19"/>
      </c>
      <c r="DD815" s="3060">
        <f t="shared" si="20"/>
      </c>
      <c r="DE815" s="3060">
        <f t="shared" si="21"/>
      </c>
      <c r="DF815" s="3060">
        <f t="shared" si="22"/>
      </c>
      <c r="DG815" s="3060">
        <f t="shared" si="23"/>
      </c>
      <c r="DH815" s="3060">
        <f t="shared" si="24"/>
      </c>
      <c r="DI815" s="3060">
        <f t="shared" si="1"/>
      </c>
    </row>
    <row r="816" ht="15" customHeight="1" s="3052" customFormat="1">
      <c r="B816" s="3054">
        <f t="shared" si="2"/>
      </c>
      <c r="C816" s="3054"/>
      <c r="D816" s="3054"/>
      <c r="E816" s="3055"/>
      <c r="F816" s="3055"/>
      <c r="G816" s="3055"/>
      <c r="H816" s="3055"/>
      <c r="I816" s="3055"/>
      <c r="J816" s="3055"/>
      <c r="K816" s="3055"/>
      <c r="L816" s="3055"/>
      <c r="M816" s="3055"/>
      <c r="N816" s="3055"/>
      <c r="O816" s="3055"/>
      <c r="P816" s="3055"/>
      <c r="Q816" s="3055"/>
      <c r="R816" s="3055">
        <f t="shared" si="3"/>
        <v>0</v>
      </c>
      <c r="S816" s="3055">
        <f t="shared" si="4"/>
        <v>0</v>
      </c>
      <c r="T816" s="3055">
        <f t="shared" si="5"/>
        <v>0</v>
      </c>
      <c r="U816" s="3055">
        <f t="shared" si="6"/>
        <v>0</v>
      </c>
      <c r="V816" s="3055">
        <f t="shared" si="7"/>
        <v>0</v>
      </c>
      <c r="W816" s="3055">
        <f t="shared" si="8"/>
        <v>0</v>
      </c>
      <c r="X816" s="3055">
        <f t="shared" si="9"/>
        <v>0</v>
      </c>
      <c r="Y816" s="3055">
        <f t="shared" si="10"/>
        <v>0</v>
      </c>
      <c r="Z816" s="3055">
        <f t="shared" si="11"/>
        <v>0</v>
      </c>
      <c r="AA816" s="3055">
        <f t="shared" si="12"/>
        <v>0</v>
      </c>
      <c r="AB816" s="3055">
        <f t="shared" si="13"/>
        <v>0</v>
      </c>
      <c r="AC816" s="3055">
        <f t="shared" si="14"/>
        <v>0</v>
      </c>
      <c r="AD816" s="3056"/>
      <c r="AE816" s="3057">
        <f t="shared" si="0"/>
      </c>
      <c r="AF816" s="3054"/>
      <c r="AG816" s="3054"/>
      <c r="AH816" s="3055"/>
      <c r="AI816" s="3055"/>
      <c r="AJ816" s="3055"/>
      <c r="AK816" s="3055"/>
      <c r="AL816" s="3055"/>
      <c r="AM816" s="3055"/>
      <c r="AN816" s="3055"/>
      <c r="AO816" s="3055"/>
      <c r="AP816" s="3055"/>
      <c r="AQ816" s="3055"/>
      <c r="AR816" s="3055"/>
      <c r="AS816" s="3055"/>
      <c r="AT816" s="3055"/>
      <c r="AU816" s="3056"/>
      <c r="AV816" s="3057">
        <f t="shared" si="15"/>
      </c>
      <c r="AW816" s="3054"/>
      <c r="AX816" s="3054"/>
      <c r="AY816" s="3055"/>
      <c r="AZ816" s="3055"/>
      <c r="BA816" s="3055"/>
      <c r="BB816" s="3055"/>
      <c r="BC816" s="3055"/>
      <c r="BD816" s="3055"/>
      <c r="BE816" s="3055"/>
      <c r="BF816" s="3055"/>
      <c r="BG816" s="3055"/>
      <c r="BH816" s="3055"/>
      <c r="BI816" s="3055"/>
      <c r="BJ816" s="3055"/>
      <c r="BK816" s="3055"/>
      <c r="BL816" s="3056"/>
      <c r="BM816" s="3057">
        <f t="shared" si="16"/>
      </c>
      <c r="BN816" s="3054"/>
      <c r="BO816" s="3054"/>
      <c r="BP816" s="3055"/>
      <c r="BQ816" s="3055"/>
      <c r="BR816" s="3055"/>
      <c r="BS816" s="3055"/>
      <c r="BT816" s="3055"/>
      <c r="BU816" s="3055"/>
      <c r="BV816" s="3055"/>
      <c r="BW816" s="3055"/>
      <c r="BX816" s="3055"/>
      <c r="BY816" s="3055"/>
      <c r="BZ816" s="3055"/>
      <c r="CA816" s="3055"/>
      <c r="CB816" s="3055"/>
      <c r="CC816" s="3056"/>
      <c r="CD816" s="3057">
        <f t="shared" si="0"/>
      </c>
      <c r="CE816" s="3054"/>
      <c r="CF816" s="3054"/>
      <c r="CG816" s="3055"/>
      <c r="CH816" s="3055"/>
      <c r="CI816" s="3055"/>
      <c r="CJ816" s="3055"/>
      <c r="CK816" s="3055"/>
      <c r="CL816" s="3055"/>
      <c r="CM816" s="3055"/>
      <c r="CN816" s="3055"/>
      <c r="CO816" s="3055"/>
      <c r="CP816" s="3055"/>
      <c r="CQ816" s="3055"/>
      <c r="CR816" s="3055"/>
      <c r="CS816" s="3055"/>
      <c r="CU816" s="3054"/>
      <c r="CV816" s="696"/>
      <c r="CW816" s="696"/>
      <c r="CZ816" s="3060">
        <f t="shared" si="17"/>
      </c>
      <c r="DA816" s="3060">
        <f t="shared" si="1"/>
      </c>
      <c r="DB816" s="3060">
        <f t="shared" si="18"/>
      </c>
      <c r="DC816" s="3060">
        <f t="shared" si="19"/>
      </c>
      <c r="DD816" s="3060">
        <f t="shared" si="20"/>
      </c>
      <c r="DE816" s="3060">
        <f t="shared" si="21"/>
      </c>
      <c r="DF816" s="3060">
        <f t="shared" si="22"/>
      </c>
      <c r="DG816" s="3060">
        <f t="shared" si="23"/>
      </c>
      <c r="DH816" s="3060">
        <f t="shared" si="24"/>
      </c>
      <c r="DI816" s="3060">
        <f t="shared" si="1"/>
      </c>
    </row>
    <row r="817" ht="15" customHeight="1" s="3052" customFormat="1">
      <c r="B817" s="3054">
        <f t="shared" si="2"/>
      </c>
      <c r="C817" s="3054"/>
      <c r="D817" s="3054"/>
      <c r="E817" s="3055"/>
      <c r="F817" s="3055"/>
      <c r="G817" s="3055"/>
      <c r="H817" s="3055"/>
      <c r="I817" s="3055"/>
      <c r="J817" s="3055"/>
      <c r="K817" s="3055"/>
      <c r="L817" s="3055"/>
      <c r="M817" s="3055"/>
      <c r="N817" s="3055"/>
      <c r="O817" s="3055"/>
      <c r="P817" s="3055"/>
      <c r="Q817" s="3055"/>
      <c r="R817" s="3055">
        <f t="shared" si="3"/>
        <v>0</v>
      </c>
      <c r="S817" s="3055">
        <f t="shared" si="4"/>
        <v>0</v>
      </c>
      <c r="T817" s="3055">
        <f t="shared" si="5"/>
        <v>0</v>
      </c>
      <c r="U817" s="3055">
        <f t="shared" si="6"/>
        <v>0</v>
      </c>
      <c r="V817" s="3055">
        <f t="shared" si="7"/>
        <v>0</v>
      </c>
      <c r="W817" s="3055">
        <f t="shared" si="8"/>
        <v>0</v>
      </c>
      <c r="X817" s="3055">
        <f t="shared" si="9"/>
        <v>0</v>
      </c>
      <c r="Y817" s="3055">
        <f t="shared" si="10"/>
        <v>0</v>
      </c>
      <c r="Z817" s="3055">
        <f t="shared" si="11"/>
        <v>0</v>
      </c>
      <c r="AA817" s="3055">
        <f t="shared" si="12"/>
        <v>0</v>
      </c>
      <c r="AB817" s="3055">
        <f t="shared" si="13"/>
        <v>0</v>
      </c>
      <c r="AC817" s="3055">
        <f t="shared" si="14"/>
        <v>0</v>
      </c>
      <c r="AD817" s="3056"/>
      <c r="AE817" s="3057">
        <f t="shared" si="0"/>
      </c>
      <c r="AF817" s="3054"/>
      <c r="AG817" s="3054"/>
      <c r="AH817" s="3055"/>
      <c r="AI817" s="3055"/>
      <c r="AJ817" s="3055"/>
      <c r="AK817" s="3055"/>
      <c r="AL817" s="3055"/>
      <c r="AM817" s="3055"/>
      <c r="AN817" s="3055"/>
      <c r="AO817" s="3055"/>
      <c r="AP817" s="3055"/>
      <c r="AQ817" s="3055"/>
      <c r="AR817" s="3055"/>
      <c r="AS817" s="3055"/>
      <c r="AT817" s="3055"/>
      <c r="AU817" s="3056"/>
      <c r="AV817" s="3057">
        <f t="shared" si="15"/>
      </c>
      <c r="AW817" s="3054"/>
      <c r="AX817" s="3054"/>
      <c r="AY817" s="3055"/>
      <c r="AZ817" s="3055"/>
      <c r="BA817" s="3055"/>
      <c r="BB817" s="3055"/>
      <c r="BC817" s="3055"/>
      <c r="BD817" s="3055"/>
      <c r="BE817" s="3055"/>
      <c r="BF817" s="3055"/>
      <c r="BG817" s="3055"/>
      <c r="BH817" s="3055"/>
      <c r="BI817" s="3055"/>
      <c r="BJ817" s="3055"/>
      <c r="BK817" s="3055"/>
      <c r="BL817" s="3056"/>
      <c r="BM817" s="3057">
        <f t="shared" si="16"/>
      </c>
      <c r="BN817" s="3054"/>
      <c r="BO817" s="3054"/>
      <c r="BP817" s="3055"/>
      <c r="BQ817" s="3055"/>
      <c r="BR817" s="3055"/>
      <c r="BS817" s="3055"/>
      <c r="BT817" s="3055"/>
      <c r="BU817" s="3055"/>
      <c r="BV817" s="3055"/>
      <c r="BW817" s="3055"/>
      <c r="BX817" s="3055"/>
      <c r="BY817" s="3055"/>
      <c r="BZ817" s="3055"/>
      <c r="CA817" s="3055"/>
      <c r="CB817" s="3055"/>
      <c r="CC817" s="3056"/>
      <c r="CD817" s="3057">
        <f t="shared" si="0"/>
      </c>
      <c r="CE817" s="3054"/>
      <c r="CF817" s="3054"/>
      <c r="CG817" s="3055"/>
      <c r="CH817" s="3055"/>
      <c r="CI817" s="3055"/>
      <c r="CJ817" s="3055"/>
      <c r="CK817" s="3055"/>
      <c r="CL817" s="3055"/>
      <c r="CM817" s="3055"/>
      <c r="CN817" s="3055"/>
      <c r="CO817" s="3055"/>
      <c r="CP817" s="3055"/>
      <c r="CQ817" s="3055"/>
      <c r="CR817" s="3055"/>
      <c r="CS817" s="3055"/>
      <c r="CU817" s="3054"/>
      <c r="CV817" s="696"/>
      <c r="CW817" s="696"/>
      <c r="CZ817" s="3060">
        <f t="shared" si="17"/>
      </c>
      <c r="DA817" s="3060">
        <f t="shared" si="1"/>
      </c>
      <c r="DB817" s="3060">
        <f t="shared" si="18"/>
      </c>
      <c r="DC817" s="3060">
        <f t="shared" si="19"/>
      </c>
      <c r="DD817" s="3060">
        <f t="shared" si="20"/>
      </c>
      <c r="DE817" s="3060">
        <f t="shared" si="21"/>
      </c>
      <c r="DF817" s="3060">
        <f t="shared" si="22"/>
      </c>
      <c r="DG817" s="3060">
        <f t="shared" si="23"/>
      </c>
      <c r="DH817" s="3060">
        <f t="shared" si="24"/>
      </c>
      <c r="DI817" s="3060">
        <f t="shared" si="1"/>
      </c>
    </row>
    <row r="818" ht="15" customHeight="1" s="3052" customFormat="1">
      <c r="B818" s="3054">
        <f t="shared" si="2"/>
      </c>
      <c r="C818" s="3054"/>
      <c r="D818" s="3054"/>
      <c r="E818" s="3055"/>
      <c r="F818" s="3055"/>
      <c r="G818" s="3055"/>
      <c r="H818" s="3055"/>
      <c r="I818" s="3055"/>
      <c r="J818" s="3055"/>
      <c r="K818" s="3055"/>
      <c r="L818" s="3055"/>
      <c r="M818" s="3055"/>
      <c r="N818" s="3055"/>
      <c r="O818" s="3055"/>
      <c r="P818" s="3055"/>
      <c r="Q818" s="3055"/>
      <c r="R818" s="3055">
        <f t="shared" si="3"/>
        <v>0</v>
      </c>
      <c r="S818" s="3055">
        <f t="shared" si="4"/>
        <v>0</v>
      </c>
      <c r="T818" s="3055">
        <f t="shared" si="5"/>
        <v>0</v>
      </c>
      <c r="U818" s="3055">
        <f t="shared" si="6"/>
        <v>0</v>
      </c>
      <c r="V818" s="3055">
        <f t="shared" si="7"/>
        <v>0</v>
      </c>
      <c r="W818" s="3055">
        <f t="shared" si="8"/>
        <v>0</v>
      </c>
      <c r="X818" s="3055">
        <f t="shared" si="9"/>
        <v>0</v>
      </c>
      <c r="Y818" s="3055">
        <f t="shared" si="10"/>
        <v>0</v>
      </c>
      <c r="Z818" s="3055">
        <f t="shared" si="11"/>
        <v>0</v>
      </c>
      <c r="AA818" s="3055">
        <f t="shared" si="12"/>
        <v>0</v>
      </c>
      <c r="AB818" s="3055">
        <f t="shared" si="13"/>
        <v>0</v>
      </c>
      <c r="AC818" s="3055">
        <f t="shared" si="14"/>
        <v>0</v>
      </c>
      <c r="AD818" s="3056"/>
      <c r="AE818" s="3057">
        <f t="shared" si="0"/>
      </c>
      <c r="AF818" s="3054"/>
      <c r="AG818" s="3054"/>
      <c r="AH818" s="3055"/>
      <c r="AI818" s="3055"/>
      <c r="AJ818" s="3055"/>
      <c r="AK818" s="3055"/>
      <c r="AL818" s="3055"/>
      <c r="AM818" s="3055"/>
      <c r="AN818" s="3055"/>
      <c r="AO818" s="3055"/>
      <c r="AP818" s="3055"/>
      <c r="AQ818" s="3055"/>
      <c r="AR818" s="3055"/>
      <c r="AS818" s="3055"/>
      <c r="AT818" s="3055"/>
      <c r="AU818" s="3056"/>
      <c r="AV818" s="3057">
        <f t="shared" si="15"/>
      </c>
      <c r="AW818" s="3054"/>
      <c r="AX818" s="3054"/>
      <c r="AY818" s="3055"/>
      <c r="AZ818" s="3055"/>
      <c r="BA818" s="3055"/>
      <c r="BB818" s="3055"/>
      <c r="BC818" s="3055"/>
      <c r="BD818" s="3055"/>
      <c r="BE818" s="3055"/>
      <c r="BF818" s="3055"/>
      <c r="BG818" s="3055"/>
      <c r="BH818" s="3055"/>
      <c r="BI818" s="3055"/>
      <c r="BJ818" s="3055"/>
      <c r="BK818" s="3055"/>
      <c r="BL818" s="3056"/>
      <c r="BM818" s="3057">
        <f t="shared" si="16"/>
      </c>
      <c r="BN818" s="3054"/>
      <c r="BO818" s="3054"/>
      <c r="BP818" s="3055"/>
      <c r="BQ818" s="3055"/>
      <c r="BR818" s="3055"/>
      <c r="BS818" s="3055"/>
      <c r="BT818" s="3055"/>
      <c r="BU818" s="3055"/>
      <c r="BV818" s="3055"/>
      <c r="BW818" s="3055"/>
      <c r="BX818" s="3055"/>
      <c r="BY818" s="3055"/>
      <c r="BZ818" s="3055"/>
      <c r="CA818" s="3055"/>
      <c r="CB818" s="3055"/>
      <c r="CC818" s="3056"/>
      <c r="CD818" s="3057">
        <f t="shared" si="0"/>
      </c>
      <c r="CE818" s="3054"/>
      <c r="CF818" s="3054"/>
      <c r="CG818" s="3055"/>
      <c r="CH818" s="3055"/>
      <c r="CI818" s="3055"/>
      <c r="CJ818" s="3055"/>
      <c r="CK818" s="3055"/>
      <c r="CL818" s="3055"/>
      <c r="CM818" s="3055"/>
      <c r="CN818" s="3055"/>
      <c r="CO818" s="3055"/>
      <c r="CP818" s="3055"/>
      <c r="CQ818" s="3055"/>
      <c r="CR818" s="3055"/>
      <c r="CS818" s="3055"/>
      <c r="CU818" s="3054"/>
      <c r="CV818" s="696"/>
      <c r="CW818" s="696"/>
      <c r="CZ818" s="3060">
        <f t="shared" si="17"/>
      </c>
      <c r="DA818" s="3060">
        <f t="shared" si="1"/>
      </c>
      <c r="DB818" s="3060">
        <f t="shared" si="18"/>
      </c>
      <c r="DC818" s="3060">
        <f t="shared" si="19"/>
      </c>
      <c r="DD818" s="3060">
        <f t="shared" si="20"/>
      </c>
      <c r="DE818" s="3060">
        <f t="shared" si="21"/>
      </c>
      <c r="DF818" s="3060">
        <f t="shared" si="22"/>
      </c>
      <c r="DG818" s="3060">
        <f t="shared" si="23"/>
      </c>
      <c r="DH818" s="3060">
        <f t="shared" si="24"/>
      </c>
      <c r="DI818" s="3060">
        <f t="shared" si="1"/>
      </c>
    </row>
    <row r="819" ht="15" customHeight="1" s="3052" customFormat="1">
      <c r="B819" s="3054">
        <f t="shared" si="2"/>
      </c>
      <c r="C819" s="3054"/>
      <c r="D819" s="3054"/>
      <c r="E819" s="3055"/>
      <c r="F819" s="3055"/>
      <c r="G819" s="3055"/>
      <c r="H819" s="3055"/>
      <c r="I819" s="3055"/>
      <c r="J819" s="3055"/>
      <c r="K819" s="3055"/>
      <c r="L819" s="3055"/>
      <c r="M819" s="3055"/>
      <c r="N819" s="3055"/>
      <c r="O819" s="3055"/>
      <c r="P819" s="3055"/>
      <c r="Q819" s="3055"/>
      <c r="R819" s="3055">
        <f t="shared" si="3"/>
        <v>0</v>
      </c>
      <c r="S819" s="3055">
        <f t="shared" si="4"/>
        <v>0</v>
      </c>
      <c r="T819" s="3055">
        <f t="shared" si="5"/>
        <v>0</v>
      </c>
      <c r="U819" s="3055">
        <f t="shared" si="6"/>
        <v>0</v>
      </c>
      <c r="V819" s="3055">
        <f t="shared" si="7"/>
        <v>0</v>
      </c>
      <c r="W819" s="3055">
        <f t="shared" si="8"/>
        <v>0</v>
      </c>
      <c r="X819" s="3055">
        <f t="shared" si="9"/>
        <v>0</v>
      </c>
      <c r="Y819" s="3055">
        <f t="shared" si="10"/>
        <v>0</v>
      </c>
      <c r="Z819" s="3055">
        <f t="shared" si="11"/>
        <v>0</v>
      </c>
      <c r="AA819" s="3055">
        <f t="shared" si="12"/>
        <v>0</v>
      </c>
      <c r="AB819" s="3055">
        <f t="shared" si="13"/>
        <v>0</v>
      </c>
      <c r="AC819" s="3055">
        <f t="shared" si="14"/>
        <v>0</v>
      </c>
      <c r="AD819" s="3056"/>
      <c r="AE819" s="3057">
        <f t="shared" si="0"/>
      </c>
      <c r="AF819" s="3054"/>
      <c r="AG819" s="3054"/>
      <c r="AH819" s="3055"/>
      <c r="AI819" s="3055"/>
      <c r="AJ819" s="3055"/>
      <c r="AK819" s="3055"/>
      <c r="AL819" s="3055"/>
      <c r="AM819" s="3055"/>
      <c r="AN819" s="3055"/>
      <c r="AO819" s="3055"/>
      <c r="AP819" s="3055"/>
      <c r="AQ819" s="3055"/>
      <c r="AR819" s="3055"/>
      <c r="AS819" s="3055"/>
      <c r="AT819" s="3055"/>
      <c r="AU819" s="3056"/>
      <c r="AV819" s="3057">
        <f t="shared" si="15"/>
      </c>
      <c r="AW819" s="3054"/>
      <c r="AX819" s="3054"/>
      <c r="AY819" s="3055"/>
      <c r="AZ819" s="3055"/>
      <c r="BA819" s="3055"/>
      <c r="BB819" s="3055"/>
      <c r="BC819" s="3055"/>
      <c r="BD819" s="3055"/>
      <c r="BE819" s="3055"/>
      <c r="BF819" s="3055"/>
      <c r="BG819" s="3055"/>
      <c r="BH819" s="3055"/>
      <c r="BI819" s="3055"/>
      <c r="BJ819" s="3055"/>
      <c r="BK819" s="3055"/>
      <c r="BL819" s="3056"/>
      <c r="BM819" s="3057">
        <f t="shared" si="16"/>
      </c>
      <c r="BN819" s="3054"/>
      <c r="BO819" s="3054"/>
      <c r="BP819" s="3055"/>
      <c r="BQ819" s="3055"/>
      <c r="BR819" s="3055"/>
      <c r="BS819" s="3055"/>
      <c r="BT819" s="3055"/>
      <c r="BU819" s="3055"/>
      <c r="BV819" s="3055"/>
      <c r="BW819" s="3055"/>
      <c r="BX819" s="3055"/>
      <c r="BY819" s="3055"/>
      <c r="BZ819" s="3055"/>
      <c r="CA819" s="3055"/>
      <c r="CB819" s="3055"/>
      <c r="CC819" s="3056"/>
      <c r="CD819" s="3057">
        <f t="shared" si="0"/>
      </c>
      <c r="CE819" s="3054"/>
      <c r="CF819" s="3054"/>
      <c r="CG819" s="3055"/>
      <c r="CH819" s="3055"/>
      <c r="CI819" s="3055"/>
      <c r="CJ819" s="3055"/>
      <c r="CK819" s="3055"/>
      <c r="CL819" s="3055"/>
      <c r="CM819" s="3055"/>
      <c r="CN819" s="3055"/>
      <c r="CO819" s="3055"/>
      <c r="CP819" s="3055"/>
      <c r="CQ819" s="3055"/>
      <c r="CR819" s="3055"/>
      <c r="CS819" s="3055"/>
      <c r="CU819" s="3054"/>
      <c r="CV819" s="696"/>
      <c r="CW819" s="696"/>
      <c r="CZ819" s="3060">
        <f t="shared" si="17"/>
      </c>
      <c r="DA819" s="3060">
        <f t="shared" si="1"/>
      </c>
      <c r="DB819" s="3060">
        <f t="shared" si="18"/>
      </c>
      <c r="DC819" s="3060">
        <f t="shared" si="19"/>
      </c>
      <c r="DD819" s="3060">
        <f t="shared" si="20"/>
      </c>
      <c r="DE819" s="3060">
        <f t="shared" si="21"/>
      </c>
      <c r="DF819" s="3060">
        <f t="shared" si="22"/>
      </c>
      <c r="DG819" s="3060">
        <f t="shared" si="23"/>
      </c>
      <c r="DH819" s="3060">
        <f t="shared" si="24"/>
      </c>
      <c r="DI819" s="3060">
        <f t="shared" si="1"/>
      </c>
    </row>
    <row r="820" ht="15" customHeight="1" s="3052" customFormat="1">
      <c r="B820" s="3054">
        <f t="shared" si="2"/>
      </c>
      <c r="C820" s="3054"/>
      <c r="D820" s="3054"/>
      <c r="E820" s="3055"/>
      <c r="F820" s="3055"/>
      <c r="G820" s="3055"/>
      <c r="H820" s="3055"/>
      <c r="I820" s="3055"/>
      <c r="J820" s="3055"/>
      <c r="K820" s="3055"/>
      <c r="L820" s="3055"/>
      <c r="M820" s="3055"/>
      <c r="N820" s="3055"/>
      <c r="O820" s="3055"/>
      <c r="P820" s="3055"/>
      <c r="Q820" s="3055"/>
      <c r="R820" s="3055">
        <f t="shared" si="3"/>
        <v>0</v>
      </c>
      <c r="S820" s="3055">
        <f t="shared" si="4"/>
        <v>0</v>
      </c>
      <c r="T820" s="3055">
        <f t="shared" si="5"/>
        <v>0</v>
      </c>
      <c r="U820" s="3055">
        <f t="shared" si="6"/>
        <v>0</v>
      </c>
      <c r="V820" s="3055">
        <f t="shared" si="7"/>
        <v>0</v>
      </c>
      <c r="W820" s="3055">
        <f t="shared" si="8"/>
        <v>0</v>
      </c>
      <c r="X820" s="3055">
        <f t="shared" si="9"/>
        <v>0</v>
      </c>
      <c r="Y820" s="3055">
        <f t="shared" si="10"/>
        <v>0</v>
      </c>
      <c r="Z820" s="3055">
        <f t="shared" si="11"/>
        <v>0</v>
      </c>
      <c r="AA820" s="3055">
        <f t="shared" si="12"/>
        <v>0</v>
      </c>
      <c r="AB820" s="3055">
        <f t="shared" si="13"/>
        <v>0</v>
      </c>
      <c r="AC820" s="3055">
        <f t="shared" si="14"/>
        <v>0</v>
      </c>
      <c r="AD820" s="3056"/>
      <c r="AE820" s="3057">
        <f t="shared" si="0"/>
      </c>
      <c r="AF820" s="3054"/>
      <c r="AG820" s="3054"/>
      <c r="AH820" s="3055"/>
      <c r="AI820" s="3055"/>
      <c r="AJ820" s="3055"/>
      <c r="AK820" s="3055"/>
      <c r="AL820" s="3055"/>
      <c r="AM820" s="3055"/>
      <c r="AN820" s="3055"/>
      <c r="AO820" s="3055"/>
      <c r="AP820" s="3055"/>
      <c r="AQ820" s="3055"/>
      <c r="AR820" s="3055"/>
      <c r="AS820" s="3055"/>
      <c r="AT820" s="3055"/>
      <c r="AU820" s="3056"/>
      <c r="AV820" s="3057">
        <f t="shared" si="15"/>
      </c>
      <c r="AW820" s="3054"/>
      <c r="AX820" s="3054"/>
      <c r="AY820" s="3055"/>
      <c r="AZ820" s="3055"/>
      <c r="BA820" s="3055"/>
      <c r="BB820" s="3055"/>
      <c r="BC820" s="3055"/>
      <c r="BD820" s="3055"/>
      <c r="BE820" s="3055"/>
      <c r="BF820" s="3055"/>
      <c r="BG820" s="3055"/>
      <c r="BH820" s="3055"/>
      <c r="BI820" s="3055"/>
      <c r="BJ820" s="3055"/>
      <c r="BK820" s="3055"/>
      <c r="BL820" s="3056"/>
      <c r="BM820" s="3057">
        <f t="shared" si="16"/>
      </c>
      <c r="BN820" s="3054"/>
      <c r="BO820" s="3054"/>
      <c r="BP820" s="3055"/>
      <c r="BQ820" s="3055"/>
      <c r="BR820" s="3055"/>
      <c r="BS820" s="3055"/>
      <c r="BT820" s="3055"/>
      <c r="BU820" s="3055"/>
      <c r="BV820" s="3055"/>
      <c r="BW820" s="3055"/>
      <c r="BX820" s="3055"/>
      <c r="BY820" s="3055"/>
      <c r="BZ820" s="3055"/>
      <c r="CA820" s="3055"/>
      <c r="CB820" s="3055"/>
      <c r="CC820" s="3056"/>
      <c r="CD820" s="3057">
        <f t="shared" si="0"/>
      </c>
      <c r="CE820" s="3054"/>
      <c r="CF820" s="3054"/>
      <c r="CG820" s="3055"/>
      <c r="CH820" s="3055"/>
      <c r="CI820" s="3055"/>
      <c r="CJ820" s="3055"/>
      <c r="CK820" s="3055"/>
      <c r="CL820" s="3055"/>
      <c r="CM820" s="3055"/>
      <c r="CN820" s="3055"/>
      <c r="CO820" s="3055"/>
      <c r="CP820" s="3055"/>
      <c r="CQ820" s="3055"/>
      <c r="CR820" s="3055"/>
      <c r="CS820" s="3055"/>
      <c r="CU820" s="3054"/>
      <c r="CV820" s="696"/>
      <c r="CW820" s="696"/>
      <c r="CZ820" s="3060">
        <f t="shared" si="17"/>
      </c>
      <c r="DA820" s="3060">
        <f t="shared" si="1"/>
      </c>
      <c r="DB820" s="3060">
        <f t="shared" si="18"/>
      </c>
      <c r="DC820" s="3060">
        <f t="shared" si="19"/>
      </c>
      <c r="DD820" s="3060">
        <f t="shared" si="20"/>
      </c>
      <c r="DE820" s="3060">
        <f t="shared" si="21"/>
      </c>
      <c r="DF820" s="3060">
        <f t="shared" si="22"/>
      </c>
      <c r="DG820" s="3060">
        <f t="shared" si="23"/>
      </c>
      <c r="DH820" s="3060">
        <f t="shared" si="24"/>
      </c>
      <c r="DI820" s="3060">
        <f t="shared" si="1"/>
      </c>
    </row>
    <row r="821" ht="15" customHeight="1" s="3052" customFormat="1">
      <c r="B821" s="3054">
        <f t="shared" si="2"/>
      </c>
      <c r="C821" s="3054"/>
      <c r="D821" s="3054"/>
      <c r="E821" s="3055"/>
      <c r="F821" s="3055"/>
      <c r="G821" s="3055"/>
      <c r="H821" s="3055"/>
      <c r="I821" s="3055"/>
      <c r="J821" s="3055"/>
      <c r="K821" s="3055"/>
      <c r="L821" s="3055"/>
      <c r="M821" s="3055"/>
      <c r="N821" s="3055"/>
      <c r="O821" s="3055"/>
      <c r="P821" s="3055"/>
      <c r="Q821" s="3055"/>
      <c r="R821" s="3055">
        <f t="shared" si="3"/>
        <v>0</v>
      </c>
      <c r="S821" s="3055">
        <f t="shared" si="4"/>
        <v>0</v>
      </c>
      <c r="T821" s="3055">
        <f t="shared" si="5"/>
        <v>0</v>
      </c>
      <c r="U821" s="3055">
        <f t="shared" si="6"/>
        <v>0</v>
      </c>
      <c r="V821" s="3055">
        <f t="shared" si="7"/>
        <v>0</v>
      </c>
      <c r="W821" s="3055">
        <f t="shared" si="8"/>
        <v>0</v>
      </c>
      <c r="X821" s="3055">
        <f t="shared" si="9"/>
        <v>0</v>
      </c>
      <c r="Y821" s="3055">
        <f t="shared" si="10"/>
        <v>0</v>
      </c>
      <c r="Z821" s="3055">
        <f t="shared" si="11"/>
        <v>0</v>
      </c>
      <c r="AA821" s="3055">
        <f t="shared" si="12"/>
        <v>0</v>
      </c>
      <c r="AB821" s="3055">
        <f t="shared" si="13"/>
        <v>0</v>
      </c>
      <c r="AC821" s="3055">
        <f t="shared" si="14"/>
        <v>0</v>
      </c>
      <c r="AD821" s="3056"/>
      <c r="AE821" s="3057">
        <f t="shared" si="0"/>
      </c>
      <c r="AF821" s="3054"/>
      <c r="AG821" s="3054"/>
      <c r="AH821" s="3055"/>
      <c r="AI821" s="3055"/>
      <c r="AJ821" s="3055"/>
      <c r="AK821" s="3055"/>
      <c r="AL821" s="3055"/>
      <c r="AM821" s="3055"/>
      <c r="AN821" s="3055"/>
      <c r="AO821" s="3055"/>
      <c r="AP821" s="3055"/>
      <c r="AQ821" s="3055"/>
      <c r="AR821" s="3055"/>
      <c r="AS821" s="3055"/>
      <c r="AT821" s="3055"/>
      <c r="AU821" s="3056"/>
      <c r="AV821" s="3057">
        <f t="shared" si="15"/>
      </c>
      <c r="AW821" s="3054"/>
      <c r="AX821" s="3054"/>
      <c r="AY821" s="3055"/>
      <c r="AZ821" s="3055"/>
      <c r="BA821" s="3055"/>
      <c r="BB821" s="3055"/>
      <c r="BC821" s="3055"/>
      <c r="BD821" s="3055"/>
      <c r="BE821" s="3055"/>
      <c r="BF821" s="3055"/>
      <c r="BG821" s="3055"/>
      <c r="BH821" s="3055"/>
      <c r="BI821" s="3055"/>
      <c r="BJ821" s="3055"/>
      <c r="BK821" s="3055"/>
      <c r="BL821" s="3056"/>
      <c r="BM821" s="3057">
        <f t="shared" si="16"/>
      </c>
      <c r="BN821" s="3054"/>
      <c r="BO821" s="3054"/>
      <c r="BP821" s="3055"/>
      <c r="BQ821" s="3055"/>
      <c r="BR821" s="3055"/>
      <c r="BS821" s="3055"/>
      <c r="BT821" s="3055"/>
      <c r="BU821" s="3055"/>
      <c r="BV821" s="3055"/>
      <c r="BW821" s="3055"/>
      <c r="BX821" s="3055"/>
      <c r="BY821" s="3055"/>
      <c r="BZ821" s="3055"/>
      <c r="CA821" s="3055"/>
      <c r="CB821" s="3055"/>
      <c r="CC821" s="3056"/>
      <c r="CD821" s="3057">
        <f t="shared" si="0"/>
      </c>
      <c r="CE821" s="3054"/>
      <c r="CF821" s="3054"/>
      <c r="CG821" s="3055"/>
      <c r="CH821" s="3055"/>
      <c r="CI821" s="3055"/>
      <c r="CJ821" s="3055"/>
      <c r="CK821" s="3055"/>
      <c r="CL821" s="3055"/>
      <c r="CM821" s="3055"/>
      <c r="CN821" s="3055"/>
      <c r="CO821" s="3055"/>
      <c r="CP821" s="3055"/>
      <c r="CQ821" s="3055"/>
      <c r="CR821" s="3055"/>
      <c r="CS821" s="3055"/>
      <c r="CU821" s="3054"/>
      <c r="CV821" s="696"/>
      <c r="CW821" s="696"/>
      <c r="CZ821" s="3060">
        <f t="shared" si="17"/>
      </c>
      <c r="DA821" s="3060">
        <f t="shared" si="1"/>
      </c>
      <c r="DB821" s="3060">
        <f t="shared" si="18"/>
      </c>
      <c r="DC821" s="3060">
        <f t="shared" si="19"/>
      </c>
      <c r="DD821" s="3060">
        <f t="shared" si="20"/>
      </c>
      <c r="DE821" s="3060">
        <f t="shared" si="21"/>
      </c>
      <c r="DF821" s="3060">
        <f t="shared" si="22"/>
      </c>
      <c r="DG821" s="3060">
        <f t="shared" si="23"/>
      </c>
      <c r="DH821" s="3060">
        <f t="shared" si="24"/>
      </c>
      <c r="DI821" s="3060">
        <f t="shared" si="1"/>
      </c>
    </row>
    <row r="822" ht="15" customHeight="1" s="3052" customFormat="1">
      <c r="B822" s="3054">
        <f t="shared" si="2"/>
      </c>
      <c r="C822" s="3054"/>
      <c r="D822" s="3054"/>
      <c r="E822" s="3055"/>
      <c r="F822" s="3055"/>
      <c r="G822" s="3055"/>
      <c r="H822" s="3055"/>
      <c r="I822" s="3055"/>
      <c r="J822" s="3055"/>
      <c r="K822" s="3055"/>
      <c r="L822" s="3055"/>
      <c r="M822" s="3055"/>
      <c r="N822" s="3055"/>
      <c r="O822" s="3055"/>
      <c r="P822" s="3055"/>
      <c r="Q822" s="3055"/>
      <c r="R822" s="3055">
        <f t="shared" si="3"/>
        <v>0</v>
      </c>
      <c r="S822" s="3055">
        <f t="shared" si="4"/>
        <v>0</v>
      </c>
      <c r="T822" s="3055">
        <f t="shared" si="5"/>
        <v>0</v>
      </c>
      <c r="U822" s="3055">
        <f t="shared" si="6"/>
        <v>0</v>
      </c>
      <c r="V822" s="3055">
        <f t="shared" si="7"/>
        <v>0</v>
      </c>
      <c r="W822" s="3055">
        <f t="shared" si="8"/>
        <v>0</v>
      </c>
      <c r="X822" s="3055">
        <f t="shared" si="9"/>
        <v>0</v>
      </c>
      <c r="Y822" s="3055">
        <f t="shared" si="10"/>
        <v>0</v>
      </c>
      <c r="Z822" s="3055">
        <f t="shared" si="11"/>
        <v>0</v>
      </c>
      <c r="AA822" s="3055">
        <f t="shared" si="12"/>
        <v>0</v>
      </c>
      <c r="AB822" s="3055">
        <f t="shared" si="13"/>
        <v>0</v>
      </c>
      <c r="AC822" s="3055">
        <f t="shared" si="14"/>
        <v>0</v>
      </c>
      <c r="AD822" s="3056"/>
      <c r="AE822" s="3057">
        <f t="shared" si="0"/>
      </c>
      <c r="AF822" s="3054"/>
      <c r="AG822" s="3054"/>
      <c r="AH822" s="3055"/>
      <c r="AI822" s="3055"/>
      <c r="AJ822" s="3055"/>
      <c r="AK822" s="3055"/>
      <c r="AL822" s="3055"/>
      <c r="AM822" s="3055"/>
      <c r="AN822" s="3055"/>
      <c r="AO822" s="3055"/>
      <c r="AP822" s="3055"/>
      <c r="AQ822" s="3055"/>
      <c r="AR822" s="3055"/>
      <c r="AS822" s="3055"/>
      <c r="AT822" s="3055"/>
      <c r="AU822" s="3056"/>
      <c r="AV822" s="3057">
        <f t="shared" si="15"/>
      </c>
      <c r="AW822" s="3054"/>
      <c r="AX822" s="3054"/>
      <c r="AY822" s="3055"/>
      <c r="AZ822" s="3055"/>
      <c r="BA822" s="3055"/>
      <c r="BB822" s="3055"/>
      <c r="BC822" s="3055"/>
      <c r="BD822" s="3055"/>
      <c r="BE822" s="3055"/>
      <c r="BF822" s="3055"/>
      <c r="BG822" s="3055"/>
      <c r="BH822" s="3055"/>
      <c r="BI822" s="3055"/>
      <c r="BJ822" s="3055"/>
      <c r="BK822" s="3055"/>
      <c r="BL822" s="3056"/>
      <c r="BM822" s="3057">
        <f t="shared" si="16"/>
      </c>
      <c r="BN822" s="3054"/>
      <c r="BO822" s="3054"/>
      <c r="BP822" s="3055"/>
      <c r="BQ822" s="3055"/>
      <c r="BR822" s="3055"/>
      <c r="BS822" s="3055"/>
      <c r="BT822" s="3055"/>
      <c r="BU822" s="3055"/>
      <c r="BV822" s="3055"/>
      <c r="BW822" s="3055"/>
      <c r="BX822" s="3055"/>
      <c r="BY822" s="3055"/>
      <c r="BZ822" s="3055"/>
      <c r="CA822" s="3055"/>
      <c r="CB822" s="3055"/>
      <c r="CC822" s="3056"/>
      <c r="CD822" s="3057">
        <f t="shared" si="0"/>
      </c>
      <c r="CE822" s="3054"/>
      <c r="CF822" s="3054"/>
      <c r="CG822" s="3055"/>
      <c r="CH822" s="3055"/>
      <c r="CI822" s="3055"/>
      <c r="CJ822" s="3055"/>
      <c r="CK822" s="3055"/>
      <c r="CL822" s="3055"/>
      <c r="CM822" s="3055"/>
      <c r="CN822" s="3055"/>
      <c r="CO822" s="3055"/>
      <c r="CP822" s="3055"/>
      <c r="CQ822" s="3055"/>
      <c r="CR822" s="3055"/>
      <c r="CS822" s="3055"/>
      <c r="CU822" s="3054"/>
      <c r="CV822" s="696"/>
      <c r="CW822" s="696"/>
      <c r="CZ822" s="3060">
        <f t="shared" si="17"/>
      </c>
      <c r="DA822" s="3060">
        <f t="shared" si="1"/>
      </c>
      <c r="DB822" s="3060">
        <f t="shared" si="18"/>
      </c>
      <c r="DC822" s="3060">
        <f t="shared" si="19"/>
      </c>
      <c r="DD822" s="3060">
        <f t="shared" si="20"/>
      </c>
      <c r="DE822" s="3060">
        <f t="shared" si="21"/>
      </c>
      <c r="DF822" s="3060">
        <f t="shared" si="22"/>
      </c>
      <c r="DG822" s="3060">
        <f t="shared" si="23"/>
      </c>
      <c r="DH822" s="3060">
        <f t="shared" si="24"/>
      </c>
      <c r="DI822" s="3060">
        <f t="shared" si="1"/>
      </c>
    </row>
    <row r="823" ht="15" customHeight="1" s="3052" customFormat="1">
      <c r="B823" s="3054">
        <f t="shared" si="2"/>
      </c>
      <c r="C823" s="3054"/>
      <c r="D823" s="3054"/>
      <c r="E823" s="3055"/>
      <c r="F823" s="3055"/>
      <c r="G823" s="3055"/>
      <c r="H823" s="3055"/>
      <c r="I823" s="3055"/>
      <c r="J823" s="3055"/>
      <c r="K823" s="3055"/>
      <c r="L823" s="3055"/>
      <c r="M823" s="3055"/>
      <c r="N823" s="3055"/>
      <c r="O823" s="3055"/>
      <c r="P823" s="3055"/>
      <c r="Q823" s="3055"/>
      <c r="R823" s="3055">
        <f t="shared" si="3"/>
        <v>0</v>
      </c>
      <c r="S823" s="3055">
        <f t="shared" si="4"/>
        <v>0</v>
      </c>
      <c r="T823" s="3055">
        <f t="shared" si="5"/>
        <v>0</v>
      </c>
      <c r="U823" s="3055">
        <f t="shared" si="6"/>
        <v>0</v>
      </c>
      <c r="V823" s="3055">
        <f t="shared" si="7"/>
        <v>0</v>
      </c>
      <c r="W823" s="3055">
        <f t="shared" si="8"/>
        <v>0</v>
      </c>
      <c r="X823" s="3055">
        <f t="shared" si="9"/>
        <v>0</v>
      </c>
      <c r="Y823" s="3055">
        <f t="shared" si="10"/>
        <v>0</v>
      </c>
      <c r="Z823" s="3055">
        <f t="shared" si="11"/>
        <v>0</v>
      </c>
      <c r="AA823" s="3055">
        <f t="shared" si="12"/>
        <v>0</v>
      </c>
      <c r="AB823" s="3055">
        <f t="shared" si="13"/>
        <v>0</v>
      </c>
      <c r="AC823" s="3055">
        <f t="shared" si="14"/>
        <v>0</v>
      </c>
      <c r="AD823" s="3056"/>
      <c r="AE823" s="3057">
        <f t="shared" si="0"/>
      </c>
      <c r="AF823" s="3054"/>
      <c r="AG823" s="3054"/>
      <c r="AH823" s="3055"/>
      <c r="AI823" s="3055"/>
      <c r="AJ823" s="3055"/>
      <c r="AK823" s="3055"/>
      <c r="AL823" s="3055"/>
      <c r="AM823" s="3055"/>
      <c r="AN823" s="3055"/>
      <c r="AO823" s="3055"/>
      <c r="AP823" s="3055"/>
      <c r="AQ823" s="3055"/>
      <c r="AR823" s="3055"/>
      <c r="AS823" s="3055"/>
      <c r="AT823" s="3055"/>
      <c r="AU823" s="3056"/>
      <c r="AV823" s="3057">
        <f t="shared" si="15"/>
      </c>
      <c r="AW823" s="3054"/>
      <c r="AX823" s="3054"/>
      <c r="AY823" s="3055"/>
      <c r="AZ823" s="3055"/>
      <c r="BA823" s="3055"/>
      <c r="BB823" s="3055"/>
      <c r="BC823" s="3055"/>
      <c r="BD823" s="3055"/>
      <c r="BE823" s="3055"/>
      <c r="BF823" s="3055"/>
      <c r="BG823" s="3055"/>
      <c r="BH823" s="3055"/>
      <c r="BI823" s="3055"/>
      <c r="BJ823" s="3055"/>
      <c r="BK823" s="3055"/>
      <c r="BL823" s="3056"/>
      <c r="BM823" s="3057">
        <f t="shared" si="16"/>
      </c>
      <c r="BN823" s="3054"/>
      <c r="BO823" s="3054"/>
      <c r="BP823" s="3055"/>
      <c r="BQ823" s="3055"/>
      <c r="BR823" s="3055"/>
      <c r="BS823" s="3055"/>
      <c r="BT823" s="3055"/>
      <c r="BU823" s="3055"/>
      <c r="BV823" s="3055"/>
      <c r="BW823" s="3055"/>
      <c r="BX823" s="3055"/>
      <c r="BY823" s="3055"/>
      <c r="BZ823" s="3055"/>
      <c r="CA823" s="3055"/>
      <c r="CB823" s="3055"/>
      <c r="CC823" s="3056"/>
      <c r="CD823" s="3057">
        <f t="shared" si="0"/>
      </c>
      <c r="CE823" s="3054"/>
      <c r="CF823" s="3054"/>
      <c r="CG823" s="3055"/>
      <c r="CH823" s="3055"/>
      <c r="CI823" s="3055"/>
      <c r="CJ823" s="3055"/>
      <c r="CK823" s="3055"/>
      <c r="CL823" s="3055"/>
      <c r="CM823" s="3055"/>
      <c r="CN823" s="3055"/>
      <c r="CO823" s="3055"/>
      <c r="CP823" s="3055"/>
      <c r="CQ823" s="3055"/>
      <c r="CR823" s="3055"/>
      <c r="CS823" s="3055"/>
      <c r="CU823" s="3054"/>
      <c r="CV823" s="696"/>
      <c r="CW823" s="696"/>
      <c r="CZ823" s="3060">
        <f t="shared" si="17"/>
      </c>
      <c r="DA823" s="3060">
        <f t="shared" si="1"/>
      </c>
      <c r="DB823" s="3060">
        <f t="shared" si="18"/>
      </c>
      <c r="DC823" s="3060">
        <f t="shared" si="19"/>
      </c>
      <c r="DD823" s="3060">
        <f t="shared" si="20"/>
      </c>
      <c r="DE823" s="3060">
        <f t="shared" si="21"/>
      </c>
      <c r="DF823" s="3060">
        <f t="shared" si="22"/>
      </c>
      <c r="DG823" s="3060">
        <f t="shared" si="23"/>
      </c>
      <c r="DH823" s="3060">
        <f t="shared" si="24"/>
      </c>
      <c r="DI823" s="3060">
        <f t="shared" si="1"/>
      </c>
    </row>
    <row r="824" ht="15" customHeight="1" s="3052" customFormat="1">
      <c r="B824" s="3054">
        <f t="shared" si="2"/>
      </c>
      <c r="C824" s="3054"/>
      <c r="D824" s="3054"/>
      <c r="E824" s="3055"/>
      <c r="F824" s="3055"/>
      <c r="G824" s="3055"/>
      <c r="H824" s="3055"/>
      <c r="I824" s="3055"/>
      <c r="J824" s="3055"/>
      <c r="K824" s="3055"/>
      <c r="L824" s="3055"/>
      <c r="M824" s="3055"/>
      <c r="N824" s="3055"/>
      <c r="O824" s="3055"/>
      <c r="P824" s="3055"/>
      <c r="Q824" s="3055"/>
      <c r="R824" s="3055">
        <f t="shared" si="3"/>
        <v>0</v>
      </c>
      <c r="S824" s="3055">
        <f t="shared" si="4"/>
        <v>0</v>
      </c>
      <c r="T824" s="3055">
        <f t="shared" si="5"/>
        <v>0</v>
      </c>
      <c r="U824" s="3055">
        <f t="shared" si="6"/>
        <v>0</v>
      </c>
      <c r="V824" s="3055">
        <f t="shared" si="7"/>
        <v>0</v>
      </c>
      <c r="W824" s="3055">
        <f t="shared" si="8"/>
        <v>0</v>
      </c>
      <c r="X824" s="3055">
        <f t="shared" si="9"/>
        <v>0</v>
      </c>
      <c r="Y824" s="3055">
        <f t="shared" si="10"/>
        <v>0</v>
      </c>
      <c r="Z824" s="3055">
        <f t="shared" si="11"/>
        <v>0</v>
      </c>
      <c r="AA824" s="3055">
        <f t="shared" si="12"/>
        <v>0</v>
      </c>
      <c r="AB824" s="3055">
        <f t="shared" si="13"/>
        <v>0</v>
      </c>
      <c r="AC824" s="3055">
        <f t="shared" si="14"/>
        <v>0</v>
      </c>
      <c r="AD824" s="3056"/>
      <c r="AE824" s="3057">
        <f t="shared" si="0"/>
      </c>
      <c r="AF824" s="3054"/>
      <c r="AG824" s="3054"/>
      <c r="AH824" s="3055"/>
      <c r="AI824" s="3055"/>
      <c r="AJ824" s="3055"/>
      <c r="AK824" s="3055"/>
      <c r="AL824" s="3055"/>
      <c r="AM824" s="3055"/>
      <c r="AN824" s="3055"/>
      <c r="AO824" s="3055"/>
      <c r="AP824" s="3055"/>
      <c r="AQ824" s="3055"/>
      <c r="AR824" s="3055"/>
      <c r="AS824" s="3055"/>
      <c r="AT824" s="3055"/>
      <c r="AU824" s="3056"/>
      <c r="AV824" s="3057">
        <f t="shared" si="15"/>
      </c>
      <c r="AW824" s="3054"/>
      <c r="AX824" s="3054"/>
      <c r="AY824" s="3055"/>
      <c r="AZ824" s="3055"/>
      <c r="BA824" s="3055"/>
      <c r="BB824" s="3055"/>
      <c r="BC824" s="3055"/>
      <c r="BD824" s="3055"/>
      <c r="BE824" s="3055"/>
      <c r="BF824" s="3055"/>
      <c r="BG824" s="3055"/>
      <c r="BH824" s="3055"/>
      <c r="BI824" s="3055"/>
      <c r="BJ824" s="3055"/>
      <c r="BK824" s="3055"/>
      <c r="BL824" s="3056"/>
      <c r="BM824" s="3057">
        <f t="shared" si="16"/>
      </c>
      <c r="BN824" s="3054"/>
      <c r="BO824" s="3054"/>
      <c r="BP824" s="3055"/>
      <c r="BQ824" s="3055"/>
      <c r="BR824" s="3055"/>
      <c r="BS824" s="3055"/>
      <c r="BT824" s="3055"/>
      <c r="BU824" s="3055"/>
      <c r="BV824" s="3055"/>
      <c r="BW824" s="3055"/>
      <c r="BX824" s="3055"/>
      <c r="BY824" s="3055"/>
      <c r="BZ824" s="3055"/>
      <c r="CA824" s="3055"/>
      <c r="CB824" s="3055"/>
      <c r="CC824" s="3056"/>
      <c r="CD824" s="3057">
        <f t="shared" si="0"/>
      </c>
      <c r="CE824" s="3054"/>
      <c r="CF824" s="3054"/>
      <c r="CG824" s="3055"/>
      <c r="CH824" s="3055"/>
      <c r="CI824" s="3055"/>
      <c r="CJ824" s="3055"/>
      <c r="CK824" s="3055"/>
      <c r="CL824" s="3055"/>
      <c r="CM824" s="3055"/>
      <c r="CN824" s="3055"/>
      <c r="CO824" s="3055"/>
      <c r="CP824" s="3055"/>
      <c r="CQ824" s="3055"/>
      <c r="CR824" s="3055"/>
      <c r="CS824" s="3055"/>
      <c r="CU824" s="3054"/>
      <c r="CV824" s="696"/>
      <c r="CW824" s="696"/>
      <c r="CZ824" s="3060">
        <f t="shared" si="17"/>
      </c>
      <c r="DA824" s="3060">
        <f t="shared" si="1"/>
      </c>
      <c r="DB824" s="3060">
        <f t="shared" si="18"/>
      </c>
      <c r="DC824" s="3060">
        <f t="shared" si="19"/>
      </c>
      <c r="DD824" s="3060">
        <f t="shared" si="20"/>
      </c>
      <c r="DE824" s="3060">
        <f t="shared" si="21"/>
      </c>
      <c r="DF824" s="3060">
        <f t="shared" si="22"/>
      </c>
      <c r="DG824" s="3060">
        <f t="shared" si="23"/>
      </c>
      <c r="DH824" s="3060">
        <f t="shared" si="24"/>
      </c>
      <c r="DI824" s="3060">
        <f t="shared" si="1"/>
      </c>
    </row>
    <row r="825" ht="15" customHeight="1" s="3052" customFormat="1">
      <c r="B825" s="3054">
        <f t="shared" si="2"/>
      </c>
      <c r="C825" s="3054"/>
      <c r="D825" s="3054"/>
      <c r="E825" s="3055"/>
      <c r="F825" s="3055"/>
      <c r="G825" s="3055"/>
      <c r="H825" s="3055"/>
      <c r="I825" s="3055"/>
      <c r="J825" s="3055"/>
      <c r="K825" s="3055"/>
      <c r="L825" s="3055"/>
      <c r="M825" s="3055"/>
      <c r="N825" s="3055"/>
      <c r="O825" s="3055"/>
      <c r="P825" s="3055"/>
      <c r="Q825" s="3055"/>
      <c r="R825" s="3055">
        <f t="shared" si="3"/>
        <v>0</v>
      </c>
      <c r="S825" s="3055">
        <f t="shared" si="4"/>
        <v>0</v>
      </c>
      <c r="T825" s="3055">
        <f t="shared" si="5"/>
        <v>0</v>
      </c>
      <c r="U825" s="3055">
        <f t="shared" si="6"/>
        <v>0</v>
      </c>
      <c r="V825" s="3055">
        <f t="shared" si="7"/>
        <v>0</v>
      </c>
      <c r="W825" s="3055">
        <f t="shared" si="8"/>
        <v>0</v>
      </c>
      <c r="X825" s="3055">
        <f t="shared" si="9"/>
        <v>0</v>
      </c>
      <c r="Y825" s="3055">
        <f t="shared" si="10"/>
        <v>0</v>
      </c>
      <c r="Z825" s="3055">
        <f t="shared" si="11"/>
        <v>0</v>
      </c>
      <c r="AA825" s="3055">
        <f t="shared" si="12"/>
        <v>0</v>
      </c>
      <c r="AB825" s="3055">
        <f t="shared" si="13"/>
        <v>0</v>
      </c>
      <c r="AC825" s="3055">
        <f t="shared" si="14"/>
        <v>0</v>
      </c>
      <c r="AD825" s="3056"/>
      <c r="AE825" s="3057">
        <f t="shared" si="0"/>
      </c>
      <c r="AF825" s="3054"/>
      <c r="AG825" s="3054"/>
      <c r="AH825" s="3055"/>
      <c r="AI825" s="3055"/>
      <c r="AJ825" s="3055"/>
      <c r="AK825" s="3055"/>
      <c r="AL825" s="3055"/>
      <c r="AM825" s="3055"/>
      <c r="AN825" s="3055"/>
      <c r="AO825" s="3055"/>
      <c r="AP825" s="3055"/>
      <c r="AQ825" s="3055"/>
      <c r="AR825" s="3055"/>
      <c r="AS825" s="3055"/>
      <c r="AT825" s="3055"/>
      <c r="AU825" s="3056"/>
      <c r="AV825" s="3057">
        <f t="shared" si="15"/>
      </c>
      <c r="AW825" s="3054"/>
      <c r="AX825" s="3054"/>
      <c r="AY825" s="3055"/>
      <c r="AZ825" s="3055"/>
      <c r="BA825" s="3055"/>
      <c r="BB825" s="3055"/>
      <c r="BC825" s="3055"/>
      <c r="BD825" s="3055"/>
      <c r="BE825" s="3055"/>
      <c r="BF825" s="3055"/>
      <c r="BG825" s="3055"/>
      <c r="BH825" s="3055"/>
      <c r="BI825" s="3055"/>
      <c r="BJ825" s="3055"/>
      <c r="BK825" s="3055"/>
      <c r="BL825" s="3056"/>
      <c r="BM825" s="3057">
        <f t="shared" si="16"/>
      </c>
      <c r="BN825" s="3054"/>
      <c r="BO825" s="3054"/>
      <c r="BP825" s="3055"/>
      <c r="BQ825" s="3055"/>
      <c r="BR825" s="3055"/>
      <c r="BS825" s="3055"/>
      <c r="BT825" s="3055"/>
      <c r="BU825" s="3055"/>
      <c r="BV825" s="3055"/>
      <c r="BW825" s="3055"/>
      <c r="BX825" s="3055"/>
      <c r="BY825" s="3055"/>
      <c r="BZ825" s="3055"/>
      <c r="CA825" s="3055"/>
      <c r="CB825" s="3055"/>
      <c r="CC825" s="3056"/>
      <c r="CD825" s="3057">
        <f t="shared" si="0"/>
      </c>
      <c r="CE825" s="3054"/>
      <c r="CF825" s="3054"/>
      <c r="CG825" s="3055"/>
      <c r="CH825" s="3055"/>
      <c r="CI825" s="3055"/>
      <c r="CJ825" s="3055"/>
      <c r="CK825" s="3055"/>
      <c r="CL825" s="3055"/>
      <c r="CM825" s="3055"/>
      <c r="CN825" s="3055"/>
      <c r="CO825" s="3055"/>
      <c r="CP825" s="3055"/>
      <c r="CQ825" s="3055"/>
      <c r="CR825" s="3055"/>
      <c r="CS825" s="3055"/>
      <c r="CU825" s="3054"/>
      <c r="CV825" s="696"/>
      <c r="CW825" s="696"/>
      <c r="CZ825" s="3060">
        <f t="shared" si="17"/>
      </c>
      <c r="DA825" s="3060">
        <f t="shared" si="1"/>
      </c>
      <c r="DB825" s="3060">
        <f t="shared" si="18"/>
      </c>
      <c r="DC825" s="3060">
        <f t="shared" si="19"/>
      </c>
      <c r="DD825" s="3060">
        <f t="shared" si="20"/>
      </c>
      <c r="DE825" s="3060">
        <f t="shared" si="21"/>
      </c>
      <c r="DF825" s="3060">
        <f t="shared" si="22"/>
      </c>
      <c r="DG825" s="3060">
        <f t="shared" si="23"/>
      </c>
      <c r="DH825" s="3060">
        <f t="shared" si="24"/>
      </c>
      <c r="DI825" s="3060">
        <f t="shared" si="1"/>
      </c>
    </row>
    <row r="826" ht="15" customHeight="1" s="3052" customFormat="1">
      <c r="B826" s="3054">
        <f t="shared" si="2"/>
      </c>
      <c r="C826" s="3054"/>
      <c r="D826" s="3054"/>
      <c r="E826" s="3055"/>
      <c r="F826" s="3055"/>
      <c r="G826" s="3055"/>
      <c r="H826" s="3055"/>
      <c r="I826" s="3055"/>
      <c r="J826" s="3055"/>
      <c r="K826" s="3055"/>
      <c r="L826" s="3055"/>
      <c r="M826" s="3055"/>
      <c r="N826" s="3055"/>
      <c r="O826" s="3055"/>
      <c r="P826" s="3055"/>
      <c r="Q826" s="3055"/>
      <c r="R826" s="3055">
        <f t="shared" si="3"/>
        <v>0</v>
      </c>
      <c r="S826" s="3055">
        <f t="shared" si="4"/>
        <v>0</v>
      </c>
      <c r="T826" s="3055">
        <f t="shared" si="5"/>
        <v>0</v>
      </c>
      <c r="U826" s="3055">
        <f t="shared" si="6"/>
        <v>0</v>
      </c>
      <c r="V826" s="3055">
        <f t="shared" si="7"/>
        <v>0</v>
      </c>
      <c r="W826" s="3055">
        <f t="shared" si="8"/>
        <v>0</v>
      </c>
      <c r="X826" s="3055">
        <f t="shared" si="9"/>
        <v>0</v>
      </c>
      <c r="Y826" s="3055">
        <f t="shared" si="10"/>
        <v>0</v>
      </c>
      <c r="Z826" s="3055">
        <f t="shared" si="11"/>
        <v>0</v>
      </c>
      <c r="AA826" s="3055">
        <f t="shared" si="12"/>
        <v>0</v>
      </c>
      <c r="AB826" s="3055">
        <f t="shared" si="13"/>
        <v>0</v>
      </c>
      <c r="AC826" s="3055">
        <f t="shared" si="14"/>
        <v>0</v>
      </c>
      <c r="AD826" s="3056"/>
      <c r="AE826" s="3057">
        <f t="shared" si="0"/>
      </c>
      <c r="AF826" s="3054"/>
      <c r="AG826" s="3054"/>
      <c r="AH826" s="3055"/>
      <c r="AI826" s="3055"/>
      <c r="AJ826" s="3055"/>
      <c r="AK826" s="3055"/>
      <c r="AL826" s="3055"/>
      <c r="AM826" s="3055"/>
      <c r="AN826" s="3055"/>
      <c r="AO826" s="3055"/>
      <c r="AP826" s="3055"/>
      <c r="AQ826" s="3055"/>
      <c r="AR826" s="3055"/>
      <c r="AS826" s="3055"/>
      <c r="AT826" s="3055"/>
      <c r="AU826" s="3056"/>
      <c r="AV826" s="3057">
        <f t="shared" si="15"/>
      </c>
      <c r="AW826" s="3054"/>
      <c r="AX826" s="3054"/>
      <c r="AY826" s="3055"/>
      <c r="AZ826" s="3055"/>
      <c r="BA826" s="3055"/>
      <c r="BB826" s="3055"/>
      <c r="BC826" s="3055"/>
      <c r="BD826" s="3055"/>
      <c r="BE826" s="3055"/>
      <c r="BF826" s="3055"/>
      <c r="BG826" s="3055"/>
      <c r="BH826" s="3055"/>
      <c r="BI826" s="3055"/>
      <c r="BJ826" s="3055"/>
      <c r="BK826" s="3055"/>
      <c r="BL826" s="3056"/>
      <c r="BM826" s="3057">
        <f t="shared" si="16"/>
      </c>
      <c r="BN826" s="3054"/>
      <c r="BO826" s="3054"/>
      <c r="BP826" s="3055"/>
      <c r="BQ826" s="3055"/>
      <c r="BR826" s="3055"/>
      <c r="BS826" s="3055"/>
      <c r="BT826" s="3055"/>
      <c r="BU826" s="3055"/>
      <c r="BV826" s="3055"/>
      <c r="BW826" s="3055"/>
      <c r="BX826" s="3055"/>
      <c r="BY826" s="3055"/>
      <c r="BZ826" s="3055"/>
      <c r="CA826" s="3055"/>
      <c r="CB826" s="3055"/>
      <c r="CC826" s="3056"/>
      <c r="CD826" s="3057">
        <f t="shared" si="0"/>
      </c>
      <c r="CE826" s="3054"/>
      <c r="CF826" s="3054"/>
      <c r="CG826" s="3055"/>
      <c r="CH826" s="3055"/>
      <c r="CI826" s="3055"/>
      <c r="CJ826" s="3055"/>
      <c r="CK826" s="3055"/>
      <c r="CL826" s="3055"/>
      <c r="CM826" s="3055"/>
      <c r="CN826" s="3055"/>
      <c r="CO826" s="3055"/>
      <c r="CP826" s="3055"/>
      <c r="CQ826" s="3055"/>
      <c r="CR826" s="3055"/>
      <c r="CS826" s="3055"/>
      <c r="CU826" s="3054"/>
      <c r="CV826" s="696"/>
      <c r="CW826" s="696"/>
      <c r="CZ826" s="3060">
        <f t="shared" si="17"/>
      </c>
      <c r="DA826" s="3060">
        <f t="shared" si="1"/>
      </c>
      <c r="DB826" s="3060">
        <f t="shared" si="18"/>
      </c>
      <c r="DC826" s="3060">
        <f t="shared" si="19"/>
      </c>
      <c r="DD826" s="3060">
        <f t="shared" si="20"/>
      </c>
      <c r="DE826" s="3060">
        <f t="shared" si="21"/>
      </c>
      <c r="DF826" s="3060">
        <f t="shared" si="22"/>
      </c>
      <c r="DG826" s="3060">
        <f t="shared" si="23"/>
      </c>
      <c r="DH826" s="3060">
        <f t="shared" si="24"/>
      </c>
      <c r="DI826" s="3060">
        <f t="shared" si="1"/>
      </c>
    </row>
    <row r="827" ht="15" customHeight="1" s="3052" customFormat="1">
      <c r="B827" s="3054">
        <f t="shared" si="2"/>
      </c>
      <c r="C827" s="3054"/>
      <c r="D827" s="3054"/>
      <c r="E827" s="3055"/>
      <c r="F827" s="3055"/>
      <c r="G827" s="3055"/>
      <c r="H827" s="3055"/>
      <c r="I827" s="3055"/>
      <c r="J827" s="3055"/>
      <c r="K827" s="3055"/>
      <c r="L827" s="3055"/>
      <c r="M827" s="3055"/>
      <c r="N827" s="3055"/>
      <c r="O827" s="3055"/>
      <c r="P827" s="3055"/>
      <c r="Q827" s="3055"/>
      <c r="R827" s="3055">
        <f t="shared" si="3"/>
        <v>0</v>
      </c>
      <c r="S827" s="3055">
        <f t="shared" si="4"/>
        <v>0</v>
      </c>
      <c r="T827" s="3055">
        <f t="shared" si="5"/>
        <v>0</v>
      </c>
      <c r="U827" s="3055">
        <f t="shared" si="6"/>
        <v>0</v>
      </c>
      <c r="V827" s="3055">
        <f t="shared" si="7"/>
        <v>0</v>
      </c>
      <c r="W827" s="3055">
        <f t="shared" si="8"/>
        <v>0</v>
      </c>
      <c r="X827" s="3055">
        <f t="shared" si="9"/>
        <v>0</v>
      </c>
      <c r="Y827" s="3055">
        <f t="shared" si="10"/>
        <v>0</v>
      </c>
      <c r="Z827" s="3055">
        <f t="shared" si="11"/>
        <v>0</v>
      </c>
      <c r="AA827" s="3055">
        <f t="shared" si="12"/>
        <v>0</v>
      </c>
      <c r="AB827" s="3055">
        <f t="shared" si="13"/>
        <v>0</v>
      </c>
      <c r="AC827" s="3055">
        <f t="shared" si="14"/>
        <v>0</v>
      </c>
      <c r="AD827" s="3056"/>
      <c r="AE827" s="3057">
        <f t="shared" si="0"/>
      </c>
      <c r="AF827" s="3054"/>
      <c r="AG827" s="3054"/>
      <c r="AH827" s="3055"/>
      <c r="AI827" s="3055"/>
      <c r="AJ827" s="3055"/>
      <c r="AK827" s="3055"/>
      <c r="AL827" s="3055"/>
      <c r="AM827" s="3055"/>
      <c r="AN827" s="3055"/>
      <c r="AO827" s="3055"/>
      <c r="AP827" s="3055"/>
      <c r="AQ827" s="3055"/>
      <c r="AR827" s="3055"/>
      <c r="AS827" s="3055"/>
      <c r="AT827" s="3055"/>
      <c r="AU827" s="3056"/>
      <c r="AV827" s="3057">
        <f t="shared" si="15"/>
      </c>
      <c r="AW827" s="3054"/>
      <c r="AX827" s="3054"/>
      <c r="AY827" s="3055"/>
      <c r="AZ827" s="3055"/>
      <c r="BA827" s="3055"/>
      <c r="BB827" s="3055"/>
      <c r="BC827" s="3055"/>
      <c r="BD827" s="3055"/>
      <c r="BE827" s="3055"/>
      <c r="BF827" s="3055"/>
      <c r="BG827" s="3055"/>
      <c r="BH827" s="3055"/>
      <c r="BI827" s="3055"/>
      <c r="BJ827" s="3055"/>
      <c r="BK827" s="3055"/>
      <c r="BL827" s="3056"/>
      <c r="BM827" s="3057">
        <f t="shared" si="16"/>
      </c>
      <c r="BN827" s="3054"/>
      <c r="BO827" s="3054"/>
      <c r="BP827" s="3055"/>
      <c r="BQ827" s="3055"/>
      <c r="BR827" s="3055"/>
      <c r="BS827" s="3055"/>
      <c r="BT827" s="3055"/>
      <c r="BU827" s="3055"/>
      <c r="BV827" s="3055"/>
      <c r="BW827" s="3055"/>
      <c r="BX827" s="3055"/>
      <c r="BY827" s="3055"/>
      <c r="BZ827" s="3055"/>
      <c r="CA827" s="3055"/>
      <c r="CB827" s="3055"/>
      <c r="CC827" s="3056"/>
      <c r="CD827" s="3057">
        <f t="shared" si="0"/>
      </c>
      <c r="CE827" s="3054"/>
      <c r="CF827" s="3054"/>
      <c r="CG827" s="3055"/>
      <c r="CH827" s="3055"/>
      <c r="CI827" s="3055"/>
      <c r="CJ827" s="3055"/>
      <c r="CK827" s="3055"/>
      <c r="CL827" s="3055"/>
      <c r="CM827" s="3055"/>
      <c r="CN827" s="3055"/>
      <c r="CO827" s="3055"/>
      <c r="CP827" s="3055"/>
      <c r="CQ827" s="3055"/>
      <c r="CR827" s="3055"/>
      <c r="CS827" s="3055"/>
      <c r="CU827" s="3054"/>
      <c r="CV827" s="696"/>
      <c r="CW827" s="696"/>
      <c r="CZ827" s="3060">
        <f t="shared" si="17"/>
      </c>
      <c r="DA827" s="3060">
        <f t="shared" si="1"/>
      </c>
      <c r="DB827" s="3060">
        <f t="shared" si="18"/>
      </c>
      <c r="DC827" s="3060">
        <f t="shared" si="19"/>
      </c>
      <c r="DD827" s="3060">
        <f t="shared" si="20"/>
      </c>
      <c r="DE827" s="3060">
        <f t="shared" si="21"/>
      </c>
      <c r="DF827" s="3060">
        <f t="shared" si="22"/>
      </c>
      <c r="DG827" s="3060">
        <f t="shared" si="23"/>
      </c>
      <c r="DH827" s="3060">
        <f t="shared" si="24"/>
      </c>
      <c r="DI827" s="3060">
        <f t="shared" si="1"/>
      </c>
    </row>
    <row r="828" ht="15" customHeight="1" s="3052" customFormat="1">
      <c r="B828" s="3054">
        <f t="shared" si="2"/>
      </c>
      <c r="C828" s="3054"/>
      <c r="D828" s="3054"/>
      <c r="E828" s="3055"/>
      <c r="F828" s="3055"/>
      <c r="G828" s="3055"/>
      <c r="H828" s="3055"/>
      <c r="I828" s="3055"/>
      <c r="J828" s="3055"/>
      <c r="K828" s="3055"/>
      <c r="L828" s="3055"/>
      <c r="M828" s="3055"/>
      <c r="N828" s="3055"/>
      <c r="O828" s="3055"/>
      <c r="P828" s="3055"/>
      <c r="Q828" s="3055"/>
      <c r="R828" s="3055">
        <f t="shared" si="3"/>
        <v>0</v>
      </c>
      <c r="S828" s="3055">
        <f t="shared" si="4"/>
        <v>0</v>
      </c>
      <c r="T828" s="3055">
        <f t="shared" si="5"/>
        <v>0</v>
      </c>
      <c r="U828" s="3055">
        <f t="shared" si="6"/>
        <v>0</v>
      </c>
      <c r="V828" s="3055">
        <f t="shared" si="7"/>
        <v>0</v>
      </c>
      <c r="W828" s="3055">
        <f t="shared" si="8"/>
        <v>0</v>
      </c>
      <c r="X828" s="3055">
        <f t="shared" si="9"/>
        <v>0</v>
      </c>
      <c r="Y828" s="3055">
        <f t="shared" si="10"/>
        <v>0</v>
      </c>
      <c r="Z828" s="3055">
        <f t="shared" si="11"/>
        <v>0</v>
      </c>
      <c r="AA828" s="3055">
        <f t="shared" si="12"/>
        <v>0</v>
      </c>
      <c r="AB828" s="3055">
        <f t="shared" si="13"/>
        <v>0</v>
      </c>
      <c r="AC828" s="3055">
        <f t="shared" si="14"/>
        <v>0</v>
      </c>
      <c r="AD828" s="3056"/>
      <c r="AE828" s="3057">
        <f t="shared" si="0"/>
      </c>
      <c r="AF828" s="3054"/>
      <c r="AG828" s="3054"/>
      <c r="AH828" s="3055"/>
      <c r="AI828" s="3055"/>
      <c r="AJ828" s="3055"/>
      <c r="AK828" s="3055"/>
      <c r="AL828" s="3055"/>
      <c r="AM828" s="3055"/>
      <c r="AN828" s="3055"/>
      <c r="AO828" s="3055"/>
      <c r="AP828" s="3055"/>
      <c r="AQ828" s="3055"/>
      <c r="AR828" s="3055"/>
      <c r="AS828" s="3055"/>
      <c r="AT828" s="3055"/>
      <c r="AU828" s="3056"/>
      <c r="AV828" s="3057">
        <f t="shared" si="15"/>
      </c>
      <c r="AW828" s="3054"/>
      <c r="AX828" s="3054"/>
      <c r="AY828" s="3055"/>
      <c r="AZ828" s="3055"/>
      <c r="BA828" s="3055"/>
      <c r="BB828" s="3055"/>
      <c r="BC828" s="3055"/>
      <c r="BD828" s="3055"/>
      <c r="BE828" s="3055"/>
      <c r="BF828" s="3055"/>
      <c r="BG828" s="3055"/>
      <c r="BH828" s="3055"/>
      <c r="BI828" s="3055"/>
      <c r="BJ828" s="3055"/>
      <c r="BK828" s="3055"/>
      <c r="BL828" s="3056"/>
      <c r="BM828" s="3057">
        <f t="shared" si="16"/>
      </c>
      <c r="BN828" s="3054"/>
      <c r="BO828" s="3054"/>
      <c r="BP828" s="3055"/>
      <c r="BQ828" s="3055"/>
      <c r="BR828" s="3055"/>
      <c r="BS828" s="3055"/>
      <c r="BT828" s="3055"/>
      <c r="BU828" s="3055"/>
      <c r="BV828" s="3055"/>
      <c r="BW828" s="3055"/>
      <c r="BX828" s="3055"/>
      <c r="BY828" s="3055"/>
      <c r="BZ828" s="3055"/>
      <c r="CA828" s="3055"/>
      <c r="CB828" s="3055"/>
      <c r="CC828" s="3056"/>
      <c r="CD828" s="3057">
        <f t="shared" si="0"/>
      </c>
      <c r="CE828" s="3054"/>
      <c r="CF828" s="3054"/>
      <c r="CG828" s="3055"/>
      <c r="CH828" s="3055"/>
      <c r="CI828" s="3055"/>
      <c r="CJ828" s="3055"/>
      <c r="CK828" s="3055"/>
      <c r="CL828" s="3055"/>
      <c r="CM828" s="3055"/>
      <c r="CN828" s="3055"/>
      <c r="CO828" s="3055"/>
      <c r="CP828" s="3055"/>
      <c r="CQ828" s="3055"/>
      <c r="CR828" s="3055"/>
      <c r="CS828" s="3055"/>
      <c r="CU828" s="3054"/>
      <c r="CV828" s="696"/>
      <c r="CW828" s="696"/>
      <c r="CZ828" s="3060">
        <f t="shared" si="17"/>
      </c>
      <c r="DA828" s="3060">
        <f t="shared" si="1"/>
      </c>
      <c r="DB828" s="3060">
        <f t="shared" si="18"/>
      </c>
      <c r="DC828" s="3060">
        <f t="shared" si="19"/>
      </c>
      <c r="DD828" s="3060">
        <f t="shared" si="20"/>
      </c>
      <c r="DE828" s="3060">
        <f t="shared" si="21"/>
      </c>
      <c r="DF828" s="3060">
        <f t="shared" si="22"/>
      </c>
      <c r="DG828" s="3060">
        <f t="shared" si="23"/>
      </c>
      <c r="DH828" s="3060">
        <f t="shared" si="24"/>
      </c>
      <c r="DI828" s="3060">
        <f t="shared" si="1"/>
      </c>
    </row>
    <row r="829" ht="15" customHeight="1" s="3052" customFormat="1">
      <c r="B829" s="3054">
        <f t="shared" si="2"/>
      </c>
      <c r="C829" s="3054"/>
      <c r="D829" s="3054"/>
      <c r="E829" s="3055"/>
      <c r="F829" s="3055"/>
      <c r="G829" s="3055"/>
      <c r="H829" s="3055"/>
      <c r="I829" s="3055"/>
      <c r="J829" s="3055"/>
      <c r="K829" s="3055"/>
      <c r="L829" s="3055"/>
      <c r="M829" s="3055"/>
      <c r="N829" s="3055"/>
      <c r="O829" s="3055"/>
      <c r="P829" s="3055"/>
      <c r="Q829" s="3055"/>
      <c r="R829" s="3055">
        <f t="shared" si="3"/>
        <v>0</v>
      </c>
      <c r="S829" s="3055">
        <f t="shared" si="4"/>
        <v>0</v>
      </c>
      <c r="T829" s="3055">
        <f t="shared" si="5"/>
        <v>0</v>
      </c>
      <c r="U829" s="3055">
        <f t="shared" si="6"/>
        <v>0</v>
      </c>
      <c r="V829" s="3055">
        <f t="shared" si="7"/>
        <v>0</v>
      </c>
      <c r="W829" s="3055">
        <f t="shared" si="8"/>
        <v>0</v>
      </c>
      <c r="X829" s="3055">
        <f t="shared" si="9"/>
        <v>0</v>
      </c>
      <c r="Y829" s="3055">
        <f t="shared" si="10"/>
        <v>0</v>
      </c>
      <c r="Z829" s="3055">
        <f t="shared" si="11"/>
        <v>0</v>
      </c>
      <c r="AA829" s="3055">
        <f t="shared" si="12"/>
        <v>0</v>
      </c>
      <c r="AB829" s="3055">
        <f t="shared" si="13"/>
        <v>0</v>
      </c>
      <c r="AC829" s="3055">
        <f t="shared" si="14"/>
        <v>0</v>
      </c>
      <c r="AD829" s="3056"/>
      <c r="AE829" s="3057">
        <f t="shared" si="0"/>
      </c>
      <c r="AF829" s="3054"/>
      <c r="AG829" s="3054"/>
      <c r="AH829" s="3055"/>
      <c r="AI829" s="3055"/>
      <c r="AJ829" s="3055"/>
      <c r="AK829" s="3055"/>
      <c r="AL829" s="3055"/>
      <c r="AM829" s="3055"/>
      <c r="AN829" s="3055"/>
      <c r="AO829" s="3055"/>
      <c r="AP829" s="3055"/>
      <c r="AQ829" s="3055"/>
      <c r="AR829" s="3055"/>
      <c r="AS829" s="3055"/>
      <c r="AT829" s="3055"/>
      <c r="AU829" s="3056"/>
      <c r="AV829" s="3057">
        <f t="shared" si="15"/>
      </c>
      <c r="AW829" s="3054"/>
      <c r="AX829" s="3054"/>
      <c r="AY829" s="3055"/>
      <c r="AZ829" s="3055"/>
      <c r="BA829" s="3055"/>
      <c r="BB829" s="3055"/>
      <c r="BC829" s="3055"/>
      <c r="BD829" s="3055"/>
      <c r="BE829" s="3055"/>
      <c r="BF829" s="3055"/>
      <c r="BG829" s="3055"/>
      <c r="BH829" s="3055"/>
      <c r="BI829" s="3055"/>
      <c r="BJ829" s="3055"/>
      <c r="BK829" s="3055"/>
      <c r="BL829" s="3056"/>
      <c r="BM829" s="3057">
        <f t="shared" si="16"/>
      </c>
      <c r="BN829" s="3054"/>
      <c r="BO829" s="3054"/>
      <c r="BP829" s="3055"/>
      <c r="BQ829" s="3055"/>
      <c r="BR829" s="3055"/>
      <c r="BS829" s="3055"/>
      <c r="BT829" s="3055"/>
      <c r="BU829" s="3055"/>
      <c r="BV829" s="3055"/>
      <c r="BW829" s="3055"/>
      <c r="BX829" s="3055"/>
      <c r="BY829" s="3055"/>
      <c r="BZ829" s="3055"/>
      <c r="CA829" s="3055"/>
      <c r="CB829" s="3055"/>
      <c r="CC829" s="3056"/>
      <c r="CD829" s="3057">
        <f t="shared" si="0"/>
      </c>
      <c r="CE829" s="3054"/>
      <c r="CF829" s="3054"/>
      <c r="CG829" s="3055"/>
      <c r="CH829" s="3055"/>
      <c r="CI829" s="3055"/>
      <c r="CJ829" s="3055"/>
      <c r="CK829" s="3055"/>
      <c r="CL829" s="3055"/>
      <c r="CM829" s="3055"/>
      <c r="CN829" s="3055"/>
      <c r="CO829" s="3055"/>
      <c r="CP829" s="3055"/>
      <c r="CQ829" s="3055"/>
      <c r="CR829" s="3055"/>
      <c r="CS829" s="3055"/>
      <c r="CU829" s="3054"/>
      <c r="CV829" s="696"/>
      <c r="CW829" s="696"/>
      <c r="CZ829" s="3060">
        <f t="shared" si="17"/>
      </c>
      <c r="DA829" s="3060">
        <f t="shared" si="1"/>
      </c>
      <c r="DB829" s="3060">
        <f t="shared" si="18"/>
      </c>
      <c r="DC829" s="3060">
        <f t="shared" si="19"/>
      </c>
      <c r="DD829" s="3060">
        <f t="shared" si="20"/>
      </c>
      <c r="DE829" s="3060">
        <f t="shared" si="21"/>
      </c>
      <c r="DF829" s="3060">
        <f t="shared" si="22"/>
      </c>
      <c r="DG829" s="3060">
        <f t="shared" si="23"/>
      </c>
      <c r="DH829" s="3060">
        <f t="shared" si="24"/>
      </c>
      <c r="DI829" s="3060">
        <f t="shared" si="1"/>
      </c>
    </row>
    <row r="830" ht="15" customHeight="1" s="3052" customFormat="1">
      <c r="B830" s="3054">
        <f t="shared" si="2"/>
      </c>
      <c r="C830" s="3054"/>
      <c r="D830" s="3054"/>
      <c r="E830" s="3055"/>
      <c r="F830" s="3055"/>
      <c r="G830" s="3055"/>
      <c r="H830" s="3055"/>
      <c r="I830" s="3055"/>
      <c r="J830" s="3055"/>
      <c r="K830" s="3055"/>
      <c r="L830" s="3055"/>
      <c r="M830" s="3055"/>
      <c r="N830" s="3055"/>
      <c r="O830" s="3055"/>
      <c r="P830" s="3055"/>
      <c r="Q830" s="3055"/>
      <c r="R830" s="3055">
        <f t="shared" si="3"/>
        <v>0</v>
      </c>
      <c r="S830" s="3055">
        <f t="shared" si="4"/>
        <v>0</v>
      </c>
      <c r="T830" s="3055">
        <f t="shared" si="5"/>
        <v>0</v>
      </c>
      <c r="U830" s="3055">
        <f t="shared" si="6"/>
        <v>0</v>
      </c>
      <c r="V830" s="3055">
        <f t="shared" si="7"/>
        <v>0</v>
      </c>
      <c r="W830" s="3055">
        <f t="shared" si="8"/>
        <v>0</v>
      </c>
      <c r="X830" s="3055">
        <f t="shared" si="9"/>
        <v>0</v>
      </c>
      <c r="Y830" s="3055">
        <f t="shared" si="10"/>
        <v>0</v>
      </c>
      <c r="Z830" s="3055">
        <f t="shared" si="11"/>
        <v>0</v>
      </c>
      <c r="AA830" s="3055">
        <f t="shared" si="12"/>
        <v>0</v>
      </c>
      <c r="AB830" s="3055">
        <f t="shared" si="13"/>
        <v>0</v>
      </c>
      <c r="AC830" s="3055">
        <f t="shared" si="14"/>
        <v>0</v>
      </c>
      <c r="AD830" s="3056"/>
      <c r="AE830" s="3057">
        <f t="shared" si="0"/>
      </c>
      <c r="AF830" s="3054"/>
      <c r="AG830" s="3054"/>
      <c r="AH830" s="3055"/>
      <c r="AI830" s="3055"/>
      <c r="AJ830" s="3055"/>
      <c r="AK830" s="3055"/>
      <c r="AL830" s="3055"/>
      <c r="AM830" s="3055"/>
      <c r="AN830" s="3055"/>
      <c r="AO830" s="3055"/>
      <c r="AP830" s="3055"/>
      <c r="AQ830" s="3055"/>
      <c r="AR830" s="3055"/>
      <c r="AS830" s="3055"/>
      <c r="AT830" s="3055"/>
      <c r="AU830" s="3056"/>
      <c r="AV830" s="3057">
        <f t="shared" si="15"/>
      </c>
      <c r="AW830" s="3054"/>
      <c r="AX830" s="3054"/>
      <c r="AY830" s="3055"/>
      <c r="AZ830" s="3055"/>
      <c r="BA830" s="3055"/>
      <c r="BB830" s="3055"/>
      <c r="BC830" s="3055"/>
      <c r="BD830" s="3055"/>
      <c r="BE830" s="3055"/>
      <c r="BF830" s="3055"/>
      <c r="BG830" s="3055"/>
      <c r="BH830" s="3055"/>
      <c r="BI830" s="3055"/>
      <c r="BJ830" s="3055"/>
      <c r="BK830" s="3055"/>
      <c r="BL830" s="3056"/>
      <c r="BM830" s="3057">
        <f t="shared" si="16"/>
      </c>
      <c r="BN830" s="3054"/>
      <c r="BO830" s="3054"/>
      <c r="BP830" s="3055"/>
      <c r="BQ830" s="3055"/>
      <c r="BR830" s="3055"/>
      <c r="BS830" s="3055"/>
      <c r="BT830" s="3055"/>
      <c r="BU830" s="3055"/>
      <c r="BV830" s="3055"/>
      <c r="BW830" s="3055"/>
      <c r="BX830" s="3055"/>
      <c r="BY830" s="3055"/>
      <c r="BZ830" s="3055"/>
      <c r="CA830" s="3055"/>
      <c r="CB830" s="3055"/>
      <c r="CC830" s="3056"/>
      <c r="CD830" s="3057">
        <f t="shared" si="0"/>
      </c>
      <c r="CE830" s="3054"/>
      <c r="CF830" s="3054"/>
      <c r="CG830" s="3055"/>
      <c r="CH830" s="3055"/>
      <c r="CI830" s="3055"/>
      <c r="CJ830" s="3055"/>
      <c r="CK830" s="3055"/>
      <c r="CL830" s="3055"/>
      <c r="CM830" s="3055"/>
      <c r="CN830" s="3055"/>
      <c r="CO830" s="3055"/>
      <c r="CP830" s="3055"/>
      <c r="CQ830" s="3055"/>
      <c r="CR830" s="3055"/>
      <c r="CS830" s="3055"/>
      <c r="CU830" s="3054"/>
      <c r="CV830" s="696"/>
      <c r="CW830" s="696"/>
      <c r="CZ830" s="3060">
        <f t="shared" si="17"/>
      </c>
      <c r="DA830" s="3060">
        <f t="shared" si="1"/>
      </c>
      <c r="DB830" s="3060">
        <f t="shared" si="18"/>
      </c>
      <c r="DC830" s="3060">
        <f t="shared" si="19"/>
      </c>
      <c r="DD830" s="3060">
        <f t="shared" si="20"/>
      </c>
      <c r="DE830" s="3060">
        <f t="shared" si="21"/>
      </c>
      <c r="DF830" s="3060">
        <f t="shared" si="22"/>
      </c>
      <c r="DG830" s="3060">
        <f t="shared" si="23"/>
      </c>
      <c r="DH830" s="3060">
        <f t="shared" si="24"/>
      </c>
      <c r="DI830" s="3060">
        <f t="shared" si="1"/>
      </c>
    </row>
    <row r="831" ht="15" customHeight="1" s="3052" customFormat="1">
      <c r="B831" s="3054">
        <f t="shared" si="2"/>
      </c>
      <c r="C831" s="3054"/>
      <c r="D831" s="3054"/>
      <c r="E831" s="3055"/>
      <c r="F831" s="3055"/>
      <c r="G831" s="3055"/>
      <c r="H831" s="3055"/>
      <c r="I831" s="3055"/>
      <c r="J831" s="3055"/>
      <c r="K831" s="3055"/>
      <c r="L831" s="3055"/>
      <c r="M831" s="3055"/>
      <c r="N831" s="3055"/>
      <c r="O831" s="3055"/>
      <c r="P831" s="3055"/>
      <c r="Q831" s="3055"/>
      <c r="R831" s="3055">
        <f t="shared" si="3"/>
        <v>0</v>
      </c>
      <c r="S831" s="3055">
        <f t="shared" si="4"/>
        <v>0</v>
      </c>
      <c r="T831" s="3055">
        <f t="shared" si="5"/>
        <v>0</v>
      </c>
      <c r="U831" s="3055">
        <f t="shared" si="6"/>
        <v>0</v>
      </c>
      <c r="V831" s="3055">
        <f t="shared" si="7"/>
        <v>0</v>
      </c>
      <c r="W831" s="3055">
        <f t="shared" si="8"/>
        <v>0</v>
      </c>
      <c r="X831" s="3055">
        <f t="shared" si="9"/>
        <v>0</v>
      </c>
      <c r="Y831" s="3055">
        <f t="shared" si="10"/>
        <v>0</v>
      </c>
      <c r="Z831" s="3055">
        <f t="shared" si="11"/>
        <v>0</v>
      </c>
      <c r="AA831" s="3055">
        <f t="shared" si="12"/>
        <v>0</v>
      </c>
      <c r="AB831" s="3055">
        <f t="shared" si="13"/>
        <v>0</v>
      </c>
      <c r="AC831" s="3055">
        <f t="shared" si="14"/>
        <v>0</v>
      </c>
      <c r="AD831" s="3056"/>
      <c r="AE831" s="3057">
        <f t="shared" si="0"/>
      </c>
      <c r="AF831" s="3054"/>
      <c r="AG831" s="3054"/>
      <c r="AH831" s="3055"/>
      <c r="AI831" s="3055"/>
      <c r="AJ831" s="3055"/>
      <c r="AK831" s="3055"/>
      <c r="AL831" s="3055"/>
      <c r="AM831" s="3055"/>
      <c r="AN831" s="3055"/>
      <c r="AO831" s="3055"/>
      <c r="AP831" s="3055"/>
      <c r="AQ831" s="3055"/>
      <c r="AR831" s="3055"/>
      <c r="AS831" s="3055"/>
      <c r="AT831" s="3055"/>
      <c r="AU831" s="3056"/>
      <c r="AV831" s="3057">
        <f t="shared" si="15"/>
      </c>
      <c r="AW831" s="3054"/>
      <c r="AX831" s="3054"/>
      <c r="AY831" s="3055"/>
      <c r="AZ831" s="3055"/>
      <c r="BA831" s="3055"/>
      <c r="BB831" s="3055"/>
      <c r="BC831" s="3055"/>
      <c r="BD831" s="3055"/>
      <c r="BE831" s="3055"/>
      <c r="BF831" s="3055"/>
      <c r="BG831" s="3055"/>
      <c r="BH831" s="3055"/>
      <c r="BI831" s="3055"/>
      <c r="BJ831" s="3055"/>
      <c r="BK831" s="3055"/>
      <c r="BL831" s="3056"/>
      <c r="BM831" s="3057">
        <f t="shared" si="16"/>
      </c>
      <c r="BN831" s="3054"/>
      <c r="BO831" s="3054"/>
      <c r="BP831" s="3055"/>
      <c r="BQ831" s="3055"/>
      <c r="BR831" s="3055"/>
      <c r="BS831" s="3055"/>
      <c r="BT831" s="3055"/>
      <c r="BU831" s="3055"/>
      <c r="BV831" s="3055"/>
      <c r="BW831" s="3055"/>
      <c r="BX831" s="3055"/>
      <c r="BY831" s="3055"/>
      <c r="BZ831" s="3055"/>
      <c r="CA831" s="3055"/>
      <c r="CB831" s="3055"/>
      <c r="CC831" s="3056"/>
      <c r="CD831" s="3057">
        <f t="shared" si="0"/>
      </c>
      <c r="CE831" s="3054"/>
      <c r="CF831" s="3054"/>
      <c r="CG831" s="3055"/>
      <c r="CH831" s="3055"/>
      <c r="CI831" s="3055"/>
      <c r="CJ831" s="3055"/>
      <c r="CK831" s="3055"/>
      <c r="CL831" s="3055"/>
      <c r="CM831" s="3055"/>
      <c r="CN831" s="3055"/>
      <c r="CO831" s="3055"/>
      <c r="CP831" s="3055"/>
      <c r="CQ831" s="3055"/>
      <c r="CR831" s="3055"/>
      <c r="CS831" s="3055"/>
      <c r="CU831" s="3054"/>
      <c r="CV831" s="696"/>
      <c r="CW831" s="696"/>
      <c r="CZ831" s="3060">
        <f t="shared" si="17"/>
      </c>
      <c r="DA831" s="3060">
        <f t="shared" si="1"/>
      </c>
      <c r="DB831" s="3060">
        <f t="shared" si="18"/>
      </c>
      <c r="DC831" s="3060">
        <f t="shared" si="19"/>
      </c>
      <c r="DD831" s="3060">
        <f t="shared" si="20"/>
      </c>
      <c r="DE831" s="3060">
        <f t="shared" si="21"/>
      </c>
      <c r="DF831" s="3060">
        <f t="shared" si="22"/>
      </c>
      <c r="DG831" s="3060">
        <f t="shared" si="23"/>
      </c>
      <c r="DH831" s="3060">
        <f t="shared" si="24"/>
      </c>
      <c r="DI831" s="3060">
        <f t="shared" si="1"/>
      </c>
    </row>
    <row r="832" ht="15" customHeight="1" s="3052" customFormat="1">
      <c r="B832" s="3054">
        <f t="shared" si="2"/>
      </c>
      <c r="C832" s="3054"/>
      <c r="D832" s="3054"/>
      <c r="E832" s="3055"/>
      <c r="F832" s="3055"/>
      <c r="G832" s="3055"/>
      <c r="H832" s="3055"/>
      <c r="I832" s="3055"/>
      <c r="J832" s="3055"/>
      <c r="K832" s="3055"/>
      <c r="L832" s="3055"/>
      <c r="M832" s="3055"/>
      <c r="N832" s="3055"/>
      <c r="O832" s="3055"/>
      <c r="P832" s="3055"/>
      <c r="Q832" s="3055"/>
      <c r="R832" s="3055">
        <f t="shared" si="3"/>
        <v>0</v>
      </c>
      <c r="S832" s="3055">
        <f t="shared" si="4"/>
        <v>0</v>
      </c>
      <c r="T832" s="3055">
        <f t="shared" si="5"/>
        <v>0</v>
      </c>
      <c r="U832" s="3055">
        <f t="shared" si="6"/>
        <v>0</v>
      </c>
      <c r="V832" s="3055">
        <f t="shared" si="7"/>
        <v>0</v>
      </c>
      <c r="W832" s="3055">
        <f t="shared" si="8"/>
        <v>0</v>
      </c>
      <c r="X832" s="3055">
        <f t="shared" si="9"/>
        <v>0</v>
      </c>
      <c r="Y832" s="3055">
        <f t="shared" si="10"/>
        <v>0</v>
      </c>
      <c r="Z832" s="3055">
        <f t="shared" si="11"/>
        <v>0</v>
      </c>
      <c r="AA832" s="3055">
        <f t="shared" si="12"/>
        <v>0</v>
      </c>
      <c r="AB832" s="3055">
        <f t="shared" si="13"/>
        <v>0</v>
      </c>
      <c r="AC832" s="3055">
        <f t="shared" si="14"/>
        <v>0</v>
      </c>
      <c r="AD832" s="3056"/>
      <c r="AE832" s="3057">
        <f t="shared" si="0"/>
      </c>
      <c r="AF832" s="3054"/>
      <c r="AG832" s="3054"/>
      <c r="AH832" s="3055"/>
      <c r="AI832" s="3055"/>
      <c r="AJ832" s="3055"/>
      <c r="AK832" s="3055"/>
      <c r="AL832" s="3055"/>
      <c r="AM832" s="3055"/>
      <c r="AN832" s="3055"/>
      <c r="AO832" s="3055"/>
      <c r="AP832" s="3055"/>
      <c r="AQ832" s="3055"/>
      <c r="AR832" s="3055"/>
      <c r="AS832" s="3055"/>
      <c r="AT832" s="3055"/>
      <c r="AU832" s="3056"/>
      <c r="AV832" s="3057">
        <f t="shared" si="15"/>
      </c>
      <c r="AW832" s="3054"/>
      <c r="AX832" s="3054"/>
      <c r="AY832" s="3055"/>
      <c r="AZ832" s="3055"/>
      <c r="BA832" s="3055"/>
      <c r="BB832" s="3055"/>
      <c r="BC832" s="3055"/>
      <c r="BD832" s="3055"/>
      <c r="BE832" s="3055"/>
      <c r="BF832" s="3055"/>
      <c r="BG832" s="3055"/>
      <c r="BH832" s="3055"/>
      <c r="BI832" s="3055"/>
      <c r="BJ832" s="3055"/>
      <c r="BK832" s="3055"/>
      <c r="BL832" s="3056"/>
      <c r="BM832" s="3057">
        <f t="shared" si="16"/>
      </c>
      <c r="BN832" s="3054"/>
      <c r="BO832" s="3054"/>
      <c r="BP832" s="3055"/>
      <c r="BQ832" s="3055"/>
      <c r="BR832" s="3055"/>
      <c r="BS832" s="3055"/>
      <c r="BT832" s="3055"/>
      <c r="BU832" s="3055"/>
      <c r="BV832" s="3055"/>
      <c r="BW832" s="3055"/>
      <c r="BX832" s="3055"/>
      <c r="BY832" s="3055"/>
      <c r="BZ832" s="3055"/>
      <c r="CA832" s="3055"/>
      <c r="CB832" s="3055"/>
      <c r="CC832" s="3056"/>
      <c r="CD832" s="3057">
        <f t="shared" si="0"/>
      </c>
      <c r="CE832" s="3054"/>
      <c r="CF832" s="3054"/>
      <c r="CG832" s="3055"/>
      <c r="CH832" s="3055"/>
      <c r="CI832" s="3055"/>
      <c r="CJ832" s="3055"/>
      <c r="CK832" s="3055"/>
      <c r="CL832" s="3055"/>
      <c r="CM832" s="3055"/>
      <c r="CN832" s="3055"/>
      <c r="CO832" s="3055"/>
      <c r="CP832" s="3055"/>
      <c r="CQ832" s="3055"/>
      <c r="CR832" s="3055"/>
      <c r="CS832" s="3055"/>
      <c r="CU832" s="3054"/>
      <c r="CV832" s="696"/>
      <c r="CW832" s="696"/>
      <c r="CZ832" s="3060">
        <f t="shared" si="17"/>
      </c>
      <c r="DA832" s="3060">
        <f t="shared" si="1"/>
      </c>
      <c r="DB832" s="3060">
        <f t="shared" si="18"/>
      </c>
      <c r="DC832" s="3060">
        <f t="shared" si="19"/>
      </c>
      <c r="DD832" s="3060">
        <f t="shared" si="20"/>
      </c>
      <c r="DE832" s="3060">
        <f t="shared" si="21"/>
      </c>
      <c r="DF832" s="3060">
        <f t="shared" si="22"/>
      </c>
      <c r="DG832" s="3060">
        <f t="shared" si="23"/>
      </c>
      <c r="DH832" s="3060">
        <f t="shared" si="24"/>
      </c>
      <c r="DI832" s="3060">
        <f t="shared" si="1"/>
      </c>
    </row>
    <row r="833" ht="15" customHeight="1" s="3052" customFormat="1">
      <c r="B833" s="3054">
        <f t="shared" si="2"/>
      </c>
      <c r="C833" s="3054"/>
      <c r="D833" s="3054"/>
      <c r="E833" s="3055"/>
      <c r="F833" s="3055"/>
      <c r="G833" s="3055"/>
      <c r="H833" s="3055"/>
      <c r="I833" s="3055"/>
      <c r="J833" s="3055"/>
      <c r="K833" s="3055"/>
      <c r="L833" s="3055"/>
      <c r="M833" s="3055"/>
      <c r="N833" s="3055"/>
      <c r="O833" s="3055"/>
      <c r="P833" s="3055"/>
      <c r="Q833" s="3055"/>
      <c r="R833" s="3055">
        <f t="shared" si="3"/>
        <v>0</v>
      </c>
      <c r="S833" s="3055">
        <f t="shared" si="4"/>
        <v>0</v>
      </c>
      <c r="T833" s="3055">
        <f t="shared" si="5"/>
        <v>0</v>
      </c>
      <c r="U833" s="3055">
        <f t="shared" si="6"/>
        <v>0</v>
      </c>
      <c r="V833" s="3055">
        <f t="shared" si="7"/>
        <v>0</v>
      </c>
      <c r="W833" s="3055">
        <f t="shared" si="8"/>
        <v>0</v>
      </c>
      <c r="X833" s="3055">
        <f t="shared" si="9"/>
        <v>0</v>
      </c>
      <c r="Y833" s="3055">
        <f t="shared" si="10"/>
        <v>0</v>
      </c>
      <c r="Z833" s="3055">
        <f t="shared" si="11"/>
        <v>0</v>
      </c>
      <c r="AA833" s="3055">
        <f t="shared" si="12"/>
        <v>0</v>
      </c>
      <c r="AB833" s="3055">
        <f t="shared" si="13"/>
        <v>0</v>
      </c>
      <c r="AC833" s="3055">
        <f t="shared" si="14"/>
        <v>0</v>
      </c>
      <c r="AD833" s="3056"/>
      <c r="AE833" s="3057">
        <f t="shared" si="0"/>
      </c>
      <c r="AF833" s="3054"/>
      <c r="AG833" s="3054"/>
      <c r="AH833" s="3055"/>
      <c r="AI833" s="3055"/>
      <c r="AJ833" s="3055"/>
      <c r="AK833" s="3055"/>
      <c r="AL833" s="3055"/>
      <c r="AM833" s="3055"/>
      <c r="AN833" s="3055"/>
      <c r="AO833" s="3055"/>
      <c r="AP833" s="3055"/>
      <c r="AQ833" s="3055"/>
      <c r="AR833" s="3055"/>
      <c r="AS833" s="3055"/>
      <c r="AT833" s="3055"/>
      <c r="AU833" s="3056"/>
      <c r="AV833" s="3057">
        <f t="shared" si="15"/>
      </c>
      <c r="AW833" s="3054"/>
      <c r="AX833" s="3054"/>
      <c r="AY833" s="3055"/>
      <c r="AZ833" s="3055"/>
      <c r="BA833" s="3055"/>
      <c r="BB833" s="3055"/>
      <c r="BC833" s="3055"/>
      <c r="BD833" s="3055"/>
      <c r="BE833" s="3055"/>
      <c r="BF833" s="3055"/>
      <c r="BG833" s="3055"/>
      <c r="BH833" s="3055"/>
      <c r="BI833" s="3055"/>
      <c r="BJ833" s="3055"/>
      <c r="BK833" s="3055"/>
      <c r="BL833" s="3056"/>
      <c r="BM833" s="3057">
        <f t="shared" si="16"/>
      </c>
      <c r="BN833" s="3054"/>
      <c r="BO833" s="3054"/>
      <c r="BP833" s="3055"/>
      <c r="BQ833" s="3055"/>
      <c r="BR833" s="3055"/>
      <c r="BS833" s="3055"/>
      <c r="BT833" s="3055"/>
      <c r="BU833" s="3055"/>
      <c r="BV833" s="3055"/>
      <c r="BW833" s="3055"/>
      <c r="BX833" s="3055"/>
      <c r="BY833" s="3055"/>
      <c r="BZ833" s="3055"/>
      <c r="CA833" s="3055"/>
      <c r="CB833" s="3055"/>
      <c r="CC833" s="3056"/>
      <c r="CD833" s="3057">
        <f t="shared" si="0"/>
      </c>
      <c r="CE833" s="3054"/>
      <c r="CF833" s="3054"/>
      <c r="CG833" s="3055"/>
      <c r="CH833" s="3055"/>
      <c r="CI833" s="3055"/>
      <c r="CJ833" s="3055"/>
      <c r="CK833" s="3055"/>
      <c r="CL833" s="3055"/>
      <c r="CM833" s="3055"/>
      <c r="CN833" s="3055"/>
      <c r="CO833" s="3055"/>
      <c r="CP833" s="3055"/>
      <c r="CQ833" s="3055"/>
      <c r="CR833" s="3055"/>
      <c r="CS833" s="3055"/>
      <c r="CU833" s="3054"/>
      <c r="CV833" s="696"/>
      <c r="CW833" s="696"/>
      <c r="CZ833" s="3060">
        <f t="shared" si="17"/>
      </c>
      <c r="DA833" s="3060">
        <f t="shared" si="1"/>
      </c>
      <c r="DB833" s="3060">
        <f t="shared" si="18"/>
      </c>
      <c r="DC833" s="3060">
        <f t="shared" si="19"/>
      </c>
      <c r="DD833" s="3060">
        <f t="shared" si="20"/>
      </c>
      <c r="DE833" s="3060">
        <f t="shared" si="21"/>
      </c>
      <c r="DF833" s="3060">
        <f t="shared" si="22"/>
      </c>
      <c r="DG833" s="3060">
        <f t="shared" si="23"/>
      </c>
      <c r="DH833" s="3060">
        <f t="shared" si="24"/>
      </c>
      <c r="DI833" s="3060">
        <f t="shared" si="1"/>
      </c>
    </row>
    <row r="834" ht="15" customHeight="1" s="3052" customFormat="1">
      <c r="B834" s="3054">
        <f t="shared" si="2"/>
      </c>
      <c r="C834" s="3054"/>
      <c r="D834" s="3054"/>
      <c r="E834" s="3055"/>
      <c r="F834" s="3055"/>
      <c r="G834" s="3055"/>
      <c r="H834" s="3055"/>
      <c r="I834" s="3055"/>
      <c r="J834" s="3055"/>
      <c r="K834" s="3055"/>
      <c r="L834" s="3055"/>
      <c r="M834" s="3055"/>
      <c r="N834" s="3055"/>
      <c r="O834" s="3055"/>
      <c r="P834" s="3055"/>
      <c r="Q834" s="3055"/>
      <c r="R834" s="3055">
        <f t="shared" si="3"/>
        <v>0</v>
      </c>
      <c r="S834" s="3055">
        <f t="shared" si="4"/>
        <v>0</v>
      </c>
      <c r="T834" s="3055">
        <f t="shared" si="5"/>
        <v>0</v>
      </c>
      <c r="U834" s="3055">
        <f t="shared" si="6"/>
        <v>0</v>
      </c>
      <c r="V834" s="3055">
        <f t="shared" si="7"/>
        <v>0</v>
      </c>
      <c r="W834" s="3055">
        <f t="shared" si="8"/>
        <v>0</v>
      </c>
      <c r="X834" s="3055">
        <f t="shared" si="9"/>
        <v>0</v>
      </c>
      <c r="Y834" s="3055">
        <f t="shared" si="10"/>
        <v>0</v>
      </c>
      <c r="Z834" s="3055">
        <f t="shared" si="11"/>
        <v>0</v>
      </c>
      <c r="AA834" s="3055">
        <f t="shared" si="12"/>
        <v>0</v>
      </c>
      <c r="AB834" s="3055">
        <f t="shared" si="13"/>
        <v>0</v>
      </c>
      <c r="AC834" s="3055">
        <f t="shared" si="14"/>
        <v>0</v>
      </c>
      <c r="AD834" s="3056"/>
      <c r="AE834" s="3057">
        <f t="shared" si="0"/>
      </c>
      <c r="AF834" s="3054"/>
      <c r="AG834" s="3054"/>
      <c r="AH834" s="3055"/>
      <c r="AI834" s="3055"/>
      <c r="AJ834" s="3055"/>
      <c r="AK834" s="3055"/>
      <c r="AL834" s="3055"/>
      <c r="AM834" s="3055"/>
      <c r="AN834" s="3055"/>
      <c r="AO834" s="3055"/>
      <c r="AP834" s="3055"/>
      <c r="AQ834" s="3055"/>
      <c r="AR834" s="3055"/>
      <c r="AS834" s="3055"/>
      <c r="AT834" s="3055"/>
      <c r="AU834" s="3056"/>
      <c r="AV834" s="3057">
        <f t="shared" si="15"/>
      </c>
      <c r="AW834" s="3054"/>
      <c r="AX834" s="3054"/>
      <c r="AY834" s="3055"/>
      <c r="AZ834" s="3055"/>
      <c r="BA834" s="3055"/>
      <c r="BB834" s="3055"/>
      <c r="BC834" s="3055"/>
      <c r="BD834" s="3055"/>
      <c r="BE834" s="3055"/>
      <c r="BF834" s="3055"/>
      <c r="BG834" s="3055"/>
      <c r="BH834" s="3055"/>
      <c r="BI834" s="3055"/>
      <c r="BJ834" s="3055"/>
      <c r="BK834" s="3055"/>
      <c r="BL834" s="3056"/>
      <c r="BM834" s="3057">
        <f t="shared" si="16"/>
      </c>
      <c r="BN834" s="3054"/>
      <c r="BO834" s="3054"/>
      <c r="BP834" s="3055"/>
      <c r="BQ834" s="3055"/>
      <c r="BR834" s="3055"/>
      <c r="BS834" s="3055"/>
      <c r="BT834" s="3055"/>
      <c r="BU834" s="3055"/>
      <c r="BV834" s="3055"/>
      <c r="BW834" s="3055"/>
      <c r="BX834" s="3055"/>
      <c r="BY834" s="3055"/>
      <c r="BZ834" s="3055"/>
      <c r="CA834" s="3055"/>
      <c r="CB834" s="3055"/>
      <c r="CC834" s="3056"/>
      <c r="CD834" s="3057">
        <f t="shared" si="0"/>
      </c>
      <c r="CE834" s="3054"/>
      <c r="CF834" s="3054"/>
      <c r="CG834" s="3055"/>
      <c r="CH834" s="3055"/>
      <c r="CI834" s="3055"/>
      <c r="CJ834" s="3055"/>
      <c r="CK834" s="3055"/>
      <c r="CL834" s="3055"/>
      <c r="CM834" s="3055"/>
      <c r="CN834" s="3055"/>
      <c r="CO834" s="3055"/>
      <c r="CP834" s="3055"/>
      <c r="CQ834" s="3055"/>
      <c r="CR834" s="3055"/>
      <c r="CS834" s="3055"/>
      <c r="CU834" s="3054"/>
      <c r="CV834" s="696"/>
      <c r="CW834" s="696"/>
      <c r="CZ834" s="3060">
        <f t="shared" si="17"/>
      </c>
      <c r="DA834" s="3060">
        <f t="shared" si="1"/>
      </c>
      <c r="DB834" s="3060">
        <f t="shared" si="18"/>
      </c>
      <c r="DC834" s="3060">
        <f t="shared" si="19"/>
      </c>
      <c r="DD834" s="3060">
        <f t="shared" si="20"/>
      </c>
      <c r="DE834" s="3060">
        <f t="shared" si="21"/>
      </c>
      <c r="DF834" s="3060">
        <f t="shared" si="22"/>
      </c>
      <c r="DG834" s="3060">
        <f t="shared" si="23"/>
      </c>
      <c r="DH834" s="3060">
        <f t="shared" si="24"/>
      </c>
      <c r="DI834" s="3060">
        <f t="shared" si="1"/>
      </c>
    </row>
    <row r="835" ht="15" customHeight="1" s="3052" customFormat="1">
      <c r="B835" s="3054">
        <f t="shared" si="2"/>
      </c>
      <c r="C835" s="3054"/>
      <c r="D835" s="3054"/>
      <c r="E835" s="3055"/>
      <c r="F835" s="3055"/>
      <c r="G835" s="3055"/>
      <c r="H835" s="3055"/>
      <c r="I835" s="3055"/>
      <c r="J835" s="3055"/>
      <c r="K835" s="3055"/>
      <c r="L835" s="3055"/>
      <c r="M835" s="3055"/>
      <c r="N835" s="3055"/>
      <c r="O835" s="3055"/>
      <c r="P835" s="3055"/>
      <c r="Q835" s="3055"/>
      <c r="R835" s="3055">
        <f t="shared" si="3"/>
        <v>0</v>
      </c>
      <c r="S835" s="3055">
        <f t="shared" si="4"/>
        <v>0</v>
      </c>
      <c r="T835" s="3055">
        <f t="shared" si="5"/>
        <v>0</v>
      </c>
      <c r="U835" s="3055">
        <f t="shared" si="6"/>
        <v>0</v>
      </c>
      <c r="V835" s="3055">
        <f t="shared" si="7"/>
        <v>0</v>
      </c>
      <c r="W835" s="3055">
        <f t="shared" si="8"/>
        <v>0</v>
      </c>
      <c r="X835" s="3055">
        <f t="shared" si="9"/>
        <v>0</v>
      </c>
      <c r="Y835" s="3055">
        <f t="shared" si="10"/>
        <v>0</v>
      </c>
      <c r="Z835" s="3055">
        <f t="shared" si="11"/>
        <v>0</v>
      </c>
      <c r="AA835" s="3055">
        <f t="shared" si="12"/>
        <v>0</v>
      </c>
      <c r="AB835" s="3055">
        <f t="shared" si="13"/>
        <v>0</v>
      </c>
      <c r="AC835" s="3055">
        <f t="shared" si="14"/>
        <v>0</v>
      </c>
      <c r="AD835" s="3056"/>
      <c r="AE835" s="3057">
        <f t="shared" si="0"/>
      </c>
      <c r="AF835" s="3054"/>
      <c r="AG835" s="3054"/>
      <c r="AH835" s="3055"/>
      <c r="AI835" s="3055"/>
      <c r="AJ835" s="3055"/>
      <c r="AK835" s="3055"/>
      <c r="AL835" s="3055"/>
      <c r="AM835" s="3055"/>
      <c r="AN835" s="3055"/>
      <c r="AO835" s="3055"/>
      <c r="AP835" s="3055"/>
      <c r="AQ835" s="3055"/>
      <c r="AR835" s="3055"/>
      <c r="AS835" s="3055"/>
      <c r="AT835" s="3055"/>
      <c r="AU835" s="3056"/>
      <c r="AV835" s="3057">
        <f t="shared" si="15"/>
      </c>
      <c r="AW835" s="3054"/>
      <c r="AX835" s="3054"/>
      <c r="AY835" s="3055"/>
      <c r="AZ835" s="3055"/>
      <c r="BA835" s="3055"/>
      <c r="BB835" s="3055"/>
      <c r="BC835" s="3055"/>
      <c r="BD835" s="3055"/>
      <c r="BE835" s="3055"/>
      <c r="BF835" s="3055"/>
      <c r="BG835" s="3055"/>
      <c r="BH835" s="3055"/>
      <c r="BI835" s="3055"/>
      <c r="BJ835" s="3055"/>
      <c r="BK835" s="3055"/>
      <c r="BL835" s="3056"/>
      <c r="BM835" s="3057">
        <f t="shared" si="16"/>
      </c>
      <c r="BN835" s="3054"/>
      <c r="BO835" s="3054"/>
      <c r="BP835" s="3055"/>
      <c r="BQ835" s="3055"/>
      <c r="BR835" s="3055"/>
      <c r="BS835" s="3055"/>
      <c r="BT835" s="3055"/>
      <c r="BU835" s="3055"/>
      <c r="BV835" s="3055"/>
      <c r="BW835" s="3055"/>
      <c r="BX835" s="3055"/>
      <c r="BY835" s="3055"/>
      <c r="BZ835" s="3055"/>
      <c r="CA835" s="3055"/>
      <c r="CB835" s="3055"/>
      <c r="CC835" s="3056"/>
      <c r="CD835" s="3057">
        <f t="shared" si="0"/>
      </c>
      <c r="CE835" s="3054"/>
      <c r="CF835" s="3054"/>
      <c r="CG835" s="3055"/>
      <c r="CH835" s="3055"/>
      <c r="CI835" s="3055"/>
      <c r="CJ835" s="3055"/>
      <c r="CK835" s="3055"/>
      <c r="CL835" s="3055"/>
      <c r="CM835" s="3055"/>
      <c r="CN835" s="3055"/>
      <c r="CO835" s="3055"/>
      <c r="CP835" s="3055"/>
      <c r="CQ835" s="3055"/>
      <c r="CR835" s="3055"/>
      <c r="CS835" s="3055"/>
      <c r="CU835" s="3054"/>
      <c r="CV835" s="696"/>
      <c r="CW835" s="696"/>
      <c r="CZ835" s="3060">
        <f t="shared" si="17"/>
      </c>
      <c r="DA835" s="3060">
        <f t="shared" si="1"/>
      </c>
      <c r="DB835" s="3060">
        <f t="shared" si="18"/>
      </c>
      <c r="DC835" s="3060">
        <f t="shared" si="19"/>
      </c>
      <c r="DD835" s="3060">
        <f t="shared" si="20"/>
      </c>
      <c r="DE835" s="3060">
        <f t="shared" si="21"/>
      </c>
      <c r="DF835" s="3060">
        <f t="shared" si="22"/>
      </c>
      <c r="DG835" s="3060">
        <f t="shared" si="23"/>
      </c>
      <c r="DH835" s="3060">
        <f t="shared" si="24"/>
      </c>
      <c r="DI835" s="3060">
        <f t="shared" si="1"/>
      </c>
    </row>
    <row r="836" ht="15" customHeight="1" s="3052" customFormat="1">
      <c r="B836" s="3054">
        <f t="shared" si="2"/>
      </c>
      <c r="C836" s="3054"/>
      <c r="D836" s="3054"/>
      <c r="E836" s="3055"/>
      <c r="F836" s="3055"/>
      <c r="G836" s="3055"/>
      <c r="H836" s="3055"/>
      <c r="I836" s="3055"/>
      <c r="J836" s="3055"/>
      <c r="K836" s="3055"/>
      <c r="L836" s="3055"/>
      <c r="M836" s="3055"/>
      <c r="N836" s="3055"/>
      <c r="O836" s="3055"/>
      <c r="P836" s="3055"/>
      <c r="Q836" s="3055"/>
      <c r="R836" s="3055">
        <f t="shared" si="3"/>
        <v>0</v>
      </c>
      <c r="S836" s="3055">
        <f t="shared" si="4"/>
        <v>0</v>
      </c>
      <c r="T836" s="3055">
        <f t="shared" si="5"/>
        <v>0</v>
      </c>
      <c r="U836" s="3055">
        <f t="shared" si="6"/>
        <v>0</v>
      </c>
      <c r="V836" s="3055">
        <f t="shared" si="7"/>
        <v>0</v>
      </c>
      <c r="W836" s="3055">
        <f t="shared" si="8"/>
        <v>0</v>
      </c>
      <c r="X836" s="3055">
        <f t="shared" si="9"/>
        <v>0</v>
      </c>
      <c r="Y836" s="3055">
        <f t="shared" si="10"/>
        <v>0</v>
      </c>
      <c r="Z836" s="3055">
        <f t="shared" si="11"/>
        <v>0</v>
      </c>
      <c r="AA836" s="3055">
        <f t="shared" si="12"/>
        <v>0</v>
      </c>
      <c r="AB836" s="3055">
        <f t="shared" si="13"/>
        <v>0</v>
      </c>
      <c r="AC836" s="3055">
        <f t="shared" si="14"/>
        <v>0</v>
      </c>
      <c r="AD836" s="3056"/>
      <c r="AE836" s="3057">
        <f t="shared" si="0"/>
      </c>
      <c r="AF836" s="3054"/>
      <c r="AG836" s="3054"/>
      <c r="AH836" s="3055"/>
      <c r="AI836" s="3055"/>
      <c r="AJ836" s="3055"/>
      <c r="AK836" s="3055"/>
      <c r="AL836" s="3055"/>
      <c r="AM836" s="3055"/>
      <c r="AN836" s="3055"/>
      <c r="AO836" s="3055"/>
      <c r="AP836" s="3055"/>
      <c r="AQ836" s="3055"/>
      <c r="AR836" s="3055"/>
      <c r="AS836" s="3055"/>
      <c r="AT836" s="3055"/>
      <c r="AU836" s="3056"/>
      <c r="AV836" s="3057">
        <f t="shared" si="15"/>
      </c>
      <c r="AW836" s="3054"/>
      <c r="AX836" s="3054"/>
      <c r="AY836" s="3055"/>
      <c r="AZ836" s="3055"/>
      <c r="BA836" s="3055"/>
      <c r="BB836" s="3055"/>
      <c r="BC836" s="3055"/>
      <c r="BD836" s="3055"/>
      <c r="BE836" s="3055"/>
      <c r="BF836" s="3055"/>
      <c r="BG836" s="3055"/>
      <c r="BH836" s="3055"/>
      <c r="BI836" s="3055"/>
      <c r="BJ836" s="3055"/>
      <c r="BK836" s="3055"/>
      <c r="BL836" s="3056"/>
      <c r="BM836" s="3057">
        <f t="shared" si="16"/>
      </c>
      <c r="BN836" s="3054"/>
      <c r="BO836" s="3054"/>
      <c r="BP836" s="3055"/>
      <c r="BQ836" s="3055"/>
      <c r="BR836" s="3055"/>
      <c r="BS836" s="3055"/>
      <c r="BT836" s="3055"/>
      <c r="BU836" s="3055"/>
      <c r="BV836" s="3055"/>
      <c r="BW836" s="3055"/>
      <c r="BX836" s="3055"/>
      <c r="BY836" s="3055"/>
      <c r="BZ836" s="3055"/>
      <c r="CA836" s="3055"/>
      <c r="CB836" s="3055"/>
      <c r="CC836" s="3056"/>
      <c r="CD836" s="3057">
        <f t="shared" si="0"/>
      </c>
      <c r="CE836" s="3054"/>
      <c r="CF836" s="3054"/>
      <c r="CG836" s="3055"/>
      <c r="CH836" s="3055"/>
      <c r="CI836" s="3055"/>
      <c r="CJ836" s="3055"/>
      <c r="CK836" s="3055"/>
      <c r="CL836" s="3055"/>
      <c r="CM836" s="3055"/>
      <c r="CN836" s="3055"/>
      <c r="CO836" s="3055"/>
      <c r="CP836" s="3055"/>
      <c r="CQ836" s="3055"/>
      <c r="CR836" s="3055"/>
      <c r="CS836" s="3055"/>
      <c r="CU836" s="3054"/>
      <c r="CV836" s="696"/>
      <c r="CW836" s="696"/>
      <c r="CZ836" s="3060">
        <f t="shared" si="17"/>
      </c>
      <c r="DA836" s="3060">
        <f t="shared" si="1"/>
      </c>
      <c r="DB836" s="3060">
        <f t="shared" si="18"/>
      </c>
      <c r="DC836" s="3060">
        <f t="shared" si="19"/>
      </c>
      <c r="DD836" s="3060">
        <f t="shared" si="20"/>
      </c>
      <c r="DE836" s="3060">
        <f t="shared" si="21"/>
      </c>
      <c r="DF836" s="3060">
        <f t="shared" si="22"/>
      </c>
      <c r="DG836" s="3060">
        <f t="shared" si="23"/>
      </c>
      <c r="DH836" s="3060">
        <f t="shared" si="24"/>
      </c>
      <c r="DI836" s="3060">
        <f t="shared" si="1"/>
      </c>
    </row>
    <row r="837" ht="15" customHeight="1" s="3052" customFormat="1">
      <c r="B837" s="3054">
        <f t="shared" si="2"/>
      </c>
      <c r="C837" s="3054"/>
      <c r="D837" s="3054"/>
      <c r="E837" s="3055"/>
      <c r="F837" s="3055"/>
      <c r="G837" s="3055"/>
      <c r="H837" s="3055"/>
      <c r="I837" s="3055"/>
      <c r="J837" s="3055"/>
      <c r="K837" s="3055"/>
      <c r="L837" s="3055"/>
      <c r="M837" s="3055"/>
      <c r="N837" s="3055"/>
      <c r="O837" s="3055"/>
      <c r="P837" s="3055"/>
      <c r="Q837" s="3055"/>
      <c r="R837" s="3055">
        <f t="shared" si="3"/>
        <v>0</v>
      </c>
      <c r="S837" s="3055">
        <f t="shared" si="4"/>
        <v>0</v>
      </c>
      <c r="T837" s="3055">
        <f t="shared" si="5"/>
        <v>0</v>
      </c>
      <c r="U837" s="3055">
        <f t="shared" si="6"/>
        <v>0</v>
      </c>
      <c r="V837" s="3055">
        <f t="shared" si="7"/>
        <v>0</v>
      </c>
      <c r="W837" s="3055">
        <f t="shared" si="8"/>
        <v>0</v>
      </c>
      <c r="X837" s="3055">
        <f t="shared" si="9"/>
        <v>0</v>
      </c>
      <c r="Y837" s="3055">
        <f t="shared" si="10"/>
        <v>0</v>
      </c>
      <c r="Z837" s="3055">
        <f t="shared" si="11"/>
        <v>0</v>
      </c>
      <c r="AA837" s="3055">
        <f t="shared" si="12"/>
        <v>0</v>
      </c>
      <c r="AB837" s="3055">
        <f t="shared" si="13"/>
        <v>0</v>
      </c>
      <c r="AC837" s="3055">
        <f t="shared" si="14"/>
        <v>0</v>
      </c>
      <c r="AD837" s="3056"/>
      <c r="AE837" s="3057">
        <f t="shared" si="0"/>
      </c>
      <c r="AF837" s="3054"/>
      <c r="AG837" s="3054"/>
      <c r="AH837" s="3055"/>
      <c r="AI837" s="3055"/>
      <c r="AJ837" s="3055"/>
      <c r="AK837" s="3055"/>
      <c r="AL837" s="3055"/>
      <c r="AM837" s="3055"/>
      <c r="AN837" s="3055"/>
      <c r="AO837" s="3055"/>
      <c r="AP837" s="3055"/>
      <c r="AQ837" s="3055"/>
      <c r="AR837" s="3055"/>
      <c r="AS837" s="3055"/>
      <c r="AT837" s="3055"/>
      <c r="AU837" s="3056"/>
      <c r="AV837" s="3057">
        <f t="shared" si="15"/>
      </c>
      <c r="AW837" s="3054"/>
      <c r="AX837" s="3054"/>
      <c r="AY837" s="3055"/>
      <c r="AZ837" s="3055"/>
      <c r="BA837" s="3055"/>
      <c r="BB837" s="3055"/>
      <c r="BC837" s="3055"/>
      <c r="BD837" s="3055"/>
      <c r="BE837" s="3055"/>
      <c r="BF837" s="3055"/>
      <c r="BG837" s="3055"/>
      <c r="BH837" s="3055"/>
      <c r="BI837" s="3055"/>
      <c r="BJ837" s="3055"/>
      <c r="BK837" s="3055"/>
      <c r="BL837" s="3056"/>
      <c r="BM837" s="3057">
        <f t="shared" si="16"/>
      </c>
      <c r="BN837" s="3054"/>
      <c r="BO837" s="3054"/>
      <c r="BP837" s="3055"/>
      <c r="BQ837" s="3055"/>
      <c r="BR837" s="3055"/>
      <c r="BS837" s="3055"/>
      <c r="BT837" s="3055"/>
      <c r="BU837" s="3055"/>
      <c r="BV837" s="3055"/>
      <c r="BW837" s="3055"/>
      <c r="BX837" s="3055"/>
      <c r="BY837" s="3055"/>
      <c r="BZ837" s="3055"/>
      <c r="CA837" s="3055"/>
      <c r="CB837" s="3055"/>
      <c r="CC837" s="3056"/>
      <c r="CD837" s="3057">
        <f t="shared" si="0"/>
      </c>
      <c r="CE837" s="3054"/>
      <c r="CF837" s="3054"/>
      <c r="CG837" s="3055"/>
      <c r="CH837" s="3055"/>
      <c r="CI837" s="3055"/>
      <c r="CJ837" s="3055"/>
      <c r="CK837" s="3055"/>
      <c r="CL837" s="3055"/>
      <c r="CM837" s="3055"/>
      <c r="CN837" s="3055"/>
      <c r="CO837" s="3055"/>
      <c r="CP837" s="3055"/>
      <c r="CQ837" s="3055"/>
      <c r="CR837" s="3055"/>
      <c r="CS837" s="3055"/>
      <c r="CU837" s="3054"/>
      <c r="CV837" s="696"/>
      <c r="CW837" s="696"/>
      <c r="CZ837" s="3060">
        <f t="shared" si="17"/>
      </c>
      <c r="DA837" s="3060">
        <f t="shared" si="1"/>
      </c>
      <c r="DB837" s="3060">
        <f t="shared" si="18"/>
      </c>
      <c r="DC837" s="3060">
        <f t="shared" si="19"/>
      </c>
      <c r="DD837" s="3060">
        <f t="shared" si="20"/>
      </c>
      <c r="DE837" s="3060">
        <f t="shared" si="21"/>
      </c>
      <c r="DF837" s="3060">
        <f t="shared" si="22"/>
      </c>
      <c r="DG837" s="3060">
        <f t="shared" si="23"/>
      </c>
      <c r="DH837" s="3060">
        <f t="shared" si="24"/>
      </c>
      <c r="DI837" s="3060">
        <f t="shared" si="1"/>
      </c>
    </row>
    <row r="838" ht="15" customHeight="1" s="3052" customFormat="1">
      <c r="B838" s="3054">
        <f t="shared" si="2"/>
      </c>
      <c r="C838" s="3054"/>
      <c r="D838" s="3054"/>
      <c r="E838" s="3055"/>
      <c r="F838" s="3055"/>
      <c r="G838" s="3055"/>
      <c r="H838" s="3055"/>
      <c r="I838" s="3055"/>
      <c r="J838" s="3055"/>
      <c r="K838" s="3055"/>
      <c r="L838" s="3055"/>
      <c r="M838" s="3055"/>
      <c r="N838" s="3055"/>
      <c r="O838" s="3055"/>
      <c r="P838" s="3055"/>
      <c r="Q838" s="3055"/>
      <c r="R838" s="3055">
        <f t="shared" si="3"/>
        <v>0</v>
      </c>
      <c r="S838" s="3055">
        <f t="shared" si="4"/>
        <v>0</v>
      </c>
      <c r="T838" s="3055">
        <f t="shared" si="5"/>
        <v>0</v>
      </c>
      <c r="U838" s="3055">
        <f t="shared" si="6"/>
        <v>0</v>
      </c>
      <c r="V838" s="3055">
        <f t="shared" si="7"/>
        <v>0</v>
      </c>
      <c r="W838" s="3055">
        <f t="shared" si="8"/>
        <v>0</v>
      </c>
      <c r="X838" s="3055">
        <f t="shared" si="9"/>
        <v>0</v>
      </c>
      <c r="Y838" s="3055">
        <f t="shared" si="10"/>
        <v>0</v>
      </c>
      <c r="Z838" s="3055">
        <f t="shared" si="11"/>
        <v>0</v>
      </c>
      <c r="AA838" s="3055">
        <f t="shared" si="12"/>
        <v>0</v>
      </c>
      <c r="AB838" s="3055">
        <f t="shared" si="13"/>
        <v>0</v>
      </c>
      <c r="AC838" s="3055">
        <f t="shared" si="14"/>
        <v>0</v>
      </c>
      <c r="AD838" s="3056"/>
      <c r="AE838" s="3057">
        <f t="shared" si="0"/>
      </c>
      <c r="AF838" s="3054"/>
      <c r="AG838" s="3054"/>
      <c r="AH838" s="3055"/>
      <c r="AI838" s="3055"/>
      <c r="AJ838" s="3055"/>
      <c r="AK838" s="3055"/>
      <c r="AL838" s="3055"/>
      <c r="AM838" s="3055"/>
      <c r="AN838" s="3055"/>
      <c r="AO838" s="3055"/>
      <c r="AP838" s="3055"/>
      <c r="AQ838" s="3055"/>
      <c r="AR838" s="3055"/>
      <c r="AS838" s="3055"/>
      <c r="AT838" s="3055"/>
      <c r="AU838" s="3056"/>
      <c r="AV838" s="3057">
        <f t="shared" si="15"/>
      </c>
      <c r="AW838" s="3054"/>
      <c r="AX838" s="3054"/>
      <c r="AY838" s="3055"/>
      <c r="AZ838" s="3055"/>
      <c r="BA838" s="3055"/>
      <c r="BB838" s="3055"/>
      <c r="BC838" s="3055"/>
      <c r="BD838" s="3055"/>
      <c r="BE838" s="3055"/>
      <c r="BF838" s="3055"/>
      <c r="BG838" s="3055"/>
      <c r="BH838" s="3055"/>
      <c r="BI838" s="3055"/>
      <c r="BJ838" s="3055"/>
      <c r="BK838" s="3055"/>
      <c r="BL838" s="3056"/>
      <c r="BM838" s="3057">
        <f t="shared" si="16"/>
      </c>
      <c r="BN838" s="3054"/>
      <c r="BO838" s="3054"/>
      <c r="BP838" s="3055"/>
      <c r="BQ838" s="3055"/>
      <c r="BR838" s="3055"/>
      <c r="BS838" s="3055"/>
      <c r="BT838" s="3055"/>
      <c r="BU838" s="3055"/>
      <c r="BV838" s="3055"/>
      <c r="BW838" s="3055"/>
      <c r="BX838" s="3055"/>
      <c r="BY838" s="3055"/>
      <c r="BZ838" s="3055"/>
      <c r="CA838" s="3055"/>
      <c r="CB838" s="3055"/>
      <c r="CC838" s="3056"/>
      <c r="CD838" s="3057">
        <f t="shared" si="0"/>
      </c>
      <c r="CE838" s="3054"/>
      <c r="CF838" s="3054"/>
      <c r="CG838" s="3055"/>
      <c r="CH838" s="3055"/>
      <c r="CI838" s="3055"/>
      <c r="CJ838" s="3055"/>
      <c r="CK838" s="3055"/>
      <c r="CL838" s="3055"/>
      <c r="CM838" s="3055"/>
      <c r="CN838" s="3055"/>
      <c r="CO838" s="3055"/>
      <c r="CP838" s="3055"/>
      <c r="CQ838" s="3055"/>
      <c r="CR838" s="3055"/>
      <c r="CS838" s="3055"/>
      <c r="CU838" s="3054"/>
      <c r="CV838" s="696"/>
      <c r="CW838" s="696"/>
      <c r="CZ838" s="3060">
        <f t="shared" si="17"/>
      </c>
      <c r="DA838" s="3060">
        <f t="shared" si="1"/>
      </c>
      <c r="DB838" s="3060">
        <f t="shared" si="18"/>
      </c>
      <c r="DC838" s="3060">
        <f t="shared" si="19"/>
      </c>
      <c r="DD838" s="3060">
        <f t="shared" si="20"/>
      </c>
      <c r="DE838" s="3060">
        <f t="shared" si="21"/>
      </c>
      <c r="DF838" s="3060">
        <f t="shared" si="22"/>
      </c>
      <c r="DG838" s="3060">
        <f t="shared" si="23"/>
      </c>
      <c r="DH838" s="3060">
        <f t="shared" si="24"/>
      </c>
      <c r="DI838" s="3060">
        <f t="shared" si="1"/>
      </c>
    </row>
    <row r="839" ht="15" customHeight="1" s="3052" customFormat="1">
      <c r="B839" s="3054">
        <f t="shared" si="2"/>
      </c>
      <c r="C839" s="3054"/>
      <c r="D839" s="3054"/>
      <c r="E839" s="3055"/>
      <c r="F839" s="3055"/>
      <c r="G839" s="3055"/>
      <c r="H839" s="3055"/>
      <c r="I839" s="3055"/>
      <c r="J839" s="3055"/>
      <c r="K839" s="3055"/>
      <c r="L839" s="3055"/>
      <c r="M839" s="3055"/>
      <c r="N839" s="3055"/>
      <c r="O839" s="3055"/>
      <c r="P839" s="3055"/>
      <c r="Q839" s="3055"/>
      <c r="R839" s="3055">
        <f t="shared" si="3"/>
        <v>0</v>
      </c>
      <c r="S839" s="3055">
        <f t="shared" si="4"/>
        <v>0</v>
      </c>
      <c r="T839" s="3055">
        <f t="shared" si="5"/>
        <v>0</v>
      </c>
      <c r="U839" s="3055">
        <f t="shared" si="6"/>
        <v>0</v>
      </c>
      <c r="V839" s="3055">
        <f t="shared" si="7"/>
        <v>0</v>
      </c>
      <c r="W839" s="3055">
        <f t="shared" si="8"/>
        <v>0</v>
      </c>
      <c r="X839" s="3055">
        <f t="shared" si="9"/>
        <v>0</v>
      </c>
      <c r="Y839" s="3055">
        <f t="shared" si="10"/>
        <v>0</v>
      </c>
      <c r="Z839" s="3055">
        <f t="shared" si="11"/>
        <v>0</v>
      </c>
      <c r="AA839" s="3055">
        <f t="shared" si="12"/>
        <v>0</v>
      </c>
      <c r="AB839" s="3055">
        <f t="shared" si="13"/>
        <v>0</v>
      </c>
      <c r="AC839" s="3055">
        <f t="shared" si="14"/>
        <v>0</v>
      </c>
      <c r="AD839" s="3056"/>
      <c r="AE839" s="3057">
        <f t="shared" si="0"/>
      </c>
      <c r="AF839" s="3054"/>
      <c r="AG839" s="3054"/>
      <c r="AH839" s="3055"/>
      <c r="AI839" s="3055"/>
      <c r="AJ839" s="3055"/>
      <c r="AK839" s="3055"/>
      <c r="AL839" s="3055"/>
      <c r="AM839" s="3055"/>
      <c r="AN839" s="3055"/>
      <c r="AO839" s="3055"/>
      <c r="AP839" s="3055"/>
      <c r="AQ839" s="3055"/>
      <c r="AR839" s="3055"/>
      <c r="AS839" s="3055"/>
      <c r="AT839" s="3055"/>
      <c r="AU839" s="3056"/>
      <c r="AV839" s="3057">
        <f t="shared" si="15"/>
      </c>
      <c r="AW839" s="3054"/>
      <c r="AX839" s="3054"/>
      <c r="AY839" s="3055"/>
      <c r="AZ839" s="3055"/>
      <c r="BA839" s="3055"/>
      <c r="BB839" s="3055"/>
      <c r="BC839" s="3055"/>
      <c r="BD839" s="3055"/>
      <c r="BE839" s="3055"/>
      <c r="BF839" s="3055"/>
      <c r="BG839" s="3055"/>
      <c r="BH839" s="3055"/>
      <c r="BI839" s="3055"/>
      <c r="BJ839" s="3055"/>
      <c r="BK839" s="3055"/>
      <c r="BL839" s="3056"/>
      <c r="BM839" s="3057">
        <f t="shared" si="16"/>
      </c>
      <c r="BN839" s="3054"/>
      <c r="BO839" s="3054"/>
      <c r="BP839" s="3055"/>
      <c r="BQ839" s="3055"/>
      <c r="BR839" s="3055"/>
      <c r="BS839" s="3055"/>
      <c r="BT839" s="3055"/>
      <c r="BU839" s="3055"/>
      <c r="BV839" s="3055"/>
      <c r="BW839" s="3055"/>
      <c r="BX839" s="3055"/>
      <c r="BY839" s="3055"/>
      <c r="BZ839" s="3055"/>
      <c r="CA839" s="3055"/>
      <c r="CB839" s="3055"/>
      <c r="CC839" s="3056"/>
      <c r="CD839" s="3057">
        <f t="shared" si="0"/>
      </c>
      <c r="CE839" s="3054"/>
      <c r="CF839" s="3054"/>
      <c r="CG839" s="3055"/>
      <c r="CH839" s="3055"/>
      <c r="CI839" s="3055"/>
      <c r="CJ839" s="3055"/>
      <c r="CK839" s="3055"/>
      <c r="CL839" s="3055"/>
      <c r="CM839" s="3055"/>
      <c r="CN839" s="3055"/>
      <c r="CO839" s="3055"/>
      <c r="CP839" s="3055"/>
      <c r="CQ839" s="3055"/>
      <c r="CR839" s="3055"/>
      <c r="CS839" s="3055"/>
      <c r="CU839" s="3054"/>
      <c r="CV839" s="696"/>
      <c r="CW839" s="696"/>
      <c r="CZ839" s="3060">
        <f t="shared" si="17"/>
      </c>
      <c r="DA839" s="3060">
        <f t="shared" si="1"/>
      </c>
      <c r="DB839" s="3060">
        <f t="shared" si="18"/>
      </c>
      <c r="DC839" s="3060">
        <f t="shared" si="19"/>
      </c>
      <c r="DD839" s="3060">
        <f t="shared" si="20"/>
      </c>
      <c r="DE839" s="3060">
        <f t="shared" si="21"/>
      </c>
      <c r="DF839" s="3060">
        <f t="shared" si="22"/>
      </c>
      <c r="DG839" s="3060">
        <f t="shared" si="23"/>
      </c>
      <c r="DH839" s="3060">
        <f t="shared" si="24"/>
      </c>
      <c r="DI839" s="3060">
        <f t="shared" si="1"/>
      </c>
    </row>
    <row r="840" ht="15" customHeight="1" s="3052" customFormat="1">
      <c r="B840" s="3054">
        <f t="shared" si="2"/>
      </c>
      <c r="C840" s="3054"/>
      <c r="D840" s="3054"/>
      <c r="E840" s="3055"/>
      <c r="F840" s="3055"/>
      <c r="G840" s="3055"/>
      <c r="H840" s="3055"/>
      <c r="I840" s="3055"/>
      <c r="J840" s="3055"/>
      <c r="K840" s="3055"/>
      <c r="L840" s="3055"/>
      <c r="M840" s="3055"/>
      <c r="N840" s="3055"/>
      <c r="O840" s="3055"/>
      <c r="P840" s="3055"/>
      <c r="Q840" s="3055"/>
      <c r="R840" s="3055">
        <f t="shared" si="3"/>
        <v>0</v>
      </c>
      <c r="S840" s="3055">
        <f t="shared" si="4"/>
        <v>0</v>
      </c>
      <c r="T840" s="3055">
        <f t="shared" si="5"/>
        <v>0</v>
      </c>
      <c r="U840" s="3055">
        <f t="shared" si="6"/>
        <v>0</v>
      </c>
      <c r="V840" s="3055">
        <f t="shared" si="7"/>
        <v>0</v>
      </c>
      <c r="W840" s="3055">
        <f t="shared" si="8"/>
        <v>0</v>
      </c>
      <c r="X840" s="3055">
        <f t="shared" si="9"/>
        <v>0</v>
      </c>
      <c r="Y840" s="3055">
        <f t="shared" si="10"/>
        <v>0</v>
      </c>
      <c r="Z840" s="3055">
        <f t="shared" si="11"/>
        <v>0</v>
      </c>
      <c r="AA840" s="3055">
        <f t="shared" si="12"/>
        <v>0</v>
      </c>
      <c r="AB840" s="3055">
        <f t="shared" si="13"/>
        <v>0</v>
      </c>
      <c r="AC840" s="3055">
        <f t="shared" si="14"/>
        <v>0</v>
      </c>
      <c r="AD840" s="3056"/>
      <c r="AE840" s="3057">
        <f t="shared" si="0"/>
      </c>
      <c r="AF840" s="3054"/>
      <c r="AG840" s="3054"/>
      <c r="AH840" s="3055"/>
      <c r="AI840" s="3055"/>
      <c r="AJ840" s="3055"/>
      <c r="AK840" s="3055"/>
      <c r="AL840" s="3055"/>
      <c r="AM840" s="3055"/>
      <c r="AN840" s="3055"/>
      <c r="AO840" s="3055"/>
      <c r="AP840" s="3055"/>
      <c r="AQ840" s="3055"/>
      <c r="AR840" s="3055"/>
      <c r="AS840" s="3055"/>
      <c r="AT840" s="3055"/>
      <c r="AU840" s="3056"/>
      <c r="AV840" s="3057">
        <f t="shared" si="15"/>
      </c>
      <c r="AW840" s="3054"/>
      <c r="AX840" s="3054"/>
      <c r="AY840" s="3055"/>
      <c r="AZ840" s="3055"/>
      <c r="BA840" s="3055"/>
      <c r="BB840" s="3055"/>
      <c r="BC840" s="3055"/>
      <c r="BD840" s="3055"/>
      <c r="BE840" s="3055"/>
      <c r="BF840" s="3055"/>
      <c r="BG840" s="3055"/>
      <c r="BH840" s="3055"/>
      <c r="BI840" s="3055"/>
      <c r="BJ840" s="3055"/>
      <c r="BK840" s="3055"/>
      <c r="BL840" s="3056"/>
      <c r="BM840" s="3057">
        <f t="shared" si="16"/>
      </c>
      <c r="BN840" s="3054"/>
      <c r="BO840" s="3054"/>
      <c r="BP840" s="3055"/>
      <c r="BQ840" s="3055"/>
      <c r="BR840" s="3055"/>
      <c r="BS840" s="3055"/>
      <c r="BT840" s="3055"/>
      <c r="BU840" s="3055"/>
      <c r="BV840" s="3055"/>
      <c r="BW840" s="3055"/>
      <c r="BX840" s="3055"/>
      <c r="BY840" s="3055"/>
      <c r="BZ840" s="3055"/>
      <c r="CA840" s="3055"/>
      <c r="CB840" s="3055"/>
      <c r="CC840" s="3056"/>
      <c r="CD840" s="3057">
        <f t="shared" si="0"/>
      </c>
      <c r="CE840" s="3054"/>
      <c r="CF840" s="3054"/>
      <c r="CG840" s="3055"/>
      <c r="CH840" s="3055"/>
      <c r="CI840" s="3055"/>
      <c r="CJ840" s="3055"/>
      <c r="CK840" s="3055"/>
      <c r="CL840" s="3055"/>
      <c r="CM840" s="3055"/>
      <c r="CN840" s="3055"/>
      <c r="CO840" s="3055"/>
      <c r="CP840" s="3055"/>
      <c r="CQ840" s="3055"/>
      <c r="CR840" s="3055"/>
      <c r="CS840" s="3055"/>
      <c r="CU840" s="3054"/>
      <c r="CV840" s="696"/>
      <c r="CW840" s="696"/>
      <c r="CZ840" s="3060">
        <f t="shared" si="17"/>
      </c>
      <c r="DA840" s="3060">
        <f t="shared" si="1"/>
      </c>
      <c r="DB840" s="3060">
        <f t="shared" si="18"/>
      </c>
      <c r="DC840" s="3060">
        <f t="shared" si="19"/>
      </c>
      <c r="DD840" s="3060">
        <f t="shared" si="20"/>
      </c>
      <c r="DE840" s="3060">
        <f t="shared" si="21"/>
      </c>
      <c r="DF840" s="3060">
        <f t="shared" si="22"/>
      </c>
      <c r="DG840" s="3060">
        <f t="shared" si="23"/>
      </c>
      <c r="DH840" s="3060">
        <f t="shared" si="24"/>
      </c>
      <c r="DI840" s="3060">
        <f t="shared" si="1"/>
      </c>
    </row>
    <row r="841" ht="15" customHeight="1" s="3052" customFormat="1">
      <c r="B841" s="3054">
        <f t="shared" si="2"/>
      </c>
      <c r="C841" s="3054"/>
      <c r="D841" s="3054"/>
      <c r="E841" s="3055"/>
      <c r="F841" s="3055"/>
      <c r="G841" s="3055"/>
      <c r="H841" s="3055"/>
      <c r="I841" s="3055"/>
      <c r="J841" s="3055"/>
      <c r="K841" s="3055"/>
      <c r="L841" s="3055"/>
      <c r="M841" s="3055"/>
      <c r="N841" s="3055"/>
      <c r="O841" s="3055"/>
      <c r="P841" s="3055"/>
      <c r="Q841" s="3055"/>
      <c r="R841" s="3055">
        <f t="shared" si="3"/>
        <v>0</v>
      </c>
      <c r="S841" s="3055">
        <f t="shared" si="4"/>
        <v>0</v>
      </c>
      <c r="T841" s="3055">
        <f t="shared" si="5"/>
        <v>0</v>
      </c>
      <c r="U841" s="3055">
        <f t="shared" si="6"/>
        <v>0</v>
      </c>
      <c r="V841" s="3055">
        <f t="shared" si="7"/>
        <v>0</v>
      </c>
      <c r="W841" s="3055">
        <f t="shared" si="8"/>
        <v>0</v>
      </c>
      <c r="X841" s="3055">
        <f t="shared" si="9"/>
        <v>0</v>
      </c>
      <c r="Y841" s="3055">
        <f t="shared" si="10"/>
        <v>0</v>
      </c>
      <c r="Z841" s="3055">
        <f t="shared" si="11"/>
        <v>0</v>
      </c>
      <c r="AA841" s="3055">
        <f t="shared" si="12"/>
        <v>0</v>
      </c>
      <c r="AB841" s="3055">
        <f t="shared" si="13"/>
        <v>0</v>
      </c>
      <c r="AC841" s="3055">
        <f t="shared" si="14"/>
        <v>0</v>
      </c>
      <c r="AD841" s="3056"/>
      <c r="AE841" s="3057">
        <f t="shared" si="0"/>
      </c>
      <c r="AF841" s="3054"/>
      <c r="AG841" s="3054"/>
      <c r="AH841" s="3055"/>
      <c r="AI841" s="3055"/>
      <c r="AJ841" s="3055"/>
      <c r="AK841" s="3055"/>
      <c r="AL841" s="3055"/>
      <c r="AM841" s="3055"/>
      <c r="AN841" s="3055"/>
      <c r="AO841" s="3055"/>
      <c r="AP841" s="3055"/>
      <c r="AQ841" s="3055"/>
      <c r="AR841" s="3055"/>
      <c r="AS841" s="3055"/>
      <c r="AT841" s="3055"/>
      <c r="AU841" s="3056"/>
      <c r="AV841" s="3057">
        <f t="shared" si="15"/>
      </c>
      <c r="AW841" s="3054"/>
      <c r="AX841" s="3054"/>
      <c r="AY841" s="3055"/>
      <c r="AZ841" s="3055"/>
      <c r="BA841" s="3055"/>
      <c r="BB841" s="3055"/>
      <c r="BC841" s="3055"/>
      <c r="BD841" s="3055"/>
      <c r="BE841" s="3055"/>
      <c r="BF841" s="3055"/>
      <c r="BG841" s="3055"/>
      <c r="BH841" s="3055"/>
      <c r="BI841" s="3055"/>
      <c r="BJ841" s="3055"/>
      <c r="BK841" s="3055"/>
      <c r="BL841" s="3056"/>
      <c r="BM841" s="3057">
        <f t="shared" si="16"/>
      </c>
      <c r="BN841" s="3054"/>
      <c r="BO841" s="3054"/>
      <c r="BP841" s="3055"/>
      <c r="BQ841" s="3055"/>
      <c r="BR841" s="3055"/>
      <c r="BS841" s="3055"/>
      <c r="BT841" s="3055"/>
      <c r="BU841" s="3055"/>
      <c r="BV841" s="3055"/>
      <c r="BW841" s="3055"/>
      <c r="BX841" s="3055"/>
      <c r="BY841" s="3055"/>
      <c r="BZ841" s="3055"/>
      <c r="CA841" s="3055"/>
      <c r="CB841" s="3055"/>
      <c r="CC841" s="3056"/>
      <c r="CD841" s="3057">
        <f t="shared" si="0"/>
      </c>
      <c r="CE841" s="3054"/>
      <c r="CF841" s="3054"/>
      <c r="CG841" s="3055"/>
      <c r="CH841" s="3055"/>
      <c r="CI841" s="3055"/>
      <c r="CJ841" s="3055"/>
      <c r="CK841" s="3055"/>
      <c r="CL841" s="3055"/>
      <c r="CM841" s="3055"/>
      <c r="CN841" s="3055"/>
      <c r="CO841" s="3055"/>
      <c r="CP841" s="3055"/>
      <c r="CQ841" s="3055"/>
      <c r="CR841" s="3055"/>
      <c r="CS841" s="3055"/>
      <c r="CU841" s="3054"/>
      <c r="CV841" s="696"/>
      <c r="CW841" s="696"/>
      <c r="CZ841" s="3060">
        <f t="shared" si="17"/>
      </c>
      <c r="DA841" s="3060">
        <f t="shared" si="1"/>
      </c>
      <c r="DB841" s="3060">
        <f t="shared" si="18"/>
      </c>
      <c r="DC841" s="3060">
        <f t="shared" si="19"/>
      </c>
      <c r="DD841" s="3060">
        <f t="shared" si="20"/>
      </c>
      <c r="DE841" s="3060">
        <f t="shared" si="21"/>
      </c>
      <c r="DF841" s="3060">
        <f t="shared" si="22"/>
      </c>
      <c r="DG841" s="3060">
        <f t="shared" si="23"/>
      </c>
      <c r="DH841" s="3060">
        <f t="shared" si="24"/>
      </c>
      <c r="DI841" s="3060">
        <f t="shared" si="1"/>
      </c>
    </row>
    <row r="842" ht="15" customHeight="1" s="3052" customFormat="1">
      <c r="B842" s="3054">
        <f t="shared" si="2"/>
      </c>
      <c r="C842" s="3054"/>
      <c r="D842" s="3054"/>
      <c r="E842" s="3055"/>
      <c r="F842" s="3055"/>
      <c r="G842" s="3055"/>
      <c r="H842" s="3055"/>
      <c r="I842" s="3055"/>
      <c r="J842" s="3055"/>
      <c r="K842" s="3055"/>
      <c r="L842" s="3055"/>
      <c r="M842" s="3055"/>
      <c r="N842" s="3055"/>
      <c r="O842" s="3055"/>
      <c r="P842" s="3055"/>
      <c r="Q842" s="3055"/>
      <c r="R842" s="3055">
        <f t="shared" si="3"/>
        <v>0</v>
      </c>
      <c r="S842" s="3055">
        <f t="shared" si="4"/>
        <v>0</v>
      </c>
      <c r="T842" s="3055">
        <f t="shared" si="5"/>
        <v>0</v>
      </c>
      <c r="U842" s="3055">
        <f t="shared" si="6"/>
        <v>0</v>
      </c>
      <c r="V842" s="3055">
        <f t="shared" si="7"/>
        <v>0</v>
      </c>
      <c r="W842" s="3055">
        <f t="shared" si="8"/>
        <v>0</v>
      </c>
      <c r="X842" s="3055">
        <f t="shared" si="9"/>
        <v>0</v>
      </c>
      <c r="Y842" s="3055">
        <f t="shared" si="10"/>
        <v>0</v>
      </c>
      <c r="Z842" s="3055">
        <f t="shared" si="11"/>
        <v>0</v>
      </c>
      <c r="AA842" s="3055">
        <f t="shared" si="12"/>
        <v>0</v>
      </c>
      <c r="AB842" s="3055">
        <f t="shared" si="13"/>
        <v>0</v>
      </c>
      <c r="AC842" s="3055">
        <f t="shared" si="14"/>
        <v>0</v>
      </c>
      <c r="AD842" s="3056"/>
      <c r="AE842" s="3057">
        <f t="shared" si="0"/>
      </c>
      <c r="AF842" s="3054"/>
      <c r="AG842" s="3054"/>
      <c r="AH842" s="3055"/>
      <c r="AI842" s="3055"/>
      <c r="AJ842" s="3055"/>
      <c r="AK842" s="3055"/>
      <c r="AL842" s="3055"/>
      <c r="AM842" s="3055"/>
      <c r="AN842" s="3055"/>
      <c r="AO842" s="3055"/>
      <c r="AP842" s="3055"/>
      <c r="AQ842" s="3055"/>
      <c r="AR842" s="3055"/>
      <c r="AS842" s="3055"/>
      <c r="AT842" s="3055"/>
      <c r="AU842" s="3056"/>
      <c r="AV842" s="3057">
        <f t="shared" si="15"/>
      </c>
      <c r="AW842" s="3054"/>
      <c r="AX842" s="3054"/>
      <c r="AY842" s="3055"/>
      <c r="AZ842" s="3055"/>
      <c r="BA842" s="3055"/>
      <c r="BB842" s="3055"/>
      <c r="BC842" s="3055"/>
      <c r="BD842" s="3055"/>
      <c r="BE842" s="3055"/>
      <c r="BF842" s="3055"/>
      <c r="BG842" s="3055"/>
      <c r="BH842" s="3055"/>
      <c r="BI842" s="3055"/>
      <c r="BJ842" s="3055"/>
      <c r="BK842" s="3055"/>
      <c r="BL842" s="3056"/>
      <c r="BM842" s="3057">
        <f t="shared" si="16"/>
      </c>
      <c r="BN842" s="3054"/>
      <c r="BO842" s="3054"/>
      <c r="BP842" s="3055"/>
      <c r="BQ842" s="3055"/>
      <c r="BR842" s="3055"/>
      <c r="BS842" s="3055"/>
      <c r="BT842" s="3055"/>
      <c r="BU842" s="3055"/>
      <c r="BV842" s="3055"/>
      <c r="BW842" s="3055"/>
      <c r="BX842" s="3055"/>
      <c r="BY842" s="3055"/>
      <c r="BZ842" s="3055"/>
      <c r="CA842" s="3055"/>
      <c r="CB842" s="3055"/>
      <c r="CC842" s="3056"/>
      <c r="CD842" s="3057">
        <f t="shared" si="0"/>
      </c>
      <c r="CE842" s="3054"/>
      <c r="CF842" s="3054"/>
      <c r="CG842" s="3055"/>
      <c r="CH842" s="3055"/>
      <c r="CI842" s="3055"/>
      <c r="CJ842" s="3055"/>
      <c r="CK842" s="3055"/>
      <c r="CL842" s="3055"/>
      <c r="CM842" s="3055"/>
      <c r="CN842" s="3055"/>
      <c r="CO842" s="3055"/>
      <c r="CP842" s="3055"/>
      <c r="CQ842" s="3055"/>
      <c r="CR842" s="3055"/>
      <c r="CS842" s="3055"/>
      <c r="CU842" s="3054"/>
      <c r="CV842" s="696"/>
      <c r="CW842" s="696"/>
      <c r="CZ842" s="3060">
        <f t="shared" si="17"/>
      </c>
      <c r="DA842" s="3060">
        <f t="shared" si="1"/>
      </c>
      <c r="DB842" s="3060">
        <f t="shared" si="18"/>
      </c>
      <c r="DC842" s="3060">
        <f t="shared" si="19"/>
      </c>
      <c r="DD842" s="3060">
        <f t="shared" si="20"/>
      </c>
      <c r="DE842" s="3060">
        <f t="shared" si="21"/>
      </c>
      <c r="DF842" s="3060">
        <f t="shared" si="22"/>
      </c>
      <c r="DG842" s="3060">
        <f t="shared" si="23"/>
      </c>
      <c r="DH842" s="3060">
        <f t="shared" si="24"/>
      </c>
      <c r="DI842" s="3060">
        <f t="shared" si="1"/>
      </c>
    </row>
    <row r="843" ht="15" customHeight="1" s="3052" customFormat="1">
      <c r="B843" s="3054">
        <f t="shared" si="2"/>
      </c>
      <c r="C843" s="3054"/>
      <c r="D843" s="3054"/>
      <c r="E843" s="3055"/>
      <c r="F843" s="3055"/>
      <c r="G843" s="3055"/>
      <c r="H843" s="3055"/>
      <c r="I843" s="3055"/>
      <c r="J843" s="3055"/>
      <c r="K843" s="3055"/>
      <c r="L843" s="3055"/>
      <c r="M843" s="3055"/>
      <c r="N843" s="3055"/>
      <c r="O843" s="3055"/>
      <c r="P843" s="3055"/>
      <c r="Q843" s="3055"/>
      <c r="R843" s="3055">
        <f t="shared" si="3"/>
        <v>0</v>
      </c>
      <c r="S843" s="3055">
        <f t="shared" si="4"/>
        <v>0</v>
      </c>
      <c r="T843" s="3055">
        <f t="shared" si="5"/>
        <v>0</v>
      </c>
      <c r="U843" s="3055">
        <f t="shared" si="6"/>
        <v>0</v>
      </c>
      <c r="V843" s="3055">
        <f t="shared" si="7"/>
        <v>0</v>
      </c>
      <c r="W843" s="3055">
        <f t="shared" si="8"/>
        <v>0</v>
      </c>
      <c r="X843" s="3055">
        <f t="shared" si="9"/>
        <v>0</v>
      </c>
      <c r="Y843" s="3055">
        <f t="shared" si="10"/>
        <v>0</v>
      </c>
      <c r="Z843" s="3055">
        <f t="shared" si="11"/>
        <v>0</v>
      </c>
      <c r="AA843" s="3055">
        <f t="shared" si="12"/>
        <v>0</v>
      </c>
      <c r="AB843" s="3055">
        <f t="shared" si="13"/>
        <v>0</v>
      </c>
      <c r="AC843" s="3055">
        <f t="shared" si="14"/>
        <v>0</v>
      </c>
      <c r="AD843" s="3056"/>
      <c r="AE843" s="3057">
        <f t="shared" si="0"/>
      </c>
      <c r="AF843" s="3054"/>
      <c r="AG843" s="3054"/>
      <c r="AH843" s="3055"/>
      <c r="AI843" s="3055"/>
      <c r="AJ843" s="3055"/>
      <c r="AK843" s="3055"/>
      <c r="AL843" s="3055"/>
      <c r="AM843" s="3055"/>
      <c r="AN843" s="3055"/>
      <c r="AO843" s="3055"/>
      <c r="AP843" s="3055"/>
      <c r="AQ843" s="3055"/>
      <c r="AR843" s="3055"/>
      <c r="AS843" s="3055"/>
      <c r="AT843" s="3055"/>
      <c r="AU843" s="3056"/>
      <c r="AV843" s="3057">
        <f t="shared" si="15"/>
      </c>
      <c r="AW843" s="3054"/>
      <c r="AX843" s="3054"/>
      <c r="AY843" s="3055"/>
      <c r="AZ843" s="3055"/>
      <c r="BA843" s="3055"/>
      <c r="BB843" s="3055"/>
      <c r="BC843" s="3055"/>
      <c r="BD843" s="3055"/>
      <c r="BE843" s="3055"/>
      <c r="BF843" s="3055"/>
      <c r="BG843" s="3055"/>
      <c r="BH843" s="3055"/>
      <c r="BI843" s="3055"/>
      <c r="BJ843" s="3055"/>
      <c r="BK843" s="3055"/>
      <c r="BL843" s="3056"/>
      <c r="BM843" s="3057">
        <f t="shared" si="16"/>
      </c>
      <c r="BN843" s="3054"/>
      <c r="BO843" s="3054"/>
      <c r="BP843" s="3055"/>
      <c r="BQ843" s="3055"/>
      <c r="BR843" s="3055"/>
      <c r="BS843" s="3055"/>
      <c r="BT843" s="3055"/>
      <c r="BU843" s="3055"/>
      <c r="BV843" s="3055"/>
      <c r="BW843" s="3055"/>
      <c r="BX843" s="3055"/>
      <c r="BY843" s="3055"/>
      <c r="BZ843" s="3055"/>
      <c r="CA843" s="3055"/>
      <c r="CB843" s="3055"/>
      <c r="CC843" s="3056"/>
      <c r="CD843" s="3057">
        <f t="shared" si="0"/>
      </c>
      <c r="CE843" s="3054"/>
      <c r="CF843" s="3054"/>
      <c r="CG843" s="3055"/>
      <c r="CH843" s="3055"/>
      <c r="CI843" s="3055"/>
      <c r="CJ843" s="3055"/>
      <c r="CK843" s="3055"/>
      <c r="CL843" s="3055"/>
      <c r="CM843" s="3055"/>
      <c r="CN843" s="3055"/>
      <c r="CO843" s="3055"/>
      <c r="CP843" s="3055"/>
      <c r="CQ843" s="3055"/>
      <c r="CR843" s="3055"/>
      <c r="CS843" s="3055"/>
      <c r="CU843" s="3054"/>
      <c r="CV843" s="696"/>
      <c r="CW843" s="696"/>
      <c r="CZ843" s="3060">
        <f t="shared" si="17"/>
      </c>
      <c r="DA843" s="3060">
        <f t="shared" si="1"/>
      </c>
      <c r="DB843" s="3060">
        <f t="shared" si="18"/>
      </c>
      <c r="DC843" s="3060">
        <f t="shared" si="19"/>
      </c>
      <c r="DD843" s="3060">
        <f t="shared" si="20"/>
      </c>
      <c r="DE843" s="3060">
        <f t="shared" si="21"/>
      </c>
      <c r="DF843" s="3060">
        <f t="shared" si="22"/>
      </c>
      <c r="DG843" s="3060">
        <f t="shared" si="23"/>
      </c>
      <c r="DH843" s="3060">
        <f t="shared" si="24"/>
      </c>
      <c r="DI843" s="3060">
        <f t="shared" si="1"/>
      </c>
    </row>
    <row r="844" ht="15" customHeight="1" s="3052" customFormat="1">
      <c r="B844" s="3054">
        <f t="shared" si="2"/>
      </c>
      <c r="C844" s="3054"/>
      <c r="D844" s="3054"/>
      <c r="E844" s="3055"/>
      <c r="F844" s="3055"/>
      <c r="G844" s="3055"/>
      <c r="H844" s="3055"/>
      <c r="I844" s="3055"/>
      <c r="J844" s="3055"/>
      <c r="K844" s="3055"/>
      <c r="L844" s="3055"/>
      <c r="M844" s="3055"/>
      <c r="N844" s="3055"/>
      <c r="O844" s="3055"/>
      <c r="P844" s="3055"/>
      <c r="Q844" s="3055"/>
      <c r="R844" s="3055">
        <f t="shared" si="3"/>
        <v>0</v>
      </c>
      <c r="S844" s="3055">
        <f t="shared" si="4"/>
        <v>0</v>
      </c>
      <c r="T844" s="3055">
        <f t="shared" si="5"/>
        <v>0</v>
      </c>
      <c r="U844" s="3055">
        <f t="shared" si="6"/>
        <v>0</v>
      </c>
      <c r="V844" s="3055">
        <f t="shared" si="7"/>
        <v>0</v>
      </c>
      <c r="W844" s="3055">
        <f t="shared" si="8"/>
        <v>0</v>
      </c>
      <c r="X844" s="3055">
        <f t="shared" si="9"/>
        <v>0</v>
      </c>
      <c r="Y844" s="3055">
        <f t="shared" si="10"/>
        <v>0</v>
      </c>
      <c r="Z844" s="3055">
        <f t="shared" si="11"/>
        <v>0</v>
      </c>
      <c r="AA844" s="3055">
        <f t="shared" si="12"/>
        <v>0</v>
      </c>
      <c r="AB844" s="3055">
        <f t="shared" si="13"/>
        <v>0</v>
      </c>
      <c r="AC844" s="3055">
        <f t="shared" si="14"/>
        <v>0</v>
      </c>
      <c r="AD844" s="3056"/>
      <c r="AE844" s="3057">
        <f t="shared" si="0"/>
      </c>
      <c r="AF844" s="3054"/>
      <c r="AG844" s="3054"/>
      <c r="AH844" s="3055"/>
      <c r="AI844" s="3055"/>
      <c r="AJ844" s="3055"/>
      <c r="AK844" s="3055"/>
      <c r="AL844" s="3055"/>
      <c r="AM844" s="3055"/>
      <c r="AN844" s="3055"/>
      <c r="AO844" s="3055"/>
      <c r="AP844" s="3055"/>
      <c r="AQ844" s="3055"/>
      <c r="AR844" s="3055"/>
      <c r="AS844" s="3055"/>
      <c r="AT844" s="3055"/>
      <c r="AU844" s="3056"/>
      <c r="AV844" s="3057">
        <f t="shared" si="15"/>
      </c>
      <c r="AW844" s="3054"/>
      <c r="AX844" s="3054"/>
      <c r="AY844" s="3055"/>
      <c r="AZ844" s="3055"/>
      <c r="BA844" s="3055"/>
      <c r="BB844" s="3055"/>
      <c r="BC844" s="3055"/>
      <c r="BD844" s="3055"/>
      <c r="BE844" s="3055"/>
      <c r="BF844" s="3055"/>
      <c r="BG844" s="3055"/>
      <c r="BH844" s="3055"/>
      <c r="BI844" s="3055"/>
      <c r="BJ844" s="3055"/>
      <c r="BK844" s="3055"/>
      <c r="BL844" s="3056"/>
      <c r="BM844" s="3057">
        <f t="shared" si="16"/>
      </c>
      <c r="BN844" s="3054"/>
      <c r="BO844" s="3054"/>
      <c r="BP844" s="3055"/>
      <c r="BQ844" s="3055"/>
      <c r="BR844" s="3055"/>
      <c r="BS844" s="3055"/>
      <c r="BT844" s="3055"/>
      <c r="BU844" s="3055"/>
      <c r="BV844" s="3055"/>
      <c r="BW844" s="3055"/>
      <c r="BX844" s="3055"/>
      <c r="BY844" s="3055"/>
      <c r="BZ844" s="3055"/>
      <c r="CA844" s="3055"/>
      <c r="CB844" s="3055"/>
      <c r="CC844" s="3056"/>
      <c r="CD844" s="3057">
        <f t="shared" si="0"/>
      </c>
      <c r="CE844" s="3054"/>
      <c r="CF844" s="3054"/>
      <c r="CG844" s="3055"/>
      <c r="CH844" s="3055"/>
      <c r="CI844" s="3055"/>
      <c r="CJ844" s="3055"/>
      <c r="CK844" s="3055"/>
      <c r="CL844" s="3055"/>
      <c r="CM844" s="3055"/>
      <c r="CN844" s="3055"/>
      <c r="CO844" s="3055"/>
      <c r="CP844" s="3055"/>
      <c r="CQ844" s="3055"/>
      <c r="CR844" s="3055"/>
      <c r="CS844" s="3055"/>
      <c r="CU844" s="3054"/>
      <c r="CV844" s="696"/>
      <c r="CW844" s="696"/>
      <c r="CZ844" s="3060">
        <f t="shared" si="17"/>
      </c>
      <c r="DA844" s="3060">
        <f t="shared" si="1"/>
      </c>
      <c r="DB844" s="3060">
        <f t="shared" si="18"/>
      </c>
      <c r="DC844" s="3060">
        <f t="shared" si="19"/>
      </c>
      <c r="DD844" s="3060">
        <f t="shared" si="20"/>
      </c>
      <c r="DE844" s="3060">
        <f t="shared" si="21"/>
      </c>
      <c r="DF844" s="3060">
        <f t="shared" si="22"/>
      </c>
      <c r="DG844" s="3060">
        <f t="shared" si="23"/>
      </c>
      <c r="DH844" s="3060">
        <f t="shared" si="24"/>
      </c>
      <c r="DI844" s="3060">
        <f t="shared" si="1"/>
      </c>
    </row>
    <row r="845" ht="15" customHeight="1" s="3052" customFormat="1">
      <c r="B845" s="3054">
        <f t="shared" si="2"/>
      </c>
      <c r="C845" s="3054"/>
      <c r="D845" s="3054"/>
      <c r="E845" s="3055"/>
      <c r="F845" s="3055"/>
      <c r="G845" s="3055"/>
      <c r="H845" s="3055"/>
      <c r="I845" s="3055"/>
      <c r="J845" s="3055"/>
      <c r="K845" s="3055"/>
      <c r="L845" s="3055"/>
      <c r="M845" s="3055"/>
      <c r="N845" s="3055"/>
      <c r="O845" s="3055"/>
      <c r="P845" s="3055"/>
      <c r="Q845" s="3055"/>
      <c r="R845" s="3055">
        <f t="shared" si="3"/>
        <v>0</v>
      </c>
      <c r="S845" s="3055">
        <f t="shared" si="4"/>
        <v>0</v>
      </c>
      <c r="T845" s="3055">
        <f t="shared" si="5"/>
        <v>0</v>
      </c>
      <c r="U845" s="3055">
        <f t="shared" si="6"/>
        <v>0</v>
      </c>
      <c r="V845" s="3055">
        <f t="shared" si="7"/>
        <v>0</v>
      </c>
      <c r="W845" s="3055">
        <f t="shared" si="8"/>
        <v>0</v>
      </c>
      <c r="X845" s="3055">
        <f t="shared" si="9"/>
        <v>0</v>
      </c>
      <c r="Y845" s="3055">
        <f t="shared" si="10"/>
        <v>0</v>
      </c>
      <c r="Z845" s="3055">
        <f t="shared" si="11"/>
        <v>0</v>
      </c>
      <c r="AA845" s="3055">
        <f t="shared" si="12"/>
        <v>0</v>
      </c>
      <c r="AB845" s="3055">
        <f t="shared" si="13"/>
        <v>0</v>
      </c>
      <c r="AC845" s="3055">
        <f t="shared" si="14"/>
        <v>0</v>
      </c>
      <c r="AD845" s="3056"/>
      <c r="AE845" s="3057">
        <f t="shared" si="0"/>
      </c>
      <c r="AF845" s="3054"/>
      <c r="AG845" s="3054"/>
      <c r="AH845" s="3055"/>
      <c r="AI845" s="3055"/>
      <c r="AJ845" s="3055"/>
      <c r="AK845" s="3055"/>
      <c r="AL845" s="3055"/>
      <c r="AM845" s="3055"/>
      <c r="AN845" s="3055"/>
      <c r="AO845" s="3055"/>
      <c r="AP845" s="3055"/>
      <c r="AQ845" s="3055"/>
      <c r="AR845" s="3055"/>
      <c r="AS845" s="3055"/>
      <c r="AT845" s="3055"/>
      <c r="AU845" s="3056"/>
      <c r="AV845" s="3057">
        <f t="shared" si="15"/>
      </c>
      <c r="AW845" s="3054"/>
      <c r="AX845" s="3054"/>
      <c r="AY845" s="3055"/>
      <c r="AZ845" s="3055"/>
      <c r="BA845" s="3055"/>
      <c r="BB845" s="3055"/>
      <c r="BC845" s="3055"/>
      <c r="BD845" s="3055"/>
      <c r="BE845" s="3055"/>
      <c r="BF845" s="3055"/>
      <c r="BG845" s="3055"/>
      <c r="BH845" s="3055"/>
      <c r="BI845" s="3055"/>
      <c r="BJ845" s="3055"/>
      <c r="BK845" s="3055"/>
      <c r="BL845" s="3056"/>
      <c r="BM845" s="3057">
        <f t="shared" si="16"/>
      </c>
      <c r="BN845" s="3054"/>
      <c r="BO845" s="3054"/>
      <c r="BP845" s="3055"/>
      <c r="BQ845" s="3055"/>
      <c r="BR845" s="3055"/>
      <c r="BS845" s="3055"/>
      <c r="BT845" s="3055"/>
      <c r="BU845" s="3055"/>
      <c r="BV845" s="3055"/>
      <c r="BW845" s="3055"/>
      <c r="BX845" s="3055"/>
      <c r="BY845" s="3055"/>
      <c r="BZ845" s="3055"/>
      <c r="CA845" s="3055"/>
      <c r="CB845" s="3055"/>
      <c r="CC845" s="3056"/>
      <c r="CD845" s="3057">
        <f t="shared" si="0"/>
      </c>
      <c r="CE845" s="3054"/>
      <c r="CF845" s="3054"/>
      <c r="CG845" s="3055"/>
      <c r="CH845" s="3055"/>
      <c r="CI845" s="3055"/>
      <c r="CJ845" s="3055"/>
      <c r="CK845" s="3055"/>
      <c r="CL845" s="3055"/>
      <c r="CM845" s="3055"/>
      <c r="CN845" s="3055"/>
      <c r="CO845" s="3055"/>
      <c r="CP845" s="3055"/>
      <c r="CQ845" s="3055"/>
      <c r="CR845" s="3055"/>
      <c r="CS845" s="3055"/>
      <c r="CU845" s="3054"/>
      <c r="CV845" s="696"/>
      <c r="CW845" s="696"/>
      <c r="CZ845" s="3060">
        <f t="shared" si="17"/>
      </c>
      <c r="DA845" s="3060">
        <f t="shared" si="1"/>
      </c>
      <c r="DB845" s="3060">
        <f t="shared" si="18"/>
      </c>
      <c r="DC845" s="3060">
        <f t="shared" si="19"/>
      </c>
      <c r="DD845" s="3060">
        <f t="shared" si="20"/>
      </c>
      <c r="DE845" s="3060">
        <f t="shared" si="21"/>
      </c>
      <c r="DF845" s="3060">
        <f t="shared" si="22"/>
      </c>
      <c r="DG845" s="3060">
        <f t="shared" si="23"/>
      </c>
      <c r="DH845" s="3060">
        <f t="shared" si="24"/>
      </c>
      <c r="DI845" s="3060">
        <f t="shared" si="1"/>
      </c>
    </row>
    <row r="846" ht="15" customHeight="1" s="3052" customFormat="1">
      <c r="B846" s="3054">
        <f t="shared" si="2"/>
      </c>
      <c r="C846" s="3054"/>
      <c r="D846" s="3054"/>
      <c r="E846" s="3055"/>
      <c r="F846" s="3055"/>
      <c r="G846" s="3055"/>
      <c r="H846" s="3055"/>
      <c r="I846" s="3055"/>
      <c r="J846" s="3055"/>
      <c r="K846" s="3055"/>
      <c r="L846" s="3055"/>
      <c r="M846" s="3055"/>
      <c r="N846" s="3055"/>
      <c r="O846" s="3055"/>
      <c r="P846" s="3055"/>
      <c r="Q846" s="3055"/>
      <c r="R846" s="3055">
        <f t="shared" si="3"/>
        <v>0</v>
      </c>
      <c r="S846" s="3055">
        <f t="shared" si="4"/>
        <v>0</v>
      </c>
      <c r="T846" s="3055">
        <f t="shared" si="5"/>
        <v>0</v>
      </c>
      <c r="U846" s="3055">
        <f t="shared" si="6"/>
        <v>0</v>
      </c>
      <c r="V846" s="3055">
        <f t="shared" si="7"/>
        <v>0</v>
      </c>
      <c r="W846" s="3055">
        <f t="shared" si="8"/>
        <v>0</v>
      </c>
      <c r="X846" s="3055">
        <f t="shared" si="9"/>
        <v>0</v>
      </c>
      <c r="Y846" s="3055">
        <f t="shared" si="10"/>
        <v>0</v>
      </c>
      <c r="Z846" s="3055">
        <f t="shared" si="11"/>
        <v>0</v>
      </c>
      <c r="AA846" s="3055">
        <f t="shared" si="12"/>
        <v>0</v>
      </c>
      <c r="AB846" s="3055">
        <f t="shared" si="13"/>
        <v>0</v>
      </c>
      <c r="AC846" s="3055">
        <f t="shared" si="14"/>
        <v>0</v>
      </c>
      <c r="AD846" s="3056"/>
      <c r="AE846" s="3057">
        <f t="shared" si="0"/>
      </c>
      <c r="AF846" s="3054"/>
      <c r="AG846" s="3054"/>
      <c r="AH846" s="3055"/>
      <c r="AI846" s="3055"/>
      <c r="AJ846" s="3055"/>
      <c r="AK846" s="3055"/>
      <c r="AL846" s="3055"/>
      <c r="AM846" s="3055"/>
      <c r="AN846" s="3055"/>
      <c r="AO846" s="3055"/>
      <c r="AP846" s="3055"/>
      <c r="AQ846" s="3055"/>
      <c r="AR846" s="3055"/>
      <c r="AS846" s="3055"/>
      <c r="AT846" s="3055"/>
      <c r="AU846" s="3056"/>
      <c r="AV846" s="3057">
        <f t="shared" si="15"/>
      </c>
      <c r="AW846" s="3054"/>
      <c r="AX846" s="3054"/>
      <c r="AY846" s="3055"/>
      <c r="AZ846" s="3055"/>
      <c r="BA846" s="3055"/>
      <c r="BB846" s="3055"/>
      <c r="BC846" s="3055"/>
      <c r="BD846" s="3055"/>
      <c r="BE846" s="3055"/>
      <c r="BF846" s="3055"/>
      <c r="BG846" s="3055"/>
      <c r="BH846" s="3055"/>
      <c r="BI846" s="3055"/>
      <c r="BJ846" s="3055"/>
      <c r="BK846" s="3055"/>
      <c r="BL846" s="3056"/>
      <c r="BM846" s="3057">
        <f t="shared" si="16"/>
      </c>
      <c r="BN846" s="3054"/>
      <c r="BO846" s="3054"/>
      <c r="BP846" s="3055"/>
      <c r="BQ846" s="3055"/>
      <c r="BR846" s="3055"/>
      <c r="BS846" s="3055"/>
      <c r="BT846" s="3055"/>
      <c r="BU846" s="3055"/>
      <c r="BV846" s="3055"/>
      <c r="BW846" s="3055"/>
      <c r="BX846" s="3055"/>
      <c r="BY846" s="3055"/>
      <c r="BZ846" s="3055"/>
      <c r="CA846" s="3055"/>
      <c r="CB846" s="3055"/>
      <c r="CC846" s="3056"/>
      <c r="CD846" s="3057">
        <f t="shared" si="0"/>
      </c>
      <c r="CE846" s="3054"/>
      <c r="CF846" s="3054"/>
      <c r="CG846" s="3055"/>
      <c r="CH846" s="3055"/>
      <c r="CI846" s="3055"/>
      <c r="CJ846" s="3055"/>
      <c r="CK846" s="3055"/>
      <c r="CL846" s="3055"/>
      <c r="CM846" s="3055"/>
      <c r="CN846" s="3055"/>
      <c r="CO846" s="3055"/>
      <c r="CP846" s="3055"/>
      <c r="CQ846" s="3055"/>
      <c r="CR846" s="3055"/>
      <c r="CS846" s="3055"/>
      <c r="CU846" s="3054"/>
      <c r="CV846" s="696"/>
      <c r="CW846" s="696"/>
      <c r="CZ846" s="3060">
        <f t="shared" si="17"/>
      </c>
      <c r="DA846" s="3060">
        <f t="shared" si="1"/>
      </c>
      <c r="DB846" s="3060">
        <f t="shared" si="18"/>
      </c>
      <c r="DC846" s="3060">
        <f t="shared" si="19"/>
      </c>
      <c r="DD846" s="3060">
        <f t="shared" si="20"/>
      </c>
      <c r="DE846" s="3060">
        <f t="shared" si="21"/>
      </c>
      <c r="DF846" s="3060">
        <f t="shared" si="22"/>
      </c>
      <c r="DG846" s="3060">
        <f t="shared" si="23"/>
      </c>
      <c r="DH846" s="3060">
        <f t="shared" si="24"/>
      </c>
      <c r="DI846" s="3060">
        <f t="shared" si="1"/>
      </c>
    </row>
    <row r="847" ht="15" customHeight="1" s="3052" customFormat="1">
      <c r="B847" s="3054">
        <f t="shared" si="2"/>
      </c>
      <c r="C847" s="3054"/>
      <c r="D847" s="3054"/>
      <c r="E847" s="3055"/>
      <c r="F847" s="3055"/>
      <c r="G847" s="3055"/>
      <c r="H847" s="3055"/>
      <c r="I847" s="3055"/>
      <c r="J847" s="3055"/>
      <c r="K847" s="3055"/>
      <c r="L847" s="3055"/>
      <c r="M847" s="3055"/>
      <c r="N847" s="3055"/>
      <c r="O847" s="3055"/>
      <c r="P847" s="3055"/>
      <c r="Q847" s="3055"/>
      <c r="R847" s="3055">
        <f t="shared" si="3"/>
        <v>0</v>
      </c>
      <c r="S847" s="3055">
        <f t="shared" si="4"/>
        <v>0</v>
      </c>
      <c r="T847" s="3055">
        <f t="shared" si="5"/>
        <v>0</v>
      </c>
      <c r="U847" s="3055">
        <f t="shared" si="6"/>
        <v>0</v>
      </c>
      <c r="V847" s="3055">
        <f t="shared" si="7"/>
        <v>0</v>
      </c>
      <c r="W847" s="3055">
        <f t="shared" si="8"/>
        <v>0</v>
      </c>
      <c r="X847" s="3055">
        <f t="shared" si="9"/>
        <v>0</v>
      </c>
      <c r="Y847" s="3055">
        <f t="shared" si="10"/>
        <v>0</v>
      </c>
      <c r="Z847" s="3055">
        <f t="shared" si="11"/>
        <v>0</v>
      </c>
      <c r="AA847" s="3055">
        <f t="shared" si="12"/>
        <v>0</v>
      </c>
      <c r="AB847" s="3055">
        <f t="shared" si="13"/>
        <v>0</v>
      </c>
      <c r="AC847" s="3055">
        <f t="shared" si="14"/>
        <v>0</v>
      </c>
      <c r="AD847" s="3056"/>
      <c r="AE847" s="3057">
        <f t="shared" si="0"/>
      </c>
      <c r="AF847" s="3054"/>
      <c r="AG847" s="3054"/>
      <c r="AH847" s="3055"/>
      <c r="AI847" s="3055"/>
      <c r="AJ847" s="3055"/>
      <c r="AK847" s="3055"/>
      <c r="AL847" s="3055"/>
      <c r="AM847" s="3055"/>
      <c r="AN847" s="3055"/>
      <c r="AO847" s="3055"/>
      <c r="AP847" s="3055"/>
      <c r="AQ847" s="3055"/>
      <c r="AR847" s="3055"/>
      <c r="AS847" s="3055"/>
      <c r="AT847" s="3055"/>
      <c r="AU847" s="3056"/>
      <c r="AV847" s="3057">
        <f t="shared" si="15"/>
      </c>
      <c r="AW847" s="3054"/>
      <c r="AX847" s="3054"/>
      <c r="AY847" s="3055"/>
      <c r="AZ847" s="3055"/>
      <c r="BA847" s="3055"/>
      <c r="BB847" s="3055"/>
      <c r="BC847" s="3055"/>
      <c r="BD847" s="3055"/>
      <c r="BE847" s="3055"/>
      <c r="BF847" s="3055"/>
      <c r="BG847" s="3055"/>
      <c r="BH847" s="3055"/>
      <c r="BI847" s="3055"/>
      <c r="BJ847" s="3055"/>
      <c r="BK847" s="3055"/>
      <c r="BL847" s="3056"/>
      <c r="BM847" s="3057">
        <f t="shared" si="16"/>
      </c>
      <c r="BN847" s="3054"/>
      <c r="BO847" s="3054"/>
      <c r="BP847" s="3055"/>
      <c r="BQ847" s="3055"/>
      <c r="BR847" s="3055"/>
      <c r="BS847" s="3055"/>
      <c r="BT847" s="3055"/>
      <c r="BU847" s="3055"/>
      <c r="BV847" s="3055"/>
      <c r="BW847" s="3055"/>
      <c r="BX847" s="3055"/>
      <c r="BY847" s="3055"/>
      <c r="BZ847" s="3055"/>
      <c r="CA847" s="3055"/>
      <c r="CB847" s="3055"/>
      <c r="CC847" s="3056"/>
      <c r="CD847" s="3057">
        <f t="shared" si="0"/>
      </c>
      <c r="CE847" s="3054"/>
      <c r="CF847" s="3054"/>
      <c r="CG847" s="3055"/>
      <c r="CH847" s="3055"/>
      <c r="CI847" s="3055"/>
      <c r="CJ847" s="3055"/>
      <c r="CK847" s="3055"/>
      <c r="CL847" s="3055"/>
      <c r="CM847" s="3055"/>
      <c r="CN847" s="3055"/>
      <c r="CO847" s="3055"/>
      <c r="CP847" s="3055"/>
      <c r="CQ847" s="3055"/>
      <c r="CR847" s="3055"/>
      <c r="CS847" s="3055"/>
      <c r="CU847" s="3054"/>
      <c r="CV847" s="696"/>
      <c r="CW847" s="696"/>
      <c r="CZ847" s="3060">
        <f t="shared" si="17"/>
      </c>
      <c r="DA847" s="3060">
        <f t="shared" si="1"/>
      </c>
      <c r="DB847" s="3060">
        <f t="shared" si="18"/>
      </c>
      <c r="DC847" s="3060">
        <f t="shared" si="19"/>
      </c>
      <c r="DD847" s="3060">
        <f t="shared" si="20"/>
      </c>
      <c r="DE847" s="3060">
        <f t="shared" si="21"/>
      </c>
      <c r="DF847" s="3060">
        <f t="shared" si="22"/>
      </c>
      <c r="DG847" s="3060">
        <f t="shared" si="23"/>
      </c>
      <c r="DH847" s="3060">
        <f t="shared" si="24"/>
      </c>
      <c r="DI847" s="3060">
        <f t="shared" si="1"/>
      </c>
    </row>
    <row r="848" ht="15" customHeight="1" s="3052" customFormat="1">
      <c r="B848" s="3054">
        <f t="shared" si="2"/>
      </c>
      <c r="C848" s="3054"/>
      <c r="D848" s="3054"/>
      <c r="E848" s="3055"/>
      <c r="F848" s="3055"/>
      <c r="G848" s="3055"/>
      <c r="H848" s="3055"/>
      <c r="I848" s="3055"/>
      <c r="J848" s="3055"/>
      <c r="K848" s="3055"/>
      <c r="L848" s="3055"/>
      <c r="M848" s="3055"/>
      <c r="N848" s="3055"/>
      <c r="O848" s="3055"/>
      <c r="P848" s="3055"/>
      <c r="Q848" s="3055"/>
      <c r="R848" s="3055">
        <f t="shared" si="3"/>
        <v>0</v>
      </c>
      <c r="S848" s="3055">
        <f t="shared" si="4"/>
        <v>0</v>
      </c>
      <c r="T848" s="3055">
        <f t="shared" si="5"/>
        <v>0</v>
      </c>
      <c r="U848" s="3055">
        <f t="shared" si="6"/>
        <v>0</v>
      </c>
      <c r="V848" s="3055">
        <f t="shared" si="7"/>
        <v>0</v>
      </c>
      <c r="W848" s="3055">
        <f t="shared" si="8"/>
        <v>0</v>
      </c>
      <c r="X848" s="3055">
        <f t="shared" si="9"/>
        <v>0</v>
      </c>
      <c r="Y848" s="3055">
        <f t="shared" si="10"/>
        <v>0</v>
      </c>
      <c r="Z848" s="3055">
        <f t="shared" si="11"/>
        <v>0</v>
      </c>
      <c r="AA848" s="3055">
        <f t="shared" si="12"/>
        <v>0</v>
      </c>
      <c r="AB848" s="3055">
        <f t="shared" si="13"/>
        <v>0</v>
      </c>
      <c r="AC848" s="3055">
        <f t="shared" si="14"/>
        <v>0</v>
      </c>
      <c r="AD848" s="3056"/>
      <c r="AE848" s="3057">
        <f t="shared" si="0"/>
      </c>
      <c r="AF848" s="3054"/>
      <c r="AG848" s="3054"/>
      <c r="AH848" s="3055"/>
      <c r="AI848" s="3055"/>
      <c r="AJ848" s="3055"/>
      <c r="AK848" s="3055"/>
      <c r="AL848" s="3055"/>
      <c r="AM848" s="3055"/>
      <c r="AN848" s="3055"/>
      <c r="AO848" s="3055"/>
      <c r="AP848" s="3055"/>
      <c r="AQ848" s="3055"/>
      <c r="AR848" s="3055"/>
      <c r="AS848" s="3055"/>
      <c r="AT848" s="3055"/>
      <c r="AU848" s="3056"/>
      <c r="AV848" s="3057">
        <f t="shared" si="15"/>
      </c>
      <c r="AW848" s="3054"/>
      <c r="AX848" s="3054"/>
      <c r="AY848" s="3055"/>
      <c r="AZ848" s="3055"/>
      <c r="BA848" s="3055"/>
      <c r="BB848" s="3055"/>
      <c r="BC848" s="3055"/>
      <c r="BD848" s="3055"/>
      <c r="BE848" s="3055"/>
      <c r="BF848" s="3055"/>
      <c r="BG848" s="3055"/>
      <c r="BH848" s="3055"/>
      <c r="BI848" s="3055"/>
      <c r="BJ848" s="3055"/>
      <c r="BK848" s="3055"/>
      <c r="BL848" s="3056"/>
      <c r="BM848" s="3057">
        <f t="shared" si="16"/>
      </c>
      <c r="BN848" s="3054"/>
      <c r="BO848" s="3054"/>
      <c r="BP848" s="3055"/>
      <c r="BQ848" s="3055"/>
      <c r="BR848" s="3055"/>
      <c r="BS848" s="3055"/>
      <c r="BT848" s="3055"/>
      <c r="BU848" s="3055"/>
      <c r="BV848" s="3055"/>
      <c r="BW848" s="3055"/>
      <c r="BX848" s="3055"/>
      <c r="BY848" s="3055"/>
      <c r="BZ848" s="3055"/>
      <c r="CA848" s="3055"/>
      <c r="CB848" s="3055"/>
      <c r="CC848" s="3056"/>
      <c r="CD848" s="3057">
        <f t="shared" si="0"/>
      </c>
      <c r="CE848" s="3054"/>
      <c r="CF848" s="3054"/>
      <c r="CG848" s="3055"/>
      <c r="CH848" s="3055"/>
      <c r="CI848" s="3055"/>
      <c r="CJ848" s="3055"/>
      <c r="CK848" s="3055"/>
      <c r="CL848" s="3055"/>
      <c r="CM848" s="3055"/>
      <c r="CN848" s="3055"/>
      <c r="CO848" s="3055"/>
      <c r="CP848" s="3055"/>
      <c r="CQ848" s="3055"/>
      <c r="CR848" s="3055"/>
      <c r="CS848" s="3055"/>
      <c r="CU848" s="3054"/>
      <c r="CV848" s="696"/>
      <c r="CW848" s="696"/>
      <c r="CZ848" s="3060">
        <f t="shared" si="17"/>
      </c>
      <c r="DA848" s="3060">
        <f t="shared" si="1"/>
      </c>
      <c r="DB848" s="3060">
        <f t="shared" si="18"/>
      </c>
      <c r="DC848" s="3060">
        <f t="shared" si="19"/>
      </c>
      <c r="DD848" s="3060">
        <f t="shared" si="20"/>
      </c>
      <c r="DE848" s="3060">
        <f t="shared" si="21"/>
      </c>
      <c r="DF848" s="3060">
        <f t="shared" si="22"/>
      </c>
      <c r="DG848" s="3060">
        <f t="shared" si="23"/>
      </c>
      <c r="DH848" s="3060">
        <f t="shared" si="24"/>
      </c>
      <c r="DI848" s="3060">
        <f t="shared" si="1"/>
      </c>
    </row>
    <row r="849" ht="15" customHeight="1" s="3052" customFormat="1">
      <c r="B849" s="3054">
        <f t="shared" si="2"/>
      </c>
      <c r="C849" s="3054"/>
      <c r="D849" s="3054"/>
      <c r="E849" s="3055"/>
      <c r="F849" s="3055"/>
      <c r="G849" s="3055"/>
      <c r="H849" s="3055"/>
      <c r="I849" s="3055"/>
      <c r="J849" s="3055"/>
      <c r="K849" s="3055"/>
      <c r="L849" s="3055"/>
      <c r="M849" s="3055"/>
      <c r="N849" s="3055"/>
      <c r="O849" s="3055"/>
      <c r="P849" s="3055"/>
      <c r="Q849" s="3055"/>
      <c r="R849" s="3055">
        <f t="shared" si="3"/>
        <v>0</v>
      </c>
      <c r="S849" s="3055">
        <f t="shared" si="4"/>
        <v>0</v>
      </c>
      <c r="T849" s="3055">
        <f t="shared" si="5"/>
        <v>0</v>
      </c>
      <c r="U849" s="3055">
        <f t="shared" si="6"/>
        <v>0</v>
      </c>
      <c r="V849" s="3055">
        <f t="shared" si="7"/>
        <v>0</v>
      </c>
      <c r="W849" s="3055">
        <f t="shared" si="8"/>
        <v>0</v>
      </c>
      <c r="X849" s="3055">
        <f t="shared" si="9"/>
        <v>0</v>
      </c>
      <c r="Y849" s="3055">
        <f t="shared" si="10"/>
        <v>0</v>
      </c>
      <c r="Z849" s="3055">
        <f t="shared" si="11"/>
        <v>0</v>
      </c>
      <c r="AA849" s="3055">
        <f t="shared" si="12"/>
        <v>0</v>
      </c>
      <c r="AB849" s="3055">
        <f t="shared" si="13"/>
        <v>0</v>
      </c>
      <c r="AC849" s="3055">
        <f t="shared" si="14"/>
        <v>0</v>
      </c>
      <c r="AD849" s="3056"/>
      <c r="AE849" s="3057">
        <f t="shared" si="0"/>
      </c>
      <c r="AF849" s="3054"/>
      <c r="AG849" s="3054"/>
      <c r="AH849" s="3055"/>
      <c r="AI849" s="3055"/>
      <c r="AJ849" s="3055"/>
      <c r="AK849" s="3055"/>
      <c r="AL849" s="3055"/>
      <c r="AM849" s="3055"/>
      <c r="AN849" s="3055"/>
      <c r="AO849" s="3055"/>
      <c r="AP849" s="3055"/>
      <c r="AQ849" s="3055"/>
      <c r="AR849" s="3055"/>
      <c r="AS849" s="3055"/>
      <c r="AT849" s="3055"/>
      <c r="AU849" s="3056"/>
      <c r="AV849" s="3057">
        <f t="shared" si="15"/>
      </c>
      <c r="AW849" s="3054"/>
      <c r="AX849" s="3054"/>
      <c r="AY849" s="3055"/>
      <c r="AZ849" s="3055"/>
      <c r="BA849" s="3055"/>
      <c r="BB849" s="3055"/>
      <c r="BC849" s="3055"/>
      <c r="BD849" s="3055"/>
      <c r="BE849" s="3055"/>
      <c r="BF849" s="3055"/>
      <c r="BG849" s="3055"/>
      <c r="BH849" s="3055"/>
      <c r="BI849" s="3055"/>
      <c r="BJ849" s="3055"/>
      <c r="BK849" s="3055"/>
      <c r="BL849" s="3056"/>
      <c r="BM849" s="3057">
        <f t="shared" si="16"/>
      </c>
      <c r="BN849" s="3054"/>
      <c r="BO849" s="3054"/>
      <c r="BP849" s="3055"/>
      <c r="BQ849" s="3055"/>
      <c r="BR849" s="3055"/>
      <c r="BS849" s="3055"/>
      <c r="BT849" s="3055"/>
      <c r="BU849" s="3055"/>
      <c r="BV849" s="3055"/>
      <c r="BW849" s="3055"/>
      <c r="BX849" s="3055"/>
      <c r="BY849" s="3055"/>
      <c r="BZ849" s="3055"/>
      <c r="CA849" s="3055"/>
      <c r="CB849" s="3055"/>
      <c r="CC849" s="3056"/>
      <c r="CD849" s="3057">
        <f t="shared" si="0"/>
      </c>
      <c r="CE849" s="3054"/>
      <c r="CF849" s="3054"/>
      <c r="CG849" s="3055"/>
      <c r="CH849" s="3055"/>
      <c r="CI849" s="3055"/>
      <c r="CJ849" s="3055"/>
      <c r="CK849" s="3055"/>
      <c r="CL849" s="3055"/>
      <c r="CM849" s="3055"/>
      <c r="CN849" s="3055"/>
      <c r="CO849" s="3055"/>
      <c r="CP849" s="3055"/>
      <c r="CQ849" s="3055"/>
      <c r="CR849" s="3055"/>
      <c r="CS849" s="3055"/>
      <c r="CU849" s="3054"/>
      <c r="CV849" s="696"/>
      <c r="CW849" s="696"/>
      <c r="CZ849" s="3060">
        <f t="shared" si="17"/>
      </c>
      <c r="DA849" s="3060">
        <f t="shared" si="1"/>
      </c>
      <c r="DB849" s="3060">
        <f t="shared" si="18"/>
      </c>
      <c r="DC849" s="3060">
        <f t="shared" si="19"/>
      </c>
      <c r="DD849" s="3060">
        <f t="shared" si="20"/>
      </c>
      <c r="DE849" s="3060">
        <f t="shared" si="21"/>
      </c>
      <c r="DF849" s="3060">
        <f t="shared" si="22"/>
      </c>
      <c r="DG849" s="3060">
        <f t="shared" si="23"/>
      </c>
      <c r="DH849" s="3060">
        <f t="shared" si="24"/>
      </c>
      <c r="DI849" s="3060">
        <f t="shared" si="1"/>
      </c>
    </row>
    <row r="850" ht="15" customHeight="1" s="3052" customFormat="1">
      <c r="B850" s="3054">
        <f t="shared" si="2"/>
      </c>
      <c r="C850" s="3054"/>
      <c r="D850" s="3054"/>
      <c r="E850" s="3055"/>
      <c r="F850" s="3055"/>
      <c r="G850" s="3055"/>
      <c r="H850" s="3055"/>
      <c r="I850" s="3055"/>
      <c r="J850" s="3055"/>
      <c r="K850" s="3055"/>
      <c r="L850" s="3055"/>
      <c r="M850" s="3055"/>
      <c r="N850" s="3055"/>
      <c r="O850" s="3055"/>
      <c r="P850" s="3055"/>
      <c r="Q850" s="3055"/>
      <c r="R850" s="3055">
        <f t="shared" si="3"/>
        <v>0</v>
      </c>
      <c r="S850" s="3055">
        <f t="shared" si="4"/>
        <v>0</v>
      </c>
      <c r="T850" s="3055">
        <f t="shared" si="5"/>
        <v>0</v>
      </c>
      <c r="U850" s="3055">
        <f t="shared" si="6"/>
        <v>0</v>
      </c>
      <c r="V850" s="3055">
        <f t="shared" si="7"/>
        <v>0</v>
      </c>
      <c r="W850" s="3055">
        <f t="shared" si="8"/>
        <v>0</v>
      </c>
      <c r="X850" s="3055">
        <f t="shared" si="9"/>
        <v>0</v>
      </c>
      <c r="Y850" s="3055">
        <f t="shared" si="10"/>
        <v>0</v>
      </c>
      <c r="Z850" s="3055">
        <f t="shared" si="11"/>
        <v>0</v>
      </c>
      <c r="AA850" s="3055">
        <f t="shared" si="12"/>
        <v>0</v>
      </c>
      <c r="AB850" s="3055">
        <f t="shared" si="13"/>
        <v>0</v>
      </c>
      <c r="AC850" s="3055">
        <f t="shared" si="14"/>
        <v>0</v>
      </c>
      <c r="AD850" s="3056"/>
      <c r="AE850" s="3057">
        <f t="shared" si="0"/>
      </c>
      <c r="AF850" s="3054"/>
      <c r="AG850" s="3054"/>
      <c r="AH850" s="3055"/>
      <c r="AI850" s="3055"/>
      <c r="AJ850" s="3055"/>
      <c r="AK850" s="3055"/>
      <c r="AL850" s="3055"/>
      <c r="AM850" s="3055"/>
      <c r="AN850" s="3055"/>
      <c r="AO850" s="3055"/>
      <c r="AP850" s="3055"/>
      <c r="AQ850" s="3055"/>
      <c r="AR850" s="3055"/>
      <c r="AS850" s="3055"/>
      <c r="AT850" s="3055"/>
      <c r="AU850" s="3056"/>
      <c r="AV850" s="3057">
        <f t="shared" si="15"/>
      </c>
      <c r="AW850" s="3054"/>
      <c r="AX850" s="3054"/>
      <c r="AY850" s="3055"/>
      <c r="AZ850" s="3055"/>
      <c r="BA850" s="3055"/>
      <c r="BB850" s="3055"/>
      <c r="BC850" s="3055"/>
      <c r="BD850" s="3055"/>
      <c r="BE850" s="3055"/>
      <c r="BF850" s="3055"/>
      <c r="BG850" s="3055"/>
      <c r="BH850" s="3055"/>
      <c r="BI850" s="3055"/>
      <c r="BJ850" s="3055"/>
      <c r="BK850" s="3055"/>
      <c r="BL850" s="3056"/>
      <c r="BM850" s="3057">
        <f t="shared" si="16"/>
      </c>
      <c r="BN850" s="3054"/>
      <c r="BO850" s="3054"/>
      <c r="BP850" s="3055"/>
      <c r="BQ850" s="3055"/>
      <c r="BR850" s="3055"/>
      <c r="BS850" s="3055"/>
      <c r="BT850" s="3055"/>
      <c r="BU850" s="3055"/>
      <c r="BV850" s="3055"/>
      <c r="BW850" s="3055"/>
      <c r="BX850" s="3055"/>
      <c r="BY850" s="3055"/>
      <c r="BZ850" s="3055"/>
      <c r="CA850" s="3055"/>
      <c r="CB850" s="3055"/>
      <c r="CC850" s="3056"/>
      <c r="CD850" s="3057">
        <f t="shared" si="0"/>
      </c>
      <c r="CE850" s="3054"/>
      <c r="CF850" s="3054"/>
      <c r="CG850" s="3055"/>
      <c r="CH850" s="3055"/>
      <c r="CI850" s="3055"/>
      <c r="CJ850" s="3055"/>
      <c r="CK850" s="3055"/>
      <c r="CL850" s="3055"/>
      <c r="CM850" s="3055"/>
      <c r="CN850" s="3055"/>
      <c r="CO850" s="3055"/>
      <c r="CP850" s="3055"/>
      <c r="CQ850" s="3055"/>
      <c r="CR850" s="3055"/>
      <c r="CS850" s="3055"/>
      <c r="CU850" s="3054"/>
      <c r="CV850" s="696"/>
      <c r="CW850" s="696"/>
      <c r="CZ850" s="3060">
        <f t="shared" si="17"/>
      </c>
      <c r="DA850" s="3060">
        <f t="shared" si="1"/>
      </c>
      <c r="DB850" s="3060">
        <f t="shared" si="18"/>
      </c>
      <c r="DC850" s="3060">
        <f t="shared" si="19"/>
      </c>
      <c r="DD850" s="3060">
        <f t="shared" si="20"/>
      </c>
      <c r="DE850" s="3060">
        <f t="shared" si="21"/>
      </c>
      <c r="DF850" s="3060">
        <f t="shared" si="22"/>
      </c>
      <c r="DG850" s="3060">
        <f t="shared" si="23"/>
      </c>
      <c r="DH850" s="3060">
        <f t="shared" si="24"/>
      </c>
      <c r="DI850" s="3060">
        <f t="shared" si="1"/>
      </c>
    </row>
    <row r="851" ht="15" customHeight="1" s="3052" customFormat="1">
      <c r="B851" s="3054">
        <f t="shared" si="2"/>
      </c>
      <c r="C851" s="3054"/>
      <c r="D851" s="3054"/>
      <c r="E851" s="3055"/>
      <c r="F851" s="3055"/>
      <c r="G851" s="3055"/>
      <c r="H851" s="3055"/>
      <c r="I851" s="3055"/>
      <c r="J851" s="3055"/>
      <c r="K851" s="3055"/>
      <c r="L851" s="3055"/>
      <c r="M851" s="3055"/>
      <c r="N851" s="3055"/>
      <c r="O851" s="3055"/>
      <c r="P851" s="3055"/>
      <c r="Q851" s="3055"/>
      <c r="R851" s="3055">
        <f t="shared" si="3"/>
        <v>0</v>
      </c>
      <c r="S851" s="3055">
        <f t="shared" si="4"/>
        <v>0</v>
      </c>
      <c r="T851" s="3055">
        <f t="shared" si="5"/>
        <v>0</v>
      </c>
      <c r="U851" s="3055">
        <f t="shared" si="6"/>
        <v>0</v>
      </c>
      <c r="V851" s="3055">
        <f t="shared" si="7"/>
        <v>0</v>
      </c>
      <c r="W851" s="3055">
        <f t="shared" si="8"/>
        <v>0</v>
      </c>
      <c r="X851" s="3055">
        <f t="shared" si="9"/>
        <v>0</v>
      </c>
      <c r="Y851" s="3055">
        <f t="shared" si="10"/>
        <v>0</v>
      </c>
      <c r="Z851" s="3055">
        <f t="shared" si="11"/>
        <v>0</v>
      </c>
      <c r="AA851" s="3055">
        <f t="shared" si="12"/>
        <v>0</v>
      </c>
      <c r="AB851" s="3055">
        <f t="shared" si="13"/>
        <v>0</v>
      </c>
      <c r="AC851" s="3055">
        <f t="shared" si="14"/>
        <v>0</v>
      </c>
      <c r="AD851" s="3056"/>
      <c r="AE851" s="3057">
        <f t="shared" si="0"/>
      </c>
      <c r="AF851" s="3054"/>
      <c r="AG851" s="3054"/>
      <c r="AH851" s="3055"/>
      <c r="AI851" s="3055"/>
      <c r="AJ851" s="3055"/>
      <c r="AK851" s="3055"/>
      <c r="AL851" s="3055"/>
      <c r="AM851" s="3055"/>
      <c r="AN851" s="3055"/>
      <c r="AO851" s="3055"/>
      <c r="AP851" s="3055"/>
      <c r="AQ851" s="3055"/>
      <c r="AR851" s="3055"/>
      <c r="AS851" s="3055"/>
      <c r="AT851" s="3055"/>
      <c r="AU851" s="3056"/>
      <c r="AV851" s="3057">
        <f t="shared" si="15"/>
      </c>
      <c r="AW851" s="3054"/>
      <c r="AX851" s="3054"/>
      <c r="AY851" s="3055"/>
      <c r="AZ851" s="3055"/>
      <c r="BA851" s="3055"/>
      <c r="BB851" s="3055"/>
      <c r="BC851" s="3055"/>
      <c r="BD851" s="3055"/>
      <c r="BE851" s="3055"/>
      <c r="BF851" s="3055"/>
      <c r="BG851" s="3055"/>
      <c r="BH851" s="3055"/>
      <c r="BI851" s="3055"/>
      <c r="BJ851" s="3055"/>
      <c r="BK851" s="3055"/>
      <c r="BL851" s="3056"/>
      <c r="BM851" s="3057">
        <f t="shared" si="16"/>
      </c>
      <c r="BN851" s="3054"/>
      <c r="BO851" s="3054"/>
      <c r="BP851" s="3055"/>
      <c r="BQ851" s="3055"/>
      <c r="BR851" s="3055"/>
      <c r="BS851" s="3055"/>
      <c r="BT851" s="3055"/>
      <c r="BU851" s="3055"/>
      <c r="BV851" s="3055"/>
      <c r="BW851" s="3055"/>
      <c r="BX851" s="3055"/>
      <c r="BY851" s="3055"/>
      <c r="BZ851" s="3055"/>
      <c r="CA851" s="3055"/>
      <c r="CB851" s="3055"/>
      <c r="CC851" s="3056"/>
      <c r="CD851" s="3057">
        <f t="shared" si="0"/>
      </c>
      <c r="CE851" s="3054"/>
      <c r="CF851" s="3054"/>
      <c r="CG851" s="3055"/>
      <c r="CH851" s="3055"/>
      <c r="CI851" s="3055"/>
      <c r="CJ851" s="3055"/>
      <c r="CK851" s="3055"/>
      <c r="CL851" s="3055"/>
      <c r="CM851" s="3055"/>
      <c r="CN851" s="3055"/>
      <c r="CO851" s="3055"/>
      <c r="CP851" s="3055"/>
      <c r="CQ851" s="3055"/>
      <c r="CR851" s="3055"/>
      <c r="CS851" s="3055"/>
      <c r="CU851" s="3054"/>
      <c r="CV851" s="696"/>
      <c r="CW851" s="696"/>
      <c r="CZ851" s="3060">
        <f t="shared" si="17"/>
      </c>
      <c r="DA851" s="3060">
        <f t="shared" si="1"/>
      </c>
      <c r="DB851" s="3060">
        <f t="shared" si="18"/>
      </c>
      <c r="DC851" s="3060">
        <f t="shared" si="19"/>
      </c>
      <c r="DD851" s="3060">
        <f t="shared" si="20"/>
      </c>
      <c r="DE851" s="3060">
        <f t="shared" si="21"/>
      </c>
      <c r="DF851" s="3060">
        <f t="shared" si="22"/>
      </c>
      <c r="DG851" s="3060">
        <f t="shared" si="23"/>
      </c>
      <c r="DH851" s="3060">
        <f t="shared" si="24"/>
      </c>
      <c r="DI851" s="3060">
        <f t="shared" si="1"/>
      </c>
    </row>
    <row r="852" ht="15" customHeight="1" s="3052" customFormat="1">
      <c r="B852" s="3054">
        <f t="shared" si="2"/>
      </c>
      <c r="C852" s="3054"/>
      <c r="D852" s="3054"/>
      <c r="E852" s="3055"/>
      <c r="F852" s="3055"/>
      <c r="G852" s="3055"/>
      <c r="H852" s="3055"/>
      <c r="I852" s="3055"/>
      <c r="J852" s="3055"/>
      <c r="K852" s="3055"/>
      <c r="L852" s="3055"/>
      <c r="M852" s="3055"/>
      <c r="N852" s="3055"/>
      <c r="O852" s="3055"/>
      <c r="P852" s="3055"/>
      <c r="Q852" s="3055"/>
      <c r="R852" s="3055">
        <f t="shared" si="3"/>
        <v>0</v>
      </c>
      <c r="S852" s="3055">
        <f t="shared" si="4"/>
        <v>0</v>
      </c>
      <c r="T852" s="3055">
        <f t="shared" si="5"/>
        <v>0</v>
      </c>
      <c r="U852" s="3055">
        <f t="shared" si="6"/>
        <v>0</v>
      </c>
      <c r="V852" s="3055">
        <f t="shared" si="7"/>
        <v>0</v>
      </c>
      <c r="W852" s="3055">
        <f t="shared" si="8"/>
        <v>0</v>
      </c>
      <c r="X852" s="3055">
        <f t="shared" si="9"/>
        <v>0</v>
      </c>
      <c r="Y852" s="3055">
        <f t="shared" si="10"/>
        <v>0</v>
      </c>
      <c r="Z852" s="3055">
        <f t="shared" si="11"/>
        <v>0</v>
      </c>
      <c r="AA852" s="3055">
        <f t="shared" si="12"/>
        <v>0</v>
      </c>
      <c r="AB852" s="3055">
        <f t="shared" si="13"/>
        <v>0</v>
      </c>
      <c r="AC852" s="3055">
        <f t="shared" si="14"/>
        <v>0</v>
      </c>
      <c r="AD852" s="3056"/>
      <c r="AE852" s="3057">
        <f t="shared" si="0"/>
      </c>
      <c r="AF852" s="3054"/>
      <c r="AG852" s="3054"/>
      <c r="AH852" s="3055"/>
      <c r="AI852" s="3055"/>
      <c r="AJ852" s="3055"/>
      <c r="AK852" s="3055"/>
      <c r="AL852" s="3055"/>
      <c r="AM852" s="3055"/>
      <c r="AN852" s="3055"/>
      <c r="AO852" s="3055"/>
      <c r="AP852" s="3055"/>
      <c r="AQ852" s="3055"/>
      <c r="AR852" s="3055"/>
      <c r="AS852" s="3055"/>
      <c r="AT852" s="3055"/>
      <c r="AU852" s="3056"/>
      <c r="AV852" s="3057">
        <f t="shared" si="15"/>
      </c>
      <c r="AW852" s="3054"/>
      <c r="AX852" s="3054"/>
      <c r="AY852" s="3055"/>
      <c r="AZ852" s="3055"/>
      <c r="BA852" s="3055"/>
      <c r="BB852" s="3055"/>
      <c r="BC852" s="3055"/>
      <c r="BD852" s="3055"/>
      <c r="BE852" s="3055"/>
      <c r="BF852" s="3055"/>
      <c r="BG852" s="3055"/>
      <c r="BH852" s="3055"/>
      <c r="BI852" s="3055"/>
      <c r="BJ852" s="3055"/>
      <c r="BK852" s="3055"/>
      <c r="BL852" s="3056"/>
      <c r="BM852" s="3057">
        <f t="shared" si="16"/>
      </c>
      <c r="BN852" s="3054"/>
      <c r="BO852" s="3054"/>
      <c r="BP852" s="3055"/>
      <c r="BQ852" s="3055"/>
      <c r="BR852" s="3055"/>
      <c r="BS852" s="3055"/>
      <c r="BT852" s="3055"/>
      <c r="BU852" s="3055"/>
      <c r="BV852" s="3055"/>
      <c r="BW852" s="3055"/>
      <c r="BX852" s="3055"/>
      <c r="BY852" s="3055"/>
      <c r="BZ852" s="3055"/>
      <c r="CA852" s="3055"/>
      <c r="CB852" s="3055"/>
      <c r="CC852" s="3056"/>
      <c r="CD852" s="3057">
        <f t="shared" si="0"/>
      </c>
      <c r="CE852" s="3054"/>
      <c r="CF852" s="3054"/>
      <c r="CG852" s="3055"/>
      <c r="CH852" s="3055"/>
      <c r="CI852" s="3055"/>
      <c r="CJ852" s="3055"/>
      <c r="CK852" s="3055"/>
      <c r="CL852" s="3055"/>
      <c r="CM852" s="3055"/>
      <c r="CN852" s="3055"/>
      <c r="CO852" s="3055"/>
      <c r="CP852" s="3055"/>
      <c r="CQ852" s="3055"/>
      <c r="CR852" s="3055"/>
      <c r="CS852" s="3055"/>
      <c r="CU852" s="3054"/>
      <c r="CV852" s="696"/>
      <c r="CW852" s="696"/>
      <c r="CZ852" s="3060">
        <f t="shared" si="17"/>
      </c>
      <c r="DA852" s="3060">
        <f t="shared" si="1"/>
      </c>
      <c r="DB852" s="3060">
        <f t="shared" si="18"/>
      </c>
      <c r="DC852" s="3060">
        <f t="shared" si="19"/>
      </c>
      <c r="DD852" s="3060">
        <f t="shared" si="20"/>
      </c>
      <c r="DE852" s="3060">
        <f t="shared" si="21"/>
      </c>
      <c r="DF852" s="3060">
        <f t="shared" si="22"/>
      </c>
      <c r="DG852" s="3060">
        <f t="shared" si="23"/>
      </c>
      <c r="DH852" s="3060">
        <f t="shared" si="24"/>
      </c>
      <c r="DI852" s="3060">
        <f t="shared" si="1"/>
      </c>
    </row>
    <row r="853" ht="15" customHeight="1" s="3052" customFormat="1">
      <c r="B853" s="3054">
        <f t="shared" si="2"/>
      </c>
      <c r="C853" s="3054"/>
      <c r="D853" s="3054"/>
      <c r="E853" s="3055"/>
      <c r="F853" s="3055"/>
      <c r="G853" s="3055"/>
      <c r="H853" s="3055"/>
      <c r="I853" s="3055"/>
      <c r="J853" s="3055"/>
      <c r="K853" s="3055"/>
      <c r="L853" s="3055"/>
      <c r="M853" s="3055"/>
      <c r="N853" s="3055"/>
      <c r="O853" s="3055"/>
      <c r="P853" s="3055"/>
      <c r="Q853" s="3055"/>
      <c r="R853" s="3055">
        <f t="shared" si="3"/>
        <v>0</v>
      </c>
      <c r="S853" s="3055">
        <f t="shared" si="4"/>
        <v>0</v>
      </c>
      <c r="T853" s="3055">
        <f t="shared" si="5"/>
        <v>0</v>
      </c>
      <c r="U853" s="3055">
        <f t="shared" si="6"/>
        <v>0</v>
      </c>
      <c r="V853" s="3055">
        <f t="shared" si="7"/>
        <v>0</v>
      </c>
      <c r="W853" s="3055">
        <f t="shared" si="8"/>
        <v>0</v>
      </c>
      <c r="X853" s="3055">
        <f t="shared" si="9"/>
        <v>0</v>
      </c>
      <c r="Y853" s="3055">
        <f t="shared" si="10"/>
        <v>0</v>
      </c>
      <c r="Z853" s="3055">
        <f t="shared" si="11"/>
        <v>0</v>
      </c>
      <c r="AA853" s="3055">
        <f t="shared" si="12"/>
        <v>0</v>
      </c>
      <c r="AB853" s="3055">
        <f t="shared" si="13"/>
        <v>0</v>
      </c>
      <c r="AC853" s="3055">
        <f t="shared" si="14"/>
        <v>0</v>
      </c>
      <c r="AD853" s="3056"/>
      <c r="AE853" s="3057">
        <f t="shared" si="0"/>
      </c>
      <c r="AF853" s="3054"/>
      <c r="AG853" s="3054"/>
      <c r="AH853" s="3055"/>
      <c r="AI853" s="3055"/>
      <c r="AJ853" s="3055"/>
      <c r="AK853" s="3055"/>
      <c r="AL853" s="3055"/>
      <c r="AM853" s="3055"/>
      <c r="AN853" s="3055"/>
      <c r="AO853" s="3055"/>
      <c r="AP853" s="3055"/>
      <c r="AQ853" s="3055"/>
      <c r="AR853" s="3055"/>
      <c r="AS853" s="3055"/>
      <c r="AT853" s="3055"/>
      <c r="AU853" s="3056"/>
      <c r="AV853" s="3057">
        <f t="shared" si="15"/>
      </c>
      <c r="AW853" s="3054"/>
      <c r="AX853" s="3054"/>
      <c r="AY853" s="3055"/>
      <c r="AZ853" s="3055"/>
      <c r="BA853" s="3055"/>
      <c r="BB853" s="3055"/>
      <c r="BC853" s="3055"/>
      <c r="BD853" s="3055"/>
      <c r="BE853" s="3055"/>
      <c r="BF853" s="3055"/>
      <c r="BG853" s="3055"/>
      <c r="BH853" s="3055"/>
      <c r="BI853" s="3055"/>
      <c r="BJ853" s="3055"/>
      <c r="BK853" s="3055"/>
      <c r="BL853" s="3056"/>
      <c r="BM853" s="3057">
        <f t="shared" si="16"/>
      </c>
      <c r="BN853" s="3054"/>
      <c r="BO853" s="3054"/>
      <c r="BP853" s="3055"/>
      <c r="BQ853" s="3055"/>
      <c r="BR853" s="3055"/>
      <c r="BS853" s="3055"/>
      <c r="BT853" s="3055"/>
      <c r="BU853" s="3055"/>
      <c r="BV853" s="3055"/>
      <c r="BW853" s="3055"/>
      <c r="BX853" s="3055"/>
      <c r="BY853" s="3055"/>
      <c r="BZ853" s="3055"/>
      <c r="CA853" s="3055"/>
      <c r="CB853" s="3055"/>
      <c r="CC853" s="3056"/>
      <c r="CD853" s="3057">
        <f t="shared" si="0"/>
      </c>
      <c r="CE853" s="3054"/>
      <c r="CF853" s="3054"/>
      <c r="CG853" s="3055"/>
      <c r="CH853" s="3055"/>
      <c r="CI853" s="3055"/>
      <c r="CJ853" s="3055"/>
      <c r="CK853" s="3055"/>
      <c r="CL853" s="3055"/>
      <c r="CM853" s="3055"/>
      <c r="CN853" s="3055"/>
      <c r="CO853" s="3055"/>
      <c r="CP853" s="3055"/>
      <c r="CQ853" s="3055"/>
      <c r="CR853" s="3055"/>
      <c r="CS853" s="3055"/>
      <c r="CU853" s="3054"/>
      <c r="CV853" s="696"/>
      <c r="CW853" s="696"/>
      <c r="CZ853" s="3060">
        <f t="shared" si="17"/>
      </c>
      <c r="DA853" s="3060">
        <f t="shared" si="1"/>
      </c>
      <c r="DB853" s="3060">
        <f t="shared" si="18"/>
      </c>
      <c r="DC853" s="3060">
        <f t="shared" si="19"/>
      </c>
      <c r="DD853" s="3060">
        <f t="shared" si="20"/>
      </c>
      <c r="DE853" s="3060">
        <f t="shared" si="21"/>
      </c>
      <c r="DF853" s="3060">
        <f t="shared" si="22"/>
      </c>
      <c r="DG853" s="3060">
        <f t="shared" si="23"/>
      </c>
      <c r="DH853" s="3060">
        <f t="shared" si="24"/>
      </c>
      <c r="DI853" s="3060">
        <f t="shared" si="1"/>
      </c>
    </row>
    <row r="854" ht="15" customHeight="1" s="3052" customFormat="1">
      <c r="B854" s="3054">
        <f t="shared" si="2"/>
      </c>
      <c r="C854" s="3054"/>
      <c r="D854" s="3054"/>
      <c r="E854" s="3055"/>
      <c r="F854" s="3055"/>
      <c r="G854" s="3055"/>
      <c r="H854" s="3055"/>
      <c r="I854" s="3055"/>
      <c r="J854" s="3055"/>
      <c r="K854" s="3055"/>
      <c r="L854" s="3055"/>
      <c r="M854" s="3055"/>
      <c r="N854" s="3055"/>
      <c r="O854" s="3055"/>
      <c r="P854" s="3055"/>
      <c r="Q854" s="3055"/>
      <c r="R854" s="3055">
        <f t="shared" si="3"/>
        <v>0</v>
      </c>
      <c r="S854" s="3055">
        <f t="shared" si="4"/>
        <v>0</v>
      </c>
      <c r="T854" s="3055">
        <f t="shared" si="5"/>
        <v>0</v>
      </c>
      <c r="U854" s="3055">
        <f t="shared" si="6"/>
        <v>0</v>
      </c>
      <c r="V854" s="3055">
        <f t="shared" si="7"/>
        <v>0</v>
      </c>
      <c r="W854" s="3055">
        <f t="shared" si="8"/>
        <v>0</v>
      </c>
      <c r="X854" s="3055">
        <f t="shared" si="9"/>
        <v>0</v>
      </c>
      <c r="Y854" s="3055">
        <f t="shared" si="10"/>
        <v>0</v>
      </c>
      <c r="Z854" s="3055">
        <f t="shared" si="11"/>
        <v>0</v>
      </c>
      <c r="AA854" s="3055">
        <f t="shared" si="12"/>
        <v>0</v>
      </c>
      <c r="AB854" s="3055">
        <f t="shared" si="13"/>
        <v>0</v>
      </c>
      <c r="AC854" s="3055">
        <f t="shared" si="14"/>
        <v>0</v>
      </c>
      <c r="AD854" s="3056"/>
      <c r="AE854" s="3057">
        <f t="shared" si="0"/>
      </c>
      <c r="AF854" s="3054"/>
      <c r="AG854" s="3054"/>
      <c r="AH854" s="3055"/>
      <c r="AI854" s="3055"/>
      <c r="AJ854" s="3055"/>
      <c r="AK854" s="3055"/>
      <c r="AL854" s="3055"/>
      <c r="AM854" s="3055"/>
      <c r="AN854" s="3055"/>
      <c r="AO854" s="3055"/>
      <c r="AP854" s="3055"/>
      <c r="AQ854" s="3055"/>
      <c r="AR854" s="3055"/>
      <c r="AS854" s="3055"/>
      <c r="AT854" s="3055"/>
      <c r="AU854" s="3056"/>
      <c r="AV854" s="3057">
        <f t="shared" si="15"/>
      </c>
      <c r="AW854" s="3054"/>
      <c r="AX854" s="3054"/>
      <c r="AY854" s="3055"/>
      <c r="AZ854" s="3055"/>
      <c r="BA854" s="3055"/>
      <c r="BB854" s="3055"/>
      <c r="BC854" s="3055"/>
      <c r="BD854" s="3055"/>
      <c r="BE854" s="3055"/>
      <c r="BF854" s="3055"/>
      <c r="BG854" s="3055"/>
      <c r="BH854" s="3055"/>
      <c r="BI854" s="3055"/>
      <c r="BJ854" s="3055"/>
      <c r="BK854" s="3055"/>
      <c r="BL854" s="3056"/>
      <c r="BM854" s="3057">
        <f t="shared" si="16"/>
      </c>
      <c r="BN854" s="3054"/>
      <c r="BO854" s="3054"/>
      <c r="BP854" s="3055"/>
      <c r="BQ854" s="3055"/>
      <c r="BR854" s="3055"/>
      <c r="BS854" s="3055"/>
      <c r="BT854" s="3055"/>
      <c r="BU854" s="3055"/>
      <c r="BV854" s="3055"/>
      <c r="BW854" s="3055"/>
      <c r="BX854" s="3055"/>
      <c r="BY854" s="3055"/>
      <c r="BZ854" s="3055"/>
      <c r="CA854" s="3055"/>
      <c r="CB854" s="3055"/>
      <c r="CC854" s="3056"/>
      <c r="CD854" s="3057">
        <f t="shared" si="0"/>
      </c>
      <c r="CE854" s="3054"/>
      <c r="CF854" s="3054"/>
      <c r="CG854" s="3055"/>
      <c r="CH854" s="3055"/>
      <c r="CI854" s="3055"/>
      <c r="CJ854" s="3055"/>
      <c r="CK854" s="3055"/>
      <c r="CL854" s="3055"/>
      <c r="CM854" s="3055"/>
      <c r="CN854" s="3055"/>
      <c r="CO854" s="3055"/>
      <c r="CP854" s="3055"/>
      <c r="CQ854" s="3055"/>
      <c r="CR854" s="3055"/>
      <c r="CS854" s="3055"/>
      <c r="CU854" s="3054"/>
      <c r="CV854" s="696"/>
      <c r="CW854" s="696"/>
      <c r="CZ854" s="3060">
        <f t="shared" si="17"/>
      </c>
      <c r="DA854" s="3060">
        <f t="shared" si="1"/>
      </c>
      <c r="DB854" s="3060">
        <f t="shared" si="18"/>
      </c>
      <c r="DC854" s="3060">
        <f t="shared" si="19"/>
      </c>
      <c r="DD854" s="3060">
        <f t="shared" si="20"/>
      </c>
      <c r="DE854" s="3060">
        <f t="shared" si="21"/>
      </c>
      <c r="DF854" s="3060">
        <f t="shared" si="22"/>
      </c>
      <c r="DG854" s="3060">
        <f t="shared" si="23"/>
      </c>
      <c r="DH854" s="3060">
        <f t="shared" si="24"/>
      </c>
      <c r="DI854" s="3060">
        <f t="shared" si="1"/>
      </c>
    </row>
    <row r="855" ht="15" customHeight="1" s="3052" customFormat="1">
      <c r="B855" s="3054">
        <f t="shared" si="2"/>
      </c>
      <c r="C855" s="3054"/>
      <c r="D855" s="3054"/>
      <c r="E855" s="3055"/>
      <c r="F855" s="3055"/>
      <c r="G855" s="3055"/>
      <c r="H855" s="3055"/>
      <c r="I855" s="3055"/>
      <c r="J855" s="3055"/>
      <c r="K855" s="3055"/>
      <c r="L855" s="3055"/>
      <c r="M855" s="3055"/>
      <c r="N855" s="3055"/>
      <c r="O855" s="3055"/>
      <c r="P855" s="3055"/>
      <c r="Q855" s="3055"/>
      <c r="R855" s="3055">
        <f t="shared" si="3"/>
        <v>0</v>
      </c>
      <c r="S855" s="3055">
        <f t="shared" si="4"/>
        <v>0</v>
      </c>
      <c r="T855" s="3055">
        <f t="shared" si="5"/>
        <v>0</v>
      </c>
      <c r="U855" s="3055">
        <f t="shared" si="6"/>
        <v>0</v>
      </c>
      <c r="V855" s="3055">
        <f t="shared" si="7"/>
        <v>0</v>
      </c>
      <c r="W855" s="3055">
        <f t="shared" si="8"/>
        <v>0</v>
      </c>
      <c r="X855" s="3055">
        <f t="shared" si="9"/>
        <v>0</v>
      </c>
      <c r="Y855" s="3055">
        <f t="shared" si="10"/>
        <v>0</v>
      </c>
      <c r="Z855" s="3055">
        <f t="shared" si="11"/>
        <v>0</v>
      </c>
      <c r="AA855" s="3055">
        <f t="shared" si="12"/>
        <v>0</v>
      </c>
      <c r="AB855" s="3055">
        <f t="shared" si="13"/>
        <v>0</v>
      </c>
      <c r="AC855" s="3055">
        <f t="shared" si="14"/>
        <v>0</v>
      </c>
      <c r="AD855" s="3056"/>
      <c r="AE855" s="3057">
        <f t="shared" si="0"/>
      </c>
      <c r="AF855" s="3054"/>
      <c r="AG855" s="3054"/>
      <c r="AH855" s="3055"/>
      <c r="AI855" s="3055"/>
      <c r="AJ855" s="3055"/>
      <c r="AK855" s="3055"/>
      <c r="AL855" s="3055"/>
      <c r="AM855" s="3055"/>
      <c r="AN855" s="3055"/>
      <c r="AO855" s="3055"/>
      <c r="AP855" s="3055"/>
      <c r="AQ855" s="3055"/>
      <c r="AR855" s="3055"/>
      <c r="AS855" s="3055"/>
      <c r="AT855" s="3055"/>
      <c r="AU855" s="3056"/>
      <c r="AV855" s="3057">
        <f t="shared" si="15"/>
      </c>
      <c r="AW855" s="3054"/>
      <c r="AX855" s="3054"/>
      <c r="AY855" s="3055"/>
      <c r="AZ855" s="3055"/>
      <c r="BA855" s="3055"/>
      <c r="BB855" s="3055"/>
      <c r="BC855" s="3055"/>
      <c r="BD855" s="3055"/>
      <c r="BE855" s="3055"/>
      <c r="BF855" s="3055"/>
      <c r="BG855" s="3055"/>
      <c r="BH855" s="3055"/>
      <c r="BI855" s="3055"/>
      <c r="BJ855" s="3055"/>
      <c r="BK855" s="3055"/>
      <c r="BL855" s="3056"/>
      <c r="BM855" s="3057">
        <f t="shared" si="16"/>
      </c>
      <c r="BN855" s="3054"/>
      <c r="BO855" s="3054"/>
      <c r="BP855" s="3055"/>
      <c r="BQ855" s="3055"/>
      <c r="BR855" s="3055"/>
      <c r="BS855" s="3055"/>
      <c r="BT855" s="3055"/>
      <c r="BU855" s="3055"/>
      <c r="BV855" s="3055"/>
      <c r="BW855" s="3055"/>
      <c r="BX855" s="3055"/>
      <c r="BY855" s="3055"/>
      <c r="BZ855" s="3055"/>
      <c r="CA855" s="3055"/>
      <c r="CB855" s="3055"/>
      <c r="CC855" s="3056"/>
      <c r="CD855" s="3057">
        <f t="shared" si="0"/>
      </c>
      <c r="CE855" s="3054"/>
      <c r="CF855" s="3054"/>
      <c r="CG855" s="3055"/>
      <c r="CH855" s="3055"/>
      <c r="CI855" s="3055"/>
      <c r="CJ855" s="3055"/>
      <c r="CK855" s="3055"/>
      <c r="CL855" s="3055"/>
      <c r="CM855" s="3055"/>
      <c r="CN855" s="3055"/>
      <c r="CO855" s="3055"/>
      <c r="CP855" s="3055"/>
      <c r="CQ855" s="3055"/>
      <c r="CR855" s="3055"/>
      <c r="CS855" s="3055"/>
      <c r="CU855" s="3054"/>
      <c r="CV855" s="696"/>
      <c r="CW855" s="696"/>
      <c r="CZ855" s="3060">
        <f t="shared" si="17"/>
      </c>
      <c r="DA855" s="3060">
        <f t="shared" si="1"/>
      </c>
      <c r="DB855" s="3060">
        <f t="shared" si="18"/>
      </c>
      <c r="DC855" s="3060">
        <f t="shared" si="19"/>
      </c>
      <c r="DD855" s="3060">
        <f t="shared" si="20"/>
      </c>
      <c r="DE855" s="3060">
        <f t="shared" si="21"/>
      </c>
      <c r="DF855" s="3060">
        <f t="shared" si="22"/>
      </c>
      <c r="DG855" s="3060">
        <f t="shared" si="23"/>
      </c>
      <c r="DH855" s="3060">
        <f t="shared" si="24"/>
      </c>
      <c r="DI855" s="3060">
        <f t="shared" si="1"/>
      </c>
    </row>
    <row r="856" ht="15" customHeight="1" s="3052" customFormat="1">
      <c r="B856" s="3054">
        <f t="shared" si="2"/>
      </c>
      <c r="C856" s="3054"/>
      <c r="D856" s="3054"/>
      <c r="E856" s="3055"/>
      <c r="F856" s="3055"/>
      <c r="G856" s="3055"/>
      <c r="H856" s="3055"/>
      <c r="I856" s="3055"/>
      <c r="J856" s="3055"/>
      <c r="K856" s="3055"/>
      <c r="L856" s="3055"/>
      <c r="M856" s="3055"/>
      <c r="N856" s="3055"/>
      <c r="O856" s="3055"/>
      <c r="P856" s="3055"/>
      <c r="Q856" s="3055"/>
      <c r="R856" s="3055">
        <f t="shared" si="3"/>
        <v>0</v>
      </c>
      <c r="S856" s="3055">
        <f t="shared" si="4"/>
        <v>0</v>
      </c>
      <c r="T856" s="3055">
        <f t="shared" si="5"/>
        <v>0</v>
      </c>
      <c r="U856" s="3055">
        <f t="shared" si="6"/>
        <v>0</v>
      </c>
      <c r="V856" s="3055">
        <f t="shared" si="7"/>
        <v>0</v>
      </c>
      <c r="W856" s="3055">
        <f t="shared" si="8"/>
        <v>0</v>
      </c>
      <c r="X856" s="3055">
        <f t="shared" si="9"/>
        <v>0</v>
      </c>
      <c r="Y856" s="3055">
        <f t="shared" si="10"/>
        <v>0</v>
      </c>
      <c r="Z856" s="3055">
        <f t="shared" si="11"/>
        <v>0</v>
      </c>
      <c r="AA856" s="3055">
        <f t="shared" si="12"/>
        <v>0</v>
      </c>
      <c r="AB856" s="3055">
        <f t="shared" si="13"/>
        <v>0</v>
      </c>
      <c r="AC856" s="3055">
        <f t="shared" si="14"/>
        <v>0</v>
      </c>
      <c r="AD856" s="3056"/>
      <c r="AE856" s="3057">
        <f t="shared" si="0"/>
      </c>
      <c r="AF856" s="3054"/>
      <c r="AG856" s="3054"/>
      <c r="AH856" s="3055"/>
      <c r="AI856" s="3055"/>
      <c r="AJ856" s="3055"/>
      <c r="AK856" s="3055"/>
      <c r="AL856" s="3055"/>
      <c r="AM856" s="3055"/>
      <c r="AN856" s="3055"/>
      <c r="AO856" s="3055"/>
      <c r="AP856" s="3055"/>
      <c r="AQ856" s="3055"/>
      <c r="AR856" s="3055"/>
      <c r="AS856" s="3055"/>
      <c r="AT856" s="3055"/>
      <c r="AU856" s="3056"/>
      <c r="AV856" s="3057">
        <f t="shared" si="15"/>
      </c>
      <c r="AW856" s="3054"/>
      <c r="AX856" s="3054"/>
      <c r="AY856" s="3055"/>
      <c r="AZ856" s="3055"/>
      <c r="BA856" s="3055"/>
      <c r="BB856" s="3055"/>
      <c r="BC856" s="3055"/>
      <c r="BD856" s="3055"/>
      <c r="BE856" s="3055"/>
      <c r="BF856" s="3055"/>
      <c r="BG856" s="3055"/>
      <c r="BH856" s="3055"/>
      <c r="BI856" s="3055"/>
      <c r="BJ856" s="3055"/>
      <c r="BK856" s="3055"/>
      <c r="BL856" s="3056"/>
      <c r="BM856" s="3057">
        <f t="shared" si="16"/>
      </c>
      <c r="BN856" s="3054"/>
      <c r="BO856" s="3054"/>
      <c r="BP856" s="3055"/>
      <c r="BQ856" s="3055"/>
      <c r="BR856" s="3055"/>
      <c r="BS856" s="3055"/>
      <c r="BT856" s="3055"/>
      <c r="BU856" s="3055"/>
      <c r="BV856" s="3055"/>
      <c r="BW856" s="3055"/>
      <c r="BX856" s="3055"/>
      <c r="BY856" s="3055"/>
      <c r="BZ856" s="3055"/>
      <c r="CA856" s="3055"/>
      <c r="CB856" s="3055"/>
      <c r="CC856" s="3056"/>
      <c r="CD856" s="3057">
        <f t="shared" si="0"/>
      </c>
      <c r="CE856" s="3054"/>
      <c r="CF856" s="3054"/>
      <c r="CG856" s="3055"/>
      <c r="CH856" s="3055"/>
      <c r="CI856" s="3055"/>
      <c r="CJ856" s="3055"/>
      <c r="CK856" s="3055"/>
      <c r="CL856" s="3055"/>
      <c r="CM856" s="3055"/>
      <c r="CN856" s="3055"/>
      <c r="CO856" s="3055"/>
      <c r="CP856" s="3055"/>
      <c r="CQ856" s="3055"/>
      <c r="CR856" s="3055"/>
      <c r="CS856" s="3055"/>
      <c r="CU856" s="3054"/>
      <c r="CV856" s="696"/>
      <c r="CW856" s="696"/>
      <c r="CZ856" s="3060">
        <f t="shared" si="17"/>
      </c>
      <c r="DA856" s="3060">
        <f t="shared" si="1"/>
      </c>
      <c r="DB856" s="3060">
        <f t="shared" si="18"/>
      </c>
      <c r="DC856" s="3060">
        <f t="shared" si="19"/>
      </c>
      <c r="DD856" s="3060">
        <f t="shared" si="20"/>
      </c>
      <c r="DE856" s="3060">
        <f t="shared" si="21"/>
      </c>
      <c r="DF856" s="3060">
        <f t="shared" si="22"/>
      </c>
      <c r="DG856" s="3060">
        <f t="shared" si="23"/>
      </c>
      <c r="DH856" s="3060">
        <f t="shared" si="24"/>
      </c>
      <c r="DI856" s="3060">
        <f t="shared" si="1"/>
      </c>
    </row>
    <row r="857" ht="15" customHeight="1" s="3052" customFormat="1">
      <c r="B857" s="3054">
        <f t="shared" si="2"/>
      </c>
      <c r="C857" s="3054"/>
      <c r="D857" s="3054"/>
      <c r="E857" s="3055"/>
      <c r="F857" s="3055"/>
      <c r="G857" s="3055"/>
      <c r="H857" s="3055"/>
      <c r="I857" s="3055"/>
      <c r="J857" s="3055"/>
      <c r="K857" s="3055"/>
      <c r="L857" s="3055"/>
      <c r="M857" s="3055"/>
      <c r="N857" s="3055"/>
      <c r="O857" s="3055"/>
      <c r="P857" s="3055"/>
      <c r="Q857" s="3055"/>
      <c r="R857" s="3055">
        <f t="shared" si="3"/>
        <v>0</v>
      </c>
      <c r="S857" s="3055">
        <f t="shared" si="4"/>
        <v>0</v>
      </c>
      <c r="T857" s="3055">
        <f t="shared" si="5"/>
        <v>0</v>
      </c>
      <c r="U857" s="3055">
        <f t="shared" si="6"/>
        <v>0</v>
      </c>
      <c r="V857" s="3055">
        <f t="shared" si="7"/>
        <v>0</v>
      </c>
      <c r="W857" s="3055">
        <f t="shared" si="8"/>
        <v>0</v>
      </c>
      <c r="X857" s="3055">
        <f t="shared" si="9"/>
        <v>0</v>
      </c>
      <c r="Y857" s="3055">
        <f t="shared" si="10"/>
        <v>0</v>
      </c>
      <c r="Z857" s="3055">
        <f t="shared" si="11"/>
        <v>0</v>
      </c>
      <c r="AA857" s="3055">
        <f t="shared" si="12"/>
        <v>0</v>
      </c>
      <c r="AB857" s="3055">
        <f t="shared" si="13"/>
        <v>0</v>
      </c>
      <c r="AC857" s="3055">
        <f t="shared" si="14"/>
        <v>0</v>
      </c>
      <c r="AD857" s="3056"/>
      <c r="AE857" s="3057">
        <f t="shared" si="0"/>
      </c>
      <c r="AF857" s="3054"/>
      <c r="AG857" s="3054"/>
      <c r="AH857" s="3055"/>
      <c r="AI857" s="3055"/>
      <c r="AJ857" s="3055"/>
      <c r="AK857" s="3055"/>
      <c r="AL857" s="3055"/>
      <c r="AM857" s="3055"/>
      <c r="AN857" s="3055"/>
      <c r="AO857" s="3055"/>
      <c r="AP857" s="3055"/>
      <c r="AQ857" s="3055"/>
      <c r="AR857" s="3055"/>
      <c r="AS857" s="3055"/>
      <c r="AT857" s="3055"/>
      <c r="AU857" s="3056"/>
      <c r="AV857" s="3057">
        <f t="shared" si="15"/>
      </c>
      <c r="AW857" s="3054"/>
      <c r="AX857" s="3054"/>
      <c r="AY857" s="3055"/>
      <c r="AZ857" s="3055"/>
      <c r="BA857" s="3055"/>
      <c r="BB857" s="3055"/>
      <c r="BC857" s="3055"/>
      <c r="BD857" s="3055"/>
      <c r="BE857" s="3055"/>
      <c r="BF857" s="3055"/>
      <c r="BG857" s="3055"/>
      <c r="BH857" s="3055"/>
      <c r="BI857" s="3055"/>
      <c r="BJ857" s="3055"/>
      <c r="BK857" s="3055"/>
      <c r="BL857" s="3056"/>
      <c r="BM857" s="3057">
        <f t="shared" si="16"/>
      </c>
      <c r="BN857" s="3054"/>
      <c r="BO857" s="3054"/>
      <c r="BP857" s="3055"/>
      <c r="BQ857" s="3055"/>
      <c r="BR857" s="3055"/>
      <c r="BS857" s="3055"/>
      <c r="BT857" s="3055"/>
      <c r="BU857" s="3055"/>
      <c r="BV857" s="3055"/>
      <c r="BW857" s="3055"/>
      <c r="BX857" s="3055"/>
      <c r="BY857" s="3055"/>
      <c r="BZ857" s="3055"/>
      <c r="CA857" s="3055"/>
      <c r="CB857" s="3055"/>
      <c r="CC857" s="3056"/>
      <c r="CD857" s="3057">
        <f t="shared" si="0"/>
      </c>
      <c r="CE857" s="3054"/>
      <c r="CF857" s="3054"/>
      <c r="CG857" s="3055"/>
      <c r="CH857" s="3055"/>
      <c r="CI857" s="3055"/>
      <c r="CJ857" s="3055"/>
      <c r="CK857" s="3055"/>
      <c r="CL857" s="3055"/>
      <c r="CM857" s="3055"/>
      <c r="CN857" s="3055"/>
      <c r="CO857" s="3055"/>
      <c r="CP857" s="3055"/>
      <c r="CQ857" s="3055"/>
      <c r="CR857" s="3055"/>
      <c r="CS857" s="3055"/>
      <c r="CU857" s="3054"/>
      <c r="CV857" s="696"/>
      <c r="CW857" s="696"/>
      <c r="CZ857" s="3060">
        <f t="shared" si="17"/>
      </c>
      <c r="DA857" s="3060">
        <f t="shared" si="1"/>
      </c>
      <c r="DB857" s="3060">
        <f t="shared" si="18"/>
      </c>
      <c r="DC857" s="3060">
        <f t="shared" si="19"/>
      </c>
      <c r="DD857" s="3060">
        <f t="shared" si="20"/>
      </c>
      <c r="DE857" s="3060">
        <f t="shared" si="21"/>
      </c>
      <c r="DF857" s="3060">
        <f t="shared" si="22"/>
      </c>
      <c r="DG857" s="3060">
        <f t="shared" si="23"/>
      </c>
      <c r="DH857" s="3060">
        <f t="shared" si="24"/>
      </c>
      <c r="DI857" s="3060">
        <f t="shared" si="1"/>
      </c>
    </row>
    <row r="858" ht="15" customHeight="1" s="3052" customFormat="1">
      <c r="B858" s="3054">
        <f t="shared" si="2"/>
      </c>
      <c r="C858" s="3054"/>
      <c r="D858" s="3054"/>
      <c r="E858" s="3055"/>
      <c r="F858" s="3055"/>
      <c r="G858" s="3055"/>
      <c r="H858" s="3055"/>
      <c r="I858" s="3055"/>
      <c r="J858" s="3055"/>
      <c r="K858" s="3055"/>
      <c r="L858" s="3055"/>
      <c r="M858" s="3055"/>
      <c r="N858" s="3055"/>
      <c r="O858" s="3055"/>
      <c r="P858" s="3055"/>
      <c r="Q858" s="3055"/>
      <c r="R858" s="3055">
        <f t="shared" si="3"/>
        <v>0</v>
      </c>
      <c r="S858" s="3055">
        <f t="shared" si="4"/>
        <v>0</v>
      </c>
      <c r="T858" s="3055">
        <f t="shared" si="5"/>
        <v>0</v>
      </c>
      <c r="U858" s="3055">
        <f t="shared" si="6"/>
        <v>0</v>
      </c>
      <c r="V858" s="3055">
        <f t="shared" si="7"/>
        <v>0</v>
      </c>
      <c r="W858" s="3055">
        <f t="shared" si="8"/>
        <v>0</v>
      </c>
      <c r="X858" s="3055">
        <f t="shared" si="9"/>
        <v>0</v>
      </c>
      <c r="Y858" s="3055">
        <f t="shared" si="10"/>
        <v>0</v>
      </c>
      <c r="Z858" s="3055">
        <f t="shared" si="11"/>
        <v>0</v>
      </c>
      <c r="AA858" s="3055">
        <f t="shared" si="12"/>
        <v>0</v>
      </c>
      <c r="AB858" s="3055">
        <f t="shared" si="13"/>
        <v>0</v>
      </c>
      <c r="AC858" s="3055">
        <f t="shared" si="14"/>
        <v>0</v>
      </c>
      <c r="AD858" s="3056"/>
      <c r="AE858" s="3057">
        <f t="shared" si="0"/>
      </c>
      <c r="AF858" s="3054"/>
      <c r="AG858" s="3054"/>
      <c r="AH858" s="3055"/>
      <c r="AI858" s="3055"/>
      <c r="AJ858" s="3055"/>
      <c r="AK858" s="3055"/>
      <c r="AL858" s="3055"/>
      <c r="AM858" s="3055"/>
      <c r="AN858" s="3055"/>
      <c r="AO858" s="3055"/>
      <c r="AP858" s="3055"/>
      <c r="AQ858" s="3055"/>
      <c r="AR858" s="3055"/>
      <c r="AS858" s="3055"/>
      <c r="AT858" s="3055"/>
      <c r="AU858" s="3056"/>
      <c r="AV858" s="3057">
        <f t="shared" si="15"/>
      </c>
      <c r="AW858" s="3054"/>
      <c r="AX858" s="3054"/>
      <c r="AY858" s="3055"/>
      <c r="AZ858" s="3055"/>
      <c r="BA858" s="3055"/>
      <c r="BB858" s="3055"/>
      <c r="BC858" s="3055"/>
      <c r="BD858" s="3055"/>
      <c r="BE858" s="3055"/>
      <c r="BF858" s="3055"/>
      <c r="BG858" s="3055"/>
      <c r="BH858" s="3055"/>
      <c r="BI858" s="3055"/>
      <c r="BJ858" s="3055"/>
      <c r="BK858" s="3055"/>
      <c r="BL858" s="3056"/>
      <c r="BM858" s="3057">
        <f t="shared" si="16"/>
      </c>
      <c r="BN858" s="3054"/>
      <c r="BO858" s="3054"/>
      <c r="BP858" s="3055"/>
      <c r="BQ858" s="3055"/>
      <c r="BR858" s="3055"/>
      <c r="BS858" s="3055"/>
      <c r="BT858" s="3055"/>
      <c r="BU858" s="3055"/>
      <c r="BV858" s="3055"/>
      <c r="BW858" s="3055"/>
      <c r="BX858" s="3055"/>
      <c r="BY858" s="3055"/>
      <c r="BZ858" s="3055"/>
      <c r="CA858" s="3055"/>
      <c r="CB858" s="3055"/>
      <c r="CC858" s="3056"/>
      <c r="CD858" s="3057">
        <f t="shared" si="0"/>
      </c>
      <c r="CE858" s="3054"/>
      <c r="CF858" s="3054"/>
      <c r="CG858" s="3055"/>
      <c r="CH858" s="3055"/>
      <c r="CI858" s="3055"/>
      <c r="CJ858" s="3055"/>
      <c r="CK858" s="3055"/>
      <c r="CL858" s="3055"/>
      <c r="CM858" s="3055"/>
      <c r="CN858" s="3055"/>
      <c r="CO858" s="3055"/>
      <c r="CP858" s="3055"/>
      <c r="CQ858" s="3055"/>
      <c r="CR858" s="3055"/>
      <c r="CS858" s="3055"/>
      <c r="CU858" s="3054"/>
      <c r="CV858" s="696"/>
      <c r="CW858" s="696"/>
      <c r="CZ858" s="3060">
        <f t="shared" si="17"/>
      </c>
      <c r="DA858" s="3060">
        <f t="shared" si="1"/>
      </c>
      <c r="DB858" s="3060">
        <f t="shared" si="18"/>
      </c>
      <c r="DC858" s="3060">
        <f t="shared" si="19"/>
      </c>
      <c r="DD858" s="3060">
        <f t="shared" si="20"/>
      </c>
      <c r="DE858" s="3060">
        <f t="shared" si="21"/>
      </c>
      <c r="DF858" s="3060">
        <f t="shared" si="22"/>
      </c>
      <c r="DG858" s="3060">
        <f t="shared" si="23"/>
      </c>
      <c r="DH858" s="3060">
        <f t="shared" si="24"/>
      </c>
      <c r="DI858" s="3060">
        <f t="shared" si="1"/>
      </c>
    </row>
    <row r="859" ht="15" customHeight="1" s="3052" customFormat="1">
      <c r="B859" s="3054">
        <f t="shared" si="2"/>
      </c>
      <c r="C859" s="3054"/>
      <c r="D859" s="3054"/>
      <c r="E859" s="3055"/>
      <c r="F859" s="3055"/>
      <c r="G859" s="3055"/>
      <c r="H859" s="3055"/>
      <c r="I859" s="3055"/>
      <c r="J859" s="3055"/>
      <c r="K859" s="3055"/>
      <c r="L859" s="3055"/>
      <c r="M859" s="3055"/>
      <c r="N859" s="3055"/>
      <c r="O859" s="3055"/>
      <c r="P859" s="3055"/>
      <c r="Q859" s="3055"/>
      <c r="R859" s="3055">
        <f t="shared" si="3"/>
        <v>0</v>
      </c>
      <c r="S859" s="3055">
        <f t="shared" si="4"/>
        <v>0</v>
      </c>
      <c r="T859" s="3055">
        <f t="shared" si="5"/>
        <v>0</v>
      </c>
      <c r="U859" s="3055">
        <f t="shared" si="6"/>
        <v>0</v>
      </c>
      <c r="V859" s="3055">
        <f t="shared" si="7"/>
        <v>0</v>
      </c>
      <c r="W859" s="3055">
        <f t="shared" si="8"/>
        <v>0</v>
      </c>
      <c r="X859" s="3055">
        <f t="shared" si="9"/>
        <v>0</v>
      </c>
      <c r="Y859" s="3055">
        <f t="shared" si="10"/>
        <v>0</v>
      </c>
      <c r="Z859" s="3055">
        <f t="shared" si="11"/>
        <v>0</v>
      </c>
      <c r="AA859" s="3055">
        <f t="shared" si="12"/>
        <v>0</v>
      </c>
      <c r="AB859" s="3055">
        <f t="shared" si="13"/>
        <v>0</v>
      </c>
      <c r="AC859" s="3055">
        <f t="shared" si="14"/>
        <v>0</v>
      </c>
      <c r="AD859" s="3056"/>
      <c r="AE859" s="3057">
        <f t="shared" si="0"/>
      </c>
      <c r="AF859" s="3054"/>
      <c r="AG859" s="3054"/>
      <c r="AH859" s="3055"/>
      <c r="AI859" s="3055"/>
      <c r="AJ859" s="3055"/>
      <c r="AK859" s="3055"/>
      <c r="AL859" s="3055"/>
      <c r="AM859" s="3055"/>
      <c r="AN859" s="3055"/>
      <c r="AO859" s="3055"/>
      <c r="AP859" s="3055"/>
      <c r="AQ859" s="3055"/>
      <c r="AR859" s="3055"/>
      <c r="AS859" s="3055"/>
      <c r="AT859" s="3055"/>
      <c r="AU859" s="3056"/>
      <c r="AV859" s="3057">
        <f t="shared" si="15"/>
      </c>
      <c r="AW859" s="3054"/>
      <c r="AX859" s="3054"/>
      <c r="AY859" s="3055"/>
      <c r="AZ859" s="3055"/>
      <c r="BA859" s="3055"/>
      <c r="BB859" s="3055"/>
      <c r="BC859" s="3055"/>
      <c r="BD859" s="3055"/>
      <c r="BE859" s="3055"/>
      <c r="BF859" s="3055"/>
      <c r="BG859" s="3055"/>
      <c r="BH859" s="3055"/>
      <c r="BI859" s="3055"/>
      <c r="BJ859" s="3055"/>
      <c r="BK859" s="3055"/>
      <c r="BL859" s="3056"/>
      <c r="BM859" s="3057">
        <f t="shared" si="16"/>
      </c>
      <c r="BN859" s="3054"/>
      <c r="BO859" s="3054"/>
      <c r="BP859" s="3055"/>
      <c r="BQ859" s="3055"/>
      <c r="BR859" s="3055"/>
      <c r="BS859" s="3055"/>
      <c r="BT859" s="3055"/>
      <c r="BU859" s="3055"/>
      <c r="BV859" s="3055"/>
      <c r="BW859" s="3055"/>
      <c r="BX859" s="3055"/>
      <c r="BY859" s="3055"/>
      <c r="BZ859" s="3055"/>
      <c r="CA859" s="3055"/>
      <c r="CB859" s="3055"/>
      <c r="CC859" s="3056"/>
      <c r="CD859" s="3057">
        <f t="shared" si="0"/>
      </c>
      <c r="CE859" s="3054"/>
      <c r="CF859" s="3054"/>
      <c r="CG859" s="3055"/>
      <c r="CH859" s="3055"/>
      <c r="CI859" s="3055"/>
      <c r="CJ859" s="3055"/>
      <c r="CK859" s="3055"/>
      <c r="CL859" s="3055"/>
      <c r="CM859" s="3055"/>
      <c r="CN859" s="3055"/>
      <c r="CO859" s="3055"/>
      <c r="CP859" s="3055"/>
      <c r="CQ859" s="3055"/>
      <c r="CR859" s="3055"/>
      <c r="CS859" s="3055"/>
      <c r="CU859" s="3054"/>
      <c r="CV859" s="696"/>
      <c r="CW859" s="696"/>
      <c r="CZ859" s="3060">
        <f t="shared" si="17"/>
      </c>
      <c r="DA859" s="3060">
        <f t="shared" si="1"/>
      </c>
      <c r="DB859" s="3060">
        <f t="shared" si="18"/>
      </c>
      <c r="DC859" s="3060">
        <f t="shared" si="19"/>
      </c>
      <c r="DD859" s="3060">
        <f t="shared" si="20"/>
      </c>
      <c r="DE859" s="3060">
        <f t="shared" si="21"/>
      </c>
      <c r="DF859" s="3060">
        <f t="shared" si="22"/>
      </c>
      <c r="DG859" s="3060">
        <f t="shared" si="23"/>
      </c>
      <c r="DH859" s="3060">
        <f t="shared" si="24"/>
      </c>
      <c r="DI859" s="3060">
        <f t="shared" si="1"/>
      </c>
    </row>
    <row r="860" ht="15" customHeight="1" s="3052" customFormat="1">
      <c r="B860" s="3054">
        <f t="shared" si="2"/>
      </c>
      <c r="C860" s="3054"/>
      <c r="D860" s="3054"/>
      <c r="E860" s="3055"/>
      <c r="F860" s="3055"/>
      <c r="G860" s="3055"/>
      <c r="H860" s="3055"/>
      <c r="I860" s="3055"/>
      <c r="J860" s="3055"/>
      <c r="K860" s="3055"/>
      <c r="L860" s="3055"/>
      <c r="M860" s="3055"/>
      <c r="N860" s="3055"/>
      <c r="O860" s="3055"/>
      <c r="P860" s="3055"/>
      <c r="Q860" s="3055"/>
      <c r="R860" s="3055">
        <f t="shared" si="3"/>
        <v>0</v>
      </c>
      <c r="S860" s="3055">
        <f t="shared" si="4"/>
        <v>0</v>
      </c>
      <c r="T860" s="3055">
        <f t="shared" si="5"/>
        <v>0</v>
      </c>
      <c r="U860" s="3055">
        <f t="shared" si="6"/>
        <v>0</v>
      </c>
      <c r="V860" s="3055">
        <f t="shared" si="7"/>
        <v>0</v>
      </c>
      <c r="W860" s="3055">
        <f t="shared" si="8"/>
        <v>0</v>
      </c>
      <c r="X860" s="3055">
        <f t="shared" si="9"/>
        <v>0</v>
      </c>
      <c r="Y860" s="3055">
        <f t="shared" si="10"/>
        <v>0</v>
      </c>
      <c r="Z860" s="3055">
        <f t="shared" si="11"/>
        <v>0</v>
      </c>
      <c r="AA860" s="3055">
        <f t="shared" si="12"/>
        <v>0</v>
      </c>
      <c r="AB860" s="3055">
        <f t="shared" si="13"/>
        <v>0</v>
      </c>
      <c r="AC860" s="3055">
        <f t="shared" si="14"/>
        <v>0</v>
      </c>
      <c r="AD860" s="3056"/>
      <c r="AE860" s="3057">
        <f t="shared" si="0"/>
      </c>
      <c r="AF860" s="3054"/>
      <c r="AG860" s="3054"/>
      <c r="AH860" s="3055"/>
      <c r="AI860" s="3055"/>
      <c r="AJ860" s="3055"/>
      <c r="AK860" s="3055"/>
      <c r="AL860" s="3055"/>
      <c r="AM860" s="3055"/>
      <c r="AN860" s="3055"/>
      <c r="AO860" s="3055"/>
      <c r="AP860" s="3055"/>
      <c r="AQ860" s="3055"/>
      <c r="AR860" s="3055"/>
      <c r="AS860" s="3055"/>
      <c r="AT860" s="3055"/>
      <c r="AU860" s="3056"/>
      <c r="AV860" s="3057">
        <f t="shared" si="15"/>
      </c>
      <c r="AW860" s="3054"/>
      <c r="AX860" s="3054"/>
      <c r="AY860" s="3055"/>
      <c r="AZ860" s="3055"/>
      <c r="BA860" s="3055"/>
      <c r="BB860" s="3055"/>
      <c r="BC860" s="3055"/>
      <c r="BD860" s="3055"/>
      <c r="BE860" s="3055"/>
      <c r="BF860" s="3055"/>
      <c r="BG860" s="3055"/>
      <c r="BH860" s="3055"/>
      <c r="BI860" s="3055"/>
      <c r="BJ860" s="3055"/>
      <c r="BK860" s="3055"/>
      <c r="BL860" s="3056"/>
      <c r="BM860" s="3057">
        <f t="shared" si="16"/>
      </c>
      <c r="BN860" s="3054"/>
      <c r="BO860" s="3054"/>
      <c r="BP860" s="3055"/>
      <c r="BQ860" s="3055"/>
      <c r="BR860" s="3055"/>
      <c r="BS860" s="3055"/>
      <c r="BT860" s="3055"/>
      <c r="BU860" s="3055"/>
      <c r="BV860" s="3055"/>
      <c r="BW860" s="3055"/>
      <c r="BX860" s="3055"/>
      <c r="BY860" s="3055"/>
      <c r="BZ860" s="3055"/>
      <c r="CA860" s="3055"/>
      <c r="CB860" s="3055"/>
      <c r="CC860" s="3056"/>
      <c r="CD860" s="3057">
        <f t="shared" si="0"/>
      </c>
      <c r="CE860" s="3054"/>
      <c r="CF860" s="3054"/>
      <c r="CG860" s="3055"/>
      <c r="CH860" s="3055"/>
      <c r="CI860" s="3055"/>
      <c r="CJ860" s="3055"/>
      <c r="CK860" s="3055"/>
      <c r="CL860" s="3055"/>
      <c r="CM860" s="3055"/>
      <c r="CN860" s="3055"/>
      <c r="CO860" s="3055"/>
      <c r="CP860" s="3055"/>
      <c r="CQ860" s="3055"/>
      <c r="CR860" s="3055"/>
      <c r="CS860" s="3055"/>
      <c r="CU860" s="3054"/>
      <c r="CV860" s="696"/>
      <c r="CW860" s="696"/>
      <c r="CZ860" s="3060">
        <f t="shared" si="17"/>
      </c>
      <c r="DA860" s="3060">
        <f t="shared" si="1"/>
      </c>
      <c r="DB860" s="3060">
        <f t="shared" si="18"/>
      </c>
      <c r="DC860" s="3060">
        <f t="shared" si="19"/>
      </c>
      <c r="DD860" s="3060">
        <f t="shared" si="20"/>
      </c>
      <c r="DE860" s="3060">
        <f t="shared" si="21"/>
      </c>
      <c r="DF860" s="3060">
        <f t="shared" si="22"/>
      </c>
      <c r="DG860" s="3060">
        <f t="shared" si="23"/>
      </c>
      <c r="DH860" s="3060">
        <f t="shared" si="24"/>
      </c>
      <c r="DI860" s="3060">
        <f t="shared" si="1"/>
      </c>
    </row>
    <row r="861" ht="15" customHeight="1" s="3052" customFormat="1">
      <c r="B861" s="3054">
        <f t="shared" si="2"/>
      </c>
      <c r="C861" s="3054"/>
      <c r="D861" s="3054"/>
      <c r="E861" s="3055"/>
      <c r="F861" s="3055"/>
      <c r="G861" s="3055"/>
      <c r="H861" s="3055"/>
      <c r="I861" s="3055"/>
      <c r="J861" s="3055"/>
      <c r="K861" s="3055"/>
      <c r="L861" s="3055"/>
      <c r="M861" s="3055"/>
      <c r="N861" s="3055"/>
      <c r="O861" s="3055"/>
      <c r="P861" s="3055"/>
      <c r="Q861" s="3055"/>
      <c r="R861" s="3055">
        <f t="shared" si="3"/>
        <v>0</v>
      </c>
      <c r="S861" s="3055">
        <f t="shared" si="4"/>
        <v>0</v>
      </c>
      <c r="T861" s="3055">
        <f t="shared" si="5"/>
        <v>0</v>
      </c>
      <c r="U861" s="3055">
        <f t="shared" si="6"/>
        <v>0</v>
      </c>
      <c r="V861" s="3055">
        <f t="shared" si="7"/>
        <v>0</v>
      </c>
      <c r="W861" s="3055">
        <f t="shared" si="8"/>
        <v>0</v>
      </c>
      <c r="X861" s="3055">
        <f t="shared" si="9"/>
        <v>0</v>
      </c>
      <c r="Y861" s="3055">
        <f t="shared" si="10"/>
        <v>0</v>
      </c>
      <c r="Z861" s="3055">
        <f t="shared" si="11"/>
        <v>0</v>
      </c>
      <c r="AA861" s="3055">
        <f t="shared" si="12"/>
        <v>0</v>
      </c>
      <c r="AB861" s="3055">
        <f t="shared" si="13"/>
        <v>0</v>
      </c>
      <c r="AC861" s="3055">
        <f t="shared" si="14"/>
        <v>0</v>
      </c>
      <c r="AD861" s="3056"/>
      <c r="AE861" s="3057">
        <f t="shared" si="0"/>
      </c>
      <c r="AF861" s="3054"/>
      <c r="AG861" s="3054"/>
      <c r="AH861" s="3055"/>
      <c r="AI861" s="3055"/>
      <c r="AJ861" s="3055"/>
      <c r="AK861" s="3055"/>
      <c r="AL861" s="3055"/>
      <c r="AM861" s="3055"/>
      <c r="AN861" s="3055"/>
      <c r="AO861" s="3055"/>
      <c r="AP861" s="3055"/>
      <c r="AQ861" s="3055"/>
      <c r="AR861" s="3055"/>
      <c r="AS861" s="3055"/>
      <c r="AT861" s="3055"/>
      <c r="AU861" s="3056"/>
      <c r="AV861" s="3057">
        <f t="shared" si="15"/>
      </c>
      <c r="AW861" s="3054"/>
      <c r="AX861" s="3054"/>
      <c r="AY861" s="3055"/>
      <c r="AZ861" s="3055"/>
      <c r="BA861" s="3055"/>
      <c r="BB861" s="3055"/>
      <c r="BC861" s="3055"/>
      <c r="BD861" s="3055"/>
      <c r="BE861" s="3055"/>
      <c r="BF861" s="3055"/>
      <c r="BG861" s="3055"/>
      <c r="BH861" s="3055"/>
      <c r="BI861" s="3055"/>
      <c r="BJ861" s="3055"/>
      <c r="BK861" s="3055"/>
      <c r="BL861" s="3056"/>
      <c r="BM861" s="3057">
        <f t="shared" si="16"/>
      </c>
      <c r="BN861" s="3054"/>
      <c r="BO861" s="3054"/>
      <c r="BP861" s="3055"/>
      <c r="BQ861" s="3055"/>
      <c r="BR861" s="3055"/>
      <c r="BS861" s="3055"/>
      <c r="BT861" s="3055"/>
      <c r="BU861" s="3055"/>
      <c r="BV861" s="3055"/>
      <c r="BW861" s="3055"/>
      <c r="BX861" s="3055"/>
      <c r="BY861" s="3055"/>
      <c r="BZ861" s="3055"/>
      <c r="CA861" s="3055"/>
      <c r="CB861" s="3055"/>
      <c r="CC861" s="3056"/>
      <c r="CD861" s="3057">
        <f t="shared" si="0"/>
      </c>
      <c r="CE861" s="3054"/>
      <c r="CF861" s="3054"/>
      <c r="CG861" s="3055"/>
      <c r="CH861" s="3055"/>
      <c r="CI861" s="3055"/>
      <c r="CJ861" s="3055"/>
      <c r="CK861" s="3055"/>
      <c r="CL861" s="3055"/>
      <c r="CM861" s="3055"/>
      <c r="CN861" s="3055"/>
      <c r="CO861" s="3055"/>
      <c r="CP861" s="3055"/>
      <c r="CQ861" s="3055"/>
      <c r="CR861" s="3055"/>
      <c r="CS861" s="3055"/>
      <c r="CU861" s="3054"/>
      <c r="CV861" s="696"/>
      <c r="CW861" s="696"/>
      <c r="CZ861" s="3060">
        <f t="shared" si="17"/>
      </c>
      <c r="DA861" s="3060">
        <f t="shared" si="1"/>
      </c>
      <c r="DB861" s="3060">
        <f t="shared" si="18"/>
      </c>
      <c r="DC861" s="3060">
        <f t="shared" si="19"/>
      </c>
      <c r="DD861" s="3060">
        <f t="shared" si="20"/>
      </c>
      <c r="DE861" s="3060">
        <f t="shared" si="21"/>
      </c>
      <c r="DF861" s="3060">
        <f t="shared" si="22"/>
      </c>
      <c r="DG861" s="3060">
        <f t="shared" si="23"/>
      </c>
      <c r="DH861" s="3060">
        <f t="shared" si="24"/>
      </c>
      <c r="DI861" s="3060">
        <f t="shared" si="1"/>
      </c>
    </row>
    <row r="862" ht="15" customHeight="1" s="3052" customFormat="1">
      <c r="B862" s="3054">
        <f t="shared" si="2"/>
      </c>
      <c r="C862" s="3054"/>
      <c r="D862" s="3054"/>
      <c r="E862" s="3055"/>
      <c r="F862" s="3055"/>
      <c r="G862" s="3055"/>
      <c r="H862" s="3055"/>
      <c r="I862" s="3055"/>
      <c r="J862" s="3055"/>
      <c r="K862" s="3055"/>
      <c r="L862" s="3055"/>
      <c r="M862" s="3055"/>
      <c r="N862" s="3055"/>
      <c r="O862" s="3055"/>
      <c r="P862" s="3055"/>
      <c r="Q862" s="3055"/>
      <c r="R862" s="3055">
        <f t="shared" si="3"/>
        <v>0</v>
      </c>
      <c r="S862" s="3055">
        <f t="shared" si="4"/>
        <v>0</v>
      </c>
      <c r="T862" s="3055">
        <f t="shared" si="5"/>
        <v>0</v>
      </c>
      <c r="U862" s="3055">
        <f t="shared" si="6"/>
        <v>0</v>
      </c>
      <c r="V862" s="3055">
        <f t="shared" si="7"/>
        <v>0</v>
      </c>
      <c r="W862" s="3055">
        <f t="shared" si="8"/>
        <v>0</v>
      </c>
      <c r="X862" s="3055">
        <f t="shared" si="9"/>
        <v>0</v>
      </c>
      <c r="Y862" s="3055">
        <f t="shared" si="10"/>
        <v>0</v>
      </c>
      <c r="Z862" s="3055">
        <f t="shared" si="11"/>
        <v>0</v>
      </c>
      <c r="AA862" s="3055">
        <f t="shared" si="12"/>
        <v>0</v>
      </c>
      <c r="AB862" s="3055">
        <f t="shared" si="13"/>
        <v>0</v>
      </c>
      <c r="AC862" s="3055">
        <f t="shared" si="14"/>
        <v>0</v>
      </c>
      <c r="AD862" s="3056"/>
      <c r="AE862" s="3057">
        <f t="shared" si="0"/>
      </c>
      <c r="AF862" s="3054"/>
      <c r="AG862" s="3054"/>
      <c r="AH862" s="3055"/>
      <c r="AI862" s="3055"/>
      <c r="AJ862" s="3055"/>
      <c r="AK862" s="3055"/>
      <c r="AL862" s="3055"/>
      <c r="AM862" s="3055"/>
      <c r="AN862" s="3055"/>
      <c r="AO862" s="3055"/>
      <c r="AP862" s="3055"/>
      <c r="AQ862" s="3055"/>
      <c r="AR862" s="3055"/>
      <c r="AS862" s="3055"/>
      <c r="AT862" s="3055"/>
      <c r="AU862" s="3056"/>
      <c r="AV862" s="3057">
        <f t="shared" si="15"/>
      </c>
      <c r="AW862" s="3054"/>
      <c r="AX862" s="3054"/>
      <c r="AY862" s="3055"/>
      <c r="AZ862" s="3055"/>
      <c r="BA862" s="3055"/>
      <c r="BB862" s="3055"/>
      <c r="BC862" s="3055"/>
      <c r="BD862" s="3055"/>
      <c r="BE862" s="3055"/>
      <c r="BF862" s="3055"/>
      <c r="BG862" s="3055"/>
      <c r="BH862" s="3055"/>
      <c r="BI862" s="3055"/>
      <c r="BJ862" s="3055"/>
      <c r="BK862" s="3055"/>
      <c r="BL862" s="3056"/>
      <c r="BM862" s="3057">
        <f t="shared" si="16"/>
      </c>
      <c r="BN862" s="3054"/>
      <c r="BO862" s="3054"/>
      <c r="BP862" s="3055"/>
      <c r="BQ862" s="3055"/>
      <c r="BR862" s="3055"/>
      <c r="BS862" s="3055"/>
      <c r="BT862" s="3055"/>
      <c r="BU862" s="3055"/>
      <c r="BV862" s="3055"/>
      <c r="BW862" s="3055"/>
      <c r="BX862" s="3055"/>
      <c r="BY862" s="3055"/>
      <c r="BZ862" s="3055"/>
      <c r="CA862" s="3055"/>
      <c r="CB862" s="3055"/>
      <c r="CC862" s="3056"/>
      <c r="CD862" s="3057">
        <f t="shared" si="0"/>
      </c>
      <c r="CE862" s="3054"/>
      <c r="CF862" s="3054"/>
      <c r="CG862" s="3055"/>
      <c r="CH862" s="3055"/>
      <c r="CI862" s="3055"/>
      <c r="CJ862" s="3055"/>
      <c r="CK862" s="3055"/>
      <c r="CL862" s="3055"/>
      <c r="CM862" s="3055"/>
      <c r="CN862" s="3055"/>
      <c r="CO862" s="3055"/>
      <c r="CP862" s="3055"/>
      <c r="CQ862" s="3055"/>
      <c r="CR862" s="3055"/>
      <c r="CS862" s="3055"/>
      <c r="CU862" s="3054"/>
      <c r="CV862" s="696"/>
      <c r="CW862" s="696"/>
      <c r="CZ862" s="3060">
        <f t="shared" si="17"/>
      </c>
      <c r="DA862" s="3060">
        <f t="shared" si="1"/>
      </c>
      <c r="DB862" s="3060">
        <f t="shared" si="18"/>
      </c>
      <c r="DC862" s="3060">
        <f t="shared" si="19"/>
      </c>
      <c r="DD862" s="3060">
        <f t="shared" si="20"/>
      </c>
      <c r="DE862" s="3060">
        <f t="shared" si="21"/>
      </c>
      <c r="DF862" s="3060">
        <f t="shared" si="22"/>
      </c>
      <c r="DG862" s="3060">
        <f t="shared" si="23"/>
      </c>
      <c r="DH862" s="3060">
        <f t="shared" si="24"/>
      </c>
      <c r="DI862" s="3060">
        <f t="shared" si="1"/>
      </c>
    </row>
    <row r="863" ht="15" customHeight="1" s="3052" customFormat="1">
      <c r="B863" s="3054">
        <f t="shared" si="2"/>
      </c>
      <c r="C863" s="3054"/>
      <c r="D863" s="3054"/>
      <c r="E863" s="3055"/>
      <c r="F863" s="3055"/>
      <c r="G863" s="3055"/>
      <c r="H863" s="3055"/>
      <c r="I863" s="3055"/>
      <c r="J863" s="3055"/>
      <c r="K863" s="3055"/>
      <c r="L863" s="3055"/>
      <c r="M863" s="3055"/>
      <c r="N863" s="3055"/>
      <c r="O863" s="3055"/>
      <c r="P863" s="3055"/>
      <c r="Q863" s="3055"/>
      <c r="R863" s="3055">
        <f t="shared" si="3"/>
        <v>0</v>
      </c>
      <c r="S863" s="3055">
        <f t="shared" si="4"/>
        <v>0</v>
      </c>
      <c r="T863" s="3055">
        <f t="shared" si="5"/>
        <v>0</v>
      </c>
      <c r="U863" s="3055">
        <f t="shared" si="6"/>
        <v>0</v>
      </c>
      <c r="V863" s="3055">
        <f t="shared" si="7"/>
        <v>0</v>
      </c>
      <c r="W863" s="3055">
        <f t="shared" si="8"/>
        <v>0</v>
      </c>
      <c r="X863" s="3055">
        <f t="shared" si="9"/>
        <v>0</v>
      </c>
      <c r="Y863" s="3055">
        <f t="shared" si="10"/>
        <v>0</v>
      </c>
      <c r="Z863" s="3055">
        <f t="shared" si="11"/>
        <v>0</v>
      </c>
      <c r="AA863" s="3055">
        <f t="shared" si="12"/>
        <v>0</v>
      </c>
      <c r="AB863" s="3055">
        <f t="shared" si="13"/>
        <v>0</v>
      </c>
      <c r="AC863" s="3055">
        <f t="shared" si="14"/>
        <v>0</v>
      </c>
      <c r="AD863" s="3056"/>
      <c r="AE863" s="3057">
        <f t="shared" si="0"/>
      </c>
      <c r="AF863" s="3054"/>
      <c r="AG863" s="3054"/>
      <c r="AH863" s="3055"/>
      <c r="AI863" s="3055"/>
      <c r="AJ863" s="3055"/>
      <c r="AK863" s="3055"/>
      <c r="AL863" s="3055"/>
      <c r="AM863" s="3055"/>
      <c r="AN863" s="3055"/>
      <c r="AO863" s="3055"/>
      <c r="AP863" s="3055"/>
      <c r="AQ863" s="3055"/>
      <c r="AR863" s="3055"/>
      <c r="AS863" s="3055"/>
      <c r="AT863" s="3055"/>
      <c r="AU863" s="3056"/>
      <c r="AV863" s="3057">
        <f t="shared" si="15"/>
      </c>
      <c r="AW863" s="3054"/>
      <c r="AX863" s="3054"/>
      <c r="AY863" s="3055"/>
      <c r="AZ863" s="3055"/>
      <c r="BA863" s="3055"/>
      <c r="BB863" s="3055"/>
      <c r="BC863" s="3055"/>
      <c r="BD863" s="3055"/>
      <c r="BE863" s="3055"/>
      <c r="BF863" s="3055"/>
      <c r="BG863" s="3055"/>
      <c r="BH863" s="3055"/>
      <c r="BI863" s="3055"/>
      <c r="BJ863" s="3055"/>
      <c r="BK863" s="3055"/>
      <c r="BL863" s="3056"/>
      <c r="BM863" s="3057">
        <f t="shared" si="16"/>
      </c>
      <c r="BN863" s="3054"/>
      <c r="BO863" s="3054"/>
      <c r="BP863" s="3055"/>
      <c r="BQ863" s="3055"/>
      <c r="BR863" s="3055"/>
      <c r="BS863" s="3055"/>
      <c r="BT863" s="3055"/>
      <c r="BU863" s="3055"/>
      <c r="BV863" s="3055"/>
      <c r="BW863" s="3055"/>
      <c r="BX863" s="3055"/>
      <c r="BY863" s="3055"/>
      <c r="BZ863" s="3055"/>
      <c r="CA863" s="3055"/>
      <c r="CB863" s="3055"/>
      <c r="CC863" s="3056"/>
      <c r="CD863" s="3057">
        <f t="shared" si="0"/>
      </c>
      <c r="CE863" s="3054"/>
      <c r="CF863" s="3054"/>
      <c r="CG863" s="3055"/>
      <c r="CH863" s="3055"/>
      <c r="CI863" s="3055"/>
      <c r="CJ863" s="3055"/>
      <c r="CK863" s="3055"/>
      <c r="CL863" s="3055"/>
      <c r="CM863" s="3055"/>
      <c r="CN863" s="3055"/>
      <c r="CO863" s="3055"/>
      <c r="CP863" s="3055"/>
      <c r="CQ863" s="3055"/>
      <c r="CR863" s="3055"/>
      <c r="CS863" s="3055"/>
      <c r="CU863" s="3054"/>
      <c r="CV863" s="696"/>
      <c r="CW863" s="696"/>
      <c r="CZ863" s="3060">
        <f t="shared" si="17"/>
      </c>
      <c r="DA863" s="3060">
        <f t="shared" si="1"/>
      </c>
      <c r="DB863" s="3060">
        <f t="shared" si="18"/>
      </c>
      <c r="DC863" s="3060">
        <f t="shared" si="19"/>
      </c>
      <c r="DD863" s="3060">
        <f t="shared" si="20"/>
      </c>
      <c r="DE863" s="3060">
        <f t="shared" si="21"/>
      </c>
      <c r="DF863" s="3060">
        <f t="shared" si="22"/>
      </c>
      <c r="DG863" s="3060">
        <f t="shared" si="23"/>
      </c>
      <c r="DH863" s="3060">
        <f t="shared" si="24"/>
      </c>
      <c r="DI863" s="3060">
        <f t="shared" si="1"/>
      </c>
    </row>
    <row r="864" ht="15" customHeight="1" s="3052" customFormat="1">
      <c r="B864" s="3054">
        <f t="shared" si="2"/>
      </c>
      <c r="C864" s="3054"/>
      <c r="D864" s="3054"/>
      <c r="E864" s="3055"/>
      <c r="F864" s="3055"/>
      <c r="G864" s="3055"/>
      <c r="H864" s="3055"/>
      <c r="I864" s="3055"/>
      <c r="J864" s="3055"/>
      <c r="K864" s="3055"/>
      <c r="L864" s="3055"/>
      <c r="M864" s="3055"/>
      <c r="N864" s="3055"/>
      <c r="O864" s="3055"/>
      <c r="P864" s="3055"/>
      <c r="Q864" s="3055"/>
      <c r="R864" s="3055">
        <f t="shared" si="3"/>
        <v>0</v>
      </c>
      <c r="S864" s="3055">
        <f t="shared" si="4"/>
        <v>0</v>
      </c>
      <c r="T864" s="3055">
        <f t="shared" si="5"/>
        <v>0</v>
      </c>
      <c r="U864" s="3055">
        <f t="shared" si="6"/>
        <v>0</v>
      </c>
      <c r="V864" s="3055">
        <f t="shared" si="7"/>
        <v>0</v>
      </c>
      <c r="W864" s="3055">
        <f t="shared" si="8"/>
        <v>0</v>
      </c>
      <c r="X864" s="3055">
        <f t="shared" si="9"/>
        <v>0</v>
      </c>
      <c r="Y864" s="3055">
        <f t="shared" si="10"/>
        <v>0</v>
      </c>
      <c r="Z864" s="3055">
        <f t="shared" si="11"/>
        <v>0</v>
      </c>
      <c r="AA864" s="3055">
        <f t="shared" si="12"/>
        <v>0</v>
      </c>
      <c r="AB864" s="3055">
        <f t="shared" si="13"/>
        <v>0</v>
      </c>
      <c r="AC864" s="3055">
        <f t="shared" si="14"/>
        <v>0</v>
      </c>
      <c r="AD864" s="3056"/>
      <c r="AE864" s="3057">
        <f t="shared" si="0"/>
      </c>
      <c r="AF864" s="3054"/>
      <c r="AG864" s="3054"/>
      <c r="AH864" s="3055"/>
      <c r="AI864" s="3055"/>
      <c r="AJ864" s="3055"/>
      <c r="AK864" s="3055"/>
      <c r="AL864" s="3055"/>
      <c r="AM864" s="3055"/>
      <c r="AN864" s="3055"/>
      <c r="AO864" s="3055"/>
      <c r="AP864" s="3055"/>
      <c r="AQ864" s="3055"/>
      <c r="AR864" s="3055"/>
      <c r="AS864" s="3055"/>
      <c r="AT864" s="3055"/>
      <c r="AU864" s="3056"/>
      <c r="AV864" s="3057">
        <f t="shared" si="15"/>
      </c>
      <c r="AW864" s="3054"/>
      <c r="AX864" s="3054"/>
      <c r="AY864" s="3055"/>
      <c r="AZ864" s="3055"/>
      <c r="BA864" s="3055"/>
      <c r="BB864" s="3055"/>
      <c r="BC864" s="3055"/>
      <c r="BD864" s="3055"/>
      <c r="BE864" s="3055"/>
      <c r="BF864" s="3055"/>
      <c r="BG864" s="3055"/>
      <c r="BH864" s="3055"/>
      <c r="BI864" s="3055"/>
      <c r="BJ864" s="3055"/>
      <c r="BK864" s="3055"/>
      <c r="BL864" s="3056"/>
      <c r="BM864" s="3057">
        <f t="shared" si="16"/>
      </c>
      <c r="BN864" s="3054"/>
      <c r="BO864" s="3054"/>
      <c r="BP864" s="3055"/>
      <c r="BQ864" s="3055"/>
      <c r="BR864" s="3055"/>
      <c r="BS864" s="3055"/>
      <c r="BT864" s="3055"/>
      <c r="BU864" s="3055"/>
      <c r="BV864" s="3055"/>
      <c r="BW864" s="3055"/>
      <c r="BX864" s="3055"/>
      <c r="BY864" s="3055"/>
      <c r="BZ864" s="3055"/>
      <c r="CA864" s="3055"/>
      <c r="CB864" s="3055"/>
      <c r="CC864" s="3056"/>
      <c r="CD864" s="3057">
        <f t="shared" si="0"/>
      </c>
      <c r="CE864" s="3054"/>
      <c r="CF864" s="3054"/>
      <c r="CG864" s="3055"/>
      <c r="CH864" s="3055"/>
      <c r="CI864" s="3055"/>
      <c r="CJ864" s="3055"/>
      <c r="CK864" s="3055"/>
      <c r="CL864" s="3055"/>
      <c r="CM864" s="3055"/>
      <c r="CN864" s="3055"/>
      <c r="CO864" s="3055"/>
      <c r="CP864" s="3055"/>
      <c r="CQ864" s="3055"/>
      <c r="CR864" s="3055"/>
      <c r="CS864" s="3055"/>
      <c r="CU864" s="3054"/>
      <c r="CV864" s="696"/>
      <c r="CW864" s="696"/>
      <c r="CZ864" s="3060">
        <f t="shared" si="17"/>
      </c>
      <c r="DA864" s="3060">
        <f t="shared" si="1"/>
      </c>
      <c r="DB864" s="3060">
        <f t="shared" si="18"/>
      </c>
      <c r="DC864" s="3060">
        <f t="shared" si="19"/>
      </c>
      <c r="DD864" s="3060">
        <f t="shared" si="20"/>
      </c>
      <c r="DE864" s="3060">
        <f t="shared" si="21"/>
      </c>
      <c r="DF864" s="3060">
        <f t="shared" si="22"/>
      </c>
      <c r="DG864" s="3060">
        <f t="shared" si="23"/>
      </c>
      <c r="DH864" s="3060">
        <f t="shared" si="24"/>
      </c>
      <c r="DI864" s="3060">
        <f t="shared" si="1"/>
      </c>
    </row>
    <row r="865" ht="15" customHeight="1" s="3052" customFormat="1">
      <c r="B865" s="3054">
        <f t="shared" si="2"/>
      </c>
      <c r="C865" s="3054"/>
      <c r="D865" s="3054"/>
      <c r="E865" s="3055"/>
      <c r="F865" s="3055"/>
      <c r="G865" s="3055"/>
      <c r="H865" s="3055"/>
      <c r="I865" s="3055"/>
      <c r="J865" s="3055"/>
      <c r="K865" s="3055"/>
      <c r="L865" s="3055"/>
      <c r="M865" s="3055"/>
      <c r="N865" s="3055"/>
      <c r="O865" s="3055"/>
      <c r="P865" s="3055"/>
      <c r="Q865" s="3055"/>
      <c r="R865" s="3055">
        <f t="shared" si="3"/>
        <v>0</v>
      </c>
      <c r="S865" s="3055">
        <f t="shared" si="4"/>
        <v>0</v>
      </c>
      <c r="T865" s="3055">
        <f t="shared" si="5"/>
        <v>0</v>
      </c>
      <c r="U865" s="3055">
        <f t="shared" si="6"/>
        <v>0</v>
      </c>
      <c r="V865" s="3055">
        <f t="shared" si="7"/>
        <v>0</v>
      </c>
      <c r="W865" s="3055">
        <f t="shared" si="8"/>
        <v>0</v>
      </c>
      <c r="X865" s="3055">
        <f t="shared" si="9"/>
        <v>0</v>
      </c>
      <c r="Y865" s="3055">
        <f t="shared" si="10"/>
        <v>0</v>
      </c>
      <c r="Z865" s="3055">
        <f t="shared" si="11"/>
        <v>0</v>
      </c>
      <c r="AA865" s="3055">
        <f t="shared" si="12"/>
        <v>0</v>
      </c>
      <c r="AB865" s="3055">
        <f t="shared" si="13"/>
        <v>0</v>
      </c>
      <c r="AC865" s="3055">
        <f t="shared" si="14"/>
        <v>0</v>
      </c>
      <c r="AD865" s="3056"/>
      <c r="AE865" s="3057">
        <f t="shared" si="0"/>
      </c>
      <c r="AF865" s="3054"/>
      <c r="AG865" s="3054"/>
      <c r="AH865" s="3055"/>
      <c r="AI865" s="3055"/>
      <c r="AJ865" s="3055"/>
      <c r="AK865" s="3055"/>
      <c r="AL865" s="3055"/>
      <c r="AM865" s="3055"/>
      <c r="AN865" s="3055"/>
      <c r="AO865" s="3055"/>
      <c r="AP865" s="3055"/>
      <c r="AQ865" s="3055"/>
      <c r="AR865" s="3055"/>
      <c r="AS865" s="3055"/>
      <c r="AT865" s="3055"/>
      <c r="AU865" s="3056"/>
      <c r="AV865" s="3057">
        <f t="shared" si="15"/>
      </c>
      <c r="AW865" s="3054"/>
      <c r="AX865" s="3054"/>
      <c r="AY865" s="3055"/>
      <c r="AZ865" s="3055"/>
      <c r="BA865" s="3055"/>
      <c r="BB865" s="3055"/>
      <c r="BC865" s="3055"/>
      <c r="BD865" s="3055"/>
      <c r="BE865" s="3055"/>
      <c r="BF865" s="3055"/>
      <c r="BG865" s="3055"/>
      <c r="BH865" s="3055"/>
      <c r="BI865" s="3055"/>
      <c r="BJ865" s="3055"/>
      <c r="BK865" s="3055"/>
      <c r="BL865" s="3056"/>
      <c r="BM865" s="3057">
        <f t="shared" si="16"/>
      </c>
      <c r="BN865" s="3054"/>
      <c r="BO865" s="3054"/>
      <c r="BP865" s="3055"/>
      <c r="BQ865" s="3055"/>
      <c r="BR865" s="3055"/>
      <c r="BS865" s="3055"/>
      <c r="BT865" s="3055"/>
      <c r="BU865" s="3055"/>
      <c r="BV865" s="3055"/>
      <c r="BW865" s="3055"/>
      <c r="BX865" s="3055"/>
      <c r="BY865" s="3055"/>
      <c r="BZ865" s="3055"/>
      <c r="CA865" s="3055"/>
      <c r="CB865" s="3055"/>
      <c r="CC865" s="3056"/>
      <c r="CD865" s="3057">
        <f t="shared" si="0"/>
      </c>
      <c r="CE865" s="3054"/>
      <c r="CF865" s="3054"/>
      <c r="CG865" s="3055"/>
      <c r="CH865" s="3055"/>
      <c r="CI865" s="3055"/>
      <c r="CJ865" s="3055"/>
      <c r="CK865" s="3055"/>
      <c r="CL865" s="3055"/>
      <c r="CM865" s="3055"/>
      <c r="CN865" s="3055"/>
      <c r="CO865" s="3055"/>
      <c r="CP865" s="3055"/>
      <c r="CQ865" s="3055"/>
      <c r="CR865" s="3055"/>
      <c r="CS865" s="3055"/>
      <c r="CU865" s="3054"/>
      <c r="CV865" s="696"/>
      <c r="CW865" s="696"/>
      <c r="CZ865" s="3060">
        <f t="shared" si="17"/>
      </c>
      <c r="DA865" s="3060">
        <f t="shared" si="1"/>
      </c>
      <c r="DB865" s="3060">
        <f t="shared" si="18"/>
      </c>
      <c r="DC865" s="3060">
        <f t="shared" si="19"/>
      </c>
      <c r="DD865" s="3060">
        <f t="shared" si="20"/>
      </c>
      <c r="DE865" s="3060">
        <f t="shared" si="21"/>
      </c>
      <c r="DF865" s="3060">
        <f t="shared" si="22"/>
      </c>
      <c r="DG865" s="3060">
        <f t="shared" si="23"/>
      </c>
      <c r="DH865" s="3060">
        <f t="shared" si="24"/>
      </c>
      <c r="DI865" s="3060">
        <f t="shared" si="1"/>
      </c>
    </row>
    <row r="866" ht="15" customHeight="1" s="3052" customFormat="1">
      <c r="B866" s="3054">
        <f t="shared" si="2"/>
      </c>
      <c r="C866" s="3054"/>
      <c r="D866" s="3054"/>
      <c r="E866" s="3055"/>
      <c r="F866" s="3055"/>
      <c r="G866" s="3055"/>
      <c r="H866" s="3055"/>
      <c r="I866" s="3055"/>
      <c r="J866" s="3055"/>
      <c r="K866" s="3055"/>
      <c r="L866" s="3055"/>
      <c r="M866" s="3055"/>
      <c r="N866" s="3055"/>
      <c r="O866" s="3055"/>
      <c r="P866" s="3055"/>
      <c r="Q866" s="3055"/>
      <c r="R866" s="3055">
        <f t="shared" si="3"/>
        <v>0</v>
      </c>
      <c r="S866" s="3055">
        <f t="shared" si="4"/>
        <v>0</v>
      </c>
      <c r="T866" s="3055">
        <f t="shared" si="5"/>
        <v>0</v>
      </c>
      <c r="U866" s="3055">
        <f t="shared" si="6"/>
        <v>0</v>
      </c>
      <c r="V866" s="3055">
        <f t="shared" si="7"/>
        <v>0</v>
      </c>
      <c r="W866" s="3055">
        <f t="shared" si="8"/>
        <v>0</v>
      </c>
      <c r="X866" s="3055">
        <f t="shared" si="9"/>
        <v>0</v>
      </c>
      <c r="Y866" s="3055">
        <f t="shared" si="10"/>
        <v>0</v>
      </c>
      <c r="Z866" s="3055">
        <f t="shared" si="11"/>
        <v>0</v>
      </c>
      <c r="AA866" s="3055">
        <f t="shared" si="12"/>
        <v>0</v>
      </c>
      <c r="AB866" s="3055">
        <f t="shared" si="13"/>
        <v>0</v>
      </c>
      <c r="AC866" s="3055">
        <f t="shared" si="14"/>
        <v>0</v>
      </c>
      <c r="AD866" s="3056"/>
      <c r="AE866" s="3057">
        <f t="shared" si="0"/>
      </c>
      <c r="AF866" s="3054"/>
      <c r="AG866" s="3054"/>
      <c r="AH866" s="3055"/>
      <c r="AI866" s="3055"/>
      <c r="AJ866" s="3055"/>
      <c r="AK866" s="3055"/>
      <c r="AL866" s="3055"/>
      <c r="AM866" s="3055"/>
      <c r="AN866" s="3055"/>
      <c r="AO866" s="3055"/>
      <c r="AP866" s="3055"/>
      <c r="AQ866" s="3055"/>
      <c r="AR866" s="3055"/>
      <c r="AS866" s="3055"/>
      <c r="AT866" s="3055"/>
      <c r="AU866" s="3056"/>
      <c r="AV866" s="3057">
        <f t="shared" si="15"/>
      </c>
      <c r="AW866" s="3054"/>
      <c r="AX866" s="3054"/>
      <c r="AY866" s="3055"/>
      <c r="AZ866" s="3055"/>
      <c r="BA866" s="3055"/>
      <c r="BB866" s="3055"/>
      <c r="BC866" s="3055"/>
      <c r="BD866" s="3055"/>
      <c r="BE866" s="3055"/>
      <c r="BF866" s="3055"/>
      <c r="BG866" s="3055"/>
      <c r="BH866" s="3055"/>
      <c r="BI866" s="3055"/>
      <c r="BJ866" s="3055"/>
      <c r="BK866" s="3055"/>
      <c r="BL866" s="3056"/>
      <c r="BM866" s="3057">
        <f t="shared" si="16"/>
      </c>
      <c r="BN866" s="3054"/>
      <c r="BO866" s="3054"/>
      <c r="BP866" s="3055"/>
      <c r="BQ866" s="3055"/>
      <c r="BR866" s="3055"/>
      <c r="BS866" s="3055"/>
      <c r="BT866" s="3055"/>
      <c r="BU866" s="3055"/>
      <c r="BV866" s="3055"/>
      <c r="BW866" s="3055"/>
      <c r="BX866" s="3055"/>
      <c r="BY866" s="3055"/>
      <c r="BZ866" s="3055"/>
      <c r="CA866" s="3055"/>
      <c r="CB866" s="3055"/>
      <c r="CC866" s="3056"/>
      <c r="CD866" s="3057">
        <f t="shared" si="0"/>
      </c>
      <c r="CE866" s="3054"/>
      <c r="CF866" s="3054"/>
      <c r="CG866" s="3055"/>
      <c r="CH866" s="3055"/>
      <c r="CI866" s="3055"/>
      <c r="CJ866" s="3055"/>
      <c r="CK866" s="3055"/>
      <c r="CL866" s="3055"/>
      <c r="CM866" s="3055"/>
      <c r="CN866" s="3055"/>
      <c r="CO866" s="3055"/>
      <c r="CP866" s="3055"/>
      <c r="CQ866" s="3055"/>
      <c r="CR866" s="3055"/>
      <c r="CS866" s="3055"/>
      <c r="CU866" s="3054"/>
      <c r="CV866" s="696"/>
      <c r="CW866" s="696"/>
      <c r="CZ866" s="3060">
        <f t="shared" si="17"/>
      </c>
      <c r="DA866" s="3060">
        <f t="shared" si="1"/>
      </c>
      <c r="DB866" s="3060">
        <f t="shared" si="18"/>
      </c>
      <c r="DC866" s="3060">
        <f t="shared" si="19"/>
      </c>
      <c r="DD866" s="3060">
        <f t="shared" si="20"/>
      </c>
      <c r="DE866" s="3060">
        <f t="shared" si="21"/>
      </c>
      <c r="DF866" s="3060">
        <f t="shared" si="22"/>
      </c>
      <c r="DG866" s="3060">
        <f t="shared" si="23"/>
      </c>
      <c r="DH866" s="3060">
        <f t="shared" si="24"/>
      </c>
      <c r="DI866" s="3060">
        <f t="shared" si="1"/>
      </c>
    </row>
    <row r="867" ht="15" customHeight="1" s="3052" customFormat="1">
      <c r="B867" s="3054">
        <f t="shared" si="2"/>
      </c>
      <c r="C867" s="3054"/>
      <c r="D867" s="3054"/>
      <c r="E867" s="3055"/>
      <c r="F867" s="3055"/>
      <c r="G867" s="3055"/>
      <c r="H867" s="3055"/>
      <c r="I867" s="3055"/>
      <c r="J867" s="3055"/>
      <c r="K867" s="3055"/>
      <c r="L867" s="3055"/>
      <c r="M867" s="3055"/>
      <c r="N867" s="3055"/>
      <c r="O867" s="3055"/>
      <c r="P867" s="3055"/>
      <c r="Q867" s="3055"/>
      <c r="R867" s="3055">
        <f t="shared" si="3"/>
        <v>0</v>
      </c>
      <c r="S867" s="3055">
        <f t="shared" si="4"/>
        <v>0</v>
      </c>
      <c r="T867" s="3055">
        <f t="shared" si="5"/>
        <v>0</v>
      </c>
      <c r="U867" s="3055">
        <f t="shared" si="6"/>
        <v>0</v>
      </c>
      <c r="V867" s="3055">
        <f t="shared" si="7"/>
        <v>0</v>
      </c>
      <c r="W867" s="3055">
        <f t="shared" si="8"/>
        <v>0</v>
      </c>
      <c r="X867" s="3055">
        <f t="shared" si="9"/>
        <v>0</v>
      </c>
      <c r="Y867" s="3055">
        <f t="shared" si="10"/>
        <v>0</v>
      </c>
      <c r="Z867" s="3055">
        <f t="shared" si="11"/>
        <v>0</v>
      </c>
      <c r="AA867" s="3055">
        <f t="shared" si="12"/>
        <v>0</v>
      </c>
      <c r="AB867" s="3055">
        <f t="shared" si="13"/>
        <v>0</v>
      </c>
      <c r="AC867" s="3055">
        <f t="shared" si="14"/>
        <v>0</v>
      </c>
      <c r="AD867" s="3056"/>
      <c r="AE867" s="3057">
        <f t="shared" si="0"/>
      </c>
      <c r="AF867" s="3054"/>
      <c r="AG867" s="3054"/>
      <c r="AH867" s="3055"/>
      <c r="AI867" s="3055"/>
      <c r="AJ867" s="3055"/>
      <c r="AK867" s="3055"/>
      <c r="AL867" s="3055"/>
      <c r="AM867" s="3055"/>
      <c r="AN867" s="3055"/>
      <c r="AO867" s="3055"/>
      <c r="AP867" s="3055"/>
      <c r="AQ867" s="3055"/>
      <c r="AR867" s="3055"/>
      <c r="AS867" s="3055"/>
      <c r="AT867" s="3055"/>
      <c r="AU867" s="3056"/>
      <c r="AV867" s="3057">
        <f t="shared" si="15"/>
      </c>
      <c r="AW867" s="3054"/>
      <c r="AX867" s="3054"/>
      <c r="AY867" s="3055"/>
      <c r="AZ867" s="3055"/>
      <c r="BA867" s="3055"/>
      <c r="BB867" s="3055"/>
      <c r="BC867" s="3055"/>
      <c r="BD867" s="3055"/>
      <c r="BE867" s="3055"/>
      <c r="BF867" s="3055"/>
      <c r="BG867" s="3055"/>
      <c r="BH867" s="3055"/>
      <c r="BI867" s="3055"/>
      <c r="BJ867" s="3055"/>
      <c r="BK867" s="3055"/>
      <c r="BL867" s="3056"/>
      <c r="BM867" s="3057">
        <f t="shared" si="16"/>
      </c>
      <c r="BN867" s="3054"/>
      <c r="BO867" s="3054"/>
      <c r="BP867" s="3055"/>
      <c r="BQ867" s="3055"/>
      <c r="BR867" s="3055"/>
      <c r="BS867" s="3055"/>
      <c r="BT867" s="3055"/>
      <c r="BU867" s="3055"/>
      <c r="BV867" s="3055"/>
      <c r="BW867" s="3055"/>
      <c r="BX867" s="3055"/>
      <c r="BY867" s="3055"/>
      <c r="BZ867" s="3055"/>
      <c r="CA867" s="3055"/>
      <c r="CB867" s="3055"/>
      <c r="CC867" s="3056"/>
      <c r="CD867" s="3057">
        <f t="shared" si="0"/>
      </c>
      <c r="CE867" s="3054"/>
      <c r="CF867" s="3054"/>
      <c r="CG867" s="3055"/>
      <c r="CH867" s="3055"/>
      <c r="CI867" s="3055"/>
      <c r="CJ867" s="3055"/>
      <c r="CK867" s="3055"/>
      <c r="CL867" s="3055"/>
      <c r="CM867" s="3055"/>
      <c r="CN867" s="3055"/>
      <c r="CO867" s="3055"/>
      <c r="CP867" s="3055"/>
      <c r="CQ867" s="3055"/>
      <c r="CR867" s="3055"/>
      <c r="CS867" s="3055"/>
      <c r="CU867" s="3054"/>
      <c r="CV867" s="696"/>
      <c r="CW867" s="696"/>
      <c r="CZ867" s="3060">
        <f t="shared" si="17"/>
      </c>
      <c r="DA867" s="3060">
        <f t="shared" si="1"/>
      </c>
      <c r="DB867" s="3060">
        <f t="shared" si="18"/>
      </c>
      <c r="DC867" s="3060">
        <f t="shared" si="19"/>
      </c>
      <c r="DD867" s="3060">
        <f t="shared" si="20"/>
      </c>
      <c r="DE867" s="3060">
        <f t="shared" si="21"/>
      </c>
      <c r="DF867" s="3060">
        <f t="shared" si="22"/>
      </c>
      <c r="DG867" s="3060">
        <f t="shared" si="23"/>
      </c>
      <c r="DH867" s="3060">
        <f t="shared" si="24"/>
      </c>
      <c r="DI867" s="3060">
        <f t="shared" si="1"/>
      </c>
    </row>
    <row r="868" ht="15" customHeight="1" s="3052" customFormat="1">
      <c r="B868" s="3054">
        <f t="shared" si="2"/>
      </c>
      <c r="C868" s="3054"/>
      <c r="D868" s="3054"/>
      <c r="E868" s="3055"/>
      <c r="F868" s="3055"/>
      <c r="G868" s="3055"/>
      <c r="H868" s="3055"/>
      <c r="I868" s="3055"/>
      <c r="J868" s="3055"/>
      <c r="K868" s="3055"/>
      <c r="L868" s="3055"/>
      <c r="M868" s="3055"/>
      <c r="N868" s="3055"/>
      <c r="O868" s="3055"/>
      <c r="P868" s="3055"/>
      <c r="Q868" s="3055"/>
      <c r="R868" s="3055">
        <f t="shared" si="3"/>
        <v>0</v>
      </c>
      <c r="S868" s="3055">
        <f t="shared" si="4"/>
        <v>0</v>
      </c>
      <c r="T868" s="3055">
        <f t="shared" si="5"/>
        <v>0</v>
      </c>
      <c r="U868" s="3055">
        <f t="shared" si="6"/>
        <v>0</v>
      </c>
      <c r="V868" s="3055">
        <f t="shared" si="7"/>
        <v>0</v>
      </c>
      <c r="W868" s="3055">
        <f t="shared" si="8"/>
        <v>0</v>
      </c>
      <c r="X868" s="3055">
        <f t="shared" si="9"/>
        <v>0</v>
      </c>
      <c r="Y868" s="3055">
        <f t="shared" si="10"/>
        <v>0</v>
      </c>
      <c r="Z868" s="3055">
        <f t="shared" si="11"/>
        <v>0</v>
      </c>
      <c r="AA868" s="3055">
        <f t="shared" si="12"/>
        <v>0</v>
      </c>
      <c r="AB868" s="3055">
        <f t="shared" si="13"/>
        <v>0</v>
      </c>
      <c r="AC868" s="3055">
        <f t="shared" si="14"/>
        <v>0</v>
      </c>
      <c r="AD868" s="3056"/>
      <c r="AE868" s="3057">
        <f t="shared" si="0"/>
      </c>
      <c r="AF868" s="3054"/>
      <c r="AG868" s="3054"/>
      <c r="AH868" s="3055"/>
      <c r="AI868" s="3055"/>
      <c r="AJ868" s="3055"/>
      <c r="AK868" s="3055"/>
      <c r="AL868" s="3055"/>
      <c r="AM868" s="3055"/>
      <c r="AN868" s="3055"/>
      <c r="AO868" s="3055"/>
      <c r="AP868" s="3055"/>
      <c r="AQ868" s="3055"/>
      <c r="AR868" s="3055"/>
      <c r="AS868" s="3055"/>
      <c r="AT868" s="3055"/>
      <c r="AU868" s="3056"/>
      <c r="AV868" s="3057">
        <f t="shared" si="15"/>
      </c>
      <c r="AW868" s="3054"/>
      <c r="AX868" s="3054"/>
      <c r="AY868" s="3055"/>
      <c r="AZ868" s="3055"/>
      <c r="BA868" s="3055"/>
      <c r="BB868" s="3055"/>
      <c r="BC868" s="3055"/>
      <c r="BD868" s="3055"/>
      <c r="BE868" s="3055"/>
      <c r="BF868" s="3055"/>
      <c r="BG868" s="3055"/>
      <c r="BH868" s="3055"/>
      <c r="BI868" s="3055"/>
      <c r="BJ868" s="3055"/>
      <c r="BK868" s="3055"/>
      <c r="BL868" s="3056"/>
      <c r="BM868" s="3057">
        <f t="shared" si="16"/>
      </c>
      <c r="BN868" s="3054"/>
      <c r="BO868" s="3054"/>
      <c r="BP868" s="3055"/>
      <c r="BQ868" s="3055"/>
      <c r="BR868" s="3055"/>
      <c r="BS868" s="3055"/>
      <c r="BT868" s="3055"/>
      <c r="BU868" s="3055"/>
      <c r="BV868" s="3055"/>
      <c r="BW868" s="3055"/>
      <c r="BX868" s="3055"/>
      <c r="BY868" s="3055"/>
      <c r="BZ868" s="3055"/>
      <c r="CA868" s="3055"/>
      <c r="CB868" s="3055"/>
      <c r="CC868" s="3056"/>
      <c r="CD868" s="3057">
        <f t="shared" si="0"/>
      </c>
      <c r="CE868" s="3054"/>
      <c r="CF868" s="3054"/>
      <c r="CG868" s="3055"/>
      <c r="CH868" s="3055"/>
      <c r="CI868" s="3055"/>
      <c r="CJ868" s="3055"/>
      <c r="CK868" s="3055"/>
      <c r="CL868" s="3055"/>
      <c r="CM868" s="3055"/>
      <c r="CN868" s="3055"/>
      <c r="CO868" s="3055"/>
      <c r="CP868" s="3055"/>
      <c r="CQ868" s="3055"/>
      <c r="CR868" s="3055"/>
      <c r="CS868" s="3055"/>
      <c r="CU868" s="3054"/>
      <c r="CV868" s="696"/>
      <c r="CW868" s="696"/>
      <c r="CZ868" s="3060">
        <f t="shared" si="17"/>
      </c>
      <c r="DA868" s="3060">
        <f t="shared" si="1"/>
      </c>
      <c r="DB868" s="3060">
        <f t="shared" si="18"/>
      </c>
      <c r="DC868" s="3060">
        <f t="shared" si="19"/>
      </c>
      <c r="DD868" s="3060">
        <f t="shared" si="20"/>
      </c>
      <c r="DE868" s="3060">
        <f t="shared" si="21"/>
      </c>
      <c r="DF868" s="3060">
        <f t="shared" si="22"/>
      </c>
      <c r="DG868" s="3060">
        <f t="shared" si="23"/>
      </c>
      <c r="DH868" s="3060">
        <f t="shared" si="24"/>
      </c>
      <c r="DI868" s="3060">
        <f t="shared" si="1"/>
      </c>
    </row>
    <row r="869" ht="15" customHeight="1" s="3052" customFormat="1">
      <c r="B869" s="3054">
        <f t="shared" si="2"/>
      </c>
      <c r="C869" s="3054"/>
      <c r="D869" s="3054"/>
      <c r="E869" s="3055"/>
      <c r="F869" s="3055"/>
      <c r="G869" s="3055"/>
      <c r="H869" s="3055"/>
      <c r="I869" s="3055"/>
      <c r="J869" s="3055"/>
      <c r="K869" s="3055"/>
      <c r="L869" s="3055"/>
      <c r="M869" s="3055"/>
      <c r="N869" s="3055"/>
      <c r="O869" s="3055"/>
      <c r="P869" s="3055"/>
      <c r="Q869" s="3055"/>
      <c r="R869" s="3055">
        <f t="shared" si="3"/>
        <v>0</v>
      </c>
      <c r="S869" s="3055">
        <f t="shared" si="4"/>
        <v>0</v>
      </c>
      <c r="T869" s="3055">
        <f t="shared" si="5"/>
        <v>0</v>
      </c>
      <c r="U869" s="3055">
        <f t="shared" si="6"/>
        <v>0</v>
      </c>
      <c r="V869" s="3055">
        <f t="shared" si="7"/>
        <v>0</v>
      </c>
      <c r="W869" s="3055">
        <f t="shared" si="8"/>
        <v>0</v>
      </c>
      <c r="X869" s="3055">
        <f t="shared" si="9"/>
        <v>0</v>
      </c>
      <c r="Y869" s="3055">
        <f t="shared" si="10"/>
        <v>0</v>
      </c>
      <c r="Z869" s="3055">
        <f t="shared" si="11"/>
        <v>0</v>
      </c>
      <c r="AA869" s="3055">
        <f t="shared" si="12"/>
        <v>0</v>
      </c>
      <c r="AB869" s="3055">
        <f t="shared" si="13"/>
        <v>0</v>
      </c>
      <c r="AC869" s="3055">
        <f t="shared" si="14"/>
        <v>0</v>
      </c>
      <c r="AD869" s="3056"/>
      <c r="AE869" s="3057">
        <f t="shared" si="0"/>
      </c>
      <c r="AF869" s="3054"/>
      <c r="AG869" s="3054"/>
      <c r="AH869" s="3055"/>
      <c r="AI869" s="3055"/>
      <c r="AJ869" s="3055"/>
      <c r="AK869" s="3055"/>
      <c r="AL869" s="3055"/>
      <c r="AM869" s="3055"/>
      <c r="AN869" s="3055"/>
      <c r="AO869" s="3055"/>
      <c r="AP869" s="3055"/>
      <c r="AQ869" s="3055"/>
      <c r="AR869" s="3055"/>
      <c r="AS869" s="3055"/>
      <c r="AT869" s="3055"/>
      <c r="AU869" s="3056"/>
      <c r="AV869" s="3057">
        <f t="shared" si="15"/>
      </c>
      <c r="AW869" s="3054"/>
      <c r="AX869" s="3054"/>
      <c r="AY869" s="3055"/>
      <c r="AZ869" s="3055"/>
      <c r="BA869" s="3055"/>
      <c r="BB869" s="3055"/>
      <c r="BC869" s="3055"/>
      <c r="BD869" s="3055"/>
      <c r="BE869" s="3055"/>
      <c r="BF869" s="3055"/>
      <c r="BG869" s="3055"/>
      <c r="BH869" s="3055"/>
      <c r="BI869" s="3055"/>
      <c r="BJ869" s="3055"/>
      <c r="BK869" s="3055"/>
      <c r="BL869" s="3056"/>
      <c r="BM869" s="3057">
        <f t="shared" si="16"/>
      </c>
      <c r="BN869" s="3054"/>
      <c r="BO869" s="3054"/>
      <c r="BP869" s="3055"/>
      <c r="BQ869" s="3055"/>
      <c r="BR869" s="3055"/>
      <c r="BS869" s="3055"/>
      <c r="BT869" s="3055"/>
      <c r="BU869" s="3055"/>
      <c r="BV869" s="3055"/>
      <c r="BW869" s="3055"/>
      <c r="BX869" s="3055"/>
      <c r="BY869" s="3055"/>
      <c r="BZ869" s="3055"/>
      <c r="CA869" s="3055"/>
      <c r="CB869" s="3055"/>
      <c r="CC869" s="3056"/>
      <c r="CD869" s="3057">
        <f t="shared" si="0"/>
      </c>
      <c r="CE869" s="3054"/>
      <c r="CF869" s="3054"/>
      <c r="CG869" s="3055"/>
      <c r="CH869" s="3055"/>
      <c r="CI869" s="3055"/>
      <c r="CJ869" s="3055"/>
      <c r="CK869" s="3055"/>
      <c r="CL869" s="3055"/>
      <c r="CM869" s="3055"/>
      <c r="CN869" s="3055"/>
      <c r="CO869" s="3055"/>
      <c r="CP869" s="3055"/>
      <c r="CQ869" s="3055"/>
      <c r="CR869" s="3055"/>
      <c r="CS869" s="3055"/>
      <c r="CU869" s="3054"/>
      <c r="CV869" s="696"/>
      <c r="CW869" s="696"/>
      <c r="CZ869" s="3060">
        <f t="shared" si="17"/>
      </c>
      <c r="DA869" s="3060">
        <f t="shared" si="1"/>
      </c>
      <c r="DB869" s="3060">
        <f t="shared" si="18"/>
      </c>
      <c r="DC869" s="3060">
        <f t="shared" si="19"/>
      </c>
      <c r="DD869" s="3060">
        <f t="shared" si="20"/>
      </c>
      <c r="DE869" s="3060">
        <f t="shared" si="21"/>
      </c>
      <c r="DF869" s="3060">
        <f t="shared" si="22"/>
      </c>
      <c r="DG869" s="3060">
        <f t="shared" si="23"/>
      </c>
      <c r="DH869" s="3060">
        <f t="shared" si="24"/>
      </c>
      <c r="DI869" s="3060">
        <f t="shared" si="1"/>
      </c>
    </row>
    <row r="870" ht="15" customHeight="1" s="3052" customFormat="1">
      <c r="B870" s="3054">
        <f t="shared" si="2"/>
      </c>
      <c r="C870" s="3054"/>
      <c r="D870" s="3054"/>
      <c r="E870" s="3055"/>
      <c r="F870" s="3055"/>
      <c r="G870" s="3055"/>
      <c r="H870" s="3055"/>
      <c r="I870" s="3055"/>
      <c r="J870" s="3055"/>
      <c r="K870" s="3055"/>
      <c r="L870" s="3055"/>
      <c r="M870" s="3055"/>
      <c r="N870" s="3055"/>
      <c r="O870" s="3055"/>
      <c r="P870" s="3055"/>
      <c r="Q870" s="3055"/>
      <c r="R870" s="3055">
        <f t="shared" si="3"/>
        <v>0</v>
      </c>
      <c r="S870" s="3055">
        <f t="shared" si="4"/>
        <v>0</v>
      </c>
      <c r="T870" s="3055">
        <f t="shared" si="5"/>
        <v>0</v>
      </c>
      <c r="U870" s="3055">
        <f t="shared" si="6"/>
        <v>0</v>
      </c>
      <c r="V870" s="3055">
        <f t="shared" si="7"/>
        <v>0</v>
      </c>
      <c r="W870" s="3055">
        <f t="shared" si="8"/>
        <v>0</v>
      </c>
      <c r="X870" s="3055">
        <f t="shared" si="9"/>
        <v>0</v>
      </c>
      <c r="Y870" s="3055">
        <f t="shared" si="10"/>
        <v>0</v>
      </c>
      <c r="Z870" s="3055">
        <f t="shared" si="11"/>
        <v>0</v>
      </c>
      <c r="AA870" s="3055">
        <f t="shared" si="12"/>
        <v>0</v>
      </c>
      <c r="AB870" s="3055">
        <f t="shared" si="13"/>
        <v>0</v>
      </c>
      <c r="AC870" s="3055">
        <f t="shared" si="14"/>
        <v>0</v>
      </c>
      <c r="AD870" s="3056"/>
      <c r="AE870" s="3057">
        <f t="shared" si="0"/>
      </c>
      <c r="AF870" s="3054"/>
      <c r="AG870" s="3054"/>
      <c r="AH870" s="3055"/>
      <c r="AI870" s="3055"/>
      <c r="AJ870" s="3055"/>
      <c r="AK870" s="3055"/>
      <c r="AL870" s="3055"/>
      <c r="AM870" s="3055"/>
      <c r="AN870" s="3055"/>
      <c r="AO870" s="3055"/>
      <c r="AP870" s="3055"/>
      <c r="AQ870" s="3055"/>
      <c r="AR870" s="3055"/>
      <c r="AS870" s="3055"/>
      <c r="AT870" s="3055"/>
      <c r="AU870" s="3056"/>
      <c r="AV870" s="3057">
        <f t="shared" si="15"/>
      </c>
      <c r="AW870" s="3054"/>
      <c r="AX870" s="3054"/>
      <c r="AY870" s="3055"/>
      <c r="AZ870" s="3055"/>
      <c r="BA870" s="3055"/>
      <c r="BB870" s="3055"/>
      <c r="BC870" s="3055"/>
      <c r="BD870" s="3055"/>
      <c r="BE870" s="3055"/>
      <c r="BF870" s="3055"/>
      <c r="BG870" s="3055"/>
      <c r="BH870" s="3055"/>
      <c r="BI870" s="3055"/>
      <c r="BJ870" s="3055"/>
      <c r="BK870" s="3055"/>
      <c r="BL870" s="3056"/>
      <c r="BM870" s="3057">
        <f t="shared" si="16"/>
      </c>
      <c r="BN870" s="3054"/>
      <c r="BO870" s="3054"/>
      <c r="BP870" s="3055"/>
      <c r="BQ870" s="3055"/>
      <c r="BR870" s="3055"/>
      <c r="BS870" s="3055"/>
      <c r="BT870" s="3055"/>
      <c r="BU870" s="3055"/>
      <c r="BV870" s="3055"/>
      <c r="BW870" s="3055"/>
      <c r="BX870" s="3055"/>
      <c r="BY870" s="3055"/>
      <c r="BZ870" s="3055"/>
      <c r="CA870" s="3055"/>
      <c r="CB870" s="3055"/>
      <c r="CC870" s="3056"/>
      <c r="CD870" s="3057">
        <f t="shared" si="0"/>
      </c>
      <c r="CE870" s="3054"/>
      <c r="CF870" s="3054"/>
      <c r="CG870" s="3055"/>
      <c r="CH870" s="3055"/>
      <c r="CI870" s="3055"/>
      <c r="CJ870" s="3055"/>
      <c r="CK870" s="3055"/>
      <c r="CL870" s="3055"/>
      <c r="CM870" s="3055"/>
      <c r="CN870" s="3055"/>
      <c r="CO870" s="3055"/>
      <c r="CP870" s="3055"/>
      <c r="CQ870" s="3055"/>
      <c r="CR870" s="3055"/>
      <c r="CS870" s="3055"/>
      <c r="CU870" s="3054"/>
      <c r="CV870" s="696"/>
      <c r="CW870" s="696"/>
      <c r="CZ870" s="3060">
        <f t="shared" si="17"/>
      </c>
      <c r="DA870" s="3060">
        <f t="shared" si="1"/>
      </c>
      <c r="DB870" s="3060">
        <f t="shared" si="18"/>
      </c>
      <c r="DC870" s="3060">
        <f t="shared" si="19"/>
      </c>
      <c r="DD870" s="3060">
        <f t="shared" si="20"/>
      </c>
      <c r="DE870" s="3060">
        <f t="shared" si="21"/>
      </c>
      <c r="DF870" s="3060">
        <f t="shared" si="22"/>
      </c>
      <c r="DG870" s="3060">
        <f t="shared" si="23"/>
      </c>
      <c r="DH870" s="3060">
        <f t="shared" si="24"/>
      </c>
      <c r="DI870" s="3060">
        <f t="shared" si="1"/>
      </c>
    </row>
    <row r="871" ht="15" customHeight="1" s="3052" customFormat="1">
      <c r="B871" s="3054">
        <f t="shared" si="2"/>
      </c>
      <c r="C871" s="3054"/>
      <c r="D871" s="3054"/>
      <c r="E871" s="3055"/>
      <c r="F871" s="3055"/>
      <c r="G871" s="3055"/>
      <c r="H871" s="3055"/>
      <c r="I871" s="3055"/>
      <c r="J871" s="3055"/>
      <c r="K871" s="3055"/>
      <c r="L871" s="3055"/>
      <c r="M871" s="3055"/>
      <c r="N871" s="3055"/>
      <c r="O871" s="3055"/>
      <c r="P871" s="3055"/>
      <c r="Q871" s="3055"/>
      <c r="R871" s="3055">
        <f t="shared" si="3"/>
        <v>0</v>
      </c>
      <c r="S871" s="3055">
        <f t="shared" si="4"/>
        <v>0</v>
      </c>
      <c r="T871" s="3055">
        <f t="shared" si="5"/>
        <v>0</v>
      </c>
      <c r="U871" s="3055">
        <f t="shared" si="6"/>
        <v>0</v>
      </c>
      <c r="V871" s="3055">
        <f t="shared" si="7"/>
        <v>0</v>
      </c>
      <c r="W871" s="3055">
        <f t="shared" si="8"/>
        <v>0</v>
      </c>
      <c r="X871" s="3055">
        <f t="shared" si="9"/>
        <v>0</v>
      </c>
      <c r="Y871" s="3055">
        <f t="shared" si="10"/>
        <v>0</v>
      </c>
      <c r="Z871" s="3055">
        <f t="shared" si="11"/>
        <v>0</v>
      </c>
      <c r="AA871" s="3055">
        <f t="shared" si="12"/>
        <v>0</v>
      </c>
      <c r="AB871" s="3055">
        <f t="shared" si="13"/>
        <v>0</v>
      </c>
      <c r="AC871" s="3055">
        <f t="shared" si="14"/>
        <v>0</v>
      </c>
      <c r="AD871" s="3056"/>
      <c r="AE871" s="3057">
        <f t="shared" si="0"/>
      </c>
      <c r="AF871" s="3054"/>
      <c r="AG871" s="3054"/>
      <c r="AH871" s="3055"/>
      <c r="AI871" s="3055"/>
      <c r="AJ871" s="3055"/>
      <c r="AK871" s="3055"/>
      <c r="AL871" s="3055"/>
      <c r="AM871" s="3055"/>
      <c r="AN871" s="3055"/>
      <c r="AO871" s="3055"/>
      <c r="AP871" s="3055"/>
      <c r="AQ871" s="3055"/>
      <c r="AR871" s="3055"/>
      <c r="AS871" s="3055"/>
      <c r="AT871" s="3055"/>
      <c r="AU871" s="3056"/>
      <c r="AV871" s="3057">
        <f t="shared" si="15"/>
      </c>
      <c r="AW871" s="3054"/>
      <c r="AX871" s="3054"/>
      <c r="AY871" s="3055"/>
      <c r="AZ871" s="3055"/>
      <c r="BA871" s="3055"/>
      <c r="BB871" s="3055"/>
      <c r="BC871" s="3055"/>
      <c r="BD871" s="3055"/>
      <c r="BE871" s="3055"/>
      <c r="BF871" s="3055"/>
      <c r="BG871" s="3055"/>
      <c r="BH871" s="3055"/>
      <c r="BI871" s="3055"/>
      <c r="BJ871" s="3055"/>
      <c r="BK871" s="3055"/>
      <c r="BL871" s="3056"/>
      <c r="BM871" s="3057">
        <f t="shared" si="16"/>
      </c>
      <c r="BN871" s="3054"/>
      <c r="BO871" s="3054"/>
      <c r="BP871" s="3055"/>
      <c r="BQ871" s="3055"/>
      <c r="BR871" s="3055"/>
      <c r="BS871" s="3055"/>
      <c r="BT871" s="3055"/>
      <c r="BU871" s="3055"/>
      <c r="BV871" s="3055"/>
      <c r="BW871" s="3055"/>
      <c r="BX871" s="3055"/>
      <c r="BY871" s="3055"/>
      <c r="BZ871" s="3055"/>
      <c r="CA871" s="3055"/>
      <c r="CB871" s="3055"/>
      <c r="CC871" s="3056"/>
      <c r="CD871" s="3057">
        <f t="shared" si="0"/>
      </c>
      <c r="CE871" s="3054"/>
      <c r="CF871" s="3054"/>
      <c r="CG871" s="3055"/>
      <c r="CH871" s="3055"/>
      <c r="CI871" s="3055"/>
      <c r="CJ871" s="3055"/>
      <c r="CK871" s="3055"/>
      <c r="CL871" s="3055"/>
      <c r="CM871" s="3055"/>
      <c r="CN871" s="3055"/>
      <c r="CO871" s="3055"/>
      <c r="CP871" s="3055"/>
      <c r="CQ871" s="3055"/>
      <c r="CR871" s="3055"/>
      <c r="CS871" s="3055"/>
      <c r="CU871" s="3054"/>
      <c r="CV871" s="696"/>
      <c r="CW871" s="696"/>
      <c r="CZ871" s="3060">
        <f t="shared" si="17"/>
      </c>
      <c r="DA871" s="3060">
        <f t="shared" si="1"/>
      </c>
      <c r="DB871" s="3060">
        <f t="shared" si="18"/>
      </c>
      <c r="DC871" s="3060">
        <f t="shared" si="19"/>
      </c>
      <c r="DD871" s="3060">
        <f t="shared" si="20"/>
      </c>
      <c r="DE871" s="3060">
        <f t="shared" si="21"/>
      </c>
      <c r="DF871" s="3060">
        <f t="shared" si="22"/>
      </c>
      <c r="DG871" s="3060">
        <f t="shared" si="23"/>
      </c>
      <c r="DH871" s="3060">
        <f t="shared" si="24"/>
      </c>
      <c r="DI871" s="3060">
        <f t="shared" si="1"/>
      </c>
    </row>
    <row r="872" ht="15" customHeight="1" s="3052" customFormat="1">
      <c r="B872" s="3054">
        <f t="shared" si="2"/>
      </c>
      <c r="C872" s="3054"/>
      <c r="D872" s="3054"/>
      <c r="E872" s="3055"/>
      <c r="F872" s="3055"/>
      <c r="G872" s="3055"/>
      <c r="H872" s="3055"/>
      <c r="I872" s="3055"/>
      <c r="J872" s="3055"/>
      <c r="K872" s="3055"/>
      <c r="L872" s="3055"/>
      <c r="M872" s="3055"/>
      <c r="N872" s="3055"/>
      <c r="O872" s="3055"/>
      <c r="P872" s="3055"/>
      <c r="Q872" s="3055"/>
      <c r="R872" s="3055">
        <f t="shared" si="3"/>
        <v>0</v>
      </c>
      <c r="S872" s="3055">
        <f t="shared" si="4"/>
        <v>0</v>
      </c>
      <c r="T872" s="3055">
        <f t="shared" si="5"/>
        <v>0</v>
      </c>
      <c r="U872" s="3055">
        <f t="shared" si="6"/>
        <v>0</v>
      </c>
      <c r="V872" s="3055">
        <f t="shared" si="7"/>
        <v>0</v>
      </c>
      <c r="W872" s="3055">
        <f t="shared" si="8"/>
        <v>0</v>
      </c>
      <c r="X872" s="3055">
        <f t="shared" si="9"/>
        <v>0</v>
      </c>
      <c r="Y872" s="3055">
        <f t="shared" si="10"/>
        <v>0</v>
      </c>
      <c r="Z872" s="3055">
        <f t="shared" si="11"/>
        <v>0</v>
      </c>
      <c r="AA872" s="3055">
        <f t="shared" si="12"/>
        <v>0</v>
      </c>
      <c r="AB872" s="3055">
        <f t="shared" si="13"/>
        <v>0</v>
      </c>
      <c r="AC872" s="3055">
        <f t="shared" si="14"/>
        <v>0</v>
      </c>
      <c r="AD872" s="3056"/>
      <c r="AE872" s="3057">
        <f t="shared" si="0"/>
      </c>
      <c r="AF872" s="3054"/>
      <c r="AG872" s="3054"/>
      <c r="AH872" s="3055"/>
      <c r="AI872" s="3055"/>
      <c r="AJ872" s="3055"/>
      <c r="AK872" s="3055"/>
      <c r="AL872" s="3055"/>
      <c r="AM872" s="3055"/>
      <c r="AN872" s="3055"/>
      <c r="AO872" s="3055"/>
      <c r="AP872" s="3055"/>
      <c r="AQ872" s="3055"/>
      <c r="AR872" s="3055"/>
      <c r="AS872" s="3055"/>
      <c r="AT872" s="3055"/>
      <c r="AU872" s="3056"/>
      <c r="AV872" s="3057">
        <f t="shared" si="15"/>
      </c>
      <c r="AW872" s="3054"/>
      <c r="AX872" s="3054"/>
      <c r="AY872" s="3055"/>
      <c r="AZ872" s="3055"/>
      <c r="BA872" s="3055"/>
      <c r="BB872" s="3055"/>
      <c r="BC872" s="3055"/>
      <c r="BD872" s="3055"/>
      <c r="BE872" s="3055"/>
      <c r="BF872" s="3055"/>
      <c r="BG872" s="3055"/>
      <c r="BH872" s="3055"/>
      <c r="BI872" s="3055"/>
      <c r="BJ872" s="3055"/>
      <c r="BK872" s="3055"/>
      <c r="BL872" s="3056"/>
      <c r="BM872" s="3057">
        <f t="shared" si="16"/>
      </c>
      <c r="BN872" s="3054"/>
      <c r="BO872" s="3054"/>
      <c r="BP872" s="3055"/>
      <c r="BQ872" s="3055"/>
      <c r="BR872" s="3055"/>
      <c r="BS872" s="3055"/>
      <c r="BT872" s="3055"/>
      <c r="BU872" s="3055"/>
      <c r="BV872" s="3055"/>
      <c r="BW872" s="3055"/>
      <c r="BX872" s="3055"/>
      <c r="BY872" s="3055"/>
      <c r="BZ872" s="3055"/>
      <c r="CA872" s="3055"/>
      <c r="CB872" s="3055"/>
      <c r="CC872" s="3056"/>
      <c r="CD872" s="3057">
        <f t="shared" si="0"/>
      </c>
      <c r="CE872" s="3054"/>
      <c r="CF872" s="3054"/>
      <c r="CG872" s="3055"/>
      <c r="CH872" s="3055"/>
      <c r="CI872" s="3055"/>
      <c r="CJ872" s="3055"/>
      <c r="CK872" s="3055"/>
      <c r="CL872" s="3055"/>
      <c r="CM872" s="3055"/>
      <c r="CN872" s="3055"/>
      <c r="CO872" s="3055"/>
      <c r="CP872" s="3055"/>
      <c r="CQ872" s="3055"/>
      <c r="CR872" s="3055"/>
      <c r="CS872" s="3055"/>
      <c r="CU872" s="3054"/>
      <c r="CV872" s="696"/>
      <c r="CW872" s="696"/>
      <c r="CZ872" s="3060">
        <f t="shared" si="17"/>
      </c>
      <c r="DA872" s="3060">
        <f t="shared" si="1"/>
      </c>
      <c r="DB872" s="3060">
        <f t="shared" si="18"/>
      </c>
      <c r="DC872" s="3060">
        <f t="shared" si="19"/>
      </c>
      <c r="DD872" s="3060">
        <f t="shared" si="20"/>
      </c>
      <c r="DE872" s="3060">
        <f t="shared" si="21"/>
      </c>
      <c r="DF872" s="3060">
        <f t="shared" si="22"/>
      </c>
      <c r="DG872" s="3060">
        <f t="shared" si="23"/>
      </c>
      <c r="DH872" s="3060">
        <f t="shared" si="24"/>
      </c>
      <c r="DI872" s="3060">
        <f t="shared" si="1"/>
      </c>
    </row>
    <row r="873" ht="15" customHeight="1" s="3052" customFormat="1">
      <c r="B873" s="3054">
        <f t="shared" si="2"/>
      </c>
      <c r="C873" s="3054"/>
      <c r="D873" s="3054"/>
      <c r="E873" s="3055"/>
      <c r="F873" s="3055"/>
      <c r="G873" s="3055"/>
      <c r="H873" s="3055"/>
      <c r="I873" s="3055"/>
      <c r="J873" s="3055"/>
      <c r="K873" s="3055"/>
      <c r="L873" s="3055"/>
      <c r="M873" s="3055"/>
      <c r="N873" s="3055"/>
      <c r="O873" s="3055"/>
      <c r="P873" s="3055"/>
      <c r="Q873" s="3055"/>
      <c r="R873" s="3055">
        <f t="shared" si="3"/>
        <v>0</v>
      </c>
      <c r="S873" s="3055">
        <f t="shared" si="4"/>
        <v>0</v>
      </c>
      <c r="T873" s="3055">
        <f t="shared" si="5"/>
        <v>0</v>
      </c>
      <c r="U873" s="3055">
        <f t="shared" si="6"/>
        <v>0</v>
      </c>
      <c r="V873" s="3055">
        <f t="shared" si="7"/>
        <v>0</v>
      </c>
      <c r="W873" s="3055">
        <f t="shared" si="8"/>
        <v>0</v>
      </c>
      <c r="X873" s="3055">
        <f t="shared" si="9"/>
        <v>0</v>
      </c>
      <c r="Y873" s="3055">
        <f t="shared" si="10"/>
        <v>0</v>
      </c>
      <c r="Z873" s="3055">
        <f t="shared" si="11"/>
        <v>0</v>
      </c>
      <c r="AA873" s="3055">
        <f t="shared" si="12"/>
        <v>0</v>
      </c>
      <c r="AB873" s="3055">
        <f t="shared" si="13"/>
        <v>0</v>
      </c>
      <c r="AC873" s="3055">
        <f t="shared" si="14"/>
        <v>0</v>
      </c>
      <c r="AD873" s="3056"/>
      <c r="AE873" s="3057">
        <f t="shared" si="0"/>
      </c>
      <c r="AF873" s="3054"/>
      <c r="AG873" s="3054"/>
      <c r="AH873" s="3055"/>
      <c r="AI873" s="3055"/>
      <c r="AJ873" s="3055"/>
      <c r="AK873" s="3055"/>
      <c r="AL873" s="3055"/>
      <c r="AM873" s="3055"/>
      <c r="AN873" s="3055"/>
      <c r="AO873" s="3055"/>
      <c r="AP873" s="3055"/>
      <c r="AQ873" s="3055"/>
      <c r="AR873" s="3055"/>
      <c r="AS873" s="3055"/>
      <c r="AT873" s="3055"/>
      <c r="AU873" s="3056"/>
      <c r="AV873" s="3057">
        <f t="shared" si="15"/>
      </c>
      <c r="AW873" s="3054"/>
      <c r="AX873" s="3054"/>
      <c r="AY873" s="3055"/>
      <c r="AZ873" s="3055"/>
      <c r="BA873" s="3055"/>
      <c r="BB873" s="3055"/>
      <c r="BC873" s="3055"/>
      <c r="BD873" s="3055"/>
      <c r="BE873" s="3055"/>
      <c r="BF873" s="3055"/>
      <c r="BG873" s="3055"/>
      <c r="BH873" s="3055"/>
      <c r="BI873" s="3055"/>
      <c r="BJ873" s="3055"/>
      <c r="BK873" s="3055"/>
      <c r="BL873" s="3056"/>
      <c r="BM873" s="3057">
        <f t="shared" si="16"/>
      </c>
      <c r="BN873" s="3054"/>
      <c r="BO873" s="3054"/>
      <c r="BP873" s="3055"/>
      <c r="BQ873" s="3055"/>
      <c r="BR873" s="3055"/>
      <c r="BS873" s="3055"/>
      <c r="BT873" s="3055"/>
      <c r="BU873" s="3055"/>
      <c r="BV873" s="3055"/>
      <c r="BW873" s="3055"/>
      <c r="BX873" s="3055"/>
      <c r="BY873" s="3055"/>
      <c r="BZ873" s="3055"/>
      <c r="CA873" s="3055"/>
      <c r="CB873" s="3055"/>
      <c r="CC873" s="3056"/>
      <c r="CD873" s="3057">
        <f t="shared" si="0"/>
      </c>
      <c r="CE873" s="3054"/>
      <c r="CF873" s="3054"/>
      <c r="CG873" s="3055"/>
      <c r="CH873" s="3055"/>
      <c r="CI873" s="3055"/>
      <c r="CJ873" s="3055"/>
      <c r="CK873" s="3055"/>
      <c r="CL873" s="3055"/>
      <c r="CM873" s="3055"/>
      <c r="CN873" s="3055"/>
      <c r="CO873" s="3055"/>
      <c r="CP873" s="3055"/>
      <c r="CQ873" s="3055"/>
      <c r="CR873" s="3055"/>
      <c r="CS873" s="3055"/>
      <c r="CU873" s="3054"/>
      <c r="CV873" s="696"/>
      <c r="CW873" s="696"/>
      <c r="CZ873" s="3060">
        <f t="shared" si="17"/>
      </c>
      <c r="DA873" s="3060">
        <f t="shared" si="1"/>
      </c>
      <c r="DB873" s="3060">
        <f t="shared" si="18"/>
      </c>
      <c r="DC873" s="3060">
        <f t="shared" si="19"/>
      </c>
      <c r="DD873" s="3060">
        <f t="shared" si="20"/>
      </c>
      <c r="DE873" s="3060">
        <f t="shared" si="21"/>
      </c>
      <c r="DF873" s="3060">
        <f t="shared" si="22"/>
      </c>
      <c r="DG873" s="3060">
        <f t="shared" si="23"/>
      </c>
      <c r="DH873" s="3060">
        <f t="shared" si="24"/>
      </c>
      <c r="DI873" s="3060">
        <f t="shared" si="1"/>
      </c>
    </row>
    <row r="874" ht="15" customHeight="1" s="3052" customFormat="1">
      <c r="B874" s="3054">
        <f t="shared" si="2"/>
      </c>
      <c r="C874" s="3054"/>
      <c r="D874" s="3054"/>
      <c r="E874" s="3055"/>
      <c r="F874" s="3055"/>
      <c r="G874" s="3055"/>
      <c r="H874" s="3055"/>
      <c r="I874" s="3055"/>
      <c r="J874" s="3055"/>
      <c r="K874" s="3055"/>
      <c r="L874" s="3055"/>
      <c r="M874" s="3055"/>
      <c r="N874" s="3055"/>
      <c r="O874" s="3055"/>
      <c r="P874" s="3055"/>
      <c r="Q874" s="3055"/>
      <c r="R874" s="3055">
        <f t="shared" si="3"/>
        <v>0</v>
      </c>
      <c r="S874" s="3055">
        <f t="shared" si="4"/>
        <v>0</v>
      </c>
      <c r="T874" s="3055">
        <f t="shared" si="5"/>
        <v>0</v>
      </c>
      <c r="U874" s="3055">
        <f t="shared" si="6"/>
        <v>0</v>
      </c>
      <c r="V874" s="3055">
        <f t="shared" si="7"/>
        <v>0</v>
      </c>
      <c r="W874" s="3055">
        <f t="shared" si="8"/>
        <v>0</v>
      </c>
      <c r="X874" s="3055">
        <f t="shared" si="9"/>
        <v>0</v>
      </c>
      <c r="Y874" s="3055">
        <f t="shared" si="10"/>
        <v>0</v>
      </c>
      <c r="Z874" s="3055">
        <f t="shared" si="11"/>
        <v>0</v>
      </c>
      <c r="AA874" s="3055">
        <f t="shared" si="12"/>
        <v>0</v>
      </c>
      <c r="AB874" s="3055">
        <f t="shared" si="13"/>
        <v>0</v>
      </c>
      <c r="AC874" s="3055">
        <f t="shared" si="14"/>
        <v>0</v>
      </c>
      <c r="AD874" s="3056"/>
      <c r="AE874" s="3057">
        <f t="shared" si="0"/>
      </c>
      <c r="AF874" s="3054"/>
      <c r="AG874" s="3054"/>
      <c r="AH874" s="3055"/>
      <c r="AI874" s="3055"/>
      <c r="AJ874" s="3055"/>
      <c r="AK874" s="3055"/>
      <c r="AL874" s="3055"/>
      <c r="AM874" s="3055"/>
      <c r="AN874" s="3055"/>
      <c r="AO874" s="3055"/>
      <c r="AP874" s="3055"/>
      <c r="AQ874" s="3055"/>
      <c r="AR874" s="3055"/>
      <c r="AS874" s="3055"/>
      <c r="AT874" s="3055"/>
      <c r="AU874" s="3056"/>
      <c r="AV874" s="3057">
        <f t="shared" si="15"/>
      </c>
      <c r="AW874" s="3054"/>
      <c r="AX874" s="3054"/>
      <c r="AY874" s="3055"/>
      <c r="AZ874" s="3055"/>
      <c r="BA874" s="3055"/>
      <c r="BB874" s="3055"/>
      <c r="BC874" s="3055"/>
      <c r="BD874" s="3055"/>
      <c r="BE874" s="3055"/>
      <c r="BF874" s="3055"/>
      <c r="BG874" s="3055"/>
      <c r="BH874" s="3055"/>
      <c r="BI874" s="3055"/>
      <c r="BJ874" s="3055"/>
      <c r="BK874" s="3055"/>
      <c r="BL874" s="3056"/>
      <c r="BM874" s="3057">
        <f t="shared" si="16"/>
      </c>
      <c r="BN874" s="3054"/>
      <c r="BO874" s="3054"/>
      <c r="BP874" s="3055"/>
      <c r="BQ874" s="3055"/>
      <c r="BR874" s="3055"/>
      <c r="BS874" s="3055"/>
      <c r="BT874" s="3055"/>
      <c r="BU874" s="3055"/>
      <c r="BV874" s="3055"/>
      <c r="BW874" s="3055"/>
      <c r="BX874" s="3055"/>
      <c r="BY874" s="3055"/>
      <c r="BZ874" s="3055"/>
      <c r="CA874" s="3055"/>
      <c r="CB874" s="3055"/>
      <c r="CC874" s="3056"/>
      <c r="CD874" s="3057">
        <f t="shared" si="0"/>
      </c>
      <c r="CE874" s="3054"/>
      <c r="CF874" s="3054"/>
      <c r="CG874" s="3055"/>
      <c r="CH874" s="3055"/>
      <c r="CI874" s="3055"/>
      <c r="CJ874" s="3055"/>
      <c r="CK874" s="3055"/>
      <c r="CL874" s="3055"/>
      <c r="CM874" s="3055"/>
      <c r="CN874" s="3055"/>
      <c r="CO874" s="3055"/>
      <c r="CP874" s="3055"/>
      <c r="CQ874" s="3055"/>
      <c r="CR874" s="3055"/>
      <c r="CS874" s="3055"/>
      <c r="CU874" s="3054"/>
      <c r="CV874" s="696"/>
      <c r="CW874" s="696"/>
      <c r="CZ874" s="3060">
        <f t="shared" si="17"/>
      </c>
      <c r="DA874" s="3060">
        <f t="shared" si="1"/>
      </c>
      <c r="DB874" s="3060">
        <f t="shared" si="18"/>
      </c>
      <c r="DC874" s="3060">
        <f t="shared" si="19"/>
      </c>
      <c r="DD874" s="3060">
        <f t="shared" si="20"/>
      </c>
      <c r="DE874" s="3060">
        <f t="shared" si="21"/>
      </c>
      <c r="DF874" s="3060">
        <f t="shared" si="22"/>
      </c>
      <c r="DG874" s="3060">
        <f t="shared" si="23"/>
      </c>
      <c r="DH874" s="3060">
        <f t="shared" si="24"/>
      </c>
      <c r="DI874" s="3060">
        <f t="shared" si="1"/>
      </c>
    </row>
    <row r="875" ht="15" customHeight="1" s="3052" customFormat="1">
      <c r="B875" s="3054">
        <f t="shared" si="2"/>
      </c>
      <c r="C875" s="3054"/>
      <c r="D875" s="3054"/>
      <c r="E875" s="3055"/>
      <c r="F875" s="3055"/>
      <c r="G875" s="3055"/>
      <c r="H875" s="3055"/>
      <c r="I875" s="3055"/>
      <c r="J875" s="3055"/>
      <c r="K875" s="3055"/>
      <c r="L875" s="3055"/>
      <c r="M875" s="3055"/>
      <c r="N875" s="3055"/>
      <c r="O875" s="3055"/>
      <c r="P875" s="3055"/>
      <c r="Q875" s="3055"/>
      <c r="R875" s="3055">
        <f t="shared" si="3"/>
        <v>0</v>
      </c>
      <c r="S875" s="3055">
        <f t="shared" si="4"/>
        <v>0</v>
      </c>
      <c r="T875" s="3055">
        <f t="shared" si="5"/>
        <v>0</v>
      </c>
      <c r="U875" s="3055">
        <f t="shared" si="6"/>
        <v>0</v>
      </c>
      <c r="V875" s="3055">
        <f t="shared" si="7"/>
        <v>0</v>
      </c>
      <c r="W875" s="3055">
        <f t="shared" si="8"/>
        <v>0</v>
      </c>
      <c r="X875" s="3055">
        <f t="shared" si="9"/>
        <v>0</v>
      </c>
      <c r="Y875" s="3055">
        <f t="shared" si="10"/>
        <v>0</v>
      </c>
      <c r="Z875" s="3055">
        <f t="shared" si="11"/>
        <v>0</v>
      </c>
      <c r="AA875" s="3055">
        <f t="shared" si="12"/>
        <v>0</v>
      </c>
      <c r="AB875" s="3055">
        <f t="shared" si="13"/>
        <v>0</v>
      </c>
      <c r="AC875" s="3055">
        <f t="shared" si="14"/>
        <v>0</v>
      </c>
      <c r="AD875" s="3056"/>
      <c r="AE875" s="3057">
        <f t="shared" si="0"/>
      </c>
      <c r="AF875" s="3054"/>
      <c r="AG875" s="3054"/>
      <c r="AH875" s="3055"/>
      <c r="AI875" s="3055"/>
      <c r="AJ875" s="3055"/>
      <c r="AK875" s="3055"/>
      <c r="AL875" s="3055"/>
      <c r="AM875" s="3055"/>
      <c r="AN875" s="3055"/>
      <c r="AO875" s="3055"/>
      <c r="AP875" s="3055"/>
      <c r="AQ875" s="3055"/>
      <c r="AR875" s="3055"/>
      <c r="AS875" s="3055"/>
      <c r="AT875" s="3055"/>
      <c r="AU875" s="3056"/>
      <c r="AV875" s="3057">
        <f t="shared" si="15"/>
      </c>
      <c r="AW875" s="3054"/>
      <c r="AX875" s="3054"/>
      <c r="AY875" s="3055"/>
      <c r="AZ875" s="3055"/>
      <c r="BA875" s="3055"/>
      <c r="BB875" s="3055"/>
      <c r="BC875" s="3055"/>
      <c r="BD875" s="3055"/>
      <c r="BE875" s="3055"/>
      <c r="BF875" s="3055"/>
      <c r="BG875" s="3055"/>
      <c r="BH875" s="3055"/>
      <c r="BI875" s="3055"/>
      <c r="BJ875" s="3055"/>
      <c r="BK875" s="3055"/>
      <c r="BL875" s="3056"/>
      <c r="BM875" s="3057">
        <f t="shared" si="16"/>
      </c>
      <c r="BN875" s="3054"/>
      <c r="BO875" s="3054"/>
      <c r="BP875" s="3055"/>
      <c r="BQ875" s="3055"/>
      <c r="BR875" s="3055"/>
      <c r="BS875" s="3055"/>
      <c r="BT875" s="3055"/>
      <c r="BU875" s="3055"/>
      <c r="BV875" s="3055"/>
      <c r="BW875" s="3055"/>
      <c r="BX875" s="3055"/>
      <c r="BY875" s="3055"/>
      <c r="BZ875" s="3055"/>
      <c r="CA875" s="3055"/>
      <c r="CB875" s="3055"/>
      <c r="CC875" s="3056"/>
      <c r="CD875" s="3057">
        <f t="shared" si="0"/>
      </c>
      <c r="CE875" s="3054"/>
      <c r="CF875" s="3054"/>
      <c r="CG875" s="3055"/>
      <c r="CH875" s="3055"/>
      <c r="CI875" s="3055"/>
      <c r="CJ875" s="3055"/>
      <c r="CK875" s="3055"/>
      <c r="CL875" s="3055"/>
      <c r="CM875" s="3055"/>
      <c r="CN875" s="3055"/>
      <c r="CO875" s="3055"/>
      <c r="CP875" s="3055"/>
      <c r="CQ875" s="3055"/>
      <c r="CR875" s="3055"/>
      <c r="CS875" s="3055"/>
      <c r="CU875" s="3054"/>
      <c r="CV875" s="696"/>
      <c r="CW875" s="696"/>
      <c r="CZ875" s="3060">
        <f t="shared" si="17"/>
      </c>
      <c r="DA875" s="3060">
        <f t="shared" si="1"/>
      </c>
      <c r="DB875" s="3060">
        <f t="shared" si="18"/>
      </c>
      <c r="DC875" s="3060">
        <f t="shared" si="19"/>
      </c>
      <c r="DD875" s="3060">
        <f t="shared" si="20"/>
      </c>
      <c r="DE875" s="3060">
        <f t="shared" si="21"/>
      </c>
      <c r="DF875" s="3060">
        <f t="shared" si="22"/>
      </c>
      <c r="DG875" s="3060">
        <f t="shared" si="23"/>
      </c>
      <c r="DH875" s="3060">
        <f t="shared" si="24"/>
      </c>
      <c r="DI875" s="3060">
        <f t="shared" si="1"/>
      </c>
    </row>
    <row r="876" ht="15" customHeight="1" s="3052" customFormat="1">
      <c r="B876" s="3054">
        <f t="shared" si="2"/>
      </c>
      <c r="C876" s="3054"/>
      <c r="D876" s="3054"/>
      <c r="E876" s="3055"/>
      <c r="F876" s="3055"/>
      <c r="G876" s="3055"/>
      <c r="H876" s="3055"/>
      <c r="I876" s="3055"/>
      <c r="J876" s="3055"/>
      <c r="K876" s="3055"/>
      <c r="L876" s="3055"/>
      <c r="M876" s="3055"/>
      <c r="N876" s="3055"/>
      <c r="O876" s="3055"/>
      <c r="P876" s="3055"/>
      <c r="Q876" s="3055"/>
      <c r="R876" s="3055">
        <f t="shared" si="3"/>
        <v>0</v>
      </c>
      <c r="S876" s="3055">
        <f t="shared" si="4"/>
        <v>0</v>
      </c>
      <c r="T876" s="3055">
        <f t="shared" si="5"/>
        <v>0</v>
      </c>
      <c r="U876" s="3055">
        <f t="shared" si="6"/>
        <v>0</v>
      </c>
      <c r="V876" s="3055">
        <f t="shared" si="7"/>
        <v>0</v>
      </c>
      <c r="W876" s="3055">
        <f t="shared" si="8"/>
        <v>0</v>
      </c>
      <c r="X876" s="3055">
        <f t="shared" si="9"/>
        <v>0</v>
      </c>
      <c r="Y876" s="3055">
        <f t="shared" si="10"/>
        <v>0</v>
      </c>
      <c r="Z876" s="3055">
        <f t="shared" si="11"/>
        <v>0</v>
      </c>
      <c r="AA876" s="3055">
        <f t="shared" si="12"/>
        <v>0</v>
      </c>
      <c r="AB876" s="3055">
        <f t="shared" si="13"/>
        <v>0</v>
      </c>
      <c r="AC876" s="3055">
        <f t="shared" si="14"/>
        <v>0</v>
      </c>
      <c r="AD876" s="3056"/>
      <c r="AE876" s="3057">
        <f t="shared" si="0"/>
      </c>
      <c r="AF876" s="3054"/>
      <c r="AG876" s="3054"/>
      <c r="AH876" s="3055"/>
      <c r="AI876" s="3055"/>
      <c r="AJ876" s="3055"/>
      <c r="AK876" s="3055"/>
      <c r="AL876" s="3055"/>
      <c r="AM876" s="3055"/>
      <c r="AN876" s="3055"/>
      <c r="AO876" s="3055"/>
      <c r="AP876" s="3055"/>
      <c r="AQ876" s="3055"/>
      <c r="AR876" s="3055"/>
      <c r="AS876" s="3055"/>
      <c r="AT876" s="3055"/>
      <c r="AU876" s="3056"/>
      <c r="AV876" s="3057">
        <f t="shared" si="15"/>
      </c>
      <c r="AW876" s="3054"/>
      <c r="AX876" s="3054"/>
      <c r="AY876" s="3055"/>
      <c r="AZ876" s="3055"/>
      <c r="BA876" s="3055"/>
      <c r="BB876" s="3055"/>
      <c r="BC876" s="3055"/>
      <c r="BD876" s="3055"/>
      <c r="BE876" s="3055"/>
      <c r="BF876" s="3055"/>
      <c r="BG876" s="3055"/>
      <c r="BH876" s="3055"/>
      <c r="BI876" s="3055"/>
      <c r="BJ876" s="3055"/>
      <c r="BK876" s="3055"/>
      <c r="BL876" s="3056"/>
      <c r="BM876" s="3057">
        <f t="shared" si="16"/>
      </c>
      <c r="BN876" s="3054"/>
      <c r="BO876" s="3054"/>
      <c r="BP876" s="3055"/>
      <c r="BQ876" s="3055"/>
      <c r="BR876" s="3055"/>
      <c r="BS876" s="3055"/>
      <c r="BT876" s="3055"/>
      <c r="BU876" s="3055"/>
      <c r="BV876" s="3055"/>
      <c r="BW876" s="3055"/>
      <c r="BX876" s="3055"/>
      <c r="BY876" s="3055"/>
      <c r="BZ876" s="3055"/>
      <c r="CA876" s="3055"/>
      <c r="CB876" s="3055"/>
      <c r="CC876" s="3056"/>
      <c r="CD876" s="3057">
        <f t="shared" si="0"/>
      </c>
      <c r="CE876" s="3054"/>
      <c r="CF876" s="3054"/>
      <c r="CG876" s="3055"/>
      <c r="CH876" s="3055"/>
      <c r="CI876" s="3055"/>
      <c r="CJ876" s="3055"/>
      <c r="CK876" s="3055"/>
      <c r="CL876" s="3055"/>
      <c r="CM876" s="3055"/>
      <c r="CN876" s="3055"/>
      <c r="CO876" s="3055"/>
      <c r="CP876" s="3055"/>
      <c r="CQ876" s="3055"/>
      <c r="CR876" s="3055"/>
      <c r="CS876" s="3055"/>
      <c r="CU876" s="3054"/>
      <c r="CV876" s="696"/>
      <c r="CW876" s="696"/>
      <c r="CZ876" s="3060">
        <f t="shared" si="17"/>
      </c>
      <c r="DA876" s="3060">
        <f t="shared" si="1"/>
      </c>
      <c r="DB876" s="3060">
        <f t="shared" si="18"/>
      </c>
      <c r="DC876" s="3060">
        <f t="shared" si="19"/>
      </c>
      <c r="DD876" s="3060">
        <f t="shared" si="20"/>
      </c>
      <c r="DE876" s="3060">
        <f t="shared" si="21"/>
      </c>
      <c r="DF876" s="3060">
        <f t="shared" si="22"/>
      </c>
      <c r="DG876" s="3060">
        <f t="shared" si="23"/>
      </c>
      <c r="DH876" s="3060">
        <f t="shared" si="24"/>
      </c>
      <c r="DI876" s="3060">
        <f t="shared" si="1"/>
      </c>
    </row>
    <row r="877" ht="15" customHeight="1" s="3052" customFormat="1">
      <c r="B877" s="3054">
        <f t="shared" si="2"/>
      </c>
      <c r="C877" s="3054"/>
      <c r="D877" s="3054"/>
      <c r="E877" s="3055"/>
      <c r="F877" s="3055"/>
      <c r="G877" s="3055"/>
      <c r="H877" s="3055"/>
      <c r="I877" s="3055"/>
      <c r="J877" s="3055"/>
      <c r="K877" s="3055"/>
      <c r="L877" s="3055"/>
      <c r="M877" s="3055"/>
      <c r="N877" s="3055"/>
      <c r="O877" s="3055"/>
      <c r="P877" s="3055"/>
      <c r="Q877" s="3055"/>
      <c r="R877" s="3055">
        <f t="shared" si="3"/>
        <v>0</v>
      </c>
      <c r="S877" s="3055">
        <f t="shared" si="4"/>
        <v>0</v>
      </c>
      <c r="T877" s="3055">
        <f t="shared" si="5"/>
        <v>0</v>
      </c>
      <c r="U877" s="3055">
        <f t="shared" si="6"/>
        <v>0</v>
      </c>
      <c r="V877" s="3055">
        <f t="shared" si="7"/>
        <v>0</v>
      </c>
      <c r="W877" s="3055">
        <f t="shared" si="8"/>
        <v>0</v>
      </c>
      <c r="X877" s="3055">
        <f t="shared" si="9"/>
        <v>0</v>
      </c>
      <c r="Y877" s="3055">
        <f t="shared" si="10"/>
        <v>0</v>
      </c>
      <c r="Z877" s="3055">
        <f t="shared" si="11"/>
        <v>0</v>
      </c>
      <c r="AA877" s="3055">
        <f t="shared" si="12"/>
        <v>0</v>
      </c>
      <c r="AB877" s="3055">
        <f t="shared" si="13"/>
        <v>0</v>
      </c>
      <c r="AC877" s="3055">
        <f t="shared" si="14"/>
        <v>0</v>
      </c>
      <c r="AD877" s="3056"/>
      <c r="AE877" s="3057">
        <f t="shared" si="0"/>
      </c>
      <c r="AF877" s="3054"/>
      <c r="AG877" s="3054"/>
      <c r="AH877" s="3055"/>
      <c r="AI877" s="3055"/>
      <c r="AJ877" s="3055"/>
      <c r="AK877" s="3055"/>
      <c r="AL877" s="3055"/>
      <c r="AM877" s="3055"/>
      <c r="AN877" s="3055"/>
      <c r="AO877" s="3055"/>
      <c r="AP877" s="3055"/>
      <c r="AQ877" s="3055"/>
      <c r="AR877" s="3055"/>
      <c r="AS877" s="3055"/>
      <c r="AT877" s="3055"/>
      <c r="AU877" s="3056"/>
      <c r="AV877" s="3057">
        <f t="shared" si="15"/>
      </c>
      <c r="AW877" s="3054"/>
      <c r="AX877" s="3054"/>
      <c r="AY877" s="3055"/>
      <c r="AZ877" s="3055"/>
      <c r="BA877" s="3055"/>
      <c r="BB877" s="3055"/>
      <c r="BC877" s="3055"/>
      <c r="BD877" s="3055"/>
      <c r="BE877" s="3055"/>
      <c r="BF877" s="3055"/>
      <c r="BG877" s="3055"/>
      <c r="BH877" s="3055"/>
      <c r="BI877" s="3055"/>
      <c r="BJ877" s="3055"/>
      <c r="BK877" s="3055"/>
      <c r="BL877" s="3056"/>
      <c r="BM877" s="3057">
        <f t="shared" si="16"/>
      </c>
      <c r="BN877" s="3054"/>
      <c r="BO877" s="3054"/>
      <c r="BP877" s="3055"/>
      <c r="BQ877" s="3055"/>
      <c r="BR877" s="3055"/>
      <c r="BS877" s="3055"/>
      <c r="BT877" s="3055"/>
      <c r="BU877" s="3055"/>
      <c r="BV877" s="3055"/>
      <c r="BW877" s="3055"/>
      <c r="BX877" s="3055"/>
      <c r="BY877" s="3055"/>
      <c r="BZ877" s="3055"/>
      <c r="CA877" s="3055"/>
      <c r="CB877" s="3055"/>
      <c r="CC877" s="3056"/>
      <c r="CD877" s="3057">
        <f t="shared" si="0"/>
      </c>
      <c r="CE877" s="3054"/>
      <c r="CF877" s="3054"/>
      <c r="CG877" s="3055"/>
      <c r="CH877" s="3055"/>
      <c r="CI877" s="3055"/>
      <c r="CJ877" s="3055"/>
      <c r="CK877" s="3055"/>
      <c r="CL877" s="3055"/>
      <c r="CM877" s="3055"/>
      <c r="CN877" s="3055"/>
      <c r="CO877" s="3055"/>
      <c r="CP877" s="3055"/>
      <c r="CQ877" s="3055"/>
      <c r="CR877" s="3055"/>
      <c r="CS877" s="3055"/>
      <c r="CU877" s="3054"/>
      <c r="CV877" s="696"/>
      <c r="CW877" s="696"/>
      <c r="CZ877" s="3060">
        <f t="shared" si="17"/>
      </c>
      <c r="DA877" s="3060">
        <f t="shared" si="1"/>
      </c>
      <c r="DB877" s="3060">
        <f t="shared" si="18"/>
      </c>
      <c r="DC877" s="3060">
        <f t="shared" si="19"/>
      </c>
      <c r="DD877" s="3060">
        <f t="shared" si="20"/>
      </c>
      <c r="DE877" s="3060">
        <f t="shared" si="21"/>
      </c>
      <c r="DF877" s="3060">
        <f t="shared" si="22"/>
      </c>
      <c r="DG877" s="3060">
        <f t="shared" si="23"/>
      </c>
      <c r="DH877" s="3060">
        <f t="shared" si="24"/>
      </c>
      <c r="DI877" s="3060">
        <f t="shared" si="1"/>
      </c>
    </row>
    <row r="878" ht="15" customHeight="1" s="3052" customFormat="1">
      <c r="B878" s="3054">
        <f t="shared" si="2"/>
      </c>
      <c r="C878" s="3054"/>
      <c r="D878" s="3054"/>
      <c r="E878" s="3055"/>
      <c r="F878" s="3055"/>
      <c r="G878" s="3055"/>
      <c r="H878" s="3055"/>
      <c r="I878" s="3055"/>
      <c r="J878" s="3055"/>
      <c r="K878" s="3055"/>
      <c r="L878" s="3055"/>
      <c r="M878" s="3055"/>
      <c r="N878" s="3055"/>
      <c r="O878" s="3055"/>
      <c r="P878" s="3055"/>
      <c r="Q878" s="3055"/>
      <c r="R878" s="3055">
        <f t="shared" si="3"/>
        <v>0</v>
      </c>
      <c r="S878" s="3055">
        <f t="shared" si="4"/>
        <v>0</v>
      </c>
      <c r="T878" s="3055">
        <f t="shared" si="5"/>
        <v>0</v>
      </c>
      <c r="U878" s="3055">
        <f t="shared" si="6"/>
        <v>0</v>
      </c>
      <c r="V878" s="3055">
        <f t="shared" si="7"/>
        <v>0</v>
      </c>
      <c r="W878" s="3055">
        <f t="shared" si="8"/>
        <v>0</v>
      </c>
      <c r="X878" s="3055">
        <f t="shared" si="9"/>
        <v>0</v>
      </c>
      <c r="Y878" s="3055">
        <f t="shared" si="10"/>
        <v>0</v>
      </c>
      <c r="Z878" s="3055">
        <f t="shared" si="11"/>
        <v>0</v>
      </c>
      <c r="AA878" s="3055">
        <f t="shared" si="12"/>
        <v>0</v>
      </c>
      <c r="AB878" s="3055">
        <f t="shared" si="13"/>
        <v>0</v>
      </c>
      <c r="AC878" s="3055">
        <f t="shared" si="14"/>
        <v>0</v>
      </c>
      <c r="AD878" s="3056"/>
      <c r="AE878" s="3057">
        <f t="shared" si="0"/>
      </c>
      <c r="AF878" s="3054"/>
      <c r="AG878" s="3054"/>
      <c r="AH878" s="3055"/>
      <c r="AI878" s="3055"/>
      <c r="AJ878" s="3055"/>
      <c r="AK878" s="3055"/>
      <c r="AL878" s="3055"/>
      <c r="AM878" s="3055"/>
      <c r="AN878" s="3055"/>
      <c r="AO878" s="3055"/>
      <c r="AP878" s="3055"/>
      <c r="AQ878" s="3055"/>
      <c r="AR878" s="3055"/>
      <c r="AS878" s="3055"/>
      <c r="AT878" s="3055"/>
      <c r="AU878" s="3056"/>
      <c r="AV878" s="3057">
        <f t="shared" si="15"/>
      </c>
      <c r="AW878" s="3054"/>
      <c r="AX878" s="3054"/>
      <c r="AY878" s="3055"/>
      <c r="AZ878" s="3055"/>
      <c r="BA878" s="3055"/>
      <c r="BB878" s="3055"/>
      <c r="BC878" s="3055"/>
      <c r="BD878" s="3055"/>
      <c r="BE878" s="3055"/>
      <c r="BF878" s="3055"/>
      <c r="BG878" s="3055"/>
      <c r="BH878" s="3055"/>
      <c r="BI878" s="3055"/>
      <c r="BJ878" s="3055"/>
      <c r="BK878" s="3055"/>
      <c r="BL878" s="3056"/>
      <c r="BM878" s="3057">
        <f t="shared" si="16"/>
      </c>
      <c r="BN878" s="3054"/>
      <c r="BO878" s="3054"/>
      <c r="BP878" s="3055"/>
      <c r="BQ878" s="3055"/>
      <c r="BR878" s="3055"/>
      <c r="BS878" s="3055"/>
      <c r="BT878" s="3055"/>
      <c r="BU878" s="3055"/>
      <c r="BV878" s="3055"/>
      <c r="BW878" s="3055"/>
      <c r="BX878" s="3055"/>
      <c r="BY878" s="3055"/>
      <c r="BZ878" s="3055"/>
      <c r="CA878" s="3055"/>
      <c r="CB878" s="3055"/>
      <c r="CC878" s="3056"/>
      <c r="CD878" s="3057">
        <f t="shared" si="0"/>
      </c>
      <c r="CE878" s="3054"/>
      <c r="CF878" s="3054"/>
      <c r="CG878" s="3055"/>
      <c r="CH878" s="3055"/>
      <c r="CI878" s="3055"/>
      <c r="CJ878" s="3055"/>
      <c r="CK878" s="3055"/>
      <c r="CL878" s="3055"/>
      <c r="CM878" s="3055"/>
      <c r="CN878" s="3055"/>
      <c r="CO878" s="3055"/>
      <c r="CP878" s="3055"/>
      <c r="CQ878" s="3055"/>
      <c r="CR878" s="3055"/>
      <c r="CS878" s="3055"/>
      <c r="CU878" s="3054"/>
      <c r="CV878" s="696"/>
      <c r="CW878" s="696"/>
      <c r="CZ878" s="3060">
        <f t="shared" si="17"/>
      </c>
      <c r="DA878" s="3060">
        <f t="shared" si="1"/>
      </c>
      <c r="DB878" s="3060">
        <f t="shared" si="18"/>
      </c>
      <c r="DC878" s="3060">
        <f t="shared" si="19"/>
      </c>
      <c r="DD878" s="3060">
        <f t="shared" si="20"/>
      </c>
      <c r="DE878" s="3060">
        <f t="shared" si="21"/>
      </c>
      <c r="DF878" s="3060">
        <f t="shared" si="22"/>
      </c>
      <c r="DG878" s="3060">
        <f t="shared" si="23"/>
      </c>
      <c r="DH878" s="3060">
        <f t="shared" si="24"/>
      </c>
      <c r="DI878" s="3060">
        <f t="shared" si="1"/>
      </c>
    </row>
    <row r="879" ht="15" customHeight="1" s="3052" customFormat="1">
      <c r="B879" s="3054">
        <f t="shared" si="2"/>
      </c>
      <c r="C879" s="3054"/>
      <c r="D879" s="3054"/>
      <c r="E879" s="3055"/>
      <c r="F879" s="3055"/>
      <c r="G879" s="3055"/>
      <c r="H879" s="3055"/>
      <c r="I879" s="3055"/>
      <c r="J879" s="3055"/>
      <c r="K879" s="3055"/>
      <c r="L879" s="3055"/>
      <c r="M879" s="3055"/>
      <c r="N879" s="3055"/>
      <c r="O879" s="3055"/>
      <c r="P879" s="3055"/>
      <c r="Q879" s="3055"/>
      <c r="R879" s="3055">
        <f t="shared" si="3"/>
        <v>0</v>
      </c>
      <c r="S879" s="3055">
        <f t="shared" si="4"/>
        <v>0</v>
      </c>
      <c r="T879" s="3055">
        <f t="shared" si="5"/>
        <v>0</v>
      </c>
      <c r="U879" s="3055">
        <f t="shared" si="6"/>
        <v>0</v>
      </c>
      <c r="V879" s="3055">
        <f t="shared" si="7"/>
        <v>0</v>
      </c>
      <c r="W879" s="3055">
        <f t="shared" si="8"/>
        <v>0</v>
      </c>
      <c r="X879" s="3055">
        <f t="shared" si="9"/>
        <v>0</v>
      </c>
      <c r="Y879" s="3055">
        <f t="shared" si="10"/>
        <v>0</v>
      </c>
      <c r="Z879" s="3055">
        <f t="shared" si="11"/>
        <v>0</v>
      </c>
      <c r="AA879" s="3055">
        <f t="shared" si="12"/>
        <v>0</v>
      </c>
      <c r="AB879" s="3055">
        <f t="shared" si="13"/>
        <v>0</v>
      </c>
      <c r="AC879" s="3055">
        <f t="shared" si="14"/>
        <v>0</v>
      </c>
      <c r="AD879" s="3056"/>
      <c r="AE879" s="3057">
        <f t="shared" si="0"/>
      </c>
      <c r="AF879" s="3054"/>
      <c r="AG879" s="3054"/>
      <c r="AH879" s="3055"/>
      <c r="AI879" s="3055"/>
      <c r="AJ879" s="3055"/>
      <c r="AK879" s="3055"/>
      <c r="AL879" s="3055"/>
      <c r="AM879" s="3055"/>
      <c r="AN879" s="3055"/>
      <c r="AO879" s="3055"/>
      <c r="AP879" s="3055"/>
      <c r="AQ879" s="3055"/>
      <c r="AR879" s="3055"/>
      <c r="AS879" s="3055"/>
      <c r="AT879" s="3055"/>
      <c r="AU879" s="3056"/>
      <c r="AV879" s="3057">
        <f t="shared" si="15"/>
      </c>
      <c r="AW879" s="3054"/>
      <c r="AX879" s="3054"/>
      <c r="AY879" s="3055"/>
      <c r="AZ879" s="3055"/>
      <c r="BA879" s="3055"/>
      <c r="BB879" s="3055"/>
      <c r="BC879" s="3055"/>
      <c r="BD879" s="3055"/>
      <c r="BE879" s="3055"/>
      <c r="BF879" s="3055"/>
      <c r="BG879" s="3055"/>
      <c r="BH879" s="3055"/>
      <c r="BI879" s="3055"/>
      <c r="BJ879" s="3055"/>
      <c r="BK879" s="3055"/>
      <c r="BL879" s="3056"/>
      <c r="BM879" s="3057">
        <f t="shared" si="16"/>
      </c>
      <c r="BN879" s="3054"/>
      <c r="BO879" s="3054"/>
      <c r="BP879" s="3055"/>
      <c r="BQ879" s="3055"/>
      <c r="BR879" s="3055"/>
      <c r="BS879" s="3055"/>
      <c r="BT879" s="3055"/>
      <c r="BU879" s="3055"/>
      <c r="BV879" s="3055"/>
      <c r="BW879" s="3055"/>
      <c r="BX879" s="3055"/>
      <c r="BY879" s="3055"/>
      <c r="BZ879" s="3055"/>
      <c r="CA879" s="3055"/>
      <c r="CB879" s="3055"/>
      <c r="CC879" s="3056"/>
      <c r="CD879" s="3057">
        <f t="shared" si="0"/>
      </c>
      <c r="CE879" s="3054"/>
      <c r="CF879" s="3054"/>
      <c r="CG879" s="3055"/>
      <c r="CH879" s="3055"/>
      <c r="CI879" s="3055"/>
      <c r="CJ879" s="3055"/>
      <c r="CK879" s="3055"/>
      <c r="CL879" s="3055"/>
      <c r="CM879" s="3055"/>
      <c r="CN879" s="3055"/>
      <c r="CO879" s="3055"/>
      <c r="CP879" s="3055"/>
      <c r="CQ879" s="3055"/>
      <c r="CR879" s="3055"/>
      <c r="CS879" s="3055"/>
      <c r="CU879" s="3054"/>
      <c r="CV879" s="696"/>
      <c r="CW879" s="696"/>
      <c r="CZ879" s="3060">
        <f t="shared" si="17"/>
      </c>
      <c r="DA879" s="3060">
        <f t="shared" si="1"/>
      </c>
      <c r="DB879" s="3060">
        <f t="shared" si="18"/>
      </c>
      <c r="DC879" s="3060">
        <f t="shared" si="19"/>
      </c>
      <c r="DD879" s="3060">
        <f t="shared" si="20"/>
      </c>
      <c r="DE879" s="3060">
        <f t="shared" si="21"/>
      </c>
      <c r="DF879" s="3060">
        <f t="shared" si="22"/>
      </c>
      <c r="DG879" s="3060">
        <f t="shared" si="23"/>
      </c>
      <c r="DH879" s="3060">
        <f t="shared" si="24"/>
      </c>
      <c r="DI879" s="3060">
        <f t="shared" si="1"/>
      </c>
    </row>
    <row r="880" ht="15" customHeight="1" s="3052" customFormat="1">
      <c r="B880" s="3054">
        <f t="shared" si="2"/>
      </c>
      <c r="C880" s="3054"/>
      <c r="D880" s="3054"/>
      <c r="E880" s="3055"/>
      <c r="F880" s="3055"/>
      <c r="G880" s="3055"/>
      <c r="H880" s="3055"/>
      <c r="I880" s="3055"/>
      <c r="J880" s="3055"/>
      <c r="K880" s="3055"/>
      <c r="L880" s="3055"/>
      <c r="M880" s="3055"/>
      <c r="N880" s="3055"/>
      <c r="O880" s="3055"/>
      <c r="P880" s="3055"/>
      <c r="Q880" s="3055"/>
      <c r="R880" s="3055">
        <f t="shared" si="3"/>
        <v>0</v>
      </c>
      <c r="S880" s="3055">
        <f t="shared" si="4"/>
        <v>0</v>
      </c>
      <c r="T880" s="3055">
        <f t="shared" si="5"/>
        <v>0</v>
      </c>
      <c r="U880" s="3055">
        <f t="shared" si="6"/>
        <v>0</v>
      </c>
      <c r="V880" s="3055">
        <f t="shared" si="7"/>
        <v>0</v>
      </c>
      <c r="W880" s="3055">
        <f t="shared" si="8"/>
        <v>0</v>
      </c>
      <c r="X880" s="3055">
        <f t="shared" si="9"/>
        <v>0</v>
      </c>
      <c r="Y880" s="3055">
        <f t="shared" si="10"/>
        <v>0</v>
      </c>
      <c r="Z880" s="3055">
        <f t="shared" si="11"/>
        <v>0</v>
      </c>
      <c r="AA880" s="3055">
        <f t="shared" si="12"/>
        <v>0</v>
      </c>
      <c r="AB880" s="3055">
        <f t="shared" si="13"/>
        <v>0</v>
      </c>
      <c r="AC880" s="3055">
        <f t="shared" si="14"/>
        <v>0</v>
      </c>
      <c r="AD880" s="3056"/>
      <c r="AE880" s="3057">
        <f t="shared" si="0"/>
      </c>
      <c r="AF880" s="3054"/>
      <c r="AG880" s="3054"/>
      <c r="AH880" s="3055"/>
      <c r="AI880" s="3055"/>
      <c r="AJ880" s="3055"/>
      <c r="AK880" s="3055"/>
      <c r="AL880" s="3055"/>
      <c r="AM880" s="3055"/>
      <c r="AN880" s="3055"/>
      <c r="AO880" s="3055"/>
      <c r="AP880" s="3055"/>
      <c r="AQ880" s="3055"/>
      <c r="AR880" s="3055"/>
      <c r="AS880" s="3055"/>
      <c r="AT880" s="3055"/>
      <c r="AU880" s="3056"/>
      <c r="AV880" s="3057">
        <f t="shared" si="15"/>
      </c>
      <c r="AW880" s="3054"/>
      <c r="AX880" s="3054"/>
      <c r="AY880" s="3055"/>
      <c r="AZ880" s="3055"/>
      <c r="BA880" s="3055"/>
      <c r="BB880" s="3055"/>
      <c r="BC880" s="3055"/>
      <c r="BD880" s="3055"/>
      <c r="BE880" s="3055"/>
      <c r="BF880" s="3055"/>
      <c r="BG880" s="3055"/>
      <c r="BH880" s="3055"/>
      <c r="BI880" s="3055"/>
      <c r="BJ880" s="3055"/>
      <c r="BK880" s="3055"/>
      <c r="BL880" s="3056"/>
      <c r="BM880" s="3057">
        <f t="shared" si="16"/>
      </c>
      <c r="BN880" s="3054"/>
      <c r="BO880" s="3054"/>
      <c r="BP880" s="3055"/>
      <c r="BQ880" s="3055"/>
      <c r="BR880" s="3055"/>
      <c r="BS880" s="3055"/>
      <c r="BT880" s="3055"/>
      <c r="BU880" s="3055"/>
      <c r="BV880" s="3055"/>
      <c r="BW880" s="3055"/>
      <c r="BX880" s="3055"/>
      <c r="BY880" s="3055"/>
      <c r="BZ880" s="3055"/>
      <c r="CA880" s="3055"/>
      <c r="CB880" s="3055"/>
      <c r="CC880" s="3056"/>
      <c r="CD880" s="3057">
        <f t="shared" si="0"/>
      </c>
      <c r="CE880" s="3054"/>
      <c r="CF880" s="3054"/>
      <c r="CG880" s="3055"/>
      <c r="CH880" s="3055"/>
      <c r="CI880" s="3055"/>
      <c r="CJ880" s="3055"/>
      <c r="CK880" s="3055"/>
      <c r="CL880" s="3055"/>
      <c r="CM880" s="3055"/>
      <c r="CN880" s="3055"/>
      <c r="CO880" s="3055"/>
      <c r="CP880" s="3055"/>
      <c r="CQ880" s="3055"/>
      <c r="CR880" s="3055"/>
      <c r="CS880" s="3055"/>
      <c r="CU880" s="3054"/>
      <c r="CV880" s="696"/>
      <c r="CW880" s="696"/>
      <c r="CZ880" s="3060">
        <f t="shared" si="17"/>
      </c>
      <c r="DA880" s="3060">
        <f t="shared" si="1"/>
      </c>
      <c r="DB880" s="3060">
        <f t="shared" si="18"/>
      </c>
      <c r="DC880" s="3060">
        <f t="shared" si="19"/>
      </c>
      <c r="DD880" s="3060">
        <f t="shared" si="20"/>
      </c>
      <c r="DE880" s="3060">
        <f t="shared" si="21"/>
      </c>
      <c r="DF880" s="3060">
        <f t="shared" si="22"/>
      </c>
      <c r="DG880" s="3060">
        <f t="shared" si="23"/>
      </c>
      <c r="DH880" s="3060">
        <f t="shared" si="24"/>
      </c>
      <c r="DI880" s="3060">
        <f t="shared" si="1"/>
      </c>
    </row>
    <row r="881" ht="15" customHeight="1" s="3052" customFormat="1">
      <c r="B881" s="3054">
        <f t="shared" si="2"/>
      </c>
      <c r="C881" s="3054"/>
      <c r="D881" s="3054"/>
      <c r="E881" s="3055"/>
      <c r="F881" s="3055"/>
      <c r="G881" s="3055"/>
      <c r="H881" s="3055"/>
      <c r="I881" s="3055"/>
      <c r="J881" s="3055"/>
      <c r="K881" s="3055"/>
      <c r="L881" s="3055"/>
      <c r="M881" s="3055"/>
      <c r="N881" s="3055"/>
      <c r="O881" s="3055"/>
      <c r="P881" s="3055"/>
      <c r="Q881" s="3055"/>
      <c r="R881" s="3055">
        <f t="shared" si="3"/>
        <v>0</v>
      </c>
      <c r="S881" s="3055">
        <f t="shared" si="4"/>
        <v>0</v>
      </c>
      <c r="T881" s="3055">
        <f t="shared" si="5"/>
        <v>0</v>
      </c>
      <c r="U881" s="3055">
        <f t="shared" si="6"/>
        <v>0</v>
      </c>
      <c r="V881" s="3055">
        <f t="shared" si="7"/>
        <v>0</v>
      </c>
      <c r="W881" s="3055">
        <f t="shared" si="8"/>
        <v>0</v>
      </c>
      <c r="X881" s="3055">
        <f t="shared" si="9"/>
        <v>0</v>
      </c>
      <c r="Y881" s="3055">
        <f t="shared" si="10"/>
        <v>0</v>
      </c>
      <c r="Z881" s="3055">
        <f t="shared" si="11"/>
        <v>0</v>
      </c>
      <c r="AA881" s="3055">
        <f t="shared" si="12"/>
        <v>0</v>
      </c>
      <c r="AB881" s="3055">
        <f t="shared" si="13"/>
        <v>0</v>
      </c>
      <c r="AC881" s="3055">
        <f t="shared" si="14"/>
        <v>0</v>
      </c>
      <c r="AD881" s="3056"/>
      <c r="AE881" s="3057">
        <f t="shared" si="0"/>
      </c>
      <c r="AF881" s="3054"/>
      <c r="AG881" s="3054"/>
      <c r="AH881" s="3055"/>
      <c r="AI881" s="3055"/>
      <c r="AJ881" s="3055"/>
      <c r="AK881" s="3055"/>
      <c r="AL881" s="3055"/>
      <c r="AM881" s="3055"/>
      <c r="AN881" s="3055"/>
      <c r="AO881" s="3055"/>
      <c r="AP881" s="3055"/>
      <c r="AQ881" s="3055"/>
      <c r="AR881" s="3055"/>
      <c r="AS881" s="3055"/>
      <c r="AT881" s="3055"/>
      <c r="AU881" s="3056"/>
      <c r="AV881" s="3057">
        <f t="shared" si="15"/>
      </c>
      <c r="AW881" s="3054"/>
      <c r="AX881" s="3054"/>
      <c r="AY881" s="3055"/>
      <c r="AZ881" s="3055"/>
      <c r="BA881" s="3055"/>
      <c r="BB881" s="3055"/>
      <c r="BC881" s="3055"/>
      <c r="BD881" s="3055"/>
      <c r="BE881" s="3055"/>
      <c r="BF881" s="3055"/>
      <c r="BG881" s="3055"/>
      <c r="BH881" s="3055"/>
      <c r="BI881" s="3055"/>
      <c r="BJ881" s="3055"/>
      <c r="BK881" s="3055"/>
      <c r="BL881" s="3056"/>
      <c r="BM881" s="3057">
        <f t="shared" si="16"/>
      </c>
      <c r="BN881" s="3054"/>
      <c r="BO881" s="3054"/>
      <c r="BP881" s="3055"/>
      <c r="BQ881" s="3055"/>
      <c r="BR881" s="3055"/>
      <c r="BS881" s="3055"/>
      <c r="BT881" s="3055"/>
      <c r="BU881" s="3055"/>
      <c r="BV881" s="3055"/>
      <c r="BW881" s="3055"/>
      <c r="BX881" s="3055"/>
      <c r="BY881" s="3055"/>
      <c r="BZ881" s="3055"/>
      <c r="CA881" s="3055"/>
      <c r="CB881" s="3055"/>
      <c r="CC881" s="3056"/>
      <c r="CD881" s="3057">
        <f t="shared" si="0"/>
      </c>
      <c r="CE881" s="3054"/>
      <c r="CF881" s="3054"/>
      <c r="CG881" s="3055"/>
      <c r="CH881" s="3055"/>
      <c r="CI881" s="3055"/>
      <c r="CJ881" s="3055"/>
      <c r="CK881" s="3055"/>
      <c r="CL881" s="3055"/>
      <c r="CM881" s="3055"/>
      <c r="CN881" s="3055"/>
      <c r="CO881" s="3055"/>
      <c r="CP881" s="3055"/>
      <c r="CQ881" s="3055"/>
      <c r="CR881" s="3055"/>
      <c r="CS881" s="3055"/>
      <c r="CU881" s="3054"/>
      <c r="CV881" s="696"/>
      <c r="CW881" s="696"/>
      <c r="CZ881" s="3060">
        <f t="shared" si="17"/>
      </c>
      <c r="DA881" s="3060">
        <f t="shared" si="1"/>
      </c>
      <c r="DB881" s="3060">
        <f t="shared" si="18"/>
      </c>
      <c r="DC881" s="3060">
        <f t="shared" si="19"/>
      </c>
      <c r="DD881" s="3060">
        <f t="shared" si="20"/>
      </c>
      <c r="DE881" s="3060">
        <f t="shared" si="21"/>
      </c>
      <c r="DF881" s="3060">
        <f t="shared" si="22"/>
      </c>
      <c r="DG881" s="3060">
        <f t="shared" si="23"/>
      </c>
      <c r="DH881" s="3060">
        <f t="shared" si="24"/>
      </c>
      <c r="DI881" s="3060">
        <f t="shared" si="1"/>
      </c>
    </row>
    <row r="882" ht="15" customHeight="1" s="3052" customFormat="1">
      <c r="B882" s="3054">
        <f t="shared" si="2"/>
      </c>
      <c r="C882" s="3054"/>
      <c r="D882" s="3054"/>
      <c r="E882" s="3055"/>
      <c r="F882" s="3055"/>
      <c r="G882" s="3055"/>
      <c r="H882" s="3055"/>
      <c r="I882" s="3055"/>
      <c r="J882" s="3055"/>
      <c r="K882" s="3055"/>
      <c r="L882" s="3055"/>
      <c r="M882" s="3055"/>
      <c r="N882" s="3055"/>
      <c r="O882" s="3055"/>
      <c r="P882" s="3055"/>
      <c r="Q882" s="3055"/>
      <c r="R882" s="3055">
        <f t="shared" si="3"/>
        <v>0</v>
      </c>
      <c r="S882" s="3055">
        <f t="shared" si="4"/>
        <v>0</v>
      </c>
      <c r="T882" s="3055">
        <f t="shared" si="5"/>
        <v>0</v>
      </c>
      <c r="U882" s="3055">
        <f t="shared" si="6"/>
        <v>0</v>
      </c>
      <c r="V882" s="3055">
        <f t="shared" si="7"/>
        <v>0</v>
      </c>
      <c r="W882" s="3055">
        <f t="shared" si="8"/>
        <v>0</v>
      </c>
      <c r="X882" s="3055">
        <f t="shared" si="9"/>
        <v>0</v>
      </c>
      <c r="Y882" s="3055">
        <f t="shared" si="10"/>
        <v>0</v>
      </c>
      <c r="Z882" s="3055">
        <f t="shared" si="11"/>
        <v>0</v>
      </c>
      <c r="AA882" s="3055">
        <f t="shared" si="12"/>
        <v>0</v>
      </c>
      <c r="AB882" s="3055">
        <f t="shared" si="13"/>
        <v>0</v>
      </c>
      <c r="AC882" s="3055">
        <f t="shared" si="14"/>
        <v>0</v>
      </c>
      <c r="AD882" s="3056"/>
      <c r="AE882" s="3057">
        <f t="shared" si="0"/>
      </c>
      <c r="AF882" s="3054"/>
      <c r="AG882" s="3054"/>
      <c r="AH882" s="3055"/>
      <c r="AI882" s="3055"/>
      <c r="AJ882" s="3055"/>
      <c r="AK882" s="3055"/>
      <c r="AL882" s="3055"/>
      <c r="AM882" s="3055"/>
      <c r="AN882" s="3055"/>
      <c r="AO882" s="3055"/>
      <c r="AP882" s="3055"/>
      <c r="AQ882" s="3055"/>
      <c r="AR882" s="3055"/>
      <c r="AS882" s="3055"/>
      <c r="AT882" s="3055"/>
      <c r="AU882" s="3056"/>
      <c r="AV882" s="3057">
        <f t="shared" si="15"/>
      </c>
      <c r="AW882" s="3054"/>
      <c r="AX882" s="3054"/>
      <c r="AY882" s="3055"/>
      <c r="AZ882" s="3055"/>
      <c r="BA882" s="3055"/>
      <c r="BB882" s="3055"/>
      <c r="BC882" s="3055"/>
      <c r="BD882" s="3055"/>
      <c r="BE882" s="3055"/>
      <c r="BF882" s="3055"/>
      <c r="BG882" s="3055"/>
      <c r="BH882" s="3055"/>
      <c r="BI882" s="3055"/>
      <c r="BJ882" s="3055"/>
      <c r="BK882" s="3055"/>
      <c r="BL882" s="3056"/>
      <c r="BM882" s="3057">
        <f t="shared" si="16"/>
      </c>
      <c r="BN882" s="3054"/>
      <c r="BO882" s="3054"/>
      <c r="BP882" s="3055"/>
      <c r="BQ882" s="3055"/>
      <c r="BR882" s="3055"/>
      <c r="BS882" s="3055"/>
      <c r="BT882" s="3055"/>
      <c r="BU882" s="3055"/>
      <c r="BV882" s="3055"/>
      <c r="BW882" s="3055"/>
      <c r="BX882" s="3055"/>
      <c r="BY882" s="3055"/>
      <c r="BZ882" s="3055"/>
      <c r="CA882" s="3055"/>
      <c r="CB882" s="3055"/>
      <c r="CC882" s="3056"/>
      <c r="CD882" s="3057">
        <f t="shared" si="0"/>
      </c>
      <c r="CE882" s="3054"/>
      <c r="CF882" s="3054"/>
      <c r="CG882" s="3055"/>
      <c r="CH882" s="3055"/>
      <c r="CI882" s="3055"/>
      <c r="CJ882" s="3055"/>
      <c r="CK882" s="3055"/>
      <c r="CL882" s="3055"/>
      <c r="CM882" s="3055"/>
      <c r="CN882" s="3055"/>
      <c r="CO882" s="3055"/>
      <c r="CP882" s="3055"/>
      <c r="CQ882" s="3055"/>
      <c r="CR882" s="3055"/>
      <c r="CS882" s="3055"/>
      <c r="CU882" s="3054"/>
      <c r="CV882" s="696"/>
      <c r="CW882" s="696"/>
      <c r="CZ882" s="3060">
        <f t="shared" si="17"/>
      </c>
      <c r="DA882" s="3060">
        <f t="shared" si="1"/>
      </c>
      <c r="DB882" s="3060">
        <f t="shared" si="18"/>
      </c>
      <c r="DC882" s="3060">
        <f t="shared" si="19"/>
      </c>
      <c r="DD882" s="3060">
        <f t="shared" si="20"/>
      </c>
      <c r="DE882" s="3060">
        <f t="shared" si="21"/>
      </c>
      <c r="DF882" s="3060">
        <f t="shared" si="22"/>
      </c>
      <c r="DG882" s="3060">
        <f t="shared" si="23"/>
      </c>
      <c r="DH882" s="3060">
        <f t="shared" si="24"/>
      </c>
      <c r="DI882" s="3060">
        <f t="shared" si="1"/>
      </c>
    </row>
    <row r="883" ht="15" customHeight="1" s="3052" customFormat="1">
      <c r="B883" s="3054">
        <f t="shared" si="2"/>
      </c>
      <c r="C883" s="3054"/>
      <c r="D883" s="3054"/>
      <c r="E883" s="3055"/>
      <c r="F883" s="3055"/>
      <c r="G883" s="3055"/>
      <c r="H883" s="3055"/>
      <c r="I883" s="3055"/>
      <c r="J883" s="3055"/>
      <c r="K883" s="3055"/>
      <c r="L883" s="3055"/>
      <c r="M883" s="3055"/>
      <c r="N883" s="3055"/>
      <c r="O883" s="3055"/>
      <c r="P883" s="3055"/>
      <c r="Q883" s="3055"/>
      <c r="R883" s="3055">
        <f t="shared" si="3"/>
        <v>0</v>
      </c>
      <c r="S883" s="3055">
        <f t="shared" si="4"/>
        <v>0</v>
      </c>
      <c r="T883" s="3055">
        <f t="shared" si="5"/>
        <v>0</v>
      </c>
      <c r="U883" s="3055">
        <f t="shared" si="6"/>
        <v>0</v>
      </c>
      <c r="V883" s="3055">
        <f t="shared" si="7"/>
        <v>0</v>
      </c>
      <c r="W883" s="3055">
        <f t="shared" si="8"/>
        <v>0</v>
      </c>
      <c r="X883" s="3055">
        <f t="shared" si="9"/>
        <v>0</v>
      </c>
      <c r="Y883" s="3055">
        <f t="shared" si="10"/>
        <v>0</v>
      </c>
      <c r="Z883" s="3055">
        <f t="shared" si="11"/>
        <v>0</v>
      </c>
      <c r="AA883" s="3055">
        <f t="shared" si="12"/>
        <v>0</v>
      </c>
      <c r="AB883" s="3055">
        <f t="shared" si="13"/>
        <v>0</v>
      </c>
      <c r="AC883" s="3055">
        <f t="shared" si="14"/>
        <v>0</v>
      </c>
      <c r="AD883" s="3056"/>
      <c r="AE883" s="3057">
        <f t="shared" si="0"/>
      </c>
      <c r="AF883" s="3054"/>
      <c r="AG883" s="3054"/>
      <c r="AH883" s="3055"/>
      <c r="AI883" s="3055"/>
      <c r="AJ883" s="3055"/>
      <c r="AK883" s="3055"/>
      <c r="AL883" s="3055"/>
      <c r="AM883" s="3055"/>
      <c r="AN883" s="3055"/>
      <c r="AO883" s="3055"/>
      <c r="AP883" s="3055"/>
      <c r="AQ883" s="3055"/>
      <c r="AR883" s="3055"/>
      <c r="AS883" s="3055"/>
      <c r="AT883" s="3055"/>
      <c r="AU883" s="3056"/>
      <c r="AV883" s="3057">
        <f t="shared" si="15"/>
      </c>
      <c r="AW883" s="3054"/>
      <c r="AX883" s="3054"/>
      <c r="AY883" s="3055"/>
      <c r="AZ883" s="3055"/>
      <c r="BA883" s="3055"/>
      <c r="BB883" s="3055"/>
      <c r="BC883" s="3055"/>
      <c r="BD883" s="3055"/>
      <c r="BE883" s="3055"/>
      <c r="BF883" s="3055"/>
      <c r="BG883" s="3055"/>
      <c r="BH883" s="3055"/>
      <c r="BI883" s="3055"/>
      <c r="BJ883" s="3055"/>
      <c r="BK883" s="3055"/>
      <c r="BL883" s="3056"/>
      <c r="BM883" s="3057">
        <f t="shared" si="16"/>
      </c>
      <c r="BN883" s="3054"/>
      <c r="BO883" s="3054"/>
      <c r="BP883" s="3055"/>
      <c r="BQ883" s="3055"/>
      <c r="BR883" s="3055"/>
      <c r="BS883" s="3055"/>
      <c r="BT883" s="3055"/>
      <c r="BU883" s="3055"/>
      <c r="BV883" s="3055"/>
      <c r="BW883" s="3055"/>
      <c r="BX883" s="3055"/>
      <c r="BY883" s="3055"/>
      <c r="BZ883" s="3055"/>
      <c r="CA883" s="3055"/>
      <c r="CB883" s="3055"/>
      <c r="CC883" s="3056"/>
      <c r="CD883" s="3057">
        <f t="shared" si="0"/>
      </c>
      <c r="CE883" s="3054"/>
      <c r="CF883" s="3054"/>
      <c r="CG883" s="3055"/>
      <c r="CH883" s="3055"/>
      <c r="CI883" s="3055"/>
      <c r="CJ883" s="3055"/>
      <c r="CK883" s="3055"/>
      <c r="CL883" s="3055"/>
      <c r="CM883" s="3055"/>
      <c r="CN883" s="3055"/>
      <c r="CO883" s="3055"/>
      <c r="CP883" s="3055"/>
      <c r="CQ883" s="3055"/>
      <c r="CR883" s="3055"/>
      <c r="CS883" s="3055"/>
      <c r="CU883" s="3054"/>
      <c r="CV883" s="696"/>
      <c r="CW883" s="696"/>
      <c r="CZ883" s="3060">
        <f t="shared" si="17"/>
      </c>
      <c r="DA883" s="3060">
        <f t="shared" si="1"/>
      </c>
      <c r="DB883" s="3060">
        <f t="shared" si="18"/>
      </c>
      <c r="DC883" s="3060">
        <f t="shared" si="19"/>
      </c>
      <c r="DD883" s="3060">
        <f t="shared" si="20"/>
      </c>
      <c r="DE883" s="3060">
        <f t="shared" si="21"/>
      </c>
      <c r="DF883" s="3060">
        <f t="shared" si="22"/>
      </c>
      <c r="DG883" s="3060">
        <f t="shared" si="23"/>
      </c>
      <c r="DH883" s="3060">
        <f t="shared" si="24"/>
      </c>
      <c r="DI883" s="3060">
        <f t="shared" si="1"/>
      </c>
    </row>
    <row r="884" ht="15" customHeight="1" s="3052" customFormat="1">
      <c r="B884" s="3054">
        <f t="shared" si="2"/>
      </c>
      <c r="C884" s="3054"/>
      <c r="D884" s="3054"/>
      <c r="E884" s="3055"/>
      <c r="F884" s="3055"/>
      <c r="G884" s="3055"/>
      <c r="H884" s="3055"/>
      <c r="I884" s="3055"/>
      <c r="J884" s="3055"/>
      <c r="K884" s="3055"/>
      <c r="L884" s="3055"/>
      <c r="M884" s="3055"/>
      <c r="N884" s="3055"/>
      <c r="O884" s="3055"/>
      <c r="P884" s="3055"/>
      <c r="Q884" s="3055"/>
      <c r="R884" s="3055">
        <f t="shared" si="3"/>
        <v>0</v>
      </c>
      <c r="S884" s="3055">
        <f t="shared" si="4"/>
        <v>0</v>
      </c>
      <c r="T884" s="3055">
        <f t="shared" si="5"/>
        <v>0</v>
      </c>
      <c r="U884" s="3055">
        <f t="shared" si="6"/>
        <v>0</v>
      </c>
      <c r="V884" s="3055">
        <f t="shared" si="7"/>
        <v>0</v>
      </c>
      <c r="W884" s="3055">
        <f t="shared" si="8"/>
        <v>0</v>
      </c>
      <c r="X884" s="3055">
        <f t="shared" si="9"/>
        <v>0</v>
      </c>
      <c r="Y884" s="3055">
        <f t="shared" si="10"/>
        <v>0</v>
      </c>
      <c r="Z884" s="3055">
        <f t="shared" si="11"/>
        <v>0</v>
      </c>
      <c r="AA884" s="3055">
        <f t="shared" si="12"/>
        <v>0</v>
      </c>
      <c r="AB884" s="3055">
        <f t="shared" si="13"/>
        <v>0</v>
      </c>
      <c r="AC884" s="3055">
        <f t="shared" si="14"/>
        <v>0</v>
      </c>
      <c r="AD884" s="3056"/>
      <c r="AE884" s="3057">
        <f t="shared" si="0"/>
      </c>
      <c r="AF884" s="3054"/>
      <c r="AG884" s="3054"/>
      <c r="AH884" s="3055"/>
      <c r="AI884" s="3055"/>
      <c r="AJ884" s="3055"/>
      <c r="AK884" s="3055"/>
      <c r="AL884" s="3055"/>
      <c r="AM884" s="3055"/>
      <c r="AN884" s="3055"/>
      <c r="AO884" s="3055"/>
      <c r="AP884" s="3055"/>
      <c r="AQ884" s="3055"/>
      <c r="AR884" s="3055"/>
      <c r="AS884" s="3055"/>
      <c r="AT884" s="3055"/>
      <c r="AU884" s="3056"/>
      <c r="AV884" s="3057">
        <f t="shared" si="15"/>
      </c>
      <c r="AW884" s="3054"/>
      <c r="AX884" s="3054"/>
      <c r="AY884" s="3055"/>
      <c r="AZ884" s="3055"/>
      <c r="BA884" s="3055"/>
      <c r="BB884" s="3055"/>
      <c r="BC884" s="3055"/>
      <c r="BD884" s="3055"/>
      <c r="BE884" s="3055"/>
      <c r="BF884" s="3055"/>
      <c r="BG884" s="3055"/>
      <c r="BH884" s="3055"/>
      <c r="BI884" s="3055"/>
      <c r="BJ884" s="3055"/>
      <c r="BK884" s="3055"/>
      <c r="BL884" s="3056"/>
      <c r="BM884" s="3057">
        <f t="shared" si="16"/>
      </c>
      <c r="BN884" s="3054"/>
      <c r="BO884" s="3054"/>
      <c r="BP884" s="3055"/>
      <c r="BQ884" s="3055"/>
      <c r="BR884" s="3055"/>
      <c r="BS884" s="3055"/>
      <c r="BT884" s="3055"/>
      <c r="BU884" s="3055"/>
      <c r="BV884" s="3055"/>
      <c r="BW884" s="3055"/>
      <c r="BX884" s="3055"/>
      <c r="BY884" s="3055"/>
      <c r="BZ884" s="3055"/>
      <c r="CA884" s="3055"/>
      <c r="CB884" s="3055"/>
      <c r="CC884" s="3056"/>
      <c r="CD884" s="3057">
        <f t="shared" si="0"/>
      </c>
      <c r="CE884" s="3054"/>
      <c r="CF884" s="3054"/>
      <c r="CG884" s="3055"/>
      <c r="CH884" s="3055"/>
      <c r="CI884" s="3055"/>
      <c r="CJ884" s="3055"/>
      <c r="CK884" s="3055"/>
      <c r="CL884" s="3055"/>
      <c r="CM884" s="3055"/>
      <c r="CN884" s="3055"/>
      <c r="CO884" s="3055"/>
      <c r="CP884" s="3055"/>
      <c r="CQ884" s="3055"/>
      <c r="CR884" s="3055"/>
      <c r="CS884" s="3055"/>
      <c r="CU884" s="3054"/>
      <c r="CV884" s="696"/>
      <c r="CW884" s="696"/>
      <c r="CZ884" s="3060">
        <f t="shared" si="17"/>
      </c>
      <c r="DA884" s="3060">
        <f t="shared" si="1"/>
      </c>
      <c r="DB884" s="3060">
        <f t="shared" si="18"/>
      </c>
      <c r="DC884" s="3060">
        <f t="shared" si="19"/>
      </c>
      <c r="DD884" s="3060">
        <f t="shared" si="20"/>
      </c>
      <c r="DE884" s="3060">
        <f t="shared" si="21"/>
      </c>
      <c r="DF884" s="3060">
        <f t="shared" si="22"/>
      </c>
      <c r="DG884" s="3060">
        <f t="shared" si="23"/>
      </c>
      <c r="DH884" s="3060">
        <f t="shared" si="24"/>
      </c>
      <c r="DI884" s="3060">
        <f t="shared" si="1"/>
      </c>
    </row>
    <row r="885" ht="15" customHeight="1" s="3052" customFormat="1">
      <c r="B885" s="3054">
        <f t="shared" si="2"/>
      </c>
      <c r="C885" s="3054"/>
      <c r="D885" s="3054"/>
      <c r="E885" s="3055"/>
      <c r="F885" s="3055"/>
      <c r="G885" s="3055"/>
      <c r="H885" s="3055"/>
      <c r="I885" s="3055"/>
      <c r="J885" s="3055"/>
      <c r="K885" s="3055"/>
      <c r="L885" s="3055"/>
      <c r="M885" s="3055"/>
      <c r="N885" s="3055"/>
      <c r="O885" s="3055"/>
      <c r="P885" s="3055"/>
      <c r="Q885" s="3055"/>
      <c r="R885" s="3055">
        <f t="shared" si="3"/>
        <v>0</v>
      </c>
      <c r="S885" s="3055">
        <f t="shared" si="4"/>
        <v>0</v>
      </c>
      <c r="T885" s="3055">
        <f t="shared" si="5"/>
        <v>0</v>
      </c>
      <c r="U885" s="3055">
        <f t="shared" si="6"/>
        <v>0</v>
      </c>
      <c r="V885" s="3055">
        <f t="shared" si="7"/>
        <v>0</v>
      </c>
      <c r="W885" s="3055">
        <f t="shared" si="8"/>
        <v>0</v>
      </c>
      <c r="X885" s="3055">
        <f t="shared" si="9"/>
        <v>0</v>
      </c>
      <c r="Y885" s="3055">
        <f t="shared" si="10"/>
        <v>0</v>
      </c>
      <c r="Z885" s="3055">
        <f t="shared" si="11"/>
        <v>0</v>
      </c>
      <c r="AA885" s="3055">
        <f t="shared" si="12"/>
        <v>0</v>
      </c>
      <c r="AB885" s="3055">
        <f t="shared" si="13"/>
        <v>0</v>
      </c>
      <c r="AC885" s="3055">
        <f t="shared" si="14"/>
        <v>0</v>
      </c>
      <c r="AD885" s="3056"/>
      <c r="AE885" s="3057">
        <f t="shared" si="0"/>
      </c>
      <c r="AF885" s="3054"/>
      <c r="AG885" s="3054"/>
      <c r="AH885" s="3055"/>
      <c r="AI885" s="3055"/>
      <c r="AJ885" s="3055"/>
      <c r="AK885" s="3055"/>
      <c r="AL885" s="3055"/>
      <c r="AM885" s="3055"/>
      <c r="AN885" s="3055"/>
      <c r="AO885" s="3055"/>
      <c r="AP885" s="3055"/>
      <c r="AQ885" s="3055"/>
      <c r="AR885" s="3055"/>
      <c r="AS885" s="3055"/>
      <c r="AT885" s="3055"/>
      <c r="AU885" s="3056"/>
      <c r="AV885" s="3057">
        <f t="shared" si="15"/>
      </c>
      <c r="AW885" s="3054"/>
      <c r="AX885" s="3054"/>
      <c r="AY885" s="3055"/>
      <c r="AZ885" s="3055"/>
      <c r="BA885" s="3055"/>
      <c r="BB885" s="3055"/>
      <c r="BC885" s="3055"/>
      <c r="BD885" s="3055"/>
      <c r="BE885" s="3055"/>
      <c r="BF885" s="3055"/>
      <c r="BG885" s="3055"/>
      <c r="BH885" s="3055"/>
      <c r="BI885" s="3055"/>
      <c r="BJ885" s="3055"/>
      <c r="BK885" s="3055"/>
      <c r="BL885" s="3056"/>
      <c r="BM885" s="3057">
        <f t="shared" si="16"/>
      </c>
      <c r="BN885" s="3054"/>
      <c r="BO885" s="3054"/>
      <c r="BP885" s="3055"/>
      <c r="BQ885" s="3055"/>
      <c r="BR885" s="3055"/>
      <c r="BS885" s="3055"/>
      <c r="BT885" s="3055"/>
      <c r="BU885" s="3055"/>
      <c r="BV885" s="3055"/>
      <c r="BW885" s="3055"/>
      <c r="BX885" s="3055"/>
      <c r="BY885" s="3055"/>
      <c r="BZ885" s="3055"/>
      <c r="CA885" s="3055"/>
      <c r="CB885" s="3055"/>
      <c r="CC885" s="3056"/>
      <c r="CD885" s="3057">
        <f t="shared" si="0"/>
      </c>
      <c r="CE885" s="3054"/>
      <c r="CF885" s="3054"/>
      <c r="CG885" s="3055"/>
      <c r="CH885" s="3055"/>
      <c r="CI885" s="3055"/>
      <c r="CJ885" s="3055"/>
      <c r="CK885" s="3055"/>
      <c r="CL885" s="3055"/>
      <c r="CM885" s="3055"/>
      <c r="CN885" s="3055"/>
      <c r="CO885" s="3055"/>
      <c r="CP885" s="3055"/>
      <c r="CQ885" s="3055"/>
      <c r="CR885" s="3055"/>
      <c r="CS885" s="3055"/>
      <c r="CU885" s="3054"/>
      <c r="CV885" s="696"/>
      <c r="CW885" s="696"/>
      <c r="CZ885" s="3060">
        <f t="shared" si="17"/>
      </c>
      <c r="DA885" s="3060">
        <f t="shared" si="1"/>
      </c>
      <c r="DB885" s="3060">
        <f t="shared" si="18"/>
      </c>
      <c r="DC885" s="3060">
        <f t="shared" si="19"/>
      </c>
      <c r="DD885" s="3060">
        <f t="shared" si="20"/>
      </c>
      <c r="DE885" s="3060">
        <f t="shared" si="21"/>
      </c>
      <c r="DF885" s="3060">
        <f t="shared" si="22"/>
      </c>
      <c r="DG885" s="3060">
        <f t="shared" si="23"/>
      </c>
      <c r="DH885" s="3060">
        <f t="shared" si="24"/>
      </c>
      <c r="DI885" s="3060">
        <f t="shared" si="1"/>
      </c>
    </row>
    <row r="886" ht="15" customHeight="1" s="3052" customFormat="1">
      <c r="B886" s="3054">
        <f t="shared" si="2"/>
      </c>
      <c r="C886" s="3054"/>
      <c r="D886" s="3054"/>
      <c r="E886" s="3055"/>
      <c r="F886" s="3055"/>
      <c r="G886" s="3055"/>
      <c r="H886" s="3055"/>
      <c r="I886" s="3055"/>
      <c r="J886" s="3055"/>
      <c r="K886" s="3055"/>
      <c r="L886" s="3055"/>
      <c r="M886" s="3055"/>
      <c r="N886" s="3055"/>
      <c r="O886" s="3055"/>
      <c r="P886" s="3055"/>
      <c r="Q886" s="3055"/>
      <c r="R886" s="3055">
        <f t="shared" si="3"/>
        <v>0</v>
      </c>
      <c r="S886" s="3055">
        <f t="shared" si="4"/>
        <v>0</v>
      </c>
      <c r="T886" s="3055">
        <f t="shared" si="5"/>
        <v>0</v>
      </c>
      <c r="U886" s="3055">
        <f t="shared" si="6"/>
        <v>0</v>
      </c>
      <c r="V886" s="3055">
        <f t="shared" si="7"/>
        <v>0</v>
      </c>
      <c r="W886" s="3055">
        <f t="shared" si="8"/>
        <v>0</v>
      </c>
      <c r="X886" s="3055">
        <f t="shared" si="9"/>
        <v>0</v>
      </c>
      <c r="Y886" s="3055">
        <f t="shared" si="10"/>
        <v>0</v>
      </c>
      <c r="Z886" s="3055">
        <f t="shared" si="11"/>
        <v>0</v>
      </c>
      <c r="AA886" s="3055">
        <f t="shared" si="12"/>
        <v>0</v>
      </c>
      <c r="AB886" s="3055">
        <f t="shared" si="13"/>
        <v>0</v>
      </c>
      <c r="AC886" s="3055">
        <f t="shared" si="14"/>
        <v>0</v>
      </c>
      <c r="AD886" s="3056"/>
      <c r="AE886" s="3057">
        <f t="shared" si="0"/>
      </c>
      <c r="AF886" s="3054"/>
      <c r="AG886" s="3054"/>
      <c r="AH886" s="3055"/>
      <c r="AI886" s="3055"/>
      <c r="AJ886" s="3055"/>
      <c r="AK886" s="3055"/>
      <c r="AL886" s="3055"/>
      <c r="AM886" s="3055"/>
      <c r="AN886" s="3055"/>
      <c r="AO886" s="3055"/>
      <c r="AP886" s="3055"/>
      <c r="AQ886" s="3055"/>
      <c r="AR886" s="3055"/>
      <c r="AS886" s="3055"/>
      <c r="AT886" s="3055"/>
      <c r="AU886" s="3056"/>
      <c r="AV886" s="3057">
        <f t="shared" si="15"/>
      </c>
      <c r="AW886" s="3054"/>
      <c r="AX886" s="3054"/>
      <c r="AY886" s="3055"/>
      <c r="AZ886" s="3055"/>
      <c r="BA886" s="3055"/>
      <c r="BB886" s="3055"/>
      <c r="BC886" s="3055"/>
      <c r="BD886" s="3055"/>
      <c r="BE886" s="3055"/>
      <c r="BF886" s="3055"/>
      <c r="BG886" s="3055"/>
      <c r="BH886" s="3055"/>
      <c r="BI886" s="3055"/>
      <c r="BJ886" s="3055"/>
      <c r="BK886" s="3055"/>
      <c r="BL886" s="3056"/>
      <c r="BM886" s="3057">
        <f t="shared" si="16"/>
      </c>
      <c r="BN886" s="3054"/>
      <c r="BO886" s="3054"/>
      <c r="BP886" s="3055"/>
      <c r="BQ886" s="3055"/>
      <c r="BR886" s="3055"/>
      <c r="BS886" s="3055"/>
      <c r="BT886" s="3055"/>
      <c r="BU886" s="3055"/>
      <c r="BV886" s="3055"/>
      <c r="BW886" s="3055"/>
      <c r="BX886" s="3055"/>
      <c r="BY886" s="3055"/>
      <c r="BZ886" s="3055"/>
      <c r="CA886" s="3055"/>
      <c r="CB886" s="3055"/>
      <c r="CC886" s="3056"/>
      <c r="CD886" s="3057">
        <f t="shared" si="0"/>
      </c>
      <c r="CE886" s="3054"/>
      <c r="CF886" s="3054"/>
      <c r="CG886" s="3055"/>
      <c r="CH886" s="3055"/>
      <c r="CI886" s="3055"/>
      <c r="CJ886" s="3055"/>
      <c r="CK886" s="3055"/>
      <c r="CL886" s="3055"/>
      <c r="CM886" s="3055"/>
      <c r="CN886" s="3055"/>
      <c r="CO886" s="3055"/>
      <c r="CP886" s="3055"/>
      <c r="CQ886" s="3055"/>
      <c r="CR886" s="3055"/>
      <c r="CS886" s="3055"/>
      <c r="CU886" s="3054"/>
      <c r="CV886" s="696"/>
      <c r="CW886" s="696"/>
      <c r="CZ886" s="3060">
        <f t="shared" si="17"/>
      </c>
      <c r="DA886" s="3060">
        <f t="shared" si="1"/>
      </c>
      <c r="DB886" s="3060">
        <f t="shared" si="18"/>
      </c>
      <c r="DC886" s="3060">
        <f t="shared" si="19"/>
      </c>
      <c r="DD886" s="3060">
        <f t="shared" si="20"/>
      </c>
      <c r="DE886" s="3060">
        <f t="shared" si="21"/>
      </c>
      <c r="DF886" s="3060">
        <f t="shared" si="22"/>
      </c>
      <c r="DG886" s="3060">
        <f t="shared" si="23"/>
      </c>
      <c r="DH886" s="3060">
        <f t="shared" si="24"/>
      </c>
      <c r="DI886" s="3060">
        <f t="shared" si="1"/>
      </c>
    </row>
    <row r="887" ht="15" customHeight="1" s="3052" customFormat="1">
      <c r="B887" s="3054">
        <f t="shared" si="2"/>
      </c>
      <c r="C887" s="3054"/>
      <c r="D887" s="3054"/>
      <c r="E887" s="3055"/>
      <c r="F887" s="3055"/>
      <c r="G887" s="3055"/>
      <c r="H887" s="3055"/>
      <c r="I887" s="3055"/>
      <c r="J887" s="3055"/>
      <c r="K887" s="3055"/>
      <c r="L887" s="3055"/>
      <c r="M887" s="3055"/>
      <c r="N887" s="3055"/>
      <c r="O887" s="3055"/>
      <c r="P887" s="3055"/>
      <c r="Q887" s="3055"/>
      <c r="R887" s="3055">
        <f t="shared" si="3"/>
        <v>0</v>
      </c>
      <c r="S887" s="3055">
        <f t="shared" si="4"/>
        <v>0</v>
      </c>
      <c r="T887" s="3055">
        <f t="shared" si="5"/>
        <v>0</v>
      </c>
      <c r="U887" s="3055">
        <f t="shared" si="6"/>
        <v>0</v>
      </c>
      <c r="V887" s="3055">
        <f t="shared" si="7"/>
        <v>0</v>
      </c>
      <c r="W887" s="3055">
        <f t="shared" si="8"/>
        <v>0</v>
      </c>
      <c r="X887" s="3055">
        <f t="shared" si="9"/>
        <v>0</v>
      </c>
      <c r="Y887" s="3055">
        <f t="shared" si="10"/>
        <v>0</v>
      </c>
      <c r="Z887" s="3055">
        <f t="shared" si="11"/>
        <v>0</v>
      </c>
      <c r="AA887" s="3055">
        <f t="shared" si="12"/>
        <v>0</v>
      </c>
      <c r="AB887" s="3055">
        <f t="shared" si="13"/>
        <v>0</v>
      </c>
      <c r="AC887" s="3055">
        <f t="shared" si="14"/>
        <v>0</v>
      </c>
      <c r="AD887" s="3056"/>
      <c r="AE887" s="3057">
        <f t="shared" si="0"/>
      </c>
      <c r="AF887" s="3054"/>
      <c r="AG887" s="3054"/>
      <c r="AH887" s="3055"/>
      <c r="AI887" s="3055"/>
      <c r="AJ887" s="3055"/>
      <c r="AK887" s="3055"/>
      <c r="AL887" s="3055"/>
      <c r="AM887" s="3055"/>
      <c r="AN887" s="3055"/>
      <c r="AO887" s="3055"/>
      <c r="AP887" s="3055"/>
      <c r="AQ887" s="3055"/>
      <c r="AR887" s="3055"/>
      <c r="AS887" s="3055"/>
      <c r="AT887" s="3055"/>
      <c r="AU887" s="3056"/>
      <c r="AV887" s="3057">
        <f t="shared" si="15"/>
      </c>
      <c r="AW887" s="3054"/>
      <c r="AX887" s="3054"/>
      <c r="AY887" s="3055"/>
      <c r="AZ887" s="3055"/>
      <c r="BA887" s="3055"/>
      <c r="BB887" s="3055"/>
      <c r="BC887" s="3055"/>
      <c r="BD887" s="3055"/>
      <c r="BE887" s="3055"/>
      <c r="BF887" s="3055"/>
      <c r="BG887" s="3055"/>
      <c r="BH887" s="3055"/>
      <c r="BI887" s="3055"/>
      <c r="BJ887" s="3055"/>
      <c r="BK887" s="3055"/>
      <c r="BL887" s="3056"/>
      <c r="BM887" s="3057">
        <f t="shared" si="16"/>
      </c>
      <c r="BN887" s="3054"/>
      <c r="BO887" s="3054"/>
      <c r="BP887" s="3055"/>
      <c r="BQ887" s="3055"/>
      <c r="BR887" s="3055"/>
      <c r="BS887" s="3055"/>
      <c r="BT887" s="3055"/>
      <c r="BU887" s="3055"/>
      <c r="BV887" s="3055"/>
      <c r="BW887" s="3055"/>
      <c r="BX887" s="3055"/>
      <c r="BY887" s="3055"/>
      <c r="BZ887" s="3055"/>
      <c r="CA887" s="3055"/>
      <c r="CB887" s="3055"/>
      <c r="CC887" s="3056"/>
      <c r="CD887" s="3057">
        <f t="shared" si="0"/>
      </c>
      <c r="CE887" s="3054"/>
      <c r="CF887" s="3054"/>
      <c r="CG887" s="3055"/>
      <c r="CH887" s="3055"/>
      <c r="CI887" s="3055"/>
      <c r="CJ887" s="3055"/>
      <c r="CK887" s="3055"/>
      <c r="CL887" s="3055"/>
      <c r="CM887" s="3055"/>
      <c r="CN887" s="3055"/>
      <c r="CO887" s="3055"/>
      <c r="CP887" s="3055"/>
      <c r="CQ887" s="3055"/>
      <c r="CR887" s="3055"/>
      <c r="CS887" s="3055"/>
      <c r="CU887" s="3054"/>
      <c r="CV887" s="696"/>
      <c r="CW887" s="696"/>
      <c r="CZ887" s="3060">
        <f t="shared" si="17"/>
      </c>
      <c r="DA887" s="3060">
        <f t="shared" si="1"/>
      </c>
      <c r="DB887" s="3060">
        <f t="shared" si="18"/>
      </c>
      <c r="DC887" s="3060">
        <f t="shared" si="19"/>
      </c>
      <c r="DD887" s="3060">
        <f t="shared" si="20"/>
      </c>
      <c r="DE887" s="3060">
        <f t="shared" si="21"/>
      </c>
      <c r="DF887" s="3060">
        <f t="shared" si="22"/>
      </c>
      <c r="DG887" s="3060">
        <f t="shared" si="23"/>
      </c>
      <c r="DH887" s="3060">
        <f t="shared" si="24"/>
      </c>
      <c r="DI887" s="3060">
        <f t="shared" si="1"/>
      </c>
    </row>
    <row r="888" ht="15" customHeight="1" s="3052" customFormat="1">
      <c r="B888" s="3054">
        <f t="shared" si="2"/>
      </c>
      <c r="C888" s="3054"/>
      <c r="D888" s="3054"/>
      <c r="E888" s="3055"/>
      <c r="F888" s="3055"/>
      <c r="G888" s="3055"/>
      <c r="H888" s="3055"/>
      <c r="I888" s="3055"/>
      <c r="J888" s="3055"/>
      <c r="K888" s="3055"/>
      <c r="L888" s="3055"/>
      <c r="M888" s="3055"/>
      <c r="N888" s="3055"/>
      <c r="O888" s="3055"/>
      <c r="P888" s="3055"/>
      <c r="Q888" s="3055"/>
      <c r="R888" s="3055">
        <f t="shared" si="3"/>
        <v>0</v>
      </c>
      <c r="S888" s="3055">
        <f t="shared" si="4"/>
        <v>0</v>
      </c>
      <c r="T888" s="3055">
        <f t="shared" si="5"/>
        <v>0</v>
      </c>
      <c r="U888" s="3055">
        <f t="shared" si="6"/>
        <v>0</v>
      </c>
      <c r="V888" s="3055">
        <f t="shared" si="7"/>
        <v>0</v>
      </c>
      <c r="W888" s="3055">
        <f t="shared" si="8"/>
        <v>0</v>
      </c>
      <c r="X888" s="3055">
        <f t="shared" si="9"/>
        <v>0</v>
      </c>
      <c r="Y888" s="3055">
        <f t="shared" si="10"/>
        <v>0</v>
      </c>
      <c r="Z888" s="3055">
        <f t="shared" si="11"/>
        <v>0</v>
      </c>
      <c r="AA888" s="3055">
        <f t="shared" si="12"/>
        <v>0</v>
      </c>
      <c r="AB888" s="3055">
        <f t="shared" si="13"/>
        <v>0</v>
      </c>
      <c r="AC888" s="3055">
        <f t="shared" si="14"/>
        <v>0</v>
      </c>
      <c r="AD888" s="3056"/>
      <c r="AE888" s="3057">
        <f t="shared" si="0"/>
      </c>
      <c r="AF888" s="3054"/>
      <c r="AG888" s="3054"/>
      <c r="AH888" s="3055"/>
      <c r="AI888" s="3055"/>
      <c r="AJ888" s="3055"/>
      <c r="AK888" s="3055"/>
      <c r="AL888" s="3055"/>
      <c r="AM888" s="3055"/>
      <c r="AN888" s="3055"/>
      <c r="AO888" s="3055"/>
      <c r="AP888" s="3055"/>
      <c r="AQ888" s="3055"/>
      <c r="AR888" s="3055"/>
      <c r="AS888" s="3055"/>
      <c r="AT888" s="3055"/>
      <c r="AU888" s="3056"/>
      <c r="AV888" s="3057">
        <f t="shared" si="15"/>
      </c>
      <c r="AW888" s="3054"/>
      <c r="AX888" s="3054"/>
      <c r="AY888" s="3055"/>
      <c r="AZ888" s="3055"/>
      <c r="BA888" s="3055"/>
      <c r="BB888" s="3055"/>
      <c r="BC888" s="3055"/>
      <c r="BD888" s="3055"/>
      <c r="BE888" s="3055"/>
      <c r="BF888" s="3055"/>
      <c r="BG888" s="3055"/>
      <c r="BH888" s="3055"/>
      <c r="BI888" s="3055"/>
      <c r="BJ888" s="3055"/>
      <c r="BK888" s="3055"/>
      <c r="BL888" s="3056"/>
      <c r="BM888" s="3057">
        <f t="shared" si="16"/>
      </c>
      <c r="BN888" s="3054"/>
      <c r="BO888" s="3054"/>
      <c r="BP888" s="3055"/>
      <c r="BQ888" s="3055"/>
      <c r="BR888" s="3055"/>
      <c r="BS888" s="3055"/>
      <c r="BT888" s="3055"/>
      <c r="BU888" s="3055"/>
      <c r="BV888" s="3055"/>
      <c r="BW888" s="3055"/>
      <c r="BX888" s="3055"/>
      <c r="BY888" s="3055"/>
      <c r="BZ888" s="3055"/>
      <c r="CA888" s="3055"/>
      <c r="CB888" s="3055"/>
      <c r="CC888" s="3056"/>
      <c r="CD888" s="3057">
        <f t="shared" si="0"/>
      </c>
      <c r="CE888" s="3054"/>
      <c r="CF888" s="3054"/>
      <c r="CG888" s="3055"/>
      <c r="CH888" s="3055"/>
      <c r="CI888" s="3055"/>
      <c r="CJ888" s="3055"/>
      <c r="CK888" s="3055"/>
      <c r="CL888" s="3055"/>
      <c r="CM888" s="3055"/>
      <c r="CN888" s="3055"/>
      <c r="CO888" s="3055"/>
      <c r="CP888" s="3055"/>
      <c r="CQ888" s="3055"/>
      <c r="CR888" s="3055"/>
      <c r="CS888" s="3055"/>
      <c r="CU888" s="3054"/>
      <c r="CV888" s="696"/>
      <c r="CW888" s="696"/>
      <c r="CZ888" s="3060">
        <f t="shared" si="17"/>
      </c>
      <c r="DA888" s="3060">
        <f t="shared" si="1"/>
      </c>
      <c r="DB888" s="3060">
        <f t="shared" si="18"/>
      </c>
      <c r="DC888" s="3060">
        <f t="shared" si="19"/>
      </c>
      <c r="DD888" s="3060">
        <f t="shared" si="20"/>
      </c>
      <c r="DE888" s="3060">
        <f t="shared" si="21"/>
      </c>
      <c r="DF888" s="3060">
        <f t="shared" si="22"/>
      </c>
      <c r="DG888" s="3060">
        <f t="shared" si="23"/>
      </c>
      <c r="DH888" s="3060">
        <f t="shared" si="24"/>
      </c>
      <c r="DI888" s="3060">
        <f t="shared" si="1"/>
      </c>
    </row>
    <row r="889" ht="15" customHeight="1" s="3052" customFormat="1">
      <c r="B889" s="3054">
        <f t="shared" si="2"/>
      </c>
      <c r="C889" s="3054"/>
      <c r="D889" s="3054"/>
      <c r="E889" s="3055"/>
      <c r="F889" s="3055"/>
      <c r="G889" s="3055"/>
      <c r="H889" s="3055"/>
      <c r="I889" s="3055"/>
      <c r="J889" s="3055"/>
      <c r="K889" s="3055"/>
      <c r="L889" s="3055"/>
      <c r="M889" s="3055"/>
      <c r="N889" s="3055"/>
      <c r="O889" s="3055"/>
      <c r="P889" s="3055"/>
      <c r="Q889" s="3055"/>
      <c r="R889" s="3055">
        <f t="shared" si="3"/>
        <v>0</v>
      </c>
      <c r="S889" s="3055">
        <f t="shared" si="4"/>
        <v>0</v>
      </c>
      <c r="T889" s="3055">
        <f t="shared" si="5"/>
        <v>0</v>
      </c>
      <c r="U889" s="3055">
        <f t="shared" si="6"/>
        <v>0</v>
      </c>
      <c r="V889" s="3055">
        <f t="shared" si="7"/>
        <v>0</v>
      </c>
      <c r="W889" s="3055">
        <f t="shared" si="8"/>
        <v>0</v>
      </c>
      <c r="X889" s="3055">
        <f t="shared" si="9"/>
        <v>0</v>
      </c>
      <c r="Y889" s="3055">
        <f t="shared" si="10"/>
        <v>0</v>
      </c>
      <c r="Z889" s="3055">
        <f t="shared" si="11"/>
        <v>0</v>
      </c>
      <c r="AA889" s="3055">
        <f t="shared" si="12"/>
        <v>0</v>
      </c>
      <c r="AB889" s="3055">
        <f t="shared" si="13"/>
        <v>0</v>
      </c>
      <c r="AC889" s="3055">
        <f t="shared" si="14"/>
        <v>0</v>
      </c>
      <c r="AD889" s="3056"/>
      <c r="AE889" s="3057">
        <f t="shared" si="0"/>
      </c>
      <c r="AF889" s="3054"/>
      <c r="AG889" s="3054"/>
      <c r="AH889" s="3055"/>
      <c r="AI889" s="3055"/>
      <c r="AJ889" s="3055"/>
      <c r="AK889" s="3055"/>
      <c r="AL889" s="3055"/>
      <c r="AM889" s="3055"/>
      <c r="AN889" s="3055"/>
      <c r="AO889" s="3055"/>
      <c r="AP889" s="3055"/>
      <c r="AQ889" s="3055"/>
      <c r="AR889" s="3055"/>
      <c r="AS889" s="3055"/>
      <c r="AT889" s="3055"/>
      <c r="AU889" s="3056"/>
      <c r="AV889" s="3057">
        <f t="shared" si="15"/>
      </c>
      <c r="AW889" s="3054"/>
      <c r="AX889" s="3054"/>
      <c r="AY889" s="3055"/>
      <c r="AZ889" s="3055"/>
      <c r="BA889" s="3055"/>
      <c r="BB889" s="3055"/>
      <c r="BC889" s="3055"/>
      <c r="BD889" s="3055"/>
      <c r="BE889" s="3055"/>
      <c r="BF889" s="3055"/>
      <c r="BG889" s="3055"/>
      <c r="BH889" s="3055"/>
      <c r="BI889" s="3055"/>
      <c r="BJ889" s="3055"/>
      <c r="BK889" s="3055"/>
      <c r="BL889" s="3056"/>
      <c r="BM889" s="3057">
        <f t="shared" si="16"/>
      </c>
      <c r="BN889" s="3054"/>
      <c r="BO889" s="3054"/>
      <c r="BP889" s="3055"/>
      <c r="BQ889" s="3055"/>
      <c r="BR889" s="3055"/>
      <c r="BS889" s="3055"/>
      <c r="BT889" s="3055"/>
      <c r="BU889" s="3055"/>
      <c r="BV889" s="3055"/>
      <c r="BW889" s="3055"/>
      <c r="BX889" s="3055"/>
      <c r="BY889" s="3055"/>
      <c r="BZ889" s="3055"/>
      <c r="CA889" s="3055"/>
      <c r="CB889" s="3055"/>
      <c r="CC889" s="3056"/>
      <c r="CD889" s="3057">
        <f t="shared" si="0"/>
      </c>
      <c r="CE889" s="3054"/>
      <c r="CF889" s="3054"/>
      <c r="CG889" s="3055"/>
      <c r="CH889" s="3055"/>
      <c r="CI889" s="3055"/>
      <c r="CJ889" s="3055"/>
      <c r="CK889" s="3055"/>
      <c r="CL889" s="3055"/>
      <c r="CM889" s="3055"/>
      <c r="CN889" s="3055"/>
      <c r="CO889" s="3055"/>
      <c r="CP889" s="3055"/>
      <c r="CQ889" s="3055"/>
      <c r="CR889" s="3055"/>
      <c r="CS889" s="3055"/>
      <c r="CU889" s="3054"/>
      <c r="CV889" s="696"/>
      <c r="CW889" s="696"/>
      <c r="CZ889" s="3060">
        <f t="shared" si="17"/>
      </c>
      <c r="DA889" s="3060">
        <f t="shared" si="1"/>
      </c>
      <c r="DB889" s="3060">
        <f t="shared" si="18"/>
      </c>
      <c r="DC889" s="3060">
        <f t="shared" si="19"/>
      </c>
      <c r="DD889" s="3060">
        <f t="shared" si="20"/>
      </c>
      <c r="DE889" s="3060">
        <f t="shared" si="21"/>
      </c>
      <c r="DF889" s="3060">
        <f t="shared" si="22"/>
      </c>
      <c r="DG889" s="3060">
        <f t="shared" si="23"/>
      </c>
      <c r="DH889" s="3060">
        <f t="shared" si="24"/>
      </c>
      <c r="DI889" s="3060">
        <f t="shared" si="1"/>
      </c>
    </row>
    <row r="890" ht="15" customHeight="1" s="3052" customFormat="1">
      <c r="B890" s="3054">
        <f t="shared" si="2"/>
      </c>
      <c r="C890" s="3054"/>
      <c r="D890" s="3054"/>
      <c r="E890" s="3055"/>
      <c r="F890" s="3055"/>
      <c r="G890" s="3055"/>
      <c r="H890" s="3055"/>
      <c r="I890" s="3055"/>
      <c r="J890" s="3055"/>
      <c r="K890" s="3055"/>
      <c r="L890" s="3055"/>
      <c r="M890" s="3055"/>
      <c r="N890" s="3055"/>
      <c r="O890" s="3055"/>
      <c r="P890" s="3055"/>
      <c r="Q890" s="3055"/>
      <c r="R890" s="3055">
        <f t="shared" si="3"/>
        <v>0</v>
      </c>
      <c r="S890" s="3055">
        <f t="shared" si="4"/>
        <v>0</v>
      </c>
      <c r="T890" s="3055">
        <f t="shared" si="5"/>
        <v>0</v>
      </c>
      <c r="U890" s="3055">
        <f t="shared" si="6"/>
        <v>0</v>
      </c>
      <c r="V890" s="3055">
        <f t="shared" si="7"/>
        <v>0</v>
      </c>
      <c r="W890" s="3055">
        <f t="shared" si="8"/>
        <v>0</v>
      </c>
      <c r="X890" s="3055">
        <f t="shared" si="9"/>
        <v>0</v>
      </c>
      <c r="Y890" s="3055">
        <f t="shared" si="10"/>
        <v>0</v>
      </c>
      <c r="Z890" s="3055">
        <f t="shared" si="11"/>
        <v>0</v>
      </c>
      <c r="AA890" s="3055">
        <f t="shared" si="12"/>
        <v>0</v>
      </c>
      <c r="AB890" s="3055">
        <f t="shared" si="13"/>
        <v>0</v>
      </c>
      <c r="AC890" s="3055">
        <f t="shared" si="14"/>
        <v>0</v>
      </c>
      <c r="AD890" s="3056"/>
      <c r="AE890" s="3057">
        <f t="shared" si="0"/>
      </c>
      <c r="AF890" s="3054"/>
      <c r="AG890" s="3054"/>
      <c r="AH890" s="3055"/>
      <c r="AI890" s="3055"/>
      <c r="AJ890" s="3055"/>
      <c r="AK890" s="3055"/>
      <c r="AL890" s="3055"/>
      <c r="AM890" s="3055"/>
      <c r="AN890" s="3055"/>
      <c r="AO890" s="3055"/>
      <c r="AP890" s="3055"/>
      <c r="AQ890" s="3055"/>
      <c r="AR890" s="3055"/>
      <c r="AS890" s="3055"/>
      <c r="AT890" s="3055"/>
      <c r="AU890" s="3056"/>
      <c r="AV890" s="3057">
        <f t="shared" si="15"/>
      </c>
      <c r="AW890" s="3054"/>
      <c r="AX890" s="3054"/>
      <c r="AY890" s="3055"/>
      <c r="AZ890" s="3055"/>
      <c r="BA890" s="3055"/>
      <c r="BB890" s="3055"/>
      <c r="BC890" s="3055"/>
      <c r="BD890" s="3055"/>
      <c r="BE890" s="3055"/>
      <c r="BF890" s="3055"/>
      <c r="BG890" s="3055"/>
      <c r="BH890" s="3055"/>
      <c r="BI890" s="3055"/>
      <c r="BJ890" s="3055"/>
      <c r="BK890" s="3055"/>
      <c r="BL890" s="3056"/>
      <c r="BM890" s="3057">
        <f t="shared" si="16"/>
      </c>
      <c r="BN890" s="3054"/>
      <c r="BO890" s="3054"/>
      <c r="BP890" s="3055"/>
      <c r="BQ890" s="3055"/>
      <c r="BR890" s="3055"/>
      <c r="BS890" s="3055"/>
      <c r="BT890" s="3055"/>
      <c r="BU890" s="3055"/>
      <c r="BV890" s="3055"/>
      <c r="BW890" s="3055"/>
      <c r="BX890" s="3055"/>
      <c r="BY890" s="3055"/>
      <c r="BZ890" s="3055"/>
      <c r="CA890" s="3055"/>
      <c r="CB890" s="3055"/>
      <c r="CC890" s="3056"/>
      <c r="CD890" s="3057">
        <f t="shared" si="0"/>
      </c>
      <c r="CE890" s="3054"/>
      <c r="CF890" s="3054"/>
      <c r="CG890" s="3055"/>
      <c r="CH890" s="3055"/>
      <c r="CI890" s="3055"/>
      <c r="CJ890" s="3055"/>
      <c r="CK890" s="3055"/>
      <c r="CL890" s="3055"/>
      <c r="CM890" s="3055"/>
      <c r="CN890" s="3055"/>
      <c r="CO890" s="3055"/>
      <c r="CP890" s="3055"/>
      <c r="CQ890" s="3055"/>
      <c r="CR890" s="3055"/>
      <c r="CS890" s="3055"/>
      <c r="CU890" s="3054"/>
      <c r="CV890" s="696"/>
      <c r="CW890" s="696"/>
      <c r="CZ890" s="3060">
        <f t="shared" si="17"/>
      </c>
      <c r="DA890" s="3060">
        <f t="shared" si="1"/>
      </c>
      <c r="DB890" s="3060">
        <f t="shared" si="18"/>
      </c>
      <c r="DC890" s="3060">
        <f t="shared" si="19"/>
      </c>
      <c r="DD890" s="3060">
        <f t="shared" si="20"/>
      </c>
      <c r="DE890" s="3060">
        <f t="shared" si="21"/>
      </c>
      <c r="DF890" s="3060">
        <f t="shared" si="22"/>
      </c>
      <c r="DG890" s="3060">
        <f t="shared" si="23"/>
      </c>
      <c r="DH890" s="3060">
        <f t="shared" si="24"/>
      </c>
      <c r="DI890" s="3060">
        <f t="shared" si="1"/>
      </c>
    </row>
    <row r="891" ht="15" customHeight="1" s="3052" customFormat="1">
      <c r="B891" s="3054">
        <f t="shared" si="2"/>
      </c>
      <c r="C891" s="3054"/>
      <c r="D891" s="3054"/>
      <c r="E891" s="3055"/>
      <c r="F891" s="3055"/>
      <c r="G891" s="3055"/>
      <c r="H891" s="3055"/>
      <c r="I891" s="3055"/>
      <c r="J891" s="3055"/>
      <c r="K891" s="3055"/>
      <c r="L891" s="3055"/>
      <c r="M891" s="3055"/>
      <c r="N891" s="3055"/>
      <c r="O891" s="3055"/>
      <c r="P891" s="3055"/>
      <c r="Q891" s="3055"/>
      <c r="R891" s="3055">
        <f t="shared" si="3"/>
        <v>0</v>
      </c>
      <c r="S891" s="3055">
        <f t="shared" si="4"/>
        <v>0</v>
      </c>
      <c r="T891" s="3055">
        <f t="shared" si="5"/>
        <v>0</v>
      </c>
      <c r="U891" s="3055">
        <f t="shared" si="6"/>
        <v>0</v>
      </c>
      <c r="V891" s="3055">
        <f t="shared" si="7"/>
        <v>0</v>
      </c>
      <c r="W891" s="3055">
        <f t="shared" si="8"/>
        <v>0</v>
      </c>
      <c r="X891" s="3055">
        <f t="shared" si="9"/>
        <v>0</v>
      </c>
      <c r="Y891" s="3055">
        <f t="shared" si="10"/>
        <v>0</v>
      </c>
      <c r="Z891" s="3055">
        <f t="shared" si="11"/>
        <v>0</v>
      </c>
      <c r="AA891" s="3055">
        <f t="shared" si="12"/>
        <v>0</v>
      </c>
      <c r="AB891" s="3055">
        <f t="shared" si="13"/>
        <v>0</v>
      </c>
      <c r="AC891" s="3055">
        <f t="shared" si="14"/>
        <v>0</v>
      </c>
      <c r="AD891" s="3056"/>
      <c r="AE891" s="3057">
        <f t="shared" si="0"/>
      </c>
      <c r="AF891" s="3054"/>
      <c r="AG891" s="3054"/>
      <c r="AH891" s="3055"/>
      <c r="AI891" s="3055"/>
      <c r="AJ891" s="3055"/>
      <c r="AK891" s="3055"/>
      <c r="AL891" s="3055"/>
      <c r="AM891" s="3055"/>
      <c r="AN891" s="3055"/>
      <c r="AO891" s="3055"/>
      <c r="AP891" s="3055"/>
      <c r="AQ891" s="3055"/>
      <c r="AR891" s="3055"/>
      <c r="AS891" s="3055"/>
      <c r="AT891" s="3055"/>
      <c r="AU891" s="3056"/>
      <c r="AV891" s="3057">
        <f t="shared" si="15"/>
      </c>
      <c r="AW891" s="3054"/>
      <c r="AX891" s="3054"/>
      <c r="AY891" s="3055"/>
      <c r="AZ891" s="3055"/>
      <c r="BA891" s="3055"/>
      <c r="BB891" s="3055"/>
      <c r="BC891" s="3055"/>
      <c r="BD891" s="3055"/>
      <c r="BE891" s="3055"/>
      <c r="BF891" s="3055"/>
      <c r="BG891" s="3055"/>
      <c r="BH891" s="3055"/>
      <c r="BI891" s="3055"/>
      <c r="BJ891" s="3055"/>
      <c r="BK891" s="3055"/>
      <c r="BL891" s="3056"/>
      <c r="BM891" s="3057">
        <f t="shared" si="16"/>
      </c>
      <c r="BN891" s="3054"/>
      <c r="BO891" s="3054"/>
      <c r="BP891" s="3055"/>
      <c r="BQ891" s="3055"/>
      <c r="BR891" s="3055"/>
      <c r="BS891" s="3055"/>
      <c r="BT891" s="3055"/>
      <c r="BU891" s="3055"/>
      <c r="BV891" s="3055"/>
      <c r="BW891" s="3055"/>
      <c r="BX891" s="3055"/>
      <c r="BY891" s="3055"/>
      <c r="BZ891" s="3055"/>
      <c r="CA891" s="3055"/>
      <c r="CB891" s="3055"/>
      <c r="CC891" s="3056"/>
      <c r="CD891" s="3057">
        <f t="shared" si="0"/>
      </c>
      <c r="CE891" s="3054"/>
      <c r="CF891" s="3054"/>
      <c r="CG891" s="3055"/>
      <c r="CH891" s="3055"/>
      <c r="CI891" s="3055"/>
      <c r="CJ891" s="3055"/>
      <c r="CK891" s="3055"/>
      <c r="CL891" s="3055"/>
      <c r="CM891" s="3055"/>
      <c r="CN891" s="3055"/>
      <c r="CO891" s="3055"/>
      <c r="CP891" s="3055"/>
      <c r="CQ891" s="3055"/>
      <c r="CR891" s="3055"/>
      <c r="CS891" s="3055"/>
      <c r="CU891" s="3054"/>
      <c r="CV891" s="696"/>
      <c r="CW891" s="696"/>
      <c r="CZ891" s="3060">
        <f t="shared" si="17"/>
      </c>
      <c r="DA891" s="3060">
        <f t="shared" si="1"/>
      </c>
      <c r="DB891" s="3060">
        <f t="shared" si="18"/>
      </c>
      <c r="DC891" s="3060">
        <f t="shared" si="19"/>
      </c>
      <c r="DD891" s="3060">
        <f t="shared" si="20"/>
      </c>
      <c r="DE891" s="3060">
        <f t="shared" si="21"/>
      </c>
      <c r="DF891" s="3060">
        <f t="shared" si="22"/>
      </c>
      <c r="DG891" s="3060">
        <f t="shared" si="23"/>
      </c>
      <c r="DH891" s="3060">
        <f t="shared" si="24"/>
      </c>
      <c r="DI891" s="3060">
        <f t="shared" si="1"/>
      </c>
    </row>
    <row r="892" ht="15" customHeight="1" s="3052" customFormat="1">
      <c r="B892" s="3054">
        <f t="shared" si="2"/>
      </c>
      <c r="C892" s="3054"/>
      <c r="D892" s="3054"/>
      <c r="E892" s="3055"/>
      <c r="F892" s="3055"/>
      <c r="G892" s="3055"/>
      <c r="H892" s="3055"/>
      <c r="I892" s="3055"/>
      <c r="J892" s="3055"/>
      <c r="K892" s="3055"/>
      <c r="L892" s="3055"/>
      <c r="M892" s="3055"/>
      <c r="N892" s="3055"/>
      <c r="O892" s="3055"/>
      <c r="P892" s="3055"/>
      <c r="Q892" s="3055"/>
      <c r="R892" s="3055">
        <f t="shared" si="3"/>
        <v>0</v>
      </c>
      <c r="S892" s="3055">
        <f t="shared" si="4"/>
        <v>0</v>
      </c>
      <c r="T892" s="3055">
        <f t="shared" si="5"/>
        <v>0</v>
      </c>
      <c r="U892" s="3055">
        <f t="shared" si="6"/>
        <v>0</v>
      </c>
      <c r="V892" s="3055">
        <f t="shared" si="7"/>
        <v>0</v>
      </c>
      <c r="W892" s="3055">
        <f t="shared" si="8"/>
        <v>0</v>
      </c>
      <c r="X892" s="3055">
        <f t="shared" si="9"/>
        <v>0</v>
      </c>
      <c r="Y892" s="3055">
        <f t="shared" si="10"/>
        <v>0</v>
      </c>
      <c r="Z892" s="3055">
        <f t="shared" si="11"/>
        <v>0</v>
      </c>
      <c r="AA892" s="3055">
        <f t="shared" si="12"/>
        <v>0</v>
      </c>
      <c r="AB892" s="3055">
        <f t="shared" si="13"/>
        <v>0</v>
      </c>
      <c r="AC892" s="3055">
        <f t="shared" si="14"/>
        <v>0</v>
      </c>
      <c r="AD892" s="3056"/>
      <c r="AE892" s="3057">
        <f t="shared" si="0"/>
      </c>
      <c r="AF892" s="3054"/>
      <c r="AG892" s="3054"/>
      <c r="AH892" s="3055"/>
      <c r="AI892" s="3055"/>
      <c r="AJ892" s="3055"/>
      <c r="AK892" s="3055"/>
      <c r="AL892" s="3055"/>
      <c r="AM892" s="3055"/>
      <c r="AN892" s="3055"/>
      <c r="AO892" s="3055"/>
      <c r="AP892" s="3055"/>
      <c r="AQ892" s="3055"/>
      <c r="AR892" s="3055"/>
      <c r="AS892" s="3055"/>
      <c r="AT892" s="3055"/>
      <c r="AU892" s="3056"/>
      <c r="AV892" s="3057">
        <f t="shared" si="15"/>
      </c>
      <c r="AW892" s="3054"/>
      <c r="AX892" s="3054"/>
      <c r="AY892" s="3055"/>
      <c r="AZ892" s="3055"/>
      <c r="BA892" s="3055"/>
      <c r="BB892" s="3055"/>
      <c r="BC892" s="3055"/>
      <c r="BD892" s="3055"/>
      <c r="BE892" s="3055"/>
      <c r="BF892" s="3055"/>
      <c r="BG892" s="3055"/>
      <c r="BH892" s="3055"/>
      <c r="BI892" s="3055"/>
      <c r="BJ892" s="3055"/>
      <c r="BK892" s="3055"/>
      <c r="BL892" s="3056"/>
      <c r="BM892" s="3057">
        <f t="shared" si="16"/>
      </c>
      <c r="BN892" s="3054"/>
      <c r="BO892" s="3054"/>
      <c r="BP892" s="3055"/>
      <c r="BQ892" s="3055"/>
      <c r="BR892" s="3055"/>
      <c r="BS892" s="3055"/>
      <c r="BT892" s="3055"/>
      <c r="BU892" s="3055"/>
      <c r="BV892" s="3055"/>
      <c r="BW892" s="3055"/>
      <c r="BX892" s="3055"/>
      <c r="BY892" s="3055"/>
      <c r="BZ892" s="3055"/>
      <c r="CA892" s="3055"/>
      <c r="CB892" s="3055"/>
      <c r="CC892" s="3056"/>
      <c r="CD892" s="3057">
        <f t="shared" si="0"/>
      </c>
      <c r="CE892" s="3054"/>
      <c r="CF892" s="3054"/>
      <c r="CG892" s="3055"/>
      <c r="CH892" s="3055"/>
      <c r="CI892" s="3055"/>
      <c r="CJ892" s="3055"/>
      <c r="CK892" s="3055"/>
      <c r="CL892" s="3055"/>
      <c r="CM892" s="3055"/>
      <c r="CN892" s="3055"/>
      <c r="CO892" s="3055"/>
      <c r="CP892" s="3055"/>
      <c r="CQ892" s="3055"/>
      <c r="CR892" s="3055"/>
      <c r="CS892" s="3055"/>
      <c r="CU892" s="3054"/>
      <c r="CV892" s="696"/>
      <c r="CW892" s="696"/>
      <c r="CZ892" s="3060">
        <f t="shared" si="17"/>
      </c>
      <c r="DA892" s="3060">
        <f t="shared" si="1"/>
      </c>
      <c r="DB892" s="3060">
        <f t="shared" si="18"/>
      </c>
      <c r="DC892" s="3060">
        <f t="shared" si="19"/>
      </c>
      <c r="DD892" s="3060">
        <f t="shared" si="20"/>
      </c>
      <c r="DE892" s="3060">
        <f t="shared" si="21"/>
      </c>
      <c r="DF892" s="3060">
        <f t="shared" si="22"/>
      </c>
      <c r="DG892" s="3060">
        <f t="shared" si="23"/>
      </c>
      <c r="DH892" s="3060">
        <f t="shared" si="24"/>
      </c>
      <c r="DI892" s="3060">
        <f t="shared" si="1"/>
      </c>
    </row>
    <row r="893" ht="15" customHeight="1" s="3052" customFormat="1">
      <c r="B893" s="3054">
        <f t="shared" si="2"/>
      </c>
      <c r="C893" s="3054"/>
      <c r="D893" s="3054"/>
      <c r="E893" s="3055"/>
      <c r="F893" s="3055"/>
      <c r="G893" s="3055"/>
      <c r="H893" s="3055"/>
      <c r="I893" s="3055"/>
      <c r="J893" s="3055"/>
      <c r="K893" s="3055"/>
      <c r="L893" s="3055"/>
      <c r="M893" s="3055"/>
      <c r="N893" s="3055"/>
      <c r="O893" s="3055"/>
      <c r="P893" s="3055"/>
      <c r="Q893" s="3055"/>
      <c r="R893" s="3055">
        <f t="shared" si="3"/>
        <v>0</v>
      </c>
      <c r="S893" s="3055">
        <f t="shared" si="4"/>
        <v>0</v>
      </c>
      <c r="T893" s="3055">
        <f t="shared" si="5"/>
        <v>0</v>
      </c>
      <c r="U893" s="3055">
        <f t="shared" si="6"/>
        <v>0</v>
      </c>
      <c r="V893" s="3055">
        <f t="shared" si="7"/>
        <v>0</v>
      </c>
      <c r="W893" s="3055">
        <f t="shared" si="8"/>
        <v>0</v>
      </c>
      <c r="X893" s="3055">
        <f t="shared" si="9"/>
        <v>0</v>
      </c>
      <c r="Y893" s="3055">
        <f t="shared" si="10"/>
        <v>0</v>
      </c>
      <c r="Z893" s="3055">
        <f t="shared" si="11"/>
        <v>0</v>
      </c>
      <c r="AA893" s="3055">
        <f t="shared" si="12"/>
        <v>0</v>
      </c>
      <c r="AB893" s="3055">
        <f t="shared" si="13"/>
        <v>0</v>
      </c>
      <c r="AC893" s="3055">
        <f t="shared" si="14"/>
        <v>0</v>
      </c>
      <c r="AD893" s="3056"/>
      <c r="AE893" s="3057">
        <f t="shared" si="0"/>
      </c>
      <c r="AF893" s="3054"/>
      <c r="AG893" s="3054"/>
      <c r="AH893" s="3055"/>
      <c r="AI893" s="3055"/>
      <c r="AJ893" s="3055"/>
      <c r="AK893" s="3055"/>
      <c r="AL893" s="3055"/>
      <c r="AM893" s="3055"/>
      <c r="AN893" s="3055"/>
      <c r="AO893" s="3055"/>
      <c r="AP893" s="3055"/>
      <c r="AQ893" s="3055"/>
      <c r="AR893" s="3055"/>
      <c r="AS893" s="3055"/>
      <c r="AT893" s="3055"/>
      <c r="AU893" s="3056"/>
      <c r="AV893" s="3057">
        <f t="shared" si="15"/>
      </c>
      <c r="AW893" s="3054"/>
      <c r="AX893" s="3054"/>
      <c r="AY893" s="3055"/>
      <c r="AZ893" s="3055"/>
      <c r="BA893" s="3055"/>
      <c r="BB893" s="3055"/>
      <c r="BC893" s="3055"/>
      <c r="BD893" s="3055"/>
      <c r="BE893" s="3055"/>
      <c r="BF893" s="3055"/>
      <c r="BG893" s="3055"/>
      <c r="BH893" s="3055"/>
      <c r="BI893" s="3055"/>
      <c r="BJ893" s="3055"/>
      <c r="BK893" s="3055"/>
      <c r="BL893" s="3056"/>
      <c r="BM893" s="3057">
        <f t="shared" si="16"/>
      </c>
      <c r="BN893" s="3054"/>
      <c r="BO893" s="3054"/>
      <c r="BP893" s="3055"/>
      <c r="BQ893" s="3055"/>
      <c r="BR893" s="3055"/>
      <c r="BS893" s="3055"/>
      <c r="BT893" s="3055"/>
      <c r="BU893" s="3055"/>
      <c r="BV893" s="3055"/>
      <c r="BW893" s="3055"/>
      <c r="BX893" s="3055"/>
      <c r="BY893" s="3055"/>
      <c r="BZ893" s="3055"/>
      <c r="CA893" s="3055"/>
      <c r="CB893" s="3055"/>
      <c r="CC893" s="3056"/>
      <c r="CD893" s="3057">
        <f t="shared" si="0"/>
      </c>
      <c r="CE893" s="3054"/>
      <c r="CF893" s="3054"/>
      <c r="CG893" s="3055"/>
      <c r="CH893" s="3055"/>
      <c r="CI893" s="3055"/>
      <c r="CJ893" s="3055"/>
      <c r="CK893" s="3055"/>
      <c r="CL893" s="3055"/>
      <c r="CM893" s="3055"/>
      <c r="CN893" s="3055"/>
      <c r="CO893" s="3055"/>
      <c r="CP893" s="3055"/>
      <c r="CQ893" s="3055"/>
      <c r="CR893" s="3055"/>
      <c r="CS893" s="3055"/>
      <c r="CU893" s="3054"/>
      <c r="CV893" s="696"/>
      <c r="CW893" s="696"/>
      <c r="CZ893" s="3060">
        <f t="shared" si="17"/>
      </c>
      <c r="DA893" s="3060">
        <f t="shared" si="1"/>
      </c>
      <c r="DB893" s="3060">
        <f t="shared" si="18"/>
      </c>
      <c r="DC893" s="3060">
        <f t="shared" si="19"/>
      </c>
      <c r="DD893" s="3060">
        <f t="shared" si="20"/>
      </c>
      <c r="DE893" s="3060">
        <f t="shared" si="21"/>
      </c>
      <c r="DF893" s="3060">
        <f t="shared" si="22"/>
      </c>
      <c r="DG893" s="3060">
        <f t="shared" si="23"/>
      </c>
      <c r="DH893" s="3060">
        <f t="shared" si="24"/>
      </c>
      <c r="DI893" s="3060">
        <f t="shared" si="1"/>
      </c>
    </row>
    <row r="894" ht="15" customHeight="1" s="3052" customFormat="1">
      <c r="B894" s="3054">
        <f t="shared" si="2"/>
      </c>
      <c r="C894" s="3054"/>
      <c r="D894" s="3054"/>
      <c r="E894" s="3055"/>
      <c r="F894" s="3055"/>
      <c r="G894" s="3055"/>
      <c r="H894" s="3055"/>
      <c r="I894" s="3055"/>
      <c r="J894" s="3055"/>
      <c r="K894" s="3055"/>
      <c r="L894" s="3055"/>
      <c r="M894" s="3055"/>
      <c r="N894" s="3055"/>
      <c r="O894" s="3055"/>
      <c r="P894" s="3055"/>
      <c r="Q894" s="3055"/>
      <c r="R894" s="3055">
        <f t="shared" si="3"/>
        <v>0</v>
      </c>
      <c r="S894" s="3055">
        <f t="shared" si="4"/>
        <v>0</v>
      </c>
      <c r="T894" s="3055">
        <f t="shared" si="5"/>
        <v>0</v>
      </c>
      <c r="U894" s="3055">
        <f t="shared" si="6"/>
        <v>0</v>
      </c>
      <c r="V894" s="3055">
        <f t="shared" si="7"/>
        <v>0</v>
      </c>
      <c r="W894" s="3055">
        <f t="shared" si="8"/>
        <v>0</v>
      </c>
      <c r="X894" s="3055">
        <f t="shared" si="9"/>
        <v>0</v>
      </c>
      <c r="Y894" s="3055">
        <f t="shared" si="10"/>
        <v>0</v>
      </c>
      <c r="Z894" s="3055">
        <f t="shared" si="11"/>
        <v>0</v>
      </c>
      <c r="AA894" s="3055">
        <f t="shared" si="12"/>
        <v>0</v>
      </c>
      <c r="AB894" s="3055">
        <f t="shared" si="13"/>
        <v>0</v>
      </c>
      <c r="AC894" s="3055">
        <f t="shared" si="14"/>
        <v>0</v>
      </c>
      <c r="AD894" s="3056"/>
      <c r="AE894" s="3057">
        <f t="shared" si="0"/>
      </c>
      <c r="AF894" s="3054"/>
      <c r="AG894" s="3054"/>
      <c r="AH894" s="3055"/>
      <c r="AI894" s="3055"/>
      <c r="AJ894" s="3055"/>
      <c r="AK894" s="3055"/>
      <c r="AL894" s="3055"/>
      <c r="AM894" s="3055"/>
      <c r="AN894" s="3055"/>
      <c r="AO894" s="3055"/>
      <c r="AP894" s="3055"/>
      <c r="AQ894" s="3055"/>
      <c r="AR894" s="3055"/>
      <c r="AS894" s="3055"/>
      <c r="AT894" s="3055"/>
      <c r="AU894" s="3056"/>
      <c r="AV894" s="3057">
        <f t="shared" si="15"/>
      </c>
      <c r="AW894" s="3054"/>
      <c r="AX894" s="3054"/>
      <c r="AY894" s="3055"/>
      <c r="AZ894" s="3055"/>
      <c r="BA894" s="3055"/>
      <c r="BB894" s="3055"/>
      <c r="BC894" s="3055"/>
      <c r="BD894" s="3055"/>
      <c r="BE894" s="3055"/>
      <c r="BF894" s="3055"/>
      <c r="BG894" s="3055"/>
      <c r="BH894" s="3055"/>
      <c r="BI894" s="3055"/>
      <c r="BJ894" s="3055"/>
      <c r="BK894" s="3055"/>
      <c r="BL894" s="3056"/>
      <c r="BM894" s="3057">
        <f t="shared" si="16"/>
      </c>
      <c r="BN894" s="3054"/>
      <c r="BO894" s="3054"/>
      <c r="BP894" s="3055"/>
      <c r="BQ894" s="3055"/>
      <c r="BR894" s="3055"/>
      <c r="BS894" s="3055"/>
      <c r="BT894" s="3055"/>
      <c r="BU894" s="3055"/>
      <c r="BV894" s="3055"/>
      <c r="BW894" s="3055"/>
      <c r="BX894" s="3055"/>
      <c r="BY894" s="3055"/>
      <c r="BZ894" s="3055"/>
      <c r="CA894" s="3055"/>
      <c r="CB894" s="3055"/>
      <c r="CC894" s="3056"/>
      <c r="CD894" s="3057">
        <f t="shared" si="0"/>
      </c>
      <c r="CE894" s="3054"/>
      <c r="CF894" s="3054"/>
      <c r="CG894" s="3055"/>
      <c r="CH894" s="3055"/>
      <c r="CI894" s="3055"/>
      <c r="CJ894" s="3055"/>
      <c r="CK894" s="3055"/>
      <c r="CL894" s="3055"/>
      <c r="CM894" s="3055"/>
      <c r="CN894" s="3055"/>
      <c r="CO894" s="3055"/>
      <c r="CP894" s="3055"/>
      <c r="CQ894" s="3055"/>
      <c r="CR894" s="3055"/>
      <c r="CS894" s="3055"/>
      <c r="CU894" s="3054"/>
      <c r="CV894" s="696"/>
      <c r="CW894" s="696"/>
      <c r="CZ894" s="3060">
        <f t="shared" si="17"/>
      </c>
      <c r="DA894" s="3060">
        <f t="shared" si="1"/>
      </c>
      <c r="DB894" s="3060">
        <f t="shared" si="18"/>
      </c>
      <c r="DC894" s="3060">
        <f t="shared" si="19"/>
      </c>
      <c r="DD894" s="3060">
        <f t="shared" si="20"/>
      </c>
      <c r="DE894" s="3060">
        <f t="shared" si="21"/>
      </c>
      <c r="DF894" s="3060">
        <f t="shared" si="22"/>
      </c>
      <c r="DG894" s="3060">
        <f t="shared" si="23"/>
      </c>
      <c r="DH894" s="3060">
        <f t="shared" si="24"/>
      </c>
      <c r="DI894" s="3060">
        <f t="shared" si="1"/>
      </c>
    </row>
    <row r="895" ht="15" customHeight="1" s="3052" customFormat="1">
      <c r="B895" s="3054">
        <f t="shared" si="2"/>
      </c>
      <c r="C895" s="3054"/>
      <c r="D895" s="3054"/>
      <c r="E895" s="3055"/>
      <c r="F895" s="3055"/>
      <c r="G895" s="3055"/>
      <c r="H895" s="3055"/>
      <c r="I895" s="3055"/>
      <c r="J895" s="3055"/>
      <c r="K895" s="3055"/>
      <c r="L895" s="3055"/>
      <c r="M895" s="3055"/>
      <c r="N895" s="3055"/>
      <c r="O895" s="3055"/>
      <c r="P895" s="3055"/>
      <c r="Q895" s="3055"/>
      <c r="R895" s="3055">
        <f t="shared" si="3"/>
        <v>0</v>
      </c>
      <c r="S895" s="3055">
        <f t="shared" si="4"/>
        <v>0</v>
      </c>
      <c r="T895" s="3055">
        <f t="shared" si="5"/>
        <v>0</v>
      </c>
      <c r="U895" s="3055">
        <f t="shared" si="6"/>
        <v>0</v>
      </c>
      <c r="V895" s="3055">
        <f t="shared" si="7"/>
        <v>0</v>
      </c>
      <c r="W895" s="3055">
        <f t="shared" si="8"/>
        <v>0</v>
      </c>
      <c r="X895" s="3055">
        <f t="shared" si="9"/>
        <v>0</v>
      </c>
      <c r="Y895" s="3055">
        <f t="shared" si="10"/>
        <v>0</v>
      </c>
      <c r="Z895" s="3055">
        <f t="shared" si="11"/>
        <v>0</v>
      </c>
      <c r="AA895" s="3055">
        <f t="shared" si="12"/>
        <v>0</v>
      </c>
      <c r="AB895" s="3055">
        <f t="shared" si="13"/>
        <v>0</v>
      </c>
      <c r="AC895" s="3055">
        <f t="shared" si="14"/>
        <v>0</v>
      </c>
      <c r="AD895" s="3056"/>
      <c r="AE895" s="3057">
        <f t="shared" si="0"/>
      </c>
      <c r="AF895" s="3054"/>
      <c r="AG895" s="3054"/>
      <c r="AH895" s="3055"/>
      <c r="AI895" s="3055"/>
      <c r="AJ895" s="3055"/>
      <c r="AK895" s="3055"/>
      <c r="AL895" s="3055"/>
      <c r="AM895" s="3055"/>
      <c r="AN895" s="3055"/>
      <c r="AO895" s="3055"/>
      <c r="AP895" s="3055"/>
      <c r="AQ895" s="3055"/>
      <c r="AR895" s="3055"/>
      <c r="AS895" s="3055"/>
      <c r="AT895" s="3055"/>
      <c r="AU895" s="3056"/>
      <c r="AV895" s="3057">
        <f t="shared" si="15"/>
      </c>
      <c r="AW895" s="3054"/>
      <c r="AX895" s="3054"/>
      <c r="AY895" s="3055"/>
      <c r="AZ895" s="3055"/>
      <c r="BA895" s="3055"/>
      <c r="BB895" s="3055"/>
      <c r="BC895" s="3055"/>
      <c r="BD895" s="3055"/>
      <c r="BE895" s="3055"/>
      <c r="BF895" s="3055"/>
      <c r="BG895" s="3055"/>
      <c r="BH895" s="3055"/>
      <c r="BI895" s="3055"/>
      <c r="BJ895" s="3055"/>
      <c r="BK895" s="3055"/>
      <c r="BL895" s="3056"/>
      <c r="BM895" s="3057">
        <f t="shared" si="16"/>
      </c>
      <c r="BN895" s="3054"/>
      <c r="BO895" s="3054"/>
      <c r="BP895" s="3055"/>
      <c r="BQ895" s="3055"/>
      <c r="BR895" s="3055"/>
      <c r="BS895" s="3055"/>
      <c r="BT895" s="3055"/>
      <c r="BU895" s="3055"/>
      <c r="BV895" s="3055"/>
      <c r="BW895" s="3055"/>
      <c r="BX895" s="3055"/>
      <c r="BY895" s="3055"/>
      <c r="BZ895" s="3055"/>
      <c r="CA895" s="3055"/>
      <c r="CB895" s="3055"/>
      <c r="CC895" s="3056"/>
      <c r="CD895" s="3057">
        <f t="shared" si="0"/>
      </c>
      <c r="CE895" s="3054"/>
      <c r="CF895" s="3054"/>
      <c r="CG895" s="3055"/>
      <c r="CH895" s="3055"/>
      <c r="CI895" s="3055"/>
      <c r="CJ895" s="3055"/>
      <c r="CK895" s="3055"/>
      <c r="CL895" s="3055"/>
      <c r="CM895" s="3055"/>
      <c r="CN895" s="3055"/>
      <c r="CO895" s="3055"/>
      <c r="CP895" s="3055"/>
      <c r="CQ895" s="3055"/>
      <c r="CR895" s="3055"/>
      <c r="CS895" s="3055"/>
      <c r="CU895" s="3054"/>
      <c r="CV895" s="696"/>
      <c r="CW895" s="696"/>
      <c r="CZ895" s="3060">
        <f t="shared" si="17"/>
      </c>
      <c r="DA895" s="3060">
        <f t="shared" si="1"/>
      </c>
      <c r="DB895" s="3060">
        <f t="shared" si="18"/>
      </c>
      <c r="DC895" s="3060">
        <f t="shared" si="19"/>
      </c>
      <c r="DD895" s="3060">
        <f t="shared" si="20"/>
      </c>
      <c r="DE895" s="3060">
        <f t="shared" si="21"/>
      </c>
      <c r="DF895" s="3060">
        <f t="shared" si="22"/>
      </c>
      <c r="DG895" s="3060">
        <f t="shared" si="23"/>
      </c>
      <c r="DH895" s="3060">
        <f t="shared" si="24"/>
      </c>
      <c r="DI895" s="3060">
        <f t="shared" si="1"/>
      </c>
    </row>
    <row r="896" ht="15" customHeight="1" s="3052" customFormat="1">
      <c r="B896" s="3054">
        <f t="shared" si="2"/>
      </c>
      <c r="C896" s="3054"/>
      <c r="D896" s="3054"/>
      <c r="E896" s="3055"/>
      <c r="F896" s="3055"/>
      <c r="G896" s="3055"/>
      <c r="H896" s="3055"/>
      <c r="I896" s="3055"/>
      <c r="J896" s="3055"/>
      <c r="K896" s="3055"/>
      <c r="L896" s="3055"/>
      <c r="M896" s="3055"/>
      <c r="N896" s="3055"/>
      <c r="O896" s="3055"/>
      <c r="P896" s="3055"/>
      <c r="Q896" s="3055"/>
      <c r="R896" s="3055">
        <f t="shared" si="3"/>
        <v>0</v>
      </c>
      <c r="S896" s="3055">
        <f t="shared" si="4"/>
        <v>0</v>
      </c>
      <c r="T896" s="3055">
        <f t="shared" si="5"/>
        <v>0</v>
      </c>
      <c r="U896" s="3055">
        <f t="shared" si="6"/>
        <v>0</v>
      </c>
      <c r="V896" s="3055">
        <f t="shared" si="7"/>
        <v>0</v>
      </c>
      <c r="W896" s="3055">
        <f t="shared" si="8"/>
        <v>0</v>
      </c>
      <c r="X896" s="3055">
        <f t="shared" si="9"/>
        <v>0</v>
      </c>
      <c r="Y896" s="3055">
        <f t="shared" si="10"/>
        <v>0</v>
      </c>
      <c r="Z896" s="3055">
        <f t="shared" si="11"/>
        <v>0</v>
      </c>
      <c r="AA896" s="3055">
        <f t="shared" si="12"/>
        <v>0</v>
      </c>
      <c r="AB896" s="3055">
        <f t="shared" si="13"/>
        <v>0</v>
      </c>
      <c r="AC896" s="3055">
        <f t="shared" si="14"/>
        <v>0</v>
      </c>
      <c r="AD896" s="3056"/>
      <c r="AE896" s="3057">
        <f t="shared" si="0"/>
      </c>
      <c r="AF896" s="3054"/>
      <c r="AG896" s="3054"/>
      <c r="AH896" s="3055"/>
      <c r="AI896" s="3055"/>
      <c r="AJ896" s="3055"/>
      <c r="AK896" s="3055"/>
      <c r="AL896" s="3055"/>
      <c r="AM896" s="3055"/>
      <c r="AN896" s="3055"/>
      <c r="AO896" s="3055"/>
      <c r="AP896" s="3055"/>
      <c r="AQ896" s="3055"/>
      <c r="AR896" s="3055"/>
      <c r="AS896" s="3055"/>
      <c r="AT896" s="3055"/>
      <c r="AU896" s="3056"/>
      <c r="AV896" s="3057">
        <f t="shared" si="15"/>
      </c>
      <c r="AW896" s="3054"/>
      <c r="AX896" s="3054"/>
      <c r="AY896" s="3055"/>
      <c r="AZ896" s="3055"/>
      <c r="BA896" s="3055"/>
      <c r="BB896" s="3055"/>
      <c r="BC896" s="3055"/>
      <c r="BD896" s="3055"/>
      <c r="BE896" s="3055"/>
      <c r="BF896" s="3055"/>
      <c r="BG896" s="3055"/>
      <c r="BH896" s="3055"/>
      <c r="BI896" s="3055"/>
      <c r="BJ896" s="3055"/>
      <c r="BK896" s="3055"/>
      <c r="BL896" s="3056"/>
      <c r="BM896" s="3057">
        <f t="shared" si="16"/>
      </c>
      <c r="BN896" s="3054"/>
      <c r="BO896" s="3054"/>
      <c r="BP896" s="3055"/>
      <c r="BQ896" s="3055"/>
      <c r="BR896" s="3055"/>
      <c r="BS896" s="3055"/>
      <c r="BT896" s="3055"/>
      <c r="BU896" s="3055"/>
      <c r="BV896" s="3055"/>
      <c r="BW896" s="3055"/>
      <c r="BX896" s="3055"/>
      <c r="BY896" s="3055"/>
      <c r="BZ896" s="3055"/>
      <c r="CA896" s="3055"/>
      <c r="CB896" s="3055"/>
      <c r="CC896" s="3056"/>
      <c r="CD896" s="3057">
        <f t="shared" si="0"/>
      </c>
      <c r="CE896" s="3054"/>
      <c r="CF896" s="3054"/>
      <c r="CG896" s="3055"/>
      <c r="CH896" s="3055"/>
      <c r="CI896" s="3055"/>
      <c r="CJ896" s="3055"/>
      <c r="CK896" s="3055"/>
      <c r="CL896" s="3055"/>
      <c r="CM896" s="3055"/>
      <c r="CN896" s="3055"/>
      <c r="CO896" s="3055"/>
      <c r="CP896" s="3055"/>
      <c r="CQ896" s="3055"/>
      <c r="CR896" s="3055"/>
      <c r="CS896" s="3055"/>
      <c r="CU896" s="3054"/>
      <c r="CV896" s="696"/>
      <c r="CW896" s="696"/>
      <c r="CZ896" s="3060">
        <f t="shared" si="17"/>
      </c>
      <c r="DA896" s="3060">
        <f t="shared" si="1"/>
      </c>
      <c r="DB896" s="3060">
        <f t="shared" si="18"/>
      </c>
      <c r="DC896" s="3060">
        <f t="shared" si="19"/>
      </c>
      <c r="DD896" s="3060">
        <f t="shared" si="20"/>
      </c>
      <c r="DE896" s="3060">
        <f t="shared" si="21"/>
      </c>
      <c r="DF896" s="3060">
        <f t="shared" si="22"/>
      </c>
      <c r="DG896" s="3060">
        <f t="shared" si="23"/>
      </c>
      <c r="DH896" s="3060">
        <f t="shared" si="24"/>
      </c>
      <c r="DI896" s="3060">
        <f t="shared" si="1"/>
      </c>
    </row>
    <row r="897" ht="15" customHeight="1" s="3052" customFormat="1">
      <c r="B897" s="3054">
        <f t="shared" si="2"/>
      </c>
      <c r="C897" s="3054"/>
      <c r="D897" s="3054"/>
      <c r="E897" s="3055"/>
      <c r="F897" s="3055"/>
      <c r="G897" s="3055"/>
      <c r="H897" s="3055"/>
      <c r="I897" s="3055"/>
      <c r="J897" s="3055"/>
      <c r="K897" s="3055"/>
      <c r="L897" s="3055"/>
      <c r="M897" s="3055"/>
      <c r="N897" s="3055"/>
      <c r="O897" s="3055"/>
      <c r="P897" s="3055"/>
      <c r="Q897" s="3055"/>
      <c r="R897" s="3055">
        <f t="shared" si="3"/>
        <v>0</v>
      </c>
      <c r="S897" s="3055">
        <f t="shared" si="4"/>
        <v>0</v>
      </c>
      <c r="T897" s="3055">
        <f t="shared" si="5"/>
        <v>0</v>
      </c>
      <c r="U897" s="3055">
        <f t="shared" si="6"/>
        <v>0</v>
      </c>
      <c r="V897" s="3055">
        <f t="shared" si="7"/>
        <v>0</v>
      </c>
      <c r="W897" s="3055">
        <f t="shared" si="8"/>
        <v>0</v>
      </c>
      <c r="X897" s="3055">
        <f t="shared" si="9"/>
        <v>0</v>
      </c>
      <c r="Y897" s="3055">
        <f t="shared" si="10"/>
        <v>0</v>
      </c>
      <c r="Z897" s="3055">
        <f t="shared" si="11"/>
        <v>0</v>
      </c>
      <c r="AA897" s="3055">
        <f t="shared" si="12"/>
        <v>0</v>
      </c>
      <c r="AB897" s="3055">
        <f t="shared" si="13"/>
        <v>0</v>
      </c>
      <c r="AC897" s="3055">
        <f t="shared" si="14"/>
        <v>0</v>
      </c>
      <c r="AD897" s="3056"/>
      <c r="AE897" s="3057">
        <f t="shared" si="0"/>
      </c>
      <c r="AF897" s="3054"/>
      <c r="AG897" s="3054"/>
      <c r="AH897" s="3055"/>
      <c r="AI897" s="3055"/>
      <c r="AJ897" s="3055"/>
      <c r="AK897" s="3055"/>
      <c r="AL897" s="3055"/>
      <c r="AM897" s="3055"/>
      <c r="AN897" s="3055"/>
      <c r="AO897" s="3055"/>
      <c r="AP897" s="3055"/>
      <c r="AQ897" s="3055"/>
      <c r="AR897" s="3055"/>
      <c r="AS897" s="3055"/>
      <c r="AT897" s="3055"/>
      <c r="AU897" s="3056"/>
      <c r="AV897" s="3057">
        <f t="shared" si="15"/>
      </c>
      <c r="AW897" s="3054"/>
      <c r="AX897" s="3054"/>
      <c r="AY897" s="3055"/>
      <c r="AZ897" s="3055"/>
      <c r="BA897" s="3055"/>
      <c r="BB897" s="3055"/>
      <c r="BC897" s="3055"/>
      <c r="BD897" s="3055"/>
      <c r="BE897" s="3055"/>
      <c r="BF897" s="3055"/>
      <c r="BG897" s="3055"/>
      <c r="BH897" s="3055"/>
      <c r="BI897" s="3055"/>
      <c r="BJ897" s="3055"/>
      <c r="BK897" s="3055"/>
      <c r="BL897" s="3056"/>
      <c r="BM897" s="3057">
        <f t="shared" si="16"/>
      </c>
      <c r="BN897" s="3054"/>
      <c r="BO897" s="3054"/>
      <c r="BP897" s="3055"/>
      <c r="BQ897" s="3055"/>
      <c r="BR897" s="3055"/>
      <c r="BS897" s="3055"/>
      <c r="BT897" s="3055"/>
      <c r="BU897" s="3055"/>
      <c r="BV897" s="3055"/>
      <c r="BW897" s="3055"/>
      <c r="BX897" s="3055"/>
      <c r="BY897" s="3055"/>
      <c r="BZ897" s="3055"/>
      <c r="CA897" s="3055"/>
      <c r="CB897" s="3055"/>
      <c r="CC897" s="3056"/>
      <c r="CD897" s="3057">
        <f t="shared" si="0"/>
      </c>
      <c r="CE897" s="3054"/>
      <c r="CF897" s="3054"/>
      <c r="CG897" s="3055"/>
      <c r="CH897" s="3055"/>
      <c r="CI897" s="3055"/>
      <c r="CJ897" s="3055"/>
      <c r="CK897" s="3055"/>
      <c r="CL897" s="3055"/>
      <c r="CM897" s="3055"/>
      <c r="CN897" s="3055"/>
      <c r="CO897" s="3055"/>
      <c r="CP897" s="3055"/>
      <c r="CQ897" s="3055"/>
      <c r="CR897" s="3055"/>
      <c r="CS897" s="3055"/>
      <c r="CU897" s="3054"/>
      <c r="CV897" s="696"/>
      <c r="CW897" s="696"/>
      <c r="CZ897" s="3060">
        <f t="shared" si="17"/>
      </c>
      <c r="DA897" s="3060">
        <f t="shared" si="1"/>
      </c>
      <c r="DB897" s="3060">
        <f t="shared" si="18"/>
      </c>
      <c r="DC897" s="3060">
        <f t="shared" si="19"/>
      </c>
      <c r="DD897" s="3060">
        <f t="shared" si="20"/>
      </c>
      <c r="DE897" s="3060">
        <f t="shared" si="21"/>
      </c>
      <c r="DF897" s="3060">
        <f t="shared" si="22"/>
      </c>
      <c r="DG897" s="3060">
        <f t="shared" si="23"/>
      </c>
      <c r="DH897" s="3060">
        <f t="shared" si="24"/>
      </c>
      <c r="DI897" s="3060">
        <f t="shared" si="1"/>
      </c>
    </row>
    <row r="898" ht="15" customHeight="1" s="3052" customFormat="1">
      <c r="B898" s="3054">
        <f t="shared" si="2"/>
      </c>
      <c r="C898" s="3054"/>
      <c r="D898" s="3054"/>
      <c r="E898" s="3055"/>
      <c r="F898" s="3055"/>
      <c r="G898" s="3055"/>
      <c r="H898" s="3055"/>
      <c r="I898" s="3055"/>
      <c r="J898" s="3055"/>
      <c r="K898" s="3055"/>
      <c r="L898" s="3055"/>
      <c r="M898" s="3055"/>
      <c r="N898" s="3055"/>
      <c r="O898" s="3055"/>
      <c r="P898" s="3055"/>
      <c r="Q898" s="3055"/>
      <c r="R898" s="3055">
        <f t="shared" si="3"/>
        <v>0</v>
      </c>
      <c r="S898" s="3055">
        <f t="shared" si="4"/>
        <v>0</v>
      </c>
      <c r="T898" s="3055">
        <f t="shared" si="5"/>
        <v>0</v>
      </c>
      <c r="U898" s="3055">
        <f t="shared" si="6"/>
        <v>0</v>
      </c>
      <c r="V898" s="3055">
        <f t="shared" si="7"/>
        <v>0</v>
      </c>
      <c r="W898" s="3055">
        <f t="shared" si="8"/>
        <v>0</v>
      </c>
      <c r="X898" s="3055">
        <f t="shared" si="9"/>
        <v>0</v>
      </c>
      <c r="Y898" s="3055">
        <f t="shared" si="10"/>
        <v>0</v>
      </c>
      <c r="Z898" s="3055">
        <f t="shared" si="11"/>
        <v>0</v>
      </c>
      <c r="AA898" s="3055">
        <f t="shared" si="12"/>
        <v>0</v>
      </c>
      <c r="AB898" s="3055">
        <f t="shared" si="13"/>
        <v>0</v>
      </c>
      <c r="AC898" s="3055">
        <f t="shared" si="14"/>
        <v>0</v>
      </c>
      <c r="AD898" s="3056"/>
      <c r="AE898" s="3057">
        <f t="shared" si="0"/>
      </c>
      <c r="AF898" s="3054"/>
      <c r="AG898" s="3054"/>
      <c r="AH898" s="3055"/>
      <c r="AI898" s="3055"/>
      <c r="AJ898" s="3055"/>
      <c r="AK898" s="3055"/>
      <c r="AL898" s="3055"/>
      <c r="AM898" s="3055"/>
      <c r="AN898" s="3055"/>
      <c r="AO898" s="3055"/>
      <c r="AP898" s="3055"/>
      <c r="AQ898" s="3055"/>
      <c r="AR898" s="3055"/>
      <c r="AS898" s="3055"/>
      <c r="AT898" s="3055"/>
      <c r="AU898" s="3056"/>
      <c r="AV898" s="3057">
        <f t="shared" si="15"/>
      </c>
      <c r="AW898" s="3054"/>
      <c r="AX898" s="3054"/>
      <c r="AY898" s="3055"/>
      <c r="AZ898" s="3055"/>
      <c r="BA898" s="3055"/>
      <c r="BB898" s="3055"/>
      <c r="BC898" s="3055"/>
      <c r="BD898" s="3055"/>
      <c r="BE898" s="3055"/>
      <c r="BF898" s="3055"/>
      <c r="BG898" s="3055"/>
      <c r="BH898" s="3055"/>
      <c r="BI898" s="3055"/>
      <c r="BJ898" s="3055"/>
      <c r="BK898" s="3055"/>
      <c r="BL898" s="3056"/>
      <c r="BM898" s="3057">
        <f t="shared" si="16"/>
      </c>
      <c r="BN898" s="3054"/>
      <c r="BO898" s="3054"/>
      <c r="BP898" s="3055"/>
      <c r="BQ898" s="3055"/>
      <c r="BR898" s="3055"/>
      <c r="BS898" s="3055"/>
      <c r="BT898" s="3055"/>
      <c r="BU898" s="3055"/>
      <c r="BV898" s="3055"/>
      <c r="BW898" s="3055"/>
      <c r="BX898" s="3055"/>
      <c r="BY898" s="3055"/>
      <c r="BZ898" s="3055"/>
      <c r="CA898" s="3055"/>
      <c r="CB898" s="3055"/>
      <c r="CC898" s="3056"/>
      <c r="CD898" s="3057">
        <f t="shared" si="0"/>
      </c>
      <c r="CE898" s="3054"/>
      <c r="CF898" s="3054"/>
      <c r="CG898" s="3055"/>
      <c r="CH898" s="3055"/>
      <c r="CI898" s="3055"/>
      <c r="CJ898" s="3055"/>
      <c r="CK898" s="3055"/>
      <c r="CL898" s="3055"/>
      <c r="CM898" s="3055"/>
      <c r="CN898" s="3055"/>
      <c r="CO898" s="3055"/>
      <c r="CP898" s="3055"/>
      <c r="CQ898" s="3055"/>
      <c r="CR898" s="3055"/>
      <c r="CS898" s="3055"/>
      <c r="CU898" s="3054"/>
      <c r="CV898" s="696"/>
      <c r="CW898" s="696"/>
      <c r="CZ898" s="3060">
        <f t="shared" si="17"/>
      </c>
      <c r="DA898" s="3060">
        <f t="shared" si="1"/>
      </c>
      <c r="DB898" s="3060">
        <f t="shared" si="18"/>
      </c>
      <c r="DC898" s="3060">
        <f t="shared" si="19"/>
      </c>
      <c r="DD898" s="3060">
        <f t="shared" si="20"/>
      </c>
      <c r="DE898" s="3060">
        <f t="shared" si="21"/>
      </c>
      <c r="DF898" s="3060">
        <f t="shared" si="22"/>
      </c>
      <c r="DG898" s="3060">
        <f t="shared" si="23"/>
      </c>
      <c r="DH898" s="3060">
        <f t="shared" si="24"/>
      </c>
      <c r="DI898" s="3060">
        <f t="shared" si="1"/>
      </c>
    </row>
    <row r="899" ht="15" customHeight="1" s="3052" customFormat="1">
      <c r="B899" s="3054">
        <f t="shared" si="2"/>
      </c>
      <c r="C899" s="3054"/>
      <c r="D899" s="3054"/>
      <c r="E899" s="3055"/>
      <c r="F899" s="3055"/>
      <c r="G899" s="3055"/>
      <c r="H899" s="3055"/>
      <c r="I899" s="3055"/>
      <c r="J899" s="3055"/>
      <c r="K899" s="3055"/>
      <c r="L899" s="3055"/>
      <c r="M899" s="3055"/>
      <c r="N899" s="3055"/>
      <c r="O899" s="3055"/>
      <c r="P899" s="3055"/>
      <c r="Q899" s="3055"/>
      <c r="R899" s="3055">
        <f t="shared" si="3"/>
        <v>0</v>
      </c>
      <c r="S899" s="3055">
        <f t="shared" si="4"/>
        <v>0</v>
      </c>
      <c r="T899" s="3055">
        <f t="shared" si="5"/>
        <v>0</v>
      </c>
      <c r="U899" s="3055">
        <f t="shared" si="6"/>
        <v>0</v>
      </c>
      <c r="V899" s="3055">
        <f t="shared" si="7"/>
        <v>0</v>
      </c>
      <c r="W899" s="3055">
        <f t="shared" si="8"/>
        <v>0</v>
      </c>
      <c r="X899" s="3055">
        <f t="shared" si="9"/>
        <v>0</v>
      </c>
      <c r="Y899" s="3055">
        <f t="shared" si="10"/>
        <v>0</v>
      </c>
      <c r="Z899" s="3055">
        <f t="shared" si="11"/>
        <v>0</v>
      </c>
      <c r="AA899" s="3055">
        <f t="shared" si="12"/>
        <v>0</v>
      </c>
      <c r="AB899" s="3055">
        <f t="shared" si="13"/>
        <v>0</v>
      </c>
      <c r="AC899" s="3055">
        <f t="shared" si="14"/>
        <v>0</v>
      </c>
      <c r="AD899" s="3056"/>
      <c r="AE899" s="3057">
        <f t="shared" si="0"/>
      </c>
      <c r="AF899" s="3054"/>
      <c r="AG899" s="3054"/>
      <c r="AH899" s="3055"/>
      <c r="AI899" s="3055"/>
      <c r="AJ899" s="3055"/>
      <c r="AK899" s="3055"/>
      <c r="AL899" s="3055"/>
      <c r="AM899" s="3055"/>
      <c r="AN899" s="3055"/>
      <c r="AO899" s="3055"/>
      <c r="AP899" s="3055"/>
      <c r="AQ899" s="3055"/>
      <c r="AR899" s="3055"/>
      <c r="AS899" s="3055"/>
      <c r="AT899" s="3055"/>
      <c r="AU899" s="3056"/>
      <c r="AV899" s="3057">
        <f t="shared" si="15"/>
      </c>
      <c r="AW899" s="3054"/>
      <c r="AX899" s="3054"/>
      <c r="AY899" s="3055"/>
      <c r="AZ899" s="3055"/>
      <c r="BA899" s="3055"/>
      <c r="BB899" s="3055"/>
      <c r="BC899" s="3055"/>
      <c r="BD899" s="3055"/>
      <c r="BE899" s="3055"/>
      <c r="BF899" s="3055"/>
      <c r="BG899" s="3055"/>
      <c r="BH899" s="3055"/>
      <c r="BI899" s="3055"/>
      <c r="BJ899" s="3055"/>
      <c r="BK899" s="3055"/>
      <c r="BL899" s="3056"/>
      <c r="BM899" s="3057">
        <f t="shared" si="16"/>
      </c>
      <c r="BN899" s="3054"/>
      <c r="BO899" s="3054"/>
      <c r="BP899" s="3055"/>
      <c r="BQ899" s="3055"/>
      <c r="BR899" s="3055"/>
      <c r="BS899" s="3055"/>
      <c r="BT899" s="3055"/>
      <c r="BU899" s="3055"/>
      <c r="BV899" s="3055"/>
      <c r="BW899" s="3055"/>
      <c r="BX899" s="3055"/>
      <c r="BY899" s="3055"/>
      <c r="BZ899" s="3055"/>
      <c r="CA899" s="3055"/>
      <c r="CB899" s="3055"/>
      <c r="CC899" s="3056"/>
      <c r="CD899" s="3057">
        <f t="shared" si="0"/>
      </c>
      <c r="CE899" s="3054"/>
      <c r="CF899" s="3054"/>
      <c r="CG899" s="3055"/>
      <c r="CH899" s="3055"/>
      <c r="CI899" s="3055"/>
      <c r="CJ899" s="3055"/>
      <c r="CK899" s="3055"/>
      <c r="CL899" s="3055"/>
      <c r="CM899" s="3055"/>
      <c r="CN899" s="3055"/>
      <c r="CO899" s="3055"/>
      <c r="CP899" s="3055"/>
      <c r="CQ899" s="3055"/>
      <c r="CR899" s="3055"/>
      <c r="CS899" s="3055"/>
      <c r="CU899" s="3054"/>
      <c r="CV899" s="696"/>
      <c r="CW899" s="696"/>
      <c r="CZ899" s="3060">
        <f t="shared" si="17"/>
      </c>
      <c r="DA899" s="3060">
        <f t="shared" si="1"/>
      </c>
      <c r="DB899" s="3060">
        <f t="shared" si="18"/>
      </c>
      <c r="DC899" s="3060">
        <f t="shared" si="19"/>
      </c>
      <c r="DD899" s="3060">
        <f t="shared" si="20"/>
      </c>
      <c r="DE899" s="3060">
        <f t="shared" si="21"/>
      </c>
      <c r="DF899" s="3060">
        <f t="shared" si="22"/>
      </c>
      <c r="DG899" s="3060">
        <f t="shared" si="23"/>
      </c>
      <c r="DH899" s="3060">
        <f t="shared" si="24"/>
      </c>
      <c r="DI899" s="3060">
        <f t="shared" si="1"/>
      </c>
    </row>
    <row r="900" ht="15" customHeight="1" s="3052" customFormat="1">
      <c r="B900" s="3054">
        <f t="shared" si="2"/>
      </c>
      <c r="C900" s="3054"/>
      <c r="D900" s="3054"/>
      <c r="E900" s="3055"/>
      <c r="F900" s="3055"/>
      <c r="G900" s="3055"/>
      <c r="H900" s="3055"/>
      <c r="I900" s="3055"/>
      <c r="J900" s="3055"/>
      <c r="K900" s="3055"/>
      <c r="L900" s="3055"/>
      <c r="M900" s="3055"/>
      <c r="N900" s="3055"/>
      <c r="O900" s="3055"/>
      <c r="P900" s="3055"/>
      <c r="Q900" s="3055"/>
      <c r="R900" s="3055">
        <f t="shared" si="3"/>
        <v>0</v>
      </c>
      <c r="S900" s="3055">
        <f t="shared" si="4"/>
        <v>0</v>
      </c>
      <c r="T900" s="3055">
        <f t="shared" si="5"/>
        <v>0</v>
      </c>
      <c r="U900" s="3055">
        <f t="shared" si="6"/>
        <v>0</v>
      </c>
      <c r="V900" s="3055">
        <f t="shared" si="7"/>
        <v>0</v>
      </c>
      <c r="W900" s="3055">
        <f t="shared" si="8"/>
        <v>0</v>
      </c>
      <c r="X900" s="3055">
        <f t="shared" si="9"/>
        <v>0</v>
      </c>
      <c r="Y900" s="3055">
        <f t="shared" si="10"/>
        <v>0</v>
      </c>
      <c r="Z900" s="3055">
        <f t="shared" si="11"/>
        <v>0</v>
      </c>
      <c r="AA900" s="3055">
        <f t="shared" si="12"/>
        <v>0</v>
      </c>
      <c r="AB900" s="3055">
        <f t="shared" si="13"/>
        <v>0</v>
      </c>
      <c r="AC900" s="3055">
        <f t="shared" si="14"/>
        <v>0</v>
      </c>
      <c r="AD900" s="3056"/>
      <c r="AE900" s="3057">
        <f t="shared" si="0"/>
      </c>
      <c r="AF900" s="3054"/>
      <c r="AG900" s="3054"/>
      <c r="AH900" s="3055"/>
      <c r="AI900" s="3055"/>
      <c r="AJ900" s="3055"/>
      <c r="AK900" s="3055"/>
      <c r="AL900" s="3055"/>
      <c r="AM900" s="3055"/>
      <c r="AN900" s="3055"/>
      <c r="AO900" s="3055"/>
      <c r="AP900" s="3055"/>
      <c r="AQ900" s="3055"/>
      <c r="AR900" s="3055"/>
      <c r="AS900" s="3055"/>
      <c r="AT900" s="3055"/>
      <c r="AU900" s="3056"/>
      <c r="AV900" s="3057">
        <f t="shared" si="15"/>
      </c>
      <c r="AW900" s="3054"/>
      <c r="AX900" s="3054"/>
      <c r="AY900" s="3055"/>
      <c r="AZ900" s="3055"/>
      <c r="BA900" s="3055"/>
      <c r="BB900" s="3055"/>
      <c r="BC900" s="3055"/>
      <c r="BD900" s="3055"/>
      <c r="BE900" s="3055"/>
      <c r="BF900" s="3055"/>
      <c r="BG900" s="3055"/>
      <c r="BH900" s="3055"/>
      <c r="BI900" s="3055"/>
      <c r="BJ900" s="3055"/>
      <c r="BK900" s="3055"/>
      <c r="BL900" s="3056"/>
      <c r="BM900" s="3057">
        <f t="shared" si="16"/>
      </c>
      <c r="BN900" s="3054"/>
      <c r="BO900" s="3054"/>
      <c r="BP900" s="3055"/>
      <c r="BQ900" s="3055"/>
      <c r="BR900" s="3055"/>
      <c r="BS900" s="3055"/>
      <c r="BT900" s="3055"/>
      <c r="BU900" s="3055"/>
      <c r="BV900" s="3055"/>
      <c r="BW900" s="3055"/>
      <c r="BX900" s="3055"/>
      <c r="BY900" s="3055"/>
      <c r="BZ900" s="3055"/>
      <c r="CA900" s="3055"/>
      <c r="CB900" s="3055"/>
      <c r="CC900" s="3056"/>
      <c r="CD900" s="3057">
        <f t="shared" si="0"/>
      </c>
      <c r="CE900" s="3054"/>
      <c r="CF900" s="3054"/>
      <c r="CG900" s="3055"/>
      <c r="CH900" s="3055"/>
      <c r="CI900" s="3055"/>
      <c r="CJ900" s="3055"/>
      <c r="CK900" s="3055"/>
      <c r="CL900" s="3055"/>
      <c r="CM900" s="3055"/>
      <c r="CN900" s="3055"/>
      <c r="CO900" s="3055"/>
      <c r="CP900" s="3055"/>
      <c r="CQ900" s="3055"/>
      <c r="CR900" s="3055"/>
      <c r="CS900" s="3055"/>
      <c r="CU900" s="3054"/>
      <c r="CV900" s="696"/>
      <c r="CW900" s="696"/>
      <c r="CZ900" s="3060">
        <f t="shared" si="17"/>
      </c>
      <c r="DA900" s="3060">
        <f t="shared" si="1"/>
      </c>
      <c r="DB900" s="3060">
        <f t="shared" si="18"/>
      </c>
      <c r="DC900" s="3060">
        <f t="shared" si="19"/>
      </c>
      <c r="DD900" s="3060">
        <f t="shared" si="20"/>
      </c>
      <c r="DE900" s="3060">
        <f t="shared" si="21"/>
      </c>
      <c r="DF900" s="3060">
        <f t="shared" si="22"/>
      </c>
      <c r="DG900" s="3060">
        <f t="shared" si="23"/>
      </c>
      <c r="DH900" s="3060">
        <f t="shared" si="24"/>
      </c>
      <c r="DI900" s="3060">
        <f t="shared" si="1"/>
      </c>
    </row>
    <row r="901" ht="15" customHeight="1" s="3052" customFormat="1">
      <c r="B901" s="3054">
        <f t="shared" si="2"/>
      </c>
      <c r="C901" s="3054"/>
      <c r="D901" s="3054"/>
      <c r="E901" s="3055"/>
      <c r="F901" s="3055"/>
      <c r="G901" s="3055"/>
      <c r="H901" s="3055"/>
      <c r="I901" s="3055"/>
      <c r="J901" s="3055"/>
      <c r="K901" s="3055"/>
      <c r="L901" s="3055"/>
      <c r="M901" s="3055"/>
      <c r="N901" s="3055"/>
      <c r="O901" s="3055"/>
      <c r="P901" s="3055"/>
      <c r="Q901" s="3055"/>
      <c r="R901" s="3055">
        <f t="shared" si="3"/>
        <v>0</v>
      </c>
      <c r="S901" s="3055">
        <f t="shared" si="4"/>
        <v>0</v>
      </c>
      <c r="T901" s="3055">
        <f t="shared" si="5"/>
        <v>0</v>
      </c>
      <c r="U901" s="3055">
        <f t="shared" si="6"/>
        <v>0</v>
      </c>
      <c r="V901" s="3055">
        <f t="shared" si="7"/>
        <v>0</v>
      </c>
      <c r="W901" s="3055">
        <f t="shared" si="8"/>
        <v>0</v>
      </c>
      <c r="X901" s="3055">
        <f t="shared" si="9"/>
        <v>0</v>
      </c>
      <c r="Y901" s="3055">
        <f t="shared" si="10"/>
        <v>0</v>
      </c>
      <c r="Z901" s="3055">
        <f t="shared" si="11"/>
        <v>0</v>
      </c>
      <c r="AA901" s="3055">
        <f t="shared" si="12"/>
        <v>0</v>
      </c>
      <c r="AB901" s="3055">
        <f t="shared" si="13"/>
        <v>0</v>
      </c>
      <c r="AC901" s="3055">
        <f t="shared" si="14"/>
        <v>0</v>
      </c>
      <c r="AD901" s="3056"/>
      <c r="AE901" s="3057">
        <f t="shared" si="0"/>
      </c>
      <c r="AF901" s="3054"/>
      <c r="AG901" s="3054"/>
      <c r="AH901" s="3055"/>
      <c r="AI901" s="3055"/>
      <c r="AJ901" s="3055"/>
      <c r="AK901" s="3055"/>
      <c r="AL901" s="3055"/>
      <c r="AM901" s="3055"/>
      <c r="AN901" s="3055"/>
      <c r="AO901" s="3055"/>
      <c r="AP901" s="3055"/>
      <c r="AQ901" s="3055"/>
      <c r="AR901" s="3055"/>
      <c r="AS901" s="3055"/>
      <c r="AT901" s="3055"/>
      <c r="AU901" s="3056"/>
      <c r="AV901" s="3057">
        <f t="shared" si="15"/>
      </c>
      <c r="AW901" s="3054"/>
      <c r="AX901" s="3054"/>
      <c r="AY901" s="3055"/>
      <c r="AZ901" s="3055"/>
      <c r="BA901" s="3055"/>
      <c r="BB901" s="3055"/>
      <c r="BC901" s="3055"/>
      <c r="BD901" s="3055"/>
      <c r="BE901" s="3055"/>
      <c r="BF901" s="3055"/>
      <c r="BG901" s="3055"/>
      <c r="BH901" s="3055"/>
      <c r="BI901" s="3055"/>
      <c r="BJ901" s="3055"/>
      <c r="BK901" s="3055"/>
      <c r="BL901" s="3056"/>
      <c r="BM901" s="3057">
        <f t="shared" si="16"/>
      </c>
      <c r="BN901" s="3054"/>
      <c r="BO901" s="3054"/>
      <c r="BP901" s="3055"/>
      <c r="BQ901" s="3055"/>
      <c r="BR901" s="3055"/>
      <c r="BS901" s="3055"/>
      <c r="BT901" s="3055"/>
      <c r="BU901" s="3055"/>
      <c r="BV901" s="3055"/>
      <c r="BW901" s="3055"/>
      <c r="BX901" s="3055"/>
      <c r="BY901" s="3055"/>
      <c r="BZ901" s="3055"/>
      <c r="CA901" s="3055"/>
      <c r="CB901" s="3055"/>
      <c r="CC901" s="3056"/>
      <c r="CD901" s="3057">
        <f t="shared" si="0"/>
      </c>
      <c r="CE901" s="3054"/>
      <c r="CF901" s="3054"/>
      <c r="CG901" s="3055"/>
      <c r="CH901" s="3055"/>
      <c r="CI901" s="3055"/>
      <c r="CJ901" s="3055"/>
      <c r="CK901" s="3055"/>
      <c r="CL901" s="3055"/>
      <c r="CM901" s="3055"/>
      <c r="CN901" s="3055"/>
      <c r="CO901" s="3055"/>
      <c r="CP901" s="3055"/>
      <c r="CQ901" s="3055"/>
      <c r="CR901" s="3055"/>
      <c r="CS901" s="3055"/>
      <c r="CU901" s="3054"/>
      <c r="CV901" s="696"/>
      <c r="CW901" s="696"/>
      <c r="CZ901" s="3060">
        <f t="shared" si="17"/>
      </c>
      <c r="DA901" s="3060">
        <f t="shared" si="1"/>
      </c>
      <c r="DB901" s="3060">
        <f t="shared" si="18"/>
      </c>
      <c r="DC901" s="3060">
        <f t="shared" si="19"/>
      </c>
      <c r="DD901" s="3060">
        <f t="shared" si="20"/>
      </c>
      <c r="DE901" s="3060">
        <f t="shared" si="21"/>
      </c>
      <c r="DF901" s="3060">
        <f t="shared" si="22"/>
      </c>
      <c r="DG901" s="3060">
        <f t="shared" si="23"/>
      </c>
      <c r="DH901" s="3060">
        <f t="shared" si="24"/>
      </c>
      <c r="DI901" s="3060">
        <f t="shared" si="1"/>
      </c>
    </row>
    <row r="902" ht="15" customHeight="1" s="3052" customFormat="1">
      <c r="B902" s="3054">
        <f t="shared" si="2"/>
      </c>
      <c r="C902" s="3054"/>
      <c r="D902" s="3054"/>
      <c r="E902" s="3055"/>
      <c r="F902" s="3055"/>
      <c r="G902" s="3055"/>
      <c r="H902" s="3055"/>
      <c r="I902" s="3055"/>
      <c r="J902" s="3055"/>
      <c r="K902" s="3055"/>
      <c r="L902" s="3055"/>
      <c r="M902" s="3055"/>
      <c r="N902" s="3055"/>
      <c r="O902" s="3055"/>
      <c r="P902" s="3055"/>
      <c r="Q902" s="3055"/>
      <c r="R902" s="3055">
        <f t="shared" si="3"/>
        <v>0</v>
      </c>
      <c r="S902" s="3055">
        <f t="shared" si="4"/>
        <v>0</v>
      </c>
      <c r="T902" s="3055">
        <f t="shared" si="5"/>
        <v>0</v>
      </c>
      <c r="U902" s="3055">
        <f t="shared" si="6"/>
        <v>0</v>
      </c>
      <c r="V902" s="3055">
        <f t="shared" si="7"/>
        <v>0</v>
      </c>
      <c r="W902" s="3055">
        <f t="shared" si="8"/>
        <v>0</v>
      </c>
      <c r="X902" s="3055">
        <f t="shared" si="9"/>
        <v>0</v>
      </c>
      <c r="Y902" s="3055">
        <f t="shared" si="10"/>
        <v>0</v>
      </c>
      <c r="Z902" s="3055">
        <f t="shared" si="11"/>
        <v>0</v>
      </c>
      <c r="AA902" s="3055">
        <f t="shared" si="12"/>
        <v>0</v>
      </c>
      <c r="AB902" s="3055">
        <f t="shared" si="13"/>
        <v>0</v>
      </c>
      <c r="AC902" s="3055">
        <f t="shared" si="14"/>
        <v>0</v>
      </c>
      <c r="AD902" s="3056"/>
      <c r="AE902" s="3057">
        <f t="shared" si="0"/>
      </c>
      <c r="AF902" s="3054"/>
      <c r="AG902" s="3054"/>
      <c r="AH902" s="3055"/>
      <c r="AI902" s="3055"/>
      <c r="AJ902" s="3055"/>
      <c r="AK902" s="3055"/>
      <c r="AL902" s="3055"/>
      <c r="AM902" s="3055"/>
      <c r="AN902" s="3055"/>
      <c r="AO902" s="3055"/>
      <c r="AP902" s="3055"/>
      <c r="AQ902" s="3055"/>
      <c r="AR902" s="3055"/>
      <c r="AS902" s="3055"/>
      <c r="AT902" s="3055"/>
      <c r="AU902" s="3056"/>
      <c r="AV902" s="3057">
        <f t="shared" si="15"/>
      </c>
      <c r="AW902" s="3054"/>
      <c r="AX902" s="3054"/>
      <c r="AY902" s="3055"/>
      <c r="AZ902" s="3055"/>
      <c r="BA902" s="3055"/>
      <c r="BB902" s="3055"/>
      <c r="BC902" s="3055"/>
      <c r="BD902" s="3055"/>
      <c r="BE902" s="3055"/>
      <c r="BF902" s="3055"/>
      <c r="BG902" s="3055"/>
      <c r="BH902" s="3055"/>
      <c r="BI902" s="3055"/>
      <c r="BJ902" s="3055"/>
      <c r="BK902" s="3055"/>
      <c r="BL902" s="3056"/>
      <c r="BM902" s="3057">
        <f t="shared" si="16"/>
      </c>
      <c r="BN902" s="3054"/>
      <c r="BO902" s="3054"/>
      <c r="BP902" s="3055"/>
      <c r="BQ902" s="3055"/>
      <c r="BR902" s="3055"/>
      <c r="BS902" s="3055"/>
      <c r="BT902" s="3055"/>
      <c r="BU902" s="3055"/>
      <c r="BV902" s="3055"/>
      <c r="BW902" s="3055"/>
      <c r="BX902" s="3055"/>
      <c r="BY902" s="3055"/>
      <c r="BZ902" s="3055"/>
      <c r="CA902" s="3055"/>
      <c r="CB902" s="3055"/>
      <c r="CC902" s="3056"/>
      <c r="CD902" s="3057">
        <f t="shared" si="0"/>
      </c>
      <c r="CE902" s="3054"/>
      <c r="CF902" s="3054"/>
      <c r="CG902" s="3055"/>
      <c r="CH902" s="3055"/>
      <c r="CI902" s="3055"/>
      <c r="CJ902" s="3055"/>
      <c r="CK902" s="3055"/>
      <c r="CL902" s="3055"/>
      <c r="CM902" s="3055"/>
      <c r="CN902" s="3055"/>
      <c r="CO902" s="3055"/>
      <c r="CP902" s="3055"/>
      <c r="CQ902" s="3055"/>
      <c r="CR902" s="3055"/>
      <c r="CS902" s="3055"/>
      <c r="CU902" s="3054"/>
      <c r="CV902" s="696"/>
      <c r="CW902" s="696"/>
      <c r="CZ902" s="3060">
        <f t="shared" si="17"/>
      </c>
      <c r="DA902" s="3060">
        <f t="shared" si="1"/>
      </c>
      <c r="DB902" s="3060">
        <f t="shared" si="18"/>
      </c>
      <c r="DC902" s="3060">
        <f t="shared" si="19"/>
      </c>
      <c r="DD902" s="3060">
        <f t="shared" si="20"/>
      </c>
      <c r="DE902" s="3060">
        <f t="shared" si="21"/>
      </c>
      <c r="DF902" s="3060">
        <f t="shared" si="22"/>
      </c>
      <c r="DG902" s="3060">
        <f t="shared" si="23"/>
      </c>
      <c r="DH902" s="3060">
        <f t="shared" si="24"/>
      </c>
      <c r="DI902" s="3060">
        <f t="shared" si="1"/>
      </c>
    </row>
    <row r="903" ht="15" customHeight="1" s="3052" customFormat="1">
      <c r="B903" s="3054">
        <f t="shared" si="2"/>
      </c>
      <c r="C903" s="3054"/>
      <c r="D903" s="3054"/>
      <c r="E903" s="3055"/>
      <c r="F903" s="3055"/>
      <c r="G903" s="3055"/>
      <c r="H903" s="3055"/>
      <c r="I903" s="3055"/>
      <c r="J903" s="3055"/>
      <c r="K903" s="3055"/>
      <c r="L903" s="3055"/>
      <c r="M903" s="3055"/>
      <c r="N903" s="3055"/>
      <c r="O903" s="3055"/>
      <c r="P903" s="3055"/>
      <c r="Q903" s="3055"/>
      <c r="R903" s="3055">
        <f t="shared" si="3"/>
        <v>0</v>
      </c>
      <c r="S903" s="3055">
        <f t="shared" si="4"/>
        <v>0</v>
      </c>
      <c r="T903" s="3055">
        <f t="shared" si="5"/>
        <v>0</v>
      </c>
      <c r="U903" s="3055">
        <f t="shared" si="6"/>
        <v>0</v>
      </c>
      <c r="V903" s="3055">
        <f t="shared" si="7"/>
        <v>0</v>
      </c>
      <c r="W903" s="3055">
        <f t="shared" si="8"/>
        <v>0</v>
      </c>
      <c r="X903" s="3055">
        <f t="shared" si="9"/>
        <v>0</v>
      </c>
      <c r="Y903" s="3055">
        <f t="shared" si="10"/>
        <v>0</v>
      </c>
      <c r="Z903" s="3055">
        <f t="shared" si="11"/>
        <v>0</v>
      </c>
      <c r="AA903" s="3055">
        <f t="shared" si="12"/>
        <v>0</v>
      </c>
      <c r="AB903" s="3055">
        <f t="shared" si="13"/>
        <v>0</v>
      </c>
      <c r="AC903" s="3055">
        <f t="shared" si="14"/>
        <v>0</v>
      </c>
      <c r="AD903" s="3056"/>
      <c r="AE903" s="3057">
        <f t="shared" si="0"/>
      </c>
      <c r="AF903" s="3054"/>
      <c r="AG903" s="3054"/>
      <c r="AH903" s="3055"/>
      <c r="AI903" s="3055"/>
      <c r="AJ903" s="3055"/>
      <c r="AK903" s="3055"/>
      <c r="AL903" s="3055"/>
      <c r="AM903" s="3055"/>
      <c r="AN903" s="3055"/>
      <c r="AO903" s="3055"/>
      <c r="AP903" s="3055"/>
      <c r="AQ903" s="3055"/>
      <c r="AR903" s="3055"/>
      <c r="AS903" s="3055"/>
      <c r="AT903" s="3055"/>
      <c r="AU903" s="3056"/>
      <c r="AV903" s="3057">
        <f t="shared" si="15"/>
      </c>
      <c r="AW903" s="3054"/>
      <c r="AX903" s="3054"/>
      <c r="AY903" s="3055"/>
      <c r="AZ903" s="3055"/>
      <c r="BA903" s="3055"/>
      <c r="BB903" s="3055"/>
      <c r="BC903" s="3055"/>
      <c r="BD903" s="3055"/>
      <c r="BE903" s="3055"/>
      <c r="BF903" s="3055"/>
      <c r="BG903" s="3055"/>
      <c r="BH903" s="3055"/>
      <c r="BI903" s="3055"/>
      <c r="BJ903" s="3055"/>
      <c r="BK903" s="3055"/>
      <c r="BL903" s="3056"/>
      <c r="BM903" s="3057">
        <f t="shared" si="16"/>
      </c>
      <c r="BN903" s="3054"/>
      <c r="BO903" s="3054"/>
      <c r="BP903" s="3055"/>
      <c r="BQ903" s="3055"/>
      <c r="BR903" s="3055"/>
      <c r="BS903" s="3055"/>
      <c r="BT903" s="3055"/>
      <c r="BU903" s="3055"/>
      <c r="BV903" s="3055"/>
      <c r="BW903" s="3055"/>
      <c r="BX903" s="3055"/>
      <c r="BY903" s="3055"/>
      <c r="BZ903" s="3055"/>
      <c r="CA903" s="3055"/>
      <c r="CB903" s="3055"/>
      <c r="CC903" s="3056"/>
      <c r="CD903" s="3057">
        <f t="shared" si="0"/>
      </c>
      <c r="CE903" s="3054"/>
      <c r="CF903" s="3054"/>
      <c r="CG903" s="3055"/>
      <c r="CH903" s="3055"/>
      <c r="CI903" s="3055"/>
      <c r="CJ903" s="3055"/>
      <c r="CK903" s="3055"/>
      <c r="CL903" s="3055"/>
      <c r="CM903" s="3055"/>
      <c r="CN903" s="3055"/>
      <c r="CO903" s="3055"/>
      <c r="CP903" s="3055"/>
      <c r="CQ903" s="3055"/>
      <c r="CR903" s="3055"/>
      <c r="CS903" s="3055"/>
      <c r="CU903" s="3054"/>
      <c r="CV903" s="696"/>
      <c r="CW903" s="696"/>
      <c r="CZ903" s="3060">
        <f t="shared" si="17"/>
      </c>
      <c r="DA903" s="3060">
        <f t="shared" si="1"/>
      </c>
      <c r="DB903" s="3060">
        <f t="shared" si="18"/>
      </c>
      <c r="DC903" s="3060">
        <f t="shared" si="19"/>
      </c>
      <c r="DD903" s="3060">
        <f t="shared" si="20"/>
      </c>
      <c r="DE903" s="3060">
        <f t="shared" si="21"/>
      </c>
      <c r="DF903" s="3060">
        <f t="shared" si="22"/>
      </c>
      <c r="DG903" s="3060">
        <f t="shared" si="23"/>
      </c>
      <c r="DH903" s="3060">
        <f t="shared" si="24"/>
      </c>
      <c r="DI903" s="3060">
        <f t="shared" si="1"/>
      </c>
    </row>
    <row r="904" ht="15" customHeight="1" s="3052" customFormat="1">
      <c r="B904" s="3054">
        <f t="shared" si="2"/>
      </c>
      <c r="C904" s="3054"/>
      <c r="D904" s="3054"/>
      <c r="E904" s="3055"/>
      <c r="F904" s="3055"/>
      <c r="G904" s="3055"/>
      <c r="H904" s="3055"/>
      <c r="I904" s="3055"/>
      <c r="J904" s="3055"/>
      <c r="K904" s="3055"/>
      <c r="L904" s="3055"/>
      <c r="M904" s="3055"/>
      <c r="N904" s="3055"/>
      <c r="O904" s="3055"/>
      <c r="P904" s="3055"/>
      <c r="Q904" s="3055"/>
      <c r="R904" s="3055">
        <f t="shared" si="3"/>
        <v>0</v>
      </c>
      <c r="S904" s="3055">
        <f t="shared" si="4"/>
        <v>0</v>
      </c>
      <c r="T904" s="3055">
        <f t="shared" si="5"/>
        <v>0</v>
      </c>
      <c r="U904" s="3055">
        <f t="shared" si="6"/>
        <v>0</v>
      </c>
      <c r="V904" s="3055">
        <f t="shared" si="7"/>
        <v>0</v>
      </c>
      <c r="W904" s="3055">
        <f t="shared" si="8"/>
        <v>0</v>
      </c>
      <c r="X904" s="3055">
        <f t="shared" si="9"/>
        <v>0</v>
      </c>
      <c r="Y904" s="3055">
        <f t="shared" si="10"/>
        <v>0</v>
      </c>
      <c r="Z904" s="3055">
        <f t="shared" si="11"/>
        <v>0</v>
      </c>
      <c r="AA904" s="3055">
        <f t="shared" si="12"/>
        <v>0</v>
      </c>
      <c r="AB904" s="3055">
        <f t="shared" si="13"/>
        <v>0</v>
      </c>
      <c r="AC904" s="3055">
        <f t="shared" si="14"/>
        <v>0</v>
      </c>
      <c r="AD904" s="3056"/>
      <c r="AE904" s="3057">
        <f t="shared" si="0"/>
      </c>
      <c r="AF904" s="3054"/>
      <c r="AG904" s="3054"/>
      <c r="AH904" s="3055"/>
      <c r="AI904" s="3055"/>
      <c r="AJ904" s="3055"/>
      <c r="AK904" s="3055"/>
      <c r="AL904" s="3055"/>
      <c r="AM904" s="3055"/>
      <c r="AN904" s="3055"/>
      <c r="AO904" s="3055"/>
      <c r="AP904" s="3055"/>
      <c r="AQ904" s="3055"/>
      <c r="AR904" s="3055"/>
      <c r="AS904" s="3055"/>
      <c r="AT904" s="3055"/>
      <c r="AU904" s="3056"/>
      <c r="AV904" s="3057">
        <f t="shared" si="15"/>
      </c>
      <c r="AW904" s="3054"/>
      <c r="AX904" s="3054"/>
      <c r="AY904" s="3055"/>
      <c r="AZ904" s="3055"/>
      <c r="BA904" s="3055"/>
      <c r="BB904" s="3055"/>
      <c r="BC904" s="3055"/>
      <c r="BD904" s="3055"/>
      <c r="BE904" s="3055"/>
      <c r="BF904" s="3055"/>
      <c r="BG904" s="3055"/>
      <c r="BH904" s="3055"/>
      <c r="BI904" s="3055"/>
      <c r="BJ904" s="3055"/>
      <c r="BK904" s="3055"/>
      <c r="BL904" s="3056"/>
      <c r="BM904" s="3057">
        <f t="shared" si="16"/>
      </c>
      <c r="BN904" s="3054"/>
      <c r="BO904" s="3054"/>
      <c r="BP904" s="3055"/>
      <c r="BQ904" s="3055"/>
      <c r="BR904" s="3055"/>
      <c r="BS904" s="3055"/>
      <c r="BT904" s="3055"/>
      <c r="BU904" s="3055"/>
      <c r="BV904" s="3055"/>
      <c r="BW904" s="3055"/>
      <c r="BX904" s="3055"/>
      <c r="BY904" s="3055"/>
      <c r="BZ904" s="3055"/>
      <c r="CA904" s="3055"/>
      <c r="CB904" s="3055"/>
      <c r="CC904" s="3056"/>
      <c r="CD904" s="3057">
        <f t="shared" si="0"/>
      </c>
      <c r="CE904" s="3054"/>
      <c r="CF904" s="3054"/>
      <c r="CG904" s="3055"/>
      <c r="CH904" s="3055"/>
      <c r="CI904" s="3055"/>
      <c r="CJ904" s="3055"/>
      <c r="CK904" s="3055"/>
      <c r="CL904" s="3055"/>
      <c r="CM904" s="3055"/>
      <c r="CN904" s="3055"/>
      <c r="CO904" s="3055"/>
      <c r="CP904" s="3055"/>
      <c r="CQ904" s="3055"/>
      <c r="CR904" s="3055"/>
      <c r="CS904" s="3055"/>
      <c r="CU904" s="3054"/>
      <c r="CV904" s="696"/>
      <c r="CW904" s="696"/>
      <c r="CZ904" s="3060">
        <f t="shared" si="17"/>
      </c>
      <c r="DA904" s="3060">
        <f t="shared" si="1"/>
      </c>
      <c r="DB904" s="3060">
        <f t="shared" si="18"/>
      </c>
      <c r="DC904" s="3060">
        <f t="shared" si="19"/>
      </c>
      <c r="DD904" s="3060">
        <f t="shared" si="20"/>
      </c>
      <c r="DE904" s="3060">
        <f t="shared" si="21"/>
      </c>
      <c r="DF904" s="3060">
        <f t="shared" si="22"/>
      </c>
      <c r="DG904" s="3060">
        <f t="shared" si="23"/>
      </c>
      <c r="DH904" s="3060">
        <f t="shared" si="24"/>
      </c>
      <c r="DI904" s="3060">
        <f t="shared" si="1"/>
      </c>
    </row>
    <row r="905" ht="15" customHeight="1" s="3052" customFormat="1">
      <c r="B905" s="3054">
        <f t="shared" si="2"/>
      </c>
      <c r="C905" s="3054"/>
      <c r="D905" s="3054"/>
      <c r="E905" s="3055"/>
      <c r="F905" s="3055"/>
      <c r="G905" s="3055"/>
      <c r="H905" s="3055"/>
      <c r="I905" s="3055"/>
      <c r="J905" s="3055"/>
      <c r="K905" s="3055"/>
      <c r="L905" s="3055"/>
      <c r="M905" s="3055"/>
      <c r="N905" s="3055"/>
      <c r="O905" s="3055"/>
      <c r="P905" s="3055"/>
      <c r="Q905" s="3055"/>
      <c r="R905" s="3055">
        <f t="shared" si="3"/>
        <v>0</v>
      </c>
      <c r="S905" s="3055">
        <f t="shared" si="4"/>
        <v>0</v>
      </c>
      <c r="T905" s="3055">
        <f t="shared" si="5"/>
        <v>0</v>
      </c>
      <c r="U905" s="3055">
        <f t="shared" si="6"/>
        <v>0</v>
      </c>
      <c r="V905" s="3055">
        <f t="shared" si="7"/>
        <v>0</v>
      </c>
      <c r="W905" s="3055">
        <f t="shared" si="8"/>
        <v>0</v>
      </c>
      <c r="X905" s="3055">
        <f t="shared" si="9"/>
        <v>0</v>
      </c>
      <c r="Y905" s="3055">
        <f t="shared" si="10"/>
        <v>0</v>
      </c>
      <c r="Z905" s="3055">
        <f t="shared" si="11"/>
        <v>0</v>
      </c>
      <c r="AA905" s="3055">
        <f t="shared" si="12"/>
        <v>0</v>
      </c>
      <c r="AB905" s="3055">
        <f t="shared" si="13"/>
        <v>0</v>
      </c>
      <c r="AC905" s="3055">
        <f t="shared" si="14"/>
        <v>0</v>
      </c>
      <c r="AD905" s="3056"/>
      <c r="AE905" s="3057">
        <f t="shared" si="0"/>
      </c>
      <c r="AF905" s="3054"/>
      <c r="AG905" s="3054"/>
      <c r="AH905" s="3055"/>
      <c r="AI905" s="3055"/>
      <c r="AJ905" s="3055"/>
      <c r="AK905" s="3055"/>
      <c r="AL905" s="3055"/>
      <c r="AM905" s="3055"/>
      <c r="AN905" s="3055"/>
      <c r="AO905" s="3055"/>
      <c r="AP905" s="3055"/>
      <c r="AQ905" s="3055"/>
      <c r="AR905" s="3055"/>
      <c r="AS905" s="3055"/>
      <c r="AT905" s="3055"/>
      <c r="AU905" s="3056"/>
      <c r="AV905" s="3057">
        <f t="shared" si="15"/>
      </c>
      <c r="AW905" s="3054"/>
      <c r="AX905" s="3054"/>
      <c r="AY905" s="3055"/>
      <c r="AZ905" s="3055"/>
      <c r="BA905" s="3055"/>
      <c r="BB905" s="3055"/>
      <c r="BC905" s="3055"/>
      <c r="BD905" s="3055"/>
      <c r="BE905" s="3055"/>
      <c r="BF905" s="3055"/>
      <c r="BG905" s="3055"/>
      <c r="BH905" s="3055"/>
      <c r="BI905" s="3055"/>
      <c r="BJ905" s="3055"/>
      <c r="BK905" s="3055"/>
      <c r="BL905" s="3056"/>
      <c r="BM905" s="3057">
        <f t="shared" si="16"/>
      </c>
      <c r="BN905" s="3054"/>
      <c r="BO905" s="3054"/>
      <c r="BP905" s="3055"/>
      <c r="BQ905" s="3055"/>
      <c r="BR905" s="3055"/>
      <c r="BS905" s="3055"/>
      <c r="BT905" s="3055"/>
      <c r="BU905" s="3055"/>
      <c r="BV905" s="3055"/>
      <c r="BW905" s="3055"/>
      <c r="BX905" s="3055"/>
      <c r="BY905" s="3055"/>
      <c r="BZ905" s="3055"/>
      <c r="CA905" s="3055"/>
      <c r="CB905" s="3055"/>
      <c r="CC905" s="3056"/>
      <c r="CD905" s="3057">
        <f t="shared" si="0"/>
      </c>
      <c r="CE905" s="3054"/>
      <c r="CF905" s="3054"/>
      <c r="CG905" s="3055"/>
      <c r="CH905" s="3055"/>
      <c r="CI905" s="3055"/>
      <c r="CJ905" s="3055"/>
      <c r="CK905" s="3055"/>
      <c r="CL905" s="3055"/>
      <c r="CM905" s="3055"/>
      <c r="CN905" s="3055"/>
      <c r="CO905" s="3055"/>
      <c r="CP905" s="3055"/>
      <c r="CQ905" s="3055"/>
      <c r="CR905" s="3055"/>
      <c r="CS905" s="3055"/>
      <c r="CU905" s="3054"/>
      <c r="CV905" s="696"/>
      <c r="CW905" s="696"/>
      <c r="CZ905" s="3060">
        <f t="shared" si="17"/>
      </c>
      <c r="DA905" s="3060">
        <f t="shared" si="1"/>
      </c>
      <c r="DB905" s="3060">
        <f t="shared" si="18"/>
      </c>
      <c r="DC905" s="3060">
        <f t="shared" si="19"/>
      </c>
      <c r="DD905" s="3060">
        <f t="shared" si="20"/>
      </c>
      <c r="DE905" s="3060">
        <f t="shared" si="21"/>
      </c>
      <c r="DF905" s="3060">
        <f t="shared" si="22"/>
      </c>
      <c r="DG905" s="3060">
        <f t="shared" si="23"/>
      </c>
      <c r="DH905" s="3060">
        <f t="shared" si="24"/>
      </c>
      <c r="DI905" s="3060">
        <f t="shared" si="1"/>
      </c>
    </row>
    <row r="906" ht="15" customHeight="1" s="3052" customFormat="1">
      <c r="B906" s="3054">
        <f t="shared" si="2"/>
      </c>
      <c r="C906" s="3054"/>
      <c r="D906" s="3054"/>
      <c r="E906" s="3055"/>
      <c r="F906" s="3055"/>
      <c r="G906" s="3055"/>
      <c r="H906" s="3055"/>
      <c r="I906" s="3055"/>
      <c r="J906" s="3055"/>
      <c r="K906" s="3055"/>
      <c r="L906" s="3055"/>
      <c r="M906" s="3055"/>
      <c r="N906" s="3055"/>
      <c r="O906" s="3055"/>
      <c r="P906" s="3055"/>
      <c r="Q906" s="3055"/>
      <c r="R906" s="3055">
        <f t="shared" si="3"/>
        <v>0</v>
      </c>
      <c r="S906" s="3055">
        <f t="shared" si="4"/>
        <v>0</v>
      </c>
      <c r="T906" s="3055">
        <f t="shared" si="5"/>
        <v>0</v>
      </c>
      <c r="U906" s="3055">
        <f t="shared" si="6"/>
        <v>0</v>
      </c>
      <c r="V906" s="3055">
        <f t="shared" si="7"/>
        <v>0</v>
      </c>
      <c r="W906" s="3055">
        <f t="shared" si="8"/>
        <v>0</v>
      </c>
      <c r="X906" s="3055">
        <f t="shared" si="9"/>
        <v>0</v>
      </c>
      <c r="Y906" s="3055">
        <f t="shared" si="10"/>
        <v>0</v>
      </c>
      <c r="Z906" s="3055">
        <f t="shared" si="11"/>
        <v>0</v>
      </c>
      <c r="AA906" s="3055">
        <f t="shared" si="12"/>
        <v>0</v>
      </c>
      <c r="AB906" s="3055">
        <f t="shared" si="13"/>
        <v>0</v>
      </c>
      <c r="AC906" s="3055">
        <f t="shared" si="14"/>
        <v>0</v>
      </c>
      <c r="AD906" s="3056"/>
      <c r="AE906" s="3057">
        <f t="shared" si="0"/>
      </c>
      <c r="AF906" s="3054"/>
      <c r="AG906" s="3054"/>
      <c r="AH906" s="3055"/>
      <c r="AI906" s="3055"/>
      <c r="AJ906" s="3055"/>
      <c r="AK906" s="3055"/>
      <c r="AL906" s="3055"/>
      <c r="AM906" s="3055"/>
      <c r="AN906" s="3055"/>
      <c r="AO906" s="3055"/>
      <c r="AP906" s="3055"/>
      <c r="AQ906" s="3055"/>
      <c r="AR906" s="3055"/>
      <c r="AS906" s="3055"/>
      <c r="AT906" s="3055"/>
      <c r="AU906" s="3056"/>
      <c r="AV906" s="3057">
        <f t="shared" si="15"/>
      </c>
      <c r="AW906" s="3054"/>
      <c r="AX906" s="3054"/>
      <c r="AY906" s="3055"/>
      <c r="AZ906" s="3055"/>
      <c r="BA906" s="3055"/>
      <c r="BB906" s="3055"/>
      <c r="BC906" s="3055"/>
      <c r="BD906" s="3055"/>
      <c r="BE906" s="3055"/>
      <c r="BF906" s="3055"/>
      <c r="BG906" s="3055"/>
      <c r="BH906" s="3055"/>
      <c r="BI906" s="3055"/>
      <c r="BJ906" s="3055"/>
      <c r="BK906" s="3055"/>
      <c r="BL906" s="3056"/>
      <c r="BM906" s="3057">
        <f t="shared" si="16"/>
      </c>
      <c r="BN906" s="3054"/>
      <c r="BO906" s="3054"/>
      <c r="BP906" s="3055"/>
      <c r="BQ906" s="3055"/>
      <c r="BR906" s="3055"/>
      <c r="BS906" s="3055"/>
      <c r="BT906" s="3055"/>
      <c r="BU906" s="3055"/>
      <c r="BV906" s="3055"/>
      <c r="BW906" s="3055"/>
      <c r="BX906" s="3055"/>
      <c r="BY906" s="3055"/>
      <c r="BZ906" s="3055"/>
      <c r="CA906" s="3055"/>
      <c r="CB906" s="3055"/>
      <c r="CC906" s="3056"/>
      <c r="CD906" s="3057">
        <f t="shared" si="0"/>
      </c>
      <c r="CE906" s="3054"/>
      <c r="CF906" s="3054"/>
      <c r="CG906" s="3055"/>
      <c r="CH906" s="3055"/>
      <c r="CI906" s="3055"/>
      <c r="CJ906" s="3055"/>
      <c r="CK906" s="3055"/>
      <c r="CL906" s="3055"/>
      <c r="CM906" s="3055"/>
      <c r="CN906" s="3055"/>
      <c r="CO906" s="3055"/>
      <c r="CP906" s="3055"/>
      <c r="CQ906" s="3055"/>
      <c r="CR906" s="3055"/>
      <c r="CS906" s="3055"/>
      <c r="CU906" s="3054"/>
      <c r="CV906" s="696"/>
      <c r="CW906" s="696"/>
      <c r="CZ906" s="3060">
        <f t="shared" si="17"/>
      </c>
      <c r="DA906" s="3060">
        <f t="shared" si="1"/>
      </c>
      <c r="DB906" s="3060">
        <f t="shared" si="18"/>
      </c>
      <c r="DC906" s="3060">
        <f t="shared" si="19"/>
      </c>
      <c r="DD906" s="3060">
        <f t="shared" si="20"/>
      </c>
      <c r="DE906" s="3060">
        <f t="shared" si="21"/>
      </c>
      <c r="DF906" s="3060">
        <f t="shared" si="22"/>
      </c>
      <c r="DG906" s="3060">
        <f t="shared" si="23"/>
      </c>
      <c r="DH906" s="3060">
        <f t="shared" si="24"/>
      </c>
      <c r="DI906" s="3060">
        <f t="shared" si="1"/>
      </c>
    </row>
    <row r="907" ht="15" customHeight="1" s="3052" customFormat="1">
      <c r="B907" s="3054">
        <f t="shared" si="2"/>
      </c>
      <c r="C907" s="3054"/>
      <c r="D907" s="3054"/>
      <c r="E907" s="3055"/>
      <c r="F907" s="3055"/>
      <c r="G907" s="3055"/>
      <c r="H907" s="3055"/>
      <c r="I907" s="3055"/>
      <c r="J907" s="3055"/>
      <c r="K907" s="3055"/>
      <c r="L907" s="3055"/>
      <c r="M907" s="3055"/>
      <c r="N907" s="3055"/>
      <c r="O907" s="3055"/>
      <c r="P907" s="3055"/>
      <c r="Q907" s="3055"/>
      <c r="R907" s="3055">
        <f t="shared" si="3"/>
        <v>0</v>
      </c>
      <c r="S907" s="3055">
        <f t="shared" si="4"/>
        <v>0</v>
      </c>
      <c r="T907" s="3055">
        <f t="shared" si="5"/>
        <v>0</v>
      </c>
      <c r="U907" s="3055">
        <f t="shared" si="6"/>
        <v>0</v>
      </c>
      <c r="V907" s="3055">
        <f t="shared" si="7"/>
        <v>0</v>
      </c>
      <c r="W907" s="3055">
        <f t="shared" si="8"/>
        <v>0</v>
      </c>
      <c r="X907" s="3055">
        <f t="shared" si="9"/>
        <v>0</v>
      </c>
      <c r="Y907" s="3055">
        <f t="shared" si="10"/>
        <v>0</v>
      </c>
      <c r="Z907" s="3055">
        <f t="shared" si="11"/>
        <v>0</v>
      </c>
      <c r="AA907" s="3055">
        <f t="shared" si="12"/>
        <v>0</v>
      </c>
      <c r="AB907" s="3055">
        <f t="shared" si="13"/>
        <v>0</v>
      </c>
      <c r="AC907" s="3055">
        <f t="shared" si="14"/>
        <v>0</v>
      </c>
      <c r="AD907" s="3056"/>
      <c r="AE907" s="3057">
        <f t="shared" si="0"/>
      </c>
      <c r="AF907" s="3054"/>
      <c r="AG907" s="3054"/>
      <c r="AH907" s="3055"/>
      <c r="AI907" s="3055"/>
      <c r="AJ907" s="3055"/>
      <c r="AK907" s="3055"/>
      <c r="AL907" s="3055"/>
      <c r="AM907" s="3055"/>
      <c r="AN907" s="3055"/>
      <c r="AO907" s="3055"/>
      <c r="AP907" s="3055"/>
      <c r="AQ907" s="3055"/>
      <c r="AR907" s="3055"/>
      <c r="AS907" s="3055"/>
      <c r="AT907" s="3055"/>
      <c r="AU907" s="3056"/>
      <c r="AV907" s="3057">
        <f t="shared" si="15"/>
      </c>
      <c r="AW907" s="3054"/>
      <c r="AX907" s="3054"/>
      <c r="AY907" s="3055"/>
      <c r="AZ907" s="3055"/>
      <c r="BA907" s="3055"/>
      <c r="BB907" s="3055"/>
      <c r="BC907" s="3055"/>
      <c r="BD907" s="3055"/>
      <c r="BE907" s="3055"/>
      <c r="BF907" s="3055"/>
      <c r="BG907" s="3055"/>
      <c r="BH907" s="3055"/>
      <c r="BI907" s="3055"/>
      <c r="BJ907" s="3055"/>
      <c r="BK907" s="3055"/>
      <c r="BL907" s="3056"/>
      <c r="BM907" s="3057">
        <f t="shared" si="16"/>
      </c>
      <c r="BN907" s="3054"/>
      <c r="BO907" s="3054"/>
      <c r="BP907" s="3055"/>
      <c r="BQ907" s="3055"/>
      <c r="BR907" s="3055"/>
      <c r="BS907" s="3055"/>
      <c r="BT907" s="3055"/>
      <c r="BU907" s="3055"/>
      <c r="BV907" s="3055"/>
      <c r="BW907" s="3055"/>
      <c r="BX907" s="3055"/>
      <c r="BY907" s="3055"/>
      <c r="BZ907" s="3055"/>
      <c r="CA907" s="3055"/>
      <c r="CB907" s="3055"/>
      <c r="CC907" s="3056"/>
      <c r="CD907" s="3057">
        <f t="shared" si="0"/>
      </c>
      <c r="CE907" s="3054"/>
      <c r="CF907" s="3054"/>
      <c r="CG907" s="3055"/>
      <c r="CH907" s="3055"/>
      <c r="CI907" s="3055"/>
      <c r="CJ907" s="3055"/>
      <c r="CK907" s="3055"/>
      <c r="CL907" s="3055"/>
      <c r="CM907" s="3055"/>
      <c r="CN907" s="3055"/>
      <c r="CO907" s="3055"/>
      <c r="CP907" s="3055"/>
      <c r="CQ907" s="3055"/>
      <c r="CR907" s="3055"/>
      <c r="CS907" s="3055"/>
      <c r="CU907" s="3054"/>
      <c r="CV907" s="696"/>
      <c r="CW907" s="696"/>
      <c r="CZ907" s="3060">
        <f t="shared" si="17"/>
      </c>
      <c r="DA907" s="3060">
        <f t="shared" si="1"/>
      </c>
      <c r="DB907" s="3060">
        <f t="shared" si="18"/>
      </c>
      <c r="DC907" s="3060">
        <f t="shared" si="19"/>
      </c>
      <c r="DD907" s="3060">
        <f t="shared" si="20"/>
      </c>
      <c r="DE907" s="3060">
        <f t="shared" si="21"/>
      </c>
      <c r="DF907" s="3060">
        <f t="shared" si="22"/>
      </c>
      <c r="DG907" s="3060">
        <f t="shared" si="23"/>
      </c>
      <c r="DH907" s="3060">
        <f t="shared" si="24"/>
      </c>
      <c r="DI907" s="3060">
        <f t="shared" si="1"/>
      </c>
    </row>
    <row r="908" ht="15" customHeight="1" s="3052" customFormat="1">
      <c r="B908" s="3054">
        <f t="shared" si="2"/>
      </c>
      <c r="C908" s="3054"/>
      <c r="D908" s="3054"/>
      <c r="E908" s="3055"/>
      <c r="F908" s="3055"/>
      <c r="G908" s="3055"/>
      <c r="H908" s="3055"/>
      <c r="I908" s="3055"/>
      <c r="J908" s="3055"/>
      <c r="K908" s="3055"/>
      <c r="L908" s="3055"/>
      <c r="M908" s="3055"/>
      <c r="N908" s="3055"/>
      <c r="O908" s="3055"/>
      <c r="P908" s="3055"/>
      <c r="Q908" s="3055"/>
      <c r="R908" s="3055">
        <f t="shared" si="3"/>
        <v>0</v>
      </c>
      <c r="S908" s="3055">
        <f t="shared" si="4"/>
        <v>0</v>
      </c>
      <c r="T908" s="3055">
        <f t="shared" si="5"/>
        <v>0</v>
      </c>
      <c r="U908" s="3055">
        <f t="shared" si="6"/>
        <v>0</v>
      </c>
      <c r="V908" s="3055">
        <f t="shared" si="7"/>
        <v>0</v>
      </c>
      <c r="W908" s="3055">
        <f t="shared" si="8"/>
        <v>0</v>
      </c>
      <c r="X908" s="3055">
        <f t="shared" si="9"/>
        <v>0</v>
      </c>
      <c r="Y908" s="3055">
        <f t="shared" si="10"/>
        <v>0</v>
      </c>
      <c r="Z908" s="3055">
        <f t="shared" si="11"/>
        <v>0</v>
      </c>
      <c r="AA908" s="3055">
        <f t="shared" si="12"/>
        <v>0</v>
      </c>
      <c r="AB908" s="3055">
        <f t="shared" si="13"/>
        <v>0</v>
      </c>
      <c r="AC908" s="3055">
        <f t="shared" si="14"/>
        <v>0</v>
      </c>
      <c r="AD908" s="3056"/>
      <c r="AE908" s="3057">
        <f t="shared" si="0"/>
      </c>
      <c r="AF908" s="3054"/>
      <c r="AG908" s="3054"/>
      <c r="AH908" s="3055"/>
      <c r="AI908" s="3055"/>
      <c r="AJ908" s="3055"/>
      <c r="AK908" s="3055"/>
      <c r="AL908" s="3055"/>
      <c r="AM908" s="3055"/>
      <c r="AN908" s="3055"/>
      <c r="AO908" s="3055"/>
      <c r="AP908" s="3055"/>
      <c r="AQ908" s="3055"/>
      <c r="AR908" s="3055"/>
      <c r="AS908" s="3055"/>
      <c r="AT908" s="3055"/>
      <c r="AU908" s="3056"/>
      <c r="AV908" s="3057">
        <f t="shared" si="15"/>
      </c>
      <c r="AW908" s="3054"/>
      <c r="AX908" s="3054"/>
      <c r="AY908" s="3055"/>
      <c r="AZ908" s="3055"/>
      <c r="BA908" s="3055"/>
      <c r="BB908" s="3055"/>
      <c r="BC908" s="3055"/>
      <c r="BD908" s="3055"/>
      <c r="BE908" s="3055"/>
      <c r="BF908" s="3055"/>
      <c r="BG908" s="3055"/>
      <c r="BH908" s="3055"/>
      <c r="BI908" s="3055"/>
      <c r="BJ908" s="3055"/>
      <c r="BK908" s="3055"/>
      <c r="BL908" s="3056"/>
      <c r="BM908" s="3057">
        <f t="shared" si="16"/>
      </c>
      <c r="BN908" s="3054"/>
      <c r="BO908" s="3054"/>
      <c r="BP908" s="3055"/>
      <c r="BQ908" s="3055"/>
      <c r="BR908" s="3055"/>
      <c r="BS908" s="3055"/>
      <c r="BT908" s="3055"/>
      <c r="BU908" s="3055"/>
      <c r="BV908" s="3055"/>
      <c r="BW908" s="3055"/>
      <c r="BX908" s="3055"/>
      <c r="BY908" s="3055"/>
      <c r="BZ908" s="3055"/>
      <c r="CA908" s="3055"/>
      <c r="CB908" s="3055"/>
      <c r="CC908" s="3056"/>
      <c r="CD908" s="3057">
        <f t="shared" si="0"/>
      </c>
      <c r="CE908" s="3054"/>
      <c r="CF908" s="3054"/>
      <c r="CG908" s="3055"/>
      <c r="CH908" s="3055"/>
      <c r="CI908" s="3055"/>
      <c r="CJ908" s="3055"/>
      <c r="CK908" s="3055"/>
      <c r="CL908" s="3055"/>
      <c r="CM908" s="3055"/>
      <c r="CN908" s="3055"/>
      <c r="CO908" s="3055"/>
      <c r="CP908" s="3055"/>
      <c r="CQ908" s="3055"/>
      <c r="CR908" s="3055"/>
      <c r="CS908" s="3055"/>
      <c r="CU908" s="3054"/>
      <c r="CV908" s="696"/>
      <c r="CW908" s="696"/>
      <c r="CZ908" s="3060">
        <f t="shared" si="17"/>
      </c>
      <c r="DA908" s="3060">
        <f t="shared" si="1"/>
      </c>
      <c r="DB908" s="3060">
        <f t="shared" si="18"/>
      </c>
      <c r="DC908" s="3060">
        <f t="shared" si="19"/>
      </c>
      <c r="DD908" s="3060">
        <f t="shared" si="20"/>
      </c>
      <c r="DE908" s="3060">
        <f t="shared" si="21"/>
      </c>
      <c r="DF908" s="3060">
        <f t="shared" si="22"/>
      </c>
      <c r="DG908" s="3060">
        <f t="shared" si="23"/>
      </c>
      <c r="DH908" s="3060">
        <f t="shared" si="24"/>
      </c>
      <c r="DI908" s="3060">
        <f t="shared" si="1"/>
      </c>
    </row>
    <row r="909" ht="15" customHeight="1" s="3052" customFormat="1">
      <c r="B909" s="3054">
        <f t="shared" si="2"/>
      </c>
      <c r="C909" s="3054"/>
      <c r="D909" s="3054"/>
      <c r="E909" s="3055"/>
      <c r="F909" s="3055"/>
      <c r="G909" s="3055"/>
      <c r="H909" s="3055"/>
      <c r="I909" s="3055"/>
      <c r="J909" s="3055"/>
      <c r="K909" s="3055"/>
      <c r="L909" s="3055"/>
      <c r="M909" s="3055"/>
      <c r="N909" s="3055"/>
      <c r="O909" s="3055"/>
      <c r="P909" s="3055"/>
      <c r="Q909" s="3055"/>
      <c r="R909" s="3055">
        <f t="shared" si="3"/>
        <v>0</v>
      </c>
      <c r="S909" s="3055">
        <f t="shared" si="4"/>
        <v>0</v>
      </c>
      <c r="T909" s="3055">
        <f t="shared" si="5"/>
        <v>0</v>
      </c>
      <c r="U909" s="3055">
        <f t="shared" si="6"/>
        <v>0</v>
      </c>
      <c r="V909" s="3055">
        <f t="shared" si="7"/>
        <v>0</v>
      </c>
      <c r="W909" s="3055">
        <f t="shared" si="8"/>
        <v>0</v>
      </c>
      <c r="X909" s="3055">
        <f t="shared" si="9"/>
        <v>0</v>
      </c>
      <c r="Y909" s="3055">
        <f t="shared" si="10"/>
        <v>0</v>
      </c>
      <c r="Z909" s="3055">
        <f t="shared" si="11"/>
        <v>0</v>
      </c>
      <c r="AA909" s="3055">
        <f t="shared" si="12"/>
        <v>0</v>
      </c>
      <c r="AB909" s="3055">
        <f t="shared" si="13"/>
        <v>0</v>
      </c>
      <c r="AC909" s="3055">
        <f t="shared" si="14"/>
        <v>0</v>
      </c>
      <c r="AD909" s="3056"/>
      <c r="AE909" s="3057">
        <f t="shared" si="0"/>
      </c>
      <c r="AF909" s="3054"/>
      <c r="AG909" s="3054"/>
      <c r="AH909" s="3055"/>
      <c r="AI909" s="3055"/>
      <c r="AJ909" s="3055"/>
      <c r="AK909" s="3055"/>
      <c r="AL909" s="3055"/>
      <c r="AM909" s="3055"/>
      <c r="AN909" s="3055"/>
      <c r="AO909" s="3055"/>
      <c r="AP909" s="3055"/>
      <c r="AQ909" s="3055"/>
      <c r="AR909" s="3055"/>
      <c r="AS909" s="3055"/>
      <c r="AT909" s="3055"/>
      <c r="AU909" s="3056"/>
      <c r="AV909" s="3057">
        <f t="shared" si="15"/>
      </c>
      <c r="AW909" s="3054"/>
      <c r="AX909" s="3054"/>
      <c r="AY909" s="3055"/>
      <c r="AZ909" s="3055"/>
      <c r="BA909" s="3055"/>
      <c r="BB909" s="3055"/>
      <c r="BC909" s="3055"/>
      <c r="BD909" s="3055"/>
      <c r="BE909" s="3055"/>
      <c r="BF909" s="3055"/>
      <c r="BG909" s="3055"/>
      <c r="BH909" s="3055"/>
      <c r="BI909" s="3055"/>
      <c r="BJ909" s="3055"/>
      <c r="BK909" s="3055"/>
      <c r="BL909" s="3056"/>
      <c r="BM909" s="3057">
        <f t="shared" si="16"/>
      </c>
      <c r="BN909" s="3054"/>
      <c r="BO909" s="3054"/>
      <c r="BP909" s="3055"/>
      <c r="BQ909" s="3055"/>
      <c r="BR909" s="3055"/>
      <c r="BS909" s="3055"/>
      <c r="BT909" s="3055"/>
      <c r="BU909" s="3055"/>
      <c r="BV909" s="3055"/>
      <c r="BW909" s="3055"/>
      <c r="BX909" s="3055"/>
      <c r="BY909" s="3055"/>
      <c r="BZ909" s="3055"/>
      <c r="CA909" s="3055"/>
      <c r="CB909" s="3055"/>
      <c r="CC909" s="3056"/>
      <c r="CD909" s="3057">
        <f t="shared" si="0"/>
      </c>
      <c r="CE909" s="3054"/>
      <c r="CF909" s="3054"/>
      <c r="CG909" s="3055"/>
      <c r="CH909" s="3055"/>
      <c r="CI909" s="3055"/>
      <c r="CJ909" s="3055"/>
      <c r="CK909" s="3055"/>
      <c r="CL909" s="3055"/>
      <c r="CM909" s="3055"/>
      <c r="CN909" s="3055"/>
      <c r="CO909" s="3055"/>
      <c r="CP909" s="3055"/>
      <c r="CQ909" s="3055"/>
      <c r="CR909" s="3055"/>
      <c r="CS909" s="3055"/>
      <c r="CU909" s="3054"/>
      <c r="CV909" s="696"/>
      <c r="CW909" s="696"/>
      <c r="CZ909" s="3060">
        <f t="shared" si="17"/>
      </c>
      <c r="DA909" s="3060">
        <f t="shared" si="1"/>
      </c>
      <c r="DB909" s="3060">
        <f t="shared" si="18"/>
      </c>
      <c r="DC909" s="3060">
        <f t="shared" si="19"/>
      </c>
      <c r="DD909" s="3060">
        <f t="shared" si="20"/>
      </c>
      <c r="DE909" s="3060">
        <f t="shared" si="21"/>
      </c>
      <c r="DF909" s="3060">
        <f t="shared" si="22"/>
      </c>
      <c r="DG909" s="3060">
        <f t="shared" si="23"/>
      </c>
      <c r="DH909" s="3060">
        <f t="shared" si="24"/>
      </c>
      <c r="DI909" s="3060">
        <f t="shared" si="1"/>
      </c>
    </row>
    <row r="910" ht="15" customHeight="1" s="3052" customFormat="1">
      <c r="B910" s="3054">
        <f t="shared" si="2"/>
      </c>
      <c r="C910" s="3054"/>
      <c r="D910" s="3054"/>
      <c r="E910" s="3055"/>
      <c r="F910" s="3055"/>
      <c r="G910" s="3055"/>
      <c r="H910" s="3055"/>
      <c r="I910" s="3055"/>
      <c r="J910" s="3055"/>
      <c r="K910" s="3055"/>
      <c r="L910" s="3055"/>
      <c r="M910" s="3055"/>
      <c r="N910" s="3055"/>
      <c r="O910" s="3055"/>
      <c r="P910" s="3055"/>
      <c r="Q910" s="3055"/>
      <c r="R910" s="3055">
        <f t="shared" si="3"/>
        <v>0</v>
      </c>
      <c r="S910" s="3055">
        <f t="shared" si="4"/>
        <v>0</v>
      </c>
      <c r="T910" s="3055">
        <f t="shared" si="5"/>
        <v>0</v>
      </c>
      <c r="U910" s="3055">
        <f t="shared" si="6"/>
        <v>0</v>
      </c>
      <c r="V910" s="3055">
        <f t="shared" si="7"/>
        <v>0</v>
      </c>
      <c r="W910" s="3055">
        <f t="shared" si="8"/>
        <v>0</v>
      </c>
      <c r="X910" s="3055">
        <f t="shared" si="9"/>
        <v>0</v>
      </c>
      <c r="Y910" s="3055">
        <f t="shared" si="10"/>
        <v>0</v>
      </c>
      <c r="Z910" s="3055">
        <f t="shared" si="11"/>
        <v>0</v>
      </c>
      <c r="AA910" s="3055">
        <f t="shared" si="12"/>
        <v>0</v>
      </c>
      <c r="AB910" s="3055">
        <f t="shared" si="13"/>
        <v>0</v>
      </c>
      <c r="AC910" s="3055">
        <f t="shared" si="14"/>
        <v>0</v>
      </c>
      <c r="AD910" s="3056"/>
      <c r="AE910" s="3057">
        <f t="shared" si="0"/>
      </c>
      <c r="AF910" s="3054"/>
      <c r="AG910" s="3054"/>
      <c r="AH910" s="3055"/>
      <c r="AI910" s="3055"/>
      <c r="AJ910" s="3055"/>
      <c r="AK910" s="3055"/>
      <c r="AL910" s="3055"/>
      <c r="AM910" s="3055"/>
      <c r="AN910" s="3055"/>
      <c r="AO910" s="3055"/>
      <c r="AP910" s="3055"/>
      <c r="AQ910" s="3055"/>
      <c r="AR910" s="3055"/>
      <c r="AS910" s="3055"/>
      <c r="AT910" s="3055"/>
      <c r="AU910" s="3056"/>
      <c r="AV910" s="3057">
        <f t="shared" si="15"/>
      </c>
      <c r="AW910" s="3054"/>
      <c r="AX910" s="3054"/>
      <c r="AY910" s="3055"/>
      <c r="AZ910" s="3055"/>
      <c r="BA910" s="3055"/>
      <c r="BB910" s="3055"/>
      <c r="BC910" s="3055"/>
      <c r="BD910" s="3055"/>
      <c r="BE910" s="3055"/>
      <c r="BF910" s="3055"/>
      <c r="BG910" s="3055"/>
      <c r="BH910" s="3055"/>
      <c r="BI910" s="3055"/>
      <c r="BJ910" s="3055"/>
      <c r="BK910" s="3055"/>
      <c r="BL910" s="3056"/>
      <c r="BM910" s="3057">
        <f t="shared" si="16"/>
      </c>
      <c r="BN910" s="3054"/>
      <c r="BO910" s="3054"/>
      <c r="BP910" s="3055"/>
      <c r="BQ910" s="3055"/>
      <c r="BR910" s="3055"/>
      <c r="BS910" s="3055"/>
      <c r="BT910" s="3055"/>
      <c r="BU910" s="3055"/>
      <c r="BV910" s="3055"/>
      <c r="BW910" s="3055"/>
      <c r="BX910" s="3055"/>
      <c r="BY910" s="3055"/>
      <c r="BZ910" s="3055"/>
      <c r="CA910" s="3055"/>
      <c r="CB910" s="3055"/>
      <c r="CC910" s="3056"/>
      <c r="CD910" s="3057">
        <f t="shared" si="0"/>
      </c>
      <c r="CE910" s="3054"/>
      <c r="CF910" s="3054"/>
      <c r="CG910" s="3055"/>
      <c r="CH910" s="3055"/>
      <c r="CI910" s="3055"/>
      <c r="CJ910" s="3055"/>
      <c r="CK910" s="3055"/>
      <c r="CL910" s="3055"/>
      <c r="CM910" s="3055"/>
      <c r="CN910" s="3055"/>
      <c r="CO910" s="3055"/>
      <c r="CP910" s="3055"/>
      <c r="CQ910" s="3055"/>
      <c r="CR910" s="3055"/>
      <c r="CS910" s="3055"/>
      <c r="CU910" s="3054"/>
      <c r="CV910" s="696"/>
      <c r="CW910" s="696"/>
      <c r="CZ910" s="3060">
        <f t="shared" si="17"/>
      </c>
      <c r="DA910" s="3060">
        <f t="shared" si="1"/>
      </c>
      <c r="DB910" s="3060">
        <f t="shared" si="18"/>
      </c>
      <c r="DC910" s="3060">
        <f t="shared" si="19"/>
      </c>
      <c r="DD910" s="3060">
        <f t="shared" si="20"/>
      </c>
      <c r="DE910" s="3060">
        <f t="shared" si="21"/>
      </c>
      <c r="DF910" s="3060">
        <f t="shared" si="22"/>
      </c>
      <c r="DG910" s="3060">
        <f t="shared" si="23"/>
      </c>
      <c r="DH910" s="3060">
        <f t="shared" si="24"/>
      </c>
      <c r="DI910" s="3060">
        <f t="shared" si="1"/>
      </c>
    </row>
    <row r="911" ht="15" customHeight="1" s="3052" customFormat="1">
      <c r="B911" s="3054">
        <f t="shared" si="2"/>
      </c>
      <c r="C911" s="3054"/>
      <c r="D911" s="3054"/>
      <c r="E911" s="3055"/>
      <c r="F911" s="3055"/>
      <c r="G911" s="3055"/>
      <c r="H911" s="3055"/>
      <c r="I911" s="3055"/>
      <c r="J911" s="3055"/>
      <c r="K911" s="3055"/>
      <c r="L911" s="3055"/>
      <c r="M911" s="3055"/>
      <c r="N911" s="3055"/>
      <c r="O911" s="3055"/>
      <c r="P911" s="3055"/>
      <c r="Q911" s="3055"/>
      <c r="R911" s="3055">
        <f t="shared" si="3"/>
        <v>0</v>
      </c>
      <c r="S911" s="3055">
        <f t="shared" si="4"/>
        <v>0</v>
      </c>
      <c r="T911" s="3055">
        <f t="shared" si="5"/>
        <v>0</v>
      </c>
      <c r="U911" s="3055">
        <f t="shared" si="6"/>
        <v>0</v>
      </c>
      <c r="V911" s="3055">
        <f t="shared" si="7"/>
        <v>0</v>
      </c>
      <c r="W911" s="3055">
        <f t="shared" si="8"/>
        <v>0</v>
      </c>
      <c r="X911" s="3055">
        <f t="shared" si="9"/>
        <v>0</v>
      </c>
      <c r="Y911" s="3055">
        <f t="shared" si="10"/>
        <v>0</v>
      </c>
      <c r="Z911" s="3055">
        <f t="shared" si="11"/>
        <v>0</v>
      </c>
      <c r="AA911" s="3055">
        <f t="shared" si="12"/>
        <v>0</v>
      </c>
      <c r="AB911" s="3055">
        <f t="shared" si="13"/>
        <v>0</v>
      </c>
      <c r="AC911" s="3055">
        <f t="shared" si="14"/>
        <v>0</v>
      </c>
      <c r="AD911" s="3056"/>
      <c r="AE911" s="3057">
        <f t="shared" si="0"/>
      </c>
      <c r="AF911" s="3054"/>
      <c r="AG911" s="3054"/>
      <c r="AH911" s="3055"/>
      <c r="AI911" s="3055"/>
      <c r="AJ911" s="3055"/>
      <c r="AK911" s="3055"/>
      <c r="AL911" s="3055"/>
      <c r="AM911" s="3055"/>
      <c r="AN911" s="3055"/>
      <c r="AO911" s="3055"/>
      <c r="AP911" s="3055"/>
      <c r="AQ911" s="3055"/>
      <c r="AR911" s="3055"/>
      <c r="AS911" s="3055"/>
      <c r="AT911" s="3055"/>
      <c r="AU911" s="3056"/>
      <c r="AV911" s="3057">
        <f t="shared" si="15"/>
      </c>
      <c r="AW911" s="3054"/>
      <c r="AX911" s="3054"/>
      <c r="AY911" s="3055"/>
      <c r="AZ911" s="3055"/>
      <c r="BA911" s="3055"/>
      <c r="BB911" s="3055"/>
      <c r="BC911" s="3055"/>
      <c r="BD911" s="3055"/>
      <c r="BE911" s="3055"/>
      <c r="BF911" s="3055"/>
      <c r="BG911" s="3055"/>
      <c r="BH911" s="3055"/>
      <c r="BI911" s="3055"/>
      <c r="BJ911" s="3055"/>
      <c r="BK911" s="3055"/>
      <c r="BL911" s="3056"/>
      <c r="BM911" s="3057">
        <f t="shared" si="16"/>
      </c>
      <c r="BN911" s="3054"/>
      <c r="BO911" s="3054"/>
      <c r="BP911" s="3055"/>
      <c r="BQ911" s="3055"/>
      <c r="BR911" s="3055"/>
      <c r="BS911" s="3055"/>
      <c r="BT911" s="3055"/>
      <c r="BU911" s="3055"/>
      <c r="BV911" s="3055"/>
      <c r="BW911" s="3055"/>
      <c r="BX911" s="3055"/>
      <c r="BY911" s="3055"/>
      <c r="BZ911" s="3055"/>
      <c r="CA911" s="3055"/>
      <c r="CB911" s="3055"/>
      <c r="CC911" s="3056"/>
      <c r="CD911" s="3057">
        <f t="shared" si="0"/>
      </c>
      <c r="CE911" s="3054"/>
      <c r="CF911" s="3054"/>
      <c r="CG911" s="3055"/>
      <c r="CH911" s="3055"/>
      <c r="CI911" s="3055"/>
      <c r="CJ911" s="3055"/>
      <c r="CK911" s="3055"/>
      <c r="CL911" s="3055"/>
      <c r="CM911" s="3055"/>
      <c r="CN911" s="3055"/>
      <c r="CO911" s="3055"/>
      <c r="CP911" s="3055"/>
      <c r="CQ911" s="3055"/>
      <c r="CR911" s="3055"/>
      <c r="CS911" s="3055"/>
      <c r="CU911" s="3054"/>
      <c r="CV911" s="696"/>
      <c r="CW911" s="696"/>
      <c r="CZ911" s="3060">
        <f t="shared" si="17"/>
      </c>
      <c r="DA911" s="3060">
        <f t="shared" si="1"/>
      </c>
      <c r="DB911" s="3060">
        <f t="shared" si="18"/>
      </c>
      <c r="DC911" s="3060">
        <f t="shared" si="19"/>
      </c>
      <c r="DD911" s="3060">
        <f t="shared" si="20"/>
      </c>
      <c r="DE911" s="3060">
        <f t="shared" si="21"/>
      </c>
      <c r="DF911" s="3060">
        <f t="shared" si="22"/>
      </c>
      <c r="DG911" s="3060">
        <f t="shared" si="23"/>
      </c>
      <c r="DH911" s="3060">
        <f t="shared" si="24"/>
      </c>
      <c r="DI911" s="3060">
        <f t="shared" si="1"/>
      </c>
    </row>
    <row r="912" ht="15" customHeight="1" s="3052" customFormat="1">
      <c r="B912" s="3054">
        <f t="shared" si="2"/>
      </c>
      <c r="C912" s="3054"/>
      <c r="D912" s="3054"/>
      <c r="E912" s="3055"/>
      <c r="F912" s="3055"/>
      <c r="G912" s="3055"/>
      <c r="H912" s="3055"/>
      <c r="I912" s="3055"/>
      <c r="J912" s="3055"/>
      <c r="K912" s="3055"/>
      <c r="L912" s="3055"/>
      <c r="M912" s="3055"/>
      <c r="N912" s="3055"/>
      <c r="O912" s="3055"/>
      <c r="P912" s="3055"/>
      <c r="Q912" s="3055"/>
      <c r="R912" s="3055">
        <f t="shared" si="3"/>
        <v>0</v>
      </c>
      <c r="S912" s="3055">
        <f t="shared" si="4"/>
        <v>0</v>
      </c>
      <c r="T912" s="3055">
        <f t="shared" si="5"/>
        <v>0</v>
      </c>
      <c r="U912" s="3055">
        <f t="shared" si="6"/>
        <v>0</v>
      </c>
      <c r="V912" s="3055">
        <f t="shared" si="7"/>
        <v>0</v>
      </c>
      <c r="W912" s="3055">
        <f t="shared" si="8"/>
        <v>0</v>
      </c>
      <c r="X912" s="3055">
        <f t="shared" si="9"/>
        <v>0</v>
      </c>
      <c r="Y912" s="3055">
        <f t="shared" si="10"/>
        <v>0</v>
      </c>
      <c r="Z912" s="3055">
        <f t="shared" si="11"/>
        <v>0</v>
      </c>
      <c r="AA912" s="3055">
        <f t="shared" si="12"/>
        <v>0</v>
      </c>
      <c r="AB912" s="3055">
        <f t="shared" si="13"/>
        <v>0</v>
      </c>
      <c r="AC912" s="3055">
        <f t="shared" si="14"/>
        <v>0</v>
      </c>
      <c r="AD912" s="3056"/>
      <c r="AE912" s="3057">
        <f t="shared" si="0"/>
      </c>
      <c r="AF912" s="3054"/>
      <c r="AG912" s="3054"/>
      <c r="AH912" s="3055"/>
      <c r="AI912" s="3055"/>
      <c r="AJ912" s="3055"/>
      <c r="AK912" s="3055"/>
      <c r="AL912" s="3055"/>
      <c r="AM912" s="3055"/>
      <c r="AN912" s="3055"/>
      <c r="AO912" s="3055"/>
      <c r="AP912" s="3055"/>
      <c r="AQ912" s="3055"/>
      <c r="AR912" s="3055"/>
      <c r="AS912" s="3055"/>
      <c r="AT912" s="3055"/>
      <c r="AU912" s="3056"/>
      <c r="AV912" s="3057">
        <f t="shared" si="15"/>
      </c>
      <c r="AW912" s="3054"/>
      <c r="AX912" s="3054"/>
      <c r="AY912" s="3055"/>
      <c r="AZ912" s="3055"/>
      <c r="BA912" s="3055"/>
      <c r="BB912" s="3055"/>
      <c r="BC912" s="3055"/>
      <c r="BD912" s="3055"/>
      <c r="BE912" s="3055"/>
      <c r="BF912" s="3055"/>
      <c r="BG912" s="3055"/>
      <c r="BH912" s="3055"/>
      <c r="BI912" s="3055"/>
      <c r="BJ912" s="3055"/>
      <c r="BK912" s="3055"/>
      <c r="BL912" s="3056"/>
      <c r="BM912" s="3057">
        <f t="shared" si="16"/>
      </c>
      <c r="BN912" s="3054"/>
      <c r="BO912" s="3054"/>
      <c r="BP912" s="3055"/>
      <c r="BQ912" s="3055"/>
      <c r="BR912" s="3055"/>
      <c r="BS912" s="3055"/>
      <c r="BT912" s="3055"/>
      <c r="BU912" s="3055"/>
      <c r="BV912" s="3055"/>
      <c r="BW912" s="3055"/>
      <c r="BX912" s="3055"/>
      <c r="BY912" s="3055"/>
      <c r="BZ912" s="3055"/>
      <c r="CA912" s="3055"/>
      <c r="CB912" s="3055"/>
      <c r="CC912" s="3056"/>
      <c r="CD912" s="3057">
        <f t="shared" si="0"/>
      </c>
      <c r="CE912" s="3054"/>
      <c r="CF912" s="3054"/>
      <c r="CG912" s="3055"/>
      <c r="CH912" s="3055"/>
      <c r="CI912" s="3055"/>
      <c r="CJ912" s="3055"/>
      <c r="CK912" s="3055"/>
      <c r="CL912" s="3055"/>
      <c r="CM912" s="3055"/>
      <c r="CN912" s="3055"/>
      <c r="CO912" s="3055"/>
      <c r="CP912" s="3055"/>
      <c r="CQ912" s="3055"/>
      <c r="CR912" s="3055"/>
      <c r="CS912" s="3055"/>
      <c r="CU912" s="3054"/>
      <c r="CV912" s="696"/>
      <c r="CW912" s="696"/>
      <c r="CZ912" s="3060">
        <f t="shared" si="17"/>
      </c>
      <c r="DA912" s="3060">
        <f t="shared" si="1"/>
      </c>
      <c r="DB912" s="3060">
        <f t="shared" si="18"/>
      </c>
      <c r="DC912" s="3060">
        <f t="shared" si="19"/>
      </c>
      <c r="DD912" s="3060">
        <f t="shared" si="20"/>
      </c>
      <c r="DE912" s="3060">
        <f t="shared" si="21"/>
      </c>
      <c r="DF912" s="3060">
        <f t="shared" si="22"/>
      </c>
      <c r="DG912" s="3060">
        <f t="shared" si="23"/>
      </c>
      <c r="DH912" s="3060">
        <f t="shared" si="24"/>
      </c>
      <c r="DI912" s="3060">
        <f t="shared" si="1"/>
      </c>
    </row>
    <row r="913" ht="15" customHeight="1" s="3052" customFormat="1">
      <c r="B913" s="3054">
        <f t="shared" si="2"/>
      </c>
      <c r="C913" s="3054"/>
      <c r="D913" s="3054"/>
      <c r="E913" s="3055"/>
      <c r="F913" s="3055"/>
      <c r="G913" s="3055"/>
      <c r="H913" s="3055"/>
      <c r="I913" s="3055"/>
      <c r="J913" s="3055"/>
      <c r="K913" s="3055"/>
      <c r="L913" s="3055"/>
      <c r="M913" s="3055"/>
      <c r="N913" s="3055"/>
      <c r="O913" s="3055"/>
      <c r="P913" s="3055"/>
      <c r="Q913" s="3055"/>
      <c r="R913" s="3055">
        <f t="shared" si="3"/>
        <v>0</v>
      </c>
      <c r="S913" s="3055">
        <f t="shared" si="4"/>
        <v>0</v>
      </c>
      <c r="T913" s="3055">
        <f t="shared" si="5"/>
        <v>0</v>
      </c>
      <c r="U913" s="3055">
        <f t="shared" si="6"/>
        <v>0</v>
      </c>
      <c r="V913" s="3055">
        <f t="shared" si="7"/>
        <v>0</v>
      </c>
      <c r="W913" s="3055">
        <f t="shared" si="8"/>
        <v>0</v>
      </c>
      <c r="X913" s="3055">
        <f t="shared" si="9"/>
        <v>0</v>
      </c>
      <c r="Y913" s="3055">
        <f t="shared" si="10"/>
        <v>0</v>
      </c>
      <c r="Z913" s="3055">
        <f t="shared" si="11"/>
        <v>0</v>
      </c>
      <c r="AA913" s="3055">
        <f t="shared" si="12"/>
        <v>0</v>
      </c>
      <c r="AB913" s="3055">
        <f t="shared" si="13"/>
        <v>0</v>
      </c>
      <c r="AC913" s="3055">
        <f t="shared" si="14"/>
        <v>0</v>
      </c>
      <c r="AD913" s="3056"/>
      <c r="AE913" s="3057">
        <f t="shared" si="0"/>
      </c>
      <c r="AF913" s="3054"/>
      <c r="AG913" s="3054"/>
      <c r="AH913" s="3055"/>
      <c r="AI913" s="3055"/>
      <c r="AJ913" s="3055"/>
      <c r="AK913" s="3055"/>
      <c r="AL913" s="3055"/>
      <c r="AM913" s="3055"/>
      <c r="AN913" s="3055"/>
      <c r="AO913" s="3055"/>
      <c r="AP913" s="3055"/>
      <c r="AQ913" s="3055"/>
      <c r="AR913" s="3055"/>
      <c r="AS913" s="3055"/>
      <c r="AT913" s="3055"/>
      <c r="AU913" s="3056"/>
      <c r="AV913" s="3057">
        <f t="shared" si="15"/>
      </c>
      <c r="AW913" s="3054"/>
      <c r="AX913" s="3054"/>
      <c r="AY913" s="3055"/>
      <c r="AZ913" s="3055"/>
      <c r="BA913" s="3055"/>
      <c r="BB913" s="3055"/>
      <c r="BC913" s="3055"/>
      <c r="BD913" s="3055"/>
      <c r="BE913" s="3055"/>
      <c r="BF913" s="3055"/>
      <c r="BG913" s="3055"/>
      <c r="BH913" s="3055"/>
      <c r="BI913" s="3055"/>
      <c r="BJ913" s="3055"/>
      <c r="BK913" s="3055"/>
      <c r="BL913" s="3056"/>
      <c r="BM913" s="3057">
        <f t="shared" si="16"/>
      </c>
      <c r="BN913" s="3054"/>
      <c r="BO913" s="3054"/>
      <c r="BP913" s="3055"/>
      <c r="BQ913" s="3055"/>
      <c r="BR913" s="3055"/>
      <c r="BS913" s="3055"/>
      <c r="BT913" s="3055"/>
      <c r="BU913" s="3055"/>
      <c r="BV913" s="3055"/>
      <c r="BW913" s="3055"/>
      <c r="BX913" s="3055"/>
      <c r="BY913" s="3055"/>
      <c r="BZ913" s="3055"/>
      <c r="CA913" s="3055"/>
      <c r="CB913" s="3055"/>
      <c r="CC913" s="3056"/>
      <c r="CD913" s="3057">
        <f t="shared" si="0"/>
      </c>
      <c r="CE913" s="3054"/>
      <c r="CF913" s="3054"/>
      <c r="CG913" s="3055"/>
      <c r="CH913" s="3055"/>
      <c r="CI913" s="3055"/>
      <c r="CJ913" s="3055"/>
      <c r="CK913" s="3055"/>
      <c r="CL913" s="3055"/>
      <c r="CM913" s="3055"/>
      <c r="CN913" s="3055"/>
      <c r="CO913" s="3055"/>
      <c r="CP913" s="3055"/>
      <c r="CQ913" s="3055"/>
      <c r="CR913" s="3055"/>
      <c r="CS913" s="3055"/>
      <c r="CU913" s="3054"/>
      <c r="CV913" s="696"/>
      <c r="CW913" s="696"/>
      <c r="CZ913" s="3060">
        <f t="shared" si="17"/>
      </c>
      <c r="DA913" s="3060">
        <f t="shared" si="1"/>
      </c>
      <c r="DB913" s="3060">
        <f t="shared" si="18"/>
      </c>
      <c r="DC913" s="3060">
        <f t="shared" si="19"/>
      </c>
      <c r="DD913" s="3060">
        <f t="shared" si="20"/>
      </c>
      <c r="DE913" s="3060">
        <f t="shared" si="21"/>
      </c>
      <c r="DF913" s="3060">
        <f t="shared" si="22"/>
      </c>
      <c r="DG913" s="3060">
        <f t="shared" si="23"/>
      </c>
      <c r="DH913" s="3060">
        <f t="shared" si="24"/>
      </c>
      <c r="DI913" s="3060">
        <f t="shared" si="1"/>
      </c>
    </row>
    <row r="914" ht="15" customHeight="1" s="3052" customFormat="1">
      <c r="B914" s="3054">
        <f t="shared" si="2"/>
      </c>
      <c r="C914" s="3054"/>
      <c r="D914" s="3054"/>
      <c r="E914" s="3055"/>
      <c r="F914" s="3055"/>
      <c r="G914" s="3055"/>
      <c r="H914" s="3055"/>
      <c r="I914" s="3055"/>
      <c r="J914" s="3055"/>
      <c r="K914" s="3055"/>
      <c r="L914" s="3055"/>
      <c r="M914" s="3055"/>
      <c r="N914" s="3055"/>
      <c r="O914" s="3055"/>
      <c r="P914" s="3055"/>
      <c r="Q914" s="3055"/>
      <c r="R914" s="3055">
        <f t="shared" si="3"/>
        <v>0</v>
      </c>
      <c r="S914" s="3055">
        <f t="shared" si="4"/>
        <v>0</v>
      </c>
      <c r="T914" s="3055">
        <f t="shared" si="5"/>
        <v>0</v>
      </c>
      <c r="U914" s="3055">
        <f t="shared" si="6"/>
        <v>0</v>
      </c>
      <c r="V914" s="3055">
        <f t="shared" si="7"/>
        <v>0</v>
      </c>
      <c r="W914" s="3055">
        <f t="shared" si="8"/>
        <v>0</v>
      </c>
      <c r="X914" s="3055">
        <f t="shared" si="9"/>
        <v>0</v>
      </c>
      <c r="Y914" s="3055">
        <f t="shared" si="10"/>
        <v>0</v>
      </c>
      <c r="Z914" s="3055">
        <f t="shared" si="11"/>
        <v>0</v>
      </c>
      <c r="AA914" s="3055">
        <f t="shared" si="12"/>
        <v>0</v>
      </c>
      <c r="AB914" s="3055">
        <f t="shared" si="13"/>
        <v>0</v>
      </c>
      <c r="AC914" s="3055">
        <f t="shared" si="14"/>
        <v>0</v>
      </c>
      <c r="AD914" s="3056"/>
      <c r="AE914" s="3057">
        <f t="shared" si="0"/>
      </c>
      <c r="AF914" s="3054"/>
      <c r="AG914" s="3054"/>
      <c r="AH914" s="3055"/>
      <c r="AI914" s="3055"/>
      <c r="AJ914" s="3055"/>
      <c r="AK914" s="3055"/>
      <c r="AL914" s="3055"/>
      <c r="AM914" s="3055"/>
      <c r="AN914" s="3055"/>
      <c r="AO914" s="3055"/>
      <c r="AP914" s="3055"/>
      <c r="AQ914" s="3055"/>
      <c r="AR914" s="3055"/>
      <c r="AS914" s="3055"/>
      <c r="AT914" s="3055"/>
      <c r="AU914" s="3056"/>
      <c r="AV914" s="3057">
        <f t="shared" si="15"/>
      </c>
      <c r="AW914" s="3054"/>
      <c r="AX914" s="3054"/>
      <c r="AY914" s="3055"/>
      <c r="AZ914" s="3055"/>
      <c r="BA914" s="3055"/>
      <c r="BB914" s="3055"/>
      <c r="BC914" s="3055"/>
      <c r="BD914" s="3055"/>
      <c r="BE914" s="3055"/>
      <c r="BF914" s="3055"/>
      <c r="BG914" s="3055"/>
      <c r="BH914" s="3055"/>
      <c r="BI914" s="3055"/>
      <c r="BJ914" s="3055"/>
      <c r="BK914" s="3055"/>
      <c r="BL914" s="3056"/>
      <c r="BM914" s="3057">
        <f t="shared" si="16"/>
      </c>
      <c r="BN914" s="3054"/>
      <c r="BO914" s="3054"/>
      <c r="BP914" s="3055"/>
      <c r="BQ914" s="3055"/>
      <c r="BR914" s="3055"/>
      <c r="BS914" s="3055"/>
      <c r="BT914" s="3055"/>
      <c r="BU914" s="3055"/>
      <c r="BV914" s="3055"/>
      <c r="BW914" s="3055"/>
      <c r="BX914" s="3055"/>
      <c r="BY914" s="3055"/>
      <c r="BZ914" s="3055"/>
      <c r="CA914" s="3055"/>
      <c r="CB914" s="3055"/>
      <c r="CC914" s="3056"/>
      <c r="CD914" s="3057">
        <f t="shared" si="0"/>
      </c>
      <c r="CE914" s="3054"/>
      <c r="CF914" s="3054"/>
      <c r="CG914" s="3055"/>
      <c r="CH914" s="3055"/>
      <c r="CI914" s="3055"/>
      <c r="CJ914" s="3055"/>
      <c r="CK914" s="3055"/>
      <c r="CL914" s="3055"/>
      <c r="CM914" s="3055"/>
      <c r="CN914" s="3055"/>
      <c r="CO914" s="3055"/>
      <c r="CP914" s="3055"/>
      <c r="CQ914" s="3055"/>
      <c r="CR914" s="3055"/>
      <c r="CS914" s="3055"/>
      <c r="CU914" s="3054"/>
      <c r="CV914" s="696"/>
      <c r="CW914" s="696"/>
      <c r="CZ914" s="3060">
        <f t="shared" si="17"/>
      </c>
      <c r="DA914" s="3060">
        <f t="shared" si="1"/>
      </c>
      <c r="DB914" s="3060">
        <f t="shared" si="18"/>
      </c>
      <c r="DC914" s="3060">
        <f t="shared" si="19"/>
      </c>
      <c r="DD914" s="3060">
        <f t="shared" si="20"/>
      </c>
      <c r="DE914" s="3060">
        <f t="shared" si="21"/>
      </c>
      <c r="DF914" s="3060">
        <f t="shared" si="22"/>
      </c>
      <c r="DG914" s="3060">
        <f t="shared" si="23"/>
      </c>
      <c r="DH914" s="3060">
        <f t="shared" si="24"/>
      </c>
      <c r="DI914" s="3060">
        <f t="shared" si="1"/>
      </c>
    </row>
    <row r="915" ht="15" customHeight="1" s="3052" customFormat="1">
      <c r="B915" s="3054">
        <f t="shared" si="2"/>
      </c>
      <c r="C915" s="3054"/>
      <c r="D915" s="3054"/>
      <c r="E915" s="3055"/>
      <c r="F915" s="3055"/>
      <c r="G915" s="3055"/>
      <c r="H915" s="3055"/>
      <c r="I915" s="3055"/>
      <c r="J915" s="3055"/>
      <c r="K915" s="3055"/>
      <c r="L915" s="3055"/>
      <c r="M915" s="3055"/>
      <c r="N915" s="3055"/>
      <c r="O915" s="3055"/>
      <c r="P915" s="3055"/>
      <c r="Q915" s="3055"/>
      <c r="R915" s="3055">
        <f t="shared" si="3"/>
        <v>0</v>
      </c>
      <c r="S915" s="3055">
        <f t="shared" si="4"/>
        <v>0</v>
      </c>
      <c r="T915" s="3055">
        <f t="shared" si="5"/>
        <v>0</v>
      </c>
      <c r="U915" s="3055">
        <f t="shared" si="6"/>
        <v>0</v>
      </c>
      <c r="V915" s="3055">
        <f t="shared" si="7"/>
        <v>0</v>
      </c>
      <c r="W915" s="3055">
        <f t="shared" si="8"/>
        <v>0</v>
      </c>
      <c r="X915" s="3055">
        <f t="shared" si="9"/>
        <v>0</v>
      </c>
      <c r="Y915" s="3055">
        <f t="shared" si="10"/>
        <v>0</v>
      </c>
      <c r="Z915" s="3055">
        <f t="shared" si="11"/>
        <v>0</v>
      </c>
      <c r="AA915" s="3055">
        <f t="shared" si="12"/>
        <v>0</v>
      </c>
      <c r="AB915" s="3055">
        <f t="shared" si="13"/>
        <v>0</v>
      </c>
      <c r="AC915" s="3055">
        <f t="shared" si="14"/>
        <v>0</v>
      </c>
      <c r="AD915" s="3056"/>
      <c r="AE915" s="3057">
        <f t="shared" si="0"/>
      </c>
      <c r="AF915" s="3054"/>
      <c r="AG915" s="3054"/>
      <c r="AH915" s="3055"/>
      <c r="AI915" s="3055"/>
      <c r="AJ915" s="3055"/>
      <c r="AK915" s="3055"/>
      <c r="AL915" s="3055"/>
      <c r="AM915" s="3055"/>
      <c r="AN915" s="3055"/>
      <c r="AO915" s="3055"/>
      <c r="AP915" s="3055"/>
      <c r="AQ915" s="3055"/>
      <c r="AR915" s="3055"/>
      <c r="AS915" s="3055"/>
      <c r="AT915" s="3055"/>
      <c r="AU915" s="3056"/>
      <c r="AV915" s="3057">
        <f t="shared" si="15"/>
      </c>
      <c r="AW915" s="3054"/>
      <c r="AX915" s="3054"/>
      <c r="AY915" s="3055"/>
      <c r="AZ915" s="3055"/>
      <c r="BA915" s="3055"/>
      <c r="BB915" s="3055"/>
      <c r="BC915" s="3055"/>
      <c r="BD915" s="3055"/>
      <c r="BE915" s="3055"/>
      <c r="BF915" s="3055"/>
      <c r="BG915" s="3055"/>
      <c r="BH915" s="3055"/>
      <c r="BI915" s="3055"/>
      <c r="BJ915" s="3055"/>
      <c r="BK915" s="3055"/>
      <c r="BL915" s="3056"/>
      <c r="BM915" s="3057">
        <f t="shared" si="16"/>
      </c>
      <c r="BN915" s="3054"/>
      <c r="BO915" s="3054"/>
      <c r="BP915" s="3055"/>
      <c r="BQ915" s="3055"/>
      <c r="BR915" s="3055"/>
      <c r="BS915" s="3055"/>
      <c r="BT915" s="3055"/>
      <c r="BU915" s="3055"/>
      <c r="BV915" s="3055"/>
      <c r="BW915" s="3055"/>
      <c r="BX915" s="3055"/>
      <c r="BY915" s="3055"/>
      <c r="BZ915" s="3055"/>
      <c r="CA915" s="3055"/>
      <c r="CB915" s="3055"/>
      <c r="CC915" s="3056"/>
      <c r="CD915" s="3057">
        <f t="shared" si="0"/>
      </c>
      <c r="CE915" s="3054"/>
      <c r="CF915" s="3054"/>
      <c r="CG915" s="3055"/>
      <c r="CH915" s="3055"/>
      <c r="CI915" s="3055"/>
      <c r="CJ915" s="3055"/>
      <c r="CK915" s="3055"/>
      <c r="CL915" s="3055"/>
      <c r="CM915" s="3055"/>
      <c r="CN915" s="3055"/>
      <c r="CO915" s="3055"/>
      <c r="CP915" s="3055"/>
      <c r="CQ915" s="3055"/>
      <c r="CR915" s="3055"/>
      <c r="CS915" s="3055"/>
      <c r="CU915" s="3054"/>
      <c r="CV915" s="696"/>
      <c r="CW915" s="696"/>
      <c r="CZ915" s="3060">
        <f t="shared" si="17"/>
      </c>
      <c r="DA915" s="3060">
        <f t="shared" si="1"/>
      </c>
      <c r="DB915" s="3060">
        <f t="shared" si="18"/>
      </c>
      <c r="DC915" s="3060">
        <f t="shared" si="19"/>
      </c>
      <c r="DD915" s="3060">
        <f t="shared" si="20"/>
      </c>
      <c r="DE915" s="3060">
        <f t="shared" si="21"/>
      </c>
      <c r="DF915" s="3060">
        <f t="shared" si="22"/>
      </c>
      <c r="DG915" s="3060">
        <f t="shared" si="23"/>
      </c>
      <c r="DH915" s="3060">
        <f t="shared" si="24"/>
      </c>
      <c r="DI915" s="3060">
        <f t="shared" si="1"/>
      </c>
    </row>
    <row r="916" ht="15" customHeight="1" s="3052" customFormat="1">
      <c r="B916" s="3054">
        <f t="shared" si="2"/>
      </c>
      <c r="C916" s="3054"/>
      <c r="D916" s="3054"/>
      <c r="E916" s="3055"/>
      <c r="F916" s="3055"/>
      <c r="G916" s="3055"/>
      <c r="H916" s="3055"/>
      <c r="I916" s="3055"/>
      <c r="J916" s="3055"/>
      <c r="K916" s="3055"/>
      <c r="L916" s="3055"/>
      <c r="M916" s="3055"/>
      <c r="N916" s="3055"/>
      <c r="O916" s="3055"/>
      <c r="P916" s="3055"/>
      <c r="Q916" s="3055"/>
      <c r="R916" s="3055">
        <f t="shared" si="3"/>
        <v>0</v>
      </c>
      <c r="S916" s="3055">
        <f t="shared" si="4"/>
        <v>0</v>
      </c>
      <c r="T916" s="3055">
        <f t="shared" si="5"/>
        <v>0</v>
      </c>
      <c r="U916" s="3055">
        <f t="shared" si="6"/>
        <v>0</v>
      </c>
      <c r="V916" s="3055">
        <f t="shared" si="7"/>
        <v>0</v>
      </c>
      <c r="W916" s="3055">
        <f t="shared" si="8"/>
        <v>0</v>
      </c>
      <c r="X916" s="3055">
        <f t="shared" si="9"/>
        <v>0</v>
      </c>
      <c r="Y916" s="3055">
        <f t="shared" si="10"/>
        <v>0</v>
      </c>
      <c r="Z916" s="3055">
        <f t="shared" si="11"/>
        <v>0</v>
      </c>
      <c r="AA916" s="3055">
        <f t="shared" si="12"/>
        <v>0</v>
      </c>
      <c r="AB916" s="3055">
        <f t="shared" si="13"/>
        <v>0</v>
      </c>
      <c r="AC916" s="3055">
        <f t="shared" si="14"/>
        <v>0</v>
      </c>
      <c r="AD916" s="3056"/>
      <c r="AE916" s="3057">
        <f t="shared" si="0"/>
      </c>
      <c r="AF916" s="3054"/>
      <c r="AG916" s="3054"/>
      <c r="AH916" s="3055"/>
      <c r="AI916" s="3055"/>
      <c r="AJ916" s="3055"/>
      <c r="AK916" s="3055"/>
      <c r="AL916" s="3055"/>
      <c r="AM916" s="3055"/>
      <c r="AN916" s="3055"/>
      <c r="AO916" s="3055"/>
      <c r="AP916" s="3055"/>
      <c r="AQ916" s="3055"/>
      <c r="AR916" s="3055"/>
      <c r="AS916" s="3055"/>
      <c r="AT916" s="3055"/>
      <c r="AU916" s="3056"/>
      <c r="AV916" s="3057">
        <f t="shared" si="15"/>
      </c>
      <c r="AW916" s="3054"/>
      <c r="AX916" s="3054"/>
      <c r="AY916" s="3055"/>
      <c r="AZ916" s="3055"/>
      <c r="BA916" s="3055"/>
      <c r="BB916" s="3055"/>
      <c r="BC916" s="3055"/>
      <c r="BD916" s="3055"/>
      <c r="BE916" s="3055"/>
      <c r="BF916" s="3055"/>
      <c r="BG916" s="3055"/>
      <c r="BH916" s="3055"/>
      <c r="BI916" s="3055"/>
      <c r="BJ916" s="3055"/>
      <c r="BK916" s="3055"/>
      <c r="BL916" s="3056"/>
      <c r="BM916" s="3057">
        <f t="shared" si="16"/>
      </c>
      <c r="BN916" s="3054"/>
      <c r="BO916" s="3054"/>
      <c r="BP916" s="3055"/>
      <c r="BQ916" s="3055"/>
      <c r="BR916" s="3055"/>
      <c r="BS916" s="3055"/>
      <c r="BT916" s="3055"/>
      <c r="BU916" s="3055"/>
      <c r="BV916" s="3055"/>
      <c r="BW916" s="3055"/>
      <c r="BX916" s="3055"/>
      <c r="BY916" s="3055"/>
      <c r="BZ916" s="3055"/>
      <c r="CA916" s="3055"/>
      <c r="CB916" s="3055"/>
      <c r="CC916" s="3056"/>
      <c r="CD916" s="3057">
        <f t="shared" si="0"/>
      </c>
      <c r="CE916" s="3054"/>
      <c r="CF916" s="3054"/>
      <c r="CG916" s="3055"/>
      <c r="CH916" s="3055"/>
      <c r="CI916" s="3055"/>
      <c r="CJ916" s="3055"/>
      <c r="CK916" s="3055"/>
      <c r="CL916" s="3055"/>
      <c r="CM916" s="3055"/>
      <c r="CN916" s="3055"/>
      <c r="CO916" s="3055"/>
      <c r="CP916" s="3055"/>
      <c r="CQ916" s="3055"/>
      <c r="CR916" s="3055"/>
      <c r="CS916" s="3055"/>
      <c r="CU916" s="3054"/>
      <c r="CV916" s="696"/>
      <c r="CW916" s="696"/>
      <c r="CZ916" s="3060">
        <f t="shared" si="17"/>
      </c>
      <c r="DA916" s="3060">
        <f t="shared" si="1"/>
      </c>
      <c r="DB916" s="3060">
        <f t="shared" si="18"/>
      </c>
      <c r="DC916" s="3060">
        <f t="shared" si="19"/>
      </c>
      <c r="DD916" s="3060">
        <f t="shared" si="20"/>
      </c>
      <c r="DE916" s="3060">
        <f t="shared" si="21"/>
      </c>
      <c r="DF916" s="3060">
        <f t="shared" si="22"/>
      </c>
      <c r="DG916" s="3060">
        <f t="shared" si="23"/>
      </c>
      <c r="DH916" s="3060">
        <f t="shared" si="24"/>
      </c>
      <c r="DI916" s="3060">
        <f t="shared" si="1"/>
      </c>
    </row>
    <row r="917" ht="15" customHeight="1" s="3052" customFormat="1">
      <c r="B917" s="3054">
        <f t="shared" si="2"/>
      </c>
      <c r="C917" s="3054"/>
      <c r="D917" s="3054"/>
      <c r="E917" s="3055"/>
      <c r="F917" s="3055"/>
      <c r="G917" s="3055"/>
      <c r="H917" s="3055"/>
      <c r="I917" s="3055"/>
      <c r="J917" s="3055"/>
      <c r="K917" s="3055"/>
      <c r="L917" s="3055"/>
      <c r="M917" s="3055"/>
      <c r="N917" s="3055"/>
      <c r="O917" s="3055"/>
      <c r="P917" s="3055"/>
      <c r="Q917" s="3055"/>
      <c r="R917" s="3055">
        <f t="shared" si="3"/>
        <v>0</v>
      </c>
      <c r="S917" s="3055">
        <f t="shared" si="4"/>
        <v>0</v>
      </c>
      <c r="T917" s="3055">
        <f t="shared" si="5"/>
        <v>0</v>
      </c>
      <c r="U917" s="3055">
        <f t="shared" si="6"/>
        <v>0</v>
      </c>
      <c r="V917" s="3055">
        <f t="shared" si="7"/>
        <v>0</v>
      </c>
      <c r="W917" s="3055">
        <f t="shared" si="8"/>
        <v>0</v>
      </c>
      <c r="X917" s="3055">
        <f t="shared" si="9"/>
        <v>0</v>
      </c>
      <c r="Y917" s="3055">
        <f t="shared" si="10"/>
        <v>0</v>
      </c>
      <c r="Z917" s="3055">
        <f t="shared" si="11"/>
        <v>0</v>
      </c>
      <c r="AA917" s="3055">
        <f t="shared" si="12"/>
        <v>0</v>
      </c>
      <c r="AB917" s="3055">
        <f t="shared" si="13"/>
        <v>0</v>
      </c>
      <c r="AC917" s="3055">
        <f t="shared" si="14"/>
        <v>0</v>
      </c>
      <c r="AD917" s="3056"/>
      <c r="AE917" s="3057">
        <f t="shared" si="0"/>
      </c>
      <c r="AF917" s="3054"/>
      <c r="AG917" s="3054"/>
      <c r="AH917" s="3055"/>
      <c r="AI917" s="3055"/>
      <c r="AJ917" s="3055"/>
      <c r="AK917" s="3055"/>
      <c r="AL917" s="3055"/>
      <c r="AM917" s="3055"/>
      <c r="AN917" s="3055"/>
      <c r="AO917" s="3055"/>
      <c r="AP917" s="3055"/>
      <c r="AQ917" s="3055"/>
      <c r="AR917" s="3055"/>
      <c r="AS917" s="3055"/>
      <c r="AT917" s="3055"/>
      <c r="AU917" s="3056"/>
      <c r="AV917" s="3057">
        <f t="shared" si="15"/>
      </c>
      <c r="AW917" s="3054"/>
      <c r="AX917" s="3054"/>
      <c r="AY917" s="3055"/>
      <c r="AZ917" s="3055"/>
      <c r="BA917" s="3055"/>
      <c r="BB917" s="3055"/>
      <c r="BC917" s="3055"/>
      <c r="BD917" s="3055"/>
      <c r="BE917" s="3055"/>
      <c r="BF917" s="3055"/>
      <c r="BG917" s="3055"/>
      <c r="BH917" s="3055"/>
      <c r="BI917" s="3055"/>
      <c r="BJ917" s="3055"/>
      <c r="BK917" s="3055"/>
      <c r="BL917" s="3056"/>
      <c r="BM917" s="3057">
        <f t="shared" si="16"/>
      </c>
      <c r="BN917" s="3054"/>
      <c r="BO917" s="3054"/>
      <c r="BP917" s="3055"/>
      <c r="BQ917" s="3055"/>
      <c r="BR917" s="3055"/>
      <c r="BS917" s="3055"/>
      <c r="BT917" s="3055"/>
      <c r="BU917" s="3055"/>
      <c r="BV917" s="3055"/>
      <c r="BW917" s="3055"/>
      <c r="BX917" s="3055"/>
      <c r="BY917" s="3055"/>
      <c r="BZ917" s="3055"/>
      <c r="CA917" s="3055"/>
      <c r="CB917" s="3055"/>
      <c r="CC917" s="3056"/>
      <c r="CD917" s="3057">
        <f t="shared" si="0"/>
      </c>
      <c r="CE917" s="3054"/>
      <c r="CF917" s="3054"/>
      <c r="CG917" s="3055"/>
      <c r="CH917" s="3055"/>
      <c r="CI917" s="3055"/>
      <c r="CJ917" s="3055"/>
      <c r="CK917" s="3055"/>
      <c r="CL917" s="3055"/>
      <c r="CM917" s="3055"/>
      <c r="CN917" s="3055"/>
      <c r="CO917" s="3055"/>
      <c r="CP917" s="3055"/>
      <c r="CQ917" s="3055"/>
      <c r="CR917" s="3055"/>
      <c r="CS917" s="3055"/>
      <c r="CU917" s="3054"/>
      <c r="CV917" s="696"/>
      <c r="CW917" s="696"/>
      <c r="CZ917" s="3060">
        <f t="shared" si="17"/>
      </c>
      <c r="DA917" s="3060">
        <f t="shared" si="1"/>
      </c>
      <c r="DB917" s="3060">
        <f t="shared" si="18"/>
      </c>
      <c r="DC917" s="3060">
        <f t="shared" si="19"/>
      </c>
      <c r="DD917" s="3060">
        <f t="shared" si="20"/>
      </c>
      <c r="DE917" s="3060">
        <f t="shared" si="21"/>
      </c>
      <c r="DF917" s="3060">
        <f t="shared" si="22"/>
      </c>
      <c r="DG917" s="3060">
        <f t="shared" si="23"/>
      </c>
      <c r="DH917" s="3060">
        <f t="shared" si="24"/>
      </c>
      <c r="DI917" s="3060">
        <f t="shared" si="1"/>
      </c>
    </row>
    <row r="918" ht="15" customHeight="1" s="3052" customFormat="1">
      <c r="B918" s="3054">
        <f t="shared" si="2"/>
      </c>
      <c r="C918" s="3054"/>
      <c r="D918" s="3054"/>
      <c r="E918" s="3055"/>
      <c r="F918" s="3055"/>
      <c r="G918" s="3055"/>
      <c r="H918" s="3055"/>
      <c r="I918" s="3055"/>
      <c r="J918" s="3055"/>
      <c r="K918" s="3055"/>
      <c r="L918" s="3055"/>
      <c r="M918" s="3055"/>
      <c r="N918" s="3055"/>
      <c r="O918" s="3055"/>
      <c r="P918" s="3055"/>
      <c r="Q918" s="3055"/>
      <c r="R918" s="3055">
        <f t="shared" si="3"/>
        <v>0</v>
      </c>
      <c r="S918" s="3055">
        <f t="shared" si="4"/>
        <v>0</v>
      </c>
      <c r="T918" s="3055">
        <f t="shared" si="5"/>
        <v>0</v>
      </c>
      <c r="U918" s="3055">
        <f t="shared" si="6"/>
        <v>0</v>
      </c>
      <c r="V918" s="3055">
        <f t="shared" si="7"/>
        <v>0</v>
      </c>
      <c r="W918" s="3055">
        <f t="shared" si="8"/>
        <v>0</v>
      </c>
      <c r="X918" s="3055">
        <f t="shared" si="9"/>
        <v>0</v>
      </c>
      <c r="Y918" s="3055">
        <f t="shared" si="10"/>
        <v>0</v>
      </c>
      <c r="Z918" s="3055">
        <f t="shared" si="11"/>
        <v>0</v>
      </c>
      <c r="AA918" s="3055">
        <f t="shared" si="12"/>
        <v>0</v>
      </c>
      <c r="AB918" s="3055">
        <f t="shared" si="13"/>
        <v>0</v>
      </c>
      <c r="AC918" s="3055">
        <f t="shared" si="14"/>
        <v>0</v>
      </c>
      <c r="AD918" s="3056"/>
      <c r="AE918" s="3057">
        <f t="shared" si="0"/>
      </c>
      <c r="AF918" s="3054"/>
      <c r="AG918" s="3054"/>
      <c r="AH918" s="3055"/>
      <c r="AI918" s="3055"/>
      <c r="AJ918" s="3055"/>
      <c r="AK918" s="3055"/>
      <c r="AL918" s="3055"/>
      <c r="AM918" s="3055"/>
      <c r="AN918" s="3055"/>
      <c r="AO918" s="3055"/>
      <c r="AP918" s="3055"/>
      <c r="AQ918" s="3055"/>
      <c r="AR918" s="3055"/>
      <c r="AS918" s="3055"/>
      <c r="AT918" s="3055"/>
      <c r="AU918" s="3056"/>
      <c r="AV918" s="3057">
        <f t="shared" si="15"/>
      </c>
      <c r="AW918" s="3054"/>
      <c r="AX918" s="3054"/>
      <c r="AY918" s="3055"/>
      <c r="AZ918" s="3055"/>
      <c r="BA918" s="3055"/>
      <c r="BB918" s="3055"/>
      <c r="BC918" s="3055"/>
      <c r="BD918" s="3055"/>
      <c r="BE918" s="3055"/>
      <c r="BF918" s="3055"/>
      <c r="BG918" s="3055"/>
      <c r="BH918" s="3055"/>
      <c r="BI918" s="3055"/>
      <c r="BJ918" s="3055"/>
      <c r="BK918" s="3055"/>
      <c r="BL918" s="3056"/>
      <c r="BM918" s="3057">
        <f t="shared" si="16"/>
      </c>
      <c r="BN918" s="3054"/>
      <c r="BO918" s="3054"/>
      <c r="BP918" s="3055"/>
      <c r="BQ918" s="3055"/>
      <c r="BR918" s="3055"/>
      <c r="BS918" s="3055"/>
      <c r="BT918" s="3055"/>
      <c r="BU918" s="3055"/>
      <c r="BV918" s="3055"/>
      <c r="BW918" s="3055"/>
      <c r="BX918" s="3055"/>
      <c r="BY918" s="3055"/>
      <c r="BZ918" s="3055"/>
      <c r="CA918" s="3055"/>
      <c r="CB918" s="3055"/>
      <c r="CC918" s="3056"/>
      <c r="CD918" s="3057">
        <f t="shared" si="0"/>
      </c>
      <c r="CE918" s="3054"/>
      <c r="CF918" s="3054"/>
      <c r="CG918" s="3055"/>
      <c r="CH918" s="3055"/>
      <c r="CI918" s="3055"/>
      <c r="CJ918" s="3055"/>
      <c r="CK918" s="3055"/>
      <c r="CL918" s="3055"/>
      <c r="CM918" s="3055"/>
      <c r="CN918" s="3055"/>
      <c r="CO918" s="3055"/>
      <c r="CP918" s="3055"/>
      <c r="CQ918" s="3055"/>
      <c r="CR918" s="3055"/>
      <c r="CS918" s="3055"/>
      <c r="CU918" s="3054"/>
      <c r="CV918" s="696"/>
      <c r="CW918" s="696"/>
      <c r="CZ918" s="3060">
        <f t="shared" si="17"/>
      </c>
      <c r="DA918" s="3060">
        <f t="shared" si="1"/>
      </c>
      <c r="DB918" s="3060">
        <f t="shared" si="18"/>
      </c>
      <c r="DC918" s="3060">
        <f t="shared" si="19"/>
      </c>
      <c r="DD918" s="3060">
        <f t="shared" si="20"/>
      </c>
      <c r="DE918" s="3060">
        <f t="shared" si="21"/>
      </c>
      <c r="DF918" s="3060">
        <f t="shared" si="22"/>
      </c>
      <c r="DG918" s="3060">
        <f t="shared" si="23"/>
      </c>
      <c r="DH918" s="3060">
        <f t="shared" si="24"/>
      </c>
      <c r="DI918" s="3060">
        <f t="shared" si="1"/>
      </c>
    </row>
    <row r="919" ht="15" customHeight="1" s="3052" customFormat="1">
      <c r="B919" s="3054">
        <f t="shared" si="2"/>
      </c>
      <c r="C919" s="3054"/>
      <c r="D919" s="3054"/>
      <c r="E919" s="3055"/>
      <c r="F919" s="3055"/>
      <c r="G919" s="3055"/>
      <c r="H919" s="3055"/>
      <c r="I919" s="3055"/>
      <c r="J919" s="3055"/>
      <c r="K919" s="3055"/>
      <c r="L919" s="3055"/>
      <c r="M919" s="3055"/>
      <c r="N919" s="3055"/>
      <c r="O919" s="3055"/>
      <c r="P919" s="3055"/>
      <c r="Q919" s="3055"/>
      <c r="R919" s="3055">
        <f t="shared" si="3"/>
        <v>0</v>
      </c>
      <c r="S919" s="3055">
        <f t="shared" si="4"/>
        <v>0</v>
      </c>
      <c r="T919" s="3055">
        <f t="shared" si="5"/>
        <v>0</v>
      </c>
      <c r="U919" s="3055">
        <f t="shared" si="6"/>
        <v>0</v>
      </c>
      <c r="V919" s="3055">
        <f t="shared" si="7"/>
        <v>0</v>
      </c>
      <c r="W919" s="3055">
        <f t="shared" si="8"/>
        <v>0</v>
      </c>
      <c r="X919" s="3055">
        <f t="shared" si="9"/>
        <v>0</v>
      </c>
      <c r="Y919" s="3055">
        <f t="shared" si="10"/>
        <v>0</v>
      </c>
      <c r="Z919" s="3055">
        <f t="shared" si="11"/>
        <v>0</v>
      </c>
      <c r="AA919" s="3055">
        <f t="shared" si="12"/>
        <v>0</v>
      </c>
      <c r="AB919" s="3055">
        <f t="shared" si="13"/>
        <v>0</v>
      </c>
      <c r="AC919" s="3055">
        <f t="shared" si="14"/>
        <v>0</v>
      </c>
      <c r="AD919" s="3056"/>
      <c r="AE919" s="3057">
        <f t="shared" si="0"/>
      </c>
      <c r="AF919" s="3054"/>
      <c r="AG919" s="3054"/>
      <c r="AH919" s="3055"/>
      <c r="AI919" s="3055"/>
      <c r="AJ919" s="3055"/>
      <c r="AK919" s="3055"/>
      <c r="AL919" s="3055"/>
      <c r="AM919" s="3055"/>
      <c r="AN919" s="3055"/>
      <c r="AO919" s="3055"/>
      <c r="AP919" s="3055"/>
      <c r="AQ919" s="3055"/>
      <c r="AR919" s="3055"/>
      <c r="AS919" s="3055"/>
      <c r="AT919" s="3055"/>
      <c r="AU919" s="3056"/>
      <c r="AV919" s="3057">
        <f t="shared" si="15"/>
      </c>
      <c r="AW919" s="3054"/>
      <c r="AX919" s="3054"/>
      <c r="AY919" s="3055"/>
      <c r="AZ919" s="3055"/>
      <c r="BA919" s="3055"/>
      <c r="BB919" s="3055"/>
      <c r="BC919" s="3055"/>
      <c r="BD919" s="3055"/>
      <c r="BE919" s="3055"/>
      <c r="BF919" s="3055"/>
      <c r="BG919" s="3055"/>
      <c r="BH919" s="3055"/>
      <c r="BI919" s="3055"/>
      <c r="BJ919" s="3055"/>
      <c r="BK919" s="3055"/>
      <c r="BL919" s="3056"/>
      <c r="BM919" s="3057">
        <f t="shared" si="16"/>
      </c>
      <c r="BN919" s="3054"/>
      <c r="BO919" s="3054"/>
      <c r="BP919" s="3055"/>
      <c r="BQ919" s="3055"/>
      <c r="BR919" s="3055"/>
      <c r="BS919" s="3055"/>
      <c r="BT919" s="3055"/>
      <c r="BU919" s="3055"/>
      <c r="BV919" s="3055"/>
      <c r="BW919" s="3055"/>
      <c r="BX919" s="3055"/>
      <c r="BY919" s="3055"/>
      <c r="BZ919" s="3055"/>
      <c r="CA919" s="3055"/>
      <c r="CB919" s="3055"/>
      <c r="CC919" s="3056"/>
      <c r="CD919" s="3057">
        <f t="shared" si="0"/>
      </c>
      <c r="CE919" s="3054"/>
      <c r="CF919" s="3054"/>
      <c r="CG919" s="3055"/>
      <c r="CH919" s="3055"/>
      <c r="CI919" s="3055"/>
      <c r="CJ919" s="3055"/>
      <c r="CK919" s="3055"/>
      <c r="CL919" s="3055"/>
      <c r="CM919" s="3055"/>
      <c r="CN919" s="3055"/>
      <c r="CO919" s="3055"/>
      <c r="CP919" s="3055"/>
      <c r="CQ919" s="3055"/>
      <c r="CR919" s="3055"/>
      <c r="CS919" s="3055"/>
      <c r="CU919" s="3054"/>
      <c r="CV919" s="696"/>
      <c r="CW919" s="696"/>
      <c r="CZ919" s="3060">
        <f t="shared" si="17"/>
      </c>
      <c r="DA919" s="3060">
        <f t="shared" si="1"/>
      </c>
      <c r="DB919" s="3060">
        <f t="shared" si="18"/>
      </c>
      <c r="DC919" s="3060">
        <f t="shared" si="19"/>
      </c>
      <c r="DD919" s="3060">
        <f t="shared" si="20"/>
      </c>
      <c r="DE919" s="3060">
        <f t="shared" si="21"/>
      </c>
      <c r="DF919" s="3060">
        <f t="shared" si="22"/>
      </c>
      <c r="DG919" s="3060">
        <f t="shared" si="23"/>
      </c>
      <c r="DH919" s="3060">
        <f t="shared" si="24"/>
      </c>
      <c r="DI919" s="3060">
        <f t="shared" si="1"/>
      </c>
    </row>
    <row r="920" ht="15" customHeight="1" s="3052" customFormat="1">
      <c r="B920" s="3054">
        <f t="shared" si="2"/>
      </c>
      <c r="C920" s="3054"/>
      <c r="D920" s="3054"/>
      <c r="E920" s="3055"/>
      <c r="F920" s="3055"/>
      <c r="G920" s="3055"/>
      <c r="H920" s="3055"/>
      <c r="I920" s="3055"/>
      <c r="J920" s="3055"/>
      <c r="K920" s="3055"/>
      <c r="L920" s="3055"/>
      <c r="M920" s="3055"/>
      <c r="N920" s="3055"/>
      <c r="O920" s="3055"/>
      <c r="P920" s="3055"/>
      <c r="Q920" s="3055"/>
      <c r="R920" s="3055">
        <f t="shared" si="3"/>
        <v>0</v>
      </c>
      <c r="S920" s="3055">
        <f t="shared" si="4"/>
        <v>0</v>
      </c>
      <c r="T920" s="3055">
        <f t="shared" si="5"/>
        <v>0</v>
      </c>
      <c r="U920" s="3055">
        <f t="shared" si="6"/>
        <v>0</v>
      </c>
      <c r="V920" s="3055">
        <f t="shared" si="7"/>
        <v>0</v>
      </c>
      <c r="W920" s="3055">
        <f t="shared" si="8"/>
        <v>0</v>
      </c>
      <c r="X920" s="3055">
        <f t="shared" si="9"/>
        <v>0</v>
      </c>
      <c r="Y920" s="3055">
        <f t="shared" si="10"/>
        <v>0</v>
      </c>
      <c r="Z920" s="3055">
        <f t="shared" si="11"/>
        <v>0</v>
      </c>
      <c r="AA920" s="3055">
        <f t="shared" si="12"/>
        <v>0</v>
      </c>
      <c r="AB920" s="3055">
        <f t="shared" si="13"/>
        <v>0</v>
      </c>
      <c r="AC920" s="3055">
        <f t="shared" si="14"/>
        <v>0</v>
      </c>
      <c r="AD920" s="3056"/>
      <c r="AE920" s="3057">
        <f t="shared" si="0"/>
      </c>
      <c r="AF920" s="3054"/>
      <c r="AG920" s="3054"/>
      <c r="AH920" s="3055"/>
      <c r="AI920" s="3055"/>
      <c r="AJ920" s="3055"/>
      <c r="AK920" s="3055"/>
      <c r="AL920" s="3055"/>
      <c r="AM920" s="3055"/>
      <c r="AN920" s="3055"/>
      <c r="AO920" s="3055"/>
      <c r="AP920" s="3055"/>
      <c r="AQ920" s="3055"/>
      <c r="AR920" s="3055"/>
      <c r="AS920" s="3055"/>
      <c r="AT920" s="3055"/>
      <c r="AU920" s="3056"/>
      <c r="AV920" s="3057">
        <f t="shared" si="15"/>
      </c>
      <c r="AW920" s="3054"/>
      <c r="AX920" s="3054"/>
      <c r="AY920" s="3055"/>
      <c r="AZ920" s="3055"/>
      <c r="BA920" s="3055"/>
      <c r="BB920" s="3055"/>
      <c r="BC920" s="3055"/>
      <c r="BD920" s="3055"/>
      <c r="BE920" s="3055"/>
      <c r="BF920" s="3055"/>
      <c r="BG920" s="3055"/>
      <c r="BH920" s="3055"/>
      <c r="BI920" s="3055"/>
      <c r="BJ920" s="3055"/>
      <c r="BK920" s="3055"/>
      <c r="BL920" s="3056"/>
      <c r="BM920" s="3057">
        <f t="shared" si="16"/>
      </c>
      <c r="BN920" s="3054"/>
      <c r="BO920" s="3054"/>
      <c r="BP920" s="3055"/>
      <c r="BQ920" s="3055"/>
      <c r="BR920" s="3055"/>
      <c r="BS920" s="3055"/>
      <c r="BT920" s="3055"/>
      <c r="BU920" s="3055"/>
      <c r="BV920" s="3055"/>
      <c r="BW920" s="3055"/>
      <c r="BX920" s="3055"/>
      <c r="BY920" s="3055"/>
      <c r="BZ920" s="3055"/>
      <c r="CA920" s="3055"/>
      <c r="CB920" s="3055"/>
      <c r="CC920" s="3056"/>
      <c r="CD920" s="3057">
        <f t="shared" si="0"/>
      </c>
      <c r="CE920" s="3054"/>
      <c r="CF920" s="3054"/>
      <c r="CG920" s="3055"/>
      <c r="CH920" s="3055"/>
      <c r="CI920" s="3055"/>
      <c r="CJ920" s="3055"/>
      <c r="CK920" s="3055"/>
      <c r="CL920" s="3055"/>
      <c r="CM920" s="3055"/>
      <c r="CN920" s="3055"/>
      <c r="CO920" s="3055"/>
      <c r="CP920" s="3055"/>
      <c r="CQ920" s="3055"/>
      <c r="CR920" s="3055"/>
      <c r="CS920" s="3055"/>
      <c r="CU920" s="3054"/>
      <c r="CV920" s="696"/>
      <c r="CW920" s="696"/>
      <c r="CZ920" s="3060">
        <f t="shared" si="17"/>
      </c>
      <c r="DA920" s="3060">
        <f t="shared" si="1"/>
      </c>
      <c r="DB920" s="3060">
        <f t="shared" si="18"/>
      </c>
      <c r="DC920" s="3060">
        <f t="shared" si="19"/>
      </c>
      <c r="DD920" s="3060">
        <f t="shared" si="20"/>
      </c>
      <c r="DE920" s="3060">
        <f t="shared" si="21"/>
      </c>
      <c r="DF920" s="3060">
        <f t="shared" si="22"/>
      </c>
      <c r="DG920" s="3060">
        <f t="shared" si="23"/>
      </c>
      <c r="DH920" s="3060">
        <f t="shared" si="24"/>
      </c>
      <c r="DI920" s="3060">
        <f t="shared" si="1"/>
      </c>
    </row>
    <row r="921" ht="15" customHeight="1" s="3052" customFormat="1">
      <c r="B921" s="3054">
        <f t="shared" si="2"/>
      </c>
      <c r="C921" s="3054"/>
      <c r="D921" s="3054"/>
      <c r="E921" s="3055"/>
      <c r="F921" s="3055"/>
      <c r="G921" s="3055"/>
      <c r="H921" s="3055"/>
      <c r="I921" s="3055"/>
      <c r="J921" s="3055"/>
      <c r="K921" s="3055"/>
      <c r="L921" s="3055"/>
      <c r="M921" s="3055"/>
      <c r="N921" s="3055"/>
      <c r="O921" s="3055"/>
      <c r="P921" s="3055"/>
      <c r="Q921" s="3055"/>
      <c r="R921" s="3055">
        <f t="shared" si="3"/>
        <v>0</v>
      </c>
      <c r="S921" s="3055">
        <f t="shared" si="4"/>
        <v>0</v>
      </c>
      <c r="T921" s="3055">
        <f t="shared" si="5"/>
        <v>0</v>
      </c>
      <c r="U921" s="3055">
        <f t="shared" si="6"/>
        <v>0</v>
      </c>
      <c r="V921" s="3055">
        <f t="shared" si="7"/>
        <v>0</v>
      </c>
      <c r="W921" s="3055">
        <f t="shared" si="8"/>
        <v>0</v>
      </c>
      <c r="X921" s="3055">
        <f t="shared" si="9"/>
        <v>0</v>
      </c>
      <c r="Y921" s="3055">
        <f t="shared" si="10"/>
        <v>0</v>
      </c>
      <c r="Z921" s="3055">
        <f t="shared" si="11"/>
        <v>0</v>
      </c>
      <c r="AA921" s="3055">
        <f t="shared" si="12"/>
        <v>0</v>
      </c>
      <c r="AB921" s="3055">
        <f t="shared" si="13"/>
        <v>0</v>
      </c>
      <c r="AC921" s="3055">
        <f t="shared" si="14"/>
        <v>0</v>
      </c>
      <c r="AD921" s="3056"/>
      <c r="AE921" s="3057">
        <f t="shared" si="0"/>
      </c>
      <c r="AF921" s="3054"/>
      <c r="AG921" s="3054"/>
      <c r="AH921" s="3055"/>
      <c r="AI921" s="3055"/>
      <c r="AJ921" s="3055"/>
      <c r="AK921" s="3055"/>
      <c r="AL921" s="3055"/>
      <c r="AM921" s="3055"/>
      <c r="AN921" s="3055"/>
      <c r="AO921" s="3055"/>
      <c r="AP921" s="3055"/>
      <c r="AQ921" s="3055"/>
      <c r="AR921" s="3055"/>
      <c r="AS921" s="3055"/>
      <c r="AT921" s="3055"/>
      <c r="AU921" s="3056"/>
      <c r="AV921" s="3057">
        <f t="shared" si="15"/>
      </c>
      <c r="AW921" s="3054"/>
      <c r="AX921" s="3054"/>
      <c r="AY921" s="3055"/>
      <c r="AZ921" s="3055"/>
      <c r="BA921" s="3055"/>
      <c r="BB921" s="3055"/>
      <c r="BC921" s="3055"/>
      <c r="BD921" s="3055"/>
      <c r="BE921" s="3055"/>
      <c r="BF921" s="3055"/>
      <c r="BG921" s="3055"/>
      <c r="BH921" s="3055"/>
      <c r="BI921" s="3055"/>
      <c r="BJ921" s="3055"/>
      <c r="BK921" s="3055"/>
      <c r="BL921" s="3056"/>
      <c r="BM921" s="3057">
        <f t="shared" si="16"/>
      </c>
      <c r="BN921" s="3054"/>
      <c r="BO921" s="3054"/>
      <c r="BP921" s="3055"/>
      <c r="BQ921" s="3055"/>
      <c r="BR921" s="3055"/>
      <c r="BS921" s="3055"/>
      <c r="BT921" s="3055"/>
      <c r="BU921" s="3055"/>
      <c r="BV921" s="3055"/>
      <c r="BW921" s="3055"/>
      <c r="BX921" s="3055"/>
      <c r="BY921" s="3055"/>
      <c r="BZ921" s="3055"/>
      <c r="CA921" s="3055"/>
      <c r="CB921" s="3055"/>
      <c r="CC921" s="3056"/>
      <c r="CD921" s="3057">
        <f t="shared" si="0"/>
      </c>
      <c r="CE921" s="3054"/>
      <c r="CF921" s="3054"/>
      <c r="CG921" s="3055"/>
      <c r="CH921" s="3055"/>
      <c r="CI921" s="3055"/>
      <c r="CJ921" s="3055"/>
      <c r="CK921" s="3055"/>
      <c r="CL921" s="3055"/>
      <c r="CM921" s="3055"/>
      <c r="CN921" s="3055"/>
      <c r="CO921" s="3055"/>
      <c r="CP921" s="3055"/>
      <c r="CQ921" s="3055"/>
      <c r="CR921" s="3055"/>
      <c r="CS921" s="3055"/>
      <c r="CU921" s="3054"/>
      <c r="CV921" s="696"/>
      <c r="CW921" s="696"/>
      <c r="CZ921" s="3060">
        <f t="shared" si="17"/>
      </c>
      <c r="DA921" s="3060">
        <f t="shared" si="1"/>
      </c>
      <c r="DB921" s="3060">
        <f t="shared" si="18"/>
      </c>
      <c r="DC921" s="3060">
        <f t="shared" si="19"/>
      </c>
      <c r="DD921" s="3060">
        <f t="shared" si="20"/>
      </c>
      <c r="DE921" s="3060">
        <f t="shared" si="21"/>
      </c>
      <c r="DF921" s="3060">
        <f t="shared" si="22"/>
      </c>
      <c r="DG921" s="3060">
        <f t="shared" si="23"/>
      </c>
      <c r="DH921" s="3060">
        <f t="shared" si="24"/>
      </c>
      <c r="DI921" s="3060">
        <f t="shared" si="1"/>
      </c>
    </row>
    <row r="922" ht="15" customHeight="1" s="3052" customFormat="1">
      <c r="B922" s="3054">
        <f t="shared" si="2"/>
      </c>
      <c r="C922" s="3054"/>
      <c r="D922" s="3054"/>
      <c r="E922" s="3055"/>
      <c r="F922" s="3055"/>
      <c r="G922" s="3055"/>
      <c r="H922" s="3055"/>
      <c r="I922" s="3055"/>
      <c r="J922" s="3055"/>
      <c r="K922" s="3055"/>
      <c r="L922" s="3055"/>
      <c r="M922" s="3055"/>
      <c r="N922" s="3055"/>
      <c r="O922" s="3055"/>
      <c r="P922" s="3055"/>
      <c r="Q922" s="3055"/>
      <c r="R922" s="3055">
        <f t="shared" si="3"/>
        <v>0</v>
      </c>
      <c r="S922" s="3055">
        <f t="shared" si="4"/>
        <v>0</v>
      </c>
      <c r="T922" s="3055">
        <f t="shared" si="5"/>
        <v>0</v>
      </c>
      <c r="U922" s="3055">
        <f t="shared" si="6"/>
        <v>0</v>
      </c>
      <c r="V922" s="3055">
        <f t="shared" si="7"/>
        <v>0</v>
      </c>
      <c r="W922" s="3055">
        <f t="shared" si="8"/>
        <v>0</v>
      </c>
      <c r="X922" s="3055">
        <f t="shared" si="9"/>
        <v>0</v>
      </c>
      <c r="Y922" s="3055">
        <f t="shared" si="10"/>
        <v>0</v>
      </c>
      <c r="Z922" s="3055">
        <f t="shared" si="11"/>
        <v>0</v>
      </c>
      <c r="AA922" s="3055">
        <f t="shared" si="12"/>
        <v>0</v>
      </c>
      <c r="AB922" s="3055">
        <f t="shared" si="13"/>
        <v>0</v>
      </c>
      <c r="AC922" s="3055">
        <f t="shared" si="14"/>
        <v>0</v>
      </c>
      <c r="AD922" s="3056"/>
      <c r="AE922" s="3057">
        <f t="shared" si="0"/>
      </c>
      <c r="AF922" s="3054"/>
      <c r="AG922" s="3054"/>
      <c r="AH922" s="3055"/>
      <c r="AI922" s="3055"/>
      <c r="AJ922" s="3055"/>
      <c r="AK922" s="3055"/>
      <c r="AL922" s="3055"/>
      <c r="AM922" s="3055"/>
      <c r="AN922" s="3055"/>
      <c r="AO922" s="3055"/>
      <c r="AP922" s="3055"/>
      <c r="AQ922" s="3055"/>
      <c r="AR922" s="3055"/>
      <c r="AS922" s="3055"/>
      <c r="AT922" s="3055"/>
      <c r="AU922" s="3056"/>
      <c r="AV922" s="3057">
        <f t="shared" si="15"/>
      </c>
      <c r="AW922" s="3054"/>
      <c r="AX922" s="3054"/>
      <c r="AY922" s="3055"/>
      <c r="AZ922" s="3055"/>
      <c r="BA922" s="3055"/>
      <c r="BB922" s="3055"/>
      <c r="BC922" s="3055"/>
      <c r="BD922" s="3055"/>
      <c r="BE922" s="3055"/>
      <c r="BF922" s="3055"/>
      <c r="BG922" s="3055"/>
      <c r="BH922" s="3055"/>
      <c r="BI922" s="3055"/>
      <c r="BJ922" s="3055"/>
      <c r="BK922" s="3055"/>
      <c r="BL922" s="3056"/>
      <c r="BM922" s="3057">
        <f t="shared" si="16"/>
      </c>
      <c r="BN922" s="3054"/>
      <c r="BO922" s="3054"/>
      <c r="BP922" s="3055"/>
      <c r="BQ922" s="3055"/>
      <c r="BR922" s="3055"/>
      <c r="BS922" s="3055"/>
      <c r="BT922" s="3055"/>
      <c r="BU922" s="3055"/>
      <c r="BV922" s="3055"/>
      <c r="BW922" s="3055"/>
      <c r="BX922" s="3055"/>
      <c r="BY922" s="3055"/>
      <c r="BZ922" s="3055"/>
      <c r="CA922" s="3055"/>
      <c r="CB922" s="3055"/>
      <c r="CC922" s="3056"/>
      <c r="CD922" s="3057">
        <f t="shared" si="0"/>
      </c>
      <c r="CE922" s="3054"/>
      <c r="CF922" s="3054"/>
      <c r="CG922" s="3055"/>
      <c r="CH922" s="3055"/>
      <c r="CI922" s="3055"/>
      <c r="CJ922" s="3055"/>
      <c r="CK922" s="3055"/>
      <c r="CL922" s="3055"/>
      <c r="CM922" s="3055"/>
      <c r="CN922" s="3055"/>
      <c r="CO922" s="3055"/>
      <c r="CP922" s="3055"/>
      <c r="CQ922" s="3055"/>
      <c r="CR922" s="3055"/>
      <c r="CS922" s="3055"/>
      <c r="CU922" s="3054"/>
      <c r="CV922" s="696"/>
      <c r="CW922" s="696"/>
      <c r="CZ922" s="3060">
        <f t="shared" si="17"/>
      </c>
      <c r="DA922" s="3060">
        <f t="shared" si="1"/>
      </c>
      <c r="DB922" s="3060">
        <f t="shared" si="18"/>
      </c>
      <c r="DC922" s="3060">
        <f t="shared" si="19"/>
      </c>
      <c r="DD922" s="3060">
        <f t="shared" si="20"/>
      </c>
      <c r="DE922" s="3060">
        <f t="shared" si="21"/>
      </c>
      <c r="DF922" s="3060">
        <f t="shared" si="22"/>
      </c>
      <c r="DG922" s="3060">
        <f t="shared" si="23"/>
      </c>
      <c r="DH922" s="3060">
        <f t="shared" si="24"/>
      </c>
      <c r="DI922" s="3060">
        <f t="shared" si="1"/>
      </c>
    </row>
    <row r="923" ht="15" customHeight="1" s="3052" customFormat="1">
      <c r="B923" s="3054">
        <f t="shared" si="2"/>
      </c>
      <c r="C923" s="3054"/>
      <c r="D923" s="3054"/>
      <c r="E923" s="3055"/>
      <c r="F923" s="3055"/>
      <c r="G923" s="3055"/>
      <c r="H923" s="3055"/>
      <c r="I923" s="3055"/>
      <c r="J923" s="3055"/>
      <c r="K923" s="3055"/>
      <c r="L923" s="3055"/>
      <c r="M923" s="3055"/>
      <c r="N923" s="3055"/>
      <c r="O923" s="3055"/>
      <c r="P923" s="3055"/>
      <c r="Q923" s="3055"/>
      <c r="R923" s="3055">
        <f t="shared" si="3"/>
        <v>0</v>
      </c>
      <c r="S923" s="3055">
        <f t="shared" si="4"/>
        <v>0</v>
      </c>
      <c r="T923" s="3055">
        <f t="shared" si="5"/>
        <v>0</v>
      </c>
      <c r="U923" s="3055">
        <f t="shared" si="6"/>
        <v>0</v>
      </c>
      <c r="V923" s="3055">
        <f t="shared" si="7"/>
        <v>0</v>
      </c>
      <c r="W923" s="3055">
        <f t="shared" si="8"/>
        <v>0</v>
      </c>
      <c r="X923" s="3055">
        <f t="shared" si="9"/>
        <v>0</v>
      </c>
      <c r="Y923" s="3055">
        <f t="shared" si="10"/>
        <v>0</v>
      </c>
      <c r="Z923" s="3055">
        <f t="shared" si="11"/>
        <v>0</v>
      </c>
      <c r="AA923" s="3055">
        <f t="shared" si="12"/>
        <v>0</v>
      </c>
      <c r="AB923" s="3055">
        <f t="shared" si="13"/>
        <v>0</v>
      </c>
      <c r="AC923" s="3055">
        <f t="shared" si="14"/>
        <v>0</v>
      </c>
      <c r="AD923" s="3056"/>
      <c r="AE923" s="3057">
        <f t="shared" si="0"/>
      </c>
      <c r="AF923" s="3054"/>
      <c r="AG923" s="3054"/>
      <c r="AH923" s="3055"/>
      <c r="AI923" s="3055"/>
      <c r="AJ923" s="3055"/>
      <c r="AK923" s="3055"/>
      <c r="AL923" s="3055"/>
      <c r="AM923" s="3055"/>
      <c r="AN923" s="3055"/>
      <c r="AO923" s="3055"/>
      <c r="AP923" s="3055"/>
      <c r="AQ923" s="3055"/>
      <c r="AR923" s="3055"/>
      <c r="AS923" s="3055"/>
      <c r="AT923" s="3055"/>
      <c r="AU923" s="3056"/>
      <c r="AV923" s="3057">
        <f t="shared" si="15"/>
      </c>
      <c r="AW923" s="3054"/>
      <c r="AX923" s="3054"/>
      <c r="AY923" s="3055"/>
      <c r="AZ923" s="3055"/>
      <c r="BA923" s="3055"/>
      <c r="BB923" s="3055"/>
      <c r="BC923" s="3055"/>
      <c r="BD923" s="3055"/>
      <c r="BE923" s="3055"/>
      <c r="BF923" s="3055"/>
      <c r="BG923" s="3055"/>
      <c r="BH923" s="3055"/>
      <c r="BI923" s="3055"/>
      <c r="BJ923" s="3055"/>
      <c r="BK923" s="3055"/>
      <c r="BL923" s="3056"/>
      <c r="BM923" s="3057">
        <f t="shared" si="16"/>
      </c>
      <c r="BN923" s="3054"/>
      <c r="BO923" s="3054"/>
      <c r="BP923" s="3055"/>
      <c r="BQ923" s="3055"/>
      <c r="BR923" s="3055"/>
      <c r="BS923" s="3055"/>
      <c r="BT923" s="3055"/>
      <c r="BU923" s="3055"/>
      <c r="BV923" s="3055"/>
      <c r="BW923" s="3055"/>
      <c r="BX923" s="3055"/>
      <c r="BY923" s="3055"/>
      <c r="BZ923" s="3055"/>
      <c r="CA923" s="3055"/>
      <c r="CB923" s="3055"/>
      <c r="CC923" s="3056"/>
      <c r="CD923" s="3057">
        <f t="shared" si="0"/>
      </c>
      <c r="CE923" s="3054"/>
      <c r="CF923" s="3054"/>
      <c r="CG923" s="3055"/>
      <c r="CH923" s="3055"/>
      <c r="CI923" s="3055"/>
      <c r="CJ923" s="3055"/>
      <c r="CK923" s="3055"/>
      <c r="CL923" s="3055"/>
      <c r="CM923" s="3055"/>
      <c r="CN923" s="3055"/>
      <c r="CO923" s="3055"/>
      <c r="CP923" s="3055"/>
      <c r="CQ923" s="3055"/>
      <c r="CR923" s="3055"/>
      <c r="CS923" s="3055"/>
      <c r="CU923" s="3054"/>
      <c r="CV923" s="696"/>
      <c r="CW923" s="696"/>
      <c r="CZ923" s="3060">
        <f t="shared" si="17"/>
      </c>
      <c r="DA923" s="3060">
        <f t="shared" si="1"/>
      </c>
      <c r="DB923" s="3060">
        <f t="shared" si="18"/>
      </c>
      <c r="DC923" s="3060">
        <f t="shared" si="19"/>
      </c>
      <c r="DD923" s="3060">
        <f t="shared" si="20"/>
      </c>
      <c r="DE923" s="3060">
        <f t="shared" si="21"/>
      </c>
      <c r="DF923" s="3060">
        <f t="shared" si="22"/>
      </c>
      <c r="DG923" s="3060">
        <f t="shared" si="23"/>
      </c>
      <c r="DH923" s="3060">
        <f t="shared" si="24"/>
      </c>
      <c r="DI923" s="3060">
        <f t="shared" si="1"/>
      </c>
    </row>
    <row r="924" ht="15" customHeight="1" s="3052" customFormat="1">
      <c r="B924" s="3054">
        <f t="shared" si="2"/>
      </c>
      <c r="C924" s="3054"/>
      <c r="D924" s="3054"/>
      <c r="E924" s="3055"/>
      <c r="F924" s="3055"/>
      <c r="G924" s="3055"/>
      <c r="H924" s="3055"/>
      <c r="I924" s="3055"/>
      <c r="J924" s="3055"/>
      <c r="K924" s="3055"/>
      <c r="L924" s="3055"/>
      <c r="M924" s="3055"/>
      <c r="N924" s="3055"/>
      <c r="O924" s="3055"/>
      <c r="P924" s="3055"/>
      <c r="Q924" s="3055"/>
      <c r="R924" s="3055">
        <f t="shared" si="3"/>
        <v>0</v>
      </c>
      <c r="S924" s="3055">
        <f t="shared" si="4"/>
        <v>0</v>
      </c>
      <c r="T924" s="3055">
        <f t="shared" si="5"/>
        <v>0</v>
      </c>
      <c r="U924" s="3055">
        <f t="shared" si="6"/>
        <v>0</v>
      </c>
      <c r="V924" s="3055">
        <f t="shared" si="7"/>
        <v>0</v>
      </c>
      <c r="W924" s="3055">
        <f t="shared" si="8"/>
        <v>0</v>
      </c>
      <c r="X924" s="3055">
        <f t="shared" si="9"/>
        <v>0</v>
      </c>
      <c r="Y924" s="3055">
        <f t="shared" si="10"/>
        <v>0</v>
      </c>
      <c r="Z924" s="3055">
        <f t="shared" si="11"/>
        <v>0</v>
      </c>
      <c r="AA924" s="3055">
        <f t="shared" si="12"/>
        <v>0</v>
      </c>
      <c r="AB924" s="3055">
        <f t="shared" si="13"/>
        <v>0</v>
      </c>
      <c r="AC924" s="3055">
        <f t="shared" si="14"/>
        <v>0</v>
      </c>
      <c r="AD924" s="3056"/>
      <c r="AE924" s="3057">
        <f t="shared" si="0"/>
      </c>
      <c r="AF924" s="3054"/>
      <c r="AG924" s="3054"/>
      <c r="AH924" s="3055"/>
      <c r="AI924" s="3055"/>
      <c r="AJ924" s="3055"/>
      <c r="AK924" s="3055"/>
      <c r="AL924" s="3055"/>
      <c r="AM924" s="3055"/>
      <c r="AN924" s="3055"/>
      <c r="AO924" s="3055"/>
      <c r="AP924" s="3055"/>
      <c r="AQ924" s="3055"/>
      <c r="AR924" s="3055"/>
      <c r="AS924" s="3055"/>
      <c r="AT924" s="3055"/>
      <c r="AU924" s="3056"/>
      <c r="AV924" s="3057">
        <f t="shared" si="15"/>
      </c>
      <c r="AW924" s="3054"/>
      <c r="AX924" s="3054"/>
      <c r="AY924" s="3055"/>
      <c r="AZ924" s="3055"/>
      <c r="BA924" s="3055"/>
      <c r="BB924" s="3055"/>
      <c r="BC924" s="3055"/>
      <c r="BD924" s="3055"/>
      <c r="BE924" s="3055"/>
      <c r="BF924" s="3055"/>
      <c r="BG924" s="3055"/>
      <c r="BH924" s="3055"/>
      <c r="BI924" s="3055"/>
      <c r="BJ924" s="3055"/>
      <c r="BK924" s="3055"/>
      <c r="BL924" s="3056"/>
      <c r="BM924" s="3057">
        <f t="shared" si="16"/>
      </c>
      <c r="BN924" s="3054"/>
      <c r="BO924" s="3054"/>
      <c r="BP924" s="3055"/>
      <c r="BQ924" s="3055"/>
      <c r="BR924" s="3055"/>
      <c r="BS924" s="3055"/>
      <c r="BT924" s="3055"/>
      <c r="BU924" s="3055"/>
      <c r="BV924" s="3055"/>
      <c r="BW924" s="3055"/>
      <c r="BX924" s="3055"/>
      <c r="BY924" s="3055"/>
      <c r="BZ924" s="3055"/>
      <c r="CA924" s="3055"/>
      <c r="CB924" s="3055"/>
      <c r="CC924" s="3056"/>
      <c r="CD924" s="3057">
        <f t="shared" si="0"/>
      </c>
      <c r="CE924" s="3054"/>
      <c r="CF924" s="3054"/>
      <c r="CG924" s="3055"/>
      <c r="CH924" s="3055"/>
      <c r="CI924" s="3055"/>
      <c r="CJ924" s="3055"/>
      <c r="CK924" s="3055"/>
      <c r="CL924" s="3055"/>
      <c r="CM924" s="3055"/>
      <c r="CN924" s="3055"/>
      <c r="CO924" s="3055"/>
      <c r="CP924" s="3055"/>
      <c r="CQ924" s="3055"/>
      <c r="CR924" s="3055"/>
      <c r="CS924" s="3055"/>
      <c r="CU924" s="3054"/>
      <c r="CV924" s="696"/>
      <c r="CW924" s="696"/>
      <c r="CZ924" s="3060">
        <f t="shared" si="17"/>
      </c>
      <c r="DA924" s="3060">
        <f t="shared" si="1"/>
      </c>
      <c r="DB924" s="3060">
        <f t="shared" si="18"/>
      </c>
      <c r="DC924" s="3060">
        <f t="shared" si="19"/>
      </c>
      <c r="DD924" s="3060">
        <f t="shared" si="20"/>
      </c>
      <c r="DE924" s="3060">
        <f t="shared" si="21"/>
      </c>
      <c r="DF924" s="3060">
        <f t="shared" si="22"/>
      </c>
      <c r="DG924" s="3060">
        <f t="shared" si="23"/>
      </c>
      <c r="DH924" s="3060">
        <f t="shared" si="24"/>
      </c>
      <c r="DI924" s="3060">
        <f t="shared" si="1"/>
      </c>
    </row>
    <row r="925" ht="15" customHeight="1" s="3052" customFormat="1">
      <c r="B925" s="3054">
        <f t="shared" si="2"/>
      </c>
      <c r="C925" s="3054"/>
      <c r="D925" s="3054"/>
      <c r="E925" s="3055"/>
      <c r="F925" s="3055"/>
      <c r="G925" s="3055"/>
      <c r="H925" s="3055"/>
      <c r="I925" s="3055"/>
      <c r="J925" s="3055"/>
      <c r="K925" s="3055"/>
      <c r="L925" s="3055"/>
      <c r="M925" s="3055"/>
      <c r="N925" s="3055"/>
      <c r="O925" s="3055"/>
      <c r="P925" s="3055"/>
      <c r="Q925" s="3055"/>
      <c r="R925" s="3055">
        <f t="shared" si="3"/>
        <v>0</v>
      </c>
      <c r="S925" s="3055">
        <f t="shared" si="4"/>
        <v>0</v>
      </c>
      <c r="T925" s="3055">
        <f t="shared" si="5"/>
        <v>0</v>
      </c>
      <c r="U925" s="3055">
        <f t="shared" si="6"/>
        <v>0</v>
      </c>
      <c r="V925" s="3055">
        <f t="shared" si="7"/>
        <v>0</v>
      </c>
      <c r="W925" s="3055">
        <f t="shared" si="8"/>
        <v>0</v>
      </c>
      <c r="X925" s="3055">
        <f t="shared" si="9"/>
        <v>0</v>
      </c>
      <c r="Y925" s="3055">
        <f t="shared" si="10"/>
        <v>0</v>
      </c>
      <c r="Z925" s="3055">
        <f t="shared" si="11"/>
        <v>0</v>
      </c>
      <c r="AA925" s="3055">
        <f t="shared" si="12"/>
        <v>0</v>
      </c>
      <c r="AB925" s="3055">
        <f t="shared" si="13"/>
        <v>0</v>
      </c>
      <c r="AC925" s="3055">
        <f t="shared" si="14"/>
        <v>0</v>
      </c>
      <c r="AD925" s="3056"/>
      <c r="AE925" s="3057">
        <f t="shared" si="0"/>
      </c>
      <c r="AF925" s="3054"/>
      <c r="AG925" s="3054"/>
      <c r="AH925" s="3055"/>
      <c r="AI925" s="3055"/>
      <c r="AJ925" s="3055"/>
      <c r="AK925" s="3055"/>
      <c r="AL925" s="3055"/>
      <c r="AM925" s="3055"/>
      <c r="AN925" s="3055"/>
      <c r="AO925" s="3055"/>
      <c r="AP925" s="3055"/>
      <c r="AQ925" s="3055"/>
      <c r="AR925" s="3055"/>
      <c r="AS925" s="3055"/>
      <c r="AT925" s="3055"/>
      <c r="AU925" s="3056"/>
      <c r="AV925" s="3057">
        <f t="shared" si="15"/>
      </c>
      <c r="AW925" s="3054"/>
      <c r="AX925" s="3054"/>
      <c r="AY925" s="3055"/>
      <c r="AZ925" s="3055"/>
      <c r="BA925" s="3055"/>
      <c r="BB925" s="3055"/>
      <c r="BC925" s="3055"/>
      <c r="BD925" s="3055"/>
      <c r="BE925" s="3055"/>
      <c r="BF925" s="3055"/>
      <c r="BG925" s="3055"/>
      <c r="BH925" s="3055"/>
      <c r="BI925" s="3055"/>
      <c r="BJ925" s="3055"/>
      <c r="BK925" s="3055"/>
      <c r="BL925" s="3056"/>
      <c r="BM925" s="3057">
        <f t="shared" si="16"/>
      </c>
      <c r="BN925" s="3054"/>
      <c r="BO925" s="3054"/>
      <c r="BP925" s="3055"/>
      <c r="BQ925" s="3055"/>
      <c r="BR925" s="3055"/>
      <c r="BS925" s="3055"/>
      <c r="BT925" s="3055"/>
      <c r="BU925" s="3055"/>
      <c r="BV925" s="3055"/>
      <c r="BW925" s="3055"/>
      <c r="BX925" s="3055"/>
      <c r="BY925" s="3055"/>
      <c r="BZ925" s="3055"/>
      <c r="CA925" s="3055"/>
      <c r="CB925" s="3055"/>
      <c r="CC925" s="3056"/>
      <c r="CD925" s="3057">
        <f t="shared" si="0"/>
      </c>
      <c r="CE925" s="3054"/>
      <c r="CF925" s="3054"/>
      <c r="CG925" s="3055"/>
      <c r="CH925" s="3055"/>
      <c r="CI925" s="3055"/>
      <c r="CJ925" s="3055"/>
      <c r="CK925" s="3055"/>
      <c r="CL925" s="3055"/>
      <c r="CM925" s="3055"/>
      <c r="CN925" s="3055"/>
      <c r="CO925" s="3055"/>
      <c r="CP925" s="3055"/>
      <c r="CQ925" s="3055"/>
      <c r="CR925" s="3055"/>
      <c r="CS925" s="3055"/>
      <c r="CU925" s="3054"/>
      <c r="CV925" s="696"/>
      <c r="CW925" s="696"/>
      <c r="CZ925" s="3060">
        <f t="shared" si="17"/>
      </c>
      <c r="DA925" s="3060">
        <f t="shared" si="1"/>
      </c>
      <c r="DB925" s="3060">
        <f t="shared" si="18"/>
      </c>
      <c r="DC925" s="3060">
        <f t="shared" si="19"/>
      </c>
      <c r="DD925" s="3060">
        <f t="shared" si="20"/>
      </c>
      <c r="DE925" s="3060">
        <f t="shared" si="21"/>
      </c>
      <c r="DF925" s="3060">
        <f t="shared" si="22"/>
      </c>
      <c r="DG925" s="3060">
        <f t="shared" si="23"/>
      </c>
      <c r="DH925" s="3060">
        <f t="shared" si="24"/>
      </c>
      <c r="DI925" s="3060">
        <f t="shared" si="1"/>
      </c>
    </row>
    <row r="926" ht="15" customHeight="1" s="3052" customFormat="1">
      <c r="B926" s="3054">
        <f t="shared" si="2"/>
      </c>
      <c r="C926" s="3054"/>
      <c r="D926" s="3054"/>
      <c r="E926" s="3055"/>
      <c r="F926" s="3055"/>
      <c r="G926" s="3055"/>
      <c r="H926" s="3055"/>
      <c r="I926" s="3055"/>
      <c r="J926" s="3055"/>
      <c r="K926" s="3055"/>
      <c r="L926" s="3055"/>
      <c r="M926" s="3055"/>
      <c r="N926" s="3055"/>
      <c r="O926" s="3055"/>
      <c r="P926" s="3055"/>
      <c r="Q926" s="3055"/>
      <c r="R926" s="3055">
        <f t="shared" si="3"/>
        <v>0</v>
      </c>
      <c r="S926" s="3055">
        <f t="shared" si="4"/>
        <v>0</v>
      </c>
      <c r="T926" s="3055">
        <f t="shared" si="5"/>
        <v>0</v>
      </c>
      <c r="U926" s="3055">
        <f t="shared" si="6"/>
        <v>0</v>
      </c>
      <c r="V926" s="3055">
        <f t="shared" si="7"/>
        <v>0</v>
      </c>
      <c r="W926" s="3055">
        <f t="shared" si="8"/>
        <v>0</v>
      </c>
      <c r="X926" s="3055">
        <f t="shared" si="9"/>
        <v>0</v>
      </c>
      <c r="Y926" s="3055">
        <f t="shared" si="10"/>
        <v>0</v>
      </c>
      <c r="Z926" s="3055">
        <f t="shared" si="11"/>
        <v>0</v>
      </c>
      <c r="AA926" s="3055">
        <f t="shared" si="12"/>
        <v>0</v>
      </c>
      <c r="AB926" s="3055">
        <f t="shared" si="13"/>
        <v>0</v>
      </c>
      <c r="AC926" s="3055">
        <f t="shared" si="14"/>
        <v>0</v>
      </c>
      <c r="AD926" s="3056"/>
      <c r="AE926" s="3057">
        <f t="shared" si="0"/>
      </c>
      <c r="AF926" s="3054"/>
      <c r="AG926" s="3054"/>
      <c r="AH926" s="3055"/>
      <c r="AI926" s="3055"/>
      <c r="AJ926" s="3055"/>
      <c r="AK926" s="3055"/>
      <c r="AL926" s="3055"/>
      <c r="AM926" s="3055"/>
      <c r="AN926" s="3055"/>
      <c r="AO926" s="3055"/>
      <c r="AP926" s="3055"/>
      <c r="AQ926" s="3055"/>
      <c r="AR926" s="3055"/>
      <c r="AS926" s="3055"/>
      <c r="AT926" s="3055"/>
      <c r="AU926" s="3056"/>
      <c r="AV926" s="3057">
        <f t="shared" si="15"/>
      </c>
      <c r="AW926" s="3054"/>
      <c r="AX926" s="3054"/>
      <c r="AY926" s="3055"/>
      <c r="AZ926" s="3055"/>
      <c r="BA926" s="3055"/>
      <c r="BB926" s="3055"/>
      <c r="BC926" s="3055"/>
      <c r="BD926" s="3055"/>
      <c r="BE926" s="3055"/>
      <c r="BF926" s="3055"/>
      <c r="BG926" s="3055"/>
      <c r="BH926" s="3055"/>
      <c r="BI926" s="3055"/>
      <c r="BJ926" s="3055"/>
      <c r="BK926" s="3055"/>
      <c r="BL926" s="3056"/>
      <c r="BM926" s="3057">
        <f t="shared" si="16"/>
      </c>
      <c r="BN926" s="3054"/>
      <c r="BO926" s="3054"/>
      <c r="BP926" s="3055"/>
      <c r="BQ926" s="3055"/>
      <c r="BR926" s="3055"/>
      <c r="BS926" s="3055"/>
      <c r="BT926" s="3055"/>
      <c r="BU926" s="3055"/>
      <c r="BV926" s="3055"/>
      <c r="BW926" s="3055"/>
      <c r="BX926" s="3055"/>
      <c r="BY926" s="3055"/>
      <c r="BZ926" s="3055"/>
      <c r="CA926" s="3055"/>
      <c r="CB926" s="3055"/>
      <c r="CC926" s="3056"/>
      <c r="CD926" s="3057">
        <f t="shared" si="0"/>
      </c>
      <c r="CE926" s="3054"/>
      <c r="CF926" s="3054"/>
      <c r="CG926" s="3055"/>
      <c r="CH926" s="3055"/>
      <c r="CI926" s="3055"/>
      <c r="CJ926" s="3055"/>
      <c r="CK926" s="3055"/>
      <c r="CL926" s="3055"/>
      <c r="CM926" s="3055"/>
      <c r="CN926" s="3055"/>
      <c r="CO926" s="3055"/>
      <c r="CP926" s="3055"/>
      <c r="CQ926" s="3055"/>
      <c r="CR926" s="3055"/>
      <c r="CS926" s="3055"/>
      <c r="CU926" s="3054"/>
      <c r="CV926" s="696"/>
      <c r="CW926" s="696"/>
      <c r="CZ926" s="3060">
        <f t="shared" si="17"/>
      </c>
      <c r="DA926" s="3060">
        <f t="shared" si="1"/>
      </c>
      <c r="DB926" s="3060">
        <f t="shared" si="18"/>
      </c>
      <c r="DC926" s="3060">
        <f t="shared" si="19"/>
      </c>
      <c r="DD926" s="3060">
        <f t="shared" si="20"/>
      </c>
      <c r="DE926" s="3060">
        <f t="shared" si="21"/>
      </c>
      <c r="DF926" s="3060">
        <f t="shared" si="22"/>
      </c>
      <c r="DG926" s="3060">
        <f t="shared" si="23"/>
      </c>
      <c r="DH926" s="3060">
        <f t="shared" si="24"/>
      </c>
      <c r="DI926" s="3060">
        <f t="shared" si="1"/>
      </c>
    </row>
    <row r="927" ht="15" customHeight="1" s="3052" customFormat="1">
      <c r="B927" s="3054">
        <f t="shared" si="2"/>
      </c>
      <c r="C927" s="3054"/>
      <c r="D927" s="3054"/>
      <c r="E927" s="3055"/>
      <c r="F927" s="3055"/>
      <c r="G927" s="3055"/>
      <c r="H927" s="3055"/>
      <c r="I927" s="3055"/>
      <c r="J927" s="3055"/>
      <c r="K927" s="3055"/>
      <c r="L927" s="3055"/>
      <c r="M927" s="3055"/>
      <c r="N927" s="3055"/>
      <c r="O927" s="3055"/>
      <c r="P927" s="3055"/>
      <c r="Q927" s="3055"/>
      <c r="R927" s="3055">
        <f t="shared" si="3"/>
        <v>0</v>
      </c>
      <c r="S927" s="3055">
        <f t="shared" si="4"/>
        <v>0</v>
      </c>
      <c r="T927" s="3055">
        <f t="shared" si="5"/>
        <v>0</v>
      </c>
      <c r="U927" s="3055">
        <f t="shared" si="6"/>
        <v>0</v>
      </c>
      <c r="V927" s="3055">
        <f t="shared" si="7"/>
        <v>0</v>
      </c>
      <c r="W927" s="3055">
        <f t="shared" si="8"/>
        <v>0</v>
      </c>
      <c r="X927" s="3055">
        <f t="shared" si="9"/>
        <v>0</v>
      </c>
      <c r="Y927" s="3055">
        <f t="shared" si="10"/>
        <v>0</v>
      </c>
      <c r="Z927" s="3055">
        <f t="shared" si="11"/>
        <v>0</v>
      </c>
      <c r="AA927" s="3055">
        <f t="shared" si="12"/>
        <v>0</v>
      </c>
      <c r="AB927" s="3055">
        <f t="shared" si="13"/>
        <v>0</v>
      </c>
      <c r="AC927" s="3055">
        <f t="shared" si="14"/>
        <v>0</v>
      </c>
      <c r="AD927" s="3056"/>
      <c r="AE927" s="3057">
        <f t="shared" si="0"/>
      </c>
      <c r="AF927" s="3054"/>
      <c r="AG927" s="3054"/>
      <c r="AH927" s="3055"/>
      <c r="AI927" s="3055"/>
      <c r="AJ927" s="3055"/>
      <c r="AK927" s="3055"/>
      <c r="AL927" s="3055"/>
      <c r="AM927" s="3055"/>
      <c r="AN927" s="3055"/>
      <c r="AO927" s="3055"/>
      <c r="AP927" s="3055"/>
      <c r="AQ927" s="3055"/>
      <c r="AR927" s="3055"/>
      <c r="AS927" s="3055"/>
      <c r="AT927" s="3055"/>
      <c r="AU927" s="3056"/>
      <c r="AV927" s="3057">
        <f t="shared" si="15"/>
      </c>
      <c r="AW927" s="3054"/>
      <c r="AX927" s="3054"/>
      <c r="AY927" s="3055"/>
      <c r="AZ927" s="3055"/>
      <c r="BA927" s="3055"/>
      <c r="BB927" s="3055"/>
      <c r="BC927" s="3055"/>
      <c r="BD927" s="3055"/>
      <c r="BE927" s="3055"/>
      <c r="BF927" s="3055"/>
      <c r="BG927" s="3055"/>
      <c r="BH927" s="3055"/>
      <c r="BI927" s="3055"/>
      <c r="BJ927" s="3055"/>
      <c r="BK927" s="3055"/>
      <c r="BL927" s="3056"/>
      <c r="BM927" s="3057">
        <f t="shared" si="16"/>
      </c>
      <c r="BN927" s="3054"/>
      <c r="BO927" s="3054"/>
      <c r="BP927" s="3055"/>
      <c r="BQ927" s="3055"/>
      <c r="BR927" s="3055"/>
      <c r="BS927" s="3055"/>
      <c r="BT927" s="3055"/>
      <c r="BU927" s="3055"/>
      <c r="BV927" s="3055"/>
      <c r="BW927" s="3055"/>
      <c r="BX927" s="3055"/>
      <c r="BY927" s="3055"/>
      <c r="BZ927" s="3055"/>
      <c r="CA927" s="3055"/>
      <c r="CB927" s="3055"/>
      <c r="CC927" s="3056"/>
      <c r="CD927" s="3057">
        <f t="shared" si="0"/>
      </c>
      <c r="CE927" s="3054"/>
      <c r="CF927" s="3054"/>
      <c r="CG927" s="3055"/>
      <c r="CH927" s="3055"/>
      <c r="CI927" s="3055"/>
      <c r="CJ927" s="3055"/>
      <c r="CK927" s="3055"/>
      <c r="CL927" s="3055"/>
      <c r="CM927" s="3055"/>
      <c r="CN927" s="3055"/>
      <c r="CO927" s="3055"/>
      <c r="CP927" s="3055"/>
      <c r="CQ927" s="3055"/>
      <c r="CR927" s="3055"/>
      <c r="CS927" s="3055"/>
      <c r="CU927" s="3054"/>
      <c r="CV927" s="696"/>
      <c r="CW927" s="696"/>
      <c r="CZ927" s="3060">
        <f t="shared" si="17"/>
      </c>
      <c r="DA927" s="3060">
        <f t="shared" si="1"/>
      </c>
      <c r="DB927" s="3060">
        <f t="shared" si="18"/>
      </c>
      <c r="DC927" s="3060">
        <f t="shared" si="19"/>
      </c>
      <c r="DD927" s="3060">
        <f t="shared" si="20"/>
      </c>
      <c r="DE927" s="3060">
        <f t="shared" si="21"/>
      </c>
      <c r="DF927" s="3060">
        <f t="shared" si="22"/>
      </c>
      <c r="DG927" s="3060">
        <f t="shared" si="23"/>
      </c>
      <c r="DH927" s="3060">
        <f t="shared" si="24"/>
      </c>
      <c r="DI927" s="3060">
        <f t="shared" si="1"/>
      </c>
    </row>
    <row r="928" ht="15" customHeight="1" s="3052" customFormat="1">
      <c r="B928" s="3054">
        <f t="shared" si="2"/>
      </c>
      <c r="C928" s="3054"/>
      <c r="D928" s="3054"/>
      <c r="E928" s="3055"/>
      <c r="F928" s="3055"/>
      <c r="G928" s="3055"/>
      <c r="H928" s="3055"/>
      <c r="I928" s="3055"/>
      <c r="J928" s="3055"/>
      <c r="K928" s="3055"/>
      <c r="L928" s="3055"/>
      <c r="M928" s="3055"/>
      <c r="N928" s="3055"/>
      <c r="O928" s="3055"/>
      <c r="P928" s="3055"/>
      <c r="Q928" s="3055"/>
      <c r="R928" s="3055">
        <f t="shared" si="3"/>
        <v>0</v>
      </c>
      <c r="S928" s="3055">
        <f t="shared" si="4"/>
        <v>0</v>
      </c>
      <c r="T928" s="3055">
        <f t="shared" si="5"/>
        <v>0</v>
      </c>
      <c r="U928" s="3055">
        <f t="shared" si="6"/>
        <v>0</v>
      </c>
      <c r="V928" s="3055">
        <f t="shared" si="7"/>
        <v>0</v>
      </c>
      <c r="W928" s="3055">
        <f t="shared" si="8"/>
        <v>0</v>
      </c>
      <c r="X928" s="3055">
        <f t="shared" si="9"/>
        <v>0</v>
      </c>
      <c r="Y928" s="3055">
        <f t="shared" si="10"/>
        <v>0</v>
      </c>
      <c r="Z928" s="3055">
        <f t="shared" si="11"/>
        <v>0</v>
      </c>
      <c r="AA928" s="3055">
        <f t="shared" si="12"/>
        <v>0</v>
      </c>
      <c r="AB928" s="3055">
        <f t="shared" si="13"/>
        <v>0</v>
      </c>
      <c r="AC928" s="3055">
        <f t="shared" si="14"/>
        <v>0</v>
      </c>
      <c r="AD928" s="3056"/>
      <c r="AE928" s="3057">
        <f t="shared" si="0"/>
      </c>
      <c r="AF928" s="3054"/>
      <c r="AG928" s="3054"/>
      <c r="AH928" s="3055"/>
      <c r="AI928" s="3055"/>
      <c r="AJ928" s="3055"/>
      <c r="AK928" s="3055"/>
      <c r="AL928" s="3055"/>
      <c r="AM928" s="3055"/>
      <c r="AN928" s="3055"/>
      <c r="AO928" s="3055"/>
      <c r="AP928" s="3055"/>
      <c r="AQ928" s="3055"/>
      <c r="AR928" s="3055"/>
      <c r="AS928" s="3055"/>
      <c r="AT928" s="3055"/>
      <c r="AU928" s="3056"/>
      <c r="AV928" s="3057">
        <f t="shared" si="15"/>
      </c>
      <c r="AW928" s="3054"/>
      <c r="AX928" s="3054"/>
      <c r="AY928" s="3055"/>
      <c r="AZ928" s="3055"/>
      <c r="BA928" s="3055"/>
      <c r="BB928" s="3055"/>
      <c r="BC928" s="3055"/>
      <c r="BD928" s="3055"/>
      <c r="BE928" s="3055"/>
      <c r="BF928" s="3055"/>
      <c r="BG928" s="3055"/>
      <c r="BH928" s="3055"/>
      <c r="BI928" s="3055"/>
      <c r="BJ928" s="3055"/>
      <c r="BK928" s="3055"/>
      <c r="BL928" s="3056"/>
      <c r="BM928" s="3057">
        <f t="shared" si="16"/>
      </c>
      <c r="BN928" s="3054"/>
      <c r="BO928" s="3054"/>
      <c r="BP928" s="3055"/>
      <c r="BQ928" s="3055"/>
      <c r="BR928" s="3055"/>
      <c r="BS928" s="3055"/>
      <c r="BT928" s="3055"/>
      <c r="BU928" s="3055"/>
      <c r="BV928" s="3055"/>
      <c r="BW928" s="3055"/>
      <c r="BX928" s="3055"/>
      <c r="BY928" s="3055"/>
      <c r="BZ928" s="3055"/>
      <c r="CA928" s="3055"/>
      <c r="CB928" s="3055"/>
      <c r="CC928" s="3056"/>
      <c r="CD928" s="3057">
        <f t="shared" si="0"/>
      </c>
      <c r="CE928" s="3054"/>
      <c r="CF928" s="3054"/>
      <c r="CG928" s="3055"/>
      <c r="CH928" s="3055"/>
      <c r="CI928" s="3055"/>
      <c r="CJ928" s="3055"/>
      <c r="CK928" s="3055"/>
      <c r="CL928" s="3055"/>
      <c r="CM928" s="3055"/>
      <c r="CN928" s="3055"/>
      <c r="CO928" s="3055"/>
      <c r="CP928" s="3055"/>
      <c r="CQ928" s="3055"/>
      <c r="CR928" s="3055"/>
      <c r="CS928" s="3055"/>
      <c r="CU928" s="3054"/>
      <c r="CV928" s="696"/>
      <c r="CW928" s="696"/>
      <c r="CZ928" s="3060">
        <f t="shared" si="17"/>
      </c>
      <c r="DA928" s="3060">
        <f t="shared" si="1"/>
      </c>
      <c r="DB928" s="3060">
        <f t="shared" si="18"/>
      </c>
      <c r="DC928" s="3060">
        <f t="shared" si="19"/>
      </c>
      <c r="DD928" s="3060">
        <f t="shared" si="20"/>
      </c>
      <c r="DE928" s="3060">
        <f t="shared" si="21"/>
      </c>
      <c r="DF928" s="3060">
        <f t="shared" si="22"/>
      </c>
      <c r="DG928" s="3060">
        <f t="shared" si="23"/>
      </c>
      <c r="DH928" s="3060">
        <f t="shared" si="24"/>
      </c>
      <c r="DI928" s="3060">
        <f t="shared" si="1"/>
      </c>
    </row>
    <row r="929" ht="15" customHeight="1" s="3052" customFormat="1">
      <c r="B929" s="3054">
        <f t="shared" si="2"/>
      </c>
      <c r="C929" s="3054"/>
      <c r="D929" s="3054"/>
      <c r="E929" s="3055"/>
      <c r="F929" s="3055"/>
      <c r="G929" s="3055"/>
      <c r="H929" s="3055"/>
      <c r="I929" s="3055"/>
      <c r="J929" s="3055"/>
      <c r="K929" s="3055"/>
      <c r="L929" s="3055"/>
      <c r="M929" s="3055"/>
      <c r="N929" s="3055"/>
      <c r="O929" s="3055"/>
      <c r="P929" s="3055"/>
      <c r="Q929" s="3055"/>
      <c r="R929" s="3055">
        <f t="shared" si="3"/>
        <v>0</v>
      </c>
      <c r="S929" s="3055">
        <f t="shared" si="4"/>
        <v>0</v>
      </c>
      <c r="T929" s="3055">
        <f t="shared" si="5"/>
        <v>0</v>
      </c>
      <c r="U929" s="3055">
        <f t="shared" si="6"/>
        <v>0</v>
      </c>
      <c r="V929" s="3055">
        <f t="shared" si="7"/>
        <v>0</v>
      </c>
      <c r="W929" s="3055">
        <f t="shared" si="8"/>
        <v>0</v>
      </c>
      <c r="X929" s="3055">
        <f t="shared" si="9"/>
        <v>0</v>
      </c>
      <c r="Y929" s="3055">
        <f t="shared" si="10"/>
        <v>0</v>
      </c>
      <c r="Z929" s="3055">
        <f t="shared" si="11"/>
        <v>0</v>
      </c>
      <c r="AA929" s="3055">
        <f t="shared" si="12"/>
        <v>0</v>
      </c>
      <c r="AB929" s="3055">
        <f t="shared" si="13"/>
        <v>0</v>
      </c>
      <c r="AC929" s="3055">
        <f t="shared" si="14"/>
        <v>0</v>
      </c>
      <c r="AD929" s="3056"/>
      <c r="AE929" s="3057">
        <f t="shared" si="0"/>
      </c>
      <c r="AF929" s="3054"/>
      <c r="AG929" s="3054"/>
      <c r="AH929" s="3055"/>
      <c r="AI929" s="3055"/>
      <c r="AJ929" s="3055"/>
      <c r="AK929" s="3055"/>
      <c r="AL929" s="3055"/>
      <c r="AM929" s="3055"/>
      <c r="AN929" s="3055"/>
      <c r="AO929" s="3055"/>
      <c r="AP929" s="3055"/>
      <c r="AQ929" s="3055"/>
      <c r="AR929" s="3055"/>
      <c r="AS929" s="3055"/>
      <c r="AT929" s="3055"/>
      <c r="AU929" s="3056"/>
      <c r="AV929" s="3057">
        <f t="shared" si="15"/>
      </c>
      <c r="AW929" s="3054"/>
      <c r="AX929" s="3054"/>
      <c r="AY929" s="3055"/>
      <c r="AZ929" s="3055"/>
      <c r="BA929" s="3055"/>
      <c r="BB929" s="3055"/>
      <c r="BC929" s="3055"/>
      <c r="BD929" s="3055"/>
      <c r="BE929" s="3055"/>
      <c r="BF929" s="3055"/>
      <c r="BG929" s="3055"/>
      <c r="BH929" s="3055"/>
      <c r="BI929" s="3055"/>
      <c r="BJ929" s="3055"/>
      <c r="BK929" s="3055"/>
      <c r="BL929" s="3056"/>
      <c r="BM929" s="3057">
        <f t="shared" si="16"/>
      </c>
      <c r="BN929" s="3054"/>
      <c r="BO929" s="3054"/>
      <c r="BP929" s="3055"/>
      <c r="BQ929" s="3055"/>
      <c r="BR929" s="3055"/>
      <c r="BS929" s="3055"/>
      <c r="BT929" s="3055"/>
      <c r="BU929" s="3055"/>
      <c r="BV929" s="3055"/>
      <c r="BW929" s="3055"/>
      <c r="BX929" s="3055"/>
      <c r="BY929" s="3055"/>
      <c r="BZ929" s="3055"/>
      <c r="CA929" s="3055"/>
      <c r="CB929" s="3055"/>
      <c r="CC929" s="3056"/>
      <c r="CD929" s="3057">
        <f t="shared" si="0"/>
      </c>
      <c r="CE929" s="3054"/>
      <c r="CF929" s="3054"/>
      <c r="CG929" s="3055"/>
      <c r="CH929" s="3055"/>
      <c r="CI929" s="3055"/>
      <c r="CJ929" s="3055"/>
      <c r="CK929" s="3055"/>
      <c r="CL929" s="3055"/>
      <c r="CM929" s="3055"/>
      <c r="CN929" s="3055"/>
      <c r="CO929" s="3055"/>
      <c r="CP929" s="3055"/>
      <c r="CQ929" s="3055"/>
      <c r="CR929" s="3055"/>
      <c r="CS929" s="3055"/>
      <c r="CU929" s="3054"/>
      <c r="CV929" s="696"/>
      <c r="CW929" s="696"/>
      <c r="CZ929" s="3060">
        <f t="shared" si="17"/>
      </c>
      <c r="DA929" s="3060">
        <f t="shared" si="1"/>
      </c>
      <c r="DB929" s="3060">
        <f t="shared" si="18"/>
      </c>
      <c r="DC929" s="3060">
        <f t="shared" si="19"/>
      </c>
      <c r="DD929" s="3060">
        <f t="shared" si="20"/>
      </c>
      <c r="DE929" s="3060">
        <f t="shared" si="21"/>
      </c>
      <c r="DF929" s="3060">
        <f t="shared" si="22"/>
      </c>
      <c r="DG929" s="3060">
        <f t="shared" si="23"/>
      </c>
      <c r="DH929" s="3060">
        <f t="shared" si="24"/>
      </c>
      <c r="DI929" s="3060">
        <f t="shared" si="1"/>
      </c>
    </row>
    <row r="930" ht="15" customHeight="1" s="3052" customFormat="1">
      <c r="B930" s="3054">
        <f t="shared" si="2"/>
      </c>
      <c r="C930" s="3054"/>
      <c r="D930" s="3054"/>
      <c r="E930" s="3055"/>
      <c r="F930" s="3055"/>
      <c r="G930" s="3055"/>
      <c r="H930" s="3055"/>
      <c r="I930" s="3055"/>
      <c r="J930" s="3055"/>
      <c r="K930" s="3055"/>
      <c r="L930" s="3055"/>
      <c r="M930" s="3055"/>
      <c r="N930" s="3055"/>
      <c r="O930" s="3055"/>
      <c r="P930" s="3055"/>
      <c r="Q930" s="3055"/>
      <c r="R930" s="3055">
        <f t="shared" si="3"/>
        <v>0</v>
      </c>
      <c r="S930" s="3055">
        <f t="shared" si="4"/>
        <v>0</v>
      </c>
      <c r="T930" s="3055">
        <f t="shared" si="5"/>
        <v>0</v>
      </c>
      <c r="U930" s="3055">
        <f t="shared" si="6"/>
        <v>0</v>
      </c>
      <c r="V930" s="3055">
        <f t="shared" si="7"/>
        <v>0</v>
      </c>
      <c r="W930" s="3055">
        <f t="shared" si="8"/>
        <v>0</v>
      </c>
      <c r="X930" s="3055">
        <f t="shared" si="9"/>
        <v>0</v>
      </c>
      <c r="Y930" s="3055">
        <f t="shared" si="10"/>
        <v>0</v>
      </c>
      <c r="Z930" s="3055">
        <f t="shared" si="11"/>
        <v>0</v>
      </c>
      <c r="AA930" s="3055">
        <f t="shared" si="12"/>
        <v>0</v>
      </c>
      <c r="AB930" s="3055">
        <f t="shared" si="13"/>
        <v>0</v>
      </c>
      <c r="AC930" s="3055">
        <f t="shared" si="14"/>
        <v>0</v>
      </c>
      <c r="AD930" s="3056"/>
      <c r="AE930" s="3057">
        <f t="shared" si="0"/>
      </c>
      <c r="AF930" s="3054"/>
      <c r="AG930" s="3054"/>
      <c r="AH930" s="3055"/>
      <c r="AI930" s="3055"/>
      <c r="AJ930" s="3055"/>
      <c r="AK930" s="3055"/>
      <c r="AL930" s="3055"/>
      <c r="AM930" s="3055"/>
      <c r="AN930" s="3055"/>
      <c r="AO930" s="3055"/>
      <c r="AP930" s="3055"/>
      <c r="AQ930" s="3055"/>
      <c r="AR930" s="3055"/>
      <c r="AS930" s="3055"/>
      <c r="AT930" s="3055"/>
      <c r="AU930" s="3056"/>
      <c r="AV930" s="3057">
        <f t="shared" si="15"/>
      </c>
      <c r="AW930" s="3054"/>
      <c r="AX930" s="3054"/>
      <c r="AY930" s="3055"/>
      <c r="AZ930" s="3055"/>
      <c r="BA930" s="3055"/>
      <c r="BB930" s="3055"/>
      <c r="BC930" s="3055"/>
      <c r="BD930" s="3055"/>
      <c r="BE930" s="3055"/>
      <c r="BF930" s="3055"/>
      <c r="BG930" s="3055"/>
      <c r="BH930" s="3055"/>
      <c r="BI930" s="3055"/>
      <c r="BJ930" s="3055"/>
      <c r="BK930" s="3055"/>
      <c r="BL930" s="3056"/>
      <c r="BM930" s="3057">
        <f t="shared" si="16"/>
      </c>
      <c r="BN930" s="3054"/>
      <c r="BO930" s="3054"/>
      <c r="BP930" s="3055"/>
      <c r="BQ930" s="3055"/>
      <c r="BR930" s="3055"/>
      <c r="BS930" s="3055"/>
      <c r="BT930" s="3055"/>
      <c r="BU930" s="3055"/>
      <c r="BV930" s="3055"/>
      <c r="BW930" s="3055"/>
      <c r="BX930" s="3055"/>
      <c r="BY930" s="3055"/>
      <c r="BZ930" s="3055"/>
      <c r="CA930" s="3055"/>
      <c r="CB930" s="3055"/>
      <c r="CC930" s="3056"/>
      <c r="CD930" s="3057">
        <f t="shared" si="0"/>
      </c>
      <c r="CE930" s="3054"/>
      <c r="CF930" s="3054"/>
      <c r="CG930" s="3055"/>
      <c r="CH930" s="3055"/>
      <c r="CI930" s="3055"/>
      <c r="CJ930" s="3055"/>
      <c r="CK930" s="3055"/>
      <c r="CL930" s="3055"/>
      <c r="CM930" s="3055"/>
      <c r="CN930" s="3055"/>
      <c r="CO930" s="3055"/>
      <c r="CP930" s="3055"/>
      <c r="CQ930" s="3055"/>
      <c r="CR930" s="3055"/>
      <c r="CS930" s="3055"/>
      <c r="CU930" s="3054"/>
      <c r="CV930" s="696"/>
      <c r="CW930" s="696"/>
      <c r="CZ930" s="3060">
        <f t="shared" si="17"/>
      </c>
      <c r="DA930" s="3060">
        <f t="shared" si="1"/>
      </c>
      <c r="DB930" s="3060">
        <f t="shared" si="18"/>
      </c>
      <c r="DC930" s="3060">
        <f t="shared" si="19"/>
      </c>
      <c r="DD930" s="3060">
        <f t="shared" si="20"/>
      </c>
      <c r="DE930" s="3060">
        <f t="shared" si="21"/>
      </c>
      <c r="DF930" s="3060">
        <f t="shared" si="22"/>
      </c>
      <c r="DG930" s="3060">
        <f t="shared" si="23"/>
      </c>
      <c r="DH930" s="3060">
        <f t="shared" si="24"/>
      </c>
      <c r="DI930" s="3060">
        <f t="shared" si="1"/>
      </c>
    </row>
    <row r="931" ht="15" customHeight="1" s="3052" customFormat="1">
      <c r="B931" s="3054">
        <f t="shared" si="2"/>
      </c>
      <c r="C931" s="3054"/>
      <c r="D931" s="3054"/>
      <c r="E931" s="3055"/>
      <c r="F931" s="3055"/>
      <c r="G931" s="3055"/>
      <c r="H931" s="3055"/>
      <c r="I931" s="3055"/>
      <c r="J931" s="3055"/>
      <c r="K931" s="3055"/>
      <c r="L931" s="3055"/>
      <c r="M931" s="3055"/>
      <c r="N931" s="3055"/>
      <c r="O931" s="3055"/>
      <c r="P931" s="3055"/>
      <c r="Q931" s="3055"/>
      <c r="R931" s="3055">
        <f t="shared" si="3"/>
        <v>0</v>
      </c>
      <c r="S931" s="3055">
        <f t="shared" si="4"/>
        <v>0</v>
      </c>
      <c r="T931" s="3055">
        <f t="shared" si="5"/>
        <v>0</v>
      </c>
      <c r="U931" s="3055">
        <f t="shared" si="6"/>
        <v>0</v>
      </c>
      <c r="V931" s="3055">
        <f t="shared" si="7"/>
        <v>0</v>
      </c>
      <c r="W931" s="3055">
        <f t="shared" si="8"/>
        <v>0</v>
      </c>
      <c r="X931" s="3055">
        <f t="shared" si="9"/>
        <v>0</v>
      </c>
      <c r="Y931" s="3055">
        <f t="shared" si="10"/>
        <v>0</v>
      </c>
      <c r="Z931" s="3055">
        <f t="shared" si="11"/>
        <v>0</v>
      </c>
      <c r="AA931" s="3055">
        <f t="shared" si="12"/>
        <v>0</v>
      </c>
      <c r="AB931" s="3055">
        <f t="shared" si="13"/>
        <v>0</v>
      </c>
      <c r="AC931" s="3055">
        <f t="shared" si="14"/>
        <v>0</v>
      </c>
      <c r="AD931" s="3056"/>
      <c r="AE931" s="3057">
        <f t="shared" si="0"/>
      </c>
      <c r="AF931" s="3054"/>
      <c r="AG931" s="3054"/>
      <c r="AH931" s="3055"/>
      <c r="AI931" s="3055"/>
      <c r="AJ931" s="3055"/>
      <c r="AK931" s="3055"/>
      <c r="AL931" s="3055"/>
      <c r="AM931" s="3055"/>
      <c r="AN931" s="3055"/>
      <c r="AO931" s="3055"/>
      <c r="AP931" s="3055"/>
      <c r="AQ931" s="3055"/>
      <c r="AR931" s="3055"/>
      <c r="AS931" s="3055"/>
      <c r="AT931" s="3055"/>
      <c r="AU931" s="3056"/>
      <c r="AV931" s="3057">
        <f t="shared" si="15"/>
      </c>
      <c r="AW931" s="3054"/>
      <c r="AX931" s="3054"/>
      <c r="AY931" s="3055"/>
      <c r="AZ931" s="3055"/>
      <c r="BA931" s="3055"/>
      <c r="BB931" s="3055"/>
      <c r="BC931" s="3055"/>
      <c r="BD931" s="3055"/>
      <c r="BE931" s="3055"/>
      <c r="BF931" s="3055"/>
      <c r="BG931" s="3055"/>
      <c r="BH931" s="3055"/>
      <c r="BI931" s="3055"/>
      <c r="BJ931" s="3055"/>
      <c r="BK931" s="3055"/>
      <c r="BL931" s="3056"/>
      <c r="BM931" s="3057">
        <f t="shared" si="16"/>
      </c>
      <c r="BN931" s="3054"/>
      <c r="BO931" s="3054"/>
      <c r="BP931" s="3055"/>
      <c r="BQ931" s="3055"/>
      <c r="BR931" s="3055"/>
      <c r="BS931" s="3055"/>
      <c r="BT931" s="3055"/>
      <c r="BU931" s="3055"/>
      <c r="BV931" s="3055"/>
      <c r="BW931" s="3055"/>
      <c r="BX931" s="3055"/>
      <c r="BY931" s="3055"/>
      <c r="BZ931" s="3055"/>
      <c r="CA931" s="3055"/>
      <c r="CB931" s="3055"/>
      <c r="CC931" s="3056"/>
      <c r="CD931" s="3057">
        <f t="shared" si="0"/>
      </c>
      <c r="CE931" s="3054"/>
      <c r="CF931" s="3054"/>
      <c r="CG931" s="3055"/>
      <c r="CH931" s="3055"/>
      <c r="CI931" s="3055"/>
      <c r="CJ931" s="3055"/>
      <c r="CK931" s="3055"/>
      <c r="CL931" s="3055"/>
      <c r="CM931" s="3055"/>
      <c r="CN931" s="3055"/>
      <c r="CO931" s="3055"/>
      <c r="CP931" s="3055"/>
      <c r="CQ931" s="3055"/>
      <c r="CR931" s="3055"/>
      <c r="CS931" s="3055"/>
      <c r="CU931" s="3054"/>
      <c r="CV931" s="696"/>
      <c r="CW931" s="696"/>
      <c r="CZ931" s="3060">
        <f t="shared" si="17"/>
      </c>
      <c r="DA931" s="3060">
        <f t="shared" si="1"/>
      </c>
      <c r="DB931" s="3060">
        <f t="shared" si="18"/>
      </c>
      <c r="DC931" s="3060">
        <f t="shared" si="19"/>
      </c>
      <c r="DD931" s="3060">
        <f t="shared" si="20"/>
      </c>
      <c r="DE931" s="3060">
        <f t="shared" si="21"/>
      </c>
      <c r="DF931" s="3060">
        <f t="shared" si="22"/>
      </c>
      <c r="DG931" s="3060">
        <f t="shared" si="23"/>
      </c>
      <c r="DH931" s="3060">
        <f t="shared" si="24"/>
      </c>
      <c r="DI931" s="3060">
        <f t="shared" si="1"/>
      </c>
    </row>
    <row r="932" ht="15" customHeight="1" s="3052" customFormat="1">
      <c r="B932" s="3054">
        <f t="shared" si="2"/>
      </c>
      <c r="C932" s="3054"/>
      <c r="D932" s="3054"/>
      <c r="E932" s="3055"/>
      <c r="F932" s="3055"/>
      <c r="G932" s="3055"/>
      <c r="H932" s="3055"/>
      <c r="I932" s="3055"/>
      <c r="J932" s="3055"/>
      <c r="K932" s="3055"/>
      <c r="L932" s="3055"/>
      <c r="M932" s="3055"/>
      <c r="N932" s="3055"/>
      <c r="O932" s="3055"/>
      <c r="P932" s="3055"/>
      <c r="Q932" s="3055"/>
      <c r="R932" s="3055">
        <f t="shared" si="3"/>
        <v>0</v>
      </c>
      <c r="S932" s="3055">
        <f t="shared" si="4"/>
        <v>0</v>
      </c>
      <c r="T932" s="3055">
        <f t="shared" si="5"/>
        <v>0</v>
      </c>
      <c r="U932" s="3055">
        <f t="shared" si="6"/>
        <v>0</v>
      </c>
      <c r="V932" s="3055">
        <f t="shared" si="7"/>
        <v>0</v>
      </c>
      <c r="W932" s="3055">
        <f t="shared" si="8"/>
        <v>0</v>
      </c>
      <c r="X932" s="3055">
        <f t="shared" si="9"/>
        <v>0</v>
      </c>
      <c r="Y932" s="3055">
        <f t="shared" si="10"/>
        <v>0</v>
      </c>
      <c r="Z932" s="3055">
        <f t="shared" si="11"/>
        <v>0</v>
      </c>
      <c r="AA932" s="3055">
        <f t="shared" si="12"/>
        <v>0</v>
      </c>
      <c r="AB932" s="3055">
        <f t="shared" si="13"/>
        <v>0</v>
      </c>
      <c r="AC932" s="3055">
        <f t="shared" si="14"/>
        <v>0</v>
      </c>
      <c r="AD932" s="3056"/>
      <c r="AE932" s="3057">
        <f t="shared" si="0"/>
      </c>
      <c r="AF932" s="3054"/>
      <c r="AG932" s="3054"/>
      <c r="AH932" s="3055"/>
      <c r="AI932" s="3055"/>
      <c r="AJ932" s="3055"/>
      <c r="AK932" s="3055"/>
      <c r="AL932" s="3055"/>
      <c r="AM932" s="3055"/>
      <c r="AN932" s="3055"/>
      <c r="AO932" s="3055"/>
      <c r="AP932" s="3055"/>
      <c r="AQ932" s="3055"/>
      <c r="AR932" s="3055"/>
      <c r="AS932" s="3055"/>
      <c r="AT932" s="3055"/>
      <c r="AU932" s="3056"/>
      <c r="AV932" s="3057">
        <f t="shared" si="15"/>
      </c>
      <c r="AW932" s="3054"/>
      <c r="AX932" s="3054"/>
      <c r="AY932" s="3055"/>
      <c r="AZ932" s="3055"/>
      <c r="BA932" s="3055"/>
      <c r="BB932" s="3055"/>
      <c r="BC932" s="3055"/>
      <c r="BD932" s="3055"/>
      <c r="BE932" s="3055"/>
      <c r="BF932" s="3055"/>
      <c r="BG932" s="3055"/>
      <c r="BH932" s="3055"/>
      <c r="BI932" s="3055"/>
      <c r="BJ932" s="3055"/>
      <c r="BK932" s="3055"/>
      <c r="BL932" s="3056"/>
      <c r="BM932" s="3057">
        <f t="shared" si="16"/>
      </c>
      <c r="BN932" s="3054"/>
      <c r="BO932" s="3054"/>
      <c r="BP932" s="3055"/>
      <c r="BQ932" s="3055"/>
      <c r="BR932" s="3055"/>
      <c r="BS932" s="3055"/>
      <c r="BT932" s="3055"/>
      <c r="BU932" s="3055"/>
      <c r="BV932" s="3055"/>
      <c r="BW932" s="3055"/>
      <c r="BX932" s="3055"/>
      <c r="BY932" s="3055"/>
      <c r="BZ932" s="3055"/>
      <c r="CA932" s="3055"/>
      <c r="CB932" s="3055"/>
      <c r="CC932" s="3056"/>
      <c r="CD932" s="3057">
        <f t="shared" si="0"/>
      </c>
      <c r="CE932" s="3054"/>
      <c r="CF932" s="3054"/>
      <c r="CG932" s="3055"/>
      <c r="CH932" s="3055"/>
      <c r="CI932" s="3055"/>
      <c r="CJ932" s="3055"/>
      <c r="CK932" s="3055"/>
      <c r="CL932" s="3055"/>
      <c r="CM932" s="3055"/>
      <c r="CN932" s="3055"/>
      <c r="CO932" s="3055"/>
      <c r="CP932" s="3055"/>
      <c r="CQ932" s="3055"/>
      <c r="CR932" s="3055"/>
      <c r="CS932" s="3055"/>
      <c r="CU932" s="3054"/>
      <c r="CV932" s="696"/>
      <c r="CW932" s="696"/>
      <c r="CZ932" s="3060">
        <f t="shared" si="17"/>
      </c>
      <c r="DA932" s="3060">
        <f t="shared" si="1"/>
      </c>
      <c r="DB932" s="3060">
        <f t="shared" si="18"/>
      </c>
      <c r="DC932" s="3060">
        <f t="shared" si="19"/>
      </c>
      <c r="DD932" s="3060">
        <f t="shared" si="20"/>
      </c>
      <c r="DE932" s="3060">
        <f t="shared" si="21"/>
      </c>
      <c r="DF932" s="3060">
        <f t="shared" si="22"/>
      </c>
      <c r="DG932" s="3060">
        <f t="shared" si="23"/>
      </c>
      <c r="DH932" s="3060">
        <f t="shared" si="24"/>
      </c>
      <c r="DI932" s="3060">
        <f t="shared" si="1"/>
      </c>
    </row>
    <row r="933" ht="15" customHeight="1" s="3052" customFormat="1">
      <c r="B933" s="3054">
        <f t="shared" si="2"/>
      </c>
      <c r="C933" s="3054"/>
      <c r="D933" s="3054"/>
      <c r="E933" s="3055"/>
      <c r="F933" s="3055"/>
      <c r="G933" s="3055"/>
      <c r="H933" s="3055"/>
      <c r="I933" s="3055"/>
      <c r="J933" s="3055"/>
      <c r="K933" s="3055"/>
      <c r="L933" s="3055"/>
      <c r="M933" s="3055"/>
      <c r="N933" s="3055"/>
      <c r="O933" s="3055"/>
      <c r="P933" s="3055"/>
      <c r="Q933" s="3055"/>
      <c r="R933" s="3055">
        <f t="shared" si="3"/>
        <v>0</v>
      </c>
      <c r="S933" s="3055">
        <f t="shared" si="4"/>
        <v>0</v>
      </c>
      <c r="T933" s="3055">
        <f t="shared" si="5"/>
        <v>0</v>
      </c>
      <c r="U933" s="3055">
        <f t="shared" si="6"/>
        <v>0</v>
      </c>
      <c r="V933" s="3055">
        <f t="shared" si="7"/>
        <v>0</v>
      </c>
      <c r="W933" s="3055">
        <f t="shared" si="8"/>
        <v>0</v>
      </c>
      <c r="X933" s="3055">
        <f t="shared" si="9"/>
        <v>0</v>
      </c>
      <c r="Y933" s="3055">
        <f t="shared" si="10"/>
        <v>0</v>
      </c>
      <c r="Z933" s="3055">
        <f t="shared" si="11"/>
        <v>0</v>
      </c>
      <c r="AA933" s="3055">
        <f t="shared" si="12"/>
        <v>0</v>
      </c>
      <c r="AB933" s="3055">
        <f t="shared" si="13"/>
        <v>0</v>
      </c>
      <c r="AC933" s="3055">
        <f t="shared" si="14"/>
        <v>0</v>
      </c>
      <c r="AD933" s="3056"/>
      <c r="AE933" s="3057">
        <f t="shared" si="0"/>
      </c>
      <c r="AF933" s="3054"/>
      <c r="AG933" s="3054"/>
      <c r="AH933" s="3055"/>
      <c r="AI933" s="3055"/>
      <c r="AJ933" s="3055"/>
      <c r="AK933" s="3055"/>
      <c r="AL933" s="3055"/>
      <c r="AM933" s="3055"/>
      <c r="AN933" s="3055"/>
      <c r="AO933" s="3055"/>
      <c r="AP933" s="3055"/>
      <c r="AQ933" s="3055"/>
      <c r="AR933" s="3055"/>
      <c r="AS933" s="3055"/>
      <c r="AT933" s="3055"/>
      <c r="AU933" s="3056"/>
      <c r="AV933" s="3057">
        <f t="shared" si="15"/>
      </c>
      <c r="AW933" s="3054"/>
      <c r="AX933" s="3054"/>
      <c r="AY933" s="3055"/>
      <c r="AZ933" s="3055"/>
      <c r="BA933" s="3055"/>
      <c r="BB933" s="3055"/>
      <c r="BC933" s="3055"/>
      <c r="BD933" s="3055"/>
      <c r="BE933" s="3055"/>
      <c r="BF933" s="3055"/>
      <c r="BG933" s="3055"/>
      <c r="BH933" s="3055"/>
      <c r="BI933" s="3055"/>
      <c r="BJ933" s="3055"/>
      <c r="BK933" s="3055"/>
      <c r="BL933" s="3056"/>
      <c r="BM933" s="3057">
        <f t="shared" si="16"/>
      </c>
      <c r="BN933" s="3054"/>
      <c r="BO933" s="3054"/>
      <c r="BP933" s="3055"/>
      <c r="BQ933" s="3055"/>
      <c r="BR933" s="3055"/>
      <c r="BS933" s="3055"/>
      <c r="BT933" s="3055"/>
      <c r="BU933" s="3055"/>
      <c r="BV933" s="3055"/>
      <c r="BW933" s="3055"/>
      <c r="BX933" s="3055"/>
      <c r="BY933" s="3055"/>
      <c r="BZ933" s="3055"/>
      <c r="CA933" s="3055"/>
      <c r="CB933" s="3055"/>
      <c r="CC933" s="3056"/>
      <c r="CD933" s="3057">
        <f t="shared" si="0"/>
      </c>
      <c r="CE933" s="3054"/>
      <c r="CF933" s="3054"/>
      <c r="CG933" s="3055"/>
      <c r="CH933" s="3055"/>
      <c r="CI933" s="3055"/>
      <c r="CJ933" s="3055"/>
      <c r="CK933" s="3055"/>
      <c r="CL933" s="3055"/>
      <c r="CM933" s="3055"/>
      <c r="CN933" s="3055"/>
      <c r="CO933" s="3055"/>
      <c r="CP933" s="3055"/>
      <c r="CQ933" s="3055"/>
      <c r="CR933" s="3055"/>
      <c r="CS933" s="3055"/>
      <c r="CU933" s="3054"/>
      <c r="CV933" s="696"/>
      <c r="CW933" s="696"/>
      <c r="CZ933" s="3060">
        <f t="shared" si="17"/>
      </c>
      <c r="DA933" s="3060">
        <f t="shared" si="1"/>
      </c>
      <c r="DB933" s="3060">
        <f t="shared" si="18"/>
      </c>
      <c r="DC933" s="3060">
        <f t="shared" si="19"/>
      </c>
      <c r="DD933" s="3060">
        <f t="shared" si="20"/>
      </c>
      <c r="DE933" s="3060">
        <f t="shared" si="21"/>
      </c>
      <c r="DF933" s="3060">
        <f t="shared" si="22"/>
      </c>
      <c r="DG933" s="3060">
        <f t="shared" si="23"/>
      </c>
      <c r="DH933" s="3060">
        <f t="shared" si="24"/>
      </c>
      <c r="DI933" s="3060">
        <f t="shared" si="1"/>
      </c>
    </row>
    <row r="934" ht="15" customHeight="1" s="3052" customFormat="1">
      <c r="B934" s="3054">
        <f t="shared" si="2"/>
      </c>
      <c r="C934" s="3054"/>
      <c r="D934" s="3054"/>
      <c r="E934" s="3055"/>
      <c r="F934" s="3055"/>
      <c r="G934" s="3055"/>
      <c r="H934" s="3055"/>
      <c r="I934" s="3055"/>
      <c r="J934" s="3055"/>
      <c r="K934" s="3055"/>
      <c r="L934" s="3055"/>
      <c r="M934" s="3055"/>
      <c r="N934" s="3055"/>
      <c r="O934" s="3055"/>
      <c r="P934" s="3055"/>
      <c r="Q934" s="3055"/>
      <c r="R934" s="3055">
        <f t="shared" si="3"/>
        <v>0</v>
      </c>
      <c r="S934" s="3055">
        <f t="shared" si="4"/>
        <v>0</v>
      </c>
      <c r="T934" s="3055">
        <f t="shared" si="5"/>
        <v>0</v>
      </c>
      <c r="U934" s="3055">
        <f t="shared" si="6"/>
        <v>0</v>
      </c>
      <c r="V934" s="3055">
        <f t="shared" si="7"/>
        <v>0</v>
      </c>
      <c r="W934" s="3055">
        <f t="shared" si="8"/>
        <v>0</v>
      </c>
      <c r="X934" s="3055">
        <f t="shared" si="9"/>
        <v>0</v>
      </c>
      <c r="Y934" s="3055">
        <f t="shared" si="10"/>
        <v>0</v>
      </c>
      <c r="Z934" s="3055">
        <f t="shared" si="11"/>
        <v>0</v>
      </c>
      <c r="AA934" s="3055">
        <f t="shared" si="12"/>
        <v>0</v>
      </c>
      <c r="AB934" s="3055">
        <f t="shared" si="13"/>
        <v>0</v>
      </c>
      <c r="AC934" s="3055">
        <f t="shared" si="14"/>
        <v>0</v>
      </c>
      <c r="AD934" s="3056"/>
      <c r="AE934" s="3057">
        <f t="shared" si="0"/>
      </c>
      <c r="AF934" s="3054"/>
      <c r="AG934" s="3054"/>
      <c r="AH934" s="3055"/>
      <c r="AI934" s="3055"/>
      <c r="AJ934" s="3055"/>
      <c r="AK934" s="3055"/>
      <c r="AL934" s="3055"/>
      <c r="AM934" s="3055"/>
      <c r="AN934" s="3055"/>
      <c r="AO934" s="3055"/>
      <c r="AP934" s="3055"/>
      <c r="AQ934" s="3055"/>
      <c r="AR934" s="3055"/>
      <c r="AS934" s="3055"/>
      <c r="AT934" s="3055"/>
      <c r="AU934" s="3056"/>
      <c r="AV934" s="3057">
        <f t="shared" si="15"/>
      </c>
      <c r="AW934" s="3054"/>
      <c r="AX934" s="3054"/>
      <c r="AY934" s="3055"/>
      <c r="AZ934" s="3055"/>
      <c r="BA934" s="3055"/>
      <c r="BB934" s="3055"/>
      <c r="BC934" s="3055"/>
      <c r="BD934" s="3055"/>
      <c r="BE934" s="3055"/>
      <c r="BF934" s="3055"/>
      <c r="BG934" s="3055"/>
      <c r="BH934" s="3055"/>
      <c r="BI934" s="3055"/>
      <c r="BJ934" s="3055"/>
      <c r="BK934" s="3055"/>
      <c r="BL934" s="3056"/>
      <c r="BM934" s="3057">
        <f t="shared" si="16"/>
      </c>
      <c r="BN934" s="3054"/>
      <c r="BO934" s="3054"/>
      <c r="BP934" s="3055"/>
      <c r="BQ934" s="3055"/>
      <c r="BR934" s="3055"/>
      <c r="BS934" s="3055"/>
      <c r="BT934" s="3055"/>
      <c r="BU934" s="3055"/>
      <c r="BV934" s="3055"/>
      <c r="BW934" s="3055"/>
      <c r="BX934" s="3055"/>
      <c r="BY934" s="3055"/>
      <c r="BZ934" s="3055"/>
      <c r="CA934" s="3055"/>
      <c r="CB934" s="3055"/>
      <c r="CC934" s="3056"/>
      <c r="CD934" s="3057">
        <f t="shared" si="0"/>
      </c>
      <c r="CE934" s="3054"/>
      <c r="CF934" s="3054"/>
      <c r="CG934" s="3055"/>
      <c r="CH934" s="3055"/>
      <c r="CI934" s="3055"/>
      <c r="CJ934" s="3055"/>
      <c r="CK934" s="3055"/>
      <c r="CL934" s="3055"/>
      <c r="CM934" s="3055"/>
      <c r="CN934" s="3055"/>
      <c r="CO934" s="3055"/>
      <c r="CP934" s="3055"/>
      <c r="CQ934" s="3055"/>
      <c r="CR934" s="3055"/>
      <c r="CS934" s="3055"/>
      <c r="CU934" s="3054"/>
      <c r="CV934" s="696"/>
      <c r="CW934" s="696"/>
      <c r="CZ934" s="3060">
        <f t="shared" si="17"/>
      </c>
      <c r="DA934" s="3060">
        <f t="shared" si="1"/>
      </c>
      <c r="DB934" s="3060">
        <f t="shared" si="18"/>
      </c>
      <c r="DC934" s="3060">
        <f t="shared" si="19"/>
      </c>
      <c r="DD934" s="3060">
        <f t="shared" si="20"/>
      </c>
      <c r="DE934" s="3060">
        <f t="shared" si="21"/>
      </c>
      <c r="DF934" s="3060">
        <f t="shared" si="22"/>
      </c>
      <c r="DG934" s="3060">
        <f t="shared" si="23"/>
      </c>
      <c r="DH934" s="3060">
        <f t="shared" si="24"/>
      </c>
      <c r="DI934" s="3060">
        <f t="shared" si="1"/>
      </c>
    </row>
    <row r="935" ht="15" customHeight="1" s="3052" customFormat="1">
      <c r="B935" s="3054">
        <f t="shared" si="2"/>
      </c>
      <c r="C935" s="3054"/>
      <c r="D935" s="3054"/>
      <c r="E935" s="3055"/>
      <c r="F935" s="3055"/>
      <c r="G935" s="3055"/>
      <c r="H935" s="3055"/>
      <c r="I935" s="3055"/>
      <c r="J935" s="3055"/>
      <c r="K935" s="3055"/>
      <c r="L935" s="3055"/>
      <c r="M935" s="3055"/>
      <c r="N935" s="3055"/>
      <c r="O935" s="3055"/>
      <c r="P935" s="3055"/>
      <c r="Q935" s="3055"/>
      <c r="R935" s="3055">
        <f t="shared" si="3"/>
        <v>0</v>
      </c>
      <c r="S935" s="3055">
        <f t="shared" si="4"/>
        <v>0</v>
      </c>
      <c r="T935" s="3055">
        <f t="shared" si="5"/>
        <v>0</v>
      </c>
      <c r="U935" s="3055">
        <f t="shared" si="6"/>
        <v>0</v>
      </c>
      <c r="V935" s="3055">
        <f t="shared" si="7"/>
        <v>0</v>
      </c>
      <c r="W935" s="3055">
        <f t="shared" si="8"/>
        <v>0</v>
      </c>
      <c r="X935" s="3055">
        <f t="shared" si="9"/>
        <v>0</v>
      </c>
      <c r="Y935" s="3055">
        <f t="shared" si="10"/>
        <v>0</v>
      </c>
      <c r="Z935" s="3055">
        <f t="shared" si="11"/>
        <v>0</v>
      </c>
      <c r="AA935" s="3055">
        <f t="shared" si="12"/>
        <v>0</v>
      </c>
      <c r="AB935" s="3055">
        <f t="shared" si="13"/>
        <v>0</v>
      </c>
      <c r="AC935" s="3055">
        <f t="shared" si="14"/>
        <v>0</v>
      </c>
      <c r="AD935" s="3056"/>
      <c r="AE935" s="3057">
        <f t="shared" si="0"/>
      </c>
      <c r="AF935" s="3054"/>
      <c r="AG935" s="3054"/>
      <c r="AH935" s="3055"/>
      <c r="AI935" s="3055"/>
      <c r="AJ935" s="3055"/>
      <c r="AK935" s="3055"/>
      <c r="AL935" s="3055"/>
      <c r="AM935" s="3055"/>
      <c r="AN935" s="3055"/>
      <c r="AO935" s="3055"/>
      <c r="AP935" s="3055"/>
      <c r="AQ935" s="3055"/>
      <c r="AR935" s="3055"/>
      <c r="AS935" s="3055"/>
      <c r="AT935" s="3055"/>
      <c r="AU935" s="3056"/>
      <c r="AV935" s="3057">
        <f t="shared" si="15"/>
      </c>
      <c r="AW935" s="3054"/>
      <c r="AX935" s="3054"/>
      <c r="AY935" s="3055"/>
      <c r="AZ935" s="3055"/>
      <c r="BA935" s="3055"/>
      <c r="BB935" s="3055"/>
      <c r="BC935" s="3055"/>
      <c r="BD935" s="3055"/>
      <c r="BE935" s="3055"/>
      <c r="BF935" s="3055"/>
      <c r="BG935" s="3055"/>
      <c r="BH935" s="3055"/>
      <c r="BI935" s="3055"/>
      <c r="BJ935" s="3055"/>
      <c r="BK935" s="3055"/>
      <c r="BL935" s="3056"/>
      <c r="BM935" s="3057">
        <f t="shared" si="16"/>
      </c>
      <c r="BN935" s="3054"/>
      <c r="BO935" s="3054"/>
      <c r="BP935" s="3055"/>
      <c r="BQ935" s="3055"/>
      <c r="BR935" s="3055"/>
      <c r="BS935" s="3055"/>
      <c r="BT935" s="3055"/>
      <c r="BU935" s="3055"/>
      <c r="BV935" s="3055"/>
      <c r="BW935" s="3055"/>
      <c r="BX935" s="3055"/>
      <c r="BY935" s="3055"/>
      <c r="BZ935" s="3055"/>
      <c r="CA935" s="3055"/>
      <c r="CB935" s="3055"/>
      <c r="CC935" s="3056"/>
      <c r="CD935" s="3057">
        <f t="shared" si="0"/>
      </c>
      <c r="CE935" s="3054"/>
      <c r="CF935" s="3054"/>
      <c r="CG935" s="3055"/>
      <c r="CH935" s="3055"/>
      <c r="CI935" s="3055"/>
      <c r="CJ935" s="3055"/>
      <c r="CK935" s="3055"/>
      <c r="CL935" s="3055"/>
      <c r="CM935" s="3055"/>
      <c r="CN935" s="3055"/>
      <c r="CO935" s="3055"/>
      <c r="CP935" s="3055"/>
      <c r="CQ935" s="3055"/>
      <c r="CR935" s="3055"/>
      <c r="CS935" s="3055"/>
      <c r="CU935" s="3054"/>
      <c r="CV935" s="696"/>
      <c r="CW935" s="696"/>
      <c r="CZ935" s="3060">
        <f t="shared" si="17"/>
      </c>
      <c r="DA935" s="3060">
        <f t="shared" si="1"/>
      </c>
      <c r="DB935" s="3060">
        <f t="shared" si="18"/>
      </c>
      <c r="DC935" s="3060">
        <f t="shared" si="19"/>
      </c>
      <c r="DD935" s="3060">
        <f t="shared" si="20"/>
      </c>
      <c r="DE935" s="3060">
        <f t="shared" si="21"/>
      </c>
      <c r="DF935" s="3060">
        <f t="shared" si="22"/>
      </c>
      <c r="DG935" s="3060">
        <f t="shared" si="23"/>
      </c>
      <c r="DH935" s="3060">
        <f t="shared" si="24"/>
      </c>
      <c r="DI935" s="3060">
        <f t="shared" si="1"/>
      </c>
    </row>
    <row r="936" ht="15" customHeight="1" s="3052" customFormat="1">
      <c r="B936" s="3054">
        <f t="shared" si="2"/>
      </c>
      <c r="C936" s="3054"/>
      <c r="D936" s="3054"/>
      <c r="E936" s="3055"/>
      <c r="F936" s="3055"/>
      <c r="G936" s="3055"/>
      <c r="H936" s="3055"/>
      <c r="I936" s="3055"/>
      <c r="J936" s="3055"/>
      <c r="K936" s="3055"/>
      <c r="L936" s="3055"/>
      <c r="M936" s="3055"/>
      <c r="N936" s="3055"/>
      <c r="O936" s="3055"/>
      <c r="P936" s="3055"/>
      <c r="Q936" s="3055"/>
      <c r="R936" s="3055">
        <f t="shared" si="3"/>
        <v>0</v>
      </c>
      <c r="S936" s="3055">
        <f t="shared" si="4"/>
        <v>0</v>
      </c>
      <c r="T936" s="3055">
        <f t="shared" si="5"/>
        <v>0</v>
      </c>
      <c r="U936" s="3055">
        <f t="shared" si="6"/>
        <v>0</v>
      </c>
      <c r="V936" s="3055">
        <f t="shared" si="7"/>
        <v>0</v>
      </c>
      <c r="W936" s="3055">
        <f t="shared" si="8"/>
        <v>0</v>
      </c>
      <c r="X936" s="3055">
        <f t="shared" si="9"/>
        <v>0</v>
      </c>
      <c r="Y936" s="3055">
        <f t="shared" si="10"/>
        <v>0</v>
      </c>
      <c r="Z936" s="3055">
        <f t="shared" si="11"/>
        <v>0</v>
      </c>
      <c r="AA936" s="3055">
        <f t="shared" si="12"/>
        <v>0</v>
      </c>
      <c r="AB936" s="3055">
        <f t="shared" si="13"/>
        <v>0</v>
      </c>
      <c r="AC936" s="3055">
        <f t="shared" si="14"/>
        <v>0</v>
      </c>
      <c r="AD936" s="3056"/>
      <c r="AE936" s="3057">
        <f t="shared" si="0"/>
      </c>
      <c r="AF936" s="3054"/>
      <c r="AG936" s="3054"/>
      <c r="AH936" s="3055"/>
      <c r="AI936" s="3055"/>
      <c r="AJ936" s="3055"/>
      <c r="AK936" s="3055"/>
      <c r="AL936" s="3055"/>
      <c r="AM936" s="3055"/>
      <c r="AN936" s="3055"/>
      <c r="AO936" s="3055"/>
      <c r="AP936" s="3055"/>
      <c r="AQ936" s="3055"/>
      <c r="AR936" s="3055"/>
      <c r="AS936" s="3055"/>
      <c r="AT936" s="3055"/>
      <c r="AU936" s="3056"/>
      <c r="AV936" s="3057">
        <f t="shared" si="15"/>
      </c>
      <c r="AW936" s="3054"/>
      <c r="AX936" s="3054"/>
      <c r="AY936" s="3055"/>
      <c r="AZ936" s="3055"/>
      <c r="BA936" s="3055"/>
      <c r="BB936" s="3055"/>
      <c r="BC936" s="3055"/>
      <c r="BD936" s="3055"/>
      <c r="BE936" s="3055"/>
      <c r="BF936" s="3055"/>
      <c r="BG936" s="3055"/>
      <c r="BH936" s="3055"/>
      <c r="BI936" s="3055"/>
      <c r="BJ936" s="3055"/>
      <c r="BK936" s="3055"/>
      <c r="BL936" s="3056"/>
      <c r="BM936" s="3057">
        <f t="shared" si="16"/>
      </c>
      <c r="BN936" s="3054"/>
      <c r="BO936" s="3054"/>
      <c r="BP936" s="3055"/>
      <c r="BQ936" s="3055"/>
      <c r="BR936" s="3055"/>
      <c r="BS936" s="3055"/>
      <c r="BT936" s="3055"/>
      <c r="BU936" s="3055"/>
      <c r="BV936" s="3055"/>
      <c r="BW936" s="3055"/>
      <c r="BX936" s="3055"/>
      <c r="BY936" s="3055"/>
      <c r="BZ936" s="3055"/>
      <c r="CA936" s="3055"/>
      <c r="CB936" s="3055"/>
      <c r="CC936" s="3056"/>
      <c r="CD936" s="3057">
        <f t="shared" si="0"/>
      </c>
      <c r="CE936" s="3054"/>
      <c r="CF936" s="3054"/>
      <c r="CG936" s="3055"/>
      <c r="CH936" s="3055"/>
      <c r="CI936" s="3055"/>
      <c r="CJ936" s="3055"/>
      <c r="CK936" s="3055"/>
      <c r="CL936" s="3055"/>
      <c r="CM936" s="3055"/>
      <c r="CN936" s="3055"/>
      <c r="CO936" s="3055"/>
      <c r="CP936" s="3055"/>
      <c r="CQ936" s="3055"/>
      <c r="CR936" s="3055"/>
      <c r="CS936" s="3055"/>
      <c r="CU936" s="3054"/>
      <c r="CV936" s="696"/>
      <c r="CW936" s="696"/>
      <c r="CZ936" s="3060">
        <f t="shared" si="17"/>
      </c>
      <c r="DA936" s="3060">
        <f t="shared" si="1"/>
      </c>
      <c r="DB936" s="3060">
        <f t="shared" si="18"/>
      </c>
      <c r="DC936" s="3060">
        <f t="shared" si="19"/>
      </c>
      <c r="DD936" s="3060">
        <f t="shared" si="20"/>
      </c>
      <c r="DE936" s="3060">
        <f t="shared" si="21"/>
      </c>
      <c r="DF936" s="3060">
        <f t="shared" si="22"/>
      </c>
      <c r="DG936" s="3060">
        <f t="shared" si="23"/>
      </c>
      <c r="DH936" s="3060">
        <f t="shared" si="24"/>
      </c>
      <c r="DI936" s="3060">
        <f t="shared" si="1"/>
      </c>
    </row>
    <row r="937" ht="15" customHeight="1" s="3052" customFormat="1">
      <c r="B937" s="3054">
        <f t="shared" si="2"/>
      </c>
      <c r="C937" s="3054"/>
      <c r="D937" s="3054"/>
      <c r="E937" s="3055"/>
      <c r="F937" s="3055"/>
      <c r="G937" s="3055"/>
      <c r="H937" s="3055"/>
      <c r="I937" s="3055"/>
      <c r="J937" s="3055"/>
      <c r="K937" s="3055"/>
      <c r="L937" s="3055"/>
      <c r="M937" s="3055"/>
      <c r="N937" s="3055"/>
      <c r="O937" s="3055"/>
      <c r="P937" s="3055"/>
      <c r="Q937" s="3055"/>
      <c r="R937" s="3055">
        <f t="shared" si="3"/>
        <v>0</v>
      </c>
      <c r="S937" s="3055">
        <f t="shared" si="4"/>
        <v>0</v>
      </c>
      <c r="T937" s="3055">
        <f t="shared" si="5"/>
        <v>0</v>
      </c>
      <c r="U937" s="3055">
        <f t="shared" si="6"/>
        <v>0</v>
      </c>
      <c r="V937" s="3055">
        <f t="shared" si="7"/>
        <v>0</v>
      </c>
      <c r="W937" s="3055">
        <f t="shared" si="8"/>
        <v>0</v>
      </c>
      <c r="X937" s="3055">
        <f t="shared" si="9"/>
        <v>0</v>
      </c>
      <c r="Y937" s="3055">
        <f t="shared" si="10"/>
        <v>0</v>
      </c>
      <c r="Z937" s="3055">
        <f t="shared" si="11"/>
        <v>0</v>
      </c>
      <c r="AA937" s="3055">
        <f t="shared" si="12"/>
        <v>0</v>
      </c>
      <c r="AB937" s="3055">
        <f t="shared" si="13"/>
        <v>0</v>
      </c>
      <c r="AC937" s="3055">
        <f t="shared" si="14"/>
        <v>0</v>
      </c>
      <c r="AD937" s="3056"/>
      <c r="AE937" s="3057">
        <f t="shared" si="0"/>
      </c>
      <c r="AF937" s="3054"/>
      <c r="AG937" s="3054"/>
      <c r="AH937" s="3055"/>
      <c r="AI937" s="3055"/>
      <c r="AJ937" s="3055"/>
      <c r="AK937" s="3055"/>
      <c r="AL937" s="3055"/>
      <c r="AM937" s="3055"/>
      <c r="AN937" s="3055"/>
      <c r="AO937" s="3055"/>
      <c r="AP937" s="3055"/>
      <c r="AQ937" s="3055"/>
      <c r="AR937" s="3055"/>
      <c r="AS937" s="3055"/>
      <c r="AT937" s="3055"/>
      <c r="AU937" s="3056"/>
      <c r="AV937" s="3057">
        <f t="shared" si="15"/>
      </c>
      <c r="AW937" s="3054"/>
      <c r="AX937" s="3054"/>
      <c r="AY937" s="3055"/>
      <c r="AZ937" s="3055"/>
      <c r="BA937" s="3055"/>
      <c r="BB937" s="3055"/>
      <c r="BC937" s="3055"/>
      <c r="BD937" s="3055"/>
      <c r="BE937" s="3055"/>
      <c r="BF937" s="3055"/>
      <c r="BG937" s="3055"/>
      <c r="BH937" s="3055"/>
      <c r="BI937" s="3055"/>
      <c r="BJ937" s="3055"/>
      <c r="BK937" s="3055"/>
      <c r="BL937" s="3056"/>
      <c r="BM937" s="3057">
        <f t="shared" si="16"/>
      </c>
      <c r="BN937" s="3054"/>
      <c r="BO937" s="3054"/>
      <c r="BP937" s="3055"/>
      <c r="BQ937" s="3055"/>
      <c r="BR937" s="3055"/>
      <c r="BS937" s="3055"/>
      <c r="BT937" s="3055"/>
      <c r="BU937" s="3055"/>
      <c r="BV937" s="3055"/>
      <c r="BW937" s="3055"/>
      <c r="BX937" s="3055"/>
      <c r="BY937" s="3055"/>
      <c r="BZ937" s="3055"/>
      <c r="CA937" s="3055"/>
      <c r="CB937" s="3055"/>
      <c r="CC937" s="3056"/>
      <c r="CD937" s="3057">
        <f t="shared" si="0"/>
      </c>
      <c r="CE937" s="3054"/>
      <c r="CF937" s="3054"/>
      <c r="CG937" s="3055"/>
      <c r="CH937" s="3055"/>
      <c r="CI937" s="3055"/>
      <c r="CJ937" s="3055"/>
      <c r="CK937" s="3055"/>
      <c r="CL937" s="3055"/>
      <c r="CM937" s="3055"/>
      <c r="CN937" s="3055"/>
      <c r="CO937" s="3055"/>
      <c r="CP937" s="3055"/>
      <c r="CQ937" s="3055"/>
      <c r="CR937" s="3055"/>
      <c r="CS937" s="3055"/>
      <c r="CU937" s="3054"/>
      <c r="CV937" s="696"/>
      <c r="CW937" s="696"/>
      <c r="CZ937" s="3060">
        <f t="shared" si="17"/>
      </c>
      <c r="DA937" s="3060">
        <f t="shared" si="1"/>
      </c>
      <c r="DB937" s="3060">
        <f t="shared" si="18"/>
      </c>
      <c r="DC937" s="3060">
        <f t="shared" si="19"/>
      </c>
      <c r="DD937" s="3060">
        <f t="shared" si="20"/>
      </c>
      <c r="DE937" s="3060">
        <f t="shared" si="21"/>
      </c>
      <c r="DF937" s="3060">
        <f t="shared" si="22"/>
      </c>
      <c r="DG937" s="3060">
        <f t="shared" si="23"/>
      </c>
      <c r="DH937" s="3060">
        <f t="shared" si="24"/>
      </c>
      <c r="DI937" s="3060">
        <f t="shared" si="1"/>
      </c>
    </row>
    <row r="938" ht="15" customHeight="1" s="3052" customFormat="1">
      <c r="B938" s="3054">
        <f t="shared" si="2"/>
      </c>
      <c r="C938" s="3054"/>
      <c r="D938" s="3054"/>
      <c r="E938" s="3055"/>
      <c r="F938" s="3055"/>
      <c r="G938" s="3055"/>
      <c r="H938" s="3055"/>
      <c r="I938" s="3055"/>
      <c r="J938" s="3055"/>
      <c r="K938" s="3055"/>
      <c r="L938" s="3055"/>
      <c r="M938" s="3055"/>
      <c r="N938" s="3055"/>
      <c r="O938" s="3055"/>
      <c r="P938" s="3055"/>
      <c r="Q938" s="3055"/>
      <c r="R938" s="3055">
        <f t="shared" si="3"/>
        <v>0</v>
      </c>
      <c r="S938" s="3055">
        <f t="shared" si="4"/>
        <v>0</v>
      </c>
      <c r="T938" s="3055">
        <f t="shared" si="5"/>
        <v>0</v>
      </c>
      <c r="U938" s="3055">
        <f t="shared" si="6"/>
        <v>0</v>
      </c>
      <c r="V938" s="3055">
        <f t="shared" si="7"/>
        <v>0</v>
      </c>
      <c r="W938" s="3055">
        <f t="shared" si="8"/>
        <v>0</v>
      </c>
      <c r="X938" s="3055">
        <f t="shared" si="9"/>
        <v>0</v>
      </c>
      <c r="Y938" s="3055">
        <f t="shared" si="10"/>
        <v>0</v>
      </c>
      <c r="Z938" s="3055">
        <f t="shared" si="11"/>
        <v>0</v>
      </c>
      <c r="AA938" s="3055">
        <f t="shared" si="12"/>
        <v>0</v>
      </c>
      <c r="AB938" s="3055">
        <f t="shared" si="13"/>
        <v>0</v>
      </c>
      <c r="AC938" s="3055">
        <f t="shared" si="14"/>
        <v>0</v>
      </c>
      <c r="AD938" s="3056"/>
      <c r="AE938" s="3057">
        <f t="shared" si="0"/>
      </c>
      <c r="AF938" s="3054"/>
      <c r="AG938" s="3054"/>
      <c r="AH938" s="3055"/>
      <c r="AI938" s="3055"/>
      <c r="AJ938" s="3055"/>
      <c r="AK938" s="3055"/>
      <c r="AL938" s="3055"/>
      <c r="AM938" s="3055"/>
      <c r="AN938" s="3055"/>
      <c r="AO938" s="3055"/>
      <c r="AP938" s="3055"/>
      <c r="AQ938" s="3055"/>
      <c r="AR938" s="3055"/>
      <c r="AS938" s="3055"/>
      <c r="AT938" s="3055"/>
      <c r="AU938" s="3056"/>
      <c r="AV938" s="3057">
        <f t="shared" si="15"/>
      </c>
      <c r="AW938" s="3054"/>
      <c r="AX938" s="3054"/>
      <c r="AY938" s="3055"/>
      <c r="AZ938" s="3055"/>
      <c r="BA938" s="3055"/>
      <c r="BB938" s="3055"/>
      <c r="BC938" s="3055"/>
      <c r="BD938" s="3055"/>
      <c r="BE938" s="3055"/>
      <c r="BF938" s="3055"/>
      <c r="BG938" s="3055"/>
      <c r="BH938" s="3055"/>
      <c r="BI938" s="3055"/>
      <c r="BJ938" s="3055"/>
      <c r="BK938" s="3055"/>
      <c r="BL938" s="3056"/>
      <c r="BM938" s="3057">
        <f t="shared" si="16"/>
      </c>
      <c r="BN938" s="3054"/>
      <c r="BO938" s="3054"/>
      <c r="BP938" s="3055"/>
      <c r="BQ938" s="3055"/>
      <c r="BR938" s="3055"/>
      <c r="BS938" s="3055"/>
      <c r="BT938" s="3055"/>
      <c r="BU938" s="3055"/>
      <c r="BV938" s="3055"/>
      <c r="BW938" s="3055"/>
      <c r="BX938" s="3055"/>
      <c r="BY938" s="3055"/>
      <c r="BZ938" s="3055"/>
      <c r="CA938" s="3055"/>
      <c r="CB938" s="3055"/>
      <c r="CC938" s="3056"/>
      <c r="CD938" s="3057">
        <f t="shared" si="0"/>
      </c>
      <c r="CE938" s="3054"/>
      <c r="CF938" s="3054"/>
      <c r="CG938" s="3055"/>
      <c r="CH938" s="3055"/>
      <c r="CI938" s="3055"/>
      <c r="CJ938" s="3055"/>
      <c r="CK938" s="3055"/>
      <c r="CL938" s="3055"/>
      <c r="CM938" s="3055"/>
      <c r="CN938" s="3055"/>
      <c r="CO938" s="3055"/>
      <c r="CP938" s="3055"/>
      <c r="CQ938" s="3055"/>
      <c r="CR938" s="3055"/>
      <c r="CS938" s="3055"/>
      <c r="CU938" s="3054"/>
      <c r="CV938" s="696"/>
      <c r="CW938" s="696"/>
      <c r="CZ938" s="3060">
        <f t="shared" si="17"/>
      </c>
      <c r="DA938" s="3060">
        <f t="shared" si="1"/>
      </c>
      <c r="DB938" s="3060">
        <f t="shared" si="18"/>
      </c>
      <c r="DC938" s="3060">
        <f t="shared" si="19"/>
      </c>
      <c r="DD938" s="3060">
        <f t="shared" si="20"/>
      </c>
      <c r="DE938" s="3060">
        <f t="shared" si="21"/>
      </c>
      <c r="DF938" s="3060">
        <f t="shared" si="22"/>
      </c>
      <c r="DG938" s="3060">
        <f t="shared" si="23"/>
      </c>
      <c r="DH938" s="3060">
        <f t="shared" si="24"/>
      </c>
      <c r="DI938" s="3060">
        <f t="shared" si="1"/>
      </c>
    </row>
    <row r="939" ht="15" customHeight="1" s="3052" customFormat="1">
      <c r="B939" s="3054">
        <f t="shared" si="2"/>
      </c>
      <c r="C939" s="3054"/>
      <c r="D939" s="3054"/>
      <c r="E939" s="3055"/>
      <c r="F939" s="3055"/>
      <c r="G939" s="3055"/>
      <c r="H939" s="3055"/>
      <c r="I939" s="3055"/>
      <c r="J939" s="3055"/>
      <c r="K939" s="3055"/>
      <c r="L939" s="3055"/>
      <c r="M939" s="3055"/>
      <c r="N939" s="3055"/>
      <c r="O939" s="3055"/>
      <c r="P939" s="3055"/>
      <c r="Q939" s="3055"/>
      <c r="R939" s="3055">
        <f t="shared" si="3"/>
        <v>0</v>
      </c>
      <c r="S939" s="3055">
        <f t="shared" si="4"/>
        <v>0</v>
      </c>
      <c r="T939" s="3055">
        <f t="shared" si="5"/>
        <v>0</v>
      </c>
      <c r="U939" s="3055">
        <f t="shared" si="6"/>
        <v>0</v>
      </c>
      <c r="V939" s="3055">
        <f t="shared" si="7"/>
        <v>0</v>
      </c>
      <c r="W939" s="3055">
        <f t="shared" si="8"/>
        <v>0</v>
      </c>
      <c r="X939" s="3055">
        <f t="shared" si="9"/>
        <v>0</v>
      </c>
      <c r="Y939" s="3055">
        <f t="shared" si="10"/>
        <v>0</v>
      </c>
      <c r="Z939" s="3055">
        <f t="shared" si="11"/>
        <v>0</v>
      </c>
      <c r="AA939" s="3055">
        <f t="shared" si="12"/>
        <v>0</v>
      </c>
      <c r="AB939" s="3055">
        <f t="shared" si="13"/>
        <v>0</v>
      </c>
      <c r="AC939" s="3055">
        <f t="shared" si="14"/>
        <v>0</v>
      </c>
      <c r="AD939" s="3056"/>
      <c r="AE939" s="3057">
        <f t="shared" si="0"/>
      </c>
      <c r="AF939" s="3054"/>
      <c r="AG939" s="3054"/>
      <c r="AH939" s="3055"/>
      <c r="AI939" s="3055"/>
      <c r="AJ939" s="3055"/>
      <c r="AK939" s="3055"/>
      <c r="AL939" s="3055"/>
      <c r="AM939" s="3055"/>
      <c r="AN939" s="3055"/>
      <c r="AO939" s="3055"/>
      <c r="AP939" s="3055"/>
      <c r="AQ939" s="3055"/>
      <c r="AR939" s="3055"/>
      <c r="AS939" s="3055"/>
      <c r="AT939" s="3055"/>
      <c r="AU939" s="3056"/>
      <c r="AV939" s="3057">
        <f t="shared" si="15"/>
      </c>
      <c r="AW939" s="3054"/>
      <c r="AX939" s="3054"/>
      <c r="AY939" s="3055"/>
      <c r="AZ939" s="3055"/>
      <c r="BA939" s="3055"/>
      <c r="BB939" s="3055"/>
      <c r="BC939" s="3055"/>
      <c r="BD939" s="3055"/>
      <c r="BE939" s="3055"/>
      <c r="BF939" s="3055"/>
      <c r="BG939" s="3055"/>
      <c r="BH939" s="3055"/>
      <c r="BI939" s="3055"/>
      <c r="BJ939" s="3055"/>
      <c r="BK939" s="3055"/>
      <c r="BL939" s="3056"/>
      <c r="BM939" s="3057">
        <f t="shared" si="16"/>
      </c>
      <c r="BN939" s="3054"/>
      <c r="BO939" s="3054"/>
      <c r="BP939" s="3055"/>
      <c r="BQ939" s="3055"/>
      <c r="BR939" s="3055"/>
      <c r="BS939" s="3055"/>
      <c r="BT939" s="3055"/>
      <c r="BU939" s="3055"/>
      <c r="BV939" s="3055"/>
      <c r="BW939" s="3055"/>
      <c r="BX939" s="3055"/>
      <c r="BY939" s="3055"/>
      <c r="BZ939" s="3055"/>
      <c r="CA939" s="3055"/>
      <c r="CB939" s="3055"/>
      <c r="CC939" s="3056"/>
      <c r="CD939" s="3057">
        <f t="shared" si="0"/>
      </c>
      <c r="CE939" s="3054"/>
      <c r="CF939" s="3054"/>
      <c r="CG939" s="3055"/>
      <c r="CH939" s="3055"/>
      <c r="CI939" s="3055"/>
      <c r="CJ939" s="3055"/>
      <c r="CK939" s="3055"/>
      <c r="CL939" s="3055"/>
      <c r="CM939" s="3055"/>
      <c r="CN939" s="3055"/>
      <c r="CO939" s="3055"/>
      <c r="CP939" s="3055"/>
      <c r="CQ939" s="3055"/>
      <c r="CR939" s="3055"/>
      <c r="CS939" s="3055"/>
      <c r="CU939" s="3054"/>
      <c r="CV939" s="696"/>
      <c r="CW939" s="696"/>
      <c r="CZ939" s="3060">
        <f t="shared" si="17"/>
      </c>
      <c r="DA939" s="3060">
        <f t="shared" si="1"/>
      </c>
      <c r="DB939" s="3060">
        <f t="shared" si="18"/>
      </c>
      <c r="DC939" s="3060">
        <f t="shared" si="19"/>
      </c>
      <c r="DD939" s="3060">
        <f t="shared" si="20"/>
      </c>
      <c r="DE939" s="3060">
        <f t="shared" si="21"/>
      </c>
      <c r="DF939" s="3060">
        <f t="shared" si="22"/>
      </c>
      <c r="DG939" s="3060">
        <f t="shared" si="23"/>
      </c>
      <c r="DH939" s="3060">
        <f t="shared" si="24"/>
      </c>
      <c r="DI939" s="3060">
        <f t="shared" si="1"/>
      </c>
    </row>
    <row r="940" ht="15" customHeight="1" s="3052" customFormat="1">
      <c r="B940" s="3054">
        <f t="shared" si="2"/>
      </c>
      <c r="C940" s="3054"/>
      <c r="D940" s="3054"/>
      <c r="E940" s="3055"/>
      <c r="F940" s="3055"/>
      <c r="G940" s="3055"/>
      <c r="H940" s="3055"/>
      <c r="I940" s="3055"/>
      <c r="J940" s="3055"/>
      <c r="K940" s="3055"/>
      <c r="L940" s="3055"/>
      <c r="M940" s="3055"/>
      <c r="N940" s="3055"/>
      <c r="O940" s="3055"/>
      <c r="P940" s="3055"/>
      <c r="Q940" s="3055"/>
      <c r="R940" s="3055">
        <f t="shared" si="3"/>
        <v>0</v>
      </c>
      <c r="S940" s="3055">
        <f t="shared" si="4"/>
        <v>0</v>
      </c>
      <c r="T940" s="3055">
        <f t="shared" si="5"/>
        <v>0</v>
      </c>
      <c r="U940" s="3055">
        <f t="shared" si="6"/>
        <v>0</v>
      </c>
      <c r="V940" s="3055">
        <f t="shared" si="7"/>
        <v>0</v>
      </c>
      <c r="W940" s="3055">
        <f t="shared" si="8"/>
        <v>0</v>
      </c>
      <c r="X940" s="3055">
        <f t="shared" si="9"/>
        <v>0</v>
      </c>
      <c r="Y940" s="3055">
        <f t="shared" si="10"/>
        <v>0</v>
      </c>
      <c r="Z940" s="3055">
        <f t="shared" si="11"/>
        <v>0</v>
      </c>
      <c r="AA940" s="3055">
        <f t="shared" si="12"/>
        <v>0</v>
      </c>
      <c r="AB940" s="3055">
        <f t="shared" si="13"/>
        <v>0</v>
      </c>
      <c r="AC940" s="3055">
        <f t="shared" si="14"/>
        <v>0</v>
      </c>
      <c r="AD940" s="3056"/>
      <c r="AE940" s="3057">
        <f t="shared" si="0"/>
      </c>
      <c r="AF940" s="3054"/>
      <c r="AG940" s="3054"/>
      <c r="AH940" s="3055"/>
      <c r="AI940" s="3055"/>
      <c r="AJ940" s="3055"/>
      <c r="AK940" s="3055"/>
      <c r="AL940" s="3055"/>
      <c r="AM940" s="3055"/>
      <c r="AN940" s="3055"/>
      <c r="AO940" s="3055"/>
      <c r="AP940" s="3055"/>
      <c r="AQ940" s="3055"/>
      <c r="AR940" s="3055"/>
      <c r="AS940" s="3055"/>
      <c r="AT940" s="3055"/>
      <c r="AU940" s="3056"/>
      <c r="AV940" s="3057">
        <f t="shared" si="15"/>
      </c>
      <c r="AW940" s="3054"/>
      <c r="AX940" s="3054"/>
      <c r="AY940" s="3055"/>
      <c r="AZ940" s="3055"/>
      <c r="BA940" s="3055"/>
      <c r="BB940" s="3055"/>
      <c r="BC940" s="3055"/>
      <c r="BD940" s="3055"/>
      <c r="BE940" s="3055"/>
      <c r="BF940" s="3055"/>
      <c r="BG940" s="3055"/>
      <c r="BH940" s="3055"/>
      <c r="BI940" s="3055"/>
      <c r="BJ940" s="3055"/>
      <c r="BK940" s="3055"/>
      <c r="BL940" s="3056"/>
      <c r="BM940" s="3057">
        <f t="shared" si="16"/>
      </c>
      <c r="BN940" s="3054"/>
      <c r="BO940" s="3054"/>
      <c r="BP940" s="3055"/>
      <c r="BQ940" s="3055"/>
      <c r="BR940" s="3055"/>
      <c r="BS940" s="3055"/>
      <c r="BT940" s="3055"/>
      <c r="BU940" s="3055"/>
      <c r="BV940" s="3055"/>
      <c r="BW940" s="3055"/>
      <c r="BX940" s="3055"/>
      <c r="BY940" s="3055"/>
      <c r="BZ940" s="3055"/>
      <c r="CA940" s="3055"/>
      <c r="CB940" s="3055"/>
      <c r="CC940" s="3056"/>
      <c r="CD940" s="3057">
        <f t="shared" si="0"/>
      </c>
      <c r="CE940" s="3054"/>
      <c r="CF940" s="3054"/>
      <c r="CG940" s="3055"/>
      <c r="CH940" s="3055"/>
      <c r="CI940" s="3055"/>
      <c r="CJ940" s="3055"/>
      <c r="CK940" s="3055"/>
      <c r="CL940" s="3055"/>
      <c r="CM940" s="3055"/>
      <c r="CN940" s="3055"/>
      <c r="CO940" s="3055"/>
      <c r="CP940" s="3055"/>
      <c r="CQ940" s="3055"/>
      <c r="CR940" s="3055"/>
      <c r="CS940" s="3055"/>
      <c r="CU940" s="3054"/>
      <c r="CV940" s="696"/>
      <c r="CW940" s="696"/>
      <c r="CZ940" s="3060">
        <f t="shared" si="17"/>
      </c>
      <c r="DA940" s="3060">
        <f t="shared" si="1"/>
      </c>
      <c r="DB940" s="3060">
        <f t="shared" si="18"/>
      </c>
      <c r="DC940" s="3060">
        <f t="shared" si="19"/>
      </c>
      <c r="DD940" s="3060">
        <f t="shared" si="20"/>
      </c>
      <c r="DE940" s="3060">
        <f t="shared" si="21"/>
      </c>
      <c r="DF940" s="3060">
        <f t="shared" si="22"/>
      </c>
      <c r="DG940" s="3060">
        <f t="shared" si="23"/>
      </c>
      <c r="DH940" s="3060">
        <f t="shared" si="24"/>
      </c>
      <c r="DI940" s="3060">
        <f t="shared" si="1"/>
      </c>
    </row>
    <row r="941" ht="15" customHeight="1" s="3052" customFormat="1">
      <c r="B941" s="3054">
        <f t="shared" si="2"/>
      </c>
      <c r="C941" s="3054"/>
      <c r="D941" s="3054"/>
      <c r="E941" s="3055"/>
      <c r="F941" s="3055"/>
      <c r="G941" s="3055"/>
      <c r="H941" s="3055"/>
      <c r="I941" s="3055"/>
      <c r="J941" s="3055"/>
      <c r="K941" s="3055"/>
      <c r="L941" s="3055"/>
      <c r="M941" s="3055"/>
      <c r="N941" s="3055"/>
      <c r="O941" s="3055"/>
      <c r="P941" s="3055"/>
      <c r="Q941" s="3055"/>
      <c r="R941" s="3055">
        <f t="shared" si="3"/>
        <v>0</v>
      </c>
      <c r="S941" s="3055">
        <f t="shared" si="4"/>
        <v>0</v>
      </c>
      <c r="T941" s="3055">
        <f t="shared" si="5"/>
        <v>0</v>
      </c>
      <c r="U941" s="3055">
        <f t="shared" si="6"/>
        <v>0</v>
      </c>
      <c r="V941" s="3055">
        <f t="shared" si="7"/>
        <v>0</v>
      </c>
      <c r="W941" s="3055">
        <f t="shared" si="8"/>
        <v>0</v>
      </c>
      <c r="X941" s="3055">
        <f t="shared" si="9"/>
        <v>0</v>
      </c>
      <c r="Y941" s="3055">
        <f t="shared" si="10"/>
        <v>0</v>
      </c>
      <c r="Z941" s="3055">
        <f t="shared" si="11"/>
        <v>0</v>
      </c>
      <c r="AA941" s="3055">
        <f t="shared" si="12"/>
        <v>0</v>
      </c>
      <c r="AB941" s="3055">
        <f t="shared" si="13"/>
        <v>0</v>
      </c>
      <c r="AC941" s="3055">
        <f t="shared" si="14"/>
        <v>0</v>
      </c>
      <c r="AD941" s="3056"/>
      <c r="AE941" s="3057">
        <f t="shared" si="0"/>
      </c>
      <c r="AF941" s="3054"/>
      <c r="AG941" s="3054"/>
      <c r="AH941" s="3055"/>
      <c r="AI941" s="3055"/>
      <c r="AJ941" s="3055"/>
      <c r="AK941" s="3055"/>
      <c r="AL941" s="3055"/>
      <c r="AM941" s="3055"/>
      <c r="AN941" s="3055"/>
      <c r="AO941" s="3055"/>
      <c r="AP941" s="3055"/>
      <c r="AQ941" s="3055"/>
      <c r="AR941" s="3055"/>
      <c r="AS941" s="3055"/>
      <c r="AT941" s="3055"/>
      <c r="AU941" s="3056"/>
      <c r="AV941" s="3057">
        <f t="shared" si="15"/>
      </c>
      <c r="AW941" s="3054"/>
      <c r="AX941" s="3054"/>
      <c r="AY941" s="3055"/>
      <c r="AZ941" s="3055"/>
      <c r="BA941" s="3055"/>
      <c r="BB941" s="3055"/>
      <c r="BC941" s="3055"/>
      <c r="BD941" s="3055"/>
      <c r="BE941" s="3055"/>
      <c r="BF941" s="3055"/>
      <c r="BG941" s="3055"/>
      <c r="BH941" s="3055"/>
      <c r="BI941" s="3055"/>
      <c r="BJ941" s="3055"/>
      <c r="BK941" s="3055"/>
      <c r="BL941" s="3056"/>
      <c r="BM941" s="3057">
        <f t="shared" si="16"/>
      </c>
      <c r="BN941" s="3054"/>
      <c r="BO941" s="3054"/>
      <c r="BP941" s="3055"/>
      <c r="BQ941" s="3055"/>
      <c r="BR941" s="3055"/>
      <c r="BS941" s="3055"/>
      <c r="BT941" s="3055"/>
      <c r="BU941" s="3055"/>
      <c r="BV941" s="3055"/>
      <c r="BW941" s="3055"/>
      <c r="BX941" s="3055"/>
      <c r="BY941" s="3055"/>
      <c r="BZ941" s="3055"/>
      <c r="CA941" s="3055"/>
      <c r="CB941" s="3055"/>
      <c r="CC941" s="3056"/>
      <c r="CD941" s="3057">
        <f t="shared" si="0"/>
      </c>
      <c r="CE941" s="3054"/>
      <c r="CF941" s="3054"/>
      <c r="CG941" s="3055"/>
      <c r="CH941" s="3055"/>
      <c r="CI941" s="3055"/>
      <c r="CJ941" s="3055"/>
      <c r="CK941" s="3055"/>
      <c r="CL941" s="3055"/>
      <c r="CM941" s="3055"/>
      <c r="CN941" s="3055"/>
      <c r="CO941" s="3055"/>
      <c r="CP941" s="3055"/>
      <c r="CQ941" s="3055"/>
      <c r="CR941" s="3055"/>
      <c r="CS941" s="3055"/>
      <c r="CU941" s="3054"/>
      <c r="CV941" s="696"/>
      <c r="CW941" s="696"/>
      <c r="CZ941" s="3060">
        <f t="shared" si="17"/>
      </c>
      <c r="DA941" s="3060">
        <f t="shared" si="1"/>
      </c>
      <c r="DB941" s="3060">
        <f t="shared" si="18"/>
      </c>
      <c r="DC941" s="3060">
        <f t="shared" si="19"/>
      </c>
      <c r="DD941" s="3060">
        <f t="shared" si="20"/>
      </c>
      <c r="DE941" s="3060">
        <f t="shared" si="21"/>
      </c>
      <c r="DF941" s="3060">
        <f t="shared" si="22"/>
      </c>
      <c r="DG941" s="3060">
        <f t="shared" si="23"/>
      </c>
      <c r="DH941" s="3060">
        <f t="shared" si="24"/>
      </c>
      <c r="DI941" s="3060">
        <f t="shared" si="1"/>
      </c>
    </row>
    <row r="942" ht="15" customHeight="1" s="3052" customFormat="1">
      <c r="B942" s="3054">
        <f t="shared" si="2"/>
      </c>
      <c r="C942" s="3054"/>
      <c r="D942" s="3054"/>
      <c r="E942" s="3055"/>
      <c r="F942" s="3055"/>
      <c r="G942" s="3055"/>
      <c r="H942" s="3055"/>
      <c r="I942" s="3055"/>
      <c r="J942" s="3055"/>
      <c r="K942" s="3055"/>
      <c r="L942" s="3055"/>
      <c r="M942" s="3055"/>
      <c r="N942" s="3055"/>
      <c r="O942" s="3055"/>
      <c r="P942" s="3055"/>
      <c r="Q942" s="3055"/>
      <c r="R942" s="3055">
        <f t="shared" si="3"/>
        <v>0</v>
      </c>
      <c r="S942" s="3055">
        <f t="shared" si="4"/>
        <v>0</v>
      </c>
      <c r="T942" s="3055">
        <f t="shared" si="5"/>
        <v>0</v>
      </c>
      <c r="U942" s="3055">
        <f t="shared" si="6"/>
        <v>0</v>
      </c>
      <c r="V942" s="3055">
        <f t="shared" si="7"/>
        <v>0</v>
      </c>
      <c r="W942" s="3055">
        <f t="shared" si="8"/>
        <v>0</v>
      </c>
      <c r="X942" s="3055">
        <f t="shared" si="9"/>
        <v>0</v>
      </c>
      <c r="Y942" s="3055">
        <f t="shared" si="10"/>
        <v>0</v>
      </c>
      <c r="Z942" s="3055">
        <f t="shared" si="11"/>
        <v>0</v>
      </c>
      <c r="AA942" s="3055">
        <f t="shared" si="12"/>
        <v>0</v>
      </c>
      <c r="AB942" s="3055">
        <f t="shared" si="13"/>
        <v>0</v>
      </c>
      <c r="AC942" s="3055">
        <f t="shared" si="14"/>
        <v>0</v>
      </c>
      <c r="AD942" s="3056"/>
      <c r="AE942" s="3057">
        <f t="shared" si="0"/>
      </c>
      <c r="AF942" s="3054"/>
      <c r="AG942" s="3054"/>
      <c r="AH942" s="3055"/>
      <c r="AI942" s="3055"/>
      <c r="AJ942" s="3055"/>
      <c r="AK942" s="3055"/>
      <c r="AL942" s="3055"/>
      <c r="AM942" s="3055"/>
      <c r="AN942" s="3055"/>
      <c r="AO942" s="3055"/>
      <c r="AP942" s="3055"/>
      <c r="AQ942" s="3055"/>
      <c r="AR942" s="3055"/>
      <c r="AS942" s="3055"/>
      <c r="AT942" s="3055"/>
      <c r="AU942" s="3056"/>
      <c r="AV942" s="3057">
        <f t="shared" si="15"/>
      </c>
      <c r="AW942" s="3054"/>
      <c r="AX942" s="3054"/>
      <c r="AY942" s="3055"/>
      <c r="AZ942" s="3055"/>
      <c r="BA942" s="3055"/>
      <c r="BB942" s="3055"/>
      <c r="BC942" s="3055"/>
      <c r="BD942" s="3055"/>
      <c r="BE942" s="3055"/>
      <c r="BF942" s="3055"/>
      <c r="BG942" s="3055"/>
      <c r="BH942" s="3055"/>
      <c r="BI942" s="3055"/>
      <c r="BJ942" s="3055"/>
      <c r="BK942" s="3055"/>
      <c r="BL942" s="3056"/>
      <c r="BM942" s="3057">
        <f t="shared" si="16"/>
      </c>
      <c r="BN942" s="3054"/>
      <c r="BO942" s="3054"/>
      <c r="BP942" s="3055"/>
      <c r="BQ942" s="3055"/>
      <c r="BR942" s="3055"/>
      <c r="BS942" s="3055"/>
      <c r="BT942" s="3055"/>
      <c r="BU942" s="3055"/>
      <c r="BV942" s="3055"/>
      <c r="BW942" s="3055"/>
      <c r="BX942" s="3055"/>
      <c r="BY942" s="3055"/>
      <c r="BZ942" s="3055"/>
      <c r="CA942" s="3055"/>
      <c r="CB942" s="3055"/>
      <c r="CC942" s="3056"/>
      <c r="CD942" s="3057">
        <f t="shared" si="0"/>
      </c>
      <c r="CE942" s="3054"/>
      <c r="CF942" s="3054"/>
      <c r="CG942" s="3055"/>
      <c r="CH942" s="3055"/>
      <c r="CI942" s="3055"/>
      <c r="CJ942" s="3055"/>
      <c r="CK942" s="3055"/>
      <c r="CL942" s="3055"/>
      <c r="CM942" s="3055"/>
      <c r="CN942" s="3055"/>
      <c r="CO942" s="3055"/>
      <c r="CP942" s="3055"/>
      <c r="CQ942" s="3055"/>
      <c r="CR942" s="3055"/>
      <c r="CS942" s="3055"/>
      <c r="CU942" s="3054"/>
      <c r="CV942" s="696"/>
      <c r="CW942" s="696"/>
      <c r="CZ942" s="3060">
        <f t="shared" si="17"/>
      </c>
      <c r="DA942" s="3060">
        <f t="shared" si="1"/>
      </c>
      <c r="DB942" s="3060">
        <f t="shared" si="18"/>
      </c>
      <c r="DC942" s="3060">
        <f t="shared" si="19"/>
      </c>
      <c r="DD942" s="3060">
        <f t="shared" si="20"/>
      </c>
      <c r="DE942" s="3060">
        <f t="shared" si="21"/>
      </c>
      <c r="DF942" s="3060">
        <f t="shared" si="22"/>
      </c>
      <c r="DG942" s="3060">
        <f t="shared" si="23"/>
      </c>
      <c r="DH942" s="3060">
        <f t="shared" si="24"/>
      </c>
      <c r="DI942" s="3060">
        <f t="shared" si="1"/>
      </c>
    </row>
    <row r="943" ht="15" customHeight="1" s="3052" customFormat="1">
      <c r="B943" s="3054">
        <f t="shared" si="2"/>
      </c>
      <c r="C943" s="3054"/>
      <c r="D943" s="3054"/>
      <c r="E943" s="3055"/>
      <c r="F943" s="3055"/>
      <c r="G943" s="3055"/>
      <c r="H943" s="3055"/>
      <c r="I943" s="3055"/>
      <c r="J943" s="3055"/>
      <c r="K943" s="3055"/>
      <c r="L943" s="3055"/>
      <c r="M943" s="3055"/>
      <c r="N943" s="3055"/>
      <c r="O943" s="3055"/>
      <c r="P943" s="3055"/>
      <c r="Q943" s="3055"/>
      <c r="R943" s="3055">
        <f t="shared" si="3"/>
        <v>0</v>
      </c>
      <c r="S943" s="3055">
        <f t="shared" si="4"/>
        <v>0</v>
      </c>
      <c r="T943" s="3055">
        <f t="shared" si="5"/>
        <v>0</v>
      </c>
      <c r="U943" s="3055">
        <f t="shared" si="6"/>
        <v>0</v>
      </c>
      <c r="V943" s="3055">
        <f t="shared" si="7"/>
        <v>0</v>
      </c>
      <c r="W943" s="3055">
        <f t="shared" si="8"/>
        <v>0</v>
      </c>
      <c r="X943" s="3055">
        <f t="shared" si="9"/>
        <v>0</v>
      </c>
      <c r="Y943" s="3055">
        <f t="shared" si="10"/>
        <v>0</v>
      </c>
      <c r="Z943" s="3055">
        <f t="shared" si="11"/>
        <v>0</v>
      </c>
      <c r="AA943" s="3055">
        <f t="shared" si="12"/>
        <v>0</v>
      </c>
      <c r="AB943" s="3055">
        <f t="shared" si="13"/>
        <v>0</v>
      </c>
      <c r="AC943" s="3055">
        <f t="shared" si="14"/>
        <v>0</v>
      </c>
      <c r="AD943" s="3056"/>
      <c r="AE943" s="3057">
        <f t="shared" si="0"/>
      </c>
      <c r="AF943" s="3054"/>
      <c r="AG943" s="3054"/>
      <c r="AH943" s="3055"/>
      <c r="AI943" s="3055"/>
      <c r="AJ943" s="3055"/>
      <c r="AK943" s="3055"/>
      <c r="AL943" s="3055"/>
      <c r="AM943" s="3055"/>
      <c r="AN943" s="3055"/>
      <c r="AO943" s="3055"/>
      <c r="AP943" s="3055"/>
      <c r="AQ943" s="3055"/>
      <c r="AR943" s="3055"/>
      <c r="AS943" s="3055"/>
      <c r="AT943" s="3055"/>
      <c r="AU943" s="3056"/>
      <c r="AV943" s="3057">
        <f t="shared" si="15"/>
      </c>
      <c r="AW943" s="3054"/>
      <c r="AX943" s="3054"/>
      <c r="AY943" s="3055"/>
      <c r="AZ943" s="3055"/>
      <c r="BA943" s="3055"/>
      <c r="BB943" s="3055"/>
      <c r="BC943" s="3055"/>
      <c r="BD943" s="3055"/>
      <c r="BE943" s="3055"/>
      <c r="BF943" s="3055"/>
      <c r="BG943" s="3055"/>
      <c r="BH943" s="3055"/>
      <c r="BI943" s="3055"/>
      <c r="BJ943" s="3055"/>
      <c r="BK943" s="3055"/>
      <c r="BL943" s="3056"/>
      <c r="BM943" s="3057">
        <f t="shared" si="16"/>
      </c>
      <c r="BN943" s="3054"/>
      <c r="BO943" s="3054"/>
      <c r="BP943" s="3055"/>
      <c r="BQ943" s="3055"/>
      <c r="BR943" s="3055"/>
      <c r="BS943" s="3055"/>
      <c r="BT943" s="3055"/>
      <c r="BU943" s="3055"/>
      <c r="BV943" s="3055"/>
      <c r="BW943" s="3055"/>
      <c r="BX943" s="3055"/>
      <c r="BY943" s="3055"/>
      <c r="BZ943" s="3055"/>
      <c r="CA943" s="3055"/>
      <c r="CB943" s="3055"/>
      <c r="CC943" s="3056"/>
      <c r="CD943" s="3057">
        <f t="shared" si="0"/>
      </c>
      <c r="CE943" s="3054"/>
      <c r="CF943" s="3054"/>
      <c r="CG943" s="3055"/>
      <c r="CH943" s="3055"/>
      <c r="CI943" s="3055"/>
      <c r="CJ943" s="3055"/>
      <c r="CK943" s="3055"/>
      <c r="CL943" s="3055"/>
      <c r="CM943" s="3055"/>
      <c r="CN943" s="3055"/>
      <c r="CO943" s="3055"/>
      <c r="CP943" s="3055"/>
      <c r="CQ943" s="3055"/>
      <c r="CR943" s="3055"/>
      <c r="CS943" s="3055"/>
      <c r="CU943" s="3054"/>
      <c r="CV943" s="696"/>
      <c r="CW943" s="696"/>
      <c r="CZ943" s="3060">
        <f t="shared" si="17"/>
      </c>
      <c r="DA943" s="3060">
        <f t="shared" si="1"/>
      </c>
      <c r="DB943" s="3060">
        <f t="shared" si="18"/>
      </c>
      <c r="DC943" s="3060">
        <f t="shared" si="19"/>
      </c>
      <c r="DD943" s="3060">
        <f t="shared" si="20"/>
      </c>
      <c r="DE943" s="3060">
        <f t="shared" si="21"/>
      </c>
      <c r="DF943" s="3060">
        <f t="shared" si="22"/>
      </c>
      <c r="DG943" s="3060">
        <f t="shared" si="23"/>
      </c>
      <c r="DH943" s="3060">
        <f t="shared" si="24"/>
      </c>
      <c r="DI943" s="3060">
        <f t="shared" si="1"/>
      </c>
    </row>
    <row r="944" ht="15" customHeight="1" s="3052" customFormat="1">
      <c r="B944" s="3054">
        <f t="shared" si="2"/>
      </c>
      <c r="C944" s="3054"/>
      <c r="D944" s="3054"/>
      <c r="E944" s="3055"/>
      <c r="F944" s="3055"/>
      <c r="G944" s="3055"/>
      <c r="H944" s="3055"/>
      <c r="I944" s="3055"/>
      <c r="J944" s="3055"/>
      <c r="K944" s="3055"/>
      <c r="L944" s="3055"/>
      <c r="M944" s="3055"/>
      <c r="N944" s="3055"/>
      <c r="O944" s="3055"/>
      <c r="P944" s="3055"/>
      <c r="Q944" s="3055"/>
      <c r="R944" s="3055">
        <f t="shared" si="3"/>
        <v>0</v>
      </c>
      <c r="S944" s="3055">
        <f t="shared" si="4"/>
        <v>0</v>
      </c>
      <c r="T944" s="3055">
        <f t="shared" si="5"/>
        <v>0</v>
      </c>
      <c r="U944" s="3055">
        <f t="shared" si="6"/>
        <v>0</v>
      </c>
      <c r="V944" s="3055">
        <f t="shared" si="7"/>
        <v>0</v>
      </c>
      <c r="W944" s="3055">
        <f t="shared" si="8"/>
        <v>0</v>
      </c>
      <c r="X944" s="3055">
        <f t="shared" si="9"/>
        <v>0</v>
      </c>
      <c r="Y944" s="3055">
        <f t="shared" si="10"/>
        <v>0</v>
      </c>
      <c r="Z944" s="3055">
        <f t="shared" si="11"/>
        <v>0</v>
      </c>
      <c r="AA944" s="3055">
        <f t="shared" si="12"/>
        <v>0</v>
      </c>
      <c r="AB944" s="3055">
        <f t="shared" si="13"/>
        <v>0</v>
      </c>
      <c r="AC944" s="3055">
        <f t="shared" si="14"/>
        <v>0</v>
      </c>
      <c r="AD944" s="3056"/>
      <c r="AE944" s="3057">
        <f t="shared" si="0"/>
      </c>
      <c r="AF944" s="3054"/>
      <c r="AG944" s="3054"/>
      <c r="AH944" s="3055"/>
      <c r="AI944" s="3055"/>
      <c r="AJ944" s="3055"/>
      <c r="AK944" s="3055"/>
      <c r="AL944" s="3055"/>
      <c r="AM944" s="3055"/>
      <c r="AN944" s="3055"/>
      <c r="AO944" s="3055"/>
      <c r="AP944" s="3055"/>
      <c r="AQ944" s="3055"/>
      <c r="AR944" s="3055"/>
      <c r="AS944" s="3055"/>
      <c r="AT944" s="3055"/>
      <c r="AU944" s="3056"/>
      <c r="AV944" s="3057">
        <f t="shared" si="15"/>
      </c>
      <c r="AW944" s="3054"/>
      <c r="AX944" s="3054"/>
      <c r="AY944" s="3055"/>
      <c r="AZ944" s="3055"/>
      <c r="BA944" s="3055"/>
      <c r="BB944" s="3055"/>
      <c r="BC944" s="3055"/>
      <c r="BD944" s="3055"/>
      <c r="BE944" s="3055"/>
      <c r="BF944" s="3055"/>
      <c r="BG944" s="3055"/>
      <c r="BH944" s="3055"/>
      <c r="BI944" s="3055"/>
      <c r="BJ944" s="3055"/>
      <c r="BK944" s="3055"/>
      <c r="BL944" s="3056"/>
      <c r="BM944" s="3057">
        <f t="shared" si="16"/>
      </c>
      <c r="BN944" s="3054"/>
      <c r="BO944" s="3054"/>
      <c r="BP944" s="3055"/>
      <c r="BQ944" s="3055"/>
      <c r="BR944" s="3055"/>
      <c r="BS944" s="3055"/>
      <c r="BT944" s="3055"/>
      <c r="BU944" s="3055"/>
      <c r="BV944" s="3055"/>
      <c r="BW944" s="3055"/>
      <c r="BX944" s="3055"/>
      <c r="BY944" s="3055"/>
      <c r="BZ944" s="3055"/>
      <c r="CA944" s="3055"/>
      <c r="CB944" s="3055"/>
      <c r="CC944" s="3056"/>
      <c r="CD944" s="3057">
        <f t="shared" si="0"/>
      </c>
      <c r="CE944" s="3054"/>
      <c r="CF944" s="3054"/>
      <c r="CG944" s="3055"/>
      <c r="CH944" s="3055"/>
      <c r="CI944" s="3055"/>
      <c r="CJ944" s="3055"/>
      <c r="CK944" s="3055"/>
      <c r="CL944" s="3055"/>
      <c r="CM944" s="3055"/>
      <c r="CN944" s="3055"/>
      <c r="CO944" s="3055"/>
      <c r="CP944" s="3055"/>
      <c r="CQ944" s="3055"/>
      <c r="CR944" s="3055"/>
      <c r="CS944" s="3055"/>
      <c r="CU944" s="3054"/>
      <c r="CV944" s="696"/>
      <c r="CW944" s="696"/>
      <c r="CZ944" s="3060">
        <f t="shared" si="17"/>
      </c>
      <c r="DA944" s="3060">
        <f t="shared" si="1"/>
      </c>
      <c r="DB944" s="3060">
        <f t="shared" si="18"/>
      </c>
      <c r="DC944" s="3060">
        <f t="shared" si="19"/>
      </c>
      <c r="DD944" s="3060">
        <f t="shared" si="20"/>
      </c>
      <c r="DE944" s="3060">
        <f t="shared" si="21"/>
      </c>
      <c r="DF944" s="3060">
        <f t="shared" si="22"/>
      </c>
      <c r="DG944" s="3060">
        <f t="shared" si="23"/>
      </c>
      <c r="DH944" s="3060">
        <f t="shared" si="24"/>
      </c>
      <c r="DI944" s="3060">
        <f t="shared" si="1"/>
      </c>
    </row>
    <row r="945" ht="15" customHeight="1" s="3052" customFormat="1">
      <c r="B945" s="3054">
        <f t="shared" si="2"/>
      </c>
      <c r="C945" s="3054"/>
      <c r="D945" s="3054"/>
      <c r="E945" s="3055"/>
      <c r="F945" s="3055"/>
      <c r="G945" s="3055"/>
      <c r="H945" s="3055"/>
      <c r="I945" s="3055"/>
      <c r="J945" s="3055"/>
      <c r="K945" s="3055"/>
      <c r="L945" s="3055"/>
      <c r="M945" s="3055"/>
      <c r="N945" s="3055"/>
      <c r="O945" s="3055"/>
      <c r="P945" s="3055"/>
      <c r="Q945" s="3055"/>
      <c r="R945" s="3055">
        <f t="shared" si="3"/>
        <v>0</v>
      </c>
      <c r="S945" s="3055">
        <f t="shared" si="4"/>
        <v>0</v>
      </c>
      <c r="T945" s="3055">
        <f t="shared" si="5"/>
        <v>0</v>
      </c>
      <c r="U945" s="3055">
        <f t="shared" si="6"/>
        <v>0</v>
      </c>
      <c r="V945" s="3055">
        <f t="shared" si="7"/>
        <v>0</v>
      </c>
      <c r="W945" s="3055">
        <f t="shared" si="8"/>
        <v>0</v>
      </c>
      <c r="X945" s="3055">
        <f t="shared" si="9"/>
        <v>0</v>
      </c>
      <c r="Y945" s="3055">
        <f t="shared" si="10"/>
        <v>0</v>
      </c>
      <c r="Z945" s="3055">
        <f t="shared" si="11"/>
        <v>0</v>
      </c>
      <c r="AA945" s="3055">
        <f t="shared" si="12"/>
        <v>0</v>
      </c>
      <c r="AB945" s="3055">
        <f t="shared" si="13"/>
        <v>0</v>
      </c>
      <c r="AC945" s="3055">
        <f t="shared" si="14"/>
        <v>0</v>
      </c>
      <c r="AD945" s="3056"/>
      <c r="AE945" s="3057">
        <f t="shared" si="0"/>
      </c>
      <c r="AF945" s="3054"/>
      <c r="AG945" s="3054"/>
      <c r="AH945" s="3055"/>
      <c r="AI945" s="3055"/>
      <c r="AJ945" s="3055"/>
      <c r="AK945" s="3055"/>
      <c r="AL945" s="3055"/>
      <c r="AM945" s="3055"/>
      <c r="AN945" s="3055"/>
      <c r="AO945" s="3055"/>
      <c r="AP945" s="3055"/>
      <c r="AQ945" s="3055"/>
      <c r="AR945" s="3055"/>
      <c r="AS945" s="3055"/>
      <c r="AT945" s="3055"/>
      <c r="AU945" s="3056"/>
      <c r="AV945" s="3057">
        <f t="shared" si="15"/>
      </c>
      <c r="AW945" s="3054"/>
      <c r="AX945" s="3054"/>
      <c r="AY945" s="3055"/>
      <c r="AZ945" s="3055"/>
      <c r="BA945" s="3055"/>
      <c r="BB945" s="3055"/>
      <c r="BC945" s="3055"/>
      <c r="BD945" s="3055"/>
      <c r="BE945" s="3055"/>
      <c r="BF945" s="3055"/>
      <c r="BG945" s="3055"/>
      <c r="BH945" s="3055"/>
      <c r="BI945" s="3055"/>
      <c r="BJ945" s="3055"/>
      <c r="BK945" s="3055"/>
      <c r="BL945" s="3056"/>
      <c r="BM945" s="3057">
        <f t="shared" si="16"/>
      </c>
      <c r="BN945" s="3054"/>
      <c r="BO945" s="3054"/>
      <c r="BP945" s="3055"/>
      <c r="BQ945" s="3055"/>
      <c r="BR945" s="3055"/>
      <c r="BS945" s="3055"/>
      <c r="BT945" s="3055"/>
      <c r="BU945" s="3055"/>
      <c r="BV945" s="3055"/>
      <c r="BW945" s="3055"/>
      <c r="BX945" s="3055"/>
      <c r="BY945" s="3055"/>
      <c r="BZ945" s="3055"/>
      <c r="CA945" s="3055"/>
      <c r="CB945" s="3055"/>
      <c r="CC945" s="3056"/>
      <c r="CD945" s="3057">
        <f t="shared" si="0"/>
      </c>
      <c r="CE945" s="3054"/>
      <c r="CF945" s="3054"/>
      <c r="CG945" s="3055"/>
      <c r="CH945" s="3055"/>
      <c r="CI945" s="3055"/>
      <c r="CJ945" s="3055"/>
      <c r="CK945" s="3055"/>
      <c r="CL945" s="3055"/>
      <c r="CM945" s="3055"/>
      <c r="CN945" s="3055"/>
      <c r="CO945" s="3055"/>
      <c r="CP945" s="3055"/>
      <c r="CQ945" s="3055"/>
      <c r="CR945" s="3055"/>
      <c r="CS945" s="3055"/>
      <c r="CU945" s="3054"/>
      <c r="CV945" s="696"/>
      <c r="CW945" s="696"/>
      <c r="CZ945" s="3060">
        <f t="shared" si="17"/>
      </c>
      <c r="DA945" s="3060">
        <f t="shared" si="1"/>
      </c>
      <c r="DB945" s="3060">
        <f t="shared" si="18"/>
      </c>
      <c r="DC945" s="3060">
        <f t="shared" si="19"/>
      </c>
      <c r="DD945" s="3060">
        <f t="shared" si="20"/>
      </c>
      <c r="DE945" s="3060">
        <f t="shared" si="21"/>
      </c>
      <c r="DF945" s="3060">
        <f t="shared" si="22"/>
      </c>
      <c r="DG945" s="3060">
        <f t="shared" si="23"/>
      </c>
      <c r="DH945" s="3060">
        <f t="shared" si="24"/>
      </c>
      <c r="DI945" s="3060">
        <f t="shared" si="1"/>
      </c>
    </row>
    <row r="946" ht="15" customHeight="1" s="3052" customFormat="1">
      <c r="B946" s="3054">
        <f t="shared" si="2"/>
      </c>
      <c r="C946" s="3054"/>
      <c r="D946" s="3054"/>
      <c r="E946" s="3055"/>
      <c r="F946" s="3055"/>
      <c r="G946" s="3055"/>
      <c r="H946" s="3055"/>
      <c r="I946" s="3055"/>
      <c r="J946" s="3055"/>
      <c r="K946" s="3055"/>
      <c r="L946" s="3055"/>
      <c r="M946" s="3055"/>
      <c r="N946" s="3055"/>
      <c r="O946" s="3055"/>
      <c r="P946" s="3055"/>
      <c r="Q946" s="3055"/>
      <c r="R946" s="3055">
        <f t="shared" si="3"/>
        <v>0</v>
      </c>
      <c r="S946" s="3055">
        <f t="shared" si="4"/>
        <v>0</v>
      </c>
      <c r="T946" s="3055">
        <f t="shared" si="5"/>
        <v>0</v>
      </c>
      <c r="U946" s="3055">
        <f t="shared" si="6"/>
        <v>0</v>
      </c>
      <c r="V946" s="3055">
        <f t="shared" si="7"/>
        <v>0</v>
      </c>
      <c r="W946" s="3055">
        <f t="shared" si="8"/>
        <v>0</v>
      </c>
      <c r="X946" s="3055">
        <f t="shared" si="9"/>
        <v>0</v>
      </c>
      <c r="Y946" s="3055">
        <f t="shared" si="10"/>
        <v>0</v>
      </c>
      <c r="Z946" s="3055">
        <f t="shared" si="11"/>
        <v>0</v>
      </c>
      <c r="AA946" s="3055">
        <f t="shared" si="12"/>
        <v>0</v>
      </c>
      <c r="AB946" s="3055">
        <f t="shared" si="13"/>
        <v>0</v>
      </c>
      <c r="AC946" s="3055">
        <f t="shared" si="14"/>
        <v>0</v>
      </c>
      <c r="AD946" s="3056"/>
      <c r="AE946" s="3057">
        <f t="shared" si="0"/>
      </c>
      <c r="AF946" s="3054"/>
      <c r="AG946" s="3054"/>
      <c r="AH946" s="3055"/>
      <c r="AI946" s="3055"/>
      <c r="AJ946" s="3055"/>
      <c r="AK946" s="3055"/>
      <c r="AL946" s="3055"/>
      <c r="AM946" s="3055"/>
      <c r="AN946" s="3055"/>
      <c r="AO946" s="3055"/>
      <c r="AP946" s="3055"/>
      <c r="AQ946" s="3055"/>
      <c r="AR946" s="3055"/>
      <c r="AS946" s="3055"/>
      <c r="AT946" s="3055"/>
      <c r="AU946" s="3056"/>
      <c r="AV946" s="3057">
        <f t="shared" si="15"/>
      </c>
      <c r="AW946" s="3054"/>
      <c r="AX946" s="3054"/>
      <c r="AY946" s="3055"/>
      <c r="AZ946" s="3055"/>
      <c r="BA946" s="3055"/>
      <c r="BB946" s="3055"/>
      <c r="BC946" s="3055"/>
      <c r="BD946" s="3055"/>
      <c r="BE946" s="3055"/>
      <c r="BF946" s="3055"/>
      <c r="BG946" s="3055"/>
      <c r="BH946" s="3055"/>
      <c r="BI946" s="3055"/>
      <c r="BJ946" s="3055"/>
      <c r="BK946" s="3055"/>
      <c r="BL946" s="3056"/>
      <c r="BM946" s="3057">
        <f t="shared" si="16"/>
      </c>
      <c r="BN946" s="3054"/>
      <c r="BO946" s="3054"/>
      <c r="BP946" s="3055"/>
      <c r="BQ946" s="3055"/>
      <c r="BR946" s="3055"/>
      <c r="BS946" s="3055"/>
      <c r="BT946" s="3055"/>
      <c r="BU946" s="3055"/>
      <c r="BV946" s="3055"/>
      <c r="BW946" s="3055"/>
      <c r="BX946" s="3055"/>
      <c r="BY946" s="3055"/>
      <c r="BZ946" s="3055"/>
      <c r="CA946" s="3055"/>
      <c r="CB946" s="3055"/>
      <c r="CC946" s="3056"/>
      <c r="CD946" s="3057">
        <f t="shared" si="0"/>
      </c>
      <c r="CE946" s="3054"/>
      <c r="CF946" s="3054"/>
      <c r="CG946" s="3055"/>
      <c r="CH946" s="3055"/>
      <c r="CI946" s="3055"/>
      <c r="CJ946" s="3055"/>
      <c r="CK946" s="3055"/>
      <c r="CL946" s="3055"/>
      <c r="CM946" s="3055"/>
      <c r="CN946" s="3055"/>
      <c r="CO946" s="3055"/>
      <c r="CP946" s="3055"/>
      <c r="CQ946" s="3055"/>
      <c r="CR946" s="3055"/>
      <c r="CS946" s="3055"/>
      <c r="CU946" s="3054"/>
      <c r="CV946" s="696"/>
      <c r="CW946" s="696"/>
      <c r="CZ946" s="3060">
        <f t="shared" si="17"/>
      </c>
      <c r="DA946" s="3060">
        <f t="shared" si="1"/>
      </c>
      <c r="DB946" s="3060">
        <f t="shared" si="18"/>
      </c>
      <c r="DC946" s="3060">
        <f t="shared" si="19"/>
      </c>
      <c r="DD946" s="3060">
        <f t="shared" si="20"/>
      </c>
      <c r="DE946" s="3060">
        <f t="shared" si="21"/>
      </c>
      <c r="DF946" s="3060">
        <f t="shared" si="22"/>
      </c>
      <c r="DG946" s="3060">
        <f t="shared" si="23"/>
      </c>
      <c r="DH946" s="3060">
        <f t="shared" si="24"/>
      </c>
      <c r="DI946" s="3060">
        <f t="shared" si="1"/>
      </c>
    </row>
    <row r="947" ht="15" customHeight="1" s="3052" customFormat="1">
      <c r="B947" s="3054">
        <f t="shared" si="2"/>
      </c>
      <c r="C947" s="3054"/>
      <c r="D947" s="3054"/>
      <c r="E947" s="3055"/>
      <c r="F947" s="3055"/>
      <c r="G947" s="3055"/>
      <c r="H947" s="3055"/>
      <c r="I947" s="3055"/>
      <c r="J947" s="3055"/>
      <c r="K947" s="3055"/>
      <c r="L947" s="3055"/>
      <c r="M947" s="3055"/>
      <c r="N947" s="3055"/>
      <c r="O947" s="3055"/>
      <c r="P947" s="3055"/>
      <c r="Q947" s="3055"/>
      <c r="R947" s="3055">
        <f t="shared" si="3"/>
        <v>0</v>
      </c>
      <c r="S947" s="3055">
        <f t="shared" si="4"/>
        <v>0</v>
      </c>
      <c r="T947" s="3055">
        <f t="shared" si="5"/>
        <v>0</v>
      </c>
      <c r="U947" s="3055">
        <f t="shared" si="6"/>
        <v>0</v>
      </c>
      <c r="V947" s="3055">
        <f t="shared" si="7"/>
        <v>0</v>
      </c>
      <c r="W947" s="3055">
        <f t="shared" si="8"/>
        <v>0</v>
      </c>
      <c r="X947" s="3055">
        <f t="shared" si="9"/>
        <v>0</v>
      </c>
      <c r="Y947" s="3055">
        <f t="shared" si="10"/>
        <v>0</v>
      </c>
      <c r="Z947" s="3055">
        <f t="shared" si="11"/>
        <v>0</v>
      </c>
      <c r="AA947" s="3055">
        <f t="shared" si="12"/>
        <v>0</v>
      </c>
      <c r="AB947" s="3055">
        <f t="shared" si="13"/>
        <v>0</v>
      </c>
      <c r="AC947" s="3055">
        <f t="shared" si="14"/>
        <v>0</v>
      </c>
      <c r="AD947" s="3056"/>
      <c r="AE947" s="3057">
        <f t="shared" si="0"/>
      </c>
      <c r="AF947" s="3054"/>
      <c r="AG947" s="3054"/>
      <c r="AH947" s="3055"/>
      <c r="AI947" s="3055"/>
      <c r="AJ947" s="3055"/>
      <c r="AK947" s="3055"/>
      <c r="AL947" s="3055"/>
      <c r="AM947" s="3055"/>
      <c r="AN947" s="3055"/>
      <c r="AO947" s="3055"/>
      <c r="AP947" s="3055"/>
      <c r="AQ947" s="3055"/>
      <c r="AR947" s="3055"/>
      <c r="AS947" s="3055"/>
      <c r="AT947" s="3055"/>
      <c r="AU947" s="3056"/>
      <c r="AV947" s="3057">
        <f t="shared" si="15"/>
      </c>
      <c r="AW947" s="3054"/>
      <c r="AX947" s="3054"/>
      <c r="AY947" s="3055"/>
      <c r="AZ947" s="3055"/>
      <c r="BA947" s="3055"/>
      <c r="BB947" s="3055"/>
      <c r="BC947" s="3055"/>
      <c r="BD947" s="3055"/>
      <c r="BE947" s="3055"/>
      <c r="BF947" s="3055"/>
      <c r="BG947" s="3055"/>
      <c r="BH947" s="3055"/>
      <c r="BI947" s="3055"/>
      <c r="BJ947" s="3055"/>
      <c r="BK947" s="3055"/>
      <c r="BL947" s="3056"/>
      <c r="BM947" s="3057">
        <f t="shared" si="16"/>
      </c>
      <c r="BN947" s="3054"/>
      <c r="BO947" s="3054"/>
      <c r="BP947" s="3055"/>
      <c r="BQ947" s="3055"/>
      <c r="BR947" s="3055"/>
      <c r="BS947" s="3055"/>
      <c r="BT947" s="3055"/>
      <c r="BU947" s="3055"/>
      <c r="BV947" s="3055"/>
      <c r="BW947" s="3055"/>
      <c r="BX947" s="3055"/>
      <c r="BY947" s="3055"/>
      <c r="BZ947" s="3055"/>
      <c r="CA947" s="3055"/>
      <c r="CB947" s="3055"/>
      <c r="CC947" s="3056"/>
      <c r="CD947" s="3057">
        <f t="shared" si="0"/>
      </c>
      <c r="CE947" s="3054"/>
      <c r="CF947" s="3054"/>
      <c r="CG947" s="3055"/>
      <c r="CH947" s="3055"/>
      <c r="CI947" s="3055"/>
      <c r="CJ947" s="3055"/>
      <c r="CK947" s="3055"/>
      <c r="CL947" s="3055"/>
      <c r="CM947" s="3055"/>
      <c r="CN947" s="3055"/>
      <c r="CO947" s="3055"/>
      <c r="CP947" s="3055"/>
      <c r="CQ947" s="3055"/>
      <c r="CR947" s="3055"/>
      <c r="CS947" s="3055"/>
      <c r="CU947" s="3054"/>
      <c r="CV947" s="696"/>
      <c r="CW947" s="696"/>
      <c r="CZ947" s="3060">
        <f t="shared" si="17"/>
      </c>
      <c r="DA947" s="3060">
        <f t="shared" si="1"/>
      </c>
      <c r="DB947" s="3060">
        <f t="shared" si="18"/>
      </c>
      <c r="DC947" s="3060">
        <f t="shared" si="19"/>
      </c>
      <c r="DD947" s="3060">
        <f t="shared" si="20"/>
      </c>
      <c r="DE947" s="3060">
        <f t="shared" si="21"/>
      </c>
      <c r="DF947" s="3060">
        <f t="shared" si="22"/>
      </c>
      <c r="DG947" s="3060">
        <f t="shared" si="23"/>
      </c>
      <c r="DH947" s="3060">
        <f t="shared" si="24"/>
      </c>
      <c r="DI947" s="3060">
        <f t="shared" si="1"/>
      </c>
    </row>
    <row r="948" ht="15" customHeight="1" s="3052" customFormat="1">
      <c r="B948" s="3054">
        <f t="shared" si="2"/>
      </c>
      <c r="C948" s="3054"/>
      <c r="D948" s="3054"/>
      <c r="E948" s="3055"/>
      <c r="F948" s="3055"/>
      <c r="G948" s="3055"/>
      <c r="H948" s="3055"/>
      <c r="I948" s="3055"/>
      <c r="J948" s="3055"/>
      <c r="K948" s="3055"/>
      <c r="L948" s="3055"/>
      <c r="M948" s="3055"/>
      <c r="N948" s="3055"/>
      <c r="O948" s="3055"/>
      <c r="P948" s="3055"/>
      <c r="Q948" s="3055"/>
      <c r="R948" s="3055">
        <f t="shared" si="3"/>
        <v>0</v>
      </c>
      <c r="S948" s="3055">
        <f t="shared" si="4"/>
        <v>0</v>
      </c>
      <c r="T948" s="3055">
        <f t="shared" si="5"/>
        <v>0</v>
      </c>
      <c r="U948" s="3055">
        <f t="shared" si="6"/>
        <v>0</v>
      </c>
      <c r="V948" s="3055">
        <f t="shared" si="7"/>
        <v>0</v>
      </c>
      <c r="W948" s="3055">
        <f t="shared" si="8"/>
        <v>0</v>
      </c>
      <c r="X948" s="3055">
        <f t="shared" si="9"/>
        <v>0</v>
      </c>
      <c r="Y948" s="3055">
        <f t="shared" si="10"/>
        <v>0</v>
      </c>
      <c r="Z948" s="3055">
        <f t="shared" si="11"/>
        <v>0</v>
      </c>
      <c r="AA948" s="3055">
        <f t="shared" si="12"/>
        <v>0</v>
      </c>
      <c r="AB948" s="3055">
        <f t="shared" si="13"/>
        <v>0</v>
      </c>
      <c r="AC948" s="3055">
        <f t="shared" si="14"/>
        <v>0</v>
      </c>
      <c r="AD948" s="3056"/>
      <c r="AE948" s="3057">
        <f t="shared" si="0"/>
      </c>
      <c r="AF948" s="3054"/>
      <c r="AG948" s="3054"/>
      <c r="AH948" s="3055"/>
      <c r="AI948" s="3055"/>
      <c r="AJ948" s="3055"/>
      <c r="AK948" s="3055"/>
      <c r="AL948" s="3055"/>
      <c r="AM948" s="3055"/>
      <c r="AN948" s="3055"/>
      <c r="AO948" s="3055"/>
      <c r="AP948" s="3055"/>
      <c r="AQ948" s="3055"/>
      <c r="AR948" s="3055"/>
      <c r="AS948" s="3055"/>
      <c r="AT948" s="3055"/>
      <c r="AU948" s="3056"/>
      <c r="AV948" s="3057">
        <f t="shared" si="15"/>
      </c>
      <c r="AW948" s="3054"/>
      <c r="AX948" s="3054"/>
      <c r="AY948" s="3055"/>
      <c r="AZ948" s="3055"/>
      <c r="BA948" s="3055"/>
      <c r="BB948" s="3055"/>
      <c r="BC948" s="3055"/>
      <c r="BD948" s="3055"/>
      <c r="BE948" s="3055"/>
      <c r="BF948" s="3055"/>
      <c r="BG948" s="3055"/>
      <c r="BH948" s="3055"/>
      <c r="BI948" s="3055"/>
      <c r="BJ948" s="3055"/>
      <c r="BK948" s="3055"/>
      <c r="BL948" s="3056"/>
      <c r="BM948" s="3057">
        <f t="shared" si="16"/>
      </c>
      <c r="BN948" s="3054"/>
      <c r="BO948" s="3054"/>
      <c r="BP948" s="3055"/>
      <c r="BQ948" s="3055"/>
      <c r="BR948" s="3055"/>
      <c r="BS948" s="3055"/>
      <c r="BT948" s="3055"/>
      <c r="BU948" s="3055"/>
      <c r="BV948" s="3055"/>
      <c r="BW948" s="3055"/>
      <c r="BX948" s="3055"/>
      <c r="BY948" s="3055"/>
      <c r="BZ948" s="3055"/>
      <c r="CA948" s="3055"/>
      <c r="CB948" s="3055"/>
      <c r="CC948" s="3056"/>
      <c r="CD948" s="3057">
        <f t="shared" si="0"/>
      </c>
      <c r="CE948" s="3054"/>
      <c r="CF948" s="3054"/>
      <c r="CG948" s="3055"/>
      <c r="CH948" s="3055"/>
      <c r="CI948" s="3055"/>
      <c r="CJ948" s="3055"/>
      <c r="CK948" s="3055"/>
      <c r="CL948" s="3055"/>
      <c r="CM948" s="3055"/>
      <c r="CN948" s="3055"/>
      <c r="CO948" s="3055"/>
      <c r="CP948" s="3055"/>
      <c r="CQ948" s="3055"/>
      <c r="CR948" s="3055"/>
      <c r="CS948" s="3055"/>
      <c r="CU948" s="3054"/>
      <c r="CV948" s="696"/>
      <c r="CW948" s="696"/>
      <c r="CZ948" s="3060">
        <f t="shared" si="17"/>
      </c>
      <c r="DA948" s="3060">
        <f t="shared" si="1"/>
      </c>
      <c r="DB948" s="3060">
        <f t="shared" si="18"/>
      </c>
      <c r="DC948" s="3060">
        <f t="shared" si="19"/>
      </c>
      <c r="DD948" s="3060">
        <f t="shared" si="20"/>
      </c>
      <c r="DE948" s="3060">
        <f t="shared" si="21"/>
      </c>
      <c r="DF948" s="3060">
        <f t="shared" si="22"/>
      </c>
      <c r="DG948" s="3060">
        <f t="shared" si="23"/>
      </c>
      <c r="DH948" s="3060">
        <f t="shared" si="24"/>
      </c>
      <c r="DI948" s="3060">
        <f t="shared" si="1"/>
      </c>
    </row>
    <row r="949" ht="15" customHeight="1" s="3052" customFormat="1">
      <c r="B949" s="3054">
        <f t="shared" si="2"/>
      </c>
      <c r="C949" s="3054"/>
      <c r="D949" s="3054"/>
      <c r="E949" s="3055"/>
      <c r="F949" s="3055"/>
      <c r="G949" s="3055"/>
      <c r="H949" s="3055"/>
      <c r="I949" s="3055"/>
      <c r="J949" s="3055"/>
      <c r="K949" s="3055"/>
      <c r="L949" s="3055"/>
      <c r="M949" s="3055"/>
      <c r="N949" s="3055"/>
      <c r="O949" s="3055"/>
      <c r="P949" s="3055"/>
      <c r="Q949" s="3055"/>
      <c r="R949" s="3055">
        <f t="shared" si="3"/>
        <v>0</v>
      </c>
      <c r="S949" s="3055">
        <f t="shared" si="4"/>
        <v>0</v>
      </c>
      <c r="T949" s="3055">
        <f t="shared" si="5"/>
        <v>0</v>
      </c>
      <c r="U949" s="3055">
        <f t="shared" si="6"/>
        <v>0</v>
      </c>
      <c r="V949" s="3055">
        <f t="shared" si="7"/>
        <v>0</v>
      </c>
      <c r="W949" s="3055">
        <f t="shared" si="8"/>
        <v>0</v>
      </c>
      <c r="X949" s="3055">
        <f t="shared" si="9"/>
        <v>0</v>
      </c>
      <c r="Y949" s="3055">
        <f t="shared" si="10"/>
        <v>0</v>
      </c>
      <c r="Z949" s="3055">
        <f t="shared" si="11"/>
        <v>0</v>
      </c>
      <c r="AA949" s="3055">
        <f t="shared" si="12"/>
        <v>0</v>
      </c>
      <c r="AB949" s="3055">
        <f t="shared" si="13"/>
        <v>0</v>
      </c>
      <c r="AC949" s="3055">
        <f t="shared" si="14"/>
        <v>0</v>
      </c>
      <c r="AD949" s="3056"/>
      <c r="AE949" s="3057">
        <f t="shared" si="0"/>
      </c>
      <c r="AF949" s="3054"/>
      <c r="AG949" s="3054"/>
      <c r="AH949" s="3055"/>
      <c r="AI949" s="3055"/>
      <c r="AJ949" s="3055"/>
      <c r="AK949" s="3055"/>
      <c r="AL949" s="3055"/>
      <c r="AM949" s="3055"/>
      <c r="AN949" s="3055"/>
      <c r="AO949" s="3055"/>
      <c r="AP949" s="3055"/>
      <c r="AQ949" s="3055"/>
      <c r="AR949" s="3055"/>
      <c r="AS949" s="3055"/>
      <c r="AT949" s="3055"/>
      <c r="AU949" s="3056"/>
      <c r="AV949" s="3057">
        <f t="shared" si="15"/>
      </c>
      <c r="AW949" s="3054"/>
      <c r="AX949" s="3054"/>
      <c r="AY949" s="3055"/>
      <c r="AZ949" s="3055"/>
      <c r="BA949" s="3055"/>
      <c r="BB949" s="3055"/>
      <c r="BC949" s="3055"/>
      <c r="BD949" s="3055"/>
      <c r="BE949" s="3055"/>
      <c r="BF949" s="3055"/>
      <c r="BG949" s="3055"/>
      <c r="BH949" s="3055"/>
      <c r="BI949" s="3055"/>
      <c r="BJ949" s="3055"/>
      <c r="BK949" s="3055"/>
      <c r="BL949" s="3056"/>
      <c r="BM949" s="3057">
        <f t="shared" si="16"/>
      </c>
      <c r="BN949" s="3054"/>
      <c r="BO949" s="3054"/>
      <c r="BP949" s="3055"/>
      <c r="BQ949" s="3055"/>
      <c r="BR949" s="3055"/>
      <c r="BS949" s="3055"/>
      <c r="BT949" s="3055"/>
      <c r="BU949" s="3055"/>
      <c r="BV949" s="3055"/>
      <c r="BW949" s="3055"/>
      <c r="BX949" s="3055"/>
      <c r="BY949" s="3055"/>
      <c r="BZ949" s="3055"/>
      <c r="CA949" s="3055"/>
      <c r="CB949" s="3055"/>
      <c r="CC949" s="3056"/>
      <c r="CD949" s="3057">
        <f t="shared" si="0"/>
      </c>
      <c r="CE949" s="3054"/>
      <c r="CF949" s="3054"/>
      <c r="CG949" s="3055"/>
      <c r="CH949" s="3055"/>
      <c r="CI949" s="3055"/>
      <c r="CJ949" s="3055"/>
      <c r="CK949" s="3055"/>
      <c r="CL949" s="3055"/>
      <c r="CM949" s="3055"/>
      <c r="CN949" s="3055"/>
      <c r="CO949" s="3055"/>
      <c r="CP949" s="3055"/>
      <c r="CQ949" s="3055"/>
      <c r="CR949" s="3055"/>
      <c r="CS949" s="3055"/>
      <c r="CU949" s="3054"/>
      <c r="CV949" s="696"/>
      <c r="CW949" s="696"/>
      <c r="CZ949" s="3060">
        <f t="shared" si="17"/>
      </c>
      <c r="DA949" s="3060">
        <f t="shared" si="1"/>
      </c>
      <c r="DB949" s="3060">
        <f t="shared" si="18"/>
      </c>
      <c r="DC949" s="3060">
        <f t="shared" si="19"/>
      </c>
      <c r="DD949" s="3060">
        <f t="shared" si="20"/>
      </c>
      <c r="DE949" s="3060">
        <f t="shared" si="21"/>
      </c>
      <c r="DF949" s="3060">
        <f t="shared" si="22"/>
      </c>
      <c r="DG949" s="3060">
        <f t="shared" si="23"/>
      </c>
      <c r="DH949" s="3060">
        <f t="shared" si="24"/>
      </c>
      <c r="DI949" s="3060">
        <f t="shared" si="1"/>
      </c>
    </row>
    <row r="950" ht="15" customHeight="1" s="3052" customFormat="1">
      <c r="B950" s="3054">
        <f t="shared" si="2"/>
      </c>
      <c r="C950" s="3054"/>
      <c r="D950" s="3054"/>
      <c r="E950" s="3055"/>
      <c r="F950" s="3055"/>
      <c r="G950" s="3055"/>
      <c r="H950" s="3055"/>
      <c r="I950" s="3055"/>
      <c r="J950" s="3055"/>
      <c r="K950" s="3055"/>
      <c r="L950" s="3055"/>
      <c r="M950" s="3055"/>
      <c r="N950" s="3055"/>
      <c r="O950" s="3055"/>
      <c r="P950" s="3055"/>
      <c r="Q950" s="3055"/>
      <c r="R950" s="3055">
        <f t="shared" si="3"/>
        <v>0</v>
      </c>
      <c r="S950" s="3055">
        <f t="shared" si="4"/>
        <v>0</v>
      </c>
      <c r="T950" s="3055">
        <f t="shared" si="5"/>
        <v>0</v>
      </c>
      <c r="U950" s="3055">
        <f t="shared" si="6"/>
        <v>0</v>
      </c>
      <c r="V950" s="3055">
        <f t="shared" si="7"/>
        <v>0</v>
      </c>
      <c r="W950" s="3055">
        <f t="shared" si="8"/>
        <v>0</v>
      </c>
      <c r="X950" s="3055">
        <f t="shared" si="9"/>
        <v>0</v>
      </c>
      <c r="Y950" s="3055">
        <f t="shared" si="10"/>
        <v>0</v>
      </c>
      <c r="Z950" s="3055">
        <f t="shared" si="11"/>
        <v>0</v>
      </c>
      <c r="AA950" s="3055">
        <f t="shared" si="12"/>
        <v>0</v>
      </c>
      <c r="AB950" s="3055">
        <f t="shared" si="13"/>
        <v>0</v>
      </c>
      <c r="AC950" s="3055">
        <f t="shared" si="14"/>
        <v>0</v>
      </c>
      <c r="AD950" s="3056"/>
      <c r="AE950" s="3057">
        <f t="shared" si="0"/>
      </c>
      <c r="AF950" s="3054"/>
      <c r="AG950" s="3054"/>
      <c r="AH950" s="3055"/>
      <c r="AI950" s="3055"/>
      <c r="AJ950" s="3055"/>
      <c r="AK950" s="3055"/>
      <c r="AL950" s="3055"/>
      <c r="AM950" s="3055"/>
      <c r="AN950" s="3055"/>
      <c r="AO950" s="3055"/>
      <c r="AP950" s="3055"/>
      <c r="AQ950" s="3055"/>
      <c r="AR950" s="3055"/>
      <c r="AS950" s="3055"/>
      <c r="AT950" s="3055"/>
      <c r="AU950" s="3056"/>
      <c r="AV950" s="3057">
        <f t="shared" si="15"/>
      </c>
      <c r="AW950" s="3054"/>
      <c r="AX950" s="3054"/>
      <c r="AY950" s="3055"/>
      <c r="AZ950" s="3055"/>
      <c r="BA950" s="3055"/>
      <c r="BB950" s="3055"/>
      <c r="BC950" s="3055"/>
      <c r="BD950" s="3055"/>
      <c r="BE950" s="3055"/>
      <c r="BF950" s="3055"/>
      <c r="BG950" s="3055"/>
      <c r="BH950" s="3055"/>
      <c r="BI950" s="3055"/>
      <c r="BJ950" s="3055"/>
      <c r="BK950" s="3055"/>
      <c r="BL950" s="3056"/>
      <c r="BM950" s="3057">
        <f t="shared" si="16"/>
      </c>
      <c r="BN950" s="3054"/>
      <c r="BO950" s="3054"/>
      <c r="BP950" s="3055"/>
      <c r="BQ950" s="3055"/>
      <c r="BR950" s="3055"/>
      <c r="BS950" s="3055"/>
      <c r="BT950" s="3055"/>
      <c r="BU950" s="3055"/>
      <c r="BV950" s="3055"/>
      <c r="BW950" s="3055"/>
      <c r="BX950" s="3055"/>
      <c r="BY950" s="3055"/>
      <c r="BZ950" s="3055"/>
      <c r="CA950" s="3055"/>
      <c r="CB950" s="3055"/>
      <c r="CC950" s="3056"/>
      <c r="CD950" s="3057">
        <f t="shared" si="0"/>
      </c>
      <c r="CE950" s="3054"/>
      <c r="CF950" s="3054"/>
      <c r="CG950" s="3055"/>
      <c r="CH950" s="3055"/>
      <c r="CI950" s="3055"/>
      <c r="CJ950" s="3055"/>
      <c r="CK950" s="3055"/>
      <c r="CL950" s="3055"/>
      <c r="CM950" s="3055"/>
      <c r="CN950" s="3055"/>
      <c r="CO950" s="3055"/>
      <c r="CP950" s="3055"/>
      <c r="CQ950" s="3055"/>
      <c r="CR950" s="3055"/>
      <c r="CS950" s="3055"/>
      <c r="CU950" s="3054"/>
      <c r="CV950" s="696"/>
      <c r="CW950" s="696"/>
      <c r="CZ950" s="3060">
        <f t="shared" si="17"/>
      </c>
      <c r="DA950" s="3060">
        <f t="shared" si="1"/>
      </c>
      <c r="DB950" s="3060">
        <f t="shared" si="18"/>
      </c>
      <c r="DC950" s="3060">
        <f t="shared" si="19"/>
      </c>
      <c r="DD950" s="3060">
        <f t="shared" si="20"/>
      </c>
      <c r="DE950" s="3060">
        <f t="shared" si="21"/>
      </c>
      <c r="DF950" s="3060">
        <f t="shared" si="22"/>
      </c>
      <c r="DG950" s="3060">
        <f t="shared" si="23"/>
      </c>
      <c r="DH950" s="3060">
        <f t="shared" si="24"/>
      </c>
      <c r="DI950" s="3060">
        <f t="shared" si="1"/>
      </c>
    </row>
    <row r="951" ht="15" customHeight="1" s="3052" customFormat="1">
      <c r="B951" s="3054">
        <f t="shared" si="2"/>
      </c>
      <c r="C951" s="3054"/>
      <c r="D951" s="3054"/>
      <c r="E951" s="3055"/>
      <c r="F951" s="3055"/>
      <c r="G951" s="3055"/>
      <c r="H951" s="3055"/>
      <c r="I951" s="3055"/>
      <c r="J951" s="3055"/>
      <c r="K951" s="3055"/>
      <c r="L951" s="3055"/>
      <c r="M951" s="3055"/>
      <c r="N951" s="3055"/>
      <c r="O951" s="3055"/>
      <c r="P951" s="3055"/>
      <c r="Q951" s="3055"/>
      <c r="R951" s="3055">
        <f t="shared" si="3"/>
        <v>0</v>
      </c>
      <c r="S951" s="3055">
        <f t="shared" si="4"/>
        <v>0</v>
      </c>
      <c r="T951" s="3055">
        <f t="shared" si="5"/>
        <v>0</v>
      </c>
      <c r="U951" s="3055">
        <f t="shared" si="6"/>
        <v>0</v>
      </c>
      <c r="V951" s="3055">
        <f t="shared" si="7"/>
        <v>0</v>
      </c>
      <c r="W951" s="3055">
        <f t="shared" si="8"/>
        <v>0</v>
      </c>
      <c r="X951" s="3055">
        <f t="shared" si="9"/>
        <v>0</v>
      </c>
      <c r="Y951" s="3055">
        <f t="shared" si="10"/>
        <v>0</v>
      </c>
      <c r="Z951" s="3055">
        <f t="shared" si="11"/>
        <v>0</v>
      </c>
      <c r="AA951" s="3055">
        <f t="shared" si="12"/>
        <v>0</v>
      </c>
      <c r="AB951" s="3055">
        <f t="shared" si="13"/>
        <v>0</v>
      </c>
      <c r="AC951" s="3055">
        <f t="shared" si="14"/>
        <v>0</v>
      </c>
      <c r="AD951" s="3056"/>
      <c r="AE951" s="3057">
        <f t="shared" si="0"/>
      </c>
      <c r="AF951" s="3054"/>
      <c r="AG951" s="3054"/>
      <c r="AH951" s="3055"/>
      <c r="AI951" s="3055"/>
      <c r="AJ951" s="3055"/>
      <c r="AK951" s="3055"/>
      <c r="AL951" s="3055"/>
      <c r="AM951" s="3055"/>
      <c r="AN951" s="3055"/>
      <c r="AO951" s="3055"/>
      <c r="AP951" s="3055"/>
      <c r="AQ951" s="3055"/>
      <c r="AR951" s="3055"/>
      <c r="AS951" s="3055"/>
      <c r="AT951" s="3055"/>
      <c r="AU951" s="3056"/>
      <c r="AV951" s="3057">
        <f t="shared" si="15"/>
      </c>
      <c r="AW951" s="3054"/>
      <c r="AX951" s="3054"/>
      <c r="AY951" s="3055"/>
      <c r="AZ951" s="3055"/>
      <c r="BA951" s="3055"/>
      <c r="BB951" s="3055"/>
      <c r="BC951" s="3055"/>
      <c r="BD951" s="3055"/>
      <c r="BE951" s="3055"/>
      <c r="BF951" s="3055"/>
      <c r="BG951" s="3055"/>
      <c r="BH951" s="3055"/>
      <c r="BI951" s="3055"/>
      <c r="BJ951" s="3055"/>
      <c r="BK951" s="3055"/>
      <c r="BL951" s="3056"/>
      <c r="BM951" s="3057">
        <f t="shared" si="16"/>
      </c>
      <c r="BN951" s="3054"/>
      <c r="BO951" s="3054"/>
      <c r="BP951" s="3055"/>
      <c r="BQ951" s="3055"/>
      <c r="BR951" s="3055"/>
      <c r="BS951" s="3055"/>
      <c r="BT951" s="3055"/>
      <c r="BU951" s="3055"/>
      <c r="BV951" s="3055"/>
      <c r="BW951" s="3055"/>
      <c r="BX951" s="3055"/>
      <c r="BY951" s="3055"/>
      <c r="BZ951" s="3055"/>
      <c r="CA951" s="3055"/>
      <c r="CB951" s="3055"/>
      <c r="CC951" s="3056"/>
      <c r="CD951" s="3057">
        <f t="shared" si="0"/>
      </c>
      <c r="CE951" s="3054"/>
      <c r="CF951" s="3054"/>
      <c r="CG951" s="3055"/>
      <c r="CH951" s="3055"/>
      <c r="CI951" s="3055"/>
      <c r="CJ951" s="3055"/>
      <c r="CK951" s="3055"/>
      <c r="CL951" s="3055"/>
      <c r="CM951" s="3055"/>
      <c r="CN951" s="3055"/>
      <c r="CO951" s="3055"/>
      <c r="CP951" s="3055"/>
      <c r="CQ951" s="3055"/>
      <c r="CR951" s="3055"/>
      <c r="CS951" s="3055"/>
      <c r="CU951" s="3054"/>
      <c r="CV951" s="696"/>
      <c r="CW951" s="696"/>
      <c r="CZ951" s="3060">
        <f t="shared" si="17"/>
      </c>
      <c r="DA951" s="3060">
        <f t="shared" si="1"/>
      </c>
      <c r="DB951" s="3060">
        <f t="shared" si="18"/>
      </c>
      <c r="DC951" s="3060">
        <f t="shared" si="19"/>
      </c>
      <c r="DD951" s="3060">
        <f t="shared" si="20"/>
      </c>
      <c r="DE951" s="3060">
        <f t="shared" si="21"/>
      </c>
      <c r="DF951" s="3060">
        <f t="shared" si="22"/>
      </c>
      <c r="DG951" s="3060">
        <f t="shared" si="23"/>
      </c>
      <c r="DH951" s="3060">
        <f t="shared" si="24"/>
      </c>
      <c r="DI951" s="3060">
        <f t="shared" si="1"/>
      </c>
    </row>
    <row r="952" ht="15" customHeight="1" s="3052" customFormat="1">
      <c r="B952" s="3054">
        <f t="shared" si="2"/>
      </c>
      <c r="C952" s="3054"/>
      <c r="D952" s="3054"/>
      <c r="E952" s="3055"/>
      <c r="F952" s="3055"/>
      <c r="G952" s="3055"/>
      <c r="H952" s="3055"/>
      <c r="I952" s="3055"/>
      <c r="J952" s="3055"/>
      <c r="K952" s="3055"/>
      <c r="L952" s="3055"/>
      <c r="M952" s="3055"/>
      <c r="N952" s="3055"/>
      <c r="O952" s="3055"/>
      <c r="P952" s="3055"/>
      <c r="Q952" s="3055"/>
      <c r="R952" s="3055">
        <f t="shared" si="3"/>
        <v>0</v>
      </c>
      <c r="S952" s="3055">
        <f t="shared" si="4"/>
        <v>0</v>
      </c>
      <c r="T952" s="3055">
        <f t="shared" si="5"/>
        <v>0</v>
      </c>
      <c r="U952" s="3055">
        <f t="shared" si="6"/>
        <v>0</v>
      </c>
      <c r="V952" s="3055">
        <f t="shared" si="7"/>
        <v>0</v>
      </c>
      <c r="W952" s="3055">
        <f t="shared" si="8"/>
        <v>0</v>
      </c>
      <c r="X952" s="3055">
        <f t="shared" si="9"/>
        <v>0</v>
      </c>
      <c r="Y952" s="3055">
        <f t="shared" si="10"/>
        <v>0</v>
      </c>
      <c r="Z952" s="3055">
        <f t="shared" si="11"/>
        <v>0</v>
      </c>
      <c r="AA952" s="3055">
        <f t="shared" si="12"/>
        <v>0</v>
      </c>
      <c r="AB952" s="3055">
        <f t="shared" si="13"/>
        <v>0</v>
      </c>
      <c r="AC952" s="3055">
        <f t="shared" si="14"/>
        <v>0</v>
      </c>
      <c r="AD952" s="3056"/>
      <c r="AE952" s="3057">
        <f t="shared" si="0"/>
      </c>
      <c r="AF952" s="3054"/>
      <c r="AG952" s="3054"/>
      <c r="AH952" s="3055"/>
      <c r="AI952" s="3055"/>
      <c r="AJ952" s="3055"/>
      <c r="AK952" s="3055"/>
      <c r="AL952" s="3055"/>
      <c r="AM952" s="3055"/>
      <c r="AN952" s="3055"/>
      <c r="AO952" s="3055"/>
      <c r="AP952" s="3055"/>
      <c r="AQ952" s="3055"/>
      <c r="AR952" s="3055"/>
      <c r="AS952" s="3055"/>
      <c r="AT952" s="3055"/>
      <c r="AU952" s="3056"/>
      <c r="AV952" s="3057">
        <f t="shared" si="15"/>
      </c>
      <c r="AW952" s="3054"/>
      <c r="AX952" s="3054"/>
      <c r="AY952" s="3055"/>
      <c r="AZ952" s="3055"/>
      <c r="BA952" s="3055"/>
      <c r="BB952" s="3055"/>
      <c r="BC952" s="3055"/>
      <c r="BD952" s="3055"/>
      <c r="BE952" s="3055"/>
      <c r="BF952" s="3055"/>
      <c r="BG952" s="3055"/>
      <c r="BH952" s="3055"/>
      <c r="BI952" s="3055"/>
      <c r="BJ952" s="3055"/>
      <c r="BK952" s="3055"/>
      <c r="BL952" s="3056"/>
      <c r="BM952" s="3057">
        <f t="shared" si="16"/>
      </c>
      <c r="BN952" s="3054"/>
      <c r="BO952" s="3054"/>
      <c r="BP952" s="3055"/>
      <c r="BQ952" s="3055"/>
      <c r="BR952" s="3055"/>
      <c r="BS952" s="3055"/>
      <c r="BT952" s="3055"/>
      <c r="BU952" s="3055"/>
      <c r="BV952" s="3055"/>
      <c r="BW952" s="3055"/>
      <c r="BX952" s="3055"/>
      <c r="BY952" s="3055"/>
      <c r="BZ952" s="3055"/>
      <c r="CA952" s="3055"/>
      <c r="CB952" s="3055"/>
      <c r="CC952" s="3056"/>
      <c r="CD952" s="3057">
        <f t="shared" si="0"/>
      </c>
      <c r="CE952" s="3054"/>
      <c r="CF952" s="3054"/>
      <c r="CG952" s="3055"/>
      <c r="CH952" s="3055"/>
      <c r="CI952" s="3055"/>
      <c r="CJ952" s="3055"/>
      <c r="CK952" s="3055"/>
      <c r="CL952" s="3055"/>
      <c r="CM952" s="3055"/>
      <c r="CN952" s="3055"/>
      <c r="CO952" s="3055"/>
      <c r="CP952" s="3055"/>
      <c r="CQ952" s="3055"/>
      <c r="CR952" s="3055"/>
      <c r="CS952" s="3055"/>
      <c r="CU952" s="3054"/>
      <c r="CV952" s="696"/>
      <c r="CW952" s="696"/>
      <c r="CZ952" s="3060">
        <f t="shared" si="17"/>
      </c>
      <c r="DA952" s="3060">
        <f t="shared" si="1"/>
      </c>
      <c r="DB952" s="3060">
        <f t="shared" si="18"/>
      </c>
      <c r="DC952" s="3060">
        <f t="shared" si="19"/>
      </c>
      <c r="DD952" s="3060">
        <f t="shared" si="20"/>
      </c>
      <c r="DE952" s="3060">
        <f t="shared" si="21"/>
      </c>
      <c r="DF952" s="3060">
        <f t="shared" si="22"/>
      </c>
      <c r="DG952" s="3060">
        <f t="shared" si="23"/>
      </c>
      <c r="DH952" s="3060">
        <f t="shared" si="24"/>
      </c>
      <c r="DI952" s="3060">
        <f t="shared" si="1"/>
      </c>
    </row>
    <row r="953" ht="15" customHeight="1" s="3052" customFormat="1">
      <c r="B953" s="3054">
        <f t="shared" si="2"/>
      </c>
      <c r="C953" s="3054"/>
      <c r="D953" s="3054"/>
      <c r="E953" s="3055"/>
      <c r="F953" s="3055"/>
      <c r="G953" s="3055"/>
      <c r="H953" s="3055"/>
      <c r="I953" s="3055"/>
      <c r="J953" s="3055"/>
      <c r="K953" s="3055"/>
      <c r="L953" s="3055"/>
      <c r="M953" s="3055"/>
      <c r="N953" s="3055"/>
      <c r="O953" s="3055"/>
      <c r="P953" s="3055"/>
      <c r="Q953" s="3055"/>
      <c r="R953" s="3055">
        <f t="shared" si="3"/>
        <v>0</v>
      </c>
      <c r="S953" s="3055">
        <f t="shared" si="4"/>
        <v>0</v>
      </c>
      <c r="T953" s="3055">
        <f t="shared" si="5"/>
        <v>0</v>
      </c>
      <c r="U953" s="3055">
        <f t="shared" si="6"/>
        <v>0</v>
      </c>
      <c r="V953" s="3055">
        <f t="shared" si="7"/>
        <v>0</v>
      </c>
      <c r="W953" s="3055">
        <f t="shared" si="8"/>
        <v>0</v>
      </c>
      <c r="X953" s="3055">
        <f t="shared" si="9"/>
        <v>0</v>
      </c>
      <c r="Y953" s="3055">
        <f t="shared" si="10"/>
        <v>0</v>
      </c>
      <c r="Z953" s="3055">
        <f t="shared" si="11"/>
        <v>0</v>
      </c>
      <c r="AA953" s="3055">
        <f t="shared" si="12"/>
        <v>0</v>
      </c>
      <c r="AB953" s="3055">
        <f t="shared" si="13"/>
        <v>0</v>
      </c>
      <c r="AC953" s="3055">
        <f t="shared" si="14"/>
        <v>0</v>
      </c>
      <c r="AD953" s="3056"/>
      <c r="AE953" s="3057">
        <f t="shared" si="0"/>
      </c>
      <c r="AF953" s="3054"/>
      <c r="AG953" s="3054"/>
      <c r="AH953" s="3055"/>
      <c r="AI953" s="3055"/>
      <c r="AJ953" s="3055"/>
      <c r="AK953" s="3055"/>
      <c r="AL953" s="3055"/>
      <c r="AM953" s="3055"/>
      <c r="AN953" s="3055"/>
      <c r="AO953" s="3055"/>
      <c r="AP953" s="3055"/>
      <c r="AQ953" s="3055"/>
      <c r="AR953" s="3055"/>
      <c r="AS953" s="3055"/>
      <c r="AT953" s="3055"/>
      <c r="AU953" s="3056"/>
      <c r="AV953" s="3057">
        <f t="shared" si="15"/>
      </c>
      <c r="AW953" s="3054"/>
      <c r="AX953" s="3054"/>
      <c r="AY953" s="3055"/>
      <c r="AZ953" s="3055"/>
      <c r="BA953" s="3055"/>
      <c r="BB953" s="3055"/>
      <c r="BC953" s="3055"/>
      <c r="BD953" s="3055"/>
      <c r="BE953" s="3055"/>
      <c r="BF953" s="3055"/>
      <c r="BG953" s="3055"/>
      <c r="BH953" s="3055"/>
      <c r="BI953" s="3055"/>
      <c r="BJ953" s="3055"/>
      <c r="BK953" s="3055"/>
      <c r="BL953" s="3056"/>
      <c r="BM953" s="3057">
        <f t="shared" si="16"/>
      </c>
      <c r="BN953" s="3054"/>
      <c r="BO953" s="3054"/>
      <c r="BP953" s="3055"/>
      <c r="BQ953" s="3055"/>
      <c r="BR953" s="3055"/>
      <c r="BS953" s="3055"/>
      <c r="BT953" s="3055"/>
      <c r="BU953" s="3055"/>
      <c r="BV953" s="3055"/>
      <c r="BW953" s="3055"/>
      <c r="BX953" s="3055"/>
      <c r="BY953" s="3055"/>
      <c r="BZ953" s="3055"/>
      <c r="CA953" s="3055"/>
      <c r="CB953" s="3055"/>
      <c r="CC953" s="3056"/>
      <c r="CD953" s="3057">
        <f t="shared" si="0"/>
      </c>
      <c r="CE953" s="3054"/>
      <c r="CF953" s="3054"/>
      <c r="CG953" s="3055"/>
      <c r="CH953" s="3055"/>
      <c r="CI953" s="3055"/>
      <c r="CJ953" s="3055"/>
      <c r="CK953" s="3055"/>
      <c r="CL953" s="3055"/>
      <c r="CM953" s="3055"/>
      <c r="CN953" s="3055"/>
      <c r="CO953" s="3055"/>
      <c r="CP953" s="3055"/>
      <c r="CQ953" s="3055"/>
      <c r="CR953" s="3055"/>
      <c r="CS953" s="3055"/>
      <c r="CU953" s="3054"/>
      <c r="CV953" s="696"/>
      <c r="CW953" s="696"/>
      <c r="CZ953" s="3060">
        <f t="shared" si="17"/>
      </c>
      <c r="DA953" s="3060">
        <f t="shared" si="1"/>
      </c>
      <c r="DB953" s="3060">
        <f t="shared" si="18"/>
      </c>
      <c r="DC953" s="3060">
        <f t="shared" si="19"/>
      </c>
      <c r="DD953" s="3060">
        <f t="shared" si="20"/>
      </c>
      <c r="DE953" s="3060">
        <f t="shared" si="21"/>
      </c>
      <c r="DF953" s="3060">
        <f t="shared" si="22"/>
      </c>
      <c r="DG953" s="3060">
        <f t="shared" si="23"/>
      </c>
      <c r="DH953" s="3060">
        <f t="shared" si="24"/>
      </c>
      <c r="DI953" s="3060">
        <f t="shared" si="1"/>
      </c>
    </row>
    <row r="954" ht="15" customHeight="1" s="3052" customFormat="1">
      <c r="B954" s="3054">
        <f t="shared" si="2"/>
      </c>
      <c r="C954" s="3054"/>
      <c r="D954" s="3054"/>
      <c r="E954" s="3055"/>
      <c r="F954" s="3055"/>
      <c r="G954" s="3055"/>
      <c r="H954" s="3055"/>
      <c r="I954" s="3055"/>
      <c r="J954" s="3055"/>
      <c r="K954" s="3055"/>
      <c r="L954" s="3055"/>
      <c r="M954" s="3055"/>
      <c r="N954" s="3055"/>
      <c r="O954" s="3055"/>
      <c r="P954" s="3055"/>
      <c r="Q954" s="3055"/>
      <c r="R954" s="3055">
        <f t="shared" si="3"/>
        <v>0</v>
      </c>
      <c r="S954" s="3055">
        <f t="shared" si="4"/>
        <v>0</v>
      </c>
      <c r="T954" s="3055">
        <f t="shared" si="5"/>
        <v>0</v>
      </c>
      <c r="U954" s="3055">
        <f t="shared" si="6"/>
        <v>0</v>
      </c>
      <c r="V954" s="3055">
        <f t="shared" si="7"/>
        <v>0</v>
      </c>
      <c r="W954" s="3055">
        <f t="shared" si="8"/>
        <v>0</v>
      </c>
      <c r="X954" s="3055">
        <f t="shared" si="9"/>
        <v>0</v>
      </c>
      <c r="Y954" s="3055">
        <f t="shared" si="10"/>
        <v>0</v>
      </c>
      <c r="Z954" s="3055">
        <f t="shared" si="11"/>
        <v>0</v>
      </c>
      <c r="AA954" s="3055">
        <f t="shared" si="12"/>
        <v>0</v>
      </c>
      <c r="AB954" s="3055">
        <f t="shared" si="13"/>
        <v>0</v>
      </c>
      <c r="AC954" s="3055">
        <f t="shared" si="14"/>
        <v>0</v>
      </c>
      <c r="AD954" s="3056"/>
      <c r="AE954" s="3057">
        <f t="shared" si="0"/>
      </c>
      <c r="AF954" s="3054"/>
      <c r="AG954" s="3054"/>
      <c r="AH954" s="3055"/>
      <c r="AI954" s="3055"/>
      <c r="AJ954" s="3055"/>
      <c r="AK954" s="3055"/>
      <c r="AL954" s="3055"/>
      <c r="AM954" s="3055"/>
      <c r="AN954" s="3055"/>
      <c r="AO954" s="3055"/>
      <c r="AP954" s="3055"/>
      <c r="AQ954" s="3055"/>
      <c r="AR954" s="3055"/>
      <c r="AS954" s="3055"/>
      <c r="AT954" s="3055"/>
      <c r="AU954" s="3056"/>
      <c r="AV954" s="3057">
        <f t="shared" si="15"/>
      </c>
      <c r="AW954" s="3054"/>
      <c r="AX954" s="3054"/>
      <c r="AY954" s="3055"/>
      <c r="AZ954" s="3055"/>
      <c r="BA954" s="3055"/>
      <c r="BB954" s="3055"/>
      <c r="BC954" s="3055"/>
      <c r="BD954" s="3055"/>
      <c r="BE954" s="3055"/>
      <c r="BF954" s="3055"/>
      <c r="BG954" s="3055"/>
      <c r="BH954" s="3055"/>
      <c r="BI954" s="3055"/>
      <c r="BJ954" s="3055"/>
      <c r="BK954" s="3055"/>
      <c r="BL954" s="3056"/>
      <c r="BM954" s="3057">
        <f t="shared" si="16"/>
      </c>
      <c r="BN954" s="3054"/>
      <c r="BO954" s="3054"/>
      <c r="BP954" s="3055"/>
      <c r="BQ954" s="3055"/>
      <c r="BR954" s="3055"/>
      <c r="BS954" s="3055"/>
      <c r="BT954" s="3055"/>
      <c r="BU954" s="3055"/>
      <c r="BV954" s="3055"/>
      <c r="BW954" s="3055"/>
      <c r="BX954" s="3055"/>
      <c r="BY954" s="3055"/>
      <c r="BZ954" s="3055"/>
      <c r="CA954" s="3055"/>
      <c r="CB954" s="3055"/>
      <c r="CC954" s="3056"/>
      <c r="CD954" s="3057">
        <f t="shared" si="0"/>
      </c>
      <c r="CE954" s="3054"/>
      <c r="CF954" s="3054"/>
      <c r="CG954" s="3055"/>
      <c r="CH954" s="3055"/>
      <c r="CI954" s="3055"/>
      <c r="CJ954" s="3055"/>
      <c r="CK954" s="3055"/>
      <c r="CL954" s="3055"/>
      <c r="CM954" s="3055"/>
      <c r="CN954" s="3055"/>
      <c r="CO954" s="3055"/>
      <c r="CP954" s="3055"/>
      <c r="CQ954" s="3055"/>
      <c r="CR954" s="3055"/>
      <c r="CS954" s="3055"/>
      <c r="CU954" s="3054"/>
      <c r="CV954" s="696"/>
      <c r="CW954" s="696"/>
      <c r="CZ954" s="3060">
        <f t="shared" si="17"/>
      </c>
      <c r="DA954" s="3060">
        <f t="shared" si="1"/>
      </c>
      <c r="DB954" s="3060">
        <f t="shared" si="18"/>
      </c>
      <c r="DC954" s="3060">
        <f t="shared" si="19"/>
      </c>
      <c r="DD954" s="3060">
        <f t="shared" si="20"/>
      </c>
      <c r="DE954" s="3060">
        <f t="shared" si="21"/>
      </c>
      <c r="DF954" s="3060">
        <f t="shared" si="22"/>
      </c>
      <c r="DG954" s="3060">
        <f t="shared" si="23"/>
      </c>
      <c r="DH954" s="3060">
        <f t="shared" si="24"/>
      </c>
      <c r="DI954" s="3060">
        <f t="shared" si="1"/>
      </c>
    </row>
    <row r="955" ht="15" customHeight="1" s="3052" customFormat="1">
      <c r="B955" s="3054">
        <f t="shared" si="2"/>
      </c>
      <c r="C955" s="3054"/>
      <c r="D955" s="3054"/>
      <c r="E955" s="3055"/>
      <c r="F955" s="3055"/>
      <c r="G955" s="3055"/>
      <c r="H955" s="3055"/>
      <c r="I955" s="3055"/>
      <c r="J955" s="3055"/>
      <c r="K955" s="3055"/>
      <c r="L955" s="3055"/>
      <c r="M955" s="3055"/>
      <c r="N955" s="3055"/>
      <c r="O955" s="3055"/>
      <c r="P955" s="3055"/>
      <c r="Q955" s="3055"/>
      <c r="R955" s="3055">
        <f t="shared" si="3"/>
        <v>0</v>
      </c>
      <c r="S955" s="3055">
        <f t="shared" si="4"/>
        <v>0</v>
      </c>
      <c r="T955" s="3055">
        <f t="shared" si="5"/>
        <v>0</v>
      </c>
      <c r="U955" s="3055">
        <f t="shared" si="6"/>
        <v>0</v>
      </c>
      <c r="V955" s="3055">
        <f t="shared" si="7"/>
        <v>0</v>
      </c>
      <c r="W955" s="3055">
        <f t="shared" si="8"/>
        <v>0</v>
      </c>
      <c r="X955" s="3055">
        <f t="shared" si="9"/>
        <v>0</v>
      </c>
      <c r="Y955" s="3055">
        <f t="shared" si="10"/>
        <v>0</v>
      </c>
      <c r="Z955" s="3055">
        <f t="shared" si="11"/>
        <v>0</v>
      </c>
      <c r="AA955" s="3055">
        <f t="shared" si="12"/>
        <v>0</v>
      </c>
      <c r="AB955" s="3055">
        <f t="shared" si="13"/>
        <v>0</v>
      </c>
      <c r="AC955" s="3055">
        <f t="shared" si="14"/>
        <v>0</v>
      </c>
      <c r="AD955" s="3056"/>
      <c r="AE955" s="3057">
        <f t="shared" si="0"/>
      </c>
      <c r="AF955" s="3054"/>
      <c r="AG955" s="3054"/>
      <c r="AH955" s="3055"/>
      <c r="AI955" s="3055"/>
      <c r="AJ955" s="3055"/>
      <c r="AK955" s="3055"/>
      <c r="AL955" s="3055"/>
      <c r="AM955" s="3055"/>
      <c r="AN955" s="3055"/>
      <c r="AO955" s="3055"/>
      <c r="AP955" s="3055"/>
      <c r="AQ955" s="3055"/>
      <c r="AR955" s="3055"/>
      <c r="AS955" s="3055"/>
      <c r="AT955" s="3055"/>
      <c r="AU955" s="3056"/>
      <c r="AV955" s="3057">
        <f t="shared" si="15"/>
      </c>
      <c r="AW955" s="3054"/>
      <c r="AX955" s="3054"/>
      <c r="AY955" s="3055"/>
      <c r="AZ955" s="3055"/>
      <c r="BA955" s="3055"/>
      <c r="BB955" s="3055"/>
      <c r="BC955" s="3055"/>
      <c r="BD955" s="3055"/>
      <c r="BE955" s="3055"/>
      <c r="BF955" s="3055"/>
      <c r="BG955" s="3055"/>
      <c r="BH955" s="3055"/>
      <c r="BI955" s="3055"/>
      <c r="BJ955" s="3055"/>
      <c r="BK955" s="3055"/>
      <c r="BL955" s="3056"/>
      <c r="BM955" s="3057">
        <f t="shared" si="16"/>
      </c>
      <c r="BN955" s="3054"/>
      <c r="BO955" s="3054"/>
      <c r="BP955" s="3055"/>
      <c r="BQ955" s="3055"/>
      <c r="BR955" s="3055"/>
      <c r="BS955" s="3055"/>
      <c r="BT955" s="3055"/>
      <c r="BU955" s="3055"/>
      <c r="BV955" s="3055"/>
      <c r="BW955" s="3055"/>
      <c r="BX955" s="3055"/>
      <c r="BY955" s="3055"/>
      <c r="BZ955" s="3055"/>
      <c r="CA955" s="3055"/>
      <c r="CB955" s="3055"/>
      <c r="CC955" s="3056"/>
      <c r="CD955" s="3057">
        <f t="shared" si="0"/>
      </c>
      <c r="CE955" s="3054"/>
      <c r="CF955" s="3054"/>
      <c r="CG955" s="3055"/>
      <c r="CH955" s="3055"/>
      <c r="CI955" s="3055"/>
      <c r="CJ955" s="3055"/>
      <c r="CK955" s="3055"/>
      <c r="CL955" s="3055"/>
      <c r="CM955" s="3055"/>
      <c r="CN955" s="3055"/>
      <c r="CO955" s="3055"/>
      <c r="CP955" s="3055"/>
      <c r="CQ955" s="3055"/>
      <c r="CR955" s="3055"/>
      <c r="CS955" s="3055"/>
      <c r="CU955" s="3054"/>
      <c r="CV955" s="696"/>
      <c r="CW955" s="696"/>
      <c r="CZ955" s="3060">
        <f t="shared" si="17"/>
      </c>
      <c r="DA955" s="3060">
        <f t="shared" si="1"/>
      </c>
      <c r="DB955" s="3060">
        <f t="shared" si="18"/>
      </c>
      <c r="DC955" s="3060">
        <f t="shared" si="19"/>
      </c>
      <c r="DD955" s="3060">
        <f t="shared" si="20"/>
      </c>
      <c r="DE955" s="3060">
        <f t="shared" si="21"/>
      </c>
      <c r="DF955" s="3060">
        <f t="shared" si="22"/>
      </c>
      <c r="DG955" s="3060">
        <f t="shared" si="23"/>
      </c>
      <c r="DH955" s="3060">
        <f t="shared" si="24"/>
      </c>
      <c r="DI955" s="3060">
        <f t="shared" si="1"/>
      </c>
    </row>
    <row r="956" ht="15" customHeight="1" s="3052" customFormat="1">
      <c r="B956" s="3054">
        <f t="shared" si="2"/>
      </c>
      <c r="C956" s="3054"/>
      <c r="D956" s="3054"/>
      <c r="E956" s="3055"/>
      <c r="F956" s="3055"/>
      <c r="G956" s="3055"/>
      <c r="H956" s="3055"/>
      <c r="I956" s="3055"/>
      <c r="J956" s="3055"/>
      <c r="K956" s="3055"/>
      <c r="L956" s="3055"/>
      <c r="M956" s="3055"/>
      <c r="N956" s="3055"/>
      <c r="O956" s="3055"/>
      <c r="P956" s="3055"/>
      <c r="Q956" s="3055"/>
      <c r="R956" s="3055">
        <f t="shared" si="3"/>
        <v>0</v>
      </c>
      <c r="S956" s="3055">
        <f t="shared" si="4"/>
        <v>0</v>
      </c>
      <c r="T956" s="3055">
        <f t="shared" si="5"/>
        <v>0</v>
      </c>
      <c r="U956" s="3055">
        <f t="shared" si="6"/>
        <v>0</v>
      </c>
      <c r="V956" s="3055">
        <f t="shared" si="7"/>
        <v>0</v>
      </c>
      <c r="W956" s="3055">
        <f t="shared" si="8"/>
        <v>0</v>
      </c>
      <c r="X956" s="3055">
        <f t="shared" si="9"/>
        <v>0</v>
      </c>
      <c r="Y956" s="3055">
        <f t="shared" si="10"/>
        <v>0</v>
      </c>
      <c r="Z956" s="3055">
        <f t="shared" si="11"/>
        <v>0</v>
      </c>
      <c r="AA956" s="3055">
        <f t="shared" si="12"/>
        <v>0</v>
      </c>
      <c r="AB956" s="3055">
        <f t="shared" si="13"/>
        <v>0</v>
      </c>
      <c r="AC956" s="3055">
        <f t="shared" si="14"/>
        <v>0</v>
      </c>
      <c r="AD956" s="3056"/>
      <c r="AE956" s="3057">
        <f t="shared" si="0"/>
      </c>
      <c r="AF956" s="3054"/>
      <c r="AG956" s="3054"/>
      <c r="AH956" s="3055"/>
      <c r="AI956" s="3055"/>
      <c r="AJ956" s="3055"/>
      <c r="AK956" s="3055"/>
      <c r="AL956" s="3055"/>
      <c r="AM956" s="3055"/>
      <c r="AN956" s="3055"/>
      <c r="AO956" s="3055"/>
      <c r="AP956" s="3055"/>
      <c r="AQ956" s="3055"/>
      <c r="AR956" s="3055"/>
      <c r="AS956" s="3055"/>
      <c r="AT956" s="3055"/>
      <c r="AU956" s="3056"/>
      <c r="AV956" s="3057">
        <f t="shared" si="15"/>
      </c>
      <c r="AW956" s="3054"/>
      <c r="AX956" s="3054"/>
      <c r="AY956" s="3055"/>
      <c r="AZ956" s="3055"/>
      <c r="BA956" s="3055"/>
      <c r="BB956" s="3055"/>
      <c r="BC956" s="3055"/>
      <c r="BD956" s="3055"/>
      <c r="BE956" s="3055"/>
      <c r="BF956" s="3055"/>
      <c r="BG956" s="3055"/>
      <c r="BH956" s="3055"/>
      <c r="BI956" s="3055"/>
      <c r="BJ956" s="3055"/>
      <c r="BK956" s="3055"/>
      <c r="BL956" s="3056"/>
      <c r="BM956" s="3057">
        <f t="shared" si="16"/>
      </c>
      <c r="BN956" s="3054"/>
      <c r="BO956" s="3054"/>
      <c r="BP956" s="3055"/>
      <c r="BQ956" s="3055"/>
      <c r="BR956" s="3055"/>
      <c r="BS956" s="3055"/>
      <c r="BT956" s="3055"/>
      <c r="BU956" s="3055"/>
      <c r="BV956" s="3055"/>
      <c r="BW956" s="3055"/>
      <c r="BX956" s="3055"/>
      <c r="BY956" s="3055"/>
      <c r="BZ956" s="3055"/>
      <c r="CA956" s="3055"/>
      <c r="CB956" s="3055"/>
      <c r="CC956" s="3056"/>
      <c r="CD956" s="3057">
        <f t="shared" si="0"/>
      </c>
      <c r="CE956" s="3054"/>
      <c r="CF956" s="3054"/>
      <c r="CG956" s="3055"/>
      <c r="CH956" s="3055"/>
      <c r="CI956" s="3055"/>
      <c r="CJ956" s="3055"/>
      <c r="CK956" s="3055"/>
      <c r="CL956" s="3055"/>
      <c r="CM956" s="3055"/>
      <c r="CN956" s="3055"/>
      <c r="CO956" s="3055"/>
      <c r="CP956" s="3055"/>
      <c r="CQ956" s="3055"/>
      <c r="CR956" s="3055"/>
      <c r="CS956" s="3055"/>
      <c r="CU956" s="3054"/>
      <c r="CV956" s="696"/>
      <c r="CW956" s="696"/>
      <c r="CZ956" s="3060">
        <f t="shared" si="17"/>
      </c>
      <c r="DA956" s="3060">
        <f t="shared" si="1"/>
      </c>
      <c r="DB956" s="3060">
        <f t="shared" si="18"/>
      </c>
      <c r="DC956" s="3060">
        <f t="shared" si="19"/>
      </c>
      <c r="DD956" s="3060">
        <f t="shared" si="20"/>
      </c>
      <c r="DE956" s="3060">
        <f t="shared" si="21"/>
      </c>
      <c r="DF956" s="3060">
        <f t="shared" si="22"/>
      </c>
      <c r="DG956" s="3060">
        <f t="shared" si="23"/>
      </c>
      <c r="DH956" s="3060">
        <f t="shared" si="24"/>
      </c>
      <c r="DI956" s="3060">
        <f t="shared" si="1"/>
      </c>
    </row>
    <row r="957" ht="15" customHeight="1" s="3052" customFormat="1">
      <c r="B957" s="3054">
        <f t="shared" si="2"/>
      </c>
      <c r="C957" s="3054"/>
      <c r="D957" s="3054"/>
      <c r="E957" s="3055"/>
      <c r="F957" s="3055"/>
      <c r="G957" s="3055"/>
      <c r="H957" s="3055"/>
      <c r="I957" s="3055"/>
      <c r="J957" s="3055"/>
      <c r="K957" s="3055"/>
      <c r="L957" s="3055"/>
      <c r="M957" s="3055"/>
      <c r="N957" s="3055"/>
      <c r="O957" s="3055"/>
      <c r="P957" s="3055"/>
      <c r="Q957" s="3055"/>
      <c r="R957" s="3055">
        <f t="shared" si="3"/>
        <v>0</v>
      </c>
      <c r="S957" s="3055">
        <f t="shared" si="4"/>
        <v>0</v>
      </c>
      <c r="T957" s="3055">
        <f t="shared" si="5"/>
        <v>0</v>
      </c>
      <c r="U957" s="3055">
        <f t="shared" si="6"/>
        <v>0</v>
      </c>
      <c r="V957" s="3055">
        <f t="shared" si="7"/>
        <v>0</v>
      </c>
      <c r="W957" s="3055">
        <f t="shared" si="8"/>
        <v>0</v>
      </c>
      <c r="X957" s="3055">
        <f t="shared" si="9"/>
        <v>0</v>
      </c>
      <c r="Y957" s="3055">
        <f t="shared" si="10"/>
        <v>0</v>
      </c>
      <c r="Z957" s="3055">
        <f t="shared" si="11"/>
        <v>0</v>
      </c>
      <c r="AA957" s="3055">
        <f t="shared" si="12"/>
        <v>0</v>
      </c>
      <c r="AB957" s="3055">
        <f t="shared" si="13"/>
        <v>0</v>
      </c>
      <c r="AC957" s="3055">
        <f t="shared" si="14"/>
        <v>0</v>
      </c>
      <c r="AD957" s="3056"/>
      <c r="AE957" s="3057">
        <f t="shared" si="0"/>
      </c>
      <c r="AF957" s="3054"/>
      <c r="AG957" s="3054"/>
      <c r="AH957" s="3055"/>
      <c r="AI957" s="3055"/>
      <c r="AJ957" s="3055"/>
      <c r="AK957" s="3055"/>
      <c r="AL957" s="3055"/>
      <c r="AM957" s="3055"/>
      <c r="AN957" s="3055"/>
      <c r="AO957" s="3055"/>
      <c r="AP957" s="3055"/>
      <c r="AQ957" s="3055"/>
      <c r="AR957" s="3055"/>
      <c r="AS957" s="3055"/>
      <c r="AT957" s="3055"/>
      <c r="AU957" s="3056"/>
      <c r="AV957" s="3057">
        <f t="shared" si="15"/>
      </c>
      <c r="AW957" s="3054"/>
      <c r="AX957" s="3054"/>
      <c r="AY957" s="3055"/>
      <c r="AZ957" s="3055"/>
      <c r="BA957" s="3055"/>
      <c r="BB957" s="3055"/>
      <c r="BC957" s="3055"/>
      <c r="BD957" s="3055"/>
      <c r="BE957" s="3055"/>
      <c r="BF957" s="3055"/>
      <c r="BG957" s="3055"/>
      <c r="BH957" s="3055"/>
      <c r="BI957" s="3055"/>
      <c r="BJ957" s="3055"/>
      <c r="BK957" s="3055"/>
      <c r="BL957" s="3056"/>
      <c r="BM957" s="3057">
        <f t="shared" si="16"/>
      </c>
      <c r="BN957" s="3054"/>
      <c r="BO957" s="3054"/>
      <c r="BP957" s="3055"/>
      <c r="BQ957" s="3055"/>
      <c r="BR957" s="3055"/>
      <c r="BS957" s="3055"/>
      <c r="BT957" s="3055"/>
      <c r="BU957" s="3055"/>
      <c r="BV957" s="3055"/>
      <c r="BW957" s="3055"/>
      <c r="BX957" s="3055"/>
      <c r="BY957" s="3055"/>
      <c r="BZ957" s="3055"/>
      <c r="CA957" s="3055"/>
      <c r="CB957" s="3055"/>
      <c r="CC957" s="3056"/>
      <c r="CD957" s="3057">
        <f t="shared" si="0"/>
      </c>
      <c r="CE957" s="3054"/>
      <c r="CF957" s="3054"/>
      <c r="CG957" s="3055"/>
      <c r="CH957" s="3055"/>
      <c r="CI957" s="3055"/>
      <c r="CJ957" s="3055"/>
      <c r="CK957" s="3055"/>
      <c r="CL957" s="3055"/>
      <c r="CM957" s="3055"/>
      <c r="CN957" s="3055"/>
      <c r="CO957" s="3055"/>
      <c r="CP957" s="3055"/>
      <c r="CQ957" s="3055"/>
      <c r="CR957" s="3055"/>
      <c r="CS957" s="3055"/>
      <c r="CU957" s="3054"/>
      <c r="CV957" s="696"/>
      <c r="CW957" s="696"/>
      <c r="CZ957" s="3060">
        <f t="shared" si="17"/>
      </c>
      <c r="DA957" s="3060">
        <f t="shared" si="1"/>
      </c>
      <c r="DB957" s="3060">
        <f t="shared" si="18"/>
      </c>
      <c r="DC957" s="3060">
        <f t="shared" si="19"/>
      </c>
      <c r="DD957" s="3060">
        <f t="shared" si="20"/>
      </c>
      <c r="DE957" s="3060">
        <f t="shared" si="21"/>
      </c>
      <c r="DF957" s="3060">
        <f t="shared" si="22"/>
      </c>
      <c r="DG957" s="3060">
        <f t="shared" si="23"/>
      </c>
      <c r="DH957" s="3060">
        <f t="shared" si="24"/>
      </c>
      <c r="DI957" s="3060">
        <f t="shared" si="1"/>
      </c>
    </row>
    <row r="958" ht="15" customHeight="1" s="3052" customFormat="1">
      <c r="B958" s="3054">
        <f t="shared" si="2"/>
      </c>
      <c r="C958" s="3054"/>
      <c r="D958" s="3054"/>
      <c r="E958" s="3055"/>
      <c r="F958" s="3055"/>
      <c r="G958" s="3055"/>
      <c r="H958" s="3055"/>
      <c r="I958" s="3055"/>
      <c r="J958" s="3055"/>
      <c r="K958" s="3055"/>
      <c r="L958" s="3055"/>
      <c r="M958" s="3055"/>
      <c r="N958" s="3055"/>
      <c r="O958" s="3055"/>
      <c r="P958" s="3055"/>
      <c r="Q958" s="3055"/>
      <c r="R958" s="3055">
        <f t="shared" si="3"/>
        <v>0</v>
      </c>
      <c r="S958" s="3055">
        <f t="shared" si="4"/>
        <v>0</v>
      </c>
      <c r="T958" s="3055">
        <f t="shared" si="5"/>
        <v>0</v>
      </c>
      <c r="U958" s="3055">
        <f t="shared" si="6"/>
        <v>0</v>
      </c>
      <c r="V958" s="3055">
        <f t="shared" si="7"/>
        <v>0</v>
      </c>
      <c r="W958" s="3055">
        <f t="shared" si="8"/>
        <v>0</v>
      </c>
      <c r="X958" s="3055">
        <f t="shared" si="9"/>
        <v>0</v>
      </c>
      <c r="Y958" s="3055">
        <f t="shared" si="10"/>
        <v>0</v>
      </c>
      <c r="Z958" s="3055">
        <f t="shared" si="11"/>
        <v>0</v>
      </c>
      <c r="AA958" s="3055">
        <f t="shared" si="12"/>
        <v>0</v>
      </c>
      <c r="AB958" s="3055">
        <f t="shared" si="13"/>
        <v>0</v>
      </c>
      <c r="AC958" s="3055">
        <f t="shared" si="14"/>
        <v>0</v>
      </c>
      <c r="AD958" s="3056"/>
      <c r="AE958" s="3057">
        <f t="shared" si="0"/>
      </c>
      <c r="AF958" s="3054"/>
      <c r="AG958" s="3054"/>
      <c r="AH958" s="3055"/>
      <c r="AI958" s="3055"/>
      <c r="AJ958" s="3055"/>
      <c r="AK958" s="3055"/>
      <c r="AL958" s="3055"/>
      <c r="AM958" s="3055"/>
      <c r="AN958" s="3055"/>
      <c r="AO958" s="3055"/>
      <c r="AP958" s="3055"/>
      <c r="AQ958" s="3055"/>
      <c r="AR958" s="3055"/>
      <c r="AS958" s="3055"/>
      <c r="AT958" s="3055"/>
      <c r="AU958" s="3056"/>
      <c r="AV958" s="3057">
        <f t="shared" si="15"/>
      </c>
      <c r="AW958" s="3054"/>
      <c r="AX958" s="3054"/>
      <c r="AY958" s="3055"/>
      <c r="AZ958" s="3055"/>
      <c r="BA958" s="3055"/>
      <c r="BB958" s="3055"/>
      <c r="BC958" s="3055"/>
      <c r="BD958" s="3055"/>
      <c r="BE958" s="3055"/>
      <c r="BF958" s="3055"/>
      <c r="BG958" s="3055"/>
      <c r="BH958" s="3055"/>
      <c r="BI958" s="3055"/>
      <c r="BJ958" s="3055"/>
      <c r="BK958" s="3055"/>
      <c r="BL958" s="3056"/>
      <c r="BM958" s="3057">
        <f t="shared" si="16"/>
      </c>
      <c r="BN958" s="3054"/>
      <c r="BO958" s="3054"/>
      <c r="BP958" s="3055"/>
      <c r="BQ958" s="3055"/>
      <c r="BR958" s="3055"/>
      <c r="BS958" s="3055"/>
      <c r="BT958" s="3055"/>
      <c r="BU958" s="3055"/>
      <c r="BV958" s="3055"/>
      <c r="BW958" s="3055"/>
      <c r="BX958" s="3055"/>
      <c r="BY958" s="3055"/>
      <c r="BZ958" s="3055"/>
      <c r="CA958" s="3055"/>
      <c r="CB958" s="3055"/>
      <c r="CC958" s="3056"/>
      <c r="CD958" s="3057">
        <f t="shared" si="0"/>
      </c>
      <c r="CE958" s="3054"/>
      <c r="CF958" s="3054"/>
      <c r="CG958" s="3055"/>
      <c r="CH958" s="3055"/>
      <c r="CI958" s="3055"/>
      <c r="CJ958" s="3055"/>
      <c r="CK958" s="3055"/>
      <c r="CL958" s="3055"/>
      <c r="CM958" s="3055"/>
      <c r="CN958" s="3055"/>
      <c r="CO958" s="3055"/>
      <c r="CP958" s="3055"/>
      <c r="CQ958" s="3055"/>
      <c r="CR958" s="3055"/>
      <c r="CS958" s="3055"/>
      <c r="CU958" s="3054"/>
      <c r="CV958" s="696"/>
      <c r="CW958" s="696"/>
      <c r="CZ958" s="3060">
        <f t="shared" si="17"/>
      </c>
      <c r="DA958" s="3060">
        <f t="shared" si="1"/>
      </c>
      <c r="DB958" s="3060">
        <f t="shared" si="18"/>
      </c>
      <c r="DC958" s="3060">
        <f t="shared" si="19"/>
      </c>
      <c r="DD958" s="3060">
        <f t="shared" si="20"/>
      </c>
      <c r="DE958" s="3060">
        <f t="shared" si="21"/>
      </c>
      <c r="DF958" s="3060">
        <f t="shared" si="22"/>
      </c>
      <c r="DG958" s="3060">
        <f t="shared" si="23"/>
      </c>
      <c r="DH958" s="3060">
        <f t="shared" si="24"/>
      </c>
      <c r="DI958" s="3060">
        <f t="shared" si="1"/>
      </c>
    </row>
    <row r="959" ht="15" customHeight="1" s="3052" customFormat="1">
      <c r="B959" s="3054">
        <f t="shared" si="2"/>
      </c>
      <c r="C959" s="3054"/>
      <c r="D959" s="3054"/>
      <c r="E959" s="3055"/>
      <c r="F959" s="3055"/>
      <c r="G959" s="3055"/>
      <c r="H959" s="3055"/>
      <c r="I959" s="3055"/>
      <c r="J959" s="3055"/>
      <c r="K959" s="3055"/>
      <c r="L959" s="3055"/>
      <c r="M959" s="3055"/>
      <c r="N959" s="3055"/>
      <c r="O959" s="3055"/>
      <c r="P959" s="3055"/>
      <c r="Q959" s="3055"/>
      <c r="R959" s="3055">
        <f t="shared" si="3"/>
        <v>0</v>
      </c>
      <c r="S959" s="3055">
        <f t="shared" si="4"/>
        <v>0</v>
      </c>
      <c r="T959" s="3055">
        <f t="shared" si="5"/>
        <v>0</v>
      </c>
      <c r="U959" s="3055">
        <f t="shared" si="6"/>
        <v>0</v>
      </c>
      <c r="V959" s="3055">
        <f t="shared" si="7"/>
        <v>0</v>
      </c>
      <c r="W959" s="3055">
        <f t="shared" si="8"/>
        <v>0</v>
      </c>
      <c r="X959" s="3055">
        <f t="shared" si="9"/>
        <v>0</v>
      </c>
      <c r="Y959" s="3055">
        <f t="shared" si="10"/>
        <v>0</v>
      </c>
      <c r="Z959" s="3055">
        <f t="shared" si="11"/>
        <v>0</v>
      </c>
      <c r="AA959" s="3055">
        <f t="shared" si="12"/>
        <v>0</v>
      </c>
      <c r="AB959" s="3055">
        <f t="shared" si="13"/>
        <v>0</v>
      </c>
      <c r="AC959" s="3055">
        <f t="shared" si="14"/>
        <v>0</v>
      </c>
      <c r="AD959" s="3056"/>
      <c r="AE959" s="3057">
        <f t="shared" si="0"/>
      </c>
      <c r="AF959" s="3054"/>
      <c r="AG959" s="3054"/>
      <c r="AH959" s="3055"/>
      <c r="AI959" s="3055"/>
      <c r="AJ959" s="3055"/>
      <c r="AK959" s="3055"/>
      <c r="AL959" s="3055"/>
      <c r="AM959" s="3055"/>
      <c r="AN959" s="3055"/>
      <c r="AO959" s="3055"/>
      <c r="AP959" s="3055"/>
      <c r="AQ959" s="3055"/>
      <c r="AR959" s="3055"/>
      <c r="AS959" s="3055"/>
      <c r="AT959" s="3055"/>
      <c r="AU959" s="3056"/>
      <c r="AV959" s="3057">
        <f t="shared" si="15"/>
      </c>
      <c r="AW959" s="3054"/>
      <c r="AX959" s="3054"/>
      <c r="AY959" s="3055"/>
      <c r="AZ959" s="3055"/>
      <c r="BA959" s="3055"/>
      <c r="BB959" s="3055"/>
      <c r="BC959" s="3055"/>
      <c r="BD959" s="3055"/>
      <c r="BE959" s="3055"/>
      <c r="BF959" s="3055"/>
      <c r="BG959" s="3055"/>
      <c r="BH959" s="3055"/>
      <c r="BI959" s="3055"/>
      <c r="BJ959" s="3055"/>
      <c r="BK959" s="3055"/>
      <c r="BL959" s="3056"/>
      <c r="BM959" s="3057">
        <f t="shared" si="16"/>
      </c>
      <c r="BN959" s="3054"/>
      <c r="BO959" s="3054"/>
      <c r="BP959" s="3055"/>
      <c r="BQ959" s="3055"/>
      <c r="BR959" s="3055"/>
      <c r="BS959" s="3055"/>
      <c r="BT959" s="3055"/>
      <c r="BU959" s="3055"/>
      <c r="BV959" s="3055"/>
      <c r="BW959" s="3055"/>
      <c r="BX959" s="3055"/>
      <c r="BY959" s="3055"/>
      <c r="BZ959" s="3055"/>
      <c r="CA959" s="3055"/>
      <c r="CB959" s="3055"/>
      <c r="CC959" s="3056"/>
      <c r="CD959" s="3057">
        <f t="shared" si="0"/>
      </c>
      <c r="CE959" s="3054"/>
      <c r="CF959" s="3054"/>
      <c r="CG959" s="3055"/>
      <c r="CH959" s="3055"/>
      <c r="CI959" s="3055"/>
      <c r="CJ959" s="3055"/>
      <c r="CK959" s="3055"/>
      <c r="CL959" s="3055"/>
      <c r="CM959" s="3055"/>
      <c r="CN959" s="3055"/>
      <c r="CO959" s="3055"/>
      <c r="CP959" s="3055"/>
      <c r="CQ959" s="3055"/>
      <c r="CR959" s="3055"/>
      <c r="CS959" s="3055"/>
      <c r="CU959" s="3054"/>
      <c r="CV959" s="696"/>
      <c r="CW959" s="696"/>
      <c r="CZ959" s="3060">
        <f t="shared" si="17"/>
      </c>
      <c r="DA959" s="3060">
        <f t="shared" si="1"/>
      </c>
      <c r="DB959" s="3060">
        <f t="shared" si="18"/>
      </c>
      <c r="DC959" s="3060">
        <f t="shared" si="19"/>
      </c>
      <c r="DD959" s="3060">
        <f t="shared" si="20"/>
      </c>
      <c r="DE959" s="3060">
        <f t="shared" si="21"/>
      </c>
      <c r="DF959" s="3060">
        <f t="shared" si="22"/>
      </c>
      <c r="DG959" s="3060">
        <f t="shared" si="23"/>
      </c>
      <c r="DH959" s="3060">
        <f t="shared" si="24"/>
      </c>
      <c r="DI959" s="3060">
        <f t="shared" si="1"/>
      </c>
    </row>
    <row r="960" ht="15" customHeight="1" s="3052" customFormat="1">
      <c r="B960" s="3054">
        <f t="shared" si="2"/>
      </c>
      <c r="C960" s="3054"/>
      <c r="D960" s="3054"/>
      <c r="E960" s="3055"/>
      <c r="F960" s="3055"/>
      <c r="G960" s="3055"/>
      <c r="H960" s="3055"/>
      <c r="I960" s="3055"/>
      <c r="J960" s="3055"/>
      <c r="K960" s="3055"/>
      <c r="L960" s="3055"/>
      <c r="M960" s="3055"/>
      <c r="N960" s="3055"/>
      <c r="O960" s="3055"/>
      <c r="P960" s="3055"/>
      <c r="Q960" s="3055"/>
      <c r="R960" s="3055">
        <f t="shared" si="3"/>
        <v>0</v>
      </c>
      <c r="S960" s="3055">
        <f t="shared" si="4"/>
        <v>0</v>
      </c>
      <c r="T960" s="3055">
        <f t="shared" si="5"/>
        <v>0</v>
      </c>
      <c r="U960" s="3055">
        <f t="shared" si="6"/>
        <v>0</v>
      </c>
      <c r="V960" s="3055">
        <f t="shared" si="7"/>
        <v>0</v>
      </c>
      <c r="W960" s="3055">
        <f t="shared" si="8"/>
        <v>0</v>
      </c>
      <c r="X960" s="3055">
        <f t="shared" si="9"/>
        <v>0</v>
      </c>
      <c r="Y960" s="3055">
        <f t="shared" si="10"/>
        <v>0</v>
      </c>
      <c r="Z960" s="3055">
        <f t="shared" si="11"/>
        <v>0</v>
      </c>
      <c r="AA960" s="3055">
        <f t="shared" si="12"/>
        <v>0</v>
      </c>
      <c r="AB960" s="3055">
        <f t="shared" si="13"/>
        <v>0</v>
      </c>
      <c r="AC960" s="3055">
        <f t="shared" si="14"/>
        <v>0</v>
      </c>
      <c r="AD960" s="3056"/>
      <c r="AE960" s="3057">
        <f t="shared" si="0"/>
      </c>
      <c r="AF960" s="3054"/>
      <c r="AG960" s="3054"/>
      <c r="AH960" s="3055"/>
      <c r="AI960" s="3055"/>
      <c r="AJ960" s="3055"/>
      <c r="AK960" s="3055"/>
      <c r="AL960" s="3055"/>
      <c r="AM960" s="3055"/>
      <c r="AN960" s="3055"/>
      <c r="AO960" s="3055"/>
      <c r="AP960" s="3055"/>
      <c r="AQ960" s="3055"/>
      <c r="AR960" s="3055"/>
      <c r="AS960" s="3055"/>
      <c r="AT960" s="3055"/>
      <c r="AU960" s="3056"/>
      <c r="AV960" s="3057">
        <f t="shared" si="15"/>
      </c>
      <c r="AW960" s="3054"/>
      <c r="AX960" s="3054"/>
      <c r="AY960" s="3055"/>
      <c r="AZ960" s="3055"/>
      <c r="BA960" s="3055"/>
      <c r="BB960" s="3055"/>
      <c r="BC960" s="3055"/>
      <c r="BD960" s="3055"/>
      <c r="BE960" s="3055"/>
      <c r="BF960" s="3055"/>
      <c r="BG960" s="3055"/>
      <c r="BH960" s="3055"/>
      <c r="BI960" s="3055"/>
      <c r="BJ960" s="3055"/>
      <c r="BK960" s="3055"/>
      <c r="BL960" s="3056"/>
      <c r="BM960" s="3057">
        <f t="shared" si="16"/>
      </c>
      <c r="BN960" s="3054"/>
      <c r="BO960" s="3054"/>
      <c r="BP960" s="3055"/>
      <c r="BQ960" s="3055"/>
      <c r="BR960" s="3055"/>
      <c r="BS960" s="3055"/>
      <c r="BT960" s="3055"/>
      <c r="BU960" s="3055"/>
      <c r="BV960" s="3055"/>
      <c r="BW960" s="3055"/>
      <c r="BX960" s="3055"/>
      <c r="BY960" s="3055"/>
      <c r="BZ960" s="3055"/>
      <c r="CA960" s="3055"/>
      <c r="CB960" s="3055"/>
      <c r="CC960" s="3056"/>
      <c r="CD960" s="3057">
        <f t="shared" si="0"/>
      </c>
      <c r="CE960" s="3054"/>
      <c r="CF960" s="3054"/>
      <c r="CG960" s="3055"/>
      <c r="CH960" s="3055"/>
      <c r="CI960" s="3055"/>
      <c r="CJ960" s="3055"/>
      <c r="CK960" s="3055"/>
      <c r="CL960" s="3055"/>
      <c r="CM960" s="3055"/>
      <c r="CN960" s="3055"/>
      <c r="CO960" s="3055"/>
      <c r="CP960" s="3055"/>
      <c r="CQ960" s="3055"/>
      <c r="CR960" s="3055"/>
      <c r="CS960" s="3055"/>
      <c r="CU960" s="3054"/>
      <c r="CV960" s="696"/>
      <c r="CW960" s="696"/>
      <c r="CZ960" s="3060">
        <f t="shared" si="17"/>
      </c>
      <c r="DA960" s="3060">
        <f t="shared" si="1"/>
      </c>
      <c r="DB960" s="3060">
        <f t="shared" si="18"/>
      </c>
      <c r="DC960" s="3060">
        <f t="shared" si="19"/>
      </c>
      <c r="DD960" s="3060">
        <f t="shared" si="20"/>
      </c>
      <c r="DE960" s="3060">
        <f t="shared" si="21"/>
      </c>
      <c r="DF960" s="3060">
        <f t="shared" si="22"/>
      </c>
      <c r="DG960" s="3060">
        <f t="shared" si="23"/>
      </c>
      <c r="DH960" s="3060">
        <f t="shared" si="24"/>
      </c>
      <c r="DI960" s="3060">
        <f t="shared" si="1"/>
      </c>
    </row>
    <row r="961" ht="15" customHeight="1" s="3052" customFormat="1">
      <c r="B961" s="3054">
        <f t="shared" si="2"/>
      </c>
      <c r="C961" s="3054"/>
      <c r="D961" s="3054"/>
      <c r="E961" s="3055"/>
      <c r="F961" s="3055"/>
      <c r="G961" s="3055"/>
      <c r="H961" s="3055"/>
      <c r="I961" s="3055"/>
      <c r="J961" s="3055"/>
      <c r="K961" s="3055"/>
      <c r="L961" s="3055"/>
      <c r="M961" s="3055"/>
      <c r="N961" s="3055"/>
      <c r="O961" s="3055"/>
      <c r="P961" s="3055"/>
      <c r="Q961" s="3055"/>
      <c r="R961" s="3055">
        <f t="shared" si="3"/>
        <v>0</v>
      </c>
      <c r="S961" s="3055">
        <f t="shared" si="4"/>
        <v>0</v>
      </c>
      <c r="T961" s="3055">
        <f t="shared" si="5"/>
        <v>0</v>
      </c>
      <c r="U961" s="3055">
        <f t="shared" si="6"/>
        <v>0</v>
      </c>
      <c r="V961" s="3055">
        <f t="shared" si="7"/>
        <v>0</v>
      </c>
      <c r="W961" s="3055">
        <f t="shared" si="8"/>
        <v>0</v>
      </c>
      <c r="X961" s="3055">
        <f t="shared" si="9"/>
        <v>0</v>
      </c>
      <c r="Y961" s="3055">
        <f t="shared" si="10"/>
        <v>0</v>
      </c>
      <c r="Z961" s="3055">
        <f t="shared" si="11"/>
        <v>0</v>
      </c>
      <c r="AA961" s="3055">
        <f t="shared" si="12"/>
        <v>0</v>
      </c>
      <c r="AB961" s="3055">
        <f t="shared" si="13"/>
        <v>0</v>
      </c>
      <c r="AC961" s="3055">
        <f t="shared" si="14"/>
        <v>0</v>
      </c>
      <c r="AD961" s="3056"/>
      <c r="AE961" s="3057">
        <f t="shared" si="0"/>
      </c>
      <c r="AF961" s="3054"/>
      <c r="AG961" s="3054"/>
      <c r="AH961" s="3055"/>
      <c r="AI961" s="3055"/>
      <c r="AJ961" s="3055"/>
      <c r="AK961" s="3055"/>
      <c r="AL961" s="3055"/>
      <c r="AM961" s="3055"/>
      <c r="AN961" s="3055"/>
      <c r="AO961" s="3055"/>
      <c r="AP961" s="3055"/>
      <c r="AQ961" s="3055"/>
      <c r="AR961" s="3055"/>
      <c r="AS961" s="3055"/>
      <c r="AT961" s="3055"/>
      <c r="AU961" s="3056"/>
      <c r="AV961" s="3057">
        <f t="shared" si="15"/>
      </c>
      <c r="AW961" s="3054"/>
      <c r="AX961" s="3054"/>
      <c r="AY961" s="3055"/>
      <c r="AZ961" s="3055"/>
      <c r="BA961" s="3055"/>
      <c r="BB961" s="3055"/>
      <c r="BC961" s="3055"/>
      <c r="BD961" s="3055"/>
      <c r="BE961" s="3055"/>
      <c r="BF961" s="3055"/>
      <c r="BG961" s="3055"/>
      <c r="BH961" s="3055"/>
      <c r="BI961" s="3055"/>
      <c r="BJ961" s="3055"/>
      <c r="BK961" s="3055"/>
      <c r="BL961" s="3056"/>
      <c r="BM961" s="3057">
        <f t="shared" si="16"/>
      </c>
      <c r="BN961" s="3054"/>
      <c r="BO961" s="3054"/>
      <c r="BP961" s="3055"/>
      <c r="BQ961" s="3055"/>
      <c r="BR961" s="3055"/>
      <c r="BS961" s="3055"/>
      <c r="BT961" s="3055"/>
      <c r="BU961" s="3055"/>
      <c r="BV961" s="3055"/>
      <c r="BW961" s="3055"/>
      <c r="BX961" s="3055"/>
      <c r="BY961" s="3055"/>
      <c r="BZ961" s="3055"/>
      <c r="CA961" s="3055"/>
      <c r="CB961" s="3055"/>
      <c r="CC961" s="3056"/>
      <c r="CD961" s="3057">
        <f t="shared" si="0"/>
      </c>
      <c r="CE961" s="3054"/>
      <c r="CF961" s="3054"/>
      <c r="CG961" s="3055"/>
      <c r="CH961" s="3055"/>
      <c r="CI961" s="3055"/>
      <c r="CJ961" s="3055"/>
      <c r="CK961" s="3055"/>
      <c r="CL961" s="3055"/>
      <c r="CM961" s="3055"/>
      <c r="CN961" s="3055"/>
      <c r="CO961" s="3055"/>
      <c r="CP961" s="3055"/>
      <c r="CQ961" s="3055"/>
      <c r="CR961" s="3055"/>
      <c r="CS961" s="3055"/>
      <c r="CU961" s="3054"/>
      <c r="CV961" s="696"/>
      <c r="CW961" s="696"/>
      <c r="CZ961" s="3060">
        <f t="shared" si="17"/>
      </c>
      <c r="DA961" s="3060">
        <f t="shared" si="1"/>
      </c>
      <c r="DB961" s="3060">
        <f t="shared" si="18"/>
      </c>
      <c r="DC961" s="3060">
        <f t="shared" si="19"/>
      </c>
      <c r="DD961" s="3060">
        <f t="shared" si="20"/>
      </c>
      <c r="DE961" s="3060">
        <f t="shared" si="21"/>
      </c>
      <c r="DF961" s="3060">
        <f t="shared" si="22"/>
      </c>
      <c r="DG961" s="3060">
        <f t="shared" si="23"/>
      </c>
      <c r="DH961" s="3060">
        <f t="shared" si="24"/>
      </c>
      <c r="DI961" s="3060">
        <f t="shared" si="1"/>
      </c>
    </row>
    <row r="962" ht="15" customHeight="1" s="3052" customFormat="1">
      <c r="B962" s="3054">
        <f t="shared" si="2"/>
      </c>
      <c r="C962" s="3054"/>
      <c r="D962" s="3054"/>
      <c r="E962" s="3055"/>
      <c r="F962" s="3055"/>
      <c r="G962" s="3055"/>
      <c r="H962" s="3055"/>
      <c r="I962" s="3055"/>
      <c r="J962" s="3055"/>
      <c r="K962" s="3055"/>
      <c r="L962" s="3055"/>
      <c r="M962" s="3055"/>
      <c r="N962" s="3055"/>
      <c r="O962" s="3055"/>
      <c r="P962" s="3055"/>
      <c r="Q962" s="3055"/>
      <c r="R962" s="3055">
        <f t="shared" si="3"/>
        <v>0</v>
      </c>
      <c r="S962" s="3055">
        <f t="shared" si="4"/>
        <v>0</v>
      </c>
      <c r="T962" s="3055">
        <f t="shared" si="5"/>
        <v>0</v>
      </c>
      <c r="U962" s="3055">
        <f t="shared" si="6"/>
        <v>0</v>
      </c>
      <c r="V962" s="3055">
        <f t="shared" si="7"/>
        <v>0</v>
      </c>
      <c r="W962" s="3055">
        <f t="shared" si="8"/>
        <v>0</v>
      </c>
      <c r="X962" s="3055">
        <f t="shared" si="9"/>
        <v>0</v>
      </c>
      <c r="Y962" s="3055">
        <f t="shared" si="10"/>
        <v>0</v>
      </c>
      <c r="Z962" s="3055">
        <f t="shared" si="11"/>
        <v>0</v>
      </c>
      <c r="AA962" s="3055">
        <f t="shared" si="12"/>
        <v>0</v>
      </c>
      <c r="AB962" s="3055">
        <f t="shared" si="13"/>
        <v>0</v>
      </c>
      <c r="AC962" s="3055">
        <f t="shared" si="14"/>
        <v>0</v>
      </c>
      <c r="AD962" s="3056"/>
      <c r="AE962" s="3057">
        <f t="shared" si="0"/>
      </c>
      <c r="AF962" s="3054"/>
      <c r="AG962" s="3054"/>
      <c r="AH962" s="3055"/>
      <c r="AI962" s="3055"/>
      <c r="AJ962" s="3055"/>
      <c r="AK962" s="3055"/>
      <c r="AL962" s="3055"/>
      <c r="AM962" s="3055"/>
      <c r="AN962" s="3055"/>
      <c r="AO962" s="3055"/>
      <c r="AP962" s="3055"/>
      <c r="AQ962" s="3055"/>
      <c r="AR962" s="3055"/>
      <c r="AS962" s="3055"/>
      <c r="AT962" s="3055"/>
      <c r="AU962" s="3056"/>
      <c r="AV962" s="3057">
        <f t="shared" si="15"/>
      </c>
      <c r="AW962" s="3054"/>
      <c r="AX962" s="3054"/>
      <c r="AY962" s="3055"/>
      <c r="AZ962" s="3055"/>
      <c r="BA962" s="3055"/>
      <c r="BB962" s="3055"/>
      <c r="BC962" s="3055"/>
      <c r="BD962" s="3055"/>
      <c r="BE962" s="3055"/>
      <c r="BF962" s="3055"/>
      <c r="BG962" s="3055"/>
      <c r="BH962" s="3055"/>
      <c r="BI962" s="3055"/>
      <c r="BJ962" s="3055"/>
      <c r="BK962" s="3055"/>
      <c r="BL962" s="3056"/>
      <c r="BM962" s="3057">
        <f t="shared" si="16"/>
      </c>
      <c r="BN962" s="3054"/>
      <c r="BO962" s="3054"/>
      <c r="BP962" s="3055"/>
      <c r="BQ962" s="3055"/>
      <c r="BR962" s="3055"/>
      <c r="BS962" s="3055"/>
      <c r="BT962" s="3055"/>
      <c r="BU962" s="3055"/>
      <c r="BV962" s="3055"/>
      <c r="BW962" s="3055"/>
      <c r="BX962" s="3055"/>
      <c r="BY962" s="3055"/>
      <c r="BZ962" s="3055"/>
      <c r="CA962" s="3055"/>
      <c r="CB962" s="3055"/>
      <c r="CC962" s="3056"/>
      <c r="CD962" s="3057">
        <f t="shared" si="0"/>
      </c>
      <c r="CE962" s="3054"/>
      <c r="CF962" s="3054"/>
      <c r="CG962" s="3055"/>
      <c r="CH962" s="3055"/>
      <c r="CI962" s="3055"/>
      <c r="CJ962" s="3055"/>
      <c r="CK962" s="3055"/>
      <c r="CL962" s="3055"/>
      <c r="CM962" s="3055"/>
      <c r="CN962" s="3055"/>
      <c r="CO962" s="3055"/>
      <c r="CP962" s="3055"/>
      <c r="CQ962" s="3055"/>
      <c r="CR962" s="3055"/>
      <c r="CS962" s="3055"/>
      <c r="CU962" s="3054"/>
      <c r="CV962" s="696"/>
      <c r="CW962" s="696"/>
      <c r="CZ962" s="3060">
        <f t="shared" si="17"/>
      </c>
      <c r="DA962" s="3060">
        <f t="shared" si="1"/>
      </c>
      <c r="DB962" s="3060">
        <f t="shared" si="18"/>
      </c>
      <c r="DC962" s="3060">
        <f t="shared" si="19"/>
      </c>
      <c r="DD962" s="3060">
        <f t="shared" si="20"/>
      </c>
      <c r="DE962" s="3060">
        <f t="shared" si="21"/>
      </c>
      <c r="DF962" s="3060">
        <f t="shared" si="22"/>
      </c>
      <c r="DG962" s="3060">
        <f t="shared" si="23"/>
      </c>
      <c r="DH962" s="3060">
        <f t="shared" si="24"/>
      </c>
      <c r="DI962" s="3060">
        <f t="shared" si="1"/>
      </c>
    </row>
    <row r="963" ht="15" customHeight="1" s="3052" customFormat="1">
      <c r="B963" s="3054">
        <f t="shared" si="2"/>
      </c>
      <c r="C963" s="3054"/>
      <c r="D963" s="3054"/>
      <c r="E963" s="3055"/>
      <c r="F963" s="3055"/>
      <c r="G963" s="3055"/>
      <c r="H963" s="3055"/>
      <c r="I963" s="3055"/>
      <c r="J963" s="3055"/>
      <c r="K963" s="3055"/>
      <c r="L963" s="3055"/>
      <c r="M963" s="3055"/>
      <c r="N963" s="3055"/>
      <c r="O963" s="3055"/>
      <c r="P963" s="3055"/>
      <c r="Q963" s="3055"/>
      <c r="R963" s="3055">
        <f t="shared" si="3"/>
        <v>0</v>
      </c>
      <c r="S963" s="3055">
        <f t="shared" si="4"/>
        <v>0</v>
      </c>
      <c r="T963" s="3055">
        <f t="shared" si="5"/>
        <v>0</v>
      </c>
      <c r="U963" s="3055">
        <f t="shared" si="6"/>
        <v>0</v>
      </c>
      <c r="V963" s="3055">
        <f t="shared" si="7"/>
        <v>0</v>
      </c>
      <c r="W963" s="3055">
        <f t="shared" si="8"/>
        <v>0</v>
      </c>
      <c r="X963" s="3055">
        <f t="shared" si="9"/>
        <v>0</v>
      </c>
      <c r="Y963" s="3055">
        <f t="shared" si="10"/>
        <v>0</v>
      </c>
      <c r="Z963" s="3055">
        <f t="shared" si="11"/>
        <v>0</v>
      </c>
      <c r="AA963" s="3055">
        <f t="shared" si="12"/>
        <v>0</v>
      </c>
      <c r="AB963" s="3055">
        <f t="shared" si="13"/>
        <v>0</v>
      </c>
      <c r="AC963" s="3055">
        <f t="shared" si="14"/>
        <v>0</v>
      </c>
      <c r="AD963" s="3056"/>
      <c r="AE963" s="3057">
        <f t="shared" si="0"/>
      </c>
      <c r="AF963" s="3054"/>
      <c r="AG963" s="3054"/>
      <c r="AH963" s="3055"/>
      <c r="AI963" s="3055"/>
      <c r="AJ963" s="3055"/>
      <c r="AK963" s="3055"/>
      <c r="AL963" s="3055"/>
      <c r="AM963" s="3055"/>
      <c r="AN963" s="3055"/>
      <c r="AO963" s="3055"/>
      <c r="AP963" s="3055"/>
      <c r="AQ963" s="3055"/>
      <c r="AR963" s="3055"/>
      <c r="AS963" s="3055"/>
      <c r="AT963" s="3055"/>
      <c r="AU963" s="3056"/>
      <c r="AV963" s="3057">
        <f t="shared" si="15"/>
      </c>
      <c r="AW963" s="3054"/>
      <c r="AX963" s="3054"/>
      <c r="AY963" s="3055"/>
      <c r="AZ963" s="3055"/>
      <c r="BA963" s="3055"/>
      <c r="BB963" s="3055"/>
      <c r="BC963" s="3055"/>
      <c r="BD963" s="3055"/>
      <c r="BE963" s="3055"/>
      <c r="BF963" s="3055"/>
      <c r="BG963" s="3055"/>
      <c r="BH963" s="3055"/>
      <c r="BI963" s="3055"/>
      <c r="BJ963" s="3055"/>
      <c r="BK963" s="3055"/>
      <c r="BL963" s="3056"/>
      <c r="BM963" s="3057">
        <f t="shared" si="16"/>
      </c>
      <c r="BN963" s="3054"/>
      <c r="BO963" s="3054"/>
      <c r="BP963" s="3055"/>
      <c r="BQ963" s="3055"/>
      <c r="BR963" s="3055"/>
      <c r="BS963" s="3055"/>
      <c r="BT963" s="3055"/>
      <c r="BU963" s="3055"/>
      <c r="BV963" s="3055"/>
      <c r="BW963" s="3055"/>
      <c r="BX963" s="3055"/>
      <c r="BY963" s="3055"/>
      <c r="BZ963" s="3055"/>
      <c r="CA963" s="3055"/>
      <c r="CB963" s="3055"/>
      <c r="CC963" s="3056"/>
      <c r="CD963" s="3057">
        <f t="shared" si="0"/>
      </c>
      <c r="CE963" s="3054"/>
      <c r="CF963" s="3054"/>
      <c r="CG963" s="3055"/>
      <c r="CH963" s="3055"/>
      <c r="CI963" s="3055"/>
      <c r="CJ963" s="3055"/>
      <c r="CK963" s="3055"/>
      <c r="CL963" s="3055"/>
      <c r="CM963" s="3055"/>
      <c r="CN963" s="3055"/>
      <c r="CO963" s="3055"/>
      <c r="CP963" s="3055"/>
      <c r="CQ963" s="3055"/>
      <c r="CR963" s="3055"/>
      <c r="CS963" s="3055"/>
      <c r="CU963" s="3054"/>
      <c r="CV963" s="696"/>
      <c r="CW963" s="696"/>
      <c r="CZ963" s="3060">
        <f t="shared" si="17"/>
      </c>
      <c r="DA963" s="3060">
        <f t="shared" si="1"/>
      </c>
      <c r="DB963" s="3060">
        <f t="shared" si="18"/>
      </c>
      <c r="DC963" s="3060">
        <f t="shared" si="19"/>
      </c>
      <c r="DD963" s="3060">
        <f t="shared" si="20"/>
      </c>
      <c r="DE963" s="3060">
        <f t="shared" si="21"/>
      </c>
      <c r="DF963" s="3060">
        <f t="shared" si="22"/>
      </c>
      <c r="DG963" s="3060">
        <f t="shared" si="23"/>
      </c>
      <c r="DH963" s="3060">
        <f t="shared" si="24"/>
      </c>
      <c r="DI963" s="3060">
        <f t="shared" si="1"/>
      </c>
    </row>
    <row r="964" ht="15" customHeight="1" s="3052" customFormat="1">
      <c r="B964" s="3054">
        <f t="shared" si="2"/>
      </c>
      <c r="C964" s="3054"/>
      <c r="D964" s="3054"/>
      <c r="E964" s="3055"/>
      <c r="F964" s="3055"/>
      <c r="G964" s="3055"/>
      <c r="H964" s="3055"/>
      <c r="I964" s="3055"/>
      <c r="J964" s="3055"/>
      <c r="K964" s="3055"/>
      <c r="L964" s="3055"/>
      <c r="M964" s="3055"/>
      <c r="N964" s="3055"/>
      <c r="O964" s="3055"/>
      <c r="P964" s="3055"/>
      <c r="Q964" s="3055"/>
      <c r="R964" s="3055">
        <f t="shared" si="3"/>
        <v>0</v>
      </c>
      <c r="S964" s="3055">
        <f t="shared" si="4"/>
        <v>0</v>
      </c>
      <c r="T964" s="3055">
        <f t="shared" si="5"/>
        <v>0</v>
      </c>
      <c r="U964" s="3055">
        <f t="shared" si="6"/>
        <v>0</v>
      </c>
      <c r="V964" s="3055">
        <f t="shared" si="7"/>
        <v>0</v>
      </c>
      <c r="W964" s="3055">
        <f t="shared" si="8"/>
        <v>0</v>
      </c>
      <c r="X964" s="3055">
        <f t="shared" si="9"/>
        <v>0</v>
      </c>
      <c r="Y964" s="3055">
        <f t="shared" si="10"/>
        <v>0</v>
      </c>
      <c r="Z964" s="3055">
        <f t="shared" si="11"/>
        <v>0</v>
      </c>
      <c r="AA964" s="3055">
        <f t="shared" si="12"/>
        <v>0</v>
      </c>
      <c r="AB964" s="3055">
        <f t="shared" si="13"/>
        <v>0</v>
      </c>
      <c r="AC964" s="3055">
        <f t="shared" si="14"/>
        <v>0</v>
      </c>
      <c r="AD964" s="3056"/>
      <c r="AE964" s="3057">
        <f t="shared" si="0"/>
      </c>
      <c r="AF964" s="3054"/>
      <c r="AG964" s="3054"/>
      <c r="AH964" s="3055"/>
      <c r="AI964" s="3055"/>
      <c r="AJ964" s="3055"/>
      <c r="AK964" s="3055"/>
      <c r="AL964" s="3055"/>
      <c r="AM964" s="3055"/>
      <c r="AN964" s="3055"/>
      <c r="AO964" s="3055"/>
      <c r="AP964" s="3055"/>
      <c r="AQ964" s="3055"/>
      <c r="AR964" s="3055"/>
      <c r="AS964" s="3055"/>
      <c r="AT964" s="3055"/>
      <c r="AU964" s="3056"/>
      <c r="AV964" s="3057">
        <f t="shared" si="15"/>
      </c>
      <c r="AW964" s="3054"/>
      <c r="AX964" s="3054"/>
      <c r="AY964" s="3055"/>
      <c r="AZ964" s="3055"/>
      <c r="BA964" s="3055"/>
      <c r="BB964" s="3055"/>
      <c r="BC964" s="3055"/>
      <c r="BD964" s="3055"/>
      <c r="BE964" s="3055"/>
      <c r="BF964" s="3055"/>
      <c r="BG964" s="3055"/>
      <c r="BH964" s="3055"/>
      <c r="BI964" s="3055"/>
      <c r="BJ964" s="3055"/>
      <c r="BK964" s="3055"/>
      <c r="BL964" s="3056"/>
      <c r="BM964" s="3057">
        <f t="shared" si="16"/>
      </c>
      <c r="BN964" s="3054"/>
      <c r="BO964" s="3054"/>
      <c r="BP964" s="3055"/>
      <c r="BQ964" s="3055"/>
      <c r="BR964" s="3055"/>
      <c r="BS964" s="3055"/>
      <c r="BT964" s="3055"/>
      <c r="BU964" s="3055"/>
      <c r="BV964" s="3055"/>
      <c r="BW964" s="3055"/>
      <c r="BX964" s="3055"/>
      <c r="BY964" s="3055"/>
      <c r="BZ964" s="3055"/>
      <c r="CA964" s="3055"/>
      <c r="CB964" s="3055"/>
      <c r="CC964" s="3056"/>
      <c r="CD964" s="3057">
        <f t="shared" si="0"/>
      </c>
      <c r="CE964" s="3054"/>
      <c r="CF964" s="3054"/>
      <c r="CG964" s="3055"/>
      <c r="CH964" s="3055"/>
      <c r="CI964" s="3055"/>
      <c r="CJ964" s="3055"/>
      <c r="CK964" s="3055"/>
      <c r="CL964" s="3055"/>
      <c r="CM964" s="3055"/>
      <c r="CN964" s="3055"/>
      <c r="CO964" s="3055"/>
      <c r="CP964" s="3055"/>
      <c r="CQ964" s="3055"/>
      <c r="CR964" s="3055"/>
      <c r="CS964" s="3055"/>
      <c r="CU964" s="3054"/>
      <c r="CV964" s="696"/>
      <c r="CW964" s="696"/>
      <c r="CZ964" s="3060">
        <f t="shared" si="17"/>
      </c>
      <c r="DA964" s="3060">
        <f t="shared" si="1"/>
      </c>
      <c r="DB964" s="3060">
        <f t="shared" si="18"/>
      </c>
      <c r="DC964" s="3060">
        <f t="shared" si="19"/>
      </c>
      <c r="DD964" s="3060">
        <f t="shared" si="20"/>
      </c>
      <c r="DE964" s="3060">
        <f t="shared" si="21"/>
      </c>
      <c r="DF964" s="3060">
        <f t="shared" si="22"/>
      </c>
      <c r="DG964" s="3060">
        <f t="shared" si="23"/>
      </c>
      <c r="DH964" s="3060">
        <f t="shared" si="24"/>
      </c>
      <c r="DI964" s="3060">
        <f t="shared" si="1"/>
      </c>
    </row>
    <row r="965" ht="15" customHeight="1" s="3052" customFormat="1">
      <c r="B965" s="3054">
        <f t="shared" si="2"/>
      </c>
      <c r="C965" s="3054"/>
      <c r="D965" s="3054"/>
      <c r="E965" s="3055"/>
      <c r="F965" s="3055"/>
      <c r="G965" s="3055"/>
      <c r="H965" s="3055"/>
      <c r="I965" s="3055"/>
      <c r="J965" s="3055"/>
      <c r="K965" s="3055"/>
      <c r="L965" s="3055"/>
      <c r="M965" s="3055"/>
      <c r="N965" s="3055"/>
      <c r="O965" s="3055"/>
      <c r="P965" s="3055"/>
      <c r="Q965" s="3055"/>
      <c r="R965" s="3055">
        <f t="shared" si="3"/>
        <v>0</v>
      </c>
      <c r="S965" s="3055">
        <f t="shared" si="4"/>
        <v>0</v>
      </c>
      <c r="T965" s="3055">
        <f t="shared" si="5"/>
        <v>0</v>
      </c>
      <c r="U965" s="3055">
        <f t="shared" si="6"/>
        <v>0</v>
      </c>
      <c r="V965" s="3055">
        <f t="shared" si="7"/>
        <v>0</v>
      </c>
      <c r="W965" s="3055">
        <f t="shared" si="8"/>
        <v>0</v>
      </c>
      <c r="X965" s="3055">
        <f t="shared" si="9"/>
        <v>0</v>
      </c>
      <c r="Y965" s="3055">
        <f t="shared" si="10"/>
        <v>0</v>
      </c>
      <c r="Z965" s="3055">
        <f t="shared" si="11"/>
        <v>0</v>
      </c>
      <c r="AA965" s="3055">
        <f t="shared" si="12"/>
        <v>0</v>
      </c>
      <c r="AB965" s="3055">
        <f t="shared" si="13"/>
        <v>0</v>
      </c>
      <c r="AC965" s="3055">
        <f t="shared" si="14"/>
        <v>0</v>
      </c>
      <c r="AD965" s="3056"/>
      <c r="AE965" s="3057">
        <f t="shared" si="0"/>
      </c>
      <c r="AF965" s="3054"/>
      <c r="AG965" s="3054"/>
      <c r="AH965" s="3055"/>
      <c r="AI965" s="3055"/>
      <c r="AJ965" s="3055"/>
      <c r="AK965" s="3055"/>
      <c r="AL965" s="3055"/>
      <c r="AM965" s="3055"/>
      <c r="AN965" s="3055"/>
      <c r="AO965" s="3055"/>
      <c r="AP965" s="3055"/>
      <c r="AQ965" s="3055"/>
      <c r="AR965" s="3055"/>
      <c r="AS965" s="3055"/>
      <c r="AT965" s="3055"/>
      <c r="AU965" s="3056"/>
      <c r="AV965" s="3057">
        <f t="shared" si="15"/>
      </c>
      <c r="AW965" s="3054"/>
      <c r="AX965" s="3054"/>
      <c r="AY965" s="3055"/>
      <c r="AZ965" s="3055"/>
      <c r="BA965" s="3055"/>
      <c r="BB965" s="3055"/>
      <c r="BC965" s="3055"/>
      <c r="BD965" s="3055"/>
      <c r="BE965" s="3055"/>
      <c r="BF965" s="3055"/>
      <c r="BG965" s="3055"/>
      <c r="BH965" s="3055"/>
      <c r="BI965" s="3055"/>
      <c r="BJ965" s="3055"/>
      <c r="BK965" s="3055"/>
      <c r="BL965" s="3056"/>
      <c r="BM965" s="3057">
        <f t="shared" si="16"/>
      </c>
      <c r="BN965" s="3054"/>
      <c r="BO965" s="3054"/>
      <c r="BP965" s="3055"/>
      <c r="BQ965" s="3055"/>
      <c r="BR965" s="3055"/>
      <c r="BS965" s="3055"/>
      <c r="BT965" s="3055"/>
      <c r="BU965" s="3055"/>
      <c r="BV965" s="3055"/>
      <c r="BW965" s="3055"/>
      <c r="BX965" s="3055"/>
      <c r="BY965" s="3055"/>
      <c r="BZ965" s="3055"/>
      <c r="CA965" s="3055"/>
      <c r="CB965" s="3055"/>
      <c r="CC965" s="3056"/>
      <c r="CD965" s="3057">
        <f t="shared" si="0"/>
      </c>
      <c r="CE965" s="3054"/>
      <c r="CF965" s="3054"/>
      <c r="CG965" s="3055"/>
      <c r="CH965" s="3055"/>
      <c r="CI965" s="3055"/>
      <c r="CJ965" s="3055"/>
      <c r="CK965" s="3055"/>
      <c r="CL965" s="3055"/>
      <c r="CM965" s="3055"/>
      <c r="CN965" s="3055"/>
      <c r="CO965" s="3055"/>
      <c r="CP965" s="3055"/>
      <c r="CQ965" s="3055"/>
      <c r="CR965" s="3055"/>
      <c r="CS965" s="3055"/>
      <c r="CU965" s="3054"/>
      <c r="CV965" s="696"/>
      <c r="CW965" s="696"/>
      <c r="CZ965" s="3060">
        <f t="shared" si="17"/>
      </c>
      <c r="DA965" s="3060">
        <f t="shared" si="1"/>
      </c>
      <c r="DB965" s="3060">
        <f t="shared" si="18"/>
      </c>
      <c r="DC965" s="3060">
        <f t="shared" si="19"/>
      </c>
      <c r="DD965" s="3060">
        <f t="shared" si="20"/>
      </c>
      <c r="DE965" s="3060">
        <f t="shared" si="21"/>
      </c>
      <c r="DF965" s="3060">
        <f t="shared" si="22"/>
      </c>
      <c r="DG965" s="3060">
        <f t="shared" si="23"/>
      </c>
      <c r="DH965" s="3060">
        <f t="shared" si="24"/>
      </c>
      <c r="DI965" s="3060">
        <f t="shared" si="1"/>
      </c>
    </row>
    <row r="966" ht="15" customHeight="1" s="3052" customFormat="1">
      <c r="B966" s="3054">
        <f t="shared" si="2"/>
      </c>
      <c r="C966" s="3054"/>
      <c r="D966" s="3054"/>
      <c r="E966" s="3055"/>
      <c r="F966" s="3055"/>
      <c r="G966" s="3055"/>
      <c r="H966" s="3055"/>
      <c r="I966" s="3055"/>
      <c r="J966" s="3055"/>
      <c r="K966" s="3055"/>
      <c r="L966" s="3055"/>
      <c r="M966" s="3055"/>
      <c r="N966" s="3055"/>
      <c r="O966" s="3055"/>
      <c r="P966" s="3055"/>
      <c r="Q966" s="3055"/>
      <c r="R966" s="3055">
        <f t="shared" si="3"/>
        <v>0</v>
      </c>
      <c r="S966" s="3055">
        <f t="shared" si="4"/>
        <v>0</v>
      </c>
      <c r="T966" s="3055">
        <f t="shared" si="5"/>
        <v>0</v>
      </c>
      <c r="U966" s="3055">
        <f t="shared" si="6"/>
        <v>0</v>
      </c>
      <c r="V966" s="3055">
        <f t="shared" si="7"/>
        <v>0</v>
      </c>
      <c r="W966" s="3055">
        <f t="shared" si="8"/>
        <v>0</v>
      </c>
      <c r="X966" s="3055">
        <f t="shared" si="9"/>
        <v>0</v>
      </c>
      <c r="Y966" s="3055">
        <f t="shared" si="10"/>
        <v>0</v>
      </c>
      <c r="Z966" s="3055">
        <f t="shared" si="11"/>
        <v>0</v>
      </c>
      <c r="AA966" s="3055">
        <f t="shared" si="12"/>
        <v>0</v>
      </c>
      <c r="AB966" s="3055">
        <f t="shared" si="13"/>
        <v>0</v>
      </c>
      <c r="AC966" s="3055">
        <f t="shared" si="14"/>
        <v>0</v>
      </c>
      <c r="AD966" s="3056"/>
      <c r="AE966" s="3057">
        <f t="shared" si="0"/>
      </c>
      <c r="AF966" s="3054"/>
      <c r="AG966" s="3054"/>
      <c r="AH966" s="3055"/>
      <c r="AI966" s="3055"/>
      <c r="AJ966" s="3055"/>
      <c r="AK966" s="3055"/>
      <c r="AL966" s="3055"/>
      <c r="AM966" s="3055"/>
      <c r="AN966" s="3055"/>
      <c r="AO966" s="3055"/>
      <c r="AP966" s="3055"/>
      <c r="AQ966" s="3055"/>
      <c r="AR966" s="3055"/>
      <c r="AS966" s="3055"/>
      <c r="AT966" s="3055"/>
      <c r="AU966" s="3056"/>
      <c r="AV966" s="3057">
        <f t="shared" si="15"/>
      </c>
      <c r="AW966" s="3054"/>
      <c r="AX966" s="3054"/>
      <c r="AY966" s="3055"/>
      <c r="AZ966" s="3055"/>
      <c r="BA966" s="3055"/>
      <c r="BB966" s="3055"/>
      <c r="BC966" s="3055"/>
      <c r="BD966" s="3055"/>
      <c r="BE966" s="3055"/>
      <c r="BF966" s="3055"/>
      <c r="BG966" s="3055"/>
      <c r="BH966" s="3055"/>
      <c r="BI966" s="3055"/>
      <c r="BJ966" s="3055"/>
      <c r="BK966" s="3055"/>
      <c r="BL966" s="3056"/>
      <c r="BM966" s="3057">
        <f t="shared" si="16"/>
      </c>
      <c r="BN966" s="3054"/>
      <c r="BO966" s="3054"/>
      <c r="BP966" s="3055"/>
      <c r="BQ966" s="3055"/>
      <c r="BR966" s="3055"/>
      <c r="BS966" s="3055"/>
      <c r="BT966" s="3055"/>
      <c r="BU966" s="3055"/>
      <c r="BV966" s="3055"/>
      <c r="BW966" s="3055"/>
      <c r="BX966" s="3055"/>
      <c r="BY966" s="3055"/>
      <c r="BZ966" s="3055"/>
      <c r="CA966" s="3055"/>
      <c r="CB966" s="3055"/>
      <c r="CC966" s="3056"/>
      <c r="CD966" s="3057">
        <f t="shared" si="0"/>
      </c>
      <c r="CE966" s="3054"/>
      <c r="CF966" s="3054"/>
      <c r="CG966" s="3055"/>
      <c r="CH966" s="3055"/>
      <c r="CI966" s="3055"/>
      <c r="CJ966" s="3055"/>
      <c r="CK966" s="3055"/>
      <c r="CL966" s="3055"/>
      <c r="CM966" s="3055"/>
      <c r="CN966" s="3055"/>
      <c r="CO966" s="3055"/>
      <c r="CP966" s="3055"/>
      <c r="CQ966" s="3055"/>
      <c r="CR966" s="3055"/>
      <c r="CS966" s="3055"/>
      <c r="CU966" s="3054"/>
      <c r="CV966" s="696"/>
      <c r="CW966" s="696"/>
      <c r="CZ966" s="3060">
        <f t="shared" si="17"/>
      </c>
      <c r="DA966" s="3060">
        <f t="shared" si="1"/>
      </c>
      <c r="DB966" s="3060">
        <f t="shared" si="18"/>
      </c>
      <c r="DC966" s="3060">
        <f t="shared" si="19"/>
      </c>
      <c r="DD966" s="3060">
        <f t="shared" si="20"/>
      </c>
      <c r="DE966" s="3060">
        <f t="shared" si="21"/>
      </c>
      <c r="DF966" s="3060">
        <f t="shared" si="22"/>
      </c>
      <c r="DG966" s="3060">
        <f t="shared" si="23"/>
      </c>
      <c r="DH966" s="3060">
        <f t="shared" si="24"/>
      </c>
      <c r="DI966" s="3060">
        <f t="shared" si="1"/>
      </c>
    </row>
    <row r="967" ht="15" customHeight="1" s="3052" customFormat="1">
      <c r="B967" s="3054">
        <f t="shared" si="2"/>
      </c>
      <c r="C967" s="3054"/>
      <c r="D967" s="3054"/>
      <c r="E967" s="3055"/>
      <c r="F967" s="3055"/>
      <c r="G967" s="3055"/>
      <c r="H967" s="3055"/>
      <c r="I967" s="3055"/>
      <c r="J967" s="3055"/>
      <c r="K967" s="3055"/>
      <c r="L967" s="3055"/>
      <c r="M967" s="3055"/>
      <c r="N967" s="3055"/>
      <c r="O967" s="3055"/>
      <c r="P967" s="3055"/>
      <c r="Q967" s="3055"/>
      <c r="R967" s="3055">
        <f t="shared" si="3"/>
        <v>0</v>
      </c>
      <c r="S967" s="3055">
        <f t="shared" si="4"/>
        <v>0</v>
      </c>
      <c r="T967" s="3055">
        <f t="shared" si="5"/>
        <v>0</v>
      </c>
      <c r="U967" s="3055">
        <f t="shared" si="6"/>
        <v>0</v>
      </c>
      <c r="V967" s="3055">
        <f t="shared" si="7"/>
        <v>0</v>
      </c>
      <c r="W967" s="3055">
        <f t="shared" si="8"/>
        <v>0</v>
      </c>
      <c r="X967" s="3055">
        <f t="shared" si="9"/>
        <v>0</v>
      </c>
      <c r="Y967" s="3055">
        <f t="shared" si="10"/>
        <v>0</v>
      </c>
      <c r="Z967" s="3055">
        <f t="shared" si="11"/>
        <v>0</v>
      </c>
      <c r="AA967" s="3055">
        <f t="shared" si="12"/>
        <v>0</v>
      </c>
      <c r="AB967" s="3055">
        <f t="shared" si="13"/>
        <v>0</v>
      </c>
      <c r="AC967" s="3055">
        <f t="shared" si="14"/>
        <v>0</v>
      </c>
      <c r="AD967" s="3056"/>
      <c r="AE967" s="3057">
        <f t="shared" si="0"/>
      </c>
      <c r="AF967" s="3054"/>
      <c r="AG967" s="3054"/>
      <c r="AH967" s="3055"/>
      <c r="AI967" s="3055"/>
      <c r="AJ967" s="3055"/>
      <c r="AK967" s="3055"/>
      <c r="AL967" s="3055"/>
      <c r="AM967" s="3055"/>
      <c r="AN967" s="3055"/>
      <c r="AO967" s="3055"/>
      <c r="AP967" s="3055"/>
      <c r="AQ967" s="3055"/>
      <c r="AR967" s="3055"/>
      <c r="AS967" s="3055"/>
      <c r="AT967" s="3055"/>
      <c r="AU967" s="3056"/>
      <c r="AV967" s="3057">
        <f t="shared" si="15"/>
      </c>
      <c r="AW967" s="3054"/>
      <c r="AX967" s="3054"/>
      <c r="AY967" s="3055"/>
      <c r="AZ967" s="3055"/>
      <c r="BA967" s="3055"/>
      <c r="BB967" s="3055"/>
      <c r="BC967" s="3055"/>
      <c r="BD967" s="3055"/>
      <c r="BE967" s="3055"/>
      <c r="BF967" s="3055"/>
      <c r="BG967" s="3055"/>
      <c r="BH967" s="3055"/>
      <c r="BI967" s="3055"/>
      <c r="BJ967" s="3055"/>
      <c r="BK967" s="3055"/>
      <c r="BL967" s="3056"/>
      <c r="BM967" s="3057">
        <f t="shared" si="16"/>
      </c>
      <c r="BN967" s="3054"/>
      <c r="BO967" s="3054"/>
      <c r="BP967" s="3055"/>
      <c r="BQ967" s="3055"/>
      <c r="BR967" s="3055"/>
      <c r="BS967" s="3055"/>
      <c r="BT967" s="3055"/>
      <c r="BU967" s="3055"/>
      <c r="BV967" s="3055"/>
      <c r="BW967" s="3055"/>
      <c r="BX967" s="3055"/>
      <c r="BY967" s="3055"/>
      <c r="BZ967" s="3055"/>
      <c r="CA967" s="3055"/>
      <c r="CB967" s="3055"/>
      <c r="CC967" s="3056"/>
      <c r="CD967" s="3057">
        <f t="shared" si="0"/>
      </c>
      <c r="CE967" s="3054"/>
      <c r="CF967" s="3054"/>
      <c r="CG967" s="3055"/>
      <c r="CH967" s="3055"/>
      <c r="CI967" s="3055"/>
      <c r="CJ967" s="3055"/>
      <c r="CK967" s="3055"/>
      <c r="CL967" s="3055"/>
      <c r="CM967" s="3055"/>
      <c r="CN967" s="3055"/>
      <c r="CO967" s="3055"/>
      <c r="CP967" s="3055"/>
      <c r="CQ967" s="3055"/>
      <c r="CR967" s="3055"/>
      <c r="CS967" s="3055"/>
      <c r="CU967" s="3054"/>
      <c r="CV967" s="696"/>
      <c r="CW967" s="696"/>
      <c r="CZ967" s="3060">
        <f t="shared" si="17"/>
      </c>
      <c r="DA967" s="3060">
        <f t="shared" si="1"/>
      </c>
      <c r="DB967" s="3060">
        <f t="shared" si="18"/>
      </c>
      <c r="DC967" s="3060">
        <f t="shared" si="19"/>
      </c>
      <c r="DD967" s="3060">
        <f t="shared" si="20"/>
      </c>
      <c r="DE967" s="3060">
        <f t="shared" si="21"/>
      </c>
      <c r="DF967" s="3060">
        <f t="shared" si="22"/>
      </c>
      <c r="DG967" s="3060">
        <f t="shared" si="23"/>
      </c>
      <c r="DH967" s="3060">
        <f t="shared" si="24"/>
      </c>
      <c r="DI967" s="3060">
        <f t="shared" si="1"/>
      </c>
    </row>
    <row r="968" ht="15" customHeight="1" s="3052" customFormat="1">
      <c r="B968" s="3054">
        <f t="shared" si="2"/>
      </c>
      <c r="C968" s="3054"/>
      <c r="D968" s="3054"/>
      <c r="E968" s="3055"/>
      <c r="F968" s="3055"/>
      <c r="G968" s="3055"/>
      <c r="H968" s="3055"/>
      <c r="I968" s="3055"/>
      <c r="J968" s="3055"/>
      <c r="K968" s="3055"/>
      <c r="L968" s="3055"/>
      <c r="M968" s="3055"/>
      <c r="N968" s="3055"/>
      <c r="O968" s="3055"/>
      <c r="P968" s="3055"/>
      <c r="Q968" s="3055"/>
      <c r="R968" s="3055">
        <f t="shared" si="3"/>
        <v>0</v>
      </c>
      <c r="S968" s="3055">
        <f t="shared" si="4"/>
        <v>0</v>
      </c>
      <c r="T968" s="3055">
        <f t="shared" si="5"/>
        <v>0</v>
      </c>
      <c r="U968" s="3055">
        <f t="shared" si="6"/>
        <v>0</v>
      </c>
      <c r="V968" s="3055">
        <f t="shared" si="7"/>
        <v>0</v>
      </c>
      <c r="W968" s="3055">
        <f t="shared" si="8"/>
        <v>0</v>
      </c>
      <c r="X968" s="3055">
        <f t="shared" si="9"/>
        <v>0</v>
      </c>
      <c r="Y968" s="3055">
        <f t="shared" si="10"/>
        <v>0</v>
      </c>
      <c r="Z968" s="3055">
        <f t="shared" si="11"/>
        <v>0</v>
      </c>
      <c r="AA968" s="3055">
        <f t="shared" si="12"/>
        <v>0</v>
      </c>
      <c r="AB968" s="3055">
        <f t="shared" si="13"/>
        <v>0</v>
      </c>
      <c r="AC968" s="3055">
        <f t="shared" si="14"/>
        <v>0</v>
      </c>
      <c r="AD968" s="3056"/>
      <c r="AE968" s="3057">
        <f t="shared" si="0"/>
      </c>
      <c r="AF968" s="3054"/>
      <c r="AG968" s="3054"/>
      <c r="AH968" s="3055"/>
      <c r="AI968" s="3055"/>
      <c r="AJ968" s="3055"/>
      <c r="AK968" s="3055"/>
      <c r="AL968" s="3055"/>
      <c r="AM968" s="3055"/>
      <c r="AN968" s="3055"/>
      <c r="AO968" s="3055"/>
      <c r="AP968" s="3055"/>
      <c r="AQ968" s="3055"/>
      <c r="AR968" s="3055"/>
      <c r="AS968" s="3055"/>
      <c r="AT968" s="3055"/>
      <c r="AU968" s="3056"/>
      <c r="AV968" s="3057">
        <f t="shared" si="15"/>
      </c>
      <c r="AW968" s="3054"/>
      <c r="AX968" s="3054"/>
      <c r="AY968" s="3055"/>
      <c r="AZ968" s="3055"/>
      <c r="BA968" s="3055"/>
      <c r="BB968" s="3055"/>
      <c r="BC968" s="3055"/>
      <c r="BD968" s="3055"/>
      <c r="BE968" s="3055"/>
      <c r="BF968" s="3055"/>
      <c r="BG968" s="3055"/>
      <c r="BH968" s="3055"/>
      <c r="BI968" s="3055"/>
      <c r="BJ968" s="3055"/>
      <c r="BK968" s="3055"/>
      <c r="BL968" s="3056"/>
      <c r="BM968" s="3057">
        <f t="shared" si="16"/>
      </c>
      <c r="BN968" s="3054"/>
      <c r="BO968" s="3054"/>
      <c r="BP968" s="3055"/>
      <c r="BQ968" s="3055"/>
      <c r="BR968" s="3055"/>
      <c r="BS968" s="3055"/>
      <c r="BT968" s="3055"/>
      <c r="BU968" s="3055"/>
      <c r="BV968" s="3055"/>
      <c r="BW968" s="3055"/>
      <c r="BX968" s="3055"/>
      <c r="BY968" s="3055"/>
      <c r="BZ968" s="3055"/>
      <c r="CA968" s="3055"/>
      <c r="CB968" s="3055"/>
      <c r="CC968" s="3056"/>
      <c r="CD968" s="3057">
        <f t="shared" si="0"/>
      </c>
      <c r="CE968" s="3054"/>
      <c r="CF968" s="3054"/>
      <c r="CG968" s="3055"/>
      <c r="CH968" s="3055"/>
      <c r="CI968" s="3055"/>
      <c r="CJ968" s="3055"/>
      <c r="CK968" s="3055"/>
      <c r="CL968" s="3055"/>
      <c r="CM968" s="3055"/>
      <c r="CN968" s="3055"/>
      <c r="CO968" s="3055"/>
      <c r="CP968" s="3055"/>
      <c r="CQ968" s="3055"/>
      <c r="CR968" s="3055"/>
      <c r="CS968" s="3055"/>
      <c r="CU968" s="3054"/>
      <c r="CV968" s="696"/>
      <c r="CW968" s="696"/>
      <c r="CZ968" s="3060">
        <f t="shared" si="17"/>
      </c>
      <c r="DA968" s="3060">
        <f t="shared" si="1"/>
      </c>
      <c r="DB968" s="3060">
        <f t="shared" si="18"/>
      </c>
      <c r="DC968" s="3060">
        <f t="shared" si="19"/>
      </c>
      <c r="DD968" s="3060">
        <f t="shared" si="20"/>
      </c>
      <c r="DE968" s="3060">
        <f t="shared" si="21"/>
      </c>
      <c r="DF968" s="3060">
        <f t="shared" si="22"/>
      </c>
      <c r="DG968" s="3060">
        <f t="shared" si="23"/>
      </c>
      <c r="DH968" s="3060">
        <f t="shared" si="24"/>
      </c>
      <c r="DI968" s="3060">
        <f t="shared" si="1"/>
      </c>
    </row>
    <row r="969" ht="15" customHeight="1" s="3052" customFormat="1">
      <c r="B969" s="3054">
        <f t="shared" si="2"/>
      </c>
      <c r="C969" s="3054"/>
      <c r="D969" s="3054"/>
      <c r="E969" s="3055"/>
      <c r="F969" s="3055"/>
      <c r="G969" s="3055"/>
      <c r="H969" s="3055"/>
      <c r="I969" s="3055"/>
      <c r="J969" s="3055"/>
      <c r="K969" s="3055"/>
      <c r="L969" s="3055"/>
      <c r="M969" s="3055"/>
      <c r="N969" s="3055"/>
      <c r="O969" s="3055"/>
      <c r="P969" s="3055"/>
      <c r="Q969" s="3055"/>
      <c r="R969" s="3055">
        <f t="shared" si="3"/>
        <v>0</v>
      </c>
      <c r="S969" s="3055">
        <f t="shared" si="4"/>
        <v>0</v>
      </c>
      <c r="T969" s="3055">
        <f t="shared" si="5"/>
        <v>0</v>
      </c>
      <c r="U969" s="3055">
        <f t="shared" si="6"/>
        <v>0</v>
      </c>
      <c r="V969" s="3055">
        <f t="shared" si="7"/>
        <v>0</v>
      </c>
      <c r="W969" s="3055">
        <f t="shared" si="8"/>
        <v>0</v>
      </c>
      <c r="X969" s="3055">
        <f t="shared" si="9"/>
        <v>0</v>
      </c>
      <c r="Y969" s="3055">
        <f t="shared" si="10"/>
        <v>0</v>
      </c>
      <c r="Z969" s="3055">
        <f t="shared" si="11"/>
        <v>0</v>
      </c>
      <c r="AA969" s="3055">
        <f t="shared" si="12"/>
        <v>0</v>
      </c>
      <c r="AB969" s="3055">
        <f t="shared" si="13"/>
        <v>0</v>
      </c>
      <c r="AC969" s="3055">
        <f t="shared" si="14"/>
        <v>0</v>
      </c>
      <c r="AD969" s="3056"/>
      <c r="AE969" s="3057">
        <f t="shared" si="0"/>
      </c>
      <c r="AF969" s="3054"/>
      <c r="AG969" s="3054"/>
      <c r="AH969" s="3055"/>
      <c r="AI969" s="3055"/>
      <c r="AJ969" s="3055"/>
      <c r="AK969" s="3055"/>
      <c r="AL969" s="3055"/>
      <c r="AM969" s="3055"/>
      <c r="AN969" s="3055"/>
      <c r="AO969" s="3055"/>
      <c r="AP969" s="3055"/>
      <c r="AQ969" s="3055"/>
      <c r="AR969" s="3055"/>
      <c r="AS969" s="3055"/>
      <c r="AT969" s="3055"/>
      <c r="AU969" s="3056"/>
      <c r="AV969" s="3057">
        <f t="shared" si="15"/>
      </c>
      <c r="AW969" s="3054"/>
      <c r="AX969" s="3054"/>
      <c r="AY969" s="3055"/>
      <c r="AZ969" s="3055"/>
      <c r="BA969" s="3055"/>
      <c r="BB969" s="3055"/>
      <c r="BC969" s="3055"/>
      <c r="BD969" s="3055"/>
      <c r="BE969" s="3055"/>
      <c r="BF969" s="3055"/>
      <c r="BG969" s="3055"/>
      <c r="BH969" s="3055"/>
      <c r="BI969" s="3055"/>
      <c r="BJ969" s="3055"/>
      <c r="BK969" s="3055"/>
      <c r="BL969" s="3056"/>
      <c r="BM969" s="3057">
        <f t="shared" si="16"/>
      </c>
      <c r="BN969" s="3054"/>
      <c r="BO969" s="3054"/>
      <c r="BP969" s="3055"/>
      <c r="BQ969" s="3055"/>
      <c r="BR969" s="3055"/>
      <c r="BS969" s="3055"/>
      <c r="BT969" s="3055"/>
      <c r="BU969" s="3055"/>
      <c r="BV969" s="3055"/>
      <c r="BW969" s="3055"/>
      <c r="BX969" s="3055"/>
      <c r="BY969" s="3055"/>
      <c r="BZ969" s="3055"/>
      <c r="CA969" s="3055"/>
      <c r="CB969" s="3055"/>
      <c r="CC969" s="3056"/>
      <c r="CD969" s="3057">
        <f t="shared" si="0"/>
      </c>
      <c r="CE969" s="3054"/>
      <c r="CF969" s="3054"/>
      <c r="CG969" s="3055"/>
      <c r="CH969" s="3055"/>
      <c r="CI969" s="3055"/>
      <c r="CJ969" s="3055"/>
      <c r="CK969" s="3055"/>
      <c r="CL969" s="3055"/>
      <c r="CM969" s="3055"/>
      <c r="CN969" s="3055"/>
      <c r="CO969" s="3055"/>
      <c r="CP969" s="3055"/>
      <c r="CQ969" s="3055"/>
      <c r="CR969" s="3055"/>
      <c r="CS969" s="3055"/>
      <c r="CU969" s="3054"/>
      <c r="CV969" s="696"/>
      <c r="CW969" s="696"/>
      <c r="CZ969" s="3060">
        <f t="shared" si="17"/>
      </c>
      <c r="DA969" s="3060">
        <f t="shared" si="1"/>
      </c>
      <c r="DB969" s="3060">
        <f t="shared" si="18"/>
      </c>
      <c r="DC969" s="3060">
        <f t="shared" si="19"/>
      </c>
      <c r="DD969" s="3060">
        <f t="shared" si="20"/>
      </c>
      <c r="DE969" s="3060">
        <f t="shared" si="21"/>
      </c>
      <c r="DF969" s="3060">
        <f t="shared" si="22"/>
      </c>
      <c r="DG969" s="3060">
        <f t="shared" si="23"/>
      </c>
      <c r="DH969" s="3060">
        <f t="shared" si="24"/>
      </c>
      <c r="DI969" s="3060">
        <f t="shared" si="1"/>
      </c>
    </row>
    <row r="970" ht="15" customHeight="1" s="3052" customFormat="1">
      <c r="B970" s="3054">
        <f t="shared" si="2"/>
      </c>
      <c r="C970" s="3054"/>
      <c r="D970" s="3054"/>
      <c r="E970" s="3055"/>
      <c r="F970" s="3055"/>
      <c r="G970" s="3055"/>
      <c r="H970" s="3055"/>
      <c r="I970" s="3055"/>
      <c r="J970" s="3055"/>
      <c r="K970" s="3055"/>
      <c r="L970" s="3055"/>
      <c r="M970" s="3055"/>
      <c r="N970" s="3055"/>
      <c r="O970" s="3055"/>
      <c r="P970" s="3055"/>
      <c r="Q970" s="3055"/>
      <c r="R970" s="3055">
        <f t="shared" si="3"/>
        <v>0</v>
      </c>
      <c r="S970" s="3055">
        <f t="shared" si="4"/>
        <v>0</v>
      </c>
      <c r="T970" s="3055">
        <f t="shared" si="5"/>
        <v>0</v>
      </c>
      <c r="U970" s="3055">
        <f t="shared" si="6"/>
        <v>0</v>
      </c>
      <c r="V970" s="3055">
        <f t="shared" si="7"/>
        <v>0</v>
      </c>
      <c r="W970" s="3055">
        <f t="shared" si="8"/>
        <v>0</v>
      </c>
      <c r="X970" s="3055">
        <f t="shared" si="9"/>
        <v>0</v>
      </c>
      <c r="Y970" s="3055">
        <f t="shared" si="10"/>
        <v>0</v>
      </c>
      <c r="Z970" s="3055">
        <f t="shared" si="11"/>
        <v>0</v>
      </c>
      <c r="AA970" s="3055">
        <f t="shared" si="12"/>
        <v>0</v>
      </c>
      <c r="AB970" s="3055">
        <f t="shared" si="13"/>
        <v>0</v>
      </c>
      <c r="AC970" s="3055">
        <f t="shared" si="14"/>
        <v>0</v>
      </c>
      <c r="AD970" s="3056"/>
      <c r="AE970" s="3057">
        <f t="shared" si="0"/>
      </c>
      <c r="AF970" s="3054"/>
      <c r="AG970" s="3054"/>
      <c r="AH970" s="3055"/>
      <c r="AI970" s="3055"/>
      <c r="AJ970" s="3055"/>
      <c r="AK970" s="3055"/>
      <c r="AL970" s="3055"/>
      <c r="AM970" s="3055"/>
      <c r="AN970" s="3055"/>
      <c r="AO970" s="3055"/>
      <c r="AP970" s="3055"/>
      <c r="AQ970" s="3055"/>
      <c r="AR970" s="3055"/>
      <c r="AS970" s="3055"/>
      <c r="AT970" s="3055"/>
      <c r="AU970" s="3056"/>
      <c r="AV970" s="3057">
        <f t="shared" si="15"/>
      </c>
      <c r="AW970" s="3054"/>
      <c r="AX970" s="3054"/>
      <c r="AY970" s="3055"/>
      <c r="AZ970" s="3055"/>
      <c r="BA970" s="3055"/>
      <c r="BB970" s="3055"/>
      <c r="BC970" s="3055"/>
      <c r="BD970" s="3055"/>
      <c r="BE970" s="3055"/>
      <c r="BF970" s="3055"/>
      <c r="BG970" s="3055"/>
      <c r="BH970" s="3055"/>
      <c r="BI970" s="3055"/>
      <c r="BJ970" s="3055"/>
      <c r="BK970" s="3055"/>
      <c r="BL970" s="3056"/>
      <c r="BM970" s="3057">
        <f t="shared" si="16"/>
      </c>
      <c r="BN970" s="3054"/>
      <c r="BO970" s="3054"/>
      <c r="BP970" s="3055"/>
      <c r="BQ970" s="3055"/>
      <c r="BR970" s="3055"/>
      <c r="BS970" s="3055"/>
      <c r="BT970" s="3055"/>
      <c r="BU970" s="3055"/>
      <c r="BV970" s="3055"/>
      <c r="BW970" s="3055"/>
      <c r="BX970" s="3055"/>
      <c r="BY970" s="3055"/>
      <c r="BZ970" s="3055"/>
      <c r="CA970" s="3055"/>
      <c r="CB970" s="3055"/>
      <c r="CC970" s="3056"/>
      <c r="CD970" s="3057">
        <f t="shared" si="0"/>
      </c>
      <c r="CE970" s="3054"/>
      <c r="CF970" s="3054"/>
      <c r="CG970" s="3055"/>
      <c r="CH970" s="3055"/>
      <c r="CI970" s="3055"/>
      <c r="CJ970" s="3055"/>
      <c r="CK970" s="3055"/>
      <c r="CL970" s="3055"/>
      <c r="CM970" s="3055"/>
      <c r="CN970" s="3055"/>
      <c r="CO970" s="3055"/>
      <c r="CP970" s="3055"/>
      <c r="CQ970" s="3055"/>
      <c r="CR970" s="3055"/>
      <c r="CS970" s="3055"/>
      <c r="CU970" s="3054"/>
      <c r="CV970" s="696"/>
      <c r="CW970" s="696"/>
      <c r="CZ970" s="3060">
        <f t="shared" si="17"/>
      </c>
      <c r="DA970" s="3060">
        <f t="shared" si="1"/>
      </c>
      <c r="DB970" s="3060">
        <f t="shared" si="18"/>
      </c>
      <c r="DC970" s="3060">
        <f t="shared" si="19"/>
      </c>
      <c r="DD970" s="3060">
        <f t="shared" si="20"/>
      </c>
      <c r="DE970" s="3060">
        <f t="shared" si="21"/>
      </c>
      <c r="DF970" s="3060">
        <f t="shared" si="22"/>
      </c>
      <c r="DG970" s="3060">
        <f t="shared" si="23"/>
      </c>
      <c r="DH970" s="3060">
        <f t="shared" si="24"/>
      </c>
      <c r="DI970" s="3060">
        <f t="shared" si="1"/>
      </c>
    </row>
    <row r="971" ht="15" customHeight="1" s="3052" customFormat="1">
      <c r="B971" s="3054">
        <f t="shared" si="2"/>
      </c>
      <c r="C971" s="3054"/>
      <c r="D971" s="3054"/>
      <c r="E971" s="3055"/>
      <c r="F971" s="3055"/>
      <c r="G971" s="3055"/>
      <c r="H971" s="3055"/>
      <c r="I971" s="3055"/>
      <c r="J971" s="3055"/>
      <c r="K971" s="3055"/>
      <c r="L971" s="3055"/>
      <c r="M971" s="3055"/>
      <c r="N971" s="3055"/>
      <c r="O971" s="3055"/>
      <c r="P971" s="3055"/>
      <c r="Q971" s="3055"/>
      <c r="R971" s="3055">
        <f t="shared" si="3"/>
        <v>0</v>
      </c>
      <c r="S971" s="3055">
        <f t="shared" si="4"/>
        <v>0</v>
      </c>
      <c r="T971" s="3055">
        <f t="shared" si="5"/>
        <v>0</v>
      </c>
      <c r="U971" s="3055">
        <f t="shared" si="6"/>
        <v>0</v>
      </c>
      <c r="V971" s="3055">
        <f t="shared" si="7"/>
        <v>0</v>
      </c>
      <c r="W971" s="3055">
        <f t="shared" si="8"/>
        <v>0</v>
      </c>
      <c r="X971" s="3055">
        <f t="shared" si="9"/>
        <v>0</v>
      </c>
      <c r="Y971" s="3055">
        <f t="shared" si="10"/>
        <v>0</v>
      </c>
      <c r="Z971" s="3055">
        <f t="shared" si="11"/>
        <v>0</v>
      </c>
      <c r="AA971" s="3055">
        <f t="shared" si="12"/>
        <v>0</v>
      </c>
      <c r="AB971" s="3055">
        <f t="shared" si="13"/>
        <v>0</v>
      </c>
      <c r="AC971" s="3055">
        <f t="shared" si="14"/>
        <v>0</v>
      </c>
      <c r="AD971" s="3056"/>
      <c r="AE971" s="3057">
        <f t="shared" si="0"/>
      </c>
      <c r="AF971" s="3054"/>
      <c r="AG971" s="3054"/>
      <c r="AH971" s="3055"/>
      <c r="AI971" s="3055"/>
      <c r="AJ971" s="3055"/>
      <c r="AK971" s="3055"/>
      <c r="AL971" s="3055"/>
      <c r="AM971" s="3055"/>
      <c r="AN971" s="3055"/>
      <c r="AO971" s="3055"/>
      <c r="AP971" s="3055"/>
      <c r="AQ971" s="3055"/>
      <c r="AR971" s="3055"/>
      <c r="AS971" s="3055"/>
      <c r="AT971" s="3055"/>
      <c r="AU971" s="3056"/>
      <c r="AV971" s="3057">
        <f t="shared" si="15"/>
      </c>
      <c r="AW971" s="3054"/>
      <c r="AX971" s="3054"/>
      <c r="AY971" s="3055"/>
      <c r="AZ971" s="3055"/>
      <c r="BA971" s="3055"/>
      <c r="BB971" s="3055"/>
      <c r="BC971" s="3055"/>
      <c r="BD971" s="3055"/>
      <c r="BE971" s="3055"/>
      <c r="BF971" s="3055"/>
      <c r="BG971" s="3055"/>
      <c r="BH971" s="3055"/>
      <c r="BI971" s="3055"/>
      <c r="BJ971" s="3055"/>
      <c r="BK971" s="3055"/>
      <c r="BL971" s="3056"/>
      <c r="BM971" s="3057">
        <f t="shared" si="16"/>
      </c>
      <c r="BN971" s="3054"/>
      <c r="BO971" s="3054"/>
      <c r="BP971" s="3055"/>
      <c r="BQ971" s="3055"/>
      <c r="BR971" s="3055"/>
      <c r="BS971" s="3055"/>
      <c r="BT971" s="3055"/>
      <c r="BU971" s="3055"/>
      <c r="BV971" s="3055"/>
      <c r="BW971" s="3055"/>
      <c r="BX971" s="3055"/>
      <c r="BY971" s="3055"/>
      <c r="BZ971" s="3055"/>
      <c r="CA971" s="3055"/>
      <c r="CB971" s="3055"/>
      <c r="CC971" s="3056"/>
      <c r="CD971" s="3057">
        <f t="shared" si="0"/>
      </c>
      <c r="CE971" s="3054"/>
      <c r="CF971" s="3054"/>
      <c r="CG971" s="3055"/>
      <c r="CH971" s="3055"/>
      <c r="CI971" s="3055"/>
      <c r="CJ971" s="3055"/>
      <c r="CK971" s="3055"/>
      <c r="CL971" s="3055"/>
      <c r="CM971" s="3055"/>
      <c r="CN971" s="3055"/>
      <c r="CO971" s="3055"/>
      <c r="CP971" s="3055"/>
      <c r="CQ971" s="3055"/>
      <c r="CR971" s="3055"/>
      <c r="CS971" s="3055"/>
      <c r="CU971" s="3054"/>
      <c r="CV971" s="696"/>
      <c r="CW971" s="696"/>
      <c r="CZ971" s="3060">
        <f t="shared" si="17"/>
      </c>
      <c r="DA971" s="3060">
        <f t="shared" si="1"/>
      </c>
      <c r="DB971" s="3060">
        <f t="shared" si="18"/>
      </c>
      <c r="DC971" s="3060">
        <f t="shared" si="19"/>
      </c>
      <c r="DD971" s="3060">
        <f t="shared" si="20"/>
      </c>
      <c r="DE971" s="3060">
        <f t="shared" si="21"/>
      </c>
      <c r="DF971" s="3060">
        <f t="shared" si="22"/>
      </c>
      <c r="DG971" s="3060">
        <f t="shared" si="23"/>
      </c>
      <c r="DH971" s="3060">
        <f t="shared" si="24"/>
      </c>
      <c r="DI971" s="3060">
        <f t="shared" si="1"/>
      </c>
    </row>
    <row r="972" ht="15" customHeight="1" s="3052" customFormat="1">
      <c r="B972" s="3054">
        <f t="shared" si="2"/>
      </c>
      <c r="C972" s="3054"/>
      <c r="D972" s="3054"/>
      <c r="E972" s="3055"/>
      <c r="F972" s="3055"/>
      <c r="G972" s="3055"/>
      <c r="H972" s="3055"/>
      <c r="I972" s="3055"/>
      <c r="J972" s="3055"/>
      <c r="K972" s="3055"/>
      <c r="L972" s="3055"/>
      <c r="M972" s="3055"/>
      <c r="N972" s="3055"/>
      <c r="O972" s="3055"/>
      <c r="P972" s="3055"/>
      <c r="Q972" s="3055"/>
      <c r="R972" s="3055">
        <f t="shared" si="3"/>
        <v>0</v>
      </c>
      <c r="S972" s="3055">
        <f t="shared" si="4"/>
        <v>0</v>
      </c>
      <c r="T972" s="3055">
        <f t="shared" si="5"/>
        <v>0</v>
      </c>
      <c r="U972" s="3055">
        <f t="shared" si="6"/>
        <v>0</v>
      </c>
      <c r="V972" s="3055">
        <f t="shared" si="7"/>
        <v>0</v>
      </c>
      <c r="W972" s="3055">
        <f t="shared" si="8"/>
        <v>0</v>
      </c>
      <c r="X972" s="3055">
        <f t="shared" si="9"/>
        <v>0</v>
      </c>
      <c r="Y972" s="3055">
        <f t="shared" si="10"/>
        <v>0</v>
      </c>
      <c r="Z972" s="3055">
        <f t="shared" si="11"/>
        <v>0</v>
      </c>
      <c r="AA972" s="3055">
        <f t="shared" si="12"/>
        <v>0</v>
      </c>
      <c r="AB972" s="3055">
        <f t="shared" si="13"/>
        <v>0</v>
      </c>
      <c r="AC972" s="3055">
        <f t="shared" si="14"/>
        <v>0</v>
      </c>
      <c r="AD972" s="3056"/>
      <c r="AE972" s="3057">
        <f t="shared" si="0"/>
      </c>
      <c r="AF972" s="3054"/>
      <c r="AG972" s="3054"/>
      <c r="AH972" s="3055"/>
      <c r="AI972" s="3055"/>
      <c r="AJ972" s="3055"/>
      <c r="AK972" s="3055"/>
      <c r="AL972" s="3055"/>
      <c r="AM972" s="3055"/>
      <c r="AN972" s="3055"/>
      <c r="AO972" s="3055"/>
      <c r="AP972" s="3055"/>
      <c r="AQ972" s="3055"/>
      <c r="AR972" s="3055"/>
      <c r="AS972" s="3055"/>
      <c r="AT972" s="3055"/>
      <c r="AU972" s="3056"/>
      <c r="AV972" s="3057">
        <f t="shared" si="15"/>
      </c>
      <c r="AW972" s="3054"/>
      <c r="AX972" s="3054"/>
      <c r="AY972" s="3055"/>
      <c r="AZ972" s="3055"/>
      <c r="BA972" s="3055"/>
      <c r="BB972" s="3055"/>
      <c r="BC972" s="3055"/>
      <c r="BD972" s="3055"/>
      <c r="BE972" s="3055"/>
      <c r="BF972" s="3055"/>
      <c r="BG972" s="3055"/>
      <c r="BH972" s="3055"/>
      <c r="BI972" s="3055"/>
      <c r="BJ972" s="3055"/>
      <c r="BK972" s="3055"/>
      <c r="BL972" s="3056"/>
      <c r="BM972" s="3057">
        <f t="shared" si="16"/>
      </c>
      <c r="BN972" s="3054"/>
      <c r="BO972" s="3054"/>
      <c r="BP972" s="3055"/>
      <c r="BQ972" s="3055"/>
      <c r="BR972" s="3055"/>
      <c r="BS972" s="3055"/>
      <c r="BT972" s="3055"/>
      <c r="BU972" s="3055"/>
      <c r="BV972" s="3055"/>
      <c r="BW972" s="3055"/>
      <c r="BX972" s="3055"/>
      <c r="BY972" s="3055"/>
      <c r="BZ972" s="3055"/>
      <c r="CA972" s="3055"/>
      <c r="CB972" s="3055"/>
      <c r="CC972" s="3056"/>
      <c r="CD972" s="3057">
        <f t="shared" si="0"/>
      </c>
      <c r="CE972" s="3054"/>
      <c r="CF972" s="3054"/>
      <c r="CG972" s="3055"/>
      <c r="CH972" s="3055"/>
      <c r="CI972" s="3055"/>
      <c r="CJ972" s="3055"/>
      <c r="CK972" s="3055"/>
      <c r="CL972" s="3055"/>
      <c r="CM972" s="3055"/>
      <c r="CN972" s="3055"/>
      <c r="CO972" s="3055"/>
      <c r="CP972" s="3055"/>
      <c r="CQ972" s="3055"/>
      <c r="CR972" s="3055"/>
      <c r="CS972" s="3055"/>
      <c r="CU972" s="3054"/>
      <c r="CV972" s="696"/>
      <c r="CW972" s="696"/>
      <c r="CZ972" s="3060">
        <f t="shared" si="17"/>
      </c>
      <c r="DA972" s="3060">
        <f t="shared" si="1"/>
      </c>
      <c r="DB972" s="3060">
        <f t="shared" si="18"/>
      </c>
      <c r="DC972" s="3060">
        <f t="shared" si="19"/>
      </c>
      <c r="DD972" s="3060">
        <f t="shared" si="20"/>
      </c>
      <c r="DE972" s="3060">
        <f t="shared" si="21"/>
      </c>
      <c r="DF972" s="3060">
        <f t="shared" si="22"/>
      </c>
      <c r="DG972" s="3060">
        <f t="shared" si="23"/>
      </c>
      <c r="DH972" s="3060">
        <f t="shared" si="24"/>
      </c>
      <c r="DI972" s="3060">
        <f t="shared" si="1"/>
      </c>
    </row>
    <row r="973" ht="15" customHeight="1" s="3052" customFormat="1">
      <c r="B973" s="3054">
        <f t="shared" si="2"/>
      </c>
      <c r="C973" s="3054"/>
      <c r="D973" s="3054"/>
      <c r="E973" s="3055"/>
      <c r="F973" s="3055"/>
      <c r="G973" s="3055"/>
      <c r="H973" s="3055"/>
      <c r="I973" s="3055"/>
      <c r="J973" s="3055"/>
      <c r="K973" s="3055"/>
      <c r="L973" s="3055"/>
      <c r="M973" s="3055"/>
      <c r="N973" s="3055"/>
      <c r="O973" s="3055"/>
      <c r="P973" s="3055"/>
      <c r="Q973" s="3055"/>
      <c r="R973" s="3055">
        <f t="shared" si="3"/>
        <v>0</v>
      </c>
      <c r="S973" s="3055">
        <f t="shared" si="4"/>
        <v>0</v>
      </c>
      <c r="T973" s="3055">
        <f t="shared" si="5"/>
        <v>0</v>
      </c>
      <c r="U973" s="3055">
        <f t="shared" si="6"/>
        <v>0</v>
      </c>
      <c r="V973" s="3055">
        <f t="shared" si="7"/>
        <v>0</v>
      </c>
      <c r="W973" s="3055">
        <f t="shared" si="8"/>
        <v>0</v>
      </c>
      <c r="X973" s="3055">
        <f t="shared" si="9"/>
        <v>0</v>
      </c>
      <c r="Y973" s="3055">
        <f t="shared" si="10"/>
        <v>0</v>
      </c>
      <c r="Z973" s="3055">
        <f t="shared" si="11"/>
        <v>0</v>
      </c>
      <c r="AA973" s="3055">
        <f t="shared" si="12"/>
        <v>0</v>
      </c>
      <c r="AB973" s="3055">
        <f t="shared" si="13"/>
        <v>0</v>
      </c>
      <c r="AC973" s="3055">
        <f t="shared" si="14"/>
        <v>0</v>
      </c>
      <c r="AD973" s="3056"/>
      <c r="AE973" s="3057">
        <f t="shared" si="0"/>
      </c>
      <c r="AF973" s="3054"/>
      <c r="AG973" s="3054"/>
      <c r="AH973" s="3055"/>
      <c r="AI973" s="3055"/>
      <c r="AJ973" s="3055"/>
      <c r="AK973" s="3055"/>
      <c r="AL973" s="3055"/>
      <c r="AM973" s="3055"/>
      <c r="AN973" s="3055"/>
      <c r="AO973" s="3055"/>
      <c r="AP973" s="3055"/>
      <c r="AQ973" s="3055"/>
      <c r="AR973" s="3055"/>
      <c r="AS973" s="3055"/>
      <c r="AT973" s="3055"/>
      <c r="AU973" s="3056"/>
      <c r="AV973" s="3057">
        <f t="shared" si="15"/>
      </c>
      <c r="AW973" s="3054"/>
      <c r="AX973" s="3054"/>
      <c r="AY973" s="3055"/>
      <c r="AZ973" s="3055"/>
      <c r="BA973" s="3055"/>
      <c r="BB973" s="3055"/>
      <c r="BC973" s="3055"/>
      <c r="BD973" s="3055"/>
      <c r="BE973" s="3055"/>
      <c r="BF973" s="3055"/>
      <c r="BG973" s="3055"/>
      <c r="BH973" s="3055"/>
      <c r="BI973" s="3055"/>
      <c r="BJ973" s="3055"/>
      <c r="BK973" s="3055"/>
      <c r="BL973" s="3056"/>
      <c r="BM973" s="3057">
        <f t="shared" si="16"/>
      </c>
      <c r="BN973" s="3054"/>
      <c r="BO973" s="3054"/>
      <c r="BP973" s="3055"/>
      <c r="BQ973" s="3055"/>
      <c r="BR973" s="3055"/>
      <c r="BS973" s="3055"/>
      <c r="BT973" s="3055"/>
      <c r="BU973" s="3055"/>
      <c r="BV973" s="3055"/>
      <c r="BW973" s="3055"/>
      <c r="BX973" s="3055"/>
      <c r="BY973" s="3055"/>
      <c r="BZ973" s="3055"/>
      <c r="CA973" s="3055"/>
      <c r="CB973" s="3055"/>
      <c r="CC973" s="3056"/>
      <c r="CD973" s="3057">
        <f t="shared" si="0"/>
      </c>
      <c r="CE973" s="3054"/>
      <c r="CF973" s="3054"/>
      <c r="CG973" s="3055"/>
      <c r="CH973" s="3055"/>
      <c r="CI973" s="3055"/>
      <c r="CJ973" s="3055"/>
      <c r="CK973" s="3055"/>
      <c r="CL973" s="3055"/>
      <c r="CM973" s="3055"/>
      <c r="CN973" s="3055"/>
      <c r="CO973" s="3055"/>
      <c r="CP973" s="3055"/>
      <c r="CQ973" s="3055"/>
      <c r="CR973" s="3055"/>
      <c r="CS973" s="3055"/>
      <c r="CU973" s="3054"/>
      <c r="CV973" s="696"/>
      <c r="CW973" s="696"/>
      <c r="CZ973" s="3060">
        <f t="shared" si="17"/>
      </c>
      <c r="DA973" s="3060">
        <f t="shared" si="1"/>
      </c>
      <c r="DB973" s="3060">
        <f t="shared" si="18"/>
      </c>
      <c r="DC973" s="3060">
        <f t="shared" si="19"/>
      </c>
      <c r="DD973" s="3060">
        <f t="shared" si="20"/>
      </c>
      <c r="DE973" s="3060">
        <f t="shared" si="21"/>
      </c>
      <c r="DF973" s="3060">
        <f t="shared" si="22"/>
      </c>
      <c r="DG973" s="3060">
        <f t="shared" si="23"/>
      </c>
      <c r="DH973" s="3060">
        <f t="shared" si="24"/>
      </c>
      <c r="DI973" s="3060">
        <f t="shared" si="1"/>
      </c>
    </row>
    <row r="974" ht="15" customHeight="1" s="3052" customFormat="1">
      <c r="B974" s="3054">
        <f t="shared" si="2"/>
      </c>
      <c r="C974" s="3054"/>
      <c r="D974" s="3054"/>
      <c r="E974" s="3055"/>
      <c r="F974" s="3055"/>
      <c r="G974" s="3055"/>
      <c r="H974" s="3055"/>
      <c r="I974" s="3055"/>
      <c r="J974" s="3055"/>
      <c r="K974" s="3055"/>
      <c r="L974" s="3055"/>
      <c r="M974" s="3055"/>
      <c r="N974" s="3055"/>
      <c r="O974" s="3055"/>
      <c r="P974" s="3055"/>
      <c r="Q974" s="3055"/>
      <c r="R974" s="3055">
        <f t="shared" si="3"/>
        <v>0</v>
      </c>
      <c r="S974" s="3055">
        <f t="shared" si="4"/>
        <v>0</v>
      </c>
      <c r="T974" s="3055">
        <f t="shared" si="5"/>
        <v>0</v>
      </c>
      <c r="U974" s="3055">
        <f t="shared" si="6"/>
        <v>0</v>
      </c>
      <c r="V974" s="3055">
        <f t="shared" si="7"/>
        <v>0</v>
      </c>
      <c r="W974" s="3055">
        <f t="shared" si="8"/>
        <v>0</v>
      </c>
      <c r="X974" s="3055">
        <f t="shared" si="9"/>
        <v>0</v>
      </c>
      <c r="Y974" s="3055">
        <f t="shared" si="10"/>
        <v>0</v>
      </c>
      <c r="Z974" s="3055">
        <f t="shared" si="11"/>
        <v>0</v>
      </c>
      <c r="AA974" s="3055">
        <f t="shared" si="12"/>
        <v>0</v>
      </c>
      <c r="AB974" s="3055">
        <f t="shared" si="13"/>
        <v>0</v>
      </c>
      <c r="AC974" s="3055">
        <f t="shared" si="14"/>
        <v>0</v>
      </c>
      <c r="AD974" s="3056"/>
      <c r="AE974" s="3057">
        <f t="shared" si="0"/>
      </c>
      <c r="AF974" s="3054"/>
      <c r="AG974" s="3054"/>
      <c r="AH974" s="3055"/>
      <c r="AI974" s="3055"/>
      <c r="AJ974" s="3055"/>
      <c r="AK974" s="3055"/>
      <c r="AL974" s="3055"/>
      <c r="AM974" s="3055"/>
      <c r="AN974" s="3055"/>
      <c r="AO974" s="3055"/>
      <c r="AP974" s="3055"/>
      <c r="AQ974" s="3055"/>
      <c r="AR974" s="3055"/>
      <c r="AS974" s="3055"/>
      <c r="AT974" s="3055"/>
      <c r="AU974" s="3056"/>
      <c r="AV974" s="3057">
        <f t="shared" si="15"/>
      </c>
      <c r="AW974" s="3054"/>
      <c r="AX974" s="3054"/>
      <c r="AY974" s="3055"/>
      <c r="AZ974" s="3055"/>
      <c r="BA974" s="3055"/>
      <c r="BB974" s="3055"/>
      <c r="BC974" s="3055"/>
      <c r="BD974" s="3055"/>
      <c r="BE974" s="3055"/>
      <c r="BF974" s="3055"/>
      <c r="BG974" s="3055"/>
      <c r="BH974" s="3055"/>
      <c r="BI974" s="3055"/>
      <c r="BJ974" s="3055"/>
      <c r="BK974" s="3055"/>
      <c r="BL974" s="3056"/>
      <c r="BM974" s="3057">
        <f t="shared" si="16"/>
      </c>
      <c r="BN974" s="3054"/>
      <c r="BO974" s="3054"/>
      <c r="BP974" s="3055"/>
      <c r="BQ974" s="3055"/>
      <c r="BR974" s="3055"/>
      <c r="BS974" s="3055"/>
      <c r="BT974" s="3055"/>
      <c r="BU974" s="3055"/>
      <c r="BV974" s="3055"/>
      <c r="BW974" s="3055"/>
      <c r="BX974" s="3055"/>
      <c r="BY974" s="3055"/>
      <c r="BZ974" s="3055"/>
      <c r="CA974" s="3055"/>
      <c r="CB974" s="3055"/>
      <c r="CC974" s="3056"/>
      <c r="CD974" s="3057">
        <f t="shared" si="0"/>
      </c>
      <c r="CE974" s="3054"/>
      <c r="CF974" s="3054"/>
      <c r="CG974" s="3055"/>
      <c r="CH974" s="3055"/>
      <c r="CI974" s="3055"/>
      <c r="CJ974" s="3055"/>
      <c r="CK974" s="3055"/>
      <c r="CL974" s="3055"/>
      <c r="CM974" s="3055"/>
      <c r="CN974" s="3055"/>
      <c r="CO974" s="3055"/>
      <c r="CP974" s="3055"/>
      <c r="CQ974" s="3055"/>
      <c r="CR974" s="3055"/>
      <c r="CS974" s="3055"/>
      <c r="CU974" s="3054"/>
      <c r="CV974" s="696"/>
      <c r="CW974" s="696"/>
      <c r="CZ974" s="3060">
        <f t="shared" si="17"/>
      </c>
      <c r="DA974" s="3060">
        <f t="shared" si="1"/>
      </c>
      <c r="DB974" s="3060">
        <f t="shared" si="18"/>
      </c>
      <c r="DC974" s="3060">
        <f t="shared" si="19"/>
      </c>
      <c r="DD974" s="3060">
        <f t="shared" si="20"/>
      </c>
      <c r="DE974" s="3060">
        <f t="shared" si="21"/>
      </c>
      <c r="DF974" s="3060">
        <f t="shared" si="22"/>
      </c>
      <c r="DG974" s="3060">
        <f t="shared" si="23"/>
      </c>
      <c r="DH974" s="3060">
        <f t="shared" si="24"/>
      </c>
      <c r="DI974" s="3060">
        <f t="shared" si="1"/>
      </c>
    </row>
    <row r="975" ht="15" customHeight="1" s="3052" customFormat="1">
      <c r="B975" s="3054">
        <f t="shared" si="2"/>
      </c>
      <c r="C975" s="3054"/>
      <c r="D975" s="3054"/>
      <c r="E975" s="3055"/>
      <c r="F975" s="3055"/>
      <c r="G975" s="3055"/>
      <c r="H975" s="3055"/>
      <c r="I975" s="3055"/>
      <c r="J975" s="3055"/>
      <c r="K975" s="3055"/>
      <c r="L975" s="3055"/>
      <c r="M975" s="3055"/>
      <c r="N975" s="3055"/>
      <c r="O975" s="3055"/>
      <c r="P975" s="3055"/>
      <c r="Q975" s="3055"/>
      <c r="R975" s="3055">
        <f t="shared" si="3"/>
        <v>0</v>
      </c>
      <c r="S975" s="3055">
        <f t="shared" si="4"/>
        <v>0</v>
      </c>
      <c r="T975" s="3055">
        <f t="shared" si="5"/>
        <v>0</v>
      </c>
      <c r="U975" s="3055">
        <f t="shared" si="6"/>
        <v>0</v>
      </c>
      <c r="V975" s="3055">
        <f t="shared" si="7"/>
        <v>0</v>
      </c>
      <c r="W975" s="3055">
        <f t="shared" si="8"/>
        <v>0</v>
      </c>
      <c r="X975" s="3055">
        <f t="shared" si="9"/>
        <v>0</v>
      </c>
      <c r="Y975" s="3055">
        <f t="shared" si="10"/>
        <v>0</v>
      </c>
      <c r="Z975" s="3055">
        <f t="shared" si="11"/>
        <v>0</v>
      </c>
      <c r="AA975" s="3055">
        <f t="shared" si="12"/>
        <v>0</v>
      </c>
      <c r="AB975" s="3055">
        <f t="shared" si="13"/>
        <v>0</v>
      </c>
      <c r="AC975" s="3055">
        <f t="shared" si="14"/>
        <v>0</v>
      </c>
      <c r="AD975" s="3056"/>
      <c r="AE975" s="3057">
        <f t="shared" si="0"/>
      </c>
      <c r="AF975" s="3054"/>
      <c r="AG975" s="3054"/>
      <c r="AH975" s="3055"/>
      <c r="AI975" s="3055"/>
      <c r="AJ975" s="3055"/>
      <c r="AK975" s="3055"/>
      <c r="AL975" s="3055"/>
      <c r="AM975" s="3055"/>
      <c r="AN975" s="3055"/>
      <c r="AO975" s="3055"/>
      <c r="AP975" s="3055"/>
      <c r="AQ975" s="3055"/>
      <c r="AR975" s="3055"/>
      <c r="AS975" s="3055"/>
      <c r="AT975" s="3055"/>
      <c r="AU975" s="3056"/>
      <c r="AV975" s="3057">
        <f t="shared" si="15"/>
      </c>
      <c r="AW975" s="3054"/>
      <c r="AX975" s="3054"/>
      <c r="AY975" s="3055"/>
      <c r="AZ975" s="3055"/>
      <c r="BA975" s="3055"/>
      <c r="BB975" s="3055"/>
      <c r="BC975" s="3055"/>
      <c r="BD975" s="3055"/>
      <c r="BE975" s="3055"/>
      <c r="BF975" s="3055"/>
      <c r="BG975" s="3055"/>
      <c r="BH975" s="3055"/>
      <c r="BI975" s="3055"/>
      <c r="BJ975" s="3055"/>
      <c r="BK975" s="3055"/>
      <c r="BL975" s="3056"/>
      <c r="BM975" s="3057">
        <f t="shared" si="16"/>
      </c>
      <c r="BN975" s="3054"/>
      <c r="BO975" s="3054"/>
      <c r="BP975" s="3055"/>
      <c r="BQ975" s="3055"/>
      <c r="BR975" s="3055"/>
      <c r="BS975" s="3055"/>
      <c r="BT975" s="3055"/>
      <c r="BU975" s="3055"/>
      <c r="BV975" s="3055"/>
      <c r="BW975" s="3055"/>
      <c r="BX975" s="3055"/>
      <c r="BY975" s="3055"/>
      <c r="BZ975" s="3055"/>
      <c r="CA975" s="3055"/>
      <c r="CB975" s="3055"/>
      <c r="CC975" s="3056"/>
      <c r="CD975" s="3057">
        <f t="shared" si="0"/>
      </c>
      <c r="CE975" s="3054"/>
      <c r="CF975" s="3054"/>
      <c r="CG975" s="3055"/>
      <c r="CH975" s="3055"/>
      <c r="CI975" s="3055"/>
      <c r="CJ975" s="3055"/>
      <c r="CK975" s="3055"/>
      <c r="CL975" s="3055"/>
      <c r="CM975" s="3055"/>
      <c r="CN975" s="3055"/>
      <c r="CO975" s="3055"/>
      <c r="CP975" s="3055"/>
      <c r="CQ975" s="3055"/>
      <c r="CR975" s="3055"/>
      <c r="CS975" s="3055"/>
      <c r="CU975" s="3054"/>
      <c r="CV975" s="696"/>
      <c r="CW975" s="696"/>
      <c r="CZ975" s="3060">
        <f t="shared" si="17"/>
      </c>
      <c r="DA975" s="3060">
        <f t="shared" si="1"/>
      </c>
      <c r="DB975" s="3060">
        <f t="shared" si="18"/>
      </c>
      <c r="DC975" s="3060">
        <f t="shared" si="19"/>
      </c>
      <c r="DD975" s="3060">
        <f t="shared" si="20"/>
      </c>
      <c r="DE975" s="3060">
        <f t="shared" si="21"/>
      </c>
      <c r="DF975" s="3060">
        <f t="shared" si="22"/>
      </c>
      <c r="DG975" s="3060">
        <f t="shared" si="23"/>
      </c>
      <c r="DH975" s="3060">
        <f t="shared" si="24"/>
      </c>
      <c r="DI975" s="3060">
        <f t="shared" si="1"/>
      </c>
    </row>
    <row r="976" ht="15" customHeight="1" s="3052" customFormat="1">
      <c r="B976" s="3054">
        <f t="shared" si="2"/>
      </c>
      <c r="C976" s="3054"/>
      <c r="D976" s="3054"/>
      <c r="E976" s="3055"/>
      <c r="F976" s="3055"/>
      <c r="G976" s="3055"/>
      <c r="H976" s="3055"/>
      <c r="I976" s="3055"/>
      <c r="J976" s="3055"/>
      <c r="K976" s="3055"/>
      <c r="L976" s="3055"/>
      <c r="M976" s="3055"/>
      <c r="N976" s="3055"/>
      <c r="O976" s="3055"/>
      <c r="P976" s="3055"/>
      <c r="Q976" s="3055"/>
      <c r="R976" s="3055">
        <f t="shared" si="3"/>
        <v>0</v>
      </c>
      <c r="S976" s="3055">
        <f t="shared" si="4"/>
        <v>0</v>
      </c>
      <c r="T976" s="3055">
        <f t="shared" si="5"/>
        <v>0</v>
      </c>
      <c r="U976" s="3055">
        <f t="shared" si="6"/>
        <v>0</v>
      </c>
      <c r="V976" s="3055">
        <f t="shared" si="7"/>
        <v>0</v>
      </c>
      <c r="W976" s="3055">
        <f t="shared" si="8"/>
        <v>0</v>
      </c>
      <c r="X976" s="3055">
        <f t="shared" si="9"/>
        <v>0</v>
      </c>
      <c r="Y976" s="3055">
        <f t="shared" si="10"/>
        <v>0</v>
      </c>
      <c r="Z976" s="3055">
        <f t="shared" si="11"/>
        <v>0</v>
      </c>
      <c r="AA976" s="3055">
        <f t="shared" si="12"/>
        <v>0</v>
      </c>
      <c r="AB976" s="3055">
        <f t="shared" si="13"/>
        <v>0</v>
      </c>
      <c r="AC976" s="3055">
        <f t="shared" si="14"/>
        <v>0</v>
      </c>
      <c r="AD976" s="3056"/>
      <c r="AE976" s="3057">
        <f t="shared" si="0"/>
      </c>
      <c r="AF976" s="3054"/>
      <c r="AG976" s="3054"/>
      <c r="AH976" s="3055"/>
      <c r="AI976" s="3055"/>
      <c r="AJ976" s="3055"/>
      <c r="AK976" s="3055"/>
      <c r="AL976" s="3055"/>
      <c r="AM976" s="3055"/>
      <c r="AN976" s="3055"/>
      <c r="AO976" s="3055"/>
      <c r="AP976" s="3055"/>
      <c r="AQ976" s="3055"/>
      <c r="AR976" s="3055"/>
      <c r="AS976" s="3055"/>
      <c r="AT976" s="3055"/>
      <c r="AU976" s="3056"/>
      <c r="AV976" s="3057">
        <f t="shared" si="15"/>
      </c>
      <c r="AW976" s="3054"/>
      <c r="AX976" s="3054"/>
      <c r="AY976" s="3055"/>
      <c r="AZ976" s="3055"/>
      <c r="BA976" s="3055"/>
      <c r="BB976" s="3055"/>
      <c r="BC976" s="3055"/>
      <c r="BD976" s="3055"/>
      <c r="BE976" s="3055"/>
      <c r="BF976" s="3055"/>
      <c r="BG976" s="3055"/>
      <c r="BH976" s="3055"/>
      <c r="BI976" s="3055"/>
      <c r="BJ976" s="3055"/>
      <c r="BK976" s="3055"/>
      <c r="BL976" s="3056"/>
      <c r="BM976" s="3057">
        <f t="shared" si="16"/>
      </c>
      <c r="BN976" s="3054"/>
      <c r="BO976" s="3054"/>
      <c r="BP976" s="3055"/>
      <c r="BQ976" s="3055"/>
      <c r="BR976" s="3055"/>
      <c r="BS976" s="3055"/>
      <c r="BT976" s="3055"/>
      <c r="BU976" s="3055"/>
      <c r="BV976" s="3055"/>
      <c r="BW976" s="3055"/>
      <c r="BX976" s="3055"/>
      <c r="BY976" s="3055"/>
      <c r="BZ976" s="3055"/>
      <c r="CA976" s="3055"/>
      <c r="CB976" s="3055"/>
      <c r="CC976" s="3056"/>
      <c r="CD976" s="3057">
        <f t="shared" si="0"/>
      </c>
      <c r="CE976" s="3054"/>
      <c r="CF976" s="3054"/>
      <c r="CG976" s="3055"/>
      <c r="CH976" s="3055"/>
      <c r="CI976" s="3055"/>
      <c r="CJ976" s="3055"/>
      <c r="CK976" s="3055"/>
      <c r="CL976" s="3055"/>
      <c r="CM976" s="3055"/>
      <c r="CN976" s="3055"/>
      <c r="CO976" s="3055"/>
      <c r="CP976" s="3055"/>
      <c r="CQ976" s="3055"/>
      <c r="CR976" s="3055"/>
      <c r="CS976" s="3055"/>
      <c r="CU976" s="3054"/>
      <c r="CV976" s="696"/>
      <c r="CW976" s="696"/>
      <c r="CZ976" s="3060">
        <f t="shared" si="17"/>
      </c>
      <c r="DA976" s="3060">
        <f t="shared" si="1"/>
      </c>
      <c r="DB976" s="3060">
        <f t="shared" si="18"/>
      </c>
      <c r="DC976" s="3060">
        <f t="shared" si="19"/>
      </c>
      <c r="DD976" s="3060">
        <f t="shared" si="20"/>
      </c>
      <c r="DE976" s="3060">
        <f t="shared" si="21"/>
      </c>
      <c r="DF976" s="3060">
        <f t="shared" si="22"/>
      </c>
      <c r="DG976" s="3060">
        <f t="shared" si="23"/>
      </c>
      <c r="DH976" s="3060">
        <f t="shared" si="24"/>
      </c>
      <c r="DI976" s="3060">
        <f t="shared" si="1"/>
      </c>
    </row>
    <row r="977" ht="15" customHeight="1" s="3052" customFormat="1">
      <c r="B977" s="3054">
        <f t="shared" si="2"/>
      </c>
      <c r="C977" s="3054"/>
      <c r="D977" s="3054"/>
      <c r="E977" s="3055"/>
      <c r="F977" s="3055"/>
      <c r="G977" s="3055"/>
      <c r="H977" s="3055"/>
      <c r="I977" s="3055"/>
      <c r="J977" s="3055"/>
      <c r="K977" s="3055"/>
      <c r="L977" s="3055"/>
      <c r="M977" s="3055"/>
      <c r="N977" s="3055"/>
      <c r="O977" s="3055"/>
      <c r="P977" s="3055"/>
      <c r="Q977" s="3055"/>
      <c r="R977" s="3055">
        <f t="shared" si="3"/>
        <v>0</v>
      </c>
      <c r="S977" s="3055">
        <f t="shared" si="4"/>
        <v>0</v>
      </c>
      <c r="T977" s="3055">
        <f t="shared" si="5"/>
        <v>0</v>
      </c>
      <c r="U977" s="3055">
        <f t="shared" si="6"/>
        <v>0</v>
      </c>
      <c r="V977" s="3055">
        <f t="shared" si="7"/>
        <v>0</v>
      </c>
      <c r="W977" s="3055">
        <f t="shared" si="8"/>
        <v>0</v>
      </c>
      <c r="X977" s="3055">
        <f t="shared" si="9"/>
        <v>0</v>
      </c>
      <c r="Y977" s="3055">
        <f t="shared" si="10"/>
        <v>0</v>
      </c>
      <c r="Z977" s="3055">
        <f t="shared" si="11"/>
        <v>0</v>
      </c>
      <c r="AA977" s="3055">
        <f t="shared" si="12"/>
        <v>0</v>
      </c>
      <c r="AB977" s="3055">
        <f t="shared" si="13"/>
        <v>0</v>
      </c>
      <c r="AC977" s="3055">
        <f t="shared" si="14"/>
        <v>0</v>
      </c>
      <c r="AD977" s="3056"/>
      <c r="AE977" s="3057">
        <f t="shared" si="0"/>
      </c>
      <c r="AF977" s="3054"/>
      <c r="AG977" s="3054"/>
      <c r="AH977" s="3055"/>
      <c r="AI977" s="3055"/>
      <c r="AJ977" s="3055"/>
      <c r="AK977" s="3055"/>
      <c r="AL977" s="3055"/>
      <c r="AM977" s="3055"/>
      <c r="AN977" s="3055"/>
      <c r="AO977" s="3055"/>
      <c r="AP977" s="3055"/>
      <c r="AQ977" s="3055"/>
      <c r="AR977" s="3055"/>
      <c r="AS977" s="3055"/>
      <c r="AT977" s="3055"/>
      <c r="AU977" s="3056"/>
      <c r="AV977" s="3057">
        <f t="shared" si="15"/>
      </c>
      <c r="AW977" s="3054"/>
      <c r="AX977" s="3054"/>
      <c r="AY977" s="3055"/>
      <c r="AZ977" s="3055"/>
      <c r="BA977" s="3055"/>
      <c r="BB977" s="3055"/>
      <c r="BC977" s="3055"/>
      <c r="BD977" s="3055"/>
      <c r="BE977" s="3055"/>
      <c r="BF977" s="3055"/>
      <c r="BG977" s="3055"/>
      <c r="BH977" s="3055"/>
      <c r="BI977" s="3055"/>
      <c r="BJ977" s="3055"/>
      <c r="BK977" s="3055"/>
      <c r="BL977" s="3056"/>
      <c r="BM977" s="3057">
        <f t="shared" si="16"/>
      </c>
      <c r="BN977" s="3054"/>
      <c r="BO977" s="3054"/>
      <c r="BP977" s="3055"/>
      <c r="BQ977" s="3055"/>
      <c r="BR977" s="3055"/>
      <c r="BS977" s="3055"/>
      <c r="BT977" s="3055"/>
      <c r="BU977" s="3055"/>
      <c r="BV977" s="3055"/>
      <c r="BW977" s="3055"/>
      <c r="BX977" s="3055"/>
      <c r="BY977" s="3055"/>
      <c r="BZ977" s="3055"/>
      <c r="CA977" s="3055"/>
      <c r="CB977" s="3055"/>
      <c r="CC977" s="3056"/>
      <c r="CD977" s="3057">
        <f t="shared" si="0"/>
      </c>
      <c r="CE977" s="3054"/>
      <c r="CF977" s="3054"/>
      <c r="CG977" s="3055"/>
      <c r="CH977" s="3055"/>
      <c r="CI977" s="3055"/>
      <c r="CJ977" s="3055"/>
      <c r="CK977" s="3055"/>
      <c r="CL977" s="3055"/>
      <c r="CM977" s="3055"/>
      <c r="CN977" s="3055"/>
      <c r="CO977" s="3055"/>
      <c r="CP977" s="3055"/>
      <c r="CQ977" s="3055"/>
      <c r="CR977" s="3055"/>
      <c r="CS977" s="3055"/>
      <c r="CU977" s="3054"/>
      <c r="CV977" s="696"/>
      <c r="CW977" s="696"/>
      <c r="CZ977" s="3060">
        <f t="shared" si="17"/>
      </c>
      <c r="DA977" s="3060">
        <f t="shared" si="1"/>
      </c>
      <c r="DB977" s="3060">
        <f t="shared" si="18"/>
      </c>
      <c r="DC977" s="3060">
        <f t="shared" si="19"/>
      </c>
      <c r="DD977" s="3060">
        <f t="shared" si="20"/>
      </c>
      <c r="DE977" s="3060">
        <f t="shared" si="21"/>
      </c>
      <c r="DF977" s="3060">
        <f t="shared" si="22"/>
      </c>
      <c r="DG977" s="3060">
        <f t="shared" si="23"/>
      </c>
      <c r="DH977" s="3060">
        <f t="shared" si="24"/>
      </c>
      <c r="DI977" s="3060">
        <f t="shared" si="1"/>
      </c>
    </row>
    <row r="978" ht="15" customHeight="1" s="3052" customFormat="1">
      <c r="B978" s="3054">
        <f t="shared" si="2"/>
      </c>
      <c r="C978" s="3054"/>
      <c r="D978" s="3054"/>
      <c r="E978" s="3055"/>
      <c r="F978" s="3055"/>
      <c r="G978" s="3055"/>
      <c r="H978" s="3055"/>
      <c r="I978" s="3055"/>
      <c r="J978" s="3055"/>
      <c r="K978" s="3055"/>
      <c r="L978" s="3055"/>
      <c r="M978" s="3055"/>
      <c r="N978" s="3055"/>
      <c r="O978" s="3055"/>
      <c r="P978" s="3055"/>
      <c r="Q978" s="3055"/>
      <c r="R978" s="3055">
        <f t="shared" si="3"/>
        <v>0</v>
      </c>
      <c r="S978" s="3055">
        <f t="shared" si="4"/>
        <v>0</v>
      </c>
      <c r="T978" s="3055">
        <f t="shared" si="5"/>
        <v>0</v>
      </c>
      <c r="U978" s="3055">
        <f t="shared" si="6"/>
        <v>0</v>
      </c>
      <c r="V978" s="3055">
        <f t="shared" si="7"/>
        <v>0</v>
      </c>
      <c r="W978" s="3055">
        <f t="shared" si="8"/>
        <v>0</v>
      </c>
      <c r="X978" s="3055">
        <f t="shared" si="9"/>
        <v>0</v>
      </c>
      <c r="Y978" s="3055">
        <f t="shared" si="10"/>
        <v>0</v>
      </c>
      <c r="Z978" s="3055">
        <f t="shared" si="11"/>
        <v>0</v>
      </c>
      <c r="AA978" s="3055">
        <f t="shared" si="12"/>
        <v>0</v>
      </c>
      <c r="AB978" s="3055">
        <f t="shared" si="13"/>
        <v>0</v>
      </c>
      <c r="AC978" s="3055">
        <f t="shared" si="14"/>
        <v>0</v>
      </c>
      <c r="AD978" s="3056"/>
      <c r="AE978" s="3057">
        <f t="shared" si="0"/>
      </c>
      <c r="AF978" s="3054"/>
      <c r="AG978" s="3054"/>
      <c r="AH978" s="3055"/>
      <c r="AI978" s="3055"/>
      <c r="AJ978" s="3055"/>
      <c r="AK978" s="3055"/>
      <c r="AL978" s="3055"/>
      <c r="AM978" s="3055"/>
      <c r="AN978" s="3055"/>
      <c r="AO978" s="3055"/>
      <c r="AP978" s="3055"/>
      <c r="AQ978" s="3055"/>
      <c r="AR978" s="3055"/>
      <c r="AS978" s="3055"/>
      <c r="AT978" s="3055"/>
      <c r="AU978" s="3056"/>
      <c r="AV978" s="3057">
        <f t="shared" si="15"/>
      </c>
      <c r="AW978" s="3054"/>
      <c r="AX978" s="3054"/>
      <c r="AY978" s="3055"/>
      <c r="AZ978" s="3055"/>
      <c r="BA978" s="3055"/>
      <c r="BB978" s="3055"/>
      <c r="BC978" s="3055"/>
      <c r="BD978" s="3055"/>
      <c r="BE978" s="3055"/>
      <c r="BF978" s="3055"/>
      <c r="BG978" s="3055"/>
      <c r="BH978" s="3055"/>
      <c r="BI978" s="3055"/>
      <c r="BJ978" s="3055"/>
      <c r="BK978" s="3055"/>
      <c r="BL978" s="3056"/>
      <c r="BM978" s="3057">
        <f t="shared" si="16"/>
      </c>
      <c r="BN978" s="3054"/>
      <c r="BO978" s="3054"/>
      <c r="BP978" s="3055"/>
      <c r="BQ978" s="3055"/>
      <c r="BR978" s="3055"/>
      <c r="BS978" s="3055"/>
      <c r="BT978" s="3055"/>
      <c r="BU978" s="3055"/>
      <c r="BV978" s="3055"/>
      <c r="BW978" s="3055"/>
      <c r="BX978" s="3055"/>
      <c r="BY978" s="3055"/>
      <c r="BZ978" s="3055"/>
      <c r="CA978" s="3055"/>
      <c r="CB978" s="3055"/>
      <c r="CC978" s="3056"/>
      <c r="CD978" s="3057">
        <f t="shared" si="0"/>
      </c>
      <c r="CE978" s="3054"/>
      <c r="CF978" s="3054"/>
      <c r="CG978" s="3055"/>
      <c r="CH978" s="3055"/>
      <c r="CI978" s="3055"/>
      <c r="CJ978" s="3055"/>
      <c r="CK978" s="3055"/>
      <c r="CL978" s="3055"/>
      <c r="CM978" s="3055"/>
      <c r="CN978" s="3055"/>
      <c r="CO978" s="3055"/>
      <c r="CP978" s="3055"/>
      <c r="CQ978" s="3055"/>
      <c r="CR978" s="3055"/>
      <c r="CS978" s="3055"/>
      <c r="CU978" s="3054"/>
      <c r="CV978" s="696"/>
      <c r="CW978" s="696"/>
      <c r="CZ978" s="3060">
        <f t="shared" si="17"/>
      </c>
      <c r="DA978" s="3060">
        <f t="shared" si="1"/>
      </c>
      <c r="DB978" s="3060">
        <f t="shared" si="18"/>
      </c>
      <c r="DC978" s="3060">
        <f t="shared" si="19"/>
      </c>
      <c r="DD978" s="3060">
        <f t="shared" si="20"/>
      </c>
      <c r="DE978" s="3060">
        <f t="shared" si="21"/>
      </c>
      <c r="DF978" s="3060">
        <f t="shared" si="22"/>
      </c>
      <c r="DG978" s="3060">
        <f t="shared" si="23"/>
      </c>
      <c r="DH978" s="3060">
        <f t="shared" si="24"/>
      </c>
      <c r="DI978" s="3060">
        <f t="shared" si="1"/>
      </c>
    </row>
    <row r="979" ht="15" customHeight="1" s="3052" customFormat="1">
      <c r="B979" s="3054">
        <f t="shared" si="2"/>
      </c>
      <c r="C979" s="3054"/>
      <c r="D979" s="3054"/>
      <c r="E979" s="3055"/>
      <c r="F979" s="3055"/>
      <c r="G979" s="3055"/>
      <c r="H979" s="3055"/>
      <c r="I979" s="3055"/>
      <c r="J979" s="3055"/>
      <c r="K979" s="3055"/>
      <c r="L979" s="3055"/>
      <c r="M979" s="3055"/>
      <c r="N979" s="3055"/>
      <c r="O979" s="3055"/>
      <c r="P979" s="3055"/>
      <c r="Q979" s="3055"/>
      <c r="R979" s="3055">
        <f t="shared" si="3"/>
        <v>0</v>
      </c>
      <c r="S979" s="3055">
        <f t="shared" si="4"/>
        <v>0</v>
      </c>
      <c r="T979" s="3055">
        <f t="shared" si="5"/>
        <v>0</v>
      </c>
      <c r="U979" s="3055">
        <f t="shared" si="6"/>
        <v>0</v>
      </c>
      <c r="V979" s="3055">
        <f t="shared" si="7"/>
        <v>0</v>
      </c>
      <c r="W979" s="3055">
        <f t="shared" si="8"/>
        <v>0</v>
      </c>
      <c r="X979" s="3055">
        <f t="shared" si="9"/>
        <v>0</v>
      </c>
      <c r="Y979" s="3055">
        <f t="shared" si="10"/>
        <v>0</v>
      </c>
      <c r="Z979" s="3055">
        <f t="shared" si="11"/>
        <v>0</v>
      </c>
      <c r="AA979" s="3055">
        <f t="shared" si="12"/>
        <v>0</v>
      </c>
      <c r="AB979" s="3055">
        <f t="shared" si="13"/>
        <v>0</v>
      </c>
      <c r="AC979" s="3055">
        <f t="shared" si="14"/>
        <v>0</v>
      </c>
      <c r="AD979" s="3056"/>
      <c r="AE979" s="3057">
        <f t="shared" si="0"/>
      </c>
      <c r="AF979" s="3054"/>
      <c r="AG979" s="3054"/>
      <c r="AH979" s="3055"/>
      <c r="AI979" s="3055"/>
      <c r="AJ979" s="3055"/>
      <c r="AK979" s="3055"/>
      <c r="AL979" s="3055"/>
      <c r="AM979" s="3055"/>
      <c r="AN979" s="3055"/>
      <c r="AO979" s="3055"/>
      <c r="AP979" s="3055"/>
      <c r="AQ979" s="3055"/>
      <c r="AR979" s="3055"/>
      <c r="AS979" s="3055"/>
      <c r="AT979" s="3055"/>
      <c r="AU979" s="3056"/>
      <c r="AV979" s="3057">
        <f t="shared" si="15"/>
      </c>
      <c r="AW979" s="3054"/>
      <c r="AX979" s="3054"/>
      <c r="AY979" s="3055"/>
      <c r="AZ979" s="3055"/>
      <c r="BA979" s="3055"/>
      <c r="BB979" s="3055"/>
      <c r="BC979" s="3055"/>
      <c r="BD979" s="3055"/>
      <c r="BE979" s="3055"/>
      <c r="BF979" s="3055"/>
      <c r="BG979" s="3055"/>
      <c r="BH979" s="3055"/>
      <c r="BI979" s="3055"/>
      <c r="BJ979" s="3055"/>
      <c r="BK979" s="3055"/>
      <c r="BL979" s="3056"/>
      <c r="BM979" s="3057">
        <f t="shared" si="16"/>
      </c>
      <c r="BN979" s="3054"/>
      <c r="BO979" s="3054"/>
      <c r="BP979" s="3055"/>
      <c r="BQ979" s="3055"/>
      <c r="BR979" s="3055"/>
      <c r="BS979" s="3055"/>
      <c r="BT979" s="3055"/>
      <c r="BU979" s="3055"/>
      <c r="BV979" s="3055"/>
      <c r="BW979" s="3055"/>
      <c r="BX979" s="3055"/>
      <c r="BY979" s="3055"/>
      <c r="BZ979" s="3055"/>
      <c r="CA979" s="3055"/>
      <c r="CB979" s="3055"/>
      <c r="CC979" s="3056"/>
      <c r="CD979" s="3057">
        <f t="shared" si="0"/>
      </c>
      <c r="CE979" s="3054"/>
      <c r="CF979" s="3054"/>
      <c r="CG979" s="3055"/>
      <c r="CH979" s="3055"/>
      <c r="CI979" s="3055"/>
      <c r="CJ979" s="3055"/>
      <c r="CK979" s="3055"/>
      <c r="CL979" s="3055"/>
      <c r="CM979" s="3055"/>
      <c r="CN979" s="3055"/>
      <c r="CO979" s="3055"/>
      <c r="CP979" s="3055"/>
      <c r="CQ979" s="3055"/>
      <c r="CR979" s="3055"/>
      <c r="CS979" s="3055"/>
      <c r="CU979" s="3054"/>
      <c r="CV979" s="696"/>
      <c r="CW979" s="696"/>
      <c r="CZ979" s="3060">
        <f t="shared" si="17"/>
      </c>
      <c r="DA979" s="3060">
        <f t="shared" si="1"/>
      </c>
      <c r="DB979" s="3060">
        <f t="shared" si="18"/>
      </c>
      <c r="DC979" s="3060">
        <f t="shared" si="19"/>
      </c>
      <c r="DD979" s="3060">
        <f t="shared" si="20"/>
      </c>
      <c r="DE979" s="3060">
        <f t="shared" si="21"/>
      </c>
      <c r="DF979" s="3060">
        <f t="shared" si="22"/>
      </c>
      <c r="DG979" s="3060">
        <f t="shared" si="23"/>
      </c>
      <c r="DH979" s="3060">
        <f t="shared" si="24"/>
      </c>
      <c r="DI979" s="3060">
        <f t="shared" si="1"/>
      </c>
    </row>
    <row r="980" ht="15" customHeight="1" s="3052" customFormat="1">
      <c r="B980" s="3054">
        <f t="shared" si="2"/>
      </c>
      <c r="C980" s="3054"/>
      <c r="D980" s="3054"/>
      <c r="E980" s="3055"/>
      <c r="F980" s="3055"/>
      <c r="G980" s="3055"/>
      <c r="H980" s="3055"/>
      <c r="I980" s="3055"/>
      <c r="J980" s="3055"/>
      <c r="K980" s="3055"/>
      <c r="L980" s="3055"/>
      <c r="M980" s="3055"/>
      <c r="N980" s="3055"/>
      <c r="O980" s="3055"/>
      <c r="P980" s="3055"/>
      <c r="Q980" s="3055"/>
      <c r="R980" s="3055">
        <f t="shared" si="3"/>
        <v>0</v>
      </c>
      <c r="S980" s="3055">
        <f t="shared" si="4"/>
        <v>0</v>
      </c>
      <c r="T980" s="3055">
        <f t="shared" si="5"/>
        <v>0</v>
      </c>
      <c r="U980" s="3055">
        <f t="shared" si="6"/>
        <v>0</v>
      </c>
      <c r="V980" s="3055">
        <f t="shared" si="7"/>
        <v>0</v>
      </c>
      <c r="W980" s="3055">
        <f t="shared" si="8"/>
        <v>0</v>
      </c>
      <c r="X980" s="3055">
        <f t="shared" si="9"/>
        <v>0</v>
      </c>
      <c r="Y980" s="3055">
        <f t="shared" si="10"/>
        <v>0</v>
      </c>
      <c r="Z980" s="3055">
        <f t="shared" si="11"/>
        <v>0</v>
      </c>
      <c r="AA980" s="3055">
        <f t="shared" si="12"/>
        <v>0</v>
      </c>
      <c r="AB980" s="3055">
        <f t="shared" si="13"/>
        <v>0</v>
      </c>
      <c r="AC980" s="3055">
        <f t="shared" si="14"/>
        <v>0</v>
      </c>
      <c r="AD980" s="3056"/>
      <c r="AE980" s="3057">
        <f t="shared" si="0"/>
      </c>
      <c r="AF980" s="3054"/>
      <c r="AG980" s="3054"/>
      <c r="AH980" s="3055"/>
      <c r="AI980" s="3055"/>
      <c r="AJ980" s="3055"/>
      <c r="AK980" s="3055"/>
      <c r="AL980" s="3055"/>
      <c r="AM980" s="3055"/>
      <c r="AN980" s="3055"/>
      <c r="AO980" s="3055"/>
      <c r="AP980" s="3055"/>
      <c r="AQ980" s="3055"/>
      <c r="AR980" s="3055"/>
      <c r="AS980" s="3055"/>
      <c r="AT980" s="3055"/>
      <c r="AU980" s="3056"/>
      <c r="AV980" s="3057">
        <f t="shared" si="15"/>
      </c>
      <c r="AW980" s="3054"/>
      <c r="AX980" s="3054"/>
      <c r="AY980" s="3055"/>
      <c r="AZ980" s="3055"/>
      <c r="BA980" s="3055"/>
      <c r="BB980" s="3055"/>
      <c r="BC980" s="3055"/>
      <c r="BD980" s="3055"/>
      <c r="BE980" s="3055"/>
      <c r="BF980" s="3055"/>
      <c r="BG980" s="3055"/>
      <c r="BH980" s="3055"/>
      <c r="BI980" s="3055"/>
      <c r="BJ980" s="3055"/>
      <c r="BK980" s="3055"/>
      <c r="BL980" s="3056"/>
      <c r="BM980" s="3057">
        <f t="shared" si="16"/>
      </c>
      <c r="BN980" s="3054"/>
      <c r="BO980" s="3054"/>
      <c r="BP980" s="3055"/>
      <c r="BQ980" s="3055"/>
      <c r="BR980" s="3055"/>
      <c r="BS980" s="3055"/>
      <c r="BT980" s="3055"/>
      <c r="BU980" s="3055"/>
      <c r="BV980" s="3055"/>
      <c r="BW980" s="3055"/>
      <c r="BX980" s="3055"/>
      <c r="BY980" s="3055"/>
      <c r="BZ980" s="3055"/>
      <c r="CA980" s="3055"/>
      <c r="CB980" s="3055"/>
      <c r="CC980" s="3056"/>
      <c r="CD980" s="3057">
        <f t="shared" si="0"/>
      </c>
      <c r="CE980" s="3054"/>
      <c r="CF980" s="3054"/>
      <c r="CG980" s="3055"/>
      <c r="CH980" s="3055"/>
      <c r="CI980" s="3055"/>
      <c r="CJ980" s="3055"/>
      <c r="CK980" s="3055"/>
      <c r="CL980" s="3055"/>
      <c r="CM980" s="3055"/>
      <c r="CN980" s="3055"/>
      <c r="CO980" s="3055"/>
      <c r="CP980" s="3055"/>
      <c r="CQ980" s="3055"/>
      <c r="CR980" s="3055"/>
      <c r="CS980" s="3055"/>
      <c r="CU980" s="3054"/>
      <c r="CV980" s="696"/>
      <c r="CW980" s="696"/>
      <c r="CZ980" s="3060">
        <f t="shared" si="17"/>
      </c>
      <c r="DA980" s="3060">
        <f t="shared" si="1"/>
      </c>
      <c r="DB980" s="3060">
        <f t="shared" si="18"/>
      </c>
      <c r="DC980" s="3060">
        <f t="shared" si="19"/>
      </c>
      <c r="DD980" s="3060">
        <f t="shared" si="20"/>
      </c>
      <c r="DE980" s="3060">
        <f t="shared" si="21"/>
      </c>
      <c r="DF980" s="3060">
        <f t="shared" si="22"/>
      </c>
      <c r="DG980" s="3060">
        <f t="shared" si="23"/>
      </c>
      <c r="DH980" s="3060">
        <f t="shared" si="24"/>
      </c>
      <c r="DI980" s="3060">
        <f t="shared" si="1"/>
      </c>
    </row>
    <row r="981" ht="15" customHeight="1" s="3052" customFormat="1">
      <c r="B981" s="3054">
        <f t="shared" si="2"/>
      </c>
      <c r="C981" s="3054"/>
      <c r="D981" s="3054"/>
      <c r="E981" s="3055"/>
      <c r="F981" s="3055"/>
      <c r="G981" s="3055"/>
      <c r="H981" s="3055"/>
      <c r="I981" s="3055"/>
      <c r="J981" s="3055"/>
      <c r="K981" s="3055"/>
      <c r="L981" s="3055"/>
      <c r="M981" s="3055"/>
      <c r="N981" s="3055"/>
      <c r="O981" s="3055"/>
      <c r="P981" s="3055"/>
      <c r="Q981" s="3055"/>
      <c r="R981" s="3055">
        <f t="shared" si="3"/>
        <v>0</v>
      </c>
      <c r="S981" s="3055">
        <f t="shared" si="4"/>
        <v>0</v>
      </c>
      <c r="T981" s="3055">
        <f t="shared" si="5"/>
        <v>0</v>
      </c>
      <c r="U981" s="3055">
        <f t="shared" si="6"/>
        <v>0</v>
      </c>
      <c r="V981" s="3055">
        <f t="shared" si="7"/>
        <v>0</v>
      </c>
      <c r="W981" s="3055">
        <f t="shared" si="8"/>
        <v>0</v>
      </c>
      <c r="X981" s="3055">
        <f t="shared" si="9"/>
        <v>0</v>
      </c>
      <c r="Y981" s="3055">
        <f t="shared" si="10"/>
        <v>0</v>
      </c>
      <c r="Z981" s="3055">
        <f t="shared" si="11"/>
        <v>0</v>
      </c>
      <c r="AA981" s="3055">
        <f t="shared" si="12"/>
        <v>0</v>
      </c>
      <c r="AB981" s="3055">
        <f t="shared" si="13"/>
        <v>0</v>
      </c>
      <c r="AC981" s="3055">
        <f t="shared" si="14"/>
        <v>0</v>
      </c>
      <c r="AD981" s="3056"/>
      <c r="AE981" s="3057">
        <f t="shared" si="0"/>
      </c>
      <c r="AF981" s="3054"/>
      <c r="AG981" s="3054"/>
      <c r="AH981" s="3055"/>
      <c r="AI981" s="3055"/>
      <c r="AJ981" s="3055"/>
      <c r="AK981" s="3055"/>
      <c r="AL981" s="3055"/>
      <c r="AM981" s="3055"/>
      <c r="AN981" s="3055"/>
      <c r="AO981" s="3055"/>
      <c r="AP981" s="3055"/>
      <c r="AQ981" s="3055"/>
      <c r="AR981" s="3055"/>
      <c r="AS981" s="3055"/>
      <c r="AT981" s="3055"/>
      <c r="AU981" s="3056"/>
      <c r="AV981" s="3057">
        <f t="shared" si="15"/>
      </c>
      <c r="AW981" s="3054"/>
      <c r="AX981" s="3054"/>
      <c r="AY981" s="3055"/>
      <c r="AZ981" s="3055"/>
      <c r="BA981" s="3055"/>
      <c r="BB981" s="3055"/>
      <c r="BC981" s="3055"/>
      <c r="BD981" s="3055"/>
      <c r="BE981" s="3055"/>
      <c r="BF981" s="3055"/>
      <c r="BG981" s="3055"/>
      <c r="BH981" s="3055"/>
      <c r="BI981" s="3055"/>
      <c r="BJ981" s="3055"/>
      <c r="BK981" s="3055"/>
      <c r="BL981" s="3056"/>
      <c r="BM981" s="3057">
        <f t="shared" si="16"/>
      </c>
      <c r="BN981" s="3054"/>
      <c r="BO981" s="3054"/>
      <c r="BP981" s="3055"/>
      <c r="BQ981" s="3055"/>
      <c r="BR981" s="3055"/>
      <c r="BS981" s="3055"/>
      <c r="BT981" s="3055"/>
      <c r="BU981" s="3055"/>
      <c r="BV981" s="3055"/>
      <c r="BW981" s="3055"/>
      <c r="BX981" s="3055"/>
      <c r="BY981" s="3055"/>
      <c r="BZ981" s="3055"/>
      <c r="CA981" s="3055"/>
      <c r="CB981" s="3055"/>
      <c r="CC981" s="3056"/>
      <c r="CD981" s="3057">
        <f t="shared" si="0"/>
      </c>
      <c r="CE981" s="3054"/>
      <c r="CF981" s="3054"/>
      <c r="CG981" s="3055"/>
      <c r="CH981" s="3055"/>
      <c r="CI981" s="3055"/>
      <c r="CJ981" s="3055"/>
      <c r="CK981" s="3055"/>
      <c r="CL981" s="3055"/>
      <c r="CM981" s="3055"/>
      <c r="CN981" s="3055"/>
      <c r="CO981" s="3055"/>
      <c r="CP981" s="3055"/>
      <c r="CQ981" s="3055"/>
      <c r="CR981" s="3055"/>
      <c r="CS981" s="3055"/>
      <c r="CU981" s="3054"/>
      <c r="CV981" s="696"/>
      <c r="CW981" s="696"/>
      <c r="CZ981" s="3060">
        <f t="shared" si="17"/>
      </c>
      <c r="DA981" s="3060">
        <f t="shared" si="1"/>
      </c>
      <c r="DB981" s="3060">
        <f t="shared" si="18"/>
      </c>
      <c r="DC981" s="3060">
        <f t="shared" si="19"/>
      </c>
      <c r="DD981" s="3060">
        <f t="shared" si="20"/>
      </c>
      <c r="DE981" s="3060">
        <f t="shared" si="21"/>
      </c>
      <c r="DF981" s="3060">
        <f t="shared" si="22"/>
      </c>
      <c r="DG981" s="3060">
        <f t="shared" si="23"/>
      </c>
      <c r="DH981" s="3060">
        <f t="shared" si="24"/>
      </c>
      <c r="DI981" s="3060">
        <f t="shared" si="1"/>
      </c>
    </row>
    <row r="982" ht="15" customHeight="1" s="3052" customFormat="1">
      <c r="B982" s="3054">
        <f t="shared" si="2"/>
      </c>
      <c r="C982" s="3054"/>
      <c r="D982" s="3054"/>
      <c r="E982" s="3055"/>
      <c r="F982" s="3055"/>
      <c r="G982" s="3055"/>
      <c r="H982" s="3055"/>
      <c r="I982" s="3055"/>
      <c r="J982" s="3055"/>
      <c r="K982" s="3055"/>
      <c r="L982" s="3055"/>
      <c r="M982" s="3055"/>
      <c r="N982" s="3055"/>
      <c r="O982" s="3055"/>
      <c r="P982" s="3055"/>
      <c r="Q982" s="3055"/>
      <c r="R982" s="3055">
        <f t="shared" si="3"/>
        <v>0</v>
      </c>
      <c r="S982" s="3055">
        <f t="shared" si="4"/>
        <v>0</v>
      </c>
      <c r="T982" s="3055">
        <f t="shared" si="5"/>
        <v>0</v>
      </c>
      <c r="U982" s="3055">
        <f t="shared" si="6"/>
        <v>0</v>
      </c>
      <c r="V982" s="3055">
        <f t="shared" si="7"/>
        <v>0</v>
      </c>
      <c r="W982" s="3055">
        <f t="shared" si="8"/>
        <v>0</v>
      </c>
      <c r="X982" s="3055">
        <f t="shared" si="9"/>
        <v>0</v>
      </c>
      <c r="Y982" s="3055">
        <f t="shared" si="10"/>
        <v>0</v>
      </c>
      <c r="Z982" s="3055">
        <f t="shared" si="11"/>
        <v>0</v>
      </c>
      <c r="AA982" s="3055">
        <f t="shared" si="12"/>
        <v>0</v>
      </c>
      <c r="AB982" s="3055">
        <f t="shared" si="13"/>
        <v>0</v>
      </c>
      <c r="AC982" s="3055">
        <f t="shared" si="14"/>
        <v>0</v>
      </c>
      <c r="AD982" s="3056"/>
      <c r="AE982" s="3057">
        <f t="shared" si="0"/>
      </c>
      <c r="AF982" s="3054"/>
      <c r="AG982" s="3054"/>
      <c r="AH982" s="3055"/>
      <c r="AI982" s="3055"/>
      <c r="AJ982" s="3055"/>
      <c r="AK982" s="3055"/>
      <c r="AL982" s="3055"/>
      <c r="AM982" s="3055"/>
      <c r="AN982" s="3055"/>
      <c r="AO982" s="3055"/>
      <c r="AP982" s="3055"/>
      <c r="AQ982" s="3055"/>
      <c r="AR982" s="3055"/>
      <c r="AS982" s="3055"/>
      <c r="AT982" s="3055"/>
      <c r="AU982" s="3056"/>
      <c r="AV982" s="3057">
        <f t="shared" si="15"/>
      </c>
      <c r="AW982" s="3054"/>
      <c r="AX982" s="3054"/>
      <c r="AY982" s="3055"/>
      <c r="AZ982" s="3055"/>
      <c r="BA982" s="3055"/>
      <c r="BB982" s="3055"/>
      <c r="BC982" s="3055"/>
      <c r="BD982" s="3055"/>
      <c r="BE982" s="3055"/>
      <c r="BF982" s="3055"/>
      <c r="BG982" s="3055"/>
      <c r="BH982" s="3055"/>
      <c r="BI982" s="3055"/>
      <c r="BJ982" s="3055"/>
      <c r="BK982" s="3055"/>
      <c r="BL982" s="3056"/>
      <c r="BM982" s="3057">
        <f t="shared" si="16"/>
      </c>
      <c r="BN982" s="3054"/>
      <c r="BO982" s="3054"/>
      <c r="BP982" s="3055"/>
      <c r="BQ982" s="3055"/>
      <c r="BR982" s="3055"/>
      <c r="BS982" s="3055"/>
      <c r="BT982" s="3055"/>
      <c r="BU982" s="3055"/>
      <c r="BV982" s="3055"/>
      <c r="BW982" s="3055"/>
      <c r="BX982" s="3055"/>
      <c r="BY982" s="3055"/>
      <c r="BZ982" s="3055"/>
      <c r="CA982" s="3055"/>
      <c r="CB982" s="3055"/>
      <c r="CC982" s="3056"/>
      <c r="CD982" s="3057">
        <f t="shared" si="0"/>
      </c>
      <c r="CE982" s="3054"/>
      <c r="CF982" s="3054"/>
      <c r="CG982" s="3055"/>
      <c r="CH982" s="3055"/>
      <c r="CI982" s="3055"/>
      <c r="CJ982" s="3055"/>
      <c r="CK982" s="3055"/>
      <c r="CL982" s="3055"/>
      <c r="CM982" s="3055"/>
      <c r="CN982" s="3055"/>
      <c r="CO982" s="3055"/>
      <c r="CP982" s="3055"/>
      <c r="CQ982" s="3055"/>
      <c r="CR982" s="3055"/>
      <c r="CS982" s="3055"/>
      <c r="CU982" s="3054"/>
      <c r="CV982" s="696"/>
      <c r="CW982" s="696"/>
      <c r="CZ982" s="3060">
        <f t="shared" si="17"/>
      </c>
      <c r="DA982" s="3060">
        <f t="shared" si="1"/>
      </c>
      <c r="DB982" s="3060">
        <f t="shared" si="18"/>
      </c>
      <c r="DC982" s="3060">
        <f t="shared" si="19"/>
      </c>
      <c r="DD982" s="3060">
        <f t="shared" si="20"/>
      </c>
      <c r="DE982" s="3060">
        <f t="shared" si="21"/>
      </c>
      <c r="DF982" s="3060">
        <f t="shared" si="22"/>
      </c>
      <c r="DG982" s="3060">
        <f t="shared" si="23"/>
      </c>
      <c r="DH982" s="3060">
        <f t="shared" si="24"/>
      </c>
      <c r="DI982" s="3060">
        <f t="shared" si="1"/>
      </c>
    </row>
    <row r="983" ht="15" customHeight="1" s="3052" customFormat="1">
      <c r="B983" s="3054">
        <f t="shared" si="2"/>
      </c>
      <c r="C983" s="3054"/>
      <c r="D983" s="3054"/>
      <c r="E983" s="3055"/>
      <c r="F983" s="3055"/>
      <c r="G983" s="3055"/>
      <c r="H983" s="3055"/>
      <c r="I983" s="3055"/>
      <c r="J983" s="3055"/>
      <c r="K983" s="3055"/>
      <c r="L983" s="3055"/>
      <c r="M983" s="3055"/>
      <c r="N983" s="3055"/>
      <c r="O983" s="3055"/>
      <c r="P983" s="3055"/>
      <c r="Q983" s="3055"/>
      <c r="R983" s="3055">
        <f t="shared" si="3"/>
        <v>0</v>
      </c>
      <c r="S983" s="3055">
        <f t="shared" si="4"/>
        <v>0</v>
      </c>
      <c r="T983" s="3055">
        <f t="shared" si="5"/>
        <v>0</v>
      </c>
      <c r="U983" s="3055">
        <f t="shared" si="6"/>
        <v>0</v>
      </c>
      <c r="V983" s="3055">
        <f t="shared" si="7"/>
        <v>0</v>
      </c>
      <c r="W983" s="3055">
        <f t="shared" si="8"/>
        <v>0</v>
      </c>
      <c r="X983" s="3055">
        <f t="shared" si="9"/>
        <v>0</v>
      </c>
      <c r="Y983" s="3055">
        <f t="shared" si="10"/>
        <v>0</v>
      </c>
      <c r="Z983" s="3055">
        <f t="shared" si="11"/>
        <v>0</v>
      </c>
      <c r="AA983" s="3055">
        <f t="shared" si="12"/>
        <v>0</v>
      </c>
      <c r="AB983" s="3055">
        <f t="shared" si="13"/>
        <v>0</v>
      </c>
      <c r="AC983" s="3055">
        <f t="shared" si="14"/>
        <v>0</v>
      </c>
      <c r="AD983" s="3056"/>
      <c r="AE983" s="3057">
        <f t="shared" si="0"/>
      </c>
      <c r="AF983" s="3054"/>
      <c r="AG983" s="3054"/>
      <c r="AH983" s="3055"/>
      <c r="AI983" s="3055"/>
      <c r="AJ983" s="3055"/>
      <c r="AK983" s="3055"/>
      <c r="AL983" s="3055"/>
      <c r="AM983" s="3055"/>
      <c r="AN983" s="3055"/>
      <c r="AO983" s="3055"/>
      <c r="AP983" s="3055"/>
      <c r="AQ983" s="3055"/>
      <c r="AR983" s="3055"/>
      <c r="AS983" s="3055"/>
      <c r="AT983" s="3055"/>
      <c r="AU983" s="3056"/>
      <c r="AV983" s="3057">
        <f t="shared" si="15"/>
      </c>
      <c r="AW983" s="3054"/>
      <c r="AX983" s="3054"/>
      <c r="AY983" s="3055"/>
      <c r="AZ983" s="3055"/>
      <c r="BA983" s="3055"/>
      <c r="BB983" s="3055"/>
      <c r="BC983" s="3055"/>
      <c r="BD983" s="3055"/>
      <c r="BE983" s="3055"/>
      <c r="BF983" s="3055"/>
      <c r="BG983" s="3055"/>
      <c r="BH983" s="3055"/>
      <c r="BI983" s="3055"/>
      <c r="BJ983" s="3055"/>
      <c r="BK983" s="3055"/>
      <c r="BL983" s="3056"/>
      <c r="BM983" s="3057">
        <f t="shared" si="16"/>
      </c>
      <c r="BN983" s="3054"/>
      <c r="BO983" s="3054"/>
      <c r="BP983" s="3055"/>
      <c r="BQ983" s="3055"/>
      <c r="BR983" s="3055"/>
      <c r="BS983" s="3055"/>
      <c r="BT983" s="3055"/>
      <c r="BU983" s="3055"/>
      <c r="BV983" s="3055"/>
      <c r="BW983" s="3055"/>
      <c r="BX983" s="3055"/>
      <c r="BY983" s="3055"/>
      <c r="BZ983" s="3055"/>
      <c r="CA983" s="3055"/>
      <c r="CB983" s="3055"/>
      <c r="CC983" s="3056"/>
      <c r="CD983" s="3057">
        <f t="shared" si="0"/>
      </c>
      <c r="CE983" s="3054"/>
      <c r="CF983" s="3054"/>
      <c r="CG983" s="3055"/>
      <c r="CH983" s="3055"/>
      <c r="CI983" s="3055"/>
      <c r="CJ983" s="3055"/>
      <c r="CK983" s="3055"/>
      <c r="CL983" s="3055"/>
      <c r="CM983" s="3055"/>
      <c r="CN983" s="3055"/>
      <c r="CO983" s="3055"/>
      <c r="CP983" s="3055"/>
      <c r="CQ983" s="3055"/>
      <c r="CR983" s="3055"/>
      <c r="CS983" s="3055"/>
      <c r="CU983" s="3054"/>
      <c r="CV983" s="696"/>
      <c r="CW983" s="696"/>
      <c r="CZ983" s="3060">
        <f t="shared" si="17"/>
      </c>
      <c r="DA983" s="3060">
        <f t="shared" si="1"/>
      </c>
      <c r="DB983" s="3060">
        <f t="shared" si="18"/>
      </c>
      <c r="DC983" s="3060">
        <f t="shared" si="19"/>
      </c>
      <c r="DD983" s="3060">
        <f t="shared" si="20"/>
      </c>
      <c r="DE983" s="3060">
        <f t="shared" si="21"/>
      </c>
      <c r="DF983" s="3060">
        <f t="shared" si="22"/>
      </c>
      <c r="DG983" s="3060">
        <f t="shared" si="23"/>
      </c>
      <c r="DH983" s="3060">
        <f t="shared" si="24"/>
      </c>
      <c r="DI983" s="3060">
        <f t="shared" si="1"/>
      </c>
    </row>
    <row r="984" ht="15" customHeight="1" s="3052" customFormat="1">
      <c r="B984" s="3054">
        <f t="shared" si="2"/>
      </c>
      <c r="C984" s="3054"/>
      <c r="D984" s="3054"/>
      <c r="E984" s="3055"/>
      <c r="F984" s="3055"/>
      <c r="G984" s="3055"/>
      <c r="H984" s="3055"/>
      <c r="I984" s="3055"/>
      <c r="J984" s="3055"/>
      <c r="K984" s="3055"/>
      <c r="L984" s="3055"/>
      <c r="M984" s="3055"/>
      <c r="N984" s="3055"/>
      <c r="O984" s="3055"/>
      <c r="P984" s="3055"/>
      <c r="Q984" s="3055"/>
      <c r="R984" s="3055">
        <f t="shared" si="3"/>
        <v>0</v>
      </c>
      <c r="S984" s="3055">
        <f t="shared" si="4"/>
        <v>0</v>
      </c>
      <c r="T984" s="3055">
        <f t="shared" si="5"/>
        <v>0</v>
      </c>
      <c r="U984" s="3055">
        <f t="shared" si="6"/>
        <v>0</v>
      </c>
      <c r="V984" s="3055">
        <f t="shared" si="7"/>
        <v>0</v>
      </c>
      <c r="W984" s="3055">
        <f t="shared" si="8"/>
        <v>0</v>
      </c>
      <c r="X984" s="3055">
        <f t="shared" si="9"/>
        <v>0</v>
      </c>
      <c r="Y984" s="3055">
        <f t="shared" si="10"/>
        <v>0</v>
      </c>
      <c r="Z984" s="3055">
        <f t="shared" si="11"/>
        <v>0</v>
      </c>
      <c r="AA984" s="3055">
        <f t="shared" si="12"/>
        <v>0</v>
      </c>
      <c r="AB984" s="3055">
        <f t="shared" si="13"/>
        <v>0</v>
      </c>
      <c r="AC984" s="3055">
        <f t="shared" si="14"/>
        <v>0</v>
      </c>
      <c r="AD984" s="3056"/>
      <c r="AE984" s="3057">
        <f t="shared" si="0"/>
      </c>
      <c r="AF984" s="3054"/>
      <c r="AG984" s="3054"/>
      <c r="AH984" s="3055"/>
      <c r="AI984" s="3055"/>
      <c r="AJ984" s="3055"/>
      <c r="AK984" s="3055"/>
      <c r="AL984" s="3055"/>
      <c r="AM984" s="3055"/>
      <c r="AN984" s="3055"/>
      <c r="AO984" s="3055"/>
      <c r="AP984" s="3055"/>
      <c r="AQ984" s="3055"/>
      <c r="AR984" s="3055"/>
      <c r="AS984" s="3055"/>
      <c r="AT984" s="3055"/>
      <c r="AU984" s="3056"/>
      <c r="AV984" s="3057">
        <f t="shared" si="15"/>
      </c>
      <c r="AW984" s="3054"/>
      <c r="AX984" s="3054"/>
      <c r="AY984" s="3055"/>
      <c r="AZ984" s="3055"/>
      <c r="BA984" s="3055"/>
      <c r="BB984" s="3055"/>
      <c r="BC984" s="3055"/>
      <c r="BD984" s="3055"/>
      <c r="BE984" s="3055"/>
      <c r="BF984" s="3055"/>
      <c r="BG984" s="3055"/>
      <c r="BH984" s="3055"/>
      <c r="BI984" s="3055"/>
      <c r="BJ984" s="3055"/>
      <c r="BK984" s="3055"/>
      <c r="BL984" s="3056"/>
      <c r="BM984" s="3057">
        <f t="shared" si="16"/>
      </c>
      <c r="BN984" s="3054"/>
      <c r="BO984" s="3054"/>
      <c r="BP984" s="3055"/>
      <c r="BQ984" s="3055"/>
      <c r="BR984" s="3055"/>
      <c r="BS984" s="3055"/>
      <c r="BT984" s="3055"/>
      <c r="BU984" s="3055"/>
      <c r="BV984" s="3055"/>
      <c r="BW984" s="3055"/>
      <c r="BX984" s="3055"/>
      <c r="BY984" s="3055"/>
      <c r="BZ984" s="3055"/>
      <c r="CA984" s="3055"/>
      <c r="CB984" s="3055"/>
      <c r="CC984" s="3056"/>
      <c r="CD984" s="3057">
        <f t="shared" si="0"/>
      </c>
      <c r="CE984" s="3054"/>
      <c r="CF984" s="3054"/>
      <c r="CG984" s="3055"/>
      <c r="CH984" s="3055"/>
      <c r="CI984" s="3055"/>
      <c r="CJ984" s="3055"/>
      <c r="CK984" s="3055"/>
      <c r="CL984" s="3055"/>
      <c r="CM984" s="3055"/>
      <c r="CN984" s="3055"/>
      <c r="CO984" s="3055"/>
      <c r="CP984" s="3055"/>
      <c r="CQ984" s="3055"/>
      <c r="CR984" s="3055"/>
      <c r="CS984" s="3055"/>
      <c r="CU984" s="3054"/>
      <c r="CV984" s="696"/>
      <c r="CW984" s="696"/>
      <c r="CZ984" s="3060">
        <f t="shared" si="17"/>
      </c>
      <c r="DA984" s="3060">
        <f t="shared" si="1"/>
      </c>
      <c r="DB984" s="3060">
        <f t="shared" si="18"/>
      </c>
      <c r="DC984" s="3060">
        <f t="shared" si="19"/>
      </c>
      <c r="DD984" s="3060">
        <f t="shared" si="20"/>
      </c>
      <c r="DE984" s="3060">
        <f t="shared" si="21"/>
      </c>
      <c r="DF984" s="3060">
        <f t="shared" si="22"/>
      </c>
      <c r="DG984" s="3060">
        <f t="shared" si="23"/>
      </c>
      <c r="DH984" s="3060">
        <f t="shared" si="24"/>
      </c>
      <c r="DI984" s="3060">
        <f t="shared" si="1"/>
      </c>
    </row>
    <row r="985" ht="15" customHeight="1" s="3052" customFormat="1">
      <c r="B985" s="3054">
        <f t="shared" si="2"/>
      </c>
      <c r="C985" s="3054"/>
      <c r="D985" s="3054"/>
      <c r="E985" s="3055"/>
      <c r="F985" s="3055"/>
      <c r="G985" s="3055"/>
      <c r="H985" s="3055"/>
      <c r="I985" s="3055"/>
      <c r="J985" s="3055"/>
      <c r="K985" s="3055"/>
      <c r="L985" s="3055"/>
      <c r="M985" s="3055"/>
      <c r="N985" s="3055"/>
      <c r="O985" s="3055"/>
      <c r="P985" s="3055"/>
      <c r="Q985" s="3055"/>
      <c r="R985" s="3055">
        <f t="shared" si="3"/>
        <v>0</v>
      </c>
      <c r="S985" s="3055">
        <f t="shared" si="4"/>
        <v>0</v>
      </c>
      <c r="T985" s="3055">
        <f t="shared" si="5"/>
        <v>0</v>
      </c>
      <c r="U985" s="3055">
        <f t="shared" si="6"/>
        <v>0</v>
      </c>
      <c r="V985" s="3055">
        <f t="shared" si="7"/>
        <v>0</v>
      </c>
      <c r="W985" s="3055">
        <f t="shared" si="8"/>
        <v>0</v>
      </c>
      <c r="X985" s="3055">
        <f t="shared" si="9"/>
        <v>0</v>
      </c>
      <c r="Y985" s="3055">
        <f t="shared" si="10"/>
        <v>0</v>
      </c>
      <c r="Z985" s="3055">
        <f t="shared" si="11"/>
        <v>0</v>
      </c>
      <c r="AA985" s="3055">
        <f t="shared" si="12"/>
        <v>0</v>
      </c>
      <c r="AB985" s="3055">
        <f t="shared" si="13"/>
        <v>0</v>
      </c>
      <c r="AC985" s="3055">
        <f t="shared" si="14"/>
        <v>0</v>
      </c>
      <c r="AD985" s="3056"/>
      <c r="AE985" s="3057">
        <f t="shared" si="0"/>
      </c>
      <c r="AF985" s="3054"/>
      <c r="AG985" s="3054"/>
      <c r="AH985" s="3055"/>
      <c r="AI985" s="3055"/>
      <c r="AJ985" s="3055"/>
      <c r="AK985" s="3055"/>
      <c r="AL985" s="3055"/>
      <c r="AM985" s="3055"/>
      <c r="AN985" s="3055"/>
      <c r="AO985" s="3055"/>
      <c r="AP985" s="3055"/>
      <c r="AQ985" s="3055"/>
      <c r="AR985" s="3055"/>
      <c r="AS985" s="3055"/>
      <c r="AT985" s="3055"/>
      <c r="AU985" s="3056"/>
      <c r="AV985" s="3057">
        <f t="shared" si="15"/>
      </c>
      <c r="AW985" s="3054"/>
      <c r="AX985" s="3054"/>
      <c r="AY985" s="3055"/>
      <c r="AZ985" s="3055"/>
      <c r="BA985" s="3055"/>
      <c r="BB985" s="3055"/>
      <c r="BC985" s="3055"/>
      <c r="BD985" s="3055"/>
      <c r="BE985" s="3055"/>
      <c r="BF985" s="3055"/>
      <c r="BG985" s="3055"/>
      <c r="BH985" s="3055"/>
      <c r="BI985" s="3055"/>
      <c r="BJ985" s="3055"/>
      <c r="BK985" s="3055"/>
      <c r="BL985" s="3056"/>
      <c r="BM985" s="3057">
        <f t="shared" si="16"/>
      </c>
      <c r="BN985" s="3054"/>
      <c r="BO985" s="3054"/>
      <c r="BP985" s="3055"/>
      <c r="BQ985" s="3055"/>
      <c r="BR985" s="3055"/>
      <c r="BS985" s="3055"/>
      <c r="BT985" s="3055"/>
      <c r="BU985" s="3055"/>
      <c r="BV985" s="3055"/>
      <c r="BW985" s="3055"/>
      <c r="BX985" s="3055"/>
      <c r="BY985" s="3055"/>
      <c r="BZ985" s="3055"/>
      <c r="CA985" s="3055"/>
      <c r="CB985" s="3055"/>
      <c r="CC985" s="3056"/>
      <c r="CD985" s="3057">
        <f t="shared" si="0"/>
      </c>
      <c r="CE985" s="3054"/>
      <c r="CF985" s="3054"/>
      <c r="CG985" s="3055"/>
      <c r="CH985" s="3055"/>
      <c r="CI985" s="3055"/>
      <c r="CJ985" s="3055"/>
      <c r="CK985" s="3055"/>
      <c r="CL985" s="3055"/>
      <c r="CM985" s="3055"/>
      <c r="CN985" s="3055"/>
      <c r="CO985" s="3055"/>
      <c r="CP985" s="3055"/>
      <c r="CQ985" s="3055"/>
      <c r="CR985" s="3055"/>
      <c r="CS985" s="3055"/>
      <c r="CU985" s="3054"/>
      <c r="CV985" s="696"/>
      <c r="CW985" s="696"/>
      <c r="CZ985" s="3060">
        <f t="shared" si="17"/>
      </c>
      <c r="DA985" s="3060">
        <f t="shared" si="1"/>
      </c>
      <c r="DB985" s="3060">
        <f t="shared" si="18"/>
      </c>
      <c r="DC985" s="3060">
        <f t="shared" si="19"/>
      </c>
      <c r="DD985" s="3060">
        <f t="shared" si="20"/>
      </c>
      <c r="DE985" s="3060">
        <f t="shared" si="21"/>
      </c>
      <c r="DF985" s="3060">
        <f t="shared" si="22"/>
      </c>
      <c r="DG985" s="3060">
        <f t="shared" si="23"/>
      </c>
      <c r="DH985" s="3060">
        <f t="shared" si="24"/>
      </c>
      <c r="DI985" s="3060">
        <f t="shared" si="1"/>
      </c>
    </row>
    <row r="986" ht="15" customHeight="1" s="3052" customFormat="1">
      <c r="B986" s="3054">
        <f t="shared" si="2"/>
      </c>
      <c r="C986" s="3054"/>
      <c r="D986" s="3054"/>
      <c r="E986" s="3055"/>
      <c r="F986" s="3055"/>
      <c r="G986" s="3055"/>
      <c r="H986" s="3055"/>
      <c r="I986" s="3055"/>
      <c r="J986" s="3055"/>
      <c r="K986" s="3055"/>
      <c r="L986" s="3055"/>
      <c r="M986" s="3055"/>
      <c r="N986" s="3055"/>
      <c r="O986" s="3055"/>
      <c r="P986" s="3055"/>
      <c r="Q986" s="3055"/>
      <c r="R986" s="3055">
        <f t="shared" si="3"/>
        <v>0</v>
      </c>
      <c r="S986" s="3055">
        <f t="shared" si="4"/>
        <v>0</v>
      </c>
      <c r="T986" s="3055">
        <f t="shared" si="5"/>
        <v>0</v>
      </c>
      <c r="U986" s="3055">
        <f t="shared" si="6"/>
        <v>0</v>
      </c>
      <c r="V986" s="3055">
        <f t="shared" si="7"/>
        <v>0</v>
      </c>
      <c r="W986" s="3055">
        <f t="shared" si="8"/>
        <v>0</v>
      </c>
      <c r="X986" s="3055">
        <f t="shared" si="9"/>
        <v>0</v>
      </c>
      <c r="Y986" s="3055">
        <f t="shared" si="10"/>
        <v>0</v>
      </c>
      <c r="Z986" s="3055">
        <f t="shared" si="11"/>
        <v>0</v>
      </c>
      <c r="AA986" s="3055">
        <f t="shared" si="12"/>
        <v>0</v>
      </c>
      <c r="AB986" s="3055">
        <f t="shared" si="13"/>
        <v>0</v>
      </c>
      <c r="AC986" s="3055">
        <f t="shared" si="14"/>
        <v>0</v>
      </c>
      <c r="AD986" s="3056"/>
      <c r="AE986" s="3057">
        <f t="shared" si="0"/>
      </c>
      <c r="AF986" s="3054"/>
      <c r="AG986" s="3054"/>
      <c r="AH986" s="3055"/>
      <c r="AI986" s="3055"/>
      <c r="AJ986" s="3055"/>
      <c r="AK986" s="3055"/>
      <c r="AL986" s="3055"/>
      <c r="AM986" s="3055"/>
      <c r="AN986" s="3055"/>
      <c r="AO986" s="3055"/>
      <c r="AP986" s="3055"/>
      <c r="AQ986" s="3055"/>
      <c r="AR986" s="3055"/>
      <c r="AS986" s="3055"/>
      <c r="AT986" s="3055"/>
      <c r="AU986" s="3056"/>
      <c r="AV986" s="3057">
        <f t="shared" si="15"/>
      </c>
      <c r="AW986" s="3054"/>
      <c r="AX986" s="3054"/>
      <c r="AY986" s="3055"/>
      <c r="AZ986" s="3055"/>
      <c r="BA986" s="3055"/>
      <c r="BB986" s="3055"/>
      <c r="BC986" s="3055"/>
      <c r="BD986" s="3055"/>
      <c r="BE986" s="3055"/>
      <c r="BF986" s="3055"/>
      <c r="BG986" s="3055"/>
      <c r="BH986" s="3055"/>
      <c r="BI986" s="3055"/>
      <c r="BJ986" s="3055"/>
      <c r="BK986" s="3055"/>
      <c r="BL986" s="3056"/>
      <c r="BM986" s="3057">
        <f t="shared" si="16"/>
      </c>
      <c r="BN986" s="3054"/>
      <c r="BO986" s="3054"/>
      <c r="BP986" s="3055"/>
      <c r="BQ986" s="3055"/>
      <c r="BR986" s="3055"/>
      <c r="BS986" s="3055"/>
      <c r="BT986" s="3055"/>
      <c r="BU986" s="3055"/>
      <c r="BV986" s="3055"/>
      <c r="BW986" s="3055"/>
      <c r="BX986" s="3055"/>
      <c r="BY986" s="3055"/>
      <c r="BZ986" s="3055"/>
      <c r="CA986" s="3055"/>
      <c r="CB986" s="3055"/>
      <c r="CC986" s="3056"/>
      <c r="CD986" s="3057">
        <f t="shared" si="0"/>
      </c>
      <c r="CE986" s="3054"/>
      <c r="CF986" s="3054"/>
      <c r="CG986" s="3055"/>
      <c r="CH986" s="3055"/>
      <c r="CI986" s="3055"/>
      <c r="CJ986" s="3055"/>
      <c r="CK986" s="3055"/>
      <c r="CL986" s="3055"/>
      <c r="CM986" s="3055"/>
      <c r="CN986" s="3055"/>
      <c r="CO986" s="3055"/>
      <c r="CP986" s="3055"/>
      <c r="CQ986" s="3055"/>
      <c r="CR986" s="3055"/>
      <c r="CS986" s="3055"/>
      <c r="CU986" s="3054"/>
      <c r="CV986" s="696"/>
      <c r="CW986" s="696"/>
      <c r="CZ986" s="3060">
        <f t="shared" si="17"/>
      </c>
      <c r="DA986" s="3060">
        <f t="shared" si="1"/>
      </c>
      <c r="DB986" s="3060">
        <f t="shared" si="18"/>
      </c>
      <c r="DC986" s="3060">
        <f t="shared" si="19"/>
      </c>
      <c r="DD986" s="3060">
        <f t="shared" si="20"/>
      </c>
      <c r="DE986" s="3060">
        <f t="shared" si="21"/>
      </c>
      <c r="DF986" s="3060">
        <f t="shared" si="22"/>
      </c>
      <c r="DG986" s="3060">
        <f t="shared" si="23"/>
      </c>
      <c r="DH986" s="3060">
        <f t="shared" si="24"/>
      </c>
      <c r="DI986" s="3060">
        <f t="shared" si="1"/>
      </c>
    </row>
    <row r="987" ht="15" customHeight="1" s="3052" customFormat="1">
      <c r="B987" s="3054">
        <f t="shared" si="2"/>
      </c>
      <c r="C987" s="3054"/>
      <c r="D987" s="3054"/>
      <c r="E987" s="3055"/>
      <c r="F987" s="3055"/>
      <c r="G987" s="3055"/>
      <c r="H987" s="3055"/>
      <c r="I987" s="3055"/>
      <c r="J987" s="3055"/>
      <c r="K987" s="3055"/>
      <c r="L987" s="3055"/>
      <c r="M987" s="3055"/>
      <c r="N987" s="3055"/>
      <c r="O987" s="3055"/>
      <c r="P987" s="3055"/>
      <c r="Q987" s="3055"/>
      <c r="R987" s="3055">
        <f t="shared" si="3"/>
        <v>0</v>
      </c>
      <c r="S987" s="3055">
        <f t="shared" si="4"/>
        <v>0</v>
      </c>
      <c r="T987" s="3055">
        <f t="shared" si="5"/>
        <v>0</v>
      </c>
      <c r="U987" s="3055">
        <f t="shared" si="6"/>
        <v>0</v>
      </c>
      <c r="V987" s="3055">
        <f t="shared" si="7"/>
        <v>0</v>
      </c>
      <c r="W987" s="3055">
        <f t="shared" si="8"/>
        <v>0</v>
      </c>
      <c r="X987" s="3055">
        <f t="shared" si="9"/>
        <v>0</v>
      </c>
      <c r="Y987" s="3055">
        <f t="shared" si="10"/>
        <v>0</v>
      </c>
      <c r="Z987" s="3055">
        <f t="shared" si="11"/>
        <v>0</v>
      </c>
      <c r="AA987" s="3055">
        <f t="shared" si="12"/>
        <v>0</v>
      </c>
      <c r="AB987" s="3055">
        <f t="shared" si="13"/>
        <v>0</v>
      </c>
      <c r="AC987" s="3055">
        <f t="shared" si="14"/>
        <v>0</v>
      </c>
      <c r="AD987" s="3056"/>
      <c r="AE987" s="3057">
        <f t="shared" si="0"/>
      </c>
      <c r="AF987" s="3054"/>
      <c r="AG987" s="3054"/>
      <c r="AH987" s="3055"/>
      <c r="AI987" s="3055"/>
      <c r="AJ987" s="3055"/>
      <c r="AK987" s="3055"/>
      <c r="AL987" s="3055"/>
      <c r="AM987" s="3055"/>
      <c r="AN987" s="3055"/>
      <c r="AO987" s="3055"/>
      <c r="AP987" s="3055"/>
      <c r="AQ987" s="3055"/>
      <c r="AR987" s="3055"/>
      <c r="AS987" s="3055"/>
      <c r="AT987" s="3055"/>
      <c r="AU987" s="3056"/>
      <c r="AV987" s="3057">
        <f t="shared" si="15"/>
      </c>
      <c r="AW987" s="3054"/>
      <c r="AX987" s="3054"/>
      <c r="AY987" s="3055"/>
      <c r="AZ987" s="3055"/>
      <c r="BA987" s="3055"/>
      <c r="BB987" s="3055"/>
      <c r="BC987" s="3055"/>
      <c r="BD987" s="3055"/>
      <c r="BE987" s="3055"/>
      <c r="BF987" s="3055"/>
      <c r="BG987" s="3055"/>
      <c r="BH987" s="3055"/>
      <c r="BI987" s="3055"/>
      <c r="BJ987" s="3055"/>
      <c r="BK987" s="3055"/>
      <c r="BL987" s="3056"/>
      <c r="BM987" s="3057">
        <f t="shared" si="16"/>
      </c>
      <c r="BN987" s="3054"/>
      <c r="BO987" s="3054"/>
      <c r="BP987" s="3055"/>
      <c r="BQ987" s="3055"/>
      <c r="BR987" s="3055"/>
      <c r="BS987" s="3055"/>
      <c r="BT987" s="3055"/>
      <c r="BU987" s="3055"/>
      <c r="BV987" s="3055"/>
      <c r="BW987" s="3055"/>
      <c r="BX987" s="3055"/>
      <c r="BY987" s="3055"/>
      <c r="BZ987" s="3055"/>
      <c r="CA987" s="3055"/>
      <c r="CB987" s="3055"/>
      <c r="CC987" s="3056"/>
      <c r="CD987" s="3057">
        <f t="shared" si="0"/>
      </c>
      <c r="CE987" s="3054"/>
      <c r="CF987" s="3054"/>
      <c r="CG987" s="3055"/>
      <c r="CH987" s="3055"/>
      <c r="CI987" s="3055"/>
      <c r="CJ987" s="3055"/>
      <c r="CK987" s="3055"/>
      <c r="CL987" s="3055"/>
      <c r="CM987" s="3055"/>
      <c r="CN987" s="3055"/>
      <c r="CO987" s="3055"/>
      <c r="CP987" s="3055"/>
      <c r="CQ987" s="3055"/>
      <c r="CR987" s="3055"/>
      <c r="CS987" s="3055"/>
      <c r="CU987" s="3054"/>
      <c r="CV987" s="696"/>
      <c r="CW987" s="696"/>
      <c r="CZ987" s="3060">
        <f t="shared" si="17"/>
      </c>
      <c r="DA987" s="3060">
        <f t="shared" si="1"/>
      </c>
      <c r="DB987" s="3060">
        <f t="shared" si="18"/>
      </c>
      <c r="DC987" s="3060">
        <f t="shared" si="19"/>
      </c>
      <c r="DD987" s="3060">
        <f t="shared" si="20"/>
      </c>
      <c r="DE987" s="3060">
        <f t="shared" si="21"/>
      </c>
      <c r="DF987" s="3060">
        <f t="shared" si="22"/>
      </c>
      <c r="DG987" s="3060">
        <f t="shared" si="23"/>
      </c>
      <c r="DH987" s="3060">
        <f t="shared" si="24"/>
      </c>
      <c r="DI987" s="3060">
        <f t="shared" si="1"/>
      </c>
    </row>
    <row r="988" ht="15" customHeight="1" s="3052" customFormat="1">
      <c r="B988" s="3054">
        <f t="shared" si="2"/>
      </c>
      <c r="C988" s="3054"/>
      <c r="D988" s="3054"/>
      <c r="E988" s="3055"/>
      <c r="F988" s="3055"/>
      <c r="G988" s="3055"/>
      <c r="H988" s="3055"/>
      <c r="I988" s="3055"/>
      <c r="J988" s="3055"/>
      <c r="K988" s="3055"/>
      <c r="L988" s="3055"/>
      <c r="M988" s="3055"/>
      <c r="N988" s="3055"/>
      <c r="O988" s="3055"/>
      <c r="P988" s="3055"/>
      <c r="Q988" s="3055"/>
      <c r="R988" s="3055">
        <f t="shared" si="3"/>
        <v>0</v>
      </c>
      <c r="S988" s="3055">
        <f t="shared" si="4"/>
        <v>0</v>
      </c>
      <c r="T988" s="3055">
        <f t="shared" si="5"/>
        <v>0</v>
      </c>
      <c r="U988" s="3055">
        <f t="shared" si="6"/>
        <v>0</v>
      </c>
      <c r="V988" s="3055">
        <f t="shared" si="7"/>
        <v>0</v>
      </c>
      <c r="W988" s="3055">
        <f t="shared" si="8"/>
        <v>0</v>
      </c>
      <c r="X988" s="3055">
        <f t="shared" si="9"/>
        <v>0</v>
      </c>
      <c r="Y988" s="3055">
        <f t="shared" si="10"/>
        <v>0</v>
      </c>
      <c r="Z988" s="3055">
        <f t="shared" si="11"/>
        <v>0</v>
      </c>
      <c r="AA988" s="3055">
        <f t="shared" si="12"/>
        <v>0</v>
      </c>
      <c r="AB988" s="3055">
        <f t="shared" si="13"/>
        <v>0</v>
      </c>
      <c r="AC988" s="3055">
        <f t="shared" si="14"/>
        <v>0</v>
      </c>
      <c r="AD988" s="3056"/>
      <c r="AE988" s="3057">
        <f t="shared" si="0"/>
      </c>
      <c r="AF988" s="3054"/>
      <c r="AG988" s="3054"/>
      <c r="AH988" s="3055"/>
      <c r="AI988" s="3055"/>
      <c r="AJ988" s="3055"/>
      <c r="AK988" s="3055"/>
      <c r="AL988" s="3055"/>
      <c r="AM988" s="3055"/>
      <c r="AN988" s="3055"/>
      <c r="AO988" s="3055"/>
      <c r="AP988" s="3055"/>
      <c r="AQ988" s="3055"/>
      <c r="AR988" s="3055"/>
      <c r="AS988" s="3055"/>
      <c r="AT988" s="3055"/>
      <c r="AU988" s="3056"/>
      <c r="AV988" s="3057">
        <f t="shared" si="15"/>
      </c>
      <c r="AW988" s="3054"/>
      <c r="AX988" s="3054"/>
      <c r="AY988" s="3055"/>
      <c r="AZ988" s="3055"/>
      <c r="BA988" s="3055"/>
      <c r="BB988" s="3055"/>
      <c r="BC988" s="3055"/>
      <c r="BD988" s="3055"/>
      <c r="BE988" s="3055"/>
      <c r="BF988" s="3055"/>
      <c r="BG988" s="3055"/>
      <c r="BH988" s="3055"/>
      <c r="BI988" s="3055"/>
      <c r="BJ988" s="3055"/>
      <c r="BK988" s="3055"/>
      <c r="BL988" s="3056"/>
      <c r="BM988" s="3057">
        <f t="shared" si="16"/>
      </c>
      <c r="BN988" s="3054"/>
      <c r="BO988" s="3054"/>
      <c r="BP988" s="3055"/>
      <c r="BQ988" s="3055"/>
      <c r="BR988" s="3055"/>
      <c r="BS988" s="3055"/>
      <c r="BT988" s="3055"/>
      <c r="BU988" s="3055"/>
      <c r="BV988" s="3055"/>
      <c r="BW988" s="3055"/>
      <c r="BX988" s="3055"/>
      <c r="BY988" s="3055"/>
      <c r="BZ988" s="3055"/>
      <c r="CA988" s="3055"/>
      <c r="CB988" s="3055"/>
      <c r="CC988" s="3056"/>
      <c r="CD988" s="3057">
        <f t="shared" si="0"/>
      </c>
      <c r="CE988" s="3054"/>
      <c r="CF988" s="3054"/>
      <c r="CG988" s="3055"/>
      <c r="CH988" s="3055"/>
      <c r="CI988" s="3055"/>
      <c r="CJ988" s="3055"/>
      <c r="CK988" s="3055"/>
      <c r="CL988" s="3055"/>
      <c r="CM988" s="3055"/>
      <c r="CN988" s="3055"/>
      <c r="CO988" s="3055"/>
      <c r="CP988" s="3055"/>
      <c r="CQ988" s="3055"/>
      <c r="CR988" s="3055"/>
      <c r="CS988" s="3055"/>
      <c r="CU988" s="3054"/>
      <c r="CV988" s="696"/>
      <c r="CW988" s="696"/>
      <c r="CZ988" s="3060">
        <f t="shared" si="17"/>
      </c>
      <c r="DA988" s="3060">
        <f t="shared" si="1"/>
      </c>
      <c r="DB988" s="3060">
        <f t="shared" si="18"/>
      </c>
      <c r="DC988" s="3060">
        <f t="shared" si="19"/>
      </c>
      <c r="DD988" s="3060">
        <f t="shared" si="20"/>
      </c>
      <c r="DE988" s="3060">
        <f t="shared" si="21"/>
      </c>
      <c r="DF988" s="3060">
        <f t="shared" si="22"/>
      </c>
      <c r="DG988" s="3060">
        <f t="shared" si="23"/>
      </c>
      <c r="DH988" s="3060">
        <f t="shared" si="24"/>
      </c>
      <c r="DI988" s="3060">
        <f t="shared" si="1"/>
      </c>
    </row>
    <row r="989" ht="15" customHeight="1" s="3052" customFormat="1">
      <c r="B989" s="3054">
        <f t="shared" si="2"/>
      </c>
      <c r="C989" s="3054"/>
      <c r="D989" s="3054"/>
      <c r="E989" s="3055"/>
      <c r="F989" s="3055"/>
      <c r="G989" s="3055"/>
      <c r="H989" s="3055"/>
      <c r="I989" s="3055"/>
      <c r="J989" s="3055"/>
      <c r="K989" s="3055"/>
      <c r="L989" s="3055"/>
      <c r="M989" s="3055"/>
      <c r="N989" s="3055"/>
      <c r="O989" s="3055"/>
      <c r="P989" s="3055"/>
      <c r="Q989" s="3055"/>
      <c r="R989" s="3055">
        <f t="shared" si="3"/>
        <v>0</v>
      </c>
      <c r="S989" s="3055">
        <f t="shared" si="4"/>
        <v>0</v>
      </c>
      <c r="T989" s="3055">
        <f t="shared" si="5"/>
        <v>0</v>
      </c>
      <c r="U989" s="3055">
        <f t="shared" si="6"/>
        <v>0</v>
      </c>
      <c r="V989" s="3055">
        <f t="shared" si="7"/>
        <v>0</v>
      </c>
      <c r="W989" s="3055">
        <f t="shared" si="8"/>
        <v>0</v>
      </c>
      <c r="X989" s="3055">
        <f t="shared" si="9"/>
        <v>0</v>
      </c>
      <c r="Y989" s="3055">
        <f t="shared" si="10"/>
        <v>0</v>
      </c>
      <c r="Z989" s="3055">
        <f t="shared" si="11"/>
        <v>0</v>
      </c>
      <c r="AA989" s="3055">
        <f t="shared" si="12"/>
        <v>0</v>
      </c>
      <c r="AB989" s="3055">
        <f t="shared" si="13"/>
        <v>0</v>
      </c>
      <c r="AC989" s="3055">
        <f t="shared" si="14"/>
        <v>0</v>
      </c>
      <c r="AD989" s="3056"/>
      <c r="AE989" s="3057">
        <f t="shared" si="0"/>
      </c>
      <c r="AF989" s="3054"/>
      <c r="AG989" s="3054"/>
      <c r="AH989" s="3055"/>
      <c r="AI989" s="3055"/>
      <c r="AJ989" s="3055"/>
      <c r="AK989" s="3055"/>
      <c r="AL989" s="3055"/>
      <c r="AM989" s="3055"/>
      <c r="AN989" s="3055"/>
      <c r="AO989" s="3055"/>
      <c r="AP989" s="3055"/>
      <c r="AQ989" s="3055"/>
      <c r="AR989" s="3055"/>
      <c r="AS989" s="3055"/>
      <c r="AT989" s="3055"/>
      <c r="AU989" s="3056"/>
      <c r="AV989" s="3057">
        <f t="shared" si="15"/>
      </c>
      <c r="AW989" s="3054"/>
      <c r="AX989" s="3054"/>
      <c r="AY989" s="3055"/>
      <c r="AZ989" s="3055"/>
      <c r="BA989" s="3055"/>
      <c r="BB989" s="3055"/>
      <c r="BC989" s="3055"/>
      <c r="BD989" s="3055"/>
      <c r="BE989" s="3055"/>
      <c r="BF989" s="3055"/>
      <c r="BG989" s="3055"/>
      <c r="BH989" s="3055"/>
      <c r="BI989" s="3055"/>
      <c r="BJ989" s="3055"/>
      <c r="BK989" s="3055"/>
      <c r="BL989" s="3056"/>
      <c r="BM989" s="3057">
        <f t="shared" si="16"/>
      </c>
      <c r="BN989" s="3054"/>
      <c r="BO989" s="3054"/>
      <c r="BP989" s="3055"/>
      <c r="BQ989" s="3055"/>
      <c r="BR989" s="3055"/>
      <c r="BS989" s="3055"/>
      <c r="BT989" s="3055"/>
      <c r="BU989" s="3055"/>
      <c r="BV989" s="3055"/>
      <c r="BW989" s="3055"/>
      <c r="BX989" s="3055"/>
      <c r="BY989" s="3055"/>
      <c r="BZ989" s="3055"/>
      <c r="CA989" s="3055"/>
      <c r="CB989" s="3055"/>
      <c r="CC989" s="3056"/>
      <c r="CD989" s="3057">
        <f t="shared" si="0"/>
      </c>
      <c r="CE989" s="3054"/>
      <c r="CF989" s="3054"/>
      <c r="CG989" s="3055"/>
      <c r="CH989" s="3055"/>
      <c r="CI989" s="3055"/>
      <c r="CJ989" s="3055"/>
      <c r="CK989" s="3055"/>
      <c r="CL989" s="3055"/>
      <c r="CM989" s="3055"/>
      <c r="CN989" s="3055"/>
      <c r="CO989" s="3055"/>
      <c r="CP989" s="3055"/>
      <c r="CQ989" s="3055"/>
      <c r="CR989" s="3055"/>
      <c r="CS989" s="3055"/>
      <c r="CU989" s="3054"/>
      <c r="CV989" s="696"/>
      <c r="CW989" s="696"/>
      <c r="CZ989" s="3060">
        <f t="shared" si="17"/>
      </c>
      <c r="DA989" s="3060">
        <f t="shared" si="1"/>
      </c>
      <c r="DB989" s="3060">
        <f t="shared" si="18"/>
      </c>
      <c r="DC989" s="3060">
        <f t="shared" si="19"/>
      </c>
      <c r="DD989" s="3060">
        <f t="shared" si="20"/>
      </c>
      <c r="DE989" s="3060">
        <f t="shared" si="21"/>
      </c>
      <c r="DF989" s="3060">
        <f t="shared" si="22"/>
      </c>
      <c r="DG989" s="3060">
        <f t="shared" si="23"/>
      </c>
      <c r="DH989" s="3060">
        <f t="shared" si="24"/>
      </c>
      <c r="DI989" s="3060">
        <f t="shared" si="1"/>
      </c>
    </row>
    <row r="990" ht="15" customHeight="1" s="3052" customFormat="1">
      <c r="B990" s="3054">
        <f t="shared" si="2"/>
      </c>
      <c r="C990" s="3054"/>
      <c r="D990" s="3054"/>
      <c r="E990" s="3055"/>
      <c r="F990" s="3055"/>
      <c r="G990" s="3055"/>
      <c r="H990" s="3055"/>
      <c r="I990" s="3055"/>
      <c r="J990" s="3055"/>
      <c r="K990" s="3055"/>
      <c r="L990" s="3055"/>
      <c r="M990" s="3055"/>
      <c r="N990" s="3055"/>
      <c r="O990" s="3055"/>
      <c r="P990" s="3055"/>
      <c r="Q990" s="3055"/>
      <c r="R990" s="3055">
        <f t="shared" si="3"/>
        <v>0</v>
      </c>
      <c r="S990" s="3055">
        <f t="shared" si="4"/>
        <v>0</v>
      </c>
      <c r="T990" s="3055">
        <f t="shared" si="5"/>
        <v>0</v>
      </c>
      <c r="U990" s="3055">
        <f t="shared" si="6"/>
        <v>0</v>
      </c>
      <c r="V990" s="3055">
        <f t="shared" si="7"/>
        <v>0</v>
      </c>
      <c r="W990" s="3055">
        <f t="shared" si="8"/>
        <v>0</v>
      </c>
      <c r="X990" s="3055">
        <f t="shared" si="9"/>
        <v>0</v>
      </c>
      <c r="Y990" s="3055">
        <f t="shared" si="10"/>
        <v>0</v>
      </c>
      <c r="Z990" s="3055">
        <f t="shared" si="11"/>
        <v>0</v>
      </c>
      <c r="AA990" s="3055">
        <f t="shared" si="12"/>
        <v>0</v>
      </c>
      <c r="AB990" s="3055">
        <f t="shared" si="13"/>
        <v>0</v>
      </c>
      <c r="AC990" s="3055">
        <f t="shared" si="14"/>
        <v>0</v>
      </c>
      <c r="AD990" s="3056"/>
      <c r="AE990" s="3057">
        <f t="shared" si="0"/>
      </c>
      <c r="AF990" s="3054"/>
      <c r="AG990" s="3054"/>
      <c r="AH990" s="3055"/>
      <c r="AI990" s="3055"/>
      <c r="AJ990" s="3055"/>
      <c r="AK990" s="3055"/>
      <c r="AL990" s="3055"/>
      <c r="AM990" s="3055"/>
      <c r="AN990" s="3055"/>
      <c r="AO990" s="3055"/>
      <c r="AP990" s="3055"/>
      <c r="AQ990" s="3055"/>
      <c r="AR990" s="3055"/>
      <c r="AS990" s="3055"/>
      <c r="AT990" s="3055"/>
      <c r="AU990" s="3056"/>
      <c r="AV990" s="3057">
        <f t="shared" si="15"/>
      </c>
      <c r="AW990" s="3054"/>
      <c r="AX990" s="3054"/>
      <c r="AY990" s="3055"/>
      <c r="AZ990" s="3055"/>
      <c r="BA990" s="3055"/>
      <c r="BB990" s="3055"/>
      <c r="BC990" s="3055"/>
      <c r="BD990" s="3055"/>
      <c r="BE990" s="3055"/>
      <c r="BF990" s="3055"/>
      <c r="BG990" s="3055"/>
      <c r="BH990" s="3055"/>
      <c r="BI990" s="3055"/>
      <c r="BJ990" s="3055"/>
      <c r="BK990" s="3055"/>
      <c r="BL990" s="3056"/>
      <c r="BM990" s="3057">
        <f t="shared" si="16"/>
      </c>
      <c r="BN990" s="3054"/>
      <c r="BO990" s="3054"/>
      <c r="BP990" s="3055"/>
      <c r="BQ990" s="3055"/>
      <c r="BR990" s="3055"/>
      <c r="BS990" s="3055"/>
      <c r="BT990" s="3055"/>
      <c r="BU990" s="3055"/>
      <c r="BV990" s="3055"/>
      <c r="BW990" s="3055"/>
      <c r="BX990" s="3055"/>
      <c r="BY990" s="3055"/>
      <c r="BZ990" s="3055"/>
      <c r="CA990" s="3055"/>
      <c r="CB990" s="3055"/>
      <c r="CC990" s="3056"/>
      <c r="CD990" s="3057">
        <f t="shared" si="0"/>
      </c>
      <c r="CE990" s="3054"/>
      <c r="CF990" s="3054"/>
      <c r="CG990" s="3055"/>
      <c r="CH990" s="3055"/>
      <c r="CI990" s="3055"/>
      <c r="CJ990" s="3055"/>
      <c r="CK990" s="3055"/>
      <c r="CL990" s="3055"/>
      <c r="CM990" s="3055"/>
      <c r="CN990" s="3055"/>
      <c r="CO990" s="3055"/>
      <c r="CP990" s="3055"/>
      <c r="CQ990" s="3055"/>
      <c r="CR990" s="3055"/>
      <c r="CS990" s="3055"/>
      <c r="CU990" s="3054"/>
      <c r="CV990" s="696"/>
      <c r="CW990" s="696"/>
      <c r="CZ990" s="3060">
        <f t="shared" si="17"/>
      </c>
      <c r="DA990" s="3060">
        <f t="shared" si="1"/>
      </c>
      <c r="DB990" s="3060">
        <f t="shared" si="18"/>
      </c>
      <c r="DC990" s="3060">
        <f t="shared" si="19"/>
      </c>
      <c r="DD990" s="3060">
        <f t="shared" si="20"/>
      </c>
      <c r="DE990" s="3060">
        <f t="shared" si="21"/>
      </c>
      <c r="DF990" s="3060">
        <f t="shared" si="22"/>
      </c>
      <c r="DG990" s="3060">
        <f t="shared" si="23"/>
      </c>
      <c r="DH990" s="3060">
        <f t="shared" si="24"/>
      </c>
      <c r="DI990" s="3060">
        <f t="shared" si="1"/>
      </c>
    </row>
    <row r="991" ht="15" customHeight="1" s="3052" customFormat="1">
      <c r="B991" s="3054">
        <f t="shared" si="2"/>
      </c>
      <c r="C991" s="3054"/>
      <c r="D991" s="3054"/>
      <c r="E991" s="3055"/>
      <c r="F991" s="3055"/>
      <c r="G991" s="3055"/>
      <c r="H991" s="3055"/>
      <c r="I991" s="3055"/>
      <c r="J991" s="3055"/>
      <c r="K991" s="3055"/>
      <c r="L991" s="3055"/>
      <c r="M991" s="3055"/>
      <c r="N991" s="3055"/>
      <c r="O991" s="3055"/>
      <c r="P991" s="3055"/>
      <c r="Q991" s="3055"/>
      <c r="R991" s="3055">
        <f t="shared" si="3"/>
        <v>0</v>
      </c>
      <c r="S991" s="3055">
        <f t="shared" si="4"/>
        <v>0</v>
      </c>
      <c r="T991" s="3055">
        <f t="shared" si="5"/>
        <v>0</v>
      </c>
      <c r="U991" s="3055">
        <f t="shared" si="6"/>
        <v>0</v>
      </c>
      <c r="V991" s="3055">
        <f t="shared" si="7"/>
        <v>0</v>
      </c>
      <c r="W991" s="3055">
        <f t="shared" si="8"/>
        <v>0</v>
      </c>
      <c r="X991" s="3055">
        <f t="shared" si="9"/>
        <v>0</v>
      </c>
      <c r="Y991" s="3055">
        <f t="shared" si="10"/>
        <v>0</v>
      </c>
      <c r="Z991" s="3055">
        <f t="shared" si="11"/>
        <v>0</v>
      </c>
      <c r="AA991" s="3055">
        <f t="shared" si="12"/>
        <v>0</v>
      </c>
      <c r="AB991" s="3055">
        <f t="shared" si="13"/>
        <v>0</v>
      </c>
      <c r="AC991" s="3055">
        <f t="shared" si="14"/>
        <v>0</v>
      </c>
      <c r="AD991" s="3056"/>
      <c r="AE991" s="3057">
        <f t="shared" si="0"/>
      </c>
      <c r="AF991" s="3054"/>
      <c r="AG991" s="3054"/>
      <c r="AH991" s="3055"/>
      <c r="AI991" s="3055"/>
      <c r="AJ991" s="3055"/>
      <c r="AK991" s="3055"/>
      <c r="AL991" s="3055"/>
      <c r="AM991" s="3055"/>
      <c r="AN991" s="3055"/>
      <c r="AO991" s="3055"/>
      <c r="AP991" s="3055"/>
      <c r="AQ991" s="3055"/>
      <c r="AR991" s="3055"/>
      <c r="AS991" s="3055"/>
      <c r="AT991" s="3055"/>
      <c r="AU991" s="3056"/>
      <c r="AV991" s="3057">
        <f t="shared" si="15"/>
      </c>
      <c r="AW991" s="3054"/>
      <c r="AX991" s="3054"/>
      <c r="AY991" s="3055"/>
      <c r="AZ991" s="3055"/>
      <c r="BA991" s="3055"/>
      <c r="BB991" s="3055"/>
      <c r="BC991" s="3055"/>
      <c r="BD991" s="3055"/>
      <c r="BE991" s="3055"/>
      <c r="BF991" s="3055"/>
      <c r="BG991" s="3055"/>
      <c r="BH991" s="3055"/>
      <c r="BI991" s="3055"/>
      <c r="BJ991" s="3055"/>
      <c r="BK991" s="3055"/>
      <c r="BL991" s="3056"/>
      <c r="BM991" s="3057">
        <f t="shared" si="16"/>
      </c>
      <c r="BN991" s="3054"/>
      <c r="BO991" s="3054"/>
      <c r="BP991" s="3055"/>
      <c r="BQ991" s="3055"/>
      <c r="BR991" s="3055"/>
      <c r="BS991" s="3055"/>
      <c r="BT991" s="3055"/>
      <c r="BU991" s="3055"/>
      <c r="BV991" s="3055"/>
      <c r="BW991" s="3055"/>
      <c r="BX991" s="3055"/>
      <c r="BY991" s="3055"/>
      <c r="BZ991" s="3055"/>
      <c r="CA991" s="3055"/>
      <c r="CB991" s="3055"/>
      <c r="CC991" s="3056"/>
      <c r="CD991" s="3057">
        <f t="shared" si="0"/>
      </c>
      <c r="CE991" s="3054"/>
      <c r="CF991" s="3054"/>
      <c r="CG991" s="3055"/>
      <c r="CH991" s="3055"/>
      <c r="CI991" s="3055"/>
      <c r="CJ991" s="3055"/>
      <c r="CK991" s="3055"/>
      <c r="CL991" s="3055"/>
      <c r="CM991" s="3055"/>
      <c r="CN991" s="3055"/>
      <c r="CO991" s="3055"/>
      <c r="CP991" s="3055"/>
      <c r="CQ991" s="3055"/>
      <c r="CR991" s="3055"/>
      <c r="CS991" s="3055"/>
      <c r="CU991" s="3054"/>
      <c r="CV991" s="696"/>
      <c r="CW991" s="696"/>
      <c r="CZ991" s="3060">
        <f t="shared" si="17"/>
      </c>
      <c r="DA991" s="3060">
        <f t="shared" si="1"/>
      </c>
      <c r="DB991" s="3060">
        <f t="shared" si="18"/>
      </c>
      <c r="DC991" s="3060">
        <f t="shared" si="19"/>
      </c>
      <c r="DD991" s="3060">
        <f t="shared" si="20"/>
      </c>
      <c r="DE991" s="3060">
        <f t="shared" si="21"/>
      </c>
      <c r="DF991" s="3060">
        <f t="shared" si="22"/>
      </c>
      <c r="DG991" s="3060">
        <f t="shared" si="23"/>
      </c>
      <c r="DH991" s="3060">
        <f t="shared" si="24"/>
      </c>
      <c r="DI991" s="3060">
        <f t="shared" si="1"/>
      </c>
    </row>
    <row r="992" ht="15" customHeight="1" s="3052" customFormat="1">
      <c r="B992" s="3054">
        <f t="shared" si="2"/>
      </c>
      <c r="C992" s="3054"/>
      <c r="D992" s="3054"/>
      <c r="E992" s="3055"/>
      <c r="F992" s="3055"/>
      <c r="G992" s="3055"/>
      <c r="H992" s="3055"/>
      <c r="I992" s="3055"/>
      <c r="J992" s="3055"/>
      <c r="K992" s="3055"/>
      <c r="L992" s="3055"/>
      <c r="M992" s="3055"/>
      <c r="N992" s="3055"/>
      <c r="O992" s="3055"/>
      <c r="P992" s="3055"/>
      <c r="Q992" s="3055"/>
      <c r="R992" s="3055">
        <f t="shared" si="3"/>
        <v>0</v>
      </c>
      <c r="S992" s="3055">
        <f t="shared" si="4"/>
        <v>0</v>
      </c>
      <c r="T992" s="3055">
        <f t="shared" si="5"/>
        <v>0</v>
      </c>
      <c r="U992" s="3055">
        <f t="shared" si="6"/>
        <v>0</v>
      </c>
      <c r="V992" s="3055">
        <f t="shared" si="7"/>
        <v>0</v>
      </c>
      <c r="W992" s="3055">
        <f t="shared" si="8"/>
        <v>0</v>
      </c>
      <c r="X992" s="3055">
        <f t="shared" si="9"/>
        <v>0</v>
      </c>
      <c r="Y992" s="3055">
        <f t="shared" si="10"/>
        <v>0</v>
      </c>
      <c r="Z992" s="3055">
        <f t="shared" si="11"/>
        <v>0</v>
      </c>
      <c r="AA992" s="3055">
        <f t="shared" si="12"/>
        <v>0</v>
      </c>
      <c r="AB992" s="3055">
        <f t="shared" si="13"/>
        <v>0</v>
      </c>
      <c r="AC992" s="3055">
        <f t="shared" si="14"/>
        <v>0</v>
      </c>
      <c r="AD992" s="3056"/>
      <c r="AE992" s="3057">
        <f t="shared" si="0"/>
      </c>
      <c r="AF992" s="3054"/>
      <c r="AG992" s="3054"/>
      <c r="AH992" s="3055"/>
      <c r="AI992" s="3055"/>
      <c r="AJ992" s="3055"/>
      <c r="AK992" s="3055"/>
      <c r="AL992" s="3055"/>
      <c r="AM992" s="3055"/>
      <c r="AN992" s="3055"/>
      <c r="AO992" s="3055"/>
      <c r="AP992" s="3055"/>
      <c r="AQ992" s="3055"/>
      <c r="AR992" s="3055"/>
      <c r="AS992" s="3055"/>
      <c r="AT992" s="3055"/>
      <c r="AU992" s="3056"/>
      <c r="AV992" s="3057">
        <f t="shared" si="15"/>
      </c>
      <c r="AW992" s="3054"/>
      <c r="AX992" s="3054"/>
      <c r="AY992" s="3055"/>
      <c r="AZ992" s="3055"/>
      <c r="BA992" s="3055"/>
      <c r="BB992" s="3055"/>
      <c r="BC992" s="3055"/>
      <c r="BD992" s="3055"/>
      <c r="BE992" s="3055"/>
      <c r="BF992" s="3055"/>
      <c r="BG992" s="3055"/>
      <c r="BH992" s="3055"/>
      <c r="BI992" s="3055"/>
      <c r="BJ992" s="3055"/>
      <c r="BK992" s="3055"/>
      <c r="BL992" s="3056"/>
      <c r="BM992" s="3057">
        <f t="shared" si="16"/>
      </c>
      <c r="BN992" s="3054"/>
      <c r="BO992" s="3054"/>
      <c r="BP992" s="3055"/>
      <c r="BQ992" s="3055"/>
      <c r="BR992" s="3055"/>
      <c r="BS992" s="3055"/>
      <c r="BT992" s="3055"/>
      <c r="BU992" s="3055"/>
      <c r="BV992" s="3055"/>
      <c r="BW992" s="3055"/>
      <c r="BX992" s="3055"/>
      <c r="BY992" s="3055"/>
      <c r="BZ992" s="3055"/>
      <c r="CA992" s="3055"/>
      <c r="CB992" s="3055"/>
      <c r="CC992" s="3056"/>
      <c r="CD992" s="3057">
        <f t="shared" si="0"/>
      </c>
      <c r="CE992" s="3054"/>
      <c r="CF992" s="3054"/>
      <c r="CG992" s="3055"/>
      <c r="CH992" s="3055"/>
      <c r="CI992" s="3055"/>
      <c r="CJ992" s="3055"/>
      <c r="CK992" s="3055"/>
      <c r="CL992" s="3055"/>
      <c r="CM992" s="3055"/>
      <c r="CN992" s="3055"/>
      <c r="CO992" s="3055"/>
      <c r="CP992" s="3055"/>
      <c r="CQ992" s="3055"/>
      <c r="CR992" s="3055"/>
      <c r="CS992" s="3055"/>
      <c r="CU992" s="3054"/>
      <c r="CV992" s="696"/>
      <c r="CW992" s="696"/>
      <c r="CZ992" s="3060">
        <f t="shared" si="17"/>
      </c>
      <c r="DA992" s="3060">
        <f t="shared" si="1"/>
      </c>
      <c r="DB992" s="3060">
        <f t="shared" si="18"/>
      </c>
      <c r="DC992" s="3060">
        <f t="shared" si="19"/>
      </c>
      <c r="DD992" s="3060">
        <f t="shared" si="20"/>
      </c>
      <c r="DE992" s="3060">
        <f t="shared" si="21"/>
      </c>
      <c r="DF992" s="3060">
        <f t="shared" si="22"/>
      </c>
      <c r="DG992" s="3060">
        <f t="shared" si="23"/>
      </c>
      <c r="DH992" s="3060">
        <f t="shared" si="24"/>
      </c>
      <c r="DI992" s="3060">
        <f t="shared" si="1"/>
      </c>
    </row>
    <row r="993" ht="15" customHeight="1" s="3052" customFormat="1">
      <c r="B993" s="3054">
        <f t="shared" si="2"/>
      </c>
      <c r="C993" s="3054"/>
      <c r="D993" s="3054"/>
      <c r="E993" s="3055"/>
      <c r="F993" s="3055"/>
      <c r="G993" s="3055"/>
      <c r="H993" s="3055"/>
      <c r="I993" s="3055"/>
      <c r="J993" s="3055"/>
      <c r="K993" s="3055"/>
      <c r="L993" s="3055"/>
      <c r="M993" s="3055"/>
      <c r="N993" s="3055"/>
      <c r="O993" s="3055"/>
      <c r="P993" s="3055"/>
      <c r="Q993" s="3055"/>
      <c r="R993" s="3055">
        <f t="shared" si="3"/>
        <v>0</v>
      </c>
      <c r="S993" s="3055">
        <f t="shared" si="4"/>
        <v>0</v>
      </c>
      <c r="T993" s="3055">
        <f t="shared" si="5"/>
        <v>0</v>
      </c>
      <c r="U993" s="3055">
        <f t="shared" si="6"/>
        <v>0</v>
      </c>
      <c r="V993" s="3055">
        <f t="shared" si="7"/>
        <v>0</v>
      </c>
      <c r="W993" s="3055">
        <f t="shared" si="8"/>
        <v>0</v>
      </c>
      <c r="X993" s="3055">
        <f t="shared" si="9"/>
        <v>0</v>
      </c>
      <c r="Y993" s="3055">
        <f t="shared" si="10"/>
        <v>0</v>
      </c>
      <c r="Z993" s="3055">
        <f t="shared" si="11"/>
        <v>0</v>
      </c>
      <c r="AA993" s="3055">
        <f t="shared" si="12"/>
        <v>0</v>
      </c>
      <c r="AB993" s="3055">
        <f t="shared" si="13"/>
        <v>0</v>
      </c>
      <c r="AC993" s="3055">
        <f t="shared" si="14"/>
        <v>0</v>
      </c>
      <c r="AD993" s="3056"/>
      <c r="AE993" s="3057">
        <f t="shared" si="0"/>
      </c>
      <c r="AF993" s="3054"/>
      <c r="AG993" s="3054"/>
      <c r="AH993" s="3055"/>
      <c r="AI993" s="3055"/>
      <c r="AJ993" s="3055"/>
      <c r="AK993" s="3055"/>
      <c r="AL993" s="3055"/>
      <c r="AM993" s="3055"/>
      <c r="AN993" s="3055"/>
      <c r="AO993" s="3055"/>
      <c r="AP993" s="3055"/>
      <c r="AQ993" s="3055"/>
      <c r="AR993" s="3055"/>
      <c r="AS993" s="3055"/>
      <c r="AT993" s="3055"/>
      <c r="AU993" s="3056"/>
      <c r="AV993" s="3057">
        <f t="shared" si="15"/>
      </c>
      <c r="AW993" s="3054"/>
      <c r="AX993" s="3054"/>
      <c r="AY993" s="3055"/>
      <c r="AZ993" s="3055"/>
      <c r="BA993" s="3055"/>
      <c r="BB993" s="3055"/>
      <c r="BC993" s="3055"/>
      <c r="BD993" s="3055"/>
      <c r="BE993" s="3055"/>
      <c r="BF993" s="3055"/>
      <c r="BG993" s="3055"/>
      <c r="BH993" s="3055"/>
      <c r="BI993" s="3055"/>
      <c r="BJ993" s="3055"/>
      <c r="BK993" s="3055"/>
      <c r="BL993" s="3056"/>
      <c r="BM993" s="3057">
        <f t="shared" si="16"/>
      </c>
      <c r="BN993" s="3054"/>
      <c r="BO993" s="3054"/>
      <c r="BP993" s="3055"/>
      <c r="BQ993" s="3055"/>
      <c r="BR993" s="3055"/>
      <c r="BS993" s="3055"/>
      <c r="BT993" s="3055"/>
      <c r="BU993" s="3055"/>
      <c r="BV993" s="3055"/>
      <c r="BW993" s="3055"/>
      <c r="BX993" s="3055"/>
      <c r="BY993" s="3055"/>
      <c r="BZ993" s="3055"/>
      <c r="CA993" s="3055"/>
      <c r="CB993" s="3055"/>
      <c r="CC993" s="3056"/>
      <c r="CD993" s="3057">
        <f t="shared" si="0"/>
      </c>
      <c r="CE993" s="3054"/>
      <c r="CF993" s="3054"/>
      <c r="CG993" s="3055"/>
      <c r="CH993" s="3055"/>
      <c r="CI993" s="3055"/>
      <c r="CJ993" s="3055"/>
      <c r="CK993" s="3055"/>
      <c r="CL993" s="3055"/>
      <c r="CM993" s="3055"/>
      <c r="CN993" s="3055"/>
      <c r="CO993" s="3055"/>
      <c r="CP993" s="3055"/>
      <c r="CQ993" s="3055"/>
      <c r="CR993" s="3055"/>
      <c r="CS993" s="3055"/>
      <c r="CU993" s="3054"/>
      <c r="CV993" s="696"/>
      <c r="CW993" s="696"/>
      <c r="CZ993" s="3060">
        <f t="shared" si="17"/>
      </c>
      <c r="DA993" s="3060">
        <f t="shared" si="1"/>
      </c>
      <c r="DB993" s="3060">
        <f t="shared" si="18"/>
      </c>
      <c r="DC993" s="3060">
        <f t="shared" si="19"/>
      </c>
      <c r="DD993" s="3060">
        <f t="shared" si="20"/>
      </c>
      <c r="DE993" s="3060">
        <f t="shared" si="21"/>
      </c>
      <c r="DF993" s="3060">
        <f t="shared" si="22"/>
      </c>
      <c r="DG993" s="3060">
        <f t="shared" si="23"/>
      </c>
      <c r="DH993" s="3060">
        <f t="shared" si="24"/>
      </c>
      <c r="DI993" s="3060">
        <f t="shared" si="1"/>
      </c>
    </row>
    <row r="994" ht="15" customHeight="1" s="3052" customFormat="1">
      <c r="B994" s="3054">
        <f t="shared" si="2"/>
      </c>
      <c r="C994" s="3054"/>
      <c r="D994" s="3054"/>
      <c r="E994" s="3055"/>
      <c r="F994" s="3055"/>
      <c r="G994" s="3055"/>
      <c r="H994" s="3055"/>
      <c r="I994" s="3055"/>
      <c r="J994" s="3055"/>
      <c r="K994" s="3055"/>
      <c r="L994" s="3055"/>
      <c r="M994" s="3055"/>
      <c r="N994" s="3055"/>
      <c r="O994" s="3055"/>
      <c r="P994" s="3055"/>
      <c r="Q994" s="3055"/>
      <c r="R994" s="3055">
        <f t="shared" si="3"/>
        <v>0</v>
      </c>
      <c r="S994" s="3055">
        <f t="shared" si="4"/>
        <v>0</v>
      </c>
      <c r="T994" s="3055">
        <f t="shared" si="5"/>
        <v>0</v>
      </c>
      <c r="U994" s="3055">
        <f t="shared" si="6"/>
        <v>0</v>
      </c>
      <c r="V994" s="3055">
        <f t="shared" si="7"/>
        <v>0</v>
      </c>
      <c r="W994" s="3055">
        <f t="shared" si="8"/>
        <v>0</v>
      </c>
      <c r="X994" s="3055">
        <f t="shared" si="9"/>
        <v>0</v>
      </c>
      <c r="Y994" s="3055">
        <f t="shared" si="10"/>
        <v>0</v>
      </c>
      <c r="Z994" s="3055">
        <f t="shared" si="11"/>
        <v>0</v>
      </c>
      <c r="AA994" s="3055">
        <f t="shared" si="12"/>
        <v>0</v>
      </c>
      <c r="AB994" s="3055">
        <f t="shared" si="13"/>
        <v>0</v>
      </c>
      <c r="AC994" s="3055">
        <f t="shared" si="14"/>
        <v>0</v>
      </c>
      <c r="AD994" s="3056"/>
      <c r="AE994" s="3057">
        <f t="shared" si="0"/>
      </c>
      <c r="AF994" s="3054"/>
      <c r="AG994" s="3054"/>
      <c r="AH994" s="3055"/>
      <c r="AI994" s="3055"/>
      <c r="AJ994" s="3055"/>
      <c r="AK994" s="3055"/>
      <c r="AL994" s="3055"/>
      <c r="AM994" s="3055"/>
      <c r="AN994" s="3055"/>
      <c r="AO994" s="3055"/>
      <c r="AP994" s="3055"/>
      <c r="AQ994" s="3055"/>
      <c r="AR994" s="3055"/>
      <c r="AS994" s="3055"/>
      <c r="AT994" s="3055"/>
      <c r="AU994" s="3056"/>
      <c r="AV994" s="3057">
        <f t="shared" si="15"/>
      </c>
      <c r="AW994" s="3054"/>
      <c r="AX994" s="3054"/>
      <c r="AY994" s="3055"/>
      <c r="AZ994" s="3055"/>
      <c r="BA994" s="3055"/>
      <c r="BB994" s="3055"/>
      <c r="BC994" s="3055"/>
      <c r="BD994" s="3055"/>
      <c r="BE994" s="3055"/>
      <c r="BF994" s="3055"/>
      <c r="BG994" s="3055"/>
      <c r="BH994" s="3055"/>
      <c r="BI994" s="3055"/>
      <c r="BJ994" s="3055"/>
      <c r="BK994" s="3055"/>
      <c r="BL994" s="3056"/>
      <c r="BM994" s="3057">
        <f t="shared" si="16"/>
      </c>
      <c r="BN994" s="3054"/>
      <c r="BO994" s="3054"/>
      <c r="BP994" s="3055"/>
      <c r="BQ994" s="3055"/>
      <c r="BR994" s="3055"/>
      <c r="BS994" s="3055"/>
      <c r="BT994" s="3055"/>
      <c r="BU994" s="3055"/>
      <c r="BV994" s="3055"/>
      <c r="BW994" s="3055"/>
      <c r="BX994" s="3055"/>
      <c r="BY994" s="3055"/>
      <c r="BZ994" s="3055"/>
      <c r="CA994" s="3055"/>
      <c r="CB994" s="3055"/>
      <c r="CC994" s="3056"/>
      <c r="CD994" s="3057">
        <f t="shared" si="0"/>
      </c>
      <c r="CE994" s="3054"/>
      <c r="CF994" s="3054"/>
      <c r="CG994" s="3055"/>
      <c r="CH994" s="3055"/>
      <c r="CI994" s="3055"/>
      <c r="CJ994" s="3055"/>
      <c r="CK994" s="3055"/>
      <c r="CL994" s="3055"/>
      <c r="CM994" s="3055"/>
      <c r="CN994" s="3055"/>
      <c r="CO994" s="3055"/>
      <c r="CP994" s="3055"/>
      <c r="CQ994" s="3055"/>
      <c r="CR994" s="3055"/>
      <c r="CS994" s="3055"/>
      <c r="CU994" s="3054"/>
      <c r="CV994" s="696"/>
      <c r="CW994" s="696"/>
      <c r="CZ994" s="3060">
        <f t="shared" si="17"/>
      </c>
      <c r="DA994" s="3060">
        <f t="shared" si="1"/>
      </c>
      <c r="DB994" s="3060">
        <f t="shared" si="18"/>
      </c>
      <c r="DC994" s="3060">
        <f t="shared" si="19"/>
      </c>
      <c r="DD994" s="3060">
        <f t="shared" si="20"/>
      </c>
      <c r="DE994" s="3060">
        <f t="shared" si="21"/>
      </c>
      <c r="DF994" s="3060">
        <f t="shared" si="22"/>
      </c>
      <c r="DG994" s="3060">
        <f t="shared" si="23"/>
      </c>
      <c r="DH994" s="3060">
        <f t="shared" si="24"/>
      </c>
      <c r="DI994" s="3060">
        <f t="shared" si="1"/>
      </c>
    </row>
    <row r="995" ht="15" customHeight="1" s="3052" customFormat="1">
      <c r="B995" s="3054">
        <f t="shared" si="2"/>
      </c>
      <c r="C995" s="3054"/>
      <c r="D995" s="3054"/>
      <c r="E995" s="3055"/>
      <c r="F995" s="3055"/>
      <c r="G995" s="3055"/>
      <c r="H995" s="3055"/>
      <c r="I995" s="3055"/>
      <c r="J995" s="3055"/>
      <c r="K995" s="3055"/>
      <c r="L995" s="3055"/>
      <c r="M995" s="3055"/>
      <c r="N995" s="3055"/>
      <c r="O995" s="3055"/>
      <c r="P995" s="3055"/>
      <c r="Q995" s="3055"/>
      <c r="R995" s="3055">
        <f t="shared" si="3"/>
        <v>0</v>
      </c>
      <c r="S995" s="3055">
        <f t="shared" si="4"/>
        <v>0</v>
      </c>
      <c r="T995" s="3055">
        <f t="shared" si="5"/>
        <v>0</v>
      </c>
      <c r="U995" s="3055">
        <f t="shared" si="6"/>
        <v>0</v>
      </c>
      <c r="V995" s="3055">
        <f t="shared" si="7"/>
        <v>0</v>
      </c>
      <c r="W995" s="3055">
        <f t="shared" si="8"/>
        <v>0</v>
      </c>
      <c r="X995" s="3055">
        <f t="shared" si="9"/>
        <v>0</v>
      </c>
      <c r="Y995" s="3055">
        <f t="shared" si="10"/>
        <v>0</v>
      </c>
      <c r="Z995" s="3055">
        <f t="shared" si="11"/>
        <v>0</v>
      </c>
      <c r="AA995" s="3055">
        <f t="shared" si="12"/>
        <v>0</v>
      </c>
      <c r="AB995" s="3055">
        <f t="shared" si="13"/>
        <v>0</v>
      </c>
      <c r="AC995" s="3055">
        <f t="shared" si="14"/>
        <v>0</v>
      </c>
      <c r="AD995" s="3056"/>
      <c r="AE995" s="3057">
        <f t="shared" si="0"/>
      </c>
      <c r="AF995" s="3054"/>
      <c r="AG995" s="3054"/>
      <c r="AH995" s="3055"/>
      <c r="AI995" s="3055"/>
      <c r="AJ995" s="3055"/>
      <c r="AK995" s="3055"/>
      <c r="AL995" s="3055"/>
      <c r="AM995" s="3055"/>
      <c r="AN995" s="3055"/>
      <c r="AO995" s="3055"/>
      <c r="AP995" s="3055"/>
      <c r="AQ995" s="3055"/>
      <c r="AR995" s="3055"/>
      <c r="AS995" s="3055"/>
      <c r="AT995" s="3055"/>
      <c r="AU995" s="3056"/>
      <c r="AV995" s="3057">
        <f t="shared" si="15"/>
      </c>
      <c r="AW995" s="3054"/>
      <c r="AX995" s="3054"/>
      <c r="AY995" s="3055"/>
      <c r="AZ995" s="3055"/>
      <c r="BA995" s="3055"/>
      <c r="BB995" s="3055"/>
      <c r="BC995" s="3055"/>
      <c r="BD995" s="3055"/>
      <c r="BE995" s="3055"/>
      <c r="BF995" s="3055"/>
      <c r="BG995" s="3055"/>
      <c r="BH995" s="3055"/>
      <c r="BI995" s="3055"/>
      <c r="BJ995" s="3055"/>
      <c r="BK995" s="3055"/>
      <c r="BL995" s="3056"/>
      <c r="BM995" s="3057">
        <f t="shared" si="16"/>
      </c>
      <c r="BN995" s="3054"/>
      <c r="BO995" s="3054"/>
      <c r="BP995" s="3055"/>
      <c r="BQ995" s="3055"/>
      <c r="BR995" s="3055"/>
      <c r="BS995" s="3055"/>
      <c r="BT995" s="3055"/>
      <c r="BU995" s="3055"/>
      <c r="BV995" s="3055"/>
      <c r="BW995" s="3055"/>
      <c r="BX995" s="3055"/>
      <c r="BY995" s="3055"/>
      <c r="BZ995" s="3055"/>
      <c r="CA995" s="3055"/>
      <c r="CB995" s="3055"/>
      <c r="CC995" s="3056"/>
      <c r="CD995" s="3057">
        <f t="shared" si="0"/>
      </c>
      <c r="CE995" s="3054"/>
      <c r="CF995" s="3054"/>
      <c r="CG995" s="3055"/>
      <c r="CH995" s="3055"/>
      <c r="CI995" s="3055"/>
      <c r="CJ995" s="3055"/>
      <c r="CK995" s="3055"/>
      <c r="CL995" s="3055"/>
      <c r="CM995" s="3055"/>
      <c r="CN995" s="3055"/>
      <c r="CO995" s="3055"/>
      <c r="CP995" s="3055"/>
      <c r="CQ995" s="3055"/>
      <c r="CR995" s="3055"/>
      <c r="CS995" s="3055"/>
      <c r="CU995" s="3054"/>
      <c r="CV995" s="696"/>
      <c r="CW995" s="696"/>
      <c r="CZ995" s="3060">
        <f t="shared" si="17"/>
      </c>
      <c r="DA995" s="3060">
        <f t="shared" si="1"/>
      </c>
      <c r="DB995" s="3060">
        <f t="shared" si="18"/>
      </c>
      <c r="DC995" s="3060">
        <f t="shared" si="19"/>
      </c>
      <c r="DD995" s="3060">
        <f t="shared" si="20"/>
      </c>
      <c r="DE995" s="3060">
        <f t="shared" si="21"/>
      </c>
      <c r="DF995" s="3060">
        <f t="shared" si="22"/>
      </c>
      <c r="DG995" s="3060">
        <f t="shared" si="23"/>
      </c>
      <c r="DH995" s="3060">
        <f t="shared" si="24"/>
      </c>
      <c r="DI995" s="3060">
        <f t="shared" si="1"/>
      </c>
    </row>
    <row r="996" ht="15" customHeight="1" s="3052" customFormat="1">
      <c r="B996" s="3054">
        <f t="shared" si="2"/>
      </c>
      <c r="C996" s="3054"/>
      <c r="D996" s="3054"/>
      <c r="E996" s="3055"/>
      <c r="F996" s="3055"/>
      <c r="G996" s="3055"/>
      <c r="H996" s="3055"/>
      <c r="I996" s="3055"/>
      <c r="J996" s="3055"/>
      <c r="K996" s="3055"/>
      <c r="L996" s="3055"/>
      <c r="M996" s="3055"/>
      <c r="N996" s="3055"/>
      <c r="O996" s="3055"/>
      <c r="P996" s="3055"/>
      <c r="Q996" s="3055"/>
      <c r="R996" s="3055">
        <f t="shared" si="3"/>
        <v>0</v>
      </c>
      <c r="S996" s="3055">
        <f t="shared" si="4"/>
        <v>0</v>
      </c>
      <c r="T996" s="3055">
        <f t="shared" si="5"/>
        <v>0</v>
      </c>
      <c r="U996" s="3055">
        <f t="shared" si="6"/>
        <v>0</v>
      </c>
      <c r="V996" s="3055">
        <f t="shared" si="7"/>
        <v>0</v>
      </c>
      <c r="W996" s="3055">
        <f t="shared" si="8"/>
        <v>0</v>
      </c>
      <c r="X996" s="3055">
        <f t="shared" si="9"/>
        <v>0</v>
      </c>
      <c r="Y996" s="3055">
        <f t="shared" si="10"/>
        <v>0</v>
      </c>
      <c r="Z996" s="3055">
        <f t="shared" si="11"/>
        <v>0</v>
      </c>
      <c r="AA996" s="3055">
        <f t="shared" si="12"/>
        <v>0</v>
      </c>
      <c r="AB996" s="3055">
        <f t="shared" si="13"/>
        <v>0</v>
      </c>
      <c r="AC996" s="3055">
        <f t="shared" si="14"/>
        <v>0</v>
      </c>
      <c r="AD996" s="3056"/>
      <c r="AE996" s="3057">
        <f t="shared" si="0"/>
      </c>
      <c r="AF996" s="3054"/>
      <c r="AG996" s="3054"/>
      <c r="AH996" s="3055"/>
      <c r="AI996" s="3055"/>
      <c r="AJ996" s="3055"/>
      <c r="AK996" s="3055"/>
      <c r="AL996" s="3055"/>
      <c r="AM996" s="3055"/>
      <c r="AN996" s="3055"/>
      <c r="AO996" s="3055"/>
      <c r="AP996" s="3055"/>
      <c r="AQ996" s="3055"/>
      <c r="AR996" s="3055"/>
      <c r="AS996" s="3055"/>
      <c r="AT996" s="3055"/>
      <c r="AU996" s="3056"/>
      <c r="AV996" s="3057">
        <f t="shared" si="15"/>
      </c>
      <c r="AW996" s="3054"/>
      <c r="AX996" s="3054"/>
      <c r="AY996" s="3055"/>
      <c r="AZ996" s="3055"/>
      <c r="BA996" s="3055"/>
      <c r="BB996" s="3055"/>
      <c r="BC996" s="3055"/>
      <c r="BD996" s="3055"/>
      <c r="BE996" s="3055"/>
      <c r="BF996" s="3055"/>
      <c r="BG996" s="3055"/>
      <c r="BH996" s="3055"/>
      <c r="BI996" s="3055"/>
      <c r="BJ996" s="3055"/>
      <c r="BK996" s="3055"/>
      <c r="BL996" s="3056"/>
      <c r="BM996" s="3057">
        <f t="shared" si="16"/>
      </c>
      <c r="BN996" s="3054"/>
      <c r="BO996" s="3054"/>
      <c r="BP996" s="3055"/>
      <c r="BQ996" s="3055"/>
      <c r="BR996" s="3055"/>
      <c r="BS996" s="3055"/>
      <c r="BT996" s="3055"/>
      <c r="BU996" s="3055"/>
      <c r="BV996" s="3055"/>
      <c r="BW996" s="3055"/>
      <c r="BX996" s="3055"/>
      <c r="BY996" s="3055"/>
      <c r="BZ996" s="3055"/>
      <c r="CA996" s="3055"/>
      <c r="CB996" s="3055"/>
      <c r="CC996" s="3056"/>
      <c r="CD996" s="3057">
        <f t="shared" si="0"/>
      </c>
      <c r="CE996" s="3054"/>
      <c r="CF996" s="3054"/>
      <c r="CG996" s="3055"/>
      <c r="CH996" s="3055"/>
      <c r="CI996" s="3055"/>
      <c r="CJ996" s="3055"/>
      <c r="CK996" s="3055"/>
      <c r="CL996" s="3055"/>
      <c r="CM996" s="3055"/>
      <c r="CN996" s="3055"/>
      <c r="CO996" s="3055"/>
      <c r="CP996" s="3055"/>
      <c r="CQ996" s="3055"/>
      <c r="CR996" s="3055"/>
      <c r="CS996" s="3055"/>
      <c r="CU996" s="3054"/>
      <c r="CV996" s="696"/>
      <c r="CW996" s="696"/>
      <c r="CZ996" s="3060">
        <f t="shared" si="17"/>
      </c>
      <c r="DA996" s="3060">
        <f t="shared" si="1"/>
      </c>
      <c r="DB996" s="3060">
        <f t="shared" si="18"/>
      </c>
      <c r="DC996" s="3060">
        <f t="shared" si="19"/>
      </c>
      <c r="DD996" s="3060">
        <f t="shared" si="20"/>
      </c>
      <c r="DE996" s="3060">
        <f t="shared" si="21"/>
      </c>
      <c r="DF996" s="3060">
        <f t="shared" si="22"/>
      </c>
      <c r="DG996" s="3060">
        <f t="shared" si="23"/>
      </c>
      <c r="DH996" s="3060">
        <f t="shared" si="24"/>
      </c>
      <c r="DI996" s="3060">
        <f t="shared" si="1"/>
      </c>
    </row>
    <row r="997" ht="15" customHeight="1" s="3052" customFormat="1">
      <c r="B997" s="3054">
        <f t="shared" si="2"/>
      </c>
      <c r="C997" s="3054"/>
      <c r="D997" s="3054"/>
      <c r="E997" s="3055"/>
      <c r="F997" s="3055"/>
      <c r="G997" s="3055"/>
      <c r="H997" s="3055"/>
      <c r="I997" s="3055"/>
      <c r="J997" s="3055"/>
      <c r="K997" s="3055"/>
      <c r="L997" s="3055"/>
      <c r="M997" s="3055"/>
      <c r="N997" s="3055"/>
      <c r="O997" s="3055"/>
      <c r="P997" s="3055"/>
      <c r="Q997" s="3055"/>
      <c r="R997" s="3055">
        <f t="shared" si="3"/>
        <v>0</v>
      </c>
      <c r="S997" s="3055">
        <f t="shared" si="4"/>
        <v>0</v>
      </c>
      <c r="T997" s="3055">
        <f t="shared" si="5"/>
        <v>0</v>
      </c>
      <c r="U997" s="3055">
        <f t="shared" si="6"/>
        <v>0</v>
      </c>
      <c r="V997" s="3055">
        <f t="shared" si="7"/>
        <v>0</v>
      </c>
      <c r="W997" s="3055">
        <f t="shared" si="8"/>
        <v>0</v>
      </c>
      <c r="X997" s="3055">
        <f t="shared" si="9"/>
        <v>0</v>
      </c>
      <c r="Y997" s="3055">
        <f t="shared" si="10"/>
        <v>0</v>
      </c>
      <c r="Z997" s="3055">
        <f t="shared" si="11"/>
        <v>0</v>
      </c>
      <c r="AA997" s="3055">
        <f t="shared" si="12"/>
        <v>0</v>
      </c>
      <c r="AB997" s="3055">
        <f t="shared" si="13"/>
        <v>0</v>
      </c>
      <c r="AC997" s="3055">
        <f t="shared" si="14"/>
        <v>0</v>
      </c>
      <c r="AD997" s="3056"/>
      <c r="AE997" s="3057">
        <f t="shared" si="0"/>
      </c>
      <c r="AF997" s="3054"/>
      <c r="AG997" s="3054"/>
      <c r="AH997" s="3055"/>
      <c r="AI997" s="3055"/>
      <c r="AJ997" s="3055"/>
      <c r="AK997" s="3055"/>
      <c r="AL997" s="3055"/>
      <c r="AM997" s="3055"/>
      <c r="AN997" s="3055"/>
      <c r="AO997" s="3055"/>
      <c r="AP997" s="3055"/>
      <c r="AQ997" s="3055"/>
      <c r="AR997" s="3055"/>
      <c r="AS997" s="3055"/>
      <c r="AT997" s="3055"/>
      <c r="AU997" s="3056"/>
      <c r="AV997" s="3057">
        <f t="shared" si="15"/>
      </c>
      <c r="AW997" s="3054"/>
      <c r="AX997" s="3054"/>
      <c r="AY997" s="3055"/>
      <c r="AZ997" s="3055"/>
      <c r="BA997" s="3055"/>
      <c r="BB997" s="3055"/>
      <c r="BC997" s="3055"/>
      <c r="BD997" s="3055"/>
      <c r="BE997" s="3055"/>
      <c r="BF997" s="3055"/>
      <c r="BG997" s="3055"/>
      <c r="BH997" s="3055"/>
      <c r="BI997" s="3055"/>
      <c r="BJ997" s="3055"/>
      <c r="BK997" s="3055"/>
      <c r="BL997" s="3056"/>
      <c r="BM997" s="3057">
        <f t="shared" si="16"/>
      </c>
      <c r="BN997" s="3054"/>
      <c r="BO997" s="3054"/>
      <c r="BP997" s="3055"/>
      <c r="BQ997" s="3055"/>
      <c r="BR997" s="3055"/>
      <c r="BS997" s="3055"/>
      <c r="BT997" s="3055"/>
      <c r="BU997" s="3055"/>
      <c r="BV997" s="3055"/>
      <c r="BW997" s="3055"/>
      <c r="BX997" s="3055"/>
      <c r="BY997" s="3055"/>
      <c r="BZ997" s="3055"/>
      <c r="CA997" s="3055"/>
      <c r="CB997" s="3055"/>
      <c r="CC997" s="3056"/>
      <c r="CD997" s="3057">
        <f t="shared" si="0"/>
      </c>
      <c r="CE997" s="3054"/>
      <c r="CF997" s="3054"/>
      <c r="CG997" s="3055"/>
      <c r="CH997" s="3055"/>
      <c r="CI997" s="3055"/>
      <c r="CJ997" s="3055"/>
      <c r="CK997" s="3055"/>
      <c r="CL997" s="3055"/>
      <c r="CM997" s="3055"/>
      <c r="CN997" s="3055"/>
      <c r="CO997" s="3055"/>
      <c r="CP997" s="3055"/>
      <c r="CQ997" s="3055"/>
      <c r="CR997" s="3055"/>
      <c r="CS997" s="3055"/>
      <c r="CU997" s="3054"/>
      <c r="CV997" s="696"/>
      <c r="CW997" s="696"/>
      <c r="CZ997" s="3060">
        <f t="shared" si="17"/>
      </c>
      <c r="DA997" s="3060">
        <f t="shared" si="1"/>
      </c>
      <c r="DB997" s="3060">
        <f t="shared" si="18"/>
      </c>
      <c r="DC997" s="3060">
        <f t="shared" si="19"/>
      </c>
      <c r="DD997" s="3060">
        <f t="shared" si="20"/>
      </c>
      <c r="DE997" s="3060">
        <f t="shared" si="21"/>
      </c>
      <c r="DF997" s="3060">
        <f t="shared" si="22"/>
      </c>
      <c r="DG997" s="3060">
        <f t="shared" si="23"/>
      </c>
      <c r="DH997" s="3060">
        <f t="shared" si="24"/>
      </c>
      <c r="DI997" s="3060">
        <f t="shared" si="1"/>
      </c>
    </row>
    <row r="998" ht="15" customHeight="1" s="3052" customFormat="1">
      <c r="B998" s="3054">
        <f t="shared" si="2"/>
      </c>
      <c r="C998" s="3054"/>
      <c r="D998" s="3054"/>
      <c r="E998" s="3055"/>
      <c r="F998" s="3055"/>
      <c r="G998" s="3055"/>
      <c r="H998" s="3055"/>
      <c r="I998" s="3055"/>
      <c r="J998" s="3055"/>
      <c r="K998" s="3055"/>
      <c r="L998" s="3055"/>
      <c r="M998" s="3055"/>
      <c r="N998" s="3055"/>
      <c r="O998" s="3055"/>
      <c r="P998" s="3055"/>
      <c r="Q998" s="3055"/>
      <c r="R998" s="3055">
        <f t="shared" si="3"/>
        <v>0</v>
      </c>
      <c r="S998" s="3055">
        <f t="shared" si="4"/>
        <v>0</v>
      </c>
      <c r="T998" s="3055">
        <f t="shared" si="5"/>
        <v>0</v>
      </c>
      <c r="U998" s="3055">
        <f t="shared" si="6"/>
        <v>0</v>
      </c>
      <c r="V998" s="3055">
        <f t="shared" si="7"/>
        <v>0</v>
      </c>
      <c r="W998" s="3055">
        <f t="shared" si="8"/>
        <v>0</v>
      </c>
      <c r="X998" s="3055">
        <f t="shared" si="9"/>
        <v>0</v>
      </c>
      <c r="Y998" s="3055">
        <f t="shared" si="10"/>
        <v>0</v>
      </c>
      <c r="Z998" s="3055">
        <f t="shared" si="11"/>
        <v>0</v>
      </c>
      <c r="AA998" s="3055">
        <f t="shared" si="12"/>
        <v>0</v>
      </c>
      <c r="AB998" s="3055">
        <f t="shared" si="13"/>
        <v>0</v>
      </c>
      <c r="AC998" s="3055">
        <f t="shared" si="14"/>
        <v>0</v>
      </c>
      <c r="AD998" s="3056"/>
      <c r="AE998" s="3057">
        <f t="shared" si="0"/>
      </c>
      <c r="AF998" s="3054"/>
      <c r="AG998" s="3054"/>
      <c r="AH998" s="3055"/>
      <c r="AI998" s="3055"/>
      <c r="AJ998" s="3055"/>
      <c r="AK998" s="3055"/>
      <c r="AL998" s="3055"/>
      <c r="AM998" s="3055"/>
      <c r="AN998" s="3055"/>
      <c r="AO998" s="3055"/>
      <c r="AP998" s="3055"/>
      <c r="AQ998" s="3055"/>
      <c r="AR998" s="3055"/>
      <c r="AS998" s="3055"/>
      <c r="AT998" s="3055"/>
      <c r="AU998" s="3056"/>
      <c r="AV998" s="3057">
        <f t="shared" si="15"/>
      </c>
      <c r="AW998" s="3054"/>
      <c r="AX998" s="3054"/>
      <c r="AY998" s="3055"/>
      <c r="AZ998" s="3055"/>
      <c r="BA998" s="3055"/>
      <c r="BB998" s="3055"/>
      <c r="BC998" s="3055"/>
      <c r="BD998" s="3055"/>
      <c r="BE998" s="3055"/>
      <c r="BF998" s="3055"/>
      <c r="BG998" s="3055"/>
      <c r="BH998" s="3055"/>
      <c r="BI998" s="3055"/>
      <c r="BJ998" s="3055"/>
      <c r="BK998" s="3055"/>
      <c r="BL998" s="3056"/>
      <c r="BM998" s="3057">
        <f t="shared" si="16"/>
      </c>
      <c r="BN998" s="3054"/>
      <c r="BO998" s="3054"/>
      <c r="BP998" s="3055"/>
      <c r="BQ998" s="3055"/>
      <c r="BR998" s="3055"/>
      <c r="BS998" s="3055"/>
      <c r="BT998" s="3055"/>
      <c r="BU998" s="3055"/>
      <c r="BV998" s="3055"/>
      <c r="BW998" s="3055"/>
      <c r="BX998" s="3055"/>
      <c r="BY998" s="3055"/>
      <c r="BZ998" s="3055"/>
      <c r="CA998" s="3055"/>
      <c r="CB998" s="3055"/>
      <c r="CC998" s="3056"/>
      <c r="CD998" s="3057">
        <f t="shared" si="0"/>
      </c>
      <c r="CE998" s="3054"/>
      <c r="CF998" s="3054"/>
      <c r="CG998" s="3055"/>
      <c r="CH998" s="3055"/>
      <c r="CI998" s="3055"/>
      <c r="CJ998" s="3055"/>
      <c r="CK998" s="3055"/>
      <c r="CL998" s="3055"/>
      <c r="CM998" s="3055"/>
      <c r="CN998" s="3055"/>
      <c r="CO998" s="3055"/>
      <c r="CP998" s="3055"/>
      <c r="CQ998" s="3055"/>
      <c r="CR998" s="3055"/>
      <c r="CS998" s="3055"/>
      <c r="CU998" s="3054"/>
      <c r="CV998" s="696"/>
      <c r="CW998" s="696"/>
      <c r="CZ998" s="3060">
        <f t="shared" si="17"/>
      </c>
      <c r="DA998" s="3060">
        <f t="shared" si="1"/>
      </c>
      <c r="DB998" s="3060">
        <f t="shared" si="18"/>
      </c>
      <c r="DC998" s="3060">
        <f t="shared" si="19"/>
      </c>
      <c r="DD998" s="3060">
        <f t="shared" si="20"/>
      </c>
      <c r="DE998" s="3060">
        <f t="shared" si="21"/>
      </c>
      <c r="DF998" s="3060">
        <f t="shared" si="22"/>
      </c>
      <c r="DG998" s="3060">
        <f t="shared" si="23"/>
      </c>
      <c r="DH998" s="3060">
        <f t="shared" si="24"/>
      </c>
      <c r="DI998" s="3060">
        <f t="shared" si="1"/>
      </c>
    </row>
    <row r="999" ht="15" customHeight="1" s="3052" customFormat="1">
      <c r="B999" s="3054">
        <f t="shared" si="2"/>
      </c>
      <c r="C999" s="3054"/>
      <c r="D999" s="3054"/>
      <c r="E999" s="3055"/>
      <c r="F999" s="3055"/>
      <c r="G999" s="3055"/>
      <c r="H999" s="3055"/>
      <c r="I999" s="3055"/>
      <c r="J999" s="3055"/>
      <c r="K999" s="3055"/>
      <c r="L999" s="3055"/>
      <c r="M999" s="3055"/>
      <c r="N999" s="3055"/>
      <c r="O999" s="3055"/>
      <c r="P999" s="3055"/>
      <c r="Q999" s="3055"/>
      <c r="R999" s="3055">
        <f t="shared" si="3"/>
        <v>0</v>
      </c>
      <c r="S999" s="3055">
        <f t="shared" si="4"/>
        <v>0</v>
      </c>
      <c r="T999" s="3055">
        <f t="shared" si="5"/>
        <v>0</v>
      </c>
      <c r="U999" s="3055">
        <f t="shared" si="6"/>
        <v>0</v>
      </c>
      <c r="V999" s="3055">
        <f t="shared" si="7"/>
        <v>0</v>
      </c>
      <c r="W999" s="3055">
        <f t="shared" si="8"/>
        <v>0</v>
      </c>
      <c r="X999" s="3055">
        <f t="shared" si="9"/>
        <v>0</v>
      </c>
      <c r="Y999" s="3055">
        <f t="shared" si="10"/>
        <v>0</v>
      </c>
      <c r="Z999" s="3055">
        <f t="shared" si="11"/>
        <v>0</v>
      </c>
      <c r="AA999" s="3055">
        <f t="shared" si="12"/>
        <v>0</v>
      </c>
      <c r="AB999" s="3055">
        <f t="shared" si="13"/>
        <v>0</v>
      </c>
      <c r="AC999" s="3055">
        <f t="shared" si="14"/>
        <v>0</v>
      </c>
      <c r="AD999" s="3056"/>
      <c r="AE999" s="3057">
        <f t="shared" si="0"/>
      </c>
      <c r="AF999" s="3054"/>
      <c r="AG999" s="3054"/>
      <c r="AH999" s="3055"/>
      <c r="AI999" s="3055"/>
      <c r="AJ999" s="3055"/>
      <c r="AK999" s="3055"/>
      <c r="AL999" s="3055"/>
      <c r="AM999" s="3055"/>
      <c r="AN999" s="3055"/>
      <c r="AO999" s="3055"/>
      <c r="AP999" s="3055"/>
      <c r="AQ999" s="3055"/>
      <c r="AR999" s="3055"/>
      <c r="AS999" s="3055"/>
      <c r="AT999" s="3055"/>
      <c r="AU999" s="3056"/>
      <c r="AV999" s="3057">
        <f t="shared" si="15"/>
      </c>
      <c r="AW999" s="3054"/>
      <c r="AX999" s="3054"/>
      <c r="AY999" s="3055"/>
      <c r="AZ999" s="3055"/>
      <c r="BA999" s="3055"/>
      <c r="BB999" s="3055"/>
      <c r="BC999" s="3055"/>
      <c r="BD999" s="3055"/>
      <c r="BE999" s="3055"/>
      <c r="BF999" s="3055"/>
      <c r="BG999" s="3055"/>
      <c r="BH999" s="3055"/>
      <c r="BI999" s="3055"/>
      <c r="BJ999" s="3055"/>
      <c r="BK999" s="3055"/>
      <c r="BL999" s="3056"/>
      <c r="BM999" s="3057">
        <f t="shared" si="16"/>
      </c>
      <c r="BN999" s="3054"/>
      <c r="BO999" s="3054"/>
      <c r="BP999" s="3055"/>
      <c r="BQ999" s="3055"/>
      <c r="BR999" s="3055"/>
      <c r="BS999" s="3055"/>
      <c r="BT999" s="3055"/>
      <c r="BU999" s="3055"/>
      <c r="BV999" s="3055"/>
      <c r="BW999" s="3055"/>
      <c r="BX999" s="3055"/>
      <c r="BY999" s="3055"/>
      <c r="BZ999" s="3055"/>
      <c r="CA999" s="3055"/>
      <c r="CB999" s="3055"/>
      <c r="CC999" s="3056"/>
      <c r="CD999" s="3057">
        <f t="shared" si="0"/>
      </c>
      <c r="CE999" s="3054"/>
      <c r="CF999" s="3054"/>
      <c r="CG999" s="3055"/>
      <c r="CH999" s="3055"/>
      <c r="CI999" s="3055"/>
      <c r="CJ999" s="3055"/>
      <c r="CK999" s="3055"/>
      <c r="CL999" s="3055"/>
      <c r="CM999" s="3055"/>
      <c r="CN999" s="3055"/>
      <c r="CO999" s="3055"/>
      <c r="CP999" s="3055"/>
      <c r="CQ999" s="3055"/>
      <c r="CR999" s="3055"/>
      <c r="CS999" s="3055"/>
      <c r="CU999" s="3054"/>
      <c r="CV999" s="696"/>
      <c r="CW999" s="696"/>
      <c r="CZ999" s="3060">
        <f t="shared" si="17"/>
      </c>
      <c r="DA999" s="3060">
        <f t="shared" si="1"/>
      </c>
      <c r="DB999" s="3060">
        <f t="shared" si="18"/>
      </c>
      <c r="DC999" s="3060">
        <f t="shared" si="19"/>
      </c>
      <c r="DD999" s="3060">
        <f t="shared" si="20"/>
      </c>
      <c r="DE999" s="3060">
        <f t="shared" si="21"/>
      </c>
      <c r="DF999" s="3060">
        <f t="shared" si="22"/>
      </c>
      <c r="DG999" s="3060">
        <f t="shared" si="23"/>
      </c>
      <c r="DH999" s="3060">
        <f t="shared" si="24"/>
      </c>
      <c r="DI999" s="3060">
        <f t="shared" si="1"/>
      </c>
    </row>
    <row r="1000" ht="15" customHeight="1" s="3052" customFormat="1">
      <c r="B1000" s="3054">
        <f t="shared" si="2"/>
      </c>
      <c r="C1000" s="3054"/>
      <c r="D1000" s="3054"/>
      <c r="E1000" s="3055"/>
      <c r="F1000" s="3055"/>
      <c r="G1000" s="3055"/>
      <c r="H1000" s="3055"/>
      <c r="I1000" s="3055"/>
      <c r="J1000" s="3055"/>
      <c r="K1000" s="3055"/>
      <c r="L1000" s="3055"/>
      <c r="M1000" s="3055"/>
      <c r="N1000" s="3055"/>
      <c r="O1000" s="3055"/>
      <c r="P1000" s="3055"/>
      <c r="Q1000" s="3055"/>
      <c r="R1000" s="3055">
        <f t="shared" si="3"/>
        <v>0</v>
      </c>
      <c r="S1000" s="3055">
        <f t="shared" si="4"/>
        <v>0</v>
      </c>
      <c r="T1000" s="3055">
        <f t="shared" si="5"/>
        <v>0</v>
      </c>
      <c r="U1000" s="3055">
        <f t="shared" si="6"/>
        <v>0</v>
      </c>
      <c r="V1000" s="3055">
        <f t="shared" si="7"/>
        <v>0</v>
      </c>
      <c r="W1000" s="3055">
        <f t="shared" si="8"/>
        <v>0</v>
      </c>
      <c r="X1000" s="3055">
        <f t="shared" si="9"/>
        <v>0</v>
      </c>
      <c r="Y1000" s="3055">
        <f t="shared" si="10"/>
        <v>0</v>
      </c>
      <c r="Z1000" s="3055">
        <f t="shared" si="11"/>
        <v>0</v>
      </c>
      <c r="AA1000" s="3055">
        <f t="shared" si="12"/>
        <v>0</v>
      </c>
      <c r="AB1000" s="3055">
        <f t="shared" si="13"/>
        <v>0</v>
      </c>
      <c r="AC1000" s="3055">
        <f t="shared" si="14"/>
        <v>0</v>
      </c>
      <c r="AD1000" s="3056"/>
      <c r="AE1000" s="3057">
        <f t="shared" si="0"/>
      </c>
      <c r="AF1000" s="3054"/>
      <c r="AG1000" s="3054"/>
      <c r="AH1000" s="3055"/>
      <c r="AI1000" s="3055"/>
      <c r="AJ1000" s="3055"/>
      <c r="AK1000" s="3055"/>
      <c r="AL1000" s="3055"/>
      <c r="AM1000" s="3055"/>
      <c r="AN1000" s="3055"/>
      <c r="AO1000" s="3055"/>
      <c r="AP1000" s="3055"/>
      <c r="AQ1000" s="3055"/>
      <c r="AR1000" s="3055"/>
      <c r="AS1000" s="3055"/>
      <c r="AT1000" s="3055"/>
      <c r="AU1000" s="3056"/>
      <c r="AV1000" s="3057">
        <f t="shared" si="15"/>
      </c>
      <c r="AW1000" s="3054"/>
      <c r="AX1000" s="3054"/>
      <c r="AY1000" s="3055"/>
      <c r="AZ1000" s="3055"/>
      <c r="BA1000" s="3055"/>
      <c r="BB1000" s="3055"/>
      <c r="BC1000" s="3055"/>
      <c r="BD1000" s="3055"/>
      <c r="BE1000" s="3055"/>
      <c r="BF1000" s="3055"/>
      <c r="BG1000" s="3055"/>
      <c r="BH1000" s="3055"/>
      <c r="BI1000" s="3055"/>
      <c r="BJ1000" s="3055"/>
      <c r="BK1000" s="3055"/>
      <c r="BL1000" s="3056"/>
      <c r="BM1000" s="3057">
        <f t="shared" si="16"/>
      </c>
      <c r="BN1000" s="3054"/>
      <c r="BO1000" s="3054"/>
      <c r="BP1000" s="3055"/>
      <c r="BQ1000" s="3055"/>
      <c r="BR1000" s="3055"/>
      <c r="BS1000" s="3055"/>
      <c r="BT1000" s="3055"/>
      <c r="BU1000" s="3055"/>
      <c r="BV1000" s="3055"/>
      <c r="BW1000" s="3055"/>
      <c r="BX1000" s="3055"/>
      <c r="BY1000" s="3055"/>
      <c r="BZ1000" s="3055"/>
      <c r="CA1000" s="3055"/>
      <c r="CB1000" s="3055"/>
      <c r="CC1000" s="3056"/>
      <c r="CD1000" s="3057">
        <f t="shared" si="0"/>
      </c>
      <c r="CE1000" s="3054"/>
      <c r="CF1000" s="3054"/>
      <c r="CG1000" s="3055"/>
      <c r="CH1000" s="3055"/>
      <c r="CI1000" s="3055"/>
      <c r="CJ1000" s="3055"/>
      <c r="CK1000" s="3055"/>
      <c r="CL1000" s="3055"/>
      <c r="CM1000" s="3055"/>
      <c r="CN1000" s="3055"/>
      <c r="CO1000" s="3055"/>
      <c r="CP1000" s="3055"/>
      <c r="CQ1000" s="3055"/>
      <c r="CR1000" s="3055"/>
      <c r="CS1000" s="3055"/>
      <c r="CU1000" s="3054"/>
      <c r="CV1000" s="696"/>
      <c r="CW1000" s="696"/>
      <c r="CZ1000" s="3060">
        <f t="shared" si="17"/>
      </c>
      <c r="DA1000" s="3060">
        <f t="shared" si="1"/>
      </c>
      <c r="DB1000" s="3060">
        <f t="shared" si="18"/>
      </c>
      <c r="DC1000" s="3060">
        <f t="shared" si="19"/>
      </c>
      <c r="DD1000" s="3060">
        <f t="shared" si="20"/>
      </c>
      <c r="DE1000" s="3060">
        <f t="shared" si="21"/>
      </c>
      <c r="DF1000" s="3060">
        <f t="shared" si="22"/>
      </c>
      <c r="DG1000" s="3060">
        <f t="shared" si="23"/>
      </c>
      <c r="DH1000" s="3060">
        <f t="shared" si="24"/>
      </c>
      <c r="DI1000" s="3060">
        <f t="shared" si="1"/>
      </c>
    </row>
    <row r="1001" ht="15" customHeight="1" s="3052" customFormat="1">
      <c r="B1001" s="3054">
        <f t="shared" si="2"/>
      </c>
      <c r="C1001" s="3054"/>
      <c r="D1001" s="3054"/>
      <c r="E1001" s="3055"/>
      <c r="F1001" s="3055"/>
      <c r="G1001" s="3055"/>
      <c r="H1001" s="3055"/>
      <c r="I1001" s="3055"/>
      <c r="J1001" s="3055"/>
      <c r="K1001" s="3055"/>
      <c r="L1001" s="3055"/>
      <c r="M1001" s="3055"/>
      <c r="N1001" s="3055"/>
      <c r="O1001" s="3055"/>
      <c r="P1001" s="3055"/>
      <c r="Q1001" s="3055"/>
      <c r="R1001" s="3055">
        <f t="shared" si="3"/>
        <v>0</v>
      </c>
      <c r="S1001" s="3055">
        <f t="shared" si="4"/>
        <v>0</v>
      </c>
      <c r="T1001" s="3055">
        <f t="shared" si="5"/>
        <v>0</v>
      </c>
      <c r="U1001" s="3055">
        <f t="shared" si="6"/>
        <v>0</v>
      </c>
      <c r="V1001" s="3055">
        <f t="shared" si="7"/>
        <v>0</v>
      </c>
      <c r="W1001" s="3055">
        <f t="shared" si="8"/>
        <v>0</v>
      </c>
      <c r="X1001" s="3055">
        <f t="shared" si="9"/>
        <v>0</v>
      </c>
      <c r="Y1001" s="3055">
        <f t="shared" si="10"/>
        <v>0</v>
      </c>
      <c r="Z1001" s="3055">
        <f t="shared" si="11"/>
        <v>0</v>
      </c>
      <c r="AA1001" s="3055">
        <f t="shared" si="12"/>
        <v>0</v>
      </c>
      <c r="AB1001" s="3055">
        <f t="shared" si="13"/>
        <v>0</v>
      </c>
      <c r="AC1001" s="3055">
        <f t="shared" si="14"/>
        <v>0</v>
      </c>
      <c r="AD1001" s="3056"/>
      <c r="AE1001" s="3057">
        <f t="shared" si="0"/>
      </c>
      <c r="AF1001" s="3054"/>
      <c r="AG1001" s="3054"/>
      <c r="AH1001" s="3055"/>
      <c r="AI1001" s="3055"/>
      <c r="AJ1001" s="3055"/>
      <c r="AK1001" s="3055"/>
      <c r="AL1001" s="3055"/>
      <c r="AM1001" s="3055"/>
      <c r="AN1001" s="3055"/>
      <c r="AO1001" s="3055"/>
      <c r="AP1001" s="3055"/>
      <c r="AQ1001" s="3055"/>
      <c r="AR1001" s="3055"/>
      <c r="AS1001" s="3055"/>
      <c r="AT1001" s="3055"/>
      <c r="AU1001" s="3056"/>
      <c r="AV1001" s="3057">
        <f t="shared" si="15"/>
      </c>
      <c r="AW1001" s="3054"/>
      <c r="AX1001" s="3054"/>
      <c r="AY1001" s="3055"/>
      <c r="AZ1001" s="3055"/>
      <c r="BA1001" s="3055"/>
      <c r="BB1001" s="3055"/>
      <c r="BC1001" s="3055"/>
      <c r="BD1001" s="3055"/>
      <c r="BE1001" s="3055"/>
      <c r="BF1001" s="3055"/>
      <c r="BG1001" s="3055"/>
      <c r="BH1001" s="3055"/>
      <c r="BI1001" s="3055"/>
      <c r="BJ1001" s="3055"/>
      <c r="BK1001" s="3055"/>
      <c r="BL1001" s="3056"/>
      <c r="BM1001" s="3057">
        <f t="shared" si="16"/>
      </c>
      <c r="BN1001" s="3054"/>
      <c r="BO1001" s="3054"/>
      <c r="BP1001" s="3055"/>
      <c r="BQ1001" s="3055"/>
      <c r="BR1001" s="3055"/>
      <c r="BS1001" s="3055"/>
      <c r="BT1001" s="3055"/>
      <c r="BU1001" s="3055"/>
      <c r="BV1001" s="3055"/>
      <c r="BW1001" s="3055"/>
      <c r="BX1001" s="3055"/>
      <c r="BY1001" s="3055"/>
      <c r="BZ1001" s="3055"/>
      <c r="CA1001" s="3055"/>
      <c r="CB1001" s="3055"/>
      <c r="CC1001" s="3056"/>
      <c r="CD1001" s="3057">
        <f t="shared" si="0"/>
      </c>
      <c r="CE1001" s="3054"/>
      <c r="CF1001" s="3054"/>
      <c r="CG1001" s="3055"/>
      <c r="CH1001" s="3055"/>
      <c r="CI1001" s="3055"/>
      <c r="CJ1001" s="3055"/>
      <c r="CK1001" s="3055"/>
      <c r="CL1001" s="3055"/>
      <c r="CM1001" s="3055"/>
      <c r="CN1001" s="3055"/>
      <c r="CO1001" s="3055"/>
      <c r="CP1001" s="3055"/>
      <c r="CQ1001" s="3055"/>
      <c r="CR1001" s="3055"/>
      <c r="CS1001" s="3055"/>
      <c r="CU1001" s="3054"/>
      <c r="CV1001" s="696"/>
      <c r="CW1001" s="696"/>
      <c r="CZ1001" s="3060">
        <f t="shared" si="17"/>
      </c>
      <c r="DA1001" s="3060">
        <f t="shared" si="1"/>
      </c>
      <c r="DB1001" s="3060">
        <f t="shared" si="18"/>
      </c>
      <c r="DC1001" s="3060">
        <f t="shared" si="19"/>
      </c>
      <c r="DD1001" s="3060">
        <f t="shared" si="20"/>
      </c>
      <c r="DE1001" s="3060">
        <f t="shared" si="21"/>
      </c>
      <c r="DF1001" s="3060">
        <f t="shared" si="22"/>
      </c>
      <c r="DG1001" s="3060">
        <f t="shared" si="23"/>
      </c>
      <c r="DH1001" s="3060">
        <f t="shared" si="24"/>
      </c>
      <c r="DI1001" s="3060">
        <f t="shared" si="1"/>
      </c>
    </row>
    <row r="1002" ht="15" customHeight="1" s="3052" customFormat="1">
      <c r="A1002" s="3066"/>
      <c r="B1002" s="3067">
        <f t="shared" si="2"/>
      </c>
      <c r="C1002" s="3068"/>
      <c r="D1002" s="3068"/>
      <c r="E1002" s="3069"/>
      <c r="F1002" s="3069"/>
      <c r="G1002" s="3069"/>
      <c r="H1002" s="3069"/>
      <c r="I1002" s="3069"/>
      <c r="J1002" s="3069"/>
      <c r="K1002" s="3069"/>
      <c r="L1002" s="3069"/>
      <c r="M1002" s="3069"/>
      <c r="N1002" s="3069"/>
      <c r="O1002" s="3069"/>
      <c r="P1002" s="3069"/>
      <c r="Q1002" s="3069"/>
      <c r="R1002" s="3069">
        <f t="shared" si="3"/>
        <v>0</v>
      </c>
      <c r="S1002" s="3069">
        <f t="shared" si="4"/>
        <v>0</v>
      </c>
      <c r="T1002" s="3069">
        <f t="shared" si="5"/>
        <v>0</v>
      </c>
      <c r="U1002" s="3069">
        <f t="shared" si="6"/>
        <v>0</v>
      </c>
      <c r="V1002" s="3069">
        <f t="shared" si="7"/>
        <v>0</v>
      </c>
      <c r="W1002" s="3069">
        <f t="shared" si="8"/>
        <v>0</v>
      </c>
      <c r="X1002" s="3069">
        <f t="shared" si="9"/>
        <v>0</v>
      </c>
      <c r="Y1002" s="3069">
        <f t="shared" si="10"/>
        <v>0</v>
      </c>
      <c r="Z1002" s="3069">
        <f t="shared" si="11"/>
        <v>0</v>
      </c>
      <c r="AA1002" s="3069">
        <f t="shared" si="12"/>
        <v>0</v>
      </c>
      <c r="AB1002" s="3069">
        <f t="shared" si="13"/>
        <v>0</v>
      </c>
      <c r="AC1002" s="3069">
        <f t="shared" si="14"/>
        <v>0</v>
      </c>
      <c r="AD1002" s="3070"/>
      <c r="AE1002" s="3067">
        <f t="shared" si="0"/>
      </c>
      <c r="AF1002" s="3068"/>
      <c r="AG1002" s="3068"/>
      <c r="AH1002" s="3069"/>
      <c r="AI1002" s="3069"/>
      <c r="AJ1002" s="3069"/>
      <c r="AK1002" s="3069"/>
      <c r="AL1002" s="3069"/>
      <c r="AM1002" s="3069"/>
      <c r="AN1002" s="3069"/>
      <c r="AO1002" s="3069"/>
      <c r="AP1002" s="3069"/>
      <c r="AQ1002" s="3069"/>
      <c r="AR1002" s="3069"/>
      <c r="AS1002" s="3069"/>
      <c r="AT1002" s="3069"/>
      <c r="AU1002" s="3070"/>
      <c r="AV1002" s="3067">
        <f t="shared" si="15"/>
      </c>
      <c r="AW1002" s="3068"/>
      <c r="AX1002" s="3068"/>
      <c r="AY1002" s="3069"/>
      <c r="AZ1002" s="3069"/>
      <c r="BA1002" s="3069"/>
      <c r="BB1002" s="3069"/>
      <c r="BC1002" s="3069"/>
      <c r="BD1002" s="3069"/>
      <c r="BE1002" s="3069"/>
      <c r="BF1002" s="3069"/>
      <c r="BG1002" s="3069"/>
      <c r="BH1002" s="3069"/>
      <c r="BI1002" s="3069"/>
      <c r="BJ1002" s="3069"/>
      <c r="BK1002" s="3069"/>
      <c r="BL1002" s="3070"/>
      <c r="BM1002" s="3067">
        <f t="shared" si="16"/>
      </c>
      <c r="BN1002" s="3068"/>
      <c r="BO1002" s="3068"/>
      <c r="BP1002" s="3069"/>
      <c r="BQ1002" s="3069"/>
      <c r="BR1002" s="3069"/>
      <c r="BS1002" s="3069"/>
      <c r="BT1002" s="3069"/>
      <c r="BU1002" s="3069"/>
      <c r="BV1002" s="3069"/>
      <c r="BW1002" s="3069"/>
      <c r="BX1002" s="3069"/>
      <c r="BY1002" s="3069"/>
      <c r="BZ1002" s="3069"/>
      <c r="CA1002" s="3069"/>
      <c r="CB1002" s="3069"/>
      <c r="CC1002" s="3070"/>
      <c r="CD1002" s="3067">
        <f t="shared" si="0"/>
      </c>
      <c r="CE1002" s="3068"/>
      <c r="CF1002" s="3068"/>
      <c r="CG1002" s="3069"/>
      <c r="CH1002" s="3069"/>
      <c r="CI1002" s="3069"/>
      <c r="CJ1002" s="3069"/>
      <c r="CK1002" s="3069"/>
      <c r="CL1002" s="3069"/>
      <c r="CM1002" s="3069"/>
      <c r="CN1002" s="3069"/>
      <c r="CO1002" s="3069"/>
      <c r="CP1002" s="3069"/>
      <c r="CQ1002" s="3069"/>
      <c r="CR1002" s="3069"/>
      <c r="CS1002" s="3069"/>
      <c r="CT1002" s="3066"/>
      <c r="CU1002" s="3068">
        <f>_xlfn.IFERROR(INDEX($B:$B,MATCH(CV1002,$D:$D,0)),"")</f>
      </c>
      <c r="CV1002" s="1025"/>
      <c r="CW1002" s="1025"/>
      <c r="CX1002" s="3066"/>
      <c r="CZ1002" s="3071">
        <f t="shared" si="17"/>
      </c>
      <c r="DA1002" s="3071">
        <f t="shared" si="1"/>
      </c>
      <c r="DB1002" s="3071">
        <f t="shared" si="18"/>
      </c>
      <c r="DC1002" s="3071">
        <f t="shared" si="19"/>
      </c>
      <c r="DD1002" s="3071">
        <f t="shared" si="20"/>
      </c>
      <c r="DE1002" s="3071">
        <f t="shared" si="21"/>
      </c>
      <c r="DF1002" s="3071">
        <f t="shared" si="22"/>
      </c>
      <c r="DG1002" s="3071">
        <f t="shared" si="23"/>
      </c>
      <c r="DH1002" s="3071">
        <f t="shared" si="24"/>
      </c>
      <c r="DI1002" s="3071">
        <f t="shared" si="1"/>
      </c>
    </row>
    <row r="1003" ht="14.25" customHeight="1">
      <c r="A1003" s="3072"/>
      <c r="B1003" s="3072">
        <f t="shared" si="2"/>
      </c>
      <c r="C1003" s="3073"/>
      <c r="D1003" s="3072"/>
      <c r="E1003" s="3072"/>
      <c r="F1003" s="3072"/>
      <c r="G1003" s="3072"/>
      <c r="H1003" s="3072"/>
      <c r="I1003" s="3072"/>
      <c r="J1003" s="3072"/>
      <c r="K1003" s="3072"/>
      <c r="L1003" s="3072"/>
      <c r="M1003" s="3072"/>
      <c r="N1003" s="3072"/>
      <c r="O1003" s="3072"/>
      <c r="P1003" s="3072"/>
      <c r="Q1003" s="3072"/>
      <c r="R1003" s="3074"/>
      <c r="S1003" s="3074"/>
      <c r="T1003" s="3074"/>
      <c r="U1003" s="3074"/>
      <c r="V1003" s="3074"/>
      <c r="W1003" s="3074"/>
      <c r="X1003" s="3074"/>
      <c r="Y1003" s="3074"/>
      <c r="Z1003" s="3074"/>
      <c r="AA1003" s="3074"/>
      <c r="AB1003" s="3074"/>
      <c r="AC1003" s="3074"/>
      <c r="AD1003" s="3072"/>
      <c r="AE1003" s="3073">
        <f t="shared" si="0"/>
      </c>
      <c r="AF1003" s="3072"/>
      <c r="AG1003" s="3072"/>
      <c r="AH1003" s="3072"/>
      <c r="AI1003" s="3072"/>
      <c r="AJ1003" s="3072"/>
      <c r="AK1003" s="3072"/>
      <c r="AL1003" s="3072"/>
      <c r="AM1003" s="3072"/>
      <c r="AN1003" s="3072"/>
      <c r="AO1003" s="3072"/>
      <c r="AP1003" s="3072"/>
      <c r="AQ1003" s="3072"/>
      <c r="AR1003" s="3072"/>
      <c r="AS1003" s="3072"/>
      <c r="AT1003" s="3072"/>
      <c r="AU1003" s="3072"/>
      <c r="AV1003" s="3073">
        <f t="shared" si="15"/>
      </c>
      <c r="AW1003" s="3072"/>
      <c r="AX1003" s="3072"/>
      <c r="AY1003" s="3072"/>
      <c r="AZ1003" s="3072"/>
      <c r="BA1003" s="3072"/>
      <c r="BB1003" s="3072"/>
      <c r="BC1003" s="3072"/>
      <c r="BD1003" s="3072"/>
      <c r="BE1003" s="3072"/>
      <c r="BF1003" s="3072"/>
      <c r="BG1003" s="3072"/>
      <c r="BH1003" s="3072"/>
      <c r="BI1003" s="3072"/>
      <c r="BJ1003" s="3072"/>
      <c r="BK1003" s="3072"/>
      <c r="BL1003" s="3072"/>
      <c r="BM1003" s="3073">
        <f t="shared" si="16"/>
      </c>
      <c r="BN1003" s="3072"/>
      <c r="BO1003" s="3072"/>
      <c r="BP1003" s="3072"/>
      <c r="BQ1003" s="3072"/>
      <c r="BR1003" s="3072"/>
      <c r="BS1003" s="3072"/>
      <c r="BT1003" s="3072"/>
      <c r="BU1003" s="3072"/>
      <c r="BV1003" s="3072"/>
      <c r="BW1003" s="3072"/>
      <c r="BX1003" s="3072"/>
      <c r="BY1003" s="3072"/>
      <c r="BZ1003" s="3072"/>
      <c r="CA1003" s="3072"/>
      <c r="CB1003" s="3072"/>
      <c r="CC1003" s="3072"/>
      <c r="CD1003" s="3073">
        <f t="shared" si="0"/>
      </c>
      <c r="CE1003" s="3072"/>
      <c r="CF1003" s="3072"/>
      <c r="CG1003" s="3072"/>
      <c r="CH1003" s="3072"/>
      <c r="CI1003" s="3072"/>
      <c r="CJ1003" s="3072"/>
      <c r="CK1003" s="3072"/>
      <c r="CL1003" s="3072"/>
      <c r="CM1003" s="3072"/>
      <c r="CN1003" s="3072"/>
      <c r="CO1003" s="3072"/>
      <c r="CP1003" s="3072"/>
      <c r="CQ1003" s="3072"/>
      <c r="CR1003" s="3072"/>
      <c r="CS1003" s="3072"/>
      <c r="CT1003" s="3072"/>
      <c r="CU1003" s="3072"/>
      <c r="CV1003" s="3072"/>
      <c r="CW1003" s="3072"/>
      <c r="CX1003" s="3072"/>
    </row>
  </sheetData>
  <sheetProtection formatCells="0" formatColumns="0" formatRows="0" insertHyperlinks="0" deleteColumns="0" deleteRows="0" sort="0" autoFilter="0" pivotTables="0"/>
  <mergeCells>
    <mergeCell ref="CZ1:DA1"/>
    <mergeCell ref="DB1:DC1"/>
    <mergeCell ref="DD1:DE1"/>
    <mergeCell ref="DF1:DG1"/>
    <mergeCell ref="DH1:DI1"/>
  </mergeCells>
  <dataValidations count="2">
    <dataValidation allowBlank="1" showErrorMessage="1" showInputMessage="1" sqref="B3:B1003 CU3:CU1002 BM3:BM1003 AE3:AE1003 CD3:CD1003 AV3:AV1003" type="list">
      <formula1>Dropdowns_LineItemList</formula1>
    </dataValidation>
    <dataValidation allowBlank="1" showErrorMessage="1" showInputMessage="1" sqref="A2" type="list">
      <formula1>"OS T-12,OS 1 Yr Back,OS 2 Yr Back,OS 3 Yr Back,Budget,Appraisal,Show All"</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1111042" name="buttonUpdateOS" r:id="rId3">
              <controlPr defaultSize="0" autoPict="0" print="0">
                <anchor moveWithCells="1" sizeWithCells="1">
                  <from>
                    <xdr:col>0</xdr:col>
                    <xdr:colOff>0</xdr:colOff>
                    <xdr:row>0</xdr:row>
                    <xdr:rowOff>0</xdr:rowOff>
                  </from>
                  <to>
                    <xdr:col>0</xdr:col>
                    <xdr:colOff>1371600</xdr:colOff>
                    <xdr:row>1</xdr:row>
                    <xdr:rowOff>0</xdr:rowOff>
                  </to>
                </anchor>
              </controlPr>
            </control>
          </mc:Choice>
        </mc:AlternateContent>
        <mc:AlternateContent xmlns:mc="http://schemas.openxmlformats.org/markup-compatibility/2006">
          <mc:Choice Requires="x14">
            <control shapeId="1111045" name="buttonHighlightOutliers" r:id="rId4">
              <controlPr defaultSize="0" autoPict="0" print="0">
                <anchor moveWithCells="1" sizeWithCells="1">
                  <from>
                    <xdr:col>2</xdr:col>
                    <xdr:colOff>12668</xdr:colOff>
                    <xdr:row>0</xdr:row>
                    <xdr:rowOff>0</xdr:rowOff>
                  </from>
                  <to>
                    <xdr:col>2</xdr:col>
                    <xdr:colOff>2044732</xdr:colOff>
                    <xdr:row>1</xdr:row>
                    <xdr:rowOff>0</xdr:rowOff>
                  </to>
                </anchor>
              </controlPr>
            </control>
          </mc:Choice>
        </mc:AlternateContent>
        <mc:AlternateContent xmlns:mc="http://schemas.openxmlformats.org/markup-compatibility/2006">
          <mc:Choice Requires="x14">
            <control shapeId="1111046" name="buttonToggleCategoryEqns" r:id="rId5">
              <controlPr defaultSize="0" autoPict="0" print="0">
                <anchor moveWithCells="1" sizeWithCells="1">
                  <from>
                    <xdr:col>1</xdr:col>
                    <xdr:colOff>25432</xdr:colOff>
                    <xdr:row>0</xdr:row>
                    <xdr:rowOff>0</xdr:rowOff>
                  </from>
                  <to>
                    <xdr:col>1</xdr:col>
                    <xdr:colOff>2044732</xdr:colOff>
                    <xdr:row>1</xdr:row>
                    <xdr:rowOff>0</xdr:rowOff>
                  </to>
                </anchor>
              </controlPr>
            </control>
          </mc:Choice>
        </mc:AlternateContent>
        <mc:AlternateContent xmlns:mc="http://schemas.openxmlformats.org/markup-compatibility/2006">
          <mc:Choice Requires="x14">
            <control shapeId="1111050" name="buttonZipperMerge" r:id="rId6">
              <controlPr defaultSize="0" autoPict="0" print="0">
                <anchor moveWithCells="1" sizeWithCells="1">
                  <from>
                    <xdr:col>0</xdr:col>
                    <xdr:colOff>50768</xdr:colOff>
                    <xdr:row>1003</xdr:row>
                    <xdr:rowOff>76200</xdr:rowOff>
                  </from>
                  <to>
                    <xdr:col>1</xdr:col>
                    <xdr:colOff>50768</xdr:colOff>
                    <xdr:row>1006</xdr:row>
                    <xdr:rowOff>63532</xdr:rowOff>
                  </to>
                </anchor>
              </controlPr>
            </control>
          </mc:Choice>
        </mc:AlternateContent>
      </controls>
    </mc:Choice>
  </mc:AlternateConten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8ED6892B-0A6E-4261-83E7-65F854FEAE68}" mc:Ignorable="x14ac xr xr2 xr3">
  <sheetPr>
    <tabColor theme="8" tint="-0.5"/>
    <pageSetUpPr fitToPage="1"/>
  </sheetPr>
  <dimension ref="A1:AO187"/>
  <sheetViews>
    <sheetView topLeftCell="A1" zoomScale="80" workbookViewId="0">
      <selection activeCell="A1" sqref="A1"/>
    </sheetView>
  </sheetViews>
  <sheetFormatPr defaultRowHeight="14.497499999999997" defaultColWidth="8.8515625" customHeight="1" outlineLevelRow="1"/>
  <cols>
    <col min="1" max="1" style="625" width="18.57421875" customWidth="1"/>
    <col min="2" max="2" style="625" width="32.57421875" customWidth="1"/>
    <col min="3" max="4" style="625" width="12.57421875" customWidth="1"/>
    <col min="5" max="5" style="625" width="13.57421875" customWidth="1"/>
    <col min="6" max="6" style="625" width="12.57421875" customWidth="1"/>
    <col min="7" max="7" style="625" width="9.57421875" customWidth="1"/>
    <col min="8" max="8" style="625" width="13.57421875" customWidth="1"/>
    <col min="9" max="9" style="625" width="8.57421875" customWidth="1"/>
    <col min="10" max="10" style="625" width="12.57421875" customWidth="1"/>
    <col min="11" max="11" style="625" width="7.57421875" customWidth="1"/>
    <col min="12" max="12" style="625" width="12.57421875" customWidth="1"/>
    <col min="13" max="13" style="625" width="13.57421875" customWidth="1"/>
    <col min="14" max="14" style="625" width="4.57421875" customWidth="1"/>
    <col min="15" max="16" style="625" width="14.57421875" customWidth="1"/>
    <col min="17" max="17" style="625" width="14.00390625" customWidth="1"/>
    <col min="18" max="18" style="625" width="15.00390625" customWidth="1"/>
    <col min="19" max="19" style="625" width="13.57421875" customWidth="1"/>
    <col min="20" max="20" style="625" width="2.57421875" customWidth="1"/>
    <col min="21" max="21" style="625" width="12.57421875" customWidth="1"/>
    <col min="22" max="22" style="625" width="8.57421875" customWidth="1"/>
    <col min="23" max="23" style="625" width="11.57421875" customWidth="1"/>
    <col min="24" max="24" style="625" width="12.00390625" customWidth="1"/>
    <col min="25" max="25" style="625" width="11.57421875" customWidth="1"/>
    <col min="26" max="26" style="625" width="9.00390625" customWidth="1"/>
    <col min="27" max="28" style="625" width="9.57421875" customWidth="1"/>
    <col min="29" max="29" style="3393" width="11.57421875" customWidth="1"/>
    <col min="30" max="30" style="625" width="11.57421875" customWidth="1"/>
    <col min="31" max="32" style="625" width="10.57421875" customWidth="1"/>
    <col min="33" max="33" style="625" width="11.140625" hidden="1" customWidth="1"/>
    <col min="34" max="34" style="625" width="5.7109375" customWidth="1"/>
    <col min="35" max="38" style="625" width="12.8515625" customWidth="1"/>
    <col min="39" max="41" style="625" width="9.57421875" customWidth="1"/>
  </cols>
  <sheetData>
    <row r="1" ht="15.75" customHeight="1">
      <c r="A1" s="3076"/>
      <c r="B1" s="3076"/>
      <c r="C1" s="3076"/>
      <c r="D1" s="3076"/>
      <c r="E1" s="3076"/>
      <c r="F1" s="3076"/>
      <c r="G1" s="3076" t="s">
        <v>3009</v>
      </c>
      <c r="H1" s="3076"/>
      <c r="I1" s="3076"/>
      <c r="J1" s="3076"/>
      <c r="K1" s="3076"/>
      <c r="L1" s="3076"/>
      <c r="M1" s="3076"/>
      <c r="N1" s="3076"/>
      <c r="O1" s="3076"/>
      <c r="P1" s="3076"/>
      <c r="Q1" s="3076"/>
      <c r="R1" s="3077">
        <f>INT(R2)</f>
        <v>45201</v>
      </c>
      <c r="S1" s="3078"/>
      <c r="T1" s="3079"/>
      <c r="U1" s="3079"/>
      <c r="V1" s="3080"/>
      <c r="W1" s="3081"/>
      <c r="X1" s="3081" t="s">
        <v>3007</v>
      </c>
      <c r="Y1" s="3080"/>
      <c r="Z1" s="3080"/>
      <c r="AA1" s="3080"/>
      <c r="AB1" s="3080"/>
      <c r="AC1" s="3082"/>
      <c r="AD1" s="3080"/>
      <c r="AE1" s="3080"/>
      <c r="AF1" s="3080"/>
      <c r="AG1" s="3080"/>
      <c r="AH1" s="3080"/>
      <c r="AI1" s="3080"/>
      <c r="AJ1" s="3080"/>
      <c r="AK1" s="3080"/>
      <c r="AL1" s="3080"/>
      <c r="AM1" s="3080"/>
      <c r="AN1" s="3080"/>
      <c r="AO1" s="3080"/>
    </row>
    <row r="2" ht="17.25" customHeight="1">
      <c r="B2" s="3076"/>
      <c r="C2" s="3076"/>
      <c r="D2" s="3076"/>
      <c r="E2" s="3076"/>
      <c r="F2" s="3076"/>
      <c r="G2" s="3076" t="str">
        <f>PropertyName_DataPageTab</f>
        <v>XXXX</v>
      </c>
      <c r="H2" s="3076"/>
      <c r="I2" s="3076"/>
      <c r="J2" s="3076"/>
      <c r="K2" s="3076"/>
      <c r="L2" s="3076"/>
      <c r="M2" s="3076"/>
      <c r="N2" s="3076"/>
      <c r="O2" s="3076"/>
      <c r="P2" s="3076"/>
      <c r="Q2" s="3076"/>
      <c r="R2" s="2652">
        <f>NOW()</f>
        <v>45201.47613552083</v>
      </c>
      <c r="S2" s="3078"/>
      <c r="T2" s="3083"/>
      <c r="U2" s="3083"/>
      <c r="V2" s="3080"/>
      <c r="W2" s="3081"/>
      <c r="X2" s="3081" t="s">
        <v>3008</v>
      </c>
      <c r="Y2" s="3080"/>
      <c r="Z2" s="3080"/>
      <c r="AA2" s="3080"/>
      <c r="AB2" s="3080"/>
      <c r="AC2" s="3082"/>
      <c r="AD2" s="3080"/>
      <c r="AE2" s="3080"/>
      <c r="AF2" s="3080"/>
      <c r="AG2" s="3080"/>
      <c r="AH2" s="3080"/>
      <c r="AI2" s="3080"/>
      <c r="AJ2" s="3080"/>
      <c r="AK2" s="3080"/>
      <c r="AL2" s="3080"/>
      <c r="AM2" s="3080"/>
      <c r="AN2" s="3080"/>
      <c r="AO2" s="3080"/>
    </row>
    <row r="3" ht="30.75" customHeight="1">
      <c r="A3" s="3084" t="s">
        <v>3010</v>
      </c>
      <c r="B3" s="3085"/>
      <c r="C3" s="3085"/>
      <c r="D3" s="3085"/>
      <c r="E3" s="3085"/>
      <c r="F3" s="3085"/>
      <c r="G3" s="3085"/>
      <c r="H3" s="3085"/>
      <c r="I3" s="3085"/>
      <c r="J3" s="3085"/>
      <c r="K3" s="3085"/>
      <c r="L3" s="3085"/>
      <c r="M3" s="3086"/>
      <c r="N3" s="3079"/>
      <c r="O3" s="3087" t="s">
        <v>3011</v>
      </c>
      <c r="P3" s="3088"/>
      <c r="Q3" s="3088"/>
      <c r="R3" s="3089"/>
      <c r="S3" s="3090"/>
      <c r="T3" s="3090"/>
      <c r="U3" s="3090"/>
      <c r="V3" s="3080"/>
      <c r="W3" s="3080"/>
      <c r="X3" s="3080"/>
      <c r="Y3" s="3080"/>
      <c r="Z3" s="3080"/>
      <c r="AA3" s="3080"/>
      <c r="AB3" s="3080"/>
      <c r="AC3" s="3082"/>
      <c r="AD3" s="3080"/>
      <c r="AE3" s="3080"/>
      <c r="AF3" s="3080"/>
      <c r="AG3" s="3080"/>
      <c r="AH3" s="3080"/>
      <c r="AI3" s="3080"/>
      <c r="AJ3" s="3080"/>
      <c r="AK3" s="3080"/>
      <c r="AL3" s="3080"/>
      <c r="AM3" s="3080"/>
      <c r="AN3" s="3080"/>
      <c r="AO3" s="3080"/>
    </row>
    <row r="4" ht="15" customHeight="1">
      <c r="A4" s="3091">
        <f>HOps_3YrsBack</f>
        <v>2019</v>
      </c>
      <c r="B4" s="3092" t="s">
        <v>3012</v>
      </c>
      <c r="C4" s="3092" t="s">
        <v>3013</v>
      </c>
      <c r="D4" s="3092" t="s">
        <v>3013</v>
      </c>
      <c r="E4" s="3093"/>
      <c r="F4" s="3093"/>
      <c r="G4" s="3094" t="s">
        <v>3014</v>
      </c>
      <c r="H4" s="3095"/>
      <c r="I4" s="3094" t="s">
        <v>3014</v>
      </c>
      <c r="J4" s="3095"/>
      <c r="K4" s="3094" t="s">
        <v>3014</v>
      </c>
      <c r="L4" s="3093" t="s">
        <v>3015</v>
      </c>
      <c r="M4" s="3094" t="s">
        <v>3016</v>
      </c>
      <c r="N4" s="3096"/>
      <c r="O4" s="3097" t="s">
        <v>3017</v>
      </c>
      <c r="P4" s="3098" t="s">
        <v>1880</v>
      </c>
      <c r="Q4" s="3098" t="s">
        <v>3018</v>
      </c>
      <c r="R4" s="3099" t="s">
        <v>3019</v>
      </c>
      <c r="S4" s="3100"/>
      <c r="T4" s="3101"/>
      <c r="U4" s="3101"/>
      <c r="V4" s="3080"/>
      <c r="W4" s="3080"/>
      <c r="X4" s="3080"/>
      <c r="Y4" s="3080"/>
      <c r="Z4" s="3080"/>
      <c r="AA4" s="3080"/>
      <c r="AB4" s="3080"/>
      <c r="AC4" s="3082"/>
      <c r="AD4" s="3080"/>
      <c r="AE4" s="3080"/>
      <c r="AF4" s="3080"/>
      <c r="AG4" s="3080"/>
      <c r="AH4" s="3080"/>
      <c r="AI4" s="3080"/>
      <c r="AJ4" s="3080"/>
      <c r="AK4" s="3080"/>
      <c r="AL4" s="3080"/>
      <c r="AM4" s="3080"/>
      <c r="AN4" s="3080"/>
      <c r="AO4" s="3080"/>
    </row>
    <row r="5" ht="15" customHeight="1">
      <c r="A5" s="3102"/>
      <c r="B5" s="3103" t="s">
        <v>3020</v>
      </c>
      <c r="C5" s="3103" t="s">
        <v>3021</v>
      </c>
      <c r="D5" s="3103" t="s">
        <v>2679</v>
      </c>
      <c r="E5" s="3104" t="s">
        <v>3022</v>
      </c>
      <c r="F5" s="3104" t="s">
        <v>1742</v>
      </c>
      <c r="G5" s="3105" t="s">
        <v>3020</v>
      </c>
      <c r="H5" s="3106" t="s">
        <v>3023</v>
      </c>
      <c r="I5" s="3105" t="s">
        <v>3020</v>
      </c>
      <c r="J5" s="3106" t="s">
        <v>3024</v>
      </c>
      <c r="K5" s="3105" t="s">
        <v>3020</v>
      </c>
      <c r="L5" s="3106" t="s">
        <v>1248</v>
      </c>
      <c r="M5" s="3105" t="s">
        <v>3025</v>
      </c>
      <c r="N5" s="3096"/>
      <c r="O5" s="3106" t="s">
        <v>3026</v>
      </c>
      <c r="P5" s="3107" t="s">
        <v>3024</v>
      </c>
      <c r="Q5" s="3107" t="s">
        <v>1248</v>
      </c>
      <c r="R5" s="3108" t="s">
        <v>3025</v>
      </c>
      <c r="S5" s="3100"/>
      <c r="T5" s="3101"/>
      <c r="U5" s="3101"/>
      <c r="V5" s="3080"/>
      <c r="W5" s="3080"/>
      <c r="X5" s="3080"/>
      <c r="Y5" s="3080"/>
      <c r="Z5" s="3080"/>
      <c r="AA5" s="3080"/>
      <c r="AB5" s="3080"/>
      <c r="AC5" s="3082"/>
      <c r="AD5" s="3080"/>
      <c r="AE5" s="3080"/>
      <c r="AF5" s="3080"/>
      <c r="AG5" s="3080"/>
      <c r="AH5" s="3080"/>
      <c r="AI5" s="3080"/>
      <c r="AJ5" s="3080"/>
      <c r="AK5" s="3080"/>
      <c r="AL5" s="3080"/>
      <c r="AM5" s="3080"/>
      <c r="AN5" s="3080"/>
      <c r="AO5" s="3080"/>
    </row>
    <row r="6" ht="15" customHeight="1">
      <c r="A6" s="3109" t="s">
        <v>3027</v>
      </c>
      <c r="B6" s="3110">
        <f>SUMIF('OS Analysis'!$BM:$BM,'Fannie Historical Ops'!$B$5,'OS Analysis'!$BP:$BP)</f>
        <v>0</v>
      </c>
      <c r="C6" s="3110">
        <v>0</v>
      </c>
      <c r="D6" s="3110">
        <v>0</v>
      </c>
      <c r="E6" s="3111">
        <f t="shared" si="1" ref="E6:E70">SUM(B6:D6)</f>
        <v>0</v>
      </c>
      <c r="F6" s="3112">
        <f>SUMIF('OS Analysis'!$BM:$BM,'Fannie Historical Ops'!$B$6,'OS Analysis'!$BP:$BP)</f>
        <v>0</v>
      </c>
      <c r="G6" s="3113">
        <f t="shared" si="0" ref="G6:K70">IF($E6=0,0,(F6/$E6))</f>
        <v>0</v>
      </c>
      <c r="H6" s="3114">
        <f>SUMIF('OS Analysis'!$BM:$BM,"Less Concessions (income line item)",'OS Analysis'!$BP:$BP)-SUMIF('OS Analysis'!$BM:$BM,"Less Concessions (expense line item)",'OS Analysis'!$BP:$BP)</f>
        <v>0</v>
      </c>
      <c r="I6" s="3113">
        <f t="shared" si="0"/>
        <v>0</v>
      </c>
      <c r="J6" s="3114">
        <f>SUMIF('OS Analysis'!$BM:$BM,'Fannie Historical Ops'!$B$7,'OS Analysis'!$BP:$BP)</f>
        <v>0</v>
      </c>
      <c r="K6" s="3113">
        <f t="shared" si="0"/>
        <v>0</v>
      </c>
      <c r="L6" s="3115">
        <f t="shared" si="2" ref="L6:L70">IF(E6=0,0,100%+((F6+H6+J6)/E6))</f>
        <v>0</v>
      </c>
      <c r="M6" s="3111">
        <f t="shared" si="3" ref="M6:M70">SUM(E6+F6+H6+J6)</f>
        <v>0</v>
      </c>
      <c r="N6" s="3116"/>
      <c r="O6" s="3117">
        <v>0</v>
      </c>
      <c r="P6" s="3118"/>
      <c r="Q6" s="3119">
        <f t="shared" si="4" ref="Q6:Q70">IF(R6=0,0,R6/E6)</f>
        <v>0</v>
      </c>
      <c r="R6" s="3111">
        <f t="shared" si="5" ref="R6:R70">E6+F6+H6+IF(P6="",J6,P6)+O6</f>
        <v>0</v>
      </c>
      <c r="S6" s="3120"/>
      <c r="T6" s="3121"/>
      <c r="U6" s="3122"/>
      <c r="V6" s="3080"/>
      <c r="W6" s="3080"/>
      <c r="X6" s="3080"/>
      <c r="Y6" s="3080"/>
      <c r="Z6" s="3080"/>
      <c r="AA6" s="3080"/>
      <c r="AB6" s="3080"/>
      <c r="AC6" s="3082"/>
      <c r="AD6" s="3080"/>
      <c r="AE6" s="3080"/>
      <c r="AF6" s="3080"/>
      <c r="AG6" s="3080"/>
      <c r="AH6" s="3080"/>
      <c r="AI6" s="3080"/>
      <c r="AJ6" s="3080"/>
      <c r="AK6" s="3080"/>
      <c r="AL6" s="3080"/>
      <c r="AM6" s="3080"/>
      <c r="AN6" s="3080"/>
      <c r="AO6" s="3080"/>
    </row>
    <row r="7" ht="15" customHeight="1">
      <c r="A7" s="3109" t="s">
        <v>3028</v>
      </c>
      <c r="B7" s="3110">
        <f>SUMIF('OS Analysis'!$BM:$BM,'Fannie Historical Ops'!$B$5,'OS Analysis'!$BQ:$BQ)</f>
        <v>0</v>
      </c>
      <c r="C7" s="3110">
        <v>0</v>
      </c>
      <c r="D7" s="3110">
        <v>0</v>
      </c>
      <c r="E7" s="3111">
        <f t="shared" si="1"/>
        <v>0</v>
      </c>
      <c r="F7" s="3112">
        <f>SUMIF('OS Analysis'!$BM:$BM,'Fannie Historical Ops'!$B$6,'OS Analysis'!$BQ:$BQ)</f>
        <v>0</v>
      </c>
      <c r="G7" s="3113">
        <f t="shared" si="0"/>
        <v>0</v>
      </c>
      <c r="H7" s="3114">
        <f>SUMIF('OS Analysis'!$BM:$BM,"Less Concessions (income line item)",'OS Analysis'!$BQ:$BQ)-SUMIF('OS Analysis'!$BM:$BM,"Less Concessions (expense line item)",'OS Analysis'!$BQ:$BQ)</f>
        <v>0</v>
      </c>
      <c r="I7" s="3113">
        <f t="shared" si="0"/>
        <v>0</v>
      </c>
      <c r="J7" s="3114">
        <f>SUMIF('OS Analysis'!$BM:$BM,'Fannie Historical Ops'!$B$7,'OS Analysis'!$BQ:$BQ)</f>
        <v>0</v>
      </c>
      <c r="K7" s="3113">
        <f t="shared" si="0"/>
        <v>0</v>
      </c>
      <c r="L7" s="3115">
        <f t="shared" si="2"/>
        <v>0</v>
      </c>
      <c r="M7" s="3111">
        <f t="shared" si="3"/>
        <v>0</v>
      </c>
      <c r="N7" s="3116"/>
      <c r="O7" s="3117">
        <v>0</v>
      </c>
      <c r="P7" s="3118"/>
      <c r="Q7" s="3119">
        <f t="shared" si="4"/>
        <v>0</v>
      </c>
      <c r="R7" s="3111">
        <f t="shared" si="5"/>
        <v>0</v>
      </c>
      <c r="S7" s="3120"/>
      <c r="T7" s="3121"/>
      <c r="U7" s="3122"/>
      <c r="V7" s="3080"/>
      <c r="W7" s="3080"/>
      <c r="X7" s="3080"/>
      <c r="Y7" s="3080"/>
      <c r="Z7" s="3080"/>
      <c r="AA7" s="3080"/>
      <c r="AB7" s="3080"/>
      <c r="AC7" s="3082"/>
      <c r="AD7" s="3080"/>
      <c r="AE7" s="3080"/>
      <c r="AF7" s="3080"/>
      <c r="AG7" s="3080"/>
      <c r="AH7" s="3080"/>
      <c r="AI7" s="3080"/>
      <c r="AJ7" s="3080"/>
      <c r="AK7" s="3080"/>
      <c r="AL7" s="3080"/>
      <c r="AM7" s="3080"/>
      <c r="AN7" s="3080"/>
      <c r="AO7" s="3080"/>
    </row>
    <row r="8" ht="15" customHeight="1">
      <c r="A8" s="3109" t="s">
        <v>3029</v>
      </c>
      <c r="B8" s="3110">
        <f>SUMIF('OS Analysis'!$BM:$BM,'Fannie Historical Ops'!$B$5,'OS Analysis'!$BR:$BR)</f>
        <v>0</v>
      </c>
      <c r="C8" s="3110">
        <v>0</v>
      </c>
      <c r="D8" s="3110">
        <v>0</v>
      </c>
      <c r="E8" s="3111">
        <f t="shared" si="1"/>
        <v>0</v>
      </c>
      <c r="F8" s="3112">
        <f>SUMIF('OS Analysis'!$BM:$BM,'Fannie Historical Ops'!$B$6,'OS Analysis'!$BR:$BR)</f>
        <v>0</v>
      </c>
      <c r="G8" s="3113">
        <f t="shared" si="0"/>
        <v>0</v>
      </c>
      <c r="H8" s="3114">
        <f>SUMIF('OS Analysis'!$BM:$BM,"Less Concessions (income line item)",'OS Analysis'!$BR:$BR)-SUMIF('OS Analysis'!$BM:$BM,"Less Concessions (expense line item)",'OS Analysis'!$BR:$BR)</f>
        <v>0</v>
      </c>
      <c r="I8" s="3113">
        <f t="shared" si="0"/>
        <v>0</v>
      </c>
      <c r="J8" s="3114">
        <f>SUMIF('OS Analysis'!$BM:$BM,'Fannie Historical Ops'!$B$7,'OS Analysis'!$BR:$BR)</f>
        <v>0</v>
      </c>
      <c r="K8" s="3113">
        <f t="shared" si="0"/>
        <v>0</v>
      </c>
      <c r="L8" s="3115">
        <f t="shared" si="2"/>
        <v>0</v>
      </c>
      <c r="M8" s="3111">
        <f t="shared" si="3"/>
        <v>0</v>
      </c>
      <c r="N8" s="3116"/>
      <c r="O8" s="3117">
        <v>0</v>
      </c>
      <c r="P8" s="3118"/>
      <c r="Q8" s="3119">
        <f t="shared" si="4"/>
        <v>0</v>
      </c>
      <c r="R8" s="3111">
        <f t="shared" si="5"/>
        <v>0</v>
      </c>
      <c r="S8" s="3120"/>
      <c r="T8" s="3121"/>
      <c r="U8" s="3122"/>
      <c r="V8" s="3080"/>
      <c r="W8" s="3080"/>
      <c r="X8" s="3080"/>
      <c r="Y8" s="3080"/>
      <c r="Z8" s="3080"/>
      <c r="AA8" s="3080"/>
      <c r="AB8" s="3080"/>
      <c r="AC8" s="3082"/>
      <c r="AD8" s="3080"/>
      <c r="AE8" s="3080"/>
      <c r="AF8" s="3080"/>
      <c r="AG8" s="3080"/>
      <c r="AH8" s="3080"/>
      <c r="AI8" s="3080"/>
      <c r="AJ8" s="3080"/>
      <c r="AK8" s="3080"/>
      <c r="AL8" s="3080"/>
      <c r="AM8" s="3080"/>
      <c r="AN8" s="3080"/>
      <c r="AO8" s="3080"/>
    </row>
    <row r="9" ht="15" customHeight="1">
      <c r="A9" s="3109" t="s">
        <v>3030</v>
      </c>
      <c r="B9" s="3110">
        <f>SUMIF('OS Analysis'!$BM:$BM,'Fannie Historical Ops'!$B$5,'OS Analysis'!$BS:$BS)</f>
        <v>0</v>
      </c>
      <c r="C9" s="3110">
        <v>0</v>
      </c>
      <c r="D9" s="3110">
        <v>0</v>
      </c>
      <c r="E9" s="3111">
        <f t="shared" si="1"/>
        <v>0</v>
      </c>
      <c r="F9" s="3112">
        <f>SUMIF('OS Analysis'!$BM:$BM,'Fannie Historical Ops'!$B$6,'OS Analysis'!$BS:$BS)</f>
        <v>0</v>
      </c>
      <c r="G9" s="3113">
        <f t="shared" si="0"/>
        <v>0</v>
      </c>
      <c r="H9" s="3114">
        <f>SUMIF('OS Analysis'!$BM:$BM,"Less Concessions (income line item)",'OS Analysis'!$BS:$BS)-SUMIF('OS Analysis'!$BM:$BM,"Less Concessions (expense line item)",'OS Analysis'!$BS:$BS)</f>
        <v>0</v>
      </c>
      <c r="I9" s="3113">
        <f t="shared" si="0"/>
        <v>0</v>
      </c>
      <c r="J9" s="3114">
        <f>SUMIF('OS Analysis'!$BM:$BM,'Fannie Historical Ops'!$B$7,'OS Analysis'!$BS:$BS)</f>
        <v>0</v>
      </c>
      <c r="K9" s="3113">
        <f t="shared" si="0"/>
        <v>0</v>
      </c>
      <c r="L9" s="3115">
        <f t="shared" si="2"/>
        <v>0</v>
      </c>
      <c r="M9" s="3111">
        <f t="shared" si="3"/>
        <v>0</v>
      </c>
      <c r="N9" s="3116"/>
      <c r="O9" s="3117">
        <v>0</v>
      </c>
      <c r="P9" s="3118"/>
      <c r="Q9" s="3119">
        <f t="shared" si="4"/>
        <v>0</v>
      </c>
      <c r="R9" s="3111">
        <f t="shared" si="5"/>
        <v>0</v>
      </c>
      <c r="S9" s="3120"/>
      <c r="T9" s="3121"/>
      <c r="U9" s="3122"/>
      <c r="V9" s="3123"/>
      <c r="W9" s="3080"/>
      <c r="X9" s="3080"/>
      <c r="Y9" s="3080"/>
      <c r="Z9" s="3080"/>
      <c r="AA9" s="3080"/>
      <c r="AB9" s="3080"/>
      <c r="AC9" s="3082"/>
      <c r="AD9" s="3080"/>
      <c r="AE9" s="3080"/>
      <c r="AF9" s="3080"/>
      <c r="AG9" s="3080"/>
      <c r="AH9" s="3080"/>
      <c r="AI9" s="3080"/>
      <c r="AJ9" s="3080"/>
      <c r="AK9" s="3080"/>
      <c r="AL9" s="3080"/>
      <c r="AM9" s="3080"/>
      <c r="AN9" s="3080"/>
      <c r="AO9" s="3080"/>
    </row>
    <row r="10" ht="15" customHeight="1">
      <c r="A10" s="3109" t="s">
        <v>3031</v>
      </c>
      <c r="B10" s="3110">
        <f>SUMIF('OS Analysis'!$BM:$BM,'Fannie Historical Ops'!$B$5,'OS Analysis'!$BT:$BT)</f>
        <v>0</v>
      </c>
      <c r="C10" s="3110">
        <v>0</v>
      </c>
      <c r="D10" s="3110">
        <v>0</v>
      </c>
      <c r="E10" s="3111">
        <f t="shared" si="1"/>
        <v>0</v>
      </c>
      <c r="F10" s="3112">
        <f>SUMIF('OS Analysis'!$BM:$BM,'Fannie Historical Ops'!$B$6,'OS Analysis'!$BT:$BT)</f>
        <v>0</v>
      </c>
      <c r="G10" s="3113">
        <f t="shared" si="0"/>
        <v>0</v>
      </c>
      <c r="H10" s="3114">
        <f>SUMIF('OS Analysis'!$BM:$BM,"Less Concessions (income line item)",'OS Analysis'!$BT:$BT)-SUMIF('OS Analysis'!$BM:$BM,"Less Concessions (expense line item)",'OS Analysis'!$BT:$BT)</f>
        <v>0</v>
      </c>
      <c r="I10" s="3113">
        <f t="shared" si="0"/>
        <v>0</v>
      </c>
      <c r="J10" s="3114">
        <f>SUMIF('OS Analysis'!$BM:$BM,'Fannie Historical Ops'!$B$7,'OS Analysis'!$BT:$BT)</f>
        <v>0</v>
      </c>
      <c r="K10" s="3113">
        <f t="shared" si="0"/>
        <v>0</v>
      </c>
      <c r="L10" s="3115">
        <f t="shared" si="2"/>
        <v>0</v>
      </c>
      <c r="M10" s="3111">
        <f t="shared" si="3"/>
        <v>0</v>
      </c>
      <c r="N10" s="3116"/>
      <c r="O10" s="3117">
        <v>0</v>
      </c>
      <c r="P10" s="3118"/>
      <c r="Q10" s="3119">
        <f t="shared" si="4"/>
        <v>0</v>
      </c>
      <c r="R10" s="3111">
        <f t="shared" si="5"/>
        <v>0</v>
      </c>
      <c r="S10" s="3120"/>
      <c r="T10" s="3121"/>
      <c r="U10" s="3122"/>
      <c r="V10" s="3080"/>
      <c r="W10" s="3080"/>
      <c r="X10" s="3080"/>
      <c r="Y10" s="3080"/>
      <c r="Z10" s="3080"/>
      <c r="AA10" s="3080"/>
      <c r="AB10" s="3080"/>
      <c r="AC10" s="3082"/>
      <c r="AD10" s="3080"/>
      <c r="AE10" s="3080"/>
      <c r="AF10" s="3080"/>
      <c r="AG10" s="3080"/>
      <c r="AH10" s="3080"/>
      <c r="AI10" s="3080"/>
      <c r="AJ10" s="3080"/>
      <c r="AK10" s="3080"/>
      <c r="AL10" s="3080"/>
      <c r="AM10" s="3080"/>
      <c r="AN10" s="3080"/>
      <c r="AO10" s="3080"/>
    </row>
    <row r="11" ht="15" customHeight="1">
      <c r="A11" s="3109" t="s">
        <v>3032</v>
      </c>
      <c r="B11" s="3110">
        <f>SUMIF('OS Analysis'!$BM:$BM,'Fannie Historical Ops'!$B$5,'OS Analysis'!$BU:$BU)</f>
        <v>0</v>
      </c>
      <c r="C11" s="3110">
        <v>0</v>
      </c>
      <c r="D11" s="3110">
        <v>0</v>
      </c>
      <c r="E11" s="3111">
        <f t="shared" si="1"/>
        <v>0</v>
      </c>
      <c r="F11" s="3112">
        <f>SUMIF('OS Analysis'!$BM:$BM,'Fannie Historical Ops'!$B$6,'OS Analysis'!$BU:$BU)</f>
        <v>0</v>
      </c>
      <c r="G11" s="3113">
        <f t="shared" si="0"/>
        <v>0</v>
      </c>
      <c r="H11" s="3114">
        <f>SUMIF('OS Analysis'!$BM:$BM,"Less Concessions (income line item)",'OS Analysis'!$BU:$BU)-SUMIF('OS Analysis'!$BM:$BM,"Less Concessions (expense line item)",'OS Analysis'!$BU:$BU)</f>
        <v>0</v>
      </c>
      <c r="I11" s="3113">
        <f t="shared" si="0"/>
        <v>0</v>
      </c>
      <c r="J11" s="3114">
        <f>SUMIF('OS Analysis'!$BM:$BM,'Fannie Historical Ops'!$B$7,'OS Analysis'!$BU:$BU)</f>
        <v>0</v>
      </c>
      <c r="K11" s="3113">
        <f t="shared" si="0"/>
        <v>0</v>
      </c>
      <c r="L11" s="3115">
        <f t="shared" si="2"/>
        <v>0</v>
      </c>
      <c r="M11" s="3111">
        <f t="shared" si="3"/>
        <v>0</v>
      </c>
      <c r="N11" s="3116"/>
      <c r="O11" s="3117">
        <v>0</v>
      </c>
      <c r="P11" s="3118"/>
      <c r="Q11" s="3119">
        <f t="shared" si="4"/>
        <v>0</v>
      </c>
      <c r="R11" s="3111">
        <f t="shared" si="5"/>
        <v>0</v>
      </c>
      <c r="S11" s="3120"/>
      <c r="T11" s="3121"/>
      <c r="U11" s="3122"/>
      <c r="V11" s="3080"/>
      <c r="W11" s="3080"/>
      <c r="X11" s="3080"/>
      <c r="Y11" s="3080"/>
      <c r="Z11" s="3080"/>
      <c r="AA11" s="3080"/>
      <c r="AB11" s="3080"/>
      <c r="AC11" s="3082"/>
      <c r="AD11" s="3080"/>
      <c r="AE11" s="3080"/>
      <c r="AF11" s="3080"/>
      <c r="AG11" s="3080"/>
      <c r="AH11" s="3080"/>
      <c r="AI11" s="3080"/>
      <c r="AJ11" s="3080"/>
      <c r="AK11" s="3080"/>
      <c r="AL11" s="3080"/>
      <c r="AM11" s="3080"/>
      <c r="AN11" s="3080"/>
      <c r="AO11" s="3080"/>
    </row>
    <row r="12" ht="15" customHeight="1">
      <c r="A12" s="3109" t="s">
        <v>3033</v>
      </c>
      <c r="B12" s="3110">
        <f>SUMIF('OS Analysis'!$BM:$BM,'Fannie Historical Ops'!$B$5,'OS Analysis'!$BV:$BV)</f>
        <v>0</v>
      </c>
      <c r="C12" s="3110">
        <v>0</v>
      </c>
      <c r="D12" s="3110">
        <v>0</v>
      </c>
      <c r="E12" s="3111">
        <f t="shared" si="1"/>
        <v>0</v>
      </c>
      <c r="F12" s="3112">
        <f>SUMIF('OS Analysis'!$BM:$BM,'Fannie Historical Ops'!$B$6,'OS Analysis'!$BV:$BV)</f>
        <v>0</v>
      </c>
      <c r="G12" s="3113">
        <f t="shared" si="0"/>
        <v>0</v>
      </c>
      <c r="H12" s="3114">
        <f>SUMIF('OS Analysis'!$BM:$BM,"Less Concessions (income line item)",'OS Analysis'!$BV:$BV)-SUMIF('OS Analysis'!$BM:$BM,"Less Concessions (expense line item)",'OS Analysis'!$BV:$BV)</f>
        <v>0</v>
      </c>
      <c r="I12" s="3113">
        <f t="shared" si="0"/>
        <v>0</v>
      </c>
      <c r="J12" s="3114">
        <f>SUMIF('OS Analysis'!$BM:$BM,'Fannie Historical Ops'!$B$7,'OS Analysis'!$BV:$BV)</f>
        <v>0</v>
      </c>
      <c r="K12" s="3113">
        <f t="shared" si="0"/>
        <v>0</v>
      </c>
      <c r="L12" s="3115">
        <f t="shared" si="2"/>
        <v>0</v>
      </c>
      <c r="M12" s="3111">
        <f t="shared" si="3"/>
        <v>0</v>
      </c>
      <c r="N12" s="3116"/>
      <c r="O12" s="3117">
        <v>0</v>
      </c>
      <c r="P12" s="3118"/>
      <c r="Q12" s="3119">
        <f t="shared" si="4"/>
        <v>0</v>
      </c>
      <c r="R12" s="3111">
        <f t="shared" si="5"/>
        <v>0</v>
      </c>
      <c r="S12" s="3120"/>
      <c r="T12" s="3121"/>
      <c r="U12" s="3122"/>
      <c r="V12" s="3080"/>
      <c r="W12" s="3080"/>
      <c r="X12" s="3080"/>
      <c r="Y12" s="3080"/>
      <c r="Z12" s="3080"/>
      <c r="AA12" s="3080"/>
      <c r="AB12" s="3080"/>
      <c r="AC12" s="3082"/>
      <c r="AD12" s="3080"/>
      <c r="AE12" s="3080"/>
      <c r="AF12" s="3080"/>
      <c r="AG12" s="3080"/>
      <c r="AH12" s="3080"/>
      <c r="AI12" s="3080"/>
      <c r="AJ12" s="3080"/>
      <c r="AK12" s="3080"/>
      <c r="AL12" s="3080"/>
      <c r="AM12" s="3080"/>
      <c r="AN12" s="3080"/>
      <c r="AO12" s="3080"/>
    </row>
    <row r="13" ht="15" customHeight="1">
      <c r="A13" s="3109" t="s">
        <v>3034</v>
      </c>
      <c r="B13" s="3110">
        <f>SUMIF('OS Analysis'!$BM:$BM,'Fannie Historical Ops'!$B$5,'OS Analysis'!$BW:$BW)</f>
        <v>0</v>
      </c>
      <c r="C13" s="3110">
        <v>0</v>
      </c>
      <c r="D13" s="3110">
        <v>0</v>
      </c>
      <c r="E13" s="3111">
        <f t="shared" si="1"/>
        <v>0</v>
      </c>
      <c r="F13" s="3112">
        <f>SUMIF('OS Analysis'!$BM:$BM,'Fannie Historical Ops'!$B$6,'OS Analysis'!$BW:$BW)</f>
        <v>0</v>
      </c>
      <c r="G13" s="3113">
        <f t="shared" si="0"/>
        <v>0</v>
      </c>
      <c r="H13" s="3114">
        <f>SUMIF('OS Analysis'!$BM:$BM,"Less Concessions (income line item)",'OS Analysis'!$BW:$BW)-SUMIF('OS Analysis'!$BM:$BM,"Less Concessions (expense line item)",'OS Analysis'!$BW:$BW)</f>
        <v>0</v>
      </c>
      <c r="I13" s="3113">
        <f t="shared" si="0"/>
        <v>0</v>
      </c>
      <c r="J13" s="3114">
        <f>SUMIF('OS Analysis'!$BM:$BM,'Fannie Historical Ops'!$B$7,'OS Analysis'!$BW:$BW)</f>
        <v>0</v>
      </c>
      <c r="K13" s="3113">
        <f t="shared" si="0"/>
        <v>0</v>
      </c>
      <c r="L13" s="3115">
        <f t="shared" si="2"/>
        <v>0</v>
      </c>
      <c r="M13" s="3111">
        <f t="shared" si="3"/>
        <v>0</v>
      </c>
      <c r="N13" s="3116"/>
      <c r="O13" s="3117">
        <v>0</v>
      </c>
      <c r="P13" s="3118"/>
      <c r="Q13" s="3119">
        <f t="shared" si="4"/>
        <v>0</v>
      </c>
      <c r="R13" s="3111">
        <f t="shared" si="5"/>
        <v>0</v>
      </c>
      <c r="S13" s="3120"/>
      <c r="T13" s="3121"/>
      <c r="U13" s="3122"/>
      <c r="V13" s="3080"/>
      <c r="W13" s="3080"/>
      <c r="X13" s="3080"/>
      <c r="Y13" s="3080"/>
      <c r="Z13" s="3080"/>
      <c r="AA13" s="3080"/>
      <c r="AB13" s="3080"/>
      <c r="AC13" s="3082"/>
      <c r="AD13" s="3080"/>
      <c r="AE13" s="3080"/>
      <c r="AF13" s="3080"/>
      <c r="AG13" s="3080"/>
      <c r="AH13" s="3080"/>
      <c r="AI13" s="3080"/>
      <c r="AJ13" s="3080"/>
      <c r="AK13" s="3080"/>
      <c r="AL13" s="3080"/>
      <c r="AM13" s="3080"/>
      <c r="AN13" s="3080"/>
      <c r="AO13" s="3080"/>
    </row>
    <row r="14" ht="15" customHeight="1">
      <c r="A14" s="3109" t="s">
        <v>3035</v>
      </c>
      <c r="B14" s="3110">
        <f>SUMIF('OS Analysis'!$BM:$BM,'Fannie Historical Ops'!$B$5,'OS Analysis'!$BX:$BX)</f>
        <v>0</v>
      </c>
      <c r="C14" s="3110">
        <v>0</v>
      </c>
      <c r="D14" s="3110">
        <v>0</v>
      </c>
      <c r="E14" s="3111">
        <f t="shared" si="1"/>
        <v>0</v>
      </c>
      <c r="F14" s="3112">
        <f>SUMIF('OS Analysis'!$BM:$BM,'Fannie Historical Ops'!$B$6,'OS Analysis'!$BX:$BX)</f>
        <v>0</v>
      </c>
      <c r="G14" s="3113">
        <f t="shared" si="0"/>
        <v>0</v>
      </c>
      <c r="H14" s="3114">
        <f>SUMIF('OS Analysis'!$BM:$BM,"Less Concessions (income line item)",'OS Analysis'!$BX:$BX)-SUMIF('OS Analysis'!$BM:$BM,"Less Concessions (expense line item)",'OS Analysis'!$BX:$BX)</f>
        <v>0</v>
      </c>
      <c r="I14" s="3113">
        <f t="shared" si="0"/>
        <v>0</v>
      </c>
      <c r="J14" s="3114">
        <f>SUMIF('OS Analysis'!$BM:$BM,'Fannie Historical Ops'!$B$7,'OS Analysis'!$BX:$BX)</f>
        <v>0</v>
      </c>
      <c r="K14" s="3113">
        <f t="shared" si="0"/>
        <v>0</v>
      </c>
      <c r="L14" s="3115">
        <f t="shared" si="2"/>
        <v>0</v>
      </c>
      <c r="M14" s="3111">
        <f t="shared" si="3"/>
        <v>0</v>
      </c>
      <c r="N14" s="3116"/>
      <c r="O14" s="3117">
        <v>0</v>
      </c>
      <c r="P14" s="3118"/>
      <c r="Q14" s="3119">
        <f t="shared" si="4"/>
        <v>0</v>
      </c>
      <c r="R14" s="3111">
        <f t="shared" si="5"/>
        <v>0</v>
      </c>
      <c r="S14" s="3120"/>
      <c r="T14" s="3121"/>
      <c r="U14" s="3122"/>
      <c r="V14" s="3080"/>
      <c r="W14" s="3080"/>
      <c r="X14" s="3080"/>
      <c r="Y14" s="3080"/>
      <c r="Z14" s="3080"/>
      <c r="AA14" s="3080"/>
      <c r="AB14" s="3080"/>
      <c r="AC14" s="3082"/>
      <c r="AD14" s="3080"/>
      <c r="AE14" s="3080"/>
      <c r="AF14" s="3080"/>
      <c r="AG14" s="3080"/>
      <c r="AH14" s="3080"/>
      <c r="AI14" s="3080"/>
      <c r="AJ14" s="3080"/>
      <c r="AK14" s="3080"/>
      <c r="AL14" s="3080"/>
      <c r="AM14" s="3080"/>
      <c r="AN14" s="3080"/>
      <c r="AO14" s="3080"/>
    </row>
    <row r="15" ht="15" customHeight="1">
      <c r="A15" s="3109" t="s">
        <v>3036</v>
      </c>
      <c r="B15" s="3110">
        <f>SUMIF('OS Analysis'!$BM:$BM,'Fannie Historical Ops'!$B$5,'OS Analysis'!$BY:$BY)</f>
        <v>0</v>
      </c>
      <c r="C15" s="3110">
        <v>0</v>
      </c>
      <c r="D15" s="3110">
        <v>0</v>
      </c>
      <c r="E15" s="3111">
        <f t="shared" si="1"/>
        <v>0</v>
      </c>
      <c r="F15" s="3112">
        <f>SUMIF('OS Analysis'!$BM:$BM,'Fannie Historical Ops'!$B$6,'OS Analysis'!$BY:$BY)</f>
        <v>0</v>
      </c>
      <c r="G15" s="3113">
        <f t="shared" si="0"/>
        <v>0</v>
      </c>
      <c r="H15" s="3114">
        <f>SUMIF('OS Analysis'!$BM:$BM,"Less Concessions (income line item)",'OS Analysis'!$BY:$BY)-SUMIF('OS Analysis'!$BM:$BM,"Less Concessions (expense line item)",'OS Analysis'!$BY:$BY)</f>
        <v>0</v>
      </c>
      <c r="I15" s="3113">
        <f t="shared" si="0"/>
        <v>0</v>
      </c>
      <c r="J15" s="3114">
        <f>SUMIF('OS Analysis'!$BM:$BM,'Fannie Historical Ops'!$B$7,'OS Analysis'!$BY:$BY)</f>
        <v>0</v>
      </c>
      <c r="K15" s="3113">
        <f t="shared" si="0"/>
        <v>0</v>
      </c>
      <c r="L15" s="3115">
        <f t="shared" si="2"/>
        <v>0</v>
      </c>
      <c r="M15" s="3111">
        <f t="shared" si="3"/>
        <v>0</v>
      </c>
      <c r="N15" s="3116"/>
      <c r="O15" s="3117">
        <v>0</v>
      </c>
      <c r="P15" s="3118"/>
      <c r="Q15" s="3119">
        <f t="shared" si="4"/>
        <v>0</v>
      </c>
      <c r="R15" s="3111">
        <f t="shared" si="5"/>
        <v>0</v>
      </c>
      <c r="S15" s="3120"/>
      <c r="T15" s="3121"/>
      <c r="U15" s="3122"/>
      <c r="V15" s="3080"/>
      <c r="W15" s="3080"/>
      <c r="X15" s="3080"/>
      <c r="Y15" s="3080"/>
      <c r="Z15" s="3080"/>
      <c r="AA15" s="3080"/>
      <c r="AB15" s="3080"/>
      <c r="AC15" s="3082"/>
      <c r="AD15" s="3080"/>
      <c r="AE15" s="3080"/>
      <c r="AF15" s="3080"/>
      <c r="AG15" s="3080"/>
      <c r="AH15" s="3080"/>
      <c r="AI15" s="3080"/>
      <c r="AJ15" s="3080"/>
      <c r="AK15" s="3080"/>
      <c r="AL15" s="3080"/>
      <c r="AM15" s="3080"/>
      <c r="AN15" s="3080"/>
      <c r="AO15" s="3080"/>
    </row>
    <row r="16" ht="15" customHeight="1">
      <c r="A16" s="3109" t="s">
        <v>3037</v>
      </c>
      <c r="B16" s="3110">
        <f>SUMIF('OS Analysis'!$BM:$BM,'Fannie Historical Ops'!$B$5,'OS Analysis'!$BZ:$BZ)</f>
        <v>0</v>
      </c>
      <c r="C16" s="3110">
        <v>0</v>
      </c>
      <c r="D16" s="3110">
        <v>0</v>
      </c>
      <c r="E16" s="3111">
        <f t="shared" si="1"/>
        <v>0</v>
      </c>
      <c r="F16" s="3112">
        <f>SUMIF('OS Analysis'!$BM:$BM,'Fannie Historical Ops'!$B$6,'OS Analysis'!$BZ:$BZ)</f>
        <v>0</v>
      </c>
      <c r="G16" s="3113">
        <f t="shared" si="0"/>
        <v>0</v>
      </c>
      <c r="H16" s="3114">
        <f>SUMIF('OS Analysis'!$BM:$BM,"Less Concessions (income line item)",'OS Analysis'!$BZ:$BZ)-SUMIF('OS Analysis'!$BM:$BM,"Less Concessions (expense line item)",'OS Analysis'!$BZ:$BZ)</f>
        <v>0</v>
      </c>
      <c r="I16" s="3113">
        <f t="shared" si="0"/>
        <v>0</v>
      </c>
      <c r="J16" s="3114">
        <f>SUMIF('OS Analysis'!$BM:$BM,'Fannie Historical Ops'!$B$7,'OS Analysis'!$BZ:$BZ)</f>
        <v>0</v>
      </c>
      <c r="K16" s="3113">
        <f t="shared" si="0"/>
        <v>0</v>
      </c>
      <c r="L16" s="3115">
        <f t="shared" si="2"/>
        <v>0</v>
      </c>
      <c r="M16" s="3111">
        <f t="shared" si="3"/>
        <v>0</v>
      </c>
      <c r="N16" s="3116"/>
      <c r="O16" s="3117">
        <v>0</v>
      </c>
      <c r="P16" s="3118"/>
      <c r="Q16" s="3119">
        <f t="shared" si="4"/>
        <v>0</v>
      </c>
      <c r="R16" s="3111">
        <f t="shared" si="5"/>
        <v>0</v>
      </c>
      <c r="S16" s="3120"/>
      <c r="T16" s="3121"/>
      <c r="U16" s="3122"/>
      <c r="V16" s="3080"/>
      <c r="W16" s="3080"/>
      <c r="X16" s="3080"/>
      <c r="Y16" s="3080"/>
      <c r="Z16" s="3080"/>
      <c r="AA16" s="3080"/>
      <c r="AB16" s="3080"/>
      <c r="AC16" s="3082"/>
      <c r="AD16" s="3080"/>
      <c r="AE16" s="3080"/>
      <c r="AF16" s="3080"/>
      <c r="AG16" s="3080"/>
      <c r="AH16" s="3080"/>
      <c r="AI16" s="3080"/>
      <c r="AJ16" s="3080"/>
      <c r="AK16" s="3080"/>
      <c r="AL16" s="3080"/>
      <c r="AM16" s="3080"/>
      <c r="AN16" s="3080"/>
      <c r="AO16" s="3080"/>
    </row>
    <row r="17" ht="15.75" customHeight="1">
      <c r="A17" s="3124" t="s">
        <v>3038</v>
      </c>
      <c r="B17" s="3110">
        <f>SUMIF('OS Analysis'!$BM:$BM,'Fannie Historical Ops'!$B$5,'OS Analysis'!$CA:$CA)</f>
        <v>0</v>
      </c>
      <c r="C17" s="3125">
        <v>0</v>
      </c>
      <c r="D17" s="3125">
        <v>0</v>
      </c>
      <c r="E17" s="3126">
        <f t="shared" si="1"/>
        <v>0</v>
      </c>
      <c r="F17" s="3127">
        <f>SUMIF('OS Analysis'!$BM:$BM,'Fannie Historical Ops'!$B$6,'OS Analysis'!$CA:$CA)</f>
        <v>0</v>
      </c>
      <c r="G17" s="3128">
        <f t="shared" si="0"/>
        <v>0</v>
      </c>
      <c r="H17" s="3129">
        <f>SUMIF('OS Analysis'!$BM:$BM,"Less Concessions (income line item)",'OS Analysis'!$CA:$CA)-SUMIF('OS Analysis'!$BM:$BM,"Less Concessions (expense line item)",'OS Analysis'!$CA:$CA)</f>
        <v>0</v>
      </c>
      <c r="I17" s="3128">
        <f t="shared" si="0"/>
        <v>0</v>
      </c>
      <c r="J17" s="3129">
        <f>SUMIF('OS Analysis'!$BM:$BM,'Fannie Historical Ops'!$B$7,'OS Analysis'!$CA:$CA)</f>
        <v>0</v>
      </c>
      <c r="K17" s="3128">
        <f t="shared" si="0"/>
        <v>0</v>
      </c>
      <c r="L17" s="3115">
        <f t="shared" si="2"/>
        <v>0</v>
      </c>
      <c r="M17" s="3126">
        <f t="shared" si="3"/>
        <v>0</v>
      </c>
      <c r="N17" s="3116"/>
      <c r="O17" s="3130">
        <v>0</v>
      </c>
      <c r="P17" s="3131"/>
      <c r="Q17" s="3132">
        <f t="shared" si="4"/>
        <v>0</v>
      </c>
      <c r="R17" s="3126">
        <f t="shared" si="5"/>
        <v>0</v>
      </c>
      <c r="S17" s="3133"/>
      <c r="T17" s="3121"/>
      <c r="U17" s="3122"/>
      <c r="V17" s="3080"/>
      <c r="W17" s="3080"/>
      <c r="X17" s="3080"/>
      <c r="Y17" s="3080"/>
      <c r="Z17" s="3080"/>
      <c r="AA17" s="3080"/>
      <c r="AB17" s="3080"/>
      <c r="AC17" s="3082"/>
      <c r="AD17" s="3080"/>
      <c r="AE17" s="3080"/>
      <c r="AF17" s="3080"/>
      <c r="AG17" s="3080"/>
      <c r="AH17" s="3080"/>
      <c r="AI17" s="3080"/>
      <c r="AJ17" s="3080"/>
      <c r="AK17" s="3080"/>
      <c r="AL17" s="3080"/>
      <c r="AM17" s="3080"/>
      <c r="AN17" s="3080"/>
      <c r="AO17" s="3080"/>
    </row>
    <row r="18" ht="15.75" customHeight="1">
      <c r="A18" s="3134" t="s">
        <v>2968</v>
      </c>
      <c r="B18" s="3135">
        <f t="shared" si="6" ref="B18:O70">SUM(B6:B17)</f>
        <v>0</v>
      </c>
      <c r="C18" s="3135">
        <f t="shared" si="6"/>
        <v>0</v>
      </c>
      <c r="D18" s="3135">
        <f t="shared" si="6"/>
        <v>0</v>
      </c>
      <c r="E18" s="3135">
        <f t="shared" si="1"/>
        <v>0</v>
      </c>
      <c r="F18" s="3135">
        <f t="shared" si="6"/>
        <v>0</v>
      </c>
      <c r="G18" s="3136">
        <f t="shared" si="0"/>
        <v>0</v>
      </c>
      <c r="H18" s="3135">
        <f t="shared" si="6"/>
        <v>0</v>
      </c>
      <c r="I18" s="3136">
        <f t="shared" si="0"/>
        <v>0</v>
      </c>
      <c r="J18" s="3135">
        <f t="shared" si="6"/>
        <v>0</v>
      </c>
      <c r="K18" s="3136">
        <f t="shared" si="0"/>
        <v>0</v>
      </c>
      <c r="L18" s="3137">
        <f t="shared" si="2"/>
        <v>0</v>
      </c>
      <c r="M18" s="3135">
        <f t="shared" si="3"/>
        <v>0</v>
      </c>
      <c r="N18" s="3138"/>
      <c r="O18" s="3135">
        <f t="shared" si="6"/>
        <v>0</v>
      </c>
      <c r="P18" s="3139">
        <f t="shared" si="8" ref="P18:P70">IF(COUNTIF(P6:P17,"")=12,"",SUM(P6:P17))</f>
      </c>
      <c r="Q18" s="3140">
        <f t="shared" si="4"/>
        <v>0</v>
      </c>
      <c r="R18" s="3135">
        <f t="shared" si="5"/>
        <v>0</v>
      </c>
      <c r="S18" s="3120"/>
      <c r="T18" s="3141"/>
      <c r="U18" s="3141"/>
      <c r="V18" s="3080"/>
      <c r="W18" s="3080"/>
      <c r="X18" s="3080"/>
      <c r="Y18" s="3080"/>
      <c r="Z18" s="3080"/>
      <c r="AA18" s="3080"/>
      <c r="AB18" s="3080"/>
      <c r="AC18" s="3082"/>
      <c r="AD18" s="3080"/>
      <c r="AE18" s="3080"/>
      <c r="AF18" s="3080"/>
      <c r="AG18" s="3080"/>
      <c r="AH18" s="3080"/>
      <c r="AI18" s="3080"/>
      <c r="AJ18" s="3080"/>
      <c r="AK18" s="3080"/>
      <c r="AL18" s="3080"/>
      <c r="AM18" s="3080"/>
      <c r="AN18" s="3080"/>
      <c r="AO18" s="3080"/>
    </row>
    <row r="19" ht="15" customHeight="1">
      <c r="A19" s="3142"/>
      <c r="B19" s="3143">
        <f>'Fannie Historical Ops'!D5</f>
        <v>0</v>
      </c>
      <c r="C19" s="3144"/>
      <c r="D19" s="3144"/>
      <c r="E19" s="3145"/>
      <c r="F19" s="3143">
        <f>'Fannie Historical Ops'!D6</f>
        <v>0</v>
      </c>
      <c r="G19" s="3146"/>
      <c r="H19" s="3143">
        <f>'Fannie Historical Ops'!D8</f>
        <v>0</v>
      </c>
      <c r="I19" s="3146"/>
      <c r="J19" s="3143">
        <f>'Fannie Historical Ops'!D7</f>
        <v>0</v>
      </c>
      <c r="K19" s="3147"/>
      <c r="L19" s="3147"/>
      <c r="M19" s="3148"/>
      <c r="N19" s="3149"/>
      <c r="O19" s="3150"/>
      <c r="P19" s="3151"/>
      <c r="Q19" s="3152"/>
      <c r="R19" s="3150"/>
      <c r="S19" s="3149"/>
      <c r="T19" s="3150"/>
      <c r="U19" s="3150"/>
      <c r="V19" s="3080"/>
      <c r="W19" s="3080"/>
      <c r="X19" s="3080"/>
      <c r="Y19" s="3080"/>
      <c r="Z19" s="3080"/>
      <c r="AA19" s="3080"/>
      <c r="AB19" s="3080"/>
      <c r="AC19" s="3082"/>
      <c r="AD19" s="3080"/>
      <c r="AE19" s="3080"/>
      <c r="AF19" s="3080"/>
      <c r="AG19" s="3080"/>
      <c r="AH19" s="3080"/>
      <c r="AI19" s="3080"/>
      <c r="AJ19" s="3080"/>
      <c r="AK19" s="3080"/>
      <c r="AL19" s="3080"/>
      <c r="AM19" s="3080"/>
      <c r="AN19" s="3080"/>
      <c r="AO19" s="3080"/>
    </row>
    <row r="20" ht="15" customHeight="1">
      <c r="A20" s="3153">
        <f>HOps_2YrsBack</f>
        <v>2020</v>
      </c>
      <c r="B20" s="3154" t="str">
        <f t="shared" si="7" ref="B20:R185">B4</f>
        <v>Report</v>
      </c>
      <c r="C20" s="3154" t="str">
        <f t="shared" si="7"/>
        <v>Add Back</v>
      </c>
      <c r="D20" s="3154" t="str">
        <f t="shared" si="7"/>
        <v>Add Back</v>
      </c>
      <c r="E20" s="3155"/>
      <c r="F20" s="3155"/>
      <c r="G20" s="3156" t="s">
        <v>3014</v>
      </c>
      <c r="H20" s="3157"/>
      <c r="I20" s="3156" t="str">
        <f t="shared" si="7"/>
        <v>% of </v>
      </c>
      <c r="J20" s="3157"/>
      <c r="K20" s="3156" t="str">
        <f t="shared" si="7"/>
        <v>% of </v>
      </c>
      <c r="L20" s="3155" t="str">
        <f t="shared" si="7"/>
        <v>Economic</v>
      </c>
      <c r="M20" s="3156" t="str">
        <f t="shared" si="7"/>
        <v>Net Rental</v>
      </c>
      <c r="N20" s="3096"/>
      <c r="O20" s="3097" t="str">
        <f t="shared" si="7"/>
        <v>"X"</v>
      </c>
      <c r="P20" s="3098" t="str">
        <f t="shared" si="7"/>
        <v>Adjusted</v>
      </c>
      <c r="Q20" s="3098" t="str">
        <f t="shared" si="7"/>
        <v>Adj. Economic</v>
      </c>
      <c r="R20" s="3099" t="str">
        <f t="shared" si="7"/>
        <v>Adjusted NRI</v>
      </c>
      <c r="S20" s="3100"/>
      <c r="T20" s="3101"/>
      <c r="U20" s="3158"/>
      <c r="V20" s="3080"/>
      <c r="W20" s="3080"/>
      <c r="X20" s="3080"/>
      <c r="Y20" s="3080"/>
      <c r="Z20" s="3080"/>
      <c r="AA20" s="3080"/>
      <c r="AB20" s="3080"/>
      <c r="AC20" s="3082"/>
      <c r="AD20" s="3080"/>
      <c r="AE20" s="3080"/>
      <c r="AF20" s="3080"/>
      <c r="AG20" s="3080"/>
      <c r="AH20" s="3080"/>
      <c r="AI20" s="3080"/>
      <c r="AJ20" s="3080"/>
      <c r="AK20" s="3080"/>
      <c r="AL20" s="3080"/>
      <c r="AM20" s="3080"/>
      <c r="AN20" s="3080"/>
      <c r="AO20" s="3080"/>
    </row>
    <row r="21" ht="15" customHeight="1">
      <c r="A21" s="3159"/>
      <c r="B21" s="3103" t="str">
        <f t="shared" si="7"/>
        <v>GPR</v>
      </c>
      <c r="C21" s="3103" t="str">
        <f t="shared" si="7"/>
        <v>Model/Office</v>
      </c>
      <c r="D21" s="3103" t="str">
        <f t="shared" si="7"/>
        <v>Employee</v>
      </c>
      <c r="E21" s="3104" t="str">
        <f>B5</f>
        <v>GPR</v>
      </c>
      <c r="F21" s="3104" t="str">
        <f t="shared" si="7"/>
        <v>Vacancy</v>
      </c>
      <c r="G21" s="3105" t="s">
        <v>3020</v>
      </c>
      <c r="H21" s="3106" t="str">
        <f t="shared" si="7"/>
        <v>Concessions</v>
      </c>
      <c r="I21" s="3105" t="str">
        <f t="shared" si="7"/>
        <v>GPR</v>
      </c>
      <c r="J21" s="3106" t="str">
        <f t="shared" si="7"/>
        <v>Bad Debt</v>
      </c>
      <c r="K21" s="3105" t="str">
        <f t="shared" si="7"/>
        <v>GPR</v>
      </c>
      <c r="L21" s="3106" t="str">
        <f t="shared" si="7"/>
        <v>Occupancy</v>
      </c>
      <c r="M21" s="3105" t="str">
        <f t="shared" si="7"/>
        <v>Collections</v>
      </c>
      <c r="N21" s="3096"/>
      <c r="O21" s="3106" t="str">
        <f t="shared" si="7"/>
        <v>Adjustment</v>
      </c>
      <c r="P21" s="3107" t="str">
        <f t="shared" si="7"/>
        <v>Bad Debt</v>
      </c>
      <c r="Q21" s="3107" t="str">
        <f t="shared" si="7"/>
        <v>Occupancy</v>
      </c>
      <c r="R21" s="3108" t="str">
        <f t="shared" si="7"/>
        <v>Collections</v>
      </c>
      <c r="S21" s="3100"/>
      <c r="T21" s="3101"/>
      <c r="U21" s="3158"/>
      <c r="V21" s="3080"/>
      <c r="W21" s="3080"/>
      <c r="X21" s="3080"/>
      <c r="Y21" s="3080"/>
      <c r="Z21" s="3080"/>
      <c r="AA21" s="3080"/>
      <c r="AB21" s="3080"/>
      <c r="AC21" s="3082"/>
      <c r="AD21" s="3080"/>
      <c r="AE21" s="3080"/>
      <c r="AF21" s="3080"/>
      <c r="AG21" s="3080"/>
      <c r="AH21" s="3080"/>
      <c r="AI21" s="3080"/>
      <c r="AJ21" s="3080"/>
      <c r="AK21" s="3080"/>
      <c r="AL21" s="3080"/>
      <c r="AM21" s="3080"/>
      <c r="AN21" s="3080"/>
      <c r="AO21" s="3080"/>
    </row>
    <row r="22" ht="15" customHeight="1">
      <c r="A22" s="3109" t="s">
        <v>3027</v>
      </c>
      <c r="B22" s="3110">
        <f>SUMIF('OS Analysis'!$AV:$AV,'Fannie Historical Ops'!$B$5,'OS Analysis'!$AY:$AY)</f>
        <v>0</v>
      </c>
      <c r="C22" s="3110">
        <v>0</v>
      </c>
      <c r="D22" s="3110">
        <v>0</v>
      </c>
      <c r="E22" s="3111">
        <f t="shared" si="1"/>
        <v>0</v>
      </c>
      <c r="F22" s="3112">
        <f>SUMIF('OS Analysis'!$AV:$AV,'Fannie Historical Ops'!$B$6,'OS Analysis'!$AY:$AY)</f>
        <v>0</v>
      </c>
      <c r="G22" s="3113">
        <f t="shared" si="0"/>
        <v>0</v>
      </c>
      <c r="H22" s="3114">
        <f>SUMIF('OS Analysis'!$AV:$AV,"Less Concessions (income line item)",'OS Analysis'!$AY:$AY)-SUMIF('OS Analysis'!$AV:$AV,"Less Concessions (expense line item)",'OS Analysis'!$AY:$AY)</f>
        <v>0</v>
      </c>
      <c r="I22" s="3113">
        <f t="shared" si="0"/>
        <v>0</v>
      </c>
      <c r="J22" s="3114">
        <f>SUMIF('OS Analysis'!$AV:$AV,'Fannie Historical Ops'!$B$7,'OS Analysis'!$AY:$AY)</f>
        <v>0</v>
      </c>
      <c r="K22" s="3113">
        <f t="shared" si="0"/>
        <v>0</v>
      </c>
      <c r="L22" s="3115">
        <f t="shared" si="2"/>
        <v>0</v>
      </c>
      <c r="M22" s="3111">
        <f t="shared" si="3"/>
        <v>0</v>
      </c>
      <c r="N22" s="3116"/>
      <c r="O22" s="3117">
        <v>0</v>
      </c>
      <c r="P22" s="3118"/>
      <c r="Q22" s="3119">
        <f t="shared" si="4"/>
        <v>0</v>
      </c>
      <c r="R22" s="3111">
        <f t="shared" si="5"/>
        <v>0</v>
      </c>
      <c r="S22" s="3120"/>
      <c r="T22" s="3160"/>
      <c r="U22" s="3141"/>
      <c r="V22" s="3080"/>
      <c r="W22" s="3080"/>
      <c r="X22" s="3080"/>
      <c r="Y22" s="3080"/>
      <c r="Z22" s="3080"/>
      <c r="AA22" s="3080"/>
      <c r="AB22" s="3080"/>
      <c r="AC22" s="3082"/>
      <c r="AD22" s="3080"/>
      <c r="AE22" s="3080"/>
      <c r="AF22" s="3080"/>
      <c r="AG22" s="3080"/>
      <c r="AH22" s="3080"/>
      <c r="AI22" s="3080"/>
      <c r="AJ22" s="3080"/>
      <c r="AK22" s="3080"/>
      <c r="AL22" s="3080"/>
      <c r="AM22" s="3080"/>
      <c r="AN22" s="3080"/>
      <c r="AO22" s="3080"/>
    </row>
    <row r="23" ht="15" customHeight="1">
      <c r="A23" s="3109" t="s">
        <v>3028</v>
      </c>
      <c r="B23" s="3110">
        <f>SUMIF('OS Analysis'!$AV:$AV,'Fannie Historical Ops'!$B$5,'OS Analysis'!$AZ:$AZ)</f>
        <v>0</v>
      </c>
      <c r="C23" s="3110">
        <v>0</v>
      </c>
      <c r="D23" s="3110">
        <v>0</v>
      </c>
      <c r="E23" s="3111">
        <f t="shared" si="1"/>
        <v>0</v>
      </c>
      <c r="F23" s="3112">
        <f>SUMIF('OS Analysis'!$AV:$AV,'Fannie Historical Ops'!$B$6,'OS Analysis'!$AZ:$AZ)</f>
        <v>0</v>
      </c>
      <c r="G23" s="3113">
        <f t="shared" si="0"/>
        <v>0</v>
      </c>
      <c r="H23" s="3114">
        <f>SUMIF('OS Analysis'!$AV:$AV,"Less Concessions (income line item)",'OS Analysis'!$AZ:$AZ)-SUMIF('OS Analysis'!$AV:$AV,"Less Concessions (expense line item)",'OS Analysis'!$AZ:$AZ)</f>
        <v>0</v>
      </c>
      <c r="I23" s="3113">
        <f t="shared" si="0"/>
        <v>0</v>
      </c>
      <c r="J23" s="3114">
        <f>SUMIF('OS Analysis'!$AV:$AV,'Fannie Historical Ops'!$B$7,'OS Analysis'!$AZ:$AZ)</f>
        <v>0</v>
      </c>
      <c r="K23" s="3113">
        <f t="shared" si="0"/>
        <v>0</v>
      </c>
      <c r="L23" s="3115">
        <f t="shared" si="2"/>
        <v>0</v>
      </c>
      <c r="M23" s="3111">
        <f t="shared" si="3"/>
        <v>0</v>
      </c>
      <c r="N23" s="3116"/>
      <c r="O23" s="3117">
        <v>0</v>
      </c>
      <c r="P23" s="3118"/>
      <c r="Q23" s="3119">
        <f t="shared" si="4"/>
        <v>0</v>
      </c>
      <c r="R23" s="3111">
        <f t="shared" si="5"/>
        <v>0</v>
      </c>
      <c r="S23" s="3120"/>
      <c r="T23" s="3160"/>
      <c r="U23" s="3141"/>
      <c r="V23" s="3080"/>
      <c r="W23" s="3080"/>
      <c r="X23" s="3080"/>
      <c r="Y23" s="3080"/>
      <c r="Z23" s="3080"/>
      <c r="AA23" s="3080"/>
      <c r="AB23" s="3080"/>
      <c r="AC23" s="3082"/>
      <c r="AD23" s="3080"/>
      <c r="AE23" s="3080"/>
      <c r="AF23" s="3080"/>
      <c r="AG23" s="3080"/>
      <c r="AH23" s="3080"/>
      <c r="AI23" s="3080"/>
      <c r="AJ23" s="3080"/>
      <c r="AK23" s="3080"/>
      <c r="AL23" s="3080"/>
      <c r="AM23" s="3080"/>
      <c r="AN23" s="3080"/>
      <c r="AO23" s="3080"/>
    </row>
    <row r="24" ht="15" customHeight="1">
      <c r="A24" s="3109" t="s">
        <v>3029</v>
      </c>
      <c r="B24" s="3110">
        <f>SUMIF('OS Analysis'!$AV:$AV,'Fannie Historical Ops'!$B$5,'OS Analysis'!$BA:$BA)</f>
        <v>0</v>
      </c>
      <c r="C24" s="3110">
        <v>0</v>
      </c>
      <c r="D24" s="3110">
        <v>0</v>
      </c>
      <c r="E24" s="3111">
        <f t="shared" si="1"/>
        <v>0</v>
      </c>
      <c r="F24" s="3112">
        <f>SUMIF('OS Analysis'!$AV:$AV,'Fannie Historical Ops'!$B$6,'OS Analysis'!$BA:$BA)</f>
        <v>0</v>
      </c>
      <c r="G24" s="3113">
        <f t="shared" si="0"/>
        <v>0</v>
      </c>
      <c r="H24" s="3114">
        <f>SUMIF('OS Analysis'!$AV:$AV,"Less Concessions (income line item)",'OS Analysis'!$BA:$BA)-SUMIF('OS Analysis'!$AV:$AV,"Less Concessions (expense line item)",'OS Analysis'!$BA:$BA)</f>
        <v>0</v>
      </c>
      <c r="I24" s="3113">
        <f t="shared" si="0"/>
        <v>0</v>
      </c>
      <c r="J24" s="3114">
        <f>SUMIF('OS Analysis'!$AV:$AV,'Fannie Historical Ops'!$B$7,'OS Analysis'!$BA:$BA)</f>
        <v>0</v>
      </c>
      <c r="K24" s="3113">
        <f t="shared" si="0"/>
        <v>0</v>
      </c>
      <c r="L24" s="3115">
        <f t="shared" si="2"/>
        <v>0</v>
      </c>
      <c r="M24" s="3111">
        <f t="shared" si="3"/>
        <v>0</v>
      </c>
      <c r="N24" s="3116"/>
      <c r="O24" s="3117">
        <v>0</v>
      </c>
      <c r="P24" s="3118"/>
      <c r="Q24" s="3119">
        <f t="shared" si="4"/>
        <v>0</v>
      </c>
      <c r="R24" s="3111">
        <f t="shared" si="5"/>
        <v>0</v>
      </c>
      <c r="S24" s="3120"/>
      <c r="T24" s="3160"/>
      <c r="U24" s="3141"/>
      <c r="V24" s="3080"/>
      <c r="W24" s="3080"/>
      <c r="X24" s="3080"/>
      <c r="Y24" s="3080"/>
      <c r="Z24" s="3080"/>
      <c r="AA24" s="3080"/>
      <c r="AB24" s="3080"/>
      <c r="AC24" s="3082"/>
      <c r="AD24" s="3080"/>
      <c r="AE24" s="3080"/>
      <c r="AF24" s="3080"/>
      <c r="AG24" s="3080"/>
      <c r="AH24" s="3080"/>
      <c r="AI24" s="3080"/>
      <c r="AJ24" s="3080"/>
      <c r="AK24" s="3080"/>
      <c r="AL24" s="3080"/>
      <c r="AM24" s="3080"/>
      <c r="AN24" s="3080"/>
      <c r="AO24" s="3080"/>
    </row>
    <row r="25" ht="15" customHeight="1">
      <c r="A25" s="3109" t="s">
        <v>3030</v>
      </c>
      <c r="B25" s="3110">
        <f>SUMIF('OS Analysis'!$AV:$AV,'Fannie Historical Ops'!$B$5,'OS Analysis'!$BB:$BB)</f>
        <v>0</v>
      </c>
      <c r="C25" s="3110">
        <v>0</v>
      </c>
      <c r="D25" s="3110">
        <v>0</v>
      </c>
      <c r="E25" s="3111">
        <f t="shared" si="1"/>
        <v>0</v>
      </c>
      <c r="F25" s="3112">
        <f>SUMIF('OS Analysis'!$AV:$AV,'Fannie Historical Ops'!$B$6,'OS Analysis'!$BB:$BB)</f>
        <v>0</v>
      </c>
      <c r="G25" s="3113">
        <f t="shared" si="0"/>
        <v>0</v>
      </c>
      <c r="H25" s="3114">
        <f>SUMIF('OS Analysis'!$AV:$AV,"Less Concessions (income line item)",'OS Analysis'!$BB:$BB)-SUMIF('OS Analysis'!$AV:$AV,"Less Concessions (expense line item)",'OS Analysis'!$BB:$BB)</f>
        <v>0</v>
      </c>
      <c r="I25" s="3113">
        <f t="shared" si="0"/>
        <v>0</v>
      </c>
      <c r="J25" s="3114">
        <f>SUMIF('OS Analysis'!$AV:$AV,'Fannie Historical Ops'!$B$7,'OS Analysis'!$BB:$BB)</f>
        <v>0</v>
      </c>
      <c r="K25" s="3113">
        <f t="shared" si="0"/>
        <v>0</v>
      </c>
      <c r="L25" s="3115">
        <f t="shared" si="2"/>
        <v>0</v>
      </c>
      <c r="M25" s="3111">
        <f t="shared" si="3"/>
        <v>0</v>
      </c>
      <c r="N25" s="3116"/>
      <c r="O25" s="3117">
        <v>0</v>
      </c>
      <c r="P25" s="3118"/>
      <c r="Q25" s="3119">
        <f t="shared" si="4"/>
        <v>0</v>
      </c>
      <c r="R25" s="3111">
        <f t="shared" si="5"/>
        <v>0</v>
      </c>
      <c r="S25" s="3120"/>
      <c r="T25" s="3160"/>
      <c r="U25" s="3141"/>
      <c r="V25" s="3080"/>
      <c r="W25" s="3080"/>
      <c r="X25" s="3080"/>
      <c r="Y25" s="3080"/>
      <c r="Z25" s="3080"/>
      <c r="AA25" s="3080"/>
      <c r="AB25" s="3080"/>
      <c r="AC25" s="3082"/>
      <c r="AD25" s="3080"/>
      <c r="AE25" s="3080"/>
      <c r="AF25" s="3080"/>
      <c r="AG25" s="3080"/>
      <c r="AH25" s="3080"/>
      <c r="AI25" s="3080"/>
      <c r="AJ25" s="3080"/>
      <c r="AK25" s="3080"/>
      <c r="AL25" s="3080"/>
      <c r="AM25" s="3080"/>
      <c r="AN25" s="3080"/>
      <c r="AO25" s="3080"/>
    </row>
    <row r="26" ht="15" customHeight="1">
      <c r="A26" s="3109" t="s">
        <v>3031</v>
      </c>
      <c r="B26" s="3110">
        <f>SUMIF('OS Analysis'!$AV:$AV,'Fannie Historical Ops'!$B$5,'OS Analysis'!$BC:$BC)</f>
        <v>0</v>
      </c>
      <c r="C26" s="3110">
        <v>0</v>
      </c>
      <c r="D26" s="3110">
        <v>0</v>
      </c>
      <c r="E26" s="3111">
        <f t="shared" si="1"/>
        <v>0</v>
      </c>
      <c r="F26" s="3112">
        <f>SUMIF('OS Analysis'!$AV:$AV,'Fannie Historical Ops'!$B$6,'OS Analysis'!$BC:$BC)</f>
        <v>0</v>
      </c>
      <c r="G26" s="3113">
        <f t="shared" si="0"/>
        <v>0</v>
      </c>
      <c r="H26" s="3114">
        <f>SUMIF('OS Analysis'!$AV:$AV,"Less Concessions (income line item)",'OS Analysis'!$BC:$BC)-SUMIF('OS Analysis'!$AV:$AV,"Less Concessions (expense line item)",'OS Analysis'!$BC:$BC)</f>
        <v>0</v>
      </c>
      <c r="I26" s="3113">
        <f t="shared" si="0"/>
        <v>0</v>
      </c>
      <c r="J26" s="3114">
        <f>SUMIF('OS Analysis'!$AV:$AV,'Fannie Historical Ops'!$B$7,'OS Analysis'!$BC:$BC)</f>
        <v>0</v>
      </c>
      <c r="K26" s="3113">
        <f t="shared" si="0"/>
        <v>0</v>
      </c>
      <c r="L26" s="3115">
        <f t="shared" si="2"/>
        <v>0</v>
      </c>
      <c r="M26" s="3111">
        <f t="shared" si="3"/>
        <v>0</v>
      </c>
      <c r="N26" s="3116"/>
      <c r="O26" s="3117">
        <v>0</v>
      </c>
      <c r="P26" s="3118"/>
      <c r="Q26" s="3119">
        <f t="shared" si="4"/>
        <v>0</v>
      </c>
      <c r="R26" s="3111">
        <f t="shared" si="5"/>
        <v>0</v>
      </c>
      <c r="S26" s="3120"/>
      <c r="T26" s="3160"/>
      <c r="U26" s="3141"/>
      <c r="V26" s="3080"/>
      <c r="W26" s="3080"/>
      <c r="X26" s="3080"/>
      <c r="Y26" s="3080"/>
      <c r="Z26" s="3080"/>
      <c r="AA26" s="3080"/>
      <c r="AB26" s="3080"/>
      <c r="AC26" s="3082"/>
      <c r="AD26" s="3080"/>
      <c r="AE26" s="3080"/>
      <c r="AF26" s="3080"/>
      <c r="AG26" s="3080"/>
      <c r="AH26" s="3080"/>
      <c r="AI26" s="3080"/>
      <c r="AJ26" s="3080"/>
      <c r="AK26" s="3080"/>
      <c r="AL26" s="3080"/>
      <c r="AM26" s="3080"/>
      <c r="AN26" s="3080"/>
      <c r="AO26" s="3080"/>
    </row>
    <row r="27" ht="15" customHeight="1">
      <c r="A27" s="3109" t="s">
        <v>3032</v>
      </c>
      <c r="B27" s="3110">
        <f>SUMIF('OS Analysis'!$AV:$AV,'Fannie Historical Ops'!$B$5,'OS Analysis'!$BD:$BD)</f>
        <v>0</v>
      </c>
      <c r="C27" s="3110">
        <v>0</v>
      </c>
      <c r="D27" s="3110">
        <v>0</v>
      </c>
      <c r="E27" s="3111">
        <f t="shared" si="1"/>
        <v>0</v>
      </c>
      <c r="F27" s="3112">
        <f>SUMIF('OS Analysis'!$AV:$AV,'Fannie Historical Ops'!$B$6,'OS Analysis'!$BD:$BD)</f>
        <v>0</v>
      </c>
      <c r="G27" s="3113">
        <f t="shared" si="0"/>
        <v>0</v>
      </c>
      <c r="H27" s="3114">
        <f>SUMIF('OS Analysis'!$AV:$AV,"Less Concessions (income line item)",'OS Analysis'!$BD:$BD)-SUMIF('OS Analysis'!$AV:$AV,"Less Concessions (expense line item)",'OS Analysis'!$BD:$BD)</f>
        <v>0</v>
      </c>
      <c r="I27" s="3113">
        <f t="shared" si="0"/>
        <v>0</v>
      </c>
      <c r="J27" s="3114">
        <f>SUMIF('OS Analysis'!$AV:$AV,'Fannie Historical Ops'!$B$7,'OS Analysis'!$BD:$BD)</f>
        <v>0</v>
      </c>
      <c r="K27" s="3113">
        <f t="shared" si="0"/>
        <v>0</v>
      </c>
      <c r="L27" s="3115">
        <f t="shared" si="2"/>
        <v>0</v>
      </c>
      <c r="M27" s="3111">
        <f t="shared" si="3"/>
        <v>0</v>
      </c>
      <c r="N27" s="3116"/>
      <c r="O27" s="3117">
        <v>0</v>
      </c>
      <c r="P27" s="3118"/>
      <c r="Q27" s="3119">
        <f t="shared" si="4"/>
        <v>0</v>
      </c>
      <c r="R27" s="3111">
        <f t="shared" si="5"/>
        <v>0</v>
      </c>
      <c r="S27" s="3120"/>
      <c r="T27" s="3160"/>
      <c r="U27" s="3141"/>
      <c r="V27" s="3080"/>
      <c r="W27" s="3080"/>
      <c r="X27" s="3080"/>
      <c r="Y27" s="3080"/>
      <c r="Z27" s="3080"/>
      <c r="AA27" s="3080"/>
      <c r="AB27" s="3080"/>
      <c r="AC27" s="3082"/>
      <c r="AD27" s="3080"/>
      <c r="AE27" s="3080"/>
      <c r="AF27" s="3080"/>
      <c r="AG27" s="3080"/>
      <c r="AH27" s="3080"/>
      <c r="AI27" s="3080"/>
      <c r="AJ27" s="3080"/>
      <c r="AK27" s="3080"/>
      <c r="AL27" s="3080"/>
      <c r="AM27" s="3080"/>
      <c r="AN27" s="3080"/>
      <c r="AO27" s="3080"/>
    </row>
    <row r="28" ht="15" customHeight="1">
      <c r="A28" s="3109" t="s">
        <v>3033</v>
      </c>
      <c r="B28" s="3110">
        <f>SUMIF('OS Analysis'!$AV:$AV,'Fannie Historical Ops'!$B$5,'OS Analysis'!$BE:$BE)</f>
        <v>0</v>
      </c>
      <c r="C28" s="3110">
        <v>0</v>
      </c>
      <c r="D28" s="3110">
        <v>0</v>
      </c>
      <c r="E28" s="3111">
        <f t="shared" si="1"/>
        <v>0</v>
      </c>
      <c r="F28" s="3112">
        <f>SUMIF('OS Analysis'!$AV:$AV,'Fannie Historical Ops'!$B$6,'OS Analysis'!$BE:$BE)</f>
        <v>0</v>
      </c>
      <c r="G28" s="3113">
        <f t="shared" si="0"/>
        <v>0</v>
      </c>
      <c r="H28" s="3114">
        <f>SUMIF('OS Analysis'!$AV:$AV,"Less Concessions (income line item)",'OS Analysis'!$BE:$BE)-SUMIF('OS Analysis'!$AV:$AV,"Less Concessions (expense line item)",'OS Analysis'!$BE:$BE)</f>
        <v>0</v>
      </c>
      <c r="I28" s="3113">
        <f t="shared" si="0"/>
        <v>0</v>
      </c>
      <c r="J28" s="3114">
        <f>SUMIF('OS Analysis'!$AV:$AV,'Fannie Historical Ops'!$B$7,'OS Analysis'!$BE:$BE)</f>
        <v>0</v>
      </c>
      <c r="K28" s="3113">
        <f t="shared" si="0"/>
        <v>0</v>
      </c>
      <c r="L28" s="3115">
        <f t="shared" si="2"/>
        <v>0</v>
      </c>
      <c r="M28" s="3111">
        <f t="shared" si="3"/>
        <v>0</v>
      </c>
      <c r="N28" s="3116"/>
      <c r="O28" s="3117">
        <v>0</v>
      </c>
      <c r="P28" s="3118"/>
      <c r="Q28" s="3119">
        <f t="shared" si="4"/>
        <v>0</v>
      </c>
      <c r="R28" s="3111">
        <f t="shared" si="5"/>
        <v>0</v>
      </c>
      <c r="S28" s="3120"/>
      <c r="T28" s="3160"/>
      <c r="U28" s="3141"/>
      <c r="V28" s="3080"/>
      <c r="W28" s="3080"/>
      <c r="X28" s="3080"/>
      <c r="Y28" s="3080"/>
      <c r="Z28" s="3080"/>
      <c r="AA28" s="3080"/>
      <c r="AB28" s="3080"/>
      <c r="AC28" s="3082"/>
      <c r="AD28" s="3080"/>
      <c r="AE28" s="3080"/>
      <c r="AF28" s="3080"/>
      <c r="AG28" s="3080"/>
      <c r="AH28" s="3080"/>
      <c r="AI28" s="3080"/>
      <c r="AJ28" s="3080"/>
      <c r="AK28" s="3080"/>
      <c r="AL28" s="3080"/>
      <c r="AM28" s="3080"/>
      <c r="AN28" s="3080"/>
      <c r="AO28" s="3080"/>
    </row>
    <row r="29" ht="15" customHeight="1">
      <c r="A29" s="3109" t="s">
        <v>3034</v>
      </c>
      <c r="B29" s="3110">
        <f>SUMIF('OS Analysis'!$AV:$AV,'Fannie Historical Ops'!$B$5,'OS Analysis'!$BF:$BF)</f>
        <v>0</v>
      </c>
      <c r="C29" s="3110">
        <v>0</v>
      </c>
      <c r="D29" s="3110">
        <v>0</v>
      </c>
      <c r="E29" s="3111">
        <f t="shared" si="1"/>
        <v>0</v>
      </c>
      <c r="F29" s="3112">
        <f>SUMIF('OS Analysis'!$AV:$AV,'Fannie Historical Ops'!$B$6,'OS Analysis'!$BF:$BF)</f>
        <v>0</v>
      </c>
      <c r="G29" s="3113">
        <f t="shared" si="0"/>
        <v>0</v>
      </c>
      <c r="H29" s="3114">
        <f>SUMIF('OS Analysis'!$AV:$AV,"Less Concessions (income line item)",'OS Analysis'!$BF:$BF)-SUMIF('OS Analysis'!$AV:$AV,"Less Concessions (expense line item)",'OS Analysis'!$BF:$BF)</f>
        <v>0</v>
      </c>
      <c r="I29" s="3113">
        <f t="shared" si="0"/>
        <v>0</v>
      </c>
      <c r="J29" s="3114">
        <f>SUMIF('OS Analysis'!$AV:$AV,'Fannie Historical Ops'!$B$7,'OS Analysis'!$BF:$BF)</f>
        <v>0</v>
      </c>
      <c r="K29" s="3113">
        <f t="shared" si="0"/>
        <v>0</v>
      </c>
      <c r="L29" s="3115">
        <f t="shared" si="2"/>
        <v>0</v>
      </c>
      <c r="M29" s="3111">
        <f t="shared" si="3"/>
        <v>0</v>
      </c>
      <c r="N29" s="3116"/>
      <c r="O29" s="3117">
        <v>0</v>
      </c>
      <c r="P29" s="3118"/>
      <c r="Q29" s="3119">
        <f t="shared" si="4"/>
        <v>0</v>
      </c>
      <c r="R29" s="3111">
        <f t="shared" si="5"/>
        <v>0</v>
      </c>
      <c r="S29" s="3120"/>
      <c r="T29" s="3160"/>
      <c r="U29" s="3141"/>
      <c r="V29" s="3080"/>
      <c r="W29" s="3080"/>
      <c r="X29" s="3080"/>
      <c r="Y29" s="3080"/>
      <c r="Z29" s="3080"/>
      <c r="AA29" s="3080"/>
      <c r="AB29" s="3080"/>
      <c r="AC29" s="3082"/>
      <c r="AD29" s="3080"/>
      <c r="AE29" s="3080"/>
      <c r="AF29" s="3080"/>
      <c r="AG29" s="3080"/>
      <c r="AH29" s="3080"/>
      <c r="AI29" s="3080"/>
      <c r="AJ29" s="3080"/>
      <c r="AK29" s="3080"/>
      <c r="AL29" s="3080"/>
      <c r="AM29" s="3080"/>
      <c r="AN29" s="3080"/>
      <c r="AO29" s="3080"/>
    </row>
    <row r="30" ht="15" customHeight="1">
      <c r="A30" s="3109" t="s">
        <v>3035</v>
      </c>
      <c r="B30" s="3110">
        <f>SUMIF('OS Analysis'!$AV:$AV,'Fannie Historical Ops'!$B$5,'OS Analysis'!$BG:$BG)</f>
        <v>0</v>
      </c>
      <c r="C30" s="3110">
        <v>0</v>
      </c>
      <c r="D30" s="3110">
        <v>0</v>
      </c>
      <c r="E30" s="3111">
        <f t="shared" si="1"/>
        <v>0</v>
      </c>
      <c r="F30" s="3112">
        <f>SUMIF('OS Analysis'!$AV:$AV,'Fannie Historical Ops'!$B$6,'OS Analysis'!$BG:$BG)</f>
        <v>0</v>
      </c>
      <c r="G30" s="3113">
        <f t="shared" si="0"/>
        <v>0</v>
      </c>
      <c r="H30" s="3114">
        <f>SUMIF('OS Analysis'!$AV:$AV,"Less Concessions (income line item)",'OS Analysis'!$BG:$BG)-SUMIF('OS Analysis'!$AV:$AV,"Less Concessions (expense line item)",'OS Analysis'!$BG:$BG)</f>
        <v>0</v>
      </c>
      <c r="I30" s="3113">
        <f t="shared" si="0"/>
        <v>0</v>
      </c>
      <c r="J30" s="3114">
        <f>SUMIF('OS Analysis'!$AV:$AV,'Fannie Historical Ops'!$B$7,'OS Analysis'!$BG:$BG)</f>
        <v>0</v>
      </c>
      <c r="K30" s="3113">
        <f t="shared" si="0"/>
        <v>0</v>
      </c>
      <c r="L30" s="3115">
        <f t="shared" si="2"/>
        <v>0</v>
      </c>
      <c r="M30" s="3111">
        <f t="shared" si="3"/>
        <v>0</v>
      </c>
      <c r="N30" s="3116"/>
      <c r="O30" s="3117">
        <v>0</v>
      </c>
      <c r="P30" s="3118"/>
      <c r="Q30" s="3119">
        <f t="shared" si="4"/>
        <v>0</v>
      </c>
      <c r="R30" s="3111">
        <f t="shared" si="5"/>
        <v>0</v>
      </c>
      <c r="S30" s="3120"/>
      <c r="T30" s="3160"/>
      <c r="U30" s="3141"/>
      <c r="V30" s="3080"/>
      <c r="W30" s="3080"/>
      <c r="X30" s="3080"/>
      <c r="Y30" s="3080"/>
      <c r="Z30" s="3080"/>
      <c r="AA30" s="3080"/>
      <c r="AB30" s="3080"/>
      <c r="AC30" s="3082"/>
      <c r="AD30" s="3080"/>
      <c r="AE30" s="3080"/>
      <c r="AF30" s="3080"/>
      <c r="AG30" s="3080"/>
      <c r="AH30" s="3080"/>
      <c r="AI30" s="3080"/>
      <c r="AJ30" s="3080"/>
      <c r="AK30" s="3080"/>
      <c r="AL30" s="3080"/>
      <c r="AM30" s="3080"/>
      <c r="AN30" s="3080"/>
      <c r="AO30" s="3080"/>
    </row>
    <row r="31" ht="15" customHeight="1">
      <c r="A31" s="3109" t="s">
        <v>3036</v>
      </c>
      <c r="B31" s="3110">
        <f>SUMIF('OS Analysis'!$AV:$AV,'Fannie Historical Ops'!$B$5,'OS Analysis'!$BH:$BH)</f>
        <v>0</v>
      </c>
      <c r="C31" s="3110">
        <v>0</v>
      </c>
      <c r="D31" s="3110">
        <v>0</v>
      </c>
      <c r="E31" s="3111">
        <f t="shared" si="1"/>
        <v>0</v>
      </c>
      <c r="F31" s="3112">
        <f>SUMIF('OS Analysis'!$AV:$AV,'Fannie Historical Ops'!$B$6,'OS Analysis'!$BH:$BH)</f>
        <v>0</v>
      </c>
      <c r="G31" s="3113">
        <f t="shared" si="0"/>
        <v>0</v>
      </c>
      <c r="H31" s="3114">
        <f>SUMIF('OS Analysis'!$AV:$AV,"Less Concessions (income line item)",'OS Analysis'!$BH:$BH)-SUMIF('OS Analysis'!$AV:$AV,"Less Concessions (expense line item)",'OS Analysis'!$BH:$BH)</f>
        <v>0</v>
      </c>
      <c r="I31" s="3113">
        <f t="shared" si="0"/>
        <v>0</v>
      </c>
      <c r="J31" s="3114">
        <f>SUMIF('OS Analysis'!$AV:$AV,'Fannie Historical Ops'!$B$7,'OS Analysis'!$BH:$BH)</f>
        <v>0</v>
      </c>
      <c r="K31" s="3113">
        <f t="shared" si="0"/>
        <v>0</v>
      </c>
      <c r="L31" s="3115">
        <f t="shared" si="2"/>
        <v>0</v>
      </c>
      <c r="M31" s="3111">
        <f t="shared" si="3"/>
        <v>0</v>
      </c>
      <c r="N31" s="3116"/>
      <c r="O31" s="3117">
        <v>0</v>
      </c>
      <c r="P31" s="3118"/>
      <c r="Q31" s="3119">
        <f t="shared" si="4"/>
        <v>0</v>
      </c>
      <c r="R31" s="3111">
        <f t="shared" si="5"/>
        <v>0</v>
      </c>
      <c r="S31" s="3120"/>
      <c r="T31" s="3160"/>
      <c r="U31" s="3141"/>
      <c r="V31" s="3080"/>
      <c r="W31" s="3080"/>
      <c r="X31" s="3080"/>
      <c r="Y31" s="3080"/>
      <c r="Z31" s="3080"/>
      <c r="AA31" s="3080"/>
      <c r="AB31" s="3080"/>
      <c r="AC31" s="3082"/>
      <c r="AD31" s="3080"/>
      <c r="AE31" s="3080"/>
      <c r="AF31" s="3080"/>
      <c r="AG31" s="3080"/>
      <c r="AH31" s="3080"/>
      <c r="AI31" s="3080"/>
      <c r="AJ31" s="3080"/>
      <c r="AK31" s="3080"/>
      <c r="AL31" s="3080"/>
      <c r="AM31" s="3080"/>
      <c r="AN31" s="3080"/>
      <c r="AO31" s="3080"/>
    </row>
    <row r="32" ht="15" customHeight="1">
      <c r="A32" s="3109" t="s">
        <v>3037</v>
      </c>
      <c r="B32" s="3110">
        <f>SUMIF('OS Analysis'!$AV:$AV,'Fannie Historical Ops'!$B$5,'OS Analysis'!$BI:$BI)</f>
        <v>0</v>
      </c>
      <c r="C32" s="3110">
        <v>0</v>
      </c>
      <c r="D32" s="3110">
        <v>0</v>
      </c>
      <c r="E32" s="3111">
        <f t="shared" si="1"/>
        <v>0</v>
      </c>
      <c r="F32" s="3112">
        <f>SUMIF('OS Analysis'!$AV:$AV,'Fannie Historical Ops'!$B$6,'OS Analysis'!$BI:$BI)</f>
        <v>0</v>
      </c>
      <c r="G32" s="3113">
        <f t="shared" si="0"/>
        <v>0</v>
      </c>
      <c r="H32" s="3114">
        <f>SUMIF('OS Analysis'!$AV:$AV,"Less Concessions (income line item)",'OS Analysis'!$BI:$BI)-SUMIF('OS Analysis'!$AV:$AV,"Less Concessions (expense line item)",'OS Analysis'!$BI:$BI)</f>
        <v>0</v>
      </c>
      <c r="I32" s="3113">
        <f t="shared" si="0"/>
        <v>0</v>
      </c>
      <c r="J32" s="3114">
        <f>SUMIF('OS Analysis'!$AV:$AV,'Fannie Historical Ops'!$B$7,'OS Analysis'!$BI:$BI)</f>
        <v>0</v>
      </c>
      <c r="K32" s="3113">
        <f t="shared" si="0"/>
        <v>0</v>
      </c>
      <c r="L32" s="3115">
        <f t="shared" si="2"/>
        <v>0</v>
      </c>
      <c r="M32" s="3111">
        <f t="shared" si="3"/>
        <v>0</v>
      </c>
      <c r="N32" s="3116"/>
      <c r="O32" s="3117">
        <v>0</v>
      </c>
      <c r="P32" s="3118"/>
      <c r="Q32" s="3119">
        <f t="shared" si="4"/>
        <v>0</v>
      </c>
      <c r="R32" s="3111">
        <f t="shared" si="5"/>
        <v>0</v>
      </c>
      <c r="S32" s="3120"/>
      <c r="T32" s="3160"/>
      <c r="U32" s="3141"/>
      <c r="V32" s="3080"/>
      <c r="W32" s="3080"/>
      <c r="X32" s="3080"/>
      <c r="Y32" s="3080"/>
      <c r="Z32" s="3080"/>
      <c r="AA32" s="3080"/>
      <c r="AB32" s="3080"/>
      <c r="AC32" s="3082"/>
      <c r="AD32" s="3080"/>
      <c r="AE32" s="3080"/>
      <c r="AF32" s="3080"/>
      <c r="AG32" s="3080"/>
      <c r="AH32" s="3080"/>
      <c r="AI32" s="3080"/>
      <c r="AJ32" s="3080"/>
      <c r="AK32" s="3080"/>
      <c r="AL32" s="3080"/>
      <c r="AM32" s="3080"/>
      <c r="AN32" s="3080"/>
      <c r="AO32" s="3080"/>
    </row>
    <row r="33" ht="15.75" customHeight="1">
      <c r="A33" s="3124" t="s">
        <v>3038</v>
      </c>
      <c r="B33" s="3110">
        <f>SUMIF('OS Analysis'!$AV:$AV,'Fannie Historical Ops'!$B$5,'OS Analysis'!$BJ:$BJ)</f>
        <v>0</v>
      </c>
      <c r="C33" s="3125">
        <v>0</v>
      </c>
      <c r="D33" s="3125">
        <v>0</v>
      </c>
      <c r="E33" s="3126">
        <f t="shared" si="1"/>
        <v>0</v>
      </c>
      <c r="F33" s="3112">
        <f>SUMIF('OS Analysis'!$AV:$AV,'Fannie Historical Ops'!$B$6,'OS Analysis'!$BJ:$BJ)</f>
        <v>0</v>
      </c>
      <c r="G33" s="3128">
        <f t="shared" si="0"/>
        <v>0</v>
      </c>
      <c r="H33" s="3129">
        <f>SUMIF('OS Analysis'!$AV:$AV,"Less Concessions (income line item)",'OS Analysis'!$BJ:$BJ)-SUMIF('OS Analysis'!$AV:$AV,"Less Concessions (expense line item)",'OS Analysis'!$BJ:$BJ)</f>
        <v>0</v>
      </c>
      <c r="I33" s="3128">
        <f t="shared" si="0"/>
        <v>0</v>
      </c>
      <c r="J33" s="3129">
        <f>SUMIF('OS Analysis'!$AV:$AV,'Fannie Historical Ops'!$B$7,'OS Analysis'!$BJ:$BJ)</f>
        <v>0</v>
      </c>
      <c r="K33" s="3128">
        <f t="shared" si="0"/>
        <v>0</v>
      </c>
      <c r="L33" s="3115">
        <f t="shared" si="2"/>
        <v>0</v>
      </c>
      <c r="M33" s="3126">
        <f t="shared" si="3"/>
        <v>0</v>
      </c>
      <c r="N33" s="3116"/>
      <c r="O33" s="3130">
        <v>0</v>
      </c>
      <c r="P33" s="3131"/>
      <c r="Q33" s="3132">
        <f t="shared" si="4"/>
        <v>0</v>
      </c>
      <c r="R33" s="3126">
        <f t="shared" si="5"/>
        <v>0</v>
      </c>
      <c r="S33" s="3133"/>
      <c r="T33" s="3160"/>
      <c r="U33" s="3141"/>
      <c r="V33" s="3080"/>
      <c r="W33" s="3080"/>
      <c r="X33" s="3080"/>
      <c r="Y33" s="3080"/>
      <c r="Z33" s="3080"/>
      <c r="AA33" s="3080"/>
      <c r="AB33" s="3080"/>
      <c r="AC33" s="3082"/>
      <c r="AD33" s="3080"/>
      <c r="AE33" s="3080"/>
      <c r="AF33" s="3080"/>
      <c r="AG33" s="3080"/>
      <c r="AH33" s="3080"/>
      <c r="AI33" s="3080"/>
      <c r="AJ33" s="3080"/>
      <c r="AK33" s="3080"/>
      <c r="AL33" s="3080"/>
      <c r="AM33" s="3080"/>
      <c r="AN33" s="3080"/>
      <c r="AO33" s="3080"/>
    </row>
    <row r="34" ht="15.75" customHeight="1">
      <c r="A34" s="3134" t="s">
        <v>2968</v>
      </c>
      <c r="B34" s="3135">
        <f t="shared" si="6"/>
        <v>0</v>
      </c>
      <c r="C34" s="3135">
        <f t="shared" si="6"/>
        <v>0</v>
      </c>
      <c r="D34" s="3135">
        <f t="shared" si="6"/>
        <v>0</v>
      </c>
      <c r="E34" s="3135">
        <f t="shared" si="1"/>
        <v>0</v>
      </c>
      <c r="F34" s="3135">
        <f t="shared" si="6"/>
        <v>0</v>
      </c>
      <c r="G34" s="3136">
        <f t="shared" si="0"/>
        <v>0</v>
      </c>
      <c r="H34" s="3135">
        <f t="shared" si="6"/>
        <v>0</v>
      </c>
      <c r="I34" s="3136">
        <f t="shared" si="0"/>
        <v>0</v>
      </c>
      <c r="J34" s="3135">
        <f t="shared" si="6"/>
        <v>0</v>
      </c>
      <c r="K34" s="3136">
        <f t="shared" si="0"/>
        <v>0</v>
      </c>
      <c r="L34" s="3137">
        <f t="shared" si="2"/>
        <v>0</v>
      </c>
      <c r="M34" s="3135">
        <f t="shared" si="3"/>
        <v>0</v>
      </c>
      <c r="N34" s="3138"/>
      <c r="O34" s="3135">
        <f t="shared" si="6"/>
        <v>0</v>
      </c>
      <c r="P34" s="3139">
        <f t="shared" si="8"/>
      </c>
      <c r="Q34" s="3140">
        <f t="shared" si="4"/>
        <v>0</v>
      </c>
      <c r="R34" s="3135">
        <f t="shared" si="5"/>
        <v>0</v>
      </c>
      <c r="S34" s="3120"/>
      <c r="T34" s="3141"/>
      <c r="U34" s="3141"/>
      <c r="V34" s="3080"/>
      <c r="W34" s="3080"/>
      <c r="X34" s="3080"/>
      <c r="Y34" s="3080"/>
      <c r="Z34" s="3080"/>
      <c r="AA34" s="3080"/>
      <c r="AB34" s="3080"/>
      <c r="AC34" s="3082"/>
      <c r="AD34" s="3080"/>
      <c r="AE34" s="3080"/>
      <c r="AF34" s="3080"/>
      <c r="AG34" s="3080"/>
      <c r="AH34" s="3080"/>
      <c r="AI34" s="3080"/>
      <c r="AJ34" s="3080"/>
      <c r="AK34" s="3080"/>
      <c r="AL34" s="3080"/>
      <c r="AM34" s="3080"/>
      <c r="AN34" s="3080"/>
      <c r="AO34" s="3080"/>
    </row>
    <row r="35" ht="15" customHeight="1">
      <c r="A35" s="3080"/>
      <c r="B35" s="3143">
        <f>'Fannie Historical Ops'!F5</f>
        <v>0</v>
      </c>
      <c r="C35" s="3144"/>
      <c r="D35" s="3144"/>
      <c r="E35" s="3145"/>
      <c r="F35" s="3143">
        <f>'Fannie Historical Ops'!F6</f>
        <v>0</v>
      </c>
      <c r="G35" s="3146"/>
      <c r="H35" s="3143">
        <f>'Fannie Historical Ops'!F8</f>
        <v>0</v>
      </c>
      <c r="I35" s="3146"/>
      <c r="J35" s="3143">
        <f>'Fannie Historical Ops'!F7</f>
        <v>0</v>
      </c>
      <c r="K35" s="3147"/>
      <c r="L35" s="3147"/>
      <c r="M35" s="3148"/>
      <c r="N35" s="3161"/>
      <c r="O35" s="3150"/>
      <c r="P35" s="3162"/>
      <c r="Q35" s="3152"/>
      <c r="R35" s="3163"/>
      <c r="S35" s="3164"/>
      <c r="T35" s="3163"/>
      <c r="U35" s="3163"/>
      <c r="V35" s="3080"/>
      <c r="W35" s="3080"/>
      <c r="X35" s="3080"/>
      <c r="Y35" s="3080"/>
      <c r="Z35" s="3080"/>
      <c r="AA35" s="3080"/>
      <c r="AB35" s="3080"/>
      <c r="AC35" s="3082"/>
      <c r="AD35" s="3080"/>
      <c r="AE35" s="3080"/>
      <c r="AF35" s="3080"/>
      <c r="AG35" s="3080"/>
      <c r="AH35" s="3080"/>
      <c r="AI35" s="3080"/>
      <c r="AJ35" s="3080"/>
      <c r="AK35" s="3080"/>
      <c r="AL35" s="3080"/>
      <c r="AM35" s="3080"/>
      <c r="AN35" s="3080"/>
      <c r="AO35" s="3080"/>
    </row>
    <row r="36" ht="15" customHeight="1">
      <c r="A36" s="3165"/>
      <c r="B36" s="3166"/>
      <c r="C36" s="3165"/>
      <c r="D36" s="3165"/>
      <c r="E36" s="3166"/>
      <c r="F36" s="3166"/>
      <c r="G36" s="3161"/>
      <c r="H36" s="3166"/>
      <c r="I36" s="3161"/>
      <c r="J36" s="3166"/>
      <c r="K36" s="3161"/>
      <c r="L36" s="3161"/>
      <c r="M36" s="3161"/>
      <c r="N36" s="3161"/>
      <c r="O36" s="3149"/>
      <c r="P36" s="3167"/>
      <c r="Q36" s="3168"/>
      <c r="R36" s="3164"/>
      <c r="S36" s="3164"/>
      <c r="T36" s="3164"/>
      <c r="U36" s="3164"/>
      <c r="V36" s="3165"/>
      <c r="W36" s="3165"/>
      <c r="X36" s="3165"/>
      <c r="Y36" s="3165"/>
      <c r="Z36" s="3165"/>
      <c r="AA36" s="3165"/>
      <c r="AB36" s="3165"/>
      <c r="AC36" s="3169"/>
      <c r="AD36" s="3165"/>
      <c r="AE36" s="3165"/>
      <c r="AF36" s="3165"/>
      <c r="AG36" s="3165"/>
      <c r="AH36" s="3165"/>
      <c r="AI36" s="3165"/>
      <c r="AJ36" s="3165"/>
      <c r="AK36" s="3165"/>
      <c r="AL36" s="3165"/>
      <c r="AM36" s="3165"/>
      <c r="AN36" s="3165"/>
      <c r="AO36" s="3165"/>
    </row>
    <row r="37" ht="15.75" customHeight="1">
      <c r="A37" s="3170">
        <f t="shared" si="9" ref="A37:R41">A1</f>
        <v>0</v>
      </c>
      <c r="B37" s="3170"/>
      <c r="C37" s="3170"/>
      <c r="D37" s="3170"/>
      <c r="E37" s="3170"/>
      <c r="F37" s="3170"/>
      <c r="G37" s="3170"/>
      <c r="H37" s="3170"/>
      <c r="I37" s="3170"/>
      <c r="J37" s="3170"/>
      <c r="K37" s="3170"/>
      <c r="L37" s="3170"/>
      <c r="M37" s="3170"/>
      <c r="N37" s="3170"/>
      <c r="O37" s="3170"/>
      <c r="P37" s="3170"/>
      <c r="Q37" s="3170"/>
      <c r="R37" s="2648">
        <f t="shared" si="9"/>
        <v>45201</v>
      </c>
      <c r="S37" s="3164"/>
      <c r="T37" s="3164"/>
      <c r="U37" s="3164"/>
      <c r="V37" s="3165"/>
      <c r="W37" s="3165"/>
      <c r="X37" s="3165"/>
      <c r="Y37" s="3165"/>
      <c r="Z37" s="3165"/>
      <c r="AA37" s="3165"/>
      <c r="AB37" s="3165"/>
      <c r="AC37" s="3169"/>
      <c r="AD37" s="3165"/>
      <c r="AE37" s="3165"/>
      <c r="AF37" s="3165"/>
      <c r="AG37" s="3165"/>
      <c r="AH37" s="3165"/>
      <c r="AI37" s="3165"/>
      <c r="AJ37" s="3165"/>
      <c r="AK37" s="3165"/>
      <c r="AL37" s="3165"/>
      <c r="AM37" s="3165"/>
      <c r="AN37" s="3165"/>
      <c r="AO37" s="3165"/>
    </row>
    <row r="38" ht="17.25" customHeight="1">
      <c r="A38" s="3170" t="str">
        <f>G2</f>
        <v>XXXX</v>
      </c>
      <c r="B38" s="3170"/>
      <c r="C38" s="3170"/>
      <c r="D38" s="3170"/>
      <c r="E38" s="3170"/>
      <c r="F38" s="3170"/>
      <c r="G38" s="3170"/>
      <c r="H38" s="3170"/>
      <c r="I38" s="3170"/>
      <c r="J38" s="3170"/>
      <c r="K38" s="3170"/>
      <c r="L38" s="3170"/>
      <c r="M38" s="3170"/>
      <c r="N38" s="3170"/>
      <c r="O38" s="3170"/>
      <c r="P38" s="3170"/>
      <c r="Q38" s="3170"/>
      <c r="R38" s="2652">
        <f t="shared" si="9"/>
        <v>45201.47613552083</v>
      </c>
      <c r="S38" s="3164"/>
      <c r="T38" s="3164"/>
      <c r="U38" s="3164"/>
      <c r="V38" s="3165"/>
      <c r="W38" s="3165"/>
      <c r="X38" s="3165"/>
      <c r="Y38" s="3165"/>
      <c r="Z38" s="3165"/>
      <c r="AA38" s="3165"/>
      <c r="AB38" s="3165"/>
      <c r="AC38" s="3169"/>
      <c r="AD38" s="3165"/>
      <c r="AE38" s="3165"/>
      <c r="AF38" s="3165"/>
      <c r="AG38" s="3165"/>
      <c r="AH38" s="3165"/>
      <c r="AI38" s="3165"/>
      <c r="AJ38" s="3165"/>
      <c r="AK38" s="3165"/>
      <c r="AL38" s="3165"/>
      <c r="AM38" s="3165"/>
      <c r="AN38" s="3165"/>
      <c r="AO38" s="3165"/>
    </row>
    <row r="39" ht="30" customHeight="1">
      <c r="A39" s="3171" t="str">
        <f t="shared" si="9"/>
        <v>Historical Collections
(Adjusted for Non-Revenue Units)</v>
      </c>
      <c r="B39" s="3172"/>
      <c r="C39" s="3172"/>
      <c r="D39" s="3172"/>
      <c r="E39" s="3172"/>
      <c r="F39" s="3172"/>
      <c r="G39" s="3172"/>
      <c r="H39" s="3172"/>
      <c r="I39" s="3172"/>
      <c r="J39" s="3172"/>
      <c r="K39" s="3172"/>
      <c r="L39" s="3172"/>
      <c r="M39" s="3173"/>
      <c r="N39" s="3161"/>
      <c r="O39" s="3087" t="str">
        <f t="shared" si="9"/>
        <v>Discretionary Adjustments</v>
      </c>
      <c r="P39" s="3088"/>
      <c r="Q39" s="3088"/>
      <c r="R39" s="3089"/>
      <c r="S39" s="3164"/>
      <c r="T39" s="3164"/>
      <c r="U39" s="3164"/>
      <c r="V39" s="3165"/>
      <c r="W39" s="3165"/>
      <c r="X39" s="3165"/>
      <c r="Y39" s="3165"/>
      <c r="Z39" s="3165"/>
      <c r="AA39" s="3165"/>
      <c r="AB39" s="3165"/>
      <c r="AC39" s="3169"/>
      <c r="AD39" s="3165"/>
      <c r="AE39" s="3165"/>
      <c r="AF39" s="3165"/>
      <c r="AG39" s="3165"/>
      <c r="AH39" s="3165"/>
      <c r="AI39" s="3165"/>
      <c r="AJ39" s="3165"/>
      <c r="AK39" s="3165"/>
      <c r="AL39" s="3165"/>
      <c r="AM39" s="3165"/>
      <c r="AN39" s="3165"/>
      <c r="AO39" s="3165"/>
    </row>
    <row r="40" ht="15" customHeight="1">
      <c r="A40" s="3091">
        <f>HOps_1YrBack</f>
        <v>2021</v>
      </c>
      <c r="B40" s="3174" t="str">
        <f t="shared" si="9"/>
        <v>Report</v>
      </c>
      <c r="C40" s="3093" t="str">
        <f t="shared" si="9"/>
        <v>Add Back</v>
      </c>
      <c r="D40" s="3093" t="str">
        <f t="shared" si="9"/>
        <v>Add Back</v>
      </c>
      <c r="E40" s="3093"/>
      <c r="F40" s="3093"/>
      <c r="G40" s="3094" t="s">
        <v>3014</v>
      </c>
      <c r="H40" s="3095"/>
      <c r="I40" s="3094" t="str">
        <f t="shared" si="9"/>
        <v>% of </v>
      </c>
      <c r="J40" s="3095"/>
      <c r="K40" s="3094" t="str">
        <f t="shared" si="9"/>
        <v>% of </v>
      </c>
      <c r="L40" s="3093" t="str">
        <f t="shared" si="9"/>
        <v>Economic</v>
      </c>
      <c r="M40" s="3094" t="str">
        <f t="shared" si="9"/>
        <v>Net Rental</v>
      </c>
      <c r="N40" s="3096"/>
      <c r="O40" s="3175" t="str">
        <f t="shared" si="9"/>
        <v>"X"</v>
      </c>
      <c r="P40" s="3176" t="str">
        <f t="shared" si="9"/>
        <v>Adjusted</v>
      </c>
      <c r="Q40" s="3176" t="str">
        <f t="shared" si="9"/>
        <v>Adj. Economic</v>
      </c>
      <c r="R40" s="3177" t="str">
        <f t="shared" si="9"/>
        <v>Adjusted NRI</v>
      </c>
      <c r="S40" s="3100"/>
      <c r="T40" s="3101"/>
      <c r="U40" s="3158"/>
      <c r="V40" s="3080"/>
      <c r="W40" s="3080"/>
      <c r="X40" s="3080"/>
      <c r="Y40" s="3080"/>
      <c r="Z40" s="3080"/>
      <c r="AA40" s="3080"/>
      <c r="AB40" s="3080"/>
      <c r="AC40" s="3082"/>
      <c r="AD40" s="3080"/>
      <c r="AE40" s="3080"/>
      <c r="AF40" s="3080"/>
      <c r="AG40" s="3080"/>
      <c r="AH40" s="3080"/>
      <c r="AI40" s="3080"/>
      <c r="AJ40" s="3080"/>
      <c r="AK40" s="3080"/>
      <c r="AL40" s="3080"/>
      <c r="AM40" s="3080"/>
      <c r="AN40" s="3080"/>
      <c r="AO40" s="3080"/>
    </row>
    <row r="41" ht="15" customHeight="1">
      <c r="A41" s="3102"/>
      <c r="B41" s="3178" t="str">
        <f t="shared" si="9"/>
        <v>GPR</v>
      </c>
      <c r="C41" s="3178" t="str">
        <f t="shared" si="9"/>
        <v>Model/Office</v>
      </c>
      <c r="D41" s="3178" t="str">
        <f t="shared" si="9"/>
        <v>Employee</v>
      </c>
      <c r="E41" s="3104" t="str">
        <f>B5</f>
        <v>GPR</v>
      </c>
      <c r="F41" s="3104" t="str">
        <f t="shared" si="9"/>
        <v>Vacancy</v>
      </c>
      <c r="G41" s="3105" t="s">
        <v>3020</v>
      </c>
      <c r="H41" s="3106" t="str">
        <f t="shared" si="9"/>
        <v>Concessions</v>
      </c>
      <c r="I41" s="3105" t="str">
        <f t="shared" si="9"/>
        <v>GPR</v>
      </c>
      <c r="J41" s="3106" t="str">
        <f t="shared" si="9"/>
        <v>Bad Debt</v>
      </c>
      <c r="K41" s="3105" t="str">
        <f t="shared" si="9"/>
        <v>GPR</v>
      </c>
      <c r="L41" s="3106" t="str">
        <f t="shared" si="9"/>
        <v>Occupancy</v>
      </c>
      <c r="M41" s="3105" t="str">
        <f t="shared" si="9"/>
        <v>Collections</v>
      </c>
      <c r="N41" s="3096"/>
      <c r="O41" s="3106" t="str">
        <f t="shared" si="9"/>
        <v>Adjustment</v>
      </c>
      <c r="P41" s="3107" t="str">
        <f t="shared" si="9"/>
        <v>Bad Debt</v>
      </c>
      <c r="Q41" s="3107" t="str">
        <f t="shared" si="9"/>
        <v>Occupancy</v>
      </c>
      <c r="R41" s="3108" t="str">
        <f t="shared" si="9"/>
        <v>Collections</v>
      </c>
      <c r="S41" s="3100"/>
      <c r="T41" s="3101"/>
      <c r="U41" s="3158"/>
      <c r="V41" s="3080"/>
      <c r="W41" s="3080"/>
      <c r="X41" s="3080"/>
      <c r="Y41" s="3080"/>
      <c r="Z41" s="3080"/>
      <c r="AA41" s="3080"/>
      <c r="AB41" s="3080"/>
      <c r="AC41" s="3082"/>
      <c r="AD41" s="3080"/>
      <c r="AE41" s="3080"/>
      <c r="AF41" s="3080"/>
      <c r="AG41" s="3080"/>
      <c r="AH41" s="3080"/>
      <c r="AI41" s="3080"/>
      <c r="AJ41" s="3080"/>
      <c r="AK41" s="3080"/>
      <c r="AL41" s="3080"/>
      <c r="AM41" s="3080"/>
      <c r="AN41" s="3080"/>
      <c r="AO41" s="3080"/>
    </row>
    <row r="42" ht="15" customHeight="1">
      <c r="A42" s="3109" t="s">
        <v>3027</v>
      </c>
      <c r="B42" s="3110">
        <f>_xlfn.LET(_xlpm.comment,"get the Current T12's GPR by month if available; if not, get the prior year's GPR for the same month",_xlpm.os_current_yr_line_items,'OS Analysis'!$B:$B,_xlpm.gpr_line_item,'Fannie Historical Ops'!$B$5,_xlpm.os_year,$A$40,_xlpm.os_month,$A42,_xlpm.os_date,DATE(_xlpm.os_year,MONTH(DATEVALUE(_xlpm.os_month&amp;"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Analysis'!$AH:$AH,IF(_xlpm.current_yr_gpr_for_month&gt;0,_xlpm.current_yr_gpr_for_month,SUMIF(_xlpm.os_yr1_line_items,_xlpm.gpr_line_item,_xlpm.os_yr1_monthly_data)))</f>
        <v>0</v>
      </c>
      <c r="C42" s="3110">
        <v>0</v>
      </c>
      <c r="D42" s="3110">
        <v>0</v>
      </c>
      <c r="E42" s="3111">
        <f t="shared" si="1"/>
        <v>0</v>
      </c>
      <c r="F42" s="3179">
        <f>IF(_xlfn.IFERROR(SUMIF('OS Analysis'!$B:$B,'Fannie Historical Ops'!$B$6,INDEX('OS Analysis'!$E:$P,0,MATCH(DATE($A$40,MONTH(DATEVALUE(A42&amp;" 1")),1),'OS Analysis'!$E$2:$P$2,0))),0)&lt;&gt;0,_xlfn.IFERROR(SUMIF('OS Analysis'!$B:$B,'Fannie Historical Ops'!$B$6,INDEX('OS Analysis'!$E:$P,0,MATCH(DATE($A$40,MONTH(DATEVALUE(A42&amp;" 1")),1),'OS Analysis'!$E$2:$P$2,0))),0),SUMIF('OS Analysis'!$AE:$AE,'Fannie Historical Ops'!$B$6,'OS Analysis'!$AH:$AH))</f>
        <v>0</v>
      </c>
      <c r="G42" s="3180">
        <f t="shared" si="0"/>
        <v>0</v>
      </c>
      <c r="H42" s="3181">
        <f>IF((_xlfn.IFERROR(SUMIF('OS Analysis'!$B:$B,"Less Concessions (income line item)",INDEX('OS Analysis'!$E:$P,0,MATCH(DATE($A$40,MONTH(DATEVALUE(A42&amp;" 1")),1),'OS Analysis'!$E$2:$P$2,0))),0))-(_xlfn.IFERROR(SUMIF('OS Analysis'!$B:$B,"Less Concessions (expense line item)",INDEX('OS Analysis'!$E:$P,0,MATCH(DATE($A$40,MONTH(DATEVALUE(A42&amp;" 1")),1),'OS Analysis'!$E$2:$P$2,0))),0))&lt;&gt;0,(_xlfn.IFERROR(SUMIF('OS Analysis'!$B:$B,"Less Concessions (income line item)",INDEX('OS Analysis'!$E:$P,0,MATCH(DATE($A$40,MONTH(DATEVALUE(A42&amp;" 1")),1),'OS Analysis'!$E$2:$P$2,0))),0))-(_xlfn.IFERROR(SUMIF('OS Analysis'!$B:$B,"Less Concessions (expense line item)",INDEX('OS Analysis'!$E:$P,0,MATCH(DATE($A$40,MONTH(DATEVALUE(A42&amp;" 1")),1),'OS Analysis'!$E$2:$P$2,0))),0)),SUMIF('OS Analysis'!$AE:$AE,"Less Concessions (income line item)",'OS Analysis'!$AH:$AH)-SUMIF('OS Analysis'!$AE:$AE,"Less Concessions (expense line item)",'OS Analysis'!$AH:$AH))</f>
        <v>0</v>
      </c>
      <c r="I42" s="3180">
        <f t="shared" si="0"/>
        <v>0</v>
      </c>
      <c r="J42" s="3181">
        <f>IF(_xlfn.IFERROR(SUMIF('OS Analysis'!$B:$B,'Fannie Historical Ops'!$B$7,INDEX('OS Analysis'!$E:$P,0,MATCH(DATE($A$40,MONTH(DATEVALUE(A42&amp;" 1")),1),'OS Analysis'!$E$2:$P$2,0))),0)&lt;&gt;0,_xlfn.IFERROR(SUMIF('OS Analysis'!$B:$B,'Fannie Historical Ops'!$B$7,INDEX('OS Analysis'!$E:$P,0,MATCH(DATE($A$40,MONTH(DATEVALUE(A42&amp;" 1")),1),'OS Analysis'!$E$2:$P$2,0))),0),SUMIF('OS Analysis'!$AE:$AE,'Fannie Historical Ops'!$B$7,'OS Analysis'!$AH:$AH))</f>
        <v>0</v>
      </c>
      <c r="K42" s="3113">
        <f t="shared" si="0"/>
        <v>0</v>
      </c>
      <c r="L42" s="3115">
        <f t="shared" si="2"/>
        <v>0</v>
      </c>
      <c r="M42" s="3111">
        <f t="shared" si="3"/>
        <v>0</v>
      </c>
      <c r="N42" s="3116"/>
      <c r="O42" s="3117">
        <v>0</v>
      </c>
      <c r="P42" s="3118"/>
      <c r="Q42" s="3119">
        <f t="shared" si="4"/>
        <v>0</v>
      </c>
      <c r="R42" s="3111">
        <f t="shared" si="5"/>
        <v>0</v>
      </c>
      <c r="S42" s="3120"/>
      <c r="T42" s="3182"/>
      <c r="U42" s="3183"/>
      <c r="V42" s="3183"/>
      <c r="W42" s="2649"/>
      <c r="X42" s="3183"/>
      <c r="Y42" s="3183"/>
      <c r="Z42" s="3183"/>
      <c r="AA42" s="3183"/>
      <c r="AB42" s="3183"/>
      <c r="AC42" s="3184"/>
      <c r="AD42" s="3080"/>
      <c r="AE42" s="3080"/>
      <c r="AF42" s="3080"/>
      <c r="AG42" s="3080"/>
      <c r="AH42" s="3080"/>
      <c r="AI42" s="3080"/>
      <c r="AJ42" s="3080"/>
      <c r="AK42" s="3080"/>
      <c r="AL42" s="3080"/>
      <c r="AM42" s="3080"/>
      <c r="AN42" s="3080"/>
      <c r="AO42" s="3080"/>
    </row>
    <row r="43" ht="15" customHeight="1">
      <c r="A43" s="3109" t="s">
        <v>3028</v>
      </c>
      <c r="B43" s="3110">
        <f>_xlfn.LET(_xlpm.comment,"get the Current T12's GPR by month if available; if not, get the prior year's GPR for the same month",_xlpm.os_current_yr_line_items,'OS Analysis'!$B:$B,_xlpm.gpr_line_item,'Fannie Historical Ops'!$B$5,_xlpm.os_year,$A$40,_xlpm.os_month,$A43,_xlpm.os_date,DATE(_xlpm.os_year,MONTH(DATEVALUE(_xlpm.os_month&amp;"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Analysis'!$AI:$AI,IF(_xlpm.current_yr_gpr_for_month&gt;0,_xlpm.current_yr_gpr_for_month,SUMIF(_xlpm.os_yr1_line_items,_xlpm.gpr_line_item,_xlpm.os_yr1_monthly_data)))</f>
        <v>0</v>
      </c>
      <c r="C43" s="3110">
        <v>0</v>
      </c>
      <c r="D43" s="3110">
        <v>0</v>
      </c>
      <c r="E43" s="3111">
        <f t="shared" si="1"/>
        <v>0</v>
      </c>
      <c r="F43" s="3179">
        <f>IF(_xlfn.IFERROR(SUMIF('OS Analysis'!$B:$B,'Fannie Historical Ops'!$B$6,INDEX('OS Analysis'!$E:$P,0,MATCH(DATE($A$40,MONTH(DATEVALUE(A43&amp;" 1")),1),'OS Analysis'!$E$2:$P$2,0))),0)&lt;&gt;0,_xlfn.IFERROR(SUMIF('OS Analysis'!$B:$B,'Fannie Historical Ops'!$B$6,INDEX('OS Analysis'!$E:$P,0,MATCH(DATE($A$40,MONTH(DATEVALUE(A43&amp;" 1")),1),'OS Analysis'!$E$2:$P$2,0))),0),SUMIF('OS Analysis'!$AE:$AE,'Fannie Historical Ops'!$B$6,'OS Analysis'!$AI:$AI))</f>
        <v>0</v>
      </c>
      <c r="G43" s="3180">
        <f t="shared" si="0"/>
        <v>0</v>
      </c>
      <c r="H43" s="3181">
        <f>IF((_xlfn.IFERROR(SUMIF('OS Analysis'!$B:$B,"Less Concessions (income line item)",INDEX('OS Analysis'!$E:$P,0,MATCH(DATE($A$40,MONTH(DATEVALUE(A43&amp;" 1")),1),'OS Analysis'!$E$2:$P$2,0))),0))-(_xlfn.IFERROR(SUMIF('OS Analysis'!$B:$B,"Less Concessions (expense line item)",INDEX('OS Analysis'!$E:$P,0,MATCH(DATE($A$40,MONTH(DATEVALUE(A43&amp;" 1")),1),'OS Analysis'!$E$2:$P$2,0))),0))&lt;&gt;0,(_xlfn.IFERROR(SUMIF('OS Analysis'!$B:$B,"Less Concessions (income line item)",INDEX('OS Analysis'!$E:$P,0,MATCH(DATE($A$40,MONTH(DATEVALUE(A43&amp;" 1")),1),'OS Analysis'!$E$2:$P$2,0))),0))-(_xlfn.IFERROR(SUMIF('OS Analysis'!$B:$B,"Less Concessions (expense line item)",INDEX('OS Analysis'!$E:$P,0,MATCH(DATE($A$40,MONTH(DATEVALUE(A43&amp;" 1")),1),'OS Analysis'!$E$2:$P$2,0))),0)),SUMIF('OS Analysis'!$AE:$AE,"Less Concessions (income line item)",'OS Analysis'!$AI:$AI)-SUMIF('OS Analysis'!$AE:$AE,"Less Concessions (expense line item)",'OS Analysis'!$AI:$AI))</f>
        <v>0</v>
      </c>
      <c r="I43" s="3180">
        <f t="shared" si="0"/>
        <v>0</v>
      </c>
      <c r="J43" s="3181">
        <f>IF(_xlfn.IFERROR(SUMIF('OS Analysis'!$B:$B,'Fannie Historical Ops'!$B$7,INDEX('OS Analysis'!$E:$P,0,MATCH(DATE($A$40,MONTH(DATEVALUE(A43&amp;" 1")),1),'OS Analysis'!$E$2:$P$2,0))),0)&lt;&gt;0,_xlfn.IFERROR(SUMIF('OS Analysis'!$B:$B,'Fannie Historical Ops'!$B$7,INDEX('OS Analysis'!$E:$P,0,MATCH(DATE($A$40,MONTH(DATEVALUE(A43&amp;" 1")),1),'OS Analysis'!$E$2:$P$2,0))),0),SUMIF('OS Analysis'!$AE:$AE,'Fannie Historical Ops'!$B$7,'OS Analysis'!$AI:$AI))</f>
        <v>0</v>
      </c>
      <c r="K43" s="3113">
        <f t="shared" si="0"/>
        <v>0</v>
      </c>
      <c r="L43" s="3115">
        <f t="shared" si="2"/>
        <v>0</v>
      </c>
      <c r="M43" s="3111">
        <f t="shared" si="3"/>
        <v>0</v>
      </c>
      <c r="N43" s="3116"/>
      <c r="O43" s="3117">
        <v>0</v>
      </c>
      <c r="P43" s="3118"/>
      <c r="Q43" s="3119">
        <f t="shared" si="4"/>
        <v>0</v>
      </c>
      <c r="R43" s="3111">
        <f t="shared" si="5"/>
        <v>0</v>
      </c>
      <c r="S43" s="3120"/>
      <c r="T43" s="3182"/>
      <c r="U43" s="3183"/>
      <c r="V43" s="3183"/>
      <c r="W43" s="2663"/>
      <c r="X43" s="2663"/>
      <c r="Y43" s="2663"/>
      <c r="Z43" s="3183"/>
      <c r="AA43" s="3183"/>
      <c r="AB43" s="3183"/>
      <c r="AC43" s="3184"/>
      <c r="AD43" s="3080"/>
      <c r="AE43" s="3080"/>
      <c r="AF43" s="3080"/>
      <c r="AG43" s="3080"/>
      <c r="AH43" s="3080"/>
      <c r="AI43" s="3080"/>
      <c r="AJ43" s="3080"/>
      <c r="AK43" s="3080"/>
      <c r="AL43" s="3080"/>
      <c r="AM43" s="3080"/>
      <c r="AN43" s="3080"/>
      <c r="AO43" s="3080"/>
    </row>
    <row r="44" ht="15" customHeight="1">
      <c r="A44" s="3109" t="s">
        <v>3029</v>
      </c>
      <c r="B44" s="3110">
        <f>_xlfn.LET(_xlpm.comment,"get the Current T12's GPR by month if available; if not, get the prior year's GPR for the same month",_xlpm.os_current_yr_line_items,'OS Analysis'!$B:$B,_xlpm.gpr_line_item,'Fannie Historical Ops'!$B$5,_xlpm.os_year,$A$40,_xlpm.os_month,$A44,_xlpm.os_date,DATE(_xlpm.os_year,MONTH(DATEVALUE(_xlpm.os_month&amp;"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Analysis'!$AJ:$AJ,IF(_xlpm.current_yr_gpr_for_month&gt;0,_xlpm.current_yr_gpr_for_month,SUMIF(_xlpm.os_yr1_line_items,_xlpm.gpr_line_item,_xlpm.os_yr1_monthly_data)))</f>
        <v>0</v>
      </c>
      <c r="C44" s="3110">
        <v>0</v>
      </c>
      <c r="D44" s="3110">
        <v>0</v>
      </c>
      <c r="E44" s="3111">
        <f t="shared" si="1"/>
        <v>0</v>
      </c>
      <c r="F44" s="3179">
        <f>IF(_xlfn.IFERROR(SUMIF('OS Analysis'!$B:$B,'Fannie Historical Ops'!$B$6,INDEX('OS Analysis'!$E:$P,0,MATCH(DATE($A$40,MONTH(DATEVALUE(A44&amp;" 1")),1),'OS Analysis'!$E$2:$P$2,0))),0)&lt;&gt;0,_xlfn.IFERROR(SUMIF('OS Analysis'!$B:$B,'Fannie Historical Ops'!$B$6,INDEX('OS Analysis'!$E:$P,0,MATCH(DATE($A$40,MONTH(DATEVALUE(A44&amp;" 1")),1),'OS Analysis'!$E$2:$P$2,0))),0),SUMIF('OS Analysis'!$AE:$AE,'Fannie Historical Ops'!$B$6,'OS Analysis'!$AJ:$AJ))</f>
        <v>0</v>
      </c>
      <c r="G44" s="3180">
        <f t="shared" si="0"/>
        <v>0</v>
      </c>
      <c r="H44" s="3181">
        <f>IF((_xlfn.IFERROR(SUMIF('OS Analysis'!$B:$B,"Less Concessions (income line item)",INDEX('OS Analysis'!$E:$P,0,MATCH(DATE($A$40,MONTH(DATEVALUE(A44&amp;" 1")),1),'OS Analysis'!$E$2:$P$2,0))),0))-(_xlfn.IFERROR(SUMIF('OS Analysis'!$B:$B,"Less Concessions (expense line item)",INDEX('OS Analysis'!$E:$P,0,MATCH(DATE($A$40,MONTH(DATEVALUE(A44&amp;" 1")),1),'OS Analysis'!$E$2:$P$2,0))),0))&lt;&gt;0,(_xlfn.IFERROR(SUMIF('OS Analysis'!$B:$B,"Less Concessions (income line item)",INDEX('OS Analysis'!$E:$P,0,MATCH(DATE($A$40,MONTH(DATEVALUE(A44&amp;" 1")),1),'OS Analysis'!$E$2:$P$2,0))),0))-(_xlfn.IFERROR(SUMIF('OS Analysis'!$B:$B,"Less Concessions (expense line item)",INDEX('OS Analysis'!$E:$P,0,MATCH(DATE($A$40,MONTH(DATEVALUE(A44&amp;" 1")),1),'OS Analysis'!$E$2:$P$2,0))),0)),SUMIF('OS Analysis'!$AE:$AE,"Less Concessions (income line item)",'OS Analysis'!$AJ:$AJ)-SUMIF('OS Analysis'!$AE:$AE,"Less Concessions (expense line item)",'OS Analysis'!$AJ:$AJ))</f>
        <v>0</v>
      </c>
      <c r="I44" s="3180">
        <f t="shared" si="0"/>
        <v>0</v>
      </c>
      <c r="J44" s="3181">
        <f>IF(_xlfn.IFERROR(SUMIF('OS Analysis'!$B:$B,'Fannie Historical Ops'!$B$7,INDEX('OS Analysis'!$E:$P,0,MATCH(DATE($A$40,MONTH(DATEVALUE(A44&amp;" 1")),1),'OS Analysis'!$E$2:$P$2,0))),0)&lt;&gt;0,_xlfn.IFERROR(SUMIF('OS Analysis'!$B:$B,'Fannie Historical Ops'!$B$7,INDEX('OS Analysis'!$E:$P,0,MATCH(DATE($A$40,MONTH(DATEVALUE(A44&amp;" 1")),1),'OS Analysis'!$E$2:$P$2,0))),0),SUMIF('OS Analysis'!$AE:$AE,'Fannie Historical Ops'!$B$7,'OS Analysis'!$AJ:$AJ))</f>
        <v>0</v>
      </c>
      <c r="K44" s="3113">
        <f t="shared" si="0"/>
        <v>0</v>
      </c>
      <c r="L44" s="3115">
        <f t="shared" si="2"/>
        <v>0</v>
      </c>
      <c r="M44" s="3111">
        <f t="shared" si="3"/>
        <v>0</v>
      </c>
      <c r="N44" s="3116"/>
      <c r="O44" s="3117">
        <v>0</v>
      </c>
      <c r="P44" s="3118"/>
      <c r="Q44" s="3119">
        <f t="shared" si="4"/>
        <v>0</v>
      </c>
      <c r="R44" s="3111">
        <f t="shared" si="5"/>
        <v>0</v>
      </c>
      <c r="S44" s="3120"/>
      <c r="T44" s="3182"/>
      <c r="U44" s="3183"/>
      <c r="V44" s="3183"/>
      <c r="W44" s="2663"/>
      <c r="X44" s="2663"/>
      <c r="Y44" s="2663"/>
      <c r="Z44" s="3183"/>
      <c r="AA44" s="3183"/>
      <c r="AB44" s="3183"/>
      <c r="AC44" s="3184"/>
      <c r="AD44" s="3080"/>
      <c r="AE44" s="3080"/>
      <c r="AF44" s="3080"/>
      <c r="AG44" s="3080"/>
      <c r="AH44" s="3080"/>
      <c r="AI44" s="3080"/>
      <c r="AJ44" s="3080"/>
      <c r="AK44" s="3080"/>
      <c r="AL44" s="3080"/>
      <c r="AM44" s="3080"/>
      <c r="AN44" s="3080"/>
      <c r="AO44" s="3080"/>
    </row>
    <row r="45" ht="15" customHeight="1">
      <c r="A45" s="3109" t="s">
        <v>3030</v>
      </c>
      <c r="B45" s="3110">
        <f>_xlfn.LET(_xlpm.comment,"get the Current T12's GPR by month if available; if not, get the prior year's GPR for the same month",_xlpm.os_current_yr_line_items,'OS Analysis'!$B:$B,_xlpm.gpr_line_item,'Fannie Historical Ops'!$B$5,_xlpm.os_year,$A$40,_xlpm.os_month,$A45,_xlpm.os_date,DATE(_xlpm.os_year,MONTH(DATEVALUE(_xlpm.os_month&amp;"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Analysis'!$AK:$AK,IF(_xlpm.current_yr_gpr_for_month&gt;0,_xlpm.current_yr_gpr_for_month,SUMIF(_xlpm.os_yr1_line_items,_xlpm.gpr_line_item,_xlpm.os_yr1_monthly_data)))</f>
        <v>0</v>
      </c>
      <c r="C45" s="3110">
        <v>0</v>
      </c>
      <c r="D45" s="3110">
        <v>0</v>
      </c>
      <c r="E45" s="3111">
        <f t="shared" si="1"/>
        <v>0</v>
      </c>
      <c r="F45" s="3179">
        <f>IF(_xlfn.IFERROR(SUMIF('OS Analysis'!$B:$B,'Fannie Historical Ops'!$B$6,INDEX('OS Analysis'!$E:$P,0,MATCH(DATE($A$40,MONTH(DATEVALUE(A45&amp;" 1")),1),'OS Analysis'!$E$2:$P$2,0))),0)&lt;&gt;0,_xlfn.IFERROR(SUMIF('OS Analysis'!$B:$B,'Fannie Historical Ops'!$B$6,INDEX('OS Analysis'!$E:$P,0,MATCH(DATE($A$40,MONTH(DATEVALUE(A45&amp;" 1")),1),'OS Analysis'!$E$2:$P$2,0))),0),SUMIF('OS Analysis'!$AE:$AE,'Fannie Historical Ops'!$B$6,'OS Analysis'!$AK:$AK))</f>
        <v>0</v>
      </c>
      <c r="G45" s="3180">
        <f t="shared" si="0"/>
        <v>0</v>
      </c>
      <c r="H45" s="3181">
        <f>IF((_xlfn.IFERROR(SUMIF('OS Analysis'!$B:$B,"Less Concessions (income line item)",INDEX('OS Analysis'!$E:$P,0,MATCH(DATE($A$40,MONTH(DATEVALUE(A45&amp;" 1")),1),'OS Analysis'!$E$2:$P$2,0))),0))-(_xlfn.IFERROR(SUMIF('OS Analysis'!$B:$B,"Less Concessions (expense line item)",INDEX('OS Analysis'!$E:$P,0,MATCH(DATE($A$40,MONTH(DATEVALUE(A45&amp;" 1")),1),'OS Analysis'!$E$2:$P$2,0))),0))&lt;&gt;0,(_xlfn.IFERROR(SUMIF('OS Analysis'!$B:$B,"Less Concessions (income line item)",INDEX('OS Analysis'!$E:$P,0,MATCH(DATE($A$40,MONTH(DATEVALUE(A45&amp;" 1")),1),'OS Analysis'!$E$2:$P$2,0))),0))-(_xlfn.IFERROR(SUMIF('OS Analysis'!$B:$B,"Less Concessions (expense line item)",INDEX('OS Analysis'!$E:$P,0,MATCH(DATE($A$40,MONTH(DATEVALUE(A45&amp;" 1")),1),'OS Analysis'!$E$2:$P$2,0))),0)),SUMIF('OS Analysis'!$AE:$AE,"Less Concessions (income line item)",'OS Analysis'!$AK:$AK)-SUMIF('OS Analysis'!$AE:$AE,"Less Concessions (expense line item)",'OS Analysis'!$AK:$AK))</f>
        <v>0</v>
      </c>
      <c r="I45" s="3180">
        <f t="shared" si="0"/>
        <v>0</v>
      </c>
      <c r="J45" s="3181">
        <f>IF(_xlfn.IFERROR(SUMIF('OS Analysis'!$B:$B,'Fannie Historical Ops'!$B$7,INDEX('OS Analysis'!$E:$P,0,MATCH(DATE($A$40,MONTH(DATEVALUE(A45&amp;" 1")),1),'OS Analysis'!$E$2:$P$2,0))),0)&lt;&gt;0,_xlfn.IFERROR(SUMIF('OS Analysis'!$B:$B,'Fannie Historical Ops'!$B$7,INDEX('OS Analysis'!$E:$P,0,MATCH(DATE($A$40,MONTH(DATEVALUE(A45&amp;" 1")),1),'OS Analysis'!$E$2:$P$2,0))),0),SUMIF('OS Analysis'!$AE:$AE,'Fannie Historical Ops'!$B$7,'OS Analysis'!$AK:$AK))</f>
        <v>0</v>
      </c>
      <c r="K45" s="3113">
        <f t="shared" si="0"/>
        <v>0</v>
      </c>
      <c r="L45" s="3115">
        <f t="shared" si="2"/>
        <v>0</v>
      </c>
      <c r="M45" s="3111">
        <f t="shared" si="3"/>
        <v>0</v>
      </c>
      <c r="N45" s="3116"/>
      <c r="O45" s="3117">
        <v>0</v>
      </c>
      <c r="P45" s="3118"/>
      <c r="Q45" s="3119">
        <f t="shared" si="4"/>
        <v>0</v>
      </c>
      <c r="R45" s="3111">
        <f t="shared" si="5"/>
        <v>0</v>
      </c>
      <c r="S45" s="3120"/>
      <c r="T45" s="3182"/>
      <c r="U45" s="3183"/>
      <c r="V45" s="3185"/>
      <c r="W45" s="3186"/>
      <c r="X45" s="3186"/>
      <c r="Y45" s="3186"/>
      <c r="Z45" s="3183"/>
      <c r="AA45" s="3183"/>
      <c r="AB45" s="3183"/>
      <c r="AC45" s="3184"/>
      <c r="AD45" s="3080"/>
      <c r="AE45" s="3080"/>
      <c r="AF45" s="3080"/>
      <c r="AG45" s="3080"/>
      <c r="AH45" s="3080"/>
      <c r="AI45" s="3080"/>
      <c r="AJ45" s="3080"/>
      <c r="AK45" s="3080"/>
      <c r="AL45" s="3080"/>
      <c r="AM45" s="3080"/>
      <c r="AN45" s="3080"/>
      <c r="AO45" s="3080"/>
    </row>
    <row r="46" ht="15" customHeight="1">
      <c r="A46" s="3109" t="s">
        <v>3031</v>
      </c>
      <c r="B46" s="3110">
        <f>_xlfn.LET(_xlpm.comment,"get the Current T12's GPR by month if available; if not, get the prior year's GPR for the same month",_xlpm.os_current_yr_line_items,'OS Analysis'!$B:$B,_xlpm.gpr_line_item,'Fannie Historical Ops'!$B$5,_xlpm.os_year,$A$40,_xlpm.os_month,$A46,_xlpm.os_date,DATE(_xlpm.os_year,MONTH(DATEVALUE(_xlpm.os_month&amp;"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Analysis'!$AL:$AL,IF(_xlpm.current_yr_gpr_for_month&gt;0,_xlpm.current_yr_gpr_for_month,SUMIF(_xlpm.os_yr1_line_items,_xlpm.gpr_line_item,_xlpm.os_yr1_monthly_data)))</f>
        <v>0</v>
      </c>
      <c r="C46" s="3110">
        <v>0</v>
      </c>
      <c r="D46" s="3110">
        <v>0</v>
      </c>
      <c r="E46" s="3111">
        <f t="shared" si="1"/>
        <v>0</v>
      </c>
      <c r="F46" s="3179">
        <f>IF(_xlfn.IFERROR(SUMIF('OS Analysis'!$B:$B,'Fannie Historical Ops'!$B$6,INDEX('OS Analysis'!$E:$P,0,MATCH(DATE($A$40,MONTH(DATEVALUE(A46&amp;" 1")),1),'OS Analysis'!$E$2:$P$2,0))),0)&lt;&gt;0,_xlfn.IFERROR(SUMIF('OS Analysis'!$B:$B,'Fannie Historical Ops'!$B$6,INDEX('OS Analysis'!$E:$P,0,MATCH(DATE($A$40,MONTH(DATEVALUE(A46&amp;" 1")),1),'OS Analysis'!$E$2:$P$2,0))),0),SUMIF('OS Analysis'!$AE:$AE,'Fannie Historical Ops'!$B$6,'OS Analysis'!$AL:$AL))</f>
        <v>0</v>
      </c>
      <c r="G46" s="3180">
        <f t="shared" si="0"/>
        <v>0</v>
      </c>
      <c r="H46" s="3181">
        <f>IF((_xlfn.IFERROR(SUMIF('OS Analysis'!$B:$B,"Less Concessions (income line item)",INDEX('OS Analysis'!$E:$P,0,MATCH(DATE($A$40,MONTH(DATEVALUE(A46&amp;" 1")),1),'OS Analysis'!$E$2:$P$2,0))),0))-(_xlfn.IFERROR(SUMIF('OS Analysis'!$B:$B,"Less Concessions (expense line item)",INDEX('OS Analysis'!$E:$P,0,MATCH(DATE($A$40,MONTH(DATEVALUE(A46&amp;" 1")),1),'OS Analysis'!$E$2:$P$2,0))),0))&lt;&gt;0,(_xlfn.IFERROR(SUMIF('OS Analysis'!$B:$B,"Less Concessions (income line item)",INDEX('OS Analysis'!$E:$P,0,MATCH(DATE($A$40,MONTH(DATEVALUE(A46&amp;" 1")),1),'OS Analysis'!$E$2:$P$2,0))),0))-(_xlfn.IFERROR(SUMIF('OS Analysis'!$B:$B,"Less Concessions (expense line item)",INDEX('OS Analysis'!$E:$P,0,MATCH(DATE($A$40,MONTH(DATEVALUE(A46&amp;" 1")),1),'OS Analysis'!$E$2:$P$2,0))),0)),SUMIF('OS Analysis'!$AE:$AE,"Less Concessions (income line item)",'OS Analysis'!$AL:$AL)-SUMIF('OS Analysis'!$AE:$AE,"Less Concessions (expense line item)",'OS Analysis'!$AL:$AL))</f>
        <v>0</v>
      </c>
      <c r="I46" s="3180">
        <f t="shared" si="0"/>
        <v>0</v>
      </c>
      <c r="J46" s="3181">
        <f>IF(_xlfn.IFERROR(SUMIF('OS Analysis'!$B:$B,'Fannie Historical Ops'!$B$7,INDEX('OS Analysis'!$E:$P,0,MATCH(DATE($A$40,MONTH(DATEVALUE(A46&amp;" 1")),1),'OS Analysis'!$E$2:$P$2,0))),0)&lt;&gt;0,_xlfn.IFERROR(SUMIF('OS Analysis'!$B:$B,'Fannie Historical Ops'!$B$7,INDEX('OS Analysis'!$E:$P,0,MATCH(DATE($A$40,MONTH(DATEVALUE(A46&amp;" 1")),1),'OS Analysis'!$E$2:$P$2,0))),0),SUMIF('OS Analysis'!$AE:$AE,'Fannie Historical Ops'!$B$7,'OS Analysis'!$AL:$AL))</f>
        <v>0</v>
      </c>
      <c r="K46" s="3113">
        <f t="shared" si="0"/>
        <v>0</v>
      </c>
      <c r="L46" s="3115">
        <f t="shared" si="2"/>
        <v>0</v>
      </c>
      <c r="M46" s="3111">
        <f t="shared" si="3"/>
        <v>0</v>
      </c>
      <c r="N46" s="3116"/>
      <c r="O46" s="3117">
        <v>0</v>
      </c>
      <c r="P46" s="3118"/>
      <c r="Q46" s="3119">
        <f t="shared" si="4"/>
        <v>0</v>
      </c>
      <c r="R46" s="3111">
        <f t="shared" si="5"/>
        <v>0</v>
      </c>
      <c r="S46" s="3120"/>
      <c r="T46" s="3182"/>
      <c r="U46" s="3183"/>
      <c r="V46" s="3185"/>
      <c r="W46" s="3186"/>
      <c r="X46" s="3186"/>
      <c r="Y46" s="3186"/>
      <c r="Z46" s="3183"/>
      <c r="AA46" s="3183"/>
      <c r="AB46" s="3183"/>
      <c r="AC46" s="3184"/>
      <c r="AD46" s="3080"/>
      <c r="AE46" s="3080"/>
      <c r="AF46" s="3080"/>
      <c r="AG46" s="3080"/>
      <c r="AH46" s="3080"/>
      <c r="AI46" s="3080"/>
      <c r="AJ46" s="3080"/>
      <c r="AK46" s="3080"/>
      <c r="AL46" s="3080"/>
      <c r="AM46" s="3080"/>
      <c r="AN46" s="3080"/>
      <c r="AO46" s="3080"/>
    </row>
    <row r="47" ht="15" customHeight="1">
      <c r="A47" s="3109" t="s">
        <v>3032</v>
      </c>
      <c r="B47" s="3110">
        <f>_xlfn.LET(_xlpm.comment,"get the Current T12's GPR by month if available; if not, get the prior year's GPR for the same month",_xlpm.os_current_yr_line_items,'OS Analysis'!$B:$B,_xlpm.gpr_line_item,'Fannie Historical Ops'!$B$5,_xlpm.os_year,$A$40,_xlpm.os_month,$A47,_xlpm.os_date,DATE(_xlpm.os_year,MONTH(DATEVALUE(_xlpm.os_month&amp;"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Analysis'!$AM:$AM,IF(_xlpm.current_yr_gpr_for_month&gt;0,_xlpm.current_yr_gpr_for_month,SUMIF(_xlpm.os_yr1_line_items,_xlpm.gpr_line_item,_xlpm.os_yr1_monthly_data)))</f>
        <v>0</v>
      </c>
      <c r="C47" s="3110">
        <v>0</v>
      </c>
      <c r="D47" s="3110">
        <v>0</v>
      </c>
      <c r="E47" s="3111">
        <f t="shared" si="1"/>
        <v>0</v>
      </c>
      <c r="F47" s="3179">
        <f>IF(_xlfn.IFERROR(SUMIF('OS Analysis'!$B:$B,'Fannie Historical Ops'!$B$6,INDEX('OS Analysis'!$E:$P,0,MATCH(DATE($A$40,MONTH(DATEVALUE(A47&amp;" 1")),1),'OS Analysis'!$E$2:$P$2,0))),0)&lt;&gt;0,_xlfn.IFERROR(SUMIF('OS Analysis'!$B:$B,'Fannie Historical Ops'!$B$6,INDEX('OS Analysis'!$E:$P,0,MATCH(DATE($A$40,MONTH(DATEVALUE(A47&amp;" 1")),1),'OS Analysis'!$E$2:$P$2,0))),0),SUMIF('OS Analysis'!$AE:$AE,'Fannie Historical Ops'!$B$6,'OS Analysis'!$AM:$AM))</f>
        <v>0</v>
      </c>
      <c r="G47" s="3180">
        <f t="shared" si="0"/>
        <v>0</v>
      </c>
      <c r="H47" s="3181">
        <f>IF((_xlfn.IFERROR(SUMIF('OS Analysis'!$B:$B,"Less Concessions (income line item)",INDEX('OS Analysis'!$E:$P,0,MATCH(DATE($A$40,MONTH(DATEVALUE(A47&amp;" 1")),1),'OS Analysis'!$E$2:$P$2,0))),0))-(_xlfn.IFERROR(SUMIF('OS Analysis'!$B:$B,"Less Concessions (expense line item)",INDEX('OS Analysis'!$E:$P,0,MATCH(DATE($A$40,MONTH(DATEVALUE(A47&amp;" 1")),1),'OS Analysis'!$E$2:$P$2,0))),0))&lt;&gt;0,(_xlfn.IFERROR(SUMIF('OS Analysis'!$B:$B,"Less Concessions (income line item)",INDEX('OS Analysis'!$E:$P,0,MATCH(DATE($A$40,MONTH(DATEVALUE(A47&amp;" 1")),1),'OS Analysis'!$E$2:$P$2,0))),0))-(_xlfn.IFERROR(SUMIF('OS Analysis'!$B:$B,"Less Concessions (expense line item)",INDEX('OS Analysis'!$E:$P,0,MATCH(DATE($A$40,MONTH(DATEVALUE(A47&amp;" 1")),1),'OS Analysis'!$E$2:$P$2,0))),0)),SUMIF('OS Analysis'!$AE:$AE,"Less Concessions (income line item)",'OS Analysis'!$AM:$AM)-SUMIF('OS Analysis'!$AE:$AE,"Less Concessions (expense line item)",'OS Analysis'!$AM:$AM))</f>
        <v>0</v>
      </c>
      <c r="I47" s="3180">
        <f t="shared" si="0"/>
        <v>0</v>
      </c>
      <c r="J47" s="3181">
        <f>IF(_xlfn.IFERROR(SUMIF('OS Analysis'!$B:$B,'Fannie Historical Ops'!$B$7,INDEX('OS Analysis'!$E:$P,0,MATCH(DATE($A$40,MONTH(DATEVALUE(A47&amp;" 1")),1),'OS Analysis'!$E$2:$P$2,0))),0)&lt;&gt;0,_xlfn.IFERROR(SUMIF('OS Analysis'!$B:$B,'Fannie Historical Ops'!$B$7,INDEX('OS Analysis'!$E:$P,0,MATCH(DATE($A$40,MONTH(DATEVALUE(A47&amp;" 1")),1),'OS Analysis'!$E$2:$P$2,0))),0),SUMIF('OS Analysis'!$AE:$AE,'Fannie Historical Ops'!$B$7,'OS Analysis'!$AM:$AM))</f>
        <v>0</v>
      </c>
      <c r="K47" s="3113">
        <f t="shared" si="0"/>
        <v>0</v>
      </c>
      <c r="L47" s="3115">
        <f t="shared" si="2"/>
        <v>0</v>
      </c>
      <c r="M47" s="3111">
        <f t="shared" si="3"/>
        <v>0</v>
      </c>
      <c r="N47" s="3116"/>
      <c r="O47" s="3117">
        <v>0</v>
      </c>
      <c r="P47" s="3118"/>
      <c r="Q47" s="3119">
        <f t="shared" si="4"/>
        <v>0</v>
      </c>
      <c r="R47" s="3111">
        <f t="shared" si="5"/>
        <v>0</v>
      </c>
      <c r="S47" s="3120"/>
      <c r="T47" s="3182"/>
      <c r="U47" s="3183"/>
      <c r="V47" s="3185"/>
      <c r="W47" s="3186"/>
      <c r="X47" s="3186"/>
      <c r="Y47" s="3186"/>
      <c r="Z47" s="3183"/>
      <c r="AA47" s="3183"/>
      <c r="AB47" s="3183"/>
      <c r="AC47" s="3184"/>
      <c r="AD47" s="3080"/>
      <c r="AE47" s="3080"/>
      <c r="AF47" s="3080"/>
      <c r="AG47" s="3080"/>
      <c r="AH47" s="3080"/>
      <c r="AI47" s="3080"/>
      <c r="AJ47" s="3080"/>
      <c r="AK47" s="3080"/>
      <c r="AL47" s="3080"/>
      <c r="AM47" s="3080"/>
      <c r="AN47" s="3080"/>
      <c r="AO47" s="3080"/>
    </row>
    <row r="48" ht="15" customHeight="1">
      <c r="A48" s="3109" t="s">
        <v>3033</v>
      </c>
      <c r="B48" s="3110">
        <f>_xlfn.LET(_xlpm.comment,"get the Current T12's GPR by month if available; if not, get the prior year's GPR for the same month",_xlpm.os_current_yr_line_items,'OS Analysis'!$B:$B,_xlpm.gpr_line_item,'Fannie Historical Ops'!$B$5,_xlpm.os_year,$A$40,_xlpm.os_month,$A48,_xlpm.os_date,DATE(_xlpm.os_year,MONTH(DATEVALUE(_xlpm.os_month&amp;"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Analysis'!$AN:$AN,IF(_xlpm.current_yr_gpr_for_month&gt;0,_xlpm.current_yr_gpr_for_month,SUMIF(_xlpm.os_yr1_line_items,_xlpm.gpr_line_item,_xlpm.os_yr1_monthly_data)))</f>
        <v>0</v>
      </c>
      <c r="C48" s="3110">
        <v>0</v>
      </c>
      <c r="D48" s="3110">
        <v>0</v>
      </c>
      <c r="E48" s="3111">
        <f t="shared" si="1"/>
        <v>0</v>
      </c>
      <c r="F48" s="3179">
        <f>IF(_xlfn.IFERROR(SUMIF('OS Analysis'!$B:$B,'Fannie Historical Ops'!$B$6,INDEX('OS Analysis'!$E:$P,0,MATCH(DATE($A$40,MONTH(DATEVALUE(A48&amp;" 1")),1),'OS Analysis'!$E$2:$P$2,0))),0)&lt;&gt;0,_xlfn.IFERROR(SUMIF('OS Analysis'!$B:$B,'Fannie Historical Ops'!$B$6,INDEX('OS Analysis'!$E:$P,0,MATCH(DATE($A$40,MONTH(DATEVALUE(A48&amp;" 1")),1),'OS Analysis'!$E$2:$P$2,0))),0),SUMIF('OS Analysis'!$AE:$AE,'Fannie Historical Ops'!$B$6,'OS Analysis'!$AN:$AN))</f>
        <v>0</v>
      </c>
      <c r="G48" s="3180">
        <f t="shared" si="0"/>
        <v>0</v>
      </c>
      <c r="H48" s="3181">
        <f>IF((_xlfn.IFERROR(SUMIF('OS Analysis'!$B:$B,"Less Concessions (income line item)",INDEX('OS Analysis'!$E:$P,0,MATCH(DATE($A$40,MONTH(DATEVALUE(A48&amp;" 1")),1),'OS Analysis'!$E$2:$P$2,0))),0))-(_xlfn.IFERROR(SUMIF('OS Analysis'!$B:$B,"Less Concessions (expense line item)",INDEX('OS Analysis'!$E:$P,0,MATCH(DATE($A$40,MONTH(DATEVALUE(A48&amp;" 1")),1),'OS Analysis'!$E$2:$P$2,0))),0))&lt;&gt;0,(_xlfn.IFERROR(SUMIF('OS Analysis'!$B:$B,"Less Concessions (income line item)",INDEX('OS Analysis'!$E:$P,0,MATCH(DATE($A$40,MONTH(DATEVALUE(A48&amp;" 1")),1),'OS Analysis'!$E$2:$P$2,0))),0))-(_xlfn.IFERROR(SUMIF('OS Analysis'!$B:$B,"Less Concessions (expense line item)",INDEX('OS Analysis'!$E:$P,0,MATCH(DATE($A$40,MONTH(DATEVALUE(A48&amp;" 1")),1),'OS Analysis'!$E$2:$P$2,0))),0)),SUMIF('OS Analysis'!$AE:$AE,"Less Concessions (income line item)",'OS Analysis'!$AN:$AN)-SUMIF('OS Analysis'!$AE:$AE,"Less Concessions (expense line item)",'OS Analysis'!$AN:$AN))</f>
        <v>0</v>
      </c>
      <c r="I48" s="3180">
        <f t="shared" si="0"/>
        <v>0</v>
      </c>
      <c r="J48" s="3181">
        <f>IF(_xlfn.IFERROR(SUMIF('OS Analysis'!$B:$B,'Fannie Historical Ops'!$B$7,INDEX('OS Analysis'!$E:$P,0,MATCH(DATE($A$40,MONTH(DATEVALUE(A48&amp;" 1")),1),'OS Analysis'!$E$2:$P$2,0))),0)&lt;&gt;0,_xlfn.IFERROR(SUMIF('OS Analysis'!$B:$B,'Fannie Historical Ops'!$B$7,INDEX('OS Analysis'!$E:$P,0,MATCH(DATE($A$40,MONTH(DATEVALUE(A48&amp;" 1")),1),'OS Analysis'!$E$2:$P$2,0))),0),SUMIF('OS Analysis'!$AE:$AE,'Fannie Historical Ops'!$B$7,'OS Analysis'!$AN:$AN))</f>
        <v>0</v>
      </c>
      <c r="K48" s="3113">
        <f t="shared" si="0"/>
        <v>0</v>
      </c>
      <c r="L48" s="3115">
        <f t="shared" si="2"/>
        <v>0</v>
      </c>
      <c r="M48" s="3111">
        <f t="shared" si="3"/>
        <v>0</v>
      </c>
      <c r="N48" s="3116"/>
      <c r="O48" s="3117">
        <v>0</v>
      </c>
      <c r="P48" s="3118"/>
      <c r="Q48" s="3119">
        <f t="shared" si="4"/>
        <v>0</v>
      </c>
      <c r="R48" s="3111">
        <f t="shared" si="5"/>
        <v>0</v>
      </c>
      <c r="S48" s="3120"/>
      <c r="T48" s="3182"/>
      <c r="U48" s="3183"/>
      <c r="V48" s="3185"/>
      <c r="W48" s="3186"/>
      <c r="X48" s="3186"/>
      <c r="Y48" s="3186"/>
      <c r="Z48" s="3183"/>
      <c r="AA48" s="3183"/>
      <c r="AB48" s="3183"/>
      <c r="AC48" s="3184"/>
      <c r="AD48" s="3080"/>
      <c r="AE48" s="3080"/>
      <c r="AF48" s="3080"/>
      <c r="AG48" s="3080"/>
      <c r="AH48" s="3080"/>
      <c r="AI48" s="3080"/>
      <c r="AJ48" s="3080"/>
      <c r="AK48" s="3080"/>
      <c r="AL48" s="3080"/>
      <c r="AM48" s="3080"/>
      <c r="AN48" s="3080"/>
      <c r="AO48" s="3080"/>
    </row>
    <row r="49" ht="15" customHeight="1">
      <c r="A49" s="3109" t="s">
        <v>3034</v>
      </c>
      <c r="B49" s="3110">
        <f>_xlfn.LET(_xlpm.comment,"get the Current T12's GPR by month if available; if not, get the prior year's GPR for the same month",_xlpm.os_current_yr_line_items,'OS Analysis'!$B:$B,_xlpm.gpr_line_item,'Fannie Historical Ops'!$B$5,_xlpm.os_year,$A$40,_xlpm.os_month,$A49,_xlpm.os_date,DATE(_xlpm.os_year,MONTH(DATEVALUE(_xlpm.os_month&amp;"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Analysis'!$AO:$AO,IF(_xlpm.current_yr_gpr_for_month&gt;0,_xlpm.current_yr_gpr_for_month,SUMIF(_xlpm.os_yr1_line_items,_xlpm.gpr_line_item,_xlpm.os_yr1_monthly_data)))</f>
        <v>0</v>
      </c>
      <c r="C49" s="3110">
        <v>0</v>
      </c>
      <c r="D49" s="3110">
        <v>0</v>
      </c>
      <c r="E49" s="3111">
        <f t="shared" si="1"/>
        <v>0</v>
      </c>
      <c r="F49" s="3179">
        <f>IF(_xlfn.IFERROR(SUMIF('OS Analysis'!$B:$B,'Fannie Historical Ops'!$B$6,INDEX('OS Analysis'!$E:$P,0,MATCH(DATE($A$40,MONTH(DATEVALUE(A49&amp;" 1")),1),'OS Analysis'!$E$2:$P$2,0))),0)&lt;&gt;0,_xlfn.IFERROR(SUMIF('OS Analysis'!$B:$B,'Fannie Historical Ops'!$B$6,INDEX('OS Analysis'!$E:$P,0,MATCH(DATE($A$40,MONTH(DATEVALUE(A49&amp;" 1")),1),'OS Analysis'!$E$2:$P$2,0))),0),SUMIF('OS Analysis'!$AE:$AE,'Fannie Historical Ops'!$B$6,'OS Analysis'!$AO:$AO))</f>
        <v>0</v>
      </c>
      <c r="G49" s="3180">
        <f t="shared" si="0"/>
        <v>0</v>
      </c>
      <c r="H49" s="3181">
        <f>IF((_xlfn.IFERROR(SUMIF('OS Analysis'!$B:$B,"Less Concessions (income line item)",INDEX('OS Analysis'!$E:$P,0,MATCH(DATE($A$40,MONTH(DATEVALUE(A49&amp;" 1")),1),'OS Analysis'!$E$2:$P$2,0))),0))-(_xlfn.IFERROR(SUMIF('OS Analysis'!$B:$B,"Less Concessions (expense line item)",INDEX('OS Analysis'!$E:$P,0,MATCH(DATE($A$40,MONTH(DATEVALUE(A49&amp;" 1")),1),'OS Analysis'!$E$2:$P$2,0))),0))&lt;&gt;0,(_xlfn.IFERROR(SUMIF('OS Analysis'!$B:$B,"Less Concessions (income line item)",INDEX('OS Analysis'!$E:$P,0,MATCH(DATE($A$40,MONTH(DATEVALUE(A49&amp;" 1")),1),'OS Analysis'!$E$2:$P$2,0))),0))-(_xlfn.IFERROR(SUMIF('OS Analysis'!$B:$B,"Less Concessions (expense line item)",INDEX('OS Analysis'!$E:$P,0,MATCH(DATE($A$40,MONTH(DATEVALUE(A49&amp;" 1")),1),'OS Analysis'!$E$2:$P$2,0))),0)),SUMIF('OS Analysis'!$AE:$AE,"Less Concessions (income line item)",'OS Analysis'!$AO:$AO)-SUMIF('OS Analysis'!$AE:$AE,"Less Concessions (expense line item)",'OS Analysis'!$AO:$AO))</f>
        <v>0</v>
      </c>
      <c r="I49" s="3180">
        <f t="shared" si="0"/>
        <v>0</v>
      </c>
      <c r="J49" s="3181">
        <f>IF(_xlfn.IFERROR(SUMIF('OS Analysis'!$B:$B,'Fannie Historical Ops'!$B$7,INDEX('OS Analysis'!$E:$P,0,MATCH(DATE($A$40,MONTH(DATEVALUE(A49&amp;" 1")),1),'OS Analysis'!$E$2:$P$2,0))),0)&lt;&gt;0,_xlfn.IFERROR(SUMIF('OS Analysis'!$B:$B,'Fannie Historical Ops'!$B$7,INDEX('OS Analysis'!$E:$P,0,MATCH(DATE($A$40,MONTH(DATEVALUE(A49&amp;" 1")),1),'OS Analysis'!$E$2:$P$2,0))),0),SUMIF('OS Analysis'!$AE:$AE,'Fannie Historical Ops'!$B$7,'OS Analysis'!$AO:$AO))</f>
        <v>0</v>
      </c>
      <c r="K49" s="3113">
        <f t="shared" si="0"/>
        <v>0</v>
      </c>
      <c r="L49" s="3115">
        <f t="shared" si="2"/>
        <v>0</v>
      </c>
      <c r="M49" s="3111">
        <f t="shared" si="3"/>
        <v>0</v>
      </c>
      <c r="N49" s="3116"/>
      <c r="O49" s="3117">
        <v>0</v>
      </c>
      <c r="P49" s="3118"/>
      <c r="Q49" s="3119">
        <f t="shared" si="4"/>
        <v>0</v>
      </c>
      <c r="R49" s="3111">
        <f t="shared" si="5"/>
        <v>0</v>
      </c>
      <c r="S49" s="3120"/>
      <c r="T49" s="3182"/>
      <c r="U49" s="3183"/>
      <c r="V49" s="3185"/>
      <c r="W49" s="3186"/>
      <c r="X49" s="3186"/>
      <c r="Y49" s="3186"/>
      <c r="Z49" s="3183"/>
      <c r="AA49" s="3183"/>
      <c r="AB49" s="3183"/>
      <c r="AC49" s="3184"/>
      <c r="AD49" s="3080"/>
      <c r="AE49" s="3080"/>
      <c r="AF49" s="3080"/>
      <c r="AG49" s="3080"/>
      <c r="AH49" s="3080"/>
      <c r="AI49" s="3080"/>
      <c r="AJ49" s="3080"/>
      <c r="AK49" s="3080"/>
      <c r="AL49" s="3080"/>
      <c r="AM49" s="3080"/>
      <c r="AN49" s="3080"/>
      <c r="AO49" s="3080"/>
    </row>
    <row r="50" ht="15" customHeight="1">
      <c r="A50" s="3109" t="s">
        <v>3035</v>
      </c>
      <c r="B50" s="3110">
        <f>_xlfn.LET(_xlpm.comment,"get the Current T12's GPR by month if available; if not, get the prior year's GPR for the same month",_xlpm.os_current_yr_line_items,'OS Analysis'!$B:$B,_xlpm.gpr_line_item,'Fannie Historical Ops'!$B$5,_xlpm.os_year,$A$40,_xlpm.os_month,$A50,_xlpm.os_date,DATE(_xlpm.os_year,MONTH(DATEVALUE(_xlpm.os_month&amp;"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Analysis'!$AP:$AP,IF(_xlpm.current_yr_gpr_for_month&gt;0,_xlpm.current_yr_gpr_for_month,SUMIF(_xlpm.os_yr1_line_items,_xlpm.gpr_line_item,_xlpm.os_yr1_monthly_data)))</f>
        <v>0</v>
      </c>
      <c r="C50" s="3110">
        <v>0</v>
      </c>
      <c r="D50" s="3110">
        <v>0</v>
      </c>
      <c r="E50" s="3111">
        <f t="shared" si="1"/>
        <v>0</v>
      </c>
      <c r="F50" s="3179">
        <f>IF(_xlfn.IFERROR(SUMIF('OS Analysis'!$B:$B,'Fannie Historical Ops'!$B$6,INDEX('OS Analysis'!$E:$P,0,MATCH(DATE($A$40,MONTH(DATEVALUE(A50&amp;" 1")),1),'OS Analysis'!$E$2:$P$2,0))),0)&lt;&gt;0,_xlfn.IFERROR(SUMIF('OS Analysis'!$B:$B,'Fannie Historical Ops'!$B$6,INDEX('OS Analysis'!$E:$P,0,MATCH(DATE($A$40,MONTH(DATEVALUE(A50&amp;" 1")),1),'OS Analysis'!$E$2:$P$2,0))),0),SUMIF('OS Analysis'!$AE:$AE,'Fannie Historical Ops'!$B$6,'OS Analysis'!$AP:$AP))</f>
        <v>0</v>
      </c>
      <c r="G50" s="3180">
        <f t="shared" si="0"/>
        <v>0</v>
      </c>
      <c r="H50" s="3181">
        <f>IF((_xlfn.IFERROR(SUMIF('OS Analysis'!$B:$B,"Less Concessions (income line item)",INDEX('OS Analysis'!$E:$P,0,MATCH(DATE($A$40,MONTH(DATEVALUE(A50&amp;" 1")),1),'OS Analysis'!$E$2:$P$2,0))),0))-(_xlfn.IFERROR(SUMIF('OS Analysis'!$B:$B,"Less Concessions (expense line item)",INDEX('OS Analysis'!$E:$P,0,MATCH(DATE($A$40,MONTH(DATEVALUE(A50&amp;" 1")),1),'OS Analysis'!$E$2:$P$2,0))),0))&lt;&gt;0,(_xlfn.IFERROR(SUMIF('OS Analysis'!$B:$B,"Less Concessions (income line item)",INDEX('OS Analysis'!$E:$P,0,MATCH(DATE($A$40,MONTH(DATEVALUE(A50&amp;" 1")),1),'OS Analysis'!$E$2:$P$2,0))),0))-(_xlfn.IFERROR(SUMIF('OS Analysis'!$B:$B,"Less Concessions (expense line item)",INDEX('OS Analysis'!$E:$P,0,MATCH(DATE($A$40,MONTH(DATEVALUE(A50&amp;" 1")),1),'OS Analysis'!$E$2:$P$2,0))),0)),SUMIF('OS Analysis'!$AE:$AE,"Less Concessions (income line item)",'OS Analysis'!$AP:$AP)-SUMIF('OS Analysis'!$AE:$AE,"Less Concessions (expense line item)",'OS Analysis'!$AP:$AP))</f>
        <v>0</v>
      </c>
      <c r="I50" s="3180">
        <f t="shared" si="0"/>
        <v>0</v>
      </c>
      <c r="J50" s="3181">
        <f>IF(_xlfn.IFERROR(SUMIF('OS Analysis'!$B:$B,'Fannie Historical Ops'!$B$7,INDEX('OS Analysis'!$E:$P,0,MATCH(DATE($A$40,MONTH(DATEVALUE(A50&amp;" 1")),1),'OS Analysis'!$E$2:$P$2,0))),0)&lt;&gt;0,_xlfn.IFERROR(SUMIF('OS Analysis'!$B:$B,'Fannie Historical Ops'!$B$7,INDEX('OS Analysis'!$E:$P,0,MATCH(DATE($A$40,MONTH(DATEVALUE(A50&amp;" 1")),1),'OS Analysis'!$E$2:$P$2,0))),0),SUMIF('OS Analysis'!$AE:$AE,'Fannie Historical Ops'!$B$7,'OS Analysis'!$AP:$AP))</f>
        <v>0</v>
      </c>
      <c r="K50" s="3113">
        <f t="shared" si="0"/>
        <v>0</v>
      </c>
      <c r="L50" s="3115">
        <f t="shared" si="2"/>
        <v>0</v>
      </c>
      <c r="M50" s="3111">
        <f t="shared" si="3"/>
        <v>0</v>
      </c>
      <c r="N50" s="3116"/>
      <c r="O50" s="3117">
        <v>0</v>
      </c>
      <c r="P50" s="3118"/>
      <c r="Q50" s="3119">
        <f t="shared" si="4"/>
        <v>0</v>
      </c>
      <c r="R50" s="3111">
        <f t="shared" si="5"/>
        <v>0</v>
      </c>
      <c r="S50" s="3120"/>
      <c r="T50" s="3182"/>
      <c r="U50" s="3183"/>
      <c r="V50" s="3183"/>
      <c r="W50" s="3183"/>
      <c r="X50" s="3183"/>
      <c r="Y50" s="3183"/>
      <c r="Z50" s="3183"/>
      <c r="AA50" s="3183"/>
      <c r="AB50" s="3183"/>
      <c r="AC50" s="3184"/>
      <c r="AD50" s="3080"/>
      <c r="AE50" s="3080"/>
      <c r="AF50" s="3080"/>
      <c r="AG50" s="3080"/>
      <c r="AH50" s="3080"/>
      <c r="AI50" s="3080"/>
      <c r="AJ50" s="3080"/>
      <c r="AK50" s="3080"/>
      <c r="AL50" s="3080"/>
      <c r="AM50" s="3080"/>
      <c r="AN50" s="3080"/>
      <c r="AO50" s="3080"/>
    </row>
    <row r="51" ht="15" customHeight="1">
      <c r="A51" s="3109" t="s">
        <v>3036</v>
      </c>
      <c r="B51" s="3110">
        <f>_xlfn.LET(_xlpm.comment,"get the Current T12's GPR by month if available; if not, get the prior year's GPR for the same month",_xlpm.os_current_yr_line_items,'OS Analysis'!$B:$B,_xlpm.gpr_line_item,'Fannie Historical Ops'!$B$5,_xlpm.os_year,$A$40,_xlpm.os_month,$A51,_xlpm.os_date,DATE(_xlpm.os_year,MONTH(DATEVALUE(_xlpm.os_month&amp;"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Analysis'!$AQ:$AQ,IF(_xlpm.current_yr_gpr_for_month&gt;0,_xlpm.current_yr_gpr_for_month,SUMIF(_xlpm.os_yr1_line_items,_xlpm.gpr_line_item,_xlpm.os_yr1_monthly_data)))</f>
        <v>423358</v>
      </c>
      <c r="C51" s="3110">
        <v>0</v>
      </c>
      <c r="D51" s="3110">
        <v>0</v>
      </c>
      <c r="E51" s="3111">
        <f t="shared" si="1"/>
        <v>423358</v>
      </c>
      <c r="F51" s="3179">
        <f>IF(_xlfn.IFERROR(SUMIF('OS Analysis'!$B:$B,'Fannie Historical Ops'!$B$6,INDEX('OS Analysis'!$E:$P,0,MATCH(DATE($A$40,MONTH(DATEVALUE(A51&amp;" 1")),1),'OS Analysis'!$E$2:$P$2,0))),0)&lt;&gt;0,_xlfn.IFERROR(SUMIF('OS Analysis'!$B:$B,'Fannie Historical Ops'!$B$6,INDEX('OS Analysis'!$E:$P,0,MATCH(DATE($A$40,MONTH(DATEVALUE(A51&amp;" 1")),1),'OS Analysis'!$E$2:$P$2,0))),0),SUMIF('OS Analysis'!$AE:$AE,'Fannie Historical Ops'!$B$6,'OS Analysis'!$AQ:$AQ))</f>
        <v>-15246</v>
      </c>
      <c r="G51" s="3180">
        <f t="shared" si="0"/>
        <v>-0.03601207488697509</v>
      </c>
      <c r="H51" s="3181">
        <f>IF((_xlfn.IFERROR(SUMIF('OS Analysis'!$B:$B,"Less Concessions (income line item)",INDEX('OS Analysis'!$E:$P,0,MATCH(DATE($A$40,MONTH(DATEVALUE(A51&amp;" 1")),1),'OS Analysis'!$E$2:$P$2,0))),0))-(_xlfn.IFERROR(SUMIF('OS Analysis'!$B:$B,"Less Concessions (expense line item)",INDEX('OS Analysis'!$E:$P,0,MATCH(DATE($A$40,MONTH(DATEVALUE(A51&amp;" 1")),1),'OS Analysis'!$E$2:$P$2,0))),0))&lt;&gt;0,(_xlfn.IFERROR(SUMIF('OS Analysis'!$B:$B,"Less Concessions (income line item)",INDEX('OS Analysis'!$E:$P,0,MATCH(DATE($A$40,MONTH(DATEVALUE(A51&amp;" 1")),1),'OS Analysis'!$E$2:$P$2,0))),0))-(_xlfn.IFERROR(SUMIF('OS Analysis'!$B:$B,"Less Concessions (expense line item)",INDEX('OS Analysis'!$E:$P,0,MATCH(DATE($A$40,MONTH(DATEVALUE(A51&amp;" 1")),1),'OS Analysis'!$E$2:$P$2,0))),0)),SUMIF('OS Analysis'!$AE:$AE,"Less Concessions (income line item)",'OS Analysis'!$AQ:$AQ)-SUMIF('OS Analysis'!$AE:$AE,"Less Concessions (expense line item)",'OS Analysis'!$AQ:$AQ))</f>
        <v>0</v>
      </c>
      <c r="I51" s="3180">
        <f t="shared" si="0"/>
        <v>0</v>
      </c>
      <c r="J51" s="3181">
        <f>IF(_xlfn.IFERROR(SUMIF('OS Analysis'!$B:$B,'Fannie Historical Ops'!$B$7,INDEX('OS Analysis'!$E:$P,0,MATCH(DATE($A$40,MONTH(DATEVALUE(A51&amp;" 1")),1),'OS Analysis'!$E$2:$P$2,0))),0)&lt;&gt;0,_xlfn.IFERROR(SUMIF('OS Analysis'!$B:$B,'Fannie Historical Ops'!$B$7,INDEX('OS Analysis'!$E:$P,0,MATCH(DATE($A$40,MONTH(DATEVALUE(A51&amp;" 1")),1),'OS Analysis'!$E$2:$P$2,0))),0),SUMIF('OS Analysis'!$AE:$AE,'Fannie Historical Ops'!$B$7,'OS Analysis'!$AQ:$AQ))</f>
        <v>21</v>
      </c>
      <c r="K51" s="3113">
        <f t="shared" si="0"/>
        <v>0.000049603408935227395</v>
      </c>
      <c r="L51" s="3115">
        <f t="shared" si="2"/>
        <v>0.9640375285219601</v>
      </c>
      <c r="M51" s="3111">
        <f t="shared" si="3"/>
        <v>408133</v>
      </c>
      <c r="N51" s="3116"/>
      <c r="O51" s="3117">
        <v>0</v>
      </c>
      <c r="P51" s="3118"/>
      <c r="Q51" s="3119">
        <f t="shared" si="4"/>
        <v>0.9640375285219601</v>
      </c>
      <c r="R51" s="3111">
        <f t="shared" si="5"/>
        <v>408133</v>
      </c>
      <c r="S51" s="3120"/>
      <c r="T51" s="3182"/>
      <c r="U51" s="3183"/>
      <c r="V51" s="3183"/>
      <c r="W51" s="3183"/>
      <c r="X51" s="3183"/>
      <c r="Y51" s="3183"/>
      <c r="Z51" s="3183"/>
      <c r="AA51" s="3183"/>
      <c r="AB51" s="3183"/>
      <c r="AC51" s="3184"/>
      <c r="AD51" s="3080"/>
      <c r="AE51" s="3080"/>
      <c r="AF51" s="3080"/>
      <c r="AG51" s="3080"/>
      <c r="AH51" s="3080"/>
      <c r="AI51" s="3080"/>
      <c r="AJ51" s="3080"/>
      <c r="AK51" s="3080"/>
      <c r="AL51" s="3080"/>
      <c r="AM51" s="3080"/>
      <c r="AN51" s="3080"/>
      <c r="AO51" s="3080"/>
    </row>
    <row r="52" ht="15" customHeight="1">
      <c r="A52" s="3109" t="s">
        <v>3037</v>
      </c>
      <c r="B52" s="3110">
        <f>_xlfn.LET(_xlpm.comment,"get the Current T12's GPR by month if available; if not, get the prior year's GPR for the same month",_xlpm.os_current_yr_line_items,'OS Analysis'!$B:$B,_xlpm.gpr_line_item,'Fannie Historical Ops'!$B$5,_xlpm.os_year,$A$40,_xlpm.os_month,$A52,_xlpm.os_date,DATE(_xlpm.os_year,MONTH(DATEVALUE(_xlpm.os_month&amp;"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Analysis'!$AR:$AR,IF(_xlpm.current_yr_gpr_for_month&gt;0,_xlpm.current_yr_gpr_for_month,SUMIF(_xlpm.os_yr1_line_items,_xlpm.gpr_line_item,_xlpm.os_yr1_monthly_data)))</f>
        <v>421974</v>
      </c>
      <c r="C52" s="3110">
        <v>0</v>
      </c>
      <c r="D52" s="3110">
        <v>0</v>
      </c>
      <c r="E52" s="3111">
        <f t="shared" si="1"/>
        <v>421974</v>
      </c>
      <c r="F52" s="3179">
        <f>IF(_xlfn.IFERROR(SUMIF('OS Analysis'!$B:$B,'Fannie Historical Ops'!$B$6,INDEX('OS Analysis'!$E:$P,0,MATCH(DATE($A$40,MONTH(DATEVALUE(A52&amp;" 1")),1),'OS Analysis'!$E$2:$P$2,0))),0)&lt;&gt;0,_xlfn.IFERROR(SUMIF('OS Analysis'!$B:$B,'Fannie Historical Ops'!$B$6,INDEX('OS Analysis'!$E:$P,0,MATCH(DATE($A$40,MONTH(DATEVALUE(A52&amp;" 1")),1),'OS Analysis'!$E$2:$P$2,0))),0),SUMIF('OS Analysis'!$AE:$AE,'Fannie Historical Ops'!$B$6,'OS Analysis'!$AR:$AR))</f>
        <v>-20081</v>
      </c>
      <c r="G52" s="3180">
        <f t="shared" si="0"/>
        <v>-0.047588240033746156</v>
      </c>
      <c r="H52" s="3181">
        <f>IF((_xlfn.IFERROR(SUMIF('OS Analysis'!$B:$B,"Less Concessions (income line item)",INDEX('OS Analysis'!$E:$P,0,MATCH(DATE($A$40,MONTH(DATEVALUE(A52&amp;" 1")),1),'OS Analysis'!$E$2:$P$2,0))),0))-(_xlfn.IFERROR(SUMIF('OS Analysis'!$B:$B,"Less Concessions (expense line item)",INDEX('OS Analysis'!$E:$P,0,MATCH(DATE($A$40,MONTH(DATEVALUE(A52&amp;" 1")),1),'OS Analysis'!$E$2:$P$2,0))),0))&lt;&gt;0,(_xlfn.IFERROR(SUMIF('OS Analysis'!$B:$B,"Less Concessions (income line item)",INDEX('OS Analysis'!$E:$P,0,MATCH(DATE($A$40,MONTH(DATEVALUE(A52&amp;" 1")),1),'OS Analysis'!$E$2:$P$2,0))),0))-(_xlfn.IFERROR(SUMIF('OS Analysis'!$B:$B,"Less Concessions (expense line item)",INDEX('OS Analysis'!$E:$P,0,MATCH(DATE($A$40,MONTH(DATEVALUE(A52&amp;" 1")),1),'OS Analysis'!$E$2:$P$2,0))),0)),SUMIF('OS Analysis'!$AE:$AE,"Less Concessions (income line item)",'OS Analysis'!$AR:$AR)-SUMIF('OS Analysis'!$AE:$AE,"Less Concessions (expense line item)",'OS Analysis'!$AR:$AR))</f>
        <v>0</v>
      </c>
      <c r="I52" s="3180">
        <f t="shared" si="0"/>
        <v>0</v>
      </c>
      <c r="J52" s="3181">
        <f>IF(_xlfn.IFERROR(SUMIF('OS Analysis'!$B:$B,'Fannie Historical Ops'!$B$7,INDEX('OS Analysis'!$E:$P,0,MATCH(DATE($A$40,MONTH(DATEVALUE(A52&amp;" 1")),1),'OS Analysis'!$E$2:$P$2,0))),0)&lt;&gt;0,_xlfn.IFERROR(SUMIF('OS Analysis'!$B:$B,'Fannie Historical Ops'!$B$7,INDEX('OS Analysis'!$E:$P,0,MATCH(DATE($A$40,MONTH(DATEVALUE(A52&amp;" 1")),1),'OS Analysis'!$E$2:$P$2,0))),0),SUMIF('OS Analysis'!$AE:$AE,'Fannie Historical Ops'!$B$7,'OS Analysis'!$AR:$AR))</f>
        <v>327</v>
      </c>
      <c r="K52" s="3113">
        <f t="shared" si="0"/>
        <v>0.0007749292610445194</v>
      </c>
      <c r="L52" s="3115">
        <f t="shared" si="2"/>
        <v>0.9531866892272983</v>
      </c>
      <c r="M52" s="3111">
        <f t="shared" si="3"/>
        <v>402220</v>
      </c>
      <c r="N52" s="3116"/>
      <c r="O52" s="3117">
        <v>0</v>
      </c>
      <c r="P52" s="3118"/>
      <c r="Q52" s="3119">
        <f t="shared" si="4"/>
        <v>0.9531866892272983</v>
      </c>
      <c r="R52" s="3111">
        <f t="shared" si="5"/>
        <v>402220</v>
      </c>
      <c r="S52" s="3120"/>
      <c r="T52" s="3182"/>
      <c r="U52" s="3183"/>
      <c r="V52" s="3183"/>
      <c r="W52" s="3183"/>
      <c r="X52" s="3187"/>
      <c r="Y52" s="3187"/>
      <c r="Z52" s="3183"/>
      <c r="AA52" s="3183"/>
      <c r="AB52" s="3183"/>
      <c r="AC52" s="3184"/>
      <c r="AD52" s="3080"/>
      <c r="AE52" s="3080"/>
      <c r="AF52" s="3080"/>
      <c r="AG52" s="3080"/>
      <c r="AH52" s="3080"/>
      <c r="AI52" s="3080"/>
      <c r="AJ52" s="3080"/>
      <c r="AK52" s="3080"/>
      <c r="AL52" s="3080"/>
      <c r="AM52" s="3080"/>
      <c r="AN52" s="3080"/>
      <c r="AO52" s="3080"/>
    </row>
    <row r="53" ht="15.75" customHeight="1">
      <c r="A53" s="3124" t="s">
        <v>3038</v>
      </c>
      <c r="B53" s="3110">
        <f>_xlfn.LET(_xlpm.comment,"get the Current T12's GPR by month if available; if not, get the prior year's GPR for the same month",_xlpm.os_current_yr_line_items,'OS Analysis'!$B:$B,_xlpm.gpr_line_item,'Fannie Historical Ops'!$B$5,_xlpm.os_year,$A$40,_xlpm.os_month,$A53,_xlpm.os_date,DATE(_xlpm.os_year,MONTH(DATEVALUE(_xlpm.os_month&amp;" 1")),1),_xlpm.os_current_yr_monthly_data,'OS Analysis'!$E:$P,_xlpm.os_month_dates,'OS Analysis'!$E$2:$P$2,_xlpm.current_yr_gpr_for_month,_xlfn.IFERROR(SUMIF(_xlpm.os_current_yr_line_items,_xlpm.gpr_line_item,INDEX(_xlpm.os_current_yr_monthly_data,0,MATCH(_xlpm.os_date,_xlpm.os_month_dates,0))),0),_xlpm.os_yr1_line_items,'OS Analysis'!$AE:$AE,_xlpm.os_yr1_monthly_data,'OS Analysis'!$AS:$AS,IF(_xlpm.current_yr_gpr_for_month&gt;0,_xlpm.current_yr_gpr_for_month,SUMIF(_xlpm.os_yr1_line_items,_xlpm.gpr_line_item,_xlpm.os_yr1_monthly_data)))</f>
        <v>391571</v>
      </c>
      <c r="C53" s="3110">
        <v>0</v>
      </c>
      <c r="D53" s="3125">
        <v>0</v>
      </c>
      <c r="E53" s="3126">
        <f t="shared" si="1"/>
        <v>391571</v>
      </c>
      <c r="F53" s="3179">
        <f>IF(_xlfn.IFERROR(SUMIF('OS Analysis'!$B:$B,'Fannie Historical Ops'!$B$6,INDEX('OS Analysis'!$E:$P,0,MATCH(DATE($A$40,MONTH(DATEVALUE(A53&amp;" 1")),1),'OS Analysis'!$E$2:$P$2,0))),0)&lt;&gt;0,_xlfn.IFERROR(SUMIF('OS Analysis'!$B:$B,'Fannie Historical Ops'!$B$6,INDEX('OS Analysis'!$E:$P,0,MATCH(DATE($A$40,MONTH(DATEVALUE(A53&amp;" 1")),1),'OS Analysis'!$E$2:$P$2,0))),0),SUMIF('OS Analysis'!$AE:$AE,'Fannie Historical Ops'!$B$6,'OS Analysis'!$AS:$AS))</f>
        <v>-15238</v>
      </c>
      <c r="G53" s="3188">
        <f t="shared" si="0"/>
        <v>-0.03891503711970498</v>
      </c>
      <c r="H53" s="3181">
        <f>IF((_xlfn.IFERROR(SUMIF('OS Analysis'!$B:$B,"Less Concessions (income line item)",INDEX('OS Analysis'!$E:$P,0,MATCH(DATE($A$40,MONTH(DATEVALUE(A53&amp;" 1")),1),'OS Analysis'!$E$2:$P$2,0))),0))-(_xlfn.IFERROR(SUMIF('OS Analysis'!$B:$B,"Less Concessions (expense line item)",INDEX('OS Analysis'!$E:$P,0,MATCH(DATE($A$40,MONTH(DATEVALUE(A53&amp;" 1")),1),'OS Analysis'!$E$2:$P$2,0))),0))&lt;&gt;0,(_xlfn.IFERROR(SUMIF('OS Analysis'!$B:$B,"Less Concessions (income line item)",INDEX('OS Analysis'!$E:$P,0,MATCH(DATE($A$40,MONTH(DATEVALUE(A53&amp;" 1")),1),'OS Analysis'!$E$2:$P$2,0))),0))-(_xlfn.IFERROR(SUMIF('OS Analysis'!$B:$B,"Less Concessions (expense line item)",INDEX('OS Analysis'!$E:$P,0,MATCH(DATE($A$40,MONTH(DATEVALUE(A53&amp;" 1")),1),'OS Analysis'!$E$2:$P$2,0))),0)),SUMIF('OS Analysis'!$AE:$AE,"Less Concessions (income line item)",'OS Analysis'!$AS:$AS)-SUMIF('OS Analysis'!$AE:$AE,"Less Concessions (expense line item)",'OS Analysis'!$AS:$AS))</f>
        <v>0</v>
      </c>
      <c r="I53" s="3188">
        <f t="shared" si="0"/>
        <v>0</v>
      </c>
      <c r="J53" s="3181">
        <f>IF(_xlfn.IFERROR(SUMIF('OS Analysis'!$B:$B,'Fannie Historical Ops'!$B$7,INDEX('OS Analysis'!$E:$P,0,MATCH(DATE($A$40,MONTH(DATEVALUE(A53&amp;" 1")),1),'OS Analysis'!$E$2:$P$2,0))),0)&lt;&gt;0,_xlfn.IFERROR(SUMIF('OS Analysis'!$B:$B,'Fannie Historical Ops'!$B$7,INDEX('OS Analysis'!$E:$P,0,MATCH(DATE($A$40,MONTH(DATEVALUE(A53&amp;" 1")),1),'OS Analysis'!$E$2:$P$2,0))),0),SUMIF('OS Analysis'!$AE:$AE,'Fannie Historical Ops'!$B$7,'OS Analysis'!$AS:$AS))</f>
        <v>-2555</v>
      </c>
      <c r="K53" s="3128">
        <f t="shared" si="0"/>
        <v>-0.006524998020793164</v>
      </c>
      <c r="L53" s="3115">
        <f t="shared" si="2"/>
        <v>0.9545599648595019</v>
      </c>
      <c r="M53" s="3126">
        <f t="shared" si="3"/>
        <v>373778</v>
      </c>
      <c r="N53" s="3116"/>
      <c r="O53" s="3130">
        <v>0</v>
      </c>
      <c r="P53" s="3131"/>
      <c r="Q53" s="3132">
        <f t="shared" si="4"/>
        <v>0.9545599648595019</v>
      </c>
      <c r="R53" s="3126">
        <f t="shared" si="5"/>
        <v>373778</v>
      </c>
      <c r="S53" s="3133"/>
      <c r="T53" s="3182"/>
      <c r="U53" s="3183"/>
      <c r="V53" s="3183"/>
      <c r="W53" s="3183"/>
      <c r="X53" s="3183"/>
      <c r="Y53" s="3183"/>
      <c r="Z53" s="3183"/>
      <c r="AA53" s="3183"/>
      <c r="AB53" s="3183"/>
      <c r="AC53" s="3184"/>
      <c r="AD53" s="3080"/>
      <c r="AE53" s="3080"/>
      <c r="AF53" s="3080"/>
      <c r="AG53" s="3080"/>
      <c r="AM53" s="3080"/>
      <c r="AN53" s="3080"/>
      <c r="AO53" s="3080"/>
    </row>
    <row r="54" ht="15.75" customHeight="1">
      <c r="A54" s="3134" t="s">
        <v>2968</v>
      </c>
      <c r="B54" s="3135">
        <f t="shared" si="6"/>
        <v>1236903</v>
      </c>
      <c r="C54" s="3135">
        <f t="shared" si="6"/>
        <v>0</v>
      </c>
      <c r="D54" s="3135">
        <f t="shared" si="6"/>
        <v>0</v>
      </c>
      <c r="E54" s="3135">
        <f t="shared" si="1"/>
        <v>1236903</v>
      </c>
      <c r="F54" s="3135">
        <f t="shared" si="6"/>
        <v>-50565</v>
      </c>
      <c r="G54" s="3136">
        <f t="shared" si="0"/>
        <v>-0.040880327721737275</v>
      </c>
      <c r="H54" s="3135">
        <f t="shared" si="6"/>
        <v>0</v>
      </c>
      <c r="I54" s="3136">
        <f t="shared" si="0"/>
        <v>0</v>
      </c>
      <c r="J54" s="3135">
        <f t="shared" si="6"/>
        <v>-2207</v>
      </c>
      <c r="K54" s="3136">
        <f t="shared" si="0"/>
        <v>-0.0017842951306610139</v>
      </c>
      <c r="L54" s="3137">
        <f t="shared" si="2"/>
        <v>0.9573353771476018</v>
      </c>
      <c r="M54" s="3135">
        <f t="shared" si="3"/>
        <v>1184131</v>
      </c>
      <c r="N54" s="3138"/>
      <c r="O54" s="3135">
        <f t="shared" si="6"/>
        <v>0</v>
      </c>
      <c r="P54" s="3139">
        <f t="shared" si="8"/>
      </c>
      <c r="Q54" s="3140">
        <f t="shared" si="4"/>
        <v>0.9573353771476018</v>
      </c>
      <c r="R54" s="3135">
        <f t="shared" si="5"/>
        <v>1184131</v>
      </c>
      <c r="S54" s="3120"/>
      <c r="T54" s="3141"/>
      <c r="U54" s="3183"/>
      <c r="V54" s="3183"/>
      <c r="W54" s="3183"/>
      <c r="X54" s="3183"/>
      <c r="Y54" s="3183"/>
      <c r="Z54" s="3183"/>
      <c r="AA54" s="3183"/>
      <c r="AB54" s="3183"/>
      <c r="AC54" s="3184"/>
      <c r="AD54" s="3080"/>
      <c r="AE54" s="3080"/>
      <c r="AF54" s="3080"/>
      <c r="AG54" s="3080"/>
      <c r="AM54" s="3080"/>
      <c r="AN54" s="3080"/>
      <c r="AO54" s="3080"/>
    </row>
    <row r="55" ht="15" customHeight="1">
      <c r="A55" s="3189"/>
      <c r="B55" s="3143">
        <f>'Fannie Historical Ops'!H5</f>
        <v>0</v>
      </c>
      <c r="C55" s="3190"/>
      <c r="D55" s="3190"/>
      <c r="E55" s="3145"/>
      <c r="F55" s="3143">
        <f>'Fannie Historical Ops'!H6</f>
        <v>0</v>
      </c>
      <c r="G55" s="3190"/>
      <c r="H55" s="3143">
        <f>'Fannie Historical Ops'!H8</f>
        <v>0</v>
      </c>
      <c r="I55" s="3190"/>
      <c r="J55" s="3143">
        <f>'Fannie Historical Ops'!H7</f>
        <v>0</v>
      </c>
      <c r="K55" s="3191"/>
      <c r="L55" s="3191"/>
      <c r="M55" s="3148"/>
      <c r="N55" s="3161"/>
      <c r="O55" s="3192"/>
      <c r="P55" s="3192"/>
      <c r="Q55" s="3193"/>
      <c r="R55" s="3163"/>
      <c r="S55" s="3164"/>
      <c r="T55" s="3163"/>
      <c r="U55" s="3165"/>
      <c r="V55" s="3165"/>
      <c r="W55" s="3165"/>
      <c r="X55" s="3194"/>
      <c r="Y55" s="3161"/>
      <c r="Z55" s="3168"/>
      <c r="AA55" s="3183"/>
      <c r="AB55" s="3183"/>
      <c r="AC55" s="3184"/>
      <c r="AD55" s="3080"/>
      <c r="AE55" s="3080"/>
      <c r="AF55" s="3080"/>
      <c r="AG55" s="3080"/>
      <c r="AM55" s="3080"/>
      <c r="AN55" s="3080"/>
      <c r="AO55" s="3080"/>
    </row>
    <row r="56" ht="15" customHeight="1">
      <c r="A56" s="3195">
        <f>A40+1</f>
        <v>2022</v>
      </c>
      <c r="B56" s="3196" t="str">
        <f t="shared" si="10" ref="B56:R57">B4</f>
        <v>Report</v>
      </c>
      <c r="C56" s="3155" t="str">
        <f t="shared" si="10"/>
        <v>Add Back</v>
      </c>
      <c r="D56" s="3155" t="str">
        <f t="shared" si="10"/>
        <v>Add Back</v>
      </c>
      <c r="E56" s="3155"/>
      <c r="F56" s="3155"/>
      <c r="G56" s="3156" t="s">
        <v>3014</v>
      </c>
      <c r="H56" s="3157"/>
      <c r="I56" s="3156" t="str">
        <f t="shared" si="10"/>
        <v>% of </v>
      </c>
      <c r="J56" s="3157"/>
      <c r="K56" s="3156" t="str">
        <f t="shared" si="10"/>
        <v>% of </v>
      </c>
      <c r="L56" s="3155" t="str">
        <f t="shared" si="10"/>
        <v>Economic</v>
      </c>
      <c r="M56" s="3156" t="str">
        <f t="shared" si="10"/>
        <v>Net Rental</v>
      </c>
      <c r="N56" s="3096"/>
      <c r="O56" s="3097" t="str">
        <f t="shared" si="10"/>
        <v>"X"</v>
      </c>
      <c r="P56" s="3098" t="str">
        <f t="shared" si="10"/>
        <v>Adjusted</v>
      </c>
      <c r="Q56" s="3098" t="str">
        <f t="shared" si="10"/>
        <v>Adj. Economic</v>
      </c>
      <c r="R56" s="3099" t="str">
        <f t="shared" si="10"/>
        <v>Adjusted NRI</v>
      </c>
      <c r="S56" s="3100"/>
      <c r="T56" s="3101"/>
      <c r="U56" s="3165"/>
      <c r="V56" s="3165"/>
      <c r="W56" s="3165"/>
      <c r="X56" s="3161"/>
      <c r="Y56" s="3161"/>
      <c r="Z56" s="3168"/>
      <c r="AA56" s="3183"/>
      <c r="AB56" s="3183"/>
      <c r="AC56" s="3184"/>
      <c r="AD56" s="3080"/>
      <c r="AE56" s="3080"/>
      <c r="AF56" s="3080"/>
      <c r="AG56" s="3080"/>
      <c r="AM56" s="3080"/>
      <c r="AN56" s="3080"/>
      <c r="AO56" s="3080"/>
    </row>
    <row r="57" ht="15" customHeight="1">
      <c r="A57" s="3102"/>
      <c r="B57" s="3178" t="str">
        <f t="shared" si="10"/>
        <v>GPR</v>
      </c>
      <c r="C57" s="3178" t="str">
        <f t="shared" si="10"/>
        <v>Model/Office</v>
      </c>
      <c r="D57" s="3178" t="str">
        <f t="shared" si="10"/>
        <v>Employee</v>
      </c>
      <c r="E57" s="3104" t="str">
        <f>B5</f>
        <v>GPR</v>
      </c>
      <c r="F57" s="3104" t="str">
        <f t="shared" si="10"/>
        <v>Vacancy</v>
      </c>
      <c r="G57" s="3105" t="s">
        <v>3020</v>
      </c>
      <c r="H57" s="3106" t="str">
        <f t="shared" si="10"/>
        <v>Concessions</v>
      </c>
      <c r="I57" s="3105" t="str">
        <f t="shared" si="10"/>
        <v>GPR</v>
      </c>
      <c r="J57" s="3106" t="str">
        <f t="shared" si="10"/>
        <v>Bad Debt</v>
      </c>
      <c r="K57" s="3105" t="str">
        <f t="shared" si="10"/>
        <v>GPR</v>
      </c>
      <c r="L57" s="3106" t="str">
        <f t="shared" si="10"/>
        <v>Occupancy</v>
      </c>
      <c r="M57" s="3105" t="str">
        <f t="shared" si="10"/>
        <v>Collections</v>
      </c>
      <c r="N57" s="3096"/>
      <c r="O57" s="3106" t="str">
        <f t="shared" si="10"/>
        <v>Adjustment</v>
      </c>
      <c r="P57" s="3107" t="str">
        <f t="shared" si="10"/>
        <v>Bad Debt</v>
      </c>
      <c r="Q57" s="3107" t="str">
        <f t="shared" si="10"/>
        <v>Occupancy</v>
      </c>
      <c r="R57" s="3108" t="str">
        <f t="shared" si="10"/>
        <v>Collections</v>
      </c>
      <c r="S57" s="3100"/>
      <c r="T57" s="3101"/>
      <c r="U57" s="3165"/>
      <c r="V57" s="3165"/>
      <c r="W57" s="3165"/>
      <c r="X57" s="3161"/>
      <c r="Y57" s="3161"/>
      <c r="Z57" s="3168"/>
      <c r="AA57" s="3183"/>
      <c r="AB57" s="3183"/>
      <c r="AC57" s="3184"/>
      <c r="AD57" s="3080"/>
      <c r="AE57" s="3080"/>
      <c r="AF57" s="3080"/>
      <c r="AG57" s="3197" t="s">
        <v>3039</v>
      </c>
      <c r="AI57" s="3197" t="s">
        <v>3020</v>
      </c>
      <c r="AJ57" s="3197" t="s">
        <v>1742</v>
      </c>
      <c r="AK57" s="3197" t="s">
        <v>3040</v>
      </c>
      <c r="AL57" s="3197" t="s">
        <v>3041</v>
      </c>
      <c r="AM57" s="3080"/>
      <c r="AO57" s="3080"/>
    </row>
    <row r="58" ht="15" customHeight="1">
      <c r="A58" s="3109" t="s">
        <v>3027</v>
      </c>
      <c r="B58" s="3110">
        <f>_xlfn.IFERROR(SUMIF('OS Analysis'!$B:$B,'Fannie Historical Ops'!$B$5,INDEX('OS Analysis'!$E:$P,0,MATCH(DATE($A$56,MONTH(DATEVALUE(A58&amp;" 1")),1),'OS Analysis'!$E$2:$P$2,0))),0)</f>
        <v>420163</v>
      </c>
      <c r="C58" s="3110">
        <v>0</v>
      </c>
      <c r="D58" s="3110">
        <v>0</v>
      </c>
      <c r="E58" s="3111">
        <f t="shared" si="1"/>
        <v>420163</v>
      </c>
      <c r="F58" s="3112">
        <f>_xlfn.IFERROR(SUMIF('OS Analysis'!$B:$B,'Fannie Historical Ops'!$B$6,INDEX('OS Analysis'!$E:$P,0,MATCH(DATE($A$56,MONTH(DATEVALUE(A58&amp;" 1")),1),'OS Analysis'!$E$2:$P$2,0))),0)</f>
        <v>-23382</v>
      </c>
      <c r="G58" s="3113">
        <f t="shared" si="0"/>
        <v>-0.055649831136963514</v>
      </c>
      <c r="H58" s="3114">
        <f>(_xlfn.IFERROR(SUMIF('OS Analysis'!$B:$B,"Less Concessions (income line item)",INDEX('OS Analysis'!$E:$P,0,MATCH(DATE($A$56,MONTH(DATEVALUE(A58&amp;" 1")),1),'OS Analysis'!$E$2:$P$2,0))),0))-(_xlfn.IFERROR(SUMIF('OS Analysis'!$B:$B,"Less Concessions (expense line item)",INDEX('OS Analysis'!$E:$P,0,MATCH(DATE($A$56,MONTH(DATEVALUE(A58&amp;" 1")),1),'OS Analysis'!$E$2:$P$2,0))),0))</f>
        <v>0</v>
      </c>
      <c r="I58" s="3113">
        <f t="shared" si="0"/>
        <v>0</v>
      </c>
      <c r="J58" s="3114">
        <f>_xlfn.IFERROR(SUMIF('OS Analysis'!$B:$B,'Fannie Historical Ops'!$B$7,INDEX('OS Analysis'!$E:$P,0,MATCH(DATE($A$56,MONTH(DATEVALUE(A58&amp;" 1")),1),'OS Analysis'!$E$2:$P$2,0))),0)</f>
        <v>-6240</v>
      </c>
      <c r="K58" s="3113">
        <f t="shared" si="0"/>
        <v>-0.014851379107632038</v>
      </c>
      <c r="L58" s="3115">
        <f t="shared" si="2"/>
        <v>0.9294987897554045</v>
      </c>
      <c r="M58" s="3111">
        <f t="shared" si="3"/>
        <v>390541</v>
      </c>
      <c r="N58" s="3116"/>
      <c r="O58" s="3117">
        <v>0</v>
      </c>
      <c r="P58" s="3118"/>
      <c r="Q58" s="3119">
        <f t="shared" si="4"/>
        <v>0.9294987897554045</v>
      </c>
      <c r="R58" s="3111">
        <f t="shared" si="5"/>
        <v>390541</v>
      </c>
      <c r="S58" s="3120"/>
      <c r="T58" s="3182"/>
      <c r="U58" s="3165"/>
      <c r="V58" s="3165"/>
      <c r="W58" s="3165"/>
      <c r="X58" s="3198"/>
      <c r="Y58" s="3161"/>
      <c r="Z58" s="3168"/>
      <c r="AA58" s="3183"/>
      <c r="AB58" s="3183"/>
      <c r="AC58" s="3184"/>
      <c r="AD58" s="3080"/>
      <c r="AE58" s="3080"/>
      <c r="AF58" s="3080"/>
      <c r="AG58" s="3199">
        <f t="shared" si="11" ref="AG58:AG68">IF(AND(R58&lt;&gt;0,R59=0),"Last","")</f>
      </c>
      <c r="AH58" s="3200" t="s">
        <v>3042</v>
      </c>
      <c r="AI58" s="3201">
        <f>IF(AG69="Last",E69,IF(AG68="Last",E68,IF(AG67="Last",E67,IF(AG66="Last",E66,IF(AG65="Last",E65,IF(AG64="Last",E64,IF(AG63="Last",E63,IF(AG62="Last",E62,IF(AG61="Last",E61,IF(AG60="Last",E60,IF(AG59="Last",E59,IF(AG58="Last",E58,""))))))))))))</f>
        <v>426092</v>
      </c>
      <c r="AJ58" s="3201">
        <f>IF(AG69="Last",F69,IF(AG68="Last",F68,IF(AG67="Last",F67,IF(AG66="Last",F66,IF(AG65="Last",F65,IF(AG64="Last",F64,IF(AG63="Last",F63,IF(AG62="Last",F62,IF(AG61="Last",F61,IF(AG60="Last",F60,IF(AG59="Last",F59,IF(AG58="Last",F58,""))))))))))))</f>
        <v>-19131</v>
      </c>
      <c r="AK58" s="3201">
        <f>IF(AG69="Last",M69,IF(AG68="Last",M68,IF(AG67="Last",M67,IF(AG66="Last",M66,IF(AG65="Last",M65,IF(AG64="Last",M64,IF(AG63="Last",M63,IF(AG62="Last",M62,IF(AG61="Last",M61,IF(AG60="Last",M60,IF(AG59="Last",M59,IF(AG58="Last",M58,""))))))))))))</f>
        <v>401951</v>
      </c>
      <c r="AL58" s="3201">
        <f>IF(AG69="Last",R69,IF(AG68="Last",R68,IF(AG67="Last",R67,IF(AG66="Last",R66,IF(AG65="Last",R65,IF(AG64="Last",R64,IF(AG63="Last",R63,IF(AG62="Last",R62,IF(AG61="Last",R61,IF(AG60="Last",R60,IF(AG59="Last",R59,IF(AG58="Last",R58,""))))))))))))</f>
        <v>401951</v>
      </c>
      <c r="AO58" s="3080"/>
    </row>
    <row r="59" ht="15" customHeight="1">
      <c r="A59" s="3109" t="s">
        <v>3028</v>
      </c>
      <c r="B59" s="3110">
        <f>_xlfn.IFERROR(SUMIF('OS Analysis'!$B:$B,'Fannie Historical Ops'!$B$5,INDEX('OS Analysis'!$E:$P,0,MATCH(DATE($A$56,MONTH(DATEVALUE(A59&amp;" 1")),1),'OS Analysis'!$E$2:$P$2,0))),0)</f>
        <v>424893</v>
      </c>
      <c r="C59" s="3110">
        <v>0</v>
      </c>
      <c r="D59" s="3110">
        <v>0</v>
      </c>
      <c r="E59" s="3111">
        <f t="shared" si="1"/>
        <v>424893</v>
      </c>
      <c r="F59" s="3112">
        <f>_xlfn.IFERROR(SUMIF('OS Analysis'!$B:$B,'Fannie Historical Ops'!$B$6,INDEX('OS Analysis'!$E:$P,0,MATCH(DATE($A$56,MONTH(DATEVALUE(A59&amp;" 1")),1),'OS Analysis'!$E$2:$P$2,0))),0)</f>
        <v>-16013</v>
      </c>
      <c r="G59" s="3113">
        <f t="shared" si="0"/>
        <v>-0.037687135349370314</v>
      </c>
      <c r="H59" s="3114">
        <f>(_xlfn.IFERROR(SUMIF('OS Analysis'!$B:$B,"Less Concessions (income line item)",INDEX('OS Analysis'!$E:$P,0,MATCH(DATE($A$56,MONTH(DATEVALUE(A59&amp;" 1")),1),'OS Analysis'!$E$2:$P$2,0))),0))-(_xlfn.IFERROR(SUMIF('OS Analysis'!$B:$B,"Less Concessions (expense line item)",INDEX('OS Analysis'!$E:$P,0,MATCH(DATE($A$56,MONTH(DATEVALUE(A59&amp;" 1")),1),'OS Analysis'!$E$2:$P$2,0))),0))</f>
        <v>0</v>
      </c>
      <c r="I59" s="3113">
        <f t="shared" si="0"/>
        <v>0</v>
      </c>
      <c r="J59" s="3114">
        <f>_xlfn.IFERROR(SUMIF('OS Analysis'!$B:$B,'Fannie Historical Ops'!$B$7,INDEX('OS Analysis'!$E:$P,0,MATCH(DATE($A$56,MONTH(DATEVALUE(A59&amp;" 1")),1),'OS Analysis'!$E$2:$P$2,0))),0)</f>
        <v>-5812</v>
      </c>
      <c r="K59" s="3113">
        <f t="shared" si="0"/>
        <v>-0.013678737941081638</v>
      </c>
      <c r="L59" s="3115">
        <f t="shared" si="2"/>
        <v>0.948634126709548</v>
      </c>
      <c r="M59" s="3111">
        <f t="shared" si="3"/>
        <v>403068</v>
      </c>
      <c r="N59" s="3116"/>
      <c r="O59" s="3117">
        <v>0</v>
      </c>
      <c r="P59" s="3118"/>
      <c r="Q59" s="3119">
        <f t="shared" si="4"/>
        <v>0.948634126709548</v>
      </c>
      <c r="R59" s="3111">
        <f t="shared" si="5"/>
        <v>403068</v>
      </c>
      <c r="S59" s="3120"/>
      <c r="T59" s="3182"/>
      <c r="U59" s="3165"/>
      <c r="V59" s="3165"/>
      <c r="W59" s="3165"/>
      <c r="X59" s="3198"/>
      <c r="Y59" s="3161"/>
      <c r="Z59" s="3168"/>
      <c r="AA59" s="3183"/>
      <c r="AB59" s="3183"/>
      <c r="AC59" s="3184"/>
      <c r="AD59" s="3080"/>
      <c r="AE59" s="3080"/>
      <c r="AF59" s="3080"/>
      <c r="AG59" s="3202">
        <f t="shared" si="11"/>
      </c>
      <c r="AH59" s="3200" t="s">
        <v>3043</v>
      </c>
      <c r="AI59" s="3203">
        <f>IF(AG69="Last",AVERAGE(E67:E69),IF(AG68="Last",AVERAGE(E66:E68),IF(AG67="Last",AVERAGE(E65:E67),IF(AG66="Last",AVERAGE(E64:E66),IF(AG65="Last",AVERAGE(E63:E65),IF(AG64="Last",AVERAGE(E62:E64),IF(AG63="Last",AVERAGE(E61:E63),IF(AG62="Last",AVERAGE(E60:E62),IF(AG61="Last",AVERAGE(E59:E61),IF(AG60="Last",AVERAGE(E58:E60),IF(AG59="Last",AVERAGE(E53,E58:E59),IF(AG58="Last",AVERAGE(E52:E53,E58),""))))))))))))</f>
        <v>427964</v>
      </c>
      <c r="AJ59" s="3203">
        <f>IF(AG69="Last",AVERAGE(F67:F69),IF(AG68="Last",AVERAGE(F66:F68),IF(AG67="Last",AVERAGE(F65:F67),IF(AG66="Last",AVERAGE(F64:F66),IF(AG65="Last",AVERAGE(F63:F65),IF(AG64="Last",AVERAGE(F62:F64),IF(AG63="Last",AVERAGE(F61:F63),IF(AG62="Last",AVERAGE(F60:F62),IF(AG61="Last",AVERAGE(F59:F61),IF(AG60="Last",AVERAGE(F58:F60),IF(AG59="Last",AVERAGE(F53,F58:F59),IF(AG58="Last",AVERAGE(F52:F53,F58),""))))))))))))</f>
        <v>-15514.333333333334</v>
      </c>
      <c r="AK59" s="3203">
        <f>IF(AG69="Last",AVERAGE(M67:M69),IF(AG68="Last",AVERAGE(M66:M68),IF(AG67="Last",AVERAGE(M65:M67),IF(AG66="Last",AVERAGE(M64:M66),IF(AG65="Last",AVERAGE(M63:M65),IF(AG64="Last",AVERAGE(M62:M64),IF(AG63="Last",AVERAGE(M61:M63),IF(AG62="Last",AVERAGE(M60:M62),IF(AG61="Last",AVERAGE(M59:M61),IF(AG60="Last",AVERAGE(M58:M60),IF(AG59="Last",AVERAGE(M53,M58:M59),IF(AG58="Last",AVERAGE(M52:M53,M58),""))))))))))))</f>
        <v>408739.6666666667</v>
      </c>
      <c r="AL59" s="3204">
        <f>IF(AG69="Last",AVERAGE(R67:R69),IF(AG68="Last",AVERAGE(R66:R68),IF(AG67="Last",AVERAGE(R65:R67),IF(AG66="Last",AVERAGE(R64:R66),IF(AG65="Last",AVERAGE(R63:R65),IF(AG64="Last",AVERAGE(R62:R64),IF(AG63="Last",AVERAGE(R61:R63),IF(AG62="Last",AVERAGE(R60:R62),IF(AG61="Last",AVERAGE(R59:R61),IF(AG60="Last",AVERAGE(R58:R60),IF(AG59="Last",AVERAGE(R53,R58:R59),IF(AG58="Last",AVERAGE(R52:R53,R58),""))))))))))))</f>
        <v>408739.6666666667</v>
      </c>
      <c r="AO59" s="3080"/>
    </row>
    <row r="60" ht="15" customHeight="1">
      <c r="A60" s="3109" t="s">
        <v>3029</v>
      </c>
      <c r="B60" s="3110">
        <f>_xlfn.IFERROR(SUMIF('OS Analysis'!$B:$B,'Fannie Historical Ops'!$B$5,INDEX('OS Analysis'!$E:$P,0,MATCH(DATE($A$56,MONTH(DATEVALUE(A60&amp;" 1")),1),'OS Analysis'!$E$2:$P$2,0))),0)</f>
        <v>394849</v>
      </c>
      <c r="C60" s="3110">
        <v>0</v>
      </c>
      <c r="D60" s="3110">
        <v>0</v>
      </c>
      <c r="E60" s="3111">
        <f t="shared" si="1"/>
        <v>394849</v>
      </c>
      <c r="F60" s="3112">
        <f>_xlfn.IFERROR(SUMIF('OS Analysis'!$B:$B,'Fannie Historical Ops'!$B$6,INDEX('OS Analysis'!$E:$P,0,MATCH(DATE($A$56,MONTH(DATEVALUE(A60&amp;" 1")),1),'OS Analysis'!$E$2:$P$2,0))),0)</f>
        <v>-10561</v>
      </c>
      <c r="G60" s="3113">
        <f t="shared" si="0"/>
        <v>-0.026746933637922344</v>
      </c>
      <c r="H60" s="3114">
        <f>(_xlfn.IFERROR(SUMIF('OS Analysis'!$B:$B,"Less Concessions (income line item)",INDEX('OS Analysis'!$E:$P,0,MATCH(DATE($A$56,MONTH(DATEVALUE(A60&amp;" 1")),1),'OS Analysis'!$E$2:$P$2,0))),0))-(_xlfn.IFERROR(SUMIF('OS Analysis'!$B:$B,"Less Concessions (expense line item)",INDEX('OS Analysis'!$E:$P,0,MATCH(DATE($A$56,MONTH(DATEVALUE(A60&amp;" 1")),1),'OS Analysis'!$E$2:$P$2,0))),0))</f>
        <v>0</v>
      </c>
      <c r="I60" s="3113">
        <f t="shared" si="0"/>
        <v>0</v>
      </c>
      <c r="J60" s="3114">
        <f>_xlfn.IFERROR(SUMIF('OS Analysis'!$B:$B,'Fannie Historical Ops'!$B$7,INDEX('OS Analysis'!$E:$P,0,MATCH(DATE($A$56,MONTH(DATEVALUE(A60&amp;" 1")),1),'OS Analysis'!$E$2:$P$2,0))),0)</f>
        <v>-9388</v>
      </c>
      <c r="K60" s="3113">
        <f t="shared" si="0"/>
        <v>-0.023776177728701352</v>
      </c>
      <c r="L60" s="3115">
        <f t="shared" si="2"/>
        <v>0.9494768886333763</v>
      </c>
      <c r="M60" s="3111">
        <f t="shared" si="3"/>
        <v>374900</v>
      </c>
      <c r="N60" s="3116"/>
      <c r="O60" s="3117">
        <v>0</v>
      </c>
      <c r="P60" s="3118"/>
      <c r="Q60" s="3119">
        <f t="shared" si="4"/>
        <v>0.9494768886333763</v>
      </c>
      <c r="R60" s="3111">
        <f t="shared" si="5"/>
        <v>374900</v>
      </c>
      <c r="S60" s="3120"/>
      <c r="T60" s="3182"/>
      <c r="U60" s="3165"/>
      <c r="V60" s="3165"/>
      <c r="W60" s="3165"/>
      <c r="X60" s="3198"/>
      <c r="Y60" s="3161"/>
      <c r="Z60" s="3168"/>
      <c r="AA60" s="3183"/>
      <c r="AB60" s="3183"/>
      <c r="AC60" s="3184"/>
      <c r="AD60" s="3080"/>
      <c r="AE60" s="3080"/>
      <c r="AF60" s="3080"/>
      <c r="AG60" s="3202">
        <f t="shared" si="11"/>
      </c>
      <c r="AH60" s="3200" t="s">
        <v>3044</v>
      </c>
      <c r="AI60" s="3203">
        <f>IF(AG69="Last",AVERAGE(E64:E69),IF(AG68="Last",AVERAGE(E63:E68),IF(AG67="Last",AVERAGE(E62:E67),IF(AG66="Last",AVERAGE(E61:E66),IF(AG65="Last",AVERAGE(E60:E65),IF(AG64="Last",AVERAGE(E59:E64),IF(AG63="Last",AVERAGE(E58:E63),IF(AG62="Last",AVERAGE(E53,E58:E62),IF(AG61="Last",AVERAGE(E52:E53,E58:E61),IF(AG60="Last",AVERAGE(E51:E53,E58:E60),IF(AG59="Last",AVERAGE(E50:E53,E58:E59),IF(AG58="Last",AVERAGE(E49:E53,E58),""))))))))))))</f>
        <v>425252.6666666667</v>
      </c>
      <c r="AJ60" s="3203">
        <f>IF(AG69="Last",AVERAGE(F64:F69),IF(AG68="Last",AVERAGE(F63:F68),IF(AG67="Last",AVERAGE(F62:F67),IF(AG66="Last",AVERAGE(F61:F66),IF(AG65="Last",AVERAGE(F60:F65),IF(AG64="Last",AVERAGE(F59:F64),IF(AG63="Last",AVERAGE(F58:F63),IF(AG62="Last",AVERAGE(F53,F58:F62),IF(AG61="Last",AVERAGE(F52:F53,F58:F61),IF(AG60="Last",AVERAGE(F51:F53,F58:F60),IF(AG59="Last",AVERAGE(F50:F53,F58:F59),IF(AG58="Last",AVERAGE(F49:F53,F58),""))))))))))))</f>
        <v>-12386.166666666666</v>
      </c>
      <c r="AK60" s="3203">
        <f>IF(AG69="Last",AVERAGE(M64:M69),IF(AG68="Last",AVERAGE(M63:M68),IF(AG67="Last",AVERAGE(M62:M67),IF(AG66="Last",AVERAGE(M61:M66),IF(AG65="Last",AVERAGE(M60:M65),IF(AG64="Last",AVERAGE(M59:M64),IF(AG63="Last",AVERAGE(M58:M63),IF(AG62="Last",AVERAGE(M53,M58:M62),IF(AG61="Last",AVERAGE(M52:M53,M58:M61),IF(AG60="Last",AVERAGE(M51:M53,M58:M60),IF(AG59="Last",AVERAGE(M50:M53,M58:M59),IF(AG58="Last",AVERAGE(M49:M53,M58),""))))))))))))</f>
        <v>409082</v>
      </c>
      <c r="AL60" s="3204">
        <f>IF(AG69="Last",AVERAGE(R64:R69),IF(AG68="Last",AVERAGE(R63:R68),IF(AG67="Last",AVERAGE(R62:R67),IF(AG66="Last",AVERAGE(R61:R66),IF(AG65="Last",AVERAGE(R60:R65),IF(AG64="Last",AVERAGE(R59:R64),IF(AG63="Last",AVERAGE(R58:R63),IF(AG62="Last",AVERAGE(R53,R58:R62),IF(AG61="Last",AVERAGE(R52:R53,R58:R61),IF(AG60="Last",AVERAGE(R51:R53,R58:R60),IF(AG59="Last",AVERAGE(R50:R53,R58:R59),IF(AG58="Last",AVERAGE(R49:R53,R58),""))))))))))))</f>
        <v>409082</v>
      </c>
      <c r="AO60" s="3080"/>
    </row>
    <row r="61" ht="15" customHeight="1">
      <c r="A61" s="3109" t="s">
        <v>3030</v>
      </c>
      <c r="B61" s="3110">
        <f>_xlfn.IFERROR(SUMIF('OS Analysis'!$B:$B,'Fannie Historical Ops'!$B$5,INDEX('OS Analysis'!$E:$P,0,MATCH(DATE($A$56,MONTH(DATEVALUE(A61&amp;" 1")),1),'OS Analysis'!$E$2:$P$2,0))),0)</f>
        <v>407072</v>
      </c>
      <c r="C61" s="3110">
        <v>0</v>
      </c>
      <c r="D61" s="3110">
        <v>0</v>
      </c>
      <c r="E61" s="3111">
        <f t="shared" si="1"/>
        <v>407072</v>
      </c>
      <c r="F61" s="3112">
        <f>_xlfn.IFERROR(SUMIF('OS Analysis'!$B:$B,'Fannie Historical Ops'!$B$6,INDEX('OS Analysis'!$E:$P,0,MATCH(DATE($A$56,MONTH(DATEVALUE(A61&amp;" 1")),1),'OS Analysis'!$E$2:$P$2,0))),0)</f>
        <v>-5433</v>
      </c>
      <c r="G61" s="3113">
        <f t="shared" si="0"/>
        <v>-0.013346533291407909</v>
      </c>
      <c r="H61" s="3114">
        <f>(_xlfn.IFERROR(SUMIF('OS Analysis'!$B:$B,"Less Concessions (income line item)",INDEX('OS Analysis'!$E:$P,0,MATCH(DATE($A$56,MONTH(DATEVALUE(A61&amp;" 1")),1),'OS Analysis'!$E$2:$P$2,0))),0))-(_xlfn.IFERROR(SUMIF('OS Analysis'!$B:$B,"Less Concessions (expense line item)",INDEX('OS Analysis'!$E:$P,0,MATCH(DATE($A$56,MONTH(DATEVALUE(A61&amp;" 1")),1),'OS Analysis'!$E$2:$P$2,0))),0))</f>
        <v>0</v>
      </c>
      <c r="I61" s="3113">
        <f t="shared" si="0"/>
        <v>0</v>
      </c>
      <c r="J61" s="3114">
        <f>_xlfn.IFERROR(SUMIF('OS Analysis'!$B:$B,'Fannie Historical Ops'!$B$7,INDEX('OS Analysis'!$E:$P,0,MATCH(DATE($A$56,MONTH(DATEVALUE(A61&amp;" 1")),1),'OS Analysis'!$E$2:$P$2,0))),0)</f>
        <v>-8547</v>
      </c>
      <c r="K61" s="3113">
        <f t="shared" si="0"/>
        <v>-0.020996285669365615</v>
      </c>
      <c r="L61" s="3115">
        <f t="shared" si="2"/>
        <v>0.9656571810392265</v>
      </c>
      <c r="M61" s="3111">
        <f t="shared" si="3"/>
        <v>393092</v>
      </c>
      <c r="N61" s="3116"/>
      <c r="O61" s="3117">
        <v>0</v>
      </c>
      <c r="P61" s="3118"/>
      <c r="Q61" s="3119">
        <f t="shared" si="4"/>
        <v>0.9656571810392265</v>
      </c>
      <c r="R61" s="3111">
        <f t="shared" si="5"/>
        <v>393092</v>
      </c>
      <c r="S61" s="3120"/>
      <c r="T61" s="3182"/>
      <c r="U61" s="3165"/>
      <c r="V61" s="3165"/>
      <c r="W61" s="3165"/>
      <c r="X61" s="3198"/>
      <c r="Y61" s="3161"/>
      <c r="Z61" s="3168"/>
      <c r="AA61" s="3183"/>
      <c r="AB61" s="3183"/>
      <c r="AC61" s="3184"/>
      <c r="AD61" s="3080"/>
      <c r="AE61" s="3080"/>
      <c r="AF61" s="3080"/>
      <c r="AG61" s="3202">
        <f t="shared" si="11"/>
      </c>
      <c r="AH61" s="3200" t="s">
        <v>3045</v>
      </c>
      <c r="AI61" s="3203">
        <f>IF(AG69="Last",AVERAGE(E61:E69),IF(AG68="Last",AVERAGE(E60:E68),IF(AG67="Last",AVERAGE(E59:E67),IF(AG66="Last",AVERAGE(E58:E66),IF(AG65="Last",AVERAGE(E53,E58:E65),IF(AG64="Last",AVERAGE(E52:E53,E58:E64),IF(AG63="Last",AVERAGE(E51:E53,E58:E63),IF(AG62="Last",AVERAGE(E50:E53,E58:E62),IF(AG61="Last",AVERAGE(E49:E53,E58:E61),IF(AG60="Last",AVERAGE(E48:E53,E58:E60),IF(AG59="Last",AVERAGE(E47:E53,E58:E59),IF(AG58="Last",AVERAGE(E46:E53,E58),""))))))))))))</f>
        <v>421269</v>
      </c>
      <c r="AJ61" s="3203">
        <f>IF(AG69="Last",AVERAGE(F61:F69),IF(AG68="Last",AVERAGE(F60:F68),IF(AG67="Last",AVERAGE(F59:F67),IF(AG66="Last",AVERAGE(F58:F66),IF(AG65="Last",AVERAGE(F53,F58:F65),IF(AG64="Last",AVERAGE(F52:F53,F58:F64),IF(AG63="Last",AVERAGE(F51:F53,F58:F63),IF(AG62="Last",AVERAGE(F50:F53,F58:F62),IF(AG61="Last",AVERAGE(F49:F53,F58:F61),IF(AG60="Last",AVERAGE(F48:F53,F58:F60),IF(AG59="Last",AVERAGE(F47:F53,F58:F59),IF(AG58="Last",AVERAGE(F46:F53,F58),""))))))))))))</f>
        <v>-13808.111111111111</v>
      </c>
      <c r="AK61" s="3203">
        <f>IF(AG69="Last",AVERAGE(M61:M69),IF(AG68="Last",AVERAGE(M60:M68),IF(AG67="Last",AVERAGE(M59:M67),IF(AG66="Last",AVERAGE(M58:M66),IF(AG65="Last",AVERAGE(M53,M58:M65),IF(AG64="Last",AVERAGE(M52:M53,M58:M64),IF(AG63="Last",AVERAGE(M51:M53,M58:M63),IF(AG62="Last",AVERAGE(M50:M53,M58:M62),IF(AG61="Last",AVERAGE(M49:M53,M58:M61),IF(AG60="Last",AVERAGE(M48:M53,M58:M60),IF(AG59="Last",AVERAGE(M47:M53,M58:M59),IF(AG58="Last",AVERAGE(M46:M53,M58),""))))))))))))</f>
        <v>402555.6666666667</v>
      </c>
      <c r="AL61" s="3204">
        <f>IF(AG69="Last",AVERAGE(R61:R69),IF(AG68="Last",AVERAGE(R60:R68),IF(AG67="Last",AVERAGE(R59:R67),IF(AG66="Last",AVERAGE(R58:R66),IF(AG65="Last",AVERAGE(R53,R58:R65),IF(AG64="Last",AVERAGE(R52:R53,R58:R64),IF(AG63="Last",AVERAGE(R51:R53,R58:R63),IF(AG62="Last",AVERAGE(R50:R53,R58:R62),IF(AG61="Last",AVERAGE(R49:R53,R58:R61),IF(AG60="Last",AVERAGE(R48:R53,R58:R60),IF(AG59="Last",AVERAGE(R47:R53,R58:R59),IF(AG58="Last",AVERAGE(R46:R53,R58),""))))))))))))</f>
        <v>402555.6666666667</v>
      </c>
      <c r="AO61" s="3080"/>
    </row>
    <row r="62" ht="15" customHeight="1">
      <c r="A62" s="3109" t="s">
        <v>3031</v>
      </c>
      <c r="B62" s="3110">
        <f>_xlfn.IFERROR(SUMIF('OS Analysis'!$B:$B,'Fannie Historical Ops'!$B$5,INDEX('OS Analysis'!$E:$P,0,MATCH(DATE($A$56,MONTH(DATEVALUE(A62&amp;" 1")),1),'OS Analysis'!$E$2:$P$2,0))),0)</f>
        <v>423823</v>
      </c>
      <c r="C62" s="3110">
        <v>0</v>
      </c>
      <c r="D62" s="3110">
        <v>0</v>
      </c>
      <c r="E62" s="3111">
        <f t="shared" si="1"/>
        <v>423823</v>
      </c>
      <c r="F62" s="3112">
        <f>_xlfn.IFERROR(SUMIF('OS Analysis'!$B:$B,'Fannie Historical Ops'!$B$6,INDEX('OS Analysis'!$E:$P,0,MATCH(DATE($A$56,MONTH(DATEVALUE(A62&amp;" 1")),1),'OS Analysis'!$E$2:$P$2,0))),0)</f>
        <v>-8948</v>
      </c>
      <c r="G62" s="3113">
        <f t="shared" si="0"/>
        <v>-0.021112587094140715</v>
      </c>
      <c r="H62" s="3114">
        <f>(_xlfn.IFERROR(SUMIF('OS Analysis'!$B:$B,"Less Concessions (income line item)",INDEX('OS Analysis'!$E:$P,0,MATCH(DATE($A$56,MONTH(DATEVALUE(A62&amp;" 1")),1),'OS Analysis'!$E$2:$P$2,0))),0))-(_xlfn.IFERROR(SUMIF('OS Analysis'!$B:$B,"Less Concessions (expense line item)",INDEX('OS Analysis'!$E:$P,0,MATCH(DATE($A$56,MONTH(DATEVALUE(A62&amp;" 1")),1),'OS Analysis'!$E$2:$P$2,0))),0))</f>
        <v>0</v>
      </c>
      <c r="I62" s="3113">
        <f t="shared" si="0"/>
        <v>0</v>
      </c>
      <c r="J62" s="3114">
        <f>_xlfn.IFERROR(SUMIF('OS Analysis'!$B:$B,'Fannie Historical Ops'!$B$7,INDEX('OS Analysis'!$E:$P,0,MATCH(DATE($A$56,MONTH(DATEVALUE(A62&amp;" 1")),1),'OS Analysis'!$E$2:$P$2,0))),0)</f>
        <v>-3771</v>
      </c>
      <c r="K62" s="3113">
        <f t="shared" si="0"/>
        <v>-0.008897582245418489</v>
      </c>
      <c r="L62" s="3115">
        <f t="shared" si="2"/>
        <v>0.9699898306604408</v>
      </c>
      <c r="M62" s="3111">
        <f t="shared" si="3"/>
        <v>411104</v>
      </c>
      <c r="N62" s="3116"/>
      <c r="O62" s="3117">
        <v>0</v>
      </c>
      <c r="P62" s="3118"/>
      <c r="Q62" s="3119">
        <f t="shared" si="4"/>
        <v>0.9699898306604408</v>
      </c>
      <c r="R62" s="3111">
        <f t="shared" si="5"/>
        <v>411104</v>
      </c>
      <c r="S62" s="3120"/>
      <c r="T62" s="3182"/>
      <c r="U62" s="3205"/>
      <c r="V62" s="3205"/>
      <c r="W62" s="3205"/>
      <c r="X62" s="3206"/>
      <c r="Y62" s="3161"/>
      <c r="Z62" s="3168"/>
      <c r="AA62" s="3183"/>
      <c r="AB62" s="3183"/>
      <c r="AC62" s="3184"/>
      <c r="AD62" s="3080"/>
      <c r="AE62" s="3080"/>
      <c r="AF62" s="3080"/>
      <c r="AG62" s="3202">
        <f t="shared" si="11"/>
      </c>
      <c r="AH62" s="3200" t="s">
        <v>3046</v>
      </c>
      <c r="AI62" s="3203">
        <f>IF(AG69="Last",AVERAGE(E58:E69),IF(AG68="Last",AVERAGE(E53,E58:E68),IF(AG67="Last",AVERAGE(E52:E53,E58:E67),IF(AG66="Last",AVERAGE(E51:E53,E58:E66),IF(AG65="Last",AVERAGE(E50:E53,E58:E65),IF(AG64="Last",AVERAGE(E49:E53,E58:E64),IF(AG63="Last",AVERAGE(E48:E53,E58:E63),IF(AG62="Last",AVERAGE(E47:E53,E58:E62),IF(AG61="Last",AVERAGE(E46:E53,E58:E61),IF(AG60="Last",AVERAGE(E45:E53,E58:E60),IF(AG59="Last",AVERAGE(E44:E53,E58:E59),IF(AG58="Last",AVERAGE(E43:E53,E58),""))))))))))))</f>
        <v>419027</v>
      </c>
      <c r="AJ62" s="3203">
        <f>IF(AG69="Last",AVERAGE(F58:F69),IF(AG68="Last",AVERAGE(F53,F58:F68),IF(AG67="Last",AVERAGE(F52:F53,F58:F67),IF(AG66="Last",AVERAGE(F51:F53,F58:F66),IF(AG65="Last",AVERAGE(F50:F53,F58:F65),IF(AG64="Last",AVERAGE(F49:F53,F58:F64),IF(AG63="Last",AVERAGE(F48:F53,F58:F63),IF(AG62="Last",AVERAGE(F47:F53,F58:F62),IF(AG61="Last",AVERAGE(F46:F53,F58:F61),IF(AG60="Last",AVERAGE(F45:F53,F58:F60),IF(AG59="Last",AVERAGE(F44:F53,F58:F59),IF(AG58="Last",AVERAGE(F43:F53,F58),""))))))))))))</f>
        <v>-14569.833333333334</v>
      </c>
      <c r="AK62" s="3203">
        <f>IF(AG69="Last",AVERAGE(M58:M69),IF(AG68="Last",AVERAGE(M53,M58:M68),IF(AG67="Last",AVERAGE(M52:M53,M58:M67),IF(AG66="Last",AVERAGE(M51:M53,M58:M66),IF(AG65="Last",AVERAGE(M50:M53,M58:M65),IF(AG64="Last",AVERAGE(M49:M53,M58:M64),IF(AG63="Last",AVERAGE(M48:M53,M58:M63),IF(AG62="Last",AVERAGE(M47:M53,M58:M62),IF(AG61="Last",AVERAGE(M46:M53,M58:M61),IF(AG60="Last",AVERAGE(M45:M53,M58:M60),IF(AG59="Last",AVERAGE(M44:M53,M58:M59),IF(AG58="Last",AVERAGE(M43:M53,M58),""))))))))))))</f>
        <v>400594.3333333333</v>
      </c>
      <c r="AL62" s="3204">
        <f>IF(AG69="Last",AVERAGE(R58:R69),IF(AG68="Last",AVERAGE(R53,R58:R68),IF(AG67="Last",AVERAGE(R52:R53,R58:R67),IF(AG66="Last",AVERAGE(R51:R53,R58:R66),IF(AG65="Last",AVERAGE(R50:R53,R58:R65),IF(AG64="Last",AVERAGE(R49:R53,R58:R64),IF(AG63="Last",AVERAGE(R48:R53,R58:R63),IF(AG62="Last",AVERAGE(R47:R53,R58:R62),IF(AG61="Last",AVERAGE(R46:R53,R58:R61),IF(AG60="Last",AVERAGE(R45:R53,R58:R60),IF(AG59="Last",AVERAGE(R44:R53,R58:R59),IF(AG58="Last",AVERAGE(R43:R53,R58),""))))))))))))</f>
        <v>400594.3333333333</v>
      </c>
      <c r="AO62" s="3080"/>
    </row>
    <row r="63" ht="15" customHeight="1">
      <c r="A63" s="3109" t="s">
        <v>3032</v>
      </c>
      <c r="B63" s="3110">
        <f>_xlfn.IFERROR(SUMIF('OS Analysis'!$B:$B,'Fannie Historical Ops'!$B$5,INDEX('OS Analysis'!$E:$P,0,MATCH(DATE($A$56,MONTH(DATEVALUE(A63&amp;" 1")),1),'OS Analysis'!$E$2:$P$2,0))),0)</f>
        <v>436729</v>
      </c>
      <c r="C63" s="3110">
        <v>0</v>
      </c>
      <c r="D63" s="3110">
        <v>0</v>
      </c>
      <c r="E63" s="3111">
        <f t="shared" si="1"/>
        <v>436729</v>
      </c>
      <c r="F63" s="3112">
        <f>_xlfn.IFERROR(SUMIF('OS Analysis'!$B:$B,'Fannie Historical Ops'!$B$6,INDEX('OS Analysis'!$E:$P,0,MATCH(DATE($A$56,MONTH(DATEVALUE(A63&amp;" 1")),1),'OS Analysis'!$E$2:$P$2,0))),0)</f>
        <v>-13393</v>
      </c>
      <c r="G63" s="3113">
        <f t="shared" si="0"/>
        <v>-0.030666614765678488</v>
      </c>
      <c r="H63" s="3114">
        <f>(_xlfn.IFERROR(SUMIF('OS Analysis'!$B:$B,"Less Concessions (income line item)",INDEX('OS Analysis'!$E:$P,0,MATCH(DATE($A$56,MONTH(DATEVALUE(A63&amp;" 1")),1),'OS Analysis'!$E$2:$P$2,0))),0))-(_xlfn.IFERROR(SUMIF('OS Analysis'!$B:$B,"Less Concessions (expense line item)",INDEX('OS Analysis'!$E:$P,0,MATCH(DATE($A$56,MONTH(DATEVALUE(A63&amp;" 1")),1),'OS Analysis'!$E$2:$P$2,0))),0))</f>
        <v>0</v>
      </c>
      <c r="I63" s="3113">
        <f t="shared" si="0"/>
        <v>0</v>
      </c>
      <c r="J63" s="3114">
        <f>_xlfn.IFERROR(SUMIF('OS Analysis'!$B:$B,'Fannie Historical Ops'!$B$7,INDEX('OS Analysis'!$E:$P,0,MATCH(DATE($A$56,MONTH(DATEVALUE(A63&amp;" 1")),1),'OS Analysis'!$E$2:$P$2,0))),0)</f>
        <v>741</v>
      </c>
      <c r="K63" s="3113">
        <f t="shared" si="0"/>
        <v>0.0016967043635755812</v>
      </c>
      <c r="L63" s="3115">
        <f t="shared" si="2"/>
        <v>0.971030089597897</v>
      </c>
      <c r="M63" s="3111">
        <f t="shared" si="3"/>
        <v>424077</v>
      </c>
      <c r="N63" s="3116"/>
      <c r="O63" s="3117">
        <v>0</v>
      </c>
      <c r="P63" s="3118"/>
      <c r="Q63" s="3119">
        <f t="shared" si="4"/>
        <v>0.971030089597897</v>
      </c>
      <c r="R63" s="3111">
        <f t="shared" si="5"/>
        <v>424077</v>
      </c>
      <c r="S63" s="3120"/>
      <c r="T63" s="3182"/>
      <c r="U63" s="3165"/>
      <c r="V63" s="3165"/>
      <c r="W63" s="3165"/>
      <c r="X63" s="3198"/>
      <c r="Y63" s="3161"/>
      <c r="Z63" s="3168"/>
      <c r="AA63" s="3183"/>
      <c r="AB63" s="3183"/>
      <c r="AC63" s="3184"/>
      <c r="AD63" s="3080"/>
      <c r="AE63" s="3080"/>
      <c r="AF63" s="3080"/>
      <c r="AG63" s="3202">
        <f t="shared" si="11"/>
      </c>
      <c r="AO63" s="3080"/>
    </row>
    <row r="64" ht="15" customHeight="1">
      <c r="A64" s="3109" t="s">
        <v>3033</v>
      </c>
      <c r="B64" s="3110">
        <f>_xlfn.IFERROR(SUMIF('OS Analysis'!$B:$B,'Fannie Historical Ops'!$B$5,INDEX('OS Analysis'!$E:$P,0,MATCH(DATE($A$56,MONTH(DATEVALUE(A64&amp;" 1")),1),'OS Analysis'!$E$2:$P$2,0))),0)</f>
        <v>424353</v>
      </c>
      <c r="C64" s="3110">
        <v>0</v>
      </c>
      <c r="D64" s="3110">
        <v>0</v>
      </c>
      <c r="E64" s="3111">
        <f t="shared" si="1"/>
        <v>424353</v>
      </c>
      <c r="F64" s="3112">
        <f>_xlfn.IFERROR(SUMIF('OS Analysis'!$B:$B,'Fannie Historical Ops'!$B$6,INDEX('OS Analysis'!$E:$P,0,MATCH(DATE($A$56,MONTH(DATEVALUE(A64&amp;" 1")),1),'OS Analysis'!$E$2:$P$2,0))),0)</f>
        <v>-12545</v>
      </c>
      <c r="G64" s="3113">
        <f t="shared" si="0"/>
        <v>-0.02956265184881455</v>
      </c>
      <c r="H64" s="3114">
        <f>(_xlfn.IFERROR(SUMIF('OS Analysis'!$B:$B,"Less Concessions (income line item)",INDEX('OS Analysis'!$E:$P,0,MATCH(DATE($A$56,MONTH(DATEVALUE(A64&amp;" 1")),1),'OS Analysis'!$E$2:$P$2,0))),0))-(_xlfn.IFERROR(SUMIF('OS Analysis'!$B:$B,"Less Concessions (expense line item)",INDEX('OS Analysis'!$E:$P,0,MATCH(DATE($A$56,MONTH(DATEVALUE(A64&amp;" 1")),1),'OS Analysis'!$E$2:$P$2,0))),0))</f>
        <v>0</v>
      </c>
      <c r="I64" s="3113">
        <f t="shared" si="0"/>
        <v>0</v>
      </c>
      <c r="J64" s="3114">
        <f>_xlfn.IFERROR(SUMIF('OS Analysis'!$B:$B,'Fannie Historical Ops'!$B$7,INDEX('OS Analysis'!$E:$P,0,MATCH(DATE($A$56,MONTH(DATEVALUE(A64&amp;" 1")),1),'OS Analysis'!$E$2:$P$2,0))),0)</f>
        <v>-5254</v>
      </c>
      <c r="K64" s="3113">
        <f t="shared" si="0"/>
        <v>-0.01238120149969483</v>
      </c>
      <c r="L64" s="3115">
        <f t="shared" si="2"/>
        <v>0.9580561466514906</v>
      </c>
      <c r="M64" s="3111">
        <f t="shared" si="3"/>
        <v>406554</v>
      </c>
      <c r="N64" s="3116"/>
      <c r="O64" s="3117">
        <v>0</v>
      </c>
      <c r="P64" s="3118"/>
      <c r="Q64" s="3119">
        <f t="shared" si="4"/>
        <v>0.9580561466514906</v>
      </c>
      <c r="R64" s="3111">
        <f t="shared" si="5"/>
        <v>406554</v>
      </c>
      <c r="S64" s="3120"/>
      <c r="T64" s="3182"/>
      <c r="U64" s="3165"/>
      <c r="V64" s="3165"/>
      <c r="W64" s="3165"/>
      <c r="X64" s="3198"/>
      <c r="Y64" s="3161"/>
      <c r="Z64" s="3168"/>
      <c r="AA64" s="3183"/>
      <c r="AB64" s="3183"/>
      <c r="AC64" s="3184"/>
      <c r="AD64" s="3080"/>
      <c r="AE64" s="3080"/>
      <c r="AF64" s="3080"/>
      <c r="AG64" s="3202">
        <f t="shared" si="11"/>
      </c>
      <c r="AO64" s="3080"/>
    </row>
    <row r="65" ht="15" customHeight="1">
      <c r="A65" s="3109" t="s">
        <v>3034</v>
      </c>
      <c r="B65" s="3110">
        <f>_xlfn.IFERROR(SUMIF('OS Analysis'!$B:$B,'Fannie Historical Ops'!$B$5,INDEX('OS Analysis'!$E:$P,0,MATCH(DATE($A$56,MONTH(DATEVALUE(A65&amp;" 1")),1),'OS Analysis'!$E$2:$P$2,0))),0)</f>
        <v>433447</v>
      </c>
      <c r="C65" s="3110">
        <v>0</v>
      </c>
      <c r="D65" s="3110">
        <v>0</v>
      </c>
      <c r="E65" s="3111">
        <f t="shared" si="1"/>
        <v>433447</v>
      </c>
      <c r="F65" s="3112">
        <f>_xlfn.IFERROR(SUMIF('OS Analysis'!$B:$B,'Fannie Historical Ops'!$B$6,INDEX('OS Analysis'!$E:$P,0,MATCH(DATE($A$56,MONTH(DATEVALUE(A65&amp;" 1")),1),'OS Analysis'!$E$2:$P$2,0))),0)</f>
        <v>-14867</v>
      </c>
      <c r="G65" s="3113">
        <f t="shared" si="0"/>
        <v>-0.034299464525074576</v>
      </c>
      <c r="H65" s="3114">
        <f>(_xlfn.IFERROR(SUMIF('OS Analysis'!$B:$B,"Less Concessions (income line item)",INDEX('OS Analysis'!$E:$P,0,MATCH(DATE($A$56,MONTH(DATEVALUE(A65&amp;" 1")),1),'OS Analysis'!$E$2:$P$2,0))),0))-(_xlfn.IFERROR(SUMIF('OS Analysis'!$B:$B,"Less Concessions (expense line item)",INDEX('OS Analysis'!$E:$P,0,MATCH(DATE($A$56,MONTH(DATEVALUE(A65&amp;" 1")),1),'OS Analysis'!$E$2:$P$2,0))),0))</f>
        <v>0</v>
      </c>
      <c r="I65" s="3113">
        <f t="shared" si="0"/>
        <v>0</v>
      </c>
      <c r="J65" s="3114">
        <f>_xlfn.IFERROR(SUMIF('OS Analysis'!$B:$B,'Fannie Historical Ops'!$B$7,INDEX('OS Analysis'!$E:$P,0,MATCH(DATE($A$56,MONTH(DATEVALUE(A65&amp;" 1")),1),'OS Analysis'!$E$2:$P$2,0))),0)</f>
        <v>-866</v>
      </c>
      <c r="K65" s="3113">
        <f t="shared" si="0"/>
        <v>-0.0019979374640959565</v>
      </c>
      <c r="L65" s="3115">
        <f t="shared" si="2"/>
        <v>0.9637025980108295</v>
      </c>
      <c r="M65" s="3111">
        <f t="shared" si="3"/>
        <v>417714</v>
      </c>
      <c r="N65" s="3116"/>
      <c r="O65" s="3117">
        <v>0</v>
      </c>
      <c r="P65" s="3118"/>
      <c r="Q65" s="3119">
        <f t="shared" si="4"/>
        <v>0.9637025980108295</v>
      </c>
      <c r="R65" s="3111">
        <f t="shared" si="5"/>
        <v>417714</v>
      </c>
      <c r="S65" s="3120"/>
      <c r="T65" s="3182"/>
      <c r="U65" s="3165"/>
      <c r="V65" s="3165"/>
      <c r="W65" s="3165"/>
      <c r="X65" s="3198"/>
      <c r="Y65" s="3165"/>
      <c r="Z65" s="3165"/>
      <c r="AA65" s="3183"/>
      <c r="AB65" s="3183"/>
      <c r="AC65" s="3184"/>
      <c r="AD65" s="3080"/>
      <c r="AE65" s="3080"/>
      <c r="AF65" s="3080"/>
      <c r="AG65" s="3202">
        <f t="shared" si="11"/>
      </c>
      <c r="AO65" s="3080"/>
    </row>
    <row r="66" ht="15" customHeight="1">
      <c r="A66" s="3109" t="s">
        <v>3035</v>
      </c>
      <c r="B66" s="3110">
        <f>_xlfn.IFERROR(SUMIF('OS Analysis'!$B:$B,'Fannie Historical Ops'!$B$5,INDEX('OS Analysis'!$E:$P,0,MATCH(DATE($A$56,MONTH(DATEVALUE(A66&amp;" 1")),1),'OS Analysis'!$E$2:$P$2,0))),0)</f>
        <v>426092</v>
      </c>
      <c r="C66" s="3110">
        <v>0</v>
      </c>
      <c r="D66" s="3110">
        <v>0</v>
      </c>
      <c r="E66" s="3111">
        <f t="shared" si="1"/>
        <v>426092</v>
      </c>
      <c r="F66" s="3112">
        <f>_xlfn.IFERROR(SUMIF('OS Analysis'!$B:$B,'Fannie Historical Ops'!$B$6,INDEX('OS Analysis'!$E:$P,0,MATCH(DATE($A$56,MONTH(DATEVALUE(A66&amp;" 1")),1),'OS Analysis'!$E$2:$P$2,0))),0)</f>
        <v>-19131</v>
      </c>
      <c r="G66" s="3113">
        <f t="shared" si="0"/>
        <v>-0.04489875425964346</v>
      </c>
      <c r="H66" s="3114">
        <f>(_xlfn.IFERROR(SUMIF('OS Analysis'!$B:$B,"Less Concessions (income line item)",INDEX('OS Analysis'!$E:$P,0,MATCH(DATE($A$56,MONTH(DATEVALUE(A66&amp;" 1")),1),'OS Analysis'!$E$2:$P$2,0))),0))-(_xlfn.IFERROR(SUMIF('OS Analysis'!$B:$B,"Less Concessions (expense line item)",INDEX('OS Analysis'!$E:$P,0,MATCH(DATE($A$56,MONTH(DATEVALUE(A66&amp;" 1")),1),'OS Analysis'!$E$2:$P$2,0))),0))</f>
        <v>0</v>
      </c>
      <c r="I66" s="3113">
        <f t="shared" si="0"/>
        <v>0</v>
      </c>
      <c r="J66" s="3114">
        <f>_xlfn.IFERROR(SUMIF('OS Analysis'!$B:$B,'Fannie Historical Ops'!$B$7,INDEX('OS Analysis'!$E:$P,0,MATCH(DATE($A$56,MONTH(DATEVALUE(A66&amp;" 1")),1),'OS Analysis'!$E$2:$P$2,0))),0)</f>
        <v>-5010</v>
      </c>
      <c r="K66" s="3113">
        <f t="shared" si="0"/>
        <v>-0.01175802408869446</v>
      </c>
      <c r="L66" s="3115">
        <f t="shared" si="2"/>
        <v>0.9433432216516621</v>
      </c>
      <c r="M66" s="3111">
        <f t="shared" si="3"/>
        <v>401951</v>
      </c>
      <c r="N66" s="3116"/>
      <c r="O66" s="3117">
        <v>0</v>
      </c>
      <c r="P66" s="3118"/>
      <c r="Q66" s="3119">
        <f t="shared" si="4"/>
        <v>0.9433432216516621</v>
      </c>
      <c r="R66" s="3111">
        <f t="shared" si="5"/>
        <v>401951</v>
      </c>
      <c r="S66" s="3120"/>
      <c r="T66" s="3182"/>
      <c r="U66" s="3165"/>
      <c r="V66" s="3165"/>
      <c r="W66" s="3165"/>
      <c r="X66" s="3198"/>
      <c r="Y66" s="3161"/>
      <c r="Z66" s="3161"/>
      <c r="AA66" s="3183"/>
      <c r="AB66" s="3183"/>
      <c r="AC66" s="3184"/>
      <c r="AD66" s="3080"/>
      <c r="AE66" s="3080"/>
      <c r="AF66" s="3080"/>
      <c r="AG66" s="3202" t="str">
        <f t="shared" si="11"/>
        <v>Last</v>
      </c>
      <c r="AO66" s="3080"/>
    </row>
    <row r="67" ht="15" customHeight="1">
      <c r="A67" s="3109" t="s">
        <v>3036</v>
      </c>
      <c r="B67" s="3110">
        <f>_xlfn.IFERROR(SUMIF('OS Analysis'!$B:$B,'Fannie Historical Ops'!$B$5,INDEX('OS Analysis'!$E:$P,0,MATCH(DATE($A$56,MONTH(DATEVALUE(A67&amp;" 1")),1),'OS Analysis'!$E$2:$P$2,0))),0)</f>
        <v>0</v>
      </c>
      <c r="C67" s="3110">
        <v>0</v>
      </c>
      <c r="D67" s="3110">
        <v>0</v>
      </c>
      <c r="E67" s="3111">
        <f t="shared" si="1"/>
        <v>0</v>
      </c>
      <c r="F67" s="3112">
        <f>_xlfn.IFERROR(SUMIF('OS Analysis'!$B:$B,'Fannie Historical Ops'!$B$6,INDEX('OS Analysis'!$E:$P,0,MATCH(DATE($A$56,MONTH(DATEVALUE(A67&amp;" 1")),1),'OS Analysis'!$E$2:$P$2,0))),0)</f>
        <v>0</v>
      </c>
      <c r="G67" s="3113">
        <f t="shared" si="0"/>
        <v>0</v>
      </c>
      <c r="H67" s="3114">
        <f>(_xlfn.IFERROR(SUMIF('OS Analysis'!$B:$B,"Less Concessions (income line item)",INDEX('OS Analysis'!$E:$P,0,MATCH(DATE($A$56,MONTH(DATEVALUE(A67&amp;" 1")),1),'OS Analysis'!$E$2:$P$2,0))),0))-(_xlfn.IFERROR(SUMIF('OS Analysis'!$B:$B,"Less Concessions (expense line item)",INDEX('OS Analysis'!$E:$P,0,MATCH(DATE($A$56,MONTH(DATEVALUE(A67&amp;" 1")),1),'OS Analysis'!$E$2:$P$2,0))),0))</f>
        <v>0</v>
      </c>
      <c r="I67" s="3113">
        <f t="shared" si="0"/>
        <v>0</v>
      </c>
      <c r="J67" s="3114">
        <f>_xlfn.IFERROR(SUMIF('OS Analysis'!$B:$B,'Fannie Historical Ops'!$B$7,INDEX('OS Analysis'!$E:$P,0,MATCH(DATE($A$56,MONTH(DATEVALUE(A67&amp;" 1")),1),'OS Analysis'!$E$2:$P$2,0))),0)</f>
        <v>0</v>
      </c>
      <c r="K67" s="3113">
        <f t="shared" si="0"/>
        <v>0</v>
      </c>
      <c r="L67" s="3115">
        <f t="shared" si="2"/>
        <v>0</v>
      </c>
      <c r="M67" s="3111">
        <f t="shared" si="3"/>
        <v>0</v>
      </c>
      <c r="N67" s="3116"/>
      <c r="O67" s="3117">
        <v>0</v>
      </c>
      <c r="P67" s="3118"/>
      <c r="Q67" s="3119">
        <f t="shared" si="4"/>
        <v>0</v>
      </c>
      <c r="R67" s="3111">
        <f t="shared" si="5"/>
        <v>0</v>
      </c>
      <c r="S67" s="3120"/>
      <c r="T67" s="3182"/>
      <c r="U67" s="3165"/>
      <c r="V67" s="3165"/>
      <c r="W67" s="3165"/>
      <c r="X67" s="3198"/>
      <c r="Y67" s="3207"/>
      <c r="Z67" s="3208"/>
      <c r="AA67" s="3183"/>
      <c r="AB67" s="3183"/>
      <c r="AC67" s="3184"/>
      <c r="AD67" s="3080"/>
      <c r="AE67" s="3080"/>
      <c r="AF67" s="3080"/>
      <c r="AG67" s="3202">
        <f t="shared" si="11"/>
      </c>
      <c r="AO67" s="3080"/>
    </row>
    <row r="68" ht="15" customHeight="1">
      <c r="A68" s="3109" t="s">
        <v>3037</v>
      </c>
      <c r="B68" s="3110">
        <f>_xlfn.IFERROR(SUMIF('OS Analysis'!$B:$B,'Fannie Historical Ops'!$B$5,INDEX('OS Analysis'!$E:$P,0,MATCH(DATE($A$56,MONTH(DATEVALUE(A68&amp;" 1")),1),'OS Analysis'!$E$2:$P$2,0))),0)</f>
        <v>0</v>
      </c>
      <c r="C68" s="3110">
        <v>0</v>
      </c>
      <c r="D68" s="3110">
        <v>0</v>
      </c>
      <c r="E68" s="3111">
        <f t="shared" si="1"/>
        <v>0</v>
      </c>
      <c r="F68" s="3112">
        <f>_xlfn.IFERROR(SUMIF('OS Analysis'!$B:$B,'Fannie Historical Ops'!$B$6,INDEX('OS Analysis'!$E:$P,0,MATCH(DATE($A$56,MONTH(DATEVALUE(A68&amp;" 1")),1),'OS Analysis'!$E$2:$P$2,0))),0)</f>
        <v>0</v>
      </c>
      <c r="G68" s="3113">
        <f t="shared" si="0"/>
        <v>0</v>
      </c>
      <c r="H68" s="3114">
        <f>(_xlfn.IFERROR(SUMIF('OS Analysis'!$B:$B,"Less Concessions (income line item)",INDEX('OS Analysis'!$E:$P,0,MATCH(DATE($A$56,MONTH(DATEVALUE(A68&amp;" 1")),1),'OS Analysis'!$E$2:$P$2,0))),0))-(_xlfn.IFERROR(SUMIF('OS Analysis'!$B:$B,"Less Concessions (expense line item)",INDEX('OS Analysis'!$E:$P,0,MATCH(DATE($A$56,MONTH(DATEVALUE(A68&amp;" 1")),1),'OS Analysis'!$E$2:$P$2,0))),0))</f>
        <v>0</v>
      </c>
      <c r="I68" s="3113">
        <f t="shared" si="0"/>
        <v>0</v>
      </c>
      <c r="J68" s="3114">
        <f>_xlfn.IFERROR(SUMIF('OS Analysis'!$B:$B,'Fannie Historical Ops'!$B$7,INDEX('OS Analysis'!$E:$P,0,MATCH(DATE($A$56,MONTH(DATEVALUE(A68&amp;" 1")),1),'OS Analysis'!$E$2:$P$2,0))),0)</f>
        <v>0</v>
      </c>
      <c r="K68" s="3113">
        <f t="shared" si="0"/>
        <v>0</v>
      </c>
      <c r="L68" s="3115">
        <f t="shared" si="2"/>
        <v>0</v>
      </c>
      <c r="M68" s="3111">
        <f t="shared" si="3"/>
        <v>0</v>
      </c>
      <c r="N68" s="3116"/>
      <c r="O68" s="3117">
        <v>0</v>
      </c>
      <c r="P68" s="3118"/>
      <c r="Q68" s="3119">
        <f t="shared" si="4"/>
        <v>0</v>
      </c>
      <c r="R68" s="3111">
        <f t="shared" si="5"/>
        <v>0</v>
      </c>
      <c r="S68" s="3120"/>
      <c r="T68" s="3182"/>
      <c r="U68" s="3183"/>
      <c r="V68" s="3183"/>
      <c r="W68" s="3183"/>
      <c r="X68" s="3183"/>
      <c r="Y68" s="3208"/>
      <c r="Z68" s="3208"/>
      <c r="AA68" s="3183"/>
      <c r="AB68" s="3183"/>
      <c r="AC68" s="3184"/>
      <c r="AD68" s="3080"/>
      <c r="AE68" s="3080"/>
      <c r="AF68" s="3080"/>
      <c r="AG68" s="3202">
        <f t="shared" si="11"/>
      </c>
      <c r="AM68" s="3080"/>
      <c r="AN68" s="3080"/>
      <c r="AO68" s="3080"/>
    </row>
    <row r="69" ht="15.75" customHeight="1">
      <c r="A69" s="3124" t="s">
        <v>3038</v>
      </c>
      <c r="B69" s="3110">
        <f>_xlfn.IFERROR(SUMIF('OS Analysis'!$B:$B,'Fannie Historical Ops'!$B$5,INDEX('OS Analysis'!$E:$P,0,MATCH(DATE($A$56,MONTH(DATEVALUE(A69&amp;" 1")),1),'OS Analysis'!$E$2:$P$2,0))),0)</f>
        <v>0</v>
      </c>
      <c r="C69" s="3110">
        <v>0</v>
      </c>
      <c r="D69" s="3125">
        <v>0</v>
      </c>
      <c r="E69" s="3126">
        <f t="shared" si="1"/>
        <v>0</v>
      </c>
      <c r="F69" s="3112">
        <f>_xlfn.IFERROR(SUMIF('OS Analysis'!$B:$B,'Fannie Historical Ops'!$B$6,INDEX('OS Analysis'!$E:$P,0,MATCH(DATE($A$56,MONTH(DATEVALUE(A69&amp;" 1")),1),'OS Analysis'!$E$2:$P$2,0))),0)</f>
        <v>0</v>
      </c>
      <c r="G69" s="3128">
        <f t="shared" si="0"/>
        <v>0</v>
      </c>
      <c r="H69" s="3114">
        <f>(_xlfn.IFERROR(SUMIF('OS Analysis'!$B:$B,"Less Concessions (income line item)",INDEX('OS Analysis'!$E:$P,0,MATCH(DATE($A$56,MONTH(DATEVALUE(A69&amp;" 1")),1),'OS Analysis'!$E$2:$P$2,0))),0))-(_xlfn.IFERROR(SUMIF('OS Analysis'!$B:$B,"Less Concessions (expense line item)",INDEX('OS Analysis'!$E:$P,0,MATCH(DATE($A$56,MONTH(DATEVALUE(A69&amp;" 1")),1),'OS Analysis'!$E$2:$P$2,0))),0))</f>
        <v>0</v>
      </c>
      <c r="I69" s="3128">
        <f t="shared" si="0"/>
        <v>0</v>
      </c>
      <c r="J69" s="3114">
        <f>_xlfn.IFERROR(SUMIF('OS Analysis'!$B:$B,'Fannie Historical Ops'!$B$7,INDEX('OS Analysis'!$E:$P,0,MATCH(DATE($A$56,MONTH(DATEVALUE(A69&amp;" 1")),1),'OS Analysis'!$E$2:$P$2,0))),0)</f>
        <v>0</v>
      </c>
      <c r="K69" s="3128">
        <f t="shared" si="0"/>
        <v>0</v>
      </c>
      <c r="L69" s="3115">
        <f t="shared" si="2"/>
        <v>0</v>
      </c>
      <c r="M69" s="3126">
        <f t="shared" si="3"/>
        <v>0</v>
      </c>
      <c r="N69" s="3116"/>
      <c r="O69" s="3130">
        <v>0</v>
      </c>
      <c r="P69" s="3131"/>
      <c r="Q69" s="3132">
        <f t="shared" si="4"/>
        <v>0</v>
      </c>
      <c r="R69" s="3126">
        <f t="shared" si="5"/>
        <v>0</v>
      </c>
      <c r="S69" s="3133"/>
      <c r="T69" s="3182"/>
      <c r="U69" s="3141"/>
      <c r="V69" s="3080"/>
      <c r="W69" s="3080"/>
      <c r="X69" s="3080"/>
      <c r="Y69" s="3080"/>
      <c r="Z69" s="3080"/>
      <c r="AA69" s="3080"/>
      <c r="AB69" s="3183"/>
      <c r="AC69" s="3184"/>
      <c r="AD69" s="3080"/>
      <c r="AE69" s="3080"/>
      <c r="AF69" s="3080"/>
      <c r="AG69" s="3209">
        <f>IF(R69&lt;&gt;0,"Last","")</f>
      </c>
      <c r="AH69" s="3165"/>
      <c r="AI69" s="3080"/>
      <c r="AJ69" s="3080"/>
      <c r="AK69" s="3080"/>
      <c r="AL69" s="3080"/>
      <c r="AM69" s="3080"/>
      <c r="AN69" s="3080"/>
      <c r="AO69" s="3080"/>
    </row>
    <row r="70" ht="15.75" customHeight="1">
      <c r="A70" s="3134" t="s">
        <v>2968</v>
      </c>
      <c r="B70" s="3135">
        <f t="shared" si="6"/>
        <v>3791421</v>
      </c>
      <c r="C70" s="3135">
        <f t="shared" si="6"/>
        <v>0</v>
      </c>
      <c r="D70" s="3135">
        <f t="shared" si="6"/>
        <v>0</v>
      </c>
      <c r="E70" s="3135">
        <f t="shared" si="1"/>
        <v>3791421</v>
      </c>
      <c r="F70" s="3135">
        <f t="shared" si="6"/>
        <v>-124273</v>
      </c>
      <c r="G70" s="3136">
        <f t="shared" si="0"/>
        <v>-0.03277742039198496</v>
      </c>
      <c r="H70" s="3135">
        <f t="shared" si="6"/>
        <v>0</v>
      </c>
      <c r="I70" s="3136">
        <f t="shared" si="0"/>
        <v>0</v>
      </c>
      <c r="J70" s="3135">
        <f t="shared" si="6"/>
        <v>-44147</v>
      </c>
      <c r="K70" s="3136">
        <f t="shared" si="0"/>
        <v>-0.011643919258768677</v>
      </c>
      <c r="L70" s="3137">
        <f t="shared" si="2"/>
        <v>0.9555786603492463</v>
      </c>
      <c r="M70" s="3135">
        <f t="shared" si="3"/>
        <v>3623001</v>
      </c>
      <c r="N70" s="3138"/>
      <c r="O70" s="3135">
        <f t="shared" si="6"/>
        <v>0</v>
      </c>
      <c r="P70" s="3139">
        <f t="shared" si="8"/>
      </c>
      <c r="Q70" s="3140">
        <f t="shared" si="4"/>
        <v>0.9555786603492463</v>
      </c>
      <c r="R70" s="3135">
        <f t="shared" si="5"/>
        <v>3623001</v>
      </c>
      <c r="S70" s="3120"/>
      <c r="T70" s="3141"/>
      <c r="U70" s="3141"/>
      <c r="V70" s="3080"/>
      <c r="W70" s="3080"/>
      <c r="X70" s="3080"/>
      <c r="Y70" s="3080"/>
      <c r="Z70" s="3080"/>
      <c r="AA70" s="3080"/>
      <c r="AB70" s="3183"/>
      <c r="AC70" s="3184"/>
      <c r="AD70" s="3080"/>
      <c r="AE70" s="3080"/>
      <c r="AF70" s="3080"/>
      <c r="AG70" s="3080"/>
      <c r="AH70" s="3080"/>
      <c r="AI70" s="3080"/>
      <c r="AJ70" s="3080"/>
      <c r="AK70" s="3080"/>
      <c r="AL70" s="3080"/>
      <c r="AM70" s="3080"/>
      <c r="AN70" s="3080"/>
      <c r="AO70" s="3080"/>
    </row>
    <row r="71" ht="14.25" customHeight="1" hidden="0" collapsed="0" outlineLevel="1">
      <c r="A71" s="3210" t="s">
        <v>3048</v>
      </c>
      <c r="B71" s="3145">
        <f>AB187</f>
        <v>5028324</v>
      </c>
      <c r="C71" s="3190"/>
      <c r="D71" s="3190"/>
      <c r="E71" s="3145">
        <f>P187</f>
        <v>5028324</v>
      </c>
      <c r="F71" s="3145">
        <f>S187</f>
        <v>-174838</v>
      </c>
      <c r="G71" s="3190"/>
      <c r="H71" s="3145">
        <f>V187</f>
        <v>0</v>
      </c>
      <c r="I71" s="3190"/>
      <c r="J71" s="3145">
        <f>Y187</f>
        <v>-46354</v>
      </c>
      <c r="K71" s="3190"/>
      <c r="L71" s="3190"/>
      <c r="M71" s="3145">
        <f>AD187</f>
        <v>4807132</v>
      </c>
      <c r="N71" s="3189"/>
      <c r="O71" s="3189"/>
      <c r="P71" s="3189"/>
      <c r="Q71" s="3193"/>
      <c r="R71" s="3189"/>
      <c r="S71" s="3189"/>
      <c r="T71" s="3189"/>
      <c r="U71" s="3211"/>
      <c r="V71" s="3080"/>
      <c r="W71" s="3080"/>
      <c r="X71" s="3080"/>
      <c r="Y71" s="3080"/>
      <c r="Z71" s="3080"/>
      <c r="AA71" s="3080"/>
      <c r="AB71" s="3183"/>
      <c r="AC71" s="3184"/>
      <c r="AD71" s="3080"/>
      <c r="AE71" s="3080"/>
      <c r="AF71" s="3080"/>
      <c r="AG71" s="3080"/>
      <c r="AH71" s="3080"/>
      <c r="AI71" s="3080"/>
      <c r="AJ71" s="3080"/>
      <c r="AK71" s="3080"/>
      <c r="AL71" s="3080"/>
      <c r="AM71" s="3080"/>
      <c r="AN71" s="3080"/>
      <c r="AO71" s="3080"/>
    </row>
    <row r="72" ht="1.5" customHeight="1" hidden="0" collapsed="0" outlineLevel="1">
      <c r="A72" s="3187"/>
      <c r="B72" s="3212"/>
      <c r="C72" s="3212"/>
      <c r="D72" s="3212"/>
      <c r="E72" s="3213"/>
      <c r="F72" s="3212"/>
      <c r="G72" s="3145"/>
      <c r="H72" s="3212"/>
      <c r="I72" s="3145"/>
      <c r="J72" s="3212"/>
      <c r="K72" s="3190"/>
      <c r="L72" s="3190"/>
      <c r="M72" s="3212"/>
      <c r="N72" s="3189"/>
      <c r="O72" s="3189"/>
      <c r="P72" s="3189"/>
      <c r="Q72" s="3189"/>
      <c r="R72" s="3189"/>
      <c r="S72" s="3189"/>
      <c r="T72" s="3189"/>
      <c r="U72" s="3211"/>
      <c r="V72" s="3080"/>
      <c r="W72" s="3080"/>
      <c r="X72" s="3080"/>
      <c r="Y72" s="3080"/>
      <c r="Z72" s="3080"/>
      <c r="AA72" s="3080"/>
      <c r="AB72" s="3183"/>
      <c r="AC72" s="3184"/>
      <c r="AD72" s="3080"/>
      <c r="AE72" s="3080"/>
      <c r="AF72" s="3080"/>
      <c r="AG72" s="3080"/>
      <c r="AH72" s="3080"/>
      <c r="AI72" s="3080"/>
      <c r="AJ72" s="3080"/>
      <c r="AK72" s="3080"/>
      <c r="AL72" s="3080"/>
      <c r="AM72" s="3080"/>
      <c r="AN72" s="3080"/>
      <c r="AO72" s="3080"/>
    </row>
    <row r="73" ht="14.25" customHeight="1" hidden="0" collapsed="0" outlineLevel="1">
      <c r="A73" s="3214" t="str">
        <f>"NRI (T"&amp;P155&amp;")"</f>
        <v>NRI (T12)</v>
      </c>
      <c r="B73" s="3215">
        <f>AB171</f>
        <v>5028324</v>
      </c>
      <c r="C73" s="3216"/>
      <c r="D73" s="3216"/>
      <c r="E73" s="3217"/>
      <c r="F73" s="3215">
        <f>S171</f>
        <v>-174838</v>
      </c>
      <c r="G73" s="3218"/>
      <c r="H73" s="3215">
        <f>V171</f>
        <v>0</v>
      </c>
      <c r="I73" s="3218"/>
      <c r="J73" s="3215">
        <f>Y171</f>
        <v>-46354</v>
      </c>
      <c r="K73" s="3219"/>
      <c r="L73" s="3219"/>
      <c r="M73" s="3215">
        <f>AD171</f>
        <v>4807132</v>
      </c>
      <c r="N73" s="3189"/>
      <c r="O73" s="3189"/>
      <c r="P73" s="3189"/>
      <c r="Q73" s="3189"/>
      <c r="R73" s="3189"/>
      <c r="S73" s="3189"/>
      <c r="T73" s="3189"/>
      <c r="U73" s="3211"/>
      <c r="V73" s="3080"/>
      <c r="W73" s="3080"/>
      <c r="X73" s="3080"/>
      <c r="Y73" s="3080"/>
      <c r="Z73" s="3080"/>
      <c r="AA73" s="3080"/>
      <c r="AB73" s="3183"/>
      <c r="AC73" s="3184"/>
      <c r="AD73" s="3080"/>
      <c r="AE73" s="3080"/>
      <c r="AF73" s="3080"/>
      <c r="AG73" s="3080"/>
      <c r="AH73" s="3080"/>
      <c r="AI73" s="3080"/>
      <c r="AJ73" s="3080"/>
      <c r="AK73" s="3080"/>
      <c r="AL73" s="3080"/>
      <c r="AM73" s="3080"/>
      <c r="AN73" s="3080"/>
      <c r="AO73" s="3080"/>
    </row>
    <row r="74" ht="1.5" customHeight="1" hidden="0" collapsed="0" outlineLevel="1">
      <c r="A74" s="3220"/>
      <c r="B74" s="3213"/>
      <c r="C74" s="3212"/>
      <c r="D74" s="3212"/>
      <c r="E74" s="3213"/>
      <c r="F74" s="3213"/>
      <c r="G74" s="3145"/>
      <c r="H74" s="3213"/>
      <c r="I74" s="3145"/>
      <c r="J74" s="3213"/>
      <c r="K74" s="3190"/>
      <c r="L74" s="3190"/>
      <c r="M74" s="3213"/>
      <c r="N74" s="3189"/>
      <c r="O74" s="3189"/>
      <c r="P74" s="3189"/>
      <c r="Q74" s="3189"/>
      <c r="R74" s="3189"/>
      <c r="S74" s="3189"/>
      <c r="T74" s="3189"/>
      <c r="U74" s="3211"/>
      <c r="V74" s="3080"/>
      <c r="W74" s="3080"/>
      <c r="X74" s="3080"/>
      <c r="Y74" s="3080"/>
      <c r="Z74" s="3080"/>
      <c r="AA74" s="3080"/>
      <c r="AB74" s="3183"/>
      <c r="AC74" s="3184"/>
      <c r="AD74" s="3080"/>
      <c r="AE74" s="3080"/>
      <c r="AF74" s="3080"/>
      <c r="AG74" s="3080"/>
      <c r="AH74" s="3080"/>
      <c r="AI74" s="3080"/>
      <c r="AJ74" s="3080"/>
      <c r="AK74" s="3080"/>
      <c r="AL74" s="3080"/>
      <c r="AM74" s="3080"/>
      <c r="AN74" s="3080"/>
      <c r="AO74" s="3080"/>
    </row>
    <row r="75" ht="12.75" customHeight="1" hidden="0" collapsed="0" outlineLevel="1">
      <c r="A75" s="3221" t="str">
        <f>"Hist. Ops (T"&amp;'Fannie Historical Ops'!V4&amp;")"</f>
        <v>Hist. Ops (T12)</v>
      </c>
      <c r="B75" s="3222">
        <f>'Fannie Historical Ops'!V5</f>
        <v>5028324</v>
      </c>
      <c r="C75" s="3223"/>
      <c r="D75" s="3223"/>
      <c r="E75" s="3224"/>
      <c r="F75" s="3222">
        <f>'Fannie Historical Ops'!V6</f>
        <v>-174838</v>
      </c>
      <c r="G75" s="3225"/>
      <c r="H75" s="3222">
        <f>'Fannie Historical Ops'!V8</f>
        <v>0</v>
      </c>
      <c r="I75" s="3225"/>
      <c r="J75" s="3222">
        <f>'Fannie Historical Ops'!V7</f>
        <v>-46354</v>
      </c>
      <c r="K75" s="3225"/>
      <c r="L75" s="3225"/>
      <c r="M75" s="3222">
        <f>'Fannie Historical Ops'!V9</f>
        <v>4807132</v>
      </c>
      <c r="N75" s="3189"/>
      <c r="O75" s="3189"/>
      <c r="P75" s="3189"/>
      <c r="Q75" s="3189"/>
      <c r="R75" s="3189"/>
      <c r="S75" s="3189"/>
      <c r="T75" s="3189"/>
      <c r="U75" s="3211"/>
      <c r="V75" s="3080"/>
      <c r="W75" s="3080"/>
      <c r="X75" s="3080"/>
      <c r="Y75" s="3080"/>
      <c r="Z75" s="3080"/>
      <c r="AA75" s="3080"/>
      <c r="AB75" s="3183"/>
      <c r="AC75" s="3184"/>
      <c r="AD75" s="3080"/>
      <c r="AE75" s="3080"/>
      <c r="AF75" s="3080"/>
      <c r="AG75" s="3080"/>
      <c r="AH75" s="3080"/>
      <c r="AI75" s="3080"/>
      <c r="AJ75" s="3080"/>
      <c r="AK75" s="3080"/>
      <c r="AL75" s="3080"/>
      <c r="AM75" s="3080"/>
      <c r="AN75" s="3080"/>
      <c r="AO75" s="3080"/>
    </row>
    <row r="76" ht="10.5" customHeight="1">
      <c r="A76" s="3189"/>
      <c r="B76" s="3189"/>
      <c r="C76" s="3189"/>
      <c r="D76" s="3189"/>
      <c r="E76" s="3189"/>
      <c r="F76" s="3189"/>
      <c r="G76" s="3189"/>
      <c r="H76" s="3189"/>
      <c r="I76" s="3226"/>
      <c r="J76" s="3189"/>
      <c r="K76" s="3226"/>
      <c r="L76" s="3189"/>
      <c r="M76" s="3189"/>
      <c r="N76" s="3189"/>
      <c r="O76" s="3189"/>
      <c r="P76" s="3189"/>
      <c r="Q76" s="3189"/>
      <c r="R76" s="3189"/>
      <c r="S76" s="3189"/>
      <c r="T76" s="3189"/>
      <c r="U76" s="3211"/>
      <c r="V76" s="3080"/>
      <c r="W76" s="3080"/>
      <c r="X76" s="3080"/>
      <c r="Y76" s="3080"/>
      <c r="Z76" s="3080"/>
      <c r="AA76" s="3080"/>
      <c r="AB76" s="3183"/>
      <c r="AC76" s="3184"/>
      <c r="AD76" s="3080"/>
      <c r="AE76" s="3080"/>
      <c r="AF76" s="3080"/>
      <c r="AG76" s="3080"/>
      <c r="AH76" s="3080"/>
      <c r="AI76" s="3080"/>
      <c r="AJ76" s="3080"/>
      <c r="AK76" s="3080"/>
      <c r="AL76" s="3080"/>
      <c r="AM76" s="3080"/>
      <c r="AN76" s="3080"/>
      <c r="AO76" s="3080"/>
    </row>
    <row r="77" ht="3" customHeight="1">
      <c r="A77" s="3227"/>
      <c r="B77" s="3227"/>
      <c r="C77" s="3227"/>
      <c r="D77" s="3227"/>
      <c r="E77" s="3227"/>
      <c r="F77" s="3227"/>
      <c r="G77" s="3228"/>
      <c r="H77" s="3229"/>
      <c r="I77" s="3165"/>
      <c r="J77" s="3229"/>
      <c r="K77" s="3165"/>
      <c r="L77" s="3229"/>
      <c r="M77" s="3229"/>
      <c r="N77" s="3229"/>
      <c r="O77" s="3165"/>
      <c r="P77" s="3229"/>
      <c r="Q77" s="3165"/>
      <c r="R77" s="3165"/>
      <c r="S77" s="3189"/>
      <c r="T77" s="3189"/>
      <c r="U77" s="3211"/>
      <c r="V77" s="3080"/>
      <c r="W77" s="3080"/>
      <c r="X77" s="3080"/>
      <c r="Y77" s="3080"/>
      <c r="Z77" s="3080"/>
      <c r="AA77" s="3080"/>
      <c r="AB77" s="3183"/>
      <c r="AC77" s="3184"/>
      <c r="AD77" s="3080"/>
      <c r="AE77" s="3080"/>
      <c r="AF77" s="3080"/>
      <c r="AG77" s="3080"/>
      <c r="AH77" s="3080"/>
      <c r="AI77" s="3080"/>
      <c r="AJ77" s="3080"/>
      <c r="AK77" s="3080"/>
      <c r="AL77" s="3080"/>
      <c r="AM77" s="3080"/>
      <c r="AN77" s="3080"/>
      <c r="AO77" s="3080"/>
    </row>
    <row r="78" ht="17.25" customHeight="1">
      <c r="A78" s="3187"/>
      <c r="B78" s="3230" t="s">
        <v>3050</v>
      </c>
      <c r="C78" s="3231"/>
      <c r="D78" s="3231"/>
      <c r="E78" s="3231"/>
      <c r="F78" s="3231"/>
      <c r="G78" s="3231"/>
      <c r="H78" s="3231"/>
      <c r="I78" s="3231"/>
      <c r="J78" s="3231"/>
      <c r="K78" s="3231"/>
      <c r="L78" s="3231"/>
      <c r="M78" s="3231"/>
      <c r="N78" s="3231"/>
      <c r="O78" s="3231"/>
      <c r="P78" s="3231"/>
      <c r="Q78" s="3231"/>
      <c r="R78" s="3232"/>
      <c r="S78" s="3189"/>
      <c r="T78" s="3189"/>
      <c r="U78" s="3233" t="s">
        <v>3051</v>
      </c>
      <c r="V78" s="3234"/>
      <c r="W78" s="3234"/>
      <c r="X78" s="3235" t="str">
        <f>IF(RentRollDate&lt;DATE(2000,1,1),"TBD",RentRollDate)</f>
        <v>TBD</v>
      </c>
      <c r="Y78" s="3236" t="s">
        <v>3052</v>
      </c>
      <c r="Z78" s="3237" t="s">
        <v>3053</v>
      </c>
      <c r="AA78" s="3080"/>
      <c r="AB78" s="3183"/>
      <c r="AC78" s="3184"/>
      <c r="AD78" s="3080"/>
      <c r="AE78" s="3080"/>
      <c r="AF78" s="3080"/>
      <c r="AG78" s="3080"/>
      <c r="AH78" s="3080"/>
      <c r="AI78" s="3080"/>
      <c r="AJ78" s="3080"/>
      <c r="AK78" s="3080"/>
      <c r="AL78" s="3080"/>
      <c r="AM78" s="3080"/>
      <c r="AN78" s="3080"/>
      <c r="AO78" s="3080"/>
    </row>
    <row r="79" ht="15.75" customHeight="1">
      <c r="A79" s="3187"/>
      <c r="B79" s="3238"/>
      <c r="C79" s="3239"/>
      <c r="D79" s="3239"/>
      <c r="E79" s="3239"/>
      <c r="F79" s="3239"/>
      <c r="G79" s="3239"/>
      <c r="H79" s="3239"/>
      <c r="I79" s="3239"/>
      <c r="J79" s="3239"/>
      <c r="K79" s="3239"/>
      <c r="L79" s="3239"/>
      <c r="M79" s="3239"/>
      <c r="N79" s="3239"/>
      <c r="O79" s="3239"/>
      <c r="P79" s="3239"/>
      <c r="Q79" s="3239"/>
      <c r="R79" s="3240"/>
      <c r="S79" s="3189"/>
      <c r="T79" s="3189"/>
      <c r="U79" s="3241" t="s">
        <v>3054</v>
      </c>
      <c r="V79" s="3165"/>
      <c r="W79" s="3165"/>
      <c r="X79" s="3242" t="s">
        <v>269</v>
      </c>
      <c r="Y79" s="3243"/>
      <c r="Z79" s="3244"/>
      <c r="AA79" s="3080"/>
      <c r="AB79" s="3080"/>
      <c r="AC79" s="3082"/>
      <c r="AD79" s="3080"/>
      <c r="AE79" s="3080"/>
      <c r="AF79" s="3080"/>
      <c r="AG79" s="3080"/>
      <c r="AH79" s="3080"/>
      <c r="AI79" s="3080"/>
      <c r="AJ79" s="3080"/>
      <c r="AK79" s="3080"/>
      <c r="AL79" s="3080"/>
      <c r="AM79" s="3080"/>
      <c r="AN79" s="3080"/>
      <c r="AO79" s="3080"/>
    </row>
    <row r="80" ht="15.75" customHeight="1">
      <c r="A80" s="3187"/>
      <c r="B80" s="3245"/>
      <c r="C80" s="3239"/>
      <c r="D80" s="3080"/>
      <c r="E80" s="3246" t="s">
        <v>3055</v>
      </c>
      <c r="F80" s="3247"/>
      <c r="G80" s="3247"/>
      <c r="H80" s="3247"/>
      <c r="I80" s="3247"/>
      <c r="J80" s="3247"/>
      <c r="K80" s="3247"/>
      <c r="L80" s="3247"/>
      <c r="M80" s="3247"/>
      <c r="N80" s="3247"/>
      <c r="O80" s="3247"/>
      <c r="P80" s="3247"/>
      <c r="Q80" s="3247"/>
      <c r="R80" s="3248"/>
      <c r="S80" s="3189"/>
      <c r="T80" s="3189"/>
      <c r="U80" s="3241"/>
      <c r="V80" s="3165"/>
      <c r="W80" s="3165"/>
      <c r="X80" s="3161"/>
      <c r="Y80" s="3243"/>
      <c r="Z80" s="3244"/>
      <c r="AA80" s="3080"/>
      <c r="AB80" s="3080"/>
      <c r="AC80" s="3082"/>
      <c r="AD80" s="3080"/>
      <c r="AE80" s="3080"/>
      <c r="AF80" s="3080"/>
      <c r="AG80" s="3080"/>
      <c r="AH80" s="3080"/>
      <c r="AI80" s="3080"/>
      <c r="AJ80" s="3080"/>
      <c r="AK80" s="3080"/>
      <c r="AL80" s="3080"/>
      <c r="AM80" s="3080"/>
      <c r="AN80" s="3080"/>
      <c r="AO80" s="3080"/>
    </row>
    <row r="81" ht="15" customHeight="1">
      <c r="A81" s="3187"/>
      <c r="B81" s="3249" t="s">
        <v>1741</v>
      </c>
      <c r="C81" s="3250"/>
      <c r="D81" s="3251"/>
      <c r="E81" s="3252">
        <f>E82/12</f>
        <v>110490.66666666667</v>
      </c>
      <c r="F81" s="3253"/>
      <c r="G81" s="3253"/>
      <c r="H81" s="3253"/>
      <c r="I81" s="3253"/>
      <c r="J81" s="3253"/>
      <c r="K81" s="3253"/>
      <c r="L81" s="3253"/>
      <c r="M81" s="3253"/>
      <c r="N81" s="3253"/>
      <c r="O81" s="3253"/>
      <c r="P81" s="3253"/>
      <c r="Q81" s="3253"/>
      <c r="R81" s="3254"/>
      <c r="S81" s="3189"/>
      <c r="T81" s="3189"/>
      <c r="U81" s="3241" t="s">
        <v>3056</v>
      </c>
      <c r="V81" s="3165"/>
      <c r="W81" s="3165"/>
      <c r="X81" s="3255">
        <f>'Rent Roll'!H126-X83-X84</f>
        <v>122173</v>
      </c>
      <c r="Y81" s="3256" t="str">
        <f t="shared" si="12" ref="Y81:Y84">AB81&amp;" Units"</f>
        <v>96 Units</v>
      </c>
      <c r="Z81" s="3244">
        <f t="shared" si="13" ref="Z81:Z84">AC81</f>
        <v>0.9504950495049505</v>
      </c>
      <c r="AA81" s="3080"/>
      <c r="AB81" s="3183">
        <f>('Rent Roll'!D141-'Rent Roll'!D135-'Rent Roll'!L127-'Rent Roll'!M127)</f>
        <v>96</v>
      </c>
      <c r="AC81" s="3184">
        <f>_xlfn.IFERROR(('Rent Roll'!D141-'Rent Roll'!D135-'Rent Roll'!L127-'Rent Roll'!M127)/'Rent Roll'!D141,0)</f>
        <v>0.9504950495049505</v>
      </c>
      <c r="AD81" s="3080"/>
      <c r="AE81" s="3080"/>
      <c r="AF81" s="3080"/>
      <c r="AG81" s="3080"/>
      <c r="AH81" s="3080"/>
      <c r="AI81" s="3080"/>
      <c r="AJ81" s="3080"/>
      <c r="AK81" s="3080"/>
      <c r="AL81" s="3080"/>
      <c r="AM81" s="3080"/>
      <c r="AN81" s="3080"/>
      <c r="AO81" s="3080"/>
    </row>
    <row r="82" ht="15" customHeight="1">
      <c r="A82" s="3187"/>
      <c r="B82" s="3257" t="s">
        <v>1743</v>
      </c>
      <c r="C82" s="3239"/>
      <c r="D82" s="3240"/>
      <c r="E82" s="3258">
        <f>SOps_UnderwrittenNRI</f>
        <v>1325888</v>
      </c>
      <c r="F82" s="3259"/>
      <c r="G82" s="3259"/>
      <c r="H82" s="3259"/>
      <c r="I82" s="3259"/>
      <c r="J82" s="3259"/>
      <c r="K82" s="3259"/>
      <c r="L82" s="3259"/>
      <c r="M82" s="3259"/>
      <c r="N82" s="3259"/>
      <c r="O82" s="3259"/>
      <c r="P82" s="3259"/>
      <c r="Q82" s="3259"/>
      <c r="R82" s="3260"/>
      <c r="S82" s="3189"/>
      <c r="T82" s="3189"/>
      <c r="U82" s="3241" t="s">
        <v>3058</v>
      </c>
      <c r="V82" s="3165"/>
      <c r="W82" s="3165"/>
      <c r="X82" s="3255">
        <f>'Rent Roll'!M136</f>
        <v>7542</v>
      </c>
      <c r="Y82" s="3256" t="str">
        <f t="shared" si="12"/>
        <v>5 Units</v>
      </c>
      <c r="Z82" s="3244">
        <f t="shared" si="13"/>
        <v>0.04950495049504951</v>
      </c>
      <c r="AA82" s="3080"/>
      <c r="AB82" s="3183">
        <f>'Rent Roll'!D135</f>
        <v>5</v>
      </c>
      <c r="AC82" s="3184">
        <f>'Rent Roll'!D136</f>
        <v>0.04950495049504951</v>
      </c>
      <c r="AD82" s="3080"/>
      <c r="AE82" s="3080"/>
      <c r="AF82" s="3080"/>
      <c r="AG82" s="3080"/>
      <c r="AH82" s="3080"/>
      <c r="AI82" s="3080"/>
      <c r="AJ82" s="3080"/>
      <c r="AK82" s="3080"/>
      <c r="AL82" s="3080"/>
      <c r="AM82" s="3080"/>
      <c r="AN82" s="3080"/>
      <c r="AO82" s="3080"/>
    </row>
    <row r="83" ht="15.75" customHeight="1">
      <c r="A83" s="3165"/>
      <c r="B83" s="3261" t="s">
        <v>1255</v>
      </c>
      <c r="C83" s="3262"/>
      <c r="D83" s="3263"/>
      <c r="E83" s="3264">
        <f>100%-'Summary OPS'!AV14</f>
        <v>0.8517956031813334</v>
      </c>
      <c r="F83" s="3265"/>
      <c r="G83" s="3265"/>
      <c r="H83" s="3265"/>
      <c r="I83" s="3265"/>
      <c r="J83" s="3265"/>
      <c r="K83" s="3265"/>
      <c r="L83" s="3265"/>
      <c r="M83" s="3265"/>
      <c r="N83" s="3265"/>
      <c r="O83" s="3265"/>
      <c r="P83" s="3265"/>
      <c r="Q83" s="3265"/>
      <c r="R83" s="3266"/>
      <c r="S83" s="3189"/>
      <c r="T83" s="3189"/>
      <c r="U83" s="3241" t="s">
        <v>3060</v>
      </c>
      <c r="V83" s="3165"/>
      <c r="W83" s="3165"/>
      <c r="X83" s="3267">
        <f>'Rent Roll'!FI126</f>
        <v>0</v>
      </c>
      <c r="Y83" s="3256" t="str">
        <f t="shared" si="12"/>
        <v>0 Units</v>
      </c>
      <c r="Z83" s="3244">
        <f t="shared" si="13"/>
        <v>0</v>
      </c>
      <c r="AA83" s="3080"/>
      <c r="AB83" s="3183">
        <f>'Rent Roll'!M127</f>
        <v>0</v>
      </c>
      <c r="AC83" s="3184">
        <f>_xlfn.IFERROR('Rent Roll'!M127/'Rent Roll'!D141,0)</f>
        <v>0</v>
      </c>
      <c r="AD83" s="3080"/>
      <c r="AE83" s="3080"/>
      <c r="AF83" s="3080"/>
      <c r="AG83" s="3080"/>
      <c r="AH83" s="3080"/>
      <c r="AI83" s="3080"/>
      <c r="AJ83" s="3080"/>
      <c r="AK83" s="3080"/>
      <c r="AL83" s="3080"/>
      <c r="AM83" s="3080"/>
      <c r="AN83" s="3080"/>
      <c r="AO83" s="3080"/>
    </row>
    <row r="84" ht="15.75" customHeight="1">
      <c r="A84" s="3227"/>
      <c r="B84" s="3245"/>
      <c r="C84" s="3268"/>
      <c r="D84" s="3080"/>
      <c r="E84" s="3269"/>
      <c r="F84" s="3269"/>
      <c r="G84" s="3269"/>
      <c r="H84" s="3269"/>
      <c r="I84" s="3269"/>
      <c r="J84" s="3268"/>
      <c r="K84" s="3268"/>
      <c r="L84" s="3268"/>
      <c r="M84" s="3268"/>
      <c r="N84" s="3268"/>
      <c r="O84" s="3268"/>
      <c r="P84" s="3268"/>
      <c r="Q84" s="3268"/>
      <c r="R84" s="3270"/>
      <c r="S84" s="3228"/>
      <c r="T84" s="3228"/>
      <c r="U84" s="3241" t="s">
        <v>3062</v>
      </c>
      <c r="V84" s="3165"/>
      <c r="W84" s="3165"/>
      <c r="X84" s="3267">
        <f>'Rent Roll'!L126</f>
        <v>0</v>
      </c>
      <c r="Y84" s="3256" t="str">
        <f t="shared" si="12"/>
        <v>0 Units</v>
      </c>
      <c r="Z84" s="3244">
        <f t="shared" si="13"/>
        <v>0</v>
      </c>
      <c r="AA84" s="3080"/>
      <c r="AB84" s="3183">
        <f>'Rent Roll'!L127</f>
        <v>0</v>
      </c>
      <c r="AC84" s="3184">
        <f>_xlfn.IFERROR('Rent Roll'!L127/'Rent Roll'!D141,0)</f>
        <v>0</v>
      </c>
      <c r="AD84" s="3080"/>
      <c r="AE84" s="3080"/>
      <c r="AF84" s="3080"/>
      <c r="AG84" s="3080"/>
      <c r="AH84" s="3080"/>
      <c r="AI84" s="3080"/>
      <c r="AJ84" s="3080"/>
      <c r="AK84" s="3080"/>
      <c r="AL84" s="3080"/>
      <c r="AM84" s="3080"/>
      <c r="AN84" s="3080"/>
      <c r="AO84" s="3080"/>
    </row>
    <row r="85" ht="15.75" customHeight="1">
      <c r="A85" s="3187"/>
      <c r="B85" s="3246" t="s">
        <v>1734</v>
      </c>
      <c r="C85" s="3247"/>
      <c r="D85" s="3248"/>
      <c r="E85" s="3246" t="s">
        <v>1735</v>
      </c>
      <c r="F85" s="3247"/>
      <c r="G85" s="3247"/>
      <c r="H85" s="3247" t="s">
        <v>1736</v>
      </c>
      <c r="I85" s="3247"/>
      <c r="J85" s="3247"/>
      <c r="K85" s="3247"/>
      <c r="L85" s="3247" t="s">
        <v>1737</v>
      </c>
      <c r="M85" s="3247"/>
      <c r="N85" s="3247"/>
      <c r="O85" s="3247"/>
      <c r="P85" s="3247" t="s">
        <v>1738</v>
      </c>
      <c r="Q85" s="3247"/>
      <c r="R85" s="3248"/>
      <c r="S85" s="3271"/>
      <c r="T85" s="3271"/>
      <c r="U85" s="3272" t="s">
        <v>2979</v>
      </c>
      <c r="V85" s="3205"/>
      <c r="W85" s="3205"/>
      <c r="X85" s="3273">
        <v>0</v>
      </c>
      <c r="Y85" s="3243"/>
      <c r="Z85" s="3244"/>
      <c r="AA85" s="3080"/>
      <c r="AB85" s="3080"/>
      <c r="AC85" s="3082"/>
      <c r="AD85" s="3080"/>
      <c r="AE85" s="3080"/>
      <c r="AF85" s="3080"/>
      <c r="AG85" s="3080"/>
      <c r="AH85" s="3080"/>
      <c r="AI85" s="3080"/>
      <c r="AJ85" s="3080"/>
      <c r="AK85" s="3080"/>
      <c r="AL85" s="3080"/>
      <c r="AM85" s="3080"/>
      <c r="AN85" s="3080"/>
      <c r="AO85" s="3080"/>
    </row>
    <row r="86" ht="15" customHeight="1">
      <c r="A86" s="3187"/>
      <c r="B86" s="3257" t="s">
        <v>1741</v>
      </c>
      <c r="C86" s="3080"/>
      <c r="D86" s="3080"/>
      <c r="E86" s="3274">
        <f>SUM(AK58:AK58)</f>
        <v>401951</v>
      </c>
      <c r="F86" s="3275"/>
      <c r="G86" s="3276"/>
      <c r="H86" s="3274">
        <f>SUM(AK59:AK59)</f>
        <v>408739.6666666667</v>
      </c>
      <c r="I86" s="3275"/>
      <c r="J86" s="3275"/>
      <c r="K86" s="3276"/>
      <c r="L86" s="3274">
        <f>SUM(AK60:AK60)</f>
        <v>409082</v>
      </c>
      <c r="M86" s="3275"/>
      <c r="N86" s="3275"/>
      <c r="O86" s="3276"/>
      <c r="P86" s="3274">
        <f>SUM(AK62:AK62)</f>
        <v>400594.3333333333</v>
      </c>
      <c r="Q86" s="3275"/>
      <c r="R86" s="3276"/>
      <c r="S86" s="3277"/>
      <c r="T86" s="3277"/>
      <c r="U86" s="3241" t="s">
        <v>3063</v>
      </c>
      <c r="V86" s="3165"/>
      <c r="W86" s="3165"/>
      <c r="X86" s="3267">
        <f>SUM(X81:X85)</f>
        <v>129715</v>
      </c>
      <c r="Y86" s="3243" t="str">
        <f>SUM(AB81:AB84)&amp;" Units"</f>
        <v>101 Units</v>
      </c>
      <c r="Z86" s="3244">
        <f>SUM(Z81:Z84)</f>
        <v>1</v>
      </c>
      <c r="AA86" s="3080"/>
      <c r="AB86" s="3080"/>
      <c r="AC86" s="3082"/>
      <c r="AD86" s="3080"/>
      <c r="AE86" s="3080"/>
      <c r="AF86" s="3080"/>
      <c r="AG86" s="3080"/>
      <c r="AH86" s="3080"/>
      <c r="AI86" s="3080"/>
      <c r="AJ86" s="3080"/>
      <c r="AK86" s="3080"/>
      <c r="AL86" s="3080"/>
      <c r="AM86" s="3080"/>
      <c r="AN86" s="3080"/>
      <c r="AO86" s="3080"/>
    </row>
    <row r="87" ht="15" customHeight="1">
      <c r="A87" s="3187"/>
      <c r="B87" s="3257" t="s">
        <v>1743</v>
      </c>
      <c r="C87" s="3080"/>
      <c r="D87" s="3080"/>
      <c r="E87" s="3278">
        <f t="shared" si="14" ref="E87:P117">E86*12</f>
        <v>4823412</v>
      </c>
      <c r="F87" s="3279"/>
      <c r="G87" s="3280"/>
      <c r="H87" s="3278">
        <f t="shared" si="14"/>
        <v>4904876</v>
      </c>
      <c r="I87" s="3279"/>
      <c r="J87" s="3279"/>
      <c r="K87" s="3280"/>
      <c r="L87" s="3278">
        <f t="shared" si="14"/>
        <v>4908984</v>
      </c>
      <c r="M87" s="3279"/>
      <c r="N87" s="3279"/>
      <c r="O87" s="3280"/>
      <c r="P87" s="3278">
        <f t="shared" si="14"/>
        <v>4807132</v>
      </c>
      <c r="Q87" s="3279"/>
      <c r="R87" s="3280"/>
      <c r="S87" s="3277"/>
      <c r="T87" s="3277"/>
      <c r="U87" s="3241"/>
      <c r="V87" s="3165"/>
      <c r="W87" s="3165"/>
      <c r="X87" s="3198"/>
      <c r="Y87" s="3243"/>
      <c r="Z87" s="3244"/>
      <c r="AA87" s="3080"/>
      <c r="AB87" s="3080"/>
      <c r="AC87" s="3082"/>
      <c r="AD87" s="3080"/>
      <c r="AE87" s="3080"/>
      <c r="AF87" s="3080"/>
      <c r="AG87" s="3080"/>
      <c r="AH87" s="3080"/>
      <c r="AI87" s="3080"/>
      <c r="AJ87" s="3080"/>
      <c r="AK87" s="3080"/>
      <c r="AL87" s="3080"/>
      <c r="AM87" s="3080"/>
      <c r="AN87" s="3080"/>
      <c r="AO87" s="3080"/>
    </row>
    <row r="88" ht="15.75" customHeight="1">
      <c r="A88" s="3187"/>
      <c r="B88" s="3261" t="s">
        <v>1255</v>
      </c>
      <c r="C88" s="3281"/>
      <c r="D88" s="3281"/>
      <c r="E88" s="3282">
        <f>IF(T1_Annualized_NRI=0,0,E86/SUM(AI58:AI58))</f>
        <v>0.9433432216516621</v>
      </c>
      <c r="F88" s="3283"/>
      <c r="G88" s="3284"/>
      <c r="H88" s="3282">
        <f>IF(T3_Annualized_NRI=0,0,H86/SUM(AI59:AI59))</f>
        <v>0.9550795549781447</v>
      </c>
      <c r="I88" s="3283"/>
      <c r="J88" s="3283"/>
      <c r="K88" s="3284"/>
      <c r="L88" s="3282">
        <f>IF(T6_Annualized_NRI=0,0,L86/SUM(AI60:AI60))</f>
        <v>0.9619739793910757</v>
      </c>
      <c r="M88" s="3283"/>
      <c r="N88" s="3283"/>
      <c r="O88" s="3284"/>
      <c r="P88" s="3282">
        <f>IF(T12_Annualized_NRI=0,0,P86/SUM(AI62:AI62))</f>
        <v>0.9560107900763753</v>
      </c>
      <c r="Q88" s="3283"/>
      <c r="R88" s="3284"/>
      <c r="S88" s="3285"/>
      <c r="T88" s="3285"/>
      <c r="U88" s="3241" t="s">
        <v>3064</v>
      </c>
      <c r="V88" s="3165"/>
      <c r="W88" s="3165"/>
      <c r="X88" s="3255">
        <f>X86*12</f>
        <v>1556580</v>
      </c>
      <c r="Y88" s="3286" t="s">
        <v>3065</v>
      </c>
      <c r="Z88" s="3287"/>
      <c r="AA88" s="3080"/>
      <c r="AB88" s="3080"/>
      <c r="AC88" s="3082"/>
      <c r="AD88" s="3080"/>
      <c r="AE88" s="3080"/>
      <c r="AF88" s="3080"/>
      <c r="AG88" s="3080"/>
      <c r="AH88" s="3080"/>
      <c r="AI88" s="3080"/>
      <c r="AJ88" s="3080"/>
      <c r="AK88" s="3080"/>
      <c r="AL88" s="3080"/>
      <c r="AM88" s="3080"/>
      <c r="AN88" s="3080"/>
      <c r="AO88" s="3080"/>
    </row>
    <row r="89" ht="15.75" customHeight="1">
      <c r="A89" s="3187"/>
      <c r="B89" s="3245"/>
      <c r="C89" s="3080"/>
      <c r="D89" s="3080"/>
      <c r="E89" s="3080"/>
      <c r="F89" s="3080"/>
      <c r="G89" s="3080"/>
      <c r="H89" s="3080"/>
      <c r="I89" s="3080"/>
      <c r="J89" s="3080"/>
      <c r="K89" s="3080"/>
      <c r="L89" s="3080"/>
      <c r="M89" s="3080"/>
      <c r="N89" s="3080"/>
      <c r="O89" s="3080"/>
      <c r="P89" s="3080"/>
      <c r="Q89" s="3080"/>
      <c r="R89" s="3288"/>
      <c r="S89" s="3285"/>
      <c r="T89" s="3285"/>
      <c r="U89" s="3241"/>
      <c r="V89" s="3165"/>
      <c r="W89" s="3165"/>
      <c r="X89" s="3255">
        <f>'Rent Roll'!I126*12</f>
        <v>0</v>
      </c>
      <c r="Y89" s="3289"/>
      <c r="Z89" s="3290"/>
      <c r="AA89" s="3080"/>
      <c r="AB89" s="3080"/>
      <c r="AC89" s="3082"/>
      <c r="AD89" s="3080"/>
      <c r="AE89" s="3080"/>
      <c r="AF89" s="3080"/>
      <c r="AG89" s="3080"/>
      <c r="AH89" s="3080"/>
      <c r="AI89" s="3080"/>
      <c r="AJ89" s="3080"/>
      <c r="AK89" s="3080"/>
      <c r="AL89" s="3080"/>
      <c r="AM89" s="3080"/>
      <c r="AN89" s="3080"/>
      <c r="AO89" s="3080"/>
    </row>
    <row r="90" ht="15.75" customHeight="1">
      <c r="A90" s="3189"/>
      <c r="B90" s="3291" t="s">
        <v>3066</v>
      </c>
      <c r="C90" s="3292"/>
      <c r="D90" s="3293"/>
      <c r="E90" s="3246" t="s">
        <v>1735</v>
      </c>
      <c r="F90" s="3247"/>
      <c r="G90" s="3248"/>
      <c r="H90" s="3246" t="s">
        <v>1736</v>
      </c>
      <c r="I90" s="3247"/>
      <c r="J90" s="3247"/>
      <c r="K90" s="3248"/>
      <c r="L90" s="3246" t="s">
        <v>1737</v>
      </c>
      <c r="M90" s="3247"/>
      <c r="N90" s="3247"/>
      <c r="O90" s="3248"/>
      <c r="P90" s="3246" t="s">
        <v>1738</v>
      </c>
      <c r="Q90" s="3247"/>
      <c r="R90" s="3248"/>
      <c r="S90" s="3211"/>
      <c r="T90" s="3211"/>
      <c r="U90" s="3241" t="s">
        <v>3067</v>
      </c>
      <c r="V90" s="3165"/>
      <c r="W90" s="3165"/>
      <c r="X90" s="3267">
        <f>SOps_UnderwrittenGPR</f>
        <v>1556580</v>
      </c>
      <c r="Y90" s="3294">
        <f>Z81+Z83+Z84</f>
        <v>0.9504950495049505</v>
      </c>
      <c r="Z90" s="3295"/>
      <c r="AA90" s="3080"/>
      <c r="AB90" s="3080"/>
      <c r="AC90" s="3082"/>
      <c r="AD90" s="3080"/>
      <c r="AE90" s="3080"/>
      <c r="AF90" s="3080"/>
      <c r="AG90" s="3080"/>
      <c r="AH90" s="3080"/>
      <c r="AI90" s="3080"/>
      <c r="AJ90" s="3080"/>
      <c r="AK90" s="3080"/>
      <c r="AL90" s="3080"/>
      <c r="AM90" s="3080"/>
      <c r="AN90" s="3080"/>
      <c r="AO90" s="3080"/>
    </row>
    <row r="91" ht="15.75" customHeight="1">
      <c r="A91" s="3296"/>
      <c r="B91" s="3297" t="s">
        <v>3068</v>
      </c>
      <c r="C91" s="3298"/>
      <c r="D91" s="3299"/>
      <c r="E91" s="3300">
        <f>IF(T1_Annualized_NRI&gt;0,(SOps_UnderwrittenNRI-T1_Annualized_NRI)/T1_Annualized_NRI,0)</f>
        <v>-0.7251140893624679</v>
      </c>
      <c r="F91" s="3301"/>
      <c r="G91" s="3302"/>
      <c r="H91" s="3303">
        <f>IF(T3_Annualized_NRI&gt;0,(SOps_UnderwrittenNRI-T3_Annualized_NRI)/T3_Annualized_NRI,0)</f>
        <v>-0.7296796086180364</v>
      </c>
      <c r="I91" s="3304"/>
      <c r="J91" s="3304"/>
      <c r="K91" s="3305"/>
      <c r="L91" s="3300">
        <f>IF(T6_Annualized_NRI&gt;0,(SOps_UnderwrittenNRI-T6_Annualized_NRI)/T6_Annualized_NRI,0)</f>
        <v>-0.7299058216527086</v>
      </c>
      <c r="M91" s="3301"/>
      <c r="N91" s="3301"/>
      <c r="O91" s="3302"/>
      <c r="P91" s="3300">
        <f>IF(T12_Annualized_NRI&gt;0,(SOps_UnderwrittenNRI-T12_Annualized_NRI)/T12_Annualized_NRI,0)</f>
        <v>-0.7241831512011736</v>
      </c>
      <c r="Q91" s="3301"/>
      <c r="R91" s="3302"/>
      <c r="S91" s="3211"/>
      <c r="T91" s="3306"/>
      <c r="U91" s="3307"/>
      <c r="V91" s="3308"/>
      <c r="W91" s="3308"/>
      <c r="X91" s="3308"/>
      <c r="Y91" s="3309"/>
      <c r="Z91" s="3310"/>
      <c r="AA91" s="3080"/>
      <c r="AB91" s="3080"/>
      <c r="AC91" s="3082"/>
      <c r="AD91" s="3080"/>
      <c r="AE91" s="3080"/>
      <c r="AF91" s="3080"/>
      <c r="AG91" s="3080"/>
      <c r="AH91" s="3080"/>
      <c r="AI91" s="3080"/>
      <c r="AJ91" s="3080"/>
      <c r="AK91" s="3080"/>
      <c r="AL91" s="3080"/>
      <c r="AM91" s="3080"/>
      <c r="AN91" s="3080"/>
      <c r="AO91" s="3080"/>
    </row>
    <row r="92" ht="15.75" customHeight="1">
      <c r="A92" s="3311"/>
      <c r="B92" s="3245"/>
      <c r="C92" s="3080"/>
      <c r="D92" s="3080"/>
      <c r="E92" s="3080"/>
      <c r="F92" s="3080"/>
      <c r="G92" s="3080"/>
      <c r="H92" s="3080"/>
      <c r="I92" s="3080"/>
      <c r="J92" s="3080"/>
      <c r="K92" s="3080"/>
      <c r="L92" s="3080"/>
      <c r="M92" s="3080"/>
      <c r="N92" s="3080"/>
      <c r="O92" s="3080"/>
      <c r="P92" s="3080"/>
      <c r="Q92" s="3080"/>
      <c r="R92" s="3288"/>
      <c r="S92" s="3211"/>
      <c r="T92" s="3312"/>
      <c r="U92" s="3165"/>
      <c r="V92" s="3313"/>
      <c r="W92" s="3313"/>
      <c r="X92" s="66"/>
      <c r="Y92" s="66"/>
      <c r="Z92" s="3080"/>
      <c r="AA92" s="3080"/>
      <c r="AB92" s="3080"/>
      <c r="AC92" s="3082"/>
      <c r="AD92" s="3080"/>
      <c r="AE92" s="3080"/>
      <c r="AF92" s="3080"/>
      <c r="AG92" s="3080"/>
      <c r="AH92" s="3080"/>
      <c r="AI92" s="3080"/>
      <c r="AJ92" s="3080"/>
      <c r="AK92" s="3080"/>
      <c r="AL92" s="3080"/>
      <c r="AM92" s="3080"/>
      <c r="AN92" s="3080"/>
      <c r="AO92" s="3080"/>
    </row>
    <row r="93" ht="15.75" customHeight="1">
      <c r="A93" s="3311"/>
      <c r="B93" s="3246" t="s">
        <v>3069</v>
      </c>
      <c r="C93" s="3247"/>
      <c r="D93" s="3248"/>
      <c r="E93" s="3080"/>
      <c r="F93" s="3080"/>
      <c r="G93" s="3080"/>
      <c r="H93" s="3314"/>
      <c r="I93" s="3315"/>
      <c r="J93" s="3315"/>
      <c r="K93" s="3315"/>
      <c r="L93" s="3315"/>
      <c r="M93" s="3315"/>
      <c r="N93" s="3316"/>
      <c r="O93" s="3314" t="s">
        <v>3070</v>
      </c>
      <c r="P93" s="3315"/>
      <c r="Q93" s="3314"/>
      <c r="R93" s="3317"/>
      <c r="S93" s="3211"/>
      <c r="T93" s="3312"/>
      <c r="U93" s="3165"/>
      <c r="V93" s="3318"/>
      <c r="W93" s="3313"/>
      <c r="X93" s="3313"/>
      <c r="Y93" s="3313"/>
      <c r="Z93" s="3080"/>
      <c r="AA93" s="3080"/>
      <c r="AB93" s="3080"/>
      <c r="AC93" s="3082"/>
      <c r="AD93" s="3080"/>
      <c r="AE93" s="3080"/>
      <c r="AF93" s="3080"/>
      <c r="AG93" s="3080"/>
      <c r="AH93" s="3080"/>
      <c r="AI93" s="3080"/>
      <c r="AJ93" s="3080"/>
      <c r="AK93" s="3080"/>
      <c r="AL93" s="3080"/>
      <c r="AM93" s="3080"/>
      <c r="AN93" s="3080"/>
      <c r="AO93" s="3080"/>
    </row>
    <row r="94" ht="12" customHeight="1">
      <c r="A94" s="3296"/>
      <c r="B94" s="3319" t="s">
        <v>3071</v>
      </c>
      <c r="C94" s="3320"/>
      <c r="D94" s="3321"/>
      <c r="E94" s="3322">
        <f>IF(AND(T3_Annualized_NRI&gt;=T6_Annualized_NRI,T3_Annualized_NRI&lt;&gt;0),(T3_Annualized_NRI-T6_Annualized_NRI)/T6_Annualized_NRI,IF(AND(T3_Annualized_NRI&lt;=T6_Annualized_NRI,T3_Annualized_NRI&lt;&gt;0),(T3_Annualized_NRI-T6_Annualized_NRI)/T6_Annualized_NRI,""))</f>
        <v>-0.0008368330391787792</v>
      </c>
      <c r="F94" s="3323"/>
      <c r="G94" s="3324"/>
      <c r="H94" s="3325" t="s">
        <v>3072</v>
      </c>
      <c r="I94" s="3326"/>
      <c r="J94" s="3326"/>
      <c r="K94" s="3326"/>
      <c r="L94" s="3327" t="str">
        <f>IF(OR(E94&lt;-2.999999999999%,E95&lt;-2.999999999999%),"Yes","NA")</f>
        <v>NA</v>
      </c>
      <c r="M94" s="3327"/>
      <c r="N94" s="3328"/>
      <c r="O94" s="3325" t="s">
        <v>3073</v>
      </c>
      <c r="P94" s="3326"/>
      <c r="Q94" s="3329">
        <v>0</v>
      </c>
      <c r="R94" s="3330"/>
      <c r="S94" s="3211"/>
      <c r="T94" s="3306"/>
      <c r="U94" s="3306"/>
      <c r="V94" s="3331"/>
      <c r="W94" s="3331"/>
      <c r="X94" s="3331"/>
      <c r="Y94" s="3331"/>
      <c r="Z94" s="3080"/>
      <c r="AA94" s="3080"/>
      <c r="AB94" s="3080"/>
      <c r="AC94" s="3082"/>
      <c r="AD94" s="3080"/>
      <c r="AE94" s="3080"/>
      <c r="AF94" s="3080"/>
      <c r="AG94" s="3080"/>
      <c r="AH94" s="3080"/>
      <c r="AI94" s="3080"/>
      <c r="AJ94" s="3080"/>
      <c r="AK94" s="3080"/>
      <c r="AL94" s="3080"/>
      <c r="AM94" s="3080"/>
      <c r="AN94" s="3080"/>
      <c r="AO94" s="3080"/>
    </row>
    <row r="95" ht="12" customHeight="1">
      <c r="A95" s="3296"/>
      <c r="B95" s="3332" t="s">
        <v>3074</v>
      </c>
      <c r="C95" s="3333"/>
      <c r="D95" s="3334"/>
      <c r="E95" s="3335">
        <f>IF(AND(T3_Annualized_NRI&gt;=T12_Annualized_NRI,T3_Annualized_NRI&lt;&gt;0),(T3_Annualized_NRI-T12_Annualized_NRI)/T12_Annualized_NRI,IF(AND(T3_Annualized_NRI&lt;=T12_Annualized_NRI,T3_Annualized_NRI&lt;&gt;0),(T3_Annualized_NRI-T12_Annualized_NRI)/T12_Annualized_NRI,""))</f>
        <v>0.020333121703335795</v>
      </c>
      <c r="F95" s="3336"/>
      <c r="G95" s="3337"/>
      <c r="H95" s="3338" t="s">
        <v>3075</v>
      </c>
      <c r="I95" s="3339"/>
      <c r="J95" s="3339"/>
      <c r="K95" s="3339"/>
      <c r="L95" s="3340" t="str">
        <f>IF(OR(E94&lt;-2%,E95&lt;-2%),"Yes","NA")</f>
        <v>NA</v>
      </c>
      <c r="M95" s="3340"/>
      <c r="N95" s="3341"/>
      <c r="O95" s="3342" t="s">
        <v>3076</v>
      </c>
      <c r="P95" s="3343"/>
      <c r="Q95" s="3344" t="str">
        <f>IF($L$95="Yes",MIN($E$87:$R$87)*(1-$Q$94),"NA")</f>
        <v>NA</v>
      </c>
      <c r="R95" s="3345"/>
      <c r="S95" s="3211"/>
      <c r="T95" s="3306"/>
      <c r="U95" s="3306"/>
      <c r="V95" s="3161"/>
      <c r="W95" s="3331"/>
      <c r="X95" s="3161"/>
      <c r="Y95" s="3161"/>
      <c r="Z95" s="3080"/>
      <c r="AA95" s="3080"/>
      <c r="AB95" s="3080"/>
      <c r="AC95" s="3082"/>
      <c r="AD95" s="3080"/>
      <c r="AE95" s="3080"/>
      <c r="AF95" s="3080"/>
      <c r="AG95" s="3080"/>
      <c r="AH95" s="3080"/>
      <c r="AI95" s="3080"/>
      <c r="AJ95" s="3080"/>
      <c r="AK95" s="3080"/>
      <c r="AL95" s="3080"/>
      <c r="AM95" s="3080"/>
      <c r="AN95" s="3080"/>
      <c r="AO95" s="3080"/>
    </row>
    <row r="96" ht="15" customHeight="1" hidden="0" collapsed="0" outlineLevel="1">
      <c r="A96" s="3296"/>
      <c r="B96" s="3296"/>
      <c r="C96" s="3296"/>
      <c r="D96" s="3296"/>
      <c r="E96" s="3296"/>
      <c r="F96" s="3346"/>
      <c r="G96" s="3347"/>
      <c r="H96" s="3348"/>
      <c r="I96" s="3346"/>
      <c r="J96" s="3080"/>
      <c r="K96" s="3080"/>
      <c r="L96" s="3080"/>
      <c r="M96" s="3080"/>
      <c r="N96" s="3080"/>
      <c r="O96" s="3080"/>
      <c r="P96" s="3080"/>
      <c r="Q96" s="3189"/>
      <c r="R96" s="3211"/>
      <c r="T96" s="3349"/>
      <c r="U96" s="3349"/>
      <c r="V96" s="3349"/>
      <c r="W96" s="3349"/>
      <c r="X96" s="3349"/>
      <c r="Y96" s="3349"/>
      <c r="Z96" s="3349"/>
      <c r="AA96" s="3080"/>
      <c r="AB96" s="3080"/>
      <c r="AC96" s="3082"/>
      <c r="AD96" s="3080"/>
      <c r="AE96" s="3080"/>
      <c r="AF96" s="3080"/>
      <c r="AG96" s="3080"/>
      <c r="AH96" s="3080"/>
      <c r="AI96" s="3080"/>
      <c r="AJ96" s="3080"/>
      <c r="AK96" s="3080"/>
      <c r="AL96" s="3080"/>
      <c r="AM96" s="3080"/>
      <c r="AN96" s="3080"/>
      <c r="AO96" s="3080"/>
    </row>
    <row r="97" ht="15" customHeight="1" hidden="0" collapsed="0" outlineLevel="1">
      <c r="A97" s="3311"/>
      <c r="B97" s="3311"/>
      <c r="C97" s="3311"/>
      <c r="D97" s="3311"/>
      <c r="E97" s="3080"/>
      <c r="F97" s="3080"/>
      <c r="G97" s="3350"/>
      <c r="H97" s="3351"/>
      <c r="I97" s="3080"/>
      <c r="J97" s="3080"/>
      <c r="K97" s="3080"/>
      <c r="L97" s="3080"/>
      <c r="M97" s="3080"/>
      <c r="N97" s="3080"/>
      <c r="O97" s="3080"/>
      <c r="P97" s="3080"/>
      <c r="Q97" s="3080"/>
      <c r="R97" s="3080"/>
      <c r="T97" s="3352" t="s">
        <v>3077</v>
      </c>
      <c r="U97" s="3353"/>
      <c r="V97" s="3353"/>
      <c r="W97" s="3353"/>
      <c r="X97" s="3353"/>
      <c r="Y97" s="3353"/>
      <c r="Z97" s="3354"/>
      <c r="AA97" s="3080"/>
      <c r="AB97" s="3080"/>
      <c r="AC97" s="3082"/>
      <c r="AD97" s="3080"/>
      <c r="AE97" s="3080"/>
      <c r="AF97" s="3080"/>
      <c r="AG97" s="3080"/>
      <c r="AH97" s="3080"/>
      <c r="AI97" s="3080"/>
      <c r="AJ97" s="3080"/>
      <c r="AK97" s="3080"/>
      <c r="AL97" s="3080"/>
      <c r="AM97" s="3080"/>
      <c r="AN97" s="3080"/>
      <c r="AO97" s="3080"/>
    </row>
    <row r="98" ht="15" customHeight="1" hidden="0" collapsed="0" outlineLevel="1">
      <c r="A98" s="3351"/>
      <c r="B98" s="3351"/>
      <c r="C98" s="3351"/>
      <c r="D98" s="3351"/>
      <c r="E98" s="3351"/>
      <c r="F98" s="3351"/>
      <c r="G98" s="3348"/>
      <c r="H98" s="3351"/>
      <c r="I98" s="3080"/>
      <c r="J98" s="3080"/>
      <c r="K98" s="3080"/>
      <c r="L98" s="3080"/>
      <c r="M98" s="3080"/>
      <c r="N98" s="3080"/>
      <c r="O98" s="3080"/>
      <c r="P98" s="3080"/>
      <c r="Q98" s="3080"/>
      <c r="R98" s="3080"/>
      <c r="S98" s="3349"/>
      <c r="T98" s="3355"/>
      <c r="U98" s="3356"/>
      <c r="V98" s="3356"/>
      <c r="W98" s="3356"/>
      <c r="X98" s="3356"/>
      <c r="Y98" s="3356"/>
      <c r="Z98" s="3357"/>
      <c r="AA98" s="3080"/>
      <c r="AB98" s="3080"/>
      <c r="AC98" s="3082"/>
      <c r="AD98" s="3080"/>
      <c r="AE98" s="3080"/>
      <c r="AF98" s="3080"/>
      <c r="AG98" s="3080"/>
      <c r="AH98" s="3080"/>
      <c r="AI98" s="3080"/>
      <c r="AJ98" s="3080"/>
      <c r="AK98" s="3080"/>
      <c r="AL98" s="3080"/>
      <c r="AM98" s="3080"/>
      <c r="AN98" s="3080"/>
      <c r="AO98" s="3080"/>
    </row>
    <row r="99" ht="15" customHeight="1" hidden="0" collapsed="0" outlineLevel="1">
      <c r="A99" s="3351"/>
      <c r="B99" s="3351"/>
      <c r="C99" s="3351"/>
      <c r="D99" s="3351"/>
      <c r="E99" s="3351"/>
      <c r="F99" s="3080"/>
      <c r="G99" s="3348"/>
      <c r="H99" s="3351"/>
      <c r="I99" s="3080"/>
      <c r="J99" s="3080"/>
      <c r="K99" s="3080"/>
      <c r="L99" s="3080"/>
      <c r="M99" s="3080"/>
      <c r="N99" s="3080"/>
      <c r="O99" s="3080"/>
      <c r="P99" s="3080"/>
      <c r="Q99" s="3080"/>
      <c r="R99" s="3080"/>
      <c r="S99" s="3349"/>
      <c r="T99" s="3355"/>
      <c r="U99" s="3356"/>
      <c r="V99" s="3356"/>
      <c r="W99" s="3356"/>
      <c r="X99" s="3356"/>
      <c r="Y99" s="3356"/>
      <c r="Z99" s="3357"/>
      <c r="AA99" s="3080"/>
      <c r="AB99" s="3080"/>
      <c r="AC99" s="3082"/>
      <c r="AD99" s="3080"/>
      <c r="AE99" s="3080"/>
      <c r="AF99" s="3080"/>
      <c r="AG99" s="3080"/>
      <c r="AH99" s="3080"/>
      <c r="AI99" s="3080"/>
      <c r="AJ99" s="3080"/>
      <c r="AK99" s="3080"/>
      <c r="AL99" s="3080"/>
      <c r="AM99" s="3080"/>
      <c r="AN99" s="3080"/>
      <c r="AO99" s="3080"/>
    </row>
    <row r="100" ht="15" customHeight="1" hidden="0" collapsed="0" outlineLevel="1">
      <c r="A100" s="3080"/>
      <c r="B100" s="3080"/>
      <c r="C100" s="3080"/>
      <c r="D100" s="3080"/>
      <c r="E100" s="3080"/>
      <c r="F100" s="3080"/>
      <c r="G100" s="3346"/>
      <c r="H100" s="3080"/>
      <c r="I100" s="3080"/>
      <c r="J100" s="3080"/>
      <c r="K100" s="3080"/>
      <c r="L100" s="3080"/>
      <c r="M100" s="3080"/>
      <c r="N100" s="3080"/>
      <c r="O100" s="3080"/>
      <c r="P100" s="3080"/>
      <c r="Q100" s="3080"/>
      <c r="R100" s="3080"/>
      <c r="S100" s="3349"/>
      <c r="T100" s="3355"/>
      <c r="U100" s="3356"/>
      <c r="V100" s="3356"/>
      <c r="W100" s="3356"/>
      <c r="X100" s="3356"/>
      <c r="Y100" s="3356"/>
      <c r="Z100" s="3357"/>
      <c r="AA100" s="3080"/>
      <c r="AB100" s="3080"/>
      <c r="AC100" s="3082"/>
      <c r="AD100" s="3080"/>
      <c r="AE100" s="3080"/>
      <c r="AF100" s="3080"/>
      <c r="AG100" s="3080"/>
      <c r="AH100" s="3080"/>
      <c r="AI100" s="3080"/>
      <c r="AJ100" s="3080"/>
      <c r="AK100" s="3080"/>
      <c r="AL100" s="3080"/>
      <c r="AM100" s="3080"/>
      <c r="AN100" s="3080"/>
      <c r="AO100" s="3080"/>
    </row>
    <row r="101" ht="15" customHeight="1" hidden="0" collapsed="0" outlineLevel="1">
      <c r="A101" s="3351"/>
      <c r="B101" s="3351"/>
      <c r="C101" s="3351"/>
      <c r="D101" s="3351"/>
      <c r="E101" s="3351"/>
      <c r="F101" s="3351"/>
      <c r="G101" s="3348"/>
      <c r="H101" s="3351"/>
      <c r="I101" s="3080"/>
      <c r="J101" s="3080"/>
      <c r="K101" s="3080"/>
      <c r="L101" s="3080"/>
      <c r="M101" s="3080"/>
      <c r="N101" s="3080"/>
      <c r="O101" s="3080"/>
      <c r="P101" s="3080"/>
      <c r="Q101" s="3080"/>
      <c r="R101" s="3080"/>
      <c r="S101" s="3349"/>
      <c r="T101" s="3355"/>
      <c r="U101" s="3356"/>
      <c r="V101" s="3356"/>
      <c r="W101" s="3356"/>
      <c r="X101" s="3356"/>
      <c r="Y101" s="3356"/>
      <c r="Z101" s="3357"/>
      <c r="AA101" s="3080"/>
      <c r="AB101" s="3080"/>
      <c r="AC101" s="3082"/>
      <c r="AD101" s="3080"/>
      <c r="AE101" s="3080"/>
      <c r="AF101" s="3080"/>
      <c r="AG101" s="3080"/>
      <c r="AH101" s="3080"/>
      <c r="AI101" s="3080"/>
      <c r="AJ101" s="3080"/>
      <c r="AK101" s="3080"/>
      <c r="AL101" s="3080"/>
      <c r="AM101" s="3080"/>
      <c r="AN101" s="3080"/>
      <c r="AO101" s="3080"/>
    </row>
    <row r="102" ht="15" customHeight="1" hidden="0" collapsed="0" outlineLevel="1">
      <c r="A102" s="3351"/>
      <c r="B102" s="3351"/>
      <c r="C102" s="3351"/>
      <c r="D102" s="3351"/>
      <c r="E102" s="3351"/>
      <c r="F102" s="3080"/>
      <c r="G102" s="3348"/>
      <c r="H102" s="3351"/>
      <c r="I102" s="3080"/>
      <c r="J102" s="3080"/>
      <c r="K102" s="3080"/>
      <c r="L102" s="3080"/>
      <c r="M102" s="3080"/>
      <c r="N102" s="3080"/>
      <c r="O102" s="3080"/>
      <c r="P102" s="3080"/>
      <c r="Q102" s="3080"/>
      <c r="R102" s="3080"/>
      <c r="S102" s="3349"/>
      <c r="T102" s="3355"/>
      <c r="U102" s="3356"/>
      <c r="V102" s="3356"/>
      <c r="W102" s="3356"/>
      <c r="X102" s="3356"/>
      <c r="Y102" s="3356"/>
      <c r="Z102" s="3357"/>
      <c r="AA102" s="3080"/>
      <c r="AB102" s="3080"/>
      <c r="AC102" s="3082"/>
      <c r="AD102" s="3080"/>
      <c r="AE102" s="3080"/>
      <c r="AF102" s="3080"/>
      <c r="AG102" s="3080"/>
      <c r="AH102" s="3080"/>
      <c r="AI102" s="3080"/>
      <c r="AJ102" s="3080"/>
      <c r="AK102" s="3080"/>
      <c r="AL102" s="3080"/>
      <c r="AM102" s="3080"/>
      <c r="AN102" s="3080"/>
      <c r="AO102" s="3080"/>
    </row>
    <row r="103" ht="15" customHeight="1" hidden="0" collapsed="0" outlineLevel="1">
      <c r="A103" s="3080"/>
      <c r="B103" s="3080"/>
      <c r="C103" s="3080"/>
      <c r="D103" s="3080"/>
      <c r="E103" s="3080"/>
      <c r="F103" s="3080"/>
      <c r="G103" s="3346"/>
      <c r="H103" s="3080"/>
      <c r="I103" s="3080"/>
      <c r="J103" s="3080"/>
      <c r="K103" s="3080"/>
      <c r="L103" s="3080"/>
      <c r="M103" s="3080"/>
      <c r="N103" s="3080"/>
      <c r="O103" s="3080"/>
      <c r="P103" s="3080"/>
      <c r="Q103" s="3080"/>
      <c r="R103" s="3080"/>
      <c r="S103" s="3349"/>
      <c r="T103" s="3355"/>
      <c r="U103" s="3356"/>
      <c r="V103" s="3356"/>
      <c r="W103" s="3356"/>
      <c r="X103" s="3356"/>
      <c r="Y103" s="3356"/>
      <c r="Z103" s="3357"/>
      <c r="AA103" s="3080"/>
      <c r="AB103" s="3080"/>
      <c r="AC103" s="3082"/>
      <c r="AD103" s="3080"/>
      <c r="AE103" s="3080"/>
      <c r="AF103" s="3080"/>
      <c r="AG103" s="3080"/>
      <c r="AH103" s="3080"/>
      <c r="AI103" s="3080"/>
      <c r="AJ103" s="3080"/>
      <c r="AK103" s="3080"/>
      <c r="AL103" s="3080"/>
      <c r="AM103" s="3080"/>
      <c r="AN103" s="3080"/>
      <c r="AO103" s="3080"/>
    </row>
    <row r="104" ht="15" customHeight="1" hidden="0" collapsed="0" outlineLevel="1">
      <c r="A104" s="3351"/>
      <c r="B104" s="3351"/>
      <c r="C104" s="3351"/>
      <c r="D104" s="3351"/>
      <c r="E104" s="3351"/>
      <c r="F104" s="3351"/>
      <c r="G104" s="3358"/>
      <c r="H104" s="3359"/>
      <c r="I104" s="3080"/>
      <c r="J104" s="3080"/>
      <c r="K104" s="3080"/>
      <c r="L104" s="3080"/>
      <c r="M104" s="3080"/>
      <c r="N104" s="3080"/>
      <c r="O104" s="3080"/>
      <c r="P104" s="3080"/>
      <c r="Q104" s="3080"/>
      <c r="R104" s="3080"/>
      <c r="S104" s="3349"/>
      <c r="T104" s="3355"/>
      <c r="U104" s="3356"/>
      <c r="V104" s="3356"/>
      <c r="W104" s="3356"/>
      <c r="X104" s="3356"/>
      <c r="Y104" s="3356"/>
      <c r="Z104" s="3357"/>
      <c r="AA104" s="3080"/>
      <c r="AB104" s="3080"/>
      <c r="AC104" s="3082"/>
      <c r="AD104" s="3080"/>
      <c r="AE104" s="3080"/>
      <c r="AF104" s="3080"/>
      <c r="AG104" s="3080"/>
      <c r="AH104" s="3080"/>
      <c r="AI104" s="3080"/>
      <c r="AJ104" s="3080"/>
      <c r="AK104" s="3080"/>
      <c r="AL104" s="3080"/>
      <c r="AM104" s="3080"/>
      <c r="AN104" s="3080"/>
      <c r="AO104" s="3080"/>
    </row>
    <row r="105" ht="15" customHeight="1" hidden="0" collapsed="0" outlineLevel="1">
      <c r="A105" s="3351"/>
      <c r="B105" s="3351"/>
      <c r="C105" s="3351"/>
      <c r="D105" s="3351"/>
      <c r="E105" s="3351"/>
      <c r="F105" s="3080"/>
      <c r="G105" s="3348"/>
      <c r="H105" s="3351"/>
      <c r="I105" s="3080"/>
      <c r="J105" s="3080"/>
      <c r="K105" s="3080"/>
      <c r="L105" s="3080"/>
      <c r="M105" s="3080"/>
      <c r="N105" s="3080"/>
      <c r="O105" s="3080"/>
      <c r="P105" s="3080"/>
      <c r="Q105" s="3080"/>
      <c r="R105" s="3080"/>
      <c r="S105" s="3349"/>
      <c r="T105" s="3355"/>
      <c r="U105" s="3356"/>
      <c r="V105" s="3356"/>
      <c r="W105" s="3356"/>
      <c r="X105" s="3356"/>
      <c r="Y105" s="3356"/>
      <c r="Z105" s="3357"/>
      <c r="AA105" s="3080"/>
      <c r="AB105" s="3080"/>
      <c r="AC105" s="3082"/>
      <c r="AD105" s="3080"/>
      <c r="AE105" s="3080"/>
      <c r="AF105" s="3080"/>
      <c r="AG105" s="3080"/>
      <c r="AH105" s="3080"/>
      <c r="AI105" s="3080"/>
      <c r="AJ105" s="3080"/>
      <c r="AK105" s="3080"/>
      <c r="AL105" s="3080"/>
      <c r="AM105" s="3080"/>
      <c r="AN105" s="3080"/>
      <c r="AO105" s="3080"/>
    </row>
    <row r="106" ht="15" customHeight="1" hidden="0" collapsed="0" outlineLevel="1">
      <c r="A106" s="3080"/>
      <c r="B106" s="3080"/>
      <c r="C106" s="3080"/>
      <c r="D106" s="3080"/>
      <c r="E106" s="3080"/>
      <c r="F106" s="3080"/>
      <c r="G106" s="3346"/>
      <c r="H106" s="3080"/>
      <c r="I106" s="3080"/>
      <c r="J106" s="3080"/>
      <c r="K106" s="3080"/>
      <c r="L106" s="3080"/>
      <c r="M106" s="3080"/>
      <c r="N106" s="3080"/>
      <c r="O106" s="3080"/>
      <c r="P106" s="3080"/>
      <c r="Q106" s="3080"/>
      <c r="R106" s="3080"/>
      <c r="S106" s="3349"/>
      <c r="T106" s="3355"/>
      <c r="U106" s="3356"/>
      <c r="V106" s="3356"/>
      <c r="W106" s="3356"/>
      <c r="X106" s="3356"/>
      <c r="Y106" s="3356"/>
      <c r="Z106" s="3357"/>
      <c r="AA106" s="3080"/>
      <c r="AB106" s="3080"/>
      <c r="AC106" s="3082"/>
      <c r="AD106" s="3080"/>
      <c r="AE106" s="3080"/>
      <c r="AF106" s="3080"/>
      <c r="AG106" s="3080"/>
      <c r="AH106" s="3080"/>
      <c r="AI106" s="3080"/>
      <c r="AJ106" s="3080"/>
      <c r="AK106" s="3080"/>
      <c r="AL106" s="3080"/>
      <c r="AM106" s="3080"/>
      <c r="AN106" s="3080"/>
      <c r="AO106" s="3080"/>
    </row>
    <row r="107" ht="15.75" customHeight="1" hidden="0" collapsed="0" outlineLevel="1">
      <c r="A107" s="3296"/>
      <c r="B107" s="3296"/>
      <c r="C107" s="3296"/>
      <c r="D107" s="3296"/>
      <c r="E107" s="3296"/>
      <c r="F107" s="3360"/>
      <c r="G107" s="3347"/>
      <c r="H107" s="3346"/>
      <c r="I107" s="3346"/>
      <c r="J107" s="3080"/>
      <c r="K107" s="3080"/>
      <c r="L107" s="3080"/>
      <c r="M107" s="3080"/>
      <c r="N107" s="3080"/>
      <c r="O107" s="3080"/>
      <c r="P107" s="3080"/>
      <c r="Q107" s="3080"/>
      <c r="R107" s="3080"/>
      <c r="S107" s="3349"/>
      <c r="T107" s="3355"/>
      <c r="U107" s="3356"/>
      <c r="V107" s="3356"/>
      <c r="W107" s="3356"/>
      <c r="X107" s="3356"/>
      <c r="Y107" s="3356"/>
      <c r="Z107" s="3357"/>
      <c r="AA107" s="3080"/>
      <c r="AB107" s="3080"/>
      <c r="AC107" s="3082"/>
      <c r="AD107" s="3080"/>
      <c r="AE107" s="3080"/>
      <c r="AF107" s="3080"/>
      <c r="AG107" s="3080"/>
      <c r="AH107" s="3080"/>
      <c r="AI107" s="3080"/>
      <c r="AJ107" s="3080"/>
      <c r="AK107" s="3080"/>
      <c r="AL107" s="3080"/>
      <c r="AM107" s="3080"/>
      <c r="AN107" s="3080"/>
      <c r="AO107" s="3080"/>
    </row>
    <row r="108" ht="15" customHeight="1" hidden="0" collapsed="0" outlineLevel="1">
      <c r="A108" s="3296"/>
      <c r="B108" s="3296"/>
      <c r="C108" s="3296"/>
      <c r="D108" s="3296"/>
      <c r="E108" s="3296"/>
      <c r="F108" s="3347"/>
      <c r="G108" s="3347"/>
      <c r="H108" s="3346"/>
      <c r="I108" s="3346"/>
      <c r="J108" s="3080"/>
      <c r="K108" s="3080"/>
      <c r="L108" s="3080"/>
      <c r="M108" s="3080"/>
      <c r="N108" s="3080"/>
      <c r="O108" s="3080"/>
      <c r="P108" s="3080"/>
      <c r="Q108" s="3080"/>
      <c r="R108" s="3080"/>
      <c r="S108" s="3349"/>
      <c r="T108" s="3355"/>
      <c r="U108" s="3356"/>
      <c r="V108" s="3356"/>
      <c r="W108" s="3356"/>
      <c r="X108" s="3356"/>
      <c r="Y108" s="3356"/>
      <c r="Z108" s="3357"/>
      <c r="AA108" s="3080"/>
      <c r="AB108" s="3080"/>
      <c r="AC108" s="3082"/>
      <c r="AD108" s="3080"/>
      <c r="AE108" s="3080"/>
      <c r="AF108" s="3080"/>
      <c r="AG108" s="3080"/>
      <c r="AH108" s="3080"/>
      <c r="AI108" s="3080"/>
      <c r="AJ108" s="3080"/>
      <c r="AK108" s="3080"/>
      <c r="AL108" s="3080"/>
      <c r="AM108" s="3080"/>
      <c r="AN108" s="3080"/>
      <c r="AO108" s="3080"/>
    </row>
    <row r="109" ht="15" customHeight="1" hidden="0" collapsed="0" outlineLevel="1">
      <c r="A109" s="3080"/>
      <c r="B109" s="3080"/>
      <c r="C109" s="3080"/>
      <c r="D109" s="3080"/>
      <c r="E109" s="3080"/>
      <c r="F109" s="3080"/>
      <c r="G109" s="3080"/>
      <c r="H109" s="3080"/>
      <c r="I109" s="3080"/>
      <c r="J109" s="3080"/>
      <c r="K109" s="3080"/>
      <c r="L109" s="3080"/>
      <c r="M109" s="3080"/>
      <c r="N109" s="3080"/>
      <c r="O109" s="3080"/>
      <c r="P109" s="3080"/>
      <c r="Q109" s="3080"/>
      <c r="R109" s="3080"/>
      <c r="S109" s="3349"/>
      <c r="T109" s="3355"/>
      <c r="U109" s="3356"/>
      <c r="V109" s="3356"/>
      <c r="W109" s="3356"/>
      <c r="X109" s="3356"/>
      <c r="Y109" s="3356"/>
      <c r="Z109" s="3357"/>
      <c r="AA109" s="3080"/>
      <c r="AB109" s="3080"/>
      <c r="AC109" s="3082"/>
      <c r="AD109" s="3080"/>
      <c r="AE109" s="3080"/>
      <c r="AF109" s="3080"/>
      <c r="AG109" s="3080"/>
      <c r="AH109" s="3080"/>
      <c r="AI109" s="3080"/>
      <c r="AJ109" s="3080"/>
      <c r="AK109" s="3080"/>
      <c r="AL109" s="3080"/>
      <c r="AM109" s="3080"/>
      <c r="AN109" s="3080"/>
      <c r="AO109" s="3080"/>
    </row>
    <row r="110" ht="15" customHeight="1" hidden="0" collapsed="0" outlineLevel="1">
      <c r="A110" s="3080"/>
      <c r="B110" s="3080"/>
      <c r="C110" s="3080"/>
      <c r="D110" s="3080"/>
      <c r="E110" s="3080"/>
      <c r="F110" s="3080"/>
      <c r="G110" s="3080"/>
      <c r="H110" s="3080"/>
      <c r="I110" s="3080"/>
      <c r="J110" s="3080"/>
      <c r="K110" s="3080"/>
      <c r="L110" s="3080"/>
      <c r="M110" s="3080"/>
      <c r="N110" s="3080"/>
      <c r="O110" s="3080"/>
      <c r="P110" s="3080"/>
      <c r="Q110" s="3080"/>
      <c r="R110" s="3080"/>
      <c r="S110" s="3349"/>
      <c r="T110" s="3355"/>
      <c r="U110" s="3356"/>
      <c r="V110" s="3356"/>
      <c r="W110" s="3356"/>
      <c r="X110" s="3356"/>
      <c r="Y110" s="3356"/>
      <c r="Z110" s="3357"/>
      <c r="AA110" s="3080"/>
      <c r="AB110" s="3080"/>
      <c r="AC110" s="3082"/>
      <c r="AD110" s="3080"/>
      <c r="AE110" s="3080"/>
      <c r="AF110" s="3080"/>
      <c r="AG110" s="3080"/>
      <c r="AH110" s="3080"/>
      <c r="AI110" s="3080"/>
      <c r="AJ110" s="3080"/>
      <c r="AK110" s="3080"/>
      <c r="AL110" s="3080"/>
      <c r="AM110" s="3080"/>
      <c r="AN110" s="3080"/>
      <c r="AO110" s="3080"/>
    </row>
    <row r="111" ht="15" customHeight="1" hidden="0" collapsed="0" outlineLevel="1">
      <c r="A111" s="3080"/>
      <c r="B111" s="3080"/>
      <c r="C111" s="3080"/>
      <c r="D111" s="3080"/>
      <c r="E111" s="3080"/>
      <c r="F111" s="3080"/>
      <c r="G111" s="3080"/>
      <c r="H111" s="3080"/>
      <c r="I111" s="3080"/>
      <c r="J111" s="3080"/>
      <c r="K111" s="3080"/>
      <c r="L111" s="3080"/>
      <c r="M111" s="3080"/>
      <c r="N111" s="3080"/>
      <c r="O111" s="3080"/>
      <c r="P111" s="3080"/>
      <c r="Q111" s="3080"/>
      <c r="R111" s="3080"/>
      <c r="S111" s="3349"/>
      <c r="T111" s="3355"/>
      <c r="U111" s="3356"/>
      <c r="V111" s="3356"/>
      <c r="W111" s="3356"/>
      <c r="X111" s="3356"/>
      <c r="Y111" s="3356"/>
      <c r="Z111" s="3357"/>
      <c r="AA111" s="3080"/>
      <c r="AB111" s="3080"/>
      <c r="AC111" s="3082"/>
      <c r="AD111" s="3080"/>
      <c r="AE111" s="3080"/>
      <c r="AF111" s="3080"/>
      <c r="AG111" s="3080"/>
      <c r="AH111" s="3080"/>
      <c r="AI111" s="3080"/>
      <c r="AJ111" s="3080"/>
      <c r="AK111" s="3080"/>
      <c r="AL111" s="3080"/>
      <c r="AM111" s="3080"/>
      <c r="AN111" s="3080"/>
      <c r="AO111" s="3080"/>
    </row>
    <row r="112" ht="15" customHeight="1" hidden="0" collapsed="0" outlineLevel="1">
      <c r="A112" s="3080"/>
      <c r="B112" s="3080"/>
      <c r="C112" s="3080"/>
      <c r="D112" s="3080"/>
      <c r="E112" s="3080"/>
      <c r="F112" s="3080"/>
      <c r="G112" s="3080"/>
      <c r="H112" s="3080"/>
      <c r="I112" s="3080"/>
      <c r="J112" s="3080"/>
      <c r="K112" s="3080"/>
      <c r="L112" s="3080"/>
      <c r="M112" s="3080"/>
      <c r="N112" s="3080"/>
      <c r="O112" s="3080"/>
      <c r="P112" s="3080"/>
      <c r="Q112" s="3080"/>
      <c r="R112" s="3080"/>
      <c r="S112" s="3349"/>
      <c r="T112" s="3355"/>
      <c r="U112" s="3356"/>
      <c r="V112" s="3356"/>
      <c r="W112" s="3356"/>
      <c r="X112" s="3356"/>
      <c r="Y112" s="3356"/>
      <c r="Z112" s="3357"/>
      <c r="AA112" s="3080"/>
      <c r="AB112" s="3080"/>
      <c r="AC112" s="3082"/>
      <c r="AD112" s="3080"/>
      <c r="AE112" s="3080"/>
      <c r="AF112" s="3080"/>
      <c r="AG112" s="3080"/>
      <c r="AH112" s="3080"/>
      <c r="AI112" s="3080"/>
      <c r="AJ112" s="3080"/>
      <c r="AK112" s="3080"/>
      <c r="AL112" s="3080"/>
      <c r="AM112" s="3080"/>
      <c r="AN112" s="3080"/>
      <c r="AO112" s="3080"/>
    </row>
    <row r="113" ht="15" customHeight="1" hidden="0" collapsed="0" outlineLevel="1">
      <c r="A113" s="3080"/>
      <c r="B113" s="3080"/>
      <c r="C113" s="3080"/>
      <c r="D113" s="3080"/>
      <c r="E113" s="3080"/>
      <c r="F113" s="3080"/>
      <c r="G113" s="3080"/>
      <c r="H113" s="3080"/>
      <c r="I113" s="3080"/>
      <c r="J113" s="3080"/>
      <c r="K113" s="3080"/>
      <c r="L113" s="3080"/>
      <c r="M113" s="3080"/>
      <c r="N113" s="3080"/>
      <c r="O113" s="3080"/>
      <c r="P113" s="3080"/>
      <c r="Q113" s="3080"/>
      <c r="R113" s="3080"/>
      <c r="S113" s="3349"/>
      <c r="T113" s="3361"/>
      <c r="U113" s="3362"/>
      <c r="V113" s="3362"/>
      <c r="W113" s="3362"/>
      <c r="X113" s="3362"/>
      <c r="Y113" s="3362"/>
      <c r="Z113" s="3363"/>
      <c r="AA113" s="3080"/>
      <c r="AB113" s="3080"/>
      <c r="AC113" s="3082"/>
      <c r="AD113" s="3080"/>
      <c r="AE113" s="3080"/>
      <c r="AF113" s="3080"/>
      <c r="AG113" s="3080"/>
      <c r="AH113" s="3080"/>
      <c r="AI113" s="3080"/>
      <c r="AJ113" s="3080"/>
      <c r="AK113" s="3080"/>
      <c r="AL113" s="3080"/>
      <c r="AM113" s="3080"/>
      <c r="AN113" s="3080"/>
      <c r="AO113" s="3080"/>
    </row>
    <row r="114" ht="15.75" customHeight="1" hidden="0" collapsed="0" outlineLevel="1">
      <c r="A114" s="3080"/>
      <c r="B114" s="3080"/>
      <c r="C114" s="3080"/>
      <c r="D114" s="3080"/>
      <c r="E114" s="3080"/>
      <c r="F114" s="3080"/>
      <c r="G114" s="3080"/>
      <c r="H114" s="3080"/>
      <c r="I114" s="3080"/>
      <c r="J114" s="3080"/>
      <c r="K114" s="3080"/>
      <c r="L114" s="3080"/>
      <c r="M114" s="3080"/>
      <c r="N114" s="3080"/>
      <c r="O114" s="3080"/>
      <c r="P114" s="3080"/>
      <c r="Q114" s="3080"/>
      <c r="R114" s="3080"/>
      <c r="S114" s="3080"/>
      <c r="T114" s="3080"/>
      <c r="U114" s="3080"/>
      <c r="V114" s="3080"/>
      <c r="W114" s="3080"/>
      <c r="X114" s="3080"/>
      <c r="Y114" s="3080"/>
      <c r="Z114" s="3080"/>
      <c r="AA114" s="3080"/>
      <c r="AB114" s="3080"/>
      <c r="AC114" s="3082"/>
      <c r="AD114" s="3080"/>
      <c r="AE114" s="3080"/>
      <c r="AF114" s="3080"/>
      <c r="AG114" s="3080"/>
      <c r="AH114" s="3080"/>
      <c r="AI114" s="3080"/>
      <c r="AJ114" s="3080"/>
      <c r="AK114" s="3080"/>
      <c r="AL114" s="3080"/>
      <c r="AM114" s="3080"/>
      <c r="AN114" s="3080"/>
      <c r="AO114" s="3080"/>
    </row>
    <row r="115" ht="15.75" customHeight="1" hidden="0" collapsed="0" outlineLevel="1">
      <c r="A115" s="3080"/>
      <c r="B115" s="3246" t="s">
        <v>3078</v>
      </c>
      <c r="C115" s="3247"/>
      <c r="D115" s="3248"/>
      <c r="E115" s="3246" t="s">
        <v>1735</v>
      </c>
      <c r="F115" s="3247"/>
      <c r="G115" s="3247"/>
      <c r="H115" s="3247" t="s">
        <v>1736</v>
      </c>
      <c r="I115" s="3247"/>
      <c r="J115" s="3247"/>
      <c r="K115" s="3247"/>
      <c r="L115" s="3247" t="s">
        <v>1737</v>
      </c>
      <c r="M115" s="3247"/>
      <c r="N115" s="3247"/>
      <c r="O115" s="3247"/>
      <c r="P115" s="3247" t="s">
        <v>1738</v>
      </c>
      <c r="Q115" s="3247"/>
      <c r="R115" s="3248"/>
      <c r="S115" s="3080"/>
      <c r="T115" s="3080"/>
      <c r="U115" s="3080"/>
      <c r="V115" s="3080"/>
      <c r="W115" s="3080"/>
      <c r="X115" s="3080"/>
      <c r="Y115" s="3080"/>
      <c r="Z115" s="3080"/>
      <c r="AA115" s="3080"/>
      <c r="AB115" s="3080"/>
      <c r="AC115" s="3082"/>
      <c r="AD115" s="3080"/>
      <c r="AE115" s="3080"/>
      <c r="AF115" s="3080"/>
      <c r="AG115" s="3080"/>
      <c r="AH115" s="3080"/>
      <c r="AI115" s="3080"/>
      <c r="AJ115" s="3080"/>
      <c r="AK115" s="3080"/>
      <c r="AL115" s="3080"/>
      <c r="AM115" s="3080"/>
      <c r="AN115" s="3080"/>
      <c r="AO115" s="3080"/>
    </row>
    <row r="116" ht="15" customHeight="1" hidden="0" collapsed="0" outlineLevel="1">
      <c r="A116" s="3080"/>
      <c r="B116" s="3257" t="s">
        <v>1741</v>
      </c>
      <c r="C116" s="3080"/>
      <c r="D116" s="3080"/>
      <c r="E116" s="3274">
        <f>SUM(AL58:AL58)</f>
        <v>401951</v>
      </c>
      <c r="F116" s="3275"/>
      <c r="G116" s="3276"/>
      <c r="H116" s="3274">
        <f>SUM(AL59:AL59)</f>
        <v>408739.6666666667</v>
      </c>
      <c r="I116" s="3275"/>
      <c r="J116" s="3275"/>
      <c r="K116" s="3276"/>
      <c r="L116" s="3274">
        <f>SUM(AL60:AL60)</f>
        <v>409082</v>
      </c>
      <c r="M116" s="3275"/>
      <c r="N116" s="3275"/>
      <c r="O116" s="3276"/>
      <c r="P116" s="3274">
        <f>SUM(AL62:AL62)</f>
        <v>400594.3333333333</v>
      </c>
      <c r="Q116" s="3275"/>
      <c r="R116" s="3276"/>
      <c r="S116" s="3080"/>
      <c r="T116" s="3080"/>
      <c r="U116" s="3080"/>
      <c r="V116" s="3080"/>
      <c r="W116" s="3080"/>
      <c r="X116" s="3080"/>
      <c r="Y116" s="3080"/>
      <c r="Z116" s="3080"/>
      <c r="AA116" s="3080"/>
      <c r="AB116" s="3080"/>
      <c r="AC116" s="3082"/>
      <c r="AD116" s="3080"/>
      <c r="AE116" s="3080"/>
      <c r="AF116" s="3080"/>
      <c r="AG116" s="3080"/>
      <c r="AH116" s="3080"/>
      <c r="AI116" s="3080"/>
      <c r="AJ116" s="3080"/>
      <c r="AK116" s="3080"/>
      <c r="AL116" s="3080"/>
      <c r="AM116" s="3080"/>
      <c r="AN116" s="3080"/>
      <c r="AO116" s="3080"/>
    </row>
    <row r="117" ht="15" customHeight="1" hidden="0" collapsed="0" outlineLevel="1">
      <c r="A117" s="3080"/>
      <c r="B117" s="3257" t="s">
        <v>1743</v>
      </c>
      <c r="C117" s="3080"/>
      <c r="D117" s="3080"/>
      <c r="E117" s="3278">
        <f t="shared" si="14"/>
        <v>4823412</v>
      </c>
      <c r="F117" s="3279"/>
      <c r="G117" s="3280"/>
      <c r="H117" s="3278">
        <f t="shared" si="14"/>
        <v>4904876</v>
      </c>
      <c r="I117" s="3279"/>
      <c r="J117" s="3279"/>
      <c r="K117" s="3280"/>
      <c r="L117" s="3278">
        <f t="shared" si="14"/>
        <v>4908984</v>
      </c>
      <c r="M117" s="3279"/>
      <c r="N117" s="3279"/>
      <c r="O117" s="3280"/>
      <c r="P117" s="3278">
        <f t="shared" si="14"/>
        <v>4807132</v>
      </c>
      <c r="Q117" s="3279"/>
      <c r="R117" s="3280"/>
      <c r="S117" s="3080"/>
      <c r="T117" s="3080"/>
      <c r="U117" s="3080"/>
      <c r="V117" s="3080"/>
      <c r="W117" s="3080"/>
      <c r="X117" s="3080"/>
      <c r="Y117" s="3080"/>
      <c r="Z117" s="3080"/>
      <c r="AA117" s="3080"/>
      <c r="AB117" s="3080"/>
      <c r="AC117" s="3082"/>
      <c r="AD117" s="3080"/>
      <c r="AE117" s="3080"/>
      <c r="AF117" s="3080"/>
      <c r="AG117" s="3080"/>
      <c r="AH117" s="3080"/>
      <c r="AI117" s="3080"/>
      <c r="AJ117" s="3080"/>
      <c r="AK117" s="3080"/>
      <c r="AL117" s="3080"/>
      <c r="AM117" s="3080"/>
      <c r="AN117" s="3080"/>
      <c r="AO117" s="3080"/>
    </row>
    <row r="118" ht="15.75" customHeight="1" hidden="0" collapsed="0" outlineLevel="1">
      <c r="A118" s="3080"/>
      <c r="B118" s="3261" t="s">
        <v>1255</v>
      </c>
      <c r="C118" s="3281"/>
      <c r="D118" s="3281"/>
      <c r="E118" s="3282">
        <f>IF(E117=0,0,E116/SUM(AI58:AI58))</f>
        <v>0.9433432216516621</v>
      </c>
      <c r="F118" s="3283"/>
      <c r="G118" s="3284"/>
      <c r="H118" s="3282">
        <f>IF(H117=0,0,H116/SUM(AI59:AI59))</f>
        <v>0.9550795549781447</v>
      </c>
      <c r="I118" s="3283"/>
      <c r="J118" s="3283"/>
      <c r="K118" s="3284"/>
      <c r="L118" s="3282">
        <f>IF(L117=0,0,L116/SUM(AI60:AI60))</f>
        <v>0.9619739793910757</v>
      </c>
      <c r="M118" s="3283"/>
      <c r="N118" s="3283"/>
      <c r="O118" s="3284"/>
      <c r="P118" s="3282">
        <f>IF(P117=0,0,P116/SUM(AI62:AI62))</f>
        <v>0.9560107900763753</v>
      </c>
      <c r="Q118" s="3283"/>
      <c r="R118" s="3284"/>
      <c r="S118" s="3080"/>
      <c r="T118" s="3080"/>
      <c r="U118" s="3080"/>
      <c r="V118" s="3080"/>
      <c r="W118" s="3080"/>
      <c r="X118" s="3080"/>
      <c r="Y118" s="3080"/>
      <c r="Z118" s="3080"/>
      <c r="AA118" s="3080"/>
      <c r="AB118" s="3080"/>
      <c r="AC118" s="3082"/>
      <c r="AD118" s="3080"/>
      <c r="AE118" s="3080"/>
      <c r="AF118" s="3080"/>
      <c r="AG118" s="3080"/>
      <c r="AH118" s="3080"/>
      <c r="AI118" s="3080"/>
      <c r="AJ118" s="3080"/>
      <c r="AK118" s="3080"/>
      <c r="AL118" s="3080"/>
      <c r="AM118" s="3080"/>
      <c r="AN118" s="3080"/>
      <c r="AO118" s="3080"/>
    </row>
    <row r="119" ht="15.75" customHeight="1" hidden="0" collapsed="0" outlineLevel="1">
      <c r="A119" s="3080"/>
      <c r="B119" s="3246" t="s">
        <v>3069</v>
      </c>
      <c r="C119" s="3247"/>
      <c r="D119" s="3248"/>
      <c r="E119" s="3364" t="s">
        <v>3071</v>
      </c>
      <c r="F119" s="3365"/>
      <c r="G119" s="3365"/>
      <c r="H119" s="3366">
        <f>IF(AND(H117&gt;=L117,H117&lt;&gt;0),(H117-L117)/L117,IF(AND(H117&lt;=L117,H117&lt;&gt;0),(H117-L117)/L117,""))</f>
        <v>-0.0008368330391787792</v>
      </c>
      <c r="I119" s="3366"/>
      <c r="J119" s="3366"/>
      <c r="K119" s="3366"/>
      <c r="L119" s="3365" t="s">
        <v>3074</v>
      </c>
      <c r="M119" s="3365"/>
      <c r="N119" s="3365"/>
      <c r="O119" s="3365"/>
      <c r="P119" s="3366">
        <f>IF(AND(H117&gt;=P117,H117&lt;&gt;0),(H117-P117)/P117,IF(AND(H117&lt;=P117,H117&lt;&gt;0),(H117-P117)/P117,""))</f>
        <v>0.020333121703335795</v>
      </c>
      <c r="Q119" s="3366"/>
      <c r="R119" s="3367"/>
      <c r="S119" s="3080"/>
      <c r="T119" s="3080"/>
      <c r="U119" s="3080"/>
      <c r="V119" s="3080"/>
      <c r="W119" s="3080"/>
      <c r="X119" s="3080"/>
      <c r="Y119" s="3080"/>
      <c r="Z119" s="3080"/>
      <c r="AA119" s="3080"/>
      <c r="AB119" s="3080"/>
      <c r="AC119" s="3082"/>
      <c r="AD119" s="3080"/>
      <c r="AE119" s="3080"/>
      <c r="AF119" s="3080"/>
      <c r="AG119" s="3080"/>
      <c r="AH119" s="3080"/>
      <c r="AI119" s="3080"/>
      <c r="AJ119" s="3080"/>
      <c r="AK119" s="3080"/>
      <c r="AL119" s="3080"/>
      <c r="AM119" s="3080"/>
      <c r="AN119" s="3080"/>
      <c r="AO119" s="3080"/>
    </row>
    <row r="120" ht="15" customHeight="1">
      <c r="A120" s="3080"/>
      <c r="B120" s="3080"/>
      <c r="C120" s="3080"/>
      <c r="D120" s="3080"/>
      <c r="E120" s="3080"/>
      <c r="F120" s="3080"/>
      <c r="G120" s="3080"/>
      <c r="H120" s="3080"/>
      <c r="I120" s="3080"/>
      <c r="J120" s="3080"/>
      <c r="K120" s="3080"/>
      <c r="L120" s="3080"/>
      <c r="M120" s="3080"/>
      <c r="N120" s="3080"/>
      <c r="O120" s="3080"/>
      <c r="P120" s="3080"/>
      <c r="Q120" s="3080"/>
      <c r="R120" s="3080"/>
      <c r="S120" s="3080"/>
      <c r="T120" s="3080"/>
      <c r="U120" s="3080"/>
      <c r="V120" s="3080"/>
      <c r="W120" s="3080"/>
      <c r="X120" s="3080"/>
      <c r="Y120" s="3080"/>
      <c r="Z120" s="3080"/>
      <c r="AA120" s="3080"/>
      <c r="AB120" s="3080"/>
      <c r="AC120" s="3082"/>
      <c r="AD120" s="3080"/>
      <c r="AE120" s="3080"/>
      <c r="AF120" s="3080"/>
      <c r="AG120" s="3080"/>
      <c r="AH120" s="3080"/>
      <c r="AI120" s="3080"/>
      <c r="AJ120" s="3080"/>
      <c r="AK120" s="3080"/>
      <c r="AL120" s="3080"/>
      <c r="AM120" s="3080"/>
      <c r="AN120" s="3080"/>
      <c r="AO120" s="3080"/>
    </row>
    <row r="121" ht="15" customHeight="1">
      <c r="A121" s="3080"/>
      <c r="B121" s="3080"/>
      <c r="C121" s="3080"/>
      <c r="D121" s="3080"/>
      <c r="E121" s="3080"/>
      <c r="F121" s="3080"/>
      <c r="G121" s="3080"/>
      <c r="H121" s="3080"/>
      <c r="I121" s="3080"/>
      <c r="J121" s="3080"/>
      <c r="K121" s="3080"/>
      <c r="L121" s="3080"/>
      <c r="M121" s="3080"/>
      <c r="N121" s="3080"/>
      <c r="O121" s="3080"/>
      <c r="P121" s="3080"/>
      <c r="Q121" s="3080"/>
      <c r="R121" s="3080"/>
      <c r="S121" s="3080"/>
      <c r="T121" s="3080"/>
      <c r="U121" s="3080"/>
      <c r="V121" s="3080"/>
      <c r="W121" s="3080"/>
      <c r="X121" s="3080"/>
      <c r="Y121" s="3080"/>
      <c r="Z121" s="3080"/>
      <c r="AA121" s="3080"/>
      <c r="AB121" s="3080"/>
      <c r="AC121" s="3082"/>
      <c r="AD121" s="3080"/>
      <c r="AE121" s="3080"/>
      <c r="AF121" s="3080"/>
      <c r="AG121" s="3080"/>
      <c r="AH121" s="3080"/>
      <c r="AI121" s="3080"/>
      <c r="AJ121" s="3080"/>
      <c r="AK121" s="3080"/>
      <c r="AL121" s="3080"/>
      <c r="AM121" s="3080"/>
      <c r="AN121" s="3080"/>
      <c r="AO121" s="3080"/>
    </row>
    <row r="122" ht="15" customHeight="1">
      <c r="A122" s="3080"/>
      <c r="B122" s="3080"/>
      <c r="C122" s="3080"/>
      <c r="D122" s="3080"/>
      <c r="E122" s="3080"/>
      <c r="F122" s="3080"/>
      <c r="G122" s="3080"/>
      <c r="H122" s="3080"/>
      <c r="I122" s="3080"/>
      <c r="J122" s="3080"/>
      <c r="K122" s="3080"/>
      <c r="L122" s="3080"/>
      <c r="M122" s="3080"/>
      <c r="N122" s="3080"/>
      <c r="O122" s="3080"/>
      <c r="P122" s="3080"/>
      <c r="Q122" s="3080"/>
      <c r="R122" s="3080"/>
      <c r="S122" s="3080"/>
      <c r="T122" s="3080"/>
      <c r="U122" s="3080"/>
      <c r="V122" s="3080"/>
      <c r="W122" s="3080"/>
      <c r="X122" s="3080"/>
      <c r="Y122" s="3080"/>
      <c r="Z122" s="3080"/>
      <c r="AA122" s="3080"/>
      <c r="AB122" s="3080"/>
      <c r="AC122" s="3082"/>
      <c r="AD122" s="3080"/>
      <c r="AE122" s="3080"/>
      <c r="AF122" s="3080"/>
      <c r="AG122" s="3080"/>
      <c r="AH122" s="3080"/>
      <c r="AI122" s="3080"/>
      <c r="AJ122" s="3080"/>
      <c r="AK122" s="3080"/>
      <c r="AL122" s="3080"/>
      <c r="AM122" s="3080"/>
      <c r="AN122" s="3080"/>
      <c r="AO122" s="3080"/>
    </row>
    <row r="123" ht="15" customHeight="1">
      <c r="A123" s="3080"/>
      <c r="B123" s="3080"/>
      <c r="C123" s="3080"/>
      <c r="D123" s="3080"/>
      <c r="E123" s="3080"/>
      <c r="F123" s="3080"/>
      <c r="G123" s="3080"/>
      <c r="H123" s="3080"/>
      <c r="I123" s="3080"/>
      <c r="J123" s="3080"/>
      <c r="K123" s="3080"/>
      <c r="L123" s="3080"/>
      <c r="M123" s="3080"/>
      <c r="N123" s="3080"/>
      <c r="O123" s="3080"/>
      <c r="P123" s="3080"/>
      <c r="Q123" s="3080"/>
      <c r="R123" s="3080"/>
      <c r="S123" s="3080"/>
      <c r="T123" s="3080"/>
      <c r="U123" s="3080"/>
      <c r="V123" s="3080"/>
      <c r="W123" s="3080"/>
      <c r="X123" s="3080"/>
      <c r="Y123" s="3080"/>
      <c r="Z123" s="3080"/>
      <c r="AA123" s="3080"/>
      <c r="AB123" s="3080"/>
      <c r="AC123" s="3082"/>
      <c r="AD123" s="3080"/>
      <c r="AE123" s="3080"/>
      <c r="AF123" s="3080"/>
      <c r="AG123" s="3080"/>
      <c r="AH123" s="3080"/>
      <c r="AI123" s="3080"/>
      <c r="AJ123" s="3080"/>
      <c r="AK123" s="3080"/>
      <c r="AL123" s="3080"/>
      <c r="AM123" s="3080"/>
      <c r="AN123" s="3080"/>
      <c r="AO123" s="3080"/>
    </row>
    <row r="124" ht="15" customHeight="1">
      <c r="A124" s="3080"/>
      <c r="B124" s="3080"/>
      <c r="C124" s="3080"/>
      <c r="D124" s="3080"/>
      <c r="E124" s="3080"/>
      <c r="F124" s="3080"/>
      <c r="G124" s="3080"/>
      <c r="H124" s="3080"/>
      <c r="I124" s="3080"/>
      <c r="J124" s="3080"/>
      <c r="K124" s="3080"/>
      <c r="L124" s="3080"/>
      <c r="M124" s="3080"/>
      <c r="N124" s="3080"/>
      <c r="O124" s="3080"/>
      <c r="P124" s="3080"/>
      <c r="Q124" s="3080"/>
      <c r="R124" s="3080"/>
      <c r="S124" s="3080"/>
      <c r="T124" s="3080"/>
      <c r="U124" s="3080"/>
      <c r="V124" s="3080"/>
      <c r="W124" s="3080"/>
      <c r="X124" s="3080"/>
      <c r="Y124" s="3080"/>
      <c r="Z124" s="3080"/>
      <c r="AA124" s="3080"/>
      <c r="AB124" s="3080"/>
      <c r="AC124" s="3082"/>
      <c r="AD124" s="3080"/>
      <c r="AE124" s="3080"/>
      <c r="AF124" s="3080"/>
      <c r="AG124" s="3080"/>
      <c r="AH124" s="3080"/>
      <c r="AI124" s="3080"/>
      <c r="AJ124" s="3080"/>
      <c r="AK124" s="3080"/>
      <c r="AL124" s="3080"/>
      <c r="AM124" s="3080"/>
      <c r="AN124" s="3080"/>
      <c r="AO124" s="3080"/>
    </row>
    <row r="125" ht="15" customHeight="1">
      <c r="A125" s="3080"/>
      <c r="B125" s="3080"/>
      <c r="C125" s="3080"/>
      <c r="D125" s="3080"/>
      <c r="E125" s="3080"/>
      <c r="F125" s="3080"/>
      <c r="G125" s="3080"/>
      <c r="H125" s="3080"/>
      <c r="I125" s="3080"/>
      <c r="J125" s="3080"/>
      <c r="K125" s="3080"/>
      <c r="L125" s="3080"/>
      <c r="M125" s="3080"/>
      <c r="N125" s="3080"/>
      <c r="O125" s="3080"/>
      <c r="P125" s="3080"/>
      <c r="Q125" s="3080"/>
      <c r="R125" s="3080"/>
      <c r="S125" s="3080"/>
      <c r="T125" s="3080"/>
      <c r="U125" s="3080"/>
      <c r="V125" s="3080"/>
      <c r="W125" s="3080"/>
      <c r="X125" s="3080"/>
      <c r="Y125" s="3080"/>
      <c r="Z125" s="3080"/>
      <c r="AA125" s="3080"/>
      <c r="AB125" s="3080"/>
      <c r="AC125" s="3082"/>
      <c r="AD125" s="3080"/>
      <c r="AE125" s="3080"/>
      <c r="AF125" s="3080"/>
      <c r="AG125" s="3080"/>
      <c r="AH125" s="3080"/>
      <c r="AI125" s="3080"/>
      <c r="AJ125" s="3080"/>
      <c r="AK125" s="3080"/>
      <c r="AL125" s="3080"/>
      <c r="AM125" s="3080"/>
      <c r="AN125" s="3080"/>
      <c r="AO125" s="3080"/>
    </row>
    <row r="126" ht="15" customHeight="1">
      <c r="A126" s="3080"/>
      <c r="B126" s="3080"/>
      <c r="C126" s="3080"/>
      <c r="D126" s="3080"/>
      <c r="E126" s="3080"/>
      <c r="F126" s="3080"/>
      <c r="G126" s="3080"/>
      <c r="H126" s="3080"/>
      <c r="I126" s="3080"/>
      <c r="J126" s="3080"/>
      <c r="K126" s="3080"/>
      <c r="L126" s="3080"/>
      <c r="M126" s="3080"/>
      <c r="N126" s="3080"/>
      <c r="O126" s="3080"/>
      <c r="P126" s="3080"/>
      <c r="Q126" s="3080"/>
      <c r="R126" s="3080"/>
      <c r="S126" s="3080"/>
      <c r="T126" s="3080"/>
      <c r="U126" s="3080"/>
      <c r="V126" s="3080"/>
      <c r="W126" s="3080"/>
      <c r="X126" s="3080"/>
      <c r="Y126" s="3080"/>
      <c r="Z126" s="3080"/>
      <c r="AA126" s="3080"/>
      <c r="AB126" s="3080"/>
      <c r="AC126" s="3082"/>
      <c r="AD126" s="3080"/>
      <c r="AE126" s="3080"/>
      <c r="AF126" s="3080"/>
      <c r="AG126" s="3080"/>
      <c r="AH126" s="3080"/>
      <c r="AI126" s="3080"/>
      <c r="AJ126" s="3080"/>
      <c r="AK126" s="3080"/>
      <c r="AL126" s="3080"/>
      <c r="AM126" s="3080"/>
      <c r="AN126" s="3080"/>
      <c r="AO126" s="3080"/>
    </row>
    <row r="127" ht="15" customHeight="1">
      <c r="A127" s="3080"/>
      <c r="B127" s="3080"/>
      <c r="C127" s="3080"/>
      <c r="D127" s="3080"/>
      <c r="E127" s="3080"/>
      <c r="F127" s="3080"/>
      <c r="G127" s="3080"/>
      <c r="H127" s="3080"/>
      <c r="I127" s="3080"/>
      <c r="J127" s="3080"/>
      <c r="K127" s="3080"/>
      <c r="L127" s="3080"/>
      <c r="M127" s="3080"/>
      <c r="N127" s="3080"/>
      <c r="O127" s="3080"/>
      <c r="P127" s="3080"/>
      <c r="Q127" s="3080"/>
      <c r="R127" s="3080"/>
      <c r="S127" s="3080"/>
      <c r="T127" s="3080"/>
      <c r="U127" s="3080"/>
      <c r="V127" s="3080"/>
      <c r="W127" s="3080"/>
      <c r="X127" s="3080"/>
      <c r="Y127" s="3080"/>
      <c r="Z127" s="3080"/>
      <c r="AA127" s="3080"/>
      <c r="AB127" s="3080"/>
      <c r="AC127" s="3082"/>
      <c r="AD127" s="3080"/>
      <c r="AE127" s="3080"/>
      <c r="AF127" s="3080"/>
      <c r="AG127" s="3080"/>
      <c r="AH127" s="3080"/>
      <c r="AI127" s="3080"/>
      <c r="AJ127" s="3080"/>
      <c r="AK127" s="3080"/>
      <c r="AL127" s="3080"/>
      <c r="AM127" s="3080"/>
      <c r="AN127" s="3080"/>
      <c r="AO127" s="3080"/>
    </row>
    <row r="128" ht="15" customHeight="1">
      <c r="A128" s="3080"/>
      <c r="B128" s="3080"/>
      <c r="C128" s="3080"/>
      <c r="D128" s="3080"/>
      <c r="E128" s="3080"/>
      <c r="F128" s="3080"/>
      <c r="G128" s="3080"/>
      <c r="H128" s="3080"/>
      <c r="I128" s="3080"/>
      <c r="J128" s="3080"/>
      <c r="K128" s="3080"/>
      <c r="L128" s="3080"/>
      <c r="M128" s="3080"/>
      <c r="N128" s="3080"/>
      <c r="O128" s="3080"/>
      <c r="P128" s="3080"/>
      <c r="Q128" s="3080"/>
      <c r="R128" s="3080"/>
      <c r="S128" s="3080"/>
      <c r="T128" s="3080"/>
      <c r="U128" s="3080"/>
      <c r="V128" s="3080"/>
      <c r="W128" s="3080"/>
      <c r="X128" s="3080"/>
      <c r="Y128" s="3080"/>
      <c r="Z128" s="3080"/>
      <c r="AA128" s="3080"/>
      <c r="AB128" s="3080"/>
      <c r="AC128" s="3082"/>
      <c r="AD128" s="3080"/>
      <c r="AE128" s="3080"/>
      <c r="AF128" s="3080"/>
      <c r="AG128" s="3080"/>
      <c r="AH128" s="3080"/>
      <c r="AI128" s="3080"/>
      <c r="AJ128" s="3080"/>
      <c r="AK128" s="3080"/>
      <c r="AL128" s="3080"/>
      <c r="AM128" s="3080"/>
      <c r="AN128" s="3080"/>
      <c r="AO128" s="3080"/>
    </row>
    <row r="129" ht="15" customHeight="1">
      <c r="A129" s="3080"/>
      <c r="B129" s="3080"/>
      <c r="C129" s="3080"/>
      <c r="D129" s="3080"/>
      <c r="E129" s="3080"/>
      <c r="F129" s="3080"/>
      <c r="G129" s="3080"/>
      <c r="H129" s="3080"/>
      <c r="I129" s="3080"/>
      <c r="J129" s="3080"/>
      <c r="K129" s="3080"/>
      <c r="L129" s="3080"/>
      <c r="M129" s="3080"/>
      <c r="N129" s="3080"/>
      <c r="O129" s="3080"/>
      <c r="P129" s="3080"/>
      <c r="Q129" s="3080"/>
      <c r="R129" s="3080"/>
      <c r="S129" s="3080"/>
      <c r="T129" s="3080"/>
      <c r="U129" s="3080"/>
      <c r="V129" s="3080"/>
      <c r="W129" s="3080"/>
      <c r="X129" s="3080"/>
      <c r="Y129" s="3080"/>
      <c r="Z129" s="3080"/>
      <c r="AA129" s="3080"/>
      <c r="AB129" s="3080"/>
      <c r="AC129" s="3082"/>
      <c r="AD129" s="3080"/>
      <c r="AE129" s="3080"/>
      <c r="AF129" s="3080"/>
      <c r="AG129" s="3080"/>
      <c r="AH129" s="3080"/>
      <c r="AI129" s="3080"/>
      <c r="AJ129" s="3080"/>
      <c r="AK129" s="3080"/>
      <c r="AL129" s="3080"/>
      <c r="AM129" s="3080"/>
      <c r="AN129" s="3080"/>
      <c r="AO129" s="3080"/>
    </row>
    <row r="130" ht="15" customHeight="1">
      <c r="A130" s="3080"/>
      <c r="B130" s="3080"/>
      <c r="C130" s="3080"/>
      <c r="D130" s="3080"/>
      <c r="E130" s="3080"/>
      <c r="F130" s="3080"/>
      <c r="G130" s="3080"/>
      <c r="H130" s="3080"/>
      <c r="I130" s="3080"/>
      <c r="J130" s="3080"/>
      <c r="K130" s="3080"/>
      <c r="L130" s="3080"/>
      <c r="M130" s="3080"/>
      <c r="N130" s="3080"/>
      <c r="O130" s="3080"/>
      <c r="P130" s="3080"/>
      <c r="Q130" s="3080"/>
      <c r="R130" s="3080"/>
      <c r="S130" s="3080"/>
      <c r="T130" s="3080"/>
      <c r="U130" s="3080"/>
      <c r="V130" s="3080"/>
      <c r="W130" s="3080"/>
      <c r="X130" s="3080"/>
      <c r="Y130" s="3080"/>
      <c r="Z130" s="3080"/>
      <c r="AA130" s="3080"/>
      <c r="AB130" s="3080"/>
      <c r="AC130" s="3082"/>
      <c r="AD130" s="3080"/>
      <c r="AE130" s="3080"/>
      <c r="AF130" s="3080"/>
      <c r="AG130" s="3080"/>
      <c r="AH130" s="3080"/>
      <c r="AI130" s="3080"/>
      <c r="AJ130" s="3080"/>
      <c r="AK130" s="3080"/>
      <c r="AL130" s="3080"/>
      <c r="AM130" s="3080"/>
      <c r="AN130" s="3080"/>
      <c r="AO130" s="3080"/>
    </row>
    <row r="131" ht="15" customHeight="1">
      <c r="A131" s="3080"/>
      <c r="B131" s="3080"/>
      <c r="C131" s="3080"/>
      <c r="D131" s="3080"/>
      <c r="E131" s="3080"/>
      <c r="F131" s="3080"/>
      <c r="G131" s="3080"/>
      <c r="H131" s="3080"/>
      <c r="I131" s="3080"/>
      <c r="J131" s="3080"/>
      <c r="K131" s="3080"/>
      <c r="L131" s="3080"/>
      <c r="M131" s="3080"/>
      <c r="N131" s="3080"/>
      <c r="O131" s="3080"/>
      <c r="P131" s="3080"/>
      <c r="Q131" s="3080"/>
      <c r="R131" s="3080"/>
      <c r="S131" s="3080"/>
      <c r="T131" s="3080"/>
      <c r="U131" s="3080"/>
      <c r="V131" s="3080"/>
      <c r="W131" s="3080"/>
      <c r="X131" s="3080"/>
      <c r="Y131" s="3080"/>
      <c r="Z131" s="3080"/>
      <c r="AA131" s="3080"/>
      <c r="AB131" s="3080"/>
      <c r="AC131" s="3082"/>
      <c r="AD131" s="3080"/>
      <c r="AE131" s="3080"/>
      <c r="AF131" s="3080"/>
      <c r="AG131" s="3080"/>
      <c r="AH131" s="3080"/>
      <c r="AI131" s="3080"/>
      <c r="AJ131" s="3080"/>
      <c r="AK131" s="3080"/>
      <c r="AL131" s="3080"/>
      <c r="AM131" s="3080"/>
      <c r="AN131" s="3080"/>
      <c r="AO131" s="3080"/>
    </row>
    <row r="132" ht="15" customHeight="1">
      <c r="A132" s="3080"/>
      <c r="B132" s="3080"/>
      <c r="C132" s="3080"/>
      <c r="D132" s="3080"/>
      <c r="E132" s="3080"/>
      <c r="F132" s="3080"/>
      <c r="G132" s="3080"/>
      <c r="H132" s="3080"/>
      <c r="I132" s="3080"/>
      <c r="J132" s="3080"/>
      <c r="K132" s="3080"/>
      <c r="L132" s="3080"/>
      <c r="M132" s="3080"/>
      <c r="N132" s="3080"/>
      <c r="O132" s="3080"/>
      <c r="P132" s="3080"/>
      <c r="Q132" s="3080"/>
      <c r="R132" s="3080"/>
      <c r="S132" s="3080"/>
      <c r="T132" s="3080"/>
      <c r="U132" s="3080"/>
      <c r="V132" s="3080"/>
      <c r="W132" s="3080"/>
      <c r="X132" s="3080"/>
      <c r="Y132" s="3080"/>
      <c r="Z132" s="3080"/>
      <c r="AA132" s="3080"/>
      <c r="AB132" s="3080"/>
      <c r="AC132" s="3082"/>
      <c r="AD132" s="3080"/>
      <c r="AE132" s="3080"/>
      <c r="AF132" s="3080"/>
      <c r="AG132" s="3080"/>
      <c r="AH132" s="3080"/>
      <c r="AI132" s="3080"/>
      <c r="AJ132" s="3080"/>
      <c r="AK132" s="3080"/>
      <c r="AL132" s="3080"/>
      <c r="AM132" s="3080"/>
      <c r="AN132" s="3080"/>
      <c r="AO132" s="3080"/>
    </row>
    <row r="133" ht="15" customHeight="1">
      <c r="A133" s="3080"/>
      <c r="B133" s="3080"/>
      <c r="C133" s="3080"/>
      <c r="D133" s="3080"/>
      <c r="E133" s="3080"/>
      <c r="F133" s="3080"/>
      <c r="G133" s="3080"/>
      <c r="H133" s="3080"/>
      <c r="I133" s="3080"/>
      <c r="J133" s="3080"/>
      <c r="K133" s="3080"/>
      <c r="L133" s="3080"/>
      <c r="M133" s="3080"/>
      <c r="N133" s="3080"/>
      <c r="O133" s="3080"/>
      <c r="P133" s="3080"/>
      <c r="Q133" s="3080"/>
      <c r="R133" s="3080"/>
      <c r="S133" s="3080"/>
      <c r="T133" s="3080"/>
      <c r="U133" s="3080"/>
      <c r="V133" s="3080"/>
      <c r="W133" s="3080"/>
      <c r="X133" s="3080"/>
      <c r="Y133" s="3080"/>
      <c r="Z133" s="3080"/>
      <c r="AA133" s="3080"/>
      <c r="AB133" s="3080"/>
      <c r="AC133" s="3082"/>
      <c r="AD133" s="3080"/>
      <c r="AE133" s="3080"/>
      <c r="AF133" s="3080"/>
      <c r="AG133" s="3080"/>
      <c r="AH133" s="3080"/>
      <c r="AI133" s="3080"/>
      <c r="AJ133" s="3080"/>
      <c r="AK133" s="3080"/>
      <c r="AL133" s="3080"/>
      <c r="AM133" s="3080"/>
      <c r="AN133" s="3080"/>
      <c r="AO133" s="3080"/>
    </row>
    <row r="134" ht="15" customHeight="1">
      <c r="A134" s="3080"/>
      <c r="B134" s="3080"/>
      <c r="C134" s="3080"/>
      <c r="D134" s="3080"/>
      <c r="E134" s="3080"/>
      <c r="F134" s="3080"/>
      <c r="G134" s="3080"/>
      <c r="H134" s="3080"/>
      <c r="I134" s="3080"/>
      <c r="J134" s="3080"/>
      <c r="K134" s="3080"/>
      <c r="L134" s="3080"/>
      <c r="M134" s="3080"/>
      <c r="N134" s="3080"/>
      <c r="O134" s="3080"/>
      <c r="P134" s="3080"/>
      <c r="Q134" s="3080"/>
      <c r="R134" s="3080"/>
      <c r="S134" s="3080"/>
      <c r="T134" s="3080"/>
      <c r="U134" s="3080"/>
      <c r="V134" s="3080"/>
      <c r="W134" s="3080"/>
      <c r="X134" s="3080"/>
      <c r="Y134" s="3080"/>
      <c r="Z134" s="3080"/>
      <c r="AA134" s="3080"/>
      <c r="AB134" s="3080"/>
      <c r="AC134" s="3082"/>
      <c r="AD134" s="3080"/>
      <c r="AE134" s="3080"/>
      <c r="AF134" s="3080"/>
      <c r="AG134" s="3080"/>
      <c r="AH134" s="3080"/>
      <c r="AI134" s="3080"/>
      <c r="AJ134" s="3080"/>
      <c r="AK134" s="3080"/>
      <c r="AL134" s="3080"/>
      <c r="AM134" s="3080"/>
      <c r="AN134" s="3080"/>
      <c r="AO134" s="3080"/>
    </row>
    <row r="135" ht="15" customHeight="1">
      <c r="A135" s="3080"/>
      <c r="B135" s="3080"/>
      <c r="C135" s="3080"/>
      <c r="D135" s="3080"/>
      <c r="E135" s="3080"/>
      <c r="F135" s="3080"/>
      <c r="G135" s="3080"/>
      <c r="H135" s="3080"/>
      <c r="I135" s="3080"/>
      <c r="J135" s="3080"/>
      <c r="K135" s="3080"/>
      <c r="L135" s="3080"/>
      <c r="M135" s="3080"/>
      <c r="N135" s="3080"/>
      <c r="O135" s="3080"/>
      <c r="P135" s="3080"/>
      <c r="Q135" s="3080"/>
      <c r="R135" s="3080"/>
      <c r="S135" s="3080"/>
      <c r="T135" s="3080"/>
      <c r="U135" s="3080"/>
      <c r="V135" s="3080"/>
      <c r="W135" s="3080"/>
      <c r="X135" s="3080"/>
      <c r="Y135" s="3080"/>
      <c r="Z135" s="3080"/>
      <c r="AA135" s="3080"/>
      <c r="AB135" s="3080"/>
      <c r="AC135" s="3082"/>
      <c r="AD135" s="3080"/>
      <c r="AE135" s="3080"/>
      <c r="AF135" s="3080"/>
      <c r="AG135" s="3080"/>
      <c r="AH135" s="3080"/>
      <c r="AI135" s="3080"/>
      <c r="AJ135" s="3080"/>
      <c r="AK135" s="3080"/>
      <c r="AL135" s="3080"/>
      <c r="AM135" s="3080"/>
      <c r="AN135" s="3080"/>
      <c r="AO135" s="3080"/>
    </row>
    <row r="136" ht="15" customHeight="1">
      <c r="A136" s="3080"/>
      <c r="B136" s="3080"/>
      <c r="C136" s="3080"/>
      <c r="D136" s="3080"/>
      <c r="E136" s="3080"/>
      <c r="F136" s="3080"/>
      <c r="G136" s="3080"/>
      <c r="H136" s="3080"/>
      <c r="I136" s="3080"/>
      <c r="J136" s="3080"/>
      <c r="K136" s="3080"/>
      <c r="L136" s="3080"/>
      <c r="M136" s="3080"/>
      <c r="N136" s="3080"/>
      <c r="O136" s="3080"/>
      <c r="P136" s="3080"/>
      <c r="Q136" s="3080"/>
      <c r="R136" s="3080"/>
      <c r="S136" s="3080"/>
      <c r="T136" s="3080"/>
      <c r="U136" s="3080"/>
      <c r="V136" s="3080"/>
      <c r="W136" s="3080"/>
      <c r="X136" s="3080"/>
      <c r="Y136" s="3080"/>
      <c r="Z136" s="3080"/>
      <c r="AA136" s="3080"/>
      <c r="AB136" s="3080"/>
      <c r="AC136" s="3082"/>
      <c r="AD136" s="3080"/>
      <c r="AE136" s="3080"/>
      <c r="AF136" s="3080"/>
      <c r="AG136" s="3080"/>
      <c r="AH136" s="3080"/>
      <c r="AI136" s="3080"/>
      <c r="AJ136" s="3080"/>
      <c r="AK136" s="3080"/>
      <c r="AL136" s="3080"/>
      <c r="AM136" s="3080"/>
      <c r="AN136" s="3080"/>
      <c r="AO136" s="3080"/>
    </row>
    <row r="137" ht="15" customHeight="1">
      <c r="A137" s="3080"/>
      <c r="B137" s="3080"/>
      <c r="C137" s="3080"/>
      <c r="D137" s="3080"/>
      <c r="E137" s="3080"/>
      <c r="F137" s="3080"/>
      <c r="G137" s="3080"/>
      <c r="H137" s="3080"/>
      <c r="I137" s="3080"/>
      <c r="J137" s="3080"/>
      <c r="K137" s="3080"/>
      <c r="L137" s="3080"/>
      <c r="M137" s="3080"/>
      <c r="N137" s="3080"/>
      <c r="O137" s="3080"/>
      <c r="P137" s="3080"/>
      <c r="Q137" s="3080"/>
      <c r="R137" s="3080"/>
      <c r="S137" s="3080"/>
      <c r="T137" s="3080"/>
      <c r="U137" s="3080"/>
      <c r="V137" s="3080"/>
      <c r="W137" s="3080"/>
      <c r="X137" s="3080"/>
      <c r="Y137" s="3080"/>
      <c r="Z137" s="3080"/>
      <c r="AA137" s="3080"/>
      <c r="AB137" s="3080"/>
      <c r="AC137" s="3082"/>
      <c r="AD137" s="3080"/>
      <c r="AE137" s="3080"/>
      <c r="AF137" s="3080"/>
      <c r="AG137" s="3080"/>
      <c r="AH137" s="3080"/>
      <c r="AI137" s="3080"/>
      <c r="AJ137" s="3080"/>
      <c r="AK137" s="3080"/>
      <c r="AL137" s="3080"/>
      <c r="AM137" s="3080"/>
      <c r="AN137" s="3080"/>
      <c r="AO137" s="3080"/>
    </row>
    <row r="138" ht="15" customHeight="1">
      <c r="A138" s="3080"/>
      <c r="B138" s="3080"/>
      <c r="C138" s="3080"/>
      <c r="D138" s="3080"/>
      <c r="E138" s="3080"/>
      <c r="F138" s="3080"/>
      <c r="G138" s="3080"/>
      <c r="H138" s="3080"/>
      <c r="I138" s="3080"/>
      <c r="J138" s="3080"/>
      <c r="K138" s="3080"/>
      <c r="L138" s="3080"/>
      <c r="M138" s="3080"/>
      <c r="N138" s="3080"/>
      <c r="O138" s="3080"/>
      <c r="P138" s="3080"/>
      <c r="Q138" s="3080"/>
      <c r="R138" s="3080"/>
      <c r="S138" s="3080"/>
      <c r="T138" s="3080"/>
      <c r="U138" s="3080"/>
      <c r="V138" s="3080"/>
      <c r="W138" s="3080"/>
      <c r="X138" s="3080"/>
      <c r="Y138" s="3080"/>
      <c r="Z138" s="3080"/>
      <c r="AA138" s="3080"/>
      <c r="AB138" s="3080"/>
      <c r="AC138" s="3082"/>
      <c r="AD138" s="3080"/>
      <c r="AE138" s="3080"/>
      <c r="AF138" s="3080"/>
      <c r="AG138" s="3080"/>
      <c r="AH138" s="3080"/>
      <c r="AI138" s="3080"/>
      <c r="AJ138" s="3080"/>
      <c r="AK138" s="3080"/>
      <c r="AL138" s="3080"/>
      <c r="AM138" s="3080"/>
      <c r="AN138" s="3080"/>
      <c r="AO138" s="3080"/>
    </row>
    <row r="139" ht="15" customHeight="1">
      <c r="A139" s="3080"/>
      <c r="B139" s="3080"/>
      <c r="C139" s="3080"/>
      <c r="D139" s="3080"/>
      <c r="E139" s="3080"/>
      <c r="F139" s="3080"/>
      <c r="G139" s="3080"/>
      <c r="H139" s="3080"/>
      <c r="I139" s="3080"/>
      <c r="J139" s="3080"/>
      <c r="K139" s="3080"/>
      <c r="L139" s="3080"/>
      <c r="M139" s="3080"/>
      <c r="N139" s="3080"/>
      <c r="O139" s="3080"/>
      <c r="P139" s="3080"/>
      <c r="Q139" s="3080"/>
      <c r="R139" s="3080"/>
      <c r="S139" s="3080"/>
      <c r="T139" s="3080"/>
      <c r="U139" s="3080"/>
      <c r="V139" s="3080"/>
      <c r="W139" s="3080"/>
      <c r="X139" s="3080"/>
      <c r="Y139" s="3080"/>
      <c r="Z139" s="3080"/>
      <c r="AA139" s="3080"/>
      <c r="AB139" s="3080"/>
      <c r="AC139" s="3082"/>
      <c r="AD139" s="3080"/>
      <c r="AE139" s="3080"/>
      <c r="AF139" s="3080"/>
      <c r="AG139" s="3080"/>
      <c r="AH139" s="3080"/>
      <c r="AI139" s="3080"/>
      <c r="AJ139" s="3080"/>
      <c r="AK139" s="3080"/>
      <c r="AL139" s="3080"/>
      <c r="AM139" s="3080"/>
      <c r="AN139" s="3080"/>
      <c r="AO139" s="3080"/>
    </row>
    <row r="140" ht="15" customHeight="1">
      <c r="A140" s="3080"/>
      <c r="B140" s="3080"/>
      <c r="C140" s="3080"/>
      <c r="D140" s="3080"/>
      <c r="E140" s="3080"/>
      <c r="F140" s="3080"/>
      <c r="G140" s="3080"/>
      <c r="H140" s="3080"/>
      <c r="I140" s="3080"/>
      <c r="J140" s="3080"/>
      <c r="K140" s="3080"/>
      <c r="L140" s="3080"/>
      <c r="M140" s="3080"/>
      <c r="N140" s="3080"/>
      <c r="O140" s="3080"/>
      <c r="P140" s="3080"/>
      <c r="Q140" s="3080"/>
      <c r="R140" s="3080"/>
      <c r="S140" s="3080"/>
      <c r="T140" s="3080"/>
      <c r="U140" s="3080"/>
      <c r="V140" s="3080"/>
      <c r="W140" s="3080"/>
      <c r="X140" s="3080"/>
      <c r="Y140" s="3080"/>
      <c r="Z140" s="3080"/>
      <c r="AA140" s="3080"/>
      <c r="AB140" s="3080"/>
      <c r="AC140" s="3082"/>
      <c r="AD140" s="3080"/>
      <c r="AE140" s="3080"/>
      <c r="AF140" s="3080"/>
      <c r="AG140" s="3080"/>
      <c r="AH140" s="3080"/>
      <c r="AI140" s="3080"/>
      <c r="AJ140" s="3080"/>
      <c r="AK140" s="3080"/>
      <c r="AL140" s="3080"/>
      <c r="AM140" s="3080"/>
      <c r="AN140" s="3080"/>
      <c r="AO140" s="3080"/>
    </row>
    <row r="141" ht="15" customHeight="1">
      <c r="A141" s="3080"/>
      <c r="B141" s="3080"/>
      <c r="C141" s="3080"/>
      <c r="D141" s="3080"/>
      <c r="E141" s="3080"/>
      <c r="F141" s="3080"/>
      <c r="G141" s="3080"/>
      <c r="H141" s="3080"/>
      <c r="I141" s="3080"/>
      <c r="J141" s="3080"/>
      <c r="K141" s="3080"/>
      <c r="L141" s="3080"/>
      <c r="M141" s="3080"/>
      <c r="N141" s="3080"/>
      <c r="O141" s="3080"/>
      <c r="P141" s="3080"/>
      <c r="Q141" s="3080"/>
      <c r="R141" s="3080"/>
      <c r="S141" s="3080"/>
      <c r="T141" s="3080"/>
      <c r="U141" s="3080"/>
      <c r="V141" s="3080"/>
      <c r="W141" s="3080"/>
      <c r="X141" s="3080"/>
      <c r="Y141" s="3080"/>
      <c r="Z141" s="3080"/>
      <c r="AA141" s="3080"/>
      <c r="AB141" s="3080"/>
      <c r="AC141" s="3082"/>
      <c r="AD141" s="3080"/>
      <c r="AE141" s="3080"/>
      <c r="AF141" s="3080"/>
      <c r="AG141" s="3080"/>
      <c r="AH141" s="3080"/>
      <c r="AI141" s="3080"/>
      <c r="AJ141" s="3080"/>
      <c r="AK141" s="3080"/>
      <c r="AL141" s="3080"/>
      <c r="AM141" s="3080"/>
      <c r="AN141" s="3080"/>
      <c r="AO141" s="3080"/>
    </row>
    <row r="142" ht="15" customHeight="1">
      <c r="A142" s="3080"/>
      <c r="B142" s="3080"/>
      <c r="C142" s="3080"/>
      <c r="D142" s="3080"/>
      <c r="E142" s="3080"/>
      <c r="F142" s="3080"/>
      <c r="G142" s="3080"/>
      <c r="H142" s="3080"/>
      <c r="I142" s="3080"/>
      <c r="J142" s="3080"/>
      <c r="K142" s="3080"/>
      <c r="L142" s="3080"/>
      <c r="M142" s="3080"/>
      <c r="N142" s="3080"/>
      <c r="O142" s="3080"/>
      <c r="P142" s="3080"/>
      <c r="Q142" s="3080"/>
      <c r="R142" s="3080"/>
      <c r="S142" s="3080"/>
      <c r="T142" s="3080"/>
      <c r="U142" s="3080"/>
      <c r="V142" s="3080"/>
      <c r="W142" s="3080"/>
      <c r="X142" s="3080"/>
      <c r="Y142" s="3080"/>
      <c r="Z142" s="3080"/>
      <c r="AA142" s="3080"/>
      <c r="AB142" s="3080"/>
      <c r="AC142" s="3082"/>
      <c r="AD142" s="3080"/>
      <c r="AE142" s="3080"/>
      <c r="AF142" s="3080"/>
      <c r="AG142" s="3080"/>
      <c r="AH142" s="3080"/>
      <c r="AI142" s="3080"/>
      <c r="AJ142" s="3080"/>
      <c r="AK142" s="3080"/>
      <c r="AL142" s="3080"/>
      <c r="AM142" s="3080"/>
      <c r="AN142" s="3080"/>
      <c r="AO142" s="3080"/>
    </row>
    <row r="143" ht="15" customHeight="1">
      <c r="A143" s="3080"/>
      <c r="B143" s="3080"/>
      <c r="C143" s="3080"/>
      <c r="D143" s="3080"/>
      <c r="E143" s="3080"/>
      <c r="F143" s="3080"/>
      <c r="G143" s="3080"/>
      <c r="H143" s="3080"/>
      <c r="I143" s="3080"/>
      <c r="J143" s="3080"/>
      <c r="K143" s="3080"/>
      <c r="L143" s="3080"/>
      <c r="M143" s="3080"/>
      <c r="N143" s="3080"/>
      <c r="O143" s="3080"/>
      <c r="P143" s="3080"/>
      <c r="Q143" s="3080"/>
      <c r="R143" s="3080"/>
      <c r="S143" s="3080"/>
      <c r="T143" s="3080"/>
      <c r="U143" s="3080"/>
      <c r="V143" s="3080"/>
      <c r="W143" s="3080"/>
      <c r="X143" s="3080"/>
      <c r="Y143" s="3080"/>
      <c r="Z143" s="3080"/>
      <c r="AA143" s="3080"/>
      <c r="AB143" s="3080"/>
      <c r="AC143" s="3082"/>
      <c r="AD143" s="3080"/>
      <c r="AE143" s="3080"/>
      <c r="AF143" s="3080"/>
      <c r="AG143" s="3080"/>
      <c r="AH143" s="3080"/>
      <c r="AI143" s="3080"/>
      <c r="AJ143" s="3080"/>
      <c r="AK143" s="3080"/>
      <c r="AL143" s="3080"/>
      <c r="AM143" s="3080"/>
      <c r="AN143" s="3080"/>
      <c r="AO143" s="3080"/>
    </row>
    <row r="144" ht="15" customHeight="1">
      <c r="A144" s="3080"/>
      <c r="B144" s="3080"/>
      <c r="C144" s="3080"/>
      <c r="D144" s="3080"/>
      <c r="E144" s="3080"/>
      <c r="F144" s="3080"/>
      <c r="G144" s="3080"/>
      <c r="H144" s="3080"/>
      <c r="I144" s="3080"/>
      <c r="J144" s="3080"/>
      <c r="K144" s="3080"/>
      <c r="L144" s="3080"/>
      <c r="M144" s="3080"/>
      <c r="N144" s="3080"/>
      <c r="O144" s="3080"/>
      <c r="P144" s="3080"/>
      <c r="Q144" s="3080"/>
      <c r="R144" s="3080"/>
      <c r="S144" s="3080"/>
      <c r="T144" s="3080"/>
      <c r="U144" s="3080"/>
      <c r="V144" s="3080"/>
      <c r="W144" s="3080"/>
      <c r="X144" s="3080"/>
      <c r="Y144" s="3080"/>
      <c r="Z144" s="3080"/>
      <c r="AA144" s="3080"/>
      <c r="AB144" s="3080"/>
      <c r="AC144" s="3082"/>
      <c r="AD144" s="3080"/>
      <c r="AE144" s="3080"/>
      <c r="AF144" s="3080"/>
      <c r="AG144" s="3080"/>
      <c r="AH144" s="3080"/>
      <c r="AI144" s="3080"/>
      <c r="AJ144" s="3080"/>
      <c r="AK144" s="3080"/>
      <c r="AL144" s="3080"/>
      <c r="AM144" s="3080"/>
      <c r="AN144" s="3080"/>
      <c r="AO144" s="3080"/>
    </row>
    <row r="145" ht="15" customHeight="1">
      <c r="A145" s="3080"/>
      <c r="B145" s="3080"/>
      <c r="C145" s="3080"/>
      <c r="D145" s="3080"/>
      <c r="E145" s="3080"/>
      <c r="F145" s="3080"/>
      <c r="G145" s="3080"/>
      <c r="H145" s="3080"/>
      <c r="I145" s="3080"/>
      <c r="J145" s="3080"/>
      <c r="K145" s="3080"/>
      <c r="L145" s="3080"/>
      <c r="M145" s="3080"/>
      <c r="N145" s="3080"/>
      <c r="O145" s="3080"/>
      <c r="P145" s="3080"/>
      <c r="Q145" s="3080"/>
      <c r="R145" s="3080"/>
      <c r="S145" s="3080"/>
      <c r="T145" s="3080"/>
      <c r="U145" s="3080"/>
      <c r="V145" s="3080"/>
      <c r="W145" s="3080"/>
      <c r="X145" s="3080"/>
      <c r="Y145" s="3080"/>
      <c r="Z145" s="3080"/>
      <c r="AA145" s="3080"/>
      <c r="AB145" s="3080"/>
      <c r="AC145" s="3082"/>
      <c r="AD145" s="3080"/>
      <c r="AE145" s="3080"/>
      <c r="AF145" s="3080"/>
      <c r="AG145" s="3080"/>
      <c r="AH145" s="3080"/>
      <c r="AI145" s="3080"/>
      <c r="AJ145" s="3080"/>
      <c r="AK145" s="3080"/>
      <c r="AL145" s="3080"/>
      <c r="AM145" s="3080"/>
      <c r="AN145" s="3080"/>
      <c r="AO145" s="3080"/>
    </row>
    <row r="146" ht="15" customHeight="1">
      <c r="A146" s="3080"/>
      <c r="B146" s="3080"/>
      <c r="C146" s="3080"/>
      <c r="D146" s="3080"/>
      <c r="E146" s="3080"/>
      <c r="F146" s="3080"/>
      <c r="G146" s="3080"/>
      <c r="H146" s="3080"/>
      <c r="I146" s="3080"/>
      <c r="J146" s="3080"/>
      <c r="K146" s="3080"/>
      <c r="L146" s="3080"/>
      <c r="M146" s="3080"/>
      <c r="N146" s="3080"/>
      <c r="O146" s="3080"/>
      <c r="P146" s="3080"/>
      <c r="Q146" s="3080"/>
      <c r="R146" s="3080"/>
      <c r="S146" s="3080"/>
      <c r="T146" s="3080"/>
      <c r="U146" s="3080"/>
      <c r="V146" s="3080"/>
      <c r="W146" s="3080"/>
      <c r="X146" s="3080"/>
      <c r="Y146" s="3080"/>
      <c r="Z146" s="3080"/>
      <c r="AA146" s="3080"/>
      <c r="AB146" s="3080"/>
      <c r="AC146" s="3082"/>
      <c r="AD146" s="3080"/>
      <c r="AE146" s="3080"/>
      <c r="AF146" s="3080"/>
      <c r="AG146" s="3080"/>
      <c r="AH146" s="3080"/>
      <c r="AI146" s="3080"/>
      <c r="AJ146" s="3080"/>
      <c r="AK146" s="3080"/>
      <c r="AL146" s="3080"/>
      <c r="AM146" s="3080"/>
      <c r="AN146" s="3080"/>
      <c r="AO146" s="3080"/>
    </row>
    <row r="147" ht="15" customHeight="1">
      <c r="A147" s="3080"/>
      <c r="B147" s="3080"/>
      <c r="C147" s="3080"/>
      <c r="D147" s="3080"/>
      <c r="E147" s="3080"/>
      <c r="F147" s="3080"/>
      <c r="G147" s="3080"/>
      <c r="H147" s="3080"/>
      <c r="I147" s="3080"/>
      <c r="J147" s="3080"/>
      <c r="K147" s="3080"/>
      <c r="L147" s="3080"/>
      <c r="M147" s="3080"/>
      <c r="N147" s="3080"/>
      <c r="O147" s="3080"/>
      <c r="P147" s="3080"/>
      <c r="Q147" s="3080"/>
      <c r="R147" s="3080"/>
      <c r="S147" s="3080"/>
      <c r="T147" s="3080"/>
      <c r="U147" s="3080"/>
      <c r="V147" s="3080"/>
      <c r="W147" s="3080"/>
      <c r="X147" s="3080"/>
      <c r="Y147" s="3080"/>
      <c r="Z147" s="3080"/>
      <c r="AA147" s="3080"/>
      <c r="AB147" s="3080"/>
      <c r="AC147" s="3082"/>
      <c r="AD147" s="3080"/>
      <c r="AE147" s="3080"/>
      <c r="AF147" s="3080"/>
      <c r="AG147" s="3080"/>
      <c r="AH147" s="3080"/>
      <c r="AI147" s="3080"/>
      <c r="AJ147" s="3080"/>
      <c r="AK147" s="3080"/>
      <c r="AL147" s="3080"/>
      <c r="AM147" s="3080"/>
      <c r="AN147" s="3080"/>
      <c r="AO147" s="3080"/>
    </row>
    <row r="148" ht="15" customHeight="1">
      <c r="A148" s="3080"/>
      <c r="B148" s="3080"/>
      <c r="C148" s="3080"/>
      <c r="D148" s="3080"/>
      <c r="E148" s="3080"/>
      <c r="F148" s="3080"/>
      <c r="G148" s="3080"/>
      <c r="H148" s="3080"/>
      <c r="I148" s="3080"/>
      <c r="J148" s="3080"/>
      <c r="K148" s="3080"/>
      <c r="L148" s="3080"/>
      <c r="M148" s="3080"/>
      <c r="N148" s="3080"/>
      <c r="O148" s="3080"/>
      <c r="P148" s="3080"/>
      <c r="Q148" s="3080"/>
      <c r="R148" s="3080"/>
      <c r="S148" s="3080"/>
      <c r="T148" s="3080"/>
      <c r="U148" s="3080"/>
      <c r="V148" s="3080"/>
      <c r="W148" s="3080"/>
      <c r="X148" s="3080"/>
      <c r="Y148" s="3080"/>
      <c r="Z148" s="3080"/>
      <c r="AA148" s="3080"/>
      <c r="AB148" s="3080"/>
      <c r="AC148" s="3082"/>
      <c r="AD148" s="3080"/>
      <c r="AE148" s="3080"/>
      <c r="AF148" s="3080"/>
      <c r="AG148" s="3080"/>
      <c r="AH148" s="3080"/>
      <c r="AI148" s="3080"/>
      <c r="AJ148" s="3080"/>
      <c r="AK148" s="3080"/>
      <c r="AL148" s="3080"/>
      <c r="AM148" s="3080"/>
      <c r="AN148" s="3080"/>
      <c r="AO148" s="3080"/>
    </row>
    <row r="149" ht="15" customHeight="1">
      <c r="A149" s="3080"/>
      <c r="B149" s="3080"/>
      <c r="C149" s="3080"/>
      <c r="D149" s="3080"/>
      <c r="E149" s="3080"/>
      <c r="F149" s="3080"/>
      <c r="G149" s="3080"/>
      <c r="H149" s="3080"/>
      <c r="I149" s="3080"/>
      <c r="J149" s="3080"/>
      <c r="K149" s="3080"/>
      <c r="L149" s="3080"/>
      <c r="M149" s="3080"/>
      <c r="N149" s="3080"/>
      <c r="O149" s="3080"/>
      <c r="P149" s="3080"/>
      <c r="Q149" s="3080"/>
      <c r="R149" s="3080"/>
      <c r="S149" s="3080"/>
      <c r="T149" s="3080"/>
      <c r="U149" s="3080"/>
      <c r="V149" s="3080"/>
      <c r="W149" s="3080"/>
      <c r="X149" s="3080"/>
      <c r="Y149" s="3080"/>
      <c r="Z149" s="3080"/>
      <c r="AA149" s="3080"/>
      <c r="AB149" s="3080"/>
      <c r="AC149" s="3082"/>
      <c r="AD149" s="3080"/>
      <c r="AE149" s="3080"/>
      <c r="AF149" s="3080"/>
      <c r="AG149" s="3080"/>
      <c r="AH149" s="3080"/>
      <c r="AI149" s="3080"/>
      <c r="AJ149" s="3080"/>
      <c r="AK149" s="3080"/>
      <c r="AL149" s="3080"/>
      <c r="AM149" s="3080"/>
      <c r="AN149" s="3080"/>
      <c r="AO149" s="3080"/>
    </row>
    <row r="150" ht="15" customHeight="1">
      <c r="A150" s="3080"/>
      <c r="B150" s="3080"/>
      <c r="C150" s="3080"/>
      <c r="D150" s="3080"/>
      <c r="E150" s="3080"/>
      <c r="F150" s="3080"/>
      <c r="G150" s="3080"/>
      <c r="H150" s="3080"/>
      <c r="I150" s="3080"/>
      <c r="J150" s="3080"/>
      <c r="K150" s="3080"/>
      <c r="L150" s="3080"/>
      <c r="M150" s="3080"/>
      <c r="N150" s="3080"/>
      <c r="O150" s="3080"/>
      <c r="P150" s="3080"/>
      <c r="Q150" s="3080"/>
      <c r="R150" s="3080"/>
      <c r="S150" s="3080"/>
      <c r="T150" s="3080"/>
      <c r="U150" s="3080"/>
      <c r="V150" s="3080"/>
      <c r="W150" s="3080"/>
      <c r="X150" s="3080"/>
      <c r="Y150" s="3080"/>
      <c r="Z150" s="3080"/>
      <c r="AA150" s="3080"/>
      <c r="AB150" s="3080"/>
      <c r="AC150" s="3082"/>
      <c r="AD150" s="3080"/>
      <c r="AE150" s="3080"/>
      <c r="AF150" s="3080"/>
      <c r="AG150" s="3080"/>
      <c r="AH150" s="3080"/>
      <c r="AI150" s="3080"/>
      <c r="AJ150" s="3080"/>
      <c r="AK150" s="3080"/>
      <c r="AL150" s="3080"/>
      <c r="AM150" s="3080"/>
      <c r="AN150" s="3080"/>
      <c r="AO150" s="3080"/>
    </row>
    <row r="151" ht="15" customHeight="1">
      <c r="A151" s="3080"/>
      <c r="B151" s="3080"/>
      <c r="C151" s="3080"/>
      <c r="D151" s="3080"/>
      <c r="E151" s="3080"/>
      <c r="F151" s="3080"/>
      <c r="G151" s="3080"/>
      <c r="H151" s="3080"/>
      <c r="I151" s="3080"/>
      <c r="J151" s="3080"/>
      <c r="K151" s="3080"/>
      <c r="L151" s="3080"/>
      <c r="M151" s="3080"/>
      <c r="N151" s="3080"/>
      <c r="O151" s="3080"/>
      <c r="P151" s="3080"/>
      <c r="Q151" s="3080"/>
      <c r="R151" s="3080"/>
      <c r="S151" s="3080"/>
      <c r="T151" s="3080"/>
      <c r="U151" s="3080"/>
      <c r="V151" s="3080"/>
      <c r="W151" s="3080"/>
      <c r="X151" s="3080"/>
      <c r="Y151" s="3080"/>
      <c r="Z151" s="3080"/>
      <c r="AA151" s="3080"/>
      <c r="AB151" s="3080"/>
      <c r="AC151" s="3082"/>
      <c r="AD151" s="3080"/>
      <c r="AE151" s="3080"/>
      <c r="AF151" s="3080"/>
      <c r="AG151" s="3080"/>
      <c r="AH151" s="3080"/>
      <c r="AI151" s="3080"/>
      <c r="AJ151" s="3080"/>
      <c r="AK151" s="3080"/>
      <c r="AL151" s="3080"/>
      <c r="AM151" s="3080"/>
      <c r="AN151" s="3080"/>
      <c r="AO151" s="3080"/>
    </row>
    <row r="152" ht="15" customHeight="1">
      <c r="A152" s="3080"/>
      <c r="B152" s="3080"/>
      <c r="C152" s="3080"/>
      <c r="D152" s="3080"/>
      <c r="E152" s="3080"/>
      <c r="F152" s="3080"/>
      <c r="G152" s="3080"/>
      <c r="H152" s="3080"/>
      <c r="I152" s="3080"/>
      <c r="J152" s="3080"/>
      <c r="K152" s="3080"/>
      <c r="L152" s="3080"/>
      <c r="M152" s="3080"/>
      <c r="N152" s="3080"/>
      <c r="O152" s="3080"/>
      <c r="P152" s="3080"/>
      <c r="Q152" s="3080"/>
      <c r="R152" s="3080"/>
      <c r="S152" s="3080"/>
      <c r="T152" s="3080"/>
      <c r="U152" s="3080"/>
      <c r="V152" s="3080"/>
      <c r="W152" s="3080"/>
      <c r="X152" s="3080"/>
      <c r="Y152" s="3080"/>
      <c r="Z152" s="3080"/>
      <c r="AA152" s="3080"/>
      <c r="AB152" s="3080"/>
      <c r="AC152" s="3082"/>
      <c r="AD152" s="3080"/>
      <c r="AE152" s="3080"/>
      <c r="AF152" s="3080"/>
      <c r="AG152" s="3080"/>
      <c r="AH152" s="3080"/>
      <c r="AI152" s="3080"/>
      <c r="AJ152" s="3080"/>
      <c r="AK152" s="3080"/>
      <c r="AL152" s="3080"/>
      <c r="AM152" s="3080"/>
      <c r="AN152" s="3080"/>
      <c r="AO152" s="3080"/>
    </row>
    <row r="153" ht="15" customHeight="1">
      <c r="A153" s="3080"/>
      <c r="B153" s="3080"/>
      <c r="C153" s="3080"/>
      <c r="D153" s="3080"/>
      <c r="E153" s="3080"/>
      <c r="F153" s="3080"/>
      <c r="G153" s="3080"/>
      <c r="H153" s="3080"/>
      <c r="I153" s="3080"/>
      <c r="J153" s="3080"/>
      <c r="K153" s="3080"/>
      <c r="L153" s="3080"/>
      <c r="M153" s="3080"/>
      <c r="N153" s="3080"/>
      <c r="O153" s="3080"/>
      <c r="P153" s="3080"/>
      <c r="Q153" s="3080"/>
      <c r="R153" s="3080"/>
      <c r="S153" s="3080"/>
      <c r="T153" s="3080"/>
      <c r="U153" s="3080"/>
      <c r="V153" s="3080"/>
      <c r="W153" s="3080"/>
      <c r="X153" s="3080"/>
      <c r="Y153" s="3080"/>
      <c r="Z153" s="3080"/>
      <c r="AA153" s="3080"/>
      <c r="AB153" s="3080"/>
      <c r="AC153" s="3082"/>
      <c r="AD153" s="3080"/>
      <c r="AE153" s="3080"/>
      <c r="AF153" s="3080"/>
      <c r="AG153" s="3080"/>
      <c r="AH153" s="3080"/>
      <c r="AI153" s="3080"/>
      <c r="AJ153" s="3080"/>
      <c r="AK153" s="3080"/>
      <c r="AL153" s="3080"/>
      <c r="AM153" s="3080"/>
      <c r="AN153" s="3080"/>
      <c r="AO153" s="3080"/>
    </row>
    <row r="154" ht="15" customHeight="1">
      <c r="A154" s="3080"/>
      <c r="B154" s="3080"/>
      <c r="C154" s="3080"/>
      <c r="D154" s="3080"/>
      <c r="E154" s="3080"/>
      <c r="F154" s="3080"/>
      <c r="G154" s="3368"/>
      <c r="H154" s="3080"/>
      <c r="I154" s="3080"/>
      <c r="J154" s="3080"/>
      <c r="K154" s="3080"/>
      <c r="L154" s="3080"/>
      <c r="M154" s="3080"/>
      <c r="N154" s="3080"/>
      <c r="O154" s="3080"/>
      <c r="P154" s="3080"/>
      <c r="Q154" s="3080"/>
      <c r="R154" s="3080"/>
      <c r="S154" s="3080"/>
      <c r="T154" s="3080"/>
      <c r="U154" s="3080"/>
      <c r="V154" s="3080"/>
      <c r="W154" s="3080"/>
      <c r="X154" s="3080"/>
      <c r="Y154" s="3080"/>
      <c r="Z154" s="3080"/>
      <c r="AA154" s="3080"/>
      <c r="AB154" s="3080"/>
      <c r="AC154" s="3082"/>
      <c r="AD154" s="3080"/>
      <c r="AE154" s="3080"/>
      <c r="AF154" s="3080"/>
      <c r="AG154" s="3080"/>
      <c r="AH154" s="3080"/>
      <c r="AI154" s="3080"/>
      <c r="AJ154" s="3080"/>
      <c r="AK154" s="3080"/>
      <c r="AL154" s="3080"/>
      <c r="AM154" s="3080"/>
      <c r="AN154" s="3080"/>
      <c r="AO154" s="3080"/>
    </row>
    <row r="155" ht="15" customHeight="1">
      <c r="A155" s="3080"/>
      <c r="B155" s="3080"/>
      <c r="C155" s="3080"/>
      <c r="D155" s="3080"/>
      <c r="E155" s="3080"/>
      <c r="F155" s="3080"/>
      <c r="G155" s="3080"/>
      <c r="H155" s="3080"/>
      <c r="I155" s="3080"/>
      <c r="J155" s="3080"/>
      <c r="K155" s="3080"/>
      <c r="L155" s="3080"/>
      <c r="M155" s="3080"/>
      <c r="N155" s="3080"/>
      <c r="O155" s="3080"/>
      <c r="P155" s="3369">
        <f>HOps_YTD_or_TR_Months</f>
        <v>12</v>
      </c>
      <c r="Q155" s="3080"/>
      <c r="R155" s="3080"/>
      <c r="S155" s="3080"/>
      <c r="T155" s="3080"/>
      <c r="U155" s="3080"/>
      <c r="V155" s="3080"/>
      <c r="W155" s="3080"/>
      <c r="X155" s="3080"/>
      <c r="Y155" s="3080"/>
      <c r="Z155" s="3080"/>
      <c r="AA155" s="3080"/>
      <c r="AB155" s="3080"/>
      <c r="AC155" s="3082"/>
      <c r="AD155" s="3080"/>
      <c r="AE155" s="3080"/>
      <c r="AF155" s="3080"/>
      <c r="AG155" s="3080"/>
      <c r="AH155" s="3080"/>
      <c r="AI155" s="3080"/>
      <c r="AJ155" s="3080"/>
      <c r="AK155" s="3080"/>
      <c r="AL155" s="3080"/>
      <c r="AM155" s="3080"/>
      <c r="AN155" s="3080"/>
      <c r="AO155" s="3080"/>
    </row>
    <row r="156" ht="15.75" customHeight="1">
      <c r="A156" s="3080"/>
      <c r="B156" s="3080"/>
      <c r="C156" s="3080"/>
      <c r="D156" s="3080"/>
      <c r="E156" s="3080"/>
      <c r="F156" s="3080"/>
      <c r="G156" s="3080"/>
      <c r="H156" s="3080"/>
      <c r="I156" s="3080"/>
      <c r="J156" s="3080"/>
      <c r="K156" s="3080"/>
      <c r="L156" s="3080"/>
      <c r="M156" s="3080"/>
      <c r="N156" s="3080"/>
      <c r="O156" s="3080"/>
      <c r="P156" s="3080"/>
      <c r="Q156" s="3080" t="s">
        <v>3079</v>
      </c>
      <c r="R156" s="3080"/>
      <c r="S156" s="3080"/>
      <c r="T156" s="3080" t="s">
        <v>2534</v>
      </c>
      <c r="U156" s="3080"/>
      <c r="V156" s="3080"/>
      <c r="W156" s="3080" t="s">
        <v>2536</v>
      </c>
      <c r="X156" s="3080"/>
      <c r="Y156" s="3080"/>
      <c r="Z156" s="3080" t="s">
        <v>2538</v>
      </c>
      <c r="AA156" s="3080"/>
      <c r="AB156" s="3080" t="s">
        <v>3080</v>
      </c>
      <c r="AC156" s="3082"/>
      <c r="AD156" s="3080" t="s">
        <v>2541</v>
      </c>
      <c r="AE156" s="3080"/>
      <c r="AF156" s="3080"/>
      <c r="AG156" s="3080"/>
      <c r="AH156" s="3080"/>
      <c r="AI156" s="3080"/>
      <c r="AJ156" s="3080"/>
      <c r="AK156" s="3080"/>
      <c r="AL156" s="3080"/>
      <c r="AM156" s="3080"/>
      <c r="AN156" s="3080"/>
      <c r="AO156" s="3080"/>
    </row>
    <row r="157" ht="15.75" customHeight="1">
      <c r="A157" s="3080"/>
      <c r="B157" s="3080"/>
      <c r="C157" s="3080"/>
      <c r="D157" s="3080"/>
      <c r="E157" s="3080"/>
      <c r="F157" s="3080"/>
      <c r="G157" s="3080"/>
      <c r="H157" s="3080"/>
      <c r="I157" s="3370"/>
      <c r="J157" s="3371">
        <f>IF(R69&lt;&gt;0,12,IF(R68&lt;&gt;0,11,IF(R67&lt;&gt;0,10,IF(R66&lt;&gt;0,9,IF(R65&lt;&gt;0,8,IF(R64&lt;&gt;0,7,""))))))</f>
        <v>9</v>
      </c>
      <c r="K157" s="3372">
        <f>IF(AND(J157="",R63&lt;&gt;0),6,IF(AND(J157="",R62&lt;&gt;0),5,IF(AND(J157="",R61&lt;&gt;0),4,IF(AND(J157="",R60&lt;&gt;0),3,IF(AND(J157="",R59&lt;&gt;0),2,IF(AND(J157="",R58&lt;&gt;0),1,""))))))</f>
      </c>
      <c r="L157" s="3080"/>
      <c r="M157" s="3080"/>
      <c r="N157" s="3373" t="s">
        <v>3081</v>
      </c>
      <c r="O157" s="3080"/>
      <c r="P157" s="3080" t="s">
        <v>3022</v>
      </c>
      <c r="Q157" s="3080"/>
      <c r="R157" s="3080"/>
      <c r="S157" s="3080" t="s">
        <v>1742</v>
      </c>
      <c r="T157" s="3080"/>
      <c r="U157" s="3080"/>
      <c r="V157" s="3080" t="s">
        <v>3023</v>
      </c>
      <c r="W157" s="3080"/>
      <c r="X157" s="3080"/>
      <c r="Y157" s="3080" t="s">
        <v>3024</v>
      </c>
      <c r="Z157" s="3080"/>
      <c r="AA157" s="3080"/>
      <c r="AB157" s="3080" t="s">
        <v>3020</v>
      </c>
      <c r="AC157" s="3082"/>
      <c r="AD157" s="3080" t="s">
        <v>3082</v>
      </c>
      <c r="AE157" s="3080"/>
      <c r="AF157" s="3080"/>
      <c r="AG157" s="3080"/>
      <c r="AH157" s="3080"/>
      <c r="AI157" s="3080"/>
      <c r="AJ157" s="3080"/>
      <c r="AK157" s="3080"/>
      <c r="AL157" s="3080"/>
      <c r="AM157" s="3080"/>
      <c r="AN157" s="3080"/>
      <c r="AO157" s="3080"/>
    </row>
    <row r="158" ht="15" customHeight="1">
      <c r="A158" s="3080"/>
      <c r="B158" s="3080"/>
      <c r="C158" s="3080"/>
      <c r="D158" s="3080"/>
      <c r="E158" s="3080"/>
      <c r="F158" s="3080"/>
      <c r="G158" s="3080">
        <f>A40</f>
        <v>2021</v>
      </c>
      <c r="H158" s="3346" t="str">
        <f t="shared" si="15" ref="H158:H159">MID(G158,3,99)</f>
        <v>21</v>
      </c>
      <c r="I158" s="3374" t="str">
        <f>IF($J$157=12,"Jan-"&amp;H159,IF($J$157=11,"Dec-"&amp;H158,IF($J$157=10,"Nov-"&amp;H158,IF($J$157=9,"Oct-"&amp;H158,IF($J$157=8,"Sep-"&amp;H158,IF($J$157=7,"Aug-"&amp;H158,""))))))</f>
        <v>Oct-21</v>
      </c>
      <c r="J158" s="3375">
        <f>IF($J$157=12,R58,IF($J$157=11,R53,IF($J$157=10,R52,IF($J$157=9,R51,IF($J$157=8,R50,IF($J$157=7,R49,""))))))</f>
        <v>408133</v>
      </c>
      <c r="K158" s="3376">
        <f t="shared" si="16" ref="K158:K163">IF($K$157=6,R48,IF($K$157=5,R47,IF($K$157=4,R46,IF($K$157=3,R45,IF($K$157=2,R44,IF($K$157=1,R43,""))))))</f>
      </c>
      <c r="L158" s="3376">
        <f>IF($K$157=6,"Jul-"&amp;H158,IF($K$157=5,"Jun-"&amp;H158,IF($K$157=4,"May-"&amp;H158,IF($K$157=3,"Apr-"&amp;H158,IF($K$157=2,"Mar-"&amp;H158,IF($K$157=1,"Feb-"&amp;H158,""))))))</f>
      </c>
      <c r="M158" s="3080"/>
      <c r="N158" s="3377" t="str">
        <f t="shared" si="17" ref="N158:N169">IF(I158="",L158,I158)</f>
        <v>Oct-21</v>
      </c>
      <c r="O158" s="3080"/>
      <c r="P158" s="3378">
        <f>IF(P155&lt;12,"",IF($J$157=12,E58,IF($J$157=11,E53,IF($J$157=10,E52,IF($J$157=9,E51,IF($J$157=8,E50,IF($J$157=7,E49,"")))))))</f>
        <v>423358</v>
      </c>
      <c r="Q158" s="3378">
        <f>IF(P155&lt;12,"",IF($K$157=6,E48,IF($K$157=5,E47,IF($K$157=4,E46,IF($K$157=3,E45,IF($K$157=2,E44,IF($K$157=1,E43,"")))))))</f>
      </c>
      <c r="R158" s="3378"/>
      <c r="S158" s="3378">
        <f>IF(P155&lt;12,"",IF($J$157=12,F58,IF($J$157=11,F53,IF($J$157=10,F52,IF($J$157=9,F51,IF($J$157=8,F50,IF($J$157=7,F49,"")))))))</f>
        <v>-15246</v>
      </c>
      <c r="T158" s="3378">
        <f>IF(P155&lt;12,"",IF($K$157=6,F48,IF($K$157=5,F47,IF($K$157=4,F46,IF($K$157=3,F45,IF($K$157=2,F44,IF($K$157=1,F43,"")))))))</f>
      </c>
      <c r="U158" s="3378"/>
      <c r="V158" s="3378">
        <f>IF(P155&lt;12,"",IF($J$157=12,H58,IF($J$157=11,H53,IF($J$157=10,H52,IF($J$157=9,H51,IF($J$157=8,H50,IF($J$157=7,H49,"")))))))</f>
        <v>0</v>
      </c>
      <c r="W158" s="3378">
        <f>IF(P155&lt;12,"",IF($K$157=6,H48,IF($K$157=5,H47,IF($K$157=4,H46,IF($K$157=3,H45,IF($K$157=2,H44,IF($K$157=1,H43,"")))))))</f>
      </c>
      <c r="X158" s="3378"/>
      <c r="Y158" s="3378">
        <f>IF(P155&lt;12,"",IF($J$157=12,J58,IF($J$157=11,J53,IF($J$157=10,J52,IF($J$157=9,J51,IF($J$157=8,J50,IF($J$157=7,J49,"")))))))</f>
        <v>21</v>
      </c>
      <c r="Z158" s="3378">
        <f>IF(P155&lt;12,"",IF($K$157=6,J48,IF($K$157=5,J47,IF($K$157=4,J46,IF($K$157=3,J45,IF($K$157=2,J44,IF($K$157=1,J43,"")))))))</f>
      </c>
      <c r="AA158" s="3080"/>
      <c r="AB158" s="3165">
        <f>IF(P155&lt;12,"",IF($J$157=12,B58,IF($J$157=11,B53,IF($J$157=10,B52,IF($J$157=9,B51,IF($J$157=8,B50,IF($J$157=7,B49,"")))))))</f>
        <v>423358</v>
      </c>
      <c r="AC158" s="3082">
        <f>IF(P155&lt;12,"",IF($K$157=6,B48,IF($K$157=5,B47,IF($K$157=4,B46,IF($K$157=3,B45,IF($K$157=2,B44,IF($K$157=1,B43,"")))))))</f>
      </c>
      <c r="AD158" s="3165">
        <f>IF(P155&lt;12,"",IF($J$157=12,M58,IF($J$157=11,M53,IF($J$157=10,M52,IF($J$157=9,M51,IF($J$157=8,M50,IF($J$157=7,M49,"")))))))</f>
        <v>408133</v>
      </c>
      <c r="AE158" s="3080">
        <f>IF(P155&lt;12,"",IF($K$157=6,M48,IF($K$157=5,M47,IF($K$157=4,M46,IF($K$157=3,M45,IF($K$157=2,M44,IF($K$157=1,M43,"")))))))</f>
      </c>
      <c r="AF158" s="3080"/>
      <c r="AG158" s="3080"/>
      <c r="AH158" s="3080"/>
      <c r="AI158" s="3080"/>
      <c r="AJ158" s="3080"/>
      <c r="AK158" s="3080"/>
      <c r="AL158" s="3080"/>
      <c r="AM158" s="3080"/>
      <c r="AN158" s="3080"/>
      <c r="AO158" s="3080"/>
    </row>
    <row r="159" ht="15" customHeight="1">
      <c r="A159" s="3080"/>
      <c r="B159" s="3080"/>
      <c r="C159" s="3080"/>
      <c r="D159" s="3080"/>
      <c r="E159" s="3080"/>
      <c r="F159" s="3080"/>
      <c r="G159" s="3080">
        <f>A56</f>
        <v>2022</v>
      </c>
      <c r="H159" s="3346" t="str">
        <f t="shared" si="15"/>
        <v>22</v>
      </c>
      <c r="I159" s="3379" t="str">
        <f>IF($J$157=12,"Feb-"&amp;H159,IF($J$157=11,"Jan-"&amp;H159,IF($J$157=10,"Dec-"&amp;H158,IF($J$157=9,"Nov-"&amp;H158,IF($J$157=8,"Oct-"&amp;H158,IF($J$157=7,"Sep-"&amp;H158,""))))))</f>
        <v>Nov-21</v>
      </c>
      <c r="J159" s="3380">
        <f>IF($J$157=12,R59,IF($J$157=11,R58,IF($J$157=10,R53,IF($J$157=9,R52,IF($J$157=8,R51,IF($J$157=7,R50,""))))))</f>
        <v>402220</v>
      </c>
      <c r="K159" s="3381">
        <f t="shared" si="16"/>
      </c>
      <c r="L159" s="3381">
        <f>IF($K$157=6,"Aug-"&amp;H158,IF($K$157=5,"Jul-"&amp;H158,IF($K$157=4,"Jun-"&amp;H158,IF($K$157=3,"May-"&amp;H158,IF($K$157=2,"Apr-"&amp;H158,IF($K$157=1,"Mar-"&amp;H158,""))))))</f>
      </c>
      <c r="M159" s="3080"/>
      <c r="N159" s="3377" t="str">
        <f t="shared" si="17"/>
        <v>Nov-21</v>
      </c>
      <c r="O159" s="3080"/>
      <c r="P159" s="3378">
        <f>IF(P155&lt;11,"",IF($J$157=12,E59,IF($J$157=11,E58,IF($J$157=10,E53,IF($J$157=9,E52,IF($J$157=8,E51,IF($J$157=7,E50,"")))))))</f>
        <v>421974</v>
      </c>
      <c r="Q159" s="3378">
        <f>IF(P155&lt;11,"",IF($K$157=6,E49,IF($K$157=5,E48,IF($K$157=4,E47,IF($K$157=3,E46,IF($K$157=2,E45,IF($K$157=1,E44,"")))))))</f>
      </c>
      <c r="R159" s="3378"/>
      <c r="S159" s="3378">
        <f>IF(P155&lt;11,"",IF($J$157=12,F59,IF($J$157=11,F58,IF($J$157=10,F53,IF($J$157=9,F52,IF($J$157=8,F51,IF($J$157=7,F50,"")))))))</f>
        <v>-20081</v>
      </c>
      <c r="T159" s="3378">
        <f>IF(P155&lt;11,"",IF($K$157=6,F49,IF($K$157=5,F48,IF($K$157=4,F47,IF($K$157=3,F46,IF($K$157=2,F45,IF($K$157=1,F44,"")))))))</f>
      </c>
      <c r="U159" s="3378"/>
      <c r="V159" s="3378">
        <f>IF(P155&lt;11,"",IF($J$157=12,H59,IF($J$157=11,H58,IF($J$157=10,H53,IF($J$157=9,H52,IF($J$157=8,H51,IF($J$157=7,H50,"")))))))</f>
        <v>0</v>
      </c>
      <c r="W159" s="3378">
        <f>IF(P155&lt;11,"",IF($K$157=6,H49,IF($K$157=5,H48,IF($K$157=4,H47,IF($K$157=3,H46,IF($K$157=2,H45,IF($K$157=1,H44,"")))))))</f>
      </c>
      <c r="X159" s="3378"/>
      <c r="Y159" s="3378">
        <f>IF(P155&lt;11,"",IF($J$157=12,J59,IF($J$157=11,J58,IF($J$157=10,J53,IF($J$157=9,J52,IF($J$157=8,J51,IF($J$157=7,J50,"")))))))</f>
        <v>327</v>
      </c>
      <c r="Z159" s="3378">
        <f>IF(P155&lt;11,"",IF($K$157=6,J49,IF($K$157=5,J48,IF($K$157=4,J47,IF($K$157=3,J46,IF($K$157=2,J45,IF($K$157=1,J44,"")))))))</f>
      </c>
      <c r="AA159" s="3080"/>
      <c r="AB159" s="3165">
        <f>IF(P155&lt;11,"",IF($J$157=12,B59,IF($J$157=11,B58,IF($J$157=10,B53,IF($J$157=9,B52,IF($J$157=8,B51,IF($J$157=7,B50,"")))))))</f>
        <v>421974</v>
      </c>
      <c r="AC159" s="3082">
        <f>IF(P155&lt;11,"",IF($K$157=6,B49,IF($K$157=5,B48,IF($K$157=4,B47,IF($K$157=3,B46,IF($K$157=2,B45,IF($K$157=1,B44,"")))))))</f>
      </c>
      <c r="AD159" s="3165">
        <f>IF(P155&lt;11,"",IF($J$157=12,M59,IF($J$157=11,M58,IF($J$157=10,M53,IF($J$157=9,M52,IF($J$157=8,M51,IF($J$157=7,M50,"")))))))</f>
        <v>402220</v>
      </c>
      <c r="AE159" s="3080">
        <f>IF(P155&lt;11,"",IF($K$157=6,M49,IF($K$157=5,M48,IF($K$157=4,M47,IF($K$157=3,M46,IF($K$157=2,M45,IF($K$157=1,M44,"")))))))</f>
      </c>
      <c r="AF159" s="3080"/>
      <c r="AG159" s="3080"/>
      <c r="AH159" s="3080"/>
      <c r="AI159" s="3080"/>
      <c r="AJ159" s="3080"/>
      <c r="AK159" s="3080"/>
      <c r="AL159" s="3080"/>
      <c r="AM159" s="3080"/>
      <c r="AN159" s="3080"/>
      <c r="AO159" s="3080"/>
    </row>
    <row r="160" ht="15" customHeight="1">
      <c r="A160" s="3080"/>
      <c r="B160" s="3080"/>
      <c r="C160" s="3080"/>
      <c r="D160" s="3080"/>
      <c r="E160" s="3080"/>
      <c r="F160" s="3080"/>
      <c r="G160" s="3080"/>
      <c r="H160" s="3080"/>
      <c r="I160" s="3379" t="str">
        <f>IF($J$157=12,"Mar-"&amp;H159,IF($J$157=11,"Feb-"&amp;H159,IF($J$157=10,"Jan-"&amp;H159,IF($J$157=9,"Dec-"&amp;H158,IF($J$157=8,"Nov-"&amp;H158,IF($J$157=7,"Oct-"&amp;H158,""))))))</f>
        <v>Dec-21</v>
      </c>
      <c r="J160" s="3380">
        <f>IF($J$157=12,R60,IF($J$157=11,R59,IF($J$157=10,R58,IF($J$157=9,R53,IF($J$157=8,R52,IF($J$157=7,R51,""))))))</f>
        <v>373778</v>
      </c>
      <c r="K160" s="3381">
        <f t="shared" si="16"/>
      </c>
      <c r="L160" s="3381">
        <f>IF($K$157=6,"Sep-"&amp;H158,IF($K$157=5,"Aug-"&amp;H158,IF($K$157=4,"Jul-"&amp;H158,IF($K$157=3,"Jun-"&amp;H158,IF($K$157=2,"May-"&amp;H158,IF($K$157=1,"Apr-"&amp;H158,""))))))</f>
      </c>
      <c r="M160" s="3080"/>
      <c r="N160" s="3377" t="str">
        <f t="shared" si="17"/>
        <v>Dec-21</v>
      </c>
      <c r="O160" s="3080"/>
      <c r="P160" s="3378">
        <f>IF(P155&lt;10,"",IF($J$157=12,E60,IF($J$157=11,E59,IF($J$157=10,E58,IF($J$157=9,E53,IF($J$157=8,E52,IF($J$157=7,E51,"")))))))</f>
        <v>391571</v>
      </c>
      <c r="Q160" s="3378">
        <f>IF(P155&lt;10,"",IF($K$157=6,E50,IF($K$157=5,E49,IF($K$157=4,E48,IF($K$157=3,E47,IF($K$157=2,E46,IF($K$157=1,E45,"")))))))</f>
      </c>
      <c r="R160" s="3378"/>
      <c r="S160" s="3378">
        <f>IF(P155&lt;10,"",IF($J$157=12,F60,IF($J$157=11,F59,IF($J$157=10,F58,IF($J$157=9,F53,IF($J$157=8,F52,IF($J$157=7,F51,"")))))))</f>
        <v>-15238</v>
      </c>
      <c r="T160" s="3378">
        <f>IF(P155&lt;10,"",IF($K$157=6,F50,IF($K$157=5,F49,IF($K$157=4,F48,IF($K$157=3,F47,IF($K$157=2,F46,IF($K$157=1,F45,"")))))))</f>
      </c>
      <c r="U160" s="3378"/>
      <c r="V160" s="3378">
        <f>IF(P155&lt;10,"",IF($J$157=12,H60,IF($J$157=11,H59,IF($J$157=10,H58,IF($J$157=9,H53,IF($J$157=8,H52,IF($J$157=7,H51,"")))))))</f>
        <v>0</v>
      </c>
      <c r="W160" s="3378">
        <f>IF(P155&lt;10,"",IF($K$157=6,H50,IF($K$157=5,H49,IF($K$157=4,H48,IF($K$157=3,H47,IF($K$157=2,H46,IF($K$157=1,H45,"")))))))</f>
      </c>
      <c r="X160" s="3378"/>
      <c r="Y160" s="3378">
        <f>IF(P155&lt;10,"",IF($J$157=12,J60,IF($J$157=11,J59,IF($J$157=10,J58,IF($J$157=9,J53,IF($J$157=8,J52,IF($J$157=7,J51,"")))))))</f>
        <v>-2555</v>
      </c>
      <c r="Z160" s="3378">
        <f>IF(P155&lt;10,"",IF($K$157=6,J50,IF($K$157=5,J49,IF($K$157=4,J48,IF($K$157=3,J47,IF($K$157=2,J46,IF($K$157=1,J45,"")))))))</f>
      </c>
      <c r="AA160" s="3080"/>
      <c r="AB160" s="3165">
        <f>IF(P155&lt;10,"",IF($J$157=12,B60,IF($J$157=11,B59,IF($J$157=10,B58,IF($J$157=9,B53,IF($J$157=8,B52,IF($J$157=7,B51,"")))))))</f>
        <v>391571</v>
      </c>
      <c r="AC160" s="3082">
        <f>IF(P155&lt;10,"",IF($K$157=6,B50,IF($K$157=5,B49,IF($K$157=4,B48,IF($K$157=3,B47,IF($K$157=2,B46,IF($K$157=1,B45,"")))))))</f>
      </c>
      <c r="AD160" s="3165">
        <f>IF(P155&lt;10,"",IF($J$157=12,M60,IF($J$157=11,M59,IF($J$157=10,M58,IF($J$157=9,M53,IF($J$157=8,M52,IF($J$157=7,M51,"")))))))</f>
        <v>373778</v>
      </c>
      <c r="AE160" s="3080">
        <f>IF(P155&lt;10,"",IF($K$157=6,M50,IF($K$157=5,M49,IF($K$157=4,M48,IF($K$157=3,M47,IF($K$157=2,M46,IF($K$157=1,M45,"")))))))</f>
      </c>
      <c r="AF160" s="3080"/>
      <c r="AG160" s="3080"/>
      <c r="AH160" s="3080"/>
      <c r="AI160" s="3080"/>
      <c r="AJ160" s="3080"/>
      <c r="AK160" s="3080"/>
      <c r="AL160" s="3080"/>
      <c r="AM160" s="3080"/>
      <c r="AN160" s="3080"/>
      <c r="AO160" s="3080"/>
    </row>
    <row r="161" ht="15" customHeight="1">
      <c r="A161" s="3080"/>
      <c r="B161" s="3080"/>
      <c r="C161" s="3080"/>
      <c r="D161" s="3080"/>
      <c r="E161" s="3080"/>
      <c r="F161" s="3080"/>
      <c r="G161" s="3080"/>
      <c r="H161" s="3080"/>
      <c r="I161" s="3379" t="str">
        <f>IF($J$157=12,"Apr-"&amp;H159,IF($J$157=11,"Mar-"&amp;H159,IF($J$157=10,"Feb-"&amp;H159,IF($J$157=9,"Jan-"&amp;H159,IF($J$157=8,"Dec-"&amp;H158,IF($J$157=7,"Nov-"&amp;H158,""))))))</f>
        <v>Jan-22</v>
      </c>
      <c r="J161" s="3380">
        <f>IF($J$157=12,R61,IF($J$157=11,R60,IF($J$157=10,R59,IF($J$157=9,R58,IF($J$157=8,R53,IF($J$157=7,R52,""))))))</f>
        <v>390541</v>
      </c>
      <c r="K161" s="3381">
        <f t="shared" si="16"/>
      </c>
      <c r="L161" s="3381">
        <f>IF($K$157=6,"Oct-"&amp;H158,IF($K$157=5,"Sep-"&amp;H158,IF($K$157=4,"Aug-"&amp;H158,IF($K$157=3,"Jul-"&amp;H158,IF($K$157=2,"Jun-"&amp;H158,IF($K$157=1,"May-"&amp;H158,""))))))</f>
      </c>
      <c r="M161" s="3080"/>
      <c r="N161" s="3377" t="str">
        <f t="shared" si="17"/>
        <v>Jan-22</v>
      </c>
      <c r="O161" s="3080"/>
      <c r="P161" s="3378">
        <f>IF(P155&lt;9,"",IF($J$157=12,E61,IF($J$157=11,E60,IF($J$157=10,E59,IF($J$157=9,E58,IF($J$157=8,E53,IF($J$157=7,E52,"")))))))</f>
        <v>420163</v>
      </c>
      <c r="Q161" s="3378">
        <f>IF(P155&lt;9,"",IF($K$157=6,E51,IF($K$157=5,E50,IF($K$157=4,E49,IF($K$157=3,E48,IF($K$157=2,E47,IF($K$157=1,E46,"")))))))</f>
      </c>
      <c r="R161" s="3378"/>
      <c r="S161" s="3378">
        <f>IF(P155&lt;9,"",IF($J$157=12,F61,IF($J$157=11,F60,IF($J$157=10,F59,IF($J$157=9,F58,IF($J$157=8,F53,IF($J$157=7,F52,"")))))))</f>
        <v>-23382</v>
      </c>
      <c r="T161" s="3378">
        <f>IF(P155&lt;9,"",IF($K$157=6,F51,IF($K$157=5,F50,IF($K$157=4,F49,IF($K$157=3,F48,IF($K$157=2,F47,IF($K$157=1,F46,"")))))))</f>
      </c>
      <c r="U161" s="3378"/>
      <c r="V161" s="3378">
        <f>IF(P155&lt;9,"",IF($J$157=12,H61,IF($J$157=11,H60,IF($J$157=10,H59,IF($J$157=9,H58,IF($J$157=8,H53,IF($J$157=7,H52,"")))))))</f>
        <v>0</v>
      </c>
      <c r="W161" s="3378">
        <f>IF(P155&lt;9,"",IF($K$157=6,H51,IF($K$157=5,H50,IF($K$157=4,H49,IF($K$157=3,H48,IF($K$157=2,H47,IF($K$157=1,H46,"")))))))</f>
      </c>
      <c r="X161" s="3378"/>
      <c r="Y161" s="3378">
        <f>IF(P155&lt;9,"",IF($J$157=12,J61,IF($J$157=11,J60,IF($J$157=10,J59,IF($J$157=9,J58,IF($J$157=8,J53,IF($J$157=7,J52,"")))))))</f>
        <v>-6240</v>
      </c>
      <c r="Z161" s="3378">
        <f>IF(P155&lt;9,"",IF($K$157=6,J51,IF($K$157=5,J50,IF($K$157=4,J49,IF($K$157=3,J48,IF($K$157=2,J47,IF($K$157=1,J46,"")))))))</f>
      </c>
      <c r="AA161" s="3080"/>
      <c r="AB161" s="3165">
        <f>IF(P155&lt;9,"",IF($J$157=12,B61,IF($J$157=11,B60,IF($J$157=10,B59,IF($J$157=9,B58,IF($J$157=8,B53,IF($J$157=7,B52,"")))))))</f>
        <v>420163</v>
      </c>
      <c r="AC161" s="3082">
        <f>IF(P155&lt;9,"",IF($K$157=6,B51,IF($K$157=5,B50,IF($K$157=4,B49,IF($K$157=3,B48,IF($K$157=2,B47,IF($K$157=1,B46,"")))))))</f>
      </c>
      <c r="AD161" s="3165">
        <f>IF(P155&lt;9,"",IF($J$157=12,M61,IF($J$157=11,M60,IF($J$157=10,M59,IF($J$157=9,M58,IF($J$157=8,M53,IF($J$157=7,M52,"")))))))</f>
        <v>390541</v>
      </c>
      <c r="AE161" s="3080">
        <f>IF(P155&lt;9,"",IF($K$157=6,M51,IF($K$157=5,M50,IF($K$157=4,M49,IF($K$157=3,M48,IF($K$157=2,M47,IF($K$157=1,M46,"")))))))</f>
      </c>
      <c r="AF161" s="3080"/>
      <c r="AG161" s="3080"/>
      <c r="AH161" s="3080"/>
      <c r="AI161" s="3080"/>
      <c r="AJ161" s="3080"/>
      <c r="AK161" s="3080"/>
      <c r="AL161" s="3080"/>
      <c r="AM161" s="3080"/>
      <c r="AN161" s="3080"/>
      <c r="AO161" s="3080"/>
    </row>
    <row r="162" ht="15" customHeight="1">
      <c r="A162" s="3080"/>
      <c r="B162" s="3080"/>
      <c r="C162" s="3080"/>
      <c r="D162" s="3080"/>
      <c r="E162" s="3080"/>
      <c r="F162" s="3080"/>
      <c r="G162" s="3080"/>
      <c r="H162" s="3080"/>
      <c r="I162" s="3379" t="str">
        <f>IF($J$157=12,"May-"&amp;H159,IF($J$157=11,"Apr-"&amp;H159,IF($J$157=10,"Mar-"&amp;H159,IF($J$157=9,"Feb-"&amp;H159,IF($J$157=8,"Jan-"&amp;H159,IF($J$157=7,"Dec-"&amp;H158,""))))))</f>
        <v>Feb-22</v>
      </c>
      <c r="J162" s="3380">
        <f>IF($J$157=12,R62,IF($J$157=11,R61,IF($J$157=10,R60,IF($J$157=9,R59,IF($J$157=8,R58,IF($J$157=7,R53,""))))))</f>
        <v>403068</v>
      </c>
      <c r="K162" s="3381">
        <f t="shared" si="16"/>
      </c>
      <c r="L162" s="3381">
        <f>IF($K$157=6,"Nov-"&amp;H158,IF($K$157=5,"Oct-"&amp;H158,IF($K$157=4,"Sep-"&amp;H158,IF($K$157=3,"Aug-"&amp;H158,IF($K$157=2,"Jul-"&amp;H158,IF($K$157=1,"Jun-"&amp;H158,""))))))</f>
      </c>
      <c r="M162" s="3080"/>
      <c r="N162" s="3377" t="str">
        <f t="shared" si="17"/>
        <v>Feb-22</v>
      </c>
      <c r="O162" s="3080"/>
      <c r="P162" s="3378">
        <f>IF(P155&lt;8,"",IF($J$157=12,E62,IF($J$157=11,E61,IF($J$157=10,E60,IF($J$157=9,E59,IF($J$157=8,E58,IF($J$157=7,E53,"")))))))</f>
        <v>424893</v>
      </c>
      <c r="Q162" s="3378">
        <f>IF(P155&lt;8,"",IF($K$157=6,E52,IF($K$157=5,E51,IF($K$157=4,E50,IF($K$157=3,E49,IF($K$157=2,E48,IF($K$157=1,E47,"")))))))</f>
      </c>
      <c r="R162" s="3378"/>
      <c r="S162" s="3378">
        <f>IF(P155&lt;8,"",IF($J$157=12,F62,IF($J$157=11,F61,IF($J$157=10,F60,IF($J$157=9,F59,IF($J$157=8,F58,IF($J$157=7,F53,"")))))))</f>
        <v>-16013</v>
      </c>
      <c r="T162" s="3378">
        <f>IF(P155&lt;8,"",IF($K$157=6,F52,IF($K$157=5,F51,IF($K$157=4,F50,IF($K$157=3,F49,IF($K$157=2,F48,IF($K$157=1,F47,"")))))))</f>
      </c>
      <c r="U162" s="3378"/>
      <c r="V162" s="3378">
        <f>IF(P155&lt;8,"",IF($J$157=12,H62,IF($J$157=11,H61,IF($J$157=10,H60,IF($J$157=9,H59,IF($J$157=8,H58,IF($J$157=7,H53,"")))))))</f>
        <v>0</v>
      </c>
      <c r="W162" s="3378">
        <f>IF(P155&lt;8,"",IF($K$157=6,H52,IF($K$157=5,H51,IF($K$157=4,H50,IF($K$157=3,H49,IF($K$157=2,H48,IF($K$157=1,H47,"")))))))</f>
      </c>
      <c r="X162" s="3378"/>
      <c r="Y162" s="3378">
        <f>IF(P155&lt;8,"",IF($J$157=12,J62,IF($J$157=11,J61,IF($J$157=10,J60,IF($J$157=9,J59,IF($J$157=8,J58,IF($J$157=7,J53,"")))))))</f>
        <v>-5812</v>
      </c>
      <c r="Z162" s="3378">
        <f>IF(P155&lt;8,"",IF($K$157=6,J52,IF($K$157=5,J51,IF($K$157=4,J50,IF($K$157=3,J49,IF($K$157=2,J48,IF($K$157=1,J47,"")))))))</f>
      </c>
      <c r="AA162" s="3080"/>
      <c r="AB162" s="3165">
        <f>IF(P155&lt;8,"",IF($J$157=12,B62,IF($J$157=11,B61,IF($J$157=10,B60,IF($J$157=9,B59,IF($J$157=8,B58,IF($J$157=7,B53,"")))))))</f>
        <v>424893</v>
      </c>
      <c r="AC162" s="3082">
        <f>IF(P155&lt;8,"",IF($K$157=6,B52,IF($K$157=5,B51,IF($K$157=4,B50,IF($K$157=3,B49,IF($K$157=2,B48,IF($K$157=1,B47,"")))))))</f>
      </c>
      <c r="AD162" s="3165">
        <f>IF(P155&lt;8,"",IF($J$157=12,M62,IF($J$157=11,M61,IF($J$157=10,M60,IF($J$157=9,M59,IF($J$157=8,M58,IF($J$157=7,M53,"")))))))</f>
        <v>403068</v>
      </c>
      <c r="AE162" s="3080">
        <f>IF(P155&lt;8,"",IF($K$157=6,M52,IF($K$157=5,M51,IF($K$157=4,M50,IF($K$157=3,M49,IF($K$157=2,M48,IF($K$157=1,M47,"")))))))</f>
      </c>
      <c r="AF162" s="3080"/>
      <c r="AG162" s="3080"/>
      <c r="AH162" s="3080"/>
      <c r="AI162" s="3080"/>
      <c r="AJ162" s="3080"/>
      <c r="AK162" s="3080"/>
      <c r="AL162" s="3080"/>
      <c r="AM162" s="3080"/>
      <c r="AN162" s="3080"/>
      <c r="AO162" s="3080"/>
    </row>
    <row r="163" ht="15" customHeight="1">
      <c r="A163" s="3080"/>
      <c r="B163" s="3080"/>
      <c r="C163" s="3080"/>
      <c r="D163" s="3080"/>
      <c r="E163" s="3080"/>
      <c r="F163" s="3080"/>
      <c r="G163" s="3080"/>
      <c r="H163" s="3080"/>
      <c r="I163" s="3379" t="str">
        <f>IF($J$157=12,"Jun-"&amp;H159,IF($J$157=11,"May-"&amp;H159,IF($J$157=10,"Apr-"&amp;H159,IF($J$157=9,"Mar-"&amp;H159,IF($J$157=8,"Feb-"&amp;H159,IF($J$157=7,"Jan-"&amp;H159,""))))))</f>
        <v>Mar-22</v>
      </c>
      <c r="J163" s="3380">
        <f t="shared" si="18" ref="J163:J169">IF($J$157=12,R63,IF($J$157=11,R62,IF($J$157=10,R61,IF($J$157=9,R60,IF($J$157=8,R59,IF($J$157=7,R58,""))))))</f>
        <v>374900</v>
      </c>
      <c r="K163" s="3381">
        <f t="shared" si="16"/>
      </c>
      <c r="L163" s="3381">
        <f>IF($K$157=6,"Dec-"&amp;H158,IF($K$157=5,"Nov-"&amp;H158,IF($K$157=4,"Oct-"&amp;H158,IF($K$157=3,"Sep-"&amp;H158,IF($K$157=2,"Aug-"&amp;H158,IF($K$157=1,"Jul-"&amp;H158,""))))))</f>
      </c>
      <c r="M163" s="3080"/>
      <c r="N163" s="3377" t="str">
        <f t="shared" si="17"/>
        <v>Mar-22</v>
      </c>
      <c r="O163" s="3080"/>
      <c r="P163" s="3378">
        <f>IF(P155&lt;7,"",IF($J$157=12,E63,IF($J$157=11,E62,IF($J$157=10,E61,IF($J$157=9,E60,IF($J$157=8,E59,IF($J$157=7,E58,"")))))))</f>
        <v>394849</v>
      </c>
      <c r="Q163" s="3378">
        <f>IF(P155&lt;7,"",IF($K$157=6,E53,IF($K$157=5,E52,IF($K$157=4,E51,IF($K$157=3,E50,IF($K$157=2,E49,IF($K$157=1,E48,"")))))))</f>
      </c>
      <c r="R163" s="3378"/>
      <c r="S163" s="3378">
        <f>IF(P155&lt;7,"",IF($J$157=12,F63,IF($J$157=11,F62,IF($J$157=10,F61,IF($J$157=9,F60,IF($J$157=8,F59,IF($J$157=7,F58,"")))))))</f>
        <v>-10561</v>
      </c>
      <c r="T163" s="3378">
        <f>IF(P155&lt;7,"",IF($K$157=6,F53,IF($K$157=5,F52,IF($K$157=4,F51,IF($K$157=3,F50,IF($K$157=2,F49,IF($K$157=1,F48,"")))))))</f>
      </c>
      <c r="U163" s="3378"/>
      <c r="V163" s="3378">
        <f>IF(P155&lt;7,"",IF($J$157=12,H63,IF($J$157=11,H62,IF($J$157=10,H61,IF($J$157=9,H60,IF($J$157=8,H59,IF($J$157=7,H58,"")))))))</f>
        <v>0</v>
      </c>
      <c r="W163" s="3378">
        <f>IF(P155&lt;7,"",IF($K$157=6,H53,IF($K$157=5,H52,IF($K$157=4,H51,IF($K$157=3,H50,IF($K$157=2,H49,IF($K$157=1,H48,"")))))))</f>
      </c>
      <c r="X163" s="3378"/>
      <c r="Y163" s="3378">
        <f>IF(P155&lt;7,"",IF($J$157=12,J63,IF($J$157=11,J62,IF($J$157=10,J61,IF($J$157=9,J60,IF($J$157=8,J59,IF($J$157=7,J58,"")))))))</f>
        <v>-9388</v>
      </c>
      <c r="Z163" s="3378">
        <f>IF(P155&lt;7,"",IF($K$157=6,J53,IF($K$157=5,J52,IF($K$157=4,J51,IF($K$157=3,J50,IF($K$157=2,J49,IF($K$157=1,J48,"")))))))</f>
      </c>
      <c r="AA163" s="3080"/>
      <c r="AB163" s="3165">
        <f>IF(P155&lt;7,"",IF($J$157=12,B63,IF($J$157=11,B62,IF($J$157=10,B61,IF($J$157=9,B60,IF($J$157=8,B59,IF($J$157=7,B58,"")))))))</f>
        <v>394849</v>
      </c>
      <c r="AC163" s="3082">
        <f>IF(P155&lt;7,"",IF($K$157=6,B53,IF($K$157=5,B52,IF($K$157=4,B51,IF($K$157=3,B50,IF($K$157=2,B49,IF($K$157=1,B48,"")))))))</f>
      </c>
      <c r="AD163" s="3165">
        <f>IF(P155&lt;7,"",IF($J$157=12,M63,IF($J$157=11,M62,IF($J$157=10,M61,IF($J$157=9,M60,IF($J$157=8,M59,IF($J$157=7,M58,"")))))))</f>
        <v>374900</v>
      </c>
      <c r="AE163" s="3080">
        <f>IF(P155&lt;7,"",IF($K$157=6,M53,IF($K$157=5,M52,IF($K$157=4,M51,IF($K$157=3,M50,IF($K$157=2,M49,IF($K$157=1,M48,"")))))))</f>
      </c>
      <c r="AF163" s="3080"/>
      <c r="AG163" s="3080"/>
      <c r="AH163" s="3080"/>
      <c r="AI163" s="3080"/>
      <c r="AJ163" s="3080"/>
      <c r="AK163" s="3080"/>
      <c r="AL163" s="3080"/>
      <c r="AM163" s="3080"/>
      <c r="AN163" s="3080"/>
      <c r="AO163" s="3080"/>
    </row>
    <row r="164" ht="15" customHeight="1">
      <c r="A164" s="3080"/>
      <c r="B164" s="3080"/>
      <c r="C164" s="3080"/>
      <c r="D164" s="3080"/>
      <c r="E164" s="3080"/>
      <c r="F164" s="3080"/>
      <c r="G164" s="3080"/>
      <c r="H164" s="3080"/>
      <c r="I164" s="3379" t="str">
        <f>IF($J$157=12,"Jul-"&amp;H159,IF($J$157=11,"Jun-"&amp;H159,IF($J$157=10,"May-"&amp;H159,IF($J$157=9,"Apr-"&amp;H159,IF($J$157=8,"Mar-"&amp;H159,IF($J$157=7,"Feb-"&amp;H159,""))))))</f>
        <v>Apr-22</v>
      </c>
      <c r="J164" s="3380">
        <f t="shared" si="18"/>
        <v>393092</v>
      </c>
      <c r="K164" s="3381">
        <f>IF($K$157=6,R58,IF($K$157=5,R53,IF($K$157=4,R52,IF($K$157=3,R51,IF($K$157=2,R50,IF($K$157=1,R49,""))))))</f>
      </c>
      <c r="L164" s="3381">
        <f>IF($K$157=6,"Jan-"&amp;H159,IF($K$157=5,"Dec-"&amp;H158,IF($K$157=4,"Nov-"&amp;H158,IF($K$157=3,"Oct-"&amp;H158,IF($K$157=2,"Sep-"&amp;H158,IF($K$157=1,"Aug-"&amp;H158,""))))))</f>
      </c>
      <c r="M164" s="3080"/>
      <c r="N164" s="3377" t="str">
        <f t="shared" si="17"/>
        <v>Apr-22</v>
      </c>
      <c r="O164" s="3080"/>
      <c r="P164" s="3378">
        <f>IF(P155&lt;6,"",IF($J$157=12,E64,IF($J$157=11,E63,IF($J$157=10,E62,IF($J$157=9,E61,IF($J$157=8,E60,IF($J$157=7,E59,"")))))))</f>
        <v>407072</v>
      </c>
      <c r="Q164" s="3378">
        <f>IF(P155&lt;6,"",IF($K$157=6,E58,IF($K$157=5,E53,IF($K$157=4,E52,IF($K$157=3,E51,IF($K$157=2,E50,IF($K$157=1,E49,"")))))))</f>
      </c>
      <c r="R164" s="3378"/>
      <c r="S164" s="3378">
        <f>IF(P155&lt;6,"",IF($J$157=12,F64,IF($J$157=11,F63,IF($J$157=10,F62,IF($J$157=9,F61,IF($J$157=8,F60,IF($J$157=7,F59,"")))))))</f>
        <v>-5433</v>
      </c>
      <c r="T164" s="3378">
        <f>IF(P155&lt;6,"",IF($K$157=6,F58,IF($K$157=5,F53,IF($K$157=4,F52,IF($K$157=3,F51,IF($K$157=2,F50,IF($K$157=1,F49,"")))))))</f>
      </c>
      <c r="U164" s="3378"/>
      <c r="V164" s="3378">
        <f>IF(P155&lt;6,"",IF($J$157=12,H64,IF($J$157=11,H63,IF($J$157=10,H62,IF($J$157=9,H61,IF($J$157=8,H60,IF($J$157=7,H59,"")))))))</f>
        <v>0</v>
      </c>
      <c r="W164" s="3378">
        <f>IF(P155&lt;6,"",IF($K$157=6,H58,IF($K$157=5,H53,IF($K$157=4,H52,IF($K$157=3,H51,IF($K$157=2,H50,IF($K$157=1,H49,"")))))))</f>
      </c>
      <c r="X164" s="3378"/>
      <c r="Y164" s="3378">
        <f>IF(P155&lt;6,"",IF($J$157=12,J64,IF($J$157=11,J63,IF($J$157=10,J62,IF($J$157=9,J61,IF($J$157=8,J60,IF($J$157=7,J59,"")))))))</f>
        <v>-8547</v>
      </c>
      <c r="Z164" s="3378">
        <f>IF(P155&lt;6,"",IF($K$157=6,J58,IF($K$157=5,J53,IF($K$157=4,J52,IF($K$157=3,J51,IF($K$157=2,J50,IF($K$157=1,J49,"")))))))</f>
      </c>
      <c r="AA164" s="3080"/>
      <c r="AB164" s="3165">
        <f>IF(P155&lt;6,"",IF($J$157=12,B64,IF($J$157=11,B63,IF($J$157=10,B62,IF($J$157=9,B61,IF($J$157=8,B60,IF($J$157=7,B59,"")))))))</f>
        <v>407072</v>
      </c>
      <c r="AC164" s="3082">
        <f>IF(P155&lt;6,"",IF($K$157=6,B58,IF($K$157=5,B53,IF($K$157=4,B52,IF($K$157=3,B51,IF($K$157=2,B50,IF($K$157=1,B49,"")))))))</f>
      </c>
      <c r="AD164" s="3165">
        <f>IF(P155&lt;6,"",IF($J$157=12,M64,IF($J$157=11,M63,IF($J$157=10,M62,IF($J$157=9,M61,IF($J$157=8,M60,IF($J$157=7,M59,"")))))))</f>
        <v>393092</v>
      </c>
      <c r="AE164" s="3080">
        <f>IF(P155&lt;6,"",IF($K$157=6,M58,IF($K$157=5,M53,IF($K$157=4,M52,IF($K$157=3,M51,IF($K$157=2,M50,IF($K$157=1,M49,"")))))))</f>
      </c>
      <c r="AF164" s="3080"/>
      <c r="AG164" s="3080"/>
      <c r="AH164" s="3080"/>
      <c r="AI164" s="3080"/>
      <c r="AJ164" s="3080"/>
      <c r="AK164" s="3080"/>
      <c r="AL164" s="3080"/>
      <c r="AM164" s="3080"/>
      <c r="AN164" s="3080"/>
      <c r="AO164" s="3080"/>
    </row>
    <row r="165" ht="15" customHeight="1">
      <c r="A165" s="3080"/>
      <c r="B165" s="3080"/>
      <c r="C165" s="3080"/>
      <c r="D165" s="3080"/>
      <c r="E165" s="3080"/>
      <c r="F165" s="3080"/>
      <c r="G165" s="3080"/>
      <c r="H165" s="3080"/>
      <c r="I165" s="3379" t="str">
        <f>IF($J$157=12,"Aug-"&amp;H159,IF($J$157=11,"Jul-"&amp;H159,IF($J$157=10,"Jun-"&amp;H159,IF($J$157=9,"May-"&amp;H159,IF($J$157=8,"Apr-"&amp;H159,IF($J$157=7,"Mar-"&amp;H159,""))))))</f>
        <v>May-22</v>
      </c>
      <c r="J165" s="3380">
        <f t="shared" si="18"/>
        <v>411104</v>
      </c>
      <c r="K165" s="3381">
        <f>IF($K$157=6,R59,IF($K$157=5,R58,IF($K$157=4,R53,IF($K$157=3,R52,IF($K$157=2,R51,IF($K$157=1,R50,""))))))</f>
      </c>
      <c r="L165" s="3381">
        <f>IF($K$157=6,"Feb-"&amp;H159,IF($K$157=5,"Jan-"&amp;H159,IF($K$157=4,"Dec-"&amp;H158,IF($K$157=3,"Nov-"&amp;H158,IF($K$157=2,"Oct-"&amp;H158,IF($K$157=1,"Sep-"&amp;H158,""))))))</f>
      </c>
      <c r="M165" s="3080"/>
      <c r="N165" s="3377" t="str">
        <f t="shared" si="17"/>
        <v>May-22</v>
      </c>
      <c r="O165" s="3080"/>
      <c r="P165" s="3378">
        <f>IF(P155&lt;5,"",IF($J$157=12,E65,IF($J$157=11,E64,IF($J$157=10,E63,IF($J$157=9,E62,IF($J$157=8,E61,IF($J$157=7,E60,"")))))))</f>
        <v>423823</v>
      </c>
      <c r="Q165" s="3378">
        <f>IF(P155&lt;5,"",IF($K$157=6,E59,IF($K$157=5,E58,IF($K$157=4,E53,IF($K$157=3,E52,IF($K$157=2,E51,IF($K$157=1,E50,"")))))))</f>
      </c>
      <c r="R165" s="3378"/>
      <c r="S165" s="3378">
        <f>IF(P155&lt;5,"",IF($J$157=12,F65,IF($J$157=11,F64,IF($J$157=10,F63,IF($J$157=9,F62,IF($J$157=8,F61,IF($J$157=7,F60,"")))))))</f>
        <v>-8948</v>
      </c>
      <c r="T165" s="3378">
        <f>IF(P155&lt;5,"",IF($K$157=6,F59,IF($K$157=5,F58,IF($K$157=4,F53,IF($K$157=3,F52,IF($K$157=2,F51,IF($K$157=1,F50,"")))))))</f>
      </c>
      <c r="U165" s="3378"/>
      <c r="V165" s="3378">
        <f>IF(P155&lt;5,"",IF($J$157=12,H65,IF($J$157=11,H64,IF($J$157=10,H63,IF($J$157=9,H62,IF($J$157=8,H61,IF($J$157=7,H60,"")))))))</f>
        <v>0</v>
      </c>
      <c r="W165" s="3378">
        <f>IF(P155&lt;5,"",IF($K$157=6,H59,IF($K$157=5,H58,IF($K$157=4,H53,IF($K$157=3,H52,IF($K$157=2,H51,IF($K$157=1,H50,"")))))))</f>
      </c>
      <c r="X165" s="3378"/>
      <c r="Y165" s="3378">
        <f>IF(P155&lt;5,"",IF($J$157=12,J65,IF($J$157=11,J64,IF($J$157=10,J63,IF($J$157=9,J62,IF($J$157=8,J61,IF($J$157=7,J60,"")))))))</f>
        <v>-3771</v>
      </c>
      <c r="Z165" s="3378">
        <f>IF(P155&lt;5,"",IF($K$157=6,J59,IF($K$157=5,J58,IF($K$157=4,J53,IF($K$157=3,J52,IF($K$157=2,J51,IF($K$157=1,J50,"")))))))</f>
      </c>
      <c r="AA165" s="3080"/>
      <c r="AB165" s="3165">
        <f>IF(P155&lt;5,"",IF($J$157=12,B65,IF($J$157=11,B64,IF($J$157=10,B63,IF($J$157=9,B62,IF($J$157=8,B61,IF($J$157=7,B60,"")))))))</f>
        <v>423823</v>
      </c>
      <c r="AC165" s="3082">
        <f>IF(P155&lt;5,"",IF($K$157=6,B59,IF($K$157=5,B58,IF($K$157=4,B53,IF($K$157=3,B52,IF($K$157=2,B51,IF($K$157=1,B50,"")))))))</f>
      </c>
      <c r="AD165" s="3165">
        <f>IF(P155&lt;5,"",IF($J$157=12,M65,IF($J$157=11,M64,IF($J$157=10,M63,IF($J$157=9,M62,IF($J$157=8,M61,IF($J$157=7,M60,"")))))))</f>
        <v>411104</v>
      </c>
      <c r="AE165" s="3080">
        <f>IF(P155&lt;5,"",IF($K$157=6,M59,IF($K$157=5,M58,IF($K$157=4,M53,IF($K$157=3,M52,IF($K$157=2,M51,IF($K$157=1,M50,"")))))))</f>
      </c>
      <c r="AF165" s="3080"/>
      <c r="AG165" s="3080"/>
      <c r="AH165" s="3080"/>
      <c r="AI165" s="3080"/>
      <c r="AJ165" s="3080"/>
      <c r="AK165" s="3080"/>
      <c r="AL165" s="3080"/>
      <c r="AM165" s="3080"/>
      <c r="AN165" s="3080"/>
      <c r="AO165" s="3080"/>
    </row>
    <row r="166" ht="15" customHeight="1">
      <c r="A166" s="3080"/>
      <c r="B166" s="3080"/>
      <c r="C166" s="3080"/>
      <c r="D166" s="3080"/>
      <c r="E166" s="3080"/>
      <c r="F166" s="3080"/>
      <c r="G166" s="3080"/>
      <c r="H166" s="3080"/>
      <c r="I166" s="3379" t="str">
        <f>IF($J$157=12,"Sep-"&amp;H159,IF($J$157=11,"Aug-"&amp;H159,IF($J$157=10,"Jul-"&amp;H159,IF($J$157=9,"Jun-"&amp;H159,IF($J$157=8,"May-"&amp;H159,IF($J$157=7,"Apr-"&amp;H159,""))))))</f>
        <v>Jun-22</v>
      </c>
      <c r="J166" s="3380">
        <f t="shared" si="18"/>
        <v>424077</v>
      </c>
      <c r="K166" s="3381">
        <f>IF($K$157=6,R60,IF($K$157=5,R59,IF($K$157=4,R58,IF($K$157=3,R53,IF($K$157=2,R52,IF($K$157=1,R51,""))))))</f>
      </c>
      <c r="L166" s="3381">
        <f>IF($K$157=6,"Mar-"&amp;H159,IF($K$157=5,"Feb-"&amp;H159,IF($K$157=4,"Jan-"&amp;H159,IF($K$157=3,"Dec-"&amp;H158,IF($K$157=2,"Nov-"&amp;H158,IF($K$157=1,"Oct-"&amp;H158,""))))))</f>
      </c>
      <c r="M166" s="3080"/>
      <c r="N166" s="3377" t="str">
        <f t="shared" si="17"/>
        <v>Jun-22</v>
      </c>
      <c r="O166" s="3080"/>
      <c r="P166" s="3378">
        <f>IF(P155&lt;4,"",IF($J$157=12,E66,IF($J$157=11,E65,IF($J$157=10,E64,IF($J$157=9,E63,IF($J$157=8,E62,IF($J$157=7,E61,"")))))))</f>
        <v>436729</v>
      </c>
      <c r="Q166" s="3378">
        <f>IF(P155&lt;4,"",IF($K$157=6,E60,IF($K$157=5,E59,IF($K$157=4,E58,IF($K$157=3,E53,IF($K$157=2,E52,IF($K$157=1,E51,"")))))))</f>
      </c>
      <c r="R166" s="3378"/>
      <c r="S166" s="3378">
        <f>IF(P155&lt;4,"",IF($J$157=12,F66,IF($J$157=11,F65,IF($J$157=10,F64,IF($J$157=9,F63,IF($J$157=8,F62,IF($J$157=7,F61,"")))))))</f>
        <v>-13393</v>
      </c>
      <c r="T166" s="3378">
        <f>IF(P155&lt;4,"",IF($K$157=6,F60,IF($K$157=5,F59,IF($K$157=4,F58,IF($K$157=3,F53,IF($K$157=2,F52,IF($K$157=1,F51,"")))))))</f>
      </c>
      <c r="U166" s="3378"/>
      <c r="V166" s="3378">
        <f>IF(P155&lt;4,"",IF($J$157=12,H66,IF($J$157=11,H65,IF($J$157=10,H64,IF($J$157=9,H63,IF($J$157=8,H62,IF($J$157=7,H61,"")))))))</f>
        <v>0</v>
      </c>
      <c r="W166" s="3378">
        <f>IF(P155&lt;4,"",IF($K$157=6,H60,IF($K$157=5,H59,IF($K$157=4,H58,IF($K$157=3,H53,IF($K$157=2,H52,IF($K$157=1,H51,"")))))))</f>
      </c>
      <c r="X166" s="3378"/>
      <c r="Y166" s="3378">
        <f>IF(P155&lt;4,"",IF($J$157=12,J66,IF($J$157=11,J65,IF($J$157=10,J64,IF($J$157=9,J63,IF($J$157=8,J62,IF($J$157=7,J61,"")))))))</f>
        <v>741</v>
      </c>
      <c r="Z166" s="3378">
        <f>IF(P155&lt;4,"",IF($K$157=6,J60,IF($K$157=5,J59,IF($K$157=4,J58,IF($K$157=3,J53,IF($K$157=2,J52,IF($K$157=1,J51,"")))))))</f>
      </c>
      <c r="AA166" s="3080"/>
      <c r="AB166" s="3165">
        <f>IF(P155&lt;4,"",IF($J$157=12,B66,IF($J$157=11,B65,IF($J$157=10,B64,IF($J$157=9,B63,IF($J$157=8,B62,IF($J$157=7,B61,"")))))))</f>
        <v>436729</v>
      </c>
      <c r="AC166" s="3082">
        <f>IF(P155&lt;4,"",IF($K$157=6,B60,IF($K$157=5,B59,IF($K$157=4,B58,IF($K$157=3,B53,IF($K$157=2,B52,IF($K$157=1,B51,"")))))))</f>
      </c>
      <c r="AD166" s="3165">
        <f>IF(P155&lt;4,"",IF($J$157=12,M66,IF($J$157=11,M65,IF($J$157=10,M64,IF($J$157=9,M63,IF($J$157=8,M62,IF($J$157=7,M61,"")))))))</f>
        <v>424077</v>
      </c>
      <c r="AE166" s="3080">
        <f>IF(P155&lt;4,"",IF($K$157=6,M60,IF($K$157=5,M59,IF($K$157=4,M58,IF($K$157=3,M53,IF($K$157=2,M52,IF($K$157=1,M51,"")))))))</f>
      </c>
      <c r="AF166" s="3080"/>
      <c r="AG166" s="3080"/>
      <c r="AH166" s="3080"/>
      <c r="AI166" s="3080"/>
      <c r="AJ166" s="3080"/>
      <c r="AK166" s="3080"/>
      <c r="AL166" s="3080"/>
      <c r="AM166" s="3080"/>
      <c r="AN166" s="3080"/>
      <c r="AO166" s="3080"/>
    </row>
    <row r="167" ht="15" customHeight="1">
      <c r="A167" s="3080"/>
      <c r="B167" s="3080"/>
      <c r="C167" s="3080"/>
      <c r="D167" s="3080"/>
      <c r="E167" s="3080"/>
      <c r="F167" s="3080"/>
      <c r="G167" s="3080"/>
      <c r="H167" s="3080"/>
      <c r="I167" s="3379" t="str">
        <f>IF($J$157=12,"Oct-"&amp;H159,IF($J$157=11,"Sep-"&amp;H159,IF($J$157=10,"Aug-"&amp;H159,IF($J$157=9,"Jul-"&amp;H159,IF($J$157=8,"Jun-"&amp;H159,IF($J$157=7,"May-"&amp;H159,""))))))</f>
        <v>Jul-22</v>
      </c>
      <c r="J167" s="3380">
        <f t="shared" si="18"/>
        <v>406554</v>
      </c>
      <c r="K167" s="3381">
        <f>IF($K$157=6,R61,IF($K$157=5,R60,IF($K$157=4,R59,IF($K$157=3,R58,IF($K$157=2,R53,IF($K$157=1,R52,""))))))</f>
      </c>
      <c r="L167" s="3381">
        <f>IF($K$157=6,"Apr-"&amp;H159,IF($K$157=5,"Mar-"&amp;H159,IF($K$157=4,"Feb-"&amp;H159,IF($K$157=3,"Jan-"&amp;H159,IF($K$157=2,"Dec-"&amp;H158,IF($K$157=1,"Nov-"&amp;H158,""))))))</f>
      </c>
      <c r="M167" s="3080"/>
      <c r="N167" s="3377" t="str">
        <f t="shared" si="17"/>
        <v>Jul-22</v>
      </c>
      <c r="O167" s="3080"/>
      <c r="P167" s="3378">
        <f>IF(P155&lt;3,"",IF($J$157=12,E67,IF($J$157=11,E66,IF($J$157=10,E65,IF($J$157=9,E64,IF($J$157=8,E63,IF($J$157=7,E62,"")))))))</f>
        <v>424353</v>
      </c>
      <c r="Q167" s="3378">
        <f>IF(P155&lt;3,"",IF($K$157=6,E61,IF($K$157=5,E60,IF($K$157=4,E59,IF($K$157=3,E58,IF($K$157=2,E53,IF($K$157=1,E52,"")))))))</f>
      </c>
      <c r="R167" s="3378"/>
      <c r="S167" s="3378">
        <f>IF(P155&lt;3,"",IF($J$157=12,F67,IF($J$157=11,F66,IF($J$157=10,F65,IF($J$157=9,F64,IF($J$157=8,F63,IF($J$157=7,F62,"")))))))</f>
        <v>-12545</v>
      </c>
      <c r="T167" s="3378">
        <f>IF(P155&lt;3,"",IF($K$157=6,F61,IF($K$157=5,F60,IF($K$157=4,F59,IF($K$157=3,F58,IF($K$157=2,F53,IF($K$157=1,F52,"")))))))</f>
      </c>
      <c r="U167" s="3378"/>
      <c r="V167" s="3378">
        <f>IF(P155&lt;3,"",IF($J$157=12,H67,IF($J$157=11,H66,IF($J$157=10,H65,IF($J$157=9,H64,IF($J$157=8,H63,IF($J$157=7,H62,"")))))))</f>
        <v>0</v>
      </c>
      <c r="W167" s="3378">
        <f>IF(P155&lt;3,"",IF($K$157=6,H61,IF($K$157=5,H60,IF($K$157=4,H59,IF($K$157=3,H58,IF($K$157=2,H53,IF($K$157=1,H52,"")))))))</f>
      </c>
      <c r="X167" s="3378"/>
      <c r="Y167" s="3378">
        <f>IF(P155&lt;3,"",IF($J$157=12,J67,IF($J$157=11,J66,IF($J$157=10,J65,IF($J$157=9,J64,IF($J$157=8,J63,IF($J$157=7,J62,"")))))))</f>
        <v>-5254</v>
      </c>
      <c r="Z167" s="3378">
        <f>IF(P155&lt;3,"",IF($K$157=6,J61,IF($K$157=5,J60,IF($K$157=4,J59,IF($K$157=3,J58,IF($K$157=2,J53,IF($K$157=1,J52,"")))))))</f>
      </c>
      <c r="AA167" s="3080"/>
      <c r="AB167" s="3165">
        <f>IF(P155&lt;3,"",IF($J$157=12,B67,IF($J$157=11,B66,IF($J$157=10,B65,IF($J$157=9,B64,IF($J$157=8,B63,IF($J$157=7,B62,"")))))))</f>
        <v>424353</v>
      </c>
      <c r="AC167" s="3082">
        <f>IF(P155&lt;3,"",IF($K$157=6,B61,IF($K$157=5,B60,IF($K$157=4,B59,IF($K$157=3,B58,IF($K$157=2,B53,IF($K$157=1,B52,"")))))))</f>
      </c>
      <c r="AD167" s="3165">
        <f>IF(P155&lt;3,"",IF($J$157=12,M67,IF($J$157=11,M66,IF($J$157=10,M65,IF($J$157=9,M64,IF($J$157=8,M63,IF($J$157=7,M62,"")))))))</f>
        <v>406554</v>
      </c>
      <c r="AE167" s="3080">
        <f>IF(P155&lt;3,"",IF($K$157=6,M61,IF($K$157=5,M60,IF($K$157=4,M59,IF($K$157=3,M58,IF($K$157=2,M53,IF($K$157=1,M52,"")))))))</f>
      </c>
      <c r="AF167" s="3080"/>
      <c r="AG167" s="3080"/>
      <c r="AH167" s="3080"/>
      <c r="AI167" s="3080"/>
      <c r="AJ167" s="3080"/>
      <c r="AK167" s="3080"/>
      <c r="AL167" s="3080"/>
      <c r="AM167" s="3080"/>
      <c r="AN167" s="3080"/>
      <c r="AO167" s="3080"/>
    </row>
    <row r="168" ht="15" customHeight="1">
      <c r="A168" s="3080"/>
      <c r="B168" s="3080"/>
      <c r="C168" s="3080"/>
      <c r="D168" s="3080"/>
      <c r="E168" s="3080"/>
      <c r="F168" s="3080"/>
      <c r="G168" s="3080"/>
      <c r="H168" s="3080"/>
      <c r="I168" s="3379" t="str">
        <f>IF($J$157=12,"Nov-"&amp;H159,IF($J$157=11,"Oct-"&amp;H159,IF($J$157=10,"Sep-"&amp;H159,IF($J$157=9,"Aug-"&amp;H159,IF($J$157=8,"Jul-"&amp;H159,IF($J$157=7,"Jun-"&amp;H159,""))))))</f>
        <v>Aug-22</v>
      </c>
      <c r="J168" s="3380">
        <f t="shared" si="18"/>
        <v>417714</v>
      </c>
      <c r="K168" s="3381">
        <f>IF($K$157=6,R62,IF($K$157=5,R61,IF($K$157=4,R60,IF($K$157=3,R59,IF($K$157=2,R58,IF($K$157=1,R53,""))))))</f>
      </c>
      <c r="L168" s="3381">
        <f>IF($K$157=6,"May-"&amp;H159,IF($K$157=5,"Apr-"&amp;H159,IF($K$157=4,"Mar-"&amp;H159,IF($K$157=3,"Feb-"&amp;H159,IF($K$157=2,"Jan-"&amp;H159,IF($K$157=1,"Dec-"&amp;H158,""))))))</f>
      </c>
      <c r="M168" s="3080"/>
      <c r="N168" s="3377" t="str">
        <f t="shared" si="17"/>
        <v>Aug-22</v>
      </c>
      <c r="O168" s="3080"/>
      <c r="P168" s="3378">
        <f>IF(P155&lt;2,"",IF($J$157=12,E68,IF($J$157=11,E67,IF($J$157=10,E66,IF($J$157=9,E65,IF($J$157=8,E64,IF($J$157=7,E63,"")))))))</f>
        <v>433447</v>
      </c>
      <c r="Q168" s="3378">
        <f>IF(P155&lt;2,"",IF($K$157=6,E62,IF($K$157=5,E61,IF($K$157=4,E60,IF($K$157=3,E59,IF($K$157=2,E58,IF($K$157=1,E53,"")))))))</f>
      </c>
      <c r="R168" s="3378"/>
      <c r="S168" s="3378">
        <f>IF(P155&lt;2,"",IF($J$157=12,F68,IF($J$157=11,F67,IF($J$157=10,F66,IF($J$157=9,F65,IF($J$157=8,F64,IF($J$157=7,F63,"")))))))</f>
        <v>-14867</v>
      </c>
      <c r="T168" s="3378">
        <f>IF(P155&lt;2,"",IF($K$157=6,F62,IF($K$157=5,F61,IF($K$157=4,F60,IF($K$157=3,F59,IF($K$157=2,F58,IF($K$157=1,F53,"")))))))</f>
      </c>
      <c r="U168" s="3378"/>
      <c r="V168" s="3378">
        <f>IF(P155&lt;2,"",IF($J$157=12,H68,IF($J$157=11,H67,IF($J$157=10,H66,IF($J$157=9,H65,IF($J$157=8,H64,IF($J$157=7,H63,"")))))))</f>
        <v>0</v>
      </c>
      <c r="W168" s="3378">
        <f>IF(P155&lt;2,"",IF($K$157=6,H62,IF($K$157=5,H61,IF($K$157=4,H60,IF($K$157=3,H59,IF($K$157=2,H58,IF($K$157=1,H53,"")))))))</f>
      </c>
      <c r="X168" s="3378"/>
      <c r="Y168" s="3378">
        <f>IF(P155&lt;2,"",IF($J$157=12,J68,IF($J$157=11,J67,IF($J$157=10,J66,IF($J$157=9,J65,IF($J$157=8,J64,IF($J$157=7,J63,"")))))))</f>
        <v>-866</v>
      </c>
      <c r="Z168" s="3378">
        <f>IF(P155&lt;2,"",IF($K$157=6,J62,IF($K$157=5,J61,IF($K$157=4,J60,IF($K$157=3,J59,IF($K$157=2,J58,IF($K$157=1,J53,"")))))))</f>
      </c>
      <c r="AA168" s="3080"/>
      <c r="AB168" s="3165">
        <f>IF(P155&lt;2,"",IF($J$157=12,B68,IF($J$157=11,B67,IF($J$157=10,B66,IF($J$157=9,B65,IF($J$157=8,B64,IF($J$157=7,B63,"")))))))</f>
        <v>433447</v>
      </c>
      <c r="AC168" s="3082">
        <f>IF(P155&lt;2,"",IF($K$157=6,B62,IF($K$157=5,B61,IF($K$157=4,B60,IF($K$157=3,B59,IF($K$157=2,B58,IF($K$157=1,B53,"")))))))</f>
      </c>
      <c r="AD168" s="3165">
        <f>IF(P155&lt;2,"",IF($J$157=12,M68,IF($J$157=11,M67,IF($J$157=10,M66,IF($J$157=9,M65,IF($J$157=8,M64,IF($J$157=7,M63,"")))))))</f>
        <v>417714</v>
      </c>
      <c r="AE168" s="3080">
        <f>IF(P155&lt;2,"",IF($K$157=6,M62,IF($K$157=5,M61,IF($K$157=4,M60,IF($K$157=3,M59,IF($K$157=2,M58,IF($K$157=1,M53,"")))))))</f>
      </c>
      <c r="AF168" s="3080"/>
      <c r="AG168" s="3080"/>
      <c r="AH168" s="3080"/>
      <c r="AI168" s="3080"/>
      <c r="AJ168" s="3080"/>
      <c r="AK168" s="3080"/>
      <c r="AL168" s="3080"/>
      <c r="AM168" s="3080"/>
      <c r="AN168" s="3080"/>
      <c r="AO168" s="3080"/>
    </row>
    <row r="169" ht="15.75" customHeight="1">
      <c r="A169" s="3080"/>
      <c r="B169" s="3080"/>
      <c r="C169" s="3080"/>
      <c r="D169" s="3080"/>
      <c r="E169" s="3080"/>
      <c r="F169" s="3080"/>
      <c r="G169" s="3080"/>
      <c r="H169" s="3080"/>
      <c r="I169" s="3382" t="str">
        <f>IF($J$157=12,"Dec-"&amp;H159,IF($J$157=11,"Nov-"&amp;H159,IF($J$157=10,"Oct-"&amp;H159,IF($J$157=9,"Sep-"&amp;H159,IF($J$157=8,"Aug-"&amp;H159,IF($J$157=7,"July-"&amp;H159,""))))))</f>
        <v>Sep-22</v>
      </c>
      <c r="J169" s="3383">
        <f t="shared" si="18"/>
        <v>401951</v>
      </c>
      <c r="K169" s="3384">
        <f>IF($K$157=6,R63,IF($K$157=5,R62,IF($K$157=4,R61,IF($K$157=3,R60,IF($K$157=2,R59,IF($K$157=1,R58,""))))))</f>
      </c>
      <c r="L169" s="3384">
        <f>IF($K$157=6,"Jun-"&amp;H159,IF($K$157=5,"May-"&amp;H159,IF($K$157=4,"Apr-"&amp;H159,IF($K$157=3,"Mar-"&amp;H159,IF($K$157=2,"Feb-"&amp;H159,IF($K$157=1,"Jan-"&amp;H159,""))))))</f>
      </c>
      <c r="M169" s="3080"/>
      <c r="N169" s="3377" t="str">
        <f t="shared" si="17"/>
        <v>Sep-22</v>
      </c>
      <c r="O169" s="3080"/>
      <c r="P169" s="3378">
        <f>IF(P155&lt;1,"",IF($J$157=12,E69,IF($J$157=11,E68,IF($J$157=10,E67,IF($J$157=9,E66,IF($J$157=8,E65,IF($J$157=7,E64,"")))))))</f>
        <v>426092</v>
      </c>
      <c r="Q169" s="3378">
        <f>IF(P155&lt;1,"",IF($K$157=6,E63,IF($K$157=5,E62,IF($K$157=4,E61,IF($K$157=3,E60,IF($K$157=2,E59,IF($K$157=1,E58,"")))))))</f>
      </c>
      <c r="R169" s="3378"/>
      <c r="S169" s="3378">
        <f>IF(P155&lt;1,"",IF($J$157=12,F69,IF($J$157=11,F68,IF($J$157=10,F67,IF($J$157=9,F66,IF($J$157=8,F65,IF($J$157=7,F64,"")))))))</f>
        <v>-19131</v>
      </c>
      <c r="T169" s="3378">
        <f>IF(P155&lt;1,"",IF($K$157=6,F63,IF($K$157=5,F62,IF($K$157=4,F61,IF($K$157=3,F60,IF($K$157=2,F59,IF($K$157=1,F58,"")))))))</f>
      </c>
      <c r="U169" s="3378"/>
      <c r="V169" s="3378">
        <f>IF(P155&lt;1,"",IF($J$157=12,H69,IF($J$157=11,H68,IF($J$157=10,H67,IF($J$157=9,H66,IF($J$157=8,H65,IF($J$157=7,H64,"")))))))</f>
        <v>0</v>
      </c>
      <c r="W169" s="3378">
        <f>IF(P155&lt;1,"",IF($K$157=6,H63,IF($K$157=5,H62,IF($K$157=4,H61,IF($K$157=3,H60,IF($K$157=2,H59,IF($K$157=1,H58,"")))))))</f>
      </c>
      <c r="X169" s="3378"/>
      <c r="Y169" s="3378">
        <f>IF(P155&lt;1,"",IF($J$157=12,J69,IF($J$157=11,J68,IF($J$157=10,J67,IF($J$157=9,J66,IF($J$157=8,J65,IF($J$157=7,J64,"")))))))</f>
        <v>-5010</v>
      </c>
      <c r="Z169" s="3378">
        <f>IF(P155&lt;1,"",IF($K$157=6,J63,IF($K$157=5,J62,IF($K$157=4,J61,IF($K$157=3,J60,IF($K$157=2,J59,IF($K$157=1,J58,"")))))))</f>
      </c>
      <c r="AA169" s="3080"/>
      <c r="AB169" s="3165">
        <f>IF(P155&lt;1,"",IF($J$157=12,B69,IF($J$157=11,B68,IF($J$157=10,B67,IF($J$157=9,B66,IF($J$157=8,B65,IF($J$157=7,B64,"")))))))</f>
        <v>426092</v>
      </c>
      <c r="AC169" s="3082">
        <f>IF(P155&lt;1,"",IF($K$157=6,B63,IF($K$157=5,B62,IF($K$157=4,B61,IF($K$157=3,B60,IF($K$157=2,B59,IF($K$157=1,B58,"")))))))</f>
      </c>
      <c r="AD169" s="3165">
        <f>IF(P155&lt;1,"",IF($J$157=12,M69,IF($J$157=11,M68,IF($J$157=10,M67,IF($J$157=9,M66,IF($J$157=8,M65,IF($J$157=7,M64,"")))))))</f>
        <v>401951</v>
      </c>
      <c r="AE169" s="3080">
        <f>IF(P155&lt;1,"",IF($K$157=6,M63,IF($K$157=5,M62,IF($K$157=4,M61,IF($K$157=3,M60,IF($K$157=2,M59,IF($K$157=1,M58,"")))))))</f>
      </c>
      <c r="AF169" s="3080"/>
      <c r="AG169" s="3080"/>
      <c r="AH169" s="3080"/>
      <c r="AI169" s="3080"/>
      <c r="AJ169" s="3080"/>
      <c r="AK169" s="3080"/>
      <c r="AL169" s="3080"/>
      <c r="AM169" s="3080"/>
      <c r="AN169" s="3080"/>
      <c r="AO169" s="3080"/>
    </row>
    <row r="170" ht="15.75" customHeight="1">
      <c r="A170" s="3080"/>
      <c r="B170" s="3080"/>
      <c r="C170" s="3080"/>
      <c r="D170" s="3080"/>
      <c r="E170" s="3080"/>
      <c r="F170" s="3080"/>
      <c r="G170" s="3080"/>
      <c r="H170" s="3080"/>
      <c r="I170" s="3080"/>
      <c r="J170" s="3080"/>
      <c r="K170" s="3080"/>
      <c r="L170" s="3080"/>
      <c r="M170" s="3080"/>
      <c r="N170" s="3080"/>
      <c r="O170" s="3080"/>
      <c r="P170" s="3080"/>
      <c r="Q170" s="3080"/>
      <c r="R170" s="3080"/>
      <c r="S170" s="3080"/>
      <c r="T170" s="3080"/>
      <c r="U170" s="3080"/>
      <c r="V170" s="3080"/>
      <c r="W170" s="3080"/>
      <c r="X170" s="3080"/>
      <c r="Y170" s="3080"/>
      <c r="Z170" s="3080"/>
      <c r="AA170" s="3080"/>
      <c r="AB170" s="3165"/>
      <c r="AC170" s="3082"/>
      <c r="AD170" s="3165"/>
      <c r="AE170" s="3080"/>
      <c r="AF170" s="3080"/>
      <c r="AG170" s="3080"/>
      <c r="AH170" s="3080"/>
      <c r="AI170" s="3080"/>
      <c r="AJ170" s="3080"/>
      <c r="AK170" s="3080"/>
      <c r="AL170" s="3080"/>
      <c r="AM170" s="3080"/>
      <c r="AN170" s="3080"/>
      <c r="AO170" s="3080"/>
    </row>
    <row r="171" ht="15.75" customHeight="1">
      <c r="A171" s="3080"/>
      <c r="B171" s="3080"/>
      <c r="C171" s="3080"/>
      <c r="D171" s="3080"/>
      <c r="E171" s="3080"/>
      <c r="F171" s="3080"/>
      <c r="G171" s="3080"/>
      <c r="H171" s="3080"/>
      <c r="I171" s="3080"/>
      <c r="J171" s="3385">
        <f t="shared" si="20" ref="J171:J182">IF($J$157&lt;&gt;"",J158,IF($K$157&lt;&gt;"",K158,""))</f>
        <v>408133</v>
      </c>
      <c r="K171" s="3386">
        <f t="shared" si="21" ref="K171:K182">IF(J171&lt;&gt;"",AVERAGE($J$171:$J$182),"")</f>
        <v>400594.3333333333</v>
      </c>
      <c r="L171" s="3080"/>
      <c r="M171" s="3080"/>
      <c r="N171" s="3080"/>
      <c r="O171" s="3080"/>
      <c r="P171" s="3387">
        <f t="shared" si="19" ref="P171:AD187">SUM(P158:Q169)</f>
        <v>5028324</v>
      </c>
      <c r="Q171" s="3080"/>
      <c r="R171" s="3080"/>
      <c r="S171" s="3387">
        <f t="shared" si="19"/>
        <v>-174838</v>
      </c>
      <c r="T171" s="3080"/>
      <c r="U171" s="3080"/>
      <c r="V171" s="3387">
        <f t="shared" si="19"/>
        <v>0</v>
      </c>
      <c r="W171" s="3080"/>
      <c r="X171" s="3080"/>
      <c r="Y171" s="3387">
        <f t="shared" si="19"/>
        <v>-46354</v>
      </c>
      <c r="Z171" s="3080"/>
      <c r="AA171" s="3080"/>
      <c r="AB171" s="3387">
        <f t="shared" si="19"/>
        <v>5028324</v>
      </c>
      <c r="AC171" s="3082"/>
      <c r="AD171" s="3387">
        <f t="shared" si="19"/>
        <v>4807132</v>
      </c>
      <c r="AE171" s="3080"/>
      <c r="AF171" s="3080"/>
      <c r="AG171" s="3080"/>
      <c r="AH171" s="3080"/>
      <c r="AI171" s="3080"/>
      <c r="AJ171" s="3080"/>
      <c r="AK171" s="3080"/>
      <c r="AL171" s="3080"/>
      <c r="AM171" s="3080"/>
      <c r="AN171" s="3080"/>
      <c r="AO171" s="3080"/>
    </row>
    <row r="172" ht="15" customHeight="1">
      <c r="A172" s="3080"/>
      <c r="B172" s="3080"/>
      <c r="C172" s="3080"/>
      <c r="D172" s="3080"/>
      <c r="E172" s="3080"/>
      <c r="F172" s="3080"/>
      <c r="G172" s="3080"/>
      <c r="H172" s="3080"/>
      <c r="I172" s="3080"/>
      <c r="J172" s="3388">
        <f t="shared" si="20"/>
        <v>402220</v>
      </c>
      <c r="K172" s="3389">
        <f t="shared" si="21"/>
        <v>400594.3333333333</v>
      </c>
      <c r="L172" s="3080"/>
      <c r="M172" s="3080"/>
      <c r="N172" s="3080"/>
      <c r="O172" s="3080"/>
      <c r="P172" s="3080"/>
      <c r="Q172" s="3080"/>
      <c r="R172" s="3080"/>
      <c r="S172" s="3080"/>
      <c r="T172" s="3080"/>
      <c r="U172" s="3080"/>
      <c r="V172" s="3080"/>
      <c r="W172" s="3080"/>
      <c r="X172" s="3080"/>
      <c r="Y172" s="3080"/>
      <c r="Z172" s="3080"/>
      <c r="AA172" s="3080"/>
      <c r="AB172" s="3080"/>
      <c r="AC172" s="3082"/>
      <c r="AD172" s="3080"/>
      <c r="AE172" s="3080"/>
      <c r="AF172" s="3080"/>
      <c r="AG172" s="3080"/>
      <c r="AH172" s="3080"/>
      <c r="AI172" s="3080"/>
      <c r="AJ172" s="3080"/>
      <c r="AK172" s="3080"/>
      <c r="AL172" s="3080"/>
      <c r="AM172" s="3080"/>
      <c r="AN172" s="3080"/>
      <c r="AO172" s="3080"/>
    </row>
    <row r="173" ht="15" customHeight="1">
      <c r="A173" s="3080"/>
      <c r="B173" s="3080"/>
      <c r="C173" s="3080"/>
      <c r="D173" s="3080"/>
      <c r="E173" s="3080"/>
      <c r="F173" s="3080"/>
      <c r="G173" s="3080"/>
      <c r="H173" s="3080"/>
      <c r="I173" s="3080"/>
      <c r="J173" s="3388">
        <f t="shared" si="20"/>
        <v>373778</v>
      </c>
      <c r="K173" s="3389">
        <f t="shared" si="21"/>
        <v>400594.3333333333</v>
      </c>
      <c r="L173" s="3080"/>
      <c r="M173" s="3080"/>
      <c r="N173" s="3080"/>
      <c r="O173" s="3080"/>
      <c r="P173" s="3080"/>
      <c r="Q173" s="3080"/>
      <c r="R173" s="3080"/>
      <c r="S173" s="3080"/>
      <c r="T173" s="3080"/>
      <c r="U173" s="3080"/>
      <c r="V173" s="3080"/>
      <c r="W173" s="3080"/>
      <c r="X173" s="3080"/>
      <c r="Y173" s="3080"/>
      <c r="Z173" s="3080"/>
      <c r="AA173" s="3080"/>
      <c r="AB173" s="3080"/>
      <c r="AC173" s="3082"/>
      <c r="AD173" s="3080"/>
      <c r="AE173" s="3080"/>
      <c r="AF173" s="3080"/>
      <c r="AG173" s="3080"/>
      <c r="AH173" s="3080"/>
      <c r="AI173" s="3080"/>
      <c r="AJ173" s="3080"/>
      <c r="AK173" s="3080"/>
      <c r="AL173" s="3080"/>
      <c r="AM173" s="3080"/>
      <c r="AN173" s="3080"/>
      <c r="AO173" s="3080"/>
    </row>
    <row r="174" ht="15" customHeight="1">
      <c r="A174" s="3080"/>
      <c r="B174" s="3080"/>
      <c r="C174" s="3080"/>
      <c r="D174" s="3080"/>
      <c r="E174" s="3080"/>
      <c r="F174" s="3080"/>
      <c r="G174" s="3080"/>
      <c r="H174" s="3080"/>
      <c r="I174" s="3080"/>
      <c r="J174" s="3388">
        <f t="shared" si="20"/>
        <v>390541</v>
      </c>
      <c r="K174" s="3389">
        <f t="shared" si="21"/>
        <v>400594.3333333333</v>
      </c>
      <c r="L174" s="3080"/>
      <c r="M174" s="3080"/>
      <c r="N174" s="3080" t="str">
        <f t="shared" si="7"/>
        <v>Oct-21</v>
      </c>
      <c r="O174" s="3080"/>
      <c r="P174" s="3378">
        <f>IF($J$157=12,E58,IF($J$157=11,E53,IF($J$157=10,E52,IF($J$157=9,E51,IF($J$157=8,E50,IF($J$157=7,E49,""))))))</f>
        <v>423358</v>
      </c>
      <c r="Q174" s="3378">
        <f t="shared" si="22" ref="Q174:Q179">IF($K$157=6,E48,IF($K$157=5,E47,IF($K$157=4,E46,IF($K$157=3,E45,IF($K$157=2,E44,IF($K$157=1,E43,""))))))</f>
      </c>
      <c r="R174" s="3378"/>
      <c r="S174" s="3378">
        <f>IF($J$157=12,F58,IF($J$157=11,F53,IF($J$157=10,F52,IF($J$157=9,F51,IF($J$157=8,F50,IF($J$157=7,F49,""))))))</f>
        <v>-15246</v>
      </c>
      <c r="T174" s="3378">
        <f t="shared" si="23" ref="T174:T179">IF($K$157=6,F48,IF($K$157=5,F47,IF($K$157=4,F46,IF($K$157=3,F45,IF($K$157=2,F44,IF($K$157=1,F43,""))))))</f>
      </c>
      <c r="U174" s="3378"/>
      <c r="V174" s="3378">
        <f>IF($J$157=12,H58,IF($J$157=11,H53,IF($J$157=10,H52,IF($J$157=9,H51,IF($J$157=8,H50,IF($J$157=7,H49,""))))))</f>
        <v>0</v>
      </c>
      <c r="W174" s="3378">
        <f t="shared" si="24" ref="W174:W179">IF($K$157=6,H48,IF($K$157=5,H47,IF($K$157=4,H46,IF($K$157=3,H45,IF($K$157=2,H44,IF($K$157=1,H43,""))))))</f>
      </c>
      <c r="X174" s="3378"/>
      <c r="Y174" s="3378">
        <f>IF($J$157=12,J58,IF($J$157=11,J53,IF($J$157=10,J52,IF($J$157=9,J51,IF($J$157=8,J50,IF($J$157=7,J49,""))))))</f>
        <v>21</v>
      </c>
      <c r="Z174" s="3378">
        <f t="shared" si="25" ref="Z174:Z179">IF($K$157=6,J48,IF($K$157=5,J47,IF($K$157=4,J46,IF($K$157=3,J45,IF($K$157=2,J44,IF($K$157=1,J43,""))))))</f>
      </c>
      <c r="AA174" s="3080"/>
      <c r="AB174" s="3080">
        <f>IF($J$157=12,B58,IF($J$157=11,B53,IF($J$157=10,B52,IF($J$157=9,B51,IF($J$157=8,B50,IF($J$157=7,B49,""))))))</f>
        <v>423358</v>
      </c>
      <c r="AC174" s="3082">
        <f t="shared" si="26" ref="AC174:AC179">IF($K$157=6,B48,IF($K$157=5,B47,IF($K$157=4,B46,IF($K$157=3,B45,IF($K$157=2,B44,IF($K$157=1,B43,""))))))</f>
      </c>
      <c r="AD174" s="3080">
        <f>IF($J$157=12,M58,IF($J$157=11,M53,IF($J$157=10,M52,IF($J$157=9,M51,IF($J$157=8,M50,IF($J$157=7,M49,""))))))</f>
        <v>408133</v>
      </c>
      <c r="AE174" s="3080">
        <f t="shared" si="27" ref="AE174:AE179">IF($K$157=6,M48,IF($K$157=5,M47,IF($K$157=4,M46,IF($K$157=3,M45,IF($K$157=2,M44,IF($K$157=1,M43,""))))))</f>
      </c>
      <c r="AF174" s="3080"/>
      <c r="AG174" s="3080"/>
      <c r="AH174" s="3080"/>
      <c r="AI174" s="3080"/>
      <c r="AJ174" s="3080"/>
      <c r="AK174" s="3080"/>
      <c r="AL174" s="3080"/>
      <c r="AM174" s="3080"/>
      <c r="AN174" s="3080"/>
      <c r="AO174" s="3080"/>
    </row>
    <row r="175" ht="15" customHeight="1">
      <c r="A175" s="3080"/>
      <c r="B175" s="3080"/>
      <c r="C175" s="3080"/>
      <c r="D175" s="3080"/>
      <c r="E175" s="3080"/>
      <c r="F175" s="3080"/>
      <c r="G175" s="3080"/>
      <c r="H175" s="3080"/>
      <c r="I175" s="3080"/>
      <c r="J175" s="3388">
        <f t="shared" si="20"/>
        <v>403068</v>
      </c>
      <c r="K175" s="3389">
        <f t="shared" si="21"/>
        <v>400594.3333333333</v>
      </c>
      <c r="L175" s="3080"/>
      <c r="M175" s="3080"/>
      <c r="N175" s="3080" t="str">
        <f t="shared" si="7"/>
        <v>Nov-21</v>
      </c>
      <c r="O175" s="3080"/>
      <c r="P175" s="3378">
        <f>IF($J$157=12,E59,IF($J$157=11,E58,IF($J$157=10,E53,IF($J$157=9,E52,IF($J$157=8,E51,IF($J$157=7,E50,""))))))</f>
        <v>421974</v>
      </c>
      <c r="Q175" s="3378">
        <f t="shared" si="22"/>
      </c>
      <c r="R175" s="3378"/>
      <c r="S175" s="3378">
        <f>IF($J$157=12,F59,IF($J$157=11,F58,IF($J$157=10,F53,IF($J$157=9,F52,IF($J$157=8,F51,IF($J$157=7,F50,""))))))</f>
        <v>-20081</v>
      </c>
      <c r="T175" s="3378">
        <f t="shared" si="23"/>
      </c>
      <c r="U175" s="3378"/>
      <c r="V175" s="3378">
        <f>IF($J$157=12,H59,IF($J$157=11,H58,IF($J$157=10,H53,IF($J$157=9,H52,IF($J$157=8,H51,IF($J$157=7,H50,""))))))</f>
        <v>0</v>
      </c>
      <c r="W175" s="3378">
        <f t="shared" si="24"/>
      </c>
      <c r="X175" s="3378"/>
      <c r="Y175" s="3378">
        <f>IF($J$157=12,J59,IF($J$157=11,J58,IF($J$157=10,J53,IF($J$157=9,J52,IF($J$157=8,J51,IF($J$157=7,J50,""))))))</f>
        <v>327</v>
      </c>
      <c r="Z175" s="3378">
        <f t="shared" si="25"/>
      </c>
      <c r="AA175" s="3080"/>
      <c r="AB175" s="3080">
        <f>IF($J$157=12,B59,IF($J$157=11,B58,IF($J$157=10,B53,IF($J$157=9,B52,IF($J$157=8,B51,IF($J$157=7,B50,""))))))</f>
        <v>421974</v>
      </c>
      <c r="AC175" s="3082">
        <f t="shared" si="26"/>
      </c>
      <c r="AD175" s="3080">
        <f>IF($J$157=12,M59,IF($J$157=11,M58,IF($J$157=10,M53,IF($J$157=9,M52,IF($J$157=8,M51,IF($J$157=7,M50,""))))))</f>
        <v>402220</v>
      </c>
      <c r="AE175" s="3080">
        <f t="shared" si="27"/>
      </c>
      <c r="AF175" s="3080"/>
      <c r="AG175" s="3080"/>
      <c r="AH175" s="3080"/>
      <c r="AI175" s="3080"/>
      <c r="AJ175" s="3080"/>
      <c r="AK175" s="3080"/>
      <c r="AL175" s="3080"/>
      <c r="AM175" s="3080"/>
      <c r="AN175" s="3080"/>
      <c r="AO175" s="3080"/>
    </row>
    <row r="176" ht="15" customHeight="1">
      <c r="A176" s="3080"/>
      <c r="B176" s="3080"/>
      <c r="C176" s="3080"/>
      <c r="D176" s="3080"/>
      <c r="E176" s="3080"/>
      <c r="F176" s="3080"/>
      <c r="G176" s="3080"/>
      <c r="H176" s="3080"/>
      <c r="I176" s="3080"/>
      <c r="J176" s="3388">
        <f t="shared" si="20"/>
        <v>374900</v>
      </c>
      <c r="K176" s="3389">
        <f t="shared" si="21"/>
        <v>400594.3333333333</v>
      </c>
      <c r="L176" s="3080"/>
      <c r="M176" s="3080"/>
      <c r="N176" s="3080" t="str">
        <f t="shared" si="7"/>
        <v>Dec-21</v>
      </c>
      <c r="O176" s="3080"/>
      <c r="P176" s="3378">
        <f>IF($J$157=12,E60,IF($J$157=11,E59,IF($J$157=10,E58,IF($J$157=9,E53,IF($J$157=8,E52,IF($J$157=7,E51,""))))))</f>
        <v>391571</v>
      </c>
      <c r="Q176" s="3378">
        <f t="shared" si="22"/>
      </c>
      <c r="R176" s="3378"/>
      <c r="S176" s="3378">
        <f>IF($J$157=12,F60,IF($J$157=11,F59,IF($J$157=10,F58,IF($J$157=9,F53,IF($J$157=8,F52,IF($J$157=7,F51,""))))))</f>
        <v>-15238</v>
      </c>
      <c r="T176" s="3378">
        <f t="shared" si="23"/>
      </c>
      <c r="U176" s="3378"/>
      <c r="V176" s="3378">
        <f>IF($J$157=12,H60,IF($J$157=11,H59,IF($J$157=10,H58,IF($J$157=9,H53,IF($J$157=8,H52,IF($J$157=7,H51,""))))))</f>
        <v>0</v>
      </c>
      <c r="W176" s="3378">
        <f t="shared" si="24"/>
      </c>
      <c r="X176" s="3378"/>
      <c r="Y176" s="3378">
        <f>IF($J$157=12,J60,IF($J$157=11,J59,IF($J$157=10,J58,IF($J$157=9,J53,IF($J$157=8,J52,IF($J$157=7,J51,""))))))</f>
        <v>-2555</v>
      </c>
      <c r="Z176" s="3378">
        <f t="shared" si="25"/>
      </c>
      <c r="AA176" s="3080"/>
      <c r="AB176" s="3080">
        <f>IF($J$157=12,B60,IF($J$157=11,B59,IF($J$157=10,B58,IF($J$157=9,B53,IF($J$157=8,B52,IF($J$157=7,B51,""))))))</f>
        <v>391571</v>
      </c>
      <c r="AC176" s="3082">
        <f t="shared" si="26"/>
      </c>
      <c r="AD176" s="3080">
        <f>IF($J$157=12,M60,IF($J$157=11,M59,IF($J$157=10,M58,IF($J$157=9,M53,IF($J$157=8,M52,IF($J$157=7,M51,""))))))</f>
        <v>373778</v>
      </c>
      <c r="AE176" s="3080">
        <f t="shared" si="27"/>
      </c>
      <c r="AF176" s="3080"/>
      <c r="AG176" s="3080"/>
      <c r="AH176" s="3080"/>
      <c r="AI176" s="3080"/>
      <c r="AJ176" s="3080"/>
      <c r="AK176" s="3080"/>
      <c r="AL176" s="3080"/>
      <c r="AM176" s="3080"/>
      <c r="AN176" s="3080"/>
      <c r="AO176" s="3080"/>
    </row>
    <row r="177" ht="15" customHeight="1">
      <c r="A177" s="3080"/>
      <c r="B177" s="3080"/>
      <c r="C177" s="3080"/>
      <c r="D177" s="3080"/>
      <c r="E177" s="3080"/>
      <c r="F177" s="3080"/>
      <c r="G177" s="3080"/>
      <c r="H177" s="3080"/>
      <c r="I177" s="3080"/>
      <c r="J177" s="3388">
        <f t="shared" si="20"/>
        <v>393092</v>
      </c>
      <c r="K177" s="3389">
        <f t="shared" si="21"/>
        <v>400594.3333333333</v>
      </c>
      <c r="L177" s="3080"/>
      <c r="M177" s="3080"/>
      <c r="N177" s="3080" t="str">
        <f t="shared" si="7"/>
        <v>Jan-22</v>
      </c>
      <c r="O177" s="3080"/>
      <c r="P177" s="3378">
        <f>IF($J$157=12,E61,IF($J$157=11,E60,IF($J$157=10,E59,IF($J$157=9,E58,IF($J$157=8,E53,IF($J$157=7,E52,""))))))</f>
        <v>420163</v>
      </c>
      <c r="Q177" s="3378">
        <f t="shared" si="22"/>
      </c>
      <c r="R177" s="3378"/>
      <c r="S177" s="3378">
        <f>IF($J$157=12,F61,IF($J$157=11,F60,IF($J$157=10,F59,IF($J$157=9,F58,IF($J$157=8,F53,IF($J$157=7,F52,""))))))</f>
        <v>-23382</v>
      </c>
      <c r="T177" s="3378">
        <f t="shared" si="23"/>
      </c>
      <c r="U177" s="3378"/>
      <c r="V177" s="3378">
        <f>IF($J$157=12,H61,IF($J$157=11,H60,IF($J$157=10,H59,IF($J$157=9,H58,IF($J$157=8,H53,IF($J$157=7,H52,""))))))</f>
        <v>0</v>
      </c>
      <c r="W177" s="3378">
        <f t="shared" si="24"/>
      </c>
      <c r="X177" s="3378"/>
      <c r="Y177" s="3378">
        <f>IF($J$157=12,J61,IF($J$157=11,J60,IF($J$157=10,J59,IF($J$157=9,J58,IF($J$157=8,J53,IF($J$157=7,J52,""))))))</f>
        <v>-6240</v>
      </c>
      <c r="Z177" s="3378">
        <f t="shared" si="25"/>
      </c>
      <c r="AA177" s="3080"/>
      <c r="AB177" s="3080">
        <f>IF($J$157=12,B61,IF($J$157=11,B60,IF($J$157=10,B59,IF($J$157=9,B58,IF($J$157=8,B53,IF($J$157=7,B52,""))))))</f>
        <v>420163</v>
      </c>
      <c r="AC177" s="3082">
        <f t="shared" si="26"/>
      </c>
      <c r="AD177" s="3080">
        <f>IF($J$157=12,M61,IF($J$157=11,M60,IF($J$157=10,M59,IF($J$157=9,M58,IF($J$157=8,M53,IF($J$157=7,M52,""))))))</f>
        <v>390541</v>
      </c>
      <c r="AE177" s="3080">
        <f t="shared" si="27"/>
      </c>
      <c r="AF177" s="3080"/>
      <c r="AG177" s="3080"/>
      <c r="AH177" s="3080"/>
      <c r="AI177" s="3080"/>
      <c r="AJ177" s="3080"/>
      <c r="AK177" s="3080"/>
      <c r="AL177" s="3080"/>
      <c r="AM177" s="3080"/>
      <c r="AN177" s="3080"/>
      <c r="AO177" s="3080"/>
    </row>
    <row r="178" ht="15" customHeight="1">
      <c r="A178" s="3080"/>
      <c r="B178" s="3080"/>
      <c r="C178" s="3080"/>
      <c r="D178" s="3080"/>
      <c r="E178" s="3080"/>
      <c r="F178" s="3080"/>
      <c r="G178" s="3080"/>
      <c r="H178" s="3080"/>
      <c r="I178" s="3080"/>
      <c r="J178" s="3388">
        <f t="shared" si="20"/>
        <v>411104</v>
      </c>
      <c r="K178" s="3389">
        <f t="shared" si="21"/>
        <v>400594.3333333333</v>
      </c>
      <c r="L178" s="3080"/>
      <c r="M178" s="3080"/>
      <c r="N178" s="3080" t="str">
        <f t="shared" si="7"/>
        <v>Feb-22</v>
      </c>
      <c r="O178" s="3080"/>
      <c r="P178" s="3378">
        <f>IF($J$157=12,E62,IF($J$157=11,E61,IF($J$157=10,E60,IF($J$157=9,E59,IF($J$157=8,E58,IF($J$157=7,E53,""))))))</f>
        <v>424893</v>
      </c>
      <c r="Q178" s="3378">
        <f t="shared" si="22"/>
      </c>
      <c r="R178" s="3378"/>
      <c r="S178" s="3378">
        <f>IF($J$157=12,F62,IF($J$157=11,F61,IF($J$157=10,F60,IF($J$157=9,F59,IF($J$157=8,F58,IF($J$157=7,F53,""))))))</f>
        <v>-16013</v>
      </c>
      <c r="T178" s="3378">
        <f t="shared" si="23"/>
      </c>
      <c r="U178" s="3378"/>
      <c r="V178" s="3378">
        <f>IF($J$157=12,H62,IF($J$157=11,H61,IF($J$157=10,H60,IF($J$157=9,H59,IF($J$157=8,H58,IF($J$157=7,H53,""))))))</f>
        <v>0</v>
      </c>
      <c r="W178" s="3378">
        <f t="shared" si="24"/>
      </c>
      <c r="X178" s="3378"/>
      <c r="Y178" s="3378">
        <f>IF($J$157=12,J62,IF($J$157=11,J61,IF($J$157=10,J60,IF($J$157=9,J59,IF($J$157=8,J58,IF($J$157=7,J53,""))))))</f>
        <v>-5812</v>
      </c>
      <c r="Z178" s="3378">
        <f t="shared" si="25"/>
      </c>
      <c r="AA178" s="3080"/>
      <c r="AB178" s="3080">
        <f>IF($J$157=12,B62,IF($J$157=11,B61,IF($J$157=10,B60,IF($J$157=9,B59,IF($J$157=8,B58,IF($J$157=7,B53,""))))))</f>
        <v>424893</v>
      </c>
      <c r="AC178" s="3082">
        <f t="shared" si="26"/>
      </c>
      <c r="AD178" s="3080">
        <f>IF($J$157=12,M62,IF($J$157=11,M61,IF($J$157=10,M60,IF($J$157=9,M59,IF($J$157=8,M58,IF($J$157=7,M53,""))))))</f>
        <v>403068</v>
      </c>
      <c r="AE178" s="3080">
        <f t="shared" si="27"/>
      </c>
      <c r="AF178" s="3080"/>
      <c r="AG178" s="3080"/>
      <c r="AH178" s="3080"/>
      <c r="AI178" s="3080"/>
      <c r="AJ178" s="3080"/>
      <c r="AK178" s="3080"/>
      <c r="AL178" s="3080"/>
      <c r="AM178" s="3080"/>
      <c r="AN178" s="3080"/>
      <c r="AO178" s="3080"/>
    </row>
    <row r="179" ht="15" customHeight="1">
      <c r="A179" s="3080"/>
      <c r="B179" s="3080"/>
      <c r="C179" s="3080"/>
      <c r="D179" s="3080"/>
      <c r="E179" s="3080"/>
      <c r="F179" s="3080"/>
      <c r="G179" s="3080"/>
      <c r="H179" s="3080"/>
      <c r="I179" s="3080"/>
      <c r="J179" s="3388">
        <f t="shared" si="20"/>
        <v>424077</v>
      </c>
      <c r="K179" s="3389">
        <f t="shared" si="21"/>
        <v>400594.3333333333</v>
      </c>
      <c r="L179" s="3080"/>
      <c r="M179" s="3080"/>
      <c r="N179" s="3080" t="str">
        <f t="shared" si="7"/>
        <v>Mar-22</v>
      </c>
      <c r="O179" s="3080"/>
      <c r="P179" s="3378">
        <f t="shared" si="28" ref="P179:P185">IF($J$157=12,E63,IF($J$157=11,E62,IF($J$157=10,E61,IF($J$157=9,E60,IF($J$157=8,E59,IF($J$157=7,E58,""))))))</f>
        <v>394849</v>
      </c>
      <c r="Q179" s="3378">
        <f t="shared" si="22"/>
      </c>
      <c r="R179" s="3378"/>
      <c r="S179" s="3378">
        <f t="shared" si="29" ref="S179:S185">IF($J$157=12,F63,IF($J$157=11,F62,IF($J$157=10,F61,IF($J$157=9,F60,IF($J$157=8,F59,IF($J$157=7,F58,""))))))</f>
        <v>-10561</v>
      </c>
      <c r="T179" s="3378">
        <f t="shared" si="23"/>
      </c>
      <c r="U179" s="3378"/>
      <c r="V179" s="3378">
        <f t="shared" si="30" ref="V179:V185">IF($J$157=12,H63,IF($J$157=11,H62,IF($J$157=10,H61,IF($J$157=9,H60,IF($J$157=8,H59,IF($J$157=7,H58,""))))))</f>
        <v>0</v>
      </c>
      <c r="W179" s="3378">
        <f t="shared" si="24"/>
      </c>
      <c r="X179" s="3378"/>
      <c r="Y179" s="3378">
        <f t="shared" si="31" ref="Y179:Y185">IF($J$157=12,J63,IF($J$157=11,J62,IF($J$157=10,J61,IF($J$157=9,J60,IF($J$157=8,J59,IF($J$157=7,J58,""))))))</f>
        <v>-9388</v>
      </c>
      <c r="Z179" s="3378">
        <f t="shared" si="25"/>
      </c>
      <c r="AA179" s="3080"/>
      <c r="AB179" s="3080">
        <f t="shared" si="32" ref="AB179:AB185">IF($J$157=12,B63,IF($J$157=11,B62,IF($J$157=10,B61,IF($J$157=9,B60,IF($J$157=8,B59,IF($J$157=7,B58,""))))))</f>
        <v>394849</v>
      </c>
      <c r="AC179" s="3082">
        <f t="shared" si="26"/>
      </c>
      <c r="AD179" s="3080">
        <f t="shared" si="33" ref="AD179:AD185">IF($J$157=12,M63,IF($J$157=11,M62,IF($J$157=10,M61,IF($J$157=9,M60,IF($J$157=8,M59,IF($J$157=7,M58,""))))))</f>
        <v>374900</v>
      </c>
      <c r="AE179" s="3080">
        <f t="shared" si="27"/>
      </c>
      <c r="AF179" s="3080"/>
      <c r="AG179" s="3080"/>
      <c r="AH179" s="3080"/>
      <c r="AI179" s="3080"/>
      <c r="AJ179" s="3080"/>
      <c r="AK179" s="3080"/>
      <c r="AL179" s="3080"/>
      <c r="AM179" s="3080"/>
      <c r="AN179" s="3080"/>
      <c r="AO179" s="3080"/>
    </row>
    <row r="180" ht="15" customHeight="1">
      <c r="A180" s="3080"/>
      <c r="B180" s="3080"/>
      <c r="C180" s="3080"/>
      <c r="D180" s="3080"/>
      <c r="E180" s="3080"/>
      <c r="F180" s="3080"/>
      <c r="G180" s="3080"/>
      <c r="H180" s="3080"/>
      <c r="I180" s="3080"/>
      <c r="J180" s="3388">
        <f t="shared" si="20"/>
        <v>406554</v>
      </c>
      <c r="K180" s="3389">
        <f t="shared" si="21"/>
        <v>400594.3333333333</v>
      </c>
      <c r="L180" s="3080"/>
      <c r="M180" s="3080"/>
      <c r="N180" s="3080" t="str">
        <f t="shared" si="7"/>
        <v>Apr-22</v>
      </c>
      <c r="O180" s="3080"/>
      <c r="P180" s="3378">
        <f t="shared" si="28"/>
        <v>407072</v>
      </c>
      <c r="Q180" s="3378">
        <f>IF($K$157=6,E58,IF($K$157=5,E53,IF($K$157=4,E52,IF($K$157=3,E51,IF($K$157=2,E50,IF($K$157=1,E49,""))))))</f>
      </c>
      <c r="R180" s="3378"/>
      <c r="S180" s="3378">
        <f t="shared" si="29"/>
        <v>-5433</v>
      </c>
      <c r="T180" s="3378">
        <f>IF($K$157=6,F58,IF($K$157=5,F53,IF($K$157=4,F52,IF($K$157=3,F51,IF($K$157=2,F50,IF($K$157=1,F49,""))))))</f>
      </c>
      <c r="U180" s="3378"/>
      <c r="V180" s="3378">
        <f t="shared" si="30"/>
        <v>0</v>
      </c>
      <c r="W180" s="3378">
        <f>IF($K$157=6,H58,IF($K$157=5,H53,IF($K$157=4,H52,IF($K$157=3,H51,IF($K$157=2,H50,IF($K$157=1,H49,""))))))</f>
      </c>
      <c r="X180" s="3378"/>
      <c r="Y180" s="3378">
        <f t="shared" si="31"/>
        <v>-8547</v>
      </c>
      <c r="Z180" s="3378">
        <f>IF($K$157=6,J58,IF($K$157=5,J53,IF($K$157=4,J52,IF($K$157=3,J51,IF($K$157=2,J50,IF($K$157=1,J49,""))))))</f>
      </c>
      <c r="AA180" s="3080"/>
      <c r="AB180" s="3080">
        <f t="shared" si="32"/>
        <v>407072</v>
      </c>
      <c r="AC180" s="3082">
        <f>IF($K$157=6,B58,IF($K$157=5,B53,IF($K$157=4,B52,IF($K$157=3,B51,IF($K$157=2,B50,IF($K$157=1,B49,""))))))</f>
      </c>
      <c r="AD180" s="3080">
        <f t="shared" si="33"/>
        <v>393092</v>
      </c>
      <c r="AE180" s="3080">
        <f>IF($K$157=6,M58,IF($K$157=5,M53,IF($K$157=4,M52,IF($K$157=3,M51,IF($K$157=2,M50,IF($K$157=1,M49,""))))))</f>
      </c>
      <c r="AF180" s="3080"/>
      <c r="AG180" s="3080"/>
      <c r="AH180" s="3080"/>
      <c r="AI180" s="3080"/>
      <c r="AJ180" s="3080"/>
      <c r="AK180" s="3080"/>
      <c r="AL180" s="3080"/>
      <c r="AM180" s="3080"/>
      <c r="AN180" s="3080"/>
      <c r="AO180" s="3080"/>
    </row>
    <row r="181" ht="15" customHeight="1">
      <c r="A181" s="3080"/>
      <c r="B181" s="3080"/>
      <c r="C181" s="3080"/>
      <c r="D181" s="3080"/>
      <c r="E181" s="3080"/>
      <c r="F181" s="3080"/>
      <c r="G181" s="3080"/>
      <c r="H181" s="3080"/>
      <c r="I181" s="3080"/>
      <c r="J181" s="3388">
        <f t="shared" si="20"/>
        <v>417714</v>
      </c>
      <c r="K181" s="3389">
        <f t="shared" si="21"/>
        <v>400594.3333333333</v>
      </c>
      <c r="L181" s="3080"/>
      <c r="M181" s="3080"/>
      <c r="N181" s="3080" t="str">
        <f t="shared" si="7"/>
        <v>May-22</v>
      </c>
      <c r="O181" s="3080"/>
      <c r="P181" s="3378">
        <f t="shared" si="28"/>
        <v>423823</v>
      </c>
      <c r="Q181" s="3378">
        <f>IF($K$157=6,E59,IF($K$157=5,E58,IF($K$157=4,E53,IF($K$157=3,E52,IF($K$157=2,E51,IF($K$157=1,E50,""))))))</f>
      </c>
      <c r="R181" s="3378"/>
      <c r="S181" s="3378">
        <f t="shared" si="29"/>
        <v>-8948</v>
      </c>
      <c r="T181" s="3378">
        <f>IF($K$157=6,F59,IF($K$157=5,F58,IF($K$157=4,F53,IF($K$157=3,F52,IF($K$157=2,F51,IF($K$157=1,F50,""))))))</f>
      </c>
      <c r="U181" s="3378"/>
      <c r="V181" s="3378">
        <f t="shared" si="30"/>
        <v>0</v>
      </c>
      <c r="W181" s="3378">
        <f>IF($K$157=6,H59,IF($K$157=5,H58,IF($K$157=4,H53,IF($K$157=3,H52,IF($K$157=2,H51,IF($K$157=1,H50,""))))))</f>
      </c>
      <c r="X181" s="3378"/>
      <c r="Y181" s="3378">
        <f t="shared" si="31"/>
        <v>-3771</v>
      </c>
      <c r="Z181" s="3378">
        <f>IF($K$157=6,J59,IF($K$157=5,J58,IF($K$157=4,J53,IF($K$157=3,J52,IF($K$157=2,J51,IF($K$157=1,J50,""))))))</f>
      </c>
      <c r="AA181" s="3080"/>
      <c r="AB181" s="3080">
        <f t="shared" si="32"/>
        <v>423823</v>
      </c>
      <c r="AC181" s="3082">
        <f>IF($K$157=6,B59,IF($K$157=5,B58,IF($K$157=4,B53,IF($K$157=3,B52,IF($K$157=2,B51,IF($K$157=1,B50,""))))))</f>
      </c>
      <c r="AD181" s="3080">
        <f t="shared" si="33"/>
        <v>411104</v>
      </c>
      <c r="AE181" s="3080">
        <f>IF($K$157=6,M59,IF($K$157=5,M58,IF($K$157=4,M53,IF($K$157=3,M52,IF($K$157=2,M51,IF($K$157=1,M50,""))))))</f>
      </c>
      <c r="AF181" s="3080"/>
      <c r="AG181" s="3080"/>
      <c r="AH181" s="3080"/>
      <c r="AI181" s="3080"/>
      <c r="AJ181" s="3080"/>
      <c r="AK181" s="3080"/>
      <c r="AL181" s="3080"/>
      <c r="AM181" s="3080"/>
      <c r="AN181" s="3080"/>
      <c r="AO181" s="3080"/>
    </row>
    <row r="182" ht="15.75" customHeight="1">
      <c r="A182" s="3080"/>
      <c r="B182" s="3080"/>
      <c r="C182" s="3080"/>
      <c r="D182" s="3080"/>
      <c r="E182" s="3080"/>
      <c r="F182" s="3080"/>
      <c r="G182" s="3080"/>
      <c r="H182" s="3080"/>
      <c r="I182" s="3080"/>
      <c r="J182" s="3390">
        <f t="shared" si="20"/>
        <v>401951</v>
      </c>
      <c r="K182" s="3391">
        <f t="shared" si="21"/>
        <v>400594.3333333333</v>
      </c>
      <c r="L182" s="3080"/>
      <c r="M182" s="3080"/>
      <c r="N182" s="3080" t="str">
        <f t="shared" si="7"/>
        <v>Jun-22</v>
      </c>
      <c r="O182" s="3080"/>
      <c r="P182" s="3378">
        <f t="shared" si="28"/>
        <v>436729</v>
      </c>
      <c r="Q182" s="3378">
        <f>IF($K$157=6,E60,IF($K$157=5,E59,IF($K$157=4,E58,IF($K$157=3,E53,IF($K$157=2,E52,IF($K$157=1,E51,""))))))</f>
      </c>
      <c r="R182" s="3378"/>
      <c r="S182" s="3378">
        <f t="shared" si="29"/>
        <v>-13393</v>
      </c>
      <c r="T182" s="3378">
        <f>IF($K$157=6,F60,IF($K$157=5,F59,IF($K$157=4,F58,IF($K$157=3,F53,IF($K$157=2,F52,IF($K$157=1,F51,""))))))</f>
      </c>
      <c r="U182" s="3378"/>
      <c r="V182" s="3378">
        <f t="shared" si="30"/>
        <v>0</v>
      </c>
      <c r="W182" s="3378">
        <f>IF($K$157=6,H60,IF($K$157=5,H59,IF($K$157=4,H58,IF($K$157=3,H53,IF($K$157=2,H52,IF($K$157=1,H51,""))))))</f>
      </c>
      <c r="X182" s="3378"/>
      <c r="Y182" s="3378">
        <f t="shared" si="31"/>
        <v>741</v>
      </c>
      <c r="Z182" s="3378">
        <f>IF($K$157=6,J60,IF($K$157=5,J59,IF($K$157=4,J58,IF($K$157=3,J53,IF($K$157=2,J52,IF($K$157=1,J51,""))))))</f>
      </c>
      <c r="AA182" s="3080"/>
      <c r="AB182" s="3080">
        <f t="shared" si="32"/>
        <v>436729</v>
      </c>
      <c r="AC182" s="3082">
        <f>IF($K$157=6,B60,IF($K$157=5,B59,IF($K$157=4,B58,IF($K$157=3,B53,IF($K$157=2,B52,IF($K$157=1,B51,""))))))</f>
      </c>
      <c r="AD182" s="3080">
        <f t="shared" si="33"/>
        <v>424077</v>
      </c>
      <c r="AE182" s="3080">
        <f>IF($K$157=6,M60,IF($K$157=5,M59,IF($K$157=4,M58,IF($K$157=3,M53,IF($K$157=2,M52,IF($K$157=1,M51,""))))))</f>
      </c>
      <c r="AF182" s="3080"/>
      <c r="AG182" s="3080"/>
      <c r="AH182" s="3080"/>
      <c r="AI182" s="3080"/>
      <c r="AJ182" s="3080"/>
      <c r="AK182" s="3080"/>
      <c r="AL182" s="3080"/>
      <c r="AM182" s="3080"/>
      <c r="AN182" s="3080"/>
      <c r="AO182" s="3080"/>
    </row>
    <row r="183" ht="15" customHeight="1">
      <c r="A183" s="3080"/>
      <c r="B183" s="3080"/>
      <c r="C183" s="3080"/>
      <c r="D183" s="3080"/>
      <c r="E183" s="3080"/>
      <c r="F183" s="3080"/>
      <c r="G183" s="3080"/>
      <c r="H183" s="3080"/>
      <c r="I183" s="3080"/>
      <c r="J183" s="3080"/>
      <c r="K183" s="3080"/>
      <c r="L183" s="3080"/>
      <c r="M183" s="3080"/>
      <c r="N183" s="3080" t="str">
        <f t="shared" si="7"/>
        <v>Jul-22</v>
      </c>
      <c r="O183" s="3080"/>
      <c r="P183" s="3378">
        <f t="shared" si="28"/>
        <v>424353</v>
      </c>
      <c r="Q183" s="3378">
        <f>IF($K$157=6,E61,IF($K$157=5,E60,IF($K$157=4,E59,IF($K$157=3,E58,IF($K$157=2,E53,IF($K$157=1,E52,""))))))</f>
      </c>
      <c r="R183" s="3378"/>
      <c r="S183" s="3378">
        <f t="shared" si="29"/>
        <v>-12545</v>
      </c>
      <c r="T183" s="3378">
        <f>IF($K$157=6,F61,IF($K$157=5,F60,IF($K$157=4,F59,IF($K$157=3,F58,IF($K$157=2,F53,IF($K$157=1,F52,""))))))</f>
      </c>
      <c r="U183" s="3378"/>
      <c r="V183" s="3378">
        <f t="shared" si="30"/>
        <v>0</v>
      </c>
      <c r="W183" s="3378">
        <f>IF($K$157=6,H61,IF($K$157=5,H60,IF($K$157=4,H59,IF($K$157=3,H58,IF($K$157=2,H53,IF($K$157=1,H52,""))))))</f>
      </c>
      <c r="X183" s="3378"/>
      <c r="Y183" s="3378">
        <f t="shared" si="31"/>
        <v>-5254</v>
      </c>
      <c r="Z183" s="3378">
        <f>IF($K$157=6,J61,IF($K$157=5,J60,IF($K$157=4,J59,IF($K$157=3,J58,IF($K$157=2,J53,IF($K$157=1,J52,""))))))</f>
      </c>
      <c r="AA183" s="3080"/>
      <c r="AB183" s="3080">
        <f t="shared" si="32"/>
        <v>424353</v>
      </c>
      <c r="AC183" s="3082">
        <f>IF($K$157=6,B61,IF($K$157=5,B60,IF($K$157=4,B59,IF($K$157=3,B58,IF($K$157=2,B53,IF($K$157=1,B52,""))))))</f>
      </c>
      <c r="AD183" s="3080">
        <f t="shared" si="33"/>
        <v>406554</v>
      </c>
      <c r="AE183" s="3080">
        <f>IF($K$157=6,M61,IF($K$157=5,M60,IF($K$157=4,M59,IF($K$157=3,M58,IF($K$157=2,M53,IF($K$157=1,M52,""))))))</f>
      </c>
      <c r="AF183" s="3080"/>
      <c r="AG183" s="3080"/>
      <c r="AH183" s="3080"/>
      <c r="AI183" s="3080"/>
      <c r="AJ183" s="3080"/>
      <c r="AK183" s="3080"/>
      <c r="AL183" s="3080"/>
      <c r="AM183" s="3080"/>
      <c r="AN183" s="3080"/>
      <c r="AO183" s="3080"/>
    </row>
    <row r="184" ht="15" customHeight="1">
      <c r="A184" s="3080"/>
      <c r="B184" s="3080"/>
      <c r="C184" s="3080"/>
      <c r="D184" s="3080"/>
      <c r="E184" s="3080"/>
      <c r="F184" s="3080"/>
      <c r="G184" s="3080"/>
      <c r="H184" s="3080"/>
      <c r="I184" s="3080"/>
      <c r="J184" s="3080"/>
      <c r="K184" s="3080"/>
      <c r="L184" s="3080"/>
      <c r="M184" s="3080"/>
      <c r="N184" s="3080" t="str">
        <f t="shared" si="7"/>
        <v>Aug-22</v>
      </c>
      <c r="O184" s="3080"/>
      <c r="P184" s="3378">
        <f t="shared" si="28"/>
        <v>433447</v>
      </c>
      <c r="Q184" s="3378">
        <f>IF($K$157=6,E62,IF($K$157=5,E61,IF($K$157=4,E60,IF($K$157=3,E59,IF($K$157=2,E58,IF($K$157=1,E53,""))))))</f>
      </c>
      <c r="R184" s="3378"/>
      <c r="S184" s="3378">
        <f t="shared" si="29"/>
        <v>-14867</v>
      </c>
      <c r="T184" s="3378">
        <f>IF($K$157=6,F62,IF($K$157=5,F61,IF($K$157=4,F60,IF($K$157=3,F59,IF($K$157=2,F58,IF($K$157=1,F53,""))))))</f>
      </c>
      <c r="U184" s="3378"/>
      <c r="V184" s="3378">
        <f t="shared" si="30"/>
        <v>0</v>
      </c>
      <c r="W184" s="3378">
        <f>IF($K$157=6,H62,IF($K$157=5,H61,IF($K$157=4,H60,IF($K$157=3,H59,IF($K$157=2,H58,IF($K$157=1,H53,""))))))</f>
      </c>
      <c r="X184" s="3378"/>
      <c r="Y184" s="3378">
        <f t="shared" si="31"/>
        <v>-866</v>
      </c>
      <c r="Z184" s="3378">
        <f>IF($K$157=6,J62,IF($K$157=5,J61,IF($K$157=4,J60,IF($K$157=3,J59,IF($K$157=2,J58,IF($K$157=1,J53,""))))))</f>
      </c>
      <c r="AA184" s="3080"/>
      <c r="AB184" s="3080">
        <f t="shared" si="32"/>
        <v>433447</v>
      </c>
      <c r="AC184" s="3082">
        <f>IF($K$157=6,B62,IF($K$157=5,B61,IF($K$157=4,B60,IF($K$157=3,B59,IF($K$157=2,B58,IF($K$157=1,B53,""))))))</f>
      </c>
      <c r="AD184" s="3080">
        <f t="shared" si="33"/>
        <v>417714</v>
      </c>
      <c r="AE184" s="3080">
        <f>IF($K$157=6,M62,IF($K$157=5,M61,IF($K$157=4,M60,IF($K$157=3,M59,IF($K$157=2,M58,IF($K$157=1,M53,""))))))</f>
      </c>
      <c r="AF184" s="3080"/>
      <c r="AG184" s="3080"/>
      <c r="AH184" s="3080"/>
      <c r="AI184" s="3080"/>
      <c r="AJ184" s="3080"/>
      <c r="AK184" s="3080"/>
      <c r="AL184" s="3080"/>
      <c r="AM184" s="3080"/>
      <c r="AN184" s="3080"/>
      <c r="AO184" s="3080"/>
    </row>
    <row r="185" ht="15" customHeight="1">
      <c r="A185" s="3080"/>
      <c r="B185" s="3080"/>
      <c r="C185" s="3080"/>
      <c r="D185" s="3080"/>
      <c r="E185" s="3080"/>
      <c r="F185" s="3080"/>
      <c r="G185" s="3080"/>
      <c r="H185" s="3080"/>
      <c r="I185" s="3080"/>
      <c r="J185" s="3080"/>
      <c r="K185" s="3080"/>
      <c r="L185" s="3080"/>
      <c r="M185" s="3080"/>
      <c r="N185" s="3080" t="str">
        <f t="shared" si="7"/>
        <v>Sep-22</v>
      </c>
      <c r="O185" s="3080"/>
      <c r="P185" s="3378">
        <f t="shared" si="28"/>
        <v>426092</v>
      </c>
      <c r="Q185" s="3378">
        <f>IF($K$157=6,E63,IF($K$157=5,E62,IF($K$157=4,E61,IF($K$157=3,E60,IF($K$157=2,E59,IF($K$157=1,E58,""))))))</f>
      </c>
      <c r="R185" s="3378"/>
      <c r="S185" s="3378">
        <f t="shared" si="29"/>
        <v>-19131</v>
      </c>
      <c r="T185" s="3378">
        <f>IF($K$157=6,F63,IF($K$157=5,F62,IF($K$157=4,F61,IF($K$157=3,F60,IF($K$157=2,F59,IF($K$157=1,F58,""))))))</f>
      </c>
      <c r="U185" s="3378"/>
      <c r="V185" s="3378">
        <f t="shared" si="30"/>
        <v>0</v>
      </c>
      <c r="W185" s="3378">
        <f>IF($K$157=6,H63,IF($K$157=5,H62,IF($K$157=4,H61,IF($K$157=3,H60,IF($K$157=2,H59,IF($K$157=1,H58,""))))))</f>
      </c>
      <c r="X185" s="3378"/>
      <c r="Y185" s="3378">
        <f t="shared" si="31"/>
        <v>-5010</v>
      </c>
      <c r="Z185" s="3378">
        <f>IF($K$157=6,J63,IF($K$157=5,J62,IF($K$157=4,J61,IF($K$157=3,J60,IF($K$157=2,J59,IF($K$157=1,J58,""))))))</f>
      </c>
      <c r="AA185" s="3080"/>
      <c r="AB185" s="3080">
        <f t="shared" si="32"/>
        <v>426092</v>
      </c>
      <c r="AC185" s="3082">
        <f>IF($K$157=6,B63,IF($K$157=5,B62,IF($K$157=4,B61,IF($K$157=3,B60,IF($K$157=2,B59,IF($K$157=1,B58,""))))))</f>
      </c>
      <c r="AD185" s="3080">
        <f t="shared" si="33"/>
        <v>401951</v>
      </c>
      <c r="AE185" s="3080">
        <f>IF($K$157=6,M63,IF($K$157=5,M62,IF($K$157=4,M61,IF($K$157=3,M60,IF($K$157=2,M59,IF($K$157=1,M58,""))))))</f>
      </c>
      <c r="AF185" s="3080"/>
      <c r="AG185" s="3080"/>
      <c r="AH185" s="3080"/>
      <c r="AI185" s="3080"/>
      <c r="AJ185" s="3080"/>
      <c r="AK185" s="3080"/>
      <c r="AL185" s="3080"/>
      <c r="AM185" s="3080"/>
      <c r="AN185" s="3080"/>
      <c r="AO185" s="3080"/>
    </row>
    <row r="186" ht="15.75" customHeight="1">
      <c r="A186" s="3080"/>
      <c r="B186" s="3080"/>
      <c r="C186" s="3080"/>
      <c r="D186" s="3080"/>
      <c r="E186" s="3080"/>
      <c r="F186" s="3080"/>
      <c r="G186" s="3080"/>
      <c r="H186" s="3080"/>
      <c r="I186" s="3080"/>
      <c r="J186" s="3080"/>
      <c r="K186" s="3080"/>
      <c r="L186" s="3080"/>
      <c r="M186" s="3080"/>
      <c r="N186" s="3080"/>
      <c r="O186" s="3080"/>
      <c r="P186" s="3080"/>
      <c r="Q186" s="3080"/>
      <c r="R186" s="3080"/>
      <c r="S186" s="3080"/>
      <c r="T186" s="3080"/>
      <c r="U186" s="3080"/>
      <c r="V186" s="3080"/>
      <c r="W186" s="3080"/>
      <c r="X186" s="3080"/>
      <c r="Y186" s="3080"/>
      <c r="Z186" s="3080"/>
      <c r="AA186" s="3080"/>
      <c r="AB186" s="3080"/>
      <c r="AC186" s="3082"/>
      <c r="AD186" s="3080"/>
      <c r="AE186" s="3080"/>
      <c r="AF186" s="3080"/>
      <c r="AG186" s="3080"/>
      <c r="AH186" s="3080"/>
      <c r="AI186" s="3080"/>
      <c r="AJ186" s="3080"/>
      <c r="AK186" s="3080"/>
      <c r="AL186" s="3080"/>
      <c r="AM186" s="3080"/>
      <c r="AN186" s="3080"/>
      <c r="AO186" s="3080"/>
    </row>
    <row r="187" ht="15.75" customHeight="1">
      <c r="A187" s="3080"/>
      <c r="B187" s="3080"/>
      <c r="C187" s="3080"/>
      <c r="D187" s="3080"/>
      <c r="E187" s="3080"/>
      <c r="F187" s="3080"/>
      <c r="G187" s="3080"/>
      <c r="H187" s="3080"/>
      <c r="I187" s="3080"/>
      <c r="J187" s="3080"/>
      <c r="K187" s="3080"/>
      <c r="L187" s="3080"/>
      <c r="M187" s="3080"/>
      <c r="N187" s="3080"/>
      <c r="O187" s="3080"/>
      <c r="P187" s="3392">
        <f t="shared" si="19"/>
        <v>5028324</v>
      </c>
      <c r="Q187" s="3080"/>
      <c r="R187" s="3080"/>
      <c r="S187" s="3392">
        <f t="shared" si="19"/>
        <v>-174838</v>
      </c>
      <c r="T187" s="3080"/>
      <c r="U187" s="3080"/>
      <c r="V187" s="3392">
        <f t="shared" si="19"/>
        <v>0</v>
      </c>
      <c r="W187" s="3080"/>
      <c r="X187" s="3080"/>
      <c r="Y187" s="3392">
        <f t="shared" si="19"/>
        <v>-46354</v>
      </c>
      <c r="Z187" s="3080"/>
      <c r="AA187" s="3080"/>
      <c r="AB187" s="3392">
        <f t="shared" si="19"/>
        <v>5028324</v>
      </c>
      <c r="AC187" s="3082"/>
      <c r="AD187" s="3392">
        <f t="shared" si="19"/>
        <v>4807132</v>
      </c>
      <c r="AE187" s="3080"/>
      <c r="AF187" s="3080"/>
      <c r="AG187" s="3080"/>
      <c r="AH187" s="3080"/>
      <c r="AI187" s="3080"/>
      <c r="AJ187" s="3080"/>
      <c r="AK187" s="3080"/>
      <c r="AL187" s="3080"/>
      <c r="AM187" s="3080"/>
      <c r="AN187" s="3080"/>
      <c r="AO187" s="3080"/>
    </row>
  </sheetData>
  <mergeCells>
    <mergeCell ref="T97:Z113"/>
    <mergeCell ref="O39:R39"/>
    <mergeCell ref="O3:R3"/>
    <mergeCell ref="E118:G118"/>
    <mergeCell ref="H118:K118"/>
    <mergeCell ref="L118:O118"/>
    <mergeCell ref="P118:R118"/>
    <mergeCell ref="E116:G116"/>
    <mergeCell ref="H116:K116"/>
    <mergeCell ref="L116:O116"/>
    <mergeCell ref="P116:R116"/>
    <mergeCell ref="E117:G117"/>
    <mergeCell ref="H117:K117"/>
    <mergeCell ref="L117:O117"/>
    <mergeCell ref="P117:R117"/>
    <mergeCell ref="Q95:R95"/>
    <mergeCell ref="O94:P94"/>
    <mergeCell ref="B119:D119"/>
    <mergeCell ref="E119:G119"/>
    <mergeCell ref="H119:K119"/>
    <mergeCell ref="L119:O119"/>
    <mergeCell ref="P119:R119"/>
    <mergeCell ref="B115:D115"/>
    <mergeCell ref="E115:G115"/>
    <mergeCell ref="H115:K115"/>
    <mergeCell ref="L115:O115"/>
    <mergeCell ref="P115:R115"/>
    <mergeCell ref="B95:D95"/>
    <mergeCell ref="H95:K95"/>
    <mergeCell ref="L95:N95"/>
    <mergeCell ref="O95:P95"/>
    <mergeCell ref="E95:G95"/>
    <mergeCell ref="B93:D93"/>
    <mergeCell ref="B94:D94"/>
    <mergeCell ref="H94:K94"/>
    <mergeCell ref="L94:N94"/>
    <mergeCell ref="E94:G94"/>
    <mergeCell ref="B91:D91"/>
    <mergeCell ref="E91:G91"/>
    <mergeCell ref="H91:K91"/>
    <mergeCell ref="L91:O91"/>
    <mergeCell ref="P91:R91"/>
    <mergeCell ref="E88:G88"/>
    <mergeCell ref="H88:K88"/>
    <mergeCell ref="L88:O88"/>
    <mergeCell ref="P88:R88"/>
    <mergeCell ref="E90:G90"/>
    <mergeCell ref="H90:K90"/>
    <mergeCell ref="L90:O90"/>
    <mergeCell ref="P90:R90"/>
    <mergeCell ref="E80:R80"/>
    <mergeCell ref="E81:R81"/>
    <mergeCell ref="E82:R82"/>
    <mergeCell ref="E83:R83"/>
    <mergeCell ref="E87:G87"/>
    <mergeCell ref="H87:K87"/>
    <mergeCell ref="L87:O87"/>
    <mergeCell ref="P87:R87"/>
    <mergeCell ref="H86:K86"/>
    <mergeCell ref="L86:O86"/>
    <mergeCell ref="P86:R86"/>
    <mergeCell ref="A3:M3"/>
    <mergeCell ref="A37:Q37"/>
    <mergeCell ref="A38:Q38"/>
    <mergeCell ref="Q94:R94"/>
    <mergeCell ref="Y88:Z88"/>
    <mergeCell ref="Y90:Z91"/>
    <mergeCell ref="A39:M39"/>
    <mergeCell ref="G84:I84"/>
    <mergeCell ref="B85:D85"/>
    <mergeCell ref="E85:G85"/>
    <mergeCell ref="H85:K85"/>
    <mergeCell ref="L85:O85"/>
    <mergeCell ref="E84:F84"/>
    <mergeCell ref="B78:R78"/>
    <mergeCell ref="P85:R85"/>
    <mergeCell ref="E86:G86"/>
  </mergeCells>
  <conditionalFormatting sqref="B19">
    <cfRule type="expression" dxfId="15" priority="82" text="null">
      <formula>ABS(B19-B18)&gt;5</formula>
    </cfRule>
  </conditionalFormatting>
  <conditionalFormatting sqref="B19">
    <cfRule type="expression" dxfId="6" priority="83" text="null">
      <formula>AND(ISNUMBER(B19),ABS(B19-B18)&lt;=5)</formula>
    </cfRule>
  </conditionalFormatting>
  <conditionalFormatting sqref="B18">
    <cfRule type="expression" dxfId="15" priority="81" text="null">
      <formula>ABS(B18-B19)&gt;5</formula>
    </cfRule>
  </conditionalFormatting>
  <conditionalFormatting sqref="F19">
    <cfRule type="expression" dxfId="15" priority="79" text="null">
      <formula>ABS(F19-F18)&gt;5</formula>
    </cfRule>
  </conditionalFormatting>
  <conditionalFormatting sqref="F19">
    <cfRule type="expression" dxfId="6" priority="80" text="null">
      <formula>AND(ISNUMBER(F19),ABS(F19-F18)&lt;=5)</formula>
    </cfRule>
  </conditionalFormatting>
  <conditionalFormatting sqref="F18">
    <cfRule type="expression" dxfId="15" priority="78" text="null">
      <formula>ABS(F18-F19)&gt;5</formula>
    </cfRule>
  </conditionalFormatting>
  <conditionalFormatting sqref="H19">
    <cfRule type="expression" dxfId="15" priority="76" text="null">
      <formula>ABS(H19-H18)&gt;5</formula>
    </cfRule>
  </conditionalFormatting>
  <conditionalFormatting sqref="H19">
    <cfRule type="expression" dxfId="6" priority="77" text="null">
      <formula>AND(ISNUMBER(H19),ABS(H19-H18)&lt;=5)</formula>
    </cfRule>
  </conditionalFormatting>
  <conditionalFormatting sqref="H18">
    <cfRule type="expression" dxfId="15" priority="75" text="null">
      <formula>ABS(H18-H19)&gt;5</formula>
    </cfRule>
  </conditionalFormatting>
  <conditionalFormatting sqref="J19">
    <cfRule type="expression" dxfId="15" priority="73" text="null">
      <formula>ABS(J19-J18)&gt;5</formula>
    </cfRule>
  </conditionalFormatting>
  <conditionalFormatting sqref="J19">
    <cfRule type="expression" dxfId="6" priority="74" text="null">
      <formula>AND(ISNUMBER(J19),ABS(J19-J18)&lt;=5)</formula>
    </cfRule>
  </conditionalFormatting>
  <conditionalFormatting sqref="J18">
    <cfRule type="expression" dxfId="15" priority="72" text="null">
      <formula>ABS(J18-J19)&gt;5</formula>
    </cfRule>
  </conditionalFormatting>
  <conditionalFormatting sqref="B35">
    <cfRule type="expression" dxfId="15" priority="70" text="null">
      <formula>ABS(B35-B34)&gt;5</formula>
    </cfRule>
  </conditionalFormatting>
  <conditionalFormatting sqref="B35">
    <cfRule type="expression" dxfId="6" priority="71" text="null">
      <formula>AND(ISNUMBER(B35),ABS(B35-B34)&lt;=5)</formula>
    </cfRule>
  </conditionalFormatting>
  <conditionalFormatting sqref="B34">
    <cfRule type="expression" dxfId="15" priority="69" text="null">
      <formula>ABS(B34-B35)&gt;5</formula>
    </cfRule>
  </conditionalFormatting>
  <conditionalFormatting sqref="F35">
    <cfRule type="expression" dxfId="15" priority="67" text="null">
      <formula>ABS(F35-F34)&gt;5</formula>
    </cfRule>
  </conditionalFormatting>
  <conditionalFormatting sqref="F35">
    <cfRule type="expression" dxfId="6" priority="68" text="null">
      <formula>AND(ISNUMBER(F35),ABS(F35-F34)&lt;=5)</formula>
    </cfRule>
  </conditionalFormatting>
  <conditionalFormatting sqref="F34">
    <cfRule type="expression" dxfId="15" priority="66" text="null">
      <formula>ABS(F34-F35)&gt;5</formula>
    </cfRule>
  </conditionalFormatting>
  <conditionalFormatting sqref="H35">
    <cfRule type="expression" dxfId="15" priority="64" text="null">
      <formula>ABS(H35-H34)&gt;5</formula>
    </cfRule>
  </conditionalFormatting>
  <conditionalFormatting sqref="H35">
    <cfRule type="expression" dxfId="6" priority="65" text="null">
      <formula>AND(ISNUMBER(H35),ABS(H35-H34)&lt;=5)</formula>
    </cfRule>
  </conditionalFormatting>
  <conditionalFormatting sqref="H34">
    <cfRule type="expression" dxfId="15" priority="63" text="null">
      <formula>ABS(H34-H35)&gt;5</formula>
    </cfRule>
  </conditionalFormatting>
  <conditionalFormatting sqref="J35">
    <cfRule type="expression" dxfId="15" priority="61" text="null">
      <formula>ABS(J35-J34)&gt;5</formula>
    </cfRule>
  </conditionalFormatting>
  <conditionalFormatting sqref="J35">
    <cfRule type="expression" dxfId="6" priority="62" text="null">
      <formula>AND(ISNUMBER(J35),ABS(J35-J34)&lt;=5)</formula>
    </cfRule>
  </conditionalFormatting>
  <conditionalFormatting sqref="J34">
    <cfRule type="expression" dxfId="15" priority="60" text="null">
      <formula>ABS(J34-J35)&gt;5</formula>
    </cfRule>
  </conditionalFormatting>
  <conditionalFormatting sqref="B55">
    <cfRule type="expression" dxfId="15" priority="58" text="null">
      <formula>ABS(B55-B54)&gt;5</formula>
    </cfRule>
  </conditionalFormatting>
  <conditionalFormatting sqref="B55">
    <cfRule type="expression" dxfId="6" priority="59" text="null">
      <formula>AND(ISNUMBER(B55),ABS(B55-B54)&lt;=5)</formula>
    </cfRule>
  </conditionalFormatting>
  <conditionalFormatting sqref="B54">
    <cfRule type="expression" dxfId="15" priority="57" text="null">
      <formula>ABS(B54-B55)&gt;5</formula>
    </cfRule>
  </conditionalFormatting>
  <conditionalFormatting sqref="F55">
    <cfRule type="expression" dxfId="15" priority="55" text="null">
      <formula>ABS(F55-F54)&gt;5</formula>
    </cfRule>
  </conditionalFormatting>
  <conditionalFormatting sqref="F55">
    <cfRule type="expression" dxfId="6" priority="56" text="null">
      <formula>AND(ISNUMBER(F55),ABS(F55-F54)&lt;=5)</formula>
    </cfRule>
  </conditionalFormatting>
  <conditionalFormatting sqref="F54">
    <cfRule type="expression" dxfId="15" priority="54" text="null">
      <formula>ABS(F54-F55)&gt;5</formula>
    </cfRule>
  </conditionalFormatting>
  <conditionalFormatting sqref="H55">
    <cfRule type="expression" dxfId="15" priority="52" text="null">
      <formula>ABS(H55-H54)&gt;5</formula>
    </cfRule>
  </conditionalFormatting>
  <conditionalFormatting sqref="H55">
    <cfRule type="expression" dxfId="6" priority="53" text="null">
      <formula>AND(ISNUMBER(H55),ABS(H55-H54)&lt;=5)</formula>
    </cfRule>
  </conditionalFormatting>
  <conditionalFormatting sqref="H54">
    <cfRule type="expression" dxfId="15" priority="51" text="null">
      <formula>ABS(H54-H55)&gt;5</formula>
    </cfRule>
  </conditionalFormatting>
  <conditionalFormatting sqref="J55">
    <cfRule type="expression" dxfId="15" priority="49" text="null">
      <formula>ABS(J55-J54)&gt;5</formula>
    </cfRule>
  </conditionalFormatting>
  <conditionalFormatting sqref="J55">
    <cfRule type="expression" dxfId="6" priority="50" text="null">
      <formula>AND(ISNUMBER(J55),ABS(J55-J54)&lt;=5)</formula>
    </cfRule>
  </conditionalFormatting>
  <conditionalFormatting sqref="J54">
    <cfRule type="expression" dxfId="15" priority="48" text="null">
      <formula>ABS(J54-J55)&gt;5</formula>
    </cfRule>
  </conditionalFormatting>
  <conditionalFormatting sqref="B71 B73 B75">
    <cfRule type="expression" dxfId="15" priority="38" text="null">
      <formula>AND(NOT(ISERROR(AND(FIND("T12",$A$71),FIND("T12",$A$73),FIND("T12",$A$75)))),ISNUMBER(B71),MAX(B$71,B$73,B$75)-MIN(B$71,B$73,B$75)&gt;5)</formula>
    </cfRule>
  </conditionalFormatting>
  <conditionalFormatting sqref="B71 B73 B75">
    <cfRule type="expression" dxfId="6" priority="39" text="null">
      <formula>AND(NOT(ISERROR(AND(FIND("T12",$A$71),FIND("T12",$A$73),FIND("T12",$A$75)))),ISNUMBER(B71),MAX(B$71,B$73,B$75)-MIN(B$71,B$73,B$75)&lt;=5)</formula>
    </cfRule>
  </conditionalFormatting>
  <conditionalFormatting sqref="F71 F73 F75">
    <cfRule type="expression" dxfId="15" priority="7" text="null">
      <formula>AND(NOT(ISERROR(AND(FIND("T12",$A$71),FIND("T12",$A$73),FIND("T12",$A$75)))),ISNUMBER(F71),MAX(F$71,F$73,F$75)-MIN(F$71,F$73,F$75)&gt;5)</formula>
    </cfRule>
  </conditionalFormatting>
  <conditionalFormatting sqref="F71 F73 F75">
    <cfRule type="expression" dxfId="6" priority="8" text="null">
      <formula>AND(NOT(ISERROR(AND(FIND("T12",$A$71),FIND("T12",$A$73),FIND("T12",$A$75)))),ISNUMBER(F71),MAX(F$71,F$73,F$75)-MIN(F$71,F$73,F$75)&lt;=5)</formula>
    </cfRule>
  </conditionalFormatting>
  <conditionalFormatting sqref="H71 H73 H75">
    <cfRule type="expression" dxfId="15" priority="5" text="null">
      <formula>AND(NOT(ISERROR(AND(FIND("T12",$A$71),FIND("T12",$A$73),FIND("T12",$A$75)))),ISNUMBER(H71),MAX(H$71,H$73,H$75)-MIN(H$71,H$73,H$75)&gt;5)</formula>
    </cfRule>
  </conditionalFormatting>
  <conditionalFormatting sqref="H71 H73 H75">
    <cfRule type="expression" dxfId="6" priority="6" text="null">
      <formula>AND(NOT(ISERROR(AND(FIND("T12",$A$71),FIND("T12",$A$73),FIND("T12",$A$75)))),ISNUMBER(H71),MAX(H$71,H$73,H$75)-MIN(H$71,H$73,H$75)&lt;=5)</formula>
    </cfRule>
  </conditionalFormatting>
  <conditionalFormatting sqref="J71 J73 J75">
    <cfRule type="expression" dxfId="15" priority="3" text="null">
      <formula>AND(NOT(ISERROR(AND(FIND("T12",$A$71),FIND("T12",$A$73),FIND("T12",$A$75)))),ISNUMBER(J71),MAX(J$71,J$73,J$75)-MIN(J$71,J$73,J$75)&gt;5)</formula>
    </cfRule>
  </conditionalFormatting>
  <conditionalFormatting sqref="J71 J73 J75">
    <cfRule type="expression" dxfId="6" priority="4" text="null">
      <formula>AND(NOT(ISERROR(AND(FIND("T12",$A$71),FIND("T12",$A$73),FIND("T12",$A$75)))),ISNUMBER(J71),MAX(J$71,J$73,J$75)-MIN(J$71,J$73,J$75)&lt;=5)</formula>
    </cfRule>
  </conditionalFormatting>
  <conditionalFormatting sqref="M71 M73 M75">
    <cfRule type="expression" dxfId="15" priority="1" text="null">
      <formula>AND(NOT(ISERROR(AND(FIND("T12",$A$71),FIND("T12",$A$73),FIND("T12",$A$75)))),ISNUMBER(M71),MAX(M$71,M$73,M$75)-MIN(M$71,M$73,M$75)&gt;5)</formula>
    </cfRule>
  </conditionalFormatting>
  <conditionalFormatting sqref="M71 M73 M75">
    <cfRule type="expression" dxfId="6" priority="2" text="null">
      <formula>AND(NOT(ISERROR(AND(FIND("T12",$A$71),FIND("T12",$A$73),FIND("T12",$A$75)))),ISNUMBER(M71),MAX(M$71,M$73,M$75)-MIN(M$71,M$73,M$75)&lt;=5)</formula>
    </cfRule>
  </conditionalFormatting>
  <dataValidations count="5">
    <dataValidation allowBlank="1" error="Must be a whole number." errorTitle="Invalid number" showErrorMessage="1" showInputMessage="1" sqref="B6:D18 B22:D34 B42:D54 B58:D70" type="whole">
      <formula1>-100000000</formula1>
      <formula2>100000000</formula2>
    </dataValidation>
    <dataValidation operator="lessThan" allowBlank="1" showErrorMessage="1" showInputMessage="1" sqref="A4" type="whole">
      <formula1>NRI_2YrsBack</formula1>
    </dataValidation>
    <dataValidation operator="lessThan" allowBlank="1" showErrorMessage="1" showInputMessage="1" sqref="A20" type="whole">
      <formula1>NRI_1YrBack</formula1>
    </dataValidation>
    <dataValidation operator="lessThan" allowBlank="1" showErrorMessage="1" showInputMessage="1" sqref="A40" type="whole">
      <formula1>NRI_CurrentYr</formula1>
    </dataValidation>
    <dataValidation allowBlank="1" showErrorMessage="1" showInputMessage="1" sqref="A56" type="whole">
      <formula1>YEAR(TODAY())-1</formula1>
      <formula2>YEAR(TODAY())+1</formula2>
    </dataValidation>
  </dataValidations>
  <printOptions horizontalCentered="1"/>
  <pageMargins left="0.25" right="0.25" top="0.25" bottom="0.25" header="0.5" footer="0.5"/>
  <pageSetup useFirstPageNumber="1" fitToHeight="1" fitToWidth="1" paperSize="5" firstPageNumber="1" scale="48" pageOrder="downThenOver" orientation="landscape"/>
  <headerFooter>
    <oddHeader>&amp;L&amp;C&amp;R</oddHeader>
    <oddFooter>&amp;L&amp;C&amp;R</oddFooter>
  </headerFooter>
  <rowBreaks count="1" manualBreakCount="1">
    <brk id="119" man="1" max="1048576"/>
  </rowBreaks>
  <drawing r:id="rId1"/>
  <extLst/>
</worksheet>
</file>

<file path=xl/worksheets/sheet24.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F74AC2CB-0D9D-C494-5304-CD5926994939}" mc:Ignorable="x14ac xr xr2 xr3">
  <sheetPr>
    <tabColor theme="8" tint="-0.5"/>
    <pageSetUpPr fitToPage="1"/>
  </sheetPr>
  <dimension ref="A1:AW281"/>
  <sheetViews>
    <sheetView topLeftCell="A1" zoomScale="80" workbookViewId="0">
      <selection activeCell="C6" sqref="C6"/>
    </sheetView>
  </sheetViews>
  <sheetFormatPr defaultRowHeight="14.497499999999997" defaultColWidth="0" customHeight="1" outlineLevelRow="1"/>
  <cols>
    <col min="1" max="1" style="625" width="2.57421875" customWidth="1"/>
    <col min="2" max="2" style="625" width="13.28125" customWidth="1"/>
    <col min="3" max="3" style="625" width="30.57421875" customWidth="1"/>
    <col min="4" max="4" style="625" width="18.57421875" customWidth="1"/>
    <col min="5" max="5" style="625" width="24.57421875" customWidth="1"/>
    <col min="6" max="6" style="625" width="6.57421875" customWidth="1"/>
    <col min="7" max="7" style="625" width="19.57421875" customWidth="1"/>
    <col min="8" max="8" style="625" width="10.00390625" customWidth="1"/>
    <col min="9" max="9" style="625" width="7.8515625" customWidth="1"/>
    <col min="10" max="10" style="625" width="11.57421875" customWidth="1"/>
    <col min="11" max="11" style="625" width="9.28125" customWidth="1"/>
    <col min="12" max="13" style="625" width="10.140625" customWidth="1"/>
    <col min="14" max="14" style="625" width="9.140625" customWidth="1"/>
    <col min="15" max="19" style="625" width="9.00390625" customWidth="1"/>
    <col min="20" max="22" style="625" width="10.140625" customWidth="1"/>
    <col min="23" max="23" style="625" width="8.00390625" customWidth="1"/>
    <col min="24" max="24" style="625" width="7.57421875" customWidth="1"/>
    <col min="25" max="25" style="625" width="9.57421875" customWidth="1"/>
    <col min="26" max="26" style="625" width="13.140625" customWidth="1"/>
    <col min="27" max="27" style="625" width="12.140625" customWidth="1"/>
    <col min="28" max="28" style="625" width="9.8515625" customWidth="1"/>
    <col min="29" max="30" style="625" width="10.140625" customWidth="1"/>
    <col min="31" max="31" style="625" width="13.00390625" customWidth="1"/>
    <col min="32" max="33" style="625" width="10.140625" customWidth="1"/>
    <col min="34" max="34" style="625" width="13.7109375" customWidth="1"/>
    <col min="35" max="35" style="625" width="12.57421875" customWidth="1"/>
    <col min="36" max="36" style="625" width="11.57421875" customWidth="1"/>
    <col min="37" max="37" style="3549" width="10.140625" customWidth="1"/>
    <col min="38" max="38" style="625" width="11.140625" customWidth="1"/>
    <col min="39" max="39" style="625" width="13.140625" customWidth="1"/>
    <col min="40" max="40" style="625" width="12.140625" customWidth="1"/>
    <col min="41" max="41" style="625" width="14.28125" customWidth="1"/>
    <col min="42" max="43" style="625" width="9.57421875" customWidth="1"/>
    <col min="44" max="49" style="625" width="0" hidden="1"/>
  </cols>
  <sheetData>
    <row r="1"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3394"/>
      <c r="AL1" s="6"/>
      <c r="AM1" s="6"/>
      <c r="AN1" s="6"/>
      <c r="AO1" s="6"/>
      <c r="AP1" s="6"/>
      <c r="AQ1" s="6"/>
    </row>
    <row r="2" ht="18" customHeight="1">
      <c r="A2" s="6"/>
      <c r="B2" s="3395" t="s">
        <v>3097</v>
      </c>
      <c r="C2" s="3396"/>
      <c r="D2" s="3397"/>
      <c r="E2" s="6"/>
      <c r="F2" s="3397"/>
      <c r="G2" s="3397"/>
      <c r="H2" s="3398"/>
      <c r="I2" s="3399"/>
      <c r="J2" s="3400"/>
      <c r="K2" s="3401"/>
      <c r="L2" s="3402"/>
      <c r="M2" s="3402"/>
      <c r="N2" s="3402"/>
      <c r="O2" s="3402"/>
      <c r="P2" s="3402"/>
      <c r="Q2" s="3402"/>
      <c r="R2" s="3402"/>
      <c r="S2" s="3402"/>
      <c r="T2" s="3402"/>
      <c r="U2" s="3402"/>
      <c r="V2" s="3402"/>
      <c r="W2" s="3402"/>
      <c r="X2" s="3402"/>
      <c r="Y2" s="3402"/>
      <c r="Z2" s="3401"/>
      <c r="AA2" s="3401"/>
      <c r="AB2" s="3403"/>
      <c r="AC2" s="3403"/>
      <c r="AD2" s="3403"/>
      <c r="AE2" s="3401"/>
      <c r="AF2" s="6"/>
      <c r="AG2" s="6"/>
      <c r="AH2" s="3395"/>
      <c r="AI2" s="3395"/>
      <c r="AJ2" s="3395"/>
      <c r="AK2" s="3394"/>
      <c r="AL2" s="6"/>
      <c r="AM2" s="6"/>
      <c r="AN2" s="6"/>
      <c r="AO2" s="2648">
        <f t="shared" si="0" ref="AO2:AO3">NOW()</f>
        <v>45201.47613552083</v>
      </c>
      <c r="AP2" s="6"/>
      <c r="AQ2" s="6"/>
    </row>
    <row r="3" ht="18" customHeight="1">
      <c r="A3" s="6"/>
      <c r="B3" s="3404" t="s">
        <v>3098</v>
      </c>
      <c r="C3" s="6"/>
      <c r="D3" s="3397"/>
      <c r="E3" s="3396"/>
      <c r="F3" s="3397"/>
      <c r="G3" s="3397"/>
      <c r="H3" s="3398"/>
      <c r="I3" s="3399"/>
      <c r="J3" s="3400"/>
      <c r="K3" s="3401"/>
      <c r="L3" s="3402"/>
      <c r="M3" s="3402"/>
      <c r="N3" s="3402"/>
      <c r="O3" s="3402"/>
      <c r="P3" s="3402"/>
      <c r="Q3" s="3402"/>
      <c r="R3" s="3402"/>
      <c r="S3" s="3402"/>
      <c r="T3" s="3402"/>
      <c r="U3" s="3402"/>
      <c r="V3" s="3402"/>
      <c r="W3" s="3402"/>
      <c r="X3" s="3402"/>
      <c r="Y3" s="3402"/>
      <c r="Z3" s="3401"/>
      <c r="AA3" s="3401"/>
      <c r="AB3" s="3403"/>
      <c r="AC3" s="3403"/>
      <c r="AD3" s="3403"/>
      <c r="AE3" s="3401"/>
      <c r="AF3" s="3405"/>
      <c r="AG3" s="6"/>
      <c r="AH3" s="2652"/>
      <c r="AI3" s="3395"/>
      <c r="AJ3" s="3395"/>
      <c r="AK3" s="3394"/>
      <c r="AL3" s="6"/>
      <c r="AM3" s="6"/>
      <c r="AN3" s="6"/>
      <c r="AO3" s="2652">
        <f t="shared" si="0"/>
        <v>45201.47613553241</v>
      </c>
      <c r="AP3" s="6"/>
      <c r="AQ3" s="6"/>
    </row>
    <row r="4" ht="18" customHeight="1">
      <c r="A4" s="6"/>
      <c r="B4" s="3396"/>
      <c r="C4" s="6"/>
      <c r="D4" s="3397"/>
      <c r="E4" s="3396"/>
      <c r="F4" s="3397"/>
      <c r="G4" s="3397"/>
      <c r="H4" s="3398"/>
      <c r="I4" s="3399"/>
      <c r="J4" s="3400"/>
      <c r="K4" s="3401"/>
      <c r="L4" s="3402"/>
      <c r="M4" s="3402"/>
      <c r="N4" s="3402"/>
      <c r="O4" s="3402"/>
      <c r="P4" s="3402"/>
      <c r="Q4" s="3402"/>
      <c r="R4" s="3402"/>
      <c r="S4" s="3402"/>
      <c r="T4" s="3402"/>
      <c r="U4" s="3402"/>
      <c r="V4" s="3402"/>
      <c r="W4" s="3402"/>
      <c r="X4" s="3402"/>
      <c r="Y4" s="3402"/>
      <c r="Z4" s="3401"/>
      <c r="AA4" s="3401"/>
      <c r="AB4" s="3403"/>
      <c r="AC4" s="3403"/>
      <c r="AD4" s="3403"/>
      <c r="AE4" s="3401"/>
      <c r="AF4" s="3405"/>
      <c r="AG4" s="3405"/>
      <c r="AH4" s="3395"/>
      <c r="AI4" s="3395"/>
      <c r="AJ4" s="3395"/>
      <c r="AK4" s="3406"/>
      <c r="AL4" s="6"/>
      <c r="AM4" s="6"/>
      <c r="AN4" s="6"/>
      <c r="AO4" s="6"/>
      <c r="AP4" s="6"/>
      <c r="AQ4" s="6"/>
    </row>
    <row r="5" ht="15" customHeight="1">
      <c r="A5" s="6"/>
      <c r="B5" s="3407" t="s">
        <v>2420</v>
      </c>
      <c r="C5" s="3408"/>
      <c r="D5" s="6"/>
      <c r="F5" s="6"/>
      <c r="G5" s="3409"/>
      <c r="H5" s="3410"/>
      <c r="I5" s="3411"/>
      <c r="J5" s="3412"/>
      <c r="K5" s="3413"/>
      <c r="L5" s="3186"/>
      <c r="M5" s="3186"/>
      <c r="N5" s="3186"/>
      <c r="O5" s="3186"/>
      <c r="P5" s="3186"/>
      <c r="Q5" s="3186"/>
      <c r="R5" s="3186"/>
      <c r="S5" s="3186"/>
      <c r="T5" s="3186"/>
      <c r="U5" s="3186"/>
      <c r="V5" s="3186"/>
      <c r="W5" s="3186"/>
      <c r="X5" s="3186"/>
      <c r="Y5" s="3186"/>
      <c r="Z5" s="3413"/>
      <c r="AA5" s="3413"/>
      <c r="AB5" s="3414"/>
      <c r="AC5" s="3414"/>
      <c r="AD5" s="3414"/>
      <c r="AE5" s="3413"/>
      <c r="AF5" s="6"/>
      <c r="AG5" s="6"/>
      <c r="AH5" s="3183"/>
      <c r="AI5" s="3183"/>
      <c r="AJ5" s="3183"/>
      <c r="AK5" s="3415"/>
      <c r="AL5" s="6"/>
      <c r="AM5" s="6"/>
      <c r="AN5" s="6"/>
      <c r="AO5" s="6"/>
      <c r="AP5" s="6"/>
      <c r="AQ5" s="6"/>
    </row>
    <row r="6" ht="15" customHeight="1">
      <c r="A6" s="6"/>
      <c r="B6" s="3416" t="s">
        <v>3099</v>
      </c>
      <c r="C6" s="3417">
        <f>YEAR(TODAY())-1</f>
        <v>2022</v>
      </c>
      <c r="D6" s="6"/>
      <c r="E6" s="6"/>
      <c r="F6" s="6"/>
      <c r="G6" s="3409"/>
      <c r="H6" s="3410"/>
      <c r="I6" s="3411"/>
      <c r="J6" s="3412"/>
      <c r="K6" s="3413"/>
      <c r="L6" s="3186"/>
      <c r="M6" s="3186"/>
      <c r="N6" s="3186"/>
      <c r="O6" s="3186"/>
      <c r="P6" s="3186"/>
      <c r="Q6" s="3186"/>
      <c r="R6" s="3186"/>
      <c r="S6" s="3186"/>
      <c r="T6" s="3186"/>
      <c r="U6" s="3186"/>
      <c r="V6" s="3186"/>
      <c r="W6" s="3186"/>
      <c r="X6" s="3186"/>
      <c r="Y6" s="3186"/>
      <c r="Z6" s="3413"/>
      <c r="AA6" s="3413"/>
      <c r="AB6" s="3414"/>
      <c r="AC6" s="3414"/>
      <c r="AD6" s="3414"/>
      <c r="AE6" s="3413"/>
      <c r="AF6" s="6"/>
      <c r="AG6" s="6"/>
      <c r="AH6" s="3183"/>
      <c r="AI6" s="3183"/>
      <c r="AJ6" s="3183"/>
      <c r="AK6" s="3415"/>
      <c r="AL6" s="6"/>
      <c r="AM6" s="6"/>
      <c r="AN6" s="6"/>
      <c r="AO6" s="6"/>
      <c r="AP6" s="6"/>
      <c r="AQ6" s="6"/>
    </row>
    <row r="7" ht="15" customHeight="1">
      <c r="A7" s="6"/>
      <c r="B7" s="3418" t="s">
        <v>405</v>
      </c>
      <c r="C7" s="1299" t="str">
        <f>Property_Type</f>
        <v>Multifamily</v>
      </c>
      <c r="E7" s="6"/>
      <c r="F7" s="6"/>
      <c r="G7" s="3409"/>
      <c r="I7" s="3411"/>
      <c r="K7" s="3413"/>
      <c r="L7" s="3186"/>
      <c r="M7" s="3186"/>
      <c r="N7" s="3186"/>
      <c r="O7" s="3186"/>
      <c r="P7" s="3186"/>
      <c r="Q7" s="3186"/>
      <c r="R7" s="3186"/>
      <c r="S7" s="3186"/>
      <c r="T7" s="3186"/>
      <c r="U7" s="3186"/>
      <c r="V7" s="3186"/>
      <c r="W7" s="3186"/>
      <c r="X7" s="3186"/>
      <c r="Y7" s="3186"/>
      <c r="Z7" s="3413"/>
      <c r="AA7" s="3413"/>
      <c r="AB7" s="3414"/>
      <c r="AC7" s="3414"/>
      <c r="AD7" s="3414"/>
      <c r="AE7" s="3413"/>
      <c r="AF7" s="6"/>
      <c r="AG7" s="6"/>
      <c r="AH7" s="3183"/>
      <c r="AI7" s="3183"/>
      <c r="AJ7" s="3183"/>
      <c r="AK7" s="3415"/>
      <c r="AL7" s="6"/>
      <c r="AM7" s="6"/>
      <c r="AN7" s="6"/>
      <c r="AO7" s="6"/>
      <c r="AP7" s="6"/>
      <c r="AQ7" s="6"/>
    </row>
    <row r="8" ht="15" customHeight="1">
      <c r="A8" s="6"/>
      <c r="B8" s="3419"/>
      <c r="C8" s="6"/>
      <c r="D8" s="3409"/>
      <c r="E8" s="6"/>
      <c r="F8" s="6"/>
      <c r="G8" s="3409"/>
      <c r="H8" s="3410"/>
      <c r="I8" s="3411"/>
      <c r="J8" s="3412"/>
      <c r="K8" s="3413"/>
      <c r="L8" s="3186"/>
      <c r="M8" s="3186"/>
      <c r="N8" s="3186"/>
      <c r="O8" s="3186"/>
      <c r="P8" s="3186"/>
      <c r="Q8" s="3186"/>
      <c r="R8" s="3186"/>
      <c r="S8" s="3186"/>
      <c r="T8" s="3186"/>
      <c r="U8" s="3186"/>
      <c r="V8" s="3186"/>
      <c r="W8" s="3186"/>
      <c r="X8" s="3186"/>
      <c r="Y8" s="3186"/>
      <c r="Z8" s="3413"/>
      <c r="AA8" s="3413"/>
      <c r="AB8" s="3414"/>
      <c r="AC8" s="3414"/>
      <c r="AD8" s="3414"/>
      <c r="AE8" s="3413"/>
      <c r="AF8" s="6"/>
      <c r="AG8" s="6"/>
      <c r="AH8" s="3183"/>
      <c r="AI8" s="3183"/>
      <c r="AJ8" s="3183"/>
      <c r="AK8" s="3415"/>
      <c r="AL8" s="6"/>
      <c r="AM8" s="6"/>
      <c r="AN8" s="6"/>
      <c r="AO8" s="6"/>
      <c r="AP8" s="6"/>
      <c r="AQ8" s="6"/>
    </row>
    <row r="9" ht="18" customHeight="1">
      <c r="A9" s="6"/>
      <c r="B9" s="3420" t="s">
        <v>3100</v>
      </c>
      <c r="C9" s="6"/>
      <c r="D9" s="3409"/>
      <c r="E9" s="3409"/>
      <c r="F9" s="3409"/>
      <c r="G9" s="3409"/>
      <c r="H9" s="3410"/>
      <c r="I9" s="3411"/>
      <c r="J9" s="3412"/>
      <c r="K9" s="3413"/>
      <c r="L9" s="3186"/>
      <c r="M9" s="3186"/>
      <c r="N9" s="3186"/>
      <c r="O9" s="3186"/>
      <c r="P9" s="3186"/>
      <c r="Q9" s="3186"/>
      <c r="R9" s="3186"/>
      <c r="S9" s="3186"/>
      <c r="T9" s="3186"/>
      <c r="U9" s="3186"/>
      <c r="V9" s="3186"/>
      <c r="W9" s="3186"/>
      <c r="X9" s="3186"/>
      <c r="Y9" s="3186"/>
      <c r="Z9" s="3413"/>
      <c r="AA9" s="3413"/>
      <c r="AB9" s="3414"/>
      <c r="AC9" s="3414"/>
      <c r="AD9" s="3414"/>
      <c r="AE9" s="3413"/>
      <c r="AF9" s="3409"/>
      <c r="AG9" s="3409"/>
      <c r="AH9" s="3183"/>
      <c r="AI9" s="3183"/>
      <c r="AJ9" s="3183"/>
      <c r="AK9" s="3415"/>
      <c r="AL9" s="6"/>
      <c r="AM9" s="6"/>
      <c r="AN9" s="6"/>
      <c r="AO9" s="6"/>
      <c r="AP9" s="6"/>
      <c r="AQ9" s="6"/>
    </row>
    <row r="10" ht="15" customHeight="1">
      <c r="A10" s="6"/>
      <c r="B10" s="3409"/>
      <c r="C10" s="3421"/>
      <c r="D10" s="6"/>
      <c r="E10" s="6"/>
      <c r="F10" s="595">
        <f>IF(C7="Dedicated Student","NOTE: Check EGI Column when Copying/Pasting Student Housing Data &gt;&gt;","")</f>
      </c>
      <c r="G10" s="595"/>
      <c r="H10" s="3422"/>
      <c r="I10" s="3422"/>
      <c r="J10" s="3422"/>
      <c r="K10" s="3423"/>
      <c r="L10" s="3424" t="str">
        <f t="shared" si="5" ref="L10:L256">$C$6&amp;" Per Unit Expenses"</f>
        <v>2022 Per Unit Expenses</v>
      </c>
      <c r="M10" s="3425"/>
      <c r="N10" s="3425"/>
      <c r="O10" s="3425"/>
      <c r="P10" s="3425"/>
      <c r="Q10" s="3425"/>
      <c r="R10" s="3425"/>
      <c r="S10" s="3425"/>
      <c r="T10" s="3425"/>
      <c r="U10" s="3425"/>
      <c r="V10" s="3425"/>
      <c r="W10" s="3425"/>
      <c r="X10" s="3425"/>
      <c r="Y10" s="3425"/>
      <c r="Z10" s="3426"/>
      <c r="AA10" s="3427" t="str">
        <f>C6-1&amp;" - "&amp;C6</f>
        <v>2021 - 2022</v>
      </c>
      <c r="AB10" s="3424">
        <f>C6</f>
        <v>2022</v>
      </c>
      <c r="AC10" s="3426"/>
      <c r="AD10" s="3428">
        <f>C6-1</f>
        <v>2021</v>
      </c>
      <c r="AE10" s="3427" t="str">
        <f>C6-1&amp;" - "&amp;C6</f>
        <v>2021 - 2022</v>
      </c>
      <c r="AF10" s="3429">
        <f>C6</f>
        <v>2022</v>
      </c>
      <c r="AG10" s="3428">
        <f>C6-1</f>
        <v>2021</v>
      </c>
      <c r="AH10" s="3430">
        <f>C6</f>
        <v>2022</v>
      </c>
      <c r="AI10" s="3431"/>
      <c r="AJ10" s="3431"/>
      <c r="AK10" s="3431"/>
      <c r="AL10" s="3431"/>
      <c r="AM10" s="3431"/>
      <c r="AN10" s="3431"/>
      <c r="AO10" s="3432"/>
      <c r="AP10" s="6"/>
      <c r="AQ10" s="6"/>
      <c r="AR10" s="6"/>
    </row>
    <row r="11" ht="40.5" customHeight="1">
      <c r="B11" s="3559" t="s">
        <v>3103</v>
      </c>
      <c r="C11" s="2872" t="s">
        <v>3104</v>
      </c>
      <c r="D11" s="2872" t="s">
        <v>279</v>
      </c>
      <c r="E11" s="2872" t="s">
        <v>2675</v>
      </c>
      <c r="F11" s="2872" t="s">
        <v>289</v>
      </c>
      <c r="G11" s="3552" t="s">
        <v>3105</v>
      </c>
      <c r="H11" s="2872" t="s">
        <v>201</v>
      </c>
      <c r="I11" s="3563" t="s">
        <v>660</v>
      </c>
      <c r="J11" s="3554" t="s">
        <v>3106</v>
      </c>
      <c r="K11" s="3554" t="s">
        <v>3107</v>
      </c>
      <c r="L11" s="3564" t="s">
        <v>1409</v>
      </c>
      <c r="M11" s="3565" t="s">
        <v>3108</v>
      </c>
      <c r="N11" s="3566" t="s">
        <v>3109</v>
      </c>
      <c r="O11" s="3566" t="s">
        <v>3110</v>
      </c>
      <c r="P11" s="3566" t="s">
        <v>3111</v>
      </c>
      <c r="Q11" s="3566" t="s">
        <v>3112</v>
      </c>
      <c r="R11" s="3566" t="s">
        <v>1416</v>
      </c>
      <c r="S11" s="3566" t="s">
        <v>1417</v>
      </c>
      <c r="T11" s="3566" t="s">
        <v>3113</v>
      </c>
      <c r="U11" s="3566" t="s">
        <v>3114</v>
      </c>
      <c r="V11" s="3566" t="s">
        <v>3115</v>
      </c>
      <c r="W11" s="3566" t="s">
        <v>3116</v>
      </c>
      <c r="X11" s="3566" t="s">
        <v>3117</v>
      </c>
      <c r="Y11" s="3566" t="s">
        <v>2968</v>
      </c>
      <c r="Z11" s="3566" t="s">
        <v>3118</v>
      </c>
      <c r="AA11" s="3567" t="s">
        <v>3119</v>
      </c>
      <c r="AB11" s="3565" t="s">
        <v>3120</v>
      </c>
      <c r="AC11" s="3569" t="s">
        <v>1427</v>
      </c>
      <c r="AD11" s="3570" t="s">
        <v>3121</v>
      </c>
      <c r="AE11" s="3572" t="s">
        <v>3122</v>
      </c>
      <c r="AF11" s="3565" t="s">
        <v>1225</v>
      </c>
      <c r="AG11" s="3575" t="s">
        <v>3123</v>
      </c>
      <c r="AH11" s="3569" t="s">
        <v>2417</v>
      </c>
      <c r="AI11" s="3569" t="s">
        <v>3124</v>
      </c>
      <c r="AJ11" s="3577" t="s">
        <v>449</v>
      </c>
      <c r="AK11" s="3569" t="s">
        <v>3125</v>
      </c>
      <c r="AL11" s="3578" t="s">
        <v>3126</v>
      </c>
      <c r="AM11" s="3580" t="s">
        <v>247</v>
      </c>
      <c r="AN11" s="3569" t="s">
        <v>3127</v>
      </c>
      <c r="AO11" s="3569" t="s">
        <v>3128</v>
      </c>
      <c r="AP11" s="6"/>
      <c r="AQ11" s="6"/>
      <c r="AR11" s="6"/>
    </row>
    <row r="12" ht="13.5" customHeight="1">
      <c r="B12" s="3560">
        <v>1</v>
      </c>
      <c r="C12" s="3529"/>
      <c r="D12" s="3529"/>
      <c r="E12" s="3529"/>
      <c r="F12" s="3530"/>
      <c r="G12" s="3561"/>
      <c r="H12" s="3562"/>
      <c r="I12" s="3532"/>
      <c r="J12" s="3533"/>
      <c r="K12" s="3534"/>
      <c r="L12" s="3535"/>
      <c r="M12" s="3536"/>
      <c r="N12" s="3535"/>
      <c r="O12" s="3535"/>
      <c r="P12" s="3535"/>
      <c r="Q12" s="3535"/>
      <c r="R12" s="3535"/>
      <c r="S12" s="3535"/>
      <c r="T12" s="3535"/>
      <c r="U12" s="3535"/>
      <c r="V12" s="3535"/>
      <c r="W12" s="3535"/>
      <c r="X12" s="3535"/>
      <c r="Y12" s="3535"/>
      <c r="Z12" s="3535"/>
      <c r="AA12" s="3568"/>
      <c r="AB12" s="3536"/>
      <c r="AC12" s="3535"/>
      <c r="AD12" s="3571"/>
      <c r="AE12" s="3573"/>
      <c r="AF12" s="3574"/>
      <c r="AG12" s="3576"/>
      <c r="AH12" s="3535"/>
      <c r="AI12" s="3535"/>
      <c r="AJ12" s="3574"/>
      <c r="AK12" s="3535"/>
      <c r="AL12" s="3579"/>
      <c r="AM12" s="3535"/>
      <c r="AN12" s="3581">
        <f>IF(ExpComps_LenderTable[[#This Row], [R&amp;M]]+ExpComps_LenderTable[[#This Row], [Payroll]]&gt;0,ExpComps_LenderTable[[#This Row], [R&amp;M]]+ExpComps_LenderTable[[#This Row], [Payroll]],"")</f>
      </c>
      <c r="AO1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 s="6"/>
      <c r="AQ12" s="6"/>
      <c r="AR12" s="6"/>
    </row>
    <row r="13" ht="13.5" customHeight="1">
      <c r="B13" s="3560">
        <v>2</v>
      </c>
      <c r="C13" s="3529"/>
      <c r="D13" s="3529"/>
      <c r="E13" s="3529"/>
      <c r="F13" s="3530"/>
      <c r="G13" s="3561"/>
      <c r="H13" s="3562"/>
      <c r="I13" s="3532"/>
      <c r="J13" s="3533"/>
      <c r="K13" s="3534"/>
      <c r="L13" s="3535"/>
      <c r="M13" s="3536"/>
      <c r="N13" s="3535"/>
      <c r="O13" s="3535"/>
      <c r="P13" s="3535"/>
      <c r="Q13" s="3535"/>
      <c r="R13" s="3535"/>
      <c r="S13" s="3535"/>
      <c r="T13" s="3535"/>
      <c r="U13" s="3535"/>
      <c r="V13" s="3535"/>
      <c r="W13" s="3535"/>
      <c r="X13" s="3535"/>
      <c r="Y13" s="3535"/>
      <c r="Z13" s="3535"/>
      <c r="AA13" s="3568"/>
      <c r="AB13" s="3536"/>
      <c r="AC13" s="3535"/>
      <c r="AD13" s="3571"/>
      <c r="AE13" s="3573"/>
      <c r="AF13" s="3574"/>
      <c r="AG13" s="3576"/>
      <c r="AH13" s="3535"/>
      <c r="AI13" s="3535"/>
      <c r="AJ13" s="3574"/>
      <c r="AK13" s="3535"/>
      <c r="AL13" s="3579"/>
      <c r="AM13" s="3535"/>
      <c r="AN13" s="3581">
        <f>IF(ExpComps_LenderTable[[#This Row], [R&amp;M]]+ExpComps_LenderTable[[#This Row], [Payroll]]&gt;0,ExpComps_LenderTable[[#This Row], [R&amp;M]]+ExpComps_LenderTable[[#This Row], [Payroll]],"")</f>
      </c>
      <c r="AO1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 s="6"/>
      <c r="AQ13" s="6"/>
      <c r="AR13" s="6"/>
    </row>
    <row r="14" ht="13.5" customHeight="1">
      <c r="B14" s="3560">
        <v>3</v>
      </c>
      <c r="C14" s="3529"/>
      <c r="D14" s="3529"/>
      <c r="E14" s="3529"/>
      <c r="F14" s="3530"/>
      <c r="G14" s="3561"/>
      <c r="H14" s="3562"/>
      <c r="I14" s="3532"/>
      <c r="J14" s="3533"/>
      <c r="K14" s="3534"/>
      <c r="L14" s="3535"/>
      <c r="M14" s="3536"/>
      <c r="N14" s="3535"/>
      <c r="O14" s="3535"/>
      <c r="P14" s="3535"/>
      <c r="Q14" s="3535"/>
      <c r="R14" s="3535"/>
      <c r="S14" s="3535"/>
      <c r="T14" s="3535"/>
      <c r="U14" s="3535"/>
      <c r="V14" s="3535"/>
      <c r="W14" s="3535"/>
      <c r="X14" s="3535"/>
      <c r="Y14" s="3535"/>
      <c r="Z14" s="3535"/>
      <c r="AA14" s="3568"/>
      <c r="AB14" s="3536"/>
      <c r="AC14" s="3535"/>
      <c r="AD14" s="3571"/>
      <c r="AE14" s="3573"/>
      <c r="AF14" s="3574"/>
      <c r="AG14" s="3576"/>
      <c r="AH14" s="3535"/>
      <c r="AI14" s="3535"/>
      <c r="AJ14" s="3574"/>
      <c r="AK14" s="3535"/>
      <c r="AL14" s="3579"/>
      <c r="AM14" s="3535"/>
      <c r="AN14" s="3581">
        <f>IF(ExpComps_LenderTable[[#This Row], [R&amp;M]]+ExpComps_LenderTable[[#This Row], [Payroll]]&gt;0,ExpComps_LenderTable[[#This Row], [R&amp;M]]+ExpComps_LenderTable[[#This Row], [Payroll]],"")</f>
      </c>
      <c r="AO1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 s="6"/>
      <c r="AQ14" s="6"/>
      <c r="AR14" s="6"/>
    </row>
    <row r="15" ht="13.5" customHeight="1">
      <c r="B15" s="3560">
        <v>4</v>
      </c>
      <c r="C15" s="3529"/>
      <c r="D15" s="3529"/>
      <c r="E15" s="3529"/>
      <c r="F15" s="3530"/>
      <c r="G15" s="3561"/>
      <c r="H15" s="3562"/>
      <c r="I15" s="3532"/>
      <c r="J15" s="3533"/>
      <c r="K15" s="3534"/>
      <c r="L15" s="3535"/>
      <c r="M15" s="3536"/>
      <c r="N15" s="3535"/>
      <c r="O15" s="3535"/>
      <c r="P15" s="3535"/>
      <c r="Q15" s="3535"/>
      <c r="R15" s="3535"/>
      <c r="S15" s="3535"/>
      <c r="T15" s="3535"/>
      <c r="U15" s="3535"/>
      <c r="V15" s="3535"/>
      <c r="W15" s="3535"/>
      <c r="X15" s="3535"/>
      <c r="Y15" s="3535"/>
      <c r="Z15" s="3535"/>
      <c r="AA15" s="3568"/>
      <c r="AB15" s="3536"/>
      <c r="AC15" s="3535"/>
      <c r="AD15" s="3571"/>
      <c r="AE15" s="3573"/>
      <c r="AF15" s="3574"/>
      <c r="AG15" s="3576"/>
      <c r="AH15" s="3535"/>
      <c r="AI15" s="3535"/>
      <c r="AJ15" s="3574"/>
      <c r="AK15" s="3535"/>
      <c r="AL15" s="3579"/>
      <c r="AM15" s="3535"/>
      <c r="AN15" s="3581">
        <f>IF(ExpComps_LenderTable[[#This Row], [R&amp;M]]+ExpComps_LenderTable[[#This Row], [Payroll]]&gt;0,ExpComps_LenderTable[[#This Row], [R&amp;M]]+ExpComps_LenderTable[[#This Row], [Payroll]],"")</f>
      </c>
      <c r="AO1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 s="6"/>
      <c r="AQ15" s="6"/>
      <c r="AR15" s="6"/>
    </row>
    <row r="16" ht="13.5" customHeight="1">
      <c r="B16" s="3560">
        <v>5</v>
      </c>
      <c r="C16" s="3529"/>
      <c r="D16" s="3529"/>
      <c r="E16" s="3529"/>
      <c r="F16" s="3530"/>
      <c r="G16" s="3561"/>
      <c r="H16" s="3562"/>
      <c r="I16" s="3532"/>
      <c r="J16" s="3533"/>
      <c r="K16" s="3534"/>
      <c r="L16" s="3535"/>
      <c r="M16" s="3536"/>
      <c r="N16" s="3535"/>
      <c r="O16" s="3535"/>
      <c r="P16" s="3535"/>
      <c r="Q16" s="3535"/>
      <c r="R16" s="3535"/>
      <c r="S16" s="3535"/>
      <c r="T16" s="3535"/>
      <c r="U16" s="3535"/>
      <c r="V16" s="3535"/>
      <c r="W16" s="3535"/>
      <c r="X16" s="3535"/>
      <c r="Y16" s="3535"/>
      <c r="Z16" s="3535"/>
      <c r="AA16" s="3568"/>
      <c r="AB16" s="3536"/>
      <c r="AC16" s="3535"/>
      <c r="AD16" s="3571"/>
      <c r="AE16" s="3573"/>
      <c r="AF16" s="3574"/>
      <c r="AG16" s="3576"/>
      <c r="AH16" s="3535"/>
      <c r="AI16" s="3535"/>
      <c r="AJ16" s="3574"/>
      <c r="AK16" s="3535"/>
      <c r="AL16" s="3579"/>
      <c r="AM16" s="3535"/>
      <c r="AN16" s="3581">
        <f>IF(ExpComps_LenderTable[[#This Row], [R&amp;M]]+ExpComps_LenderTable[[#This Row], [Payroll]]&gt;0,ExpComps_LenderTable[[#This Row], [R&amp;M]]+ExpComps_LenderTable[[#This Row], [Payroll]],"")</f>
      </c>
      <c r="AO1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 s="6"/>
      <c r="AQ16" s="6"/>
      <c r="AR16" s="6"/>
    </row>
    <row r="17" ht="13.5" customHeight="1">
      <c r="B17" s="3560">
        <v>6</v>
      </c>
      <c r="C17" s="3529"/>
      <c r="D17" s="3529"/>
      <c r="E17" s="3529"/>
      <c r="F17" s="3530"/>
      <c r="G17" s="3561"/>
      <c r="H17" s="3562"/>
      <c r="I17" s="3532"/>
      <c r="J17" s="3533"/>
      <c r="K17" s="3534"/>
      <c r="L17" s="3535"/>
      <c r="M17" s="3536"/>
      <c r="N17" s="3535"/>
      <c r="O17" s="3535"/>
      <c r="P17" s="3535"/>
      <c r="Q17" s="3535"/>
      <c r="R17" s="3535"/>
      <c r="S17" s="3535"/>
      <c r="T17" s="3535"/>
      <c r="U17" s="3535"/>
      <c r="V17" s="3535"/>
      <c r="W17" s="3535"/>
      <c r="X17" s="3535"/>
      <c r="Y17" s="3535"/>
      <c r="Z17" s="3535"/>
      <c r="AA17" s="3568"/>
      <c r="AB17" s="3536"/>
      <c r="AC17" s="3535"/>
      <c r="AD17" s="3571"/>
      <c r="AE17" s="3573"/>
      <c r="AF17" s="3574"/>
      <c r="AG17" s="3576"/>
      <c r="AH17" s="3535"/>
      <c r="AI17" s="3535"/>
      <c r="AJ17" s="3574"/>
      <c r="AK17" s="3535"/>
      <c r="AL17" s="3579"/>
      <c r="AM17" s="3535"/>
      <c r="AN17" s="3581">
        <f>IF(ExpComps_LenderTable[[#This Row], [R&amp;M]]+ExpComps_LenderTable[[#This Row], [Payroll]]&gt;0,ExpComps_LenderTable[[#This Row], [R&amp;M]]+ExpComps_LenderTable[[#This Row], [Payroll]],"")</f>
      </c>
      <c r="AO1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 s="6"/>
      <c r="AQ17" s="6"/>
      <c r="AR17" s="6"/>
    </row>
    <row r="18" ht="13.5" customHeight="1">
      <c r="B18" s="3560">
        <v>7</v>
      </c>
      <c r="C18" s="3529"/>
      <c r="D18" s="3529"/>
      <c r="E18" s="3529"/>
      <c r="F18" s="3530"/>
      <c r="G18" s="3561"/>
      <c r="H18" s="3562"/>
      <c r="I18" s="3532"/>
      <c r="J18" s="3533"/>
      <c r="K18" s="3534"/>
      <c r="L18" s="3535"/>
      <c r="M18" s="3536"/>
      <c r="N18" s="3535"/>
      <c r="O18" s="3535"/>
      <c r="P18" s="3535"/>
      <c r="Q18" s="3535"/>
      <c r="R18" s="3535"/>
      <c r="S18" s="3535"/>
      <c r="T18" s="3535"/>
      <c r="U18" s="3535"/>
      <c r="V18" s="3535"/>
      <c r="W18" s="3535"/>
      <c r="X18" s="3535"/>
      <c r="Y18" s="3535"/>
      <c r="Z18" s="3535"/>
      <c r="AA18" s="3568"/>
      <c r="AB18" s="3536"/>
      <c r="AC18" s="3535"/>
      <c r="AD18" s="3571"/>
      <c r="AE18" s="3573"/>
      <c r="AF18" s="3574"/>
      <c r="AG18" s="3576"/>
      <c r="AH18" s="3535"/>
      <c r="AI18" s="3535"/>
      <c r="AJ18" s="3574"/>
      <c r="AK18" s="3535"/>
      <c r="AL18" s="3579"/>
      <c r="AM18" s="3535"/>
      <c r="AN18" s="3581">
        <f>IF(ExpComps_LenderTable[[#This Row], [R&amp;M]]+ExpComps_LenderTable[[#This Row], [Payroll]]&gt;0,ExpComps_LenderTable[[#This Row], [R&amp;M]]+ExpComps_LenderTable[[#This Row], [Payroll]],"")</f>
      </c>
      <c r="AO1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 s="6"/>
      <c r="AQ18" s="6"/>
      <c r="AR18" s="6"/>
    </row>
    <row r="19" ht="13.5" customHeight="1">
      <c r="B19" s="3560">
        <v>8</v>
      </c>
      <c r="C19" s="3529"/>
      <c r="D19" s="3529"/>
      <c r="E19" s="3529"/>
      <c r="F19" s="3530"/>
      <c r="G19" s="3561"/>
      <c r="H19" s="3562"/>
      <c r="I19" s="3532"/>
      <c r="J19" s="3533"/>
      <c r="K19" s="3534"/>
      <c r="L19" s="3535"/>
      <c r="M19" s="3536"/>
      <c r="N19" s="3535"/>
      <c r="O19" s="3535"/>
      <c r="P19" s="3535"/>
      <c r="Q19" s="3535"/>
      <c r="R19" s="3535"/>
      <c r="S19" s="3535"/>
      <c r="T19" s="3535"/>
      <c r="U19" s="3535"/>
      <c r="V19" s="3535"/>
      <c r="W19" s="3535"/>
      <c r="X19" s="3535"/>
      <c r="Y19" s="3535"/>
      <c r="Z19" s="3535"/>
      <c r="AA19" s="3568"/>
      <c r="AB19" s="3536"/>
      <c r="AC19" s="3535"/>
      <c r="AD19" s="3571"/>
      <c r="AE19" s="3573"/>
      <c r="AF19" s="3574"/>
      <c r="AG19" s="3576"/>
      <c r="AH19" s="3535"/>
      <c r="AI19" s="3535"/>
      <c r="AJ19" s="3574"/>
      <c r="AK19" s="3535"/>
      <c r="AL19" s="3579"/>
      <c r="AM19" s="3535"/>
      <c r="AN19" s="3581">
        <f>IF(ExpComps_LenderTable[[#This Row], [R&amp;M]]+ExpComps_LenderTable[[#This Row], [Payroll]]&gt;0,ExpComps_LenderTable[[#This Row], [R&amp;M]]+ExpComps_LenderTable[[#This Row], [Payroll]],"")</f>
      </c>
      <c r="AO1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 s="6"/>
      <c r="AQ19" s="6"/>
      <c r="AR19" s="6"/>
    </row>
    <row r="20" ht="13.5" customHeight="1">
      <c r="B20" s="3560">
        <v>9</v>
      </c>
      <c r="C20" s="3529"/>
      <c r="D20" s="3529"/>
      <c r="E20" s="3529"/>
      <c r="F20" s="3530"/>
      <c r="G20" s="3561"/>
      <c r="H20" s="3562"/>
      <c r="I20" s="3532"/>
      <c r="J20" s="3533"/>
      <c r="K20" s="3534"/>
      <c r="L20" s="3535"/>
      <c r="M20" s="3536"/>
      <c r="N20" s="3535"/>
      <c r="O20" s="3535"/>
      <c r="P20" s="3535"/>
      <c r="Q20" s="3535"/>
      <c r="R20" s="3535"/>
      <c r="S20" s="3535"/>
      <c r="T20" s="3535"/>
      <c r="U20" s="3535"/>
      <c r="V20" s="3535"/>
      <c r="W20" s="3535"/>
      <c r="X20" s="3535"/>
      <c r="Y20" s="3535"/>
      <c r="Z20" s="3535"/>
      <c r="AA20" s="3568"/>
      <c r="AB20" s="3536"/>
      <c r="AC20" s="3535"/>
      <c r="AD20" s="3571"/>
      <c r="AE20" s="3573"/>
      <c r="AF20" s="3574"/>
      <c r="AG20" s="3576"/>
      <c r="AH20" s="3535"/>
      <c r="AI20" s="3535"/>
      <c r="AJ20" s="3574"/>
      <c r="AK20" s="3535"/>
      <c r="AL20" s="3579"/>
      <c r="AM20" s="3535"/>
      <c r="AN20" s="3581">
        <f>IF(ExpComps_LenderTable[[#This Row], [R&amp;M]]+ExpComps_LenderTable[[#This Row], [Payroll]]&gt;0,ExpComps_LenderTable[[#This Row], [R&amp;M]]+ExpComps_LenderTable[[#This Row], [Payroll]],"")</f>
      </c>
      <c r="AO2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 s="6"/>
      <c r="AQ20" s="6"/>
      <c r="AR20" s="6"/>
    </row>
    <row r="21" ht="13.5" customHeight="1">
      <c r="B21" s="3560">
        <v>10</v>
      </c>
      <c r="C21" s="3529"/>
      <c r="D21" s="3529"/>
      <c r="E21" s="3529"/>
      <c r="F21" s="3530"/>
      <c r="G21" s="3561"/>
      <c r="H21" s="3562"/>
      <c r="I21" s="3532"/>
      <c r="J21" s="3533"/>
      <c r="K21" s="3534"/>
      <c r="L21" s="3535"/>
      <c r="M21" s="3536"/>
      <c r="N21" s="3535"/>
      <c r="O21" s="3535"/>
      <c r="P21" s="3535"/>
      <c r="Q21" s="3535"/>
      <c r="R21" s="3535"/>
      <c r="S21" s="3535"/>
      <c r="T21" s="3535"/>
      <c r="U21" s="3535"/>
      <c r="V21" s="3535"/>
      <c r="W21" s="3535"/>
      <c r="X21" s="3535"/>
      <c r="Y21" s="3535"/>
      <c r="Z21" s="3535"/>
      <c r="AA21" s="3568"/>
      <c r="AB21" s="3536"/>
      <c r="AC21" s="3535"/>
      <c r="AD21" s="3571"/>
      <c r="AE21" s="3573"/>
      <c r="AF21" s="3574"/>
      <c r="AG21" s="3576"/>
      <c r="AH21" s="3535"/>
      <c r="AI21" s="3535"/>
      <c r="AJ21" s="3574"/>
      <c r="AK21" s="3535"/>
      <c r="AL21" s="3579"/>
      <c r="AM21" s="3535"/>
      <c r="AN21" s="3581">
        <f>IF(ExpComps_LenderTable[[#This Row], [R&amp;M]]+ExpComps_LenderTable[[#This Row], [Payroll]]&gt;0,ExpComps_LenderTable[[#This Row], [R&amp;M]]+ExpComps_LenderTable[[#This Row], [Payroll]],"")</f>
      </c>
      <c r="AO2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1" s="6"/>
      <c r="AQ21" s="6"/>
      <c r="AR21" s="6"/>
    </row>
    <row r="22" ht="13.5" customHeight="1" hidden="1">
      <c r="B22" s="3560">
        <v>11</v>
      </c>
      <c r="C22" s="3529"/>
      <c r="D22" s="3529"/>
      <c r="E22" s="3529"/>
      <c r="F22" s="3530"/>
      <c r="G22" s="3561"/>
      <c r="H22" s="3562"/>
      <c r="I22" s="3532"/>
      <c r="J22" s="3533"/>
      <c r="K22" s="3534"/>
      <c r="L22" s="3535"/>
      <c r="M22" s="3536"/>
      <c r="N22" s="3535"/>
      <c r="O22" s="3535"/>
      <c r="P22" s="3535"/>
      <c r="Q22" s="3535"/>
      <c r="R22" s="3535"/>
      <c r="S22" s="3535"/>
      <c r="T22" s="3535"/>
      <c r="U22" s="3535"/>
      <c r="V22" s="3535"/>
      <c r="W22" s="3535"/>
      <c r="X22" s="3535"/>
      <c r="Y22" s="3535"/>
      <c r="Z22" s="3535"/>
      <c r="AA22" s="3568"/>
      <c r="AB22" s="3536"/>
      <c r="AC22" s="3535"/>
      <c r="AD22" s="3571"/>
      <c r="AE22" s="3573"/>
      <c r="AF22" s="3574"/>
      <c r="AG22" s="3576"/>
      <c r="AH22" s="3535"/>
      <c r="AI22" s="3535"/>
      <c r="AJ22" s="3574"/>
      <c r="AK22" s="3535"/>
      <c r="AL22" s="3579"/>
      <c r="AM22" s="3535"/>
      <c r="AN22" s="3581">
        <f>IF(ExpComps_LenderTable[[#This Row], [R&amp;M]]+ExpComps_LenderTable[[#This Row], [Payroll]]&gt;0,ExpComps_LenderTable[[#This Row], [R&amp;M]]+ExpComps_LenderTable[[#This Row], [Payroll]],"")</f>
      </c>
      <c r="AO2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2" s="6"/>
      <c r="AQ22" s="6"/>
      <c r="AR22" s="6"/>
    </row>
    <row r="23" ht="13.5" customHeight="1" hidden="1">
      <c r="B23" s="3560">
        <v>12</v>
      </c>
      <c r="C23" s="3529"/>
      <c r="D23" s="3529"/>
      <c r="E23" s="3529"/>
      <c r="F23" s="3530"/>
      <c r="G23" s="3561"/>
      <c r="H23" s="3562"/>
      <c r="I23" s="3532"/>
      <c r="J23" s="3533"/>
      <c r="K23" s="3534"/>
      <c r="L23" s="3535"/>
      <c r="M23" s="3536"/>
      <c r="N23" s="3535"/>
      <c r="O23" s="3535"/>
      <c r="P23" s="3535"/>
      <c r="Q23" s="3535"/>
      <c r="R23" s="3535"/>
      <c r="S23" s="3535"/>
      <c r="T23" s="3535"/>
      <c r="U23" s="3535"/>
      <c r="V23" s="3535"/>
      <c r="W23" s="3535"/>
      <c r="X23" s="3535"/>
      <c r="Y23" s="3535"/>
      <c r="Z23" s="3535"/>
      <c r="AA23" s="3568"/>
      <c r="AB23" s="3536"/>
      <c r="AC23" s="3535"/>
      <c r="AD23" s="3571"/>
      <c r="AE23" s="3573"/>
      <c r="AF23" s="3574"/>
      <c r="AG23" s="3576"/>
      <c r="AH23" s="3535"/>
      <c r="AI23" s="3535"/>
      <c r="AJ23" s="3574"/>
      <c r="AK23" s="3535"/>
      <c r="AL23" s="3579"/>
      <c r="AM23" s="3535"/>
      <c r="AN23" s="3581">
        <f>IF(ExpComps_LenderTable[[#This Row], [R&amp;M]]+ExpComps_LenderTable[[#This Row], [Payroll]]&gt;0,ExpComps_LenderTable[[#This Row], [R&amp;M]]+ExpComps_LenderTable[[#This Row], [Payroll]],"")</f>
      </c>
      <c r="AO2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3" s="6"/>
      <c r="AQ23" s="6"/>
      <c r="AR23" s="6"/>
    </row>
    <row r="24" ht="13.5" customHeight="1" hidden="1">
      <c r="B24" s="3560">
        <v>13</v>
      </c>
      <c r="C24" s="3529"/>
      <c r="D24" s="3529"/>
      <c r="E24" s="3529"/>
      <c r="F24" s="3530"/>
      <c r="G24" s="3561"/>
      <c r="H24" s="3562"/>
      <c r="I24" s="3532"/>
      <c r="J24" s="3533"/>
      <c r="K24" s="3534"/>
      <c r="L24" s="3535"/>
      <c r="M24" s="3536"/>
      <c r="N24" s="3535"/>
      <c r="O24" s="3535"/>
      <c r="P24" s="3535"/>
      <c r="Q24" s="3535"/>
      <c r="R24" s="3535"/>
      <c r="S24" s="3535"/>
      <c r="T24" s="3535"/>
      <c r="U24" s="3535"/>
      <c r="V24" s="3535"/>
      <c r="W24" s="3535"/>
      <c r="X24" s="3535"/>
      <c r="Y24" s="3535"/>
      <c r="Z24" s="3535"/>
      <c r="AA24" s="3568"/>
      <c r="AB24" s="3536"/>
      <c r="AC24" s="3535"/>
      <c r="AD24" s="3571"/>
      <c r="AE24" s="3573"/>
      <c r="AF24" s="3574"/>
      <c r="AG24" s="3576"/>
      <c r="AH24" s="3535"/>
      <c r="AI24" s="3535"/>
      <c r="AJ24" s="3574"/>
      <c r="AK24" s="3535"/>
      <c r="AL24" s="3579"/>
      <c r="AM24" s="3535"/>
      <c r="AN24" s="3581">
        <f>IF(ExpComps_LenderTable[[#This Row], [R&amp;M]]+ExpComps_LenderTable[[#This Row], [Payroll]]&gt;0,ExpComps_LenderTable[[#This Row], [R&amp;M]]+ExpComps_LenderTable[[#This Row], [Payroll]],"")</f>
      </c>
      <c r="AO2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4" s="6"/>
      <c r="AQ24" s="6"/>
      <c r="AR24" s="6"/>
    </row>
    <row r="25" ht="13.5" customHeight="1" hidden="1">
      <c r="B25" s="3560">
        <v>14</v>
      </c>
      <c r="C25" s="3529"/>
      <c r="D25" s="3529"/>
      <c r="E25" s="3529"/>
      <c r="F25" s="3530"/>
      <c r="G25" s="3561"/>
      <c r="H25" s="3562"/>
      <c r="I25" s="3532"/>
      <c r="J25" s="3533"/>
      <c r="K25" s="3534"/>
      <c r="L25" s="3535"/>
      <c r="M25" s="3536"/>
      <c r="N25" s="3535"/>
      <c r="O25" s="3535"/>
      <c r="P25" s="3535"/>
      <c r="Q25" s="3535"/>
      <c r="R25" s="3535"/>
      <c r="S25" s="3535"/>
      <c r="T25" s="3535"/>
      <c r="U25" s="3535"/>
      <c r="V25" s="3535"/>
      <c r="W25" s="3535"/>
      <c r="X25" s="3535"/>
      <c r="Y25" s="3535"/>
      <c r="Z25" s="3535"/>
      <c r="AA25" s="3568"/>
      <c r="AB25" s="3536"/>
      <c r="AC25" s="3535"/>
      <c r="AD25" s="3571"/>
      <c r="AE25" s="3573"/>
      <c r="AF25" s="3574"/>
      <c r="AG25" s="3576"/>
      <c r="AH25" s="3535"/>
      <c r="AI25" s="3535"/>
      <c r="AJ25" s="3574"/>
      <c r="AK25" s="3535"/>
      <c r="AL25" s="3579"/>
      <c r="AM25" s="3535"/>
      <c r="AN25" s="3581">
        <f>IF(ExpComps_LenderTable[[#This Row], [R&amp;M]]+ExpComps_LenderTable[[#This Row], [Payroll]]&gt;0,ExpComps_LenderTable[[#This Row], [R&amp;M]]+ExpComps_LenderTable[[#This Row], [Payroll]],"")</f>
      </c>
      <c r="AO2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5" s="6"/>
      <c r="AQ25" s="6"/>
      <c r="AR25" s="6"/>
    </row>
    <row r="26" ht="13.5" customHeight="1" hidden="1">
      <c r="B26" s="3560">
        <v>15</v>
      </c>
      <c r="C26" s="3529"/>
      <c r="D26" s="3529"/>
      <c r="E26" s="3529"/>
      <c r="F26" s="3530"/>
      <c r="G26" s="3561"/>
      <c r="H26" s="3562"/>
      <c r="I26" s="3532"/>
      <c r="J26" s="3533"/>
      <c r="K26" s="3534"/>
      <c r="L26" s="3535"/>
      <c r="M26" s="3536"/>
      <c r="N26" s="3535"/>
      <c r="O26" s="3535"/>
      <c r="P26" s="3535"/>
      <c r="Q26" s="3535"/>
      <c r="R26" s="3535"/>
      <c r="S26" s="3535"/>
      <c r="T26" s="3535"/>
      <c r="U26" s="3535"/>
      <c r="V26" s="3535"/>
      <c r="W26" s="3535"/>
      <c r="X26" s="3535"/>
      <c r="Y26" s="3535"/>
      <c r="Z26" s="3535"/>
      <c r="AA26" s="3568"/>
      <c r="AB26" s="3536"/>
      <c r="AC26" s="3535"/>
      <c r="AD26" s="3571"/>
      <c r="AE26" s="3573"/>
      <c r="AF26" s="3574"/>
      <c r="AG26" s="3576"/>
      <c r="AH26" s="3535"/>
      <c r="AI26" s="3535"/>
      <c r="AJ26" s="3574"/>
      <c r="AK26" s="3535"/>
      <c r="AL26" s="3579"/>
      <c r="AM26" s="3535"/>
      <c r="AN26" s="3581">
        <f>IF(ExpComps_LenderTable[[#This Row], [R&amp;M]]+ExpComps_LenderTable[[#This Row], [Payroll]]&gt;0,ExpComps_LenderTable[[#This Row], [R&amp;M]]+ExpComps_LenderTable[[#This Row], [Payroll]],"")</f>
      </c>
      <c r="AO2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6" s="6"/>
      <c r="AQ26" s="6"/>
      <c r="AR26" s="6"/>
    </row>
    <row r="27" ht="13.5" customHeight="1" hidden="1">
      <c r="B27" s="3560">
        <v>16</v>
      </c>
      <c r="C27" s="3529"/>
      <c r="D27" s="3529"/>
      <c r="E27" s="3529"/>
      <c r="F27" s="3530"/>
      <c r="G27" s="3561"/>
      <c r="H27" s="3562"/>
      <c r="I27" s="3532"/>
      <c r="J27" s="3533"/>
      <c r="K27" s="3534"/>
      <c r="L27" s="3535"/>
      <c r="M27" s="3536"/>
      <c r="N27" s="3535"/>
      <c r="O27" s="3535"/>
      <c r="P27" s="3535"/>
      <c r="Q27" s="3535"/>
      <c r="R27" s="3535"/>
      <c r="S27" s="3535"/>
      <c r="T27" s="3535"/>
      <c r="U27" s="3535"/>
      <c r="V27" s="3535"/>
      <c r="W27" s="3535"/>
      <c r="X27" s="3535"/>
      <c r="Y27" s="3535"/>
      <c r="Z27" s="3535"/>
      <c r="AA27" s="3568"/>
      <c r="AB27" s="3536"/>
      <c r="AC27" s="3535"/>
      <c r="AD27" s="3571"/>
      <c r="AE27" s="3573"/>
      <c r="AF27" s="3574"/>
      <c r="AG27" s="3576"/>
      <c r="AH27" s="3535"/>
      <c r="AI27" s="3535"/>
      <c r="AJ27" s="3574"/>
      <c r="AK27" s="3535"/>
      <c r="AL27" s="3579"/>
      <c r="AM27" s="3535"/>
      <c r="AN27" s="3581">
        <f>IF(ExpComps_LenderTable[[#This Row], [R&amp;M]]+ExpComps_LenderTable[[#This Row], [Payroll]]&gt;0,ExpComps_LenderTable[[#This Row], [R&amp;M]]+ExpComps_LenderTable[[#This Row], [Payroll]],"")</f>
      </c>
      <c r="AO2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7" s="6"/>
      <c r="AQ27" s="6"/>
      <c r="AR27" s="6"/>
    </row>
    <row r="28" ht="13.5" customHeight="1" hidden="1">
      <c r="B28" s="3560">
        <v>17</v>
      </c>
      <c r="C28" s="3529"/>
      <c r="D28" s="3529"/>
      <c r="E28" s="3529"/>
      <c r="F28" s="3530"/>
      <c r="G28" s="3561"/>
      <c r="H28" s="3562"/>
      <c r="I28" s="3532"/>
      <c r="J28" s="3533"/>
      <c r="K28" s="3534"/>
      <c r="L28" s="3535"/>
      <c r="M28" s="3536"/>
      <c r="N28" s="3535"/>
      <c r="O28" s="3535"/>
      <c r="P28" s="3535"/>
      <c r="Q28" s="3535"/>
      <c r="R28" s="3535"/>
      <c r="S28" s="3535"/>
      <c r="T28" s="3535"/>
      <c r="U28" s="3535"/>
      <c r="V28" s="3535"/>
      <c r="W28" s="3535"/>
      <c r="X28" s="3535"/>
      <c r="Y28" s="3535"/>
      <c r="Z28" s="3535"/>
      <c r="AA28" s="3568"/>
      <c r="AB28" s="3536"/>
      <c r="AC28" s="3535"/>
      <c r="AD28" s="3571"/>
      <c r="AE28" s="3573"/>
      <c r="AF28" s="3574"/>
      <c r="AG28" s="3576"/>
      <c r="AH28" s="3535"/>
      <c r="AI28" s="3535"/>
      <c r="AJ28" s="3574"/>
      <c r="AK28" s="3535"/>
      <c r="AL28" s="3579"/>
      <c r="AM28" s="3535"/>
      <c r="AN28" s="3581">
        <f>IF(ExpComps_LenderTable[[#This Row], [R&amp;M]]+ExpComps_LenderTable[[#This Row], [Payroll]]&gt;0,ExpComps_LenderTable[[#This Row], [R&amp;M]]+ExpComps_LenderTable[[#This Row], [Payroll]],"")</f>
      </c>
      <c r="AO2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8" s="6"/>
      <c r="AQ28" s="6"/>
      <c r="AR28" s="6"/>
    </row>
    <row r="29" ht="13.5" customHeight="1" hidden="1">
      <c r="B29" s="3560">
        <v>18</v>
      </c>
      <c r="C29" s="3529"/>
      <c r="D29" s="3529"/>
      <c r="E29" s="3529"/>
      <c r="F29" s="3530"/>
      <c r="G29" s="3561"/>
      <c r="H29" s="3562"/>
      <c r="I29" s="3532"/>
      <c r="J29" s="3533"/>
      <c r="K29" s="3534"/>
      <c r="L29" s="3535"/>
      <c r="M29" s="3536"/>
      <c r="N29" s="3535"/>
      <c r="O29" s="3535"/>
      <c r="P29" s="3535"/>
      <c r="Q29" s="3535"/>
      <c r="R29" s="3535"/>
      <c r="S29" s="3535"/>
      <c r="T29" s="3535"/>
      <c r="U29" s="3535"/>
      <c r="V29" s="3535"/>
      <c r="W29" s="3535"/>
      <c r="X29" s="3535"/>
      <c r="Y29" s="3535"/>
      <c r="Z29" s="3535"/>
      <c r="AA29" s="3568"/>
      <c r="AB29" s="3536"/>
      <c r="AC29" s="3535"/>
      <c r="AD29" s="3571"/>
      <c r="AE29" s="3573"/>
      <c r="AF29" s="3574"/>
      <c r="AG29" s="3576"/>
      <c r="AH29" s="3535"/>
      <c r="AI29" s="3535"/>
      <c r="AJ29" s="3574"/>
      <c r="AK29" s="3535"/>
      <c r="AL29" s="3579"/>
      <c r="AM29" s="3535"/>
      <c r="AN29" s="3581">
        <f>IF(ExpComps_LenderTable[[#This Row], [R&amp;M]]+ExpComps_LenderTable[[#This Row], [Payroll]]&gt;0,ExpComps_LenderTable[[#This Row], [R&amp;M]]+ExpComps_LenderTable[[#This Row], [Payroll]],"")</f>
      </c>
      <c r="AO2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9" s="6"/>
      <c r="AQ29" s="6"/>
      <c r="AR29" s="6"/>
    </row>
    <row r="30" ht="13.5" customHeight="1" hidden="1">
      <c r="B30" s="3560">
        <v>19</v>
      </c>
      <c r="C30" s="3529"/>
      <c r="D30" s="3529"/>
      <c r="E30" s="3529"/>
      <c r="F30" s="3530"/>
      <c r="G30" s="3561"/>
      <c r="H30" s="3562"/>
      <c r="I30" s="3532"/>
      <c r="J30" s="3533"/>
      <c r="K30" s="3534"/>
      <c r="L30" s="3535"/>
      <c r="M30" s="3536"/>
      <c r="N30" s="3535"/>
      <c r="O30" s="3535"/>
      <c r="P30" s="3535"/>
      <c r="Q30" s="3535"/>
      <c r="R30" s="3535"/>
      <c r="S30" s="3535"/>
      <c r="T30" s="3535"/>
      <c r="U30" s="3535"/>
      <c r="V30" s="3535"/>
      <c r="W30" s="3535"/>
      <c r="X30" s="3535"/>
      <c r="Y30" s="3535"/>
      <c r="Z30" s="3535"/>
      <c r="AA30" s="3568"/>
      <c r="AB30" s="3536"/>
      <c r="AC30" s="3535"/>
      <c r="AD30" s="3571"/>
      <c r="AE30" s="3573"/>
      <c r="AF30" s="3574"/>
      <c r="AG30" s="3576"/>
      <c r="AH30" s="3535"/>
      <c r="AI30" s="3535"/>
      <c r="AJ30" s="3574"/>
      <c r="AK30" s="3535"/>
      <c r="AL30" s="3579"/>
      <c r="AM30" s="3535"/>
      <c r="AN30" s="3581">
        <f>IF(ExpComps_LenderTable[[#This Row], [R&amp;M]]+ExpComps_LenderTable[[#This Row], [Payroll]]&gt;0,ExpComps_LenderTable[[#This Row], [R&amp;M]]+ExpComps_LenderTable[[#This Row], [Payroll]],"")</f>
      </c>
      <c r="AO3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0" s="6"/>
      <c r="AQ30" s="6"/>
      <c r="AR30" s="6"/>
    </row>
    <row r="31" ht="13.5" customHeight="1" hidden="1">
      <c r="B31" s="3560">
        <v>20</v>
      </c>
      <c r="C31" s="3529"/>
      <c r="D31" s="3529"/>
      <c r="E31" s="3529"/>
      <c r="F31" s="3530"/>
      <c r="G31" s="3561"/>
      <c r="H31" s="3562"/>
      <c r="I31" s="3532"/>
      <c r="J31" s="3533"/>
      <c r="K31" s="3534"/>
      <c r="L31" s="3535"/>
      <c r="M31" s="3536"/>
      <c r="N31" s="3535"/>
      <c r="O31" s="3535"/>
      <c r="P31" s="3535"/>
      <c r="Q31" s="3535"/>
      <c r="R31" s="3535"/>
      <c r="S31" s="3535"/>
      <c r="T31" s="3535"/>
      <c r="U31" s="3535"/>
      <c r="V31" s="3535"/>
      <c r="W31" s="3535"/>
      <c r="X31" s="3535"/>
      <c r="Y31" s="3535"/>
      <c r="Z31" s="3535"/>
      <c r="AA31" s="3568"/>
      <c r="AB31" s="3536"/>
      <c r="AC31" s="3535"/>
      <c r="AD31" s="3571"/>
      <c r="AE31" s="3573"/>
      <c r="AF31" s="3574"/>
      <c r="AG31" s="3576"/>
      <c r="AH31" s="3535"/>
      <c r="AI31" s="3535"/>
      <c r="AJ31" s="3574"/>
      <c r="AK31" s="3535"/>
      <c r="AL31" s="3579"/>
      <c r="AM31" s="3535"/>
      <c r="AN31" s="3581">
        <f>IF(ExpComps_LenderTable[[#This Row], [R&amp;M]]+ExpComps_LenderTable[[#This Row], [Payroll]]&gt;0,ExpComps_LenderTable[[#This Row], [R&amp;M]]+ExpComps_LenderTable[[#This Row], [Payroll]],"")</f>
      </c>
      <c r="AO3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1" s="6"/>
      <c r="AQ31" s="6"/>
      <c r="AR31" s="6"/>
    </row>
    <row r="32" ht="13.5" customHeight="1" hidden="1">
      <c r="B32" s="3560">
        <v>21</v>
      </c>
      <c r="C32" s="3529"/>
      <c r="D32" s="3529"/>
      <c r="E32" s="3529"/>
      <c r="F32" s="3530"/>
      <c r="G32" s="3561"/>
      <c r="H32" s="3562"/>
      <c r="I32" s="3532"/>
      <c r="J32" s="3533"/>
      <c r="K32" s="3534"/>
      <c r="L32" s="3535"/>
      <c r="M32" s="3536"/>
      <c r="N32" s="3535"/>
      <c r="O32" s="3535"/>
      <c r="P32" s="3535"/>
      <c r="Q32" s="3535"/>
      <c r="R32" s="3535"/>
      <c r="S32" s="3535"/>
      <c r="T32" s="3535"/>
      <c r="U32" s="3535"/>
      <c r="V32" s="3535"/>
      <c r="W32" s="3535"/>
      <c r="X32" s="3535"/>
      <c r="Y32" s="3535"/>
      <c r="Z32" s="3535"/>
      <c r="AA32" s="3568"/>
      <c r="AB32" s="3536"/>
      <c r="AC32" s="3535"/>
      <c r="AD32" s="3571"/>
      <c r="AE32" s="3573"/>
      <c r="AF32" s="3574"/>
      <c r="AG32" s="3576"/>
      <c r="AH32" s="3535"/>
      <c r="AI32" s="3535"/>
      <c r="AJ32" s="3574"/>
      <c r="AK32" s="3535"/>
      <c r="AL32" s="3579"/>
      <c r="AM32" s="3581"/>
      <c r="AN32" s="3581">
        <f>IF(ExpComps_LenderTable[[#This Row], [R&amp;M]]+ExpComps_LenderTable[[#This Row], [Payroll]]&gt;0,ExpComps_LenderTable[[#This Row], [R&amp;M]]+ExpComps_LenderTable[[#This Row], [Payroll]],"")</f>
      </c>
      <c r="AO3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2" s="6"/>
      <c r="AQ32" s="6"/>
      <c r="AR32" s="6"/>
    </row>
    <row r="33" ht="13.5" customHeight="1" hidden="1">
      <c r="B33" s="3560">
        <v>22</v>
      </c>
      <c r="C33" s="3529"/>
      <c r="D33" s="3529"/>
      <c r="E33" s="3529"/>
      <c r="F33" s="3530"/>
      <c r="G33" s="3561"/>
      <c r="H33" s="3562"/>
      <c r="I33" s="3532"/>
      <c r="J33" s="3533"/>
      <c r="K33" s="3534"/>
      <c r="L33" s="3535"/>
      <c r="M33" s="3536"/>
      <c r="N33" s="3535"/>
      <c r="O33" s="3535"/>
      <c r="P33" s="3535"/>
      <c r="Q33" s="3535"/>
      <c r="R33" s="3535"/>
      <c r="S33" s="3535"/>
      <c r="T33" s="3535"/>
      <c r="U33" s="3535"/>
      <c r="V33" s="3535"/>
      <c r="W33" s="3535"/>
      <c r="X33" s="3535"/>
      <c r="Y33" s="3535"/>
      <c r="Z33" s="3535"/>
      <c r="AA33" s="3568"/>
      <c r="AB33" s="3536"/>
      <c r="AC33" s="3535"/>
      <c r="AD33" s="3571"/>
      <c r="AE33" s="3573"/>
      <c r="AF33" s="3574"/>
      <c r="AG33" s="3576"/>
      <c r="AH33" s="3535"/>
      <c r="AI33" s="3535"/>
      <c r="AJ33" s="3574"/>
      <c r="AK33" s="3535"/>
      <c r="AL33" s="3579"/>
      <c r="AM33" s="3581"/>
      <c r="AN33" s="3581">
        <f>IF(ExpComps_LenderTable[[#This Row], [R&amp;M]]+ExpComps_LenderTable[[#This Row], [Payroll]]&gt;0,ExpComps_LenderTable[[#This Row], [R&amp;M]]+ExpComps_LenderTable[[#This Row], [Payroll]],"")</f>
      </c>
      <c r="AO3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3" s="6"/>
      <c r="AQ33" s="6"/>
      <c r="AR33" s="6"/>
    </row>
    <row r="34" ht="13.5" customHeight="1" hidden="1">
      <c r="B34" s="3560">
        <v>23</v>
      </c>
      <c r="C34" s="3529"/>
      <c r="D34" s="3529"/>
      <c r="E34" s="3529"/>
      <c r="F34" s="3530"/>
      <c r="G34" s="3561"/>
      <c r="H34" s="3562"/>
      <c r="I34" s="3532"/>
      <c r="J34" s="3533"/>
      <c r="K34" s="3534"/>
      <c r="L34" s="3535"/>
      <c r="M34" s="3536"/>
      <c r="N34" s="3535"/>
      <c r="O34" s="3535"/>
      <c r="P34" s="3535"/>
      <c r="Q34" s="3535"/>
      <c r="R34" s="3535"/>
      <c r="S34" s="3535"/>
      <c r="T34" s="3535"/>
      <c r="U34" s="3535"/>
      <c r="V34" s="3535"/>
      <c r="W34" s="3535"/>
      <c r="X34" s="3535"/>
      <c r="Y34" s="3535"/>
      <c r="Z34" s="3535"/>
      <c r="AA34" s="3568"/>
      <c r="AB34" s="3536"/>
      <c r="AC34" s="3535"/>
      <c r="AD34" s="3571"/>
      <c r="AE34" s="3573"/>
      <c r="AF34" s="3574"/>
      <c r="AG34" s="3576"/>
      <c r="AH34" s="3535"/>
      <c r="AI34" s="3535"/>
      <c r="AJ34" s="3574"/>
      <c r="AK34" s="3535"/>
      <c r="AL34" s="3579"/>
      <c r="AM34" s="3581"/>
      <c r="AN34" s="3581">
        <f>IF(ExpComps_LenderTable[[#This Row], [R&amp;M]]+ExpComps_LenderTable[[#This Row], [Payroll]]&gt;0,ExpComps_LenderTable[[#This Row], [R&amp;M]]+ExpComps_LenderTable[[#This Row], [Payroll]],"")</f>
      </c>
      <c r="AO3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4" s="6"/>
      <c r="AQ34" s="6"/>
      <c r="AR34" s="6"/>
    </row>
    <row r="35" ht="13.5" customHeight="1" hidden="1">
      <c r="B35" s="3560">
        <v>24</v>
      </c>
      <c r="C35" s="3529"/>
      <c r="D35" s="3529"/>
      <c r="E35" s="3529"/>
      <c r="F35" s="3530"/>
      <c r="G35" s="3561"/>
      <c r="H35" s="3562"/>
      <c r="I35" s="3532"/>
      <c r="J35" s="3533"/>
      <c r="K35" s="3534"/>
      <c r="L35" s="3535"/>
      <c r="M35" s="3536"/>
      <c r="N35" s="3535"/>
      <c r="O35" s="3535"/>
      <c r="P35" s="3535"/>
      <c r="Q35" s="3535"/>
      <c r="R35" s="3535"/>
      <c r="S35" s="3535"/>
      <c r="T35" s="3535"/>
      <c r="U35" s="3535"/>
      <c r="V35" s="3535"/>
      <c r="W35" s="3535"/>
      <c r="X35" s="3535"/>
      <c r="Y35" s="3535"/>
      <c r="Z35" s="3535"/>
      <c r="AA35" s="3568"/>
      <c r="AB35" s="3536"/>
      <c r="AC35" s="3535"/>
      <c r="AD35" s="3571"/>
      <c r="AE35" s="3573"/>
      <c r="AF35" s="3574"/>
      <c r="AG35" s="3576"/>
      <c r="AH35" s="3535"/>
      <c r="AI35" s="3535"/>
      <c r="AJ35" s="3574"/>
      <c r="AK35" s="3535"/>
      <c r="AL35" s="3579"/>
      <c r="AM35" s="3581"/>
      <c r="AN35" s="3581">
        <f>IF(ExpComps_LenderTable[[#This Row], [R&amp;M]]+ExpComps_LenderTable[[#This Row], [Payroll]]&gt;0,ExpComps_LenderTable[[#This Row], [R&amp;M]]+ExpComps_LenderTable[[#This Row], [Payroll]],"")</f>
      </c>
      <c r="AO3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5" s="6"/>
      <c r="AQ35" s="6"/>
      <c r="AR35" s="6"/>
    </row>
    <row r="36" ht="13.5" customHeight="1" hidden="1">
      <c r="B36" s="3560">
        <v>25</v>
      </c>
      <c r="C36" s="3529"/>
      <c r="D36" s="3529"/>
      <c r="E36" s="3529"/>
      <c r="F36" s="3530"/>
      <c r="G36" s="3561"/>
      <c r="H36" s="3562"/>
      <c r="I36" s="3532"/>
      <c r="J36" s="3533"/>
      <c r="K36" s="3534"/>
      <c r="L36" s="3535"/>
      <c r="M36" s="3536"/>
      <c r="N36" s="3535"/>
      <c r="O36" s="3535"/>
      <c r="P36" s="3535"/>
      <c r="Q36" s="3535"/>
      <c r="R36" s="3535"/>
      <c r="S36" s="3535"/>
      <c r="T36" s="3535"/>
      <c r="U36" s="3535"/>
      <c r="V36" s="3535"/>
      <c r="W36" s="3535"/>
      <c r="X36" s="3535"/>
      <c r="Y36" s="3535"/>
      <c r="Z36" s="3535"/>
      <c r="AA36" s="3568"/>
      <c r="AB36" s="3536"/>
      <c r="AC36" s="3535"/>
      <c r="AD36" s="3571"/>
      <c r="AE36" s="3573"/>
      <c r="AF36" s="3574"/>
      <c r="AG36" s="3576"/>
      <c r="AH36" s="3535"/>
      <c r="AI36" s="3535"/>
      <c r="AJ36" s="3574"/>
      <c r="AK36" s="3535"/>
      <c r="AL36" s="3579"/>
      <c r="AM36" s="3581"/>
      <c r="AN36" s="3581">
        <f>IF(ExpComps_LenderTable[[#This Row], [R&amp;M]]+ExpComps_LenderTable[[#This Row], [Payroll]]&gt;0,ExpComps_LenderTable[[#This Row], [R&amp;M]]+ExpComps_LenderTable[[#This Row], [Payroll]],"")</f>
      </c>
      <c r="AO3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6" s="6"/>
      <c r="AQ36" s="6"/>
      <c r="AR36" s="6"/>
    </row>
    <row r="37" ht="13.5" customHeight="1" hidden="1">
      <c r="B37" s="3560">
        <v>26</v>
      </c>
      <c r="C37" s="3529"/>
      <c r="D37" s="3529"/>
      <c r="E37" s="3529"/>
      <c r="F37" s="3530"/>
      <c r="G37" s="3561"/>
      <c r="H37" s="3562"/>
      <c r="I37" s="3532"/>
      <c r="J37" s="3533"/>
      <c r="K37" s="3534"/>
      <c r="L37" s="3535"/>
      <c r="M37" s="3536"/>
      <c r="N37" s="3535"/>
      <c r="O37" s="3535"/>
      <c r="P37" s="3535"/>
      <c r="Q37" s="3535"/>
      <c r="R37" s="3535"/>
      <c r="S37" s="3535"/>
      <c r="T37" s="3535"/>
      <c r="U37" s="3535"/>
      <c r="V37" s="3535"/>
      <c r="W37" s="3535"/>
      <c r="X37" s="3535"/>
      <c r="Y37" s="3535"/>
      <c r="Z37" s="3535"/>
      <c r="AA37" s="3568"/>
      <c r="AB37" s="3536"/>
      <c r="AC37" s="3535"/>
      <c r="AD37" s="3571"/>
      <c r="AE37" s="3573"/>
      <c r="AF37" s="3574"/>
      <c r="AG37" s="3576"/>
      <c r="AH37" s="3535"/>
      <c r="AI37" s="3535"/>
      <c r="AJ37" s="3574"/>
      <c r="AK37" s="3535"/>
      <c r="AL37" s="3579"/>
      <c r="AM37" s="3581"/>
      <c r="AN37" s="3581">
        <f>IF(ExpComps_LenderTable[[#This Row], [R&amp;M]]+ExpComps_LenderTable[[#This Row], [Payroll]]&gt;0,ExpComps_LenderTable[[#This Row], [R&amp;M]]+ExpComps_LenderTable[[#This Row], [Payroll]],"")</f>
      </c>
      <c r="AO3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7" s="6"/>
      <c r="AQ37" s="6"/>
      <c r="AR37" s="6"/>
    </row>
    <row r="38" ht="13.5" customHeight="1" hidden="1">
      <c r="B38" s="3560">
        <v>27</v>
      </c>
      <c r="C38" s="3529"/>
      <c r="D38" s="3529"/>
      <c r="E38" s="3529"/>
      <c r="F38" s="3530"/>
      <c r="G38" s="3561"/>
      <c r="H38" s="3562"/>
      <c r="I38" s="3532"/>
      <c r="J38" s="3533"/>
      <c r="K38" s="3534"/>
      <c r="L38" s="3535"/>
      <c r="M38" s="3536"/>
      <c r="N38" s="3535"/>
      <c r="O38" s="3535"/>
      <c r="P38" s="3535"/>
      <c r="Q38" s="3535"/>
      <c r="R38" s="3535"/>
      <c r="S38" s="3535"/>
      <c r="T38" s="3535"/>
      <c r="U38" s="3535"/>
      <c r="V38" s="3535"/>
      <c r="W38" s="3535"/>
      <c r="X38" s="3535"/>
      <c r="Y38" s="3535"/>
      <c r="Z38" s="3535"/>
      <c r="AA38" s="3568"/>
      <c r="AB38" s="3536"/>
      <c r="AC38" s="3535"/>
      <c r="AD38" s="3571"/>
      <c r="AE38" s="3573"/>
      <c r="AF38" s="3574"/>
      <c r="AG38" s="3576"/>
      <c r="AH38" s="3535"/>
      <c r="AI38" s="3535"/>
      <c r="AJ38" s="3574"/>
      <c r="AK38" s="3535"/>
      <c r="AL38" s="3579"/>
      <c r="AM38" s="3581"/>
      <c r="AN38" s="3581">
        <f>IF(ExpComps_LenderTable[[#This Row], [R&amp;M]]+ExpComps_LenderTable[[#This Row], [Payroll]]&gt;0,ExpComps_LenderTable[[#This Row], [R&amp;M]]+ExpComps_LenderTable[[#This Row], [Payroll]],"")</f>
      </c>
      <c r="AO3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8" s="6"/>
      <c r="AQ38" s="6"/>
      <c r="AR38" s="6"/>
    </row>
    <row r="39" ht="13.5" customHeight="1" hidden="1">
      <c r="B39" s="3560">
        <v>28</v>
      </c>
      <c r="C39" s="3529"/>
      <c r="D39" s="3529"/>
      <c r="E39" s="3529"/>
      <c r="F39" s="3530"/>
      <c r="G39" s="3561"/>
      <c r="H39" s="3562"/>
      <c r="I39" s="3532"/>
      <c r="J39" s="3533"/>
      <c r="K39" s="3534"/>
      <c r="L39" s="3535"/>
      <c r="M39" s="3536"/>
      <c r="N39" s="3535"/>
      <c r="O39" s="3535"/>
      <c r="P39" s="3535"/>
      <c r="Q39" s="3535"/>
      <c r="R39" s="3535"/>
      <c r="S39" s="3535"/>
      <c r="T39" s="3535"/>
      <c r="U39" s="3535"/>
      <c r="V39" s="3535"/>
      <c r="W39" s="3535"/>
      <c r="X39" s="3535"/>
      <c r="Y39" s="3535"/>
      <c r="Z39" s="3535"/>
      <c r="AA39" s="3568"/>
      <c r="AB39" s="3536"/>
      <c r="AC39" s="3535"/>
      <c r="AD39" s="3571"/>
      <c r="AE39" s="3573"/>
      <c r="AF39" s="3574"/>
      <c r="AG39" s="3576"/>
      <c r="AH39" s="3535"/>
      <c r="AI39" s="3535"/>
      <c r="AJ39" s="3574"/>
      <c r="AK39" s="3535"/>
      <c r="AL39" s="3579"/>
      <c r="AM39" s="3581"/>
      <c r="AN39" s="3581">
        <f>IF(ExpComps_LenderTable[[#This Row], [R&amp;M]]+ExpComps_LenderTable[[#This Row], [Payroll]]&gt;0,ExpComps_LenderTable[[#This Row], [R&amp;M]]+ExpComps_LenderTable[[#This Row], [Payroll]],"")</f>
      </c>
      <c r="AO3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39" s="6"/>
      <c r="AQ39" s="6"/>
      <c r="AR39" s="6"/>
    </row>
    <row r="40" ht="13.5" customHeight="1" hidden="1">
      <c r="B40" s="3560">
        <v>29</v>
      </c>
      <c r="C40" s="3529"/>
      <c r="D40" s="3529"/>
      <c r="E40" s="3529"/>
      <c r="F40" s="3530"/>
      <c r="G40" s="3561"/>
      <c r="H40" s="3562"/>
      <c r="I40" s="3532"/>
      <c r="J40" s="3533"/>
      <c r="K40" s="3534"/>
      <c r="L40" s="3535"/>
      <c r="M40" s="3536"/>
      <c r="N40" s="3535"/>
      <c r="O40" s="3535"/>
      <c r="P40" s="3535"/>
      <c r="Q40" s="3535"/>
      <c r="R40" s="3535"/>
      <c r="S40" s="3535"/>
      <c r="T40" s="3535"/>
      <c r="U40" s="3535"/>
      <c r="V40" s="3535"/>
      <c r="W40" s="3535"/>
      <c r="X40" s="3535"/>
      <c r="Y40" s="3535"/>
      <c r="Z40" s="3535"/>
      <c r="AA40" s="3568"/>
      <c r="AB40" s="3536"/>
      <c r="AC40" s="3535"/>
      <c r="AD40" s="3571"/>
      <c r="AE40" s="3573"/>
      <c r="AF40" s="3574"/>
      <c r="AG40" s="3576"/>
      <c r="AH40" s="3535"/>
      <c r="AI40" s="3535"/>
      <c r="AJ40" s="3574"/>
      <c r="AK40" s="3535"/>
      <c r="AL40" s="3579"/>
      <c r="AM40" s="3581"/>
      <c r="AN40" s="3581">
        <f>IF(ExpComps_LenderTable[[#This Row], [R&amp;M]]+ExpComps_LenderTable[[#This Row], [Payroll]]&gt;0,ExpComps_LenderTable[[#This Row], [R&amp;M]]+ExpComps_LenderTable[[#This Row], [Payroll]],"")</f>
      </c>
      <c r="AO4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0" s="6"/>
      <c r="AQ40" s="6"/>
      <c r="AR40" s="6"/>
    </row>
    <row r="41" ht="13.5" customHeight="1" hidden="1">
      <c r="B41" s="3560">
        <v>30</v>
      </c>
      <c r="C41" s="3529"/>
      <c r="D41" s="3529"/>
      <c r="E41" s="3529"/>
      <c r="F41" s="3530"/>
      <c r="G41" s="3561"/>
      <c r="H41" s="3562"/>
      <c r="I41" s="3532"/>
      <c r="J41" s="3533"/>
      <c r="K41" s="3534"/>
      <c r="L41" s="3535"/>
      <c r="M41" s="3536"/>
      <c r="N41" s="3535"/>
      <c r="O41" s="3535"/>
      <c r="P41" s="3535"/>
      <c r="Q41" s="3535"/>
      <c r="R41" s="3535"/>
      <c r="S41" s="3535"/>
      <c r="T41" s="3535"/>
      <c r="U41" s="3535"/>
      <c r="V41" s="3535"/>
      <c r="W41" s="3535"/>
      <c r="X41" s="3535"/>
      <c r="Y41" s="3535"/>
      <c r="Z41" s="3535"/>
      <c r="AA41" s="3568"/>
      <c r="AB41" s="3536"/>
      <c r="AC41" s="3535"/>
      <c r="AD41" s="3571"/>
      <c r="AE41" s="3573"/>
      <c r="AF41" s="3574"/>
      <c r="AG41" s="3576"/>
      <c r="AH41" s="3535"/>
      <c r="AI41" s="3535"/>
      <c r="AJ41" s="3574"/>
      <c r="AK41" s="3535"/>
      <c r="AL41" s="3579"/>
      <c r="AM41" s="3581"/>
      <c r="AN41" s="3581">
        <f>IF(ExpComps_LenderTable[[#This Row], [R&amp;M]]+ExpComps_LenderTable[[#This Row], [Payroll]]&gt;0,ExpComps_LenderTable[[#This Row], [R&amp;M]]+ExpComps_LenderTable[[#This Row], [Payroll]],"")</f>
      </c>
      <c r="AO4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1" s="6"/>
      <c r="AQ41" s="6"/>
      <c r="AR41" s="6"/>
    </row>
    <row r="42" ht="13.5" customHeight="1" hidden="1">
      <c r="B42" s="3560">
        <v>31</v>
      </c>
      <c r="C42" s="3529"/>
      <c r="D42" s="3529"/>
      <c r="E42" s="3529"/>
      <c r="F42" s="3530"/>
      <c r="G42" s="3561"/>
      <c r="H42" s="3562"/>
      <c r="I42" s="3532"/>
      <c r="J42" s="3533"/>
      <c r="K42" s="3534"/>
      <c r="L42" s="3535"/>
      <c r="M42" s="3536"/>
      <c r="N42" s="3535"/>
      <c r="O42" s="3535"/>
      <c r="P42" s="3535"/>
      <c r="Q42" s="3535"/>
      <c r="R42" s="3535"/>
      <c r="S42" s="3535"/>
      <c r="T42" s="3535"/>
      <c r="U42" s="3535"/>
      <c r="V42" s="3535"/>
      <c r="W42" s="3535"/>
      <c r="X42" s="3535"/>
      <c r="Y42" s="3535"/>
      <c r="Z42" s="3535"/>
      <c r="AA42" s="3568"/>
      <c r="AB42" s="3536"/>
      <c r="AC42" s="3535"/>
      <c r="AD42" s="3571"/>
      <c r="AE42" s="3573"/>
      <c r="AF42" s="3574"/>
      <c r="AG42" s="3576"/>
      <c r="AH42" s="3535"/>
      <c r="AI42" s="3535"/>
      <c r="AJ42" s="3574"/>
      <c r="AK42" s="3535"/>
      <c r="AL42" s="3579"/>
      <c r="AM42" s="3581"/>
      <c r="AN42" s="3581">
        <f>IF(ExpComps_LenderTable[[#This Row], [R&amp;M]]+ExpComps_LenderTable[[#This Row], [Payroll]]&gt;0,ExpComps_LenderTable[[#This Row], [R&amp;M]]+ExpComps_LenderTable[[#This Row], [Payroll]],"")</f>
      </c>
      <c r="AO4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2" s="6"/>
      <c r="AQ42" s="6"/>
      <c r="AR42" s="6"/>
    </row>
    <row r="43" ht="13.5" customHeight="1" hidden="1">
      <c r="B43" s="3560">
        <v>32</v>
      </c>
      <c r="C43" s="3529"/>
      <c r="D43" s="3529"/>
      <c r="E43" s="3529"/>
      <c r="F43" s="3530"/>
      <c r="G43" s="3561"/>
      <c r="H43" s="3562"/>
      <c r="I43" s="3532"/>
      <c r="J43" s="3533"/>
      <c r="K43" s="3534"/>
      <c r="L43" s="3535"/>
      <c r="M43" s="3536"/>
      <c r="N43" s="3535"/>
      <c r="O43" s="3535"/>
      <c r="P43" s="3535"/>
      <c r="Q43" s="3535"/>
      <c r="R43" s="3535"/>
      <c r="S43" s="3535"/>
      <c r="T43" s="3535"/>
      <c r="U43" s="3535"/>
      <c r="V43" s="3535"/>
      <c r="W43" s="3535"/>
      <c r="X43" s="3535"/>
      <c r="Y43" s="3535"/>
      <c r="Z43" s="3535"/>
      <c r="AA43" s="3568"/>
      <c r="AB43" s="3536"/>
      <c r="AC43" s="3535"/>
      <c r="AD43" s="3571"/>
      <c r="AE43" s="3573"/>
      <c r="AF43" s="3574"/>
      <c r="AG43" s="3576"/>
      <c r="AH43" s="3535"/>
      <c r="AI43" s="3535"/>
      <c r="AJ43" s="3574"/>
      <c r="AK43" s="3535"/>
      <c r="AL43" s="3579"/>
      <c r="AM43" s="3581"/>
      <c r="AN43" s="3581">
        <f>IF(ExpComps_LenderTable[[#This Row], [R&amp;M]]+ExpComps_LenderTable[[#This Row], [Payroll]]&gt;0,ExpComps_LenderTable[[#This Row], [R&amp;M]]+ExpComps_LenderTable[[#This Row], [Payroll]],"")</f>
      </c>
      <c r="AO4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3" s="6"/>
      <c r="AQ43" s="6"/>
      <c r="AR43" s="6"/>
    </row>
    <row r="44" ht="13.5" customHeight="1" hidden="1">
      <c r="B44" s="3560">
        <v>33</v>
      </c>
      <c r="C44" s="3529"/>
      <c r="D44" s="3529"/>
      <c r="E44" s="3529"/>
      <c r="F44" s="3530"/>
      <c r="G44" s="3561"/>
      <c r="H44" s="3562"/>
      <c r="I44" s="3532"/>
      <c r="J44" s="3533"/>
      <c r="K44" s="3534"/>
      <c r="L44" s="3535"/>
      <c r="M44" s="3536"/>
      <c r="N44" s="3535"/>
      <c r="O44" s="3535"/>
      <c r="P44" s="3535"/>
      <c r="Q44" s="3535"/>
      <c r="R44" s="3535"/>
      <c r="S44" s="3535"/>
      <c r="T44" s="3535"/>
      <c r="U44" s="3535"/>
      <c r="V44" s="3535"/>
      <c r="W44" s="3535"/>
      <c r="X44" s="3535"/>
      <c r="Y44" s="3535"/>
      <c r="Z44" s="3535"/>
      <c r="AA44" s="3568"/>
      <c r="AB44" s="3536"/>
      <c r="AC44" s="3535"/>
      <c r="AD44" s="3571"/>
      <c r="AE44" s="3573"/>
      <c r="AF44" s="3574"/>
      <c r="AG44" s="3576"/>
      <c r="AH44" s="3535"/>
      <c r="AI44" s="3535"/>
      <c r="AJ44" s="3574"/>
      <c r="AK44" s="3535"/>
      <c r="AL44" s="3579"/>
      <c r="AM44" s="3581"/>
      <c r="AN44" s="3581">
        <f>IF(ExpComps_LenderTable[[#This Row], [R&amp;M]]+ExpComps_LenderTable[[#This Row], [Payroll]]&gt;0,ExpComps_LenderTable[[#This Row], [R&amp;M]]+ExpComps_LenderTable[[#This Row], [Payroll]],"")</f>
      </c>
      <c r="AO4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4" s="6"/>
      <c r="AQ44" s="6"/>
      <c r="AR44" s="6"/>
    </row>
    <row r="45" ht="13.5" customHeight="1" hidden="1">
      <c r="B45" s="3560">
        <v>34</v>
      </c>
      <c r="C45" s="3529"/>
      <c r="D45" s="3529"/>
      <c r="E45" s="3529"/>
      <c r="F45" s="3530"/>
      <c r="G45" s="3561"/>
      <c r="H45" s="3562"/>
      <c r="I45" s="3532"/>
      <c r="J45" s="3533"/>
      <c r="K45" s="3534"/>
      <c r="L45" s="3535"/>
      <c r="M45" s="3536"/>
      <c r="N45" s="3535"/>
      <c r="O45" s="3535"/>
      <c r="P45" s="3535"/>
      <c r="Q45" s="3535"/>
      <c r="R45" s="3535"/>
      <c r="S45" s="3535"/>
      <c r="T45" s="3535"/>
      <c r="U45" s="3535"/>
      <c r="V45" s="3535"/>
      <c r="W45" s="3535"/>
      <c r="X45" s="3535"/>
      <c r="Y45" s="3535"/>
      <c r="Z45" s="3535"/>
      <c r="AA45" s="3568"/>
      <c r="AB45" s="3536"/>
      <c r="AC45" s="3535"/>
      <c r="AD45" s="3571"/>
      <c r="AE45" s="3573"/>
      <c r="AF45" s="3574"/>
      <c r="AG45" s="3576"/>
      <c r="AH45" s="3535"/>
      <c r="AI45" s="3535"/>
      <c r="AJ45" s="3574"/>
      <c r="AK45" s="3535"/>
      <c r="AL45" s="3579"/>
      <c r="AM45" s="3581"/>
      <c r="AN45" s="3581">
        <f>IF(ExpComps_LenderTable[[#This Row], [R&amp;M]]+ExpComps_LenderTable[[#This Row], [Payroll]]&gt;0,ExpComps_LenderTable[[#This Row], [R&amp;M]]+ExpComps_LenderTable[[#This Row], [Payroll]],"")</f>
      </c>
      <c r="AO4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5" s="6"/>
      <c r="AQ45" s="6"/>
      <c r="AR45" s="6"/>
    </row>
    <row r="46" ht="13.5" customHeight="1" hidden="1">
      <c r="B46" s="3560">
        <v>35</v>
      </c>
      <c r="C46" s="3529"/>
      <c r="D46" s="3529"/>
      <c r="E46" s="3529"/>
      <c r="F46" s="3530"/>
      <c r="G46" s="3561"/>
      <c r="H46" s="3562"/>
      <c r="I46" s="3532"/>
      <c r="J46" s="3533"/>
      <c r="K46" s="3534"/>
      <c r="L46" s="3535"/>
      <c r="M46" s="3536"/>
      <c r="N46" s="3535"/>
      <c r="O46" s="3535"/>
      <c r="P46" s="3535"/>
      <c r="Q46" s="3535"/>
      <c r="R46" s="3535"/>
      <c r="S46" s="3535"/>
      <c r="T46" s="3535"/>
      <c r="U46" s="3535"/>
      <c r="V46" s="3535"/>
      <c r="W46" s="3535"/>
      <c r="X46" s="3535"/>
      <c r="Y46" s="3535"/>
      <c r="Z46" s="3535"/>
      <c r="AA46" s="3568"/>
      <c r="AB46" s="3536"/>
      <c r="AC46" s="3535"/>
      <c r="AD46" s="3571"/>
      <c r="AE46" s="3573"/>
      <c r="AF46" s="3574"/>
      <c r="AG46" s="3576"/>
      <c r="AH46" s="3535"/>
      <c r="AI46" s="3535"/>
      <c r="AJ46" s="3574"/>
      <c r="AK46" s="3535"/>
      <c r="AL46" s="3579"/>
      <c r="AM46" s="3581"/>
      <c r="AN46" s="3581">
        <f>IF(ExpComps_LenderTable[[#This Row], [R&amp;M]]+ExpComps_LenderTable[[#This Row], [Payroll]]&gt;0,ExpComps_LenderTable[[#This Row], [R&amp;M]]+ExpComps_LenderTable[[#This Row], [Payroll]],"")</f>
      </c>
      <c r="AO4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6" s="6"/>
      <c r="AQ46" s="6"/>
      <c r="AR46" s="6"/>
    </row>
    <row r="47" ht="13.5" customHeight="1" hidden="1">
      <c r="B47" s="3560">
        <v>36</v>
      </c>
      <c r="C47" s="3529"/>
      <c r="D47" s="3529"/>
      <c r="E47" s="3529"/>
      <c r="F47" s="3530"/>
      <c r="G47" s="3561"/>
      <c r="H47" s="3562"/>
      <c r="I47" s="3532"/>
      <c r="J47" s="3533"/>
      <c r="K47" s="3534"/>
      <c r="L47" s="3535"/>
      <c r="M47" s="3536"/>
      <c r="N47" s="3535"/>
      <c r="O47" s="3535"/>
      <c r="P47" s="3535"/>
      <c r="Q47" s="3535"/>
      <c r="R47" s="3535"/>
      <c r="S47" s="3535"/>
      <c r="T47" s="3535"/>
      <c r="U47" s="3535"/>
      <c r="V47" s="3535"/>
      <c r="W47" s="3535"/>
      <c r="X47" s="3535"/>
      <c r="Y47" s="3535"/>
      <c r="Z47" s="3535"/>
      <c r="AA47" s="3568"/>
      <c r="AB47" s="3536"/>
      <c r="AC47" s="3535"/>
      <c r="AD47" s="3571"/>
      <c r="AE47" s="3573"/>
      <c r="AF47" s="3574"/>
      <c r="AG47" s="3576"/>
      <c r="AH47" s="3535"/>
      <c r="AI47" s="3535"/>
      <c r="AJ47" s="3574"/>
      <c r="AK47" s="3535"/>
      <c r="AL47" s="3579"/>
      <c r="AM47" s="3581"/>
      <c r="AN47" s="3581">
        <f>IF(ExpComps_LenderTable[[#This Row], [R&amp;M]]+ExpComps_LenderTable[[#This Row], [Payroll]]&gt;0,ExpComps_LenderTable[[#This Row], [R&amp;M]]+ExpComps_LenderTable[[#This Row], [Payroll]],"")</f>
      </c>
      <c r="AO4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7" s="6"/>
      <c r="AQ47" s="6"/>
      <c r="AR47" s="6"/>
    </row>
    <row r="48" ht="13.5" customHeight="1" hidden="1">
      <c r="B48" s="3560">
        <v>37</v>
      </c>
      <c r="C48" s="3529"/>
      <c r="D48" s="3529"/>
      <c r="E48" s="3529"/>
      <c r="F48" s="3530"/>
      <c r="G48" s="3561"/>
      <c r="H48" s="3562"/>
      <c r="I48" s="3532"/>
      <c r="J48" s="3533"/>
      <c r="K48" s="3534"/>
      <c r="L48" s="3535"/>
      <c r="M48" s="3536"/>
      <c r="N48" s="3535"/>
      <c r="O48" s="3535"/>
      <c r="P48" s="3535"/>
      <c r="Q48" s="3535"/>
      <c r="R48" s="3535"/>
      <c r="S48" s="3535"/>
      <c r="T48" s="3535"/>
      <c r="U48" s="3535"/>
      <c r="V48" s="3535"/>
      <c r="W48" s="3535"/>
      <c r="X48" s="3535"/>
      <c r="Y48" s="3535"/>
      <c r="Z48" s="3535"/>
      <c r="AA48" s="3568"/>
      <c r="AB48" s="3536"/>
      <c r="AC48" s="3535"/>
      <c r="AD48" s="3571"/>
      <c r="AE48" s="3573"/>
      <c r="AF48" s="3574"/>
      <c r="AG48" s="3576"/>
      <c r="AH48" s="3535"/>
      <c r="AI48" s="3535"/>
      <c r="AJ48" s="3574"/>
      <c r="AK48" s="3535"/>
      <c r="AL48" s="3579"/>
      <c r="AM48" s="3581"/>
      <c r="AN48" s="3581">
        <f>IF(ExpComps_LenderTable[[#This Row], [R&amp;M]]+ExpComps_LenderTable[[#This Row], [Payroll]]&gt;0,ExpComps_LenderTable[[#This Row], [R&amp;M]]+ExpComps_LenderTable[[#This Row], [Payroll]],"")</f>
      </c>
      <c r="AO4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8" s="6"/>
      <c r="AQ48" s="6"/>
      <c r="AR48" s="6"/>
    </row>
    <row r="49" ht="13.5" customHeight="1" hidden="1">
      <c r="B49" s="3560">
        <v>38</v>
      </c>
      <c r="C49" s="3529"/>
      <c r="D49" s="3529"/>
      <c r="E49" s="3529"/>
      <c r="F49" s="3530"/>
      <c r="G49" s="3561"/>
      <c r="H49" s="3562"/>
      <c r="I49" s="3532"/>
      <c r="J49" s="3533"/>
      <c r="K49" s="3534"/>
      <c r="L49" s="3535"/>
      <c r="M49" s="3536"/>
      <c r="N49" s="3535"/>
      <c r="O49" s="3535"/>
      <c r="P49" s="3535"/>
      <c r="Q49" s="3535"/>
      <c r="R49" s="3535"/>
      <c r="S49" s="3535"/>
      <c r="T49" s="3535"/>
      <c r="U49" s="3535"/>
      <c r="V49" s="3535"/>
      <c r="W49" s="3535"/>
      <c r="X49" s="3535"/>
      <c r="Y49" s="3535"/>
      <c r="Z49" s="3535"/>
      <c r="AA49" s="3568"/>
      <c r="AB49" s="3536"/>
      <c r="AC49" s="3535"/>
      <c r="AD49" s="3571"/>
      <c r="AE49" s="3573"/>
      <c r="AF49" s="3574"/>
      <c r="AG49" s="3576"/>
      <c r="AH49" s="3535"/>
      <c r="AI49" s="3535"/>
      <c r="AJ49" s="3574"/>
      <c r="AK49" s="3535"/>
      <c r="AL49" s="3579"/>
      <c r="AM49" s="3581"/>
      <c r="AN49" s="3581">
        <f>IF(ExpComps_LenderTable[[#This Row], [R&amp;M]]+ExpComps_LenderTable[[#This Row], [Payroll]]&gt;0,ExpComps_LenderTable[[#This Row], [R&amp;M]]+ExpComps_LenderTable[[#This Row], [Payroll]],"")</f>
      </c>
      <c r="AO4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49" s="6"/>
      <c r="AQ49" s="6"/>
      <c r="AR49" s="6"/>
    </row>
    <row r="50" ht="13.5" customHeight="1" hidden="1">
      <c r="B50" s="3560">
        <v>39</v>
      </c>
      <c r="C50" s="3529"/>
      <c r="D50" s="3529"/>
      <c r="E50" s="3529"/>
      <c r="F50" s="3530"/>
      <c r="G50" s="3561"/>
      <c r="H50" s="3562"/>
      <c r="I50" s="3532"/>
      <c r="J50" s="3533"/>
      <c r="K50" s="3534"/>
      <c r="L50" s="3535"/>
      <c r="M50" s="3536"/>
      <c r="N50" s="3535"/>
      <c r="O50" s="3535"/>
      <c r="P50" s="3535"/>
      <c r="Q50" s="3535"/>
      <c r="R50" s="3535"/>
      <c r="S50" s="3535"/>
      <c r="T50" s="3535"/>
      <c r="U50" s="3535"/>
      <c r="V50" s="3535"/>
      <c r="W50" s="3535"/>
      <c r="X50" s="3535"/>
      <c r="Y50" s="3535"/>
      <c r="Z50" s="3535"/>
      <c r="AA50" s="3568"/>
      <c r="AB50" s="3536"/>
      <c r="AC50" s="3535"/>
      <c r="AD50" s="3571"/>
      <c r="AE50" s="3573"/>
      <c r="AF50" s="3574"/>
      <c r="AG50" s="3576"/>
      <c r="AH50" s="3535"/>
      <c r="AI50" s="3535"/>
      <c r="AJ50" s="3574"/>
      <c r="AK50" s="3535"/>
      <c r="AL50" s="3579"/>
      <c r="AM50" s="3581"/>
      <c r="AN50" s="3581">
        <f>IF(ExpComps_LenderTable[[#This Row], [R&amp;M]]+ExpComps_LenderTable[[#This Row], [Payroll]]&gt;0,ExpComps_LenderTable[[#This Row], [R&amp;M]]+ExpComps_LenderTable[[#This Row], [Payroll]],"")</f>
      </c>
      <c r="AO5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0" s="6"/>
      <c r="AQ50" s="6"/>
      <c r="AR50" s="6"/>
    </row>
    <row r="51" ht="13.5" customHeight="1" hidden="1">
      <c r="B51" s="3560">
        <v>40</v>
      </c>
      <c r="C51" s="3529"/>
      <c r="D51" s="3529"/>
      <c r="E51" s="3529"/>
      <c r="F51" s="3530"/>
      <c r="G51" s="3561"/>
      <c r="H51" s="3562"/>
      <c r="I51" s="3532"/>
      <c r="J51" s="3533"/>
      <c r="K51" s="3534"/>
      <c r="L51" s="3535"/>
      <c r="M51" s="3536"/>
      <c r="N51" s="3535"/>
      <c r="O51" s="3535"/>
      <c r="P51" s="3535"/>
      <c r="Q51" s="3535"/>
      <c r="R51" s="3535"/>
      <c r="S51" s="3535"/>
      <c r="T51" s="3535"/>
      <c r="U51" s="3535"/>
      <c r="V51" s="3535"/>
      <c r="W51" s="3535"/>
      <c r="X51" s="3535"/>
      <c r="Y51" s="3535"/>
      <c r="Z51" s="3535"/>
      <c r="AA51" s="3568"/>
      <c r="AB51" s="3536"/>
      <c r="AC51" s="3535"/>
      <c r="AD51" s="3571"/>
      <c r="AE51" s="3573"/>
      <c r="AF51" s="3574"/>
      <c r="AG51" s="3576"/>
      <c r="AH51" s="3535"/>
      <c r="AI51" s="3535"/>
      <c r="AJ51" s="3574"/>
      <c r="AK51" s="3535"/>
      <c r="AL51" s="3579"/>
      <c r="AM51" s="3581"/>
      <c r="AN51" s="3581">
        <f>IF(ExpComps_LenderTable[[#This Row], [R&amp;M]]+ExpComps_LenderTable[[#This Row], [Payroll]]&gt;0,ExpComps_LenderTable[[#This Row], [R&amp;M]]+ExpComps_LenderTable[[#This Row], [Payroll]],"")</f>
      </c>
      <c r="AO5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1" s="6"/>
      <c r="AQ51" s="6"/>
      <c r="AR51" s="6"/>
    </row>
    <row r="52" ht="13.5" customHeight="1" hidden="1">
      <c r="B52" s="3560">
        <v>41</v>
      </c>
      <c r="C52" s="3529"/>
      <c r="D52" s="3529"/>
      <c r="E52" s="3529"/>
      <c r="F52" s="3530"/>
      <c r="G52" s="3561"/>
      <c r="H52" s="3562"/>
      <c r="I52" s="3532"/>
      <c r="J52" s="3533"/>
      <c r="K52" s="3534"/>
      <c r="L52" s="3535"/>
      <c r="M52" s="3536"/>
      <c r="N52" s="3535"/>
      <c r="O52" s="3535"/>
      <c r="P52" s="3535"/>
      <c r="Q52" s="3535"/>
      <c r="R52" s="3535"/>
      <c r="S52" s="3535"/>
      <c r="T52" s="3535"/>
      <c r="U52" s="3535"/>
      <c r="V52" s="3535"/>
      <c r="W52" s="3535"/>
      <c r="X52" s="3535"/>
      <c r="Y52" s="3535"/>
      <c r="Z52" s="3535"/>
      <c r="AA52" s="3568"/>
      <c r="AB52" s="3536"/>
      <c r="AC52" s="3535"/>
      <c r="AD52" s="3571"/>
      <c r="AE52" s="3573"/>
      <c r="AF52" s="3574"/>
      <c r="AG52" s="3576"/>
      <c r="AH52" s="3535"/>
      <c r="AI52" s="3535"/>
      <c r="AJ52" s="3574"/>
      <c r="AK52" s="3535"/>
      <c r="AL52" s="3579"/>
      <c r="AM52" s="3581"/>
      <c r="AN52" s="3581">
        <f>IF(ExpComps_LenderTable[[#This Row], [R&amp;M]]+ExpComps_LenderTable[[#This Row], [Payroll]]&gt;0,ExpComps_LenderTable[[#This Row], [R&amp;M]]+ExpComps_LenderTable[[#This Row], [Payroll]],"")</f>
      </c>
      <c r="AO5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2" s="6"/>
      <c r="AQ52" s="6"/>
      <c r="AR52" s="6"/>
    </row>
    <row r="53" ht="13.5" customHeight="1" hidden="1">
      <c r="B53" s="3560">
        <v>42</v>
      </c>
      <c r="C53" s="3529"/>
      <c r="D53" s="3529"/>
      <c r="E53" s="3529"/>
      <c r="F53" s="3530"/>
      <c r="G53" s="3561"/>
      <c r="H53" s="3562"/>
      <c r="I53" s="3532"/>
      <c r="J53" s="3533"/>
      <c r="K53" s="3534"/>
      <c r="L53" s="3535"/>
      <c r="M53" s="3536"/>
      <c r="N53" s="3535"/>
      <c r="O53" s="3535"/>
      <c r="P53" s="3535"/>
      <c r="Q53" s="3535"/>
      <c r="R53" s="3535"/>
      <c r="S53" s="3535"/>
      <c r="T53" s="3535"/>
      <c r="U53" s="3535"/>
      <c r="V53" s="3535"/>
      <c r="W53" s="3535"/>
      <c r="X53" s="3535"/>
      <c r="Y53" s="3535"/>
      <c r="Z53" s="3535"/>
      <c r="AA53" s="3568"/>
      <c r="AB53" s="3536"/>
      <c r="AC53" s="3535"/>
      <c r="AD53" s="3571"/>
      <c r="AE53" s="3573"/>
      <c r="AF53" s="3574"/>
      <c r="AG53" s="3576"/>
      <c r="AH53" s="3535"/>
      <c r="AI53" s="3535"/>
      <c r="AJ53" s="3574"/>
      <c r="AK53" s="3535"/>
      <c r="AL53" s="3579"/>
      <c r="AM53" s="3581"/>
      <c r="AN53" s="3581">
        <f>IF(ExpComps_LenderTable[[#This Row], [R&amp;M]]+ExpComps_LenderTable[[#This Row], [Payroll]]&gt;0,ExpComps_LenderTable[[#This Row], [R&amp;M]]+ExpComps_LenderTable[[#This Row], [Payroll]],"")</f>
      </c>
      <c r="AO5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3" s="6"/>
      <c r="AQ53" s="6"/>
      <c r="AR53" s="6"/>
    </row>
    <row r="54" ht="13.5" customHeight="1" hidden="1">
      <c r="B54" s="3560">
        <v>43</v>
      </c>
      <c r="C54" s="3529"/>
      <c r="D54" s="3529"/>
      <c r="E54" s="3529"/>
      <c r="F54" s="3530"/>
      <c r="G54" s="3561"/>
      <c r="H54" s="3562"/>
      <c r="I54" s="3532"/>
      <c r="J54" s="3533"/>
      <c r="K54" s="3534"/>
      <c r="L54" s="3535"/>
      <c r="M54" s="3536"/>
      <c r="N54" s="3535"/>
      <c r="O54" s="3535"/>
      <c r="P54" s="3535"/>
      <c r="Q54" s="3535"/>
      <c r="R54" s="3535"/>
      <c r="S54" s="3535"/>
      <c r="T54" s="3535"/>
      <c r="U54" s="3535"/>
      <c r="V54" s="3535"/>
      <c r="W54" s="3535"/>
      <c r="X54" s="3535"/>
      <c r="Y54" s="3535"/>
      <c r="Z54" s="3535"/>
      <c r="AA54" s="3568"/>
      <c r="AB54" s="3536"/>
      <c r="AC54" s="3535"/>
      <c r="AD54" s="3571"/>
      <c r="AE54" s="3573"/>
      <c r="AF54" s="3574"/>
      <c r="AG54" s="3576"/>
      <c r="AH54" s="3535"/>
      <c r="AI54" s="3535"/>
      <c r="AJ54" s="3574"/>
      <c r="AK54" s="3535"/>
      <c r="AL54" s="3579"/>
      <c r="AM54" s="3581"/>
      <c r="AN54" s="3581">
        <f>IF(ExpComps_LenderTable[[#This Row], [R&amp;M]]+ExpComps_LenderTable[[#This Row], [Payroll]]&gt;0,ExpComps_LenderTable[[#This Row], [R&amp;M]]+ExpComps_LenderTable[[#This Row], [Payroll]],"")</f>
      </c>
      <c r="AO5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4" s="6"/>
      <c r="AQ54" s="6"/>
      <c r="AR54" s="6"/>
    </row>
    <row r="55" ht="13.5" customHeight="1" hidden="1">
      <c r="B55" s="3560">
        <v>44</v>
      </c>
      <c r="C55" s="3529"/>
      <c r="D55" s="3529"/>
      <c r="E55" s="3529"/>
      <c r="F55" s="3530"/>
      <c r="G55" s="3561"/>
      <c r="H55" s="3562"/>
      <c r="I55" s="3532"/>
      <c r="J55" s="3533"/>
      <c r="K55" s="3534"/>
      <c r="L55" s="3535"/>
      <c r="M55" s="3536"/>
      <c r="N55" s="3535"/>
      <c r="O55" s="3535"/>
      <c r="P55" s="3535"/>
      <c r="Q55" s="3535"/>
      <c r="R55" s="3535"/>
      <c r="S55" s="3535"/>
      <c r="T55" s="3535"/>
      <c r="U55" s="3535"/>
      <c r="V55" s="3535"/>
      <c r="W55" s="3535"/>
      <c r="X55" s="3535"/>
      <c r="Y55" s="3535"/>
      <c r="Z55" s="3535"/>
      <c r="AA55" s="3568"/>
      <c r="AB55" s="3536"/>
      <c r="AC55" s="3535"/>
      <c r="AD55" s="3571"/>
      <c r="AE55" s="3573"/>
      <c r="AF55" s="3574"/>
      <c r="AG55" s="3576"/>
      <c r="AH55" s="3535"/>
      <c r="AI55" s="3535"/>
      <c r="AJ55" s="3574"/>
      <c r="AK55" s="3535"/>
      <c r="AL55" s="3579"/>
      <c r="AM55" s="3581"/>
      <c r="AN55" s="3581">
        <f>IF(ExpComps_LenderTable[[#This Row], [R&amp;M]]+ExpComps_LenderTable[[#This Row], [Payroll]]&gt;0,ExpComps_LenderTable[[#This Row], [R&amp;M]]+ExpComps_LenderTable[[#This Row], [Payroll]],"")</f>
      </c>
      <c r="AO5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5" s="6"/>
      <c r="AQ55" s="6"/>
      <c r="AR55" s="6"/>
    </row>
    <row r="56" ht="13.5" customHeight="1" hidden="1">
      <c r="B56" s="3560">
        <v>45</v>
      </c>
      <c r="C56" s="3529"/>
      <c r="D56" s="3529"/>
      <c r="E56" s="3529"/>
      <c r="F56" s="3530"/>
      <c r="G56" s="3561"/>
      <c r="H56" s="3562"/>
      <c r="I56" s="3532"/>
      <c r="J56" s="3533"/>
      <c r="K56" s="3534"/>
      <c r="L56" s="3535"/>
      <c r="M56" s="3536"/>
      <c r="N56" s="3535"/>
      <c r="O56" s="3535"/>
      <c r="P56" s="3535"/>
      <c r="Q56" s="3535"/>
      <c r="R56" s="3535"/>
      <c r="S56" s="3535"/>
      <c r="T56" s="3535"/>
      <c r="U56" s="3535"/>
      <c r="V56" s="3535"/>
      <c r="W56" s="3535"/>
      <c r="X56" s="3535"/>
      <c r="Y56" s="3535"/>
      <c r="Z56" s="3535"/>
      <c r="AA56" s="3568"/>
      <c r="AB56" s="3536"/>
      <c r="AC56" s="3535"/>
      <c r="AD56" s="3571"/>
      <c r="AE56" s="3573"/>
      <c r="AF56" s="3574"/>
      <c r="AG56" s="3576"/>
      <c r="AH56" s="3535"/>
      <c r="AI56" s="3535"/>
      <c r="AJ56" s="3574"/>
      <c r="AK56" s="3535"/>
      <c r="AL56" s="3579"/>
      <c r="AM56" s="3581"/>
      <c r="AN56" s="3581">
        <f>IF(ExpComps_LenderTable[[#This Row], [R&amp;M]]+ExpComps_LenderTable[[#This Row], [Payroll]]&gt;0,ExpComps_LenderTable[[#This Row], [R&amp;M]]+ExpComps_LenderTable[[#This Row], [Payroll]],"")</f>
      </c>
      <c r="AO5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6" s="6"/>
      <c r="AQ56" s="6"/>
      <c r="AR56" s="6"/>
    </row>
    <row r="57" ht="13.5" customHeight="1" hidden="1">
      <c r="B57" s="3560">
        <v>46</v>
      </c>
      <c r="C57" s="3529"/>
      <c r="D57" s="3529"/>
      <c r="E57" s="3529"/>
      <c r="F57" s="3530"/>
      <c r="G57" s="3561"/>
      <c r="H57" s="3562"/>
      <c r="I57" s="3532"/>
      <c r="J57" s="3533"/>
      <c r="K57" s="3534"/>
      <c r="L57" s="3535"/>
      <c r="M57" s="3536"/>
      <c r="N57" s="3535"/>
      <c r="O57" s="3535"/>
      <c r="P57" s="3535"/>
      <c r="Q57" s="3535"/>
      <c r="R57" s="3535"/>
      <c r="S57" s="3535"/>
      <c r="T57" s="3535"/>
      <c r="U57" s="3535"/>
      <c r="V57" s="3535"/>
      <c r="W57" s="3535"/>
      <c r="X57" s="3535"/>
      <c r="Y57" s="3535"/>
      <c r="Z57" s="3535"/>
      <c r="AA57" s="3568"/>
      <c r="AB57" s="3536"/>
      <c r="AC57" s="3535"/>
      <c r="AD57" s="3571"/>
      <c r="AE57" s="3573"/>
      <c r="AF57" s="3574"/>
      <c r="AG57" s="3576"/>
      <c r="AH57" s="3535"/>
      <c r="AI57" s="3535"/>
      <c r="AJ57" s="3574"/>
      <c r="AK57" s="3535"/>
      <c r="AL57" s="3579"/>
      <c r="AM57" s="3581"/>
      <c r="AN57" s="3581">
        <f>IF(ExpComps_LenderTable[[#This Row], [R&amp;M]]+ExpComps_LenderTable[[#This Row], [Payroll]]&gt;0,ExpComps_LenderTable[[#This Row], [R&amp;M]]+ExpComps_LenderTable[[#This Row], [Payroll]],"")</f>
      </c>
      <c r="AO5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7" s="6"/>
      <c r="AQ57" s="6"/>
      <c r="AR57" s="6"/>
    </row>
    <row r="58" ht="13.5" customHeight="1" hidden="1">
      <c r="B58" s="3560">
        <v>47</v>
      </c>
      <c r="C58" s="3529"/>
      <c r="D58" s="3529"/>
      <c r="E58" s="3529"/>
      <c r="F58" s="3530"/>
      <c r="G58" s="3561"/>
      <c r="H58" s="3562"/>
      <c r="I58" s="3532"/>
      <c r="J58" s="3533"/>
      <c r="K58" s="3534"/>
      <c r="L58" s="3535"/>
      <c r="M58" s="3536"/>
      <c r="N58" s="3535"/>
      <c r="O58" s="3535"/>
      <c r="P58" s="3535"/>
      <c r="Q58" s="3535"/>
      <c r="R58" s="3535"/>
      <c r="S58" s="3535"/>
      <c r="T58" s="3535"/>
      <c r="U58" s="3535"/>
      <c r="V58" s="3535"/>
      <c r="W58" s="3535"/>
      <c r="X58" s="3535"/>
      <c r="Y58" s="3535"/>
      <c r="Z58" s="3535"/>
      <c r="AA58" s="3568"/>
      <c r="AB58" s="3536"/>
      <c r="AC58" s="3535"/>
      <c r="AD58" s="3571"/>
      <c r="AE58" s="3573"/>
      <c r="AF58" s="3574"/>
      <c r="AG58" s="3576"/>
      <c r="AH58" s="3535"/>
      <c r="AI58" s="3535"/>
      <c r="AJ58" s="3574"/>
      <c r="AK58" s="3535"/>
      <c r="AL58" s="3579"/>
      <c r="AM58" s="3581"/>
      <c r="AN58" s="3581">
        <f>IF(ExpComps_LenderTable[[#This Row], [R&amp;M]]+ExpComps_LenderTable[[#This Row], [Payroll]]&gt;0,ExpComps_LenderTable[[#This Row], [R&amp;M]]+ExpComps_LenderTable[[#This Row], [Payroll]],"")</f>
      </c>
      <c r="AO5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8" s="6"/>
      <c r="AQ58" s="6"/>
      <c r="AR58" s="6"/>
    </row>
    <row r="59" ht="13.5" customHeight="1" hidden="1">
      <c r="B59" s="3560">
        <v>48</v>
      </c>
      <c r="C59" s="3529"/>
      <c r="D59" s="3529"/>
      <c r="E59" s="3529"/>
      <c r="F59" s="3530"/>
      <c r="G59" s="3561"/>
      <c r="H59" s="3562"/>
      <c r="I59" s="3532"/>
      <c r="J59" s="3533"/>
      <c r="K59" s="3534"/>
      <c r="L59" s="3535"/>
      <c r="M59" s="3536"/>
      <c r="N59" s="3535"/>
      <c r="O59" s="3535"/>
      <c r="P59" s="3535"/>
      <c r="Q59" s="3535"/>
      <c r="R59" s="3535"/>
      <c r="S59" s="3535"/>
      <c r="T59" s="3535"/>
      <c r="U59" s="3535"/>
      <c r="V59" s="3535"/>
      <c r="W59" s="3535"/>
      <c r="X59" s="3535"/>
      <c r="Y59" s="3535"/>
      <c r="Z59" s="3535"/>
      <c r="AA59" s="3568"/>
      <c r="AB59" s="3536"/>
      <c r="AC59" s="3535"/>
      <c r="AD59" s="3571"/>
      <c r="AE59" s="3573"/>
      <c r="AF59" s="3574"/>
      <c r="AG59" s="3576"/>
      <c r="AH59" s="3535"/>
      <c r="AI59" s="3535"/>
      <c r="AJ59" s="3574"/>
      <c r="AK59" s="3535"/>
      <c r="AL59" s="3579"/>
      <c r="AM59" s="3581"/>
      <c r="AN59" s="3581">
        <f>IF(ExpComps_LenderTable[[#This Row], [R&amp;M]]+ExpComps_LenderTable[[#This Row], [Payroll]]&gt;0,ExpComps_LenderTable[[#This Row], [R&amp;M]]+ExpComps_LenderTable[[#This Row], [Payroll]],"")</f>
      </c>
      <c r="AO5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59" s="6"/>
      <c r="AQ59" s="6"/>
      <c r="AR59" s="6"/>
    </row>
    <row r="60" ht="13.5" customHeight="1" hidden="1">
      <c r="B60" s="3560">
        <v>49</v>
      </c>
      <c r="C60" s="3529"/>
      <c r="D60" s="3529"/>
      <c r="E60" s="3529"/>
      <c r="F60" s="3530"/>
      <c r="G60" s="3561"/>
      <c r="H60" s="3562"/>
      <c r="I60" s="3532"/>
      <c r="J60" s="3533"/>
      <c r="K60" s="3534"/>
      <c r="L60" s="3535"/>
      <c r="M60" s="3536"/>
      <c r="N60" s="3535"/>
      <c r="O60" s="3535"/>
      <c r="P60" s="3535"/>
      <c r="Q60" s="3535"/>
      <c r="R60" s="3535"/>
      <c r="S60" s="3535"/>
      <c r="T60" s="3535"/>
      <c r="U60" s="3535"/>
      <c r="V60" s="3535"/>
      <c r="W60" s="3535"/>
      <c r="X60" s="3535"/>
      <c r="Y60" s="3535"/>
      <c r="Z60" s="3535"/>
      <c r="AA60" s="3568"/>
      <c r="AB60" s="3536"/>
      <c r="AC60" s="3535"/>
      <c r="AD60" s="3571"/>
      <c r="AE60" s="3573"/>
      <c r="AF60" s="3574"/>
      <c r="AG60" s="3576"/>
      <c r="AH60" s="3535"/>
      <c r="AI60" s="3535"/>
      <c r="AJ60" s="3574"/>
      <c r="AK60" s="3535"/>
      <c r="AL60" s="3579"/>
      <c r="AM60" s="3581"/>
      <c r="AN60" s="3581">
        <f>IF(ExpComps_LenderTable[[#This Row], [R&amp;M]]+ExpComps_LenderTable[[#This Row], [Payroll]]&gt;0,ExpComps_LenderTable[[#This Row], [R&amp;M]]+ExpComps_LenderTable[[#This Row], [Payroll]],"")</f>
      </c>
      <c r="AO6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0" s="6"/>
      <c r="AQ60" s="6"/>
      <c r="AR60" s="6"/>
    </row>
    <row r="61" ht="13.5" customHeight="1" hidden="1">
      <c r="B61" s="3560">
        <v>50</v>
      </c>
      <c r="C61" s="3529"/>
      <c r="D61" s="3529"/>
      <c r="E61" s="3529"/>
      <c r="F61" s="3530"/>
      <c r="G61" s="3561"/>
      <c r="H61" s="3562"/>
      <c r="I61" s="3532"/>
      <c r="J61" s="3533"/>
      <c r="K61" s="3534"/>
      <c r="L61" s="3535"/>
      <c r="M61" s="3536"/>
      <c r="N61" s="3535"/>
      <c r="O61" s="3535"/>
      <c r="P61" s="3535"/>
      <c r="Q61" s="3535"/>
      <c r="R61" s="3535"/>
      <c r="S61" s="3535"/>
      <c r="T61" s="3535"/>
      <c r="U61" s="3535"/>
      <c r="V61" s="3535"/>
      <c r="W61" s="3535"/>
      <c r="X61" s="3535"/>
      <c r="Y61" s="3535"/>
      <c r="Z61" s="3535"/>
      <c r="AA61" s="3568"/>
      <c r="AB61" s="3536"/>
      <c r="AC61" s="3535"/>
      <c r="AD61" s="3571"/>
      <c r="AE61" s="3573"/>
      <c r="AF61" s="3574"/>
      <c r="AG61" s="3576"/>
      <c r="AH61" s="3535"/>
      <c r="AI61" s="3535"/>
      <c r="AJ61" s="3574"/>
      <c r="AK61" s="3535"/>
      <c r="AL61" s="3579"/>
      <c r="AM61" s="3581"/>
      <c r="AN61" s="3581">
        <f>IF(ExpComps_LenderTable[[#This Row], [R&amp;M]]+ExpComps_LenderTable[[#This Row], [Payroll]]&gt;0,ExpComps_LenderTable[[#This Row], [R&amp;M]]+ExpComps_LenderTable[[#This Row], [Payroll]],"")</f>
      </c>
      <c r="AO6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1" s="6"/>
      <c r="AQ61" s="6"/>
      <c r="AR61" s="6"/>
    </row>
    <row r="62" ht="13.5" customHeight="1" hidden="1">
      <c r="B62" s="3560">
        <v>51</v>
      </c>
      <c r="C62" s="3529"/>
      <c r="D62" s="3529"/>
      <c r="E62" s="3529"/>
      <c r="F62" s="3530"/>
      <c r="G62" s="3561"/>
      <c r="H62" s="3562"/>
      <c r="I62" s="3532"/>
      <c r="J62" s="3533"/>
      <c r="K62" s="3534"/>
      <c r="L62" s="3535"/>
      <c r="M62" s="3536"/>
      <c r="N62" s="3535"/>
      <c r="O62" s="3535"/>
      <c r="P62" s="3535"/>
      <c r="Q62" s="3535"/>
      <c r="R62" s="3535"/>
      <c r="S62" s="3535"/>
      <c r="T62" s="3535"/>
      <c r="U62" s="3535"/>
      <c r="V62" s="3535"/>
      <c r="W62" s="3535"/>
      <c r="X62" s="3535"/>
      <c r="Y62" s="3535"/>
      <c r="Z62" s="3535"/>
      <c r="AA62" s="3568"/>
      <c r="AB62" s="3536"/>
      <c r="AC62" s="3535"/>
      <c r="AD62" s="3571"/>
      <c r="AE62" s="3573"/>
      <c r="AF62" s="3574"/>
      <c r="AG62" s="3576"/>
      <c r="AH62" s="3535"/>
      <c r="AI62" s="3535"/>
      <c r="AJ62" s="3574"/>
      <c r="AK62" s="3535"/>
      <c r="AL62" s="3579"/>
      <c r="AM62" s="3581"/>
      <c r="AN62" s="3581">
        <f>IF(ExpComps_LenderTable[[#This Row], [R&amp;M]]+ExpComps_LenderTable[[#This Row], [Payroll]]&gt;0,ExpComps_LenderTable[[#This Row], [R&amp;M]]+ExpComps_LenderTable[[#This Row], [Payroll]],"")</f>
      </c>
      <c r="AO6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2" s="6"/>
      <c r="AQ62" s="6"/>
      <c r="AR62" s="6"/>
    </row>
    <row r="63" ht="13.5" customHeight="1" hidden="1">
      <c r="B63" s="3560">
        <v>52</v>
      </c>
      <c r="C63" s="3529"/>
      <c r="D63" s="3529"/>
      <c r="E63" s="3529"/>
      <c r="F63" s="3530"/>
      <c r="G63" s="3561"/>
      <c r="H63" s="3562"/>
      <c r="I63" s="3532"/>
      <c r="J63" s="3533"/>
      <c r="K63" s="3534"/>
      <c r="L63" s="3535"/>
      <c r="M63" s="3536"/>
      <c r="N63" s="3535"/>
      <c r="O63" s="3535"/>
      <c r="P63" s="3535"/>
      <c r="Q63" s="3535"/>
      <c r="R63" s="3535"/>
      <c r="S63" s="3535"/>
      <c r="T63" s="3535"/>
      <c r="U63" s="3535"/>
      <c r="V63" s="3535"/>
      <c r="W63" s="3535"/>
      <c r="X63" s="3535"/>
      <c r="Y63" s="3535"/>
      <c r="Z63" s="3535"/>
      <c r="AA63" s="3568"/>
      <c r="AB63" s="3536"/>
      <c r="AC63" s="3535"/>
      <c r="AD63" s="3571"/>
      <c r="AE63" s="3573"/>
      <c r="AF63" s="3574"/>
      <c r="AG63" s="3576"/>
      <c r="AH63" s="3535"/>
      <c r="AI63" s="3535"/>
      <c r="AJ63" s="3574"/>
      <c r="AK63" s="3535"/>
      <c r="AL63" s="3579"/>
      <c r="AM63" s="3581"/>
      <c r="AN63" s="3581">
        <f>IF(ExpComps_LenderTable[[#This Row], [R&amp;M]]+ExpComps_LenderTable[[#This Row], [Payroll]]&gt;0,ExpComps_LenderTable[[#This Row], [R&amp;M]]+ExpComps_LenderTable[[#This Row], [Payroll]],"")</f>
      </c>
      <c r="AO6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3" s="6"/>
      <c r="AQ63" s="6"/>
      <c r="AR63" s="6"/>
    </row>
    <row r="64" ht="13.5" customHeight="1" hidden="1">
      <c r="B64" s="3560">
        <v>53</v>
      </c>
      <c r="C64" s="3529"/>
      <c r="D64" s="3529"/>
      <c r="E64" s="3529"/>
      <c r="F64" s="3530"/>
      <c r="G64" s="3561"/>
      <c r="H64" s="3562"/>
      <c r="I64" s="3532"/>
      <c r="J64" s="3533"/>
      <c r="K64" s="3534"/>
      <c r="L64" s="3535"/>
      <c r="M64" s="3536"/>
      <c r="N64" s="3535"/>
      <c r="O64" s="3535"/>
      <c r="P64" s="3535"/>
      <c r="Q64" s="3535"/>
      <c r="R64" s="3535"/>
      <c r="S64" s="3535"/>
      <c r="T64" s="3535"/>
      <c r="U64" s="3535"/>
      <c r="V64" s="3535"/>
      <c r="W64" s="3535"/>
      <c r="X64" s="3535"/>
      <c r="Y64" s="3535"/>
      <c r="Z64" s="3535"/>
      <c r="AA64" s="3568"/>
      <c r="AB64" s="3536"/>
      <c r="AC64" s="3535"/>
      <c r="AD64" s="3571"/>
      <c r="AE64" s="3573"/>
      <c r="AF64" s="3574"/>
      <c r="AG64" s="3576"/>
      <c r="AH64" s="3535"/>
      <c r="AI64" s="3535"/>
      <c r="AJ64" s="3574"/>
      <c r="AK64" s="3535"/>
      <c r="AL64" s="3579"/>
      <c r="AM64" s="3581"/>
      <c r="AN64" s="3581">
        <f>IF(ExpComps_LenderTable[[#This Row], [R&amp;M]]+ExpComps_LenderTable[[#This Row], [Payroll]]&gt;0,ExpComps_LenderTable[[#This Row], [R&amp;M]]+ExpComps_LenderTable[[#This Row], [Payroll]],"")</f>
      </c>
      <c r="AO6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4" s="6"/>
      <c r="AQ64" s="6"/>
      <c r="AR64" s="6"/>
    </row>
    <row r="65" ht="13.5" customHeight="1" hidden="1">
      <c r="B65" s="3560">
        <v>54</v>
      </c>
      <c r="C65" s="3529"/>
      <c r="D65" s="3529"/>
      <c r="E65" s="3529"/>
      <c r="F65" s="3530"/>
      <c r="G65" s="3561"/>
      <c r="H65" s="3562"/>
      <c r="I65" s="3532"/>
      <c r="J65" s="3533"/>
      <c r="K65" s="3534"/>
      <c r="L65" s="3535"/>
      <c r="M65" s="3536"/>
      <c r="N65" s="3535"/>
      <c r="O65" s="3535"/>
      <c r="P65" s="3535"/>
      <c r="Q65" s="3535"/>
      <c r="R65" s="3535"/>
      <c r="S65" s="3535"/>
      <c r="T65" s="3535"/>
      <c r="U65" s="3535"/>
      <c r="V65" s="3535"/>
      <c r="W65" s="3535"/>
      <c r="X65" s="3535"/>
      <c r="Y65" s="3535"/>
      <c r="Z65" s="3535"/>
      <c r="AA65" s="3568"/>
      <c r="AB65" s="3536"/>
      <c r="AC65" s="3535"/>
      <c r="AD65" s="3571"/>
      <c r="AE65" s="3573"/>
      <c r="AF65" s="3574"/>
      <c r="AG65" s="3576"/>
      <c r="AH65" s="3535"/>
      <c r="AI65" s="3535"/>
      <c r="AJ65" s="3574"/>
      <c r="AK65" s="3535"/>
      <c r="AL65" s="3579"/>
      <c r="AM65" s="3581"/>
      <c r="AN65" s="3581">
        <f>IF(ExpComps_LenderTable[[#This Row], [R&amp;M]]+ExpComps_LenderTable[[#This Row], [Payroll]]&gt;0,ExpComps_LenderTable[[#This Row], [R&amp;M]]+ExpComps_LenderTable[[#This Row], [Payroll]],"")</f>
      </c>
      <c r="AO6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5" s="6"/>
      <c r="AQ65" s="6"/>
      <c r="AR65" s="6"/>
    </row>
    <row r="66" ht="13.5" customHeight="1" hidden="1">
      <c r="B66" s="3560">
        <v>55</v>
      </c>
      <c r="C66" s="3529"/>
      <c r="D66" s="3529"/>
      <c r="E66" s="3529"/>
      <c r="F66" s="3530"/>
      <c r="G66" s="3561"/>
      <c r="H66" s="3562"/>
      <c r="I66" s="3532"/>
      <c r="J66" s="3533"/>
      <c r="K66" s="3534"/>
      <c r="L66" s="3535"/>
      <c r="M66" s="3536"/>
      <c r="N66" s="3535"/>
      <c r="O66" s="3535"/>
      <c r="P66" s="3535"/>
      <c r="Q66" s="3535"/>
      <c r="R66" s="3535"/>
      <c r="S66" s="3535"/>
      <c r="T66" s="3535"/>
      <c r="U66" s="3535"/>
      <c r="V66" s="3535"/>
      <c r="W66" s="3535"/>
      <c r="X66" s="3535"/>
      <c r="Y66" s="3535"/>
      <c r="Z66" s="3535"/>
      <c r="AA66" s="3568"/>
      <c r="AB66" s="3536"/>
      <c r="AC66" s="3535"/>
      <c r="AD66" s="3571"/>
      <c r="AE66" s="3573"/>
      <c r="AF66" s="3574"/>
      <c r="AG66" s="3576"/>
      <c r="AH66" s="3535"/>
      <c r="AI66" s="3535"/>
      <c r="AJ66" s="3574"/>
      <c r="AK66" s="3535"/>
      <c r="AL66" s="3579"/>
      <c r="AM66" s="3581"/>
      <c r="AN66" s="3581">
        <f>IF(ExpComps_LenderTable[[#This Row], [R&amp;M]]+ExpComps_LenderTable[[#This Row], [Payroll]]&gt;0,ExpComps_LenderTable[[#This Row], [R&amp;M]]+ExpComps_LenderTable[[#This Row], [Payroll]],"")</f>
      </c>
      <c r="AO6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6" s="6"/>
      <c r="AQ66" s="6"/>
      <c r="AR66" s="6"/>
    </row>
    <row r="67" ht="13.5" customHeight="1" hidden="1">
      <c r="B67" s="3560">
        <v>56</v>
      </c>
      <c r="C67" s="3529"/>
      <c r="D67" s="3529"/>
      <c r="E67" s="3529"/>
      <c r="F67" s="3530"/>
      <c r="G67" s="3561"/>
      <c r="H67" s="3562"/>
      <c r="I67" s="3532"/>
      <c r="J67" s="3533"/>
      <c r="K67" s="3534"/>
      <c r="L67" s="3535"/>
      <c r="M67" s="3536"/>
      <c r="N67" s="3535"/>
      <c r="O67" s="3535"/>
      <c r="P67" s="3535"/>
      <c r="Q67" s="3535"/>
      <c r="R67" s="3535"/>
      <c r="S67" s="3535"/>
      <c r="T67" s="3535"/>
      <c r="U67" s="3535"/>
      <c r="V67" s="3535"/>
      <c r="W67" s="3535"/>
      <c r="X67" s="3535"/>
      <c r="Y67" s="3535"/>
      <c r="Z67" s="3535"/>
      <c r="AA67" s="3568"/>
      <c r="AB67" s="3536"/>
      <c r="AC67" s="3535"/>
      <c r="AD67" s="3571"/>
      <c r="AE67" s="3573"/>
      <c r="AF67" s="3574"/>
      <c r="AG67" s="3576"/>
      <c r="AH67" s="3535"/>
      <c r="AI67" s="3535"/>
      <c r="AJ67" s="3574"/>
      <c r="AK67" s="3535"/>
      <c r="AL67" s="3579"/>
      <c r="AM67" s="3581"/>
      <c r="AN67" s="3581">
        <f>IF(ExpComps_LenderTable[[#This Row], [R&amp;M]]+ExpComps_LenderTable[[#This Row], [Payroll]]&gt;0,ExpComps_LenderTable[[#This Row], [R&amp;M]]+ExpComps_LenderTable[[#This Row], [Payroll]],"")</f>
      </c>
      <c r="AO6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7" s="6"/>
      <c r="AQ67" s="6"/>
      <c r="AR67" s="6"/>
    </row>
    <row r="68" ht="13.5" customHeight="1" hidden="1">
      <c r="B68" s="3560">
        <v>57</v>
      </c>
      <c r="C68" s="3529"/>
      <c r="D68" s="3529"/>
      <c r="E68" s="3529"/>
      <c r="F68" s="3530"/>
      <c r="G68" s="3561"/>
      <c r="H68" s="3562"/>
      <c r="I68" s="3532"/>
      <c r="J68" s="3533"/>
      <c r="K68" s="3534"/>
      <c r="L68" s="3535"/>
      <c r="M68" s="3536"/>
      <c r="N68" s="3535"/>
      <c r="O68" s="3535"/>
      <c r="P68" s="3535"/>
      <c r="Q68" s="3535"/>
      <c r="R68" s="3535"/>
      <c r="S68" s="3535"/>
      <c r="T68" s="3535"/>
      <c r="U68" s="3535"/>
      <c r="V68" s="3535"/>
      <c r="W68" s="3535"/>
      <c r="X68" s="3535"/>
      <c r="Y68" s="3535"/>
      <c r="Z68" s="3535"/>
      <c r="AA68" s="3568"/>
      <c r="AB68" s="3536"/>
      <c r="AC68" s="3535"/>
      <c r="AD68" s="3571"/>
      <c r="AE68" s="3573"/>
      <c r="AF68" s="3574"/>
      <c r="AG68" s="3576"/>
      <c r="AH68" s="3535"/>
      <c r="AI68" s="3535"/>
      <c r="AJ68" s="3574"/>
      <c r="AK68" s="3535"/>
      <c r="AL68" s="3579"/>
      <c r="AM68" s="3581"/>
      <c r="AN68" s="3581">
        <f>IF(ExpComps_LenderTable[[#This Row], [R&amp;M]]+ExpComps_LenderTable[[#This Row], [Payroll]]&gt;0,ExpComps_LenderTable[[#This Row], [R&amp;M]]+ExpComps_LenderTable[[#This Row], [Payroll]],"")</f>
      </c>
      <c r="AO6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8" s="6"/>
      <c r="AQ68" s="6"/>
      <c r="AR68" s="6"/>
    </row>
    <row r="69" ht="13.5" customHeight="1" hidden="1">
      <c r="B69" s="3560">
        <v>58</v>
      </c>
      <c r="C69" s="3529"/>
      <c r="D69" s="3529"/>
      <c r="E69" s="3529"/>
      <c r="F69" s="3530"/>
      <c r="G69" s="3561"/>
      <c r="H69" s="3562"/>
      <c r="I69" s="3532"/>
      <c r="J69" s="3533"/>
      <c r="K69" s="3534"/>
      <c r="L69" s="3535"/>
      <c r="M69" s="3536"/>
      <c r="N69" s="3535"/>
      <c r="O69" s="3535"/>
      <c r="P69" s="3535"/>
      <c r="Q69" s="3535"/>
      <c r="R69" s="3535"/>
      <c r="S69" s="3535"/>
      <c r="T69" s="3535"/>
      <c r="U69" s="3535"/>
      <c r="V69" s="3535"/>
      <c r="W69" s="3535"/>
      <c r="X69" s="3535"/>
      <c r="Y69" s="3535"/>
      <c r="Z69" s="3535"/>
      <c r="AA69" s="3568"/>
      <c r="AB69" s="3536"/>
      <c r="AC69" s="3535"/>
      <c r="AD69" s="3571"/>
      <c r="AE69" s="3573"/>
      <c r="AF69" s="3574"/>
      <c r="AG69" s="3576"/>
      <c r="AH69" s="3535"/>
      <c r="AI69" s="3535"/>
      <c r="AJ69" s="3574"/>
      <c r="AK69" s="3535"/>
      <c r="AL69" s="3579"/>
      <c r="AM69" s="3581"/>
      <c r="AN69" s="3581">
        <f>IF(ExpComps_LenderTable[[#This Row], [R&amp;M]]+ExpComps_LenderTable[[#This Row], [Payroll]]&gt;0,ExpComps_LenderTable[[#This Row], [R&amp;M]]+ExpComps_LenderTable[[#This Row], [Payroll]],"")</f>
      </c>
      <c r="AO6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69" s="6"/>
      <c r="AQ69" s="6"/>
      <c r="AR69" s="6"/>
    </row>
    <row r="70" ht="13.5" customHeight="1" hidden="1">
      <c r="B70" s="3560">
        <v>59</v>
      </c>
      <c r="C70" s="3529"/>
      <c r="D70" s="3529"/>
      <c r="E70" s="3529"/>
      <c r="F70" s="3530"/>
      <c r="G70" s="3561"/>
      <c r="H70" s="3562"/>
      <c r="I70" s="3532"/>
      <c r="J70" s="3533"/>
      <c r="K70" s="3534"/>
      <c r="L70" s="3535"/>
      <c r="M70" s="3536"/>
      <c r="N70" s="3535"/>
      <c r="O70" s="3535"/>
      <c r="P70" s="3535"/>
      <c r="Q70" s="3535"/>
      <c r="R70" s="3535"/>
      <c r="S70" s="3535"/>
      <c r="T70" s="3535"/>
      <c r="U70" s="3535"/>
      <c r="V70" s="3535"/>
      <c r="W70" s="3535"/>
      <c r="X70" s="3535"/>
      <c r="Y70" s="3535"/>
      <c r="Z70" s="3535"/>
      <c r="AA70" s="3568"/>
      <c r="AB70" s="3536"/>
      <c r="AC70" s="3535"/>
      <c r="AD70" s="3571"/>
      <c r="AE70" s="3573"/>
      <c r="AF70" s="3574"/>
      <c r="AG70" s="3576"/>
      <c r="AH70" s="3535"/>
      <c r="AI70" s="3535"/>
      <c r="AJ70" s="3574"/>
      <c r="AK70" s="3535"/>
      <c r="AL70" s="3579"/>
      <c r="AM70" s="3581"/>
      <c r="AN70" s="3581">
        <f>IF(ExpComps_LenderTable[[#This Row], [R&amp;M]]+ExpComps_LenderTable[[#This Row], [Payroll]]&gt;0,ExpComps_LenderTable[[#This Row], [R&amp;M]]+ExpComps_LenderTable[[#This Row], [Payroll]],"")</f>
      </c>
      <c r="AO7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0" s="6"/>
      <c r="AQ70" s="6"/>
      <c r="AR70" s="6"/>
    </row>
    <row r="71" ht="13.5" customHeight="1" hidden="1">
      <c r="B71" s="3560">
        <v>60</v>
      </c>
      <c r="C71" s="3529"/>
      <c r="D71" s="3529"/>
      <c r="E71" s="3529"/>
      <c r="F71" s="3530"/>
      <c r="G71" s="3561"/>
      <c r="H71" s="3562"/>
      <c r="I71" s="3532"/>
      <c r="J71" s="3533"/>
      <c r="K71" s="3534"/>
      <c r="L71" s="3535"/>
      <c r="M71" s="3536"/>
      <c r="N71" s="3535"/>
      <c r="O71" s="3535"/>
      <c r="P71" s="3535"/>
      <c r="Q71" s="3535"/>
      <c r="R71" s="3535"/>
      <c r="S71" s="3535"/>
      <c r="T71" s="3535"/>
      <c r="U71" s="3535"/>
      <c r="V71" s="3535"/>
      <c r="W71" s="3535"/>
      <c r="X71" s="3535"/>
      <c r="Y71" s="3535"/>
      <c r="Z71" s="3535"/>
      <c r="AA71" s="3568"/>
      <c r="AB71" s="3536"/>
      <c r="AC71" s="3535"/>
      <c r="AD71" s="3571"/>
      <c r="AE71" s="3573"/>
      <c r="AF71" s="3574"/>
      <c r="AG71" s="3576"/>
      <c r="AH71" s="3535"/>
      <c r="AI71" s="3535"/>
      <c r="AJ71" s="3574"/>
      <c r="AK71" s="3535"/>
      <c r="AL71" s="3579"/>
      <c r="AM71" s="3581"/>
      <c r="AN71" s="3581">
        <f>IF(ExpComps_LenderTable[[#This Row], [R&amp;M]]+ExpComps_LenderTable[[#This Row], [Payroll]]&gt;0,ExpComps_LenderTable[[#This Row], [R&amp;M]]+ExpComps_LenderTable[[#This Row], [Payroll]],"")</f>
      </c>
      <c r="AO7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1" s="6"/>
      <c r="AQ71" s="6"/>
      <c r="AR71" s="6"/>
    </row>
    <row r="72" ht="13.5" customHeight="1" hidden="1">
      <c r="B72" s="3560">
        <v>61</v>
      </c>
      <c r="C72" s="3529"/>
      <c r="D72" s="3529"/>
      <c r="E72" s="3529"/>
      <c r="F72" s="3530"/>
      <c r="G72" s="3561"/>
      <c r="H72" s="3562"/>
      <c r="I72" s="3532"/>
      <c r="J72" s="3533"/>
      <c r="K72" s="3534"/>
      <c r="L72" s="3535"/>
      <c r="M72" s="3536"/>
      <c r="N72" s="3535"/>
      <c r="O72" s="3535"/>
      <c r="P72" s="3535"/>
      <c r="Q72" s="3535"/>
      <c r="R72" s="3535"/>
      <c r="S72" s="3535"/>
      <c r="T72" s="3535"/>
      <c r="U72" s="3535"/>
      <c r="V72" s="3535"/>
      <c r="W72" s="3535"/>
      <c r="X72" s="3535"/>
      <c r="Y72" s="3535"/>
      <c r="Z72" s="3535"/>
      <c r="AA72" s="3568"/>
      <c r="AB72" s="3536"/>
      <c r="AC72" s="3535"/>
      <c r="AD72" s="3571"/>
      <c r="AE72" s="3573"/>
      <c r="AF72" s="3574"/>
      <c r="AG72" s="3576"/>
      <c r="AH72" s="3535"/>
      <c r="AI72" s="3535"/>
      <c r="AJ72" s="3574"/>
      <c r="AK72" s="3535"/>
      <c r="AL72" s="3579"/>
      <c r="AM72" s="3581"/>
      <c r="AN72" s="3581">
        <f>IF(ExpComps_LenderTable[[#This Row], [R&amp;M]]+ExpComps_LenderTable[[#This Row], [Payroll]]&gt;0,ExpComps_LenderTable[[#This Row], [R&amp;M]]+ExpComps_LenderTable[[#This Row], [Payroll]],"")</f>
      </c>
      <c r="AO7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2" s="6"/>
      <c r="AQ72" s="6"/>
      <c r="AR72" s="6"/>
    </row>
    <row r="73" ht="13.5" customHeight="1" hidden="1">
      <c r="B73" s="3560">
        <v>62</v>
      </c>
      <c r="C73" s="3529"/>
      <c r="D73" s="3529"/>
      <c r="E73" s="3529"/>
      <c r="F73" s="3530"/>
      <c r="G73" s="3561"/>
      <c r="H73" s="3562"/>
      <c r="I73" s="3532"/>
      <c r="J73" s="3533"/>
      <c r="K73" s="3534"/>
      <c r="L73" s="3535"/>
      <c r="M73" s="3536"/>
      <c r="N73" s="3535"/>
      <c r="O73" s="3535"/>
      <c r="P73" s="3535"/>
      <c r="Q73" s="3535"/>
      <c r="R73" s="3535"/>
      <c r="S73" s="3535"/>
      <c r="T73" s="3535"/>
      <c r="U73" s="3535"/>
      <c r="V73" s="3535"/>
      <c r="W73" s="3535"/>
      <c r="X73" s="3535"/>
      <c r="Y73" s="3535"/>
      <c r="Z73" s="3535"/>
      <c r="AA73" s="3568"/>
      <c r="AB73" s="3536"/>
      <c r="AC73" s="3535"/>
      <c r="AD73" s="3571"/>
      <c r="AE73" s="3573"/>
      <c r="AF73" s="3574"/>
      <c r="AG73" s="3576"/>
      <c r="AH73" s="3535"/>
      <c r="AI73" s="3535"/>
      <c r="AJ73" s="3574"/>
      <c r="AK73" s="3535"/>
      <c r="AL73" s="3579"/>
      <c r="AM73" s="3581"/>
      <c r="AN73" s="3581">
        <f>IF(ExpComps_LenderTable[[#This Row], [R&amp;M]]+ExpComps_LenderTable[[#This Row], [Payroll]]&gt;0,ExpComps_LenderTable[[#This Row], [R&amp;M]]+ExpComps_LenderTable[[#This Row], [Payroll]],"")</f>
      </c>
      <c r="AO7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3" s="6"/>
      <c r="AQ73" s="6"/>
      <c r="AR73" s="6"/>
    </row>
    <row r="74" ht="13.5" customHeight="1" hidden="1">
      <c r="B74" s="3560">
        <v>63</v>
      </c>
      <c r="C74" s="3529"/>
      <c r="D74" s="3529"/>
      <c r="E74" s="3529"/>
      <c r="F74" s="3530"/>
      <c r="G74" s="3561"/>
      <c r="H74" s="3562"/>
      <c r="I74" s="3532"/>
      <c r="J74" s="3533"/>
      <c r="K74" s="3534"/>
      <c r="L74" s="3535"/>
      <c r="M74" s="3536"/>
      <c r="N74" s="3535"/>
      <c r="O74" s="3535"/>
      <c r="P74" s="3535"/>
      <c r="Q74" s="3535"/>
      <c r="R74" s="3535"/>
      <c r="S74" s="3535"/>
      <c r="T74" s="3535"/>
      <c r="U74" s="3535"/>
      <c r="V74" s="3535"/>
      <c r="W74" s="3535"/>
      <c r="X74" s="3535"/>
      <c r="Y74" s="3535"/>
      <c r="Z74" s="3535"/>
      <c r="AA74" s="3568"/>
      <c r="AB74" s="3536"/>
      <c r="AC74" s="3535"/>
      <c r="AD74" s="3571"/>
      <c r="AE74" s="3573"/>
      <c r="AF74" s="3574"/>
      <c r="AG74" s="3576"/>
      <c r="AH74" s="3535"/>
      <c r="AI74" s="3535"/>
      <c r="AJ74" s="3574"/>
      <c r="AK74" s="3535"/>
      <c r="AL74" s="3579"/>
      <c r="AM74" s="3581"/>
      <c r="AN74" s="3581">
        <f>IF(ExpComps_LenderTable[[#This Row], [R&amp;M]]+ExpComps_LenderTable[[#This Row], [Payroll]]&gt;0,ExpComps_LenderTable[[#This Row], [R&amp;M]]+ExpComps_LenderTable[[#This Row], [Payroll]],"")</f>
      </c>
      <c r="AO7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4" s="6"/>
      <c r="AQ74" s="6"/>
      <c r="AR74" s="6"/>
    </row>
    <row r="75" ht="13.5" customHeight="1" hidden="1">
      <c r="B75" s="3560">
        <v>64</v>
      </c>
      <c r="C75" s="3529"/>
      <c r="D75" s="3529"/>
      <c r="E75" s="3529"/>
      <c r="F75" s="3530"/>
      <c r="G75" s="3561"/>
      <c r="H75" s="3562"/>
      <c r="I75" s="3532"/>
      <c r="J75" s="3533"/>
      <c r="K75" s="3534"/>
      <c r="L75" s="3535"/>
      <c r="M75" s="3536"/>
      <c r="N75" s="3535"/>
      <c r="O75" s="3535"/>
      <c r="P75" s="3535"/>
      <c r="Q75" s="3535"/>
      <c r="R75" s="3535"/>
      <c r="S75" s="3535"/>
      <c r="T75" s="3535"/>
      <c r="U75" s="3535"/>
      <c r="V75" s="3535"/>
      <c r="W75" s="3535"/>
      <c r="X75" s="3535"/>
      <c r="Y75" s="3535"/>
      <c r="Z75" s="3535"/>
      <c r="AA75" s="3568"/>
      <c r="AB75" s="3536"/>
      <c r="AC75" s="3535"/>
      <c r="AD75" s="3571"/>
      <c r="AE75" s="3573"/>
      <c r="AF75" s="3574"/>
      <c r="AG75" s="3576"/>
      <c r="AH75" s="3535"/>
      <c r="AI75" s="3535"/>
      <c r="AJ75" s="3574"/>
      <c r="AK75" s="3535"/>
      <c r="AL75" s="3579"/>
      <c r="AM75" s="3581"/>
      <c r="AN75" s="3581">
        <f>IF(ExpComps_LenderTable[[#This Row], [R&amp;M]]+ExpComps_LenderTable[[#This Row], [Payroll]]&gt;0,ExpComps_LenderTable[[#This Row], [R&amp;M]]+ExpComps_LenderTable[[#This Row], [Payroll]],"")</f>
      </c>
      <c r="AO7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5" s="6"/>
      <c r="AQ75" s="6"/>
      <c r="AR75" s="6"/>
    </row>
    <row r="76" ht="13.5" customHeight="1" hidden="1">
      <c r="B76" s="3560">
        <v>65</v>
      </c>
      <c r="C76" s="3529"/>
      <c r="D76" s="3529"/>
      <c r="E76" s="3529"/>
      <c r="F76" s="3530"/>
      <c r="G76" s="3561"/>
      <c r="H76" s="3562"/>
      <c r="I76" s="3532"/>
      <c r="J76" s="3533"/>
      <c r="K76" s="3534"/>
      <c r="L76" s="3535"/>
      <c r="M76" s="3536"/>
      <c r="N76" s="3535"/>
      <c r="O76" s="3535"/>
      <c r="P76" s="3535"/>
      <c r="Q76" s="3535"/>
      <c r="R76" s="3535"/>
      <c r="S76" s="3535"/>
      <c r="T76" s="3535"/>
      <c r="U76" s="3535"/>
      <c r="V76" s="3535"/>
      <c r="W76" s="3535"/>
      <c r="X76" s="3535"/>
      <c r="Y76" s="3535"/>
      <c r="Z76" s="3535"/>
      <c r="AA76" s="3568"/>
      <c r="AB76" s="3536"/>
      <c r="AC76" s="3535"/>
      <c r="AD76" s="3571"/>
      <c r="AE76" s="3573"/>
      <c r="AF76" s="3574"/>
      <c r="AG76" s="3576"/>
      <c r="AH76" s="3535"/>
      <c r="AI76" s="3535"/>
      <c r="AJ76" s="3574"/>
      <c r="AK76" s="3535"/>
      <c r="AL76" s="3579"/>
      <c r="AM76" s="3581"/>
      <c r="AN76" s="3581">
        <f>IF(ExpComps_LenderTable[[#This Row], [R&amp;M]]+ExpComps_LenderTable[[#This Row], [Payroll]]&gt;0,ExpComps_LenderTable[[#This Row], [R&amp;M]]+ExpComps_LenderTable[[#This Row], [Payroll]],"")</f>
      </c>
      <c r="AO7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6" s="6"/>
      <c r="AQ76" s="6"/>
      <c r="AR76" s="6"/>
    </row>
    <row r="77" ht="13.5" customHeight="1" hidden="1">
      <c r="B77" s="3560">
        <v>66</v>
      </c>
      <c r="C77" s="3529"/>
      <c r="D77" s="3529"/>
      <c r="E77" s="3529"/>
      <c r="F77" s="3530"/>
      <c r="G77" s="3561"/>
      <c r="H77" s="3562"/>
      <c r="I77" s="3532"/>
      <c r="J77" s="3533"/>
      <c r="K77" s="3534"/>
      <c r="L77" s="3535"/>
      <c r="M77" s="3536"/>
      <c r="N77" s="3535"/>
      <c r="O77" s="3535"/>
      <c r="P77" s="3535"/>
      <c r="Q77" s="3535"/>
      <c r="R77" s="3535"/>
      <c r="S77" s="3535"/>
      <c r="T77" s="3535"/>
      <c r="U77" s="3535"/>
      <c r="V77" s="3535"/>
      <c r="W77" s="3535"/>
      <c r="X77" s="3535"/>
      <c r="Y77" s="3535"/>
      <c r="Z77" s="3535"/>
      <c r="AA77" s="3568"/>
      <c r="AB77" s="3536"/>
      <c r="AC77" s="3535"/>
      <c r="AD77" s="3571"/>
      <c r="AE77" s="3573"/>
      <c r="AF77" s="3574"/>
      <c r="AG77" s="3576"/>
      <c r="AH77" s="3535"/>
      <c r="AI77" s="3535"/>
      <c r="AJ77" s="3574"/>
      <c r="AK77" s="3535"/>
      <c r="AL77" s="3579"/>
      <c r="AM77" s="3581"/>
      <c r="AN77" s="3581">
        <f>IF(ExpComps_LenderTable[[#This Row], [R&amp;M]]+ExpComps_LenderTable[[#This Row], [Payroll]]&gt;0,ExpComps_LenderTable[[#This Row], [R&amp;M]]+ExpComps_LenderTable[[#This Row], [Payroll]],"")</f>
      </c>
      <c r="AO7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7" s="6"/>
      <c r="AQ77" s="6"/>
      <c r="AR77" s="6"/>
    </row>
    <row r="78" ht="13.5" customHeight="1" hidden="1">
      <c r="B78" s="3560">
        <v>67</v>
      </c>
      <c r="C78" s="3529"/>
      <c r="D78" s="3529"/>
      <c r="E78" s="3529"/>
      <c r="F78" s="3530"/>
      <c r="G78" s="3561"/>
      <c r="H78" s="3562"/>
      <c r="I78" s="3532"/>
      <c r="J78" s="3533"/>
      <c r="K78" s="3534"/>
      <c r="L78" s="3535"/>
      <c r="M78" s="3536"/>
      <c r="N78" s="3535"/>
      <c r="O78" s="3535"/>
      <c r="P78" s="3535"/>
      <c r="Q78" s="3535"/>
      <c r="R78" s="3535"/>
      <c r="S78" s="3535"/>
      <c r="T78" s="3535"/>
      <c r="U78" s="3535"/>
      <c r="V78" s="3535"/>
      <c r="W78" s="3535"/>
      <c r="X78" s="3535"/>
      <c r="Y78" s="3535"/>
      <c r="Z78" s="3535"/>
      <c r="AA78" s="3568"/>
      <c r="AB78" s="3536"/>
      <c r="AC78" s="3535"/>
      <c r="AD78" s="3571"/>
      <c r="AE78" s="3573"/>
      <c r="AF78" s="3574"/>
      <c r="AG78" s="3576"/>
      <c r="AH78" s="3535"/>
      <c r="AI78" s="3535"/>
      <c r="AJ78" s="3574"/>
      <c r="AK78" s="3535"/>
      <c r="AL78" s="3579"/>
      <c r="AM78" s="3581"/>
      <c r="AN78" s="3581">
        <f>IF(ExpComps_LenderTable[[#This Row], [R&amp;M]]+ExpComps_LenderTable[[#This Row], [Payroll]]&gt;0,ExpComps_LenderTable[[#This Row], [R&amp;M]]+ExpComps_LenderTable[[#This Row], [Payroll]],"")</f>
      </c>
      <c r="AO7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8" s="6"/>
      <c r="AQ78" s="6"/>
      <c r="AR78" s="6"/>
    </row>
    <row r="79" ht="13.5" customHeight="1" hidden="1">
      <c r="B79" s="3560">
        <v>68</v>
      </c>
      <c r="C79" s="3529"/>
      <c r="D79" s="3529"/>
      <c r="E79" s="3529"/>
      <c r="F79" s="3530"/>
      <c r="G79" s="3561"/>
      <c r="H79" s="3562"/>
      <c r="I79" s="3532"/>
      <c r="J79" s="3533"/>
      <c r="K79" s="3534"/>
      <c r="L79" s="3535"/>
      <c r="M79" s="3536"/>
      <c r="N79" s="3535"/>
      <c r="O79" s="3535"/>
      <c r="P79" s="3535"/>
      <c r="Q79" s="3535"/>
      <c r="R79" s="3535"/>
      <c r="S79" s="3535"/>
      <c r="T79" s="3535"/>
      <c r="U79" s="3535"/>
      <c r="V79" s="3535"/>
      <c r="W79" s="3535"/>
      <c r="X79" s="3535"/>
      <c r="Y79" s="3535"/>
      <c r="Z79" s="3535"/>
      <c r="AA79" s="3568"/>
      <c r="AB79" s="3536"/>
      <c r="AC79" s="3535"/>
      <c r="AD79" s="3571"/>
      <c r="AE79" s="3573"/>
      <c r="AF79" s="3574"/>
      <c r="AG79" s="3576"/>
      <c r="AH79" s="3535"/>
      <c r="AI79" s="3535"/>
      <c r="AJ79" s="3574"/>
      <c r="AK79" s="3535"/>
      <c r="AL79" s="3579"/>
      <c r="AM79" s="3581"/>
      <c r="AN79" s="3581">
        <f>IF(ExpComps_LenderTable[[#This Row], [R&amp;M]]+ExpComps_LenderTable[[#This Row], [Payroll]]&gt;0,ExpComps_LenderTable[[#This Row], [R&amp;M]]+ExpComps_LenderTable[[#This Row], [Payroll]],"")</f>
      </c>
      <c r="AO7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79" s="6"/>
      <c r="AQ79" s="6"/>
      <c r="AR79" s="6"/>
    </row>
    <row r="80" ht="13.5" customHeight="1" hidden="1">
      <c r="B80" s="3560">
        <v>69</v>
      </c>
      <c r="C80" s="3529"/>
      <c r="D80" s="3529"/>
      <c r="E80" s="3529"/>
      <c r="F80" s="3530"/>
      <c r="G80" s="3561"/>
      <c r="H80" s="3562"/>
      <c r="I80" s="3532"/>
      <c r="J80" s="3533"/>
      <c r="K80" s="3534"/>
      <c r="L80" s="3535"/>
      <c r="M80" s="3536"/>
      <c r="N80" s="3535"/>
      <c r="O80" s="3535"/>
      <c r="P80" s="3535"/>
      <c r="Q80" s="3535"/>
      <c r="R80" s="3535"/>
      <c r="S80" s="3535"/>
      <c r="T80" s="3535"/>
      <c r="U80" s="3535"/>
      <c r="V80" s="3535"/>
      <c r="W80" s="3535"/>
      <c r="X80" s="3535"/>
      <c r="Y80" s="3535"/>
      <c r="Z80" s="3535"/>
      <c r="AA80" s="3568"/>
      <c r="AB80" s="3536"/>
      <c r="AC80" s="3535"/>
      <c r="AD80" s="3571"/>
      <c r="AE80" s="3573"/>
      <c r="AF80" s="3574"/>
      <c r="AG80" s="3576"/>
      <c r="AH80" s="3535"/>
      <c r="AI80" s="3535"/>
      <c r="AJ80" s="3574"/>
      <c r="AK80" s="3535"/>
      <c r="AL80" s="3579"/>
      <c r="AM80" s="3581"/>
      <c r="AN80" s="3581">
        <f>IF(ExpComps_LenderTable[[#This Row], [R&amp;M]]+ExpComps_LenderTable[[#This Row], [Payroll]]&gt;0,ExpComps_LenderTable[[#This Row], [R&amp;M]]+ExpComps_LenderTable[[#This Row], [Payroll]],"")</f>
      </c>
      <c r="AO8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0" s="6"/>
      <c r="AQ80" s="6"/>
      <c r="AR80" s="6"/>
    </row>
    <row r="81" ht="13.5" customHeight="1" hidden="1">
      <c r="B81" s="3560">
        <v>70</v>
      </c>
      <c r="C81" s="3529"/>
      <c r="D81" s="3529"/>
      <c r="E81" s="3529"/>
      <c r="F81" s="3530"/>
      <c r="G81" s="3561"/>
      <c r="H81" s="3562"/>
      <c r="I81" s="3532"/>
      <c r="J81" s="3533"/>
      <c r="K81" s="3534"/>
      <c r="L81" s="3535"/>
      <c r="M81" s="3536"/>
      <c r="N81" s="3535"/>
      <c r="O81" s="3535"/>
      <c r="P81" s="3535"/>
      <c r="Q81" s="3535"/>
      <c r="R81" s="3535"/>
      <c r="S81" s="3535"/>
      <c r="T81" s="3535"/>
      <c r="U81" s="3535"/>
      <c r="V81" s="3535"/>
      <c r="W81" s="3535"/>
      <c r="X81" s="3535"/>
      <c r="Y81" s="3535"/>
      <c r="Z81" s="3535"/>
      <c r="AA81" s="3568"/>
      <c r="AB81" s="3536"/>
      <c r="AC81" s="3535"/>
      <c r="AD81" s="3571"/>
      <c r="AE81" s="3573"/>
      <c r="AF81" s="3574"/>
      <c r="AG81" s="3576"/>
      <c r="AH81" s="3535"/>
      <c r="AI81" s="3535"/>
      <c r="AJ81" s="3574"/>
      <c r="AK81" s="3535"/>
      <c r="AL81" s="3579"/>
      <c r="AM81" s="3581"/>
      <c r="AN81" s="3581">
        <f>IF(ExpComps_LenderTable[[#This Row], [R&amp;M]]+ExpComps_LenderTable[[#This Row], [Payroll]]&gt;0,ExpComps_LenderTable[[#This Row], [R&amp;M]]+ExpComps_LenderTable[[#This Row], [Payroll]],"")</f>
      </c>
      <c r="AO8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1" s="6"/>
      <c r="AQ81" s="6"/>
      <c r="AR81" s="6"/>
    </row>
    <row r="82" ht="13.5" customHeight="1" hidden="1">
      <c r="B82" s="3560">
        <v>71</v>
      </c>
      <c r="C82" s="3529"/>
      <c r="D82" s="3529"/>
      <c r="E82" s="3529"/>
      <c r="F82" s="3530"/>
      <c r="G82" s="3561"/>
      <c r="H82" s="3562"/>
      <c r="I82" s="3532"/>
      <c r="J82" s="3533"/>
      <c r="K82" s="3534"/>
      <c r="L82" s="3535"/>
      <c r="M82" s="3536"/>
      <c r="N82" s="3535"/>
      <c r="O82" s="3535"/>
      <c r="P82" s="3535"/>
      <c r="Q82" s="3535"/>
      <c r="R82" s="3535"/>
      <c r="S82" s="3535"/>
      <c r="T82" s="3535"/>
      <c r="U82" s="3535"/>
      <c r="V82" s="3535"/>
      <c r="W82" s="3535"/>
      <c r="X82" s="3535"/>
      <c r="Y82" s="3535"/>
      <c r="Z82" s="3535"/>
      <c r="AA82" s="3568"/>
      <c r="AB82" s="3536"/>
      <c r="AC82" s="3535"/>
      <c r="AD82" s="3571"/>
      <c r="AE82" s="3573"/>
      <c r="AF82" s="3574"/>
      <c r="AG82" s="3576"/>
      <c r="AH82" s="3535"/>
      <c r="AI82" s="3535"/>
      <c r="AJ82" s="3574"/>
      <c r="AK82" s="3535"/>
      <c r="AL82" s="3579"/>
      <c r="AM82" s="3581"/>
      <c r="AN82" s="3581">
        <f>IF(ExpComps_LenderTable[[#This Row], [R&amp;M]]+ExpComps_LenderTable[[#This Row], [Payroll]]&gt;0,ExpComps_LenderTable[[#This Row], [R&amp;M]]+ExpComps_LenderTable[[#This Row], [Payroll]],"")</f>
      </c>
      <c r="AO8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2" s="6"/>
      <c r="AQ82" s="6"/>
      <c r="AR82" s="6"/>
    </row>
    <row r="83" ht="13.5" customHeight="1" hidden="1">
      <c r="B83" s="3560">
        <v>72</v>
      </c>
      <c r="C83" s="3529"/>
      <c r="D83" s="3529"/>
      <c r="E83" s="3529"/>
      <c r="F83" s="3530"/>
      <c r="G83" s="3561"/>
      <c r="H83" s="3562"/>
      <c r="I83" s="3532"/>
      <c r="J83" s="3533"/>
      <c r="K83" s="3534"/>
      <c r="L83" s="3535"/>
      <c r="M83" s="3536"/>
      <c r="N83" s="3535"/>
      <c r="O83" s="3535"/>
      <c r="P83" s="3535"/>
      <c r="Q83" s="3535"/>
      <c r="R83" s="3535"/>
      <c r="S83" s="3535"/>
      <c r="T83" s="3535"/>
      <c r="U83" s="3535"/>
      <c r="V83" s="3535"/>
      <c r="W83" s="3535"/>
      <c r="X83" s="3535"/>
      <c r="Y83" s="3535"/>
      <c r="Z83" s="3535"/>
      <c r="AA83" s="3568"/>
      <c r="AB83" s="3536"/>
      <c r="AC83" s="3535"/>
      <c r="AD83" s="3571"/>
      <c r="AE83" s="3573"/>
      <c r="AF83" s="3574"/>
      <c r="AG83" s="3576"/>
      <c r="AH83" s="3535"/>
      <c r="AI83" s="3535"/>
      <c r="AJ83" s="3574"/>
      <c r="AK83" s="3535"/>
      <c r="AL83" s="3579"/>
      <c r="AM83" s="3581"/>
      <c r="AN83" s="3581">
        <f>IF(ExpComps_LenderTable[[#This Row], [R&amp;M]]+ExpComps_LenderTable[[#This Row], [Payroll]]&gt;0,ExpComps_LenderTable[[#This Row], [R&amp;M]]+ExpComps_LenderTable[[#This Row], [Payroll]],"")</f>
      </c>
      <c r="AO8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3" s="6"/>
      <c r="AQ83" s="6"/>
      <c r="AR83" s="6"/>
    </row>
    <row r="84" ht="13.5" customHeight="1" hidden="1">
      <c r="B84" s="3560">
        <v>73</v>
      </c>
      <c r="C84" s="3529"/>
      <c r="D84" s="3529"/>
      <c r="E84" s="3529"/>
      <c r="F84" s="3530"/>
      <c r="G84" s="3561"/>
      <c r="H84" s="3562"/>
      <c r="I84" s="3532"/>
      <c r="J84" s="3533"/>
      <c r="K84" s="3534"/>
      <c r="L84" s="3535"/>
      <c r="M84" s="3536"/>
      <c r="N84" s="3535"/>
      <c r="O84" s="3535"/>
      <c r="P84" s="3535"/>
      <c r="Q84" s="3535"/>
      <c r="R84" s="3535"/>
      <c r="S84" s="3535"/>
      <c r="T84" s="3535"/>
      <c r="U84" s="3535"/>
      <c r="V84" s="3535"/>
      <c r="W84" s="3535"/>
      <c r="X84" s="3535"/>
      <c r="Y84" s="3535"/>
      <c r="Z84" s="3535"/>
      <c r="AA84" s="3568"/>
      <c r="AB84" s="3536"/>
      <c r="AC84" s="3535"/>
      <c r="AD84" s="3571"/>
      <c r="AE84" s="3573"/>
      <c r="AF84" s="3574"/>
      <c r="AG84" s="3576"/>
      <c r="AH84" s="3535"/>
      <c r="AI84" s="3535"/>
      <c r="AJ84" s="3574"/>
      <c r="AK84" s="3535"/>
      <c r="AL84" s="3579"/>
      <c r="AM84" s="3581"/>
      <c r="AN84" s="3581">
        <f>IF(ExpComps_LenderTable[[#This Row], [R&amp;M]]+ExpComps_LenderTable[[#This Row], [Payroll]]&gt;0,ExpComps_LenderTable[[#This Row], [R&amp;M]]+ExpComps_LenderTable[[#This Row], [Payroll]],"")</f>
      </c>
      <c r="AO8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4" s="6"/>
      <c r="AQ84" s="6"/>
      <c r="AR84" s="6"/>
    </row>
    <row r="85" ht="13.5" customHeight="1" hidden="1">
      <c r="B85" s="3560">
        <v>74</v>
      </c>
      <c r="C85" s="3529"/>
      <c r="D85" s="3529"/>
      <c r="E85" s="3529"/>
      <c r="F85" s="3530"/>
      <c r="G85" s="3561"/>
      <c r="H85" s="3562"/>
      <c r="I85" s="3532"/>
      <c r="J85" s="3533"/>
      <c r="K85" s="3534"/>
      <c r="L85" s="3535"/>
      <c r="M85" s="3536"/>
      <c r="N85" s="3535"/>
      <c r="O85" s="3535"/>
      <c r="P85" s="3535"/>
      <c r="Q85" s="3535"/>
      <c r="R85" s="3535"/>
      <c r="S85" s="3535"/>
      <c r="T85" s="3535"/>
      <c r="U85" s="3535"/>
      <c r="V85" s="3535"/>
      <c r="W85" s="3535"/>
      <c r="X85" s="3535"/>
      <c r="Y85" s="3535"/>
      <c r="Z85" s="3535"/>
      <c r="AA85" s="3568"/>
      <c r="AB85" s="3536"/>
      <c r="AC85" s="3535"/>
      <c r="AD85" s="3571"/>
      <c r="AE85" s="3573"/>
      <c r="AF85" s="3574"/>
      <c r="AG85" s="3576"/>
      <c r="AH85" s="3535"/>
      <c r="AI85" s="3535"/>
      <c r="AJ85" s="3574"/>
      <c r="AK85" s="3535"/>
      <c r="AL85" s="3579"/>
      <c r="AM85" s="3581"/>
      <c r="AN85" s="3581">
        <f>IF(ExpComps_LenderTable[[#This Row], [R&amp;M]]+ExpComps_LenderTable[[#This Row], [Payroll]]&gt;0,ExpComps_LenderTable[[#This Row], [R&amp;M]]+ExpComps_LenderTable[[#This Row], [Payroll]],"")</f>
      </c>
      <c r="AO8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5" s="6"/>
      <c r="AQ85" s="6"/>
      <c r="AR85" s="6"/>
    </row>
    <row r="86" ht="13.5" customHeight="1" hidden="1">
      <c r="B86" s="3560">
        <v>75</v>
      </c>
      <c r="C86" s="3529"/>
      <c r="D86" s="3529"/>
      <c r="E86" s="3529"/>
      <c r="F86" s="3530"/>
      <c r="G86" s="3561"/>
      <c r="H86" s="3562"/>
      <c r="I86" s="3532"/>
      <c r="J86" s="3533"/>
      <c r="K86" s="3534"/>
      <c r="L86" s="3535"/>
      <c r="M86" s="3536"/>
      <c r="N86" s="3535"/>
      <c r="O86" s="3535"/>
      <c r="P86" s="3535"/>
      <c r="Q86" s="3535"/>
      <c r="R86" s="3535"/>
      <c r="S86" s="3535"/>
      <c r="T86" s="3535"/>
      <c r="U86" s="3535"/>
      <c r="V86" s="3535"/>
      <c r="W86" s="3535"/>
      <c r="X86" s="3535"/>
      <c r="Y86" s="3535"/>
      <c r="Z86" s="3535"/>
      <c r="AA86" s="3568"/>
      <c r="AB86" s="3536"/>
      <c r="AC86" s="3535"/>
      <c r="AD86" s="3571"/>
      <c r="AE86" s="3573"/>
      <c r="AF86" s="3574"/>
      <c r="AG86" s="3576"/>
      <c r="AH86" s="3535"/>
      <c r="AI86" s="3535"/>
      <c r="AJ86" s="3574"/>
      <c r="AK86" s="3535"/>
      <c r="AL86" s="3579"/>
      <c r="AM86" s="3581"/>
      <c r="AN86" s="3581">
        <f>IF(ExpComps_LenderTable[[#This Row], [R&amp;M]]+ExpComps_LenderTable[[#This Row], [Payroll]]&gt;0,ExpComps_LenderTable[[#This Row], [R&amp;M]]+ExpComps_LenderTable[[#This Row], [Payroll]],"")</f>
      </c>
      <c r="AO8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6" s="6"/>
      <c r="AQ86" s="6"/>
      <c r="AR86" s="6"/>
    </row>
    <row r="87" ht="13.5" customHeight="1" hidden="1">
      <c r="B87" s="3560">
        <v>76</v>
      </c>
      <c r="C87" s="3529"/>
      <c r="D87" s="3529"/>
      <c r="E87" s="3529"/>
      <c r="F87" s="3530"/>
      <c r="G87" s="3561"/>
      <c r="H87" s="3562"/>
      <c r="I87" s="3532"/>
      <c r="J87" s="3533"/>
      <c r="K87" s="3534"/>
      <c r="L87" s="3535"/>
      <c r="M87" s="3536"/>
      <c r="N87" s="3535"/>
      <c r="O87" s="3535"/>
      <c r="P87" s="3535"/>
      <c r="Q87" s="3535"/>
      <c r="R87" s="3535"/>
      <c r="S87" s="3535"/>
      <c r="T87" s="3535"/>
      <c r="U87" s="3535"/>
      <c r="V87" s="3535"/>
      <c r="W87" s="3535"/>
      <c r="X87" s="3535"/>
      <c r="Y87" s="3535"/>
      <c r="Z87" s="3535"/>
      <c r="AA87" s="3568"/>
      <c r="AB87" s="3536"/>
      <c r="AC87" s="3535"/>
      <c r="AD87" s="3571"/>
      <c r="AE87" s="3573"/>
      <c r="AF87" s="3574"/>
      <c r="AG87" s="3576"/>
      <c r="AH87" s="3535"/>
      <c r="AI87" s="3535"/>
      <c r="AJ87" s="3574"/>
      <c r="AK87" s="3535"/>
      <c r="AL87" s="3579"/>
      <c r="AM87" s="3581"/>
      <c r="AN87" s="3581">
        <f>IF(ExpComps_LenderTable[[#This Row], [R&amp;M]]+ExpComps_LenderTable[[#This Row], [Payroll]]&gt;0,ExpComps_LenderTable[[#This Row], [R&amp;M]]+ExpComps_LenderTable[[#This Row], [Payroll]],"")</f>
      </c>
      <c r="AO8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7" s="6"/>
      <c r="AQ87" s="6"/>
      <c r="AR87" s="6"/>
    </row>
    <row r="88" ht="13.5" customHeight="1" hidden="1">
      <c r="B88" s="3560">
        <v>77</v>
      </c>
      <c r="C88" s="3529"/>
      <c r="D88" s="3529"/>
      <c r="E88" s="3529"/>
      <c r="F88" s="3530"/>
      <c r="G88" s="3561"/>
      <c r="H88" s="3562"/>
      <c r="I88" s="3532"/>
      <c r="J88" s="3533"/>
      <c r="K88" s="3534"/>
      <c r="L88" s="3535"/>
      <c r="M88" s="3536"/>
      <c r="N88" s="3535"/>
      <c r="O88" s="3535"/>
      <c r="P88" s="3535"/>
      <c r="Q88" s="3535"/>
      <c r="R88" s="3535"/>
      <c r="S88" s="3535"/>
      <c r="T88" s="3535"/>
      <c r="U88" s="3535"/>
      <c r="V88" s="3535"/>
      <c r="W88" s="3535"/>
      <c r="X88" s="3535"/>
      <c r="Y88" s="3535"/>
      <c r="Z88" s="3535"/>
      <c r="AA88" s="3568"/>
      <c r="AB88" s="3536"/>
      <c r="AC88" s="3535"/>
      <c r="AD88" s="3571"/>
      <c r="AE88" s="3573"/>
      <c r="AF88" s="3574"/>
      <c r="AG88" s="3576"/>
      <c r="AH88" s="3535"/>
      <c r="AI88" s="3535"/>
      <c r="AJ88" s="3574"/>
      <c r="AK88" s="3535"/>
      <c r="AL88" s="3579"/>
      <c r="AM88" s="3581"/>
      <c r="AN88" s="3581">
        <f>IF(ExpComps_LenderTable[[#This Row], [R&amp;M]]+ExpComps_LenderTable[[#This Row], [Payroll]]&gt;0,ExpComps_LenderTable[[#This Row], [R&amp;M]]+ExpComps_LenderTable[[#This Row], [Payroll]],"")</f>
      </c>
      <c r="AO8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8" s="6"/>
      <c r="AQ88" s="6"/>
      <c r="AR88" s="6"/>
    </row>
    <row r="89" ht="13.5" customHeight="1" hidden="1">
      <c r="B89" s="3560">
        <v>78</v>
      </c>
      <c r="C89" s="3529"/>
      <c r="D89" s="3529"/>
      <c r="E89" s="3529"/>
      <c r="F89" s="3530"/>
      <c r="G89" s="3561"/>
      <c r="H89" s="3562"/>
      <c r="I89" s="3532"/>
      <c r="J89" s="3533"/>
      <c r="K89" s="3534"/>
      <c r="L89" s="3535"/>
      <c r="M89" s="3536"/>
      <c r="N89" s="3535"/>
      <c r="O89" s="3535"/>
      <c r="P89" s="3535"/>
      <c r="Q89" s="3535"/>
      <c r="R89" s="3535"/>
      <c r="S89" s="3535"/>
      <c r="T89" s="3535"/>
      <c r="U89" s="3535"/>
      <c r="V89" s="3535"/>
      <c r="W89" s="3535"/>
      <c r="X89" s="3535"/>
      <c r="Y89" s="3535"/>
      <c r="Z89" s="3535"/>
      <c r="AA89" s="3568"/>
      <c r="AB89" s="3536"/>
      <c r="AC89" s="3535"/>
      <c r="AD89" s="3571"/>
      <c r="AE89" s="3573"/>
      <c r="AF89" s="3574"/>
      <c r="AG89" s="3576"/>
      <c r="AH89" s="3535"/>
      <c r="AI89" s="3535"/>
      <c r="AJ89" s="3574"/>
      <c r="AK89" s="3535"/>
      <c r="AL89" s="3579"/>
      <c r="AM89" s="3581"/>
      <c r="AN89" s="3581">
        <f>IF(ExpComps_LenderTable[[#This Row], [R&amp;M]]+ExpComps_LenderTable[[#This Row], [Payroll]]&gt;0,ExpComps_LenderTable[[#This Row], [R&amp;M]]+ExpComps_LenderTable[[#This Row], [Payroll]],"")</f>
      </c>
      <c r="AO8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89" s="6"/>
      <c r="AQ89" s="6"/>
      <c r="AR89" s="6"/>
    </row>
    <row r="90" ht="13.5" customHeight="1" hidden="1">
      <c r="B90" s="3560">
        <v>79</v>
      </c>
      <c r="C90" s="3529"/>
      <c r="D90" s="3529"/>
      <c r="E90" s="3529"/>
      <c r="F90" s="3530"/>
      <c r="G90" s="3561"/>
      <c r="H90" s="3562"/>
      <c r="I90" s="3532"/>
      <c r="J90" s="3533"/>
      <c r="K90" s="3534"/>
      <c r="L90" s="3535"/>
      <c r="M90" s="3536"/>
      <c r="N90" s="3535"/>
      <c r="O90" s="3535"/>
      <c r="P90" s="3535"/>
      <c r="Q90" s="3535"/>
      <c r="R90" s="3535"/>
      <c r="S90" s="3535"/>
      <c r="T90" s="3535"/>
      <c r="U90" s="3535"/>
      <c r="V90" s="3535"/>
      <c r="W90" s="3535"/>
      <c r="X90" s="3535"/>
      <c r="Y90" s="3535"/>
      <c r="Z90" s="3535"/>
      <c r="AA90" s="3568"/>
      <c r="AB90" s="3536"/>
      <c r="AC90" s="3535"/>
      <c r="AD90" s="3571"/>
      <c r="AE90" s="3573"/>
      <c r="AF90" s="3574"/>
      <c r="AG90" s="3576"/>
      <c r="AH90" s="3535"/>
      <c r="AI90" s="3535"/>
      <c r="AJ90" s="3574"/>
      <c r="AK90" s="3535"/>
      <c r="AL90" s="3579"/>
      <c r="AM90" s="3581"/>
      <c r="AN90" s="3581">
        <f>IF(ExpComps_LenderTable[[#This Row], [R&amp;M]]+ExpComps_LenderTable[[#This Row], [Payroll]]&gt;0,ExpComps_LenderTable[[#This Row], [R&amp;M]]+ExpComps_LenderTable[[#This Row], [Payroll]],"")</f>
      </c>
      <c r="AO9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0" s="6"/>
      <c r="AQ90" s="6"/>
      <c r="AR90" s="6"/>
    </row>
    <row r="91" ht="13.5" customHeight="1" hidden="1">
      <c r="B91" s="3560">
        <v>80</v>
      </c>
      <c r="C91" s="3529"/>
      <c r="D91" s="3529"/>
      <c r="E91" s="3529"/>
      <c r="F91" s="3530"/>
      <c r="G91" s="3561"/>
      <c r="H91" s="3562"/>
      <c r="I91" s="3532"/>
      <c r="J91" s="3533"/>
      <c r="K91" s="3534"/>
      <c r="L91" s="3535"/>
      <c r="M91" s="3536"/>
      <c r="N91" s="3535"/>
      <c r="O91" s="3535"/>
      <c r="P91" s="3535"/>
      <c r="Q91" s="3535"/>
      <c r="R91" s="3535"/>
      <c r="S91" s="3535"/>
      <c r="T91" s="3535"/>
      <c r="U91" s="3535"/>
      <c r="V91" s="3535"/>
      <c r="W91" s="3535"/>
      <c r="X91" s="3535"/>
      <c r="Y91" s="3535"/>
      <c r="Z91" s="3535"/>
      <c r="AA91" s="3568"/>
      <c r="AB91" s="3536"/>
      <c r="AC91" s="3535"/>
      <c r="AD91" s="3571"/>
      <c r="AE91" s="3573"/>
      <c r="AF91" s="3574"/>
      <c r="AG91" s="3576"/>
      <c r="AH91" s="3535"/>
      <c r="AI91" s="3535"/>
      <c r="AJ91" s="3574"/>
      <c r="AK91" s="3535"/>
      <c r="AL91" s="3579"/>
      <c r="AM91" s="3581"/>
      <c r="AN91" s="3581">
        <f>IF(ExpComps_LenderTable[[#This Row], [R&amp;M]]+ExpComps_LenderTable[[#This Row], [Payroll]]&gt;0,ExpComps_LenderTable[[#This Row], [R&amp;M]]+ExpComps_LenderTable[[#This Row], [Payroll]],"")</f>
      </c>
      <c r="AO9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1" s="6"/>
      <c r="AQ91" s="6"/>
      <c r="AR91" s="6"/>
    </row>
    <row r="92" ht="13.5" customHeight="1" hidden="1">
      <c r="B92" s="3560">
        <v>81</v>
      </c>
      <c r="C92" s="3529"/>
      <c r="D92" s="3529"/>
      <c r="E92" s="3529"/>
      <c r="F92" s="3530"/>
      <c r="G92" s="3561"/>
      <c r="H92" s="3562"/>
      <c r="I92" s="3532"/>
      <c r="J92" s="3533"/>
      <c r="K92" s="3534"/>
      <c r="L92" s="3535"/>
      <c r="M92" s="3536"/>
      <c r="N92" s="3535"/>
      <c r="O92" s="3535"/>
      <c r="P92" s="3535"/>
      <c r="Q92" s="3535"/>
      <c r="R92" s="3535"/>
      <c r="S92" s="3535"/>
      <c r="T92" s="3535"/>
      <c r="U92" s="3535"/>
      <c r="V92" s="3535"/>
      <c r="W92" s="3535"/>
      <c r="X92" s="3535"/>
      <c r="Y92" s="3535"/>
      <c r="Z92" s="3535"/>
      <c r="AA92" s="3568"/>
      <c r="AB92" s="3536"/>
      <c r="AC92" s="3535"/>
      <c r="AD92" s="3571"/>
      <c r="AE92" s="3573"/>
      <c r="AF92" s="3574"/>
      <c r="AG92" s="3576"/>
      <c r="AH92" s="3535"/>
      <c r="AI92" s="3535"/>
      <c r="AJ92" s="3574"/>
      <c r="AK92" s="3535"/>
      <c r="AL92" s="3579"/>
      <c r="AM92" s="3581"/>
      <c r="AN92" s="3581">
        <f>IF(ExpComps_LenderTable[[#This Row], [R&amp;M]]+ExpComps_LenderTable[[#This Row], [Payroll]]&gt;0,ExpComps_LenderTable[[#This Row], [R&amp;M]]+ExpComps_LenderTable[[#This Row], [Payroll]],"")</f>
      </c>
      <c r="AO9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2" s="6"/>
      <c r="AQ92" s="6"/>
      <c r="AR92" s="6"/>
    </row>
    <row r="93" ht="13.5" customHeight="1" hidden="1">
      <c r="B93" s="3560">
        <v>82</v>
      </c>
      <c r="C93" s="3529"/>
      <c r="D93" s="3529"/>
      <c r="E93" s="3529"/>
      <c r="F93" s="3530"/>
      <c r="G93" s="3561"/>
      <c r="H93" s="3562"/>
      <c r="I93" s="3532"/>
      <c r="J93" s="3533"/>
      <c r="K93" s="3534"/>
      <c r="L93" s="3535"/>
      <c r="M93" s="3536"/>
      <c r="N93" s="3535"/>
      <c r="O93" s="3535"/>
      <c r="P93" s="3535"/>
      <c r="Q93" s="3535"/>
      <c r="R93" s="3535"/>
      <c r="S93" s="3535"/>
      <c r="T93" s="3535"/>
      <c r="U93" s="3535"/>
      <c r="V93" s="3535"/>
      <c r="W93" s="3535"/>
      <c r="X93" s="3535"/>
      <c r="Y93" s="3535"/>
      <c r="Z93" s="3535"/>
      <c r="AA93" s="3568"/>
      <c r="AB93" s="3536"/>
      <c r="AC93" s="3535"/>
      <c r="AD93" s="3571"/>
      <c r="AE93" s="3573"/>
      <c r="AF93" s="3574"/>
      <c r="AG93" s="3576"/>
      <c r="AH93" s="3535"/>
      <c r="AI93" s="3535"/>
      <c r="AJ93" s="3574"/>
      <c r="AK93" s="3535"/>
      <c r="AL93" s="3579"/>
      <c r="AM93" s="3581"/>
      <c r="AN93" s="3581">
        <f>IF(ExpComps_LenderTable[[#This Row], [R&amp;M]]+ExpComps_LenderTable[[#This Row], [Payroll]]&gt;0,ExpComps_LenderTable[[#This Row], [R&amp;M]]+ExpComps_LenderTable[[#This Row], [Payroll]],"")</f>
      </c>
      <c r="AO9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3" s="6"/>
      <c r="AQ93" s="6"/>
      <c r="AR93" s="6"/>
    </row>
    <row r="94" ht="13.5" customHeight="1" hidden="1">
      <c r="B94" s="3560">
        <v>83</v>
      </c>
      <c r="C94" s="3529"/>
      <c r="D94" s="3529"/>
      <c r="E94" s="3529"/>
      <c r="F94" s="3530"/>
      <c r="G94" s="3561"/>
      <c r="H94" s="3562"/>
      <c r="I94" s="3532"/>
      <c r="J94" s="3533"/>
      <c r="K94" s="3534"/>
      <c r="L94" s="3535"/>
      <c r="M94" s="3536"/>
      <c r="N94" s="3535"/>
      <c r="O94" s="3535"/>
      <c r="P94" s="3535"/>
      <c r="Q94" s="3535"/>
      <c r="R94" s="3535"/>
      <c r="S94" s="3535"/>
      <c r="T94" s="3535"/>
      <c r="U94" s="3535"/>
      <c r="V94" s="3535"/>
      <c r="W94" s="3535"/>
      <c r="X94" s="3535"/>
      <c r="Y94" s="3535"/>
      <c r="Z94" s="3535"/>
      <c r="AA94" s="3568"/>
      <c r="AB94" s="3536"/>
      <c r="AC94" s="3535"/>
      <c r="AD94" s="3571"/>
      <c r="AE94" s="3573"/>
      <c r="AF94" s="3574"/>
      <c r="AG94" s="3576"/>
      <c r="AH94" s="3535"/>
      <c r="AI94" s="3535"/>
      <c r="AJ94" s="3574"/>
      <c r="AK94" s="3535"/>
      <c r="AL94" s="3579"/>
      <c r="AM94" s="3581"/>
      <c r="AN94" s="3581">
        <f>IF(ExpComps_LenderTable[[#This Row], [R&amp;M]]+ExpComps_LenderTable[[#This Row], [Payroll]]&gt;0,ExpComps_LenderTable[[#This Row], [R&amp;M]]+ExpComps_LenderTable[[#This Row], [Payroll]],"")</f>
      </c>
      <c r="AO9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4" s="6"/>
      <c r="AQ94" s="6"/>
      <c r="AR94" s="6"/>
    </row>
    <row r="95" ht="13.5" customHeight="1" hidden="1">
      <c r="B95" s="3560">
        <v>84</v>
      </c>
      <c r="C95" s="3529"/>
      <c r="D95" s="3529"/>
      <c r="E95" s="3529"/>
      <c r="F95" s="3530"/>
      <c r="G95" s="3561"/>
      <c r="H95" s="3562"/>
      <c r="I95" s="3532"/>
      <c r="J95" s="3533"/>
      <c r="K95" s="3534"/>
      <c r="L95" s="3535"/>
      <c r="M95" s="3536"/>
      <c r="N95" s="3535"/>
      <c r="O95" s="3535"/>
      <c r="P95" s="3535"/>
      <c r="Q95" s="3535"/>
      <c r="R95" s="3535"/>
      <c r="S95" s="3535"/>
      <c r="T95" s="3535"/>
      <c r="U95" s="3535"/>
      <c r="V95" s="3535"/>
      <c r="W95" s="3535"/>
      <c r="X95" s="3535"/>
      <c r="Y95" s="3535"/>
      <c r="Z95" s="3535"/>
      <c r="AA95" s="3568"/>
      <c r="AB95" s="3536"/>
      <c r="AC95" s="3535"/>
      <c r="AD95" s="3571"/>
      <c r="AE95" s="3573"/>
      <c r="AF95" s="3574"/>
      <c r="AG95" s="3576"/>
      <c r="AH95" s="3535"/>
      <c r="AI95" s="3535"/>
      <c r="AJ95" s="3574"/>
      <c r="AK95" s="3535"/>
      <c r="AL95" s="3579"/>
      <c r="AM95" s="3581"/>
      <c r="AN95" s="3581">
        <f>IF(ExpComps_LenderTable[[#This Row], [R&amp;M]]+ExpComps_LenderTable[[#This Row], [Payroll]]&gt;0,ExpComps_LenderTable[[#This Row], [R&amp;M]]+ExpComps_LenderTable[[#This Row], [Payroll]],"")</f>
      </c>
      <c r="AO9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5" s="6"/>
      <c r="AQ95" s="6"/>
      <c r="AR95" s="6"/>
    </row>
    <row r="96" ht="13.5" customHeight="1" hidden="1">
      <c r="B96" s="3560">
        <v>85</v>
      </c>
      <c r="C96" s="3529"/>
      <c r="D96" s="3529"/>
      <c r="E96" s="3529"/>
      <c r="F96" s="3530"/>
      <c r="G96" s="3561"/>
      <c r="H96" s="3562"/>
      <c r="I96" s="3532"/>
      <c r="J96" s="3533"/>
      <c r="K96" s="3534"/>
      <c r="L96" s="3535"/>
      <c r="M96" s="3536"/>
      <c r="N96" s="3535"/>
      <c r="O96" s="3535"/>
      <c r="P96" s="3535"/>
      <c r="Q96" s="3535"/>
      <c r="R96" s="3535"/>
      <c r="S96" s="3535"/>
      <c r="T96" s="3535"/>
      <c r="U96" s="3535"/>
      <c r="V96" s="3535"/>
      <c r="W96" s="3535"/>
      <c r="X96" s="3535"/>
      <c r="Y96" s="3535"/>
      <c r="Z96" s="3535"/>
      <c r="AA96" s="3568"/>
      <c r="AB96" s="3536"/>
      <c r="AC96" s="3535"/>
      <c r="AD96" s="3571"/>
      <c r="AE96" s="3573"/>
      <c r="AF96" s="3574"/>
      <c r="AG96" s="3576"/>
      <c r="AH96" s="3535"/>
      <c r="AI96" s="3535"/>
      <c r="AJ96" s="3574"/>
      <c r="AK96" s="3535"/>
      <c r="AL96" s="3579"/>
      <c r="AM96" s="3581"/>
      <c r="AN96" s="3581">
        <f>IF(ExpComps_LenderTable[[#This Row], [R&amp;M]]+ExpComps_LenderTable[[#This Row], [Payroll]]&gt;0,ExpComps_LenderTable[[#This Row], [R&amp;M]]+ExpComps_LenderTable[[#This Row], [Payroll]],"")</f>
      </c>
      <c r="AO9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6" s="6"/>
      <c r="AQ96" s="6"/>
      <c r="AR96" s="6"/>
    </row>
    <row r="97" ht="13.5" customHeight="1" hidden="1">
      <c r="B97" s="3560">
        <v>86</v>
      </c>
      <c r="C97" s="3529"/>
      <c r="D97" s="3529"/>
      <c r="E97" s="3529"/>
      <c r="F97" s="3530"/>
      <c r="G97" s="3561"/>
      <c r="H97" s="3562"/>
      <c r="I97" s="3532"/>
      <c r="J97" s="3533"/>
      <c r="K97" s="3534"/>
      <c r="L97" s="3535"/>
      <c r="M97" s="3536"/>
      <c r="N97" s="3535"/>
      <c r="O97" s="3535"/>
      <c r="P97" s="3535"/>
      <c r="Q97" s="3535"/>
      <c r="R97" s="3535"/>
      <c r="S97" s="3535"/>
      <c r="T97" s="3535"/>
      <c r="U97" s="3535"/>
      <c r="V97" s="3535"/>
      <c r="W97" s="3535"/>
      <c r="X97" s="3535"/>
      <c r="Y97" s="3535"/>
      <c r="Z97" s="3535"/>
      <c r="AA97" s="3568"/>
      <c r="AB97" s="3536"/>
      <c r="AC97" s="3535"/>
      <c r="AD97" s="3571"/>
      <c r="AE97" s="3573"/>
      <c r="AF97" s="3574"/>
      <c r="AG97" s="3576"/>
      <c r="AH97" s="3535"/>
      <c r="AI97" s="3535"/>
      <c r="AJ97" s="3574"/>
      <c r="AK97" s="3535"/>
      <c r="AL97" s="3579"/>
      <c r="AM97" s="3581"/>
      <c r="AN97" s="3581">
        <f>IF(ExpComps_LenderTable[[#This Row], [R&amp;M]]+ExpComps_LenderTable[[#This Row], [Payroll]]&gt;0,ExpComps_LenderTable[[#This Row], [R&amp;M]]+ExpComps_LenderTable[[#This Row], [Payroll]],"")</f>
      </c>
      <c r="AO9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7" s="6"/>
      <c r="AQ97" s="6"/>
      <c r="AR97" s="6"/>
    </row>
    <row r="98" ht="13.5" customHeight="1" hidden="1">
      <c r="B98" s="3560">
        <v>87</v>
      </c>
      <c r="C98" s="3529"/>
      <c r="D98" s="3529"/>
      <c r="E98" s="3529"/>
      <c r="F98" s="3530"/>
      <c r="G98" s="3561"/>
      <c r="H98" s="3562"/>
      <c r="I98" s="3532"/>
      <c r="J98" s="3533"/>
      <c r="K98" s="3534"/>
      <c r="L98" s="3535"/>
      <c r="M98" s="3536"/>
      <c r="N98" s="3535"/>
      <c r="O98" s="3535"/>
      <c r="P98" s="3535"/>
      <c r="Q98" s="3535"/>
      <c r="R98" s="3535"/>
      <c r="S98" s="3535"/>
      <c r="T98" s="3535"/>
      <c r="U98" s="3535"/>
      <c r="V98" s="3535"/>
      <c r="W98" s="3535"/>
      <c r="X98" s="3535"/>
      <c r="Y98" s="3535"/>
      <c r="Z98" s="3535"/>
      <c r="AA98" s="3568"/>
      <c r="AB98" s="3536"/>
      <c r="AC98" s="3535"/>
      <c r="AD98" s="3571"/>
      <c r="AE98" s="3573"/>
      <c r="AF98" s="3574"/>
      <c r="AG98" s="3576"/>
      <c r="AH98" s="3535"/>
      <c r="AI98" s="3535"/>
      <c r="AJ98" s="3574"/>
      <c r="AK98" s="3535"/>
      <c r="AL98" s="3579"/>
      <c r="AM98" s="3581"/>
      <c r="AN98" s="3581">
        <f>IF(ExpComps_LenderTable[[#This Row], [R&amp;M]]+ExpComps_LenderTable[[#This Row], [Payroll]]&gt;0,ExpComps_LenderTable[[#This Row], [R&amp;M]]+ExpComps_LenderTable[[#This Row], [Payroll]],"")</f>
      </c>
      <c r="AO9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8" s="6"/>
      <c r="AQ98" s="6"/>
      <c r="AR98" s="6"/>
    </row>
    <row r="99" ht="13.5" customHeight="1" hidden="1">
      <c r="B99" s="3560">
        <v>88</v>
      </c>
      <c r="C99" s="3529"/>
      <c r="D99" s="3529"/>
      <c r="E99" s="3529"/>
      <c r="F99" s="3530"/>
      <c r="G99" s="3561"/>
      <c r="H99" s="3562"/>
      <c r="I99" s="3532"/>
      <c r="J99" s="3533"/>
      <c r="K99" s="3534"/>
      <c r="L99" s="3535"/>
      <c r="M99" s="3536"/>
      <c r="N99" s="3535"/>
      <c r="O99" s="3535"/>
      <c r="P99" s="3535"/>
      <c r="Q99" s="3535"/>
      <c r="R99" s="3535"/>
      <c r="S99" s="3535"/>
      <c r="T99" s="3535"/>
      <c r="U99" s="3535"/>
      <c r="V99" s="3535"/>
      <c r="W99" s="3535"/>
      <c r="X99" s="3535"/>
      <c r="Y99" s="3535"/>
      <c r="Z99" s="3535"/>
      <c r="AA99" s="3568"/>
      <c r="AB99" s="3536"/>
      <c r="AC99" s="3535"/>
      <c r="AD99" s="3571"/>
      <c r="AE99" s="3573"/>
      <c r="AF99" s="3574"/>
      <c r="AG99" s="3576"/>
      <c r="AH99" s="3535"/>
      <c r="AI99" s="3535"/>
      <c r="AJ99" s="3574"/>
      <c r="AK99" s="3535"/>
      <c r="AL99" s="3579"/>
      <c r="AM99" s="3581"/>
      <c r="AN99" s="3581">
        <f>IF(ExpComps_LenderTable[[#This Row], [R&amp;M]]+ExpComps_LenderTable[[#This Row], [Payroll]]&gt;0,ExpComps_LenderTable[[#This Row], [R&amp;M]]+ExpComps_LenderTable[[#This Row], [Payroll]],"")</f>
      </c>
      <c r="AO9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99" s="6"/>
      <c r="AQ99" s="6"/>
      <c r="AR99" s="6"/>
    </row>
    <row r="100" ht="13.5" customHeight="1" hidden="1">
      <c r="B100" s="3560">
        <v>89</v>
      </c>
      <c r="C100" s="3529"/>
      <c r="D100" s="3529"/>
      <c r="E100" s="3529"/>
      <c r="F100" s="3530"/>
      <c r="G100" s="3561"/>
      <c r="H100" s="3562"/>
      <c r="I100" s="3532"/>
      <c r="J100" s="3533"/>
      <c r="K100" s="3534"/>
      <c r="L100" s="3535"/>
      <c r="M100" s="3536"/>
      <c r="N100" s="3535"/>
      <c r="O100" s="3535"/>
      <c r="P100" s="3535"/>
      <c r="Q100" s="3535"/>
      <c r="R100" s="3535"/>
      <c r="S100" s="3535"/>
      <c r="T100" s="3535"/>
      <c r="U100" s="3535"/>
      <c r="V100" s="3535"/>
      <c r="W100" s="3535"/>
      <c r="X100" s="3535"/>
      <c r="Y100" s="3535"/>
      <c r="Z100" s="3535"/>
      <c r="AA100" s="3568"/>
      <c r="AB100" s="3536"/>
      <c r="AC100" s="3535"/>
      <c r="AD100" s="3571"/>
      <c r="AE100" s="3573"/>
      <c r="AF100" s="3574"/>
      <c r="AG100" s="3576"/>
      <c r="AH100" s="3535"/>
      <c r="AI100" s="3535"/>
      <c r="AJ100" s="3574"/>
      <c r="AK100" s="3535"/>
      <c r="AL100" s="3579"/>
      <c r="AM100" s="3581"/>
      <c r="AN100" s="3581">
        <f>IF(ExpComps_LenderTable[[#This Row], [R&amp;M]]+ExpComps_LenderTable[[#This Row], [Payroll]]&gt;0,ExpComps_LenderTable[[#This Row], [R&amp;M]]+ExpComps_LenderTable[[#This Row], [Payroll]],"")</f>
      </c>
      <c r="AO10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0" s="6"/>
      <c r="AQ100" s="6"/>
      <c r="AR100" s="6"/>
    </row>
    <row r="101" ht="13.5" customHeight="1" hidden="1">
      <c r="B101" s="3560">
        <v>90</v>
      </c>
      <c r="C101" s="3529"/>
      <c r="D101" s="3529"/>
      <c r="E101" s="3529"/>
      <c r="F101" s="3530"/>
      <c r="G101" s="3561"/>
      <c r="H101" s="3562"/>
      <c r="I101" s="3532"/>
      <c r="J101" s="3533"/>
      <c r="K101" s="3534"/>
      <c r="L101" s="3535"/>
      <c r="M101" s="3536"/>
      <c r="N101" s="3535"/>
      <c r="O101" s="3535"/>
      <c r="P101" s="3535"/>
      <c r="Q101" s="3535"/>
      <c r="R101" s="3535"/>
      <c r="S101" s="3535"/>
      <c r="T101" s="3535"/>
      <c r="U101" s="3535"/>
      <c r="V101" s="3535"/>
      <c r="W101" s="3535"/>
      <c r="X101" s="3535"/>
      <c r="Y101" s="3535"/>
      <c r="Z101" s="3535"/>
      <c r="AA101" s="3568"/>
      <c r="AB101" s="3536"/>
      <c r="AC101" s="3535"/>
      <c r="AD101" s="3571"/>
      <c r="AE101" s="3573"/>
      <c r="AF101" s="3574"/>
      <c r="AG101" s="3576"/>
      <c r="AH101" s="3535"/>
      <c r="AI101" s="3535"/>
      <c r="AJ101" s="3574"/>
      <c r="AK101" s="3535"/>
      <c r="AL101" s="3579"/>
      <c r="AM101" s="3581"/>
      <c r="AN101" s="3581">
        <f>IF(ExpComps_LenderTable[[#This Row], [R&amp;M]]+ExpComps_LenderTable[[#This Row], [Payroll]]&gt;0,ExpComps_LenderTable[[#This Row], [R&amp;M]]+ExpComps_LenderTable[[#This Row], [Payroll]],"")</f>
      </c>
      <c r="AO10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1" s="6"/>
      <c r="AQ101" s="6"/>
      <c r="AR101" s="6"/>
    </row>
    <row r="102" ht="13.5" customHeight="1" hidden="1">
      <c r="B102" s="3560">
        <v>91</v>
      </c>
      <c r="C102" s="3529"/>
      <c r="D102" s="3529"/>
      <c r="E102" s="3529"/>
      <c r="F102" s="3530"/>
      <c r="G102" s="3561"/>
      <c r="H102" s="3562"/>
      <c r="I102" s="3532"/>
      <c r="J102" s="3533"/>
      <c r="K102" s="3534"/>
      <c r="L102" s="3535"/>
      <c r="M102" s="3536"/>
      <c r="N102" s="3535"/>
      <c r="O102" s="3535"/>
      <c r="P102" s="3535"/>
      <c r="Q102" s="3535"/>
      <c r="R102" s="3535"/>
      <c r="S102" s="3535"/>
      <c r="T102" s="3535"/>
      <c r="U102" s="3535"/>
      <c r="V102" s="3535"/>
      <c r="W102" s="3535"/>
      <c r="X102" s="3535"/>
      <c r="Y102" s="3535"/>
      <c r="Z102" s="3535"/>
      <c r="AA102" s="3568"/>
      <c r="AB102" s="3536"/>
      <c r="AC102" s="3535"/>
      <c r="AD102" s="3571"/>
      <c r="AE102" s="3573"/>
      <c r="AF102" s="3574"/>
      <c r="AG102" s="3576"/>
      <c r="AH102" s="3535"/>
      <c r="AI102" s="3535"/>
      <c r="AJ102" s="3574"/>
      <c r="AK102" s="3535"/>
      <c r="AL102" s="3579"/>
      <c r="AM102" s="3581"/>
      <c r="AN102" s="3581">
        <f>IF(ExpComps_LenderTable[[#This Row], [R&amp;M]]+ExpComps_LenderTable[[#This Row], [Payroll]]&gt;0,ExpComps_LenderTable[[#This Row], [R&amp;M]]+ExpComps_LenderTable[[#This Row], [Payroll]],"")</f>
      </c>
      <c r="AO10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2" s="6"/>
      <c r="AQ102" s="6"/>
      <c r="AR102" s="6"/>
    </row>
    <row r="103" ht="13.5" customHeight="1" hidden="1">
      <c r="B103" s="3560">
        <v>92</v>
      </c>
      <c r="C103" s="3529"/>
      <c r="D103" s="3529"/>
      <c r="E103" s="3529"/>
      <c r="F103" s="3530"/>
      <c r="G103" s="3561"/>
      <c r="H103" s="3562"/>
      <c r="I103" s="3532"/>
      <c r="J103" s="3533"/>
      <c r="K103" s="3534"/>
      <c r="L103" s="3535"/>
      <c r="M103" s="3536"/>
      <c r="N103" s="3535"/>
      <c r="O103" s="3535"/>
      <c r="P103" s="3535"/>
      <c r="Q103" s="3535"/>
      <c r="R103" s="3535"/>
      <c r="S103" s="3535"/>
      <c r="T103" s="3535"/>
      <c r="U103" s="3535"/>
      <c r="V103" s="3535"/>
      <c r="W103" s="3535"/>
      <c r="X103" s="3535"/>
      <c r="Y103" s="3535"/>
      <c r="Z103" s="3535"/>
      <c r="AA103" s="3568"/>
      <c r="AB103" s="3536"/>
      <c r="AC103" s="3535"/>
      <c r="AD103" s="3571"/>
      <c r="AE103" s="3573"/>
      <c r="AF103" s="3574"/>
      <c r="AG103" s="3576"/>
      <c r="AH103" s="3535"/>
      <c r="AI103" s="3535"/>
      <c r="AJ103" s="3574"/>
      <c r="AK103" s="3535"/>
      <c r="AL103" s="3579"/>
      <c r="AM103" s="3581"/>
      <c r="AN103" s="3581">
        <f>IF(ExpComps_LenderTable[[#This Row], [R&amp;M]]+ExpComps_LenderTable[[#This Row], [Payroll]]&gt;0,ExpComps_LenderTable[[#This Row], [R&amp;M]]+ExpComps_LenderTable[[#This Row], [Payroll]],"")</f>
      </c>
      <c r="AO10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3" s="6"/>
      <c r="AQ103" s="6"/>
      <c r="AR103" s="6"/>
    </row>
    <row r="104" ht="13.5" customHeight="1" hidden="1">
      <c r="B104" s="3560">
        <v>93</v>
      </c>
      <c r="C104" s="3529"/>
      <c r="D104" s="3529"/>
      <c r="E104" s="3529"/>
      <c r="F104" s="3530"/>
      <c r="G104" s="3561"/>
      <c r="H104" s="3562"/>
      <c r="I104" s="3532"/>
      <c r="J104" s="3533"/>
      <c r="K104" s="3534"/>
      <c r="L104" s="3535"/>
      <c r="M104" s="3536"/>
      <c r="N104" s="3535"/>
      <c r="O104" s="3535"/>
      <c r="P104" s="3535"/>
      <c r="Q104" s="3535"/>
      <c r="R104" s="3535"/>
      <c r="S104" s="3535"/>
      <c r="T104" s="3535"/>
      <c r="U104" s="3535"/>
      <c r="V104" s="3535"/>
      <c r="W104" s="3535"/>
      <c r="X104" s="3535"/>
      <c r="Y104" s="3535"/>
      <c r="Z104" s="3535"/>
      <c r="AA104" s="3568"/>
      <c r="AB104" s="3536"/>
      <c r="AC104" s="3535"/>
      <c r="AD104" s="3571"/>
      <c r="AE104" s="3573"/>
      <c r="AF104" s="3574"/>
      <c r="AG104" s="3576"/>
      <c r="AH104" s="3535"/>
      <c r="AI104" s="3535"/>
      <c r="AJ104" s="3574"/>
      <c r="AK104" s="3535"/>
      <c r="AL104" s="3579"/>
      <c r="AM104" s="3581"/>
      <c r="AN104" s="3581">
        <f>IF(ExpComps_LenderTable[[#This Row], [R&amp;M]]+ExpComps_LenderTable[[#This Row], [Payroll]]&gt;0,ExpComps_LenderTable[[#This Row], [R&amp;M]]+ExpComps_LenderTable[[#This Row], [Payroll]],"")</f>
      </c>
      <c r="AO10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4" s="6"/>
      <c r="AQ104" s="6"/>
      <c r="AR104" s="6"/>
    </row>
    <row r="105" ht="13.5" customHeight="1" hidden="1">
      <c r="B105" s="3560">
        <v>94</v>
      </c>
      <c r="C105" s="3529"/>
      <c r="D105" s="3529"/>
      <c r="E105" s="3529"/>
      <c r="F105" s="3530"/>
      <c r="G105" s="3561"/>
      <c r="H105" s="3562"/>
      <c r="I105" s="3532"/>
      <c r="J105" s="3533"/>
      <c r="K105" s="3534"/>
      <c r="L105" s="3535"/>
      <c r="M105" s="3536"/>
      <c r="N105" s="3535"/>
      <c r="O105" s="3535"/>
      <c r="P105" s="3535"/>
      <c r="Q105" s="3535"/>
      <c r="R105" s="3535"/>
      <c r="S105" s="3535"/>
      <c r="T105" s="3535"/>
      <c r="U105" s="3535"/>
      <c r="V105" s="3535"/>
      <c r="W105" s="3535"/>
      <c r="X105" s="3535"/>
      <c r="Y105" s="3535"/>
      <c r="Z105" s="3535"/>
      <c r="AA105" s="3568"/>
      <c r="AB105" s="3536"/>
      <c r="AC105" s="3535"/>
      <c r="AD105" s="3571"/>
      <c r="AE105" s="3573"/>
      <c r="AF105" s="3574"/>
      <c r="AG105" s="3576"/>
      <c r="AH105" s="3535"/>
      <c r="AI105" s="3535"/>
      <c r="AJ105" s="3574"/>
      <c r="AK105" s="3535"/>
      <c r="AL105" s="3579"/>
      <c r="AM105" s="3581"/>
      <c r="AN105" s="3581">
        <f>IF(ExpComps_LenderTable[[#This Row], [R&amp;M]]+ExpComps_LenderTable[[#This Row], [Payroll]]&gt;0,ExpComps_LenderTable[[#This Row], [R&amp;M]]+ExpComps_LenderTable[[#This Row], [Payroll]],"")</f>
      </c>
      <c r="AO10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5" s="6"/>
      <c r="AQ105" s="6"/>
      <c r="AR105" s="6"/>
    </row>
    <row r="106" ht="13.5" customHeight="1" hidden="1">
      <c r="B106" s="3560">
        <v>95</v>
      </c>
      <c r="C106" s="3529"/>
      <c r="D106" s="3529"/>
      <c r="E106" s="3529"/>
      <c r="F106" s="3530"/>
      <c r="G106" s="3561"/>
      <c r="H106" s="3562"/>
      <c r="I106" s="3532"/>
      <c r="J106" s="3533"/>
      <c r="K106" s="3534"/>
      <c r="L106" s="3535"/>
      <c r="M106" s="3536"/>
      <c r="N106" s="3535"/>
      <c r="O106" s="3535"/>
      <c r="P106" s="3535"/>
      <c r="Q106" s="3535"/>
      <c r="R106" s="3535"/>
      <c r="S106" s="3535"/>
      <c r="T106" s="3535"/>
      <c r="U106" s="3535"/>
      <c r="V106" s="3535"/>
      <c r="W106" s="3535"/>
      <c r="X106" s="3535"/>
      <c r="Y106" s="3535"/>
      <c r="Z106" s="3535"/>
      <c r="AA106" s="3568"/>
      <c r="AB106" s="3536"/>
      <c r="AC106" s="3535"/>
      <c r="AD106" s="3571"/>
      <c r="AE106" s="3573"/>
      <c r="AF106" s="3574"/>
      <c r="AG106" s="3576"/>
      <c r="AH106" s="3535"/>
      <c r="AI106" s="3535"/>
      <c r="AJ106" s="3574"/>
      <c r="AK106" s="3535"/>
      <c r="AL106" s="3579"/>
      <c r="AM106" s="3581"/>
      <c r="AN106" s="3581">
        <f>IF(ExpComps_LenderTable[[#This Row], [R&amp;M]]+ExpComps_LenderTable[[#This Row], [Payroll]]&gt;0,ExpComps_LenderTable[[#This Row], [R&amp;M]]+ExpComps_LenderTable[[#This Row], [Payroll]],"")</f>
      </c>
      <c r="AO10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6" s="6"/>
      <c r="AQ106" s="6"/>
      <c r="AR106" s="6"/>
    </row>
    <row r="107" ht="13.5" customHeight="1" hidden="1">
      <c r="B107" s="3560">
        <v>96</v>
      </c>
      <c r="C107" s="3529"/>
      <c r="D107" s="3529"/>
      <c r="E107" s="3529"/>
      <c r="F107" s="3530"/>
      <c r="G107" s="3561"/>
      <c r="H107" s="3562"/>
      <c r="I107" s="3532"/>
      <c r="J107" s="3533"/>
      <c r="K107" s="3534"/>
      <c r="L107" s="3535"/>
      <c r="M107" s="3536"/>
      <c r="N107" s="3535"/>
      <c r="O107" s="3535"/>
      <c r="P107" s="3535"/>
      <c r="Q107" s="3535"/>
      <c r="R107" s="3535"/>
      <c r="S107" s="3535"/>
      <c r="T107" s="3535"/>
      <c r="U107" s="3535"/>
      <c r="V107" s="3535"/>
      <c r="W107" s="3535"/>
      <c r="X107" s="3535"/>
      <c r="Y107" s="3535"/>
      <c r="Z107" s="3535"/>
      <c r="AA107" s="3568"/>
      <c r="AB107" s="3536"/>
      <c r="AC107" s="3535"/>
      <c r="AD107" s="3571"/>
      <c r="AE107" s="3573"/>
      <c r="AF107" s="3574"/>
      <c r="AG107" s="3576"/>
      <c r="AH107" s="3535"/>
      <c r="AI107" s="3535"/>
      <c r="AJ107" s="3574"/>
      <c r="AK107" s="3535"/>
      <c r="AL107" s="3579"/>
      <c r="AM107" s="3581"/>
      <c r="AN107" s="3581">
        <f>IF(ExpComps_LenderTable[[#This Row], [R&amp;M]]+ExpComps_LenderTable[[#This Row], [Payroll]]&gt;0,ExpComps_LenderTable[[#This Row], [R&amp;M]]+ExpComps_LenderTable[[#This Row], [Payroll]],"")</f>
      </c>
      <c r="AO10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7" s="6"/>
      <c r="AQ107" s="6"/>
      <c r="AR107" s="6"/>
    </row>
    <row r="108" ht="13.5" customHeight="1" hidden="1">
      <c r="B108" s="3560">
        <v>97</v>
      </c>
      <c r="C108" s="3529"/>
      <c r="D108" s="3529"/>
      <c r="E108" s="3529"/>
      <c r="F108" s="3530"/>
      <c r="G108" s="3561"/>
      <c r="H108" s="3562"/>
      <c r="I108" s="3532"/>
      <c r="J108" s="3533"/>
      <c r="K108" s="3534"/>
      <c r="L108" s="3535"/>
      <c r="M108" s="3536"/>
      <c r="N108" s="3535"/>
      <c r="O108" s="3535"/>
      <c r="P108" s="3535"/>
      <c r="Q108" s="3535"/>
      <c r="R108" s="3535"/>
      <c r="S108" s="3535"/>
      <c r="T108" s="3535"/>
      <c r="U108" s="3535"/>
      <c r="V108" s="3535"/>
      <c r="W108" s="3535"/>
      <c r="X108" s="3535"/>
      <c r="Y108" s="3535"/>
      <c r="Z108" s="3535"/>
      <c r="AA108" s="3568"/>
      <c r="AB108" s="3536"/>
      <c r="AC108" s="3535"/>
      <c r="AD108" s="3571"/>
      <c r="AE108" s="3573"/>
      <c r="AF108" s="3574"/>
      <c r="AG108" s="3576"/>
      <c r="AH108" s="3535"/>
      <c r="AI108" s="3535"/>
      <c r="AJ108" s="3574"/>
      <c r="AK108" s="3535"/>
      <c r="AL108" s="3579"/>
      <c r="AM108" s="3581"/>
      <c r="AN108" s="3581">
        <f>IF(ExpComps_LenderTable[[#This Row], [R&amp;M]]+ExpComps_LenderTable[[#This Row], [Payroll]]&gt;0,ExpComps_LenderTable[[#This Row], [R&amp;M]]+ExpComps_LenderTable[[#This Row], [Payroll]],"")</f>
      </c>
      <c r="AO10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8" s="6"/>
      <c r="AQ108" s="6"/>
      <c r="AR108" s="6"/>
    </row>
    <row r="109" ht="13.5" customHeight="1" hidden="1">
      <c r="B109" s="3560">
        <v>98</v>
      </c>
      <c r="C109" s="3529"/>
      <c r="D109" s="3529"/>
      <c r="E109" s="3529"/>
      <c r="F109" s="3530"/>
      <c r="G109" s="3561"/>
      <c r="H109" s="3562"/>
      <c r="I109" s="3532"/>
      <c r="J109" s="3533"/>
      <c r="K109" s="3534"/>
      <c r="L109" s="3535"/>
      <c r="M109" s="3536"/>
      <c r="N109" s="3535"/>
      <c r="O109" s="3535"/>
      <c r="P109" s="3535"/>
      <c r="Q109" s="3535"/>
      <c r="R109" s="3535"/>
      <c r="S109" s="3535"/>
      <c r="T109" s="3535"/>
      <c r="U109" s="3535"/>
      <c r="V109" s="3535"/>
      <c r="W109" s="3535"/>
      <c r="X109" s="3535"/>
      <c r="Y109" s="3535"/>
      <c r="Z109" s="3535"/>
      <c r="AA109" s="3568"/>
      <c r="AB109" s="3536"/>
      <c r="AC109" s="3535"/>
      <c r="AD109" s="3571"/>
      <c r="AE109" s="3573"/>
      <c r="AF109" s="3574"/>
      <c r="AG109" s="3576"/>
      <c r="AH109" s="3535"/>
      <c r="AI109" s="3535"/>
      <c r="AJ109" s="3574"/>
      <c r="AK109" s="3535"/>
      <c r="AL109" s="3579"/>
      <c r="AM109" s="3581"/>
      <c r="AN109" s="3581">
        <f>IF(ExpComps_LenderTable[[#This Row], [R&amp;M]]+ExpComps_LenderTable[[#This Row], [Payroll]]&gt;0,ExpComps_LenderTable[[#This Row], [R&amp;M]]+ExpComps_LenderTable[[#This Row], [Payroll]],"")</f>
      </c>
      <c r="AO10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09" s="6"/>
      <c r="AQ109" s="6"/>
      <c r="AR109" s="6"/>
    </row>
    <row r="110" ht="13.5" customHeight="1" hidden="1">
      <c r="B110" s="3560">
        <v>99</v>
      </c>
      <c r="C110" s="3529"/>
      <c r="D110" s="3529"/>
      <c r="E110" s="3529"/>
      <c r="F110" s="3530"/>
      <c r="G110" s="3561"/>
      <c r="H110" s="3562"/>
      <c r="I110" s="3532"/>
      <c r="J110" s="3533"/>
      <c r="K110" s="3534"/>
      <c r="L110" s="3535"/>
      <c r="M110" s="3536"/>
      <c r="N110" s="3535"/>
      <c r="O110" s="3535"/>
      <c r="P110" s="3535"/>
      <c r="Q110" s="3535"/>
      <c r="R110" s="3535"/>
      <c r="S110" s="3535"/>
      <c r="T110" s="3535"/>
      <c r="U110" s="3535"/>
      <c r="V110" s="3535"/>
      <c r="W110" s="3535"/>
      <c r="X110" s="3535"/>
      <c r="Y110" s="3535"/>
      <c r="Z110" s="3535"/>
      <c r="AA110" s="3568"/>
      <c r="AB110" s="3536"/>
      <c r="AC110" s="3535"/>
      <c r="AD110" s="3571"/>
      <c r="AE110" s="3573"/>
      <c r="AF110" s="3574"/>
      <c r="AG110" s="3576"/>
      <c r="AH110" s="3535"/>
      <c r="AI110" s="3535"/>
      <c r="AJ110" s="3574"/>
      <c r="AK110" s="3535"/>
      <c r="AL110" s="3579"/>
      <c r="AM110" s="3581"/>
      <c r="AN110" s="3581">
        <f>IF(ExpComps_LenderTable[[#This Row], [R&amp;M]]+ExpComps_LenderTable[[#This Row], [Payroll]]&gt;0,ExpComps_LenderTable[[#This Row], [R&amp;M]]+ExpComps_LenderTable[[#This Row], [Payroll]],"")</f>
      </c>
      <c r="AO11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0" s="6"/>
      <c r="AQ110" s="6"/>
      <c r="AR110" s="6"/>
    </row>
    <row r="111" ht="13.5" customHeight="1" hidden="1">
      <c r="B111" s="3560">
        <v>100</v>
      </c>
      <c r="C111" s="3529"/>
      <c r="D111" s="3529"/>
      <c r="E111" s="3529"/>
      <c r="F111" s="3530"/>
      <c r="G111" s="3561"/>
      <c r="H111" s="3562"/>
      <c r="I111" s="3532"/>
      <c r="J111" s="3533"/>
      <c r="K111" s="3534"/>
      <c r="L111" s="3535"/>
      <c r="M111" s="3536"/>
      <c r="N111" s="3535"/>
      <c r="O111" s="3535"/>
      <c r="P111" s="3535"/>
      <c r="Q111" s="3535"/>
      <c r="R111" s="3535"/>
      <c r="S111" s="3535"/>
      <c r="T111" s="3535"/>
      <c r="U111" s="3535"/>
      <c r="V111" s="3535"/>
      <c r="W111" s="3535"/>
      <c r="X111" s="3535"/>
      <c r="Y111" s="3535"/>
      <c r="Z111" s="3535"/>
      <c r="AA111" s="3568"/>
      <c r="AB111" s="3536"/>
      <c r="AC111" s="3535"/>
      <c r="AD111" s="3571"/>
      <c r="AE111" s="3573"/>
      <c r="AF111" s="3574"/>
      <c r="AG111" s="3576"/>
      <c r="AH111" s="3535"/>
      <c r="AI111" s="3535"/>
      <c r="AJ111" s="3574"/>
      <c r="AK111" s="3535"/>
      <c r="AL111" s="3579"/>
      <c r="AM111" s="3581"/>
      <c r="AN111" s="3581">
        <f>IF(ExpComps_LenderTable[[#This Row], [R&amp;M]]+ExpComps_LenderTable[[#This Row], [Payroll]]&gt;0,ExpComps_LenderTable[[#This Row], [R&amp;M]]+ExpComps_LenderTable[[#This Row], [Payroll]],"")</f>
      </c>
      <c r="AO11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1" s="6"/>
      <c r="AQ111" s="6"/>
      <c r="AR111" s="6"/>
    </row>
    <row r="112" ht="13.5" customHeight="1" hidden="1">
      <c r="B112" s="3560">
        <v>101</v>
      </c>
      <c r="C112" s="3529"/>
      <c r="D112" s="3529"/>
      <c r="E112" s="3529"/>
      <c r="F112" s="3530"/>
      <c r="G112" s="3561"/>
      <c r="H112" s="3562"/>
      <c r="I112" s="3532"/>
      <c r="J112" s="3533"/>
      <c r="K112" s="3534"/>
      <c r="L112" s="3535"/>
      <c r="M112" s="3536"/>
      <c r="N112" s="3535"/>
      <c r="O112" s="3535"/>
      <c r="P112" s="3535"/>
      <c r="Q112" s="3535"/>
      <c r="R112" s="3535"/>
      <c r="S112" s="3535"/>
      <c r="T112" s="3535"/>
      <c r="U112" s="3535"/>
      <c r="V112" s="3535"/>
      <c r="W112" s="3535"/>
      <c r="X112" s="3535"/>
      <c r="Y112" s="3535"/>
      <c r="Z112" s="3535"/>
      <c r="AA112" s="3568"/>
      <c r="AB112" s="3536"/>
      <c r="AC112" s="3535"/>
      <c r="AD112" s="3571"/>
      <c r="AE112" s="3573"/>
      <c r="AF112" s="3574"/>
      <c r="AG112" s="3576"/>
      <c r="AH112" s="3535"/>
      <c r="AI112" s="3535"/>
      <c r="AJ112" s="3574"/>
      <c r="AK112" s="3535"/>
      <c r="AL112" s="3579"/>
      <c r="AM112" s="3581"/>
      <c r="AN112" s="3581">
        <f>IF(ExpComps_LenderTable[[#This Row], [R&amp;M]]+ExpComps_LenderTable[[#This Row], [Payroll]]&gt;0,ExpComps_LenderTable[[#This Row], [R&amp;M]]+ExpComps_LenderTable[[#This Row], [Payroll]],"")</f>
      </c>
      <c r="AO11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2" s="6"/>
      <c r="AQ112" s="6"/>
      <c r="AR112" s="6"/>
    </row>
    <row r="113" ht="13.5" customHeight="1" hidden="1">
      <c r="B113" s="3560">
        <v>102</v>
      </c>
      <c r="C113" s="3529"/>
      <c r="D113" s="3529"/>
      <c r="E113" s="3529"/>
      <c r="F113" s="3530"/>
      <c r="G113" s="3561"/>
      <c r="H113" s="3562"/>
      <c r="I113" s="3532"/>
      <c r="J113" s="3533"/>
      <c r="K113" s="3534"/>
      <c r="L113" s="3535"/>
      <c r="M113" s="3536"/>
      <c r="N113" s="3535"/>
      <c r="O113" s="3535"/>
      <c r="P113" s="3535"/>
      <c r="Q113" s="3535"/>
      <c r="R113" s="3535"/>
      <c r="S113" s="3535"/>
      <c r="T113" s="3535"/>
      <c r="U113" s="3535"/>
      <c r="V113" s="3535"/>
      <c r="W113" s="3535"/>
      <c r="X113" s="3535"/>
      <c r="Y113" s="3535"/>
      <c r="Z113" s="3535"/>
      <c r="AA113" s="3568"/>
      <c r="AB113" s="3536"/>
      <c r="AC113" s="3535"/>
      <c r="AD113" s="3571"/>
      <c r="AE113" s="3573"/>
      <c r="AF113" s="3574"/>
      <c r="AG113" s="3576"/>
      <c r="AH113" s="3535"/>
      <c r="AI113" s="3535"/>
      <c r="AJ113" s="3574"/>
      <c r="AK113" s="3535"/>
      <c r="AL113" s="3579"/>
      <c r="AM113" s="3581"/>
      <c r="AN113" s="3581">
        <f>IF(ExpComps_LenderTable[[#This Row], [R&amp;M]]+ExpComps_LenderTable[[#This Row], [Payroll]]&gt;0,ExpComps_LenderTable[[#This Row], [R&amp;M]]+ExpComps_LenderTable[[#This Row], [Payroll]],"")</f>
      </c>
      <c r="AO11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3" s="6"/>
      <c r="AQ113" s="6"/>
      <c r="AR113" s="6"/>
    </row>
    <row r="114" ht="13.5" customHeight="1" hidden="1">
      <c r="B114" s="3560">
        <v>103</v>
      </c>
      <c r="C114" s="3529"/>
      <c r="D114" s="3529"/>
      <c r="E114" s="3529"/>
      <c r="F114" s="3530"/>
      <c r="G114" s="3561"/>
      <c r="H114" s="3562"/>
      <c r="I114" s="3532"/>
      <c r="J114" s="3533"/>
      <c r="K114" s="3534"/>
      <c r="L114" s="3535"/>
      <c r="M114" s="3536"/>
      <c r="N114" s="3535"/>
      <c r="O114" s="3535"/>
      <c r="P114" s="3535"/>
      <c r="Q114" s="3535"/>
      <c r="R114" s="3535"/>
      <c r="S114" s="3535"/>
      <c r="T114" s="3535"/>
      <c r="U114" s="3535"/>
      <c r="V114" s="3535"/>
      <c r="W114" s="3535"/>
      <c r="X114" s="3535"/>
      <c r="Y114" s="3535"/>
      <c r="Z114" s="3535"/>
      <c r="AA114" s="3568"/>
      <c r="AB114" s="3536"/>
      <c r="AC114" s="3535"/>
      <c r="AD114" s="3571"/>
      <c r="AE114" s="3573"/>
      <c r="AF114" s="3574"/>
      <c r="AG114" s="3576"/>
      <c r="AH114" s="3535"/>
      <c r="AI114" s="3535"/>
      <c r="AJ114" s="3574"/>
      <c r="AK114" s="3535"/>
      <c r="AL114" s="3579"/>
      <c r="AM114" s="3581"/>
      <c r="AN114" s="3581">
        <f>IF(ExpComps_LenderTable[[#This Row], [R&amp;M]]+ExpComps_LenderTable[[#This Row], [Payroll]]&gt;0,ExpComps_LenderTable[[#This Row], [R&amp;M]]+ExpComps_LenderTable[[#This Row], [Payroll]],"")</f>
      </c>
      <c r="AO11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4" s="6"/>
      <c r="AQ114" s="6"/>
      <c r="AR114" s="6"/>
    </row>
    <row r="115" ht="13.5" customHeight="1" hidden="1">
      <c r="B115" s="3560">
        <v>104</v>
      </c>
      <c r="C115" s="3529"/>
      <c r="D115" s="3529"/>
      <c r="E115" s="3529"/>
      <c r="F115" s="3530"/>
      <c r="G115" s="3561"/>
      <c r="H115" s="3562"/>
      <c r="I115" s="3532"/>
      <c r="J115" s="3533"/>
      <c r="K115" s="3534"/>
      <c r="L115" s="3535"/>
      <c r="M115" s="3536"/>
      <c r="N115" s="3535"/>
      <c r="O115" s="3535"/>
      <c r="P115" s="3535"/>
      <c r="Q115" s="3535"/>
      <c r="R115" s="3535"/>
      <c r="S115" s="3535"/>
      <c r="T115" s="3535"/>
      <c r="U115" s="3535"/>
      <c r="V115" s="3535"/>
      <c r="W115" s="3535"/>
      <c r="X115" s="3535"/>
      <c r="Y115" s="3535"/>
      <c r="Z115" s="3535"/>
      <c r="AA115" s="3568"/>
      <c r="AB115" s="3536"/>
      <c r="AC115" s="3535"/>
      <c r="AD115" s="3571"/>
      <c r="AE115" s="3573"/>
      <c r="AF115" s="3574"/>
      <c r="AG115" s="3576"/>
      <c r="AH115" s="3535"/>
      <c r="AI115" s="3535"/>
      <c r="AJ115" s="3574"/>
      <c r="AK115" s="3535"/>
      <c r="AL115" s="3579"/>
      <c r="AM115" s="3581"/>
      <c r="AN115" s="3581">
        <f>IF(ExpComps_LenderTable[[#This Row], [R&amp;M]]+ExpComps_LenderTable[[#This Row], [Payroll]]&gt;0,ExpComps_LenderTable[[#This Row], [R&amp;M]]+ExpComps_LenderTable[[#This Row], [Payroll]],"")</f>
      </c>
      <c r="AO11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5" s="6"/>
      <c r="AQ115" s="6"/>
      <c r="AR115" s="6"/>
    </row>
    <row r="116" ht="13.5" customHeight="1" hidden="1">
      <c r="B116" s="3560">
        <v>105</v>
      </c>
      <c r="C116" s="3529"/>
      <c r="D116" s="3529"/>
      <c r="E116" s="3529"/>
      <c r="F116" s="3530"/>
      <c r="G116" s="3561"/>
      <c r="H116" s="3562"/>
      <c r="I116" s="3532"/>
      <c r="J116" s="3533"/>
      <c r="K116" s="3534"/>
      <c r="L116" s="3535"/>
      <c r="M116" s="3536"/>
      <c r="N116" s="3535"/>
      <c r="O116" s="3535"/>
      <c r="P116" s="3535"/>
      <c r="Q116" s="3535"/>
      <c r="R116" s="3535"/>
      <c r="S116" s="3535"/>
      <c r="T116" s="3535"/>
      <c r="U116" s="3535"/>
      <c r="V116" s="3535"/>
      <c r="W116" s="3535"/>
      <c r="X116" s="3535"/>
      <c r="Y116" s="3535"/>
      <c r="Z116" s="3535"/>
      <c r="AA116" s="3568"/>
      <c r="AB116" s="3536"/>
      <c r="AC116" s="3535"/>
      <c r="AD116" s="3571"/>
      <c r="AE116" s="3573"/>
      <c r="AF116" s="3574"/>
      <c r="AG116" s="3576"/>
      <c r="AH116" s="3535"/>
      <c r="AI116" s="3535"/>
      <c r="AJ116" s="3574"/>
      <c r="AK116" s="3535"/>
      <c r="AL116" s="3579"/>
      <c r="AM116" s="3581"/>
      <c r="AN116" s="3581">
        <f>IF(ExpComps_LenderTable[[#This Row], [R&amp;M]]+ExpComps_LenderTable[[#This Row], [Payroll]]&gt;0,ExpComps_LenderTable[[#This Row], [R&amp;M]]+ExpComps_LenderTable[[#This Row], [Payroll]],"")</f>
      </c>
      <c r="AO11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6" s="6"/>
      <c r="AQ116" s="6"/>
      <c r="AR116" s="6"/>
    </row>
    <row r="117" ht="13.5" customHeight="1" hidden="1">
      <c r="B117" s="3560">
        <v>106</v>
      </c>
      <c r="C117" s="3529"/>
      <c r="D117" s="3529"/>
      <c r="E117" s="3529"/>
      <c r="F117" s="3530"/>
      <c r="G117" s="3561"/>
      <c r="H117" s="3562"/>
      <c r="I117" s="3532"/>
      <c r="J117" s="3533"/>
      <c r="K117" s="3534"/>
      <c r="L117" s="3535"/>
      <c r="M117" s="3536"/>
      <c r="N117" s="3535"/>
      <c r="O117" s="3535"/>
      <c r="P117" s="3535"/>
      <c r="Q117" s="3535"/>
      <c r="R117" s="3535"/>
      <c r="S117" s="3535"/>
      <c r="T117" s="3535"/>
      <c r="U117" s="3535"/>
      <c r="V117" s="3535"/>
      <c r="W117" s="3535"/>
      <c r="X117" s="3535"/>
      <c r="Y117" s="3535"/>
      <c r="Z117" s="3535"/>
      <c r="AA117" s="3568"/>
      <c r="AB117" s="3536"/>
      <c r="AC117" s="3535"/>
      <c r="AD117" s="3571"/>
      <c r="AE117" s="3573"/>
      <c r="AF117" s="3574"/>
      <c r="AG117" s="3576"/>
      <c r="AH117" s="3535"/>
      <c r="AI117" s="3535"/>
      <c r="AJ117" s="3574"/>
      <c r="AK117" s="3535"/>
      <c r="AL117" s="3579"/>
      <c r="AM117" s="3581"/>
      <c r="AN117" s="3581">
        <f>IF(ExpComps_LenderTable[[#This Row], [R&amp;M]]+ExpComps_LenderTable[[#This Row], [Payroll]]&gt;0,ExpComps_LenderTable[[#This Row], [R&amp;M]]+ExpComps_LenderTable[[#This Row], [Payroll]],"")</f>
      </c>
      <c r="AO11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7" s="6"/>
      <c r="AQ117" s="6"/>
      <c r="AR117" s="6"/>
    </row>
    <row r="118" ht="13.5" customHeight="1" hidden="1">
      <c r="B118" s="3560">
        <v>107</v>
      </c>
      <c r="C118" s="3529"/>
      <c r="D118" s="3529"/>
      <c r="E118" s="3529"/>
      <c r="F118" s="3530"/>
      <c r="G118" s="3561"/>
      <c r="H118" s="3562"/>
      <c r="I118" s="3532"/>
      <c r="J118" s="3533"/>
      <c r="K118" s="3534"/>
      <c r="L118" s="3535"/>
      <c r="M118" s="3536"/>
      <c r="N118" s="3535"/>
      <c r="O118" s="3535"/>
      <c r="P118" s="3535"/>
      <c r="Q118" s="3535"/>
      <c r="R118" s="3535"/>
      <c r="S118" s="3535"/>
      <c r="T118" s="3535"/>
      <c r="U118" s="3535"/>
      <c r="V118" s="3535"/>
      <c r="W118" s="3535"/>
      <c r="X118" s="3535"/>
      <c r="Y118" s="3535"/>
      <c r="Z118" s="3535"/>
      <c r="AA118" s="3568"/>
      <c r="AB118" s="3536"/>
      <c r="AC118" s="3535"/>
      <c r="AD118" s="3571"/>
      <c r="AE118" s="3573"/>
      <c r="AF118" s="3574"/>
      <c r="AG118" s="3576"/>
      <c r="AH118" s="3535"/>
      <c r="AI118" s="3535"/>
      <c r="AJ118" s="3574"/>
      <c r="AK118" s="3535"/>
      <c r="AL118" s="3579"/>
      <c r="AM118" s="3581"/>
      <c r="AN118" s="3581">
        <f>IF(ExpComps_LenderTable[[#This Row], [R&amp;M]]+ExpComps_LenderTable[[#This Row], [Payroll]]&gt;0,ExpComps_LenderTable[[#This Row], [R&amp;M]]+ExpComps_LenderTable[[#This Row], [Payroll]],"")</f>
      </c>
      <c r="AO11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8" s="6"/>
      <c r="AQ118" s="6"/>
      <c r="AR118" s="6"/>
    </row>
    <row r="119" ht="13.5" customHeight="1" hidden="1">
      <c r="B119" s="3560">
        <v>108</v>
      </c>
      <c r="C119" s="3529"/>
      <c r="D119" s="3529"/>
      <c r="E119" s="3529"/>
      <c r="F119" s="3530"/>
      <c r="G119" s="3561"/>
      <c r="H119" s="3562"/>
      <c r="I119" s="3532"/>
      <c r="J119" s="3533"/>
      <c r="K119" s="3534"/>
      <c r="L119" s="3535"/>
      <c r="M119" s="3536"/>
      <c r="N119" s="3535"/>
      <c r="O119" s="3535"/>
      <c r="P119" s="3535"/>
      <c r="Q119" s="3535"/>
      <c r="R119" s="3535"/>
      <c r="S119" s="3535"/>
      <c r="T119" s="3535"/>
      <c r="U119" s="3535"/>
      <c r="V119" s="3535"/>
      <c r="W119" s="3535"/>
      <c r="X119" s="3535"/>
      <c r="Y119" s="3535"/>
      <c r="Z119" s="3535"/>
      <c r="AA119" s="3568"/>
      <c r="AB119" s="3536"/>
      <c r="AC119" s="3535"/>
      <c r="AD119" s="3571"/>
      <c r="AE119" s="3573"/>
      <c r="AF119" s="3574"/>
      <c r="AG119" s="3576"/>
      <c r="AH119" s="3535"/>
      <c r="AI119" s="3535"/>
      <c r="AJ119" s="3574"/>
      <c r="AK119" s="3535"/>
      <c r="AL119" s="3579"/>
      <c r="AM119" s="3581"/>
      <c r="AN119" s="3581">
        <f>IF(ExpComps_LenderTable[[#This Row], [R&amp;M]]+ExpComps_LenderTable[[#This Row], [Payroll]]&gt;0,ExpComps_LenderTable[[#This Row], [R&amp;M]]+ExpComps_LenderTable[[#This Row], [Payroll]],"")</f>
      </c>
      <c r="AO11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19" s="6"/>
      <c r="AQ119" s="6"/>
      <c r="AR119" s="6"/>
    </row>
    <row r="120" ht="13.5" customHeight="1" hidden="1">
      <c r="B120" s="3560">
        <v>109</v>
      </c>
      <c r="C120" s="3529"/>
      <c r="D120" s="3529"/>
      <c r="E120" s="3529"/>
      <c r="F120" s="3530"/>
      <c r="G120" s="3561"/>
      <c r="H120" s="3562"/>
      <c r="I120" s="3532"/>
      <c r="J120" s="3533"/>
      <c r="K120" s="3534"/>
      <c r="L120" s="3535"/>
      <c r="M120" s="3536"/>
      <c r="N120" s="3535"/>
      <c r="O120" s="3535"/>
      <c r="P120" s="3535"/>
      <c r="Q120" s="3535"/>
      <c r="R120" s="3535"/>
      <c r="S120" s="3535"/>
      <c r="T120" s="3535"/>
      <c r="U120" s="3535"/>
      <c r="V120" s="3535"/>
      <c r="W120" s="3535"/>
      <c r="X120" s="3535"/>
      <c r="Y120" s="3535"/>
      <c r="Z120" s="3535"/>
      <c r="AA120" s="3568"/>
      <c r="AB120" s="3536"/>
      <c r="AC120" s="3535"/>
      <c r="AD120" s="3571"/>
      <c r="AE120" s="3573"/>
      <c r="AF120" s="3574"/>
      <c r="AG120" s="3576"/>
      <c r="AH120" s="3535"/>
      <c r="AI120" s="3535"/>
      <c r="AJ120" s="3574"/>
      <c r="AK120" s="3535"/>
      <c r="AL120" s="3579"/>
      <c r="AM120" s="3581"/>
      <c r="AN120" s="3581">
        <f>IF(ExpComps_LenderTable[[#This Row], [R&amp;M]]+ExpComps_LenderTable[[#This Row], [Payroll]]&gt;0,ExpComps_LenderTable[[#This Row], [R&amp;M]]+ExpComps_LenderTable[[#This Row], [Payroll]],"")</f>
      </c>
      <c r="AO12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0" s="6"/>
      <c r="AQ120" s="6"/>
      <c r="AR120" s="6"/>
    </row>
    <row r="121" ht="13.5" customHeight="1" hidden="1">
      <c r="B121" s="3560">
        <v>110</v>
      </c>
      <c r="C121" s="3529"/>
      <c r="D121" s="3529"/>
      <c r="E121" s="3529"/>
      <c r="F121" s="3530"/>
      <c r="G121" s="3561"/>
      <c r="H121" s="3562"/>
      <c r="I121" s="3532"/>
      <c r="J121" s="3533"/>
      <c r="K121" s="3534"/>
      <c r="L121" s="3535"/>
      <c r="M121" s="3536"/>
      <c r="N121" s="3535"/>
      <c r="O121" s="3535"/>
      <c r="P121" s="3535"/>
      <c r="Q121" s="3535"/>
      <c r="R121" s="3535"/>
      <c r="S121" s="3535"/>
      <c r="T121" s="3535"/>
      <c r="U121" s="3535"/>
      <c r="V121" s="3535"/>
      <c r="W121" s="3535"/>
      <c r="X121" s="3535"/>
      <c r="Y121" s="3535"/>
      <c r="Z121" s="3535"/>
      <c r="AA121" s="3568"/>
      <c r="AB121" s="3536"/>
      <c r="AC121" s="3535"/>
      <c r="AD121" s="3571"/>
      <c r="AE121" s="3573"/>
      <c r="AF121" s="3574"/>
      <c r="AG121" s="3576"/>
      <c r="AH121" s="3535"/>
      <c r="AI121" s="3535"/>
      <c r="AJ121" s="3574"/>
      <c r="AK121" s="3535"/>
      <c r="AL121" s="3579"/>
      <c r="AM121" s="3581"/>
      <c r="AN121" s="3581">
        <f>IF(ExpComps_LenderTable[[#This Row], [R&amp;M]]+ExpComps_LenderTable[[#This Row], [Payroll]]&gt;0,ExpComps_LenderTable[[#This Row], [R&amp;M]]+ExpComps_LenderTable[[#This Row], [Payroll]],"")</f>
      </c>
      <c r="AO12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1" s="6"/>
      <c r="AQ121" s="6"/>
      <c r="AR121" s="6"/>
    </row>
    <row r="122" ht="13.5" customHeight="1" hidden="1">
      <c r="B122" s="3560">
        <v>111</v>
      </c>
      <c r="C122" s="3529"/>
      <c r="D122" s="3529"/>
      <c r="E122" s="3529"/>
      <c r="F122" s="3530"/>
      <c r="G122" s="3561"/>
      <c r="H122" s="3562"/>
      <c r="I122" s="3532"/>
      <c r="J122" s="3533"/>
      <c r="K122" s="3534"/>
      <c r="L122" s="3535"/>
      <c r="M122" s="3536"/>
      <c r="N122" s="3535"/>
      <c r="O122" s="3535"/>
      <c r="P122" s="3535"/>
      <c r="Q122" s="3535"/>
      <c r="R122" s="3535"/>
      <c r="S122" s="3535"/>
      <c r="T122" s="3535"/>
      <c r="U122" s="3535"/>
      <c r="V122" s="3535"/>
      <c r="W122" s="3535"/>
      <c r="X122" s="3535"/>
      <c r="Y122" s="3535"/>
      <c r="Z122" s="3535"/>
      <c r="AA122" s="3568"/>
      <c r="AB122" s="3536"/>
      <c r="AC122" s="3535"/>
      <c r="AD122" s="3571"/>
      <c r="AE122" s="3573"/>
      <c r="AF122" s="3574"/>
      <c r="AG122" s="3576"/>
      <c r="AH122" s="3535"/>
      <c r="AI122" s="3535"/>
      <c r="AJ122" s="3574"/>
      <c r="AK122" s="3535"/>
      <c r="AL122" s="3579"/>
      <c r="AM122" s="3581"/>
      <c r="AN122" s="3581">
        <f>IF(ExpComps_LenderTable[[#This Row], [R&amp;M]]+ExpComps_LenderTable[[#This Row], [Payroll]]&gt;0,ExpComps_LenderTable[[#This Row], [R&amp;M]]+ExpComps_LenderTable[[#This Row], [Payroll]],"")</f>
      </c>
      <c r="AO12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2" s="6"/>
      <c r="AQ122" s="6"/>
      <c r="AR122" s="6"/>
    </row>
    <row r="123" ht="13.5" customHeight="1" hidden="1">
      <c r="B123" s="3560">
        <v>112</v>
      </c>
      <c r="C123" s="3529"/>
      <c r="D123" s="3529"/>
      <c r="E123" s="3529"/>
      <c r="F123" s="3530"/>
      <c r="G123" s="3561"/>
      <c r="H123" s="3562"/>
      <c r="I123" s="3532"/>
      <c r="J123" s="3533"/>
      <c r="K123" s="3534"/>
      <c r="L123" s="3535"/>
      <c r="M123" s="3536"/>
      <c r="N123" s="3535"/>
      <c r="O123" s="3535"/>
      <c r="P123" s="3535"/>
      <c r="Q123" s="3535"/>
      <c r="R123" s="3535"/>
      <c r="S123" s="3535"/>
      <c r="T123" s="3535"/>
      <c r="U123" s="3535"/>
      <c r="V123" s="3535"/>
      <c r="W123" s="3535"/>
      <c r="X123" s="3535"/>
      <c r="Y123" s="3535"/>
      <c r="Z123" s="3535"/>
      <c r="AA123" s="3568"/>
      <c r="AB123" s="3536"/>
      <c r="AC123" s="3535"/>
      <c r="AD123" s="3571"/>
      <c r="AE123" s="3573"/>
      <c r="AF123" s="3574"/>
      <c r="AG123" s="3576"/>
      <c r="AH123" s="3535"/>
      <c r="AI123" s="3535"/>
      <c r="AJ123" s="3574"/>
      <c r="AK123" s="3535"/>
      <c r="AL123" s="3579"/>
      <c r="AM123" s="3581"/>
      <c r="AN123" s="3581">
        <f>IF(ExpComps_LenderTable[[#This Row], [R&amp;M]]+ExpComps_LenderTable[[#This Row], [Payroll]]&gt;0,ExpComps_LenderTable[[#This Row], [R&amp;M]]+ExpComps_LenderTable[[#This Row], [Payroll]],"")</f>
      </c>
      <c r="AO12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3" s="6"/>
      <c r="AQ123" s="6"/>
      <c r="AR123" s="6"/>
    </row>
    <row r="124" ht="13.5" customHeight="1" hidden="1">
      <c r="B124" s="3560">
        <v>113</v>
      </c>
      <c r="C124" s="3529"/>
      <c r="D124" s="3529"/>
      <c r="E124" s="3529"/>
      <c r="F124" s="3530"/>
      <c r="G124" s="3561"/>
      <c r="H124" s="3562"/>
      <c r="I124" s="3532"/>
      <c r="J124" s="3533"/>
      <c r="K124" s="3534"/>
      <c r="L124" s="3535"/>
      <c r="M124" s="3536"/>
      <c r="N124" s="3535"/>
      <c r="O124" s="3535"/>
      <c r="P124" s="3535"/>
      <c r="Q124" s="3535"/>
      <c r="R124" s="3535"/>
      <c r="S124" s="3535"/>
      <c r="T124" s="3535"/>
      <c r="U124" s="3535"/>
      <c r="V124" s="3535"/>
      <c r="W124" s="3535"/>
      <c r="X124" s="3535"/>
      <c r="Y124" s="3535"/>
      <c r="Z124" s="3535"/>
      <c r="AA124" s="3568"/>
      <c r="AB124" s="3536"/>
      <c r="AC124" s="3535"/>
      <c r="AD124" s="3571"/>
      <c r="AE124" s="3573"/>
      <c r="AF124" s="3574"/>
      <c r="AG124" s="3576"/>
      <c r="AH124" s="3535"/>
      <c r="AI124" s="3535"/>
      <c r="AJ124" s="3574"/>
      <c r="AK124" s="3535"/>
      <c r="AL124" s="3579"/>
      <c r="AM124" s="3581"/>
      <c r="AN124" s="3581">
        <f>IF(ExpComps_LenderTable[[#This Row], [R&amp;M]]+ExpComps_LenderTable[[#This Row], [Payroll]]&gt;0,ExpComps_LenderTable[[#This Row], [R&amp;M]]+ExpComps_LenderTable[[#This Row], [Payroll]],"")</f>
      </c>
      <c r="AO12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4" s="6"/>
      <c r="AQ124" s="6"/>
      <c r="AR124" s="6"/>
    </row>
    <row r="125" ht="13.5" customHeight="1" hidden="1">
      <c r="B125" s="3560">
        <v>114</v>
      </c>
      <c r="C125" s="3529"/>
      <c r="D125" s="3529"/>
      <c r="E125" s="3529"/>
      <c r="F125" s="3530"/>
      <c r="G125" s="3561"/>
      <c r="H125" s="3562"/>
      <c r="I125" s="3532"/>
      <c r="J125" s="3533"/>
      <c r="K125" s="3534"/>
      <c r="L125" s="3535"/>
      <c r="M125" s="3536"/>
      <c r="N125" s="3535"/>
      <c r="O125" s="3535"/>
      <c r="P125" s="3535"/>
      <c r="Q125" s="3535"/>
      <c r="R125" s="3535"/>
      <c r="S125" s="3535"/>
      <c r="T125" s="3535"/>
      <c r="U125" s="3535"/>
      <c r="V125" s="3535"/>
      <c r="W125" s="3535"/>
      <c r="X125" s="3535"/>
      <c r="Y125" s="3535"/>
      <c r="Z125" s="3535"/>
      <c r="AA125" s="3568"/>
      <c r="AB125" s="3536"/>
      <c r="AC125" s="3535"/>
      <c r="AD125" s="3571"/>
      <c r="AE125" s="3573"/>
      <c r="AF125" s="3574"/>
      <c r="AG125" s="3576"/>
      <c r="AH125" s="3535"/>
      <c r="AI125" s="3535"/>
      <c r="AJ125" s="3574"/>
      <c r="AK125" s="3535"/>
      <c r="AL125" s="3579"/>
      <c r="AM125" s="3581"/>
      <c r="AN125" s="3581">
        <f>IF(ExpComps_LenderTable[[#This Row], [R&amp;M]]+ExpComps_LenderTable[[#This Row], [Payroll]]&gt;0,ExpComps_LenderTable[[#This Row], [R&amp;M]]+ExpComps_LenderTable[[#This Row], [Payroll]],"")</f>
      </c>
      <c r="AO12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5" s="6"/>
      <c r="AQ125" s="6"/>
      <c r="AR125" s="6"/>
    </row>
    <row r="126" ht="13.5" customHeight="1" hidden="1">
      <c r="B126" s="3560">
        <v>115</v>
      </c>
      <c r="C126" s="3529"/>
      <c r="D126" s="3529"/>
      <c r="E126" s="3529"/>
      <c r="F126" s="3530"/>
      <c r="G126" s="3561"/>
      <c r="H126" s="3562"/>
      <c r="I126" s="3532"/>
      <c r="J126" s="3533"/>
      <c r="K126" s="3534"/>
      <c r="L126" s="3535"/>
      <c r="M126" s="3536"/>
      <c r="N126" s="3535"/>
      <c r="O126" s="3535"/>
      <c r="P126" s="3535"/>
      <c r="Q126" s="3535"/>
      <c r="R126" s="3535"/>
      <c r="S126" s="3535"/>
      <c r="T126" s="3535"/>
      <c r="U126" s="3535"/>
      <c r="V126" s="3535"/>
      <c r="W126" s="3535"/>
      <c r="X126" s="3535"/>
      <c r="Y126" s="3535"/>
      <c r="Z126" s="3535"/>
      <c r="AA126" s="3568"/>
      <c r="AB126" s="3536"/>
      <c r="AC126" s="3535"/>
      <c r="AD126" s="3571"/>
      <c r="AE126" s="3573"/>
      <c r="AF126" s="3574"/>
      <c r="AG126" s="3576"/>
      <c r="AH126" s="3535"/>
      <c r="AI126" s="3535"/>
      <c r="AJ126" s="3574"/>
      <c r="AK126" s="3535"/>
      <c r="AL126" s="3579"/>
      <c r="AM126" s="3581"/>
      <c r="AN126" s="3581">
        <f>IF(ExpComps_LenderTable[[#This Row], [R&amp;M]]+ExpComps_LenderTable[[#This Row], [Payroll]]&gt;0,ExpComps_LenderTable[[#This Row], [R&amp;M]]+ExpComps_LenderTable[[#This Row], [Payroll]],"")</f>
      </c>
      <c r="AO12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6" s="6"/>
      <c r="AQ126" s="6"/>
      <c r="AR126" s="6"/>
    </row>
    <row r="127" ht="13.5" customHeight="1" hidden="1">
      <c r="B127" s="3560">
        <v>116</v>
      </c>
      <c r="C127" s="3529"/>
      <c r="D127" s="3529"/>
      <c r="E127" s="3529"/>
      <c r="F127" s="3530"/>
      <c r="G127" s="3561"/>
      <c r="H127" s="3562"/>
      <c r="I127" s="3532"/>
      <c r="J127" s="3533"/>
      <c r="K127" s="3534"/>
      <c r="L127" s="3535"/>
      <c r="M127" s="3536"/>
      <c r="N127" s="3535"/>
      <c r="O127" s="3535"/>
      <c r="P127" s="3535"/>
      <c r="Q127" s="3535"/>
      <c r="R127" s="3535"/>
      <c r="S127" s="3535"/>
      <c r="T127" s="3535"/>
      <c r="U127" s="3535"/>
      <c r="V127" s="3535"/>
      <c r="W127" s="3535"/>
      <c r="X127" s="3535"/>
      <c r="Y127" s="3535"/>
      <c r="Z127" s="3535"/>
      <c r="AA127" s="3568"/>
      <c r="AB127" s="3536"/>
      <c r="AC127" s="3535"/>
      <c r="AD127" s="3571"/>
      <c r="AE127" s="3573"/>
      <c r="AF127" s="3574"/>
      <c r="AG127" s="3576"/>
      <c r="AH127" s="3535"/>
      <c r="AI127" s="3535"/>
      <c r="AJ127" s="3574"/>
      <c r="AK127" s="3535"/>
      <c r="AL127" s="3579"/>
      <c r="AM127" s="3581"/>
      <c r="AN127" s="3581">
        <f>IF(ExpComps_LenderTable[[#This Row], [R&amp;M]]+ExpComps_LenderTable[[#This Row], [Payroll]]&gt;0,ExpComps_LenderTable[[#This Row], [R&amp;M]]+ExpComps_LenderTable[[#This Row], [Payroll]],"")</f>
      </c>
      <c r="AO12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7" s="6"/>
      <c r="AQ127" s="6"/>
      <c r="AR127" s="6"/>
    </row>
    <row r="128" ht="13.5" customHeight="1" hidden="1">
      <c r="B128" s="3560">
        <v>117</v>
      </c>
      <c r="C128" s="3529"/>
      <c r="D128" s="3529"/>
      <c r="E128" s="3529"/>
      <c r="F128" s="3530"/>
      <c r="G128" s="3561"/>
      <c r="H128" s="3562"/>
      <c r="I128" s="3532"/>
      <c r="J128" s="3533"/>
      <c r="K128" s="3534"/>
      <c r="L128" s="3535"/>
      <c r="M128" s="3536"/>
      <c r="N128" s="3535"/>
      <c r="O128" s="3535"/>
      <c r="P128" s="3535"/>
      <c r="Q128" s="3535"/>
      <c r="R128" s="3535"/>
      <c r="S128" s="3535"/>
      <c r="T128" s="3535"/>
      <c r="U128" s="3535"/>
      <c r="V128" s="3535"/>
      <c r="W128" s="3535"/>
      <c r="X128" s="3535"/>
      <c r="Y128" s="3535"/>
      <c r="Z128" s="3535"/>
      <c r="AA128" s="3568"/>
      <c r="AB128" s="3536"/>
      <c r="AC128" s="3535"/>
      <c r="AD128" s="3571"/>
      <c r="AE128" s="3573"/>
      <c r="AF128" s="3574"/>
      <c r="AG128" s="3576"/>
      <c r="AH128" s="3535"/>
      <c r="AI128" s="3535"/>
      <c r="AJ128" s="3574"/>
      <c r="AK128" s="3535"/>
      <c r="AL128" s="3579"/>
      <c r="AM128" s="3581"/>
      <c r="AN128" s="3581">
        <f>IF(ExpComps_LenderTable[[#This Row], [R&amp;M]]+ExpComps_LenderTable[[#This Row], [Payroll]]&gt;0,ExpComps_LenderTable[[#This Row], [R&amp;M]]+ExpComps_LenderTable[[#This Row], [Payroll]],"")</f>
      </c>
      <c r="AO12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8" s="6"/>
      <c r="AQ128" s="6"/>
      <c r="AR128" s="6"/>
    </row>
    <row r="129" ht="13.5" customHeight="1" hidden="1">
      <c r="B129" s="3560">
        <v>118</v>
      </c>
      <c r="C129" s="3529"/>
      <c r="D129" s="3529"/>
      <c r="E129" s="3529"/>
      <c r="F129" s="3530"/>
      <c r="G129" s="3561"/>
      <c r="H129" s="3562"/>
      <c r="I129" s="3532"/>
      <c r="J129" s="3533"/>
      <c r="K129" s="3534"/>
      <c r="L129" s="3535"/>
      <c r="M129" s="3536"/>
      <c r="N129" s="3535"/>
      <c r="O129" s="3535"/>
      <c r="P129" s="3535"/>
      <c r="Q129" s="3535"/>
      <c r="R129" s="3535"/>
      <c r="S129" s="3535"/>
      <c r="T129" s="3535"/>
      <c r="U129" s="3535"/>
      <c r="V129" s="3535"/>
      <c r="W129" s="3535"/>
      <c r="X129" s="3535"/>
      <c r="Y129" s="3535"/>
      <c r="Z129" s="3535"/>
      <c r="AA129" s="3568"/>
      <c r="AB129" s="3536"/>
      <c r="AC129" s="3535"/>
      <c r="AD129" s="3571"/>
      <c r="AE129" s="3573"/>
      <c r="AF129" s="3574"/>
      <c r="AG129" s="3576"/>
      <c r="AH129" s="3535"/>
      <c r="AI129" s="3535"/>
      <c r="AJ129" s="3574"/>
      <c r="AK129" s="3535"/>
      <c r="AL129" s="3579"/>
      <c r="AM129" s="3581"/>
      <c r="AN129" s="3581">
        <f>IF(ExpComps_LenderTable[[#This Row], [R&amp;M]]+ExpComps_LenderTable[[#This Row], [Payroll]]&gt;0,ExpComps_LenderTable[[#This Row], [R&amp;M]]+ExpComps_LenderTable[[#This Row], [Payroll]],"")</f>
      </c>
      <c r="AO12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29" s="6"/>
      <c r="AQ129" s="6"/>
      <c r="AR129" s="6"/>
    </row>
    <row r="130" ht="13.5" customHeight="1" hidden="1">
      <c r="B130" s="3560">
        <v>119</v>
      </c>
      <c r="C130" s="3529"/>
      <c r="D130" s="3529"/>
      <c r="E130" s="3529"/>
      <c r="F130" s="3530"/>
      <c r="G130" s="3561"/>
      <c r="H130" s="3562"/>
      <c r="I130" s="3532"/>
      <c r="J130" s="3533"/>
      <c r="K130" s="3534"/>
      <c r="L130" s="3535"/>
      <c r="M130" s="3536"/>
      <c r="N130" s="3535"/>
      <c r="O130" s="3535"/>
      <c r="P130" s="3535"/>
      <c r="Q130" s="3535"/>
      <c r="R130" s="3535"/>
      <c r="S130" s="3535"/>
      <c r="T130" s="3535"/>
      <c r="U130" s="3535"/>
      <c r="V130" s="3535"/>
      <c r="W130" s="3535"/>
      <c r="X130" s="3535"/>
      <c r="Y130" s="3535"/>
      <c r="Z130" s="3535"/>
      <c r="AA130" s="3568"/>
      <c r="AB130" s="3536"/>
      <c r="AC130" s="3535"/>
      <c r="AD130" s="3571"/>
      <c r="AE130" s="3573"/>
      <c r="AF130" s="3574"/>
      <c r="AG130" s="3576"/>
      <c r="AH130" s="3535"/>
      <c r="AI130" s="3535"/>
      <c r="AJ130" s="3574"/>
      <c r="AK130" s="3535"/>
      <c r="AL130" s="3579"/>
      <c r="AM130" s="3581"/>
      <c r="AN130" s="3581">
        <f>IF(ExpComps_LenderTable[[#This Row], [R&amp;M]]+ExpComps_LenderTable[[#This Row], [Payroll]]&gt;0,ExpComps_LenderTable[[#This Row], [R&amp;M]]+ExpComps_LenderTable[[#This Row], [Payroll]],"")</f>
      </c>
      <c r="AO13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0" s="6"/>
      <c r="AQ130" s="6"/>
      <c r="AR130" s="6"/>
    </row>
    <row r="131" ht="13.5" customHeight="1" hidden="1">
      <c r="B131" s="3560">
        <v>120</v>
      </c>
      <c r="C131" s="3529"/>
      <c r="D131" s="3529"/>
      <c r="E131" s="3529"/>
      <c r="F131" s="3530"/>
      <c r="G131" s="3561"/>
      <c r="H131" s="3562"/>
      <c r="I131" s="3532"/>
      <c r="J131" s="3533"/>
      <c r="K131" s="3534"/>
      <c r="L131" s="3535"/>
      <c r="M131" s="3536"/>
      <c r="N131" s="3535"/>
      <c r="O131" s="3535"/>
      <c r="P131" s="3535"/>
      <c r="Q131" s="3535"/>
      <c r="R131" s="3535"/>
      <c r="S131" s="3535"/>
      <c r="T131" s="3535"/>
      <c r="U131" s="3535"/>
      <c r="V131" s="3535"/>
      <c r="W131" s="3535"/>
      <c r="X131" s="3535"/>
      <c r="Y131" s="3535"/>
      <c r="Z131" s="3535"/>
      <c r="AA131" s="3568"/>
      <c r="AB131" s="3536"/>
      <c r="AC131" s="3535"/>
      <c r="AD131" s="3571"/>
      <c r="AE131" s="3573"/>
      <c r="AF131" s="3574"/>
      <c r="AG131" s="3576"/>
      <c r="AH131" s="3535"/>
      <c r="AI131" s="3535"/>
      <c r="AJ131" s="3574"/>
      <c r="AK131" s="3535"/>
      <c r="AL131" s="3579"/>
      <c r="AM131" s="3581"/>
      <c r="AN131" s="3581">
        <f>IF(ExpComps_LenderTable[[#This Row], [R&amp;M]]+ExpComps_LenderTable[[#This Row], [Payroll]]&gt;0,ExpComps_LenderTable[[#This Row], [R&amp;M]]+ExpComps_LenderTable[[#This Row], [Payroll]],"")</f>
      </c>
      <c r="AO13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1" s="6"/>
      <c r="AQ131" s="6"/>
      <c r="AR131" s="6"/>
    </row>
    <row r="132" ht="13.5" customHeight="1" hidden="1">
      <c r="B132" s="3560">
        <v>121</v>
      </c>
      <c r="C132" s="3529"/>
      <c r="D132" s="3529"/>
      <c r="E132" s="3529"/>
      <c r="F132" s="3530"/>
      <c r="G132" s="3561"/>
      <c r="H132" s="3562"/>
      <c r="I132" s="3532"/>
      <c r="J132" s="3533"/>
      <c r="K132" s="3534"/>
      <c r="L132" s="3535"/>
      <c r="M132" s="3536"/>
      <c r="N132" s="3535"/>
      <c r="O132" s="3535"/>
      <c r="P132" s="3535"/>
      <c r="Q132" s="3535"/>
      <c r="R132" s="3535"/>
      <c r="S132" s="3535"/>
      <c r="T132" s="3535"/>
      <c r="U132" s="3535"/>
      <c r="V132" s="3535"/>
      <c r="W132" s="3535"/>
      <c r="X132" s="3535"/>
      <c r="Y132" s="3535"/>
      <c r="Z132" s="3535"/>
      <c r="AA132" s="3568"/>
      <c r="AB132" s="3536"/>
      <c r="AC132" s="3535"/>
      <c r="AD132" s="3571"/>
      <c r="AE132" s="3573"/>
      <c r="AF132" s="3574"/>
      <c r="AG132" s="3576"/>
      <c r="AH132" s="3535"/>
      <c r="AI132" s="3535"/>
      <c r="AJ132" s="3574"/>
      <c r="AK132" s="3535"/>
      <c r="AL132" s="3579"/>
      <c r="AM132" s="3581"/>
      <c r="AN132" s="3581">
        <f>IF(ExpComps_LenderTable[[#This Row], [R&amp;M]]+ExpComps_LenderTable[[#This Row], [Payroll]]&gt;0,ExpComps_LenderTable[[#This Row], [R&amp;M]]+ExpComps_LenderTable[[#This Row], [Payroll]],"")</f>
      </c>
      <c r="AO13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2" s="6"/>
      <c r="AQ132" s="6"/>
      <c r="AR132" s="6"/>
    </row>
    <row r="133" ht="13.5" customHeight="1" hidden="1">
      <c r="B133" s="3560">
        <v>122</v>
      </c>
      <c r="C133" s="3529"/>
      <c r="D133" s="3529"/>
      <c r="E133" s="3529"/>
      <c r="F133" s="3530"/>
      <c r="G133" s="3561"/>
      <c r="H133" s="3562"/>
      <c r="I133" s="3532"/>
      <c r="J133" s="3533"/>
      <c r="K133" s="3534"/>
      <c r="L133" s="3535"/>
      <c r="M133" s="3536"/>
      <c r="N133" s="3535"/>
      <c r="O133" s="3535"/>
      <c r="P133" s="3535"/>
      <c r="Q133" s="3535"/>
      <c r="R133" s="3535"/>
      <c r="S133" s="3535"/>
      <c r="T133" s="3535"/>
      <c r="U133" s="3535"/>
      <c r="V133" s="3535"/>
      <c r="W133" s="3535"/>
      <c r="X133" s="3535"/>
      <c r="Y133" s="3535"/>
      <c r="Z133" s="3535"/>
      <c r="AA133" s="3568"/>
      <c r="AB133" s="3536"/>
      <c r="AC133" s="3535"/>
      <c r="AD133" s="3571"/>
      <c r="AE133" s="3573"/>
      <c r="AF133" s="3574"/>
      <c r="AG133" s="3576"/>
      <c r="AH133" s="3535"/>
      <c r="AI133" s="3535"/>
      <c r="AJ133" s="3574"/>
      <c r="AK133" s="3535"/>
      <c r="AL133" s="3579"/>
      <c r="AM133" s="3581"/>
      <c r="AN133" s="3581">
        <f>IF(ExpComps_LenderTable[[#This Row], [R&amp;M]]+ExpComps_LenderTable[[#This Row], [Payroll]]&gt;0,ExpComps_LenderTable[[#This Row], [R&amp;M]]+ExpComps_LenderTable[[#This Row], [Payroll]],"")</f>
      </c>
      <c r="AO13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3" s="6"/>
      <c r="AQ133" s="6"/>
      <c r="AR133" s="6"/>
    </row>
    <row r="134" ht="13.5" customHeight="1" hidden="1">
      <c r="B134" s="3560">
        <v>123</v>
      </c>
      <c r="C134" s="3529"/>
      <c r="D134" s="3529"/>
      <c r="E134" s="3529"/>
      <c r="F134" s="3530"/>
      <c r="G134" s="3561"/>
      <c r="H134" s="3562"/>
      <c r="I134" s="3532"/>
      <c r="J134" s="3533"/>
      <c r="K134" s="3534"/>
      <c r="L134" s="3535"/>
      <c r="M134" s="3536"/>
      <c r="N134" s="3535"/>
      <c r="O134" s="3535"/>
      <c r="P134" s="3535"/>
      <c r="Q134" s="3535"/>
      <c r="R134" s="3535"/>
      <c r="S134" s="3535"/>
      <c r="T134" s="3535"/>
      <c r="U134" s="3535"/>
      <c r="V134" s="3535"/>
      <c r="W134" s="3535"/>
      <c r="X134" s="3535"/>
      <c r="Y134" s="3535"/>
      <c r="Z134" s="3535"/>
      <c r="AA134" s="3568"/>
      <c r="AB134" s="3536"/>
      <c r="AC134" s="3535"/>
      <c r="AD134" s="3571"/>
      <c r="AE134" s="3573"/>
      <c r="AF134" s="3574"/>
      <c r="AG134" s="3576"/>
      <c r="AH134" s="3535"/>
      <c r="AI134" s="3535"/>
      <c r="AJ134" s="3574"/>
      <c r="AK134" s="3535"/>
      <c r="AL134" s="3579"/>
      <c r="AM134" s="3581"/>
      <c r="AN134" s="3581">
        <f>IF(ExpComps_LenderTable[[#This Row], [R&amp;M]]+ExpComps_LenderTable[[#This Row], [Payroll]]&gt;0,ExpComps_LenderTable[[#This Row], [R&amp;M]]+ExpComps_LenderTable[[#This Row], [Payroll]],"")</f>
      </c>
      <c r="AO13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4" s="6"/>
      <c r="AQ134" s="6"/>
      <c r="AR134" s="6"/>
    </row>
    <row r="135" ht="13.5" customHeight="1" hidden="1">
      <c r="B135" s="3560">
        <v>124</v>
      </c>
      <c r="C135" s="3529"/>
      <c r="D135" s="3529"/>
      <c r="E135" s="3529"/>
      <c r="F135" s="3530"/>
      <c r="G135" s="3561"/>
      <c r="H135" s="3562"/>
      <c r="I135" s="3532"/>
      <c r="J135" s="3533"/>
      <c r="K135" s="3534"/>
      <c r="L135" s="3535"/>
      <c r="M135" s="3536"/>
      <c r="N135" s="3535"/>
      <c r="O135" s="3535"/>
      <c r="P135" s="3535"/>
      <c r="Q135" s="3535"/>
      <c r="R135" s="3535"/>
      <c r="S135" s="3535"/>
      <c r="T135" s="3535"/>
      <c r="U135" s="3535"/>
      <c r="V135" s="3535"/>
      <c r="W135" s="3535"/>
      <c r="X135" s="3535"/>
      <c r="Y135" s="3535"/>
      <c r="Z135" s="3535"/>
      <c r="AA135" s="3568"/>
      <c r="AB135" s="3536"/>
      <c r="AC135" s="3535"/>
      <c r="AD135" s="3571"/>
      <c r="AE135" s="3573"/>
      <c r="AF135" s="3574"/>
      <c r="AG135" s="3576"/>
      <c r="AH135" s="3535"/>
      <c r="AI135" s="3535"/>
      <c r="AJ135" s="3574"/>
      <c r="AK135" s="3535"/>
      <c r="AL135" s="3579"/>
      <c r="AM135" s="3581"/>
      <c r="AN135" s="3581">
        <f>IF(ExpComps_LenderTable[[#This Row], [R&amp;M]]+ExpComps_LenderTable[[#This Row], [Payroll]]&gt;0,ExpComps_LenderTable[[#This Row], [R&amp;M]]+ExpComps_LenderTable[[#This Row], [Payroll]],"")</f>
      </c>
      <c r="AO13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5" s="6"/>
      <c r="AQ135" s="6"/>
      <c r="AR135" s="6"/>
    </row>
    <row r="136" ht="13.5" customHeight="1" hidden="1">
      <c r="B136" s="3560">
        <v>125</v>
      </c>
      <c r="C136" s="3529"/>
      <c r="D136" s="3529"/>
      <c r="E136" s="3529"/>
      <c r="F136" s="3530"/>
      <c r="G136" s="3561"/>
      <c r="H136" s="3562"/>
      <c r="I136" s="3532"/>
      <c r="J136" s="3533"/>
      <c r="K136" s="3534"/>
      <c r="L136" s="3535"/>
      <c r="M136" s="3536"/>
      <c r="N136" s="3535"/>
      <c r="O136" s="3535"/>
      <c r="P136" s="3535"/>
      <c r="Q136" s="3535"/>
      <c r="R136" s="3535"/>
      <c r="S136" s="3535"/>
      <c r="T136" s="3535"/>
      <c r="U136" s="3535"/>
      <c r="V136" s="3535"/>
      <c r="W136" s="3535"/>
      <c r="X136" s="3535"/>
      <c r="Y136" s="3535"/>
      <c r="Z136" s="3535"/>
      <c r="AA136" s="3568"/>
      <c r="AB136" s="3536"/>
      <c r="AC136" s="3535"/>
      <c r="AD136" s="3571"/>
      <c r="AE136" s="3573"/>
      <c r="AF136" s="3574"/>
      <c r="AG136" s="3576"/>
      <c r="AH136" s="3535"/>
      <c r="AI136" s="3535"/>
      <c r="AJ136" s="3574"/>
      <c r="AK136" s="3535"/>
      <c r="AL136" s="3579"/>
      <c r="AM136" s="3581"/>
      <c r="AN136" s="3581">
        <f>IF(ExpComps_LenderTable[[#This Row], [R&amp;M]]+ExpComps_LenderTable[[#This Row], [Payroll]]&gt;0,ExpComps_LenderTable[[#This Row], [R&amp;M]]+ExpComps_LenderTable[[#This Row], [Payroll]],"")</f>
      </c>
      <c r="AO13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6" s="6"/>
      <c r="AQ136" s="6"/>
      <c r="AR136" s="6"/>
    </row>
    <row r="137" ht="13.5" customHeight="1" hidden="1">
      <c r="B137" s="3560">
        <v>126</v>
      </c>
      <c r="C137" s="3529"/>
      <c r="D137" s="3529"/>
      <c r="E137" s="3529"/>
      <c r="F137" s="3530"/>
      <c r="G137" s="3561"/>
      <c r="H137" s="3562"/>
      <c r="I137" s="3532"/>
      <c r="J137" s="3533"/>
      <c r="K137" s="3534"/>
      <c r="L137" s="3535"/>
      <c r="M137" s="3536"/>
      <c r="N137" s="3535"/>
      <c r="O137" s="3535"/>
      <c r="P137" s="3535"/>
      <c r="Q137" s="3535"/>
      <c r="R137" s="3535"/>
      <c r="S137" s="3535"/>
      <c r="T137" s="3535"/>
      <c r="U137" s="3535"/>
      <c r="V137" s="3535"/>
      <c r="W137" s="3535"/>
      <c r="X137" s="3535"/>
      <c r="Y137" s="3535"/>
      <c r="Z137" s="3535"/>
      <c r="AA137" s="3568"/>
      <c r="AB137" s="3536"/>
      <c r="AC137" s="3535"/>
      <c r="AD137" s="3571"/>
      <c r="AE137" s="3573"/>
      <c r="AF137" s="3574"/>
      <c r="AG137" s="3576"/>
      <c r="AH137" s="3535"/>
      <c r="AI137" s="3535"/>
      <c r="AJ137" s="3574"/>
      <c r="AK137" s="3535"/>
      <c r="AL137" s="3579"/>
      <c r="AM137" s="3581"/>
      <c r="AN137" s="3581">
        <f>IF(ExpComps_LenderTable[[#This Row], [R&amp;M]]+ExpComps_LenderTable[[#This Row], [Payroll]]&gt;0,ExpComps_LenderTable[[#This Row], [R&amp;M]]+ExpComps_LenderTable[[#This Row], [Payroll]],"")</f>
      </c>
      <c r="AO13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7" s="6"/>
      <c r="AQ137" s="6"/>
      <c r="AR137" s="6"/>
    </row>
    <row r="138" ht="13.5" customHeight="1" hidden="1">
      <c r="B138" s="3560">
        <v>127</v>
      </c>
      <c r="C138" s="3529"/>
      <c r="D138" s="3529"/>
      <c r="E138" s="3529"/>
      <c r="F138" s="3530"/>
      <c r="G138" s="3561"/>
      <c r="H138" s="3562"/>
      <c r="I138" s="3532"/>
      <c r="J138" s="3533"/>
      <c r="K138" s="3534"/>
      <c r="L138" s="3535"/>
      <c r="M138" s="3536"/>
      <c r="N138" s="3535"/>
      <c r="O138" s="3535"/>
      <c r="P138" s="3535"/>
      <c r="Q138" s="3535"/>
      <c r="R138" s="3535"/>
      <c r="S138" s="3535"/>
      <c r="T138" s="3535"/>
      <c r="U138" s="3535"/>
      <c r="V138" s="3535"/>
      <c r="W138" s="3535"/>
      <c r="X138" s="3535"/>
      <c r="Y138" s="3535"/>
      <c r="Z138" s="3535"/>
      <c r="AA138" s="3568"/>
      <c r="AB138" s="3536"/>
      <c r="AC138" s="3535"/>
      <c r="AD138" s="3571"/>
      <c r="AE138" s="3573"/>
      <c r="AF138" s="3574"/>
      <c r="AG138" s="3576"/>
      <c r="AH138" s="3535"/>
      <c r="AI138" s="3535"/>
      <c r="AJ138" s="3574"/>
      <c r="AK138" s="3535"/>
      <c r="AL138" s="3579"/>
      <c r="AM138" s="3581"/>
      <c r="AN138" s="3581">
        <f>IF(ExpComps_LenderTable[[#This Row], [R&amp;M]]+ExpComps_LenderTable[[#This Row], [Payroll]]&gt;0,ExpComps_LenderTable[[#This Row], [R&amp;M]]+ExpComps_LenderTable[[#This Row], [Payroll]],"")</f>
      </c>
      <c r="AO13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8" s="6"/>
      <c r="AQ138" s="6"/>
      <c r="AR138" s="6"/>
    </row>
    <row r="139" ht="13.5" customHeight="1" hidden="1">
      <c r="B139" s="3560">
        <v>128</v>
      </c>
      <c r="C139" s="3529"/>
      <c r="D139" s="3529"/>
      <c r="E139" s="3529"/>
      <c r="F139" s="3530"/>
      <c r="G139" s="3561"/>
      <c r="H139" s="3562"/>
      <c r="I139" s="3532"/>
      <c r="J139" s="3533"/>
      <c r="K139" s="3534"/>
      <c r="L139" s="3535"/>
      <c r="M139" s="3536"/>
      <c r="N139" s="3535"/>
      <c r="O139" s="3535"/>
      <c r="P139" s="3535"/>
      <c r="Q139" s="3535"/>
      <c r="R139" s="3535"/>
      <c r="S139" s="3535"/>
      <c r="T139" s="3535"/>
      <c r="U139" s="3535"/>
      <c r="V139" s="3535"/>
      <c r="W139" s="3535"/>
      <c r="X139" s="3535"/>
      <c r="Y139" s="3535"/>
      <c r="Z139" s="3535"/>
      <c r="AA139" s="3568"/>
      <c r="AB139" s="3536"/>
      <c r="AC139" s="3535"/>
      <c r="AD139" s="3571"/>
      <c r="AE139" s="3573"/>
      <c r="AF139" s="3574"/>
      <c r="AG139" s="3576"/>
      <c r="AH139" s="3535"/>
      <c r="AI139" s="3535"/>
      <c r="AJ139" s="3574"/>
      <c r="AK139" s="3535"/>
      <c r="AL139" s="3579"/>
      <c r="AM139" s="3581"/>
      <c r="AN139" s="3581">
        <f>IF(ExpComps_LenderTable[[#This Row], [R&amp;M]]+ExpComps_LenderTable[[#This Row], [Payroll]]&gt;0,ExpComps_LenderTable[[#This Row], [R&amp;M]]+ExpComps_LenderTable[[#This Row], [Payroll]],"")</f>
      </c>
      <c r="AO13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39" s="6"/>
      <c r="AQ139" s="6"/>
      <c r="AR139" s="6"/>
    </row>
    <row r="140" ht="13.5" customHeight="1" hidden="1">
      <c r="B140" s="3560">
        <v>129</v>
      </c>
      <c r="C140" s="3529"/>
      <c r="D140" s="3529"/>
      <c r="E140" s="3529"/>
      <c r="F140" s="3530"/>
      <c r="G140" s="3561"/>
      <c r="H140" s="3562"/>
      <c r="I140" s="3532"/>
      <c r="J140" s="3533"/>
      <c r="K140" s="3534"/>
      <c r="L140" s="3535"/>
      <c r="M140" s="3536"/>
      <c r="N140" s="3535"/>
      <c r="O140" s="3535"/>
      <c r="P140" s="3535"/>
      <c r="Q140" s="3535"/>
      <c r="R140" s="3535"/>
      <c r="S140" s="3535"/>
      <c r="T140" s="3535"/>
      <c r="U140" s="3535"/>
      <c r="V140" s="3535"/>
      <c r="W140" s="3535"/>
      <c r="X140" s="3535"/>
      <c r="Y140" s="3535"/>
      <c r="Z140" s="3535"/>
      <c r="AA140" s="3568"/>
      <c r="AB140" s="3536"/>
      <c r="AC140" s="3535"/>
      <c r="AD140" s="3571"/>
      <c r="AE140" s="3573"/>
      <c r="AF140" s="3574"/>
      <c r="AG140" s="3576"/>
      <c r="AH140" s="3535"/>
      <c r="AI140" s="3535"/>
      <c r="AJ140" s="3574"/>
      <c r="AK140" s="3535"/>
      <c r="AL140" s="3579"/>
      <c r="AM140" s="3581"/>
      <c r="AN140" s="3581">
        <f>IF(ExpComps_LenderTable[[#This Row], [R&amp;M]]+ExpComps_LenderTable[[#This Row], [Payroll]]&gt;0,ExpComps_LenderTable[[#This Row], [R&amp;M]]+ExpComps_LenderTable[[#This Row], [Payroll]],"")</f>
      </c>
      <c r="AO14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0" s="6"/>
      <c r="AQ140" s="6"/>
      <c r="AR140" s="6"/>
    </row>
    <row r="141" ht="13.5" customHeight="1" hidden="1">
      <c r="B141" s="3560">
        <v>130</v>
      </c>
      <c r="C141" s="3529"/>
      <c r="D141" s="3529"/>
      <c r="E141" s="3529"/>
      <c r="F141" s="3530"/>
      <c r="G141" s="3561"/>
      <c r="H141" s="3562"/>
      <c r="I141" s="3532"/>
      <c r="J141" s="3533"/>
      <c r="K141" s="3534"/>
      <c r="L141" s="3535"/>
      <c r="M141" s="3536"/>
      <c r="N141" s="3535"/>
      <c r="O141" s="3535"/>
      <c r="P141" s="3535"/>
      <c r="Q141" s="3535"/>
      <c r="R141" s="3535"/>
      <c r="S141" s="3535"/>
      <c r="T141" s="3535"/>
      <c r="U141" s="3535"/>
      <c r="V141" s="3535"/>
      <c r="W141" s="3535"/>
      <c r="X141" s="3535"/>
      <c r="Y141" s="3535"/>
      <c r="Z141" s="3535"/>
      <c r="AA141" s="3568"/>
      <c r="AB141" s="3536"/>
      <c r="AC141" s="3535"/>
      <c r="AD141" s="3571"/>
      <c r="AE141" s="3573"/>
      <c r="AF141" s="3574"/>
      <c r="AG141" s="3576"/>
      <c r="AH141" s="3535"/>
      <c r="AI141" s="3535"/>
      <c r="AJ141" s="3574"/>
      <c r="AK141" s="3535"/>
      <c r="AL141" s="3579"/>
      <c r="AM141" s="3581"/>
      <c r="AN141" s="3581">
        <f>IF(ExpComps_LenderTable[[#This Row], [R&amp;M]]+ExpComps_LenderTable[[#This Row], [Payroll]]&gt;0,ExpComps_LenderTable[[#This Row], [R&amp;M]]+ExpComps_LenderTable[[#This Row], [Payroll]],"")</f>
      </c>
      <c r="AO14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1" s="6"/>
      <c r="AQ141" s="6"/>
      <c r="AR141" s="6"/>
    </row>
    <row r="142" ht="13.5" customHeight="1" hidden="1">
      <c r="B142" s="3560">
        <v>131</v>
      </c>
      <c r="C142" s="3529"/>
      <c r="D142" s="3529"/>
      <c r="E142" s="3529"/>
      <c r="F142" s="3530"/>
      <c r="G142" s="3561"/>
      <c r="H142" s="3562"/>
      <c r="I142" s="3532"/>
      <c r="J142" s="3533"/>
      <c r="K142" s="3534"/>
      <c r="L142" s="3535"/>
      <c r="M142" s="3536"/>
      <c r="N142" s="3535"/>
      <c r="O142" s="3535"/>
      <c r="P142" s="3535"/>
      <c r="Q142" s="3535"/>
      <c r="R142" s="3535"/>
      <c r="S142" s="3535"/>
      <c r="T142" s="3535"/>
      <c r="U142" s="3535"/>
      <c r="V142" s="3535"/>
      <c r="W142" s="3535"/>
      <c r="X142" s="3535"/>
      <c r="Y142" s="3535"/>
      <c r="Z142" s="3535"/>
      <c r="AA142" s="3568"/>
      <c r="AB142" s="3536"/>
      <c r="AC142" s="3535"/>
      <c r="AD142" s="3571"/>
      <c r="AE142" s="3573"/>
      <c r="AF142" s="3574"/>
      <c r="AG142" s="3576"/>
      <c r="AH142" s="3535"/>
      <c r="AI142" s="3535"/>
      <c r="AJ142" s="3574"/>
      <c r="AK142" s="3535"/>
      <c r="AL142" s="3579"/>
      <c r="AM142" s="3581"/>
      <c r="AN142" s="3581">
        <f>IF(ExpComps_LenderTable[[#This Row], [R&amp;M]]+ExpComps_LenderTable[[#This Row], [Payroll]]&gt;0,ExpComps_LenderTable[[#This Row], [R&amp;M]]+ExpComps_LenderTable[[#This Row], [Payroll]],"")</f>
      </c>
      <c r="AO14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2" s="6"/>
      <c r="AQ142" s="6"/>
      <c r="AR142" s="6"/>
    </row>
    <row r="143" ht="13.5" customHeight="1" hidden="1">
      <c r="B143" s="3560">
        <v>132</v>
      </c>
      <c r="C143" s="3529"/>
      <c r="D143" s="3529"/>
      <c r="E143" s="3529"/>
      <c r="F143" s="3530"/>
      <c r="G143" s="3561"/>
      <c r="H143" s="3562"/>
      <c r="I143" s="3532"/>
      <c r="J143" s="3533"/>
      <c r="K143" s="3534"/>
      <c r="L143" s="3535"/>
      <c r="M143" s="3536"/>
      <c r="N143" s="3535"/>
      <c r="O143" s="3535"/>
      <c r="P143" s="3535"/>
      <c r="Q143" s="3535"/>
      <c r="R143" s="3535"/>
      <c r="S143" s="3535"/>
      <c r="T143" s="3535"/>
      <c r="U143" s="3535"/>
      <c r="V143" s="3535"/>
      <c r="W143" s="3535"/>
      <c r="X143" s="3535"/>
      <c r="Y143" s="3535"/>
      <c r="Z143" s="3535"/>
      <c r="AA143" s="3568"/>
      <c r="AB143" s="3536"/>
      <c r="AC143" s="3535"/>
      <c r="AD143" s="3571"/>
      <c r="AE143" s="3573"/>
      <c r="AF143" s="3574"/>
      <c r="AG143" s="3576"/>
      <c r="AH143" s="3535"/>
      <c r="AI143" s="3535"/>
      <c r="AJ143" s="3574"/>
      <c r="AK143" s="3535"/>
      <c r="AL143" s="3579"/>
      <c r="AM143" s="3581"/>
      <c r="AN143" s="3581">
        <f>IF(ExpComps_LenderTable[[#This Row], [R&amp;M]]+ExpComps_LenderTable[[#This Row], [Payroll]]&gt;0,ExpComps_LenderTable[[#This Row], [R&amp;M]]+ExpComps_LenderTable[[#This Row], [Payroll]],"")</f>
      </c>
      <c r="AO14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3" s="6"/>
      <c r="AQ143" s="6"/>
      <c r="AR143" s="6"/>
    </row>
    <row r="144" ht="13.5" customHeight="1" hidden="1">
      <c r="B144" s="3560">
        <v>133</v>
      </c>
      <c r="C144" s="3529"/>
      <c r="D144" s="3529"/>
      <c r="E144" s="3529"/>
      <c r="F144" s="3530"/>
      <c r="G144" s="3561"/>
      <c r="H144" s="3562"/>
      <c r="I144" s="3532"/>
      <c r="J144" s="3533"/>
      <c r="K144" s="3534"/>
      <c r="L144" s="3535"/>
      <c r="M144" s="3536"/>
      <c r="N144" s="3535"/>
      <c r="O144" s="3535"/>
      <c r="P144" s="3535"/>
      <c r="Q144" s="3535"/>
      <c r="R144" s="3535"/>
      <c r="S144" s="3535"/>
      <c r="T144" s="3535"/>
      <c r="U144" s="3535"/>
      <c r="V144" s="3535"/>
      <c r="W144" s="3535"/>
      <c r="X144" s="3535"/>
      <c r="Y144" s="3535"/>
      <c r="Z144" s="3535"/>
      <c r="AA144" s="3568"/>
      <c r="AB144" s="3536"/>
      <c r="AC144" s="3535"/>
      <c r="AD144" s="3571"/>
      <c r="AE144" s="3573"/>
      <c r="AF144" s="3574"/>
      <c r="AG144" s="3576"/>
      <c r="AH144" s="3535"/>
      <c r="AI144" s="3535"/>
      <c r="AJ144" s="3574"/>
      <c r="AK144" s="3535"/>
      <c r="AL144" s="3579"/>
      <c r="AM144" s="3581"/>
      <c r="AN144" s="3581">
        <f>IF(ExpComps_LenderTable[[#This Row], [R&amp;M]]+ExpComps_LenderTable[[#This Row], [Payroll]]&gt;0,ExpComps_LenderTable[[#This Row], [R&amp;M]]+ExpComps_LenderTable[[#This Row], [Payroll]],"")</f>
      </c>
      <c r="AO14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4" s="6"/>
      <c r="AQ144" s="6"/>
      <c r="AR144" s="6"/>
    </row>
    <row r="145" ht="13.5" customHeight="1" hidden="1">
      <c r="B145" s="3560">
        <v>134</v>
      </c>
      <c r="C145" s="3529"/>
      <c r="D145" s="3529"/>
      <c r="E145" s="3529"/>
      <c r="F145" s="3530"/>
      <c r="G145" s="3561"/>
      <c r="H145" s="3562"/>
      <c r="I145" s="3532"/>
      <c r="J145" s="3533"/>
      <c r="K145" s="3534"/>
      <c r="L145" s="3535"/>
      <c r="M145" s="3536"/>
      <c r="N145" s="3535"/>
      <c r="O145" s="3535"/>
      <c r="P145" s="3535"/>
      <c r="Q145" s="3535"/>
      <c r="R145" s="3535"/>
      <c r="S145" s="3535"/>
      <c r="T145" s="3535"/>
      <c r="U145" s="3535"/>
      <c r="V145" s="3535"/>
      <c r="W145" s="3535"/>
      <c r="X145" s="3535"/>
      <c r="Y145" s="3535"/>
      <c r="Z145" s="3535"/>
      <c r="AA145" s="3568"/>
      <c r="AB145" s="3536"/>
      <c r="AC145" s="3535"/>
      <c r="AD145" s="3571"/>
      <c r="AE145" s="3573"/>
      <c r="AF145" s="3574"/>
      <c r="AG145" s="3576"/>
      <c r="AH145" s="3535"/>
      <c r="AI145" s="3535"/>
      <c r="AJ145" s="3574"/>
      <c r="AK145" s="3535"/>
      <c r="AL145" s="3579"/>
      <c r="AM145" s="3581"/>
      <c r="AN145" s="3581">
        <f>IF(ExpComps_LenderTable[[#This Row], [R&amp;M]]+ExpComps_LenderTable[[#This Row], [Payroll]]&gt;0,ExpComps_LenderTable[[#This Row], [R&amp;M]]+ExpComps_LenderTable[[#This Row], [Payroll]],"")</f>
      </c>
      <c r="AO14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5" s="6"/>
      <c r="AQ145" s="6"/>
      <c r="AR145" s="6"/>
    </row>
    <row r="146" ht="13.5" customHeight="1" hidden="1">
      <c r="B146" s="3560">
        <v>135</v>
      </c>
      <c r="C146" s="3529"/>
      <c r="D146" s="3529"/>
      <c r="E146" s="3529"/>
      <c r="F146" s="3530"/>
      <c r="G146" s="3561"/>
      <c r="H146" s="3562"/>
      <c r="I146" s="3532"/>
      <c r="J146" s="3533"/>
      <c r="K146" s="3534"/>
      <c r="L146" s="3535"/>
      <c r="M146" s="3536"/>
      <c r="N146" s="3535"/>
      <c r="O146" s="3535"/>
      <c r="P146" s="3535"/>
      <c r="Q146" s="3535"/>
      <c r="R146" s="3535"/>
      <c r="S146" s="3535"/>
      <c r="T146" s="3535"/>
      <c r="U146" s="3535"/>
      <c r="V146" s="3535"/>
      <c r="W146" s="3535"/>
      <c r="X146" s="3535"/>
      <c r="Y146" s="3535"/>
      <c r="Z146" s="3535"/>
      <c r="AA146" s="3568"/>
      <c r="AB146" s="3536"/>
      <c r="AC146" s="3535"/>
      <c r="AD146" s="3571"/>
      <c r="AE146" s="3573"/>
      <c r="AF146" s="3574"/>
      <c r="AG146" s="3576"/>
      <c r="AH146" s="3535"/>
      <c r="AI146" s="3535"/>
      <c r="AJ146" s="3574"/>
      <c r="AK146" s="3535"/>
      <c r="AL146" s="3579"/>
      <c r="AM146" s="3581"/>
      <c r="AN146" s="3581">
        <f>IF(ExpComps_LenderTable[[#This Row], [R&amp;M]]+ExpComps_LenderTable[[#This Row], [Payroll]]&gt;0,ExpComps_LenderTable[[#This Row], [R&amp;M]]+ExpComps_LenderTable[[#This Row], [Payroll]],"")</f>
      </c>
      <c r="AO14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6" s="6"/>
      <c r="AQ146" s="6"/>
      <c r="AR146" s="6"/>
    </row>
    <row r="147" ht="13.5" customHeight="1" hidden="1">
      <c r="B147" s="3560">
        <v>136</v>
      </c>
      <c r="C147" s="3529"/>
      <c r="D147" s="3529"/>
      <c r="E147" s="3529"/>
      <c r="F147" s="3530"/>
      <c r="G147" s="3561"/>
      <c r="H147" s="3562"/>
      <c r="I147" s="3532"/>
      <c r="J147" s="3533"/>
      <c r="K147" s="3534"/>
      <c r="L147" s="3535"/>
      <c r="M147" s="3536"/>
      <c r="N147" s="3535"/>
      <c r="O147" s="3535"/>
      <c r="P147" s="3535"/>
      <c r="Q147" s="3535"/>
      <c r="R147" s="3535"/>
      <c r="S147" s="3535"/>
      <c r="T147" s="3535"/>
      <c r="U147" s="3535"/>
      <c r="V147" s="3535"/>
      <c r="W147" s="3535"/>
      <c r="X147" s="3535"/>
      <c r="Y147" s="3535"/>
      <c r="Z147" s="3535"/>
      <c r="AA147" s="3568"/>
      <c r="AB147" s="3536"/>
      <c r="AC147" s="3535"/>
      <c r="AD147" s="3571"/>
      <c r="AE147" s="3573"/>
      <c r="AF147" s="3574"/>
      <c r="AG147" s="3576"/>
      <c r="AH147" s="3535"/>
      <c r="AI147" s="3535"/>
      <c r="AJ147" s="3574"/>
      <c r="AK147" s="3535"/>
      <c r="AL147" s="3579"/>
      <c r="AM147" s="3581"/>
      <c r="AN147" s="3581">
        <f>IF(ExpComps_LenderTable[[#This Row], [R&amp;M]]+ExpComps_LenderTable[[#This Row], [Payroll]]&gt;0,ExpComps_LenderTable[[#This Row], [R&amp;M]]+ExpComps_LenderTable[[#This Row], [Payroll]],"")</f>
      </c>
      <c r="AO14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7" s="6"/>
      <c r="AQ147" s="6"/>
      <c r="AR147" s="6"/>
    </row>
    <row r="148" ht="13.5" customHeight="1" hidden="1">
      <c r="B148" s="3560">
        <v>137</v>
      </c>
      <c r="C148" s="3529"/>
      <c r="D148" s="3529"/>
      <c r="E148" s="3529"/>
      <c r="F148" s="3530"/>
      <c r="G148" s="3561"/>
      <c r="H148" s="3562"/>
      <c r="I148" s="3532"/>
      <c r="J148" s="3533"/>
      <c r="K148" s="3534"/>
      <c r="L148" s="3535"/>
      <c r="M148" s="3536"/>
      <c r="N148" s="3535"/>
      <c r="O148" s="3535"/>
      <c r="P148" s="3535"/>
      <c r="Q148" s="3535"/>
      <c r="R148" s="3535"/>
      <c r="S148" s="3535"/>
      <c r="T148" s="3535"/>
      <c r="U148" s="3535"/>
      <c r="V148" s="3535"/>
      <c r="W148" s="3535"/>
      <c r="X148" s="3535"/>
      <c r="Y148" s="3535"/>
      <c r="Z148" s="3535"/>
      <c r="AA148" s="3568"/>
      <c r="AB148" s="3536"/>
      <c r="AC148" s="3535"/>
      <c r="AD148" s="3571"/>
      <c r="AE148" s="3573"/>
      <c r="AF148" s="3574"/>
      <c r="AG148" s="3576"/>
      <c r="AH148" s="3535"/>
      <c r="AI148" s="3535"/>
      <c r="AJ148" s="3574"/>
      <c r="AK148" s="3535"/>
      <c r="AL148" s="3579"/>
      <c r="AM148" s="3581"/>
      <c r="AN148" s="3581">
        <f>IF(ExpComps_LenderTable[[#This Row], [R&amp;M]]+ExpComps_LenderTable[[#This Row], [Payroll]]&gt;0,ExpComps_LenderTable[[#This Row], [R&amp;M]]+ExpComps_LenderTable[[#This Row], [Payroll]],"")</f>
      </c>
      <c r="AO14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8" s="6"/>
      <c r="AQ148" s="6"/>
      <c r="AR148" s="6"/>
    </row>
    <row r="149" ht="13.5" customHeight="1" hidden="1">
      <c r="B149" s="3560">
        <v>138</v>
      </c>
      <c r="C149" s="3529"/>
      <c r="D149" s="3529"/>
      <c r="E149" s="3529"/>
      <c r="F149" s="3530"/>
      <c r="G149" s="3561"/>
      <c r="H149" s="3562"/>
      <c r="I149" s="3532"/>
      <c r="J149" s="3533"/>
      <c r="K149" s="3534"/>
      <c r="L149" s="3535"/>
      <c r="M149" s="3536"/>
      <c r="N149" s="3535"/>
      <c r="O149" s="3535"/>
      <c r="P149" s="3535"/>
      <c r="Q149" s="3535"/>
      <c r="R149" s="3535"/>
      <c r="S149" s="3535"/>
      <c r="T149" s="3535"/>
      <c r="U149" s="3535"/>
      <c r="V149" s="3535"/>
      <c r="W149" s="3535"/>
      <c r="X149" s="3535"/>
      <c r="Y149" s="3535"/>
      <c r="Z149" s="3535"/>
      <c r="AA149" s="3568"/>
      <c r="AB149" s="3536"/>
      <c r="AC149" s="3535"/>
      <c r="AD149" s="3571"/>
      <c r="AE149" s="3573"/>
      <c r="AF149" s="3574"/>
      <c r="AG149" s="3576"/>
      <c r="AH149" s="3535"/>
      <c r="AI149" s="3535"/>
      <c r="AJ149" s="3574"/>
      <c r="AK149" s="3535"/>
      <c r="AL149" s="3579"/>
      <c r="AM149" s="3581"/>
      <c r="AN149" s="3581">
        <f>IF(ExpComps_LenderTable[[#This Row], [R&amp;M]]+ExpComps_LenderTable[[#This Row], [Payroll]]&gt;0,ExpComps_LenderTable[[#This Row], [R&amp;M]]+ExpComps_LenderTable[[#This Row], [Payroll]],"")</f>
      </c>
      <c r="AO14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49" s="6"/>
      <c r="AQ149" s="6"/>
      <c r="AR149" s="6"/>
    </row>
    <row r="150" ht="13.5" customHeight="1" hidden="1">
      <c r="B150" s="3560">
        <v>139</v>
      </c>
      <c r="C150" s="3529"/>
      <c r="D150" s="3529"/>
      <c r="E150" s="3529"/>
      <c r="F150" s="3530"/>
      <c r="G150" s="3561"/>
      <c r="H150" s="3562"/>
      <c r="I150" s="3532"/>
      <c r="J150" s="3533"/>
      <c r="K150" s="3534"/>
      <c r="L150" s="3535"/>
      <c r="M150" s="3536"/>
      <c r="N150" s="3535"/>
      <c r="O150" s="3535"/>
      <c r="P150" s="3535"/>
      <c r="Q150" s="3535"/>
      <c r="R150" s="3535"/>
      <c r="S150" s="3535"/>
      <c r="T150" s="3535"/>
      <c r="U150" s="3535"/>
      <c r="V150" s="3535"/>
      <c r="W150" s="3535"/>
      <c r="X150" s="3535"/>
      <c r="Y150" s="3535"/>
      <c r="Z150" s="3535"/>
      <c r="AA150" s="3568"/>
      <c r="AB150" s="3536"/>
      <c r="AC150" s="3535"/>
      <c r="AD150" s="3571"/>
      <c r="AE150" s="3573"/>
      <c r="AF150" s="3574"/>
      <c r="AG150" s="3576"/>
      <c r="AH150" s="3535"/>
      <c r="AI150" s="3535"/>
      <c r="AJ150" s="3574"/>
      <c r="AK150" s="3535"/>
      <c r="AL150" s="3579"/>
      <c r="AM150" s="3581"/>
      <c r="AN150" s="3581">
        <f>IF(ExpComps_LenderTable[[#This Row], [R&amp;M]]+ExpComps_LenderTable[[#This Row], [Payroll]]&gt;0,ExpComps_LenderTable[[#This Row], [R&amp;M]]+ExpComps_LenderTable[[#This Row], [Payroll]],"")</f>
      </c>
      <c r="AO15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0" s="6"/>
      <c r="AQ150" s="6"/>
      <c r="AR150" s="6"/>
    </row>
    <row r="151" ht="13.5" customHeight="1" hidden="1">
      <c r="B151" s="3560">
        <v>140</v>
      </c>
      <c r="C151" s="3529"/>
      <c r="D151" s="3529"/>
      <c r="E151" s="3529"/>
      <c r="F151" s="3530"/>
      <c r="G151" s="3561"/>
      <c r="H151" s="3562"/>
      <c r="I151" s="3532"/>
      <c r="J151" s="3533"/>
      <c r="K151" s="3534"/>
      <c r="L151" s="3535"/>
      <c r="M151" s="3536"/>
      <c r="N151" s="3535"/>
      <c r="O151" s="3535"/>
      <c r="P151" s="3535"/>
      <c r="Q151" s="3535"/>
      <c r="R151" s="3535"/>
      <c r="S151" s="3535"/>
      <c r="T151" s="3535"/>
      <c r="U151" s="3535"/>
      <c r="V151" s="3535"/>
      <c r="W151" s="3535"/>
      <c r="X151" s="3535"/>
      <c r="Y151" s="3535"/>
      <c r="Z151" s="3535"/>
      <c r="AA151" s="3568"/>
      <c r="AB151" s="3536"/>
      <c r="AC151" s="3535"/>
      <c r="AD151" s="3571"/>
      <c r="AE151" s="3573"/>
      <c r="AF151" s="3574"/>
      <c r="AG151" s="3576"/>
      <c r="AH151" s="3535"/>
      <c r="AI151" s="3535"/>
      <c r="AJ151" s="3574"/>
      <c r="AK151" s="3535"/>
      <c r="AL151" s="3579"/>
      <c r="AM151" s="3581"/>
      <c r="AN151" s="3581">
        <f>IF(ExpComps_LenderTable[[#This Row], [R&amp;M]]+ExpComps_LenderTable[[#This Row], [Payroll]]&gt;0,ExpComps_LenderTable[[#This Row], [R&amp;M]]+ExpComps_LenderTable[[#This Row], [Payroll]],"")</f>
      </c>
      <c r="AO15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1" s="6"/>
      <c r="AQ151" s="6"/>
      <c r="AR151" s="6"/>
    </row>
    <row r="152" ht="13.5" customHeight="1" hidden="1">
      <c r="B152" s="3560">
        <v>141</v>
      </c>
      <c r="C152" s="3529"/>
      <c r="D152" s="3529"/>
      <c r="E152" s="3529"/>
      <c r="F152" s="3530"/>
      <c r="G152" s="3561"/>
      <c r="H152" s="3562"/>
      <c r="I152" s="3532"/>
      <c r="J152" s="3533"/>
      <c r="K152" s="3534"/>
      <c r="L152" s="3535"/>
      <c r="M152" s="3536"/>
      <c r="N152" s="3535"/>
      <c r="O152" s="3535"/>
      <c r="P152" s="3535"/>
      <c r="Q152" s="3535"/>
      <c r="R152" s="3535"/>
      <c r="S152" s="3535"/>
      <c r="T152" s="3535"/>
      <c r="U152" s="3535"/>
      <c r="V152" s="3535"/>
      <c r="W152" s="3535"/>
      <c r="X152" s="3535"/>
      <c r="Y152" s="3535"/>
      <c r="Z152" s="3535"/>
      <c r="AA152" s="3568"/>
      <c r="AB152" s="3536"/>
      <c r="AC152" s="3535"/>
      <c r="AD152" s="3571"/>
      <c r="AE152" s="3573"/>
      <c r="AF152" s="3574"/>
      <c r="AG152" s="3576"/>
      <c r="AH152" s="3535"/>
      <c r="AI152" s="3535"/>
      <c r="AJ152" s="3574"/>
      <c r="AK152" s="3535"/>
      <c r="AL152" s="3579"/>
      <c r="AM152" s="3581"/>
      <c r="AN152" s="3581">
        <f>IF(ExpComps_LenderTable[[#This Row], [R&amp;M]]+ExpComps_LenderTable[[#This Row], [Payroll]]&gt;0,ExpComps_LenderTable[[#This Row], [R&amp;M]]+ExpComps_LenderTable[[#This Row], [Payroll]],"")</f>
      </c>
      <c r="AO15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2" s="6"/>
      <c r="AQ152" s="6"/>
      <c r="AR152" s="6"/>
    </row>
    <row r="153" ht="13.5" customHeight="1" hidden="1">
      <c r="B153" s="3560">
        <v>142</v>
      </c>
      <c r="C153" s="3529"/>
      <c r="D153" s="3529"/>
      <c r="E153" s="3529"/>
      <c r="F153" s="3530"/>
      <c r="G153" s="3561"/>
      <c r="H153" s="3562"/>
      <c r="I153" s="3532"/>
      <c r="J153" s="3533"/>
      <c r="K153" s="3534"/>
      <c r="L153" s="3535"/>
      <c r="M153" s="3536"/>
      <c r="N153" s="3535"/>
      <c r="O153" s="3535"/>
      <c r="P153" s="3535"/>
      <c r="Q153" s="3535"/>
      <c r="R153" s="3535"/>
      <c r="S153" s="3535"/>
      <c r="T153" s="3535"/>
      <c r="U153" s="3535"/>
      <c r="V153" s="3535"/>
      <c r="W153" s="3535"/>
      <c r="X153" s="3535"/>
      <c r="Y153" s="3535"/>
      <c r="Z153" s="3535"/>
      <c r="AA153" s="3568"/>
      <c r="AB153" s="3536"/>
      <c r="AC153" s="3535"/>
      <c r="AD153" s="3571"/>
      <c r="AE153" s="3573"/>
      <c r="AF153" s="3574"/>
      <c r="AG153" s="3576"/>
      <c r="AH153" s="3535"/>
      <c r="AI153" s="3535"/>
      <c r="AJ153" s="3574"/>
      <c r="AK153" s="3535"/>
      <c r="AL153" s="3579"/>
      <c r="AM153" s="3581"/>
      <c r="AN153" s="3581">
        <f>IF(ExpComps_LenderTable[[#This Row], [R&amp;M]]+ExpComps_LenderTable[[#This Row], [Payroll]]&gt;0,ExpComps_LenderTable[[#This Row], [R&amp;M]]+ExpComps_LenderTable[[#This Row], [Payroll]],"")</f>
      </c>
      <c r="AO15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3" s="6"/>
      <c r="AQ153" s="6"/>
      <c r="AR153" s="6"/>
    </row>
    <row r="154" ht="13.5" customHeight="1" hidden="1">
      <c r="B154" s="3560">
        <v>143</v>
      </c>
      <c r="C154" s="3529"/>
      <c r="D154" s="3529"/>
      <c r="E154" s="3529"/>
      <c r="F154" s="3530"/>
      <c r="G154" s="3561"/>
      <c r="H154" s="3562"/>
      <c r="I154" s="3532"/>
      <c r="J154" s="3533"/>
      <c r="K154" s="3534"/>
      <c r="L154" s="3535"/>
      <c r="M154" s="3536"/>
      <c r="N154" s="3535"/>
      <c r="O154" s="3535"/>
      <c r="P154" s="3535"/>
      <c r="Q154" s="3535"/>
      <c r="R154" s="3535"/>
      <c r="S154" s="3535"/>
      <c r="T154" s="3535"/>
      <c r="U154" s="3535"/>
      <c r="V154" s="3535"/>
      <c r="W154" s="3535"/>
      <c r="X154" s="3535"/>
      <c r="Y154" s="3535"/>
      <c r="Z154" s="3535"/>
      <c r="AA154" s="3568"/>
      <c r="AB154" s="3536"/>
      <c r="AC154" s="3535"/>
      <c r="AD154" s="3571"/>
      <c r="AE154" s="3573"/>
      <c r="AF154" s="3574"/>
      <c r="AG154" s="3576"/>
      <c r="AH154" s="3535"/>
      <c r="AI154" s="3535"/>
      <c r="AJ154" s="3574"/>
      <c r="AK154" s="3535"/>
      <c r="AL154" s="3579"/>
      <c r="AM154" s="3581"/>
      <c r="AN154" s="3581">
        <f>IF(ExpComps_LenderTable[[#This Row], [R&amp;M]]+ExpComps_LenderTable[[#This Row], [Payroll]]&gt;0,ExpComps_LenderTable[[#This Row], [R&amp;M]]+ExpComps_LenderTable[[#This Row], [Payroll]],"")</f>
      </c>
      <c r="AO15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4" s="6"/>
      <c r="AQ154" s="6"/>
      <c r="AR154" s="6"/>
    </row>
    <row r="155" ht="13.5" customHeight="1" hidden="1">
      <c r="B155" s="3560">
        <v>144</v>
      </c>
      <c r="C155" s="3529"/>
      <c r="D155" s="3529"/>
      <c r="E155" s="3529"/>
      <c r="F155" s="3530"/>
      <c r="G155" s="3561"/>
      <c r="H155" s="3562"/>
      <c r="I155" s="3532"/>
      <c r="J155" s="3533"/>
      <c r="K155" s="3534"/>
      <c r="L155" s="3535"/>
      <c r="M155" s="3536"/>
      <c r="N155" s="3535"/>
      <c r="O155" s="3535"/>
      <c r="P155" s="3535"/>
      <c r="Q155" s="3535"/>
      <c r="R155" s="3535"/>
      <c r="S155" s="3535"/>
      <c r="T155" s="3535"/>
      <c r="U155" s="3535"/>
      <c r="V155" s="3535"/>
      <c r="W155" s="3535"/>
      <c r="X155" s="3535"/>
      <c r="Y155" s="3535"/>
      <c r="Z155" s="3535"/>
      <c r="AA155" s="3568"/>
      <c r="AB155" s="3536"/>
      <c r="AC155" s="3535"/>
      <c r="AD155" s="3571"/>
      <c r="AE155" s="3573"/>
      <c r="AF155" s="3574"/>
      <c r="AG155" s="3576"/>
      <c r="AH155" s="3535"/>
      <c r="AI155" s="3535"/>
      <c r="AJ155" s="3574"/>
      <c r="AK155" s="3535"/>
      <c r="AL155" s="3579"/>
      <c r="AM155" s="3581"/>
      <c r="AN155" s="3581">
        <f>IF(ExpComps_LenderTable[[#This Row], [R&amp;M]]+ExpComps_LenderTable[[#This Row], [Payroll]]&gt;0,ExpComps_LenderTable[[#This Row], [R&amp;M]]+ExpComps_LenderTable[[#This Row], [Payroll]],"")</f>
      </c>
      <c r="AO15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5" s="6"/>
      <c r="AQ155" s="6"/>
      <c r="AR155" s="6"/>
    </row>
    <row r="156" ht="13.5" customHeight="1" hidden="1">
      <c r="B156" s="3560">
        <v>145</v>
      </c>
      <c r="C156" s="3529"/>
      <c r="D156" s="3529"/>
      <c r="E156" s="3529"/>
      <c r="F156" s="3530"/>
      <c r="G156" s="3561"/>
      <c r="H156" s="3562"/>
      <c r="I156" s="3532"/>
      <c r="J156" s="3533"/>
      <c r="K156" s="3534"/>
      <c r="L156" s="3535"/>
      <c r="M156" s="3536"/>
      <c r="N156" s="3535"/>
      <c r="O156" s="3535"/>
      <c r="P156" s="3535"/>
      <c r="Q156" s="3535"/>
      <c r="R156" s="3535"/>
      <c r="S156" s="3535"/>
      <c r="T156" s="3535"/>
      <c r="U156" s="3535"/>
      <c r="V156" s="3535"/>
      <c r="W156" s="3535"/>
      <c r="X156" s="3535"/>
      <c r="Y156" s="3535"/>
      <c r="Z156" s="3535"/>
      <c r="AA156" s="3568"/>
      <c r="AB156" s="3536"/>
      <c r="AC156" s="3535"/>
      <c r="AD156" s="3571"/>
      <c r="AE156" s="3573"/>
      <c r="AF156" s="3574"/>
      <c r="AG156" s="3576"/>
      <c r="AH156" s="3535"/>
      <c r="AI156" s="3535"/>
      <c r="AJ156" s="3574"/>
      <c r="AK156" s="3535"/>
      <c r="AL156" s="3579"/>
      <c r="AM156" s="3581"/>
      <c r="AN156" s="3581">
        <f>IF(ExpComps_LenderTable[[#This Row], [R&amp;M]]+ExpComps_LenderTable[[#This Row], [Payroll]]&gt;0,ExpComps_LenderTable[[#This Row], [R&amp;M]]+ExpComps_LenderTable[[#This Row], [Payroll]],"")</f>
      </c>
      <c r="AO15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6" s="6"/>
      <c r="AQ156" s="6"/>
      <c r="AR156" s="6"/>
    </row>
    <row r="157" ht="13.5" customHeight="1" hidden="1">
      <c r="B157" s="3560">
        <v>146</v>
      </c>
      <c r="C157" s="3529"/>
      <c r="D157" s="3529"/>
      <c r="E157" s="3529"/>
      <c r="F157" s="3530"/>
      <c r="G157" s="3561"/>
      <c r="H157" s="3562"/>
      <c r="I157" s="3532"/>
      <c r="J157" s="3533"/>
      <c r="K157" s="3534"/>
      <c r="L157" s="3535"/>
      <c r="M157" s="3536"/>
      <c r="N157" s="3535"/>
      <c r="O157" s="3535"/>
      <c r="P157" s="3535"/>
      <c r="Q157" s="3535"/>
      <c r="R157" s="3535"/>
      <c r="S157" s="3535"/>
      <c r="T157" s="3535"/>
      <c r="U157" s="3535"/>
      <c r="V157" s="3535"/>
      <c r="W157" s="3535"/>
      <c r="X157" s="3535"/>
      <c r="Y157" s="3535"/>
      <c r="Z157" s="3535"/>
      <c r="AA157" s="3568"/>
      <c r="AB157" s="3536"/>
      <c r="AC157" s="3535"/>
      <c r="AD157" s="3571"/>
      <c r="AE157" s="3573"/>
      <c r="AF157" s="3574"/>
      <c r="AG157" s="3576"/>
      <c r="AH157" s="3535"/>
      <c r="AI157" s="3535"/>
      <c r="AJ157" s="3574"/>
      <c r="AK157" s="3535"/>
      <c r="AL157" s="3579"/>
      <c r="AM157" s="3581"/>
      <c r="AN157" s="3581">
        <f>IF(ExpComps_LenderTable[[#This Row], [R&amp;M]]+ExpComps_LenderTable[[#This Row], [Payroll]]&gt;0,ExpComps_LenderTable[[#This Row], [R&amp;M]]+ExpComps_LenderTable[[#This Row], [Payroll]],"")</f>
      </c>
      <c r="AO15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7" s="6"/>
      <c r="AQ157" s="6"/>
      <c r="AR157" s="6"/>
    </row>
    <row r="158" ht="13.5" customHeight="1" hidden="1">
      <c r="B158" s="3560">
        <v>147</v>
      </c>
      <c r="C158" s="3529"/>
      <c r="D158" s="3529"/>
      <c r="E158" s="3529"/>
      <c r="F158" s="3530"/>
      <c r="G158" s="3561"/>
      <c r="H158" s="3562"/>
      <c r="I158" s="3532"/>
      <c r="J158" s="3533"/>
      <c r="K158" s="3534"/>
      <c r="L158" s="3535"/>
      <c r="M158" s="3536"/>
      <c r="N158" s="3535"/>
      <c r="O158" s="3535"/>
      <c r="P158" s="3535"/>
      <c r="Q158" s="3535"/>
      <c r="R158" s="3535"/>
      <c r="S158" s="3535"/>
      <c r="T158" s="3535"/>
      <c r="U158" s="3535"/>
      <c r="V158" s="3535"/>
      <c r="W158" s="3535"/>
      <c r="X158" s="3535"/>
      <c r="Y158" s="3535"/>
      <c r="Z158" s="3535"/>
      <c r="AA158" s="3568"/>
      <c r="AB158" s="3536"/>
      <c r="AC158" s="3535"/>
      <c r="AD158" s="3571"/>
      <c r="AE158" s="3573"/>
      <c r="AF158" s="3574"/>
      <c r="AG158" s="3576"/>
      <c r="AH158" s="3535"/>
      <c r="AI158" s="3535"/>
      <c r="AJ158" s="3574"/>
      <c r="AK158" s="3535"/>
      <c r="AL158" s="3579"/>
      <c r="AM158" s="3581"/>
      <c r="AN158" s="3581">
        <f>IF(ExpComps_LenderTable[[#This Row], [R&amp;M]]+ExpComps_LenderTable[[#This Row], [Payroll]]&gt;0,ExpComps_LenderTable[[#This Row], [R&amp;M]]+ExpComps_LenderTable[[#This Row], [Payroll]],"")</f>
      </c>
      <c r="AO15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8" s="6"/>
      <c r="AQ158" s="6"/>
      <c r="AR158" s="6"/>
    </row>
    <row r="159" ht="13.5" customHeight="1" hidden="1">
      <c r="B159" s="3560">
        <v>148</v>
      </c>
      <c r="C159" s="3529"/>
      <c r="D159" s="3529"/>
      <c r="E159" s="3529"/>
      <c r="F159" s="3530"/>
      <c r="G159" s="3561"/>
      <c r="H159" s="3562"/>
      <c r="I159" s="3532"/>
      <c r="J159" s="3533"/>
      <c r="K159" s="3534"/>
      <c r="L159" s="3535"/>
      <c r="M159" s="3536"/>
      <c r="N159" s="3535"/>
      <c r="O159" s="3535"/>
      <c r="P159" s="3535"/>
      <c r="Q159" s="3535"/>
      <c r="R159" s="3535"/>
      <c r="S159" s="3535"/>
      <c r="T159" s="3535"/>
      <c r="U159" s="3535"/>
      <c r="V159" s="3535"/>
      <c r="W159" s="3535"/>
      <c r="X159" s="3535"/>
      <c r="Y159" s="3535"/>
      <c r="Z159" s="3535"/>
      <c r="AA159" s="3568"/>
      <c r="AB159" s="3536"/>
      <c r="AC159" s="3535"/>
      <c r="AD159" s="3571"/>
      <c r="AE159" s="3573"/>
      <c r="AF159" s="3574"/>
      <c r="AG159" s="3576"/>
      <c r="AH159" s="3535"/>
      <c r="AI159" s="3535"/>
      <c r="AJ159" s="3574"/>
      <c r="AK159" s="3535"/>
      <c r="AL159" s="3579"/>
      <c r="AM159" s="3581"/>
      <c r="AN159" s="3581">
        <f>IF(ExpComps_LenderTable[[#This Row], [R&amp;M]]+ExpComps_LenderTable[[#This Row], [Payroll]]&gt;0,ExpComps_LenderTable[[#This Row], [R&amp;M]]+ExpComps_LenderTable[[#This Row], [Payroll]],"")</f>
      </c>
      <c r="AO15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59" s="6"/>
      <c r="AQ159" s="6"/>
      <c r="AR159" s="6"/>
    </row>
    <row r="160" ht="13.5" customHeight="1" hidden="1">
      <c r="B160" s="3560">
        <v>149</v>
      </c>
      <c r="C160" s="3529"/>
      <c r="D160" s="3529"/>
      <c r="E160" s="3529"/>
      <c r="F160" s="3530"/>
      <c r="G160" s="3561"/>
      <c r="H160" s="3562"/>
      <c r="I160" s="3532"/>
      <c r="J160" s="3533"/>
      <c r="K160" s="3534"/>
      <c r="L160" s="3535"/>
      <c r="M160" s="3536"/>
      <c r="N160" s="3535"/>
      <c r="O160" s="3535"/>
      <c r="P160" s="3535"/>
      <c r="Q160" s="3535"/>
      <c r="R160" s="3535"/>
      <c r="S160" s="3535"/>
      <c r="T160" s="3535"/>
      <c r="U160" s="3535"/>
      <c r="V160" s="3535"/>
      <c r="W160" s="3535"/>
      <c r="X160" s="3535"/>
      <c r="Y160" s="3535"/>
      <c r="Z160" s="3535"/>
      <c r="AA160" s="3568"/>
      <c r="AB160" s="3536"/>
      <c r="AC160" s="3535"/>
      <c r="AD160" s="3571"/>
      <c r="AE160" s="3573"/>
      <c r="AF160" s="3574"/>
      <c r="AG160" s="3576"/>
      <c r="AH160" s="3535"/>
      <c r="AI160" s="3535"/>
      <c r="AJ160" s="3574"/>
      <c r="AK160" s="3535"/>
      <c r="AL160" s="3579"/>
      <c r="AM160" s="3581"/>
      <c r="AN160" s="3581">
        <f>IF(ExpComps_LenderTable[[#This Row], [R&amp;M]]+ExpComps_LenderTable[[#This Row], [Payroll]]&gt;0,ExpComps_LenderTable[[#This Row], [R&amp;M]]+ExpComps_LenderTable[[#This Row], [Payroll]],"")</f>
      </c>
      <c r="AO16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0" s="6"/>
      <c r="AQ160" s="6"/>
      <c r="AR160" s="6"/>
    </row>
    <row r="161" ht="13.5" customHeight="1" hidden="1">
      <c r="B161" s="3560">
        <v>150</v>
      </c>
      <c r="C161" s="3529"/>
      <c r="D161" s="3529"/>
      <c r="E161" s="3529"/>
      <c r="F161" s="3530"/>
      <c r="G161" s="3561"/>
      <c r="H161" s="3562"/>
      <c r="I161" s="3532"/>
      <c r="J161" s="3533"/>
      <c r="K161" s="3534"/>
      <c r="L161" s="3535"/>
      <c r="M161" s="3536"/>
      <c r="N161" s="3535"/>
      <c r="O161" s="3535"/>
      <c r="P161" s="3535"/>
      <c r="Q161" s="3535"/>
      <c r="R161" s="3535"/>
      <c r="S161" s="3535"/>
      <c r="T161" s="3535"/>
      <c r="U161" s="3535"/>
      <c r="V161" s="3535"/>
      <c r="W161" s="3535"/>
      <c r="X161" s="3535"/>
      <c r="Y161" s="3535"/>
      <c r="Z161" s="3535"/>
      <c r="AA161" s="3568"/>
      <c r="AB161" s="3536"/>
      <c r="AC161" s="3535"/>
      <c r="AD161" s="3571"/>
      <c r="AE161" s="3573"/>
      <c r="AF161" s="3574"/>
      <c r="AG161" s="3576"/>
      <c r="AH161" s="3535"/>
      <c r="AI161" s="3535"/>
      <c r="AJ161" s="3574"/>
      <c r="AK161" s="3535"/>
      <c r="AL161" s="3579"/>
      <c r="AM161" s="3581"/>
      <c r="AN161" s="3581">
        <f>IF(ExpComps_LenderTable[[#This Row], [R&amp;M]]+ExpComps_LenderTable[[#This Row], [Payroll]]&gt;0,ExpComps_LenderTable[[#This Row], [R&amp;M]]+ExpComps_LenderTable[[#This Row], [Payroll]],"")</f>
      </c>
      <c r="AO16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1" s="6"/>
      <c r="AQ161" s="6"/>
      <c r="AR161" s="6"/>
    </row>
    <row r="162" ht="13.5" customHeight="1" hidden="1">
      <c r="B162" s="3560">
        <v>151</v>
      </c>
      <c r="C162" s="3529"/>
      <c r="D162" s="3529"/>
      <c r="E162" s="3529"/>
      <c r="F162" s="3530"/>
      <c r="G162" s="3561"/>
      <c r="H162" s="3562"/>
      <c r="I162" s="3532"/>
      <c r="J162" s="3533"/>
      <c r="K162" s="3534"/>
      <c r="L162" s="3535"/>
      <c r="M162" s="3536"/>
      <c r="N162" s="3535"/>
      <c r="O162" s="3535"/>
      <c r="P162" s="3535"/>
      <c r="Q162" s="3535"/>
      <c r="R162" s="3535"/>
      <c r="S162" s="3535"/>
      <c r="T162" s="3535"/>
      <c r="U162" s="3535"/>
      <c r="V162" s="3535"/>
      <c r="W162" s="3535"/>
      <c r="X162" s="3535"/>
      <c r="Y162" s="3535"/>
      <c r="Z162" s="3535"/>
      <c r="AA162" s="3568"/>
      <c r="AB162" s="3536"/>
      <c r="AC162" s="3535"/>
      <c r="AD162" s="3571"/>
      <c r="AE162" s="3573"/>
      <c r="AF162" s="3574"/>
      <c r="AG162" s="3576"/>
      <c r="AH162" s="3535"/>
      <c r="AI162" s="3535"/>
      <c r="AJ162" s="3574"/>
      <c r="AK162" s="3535"/>
      <c r="AL162" s="3579"/>
      <c r="AM162" s="3581"/>
      <c r="AN162" s="3581">
        <f>IF(ExpComps_LenderTable[[#This Row], [R&amp;M]]+ExpComps_LenderTable[[#This Row], [Payroll]]&gt;0,ExpComps_LenderTable[[#This Row], [R&amp;M]]+ExpComps_LenderTable[[#This Row], [Payroll]],"")</f>
      </c>
      <c r="AO16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2" s="6"/>
      <c r="AQ162" s="6"/>
      <c r="AR162" s="6"/>
    </row>
    <row r="163" ht="13.5" customHeight="1" hidden="1">
      <c r="B163" s="3560">
        <v>152</v>
      </c>
      <c r="C163" s="3529"/>
      <c r="D163" s="3529"/>
      <c r="E163" s="3529"/>
      <c r="F163" s="3530"/>
      <c r="G163" s="3561"/>
      <c r="H163" s="3562"/>
      <c r="I163" s="3532"/>
      <c r="J163" s="3533"/>
      <c r="K163" s="3534"/>
      <c r="L163" s="3535"/>
      <c r="M163" s="3536"/>
      <c r="N163" s="3535"/>
      <c r="O163" s="3535"/>
      <c r="P163" s="3535"/>
      <c r="Q163" s="3535"/>
      <c r="R163" s="3535"/>
      <c r="S163" s="3535"/>
      <c r="T163" s="3535"/>
      <c r="U163" s="3535"/>
      <c r="V163" s="3535"/>
      <c r="W163" s="3535"/>
      <c r="X163" s="3535"/>
      <c r="Y163" s="3535"/>
      <c r="Z163" s="3535"/>
      <c r="AA163" s="3568"/>
      <c r="AB163" s="3536"/>
      <c r="AC163" s="3535"/>
      <c r="AD163" s="3571"/>
      <c r="AE163" s="3573"/>
      <c r="AF163" s="3574"/>
      <c r="AG163" s="3576"/>
      <c r="AH163" s="3535"/>
      <c r="AI163" s="3535"/>
      <c r="AJ163" s="3574"/>
      <c r="AK163" s="3535"/>
      <c r="AL163" s="3579"/>
      <c r="AM163" s="3581"/>
      <c r="AN163" s="3581">
        <f>IF(ExpComps_LenderTable[[#This Row], [R&amp;M]]+ExpComps_LenderTable[[#This Row], [Payroll]]&gt;0,ExpComps_LenderTable[[#This Row], [R&amp;M]]+ExpComps_LenderTable[[#This Row], [Payroll]],"")</f>
      </c>
      <c r="AO16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3" s="6"/>
      <c r="AQ163" s="6"/>
      <c r="AR163" s="6"/>
    </row>
    <row r="164" ht="13.5" customHeight="1" hidden="1">
      <c r="B164" s="3560">
        <v>153</v>
      </c>
      <c r="C164" s="3529"/>
      <c r="D164" s="3529"/>
      <c r="E164" s="3529"/>
      <c r="F164" s="3530"/>
      <c r="G164" s="3561"/>
      <c r="H164" s="3562"/>
      <c r="I164" s="3532"/>
      <c r="J164" s="3533"/>
      <c r="K164" s="3534"/>
      <c r="L164" s="3535"/>
      <c r="M164" s="3536"/>
      <c r="N164" s="3535"/>
      <c r="O164" s="3535"/>
      <c r="P164" s="3535"/>
      <c r="Q164" s="3535"/>
      <c r="R164" s="3535"/>
      <c r="S164" s="3535"/>
      <c r="T164" s="3535"/>
      <c r="U164" s="3535"/>
      <c r="V164" s="3535"/>
      <c r="W164" s="3535"/>
      <c r="X164" s="3535"/>
      <c r="Y164" s="3535"/>
      <c r="Z164" s="3535"/>
      <c r="AA164" s="3568"/>
      <c r="AB164" s="3536"/>
      <c r="AC164" s="3535"/>
      <c r="AD164" s="3571"/>
      <c r="AE164" s="3573"/>
      <c r="AF164" s="3574"/>
      <c r="AG164" s="3576"/>
      <c r="AH164" s="3535"/>
      <c r="AI164" s="3535"/>
      <c r="AJ164" s="3574"/>
      <c r="AK164" s="3535"/>
      <c r="AL164" s="3579"/>
      <c r="AM164" s="3581"/>
      <c r="AN164" s="3581">
        <f>IF(ExpComps_LenderTable[[#This Row], [R&amp;M]]+ExpComps_LenderTable[[#This Row], [Payroll]]&gt;0,ExpComps_LenderTable[[#This Row], [R&amp;M]]+ExpComps_LenderTable[[#This Row], [Payroll]],"")</f>
      </c>
      <c r="AO16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4" s="6"/>
      <c r="AQ164" s="6"/>
      <c r="AR164" s="6"/>
    </row>
    <row r="165" ht="13.5" customHeight="1" hidden="1">
      <c r="B165" s="3560">
        <v>154</v>
      </c>
      <c r="C165" s="3529"/>
      <c r="D165" s="3529"/>
      <c r="E165" s="3529"/>
      <c r="F165" s="3530"/>
      <c r="G165" s="3561"/>
      <c r="H165" s="3562"/>
      <c r="I165" s="3532"/>
      <c r="J165" s="3533"/>
      <c r="K165" s="3534"/>
      <c r="L165" s="3535"/>
      <c r="M165" s="3536"/>
      <c r="N165" s="3535"/>
      <c r="O165" s="3535"/>
      <c r="P165" s="3535"/>
      <c r="Q165" s="3535"/>
      <c r="R165" s="3535"/>
      <c r="S165" s="3535"/>
      <c r="T165" s="3535"/>
      <c r="U165" s="3535"/>
      <c r="V165" s="3535"/>
      <c r="W165" s="3535"/>
      <c r="X165" s="3535"/>
      <c r="Y165" s="3535"/>
      <c r="Z165" s="3535"/>
      <c r="AA165" s="3568"/>
      <c r="AB165" s="3536"/>
      <c r="AC165" s="3535"/>
      <c r="AD165" s="3571"/>
      <c r="AE165" s="3573"/>
      <c r="AF165" s="3574"/>
      <c r="AG165" s="3576"/>
      <c r="AH165" s="3535"/>
      <c r="AI165" s="3535"/>
      <c r="AJ165" s="3574"/>
      <c r="AK165" s="3535"/>
      <c r="AL165" s="3579"/>
      <c r="AM165" s="3581"/>
      <c r="AN165" s="3581">
        <f>IF(ExpComps_LenderTable[[#This Row], [R&amp;M]]+ExpComps_LenderTable[[#This Row], [Payroll]]&gt;0,ExpComps_LenderTable[[#This Row], [R&amp;M]]+ExpComps_LenderTable[[#This Row], [Payroll]],"")</f>
      </c>
      <c r="AO16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5" s="6"/>
      <c r="AQ165" s="6"/>
      <c r="AR165" s="6"/>
    </row>
    <row r="166" ht="13.5" customHeight="1" hidden="1">
      <c r="B166" s="3560">
        <v>155</v>
      </c>
      <c r="C166" s="3529"/>
      <c r="D166" s="3529"/>
      <c r="E166" s="3529"/>
      <c r="F166" s="3530"/>
      <c r="G166" s="3561"/>
      <c r="H166" s="3562"/>
      <c r="I166" s="3532"/>
      <c r="J166" s="3533"/>
      <c r="K166" s="3534"/>
      <c r="L166" s="3535"/>
      <c r="M166" s="3536"/>
      <c r="N166" s="3535"/>
      <c r="O166" s="3535"/>
      <c r="P166" s="3535"/>
      <c r="Q166" s="3535"/>
      <c r="R166" s="3535"/>
      <c r="S166" s="3535"/>
      <c r="T166" s="3535"/>
      <c r="U166" s="3535"/>
      <c r="V166" s="3535"/>
      <c r="W166" s="3535"/>
      <c r="X166" s="3535"/>
      <c r="Y166" s="3535"/>
      <c r="Z166" s="3535"/>
      <c r="AA166" s="3568"/>
      <c r="AB166" s="3536"/>
      <c r="AC166" s="3535"/>
      <c r="AD166" s="3571"/>
      <c r="AE166" s="3573"/>
      <c r="AF166" s="3574"/>
      <c r="AG166" s="3576"/>
      <c r="AH166" s="3535"/>
      <c r="AI166" s="3535"/>
      <c r="AJ166" s="3574"/>
      <c r="AK166" s="3535"/>
      <c r="AL166" s="3579"/>
      <c r="AM166" s="3581"/>
      <c r="AN166" s="3581">
        <f>IF(ExpComps_LenderTable[[#This Row], [R&amp;M]]+ExpComps_LenderTable[[#This Row], [Payroll]]&gt;0,ExpComps_LenderTable[[#This Row], [R&amp;M]]+ExpComps_LenderTable[[#This Row], [Payroll]],"")</f>
      </c>
      <c r="AO16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6" s="6"/>
      <c r="AQ166" s="6"/>
      <c r="AR166" s="6"/>
    </row>
    <row r="167" ht="13.5" customHeight="1" hidden="1">
      <c r="B167" s="3560">
        <v>156</v>
      </c>
      <c r="C167" s="3529"/>
      <c r="D167" s="3529"/>
      <c r="E167" s="3529"/>
      <c r="F167" s="3530"/>
      <c r="G167" s="3561"/>
      <c r="H167" s="3562"/>
      <c r="I167" s="3532"/>
      <c r="J167" s="3533"/>
      <c r="K167" s="3534"/>
      <c r="L167" s="3535"/>
      <c r="M167" s="3536"/>
      <c r="N167" s="3535"/>
      <c r="O167" s="3535"/>
      <c r="P167" s="3535"/>
      <c r="Q167" s="3535"/>
      <c r="R167" s="3535"/>
      <c r="S167" s="3535"/>
      <c r="T167" s="3535"/>
      <c r="U167" s="3535"/>
      <c r="V167" s="3535"/>
      <c r="W167" s="3535"/>
      <c r="X167" s="3535"/>
      <c r="Y167" s="3535"/>
      <c r="Z167" s="3535"/>
      <c r="AA167" s="3568"/>
      <c r="AB167" s="3536"/>
      <c r="AC167" s="3535"/>
      <c r="AD167" s="3571"/>
      <c r="AE167" s="3573"/>
      <c r="AF167" s="3574"/>
      <c r="AG167" s="3576"/>
      <c r="AH167" s="3535"/>
      <c r="AI167" s="3535"/>
      <c r="AJ167" s="3574"/>
      <c r="AK167" s="3535"/>
      <c r="AL167" s="3579"/>
      <c r="AM167" s="3581"/>
      <c r="AN167" s="3581">
        <f>IF(ExpComps_LenderTable[[#This Row], [R&amp;M]]+ExpComps_LenderTable[[#This Row], [Payroll]]&gt;0,ExpComps_LenderTable[[#This Row], [R&amp;M]]+ExpComps_LenderTable[[#This Row], [Payroll]],"")</f>
      </c>
      <c r="AO16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7" s="6"/>
      <c r="AQ167" s="6"/>
      <c r="AR167" s="6"/>
    </row>
    <row r="168" ht="13.5" customHeight="1" hidden="1">
      <c r="B168" s="3560">
        <v>157</v>
      </c>
      <c r="C168" s="3529"/>
      <c r="D168" s="3529"/>
      <c r="E168" s="3529"/>
      <c r="F168" s="3530"/>
      <c r="G168" s="3561"/>
      <c r="H168" s="3562"/>
      <c r="I168" s="3532"/>
      <c r="J168" s="3533"/>
      <c r="K168" s="3534"/>
      <c r="L168" s="3535"/>
      <c r="M168" s="3536"/>
      <c r="N168" s="3535"/>
      <c r="O168" s="3535"/>
      <c r="P168" s="3535"/>
      <c r="Q168" s="3535"/>
      <c r="R168" s="3535"/>
      <c r="S168" s="3535"/>
      <c r="T168" s="3535"/>
      <c r="U168" s="3535"/>
      <c r="V168" s="3535"/>
      <c r="W168" s="3535"/>
      <c r="X168" s="3535"/>
      <c r="Y168" s="3535"/>
      <c r="Z168" s="3535"/>
      <c r="AA168" s="3568"/>
      <c r="AB168" s="3536"/>
      <c r="AC168" s="3535"/>
      <c r="AD168" s="3571"/>
      <c r="AE168" s="3573"/>
      <c r="AF168" s="3574"/>
      <c r="AG168" s="3576"/>
      <c r="AH168" s="3535"/>
      <c r="AI168" s="3535"/>
      <c r="AJ168" s="3574"/>
      <c r="AK168" s="3535"/>
      <c r="AL168" s="3579"/>
      <c r="AM168" s="3581"/>
      <c r="AN168" s="3581">
        <f>IF(ExpComps_LenderTable[[#This Row], [R&amp;M]]+ExpComps_LenderTable[[#This Row], [Payroll]]&gt;0,ExpComps_LenderTable[[#This Row], [R&amp;M]]+ExpComps_LenderTable[[#This Row], [Payroll]],"")</f>
      </c>
      <c r="AO16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8" s="6"/>
      <c r="AQ168" s="6"/>
      <c r="AR168" s="6"/>
    </row>
    <row r="169" ht="13.5" customHeight="1" hidden="1">
      <c r="B169" s="3560">
        <v>158</v>
      </c>
      <c r="C169" s="3529"/>
      <c r="D169" s="3529"/>
      <c r="E169" s="3529"/>
      <c r="F169" s="3530"/>
      <c r="G169" s="3561"/>
      <c r="H169" s="3562"/>
      <c r="I169" s="3532"/>
      <c r="J169" s="3533"/>
      <c r="K169" s="3534"/>
      <c r="L169" s="3535"/>
      <c r="M169" s="3536"/>
      <c r="N169" s="3535"/>
      <c r="O169" s="3535"/>
      <c r="P169" s="3535"/>
      <c r="Q169" s="3535"/>
      <c r="R169" s="3535"/>
      <c r="S169" s="3535"/>
      <c r="T169" s="3535"/>
      <c r="U169" s="3535"/>
      <c r="V169" s="3535"/>
      <c r="W169" s="3535"/>
      <c r="X169" s="3535"/>
      <c r="Y169" s="3535"/>
      <c r="Z169" s="3535"/>
      <c r="AA169" s="3568"/>
      <c r="AB169" s="3536"/>
      <c r="AC169" s="3535"/>
      <c r="AD169" s="3571"/>
      <c r="AE169" s="3573"/>
      <c r="AF169" s="3574"/>
      <c r="AG169" s="3576"/>
      <c r="AH169" s="3535"/>
      <c r="AI169" s="3535"/>
      <c r="AJ169" s="3574"/>
      <c r="AK169" s="3535"/>
      <c r="AL169" s="3579"/>
      <c r="AM169" s="3581"/>
      <c r="AN169" s="3581">
        <f>IF(ExpComps_LenderTable[[#This Row], [R&amp;M]]+ExpComps_LenderTable[[#This Row], [Payroll]]&gt;0,ExpComps_LenderTable[[#This Row], [R&amp;M]]+ExpComps_LenderTable[[#This Row], [Payroll]],"")</f>
      </c>
      <c r="AO16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69" s="6"/>
      <c r="AQ169" s="6"/>
      <c r="AR169" s="6"/>
    </row>
    <row r="170" ht="13.5" customHeight="1" hidden="1">
      <c r="B170" s="3560">
        <v>159</v>
      </c>
      <c r="C170" s="3529"/>
      <c r="D170" s="3529"/>
      <c r="E170" s="3529"/>
      <c r="F170" s="3530"/>
      <c r="G170" s="3561"/>
      <c r="H170" s="3562"/>
      <c r="I170" s="3532"/>
      <c r="J170" s="3533"/>
      <c r="K170" s="3534"/>
      <c r="L170" s="3535"/>
      <c r="M170" s="3536"/>
      <c r="N170" s="3535"/>
      <c r="O170" s="3535"/>
      <c r="P170" s="3535"/>
      <c r="Q170" s="3535"/>
      <c r="R170" s="3535"/>
      <c r="S170" s="3535"/>
      <c r="T170" s="3535"/>
      <c r="U170" s="3535"/>
      <c r="V170" s="3535"/>
      <c r="W170" s="3535"/>
      <c r="X170" s="3535"/>
      <c r="Y170" s="3535"/>
      <c r="Z170" s="3535"/>
      <c r="AA170" s="3568"/>
      <c r="AB170" s="3536"/>
      <c r="AC170" s="3535"/>
      <c r="AD170" s="3571"/>
      <c r="AE170" s="3573"/>
      <c r="AF170" s="3574"/>
      <c r="AG170" s="3576"/>
      <c r="AH170" s="3535"/>
      <c r="AI170" s="3535"/>
      <c r="AJ170" s="3574"/>
      <c r="AK170" s="3535"/>
      <c r="AL170" s="3579"/>
      <c r="AM170" s="3581"/>
      <c r="AN170" s="3581">
        <f>IF(ExpComps_LenderTable[[#This Row], [R&amp;M]]+ExpComps_LenderTable[[#This Row], [Payroll]]&gt;0,ExpComps_LenderTable[[#This Row], [R&amp;M]]+ExpComps_LenderTable[[#This Row], [Payroll]],"")</f>
      </c>
      <c r="AO17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0" s="6"/>
      <c r="AQ170" s="6"/>
      <c r="AR170" s="6"/>
    </row>
    <row r="171" ht="13.5" customHeight="1" hidden="1">
      <c r="B171" s="3560">
        <v>160</v>
      </c>
      <c r="C171" s="3529"/>
      <c r="D171" s="3529"/>
      <c r="E171" s="3529"/>
      <c r="F171" s="3530"/>
      <c r="G171" s="3561"/>
      <c r="H171" s="3562"/>
      <c r="I171" s="3532"/>
      <c r="J171" s="3533"/>
      <c r="K171" s="3534"/>
      <c r="L171" s="3535"/>
      <c r="M171" s="3536"/>
      <c r="N171" s="3535"/>
      <c r="O171" s="3535"/>
      <c r="P171" s="3535"/>
      <c r="Q171" s="3535"/>
      <c r="R171" s="3535"/>
      <c r="S171" s="3535"/>
      <c r="T171" s="3535"/>
      <c r="U171" s="3535"/>
      <c r="V171" s="3535"/>
      <c r="W171" s="3535"/>
      <c r="X171" s="3535"/>
      <c r="Y171" s="3535"/>
      <c r="Z171" s="3535"/>
      <c r="AA171" s="3568"/>
      <c r="AB171" s="3536"/>
      <c r="AC171" s="3535"/>
      <c r="AD171" s="3571"/>
      <c r="AE171" s="3573"/>
      <c r="AF171" s="3574"/>
      <c r="AG171" s="3576"/>
      <c r="AH171" s="3535"/>
      <c r="AI171" s="3535"/>
      <c r="AJ171" s="3574"/>
      <c r="AK171" s="3535"/>
      <c r="AL171" s="3579"/>
      <c r="AM171" s="3581"/>
      <c r="AN171" s="3581">
        <f>IF(ExpComps_LenderTable[[#This Row], [R&amp;M]]+ExpComps_LenderTable[[#This Row], [Payroll]]&gt;0,ExpComps_LenderTable[[#This Row], [R&amp;M]]+ExpComps_LenderTable[[#This Row], [Payroll]],"")</f>
      </c>
      <c r="AO17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1" s="6"/>
      <c r="AQ171" s="6"/>
      <c r="AR171" s="6"/>
    </row>
    <row r="172" ht="13.5" customHeight="1" hidden="1">
      <c r="B172" s="3560">
        <v>161</v>
      </c>
      <c r="C172" s="3529"/>
      <c r="D172" s="3529"/>
      <c r="E172" s="3529"/>
      <c r="F172" s="3530"/>
      <c r="G172" s="3561"/>
      <c r="H172" s="3562"/>
      <c r="I172" s="3532"/>
      <c r="J172" s="3533"/>
      <c r="K172" s="3534"/>
      <c r="L172" s="3535"/>
      <c r="M172" s="3536"/>
      <c r="N172" s="3535"/>
      <c r="O172" s="3535"/>
      <c r="P172" s="3535"/>
      <c r="Q172" s="3535"/>
      <c r="R172" s="3535"/>
      <c r="S172" s="3535"/>
      <c r="T172" s="3535"/>
      <c r="U172" s="3535"/>
      <c r="V172" s="3535"/>
      <c r="W172" s="3535"/>
      <c r="X172" s="3535"/>
      <c r="Y172" s="3535"/>
      <c r="Z172" s="3535"/>
      <c r="AA172" s="3568"/>
      <c r="AB172" s="3536"/>
      <c r="AC172" s="3535"/>
      <c r="AD172" s="3571"/>
      <c r="AE172" s="3573"/>
      <c r="AF172" s="3574"/>
      <c r="AG172" s="3576"/>
      <c r="AH172" s="3535"/>
      <c r="AI172" s="3535"/>
      <c r="AJ172" s="3574"/>
      <c r="AK172" s="3535"/>
      <c r="AL172" s="3579"/>
      <c r="AM172" s="3581"/>
      <c r="AN172" s="3581">
        <f>IF(ExpComps_LenderTable[[#This Row], [R&amp;M]]+ExpComps_LenderTable[[#This Row], [Payroll]]&gt;0,ExpComps_LenderTable[[#This Row], [R&amp;M]]+ExpComps_LenderTable[[#This Row], [Payroll]],"")</f>
      </c>
      <c r="AO17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2" s="6"/>
      <c r="AQ172" s="6"/>
      <c r="AR172" s="6"/>
    </row>
    <row r="173" ht="13.5" customHeight="1" hidden="1">
      <c r="B173" s="3560">
        <v>162</v>
      </c>
      <c r="C173" s="3529"/>
      <c r="D173" s="3529"/>
      <c r="E173" s="3529"/>
      <c r="F173" s="3530"/>
      <c r="G173" s="3561"/>
      <c r="H173" s="3562"/>
      <c r="I173" s="3532"/>
      <c r="J173" s="3533"/>
      <c r="K173" s="3534"/>
      <c r="L173" s="3535"/>
      <c r="M173" s="3536"/>
      <c r="N173" s="3535"/>
      <c r="O173" s="3535"/>
      <c r="P173" s="3535"/>
      <c r="Q173" s="3535"/>
      <c r="R173" s="3535"/>
      <c r="S173" s="3535"/>
      <c r="T173" s="3535"/>
      <c r="U173" s="3535"/>
      <c r="V173" s="3535"/>
      <c r="W173" s="3535"/>
      <c r="X173" s="3535"/>
      <c r="Y173" s="3535"/>
      <c r="Z173" s="3535"/>
      <c r="AA173" s="3568"/>
      <c r="AB173" s="3536"/>
      <c r="AC173" s="3535"/>
      <c r="AD173" s="3571"/>
      <c r="AE173" s="3573"/>
      <c r="AF173" s="3574"/>
      <c r="AG173" s="3576"/>
      <c r="AH173" s="3535"/>
      <c r="AI173" s="3535"/>
      <c r="AJ173" s="3574"/>
      <c r="AK173" s="3535"/>
      <c r="AL173" s="3579"/>
      <c r="AM173" s="3581"/>
      <c r="AN173" s="3581">
        <f>IF(ExpComps_LenderTable[[#This Row], [R&amp;M]]+ExpComps_LenderTable[[#This Row], [Payroll]]&gt;0,ExpComps_LenderTable[[#This Row], [R&amp;M]]+ExpComps_LenderTable[[#This Row], [Payroll]],"")</f>
      </c>
      <c r="AO17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3" s="6"/>
      <c r="AQ173" s="6"/>
      <c r="AR173" s="6"/>
    </row>
    <row r="174" ht="13.5" customHeight="1" hidden="1">
      <c r="B174" s="3560">
        <v>163</v>
      </c>
      <c r="C174" s="3529"/>
      <c r="D174" s="3529"/>
      <c r="E174" s="3529"/>
      <c r="F174" s="3530"/>
      <c r="G174" s="3561"/>
      <c r="H174" s="3562"/>
      <c r="I174" s="3532"/>
      <c r="J174" s="3533"/>
      <c r="K174" s="3534"/>
      <c r="L174" s="3535"/>
      <c r="M174" s="3536"/>
      <c r="N174" s="3535"/>
      <c r="O174" s="3535"/>
      <c r="P174" s="3535"/>
      <c r="Q174" s="3535"/>
      <c r="R174" s="3535"/>
      <c r="S174" s="3535"/>
      <c r="T174" s="3535"/>
      <c r="U174" s="3535"/>
      <c r="V174" s="3535"/>
      <c r="W174" s="3535"/>
      <c r="X174" s="3535"/>
      <c r="Y174" s="3535"/>
      <c r="Z174" s="3535"/>
      <c r="AA174" s="3568"/>
      <c r="AB174" s="3536"/>
      <c r="AC174" s="3535"/>
      <c r="AD174" s="3571"/>
      <c r="AE174" s="3573"/>
      <c r="AF174" s="3574"/>
      <c r="AG174" s="3576"/>
      <c r="AH174" s="3535"/>
      <c r="AI174" s="3535"/>
      <c r="AJ174" s="3574"/>
      <c r="AK174" s="3535"/>
      <c r="AL174" s="3579"/>
      <c r="AM174" s="3581"/>
      <c r="AN174" s="3581">
        <f>IF(ExpComps_LenderTable[[#This Row], [R&amp;M]]+ExpComps_LenderTable[[#This Row], [Payroll]]&gt;0,ExpComps_LenderTable[[#This Row], [R&amp;M]]+ExpComps_LenderTable[[#This Row], [Payroll]],"")</f>
      </c>
      <c r="AO17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4" s="6"/>
      <c r="AQ174" s="6"/>
      <c r="AR174" s="6"/>
    </row>
    <row r="175" ht="13.5" customHeight="1" hidden="1">
      <c r="B175" s="3560">
        <v>164</v>
      </c>
      <c r="C175" s="3529"/>
      <c r="D175" s="3529"/>
      <c r="E175" s="3529"/>
      <c r="F175" s="3530"/>
      <c r="G175" s="3561"/>
      <c r="H175" s="3562"/>
      <c r="I175" s="3532"/>
      <c r="J175" s="3533"/>
      <c r="K175" s="3534"/>
      <c r="L175" s="3535"/>
      <c r="M175" s="3536"/>
      <c r="N175" s="3535"/>
      <c r="O175" s="3535"/>
      <c r="P175" s="3535"/>
      <c r="Q175" s="3535"/>
      <c r="R175" s="3535"/>
      <c r="S175" s="3535"/>
      <c r="T175" s="3535"/>
      <c r="U175" s="3535"/>
      <c r="V175" s="3535"/>
      <c r="W175" s="3535"/>
      <c r="X175" s="3535"/>
      <c r="Y175" s="3535"/>
      <c r="Z175" s="3535"/>
      <c r="AA175" s="3568"/>
      <c r="AB175" s="3536"/>
      <c r="AC175" s="3535"/>
      <c r="AD175" s="3571"/>
      <c r="AE175" s="3573"/>
      <c r="AF175" s="3574"/>
      <c r="AG175" s="3576"/>
      <c r="AH175" s="3535"/>
      <c r="AI175" s="3535"/>
      <c r="AJ175" s="3574"/>
      <c r="AK175" s="3535"/>
      <c r="AL175" s="3579"/>
      <c r="AM175" s="3581"/>
      <c r="AN175" s="3581">
        <f>IF(ExpComps_LenderTable[[#This Row], [R&amp;M]]+ExpComps_LenderTable[[#This Row], [Payroll]]&gt;0,ExpComps_LenderTable[[#This Row], [R&amp;M]]+ExpComps_LenderTable[[#This Row], [Payroll]],"")</f>
      </c>
      <c r="AO17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5" s="6"/>
      <c r="AQ175" s="6"/>
      <c r="AR175" s="6"/>
    </row>
    <row r="176" ht="13.5" customHeight="1" hidden="1">
      <c r="B176" s="3560">
        <v>165</v>
      </c>
      <c r="C176" s="3529"/>
      <c r="D176" s="3529"/>
      <c r="E176" s="3529"/>
      <c r="F176" s="3530"/>
      <c r="G176" s="3561"/>
      <c r="H176" s="3562"/>
      <c r="I176" s="3532"/>
      <c r="J176" s="3533"/>
      <c r="K176" s="3534"/>
      <c r="L176" s="3535"/>
      <c r="M176" s="3536"/>
      <c r="N176" s="3535"/>
      <c r="O176" s="3535"/>
      <c r="P176" s="3535"/>
      <c r="Q176" s="3535"/>
      <c r="R176" s="3535"/>
      <c r="S176" s="3535"/>
      <c r="T176" s="3535"/>
      <c r="U176" s="3535"/>
      <c r="V176" s="3535"/>
      <c r="W176" s="3535"/>
      <c r="X176" s="3535"/>
      <c r="Y176" s="3535"/>
      <c r="Z176" s="3535"/>
      <c r="AA176" s="3568"/>
      <c r="AB176" s="3536"/>
      <c r="AC176" s="3535"/>
      <c r="AD176" s="3571"/>
      <c r="AE176" s="3573"/>
      <c r="AF176" s="3574"/>
      <c r="AG176" s="3576"/>
      <c r="AH176" s="3535"/>
      <c r="AI176" s="3535"/>
      <c r="AJ176" s="3574"/>
      <c r="AK176" s="3535"/>
      <c r="AL176" s="3579"/>
      <c r="AM176" s="3581"/>
      <c r="AN176" s="3581">
        <f>IF(ExpComps_LenderTable[[#This Row], [R&amp;M]]+ExpComps_LenderTable[[#This Row], [Payroll]]&gt;0,ExpComps_LenderTable[[#This Row], [R&amp;M]]+ExpComps_LenderTable[[#This Row], [Payroll]],"")</f>
      </c>
      <c r="AO17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6" s="6"/>
      <c r="AQ176" s="6"/>
      <c r="AR176" s="6"/>
    </row>
    <row r="177" ht="13.5" customHeight="1" hidden="1">
      <c r="B177" s="3560">
        <v>166</v>
      </c>
      <c r="C177" s="3529"/>
      <c r="D177" s="3529"/>
      <c r="E177" s="3529"/>
      <c r="F177" s="3530"/>
      <c r="G177" s="3561"/>
      <c r="H177" s="3562"/>
      <c r="I177" s="3532"/>
      <c r="J177" s="3533"/>
      <c r="K177" s="3534"/>
      <c r="L177" s="3535"/>
      <c r="M177" s="3536"/>
      <c r="N177" s="3535"/>
      <c r="O177" s="3535"/>
      <c r="P177" s="3535"/>
      <c r="Q177" s="3535"/>
      <c r="R177" s="3535"/>
      <c r="S177" s="3535"/>
      <c r="T177" s="3535"/>
      <c r="U177" s="3535"/>
      <c r="V177" s="3535"/>
      <c r="W177" s="3535"/>
      <c r="X177" s="3535"/>
      <c r="Y177" s="3535"/>
      <c r="Z177" s="3535"/>
      <c r="AA177" s="3568"/>
      <c r="AB177" s="3536"/>
      <c r="AC177" s="3535"/>
      <c r="AD177" s="3571"/>
      <c r="AE177" s="3573"/>
      <c r="AF177" s="3574"/>
      <c r="AG177" s="3576"/>
      <c r="AH177" s="3535"/>
      <c r="AI177" s="3535"/>
      <c r="AJ177" s="3574"/>
      <c r="AK177" s="3535"/>
      <c r="AL177" s="3579"/>
      <c r="AM177" s="3581"/>
      <c r="AN177" s="3581">
        <f>IF(ExpComps_LenderTable[[#This Row], [R&amp;M]]+ExpComps_LenderTable[[#This Row], [Payroll]]&gt;0,ExpComps_LenderTable[[#This Row], [R&amp;M]]+ExpComps_LenderTable[[#This Row], [Payroll]],"")</f>
      </c>
      <c r="AO17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7" s="6"/>
      <c r="AQ177" s="6"/>
      <c r="AR177" s="6"/>
    </row>
    <row r="178" ht="13.5" customHeight="1" hidden="1">
      <c r="B178" s="3560">
        <v>167</v>
      </c>
      <c r="C178" s="3529"/>
      <c r="D178" s="3529"/>
      <c r="E178" s="3529"/>
      <c r="F178" s="3530"/>
      <c r="G178" s="3561"/>
      <c r="H178" s="3562"/>
      <c r="I178" s="3532"/>
      <c r="J178" s="3533"/>
      <c r="K178" s="3534"/>
      <c r="L178" s="3535"/>
      <c r="M178" s="3536"/>
      <c r="N178" s="3535"/>
      <c r="O178" s="3535"/>
      <c r="P178" s="3535"/>
      <c r="Q178" s="3535"/>
      <c r="R178" s="3535"/>
      <c r="S178" s="3535"/>
      <c r="T178" s="3535"/>
      <c r="U178" s="3535"/>
      <c r="V178" s="3535"/>
      <c r="W178" s="3535"/>
      <c r="X178" s="3535"/>
      <c r="Y178" s="3535"/>
      <c r="Z178" s="3535"/>
      <c r="AA178" s="3568"/>
      <c r="AB178" s="3536"/>
      <c r="AC178" s="3535"/>
      <c r="AD178" s="3571"/>
      <c r="AE178" s="3573"/>
      <c r="AF178" s="3574"/>
      <c r="AG178" s="3576"/>
      <c r="AH178" s="3535"/>
      <c r="AI178" s="3535"/>
      <c r="AJ178" s="3574"/>
      <c r="AK178" s="3535"/>
      <c r="AL178" s="3579"/>
      <c r="AM178" s="3581"/>
      <c r="AN178" s="3581">
        <f>IF(ExpComps_LenderTable[[#This Row], [R&amp;M]]+ExpComps_LenderTable[[#This Row], [Payroll]]&gt;0,ExpComps_LenderTable[[#This Row], [R&amp;M]]+ExpComps_LenderTable[[#This Row], [Payroll]],"")</f>
      </c>
      <c r="AO17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8" s="6"/>
      <c r="AQ178" s="6"/>
      <c r="AR178" s="6"/>
    </row>
    <row r="179" ht="13.5" customHeight="1" hidden="1">
      <c r="B179" s="3560">
        <v>168</v>
      </c>
      <c r="C179" s="3529"/>
      <c r="D179" s="3529"/>
      <c r="E179" s="3529"/>
      <c r="F179" s="3530"/>
      <c r="G179" s="3561"/>
      <c r="H179" s="3562"/>
      <c r="I179" s="3532"/>
      <c r="J179" s="3533"/>
      <c r="K179" s="3534"/>
      <c r="L179" s="3535"/>
      <c r="M179" s="3536"/>
      <c r="N179" s="3535"/>
      <c r="O179" s="3535"/>
      <c r="P179" s="3535"/>
      <c r="Q179" s="3535"/>
      <c r="R179" s="3535"/>
      <c r="S179" s="3535"/>
      <c r="T179" s="3535"/>
      <c r="U179" s="3535"/>
      <c r="V179" s="3535"/>
      <c r="W179" s="3535"/>
      <c r="X179" s="3535"/>
      <c r="Y179" s="3535"/>
      <c r="Z179" s="3535"/>
      <c r="AA179" s="3568"/>
      <c r="AB179" s="3536"/>
      <c r="AC179" s="3535"/>
      <c r="AD179" s="3571"/>
      <c r="AE179" s="3573"/>
      <c r="AF179" s="3574"/>
      <c r="AG179" s="3576"/>
      <c r="AH179" s="3535"/>
      <c r="AI179" s="3535"/>
      <c r="AJ179" s="3574"/>
      <c r="AK179" s="3535"/>
      <c r="AL179" s="3579"/>
      <c r="AM179" s="3581"/>
      <c r="AN179" s="3581">
        <f>IF(ExpComps_LenderTable[[#This Row], [R&amp;M]]+ExpComps_LenderTable[[#This Row], [Payroll]]&gt;0,ExpComps_LenderTable[[#This Row], [R&amp;M]]+ExpComps_LenderTable[[#This Row], [Payroll]],"")</f>
      </c>
      <c r="AO17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79" s="6"/>
      <c r="AQ179" s="6"/>
      <c r="AR179" s="6"/>
    </row>
    <row r="180" ht="13.5" customHeight="1" hidden="1">
      <c r="B180" s="3560">
        <v>169</v>
      </c>
      <c r="C180" s="3529"/>
      <c r="D180" s="3529"/>
      <c r="E180" s="3529"/>
      <c r="F180" s="3530"/>
      <c r="G180" s="3561"/>
      <c r="H180" s="3562"/>
      <c r="I180" s="3532"/>
      <c r="J180" s="3533"/>
      <c r="K180" s="3534"/>
      <c r="L180" s="3535"/>
      <c r="M180" s="3536"/>
      <c r="N180" s="3535"/>
      <c r="O180" s="3535"/>
      <c r="P180" s="3535"/>
      <c r="Q180" s="3535"/>
      <c r="R180" s="3535"/>
      <c r="S180" s="3535"/>
      <c r="T180" s="3535"/>
      <c r="U180" s="3535"/>
      <c r="V180" s="3535"/>
      <c r="W180" s="3535"/>
      <c r="X180" s="3535"/>
      <c r="Y180" s="3535"/>
      <c r="Z180" s="3535"/>
      <c r="AA180" s="3568"/>
      <c r="AB180" s="3536"/>
      <c r="AC180" s="3535"/>
      <c r="AD180" s="3571"/>
      <c r="AE180" s="3573"/>
      <c r="AF180" s="3574"/>
      <c r="AG180" s="3576"/>
      <c r="AH180" s="3535"/>
      <c r="AI180" s="3535"/>
      <c r="AJ180" s="3574"/>
      <c r="AK180" s="3535"/>
      <c r="AL180" s="3579"/>
      <c r="AM180" s="3581"/>
      <c r="AN180" s="3581">
        <f>IF(ExpComps_LenderTable[[#This Row], [R&amp;M]]+ExpComps_LenderTable[[#This Row], [Payroll]]&gt;0,ExpComps_LenderTable[[#This Row], [R&amp;M]]+ExpComps_LenderTable[[#This Row], [Payroll]],"")</f>
      </c>
      <c r="AO18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0" s="6"/>
      <c r="AQ180" s="6"/>
      <c r="AR180" s="6"/>
    </row>
    <row r="181" ht="13.5" customHeight="1" hidden="1">
      <c r="B181" s="3560">
        <v>170</v>
      </c>
      <c r="C181" s="3529"/>
      <c r="D181" s="3529"/>
      <c r="E181" s="3529"/>
      <c r="F181" s="3530"/>
      <c r="G181" s="3561"/>
      <c r="H181" s="3562"/>
      <c r="I181" s="3532"/>
      <c r="J181" s="3533"/>
      <c r="K181" s="3534"/>
      <c r="L181" s="3535"/>
      <c r="M181" s="3536"/>
      <c r="N181" s="3535"/>
      <c r="O181" s="3535"/>
      <c r="P181" s="3535"/>
      <c r="Q181" s="3535"/>
      <c r="R181" s="3535"/>
      <c r="S181" s="3535"/>
      <c r="T181" s="3535"/>
      <c r="U181" s="3535"/>
      <c r="V181" s="3535"/>
      <c r="W181" s="3535"/>
      <c r="X181" s="3535"/>
      <c r="Y181" s="3535"/>
      <c r="Z181" s="3535"/>
      <c r="AA181" s="3568"/>
      <c r="AB181" s="3536"/>
      <c r="AC181" s="3535"/>
      <c r="AD181" s="3571"/>
      <c r="AE181" s="3573"/>
      <c r="AF181" s="3574"/>
      <c r="AG181" s="3576"/>
      <c r="AH181" s="3535"/>
      <c r="AI181" s="3535"/>
      <c r="AJ181" s="3574"/>
      <c r="AK181" s="3535"/>
      <c r="AL181" s="3579"/>
      <c r="AM181" s="3581"/>
      <c r="AN181" s="3581">
        <f>IF(ExpComps_LenderTable[[#This Row], [R&amp;M]]+ExpComps_LenderTable[[#This Row], [Payroll]]&gt;0,ExpComps_LenderTable[[#This Row], [R&amp;M]]+ExpComps_LenderTable[[#This Row], [Payroll]],"")</f>
      </c>
      <c r="AO18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1" s="6"/>
      <c r="AQ181" s="6"/>
      <c r="AR181" s="6"/>
    </row>
    <row r="182" ht="13.5" customHeight="1" hidden="1">
      <c r="B182" s="3560">
        <v>171</v>
      </c>
      <c r="C182" s="3529"/>
      <c r="D182" s="3529"/>
      <c r="E182" s="3529"/>
      <c r="F182" s="3530"/>
      <c r="G182" s="3561"/>
      <c r="H182" s="3562"/>
      <c r="I182" s="3532"/>
      <c r="J182" s="3533"/>
      <c r="K182" s="3534"/>
      <c r="L182" s="3535"/>
      <c r="M182" s="3536"/>
      <c r="N182" s="3535"/>
      <c r="O182" s="3535"/>
      <c r="P182" s="3535"/>
      <c r="Q182" s="3535"/>
      <c r="R182" s="3535"/>
      <c r="S182" s="3535"/>
      <c r="T182" s="3535"/>
      <c r="U182" s="3535"/>
      <c r="V182" s="3535"/>
      <c r="W182" s="3535"/>
      <c r="X182" s="3535"/>
      <c r="Y182" s="3535"/>
      <c r="Z182" s="3535"/>
      <c r="AA182" s="3568"/>
      <c r="AB182" s="3536"/>
      <c r="AC182" s="3535"/>
      <c r="AD182" s="3571"/>
      <c r="AE182" s="3573"/>
      <c r="AF182" s="3574"/>
      <c r="AG182" s="3576"/>
      <c r="AH182" s="3535"/>
      <c r="AI182" s="3535"/>
      <c r="AJ182" s="3574"/>
      <c r="AK182" s="3535"/>
      <c r="AL182" s="3579"/>
      <c r="AM182" s="3581"/>
      <c r="AN182" s="3581">
        <f>IF(ExpComps_LenderTable[[#This Row], [R&amp;M]]+ExpComps_LenderTable[[#This Row], [Payroll]]&gt;0,ExpComps_LenderTable[[#This Row], [R&amp;M]]+ExpComps_LenderTable[[#This Row], [Payroll]],"")</f>
      </c>
      <c r="AO18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2" s="6"/>
      <c r="AQ182" s="6"/>
      <c r="AR182" s="6"/>
    </row>
    <row r="183" ht="13.5" customHeight="1" hidden="1">
      <c r="B183" s="3560">
        <v>172</v>
      </c>
      <c r="C183" s="3529"/>
      <c r="D183" s="3529"/>
      <c r="E183" s="3529"/>
      <c r="F183" s="3530"/>
      <c r="G183" s="3561"/>
      <c r="H183" s="3562"/>
      <c r="I183" s="3532"/>
      <c r="J183" s="3533"/>
      <c r="K183" s="3534"/>
      <c r="L183" s="3535"/>
      <c r="M183" s="3536"/>
      <c r="N183" s="3535"/>
      <c r="O183" s="3535"/>
      <c r="P183" s="3535"/>
      <c r="Q183" s="3535"/>
      <c r="R183" s="3535"/>
      <c r="S183" s="3535"/>
      <c r="T183" s="3535"/>
      <c r="U183" s="3535"/>
      <c r="V183" s="3535"/>
      <c r="W183" s="3535"/>
      <c r="X183" s="3535"/>
      <c r="Y183" s="3535"/>
      <c r="Z183" s="3535"/>
      <c r="AA183" s="3568"/>
      <c r="AB183" s="3536"/>
      <c r="AC183" s="3535"/>
      <c r="AD183" s="3571"/>
      <c r="AE183" s="3573"/>
      <c r="AF183" s="3574"/>
      <c r="AG183" s="3576"/>
      <c r="AH183" s="3535"/>
      <c r="AI183" s="3535"/>
      <c r="AJ183" s="3574"/>
      <c r="AK183" s="3535"/>
      <c r="AL183" s="3579"/>
      <c r="AM183" s="3581"/>
      <c r="AN183" s="3581">
        <f>IF(ExpComps_LenderTable[[#This Row], [R&amp;M]]+ExpComps_LenderTable[[#This Row], [Payroll]]&gt;0,ExpComps_LenderTable[[#This Row], [R&amp;M]]+ExpComps_LenderTable[[#This Row], [Payroll]],"")</f>
      </c>
      <c r="AO18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3" s="6"/>
      <c r="AQ183" s="6"/>
      <c r="AR183" s="6"/>
    </row>
    <row r="184" ht="13.5" customHeight="1" hidden="1">
      <c r="B184" s="3560">
        <v>173</v>
      </c>
      <c r="C184" s="3529"/>
      <c r="D184" s="3529"/>
      <c r="E184" s="3529"/>
      <c r="F184" s="3530"/>
      <c r="G184" s="3561"/>
      <c r="H184" s="3562"/>
      <c r="I184" s="3532"/>
      <c r="J184" s="3533"/>
      <c r="K184" s="3534"/>
      <c r="L184" s="3535"/>
      <c r="M184" s="3536"/>
      <c r="N184" s="3535"/>
      <c r="O184" s="3535"/>
      <c r="P184" s="3535"/>
      <c r="Q184" s="3535"/>
      <c r="R184" s="3535"/>
      <c r="S184" s="3535"/>
      <c r="T184" s="3535"/>
      <c r="U184" s="3535"/>
      <c r="V184" s="3535"/>
      <c r="W184" s="3535"/>
      <c r="X184" s="3535"/>
      <c r="Y184" s="3535"/>
      <c r="Z184" s="3535"/>
      <c r="AA184" s="3568"/>
      <c r="AB184" s="3536"/>
      <c r="AC184" s="3535"/>
      <c r="AD184" s="3571"/>
      <c r="AE184" s="3573"/>
      <c r="AF184" s="3574"/>
      <c r="AG184" s="3576"/>
      <c r="AH184" s="3535"/>
      <c r="AI184" s="3535"/>
      <c r="AJ184" s="3574"/>
      <c r="AK184" s="3535"/>
      <c r="AL184" s="3579"/>
      <c r="AM184" s="3581"/>
      <c r="AN184" s="3581">
        <f>IF(ExpComps_LenderTable[[#This Row], [R&amp;M]]+ExpComps_LenderTable[[#This Row], [Payroll]]&gt;0,ExpComps_LenderTable[[#This Row], [R&amp;M]]+ExpComps_LenderTable[[#This Row], [Payroll]],"")</f>
      </c>
      <c r="AO18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4" s="6"/>
      <c r="AQ184" s="6"/>
      <c r="AR184" s="6"/>
    </row>
    <row r="185" ht="13.5" customHeight="1" hidden="1">
      <c r="B185" s="3560">
        <v>174</v>
      </c>
      <c r="C185" s="3529"/>
      <c r="D185" s="3529"/>
      <c r="E185" s="3529"/>
      <c r="F185" s="3530"/>
      <c r="G185" s="3561"/>
      <c r="H185" s="3562"/>
      <c r="I185" s="3532"/>
      <c r="J185" s="3533"/>
      <c r="K185" s="3534"/>
      <c r="L185" s="3535"/>
      <c r="M185" s="3536"/>
      <c r="N185" s="3535"/>
      <c r="O185" s="3535"/>
      <c r="P185" s="3535"/>
      <c r="Q185" s="3535"/>
      <c r="R185" s="3535"/>
      <c r="S185" s="3535"/>
      <c r="T185" s="3535"/>
      <c r="U185" s="3535"/>
      <c r="V185" s="3535"/>
      <c r="W185" s="3535"/>
      <c r="X185" s="3535"/>
      <c r="Y185" s="3535"/>
      <c r="Z185" s="3535"/>
      <c r="AA185" s="3568"/>
      <c r="AB185" s="3536"/>
      <c r="AC185" s="3535"/>
      <c r="AD185" s="3571"/>
      <c r="AE185" s="3573"/>
      <c r="AF185" s="3574"/>
      <c r="AG185" s="3576"/>
      <c r="AH185" s="3535"/>
      <c r="AI185" s="3535"/>
      <c r="AJ185" s="3574"/>
      <c r="AK185" s="3535"/>
      <c r="AL185" s="3579"/>
      <c r="AM185" s="3581"/>
      <c r="AN185" s="3581">
        <f>IF(ExpComps_LenderTable[[#This Row], [R&amp;M]]+ExpComps_LenderTable[[#This Row], [Payroll]]&gt;0,ExpComps_LenderTable[[#This Row], [R&amp;M]]+ExpComps_LenderTable[[#This Row], [Payroll]],"")</f>
      </c>
      <c r="AO18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5" s="6"/>
      <c r="AQ185" s="6"/>
      <c r="AR185" s="6"/>
    </row>
    <row r="186" ht="13.5" customHeight="1" hidden="1">
      <c r="B186" s="3560">
        <v>175</v>
      </c>
      <c r="C186" s="3529"/>
      <c r="D186" s="3529"/>
      <c r="E186" s="3529"/>
      <c r="F186" s="3530"/>
      <c r="G186" s="3561"/>
      <c r="H186" s="3562"/>
      <c r="I186" s="3532"/>
      <c r="J186" s="3533"/>
      <c r="K186" s="3534"/>
      <c r="L186" s="3535"/>
      <c r="M186" s="3536"/>
      <c r="N186" s="3535"/>
      <c r="O186" s="3535"/>
      <c r="P186" s="3535"/>
      <c r="Q186" s="3535"/>
      <c r="R186" s="3535"/>
      <c r="S186" s="3535"/>
      <c r="T186" s="3535"/>
      <c r="U186" s="3535"/>
      <c r="V186" s="3535"/>
      <c r="W186" s="3535"/>
      <c r="X186" s="3535"/>
      <c r="Y186" s="3535"/>
      <c r="Z186" s="3535"/>
      <c r="AA186" s="3568"/>
      <c r="AB186" s="3536"/>
      <c r="AC186" s="3535"/>
      <c r="AD186" s="3571"/>
      <c r="AE186" s="3573"/>
      <c r="AF186" s="3574"/>
      <c r="AG186" s="3576"/>
      <c r="AH186" s="3535"/>
      <c r="AI186" s="3535"/>
      <c r="AJ186" s="3574"/>
      <c r="AK186" s="3535"/>
      <c r="AL186" s="3579"/>
      <c r="AM186" s="3581"/>
      <c r="AN186" s="3581">
        <f>IF(ExpComps_LenderTable[[#This Row], [R&amp;M]]+ExpComps_LenderTable[[#This Row], [Payroll]]&gt;0,ExpComps_LenderTable[[#This Row], [R&amp;M]]+ExpComps_LenderTable[[#This Row], [Payroll]],"")</f>
      </c>
      <c r="AO18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6" s="6"/>
      <c r="AQ186" s="6"/>
      <c r="AR186" s="6"/>
    </row>
    <row r="187" ht="13.5" customHeight="1" hidden="1">
      <c r="B187" s="3560">
        <v>176</v>
      </c>
      <c r="C187" s="3529"/>
      <c r="D187" s="3529"/>
      <c r="E187" s="3529"/>
      <c r="F187" s="3530"/>
      <c r="G187" s="3561"/>
      <c r="H187" s="3562"/>
      <c r="I187" s="3532"/>
      <c r="J187" s="3533"/>
      <c r="K187" s="3534"/>
      <c r="L187" s="3535"/>
      <c r="M187" s="3536"/>
      <c r="N187" s="3535"/>
      <c r="O187" s="3535"/>
      <c r="P187" s="3535"/>
      <c r="Q187" s="3535"/>
      <c r="R187" s="3535"/>
      <c r="S187" s="3535"/>
      <c r="T187" s="3535"/>
      <c r="U187" s="3535"/>
      <c r="V187" s="3535"/>
      <c r="W187" s="3535"/>
      <c r="X187" s="3535"/>
      <c r="Y187" s="3535"/>
      <c r="Z187" s="3535"/>
      <c r="AA187" s="3568"/>
      <c r="AB187" s="3536"/>
      <c r="AC187" s="3535"/>
      <c r="AD187" s="3571"/>
      <c r="AE187" s="3573"/>
      <c r="AF187" s="3574"/>
      <c r="AG187" s="3576"/>
      <c r="AH187" s="3535"/>
      <c r="AI187" s="3535"/>
      <c r="AJ187" s="3574"/>
      <c r="AK187" s="3535"/>
      <c r="AL187" s="3579"/>
      <c r="AM187" s="3581"/>
      <c r="AN187" s="3581">
        <f>IF(ExpComps_LenderTable[[#This Row], [R&amp;M]]+ExpComps_LenderTable[[#This Row], [Payroll]]&gt;0,ExpComps_LenderTable[[#This Row], [R&amp;M]]+ExpComps_LenderTable[[#This Row], [Payroll]],"")</f>
      </c>
      <c r="AO18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7" s="6"/>
      <c r="AQ187" s="6"/>
      <c r="AR187" s="6"/>
    </row>
    <row r="188" ht="13.5" customHeight="1" hidden="1">
      <c r="B188" s="3560">
        <v>177</v>
      </c>
      <c r="C188" s="3529"/>
      <c r="D188" s="3529"/>
      <c r="E188" s="3529"/>
      <c r="F188" s="3530"/>
      <c r="G188" s="3561"/>
      <c r="H188" s="3562"/>
      <c r="I188" s="3532"/>
      <c r="J188" s="3533"/>
      <c r="K188" s="3534"/>
      <c r="L188" s="3535"/>
      <c r="M188" s="3536"/>
      <c r="N188" s="3535"/>
      <c r="O188" s="3535"/>
      <c r="P188" s="3535"/>
      <c r="Q188" s="3535"/>
      <c r="R188" s="3535"/>
      <c r="S188" s="3535"/>
      <c r="T188" s="3535"/>
      <c r="U188" s="3535"/>
      <c r="V188" s="3535"/>
      <c r="W188" s="3535"/>
      <c r="X188" s="3535"/>
      <c r="Y188" s="3535"/>
      <c r="Z188" s="3535"/>
      <c r="AA188" s="3568"/>
      <c r="AB188" s="3536"/>
      <c r="AC188" s="3535"/>
      <c r="AD188" s="3571"/>
      <c r="AE188" s="3573"/>
      <c r="AF188" s="3574"/>
      <c r="AG188" s="3576"/>
      <c r="AH188" s="3535"/>
      <c r="AI188" s="3535"/>
      <c r="AJ188" s="3574"/>
      <c r="AK188" s="3535"/>
      <c r="AL188" s="3579"/>
      <c r="AM188" s="3581"/>
      <c r="AN188" s="3581">
        <f>IF(ExpComps_LenderTable[[#This Row], [R&amp;M]]+ExpComps_LenderTable[[#This Row], [Payroll]]&gt;0,ExpComps_LenderTable[[#This Row], [R&amp;M]]+ExpComps_LenderTable[[#This Row], [Payroll]],"")</f>
      </c>
      <c r="AO18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8" s="6"/>
      <c r="AQ188" s="6"/>
      <c r="AR188" s="6"/>
    </row>
    <row r="189" ht="13.5" customHeight="1" hidden="1">
      <c r="B189" s="3560">
        <v>178</v>
      </c>
      <c r="C189" s="3529"/>
      <c r="D189" s="3529"/>
      <c r="E189" s="3529"/>
      <c r="F189" s="3530"/>
      <c r="G189" s="3561"/>
      <c r="H189" s="3562"/>
      <c r="I189" s="3532"/>
      <c r="J189" s="3533"/>
      <c r="K189" s="3534"/>
      <c r="L189" s="3535"/>
      <c r="M189" s="3536"/>
      <c r="N189" s="3535"/>
      <c r="O189" s="3535"/>
      <c r="P189" s="3535"/>
      <c r="Q189" s="3535"/>
      <c r="R189" s="3535"/>
      <c r="S189" s="3535"/>
      <c r="T189" s="3535"/>
      <c r="U189" s="3535"/>
      <c r="V189" s="3535"/>
      <c r="W189" s="3535"/>
      <c r="X189" s="3535"/>
      <c r="Y189" s="3535"/>
      <c r="Z189" s="3535"/>
      <c r="AA189" s="3568"/>
      <c r="AB189" s="3536"/>
      <c r="AC189" s="3535"/>
      <c r="AD189" s="3571"/>
      <c r="AE189" s="3573"/>
      <c r="AF189" s="3574"/>
      <c r="AG189" s="3576"/>
      <c r="AH189" s="3535"/>
      <c r="AI189" s="3535"/>
      <c r="AJ189" s="3574"/>
      <c r="AK189" s="3535"/>
      <c r="AL189" s="3579"/>
      <c r="AM189" s="3581"/>
      <c r="AN189" s="3581">
        <f>IF(ExpComps_LenderTable[[#This Row], [R&amp;M]]+ExpComps_LenderTable[[#This Row], [Payroll]]&gt;0,ExpComps_LenderTable[[#This Row], [R&amp;M]]+ExpComps_LenderTable[[#This Row], [Payroll]],"")</f>
      </c>
      <c r="AO18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89" s="6"/>
      <c r="AQ189" s="6"/>
      <c r="AR189" s="6"/>
    </row>
    <row r="190" ht="13.5" customHeight="1" hidden="1">
      <c r="B190" s="3560">
        <v>179</v>
      </c>
      <c r="C190" s="3529"/>
      <c r="D190" s="3529"/>
      <c r="E190" s="3529"/>
      <c r="F190" s="3530"/>
      <c r="G190" s="3561"/>
      <c r="H190" s="3562"/>
      <c r="I190" s="3532"/>
      <c r="J190" s="3533"/>
      <c r="K190" s="3534"/>
      <c r="L190" s="3535"/>
      <c r="M190" s="3536"/>
      <c r="N190" s="3535"/>
      <c r="O190" s="3535"/>
      <c r="P190" s="3535"/>
      <c r="Q190" s="3535"/>
      <c r="R190" s="3535"/>
      <c r="S190" s="3535"/>
      <c r="T190" s="3535"/>
      <c r="U190" s="3535"/>
      <c r="V190" s="3535"/>
      <c r="W190" s="3535"/>
      <c r="X190" s="3535"/>
      <c r="Y190" s="3535"/>
      <c r="Z190" s="3535"/>
      <c r="AA190" s="3568"/>
      <c r="AB190" s="3536"/>
      <c r="AC190" s="3535"/>
      <c r="AD190" s="3571"/>
      <c r="AE190" s="3573"/>
      <c r="AF190" s="3574"/>
      <c r="AG190" s="3576"/>
      <c r="AH190" s="3535"/>
      <c r="AI190" s="3535"/>
      <c r="AJ190" s="3574"/>
      <c r="AK190" s="3535"/>
      <c r="AL190" s="3579"/>
      <c r="AM190" s="3581"/>
      <c r="AN190" s="3581">
        <f>IF(ExpComps_LenderTable[[#This Row], [R&amp;M]]+ExpComps_LenderTable[[#This Row], [Payroll]]&gt;0,ExpComps_LenderTable[[#This Row], [R&amp;M]]+ExpComps_LenderTable[[#This Row], [Payroll]],"")</f>
      </c>
      <c r="AO19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0" s="6"/>
      <c r="AQ190" s="6"/>
      <c r="AR190" s="6"/>
    </row>
    <row r="191" ht="13.5" customHeight="1" hidden="1">
      <c r="B191" s="3560">
        <v>180</v>
      </c>
      <c r="C191" s="3529"/>
      <c r="D191" s="3529"/>
      <c r="E191" s="3529"/>
      <c r="F191" s="3530"/>
      <c r="G191" s="3561"/>
      <c r="H191" s="3562"/>
      <c r="I191" s="3532"/>
      <c r="J191" s="3533"/>
      <c r="K191" s="3534"/>
      <c r="L191" s="3535"/>
      <c r="M191" s="3536"/>
      <c r="N191" s="3535"/>
      <c r="O191" s="3535"/>
      <c r="P191" s="3535"/>
      <c r="Q191" s="3535"/>
      <c r="R191" s="3535"/>
      <c r="S191" s="3535"/>
      <c r="T191" s="3535"/>
      <c r="U191" s="3535"/>
      <c r="V191" s="3535"/>
      <c r="W191" s="3535"/>
      <c r="X191" s="3535"/>
      <c r="Y191" s="3535"/>
      <c r="Z191" s="3535"/>
      <c r="AA191" s="3568"/>
      <c r="AB191" s="3536"/>
      <c r="AC191" s="3535"/>
      <c r="AD191" s="3571"/>
      <c r="AE191" s="3573"/>
      <c r="AF191" s="3574"/>
      <c r="AG191" s="3576"/>
      <c r="AH191" s="3535"/>
      <c r="AI191" s="3535"/>
      <c r="AJ191" s="3574"/>
      <c r="AK191" s="3535"/>
      <c r="AL191" s="3579"/>
      <c r="AM191" s="3581"/>
      <c r="AN191" s="3581">
        <f>IF(ExpComps_LenderTable[[#This Row], [R&amp;M]]+ExpComps_LenderTable[[#This Row], [Payroll]]&gt;0,ExpComps_LenderTable[[#This Row], [R&amp;M]]+ExpComps_LenderTable[[#This Row], [Payroll]],"")</f>
      </c>
      <c r="AO19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1" s="6"/>
      <c r="AQ191" s="6"/>
      <c r="AR191" s="6"/>
    </row>
    <row r="192" ht="13.5" customHeight="1" hidden="1">
      <c r="B192" s="3560">
        <v>181</v>
      </c>
      <c r="C192" s="3529"/>
      <c r="D192" s="3529"/>
      <c r="E192" s="3529"/>
      <c r="F192" s="3530"/>
      <c r="G192" s="3561"/>
      <c r="H192" s="3562"/>
      <c r="I192" s="3532"/>
      <c r="J192" s="3533"/>
      <c r="K192" s="3534"/>
      <c r="L192" s="3535"/>
      <c r="M192" s="3536"/>
      <c r="N192" s="3535"/>
      <c r="O192" s="3535"/>
      <c r="P192" s="3535"/>
      <c r="Q192" s="3535"/>
      <c r="R192" s="3535"/>
      <c r="S192" s="3535"/>
      <c r="T192" s="3535"/>
      <c r="U192" s="3535"/>
      <c r="V192" s="3535"/>
      <c r="W192" s="3535"/>
      <c r="X192" s="3535"/>
      <c r="Y192" s="3535"/>
      <c r="Z192" s="3535"/>
      <c r="AA192" s="3568"/>
      <c r="AB192" s="3536"/>
      <c r="AC192" s="3535"/>
      <c r="AD192" s="3571"/>
      <c r="AE192" s="3573"/>
      <c r="AF192" s="3574"/>
      <c r="AG192" s="3576"/>
      <c r="AH192" s="3535"/>
      <c r="AI192" s="3535"/>
      <c r="AJ192" s="3574"/>
      <c r="AK192" s="3535"/>
      <c r="AL192" s="3579"/>
      <c r="AM192" s="3581"/>
      <c r="AN192" s="3581">
        <f>IF(ExpComps_LenderTable[[#This Row], [R&amp;M]]+ExpComps_LenderTable[[#This Row], [Payroll]]&gt;0,ExpComps_LenderTable[[#This Row], [R&amp;M]]+ExpComps_LenderTable[[#This Row], [Payroll]],"")</f>
      </c>
      <c r="AO19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2" s="6"/>
      <c r="AQ192" s="6"/>
      <c r="AR192" s="6"/>
    </row>
    <row r="193" ht="13.5" customHeight="1" hidden="1">
      <c r="B193" s="3560">
        <v>182</v>
      </c>
      <c r="C193" s="3529"/>
      <c r="D193" s="3529"/>
      <c r="E193" s="3529"/>
      <c r="F193" s="3530"/>
      <c r="G193" s="3561"/>
      <c r="H193" s="3562"/>
      <c r="I193" s="3532"/>
      <c r="J193" s="3533"/>
      <c r="K193" s="3534"/>
      <c r="L193" s="3535"/>
      <c r="M193" s="3536"/>
      <c r="N193" s="3535"/>
      <c r="O193" s="3535"/>
      <c r="P193" s="3535"/>
      <c r="Q193" s="3535"/>
      <c r="R193" s="3535"/>
      <c r="S193" s="3535"/>
      <c r="T193" s="3535"/>
      <c r="U193" s="3535"/>
      <c r="V193" s="3535"/>
      <c r="W193" s="3535"/>
      <c r="X193" s="3535"/>
      <c r="Y193" s="3535"/>
      <c r="Z193" s="3535"/>
      <c r="AA193" s="3568"/>
      <c r="AB193" s="3536"/>
      <c r="AC193" s="3535"/>
      <c r="AD193" s="3571"/>
      <c r="AE193" s="3573"/>
      <c r="AF193" s="3574"/>
      <c r="AG193" s="3576"/>
      <c r="AH193" s="3535"/>
      <c r="AI193" s="3535"/>
      <c r="AJ193" s="3574"/>
      <c r="AK193" s="3535"/>
      <c r="AL193" s="3579"/>
      <c r="AM193" s="3581"/>
      <c r="AN193" s="3581">
        <f>IF(ExpComps_LenderTable[[#This Row], [R&amp;M]]+ExpComps_LenderTable[[#This Row], [Payroll]]&gt;0,ExpComps_LenderTable[[#This Row], [R&amp;M]]+ExpComps_LenderTable[[#This Row], [Payroll]],"")</f>
      </c>
      <c r="AO19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3" s="6"/>
      <c r="AQ193" s="6"/>
      <c r="AR193" s="6"/>
    </row>
    <row r="194" ht="13.5" customHeight="1" hidden="1">
      <c r="B194" s="3560">
        <v>183</v>
      </c>
      <c r="C194" s="3529"/>
      <c r="D194" s="3529"/>
      <c r="E194" s="3529"/>
      <c r="F194" s="3530"/>
      <c r="G194" s="3561"/>
      <c r="H194" s="3562"/>
      <c r="I194" s="3532"/>
      <c r="J194" s="3533"/>
      <c r="K194" s="3534"/>
      <c r="L194" s="3535"/>
      <c r="M194" s="3536"/>
      <c r="N194" s="3535"/>
      <c r="O194" s="3535"/>
      <c r="P194" s="3535"/>
      <c r="Q194" s="3535"/>
      <c r="R194" s="3535"/>
      <c r="S194" s="3535"/>
      <c r="T194" s="3535"/>
      <c r="U194" s="3535"/>
      <c r="V194" s="3535"/>
      <c r="W194" s="3535"/>
      <c r="X194" s="3535"/>
      <c r="Y194" s="3535"/>
      <c r="Z194" s="3535"/>
      <c r="AA194" s="3568"/>
      <c r="AB194" s="3536"/>
      <c r="AC194" s="3535"/>
      <c r="AD194" s="3571"/>
      <c r="AE194" s="3573"/>
      <c r="AF194" s="3574"/>
      <c r="AG194" s="3576"/>
      <c r="AH194" s="3535"/>
      <c r="AI194" s="3535"/>
      <c r="AJ194" s="3574"/>
      <c r="AK194" s="3535"/>
      <c r="AL194" s="3579"/>
      <c r="AM194" s="3581"/>
      <c r="AN194" s="3581">
        <f>IF(ExpComps_LenderTable[[#This Row], [R&amp;M]]+ExpComps_LenderTable[[#This Row], [Payroll]]&gt;0,ExpComps_LenderTable[[#This Row], [R&amp;M]]+ExpComps_LenderTable[[#This Row], [Payroll]],"")</f>
      </c>
      <c r="AO19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4" s="6"/>
      <c r="AQ194" s="6"/>
      <c r="AR194" s="6"/>
    </row>
    <row r="195" ht="13.5" customHeight="1" hidden="1">
      <c r="B195" s="3560">
        <v>184</v>
      </c>
      <c r="C195" s="3529"/>
      <c r="D195" s="3529"/>
      <c r="E195" s="3529"/>
      <c r="F195" s="3530"/>
      <c r="G195" s="3561"/>
      <c r="H195" s="3562"/>
      <c r="I195" s="3532"/>
      <c r="J195" s="3533"/>
      <c r="K195" s="3534"/>
      <c r="L195" s="3535"/>
      <c r="M195" s="3536"/>
      <c r="N195" s="3535"/>
      <c r="O195" s="3535"/>
      <c r="P195" s="3535"/>
      <c r="Q195" s="3535"/>
      <c r="R195" s="3535"/>
      <c r="S195" s="3535"/>
      <c r="T195" s="3535"/>
      <c r="U195" s="3535"/>
      <c r="V195" s="3535"/>
      <c r="W195" s="3535"/>
      <c r="X195" s="3535"/>
      <c r="Y195" s="3535"/>
      <c r="Z195" s="3535"/>
      <c r="AA195" s="3568"/>
      <c r="AB195" s="3536"/>
      <c r="AC195" s="3535"/>
      <c r="AD195" s="3571"/>
      <c r="AE195" s="3573"/>
      <c r="AF195" s="3574"/>
      <c r="AG195" s="3576"/>
      <c r="AH195" s="3535"/>
      <c r="AI195" s="3535"/>
      <c r="AJ195" s="3574"/>
      <c r="AK195" s="3535"/>
      <c r="AL195" s="3579"/>
      <c r="AM195" s="3581"/>
      <c r="AN195" s="3581">
        <f>IF(ExpComps_LenderTable[[#This Row], [R&amp;M]]+ExpComps_LenderTable[[#This Row], [Payroll]]&gt;0,ExpComps_LenderTable[[#This Row], [R&amp;M]]+ExpComps_LenderTable[[#This Row], [Payroll]],"")</f>
      </c>
      <c r="AO19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5" s="6"/>
      <c r="AQ195" s="6"/>
      <c r="AR195" s="6"/>
    </row>
    <row r="196" ht="13.5" customHeight="1" hidden="1">
      <c r="B196" s="3560">
        <v>185</v>
      </c>
      <c r="C196" s="3529"/>
      <c r="D196" s="3529"/>
      <c r="E196" s="3529"/>
      <c r="F196" s="3530"/>
      <c r="G196" s="3561"/>
      <c r="H196" s="3562"/>
      <c r="I196" s="3532"/>
      <c r="J196" s="3533"/>
      <c r="K196" s="3534"/>
      <c r="L196" s="3535"/>
      <c r="M196" s="3536"/>
      <c r="N196" s="3535"/>
      <c r="O196" s="3535"/>
      <c r="P196" s="3535"/>
      <c r="Q196" s="3535"/>
      <c r="R196" s="3535"/>
      <c r="S196" s="3535"/>
      <c r="T196" s="3535"/>
      <c r="U196" s="3535"/>
      <c r="V196" s="3535"/>
      <c r="W196" s="3535"/>
      <c r="X196" s="3535"/>
      <c r="Y196" s="3535"/>
      <c r="Z196" s="3535"/>
      <c r="AA196" s="3568"/>
      <c r="AB196" s="3536"/>
      <c r="AC196" s="3535"/>
      <c r="AD196" s="3571"/>
      <c r="AE196" s="3573"/>
      <c r="AF196" s="3574"/>
      <c r="AG196" s="3576"/>
      <c r="AH196" s="3535"/>
      <c r="AI196" s="3535"/>
      <c r="AJ196" s="3574"/>
      <c r="AK196" s="3535"/>
      <c r="AL196" s="3579"/>
      <c r="AM196" s="3581"/>
      <c r="AN196" s="3581">
        <f>IF(ExpComps_LenderTable[[#This Row], [R&amp;M]]+ExpComps_LenderTable[[#This Row], [Payroll]]&gt;0,ExpComps_LenderTable[[#This Row], [R&amp;M]]+ExpComps_LenderTable[[#This Row], [Payroll]],"")</f>
      </c>
      <c r="AO19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6" s="6"/>
      <c r="AQ196" s="6"/>
      <c r="AR196" s="6"/>
    </row>
    <row r="197" ht="13.5" customHeight="1" hidden="1">
      <c r="B197" s="3560">
        <v>186</v>
      </c>
      <c r="C197" s="3529"/>
      <c r="D197" s="3529"/>
      <c r="E197" s="3529"/>
      <c r="F197" s="3530"/>
      <c r="G197" s="3561"/>
      <c r="H197" s="3562"/>
      <c r="I197" s="3532"/>
      <c r="J197" s="3533"/>
      <c r="K197" s="3534"/>
      <c r="L197" s="3535"/>
      <c r="M197" s="3536"/>
      <c r="N197" s="3535"/>
      <c r="O197" s="3535"/>
      <c r="P197" s="3535"/>
      <c r="Q197" s="3535"/>
      <c r="R197" s="3535"/>
      <c r="S197" s="3535"/>
      <c r="T197" s="3535"/>
      <c r="U197" s="3535"/>
      <c r="V197" s="3535"/>
      <c r="W197" s="3535"/>
      <c r="X197" s="3535"/>
      <c r="Y197" s="3535"/>
      <c r="Z197" s="3535"/>
      <c r="AA197" s="3568"/>
      <c r="AB197" s="3536"/>
      <c r="AC197" s="3535"/>
      <c r="AD197" s="3571"/>
      <c r="AE197" s="3573"/>
      <c r="AF197" s="3574"/>
      <c r="AG197" s="3576"/>
      <c r="AH197" s="3535"/>
      <c r="AI197" s="3535"/>
      <c r="AJ197" s="3574"/>
      <c r="AK197" s="3535"/>
      <c r="AL197" s="3579"/>
      <c r="AM197" s="3581"/>
      <c r="AN197" s="3581">
        <f>IF(ExpComps_LenderTable[[#This Row], [R&amp;M]]+ExpComps_LenderTable[[#This Row], [Payroll]]&gt;0,ExpComps_LenderTable[[#This Row], [R&amp;M]]+ExpComps_LenderTable[[#This Row], [Payroll]],"")</f>
      </c>
      <c r="AO19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7" s="6"/>
      <c r="AQ197" s="6"/>
      <c r="AR197" s="6"/>
    </row>
    <row r="198" ht="13.5" customHeight="1" hidden="1">
      <c r="B198" s="3560">
        <v>187</v>
      </c>
      <c r="C198" s="3529"/>
      <c r="D198" s="3529"/>
      <c r="E198" s="3529"/>
      <c r="F198" s="3530"/>
      <c r="G198" s="3561"/>
      <c r="H198" s="3562"/>
      <c r="I198" s="3532"/>
      <c r="J198" s="3533"/>
      <c r="K198" s="3534"/>
      <c r="L198" s="3535"/>
      <c r="M198" s="3536"/>
      <c r="N198" s="3535"/>
      <c r="O198" s="3535"/>
      <c r="P198" s="3535"/>
      <c r="Q198" s="3535"/>
      <c r="R198" s="3535"/>
      <c r="S198" s="3535"/>
      <c r="T198" s="3535"/>
      <c r="U198" s="3535"/>
      <c r="V198" s="3535"/>
      <c r="W198" s="3535"/>
      <c r="X198" s="3535"/>
      <c r="Y198" s="3535"/>
      <c r="Z198" s="3535"/>
      <c r="AA198" s="3568"/>
      <c r="AB198" s="3536"/>
      <c r="AC198" s="3535"/>
      <c r="AD198" s="3571"/>
      <c r="AE198" s="3573"/>
      <c r="AF198" s="3574"/>
      <c r="AG198" s="3576"/>
      <c r="AH198" s="3535"/>
      <c r="AI198" s="3535"/>
      <c r="AJ198" s="3574"/>
      <c r="AK198" s="3535"/>
      <c r="AL198" s="3579"/>
      <c r="AM198" s="3581"/>
      <c r="AN198" s="3581">
        <f>IF(ExpComps_LenderTable[[#This Row], [R&amp;M]]+ExpComps_LenderTable[[#This Row], [Payroll]]&gt;0,ExpComps_LenderTable[[#This Row], [R&amp;M]]+ExpComps_LenderTable[[#This Row], [Payroll]],"")</f>
      </c>
      <c r="AO19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8" s="6"/>
      <c r="AQ198" s="6"/>
      <c r="AR198" s="6"/>
    </row>
    <row r="199" ht="13.5" customHeight="1" hidden="1">
      <c r="B199" s="3560">
        <v>188</v>
      </c>
      <c r="C199" s="3529"/>
      <c r="D199" s="3529"/>
      <c r="E199" s="3529"/>
      <c r="F199" s="3530"/>
      <c r="G199" s="3561"/>
      <c r="H199" s="3562"/>
      <c r="I199" s="3532"/>
      <c r="J199" s="3533"/>
      <c r="K199" s="3534"/>
      <c r="L199" s="3535"/>
      <c r="M199" s="3536"/>
      <c r="N199" s="3535"/>
      <c r="O199" s="3535"/>
      <c r="P199" s="3535"/>
      <c r="Q199" s="3535"/>
      <c r="R199" s="3535"/>
      <c r="S199" s="3535"/>
      <c r="T199" s="3535"/>
      <c r="U199" s="3535"/>
      <c r="V199" s="3535"/>
      <c r="W199" s="3535"/>
      <c r="X199" s="3535"/>
      <c r="Y199" s="3535"/>
      <c r="Z199" s="3535"/>
      <c r="AA199" s="3568"/>
      <c r="AB199" s="3536"/>
      <c r="AC199" s="3535"/>
      <c r="AD199" s="3571"/>
      <c r="AE199" s="3573"/>
      <c r="AF199" s="3574"/>
      <c r="AG199" s="3576"/>
      <c r="AH199" s="3535"/>
      <c r="AI199" s="3535"/>
      <c r="AJ199" s="3574"/>
      <c r="AK199" s="3535"/>
      <c r="AL199" s="3579"/>
      <c r="AM199" s="3581"/>
      <c r="AN199" s="3581">
        <f>IF(ExpComps_LenderTable[[#This Row], [R&amp;M]]+ExpComps_LenderTable[[#This Row], [Payroll]]&gt;0,ExpComps_LenderTable[[#This Row], [R&amp;M]]+ExpComps_LenderTable[[#This Row], [Payroll]],"")</f>
      </c>
      <c r="AO19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199" s="6"/>
      <c r="AQ199" s="6"/>
      <c r="AR199" s="6"/>
    </row>
    <row r="200" ht="13.5" customHeight="1" hidden="1">
      <c r="B200" s="3560">
        <v>189</v>
      </c>
      <c r="C200" s="3529"/>
      <c r="D200" s="3529"/>
      <c r="E200" s="3529"/>
      <c r="F200" s="3530"/>
      <c r="G200" s="3561"/>
      <c r="H200" s="3562"/>
      <c r="I200" s="3532"/>
      <c r="J200" s="3533"/>
      <c r="K200" s="3534"/>
      <c r="L200" s="3535"/>
      <c r="M200" s="3536"/>
      <c r="N200" s="3535"/>
      <c r="O200" s="3535"/>
      <c r="P200" s="3535"/>
      <c r="Q200" s="3535"/>
      <c r="R200" s="3535"/>
      <c r="S200" s="3535"/>
      <c r="T200" s="3535"/>
      <c r="U200" s="3535"/>
      <c r="V200" s="3535"/>
      <c r="W200" s="3535"/>
      <c r="X200" s="3535"/>
      <c r="Y200" s="3535"/>
      <c r="Z200" s="3535"/>
      <c r="AA200" s="3568"/>
      <c r="AB200" s="3536"/>
      <c r="AC200" s="3535"/>
      <c r="AD200" s="3571"/>
      <c r="AE200" s="3573"/>
      <c r="AF200" s="3574"/>
      <c r="AG200" s="3576"/>
      <c r="AH200" s="3535"/>
      <c r="AI200" s="3535"/>
      <c r="AJ200" s="3574"/>
      <c r="AK200" s="3535"/>
      <c r="AL200" s="3579"/>
      <c r="AM200" s="3581"/>
      <c r="AN200" s="3581">
        <f>IF(ExpComps_LenderTable[[#This Row], [R&amp;M]]+ExpComps_LenderTable[[#This Row], [Payroll]]&gt;0,ExpComps_LenderTable[[#This Row], [R&amp;M]]+ExpComps_LenderTable[[#This Row], [Payroll]],"")</f>
      </c>
      <c r="AO20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0" s="6"/>
      <c r="AQ200" s="6"/>
      <c r="AR200" s="6"/>
    </row>
    <row r="201" ht="13.5" customHeight="1" hidden="1">
      <c r="B201" s="3560">
        <v>190</v>
      </c>
      <c r="C201" s="3529"/>
      <c r="D201" s="3529"/>
      <c r="E201" s="3529"/>
      <c r="F201" s="3530"/>
      <c r="G201" s="3561"/>
      <c r="H201" s="3562"/>
      <c r="I201" s="3532"/>
      <c r="J201" s="3533"/>
      <c r="K201" s="3534"/>
      <c r="L201" s="3535"/>
      <c r="M201" s="3536"/>
      <c r="N201" s="3535"/>
      <c r="O201" s="3535"/>
      <c r="P201" s="3535"/>
      <c r="Q201" s="3535"/>
      <c r="R201" s="3535"/>
      <c r="S201" s="3535"/>
      <c r="T201" s="3535"/>
      <c r="U201" s="3535"/>
      <c r="V201" s="3535"/>
      <c r="W201" s="3535"/>
      <c r="X201" s="3535"/>
      <c r="Y201" s="3535"/>
      <c r="Z201" s="3535"/>
      <c r="AA201" s="3568"/>
      <c r="AB201" s="3536"/>
      <c r="AC201" s="3535"/>
      <c r="AD201" s="3571"/>
      <c r="AE201" s="3573"/>
      <c r="AF201" s="3574"/>
      <c r="AG201" s="3576"/>
      <c r="AH201" s="3535"/>
      <c r="AI201" s="3535"/>
      <c r="AJ201" s="3574"/>
      <c r="AK201" s="3535"/>
      <c r="AL201" s="3579"/>
      <c r="AM201" s="3581"/>
      <c r="AN201" s="3581">
        <f>IF(ExpComps_LenderTable[[#This Row], [R&amp;M]]+ExpComps_LenderTable[[#This Row], [Payroll]]&gt;0,ExpComps_LenderTable[[#This Row], [R&amp;M]]+ExpComps_LenderTable[[#This Row], [Payroll]],"")</f>
      </c>
      <c r="AO201"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1" s="6"/>
      <c r="AQ201" s="6"/>
      <c r="AR201" s="6"/>
    </row>
    <row r="202" ht="13.5" customHeight="1" hidden="1">
      <c r="B202" s="3560">
        <v>191</v>
      </c>
      <c r="C202" s="3529"/>
      <c r="D202" s="3529"/>
      <c r="E202" s="3529"/>
      <c r="F202" s="3530"/>
      <c r="G202" s="3561"/>
      <c r="H202" s="3562"/>
      <c r="I202" s="3532"/>
      <c r="J202" s="3533"/>
      <c r="K202" s="3534"/>
      <c r="L202" s="3535"/>
      <c r="M202" s="3536"/>
      <c r="N202" s="3535"/>
      <c r="O202" s="3535"/>
      <c r="P202" s="3535"/>
      <c r="Q202" s="3535"/>
      <c r="R202" s="3535"/>
      <c r="S202" s="3535"/>
      <c r="T202" s="3535"/>
      <c r="U202" s="3535"/>
      <c r="V202" s="3535"/>
      <c r="W202" s="3535"/>
      <c r="X202" s="3535"/>
      <c r="Y202" s="3535"/>
      <c r="Z202" s="3535"/>
      <c r="AA202" s="3568"/>
      <c r="AB202" s="3536"/>
      <c r="AC202" s="3535"/>
      <c r="AD202" s="3571"/>
      <c r="AE202" s="3573"/>
      <c r="AF202" s="3574"/>
      <c r="AG202" s="3576"/>
      <c r="AH202" s="3535"/>
      <c r="AI202" s="3535"/>
      <c r="AJ202" s="3574"/>
      <c r="AK202" s="3535"/>
      <c r="AL202" s="3579"/>
      <c r="AM202" s="3581"/>
      <c r="AN202" s="3581">
        <f>IF(ExpComps_LenderTable[[#This Row], [R&amp;M]]+ExpComps_LenderTable[[#This Row], [Payroll]]&gt;0,ExpComps_LenderTable[[#This Row], [R&amp;M]]+ExpComps_LenderTable[[#This Row], [Payroll]],"")</f>
      </c>
      <c r="AO202"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2" s="6"/>
      <c r="AQ202" s="6"/>
      <c r="AR202" s="6"/>
    </row>
    <row r="203" ht="13.5" customHeight="1" hidden="1">
      <c r="B203" s="3560">
        <v>192</v>
      </c>
      <c r="C203" s="3529"/>
      <c r="D203" s="3529"/>
      <c r="E203" s="3529"/>
      <c r="F203" s="3530"/>
      <c r="G203" s="3561"/>
      <c r="H203" s="3562"/>
      <c r="I203" s="3532"/>
      <c r="J203" s="3533"/>
      <c r="K203" s="3534"/>
      <c r="L203" s="3535"/>
      <c r="M203" s="3536"/>
      <c r="N203" s="3535"/>
      <c r="O203" s="3535"/>
      <c r="P203" s="3535"/>
      <c r="Q203" s="3535"/>
      <c r="R203" s="3535"/>
      <c r="S203" s="3535"/>
      <c r="T203" s="3535"/>
      <c r="U203" s="3535"/>
      <c r="V203" s="3535"/>
      <c r="W203" s="3535"/>
      <c r="X203" s="3535"/>
      <c r="Y203" s="3535"/>
      <c r="Z203" s="3535"/>
      <c r="AA203" s="3568"/>
      <c r="AB203" s="3536"/>
      <c r="AC203" s="3535"/>
      <c r="AD203" s="3571"/>
      <c r="AE203" s="3573"/>
      <c r="AF203" s="3574"/>
      <c r="AG203" s="3576"/>
      <c r="AH203" s="3535"/>
      <c r="AI203" s="3535"/>
      <c r="AJ203" s="3574"/>
      <c r="AK203" s="3535"/>
      <c r="AL203" s="3579"/>
      <c r="AM203" s="3581"/>
      <c r="AN203" s="3581">
        <f>IF(ExpComps_LenderTable[[#This Row], [R&amp;M]]+ExpComps_LenderTable[[#This Row], [Payroll]]&gt;0,ExpComps_LenderTable[[#This Row], [R&amp;M]]+ExpComps_LenderTable[[#This Row], [Payroll]],"")</f>
      </c>
      <c r="AO203"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3" s="6"/>
      <c r="AQ203" s="6"/>
      <c r="AR203" s="6"/>
    </row>
    <row r="204" ht="13.5" customHeight="1" hidden="1">
      <c r="B204" s="3560">
        <v>193</v>
      </c>
      <c r="C204" s="3529"/>
      <c r="D204" s="3529"/>
      <c r="E204" s="3529"/>
      <c r="F204" s="3530"/>
      <c r="G204" s="3561"/>
      <c r="H204" s="3562"/>
      <c r="I204" s="3532"/>
      <c r="J204" s="3533"/>
      <c r="K204" s="3534"/>
      <c r="L204" s="3535"/>
      <c r="M204" s="3536"/>
      <c r="N204" s="3535"/>
      <c r="O204" s="3535"/>
      <c r="P204" s="3535"/>
      <c r="Q204" s="3535"/>
      <c r="R204" s="3535"/>
      <c r="S204" s="3535"/>
      <c r="T204" s="3535"/>
      <c r="U204" s="3535"/>
      <c r="V204" s="3535"/>
      <c r="W204" s="3535"/>
      <c r="X204" s="3535"/>
      <c r="Y204" s="3535"/>
      <c r="Z204" s="3535"/>
      <c r="AA204" s="3568"/>
      <c r="AB204" s="3536"/>
      <c r="AC204" s="3535"/>
      <c r="AD204" s="3571"/>
      <c r="AE204" s="3573"/>
      <c r="AF204" s="3574"/>
      <c r="AG204" s="3576"/>
      <c r="AH204" s="3535"/>
      <c r="AI204" s="3535"/>
      <c r="AJ204" s="3574"/>
      <c r="AK204" s="3535"/>
      <c r="AL204" s="3579"/>
      <c r="AM204" s="3581"/>
      <c r="AN204" s="3581">
        <f>IF(ExpComps_LenderTable[[#This Row], [R&amp;M]]+ExpComps_LenderTable[[#This Row], [Payroll]]&gt;0,ExpComps_LenderTable[[#This Row], [R&amp;M]]+ExpComps_LenderTable[[#This Row], [Payroll]],"")</f>
      </c>
      <c r="AO204"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4" s="6"/>
      <c r="AQ204" s="6"/>
      <c r="AR204" s="6"/>
    </row>
    <row r="205" ht="13.5" customHeight="1" hidden="1">
      <c r="B205" s="3560">
        <v>194</v>
      </c>
      <c r="C205" s="3529"/>
      <c r="D205" s="3529"/>
      <c r="E205" s="3529"/>
      <c r="F205" s="3530"/>
      <c r="G205" s="3561"/>
      <c r="H205" s="3562"/>
      <c r="I205" s="3532"/>
      <c r="J205" s="3533"/>
      <c r="K205" s="3534"/>
      <c r="L205" s="3535"/>
      <c r="M205" s="3536"/>
      <c r="N205" s="3535"/>
      <c r="O205" s="3535"/>
      <c r="P205" s="3535"/>
      <c r="Q205" s="3535"/>
      <c r="R205" s="3535"/>
      <c r="S205" s="3535"/>
      <c r="T205" s="3535"/>
      <c r="U205" s="3535"/>
      <c r="V205" s="3535"/>
      <c r="W205" s="3535"/>
      <c r="X205" s="3535"/>
      <c r="Y205" s="3535"/>
      <c r="Z205" s="3535"/>
      <c r="AA205" s="3568"/>
      <c r="AB205" s="3536"/>
      <c r="AC205" s="3535"/>
      <c r="AD205" s="3571"/>
      <c r="AE205" s="3573"/>
      <c r="AF205" s="3574"/>
      <c r="AG205" s="3576"/>
      <c r="AH205" s="3535"/>
      <c r="AI205" s="3535"/>
      <c r="AJ205" s="3574"/>
      <c r="AK205" s="3535"/>
      <c r="AL205" s="3579"/>
      <c r="AM205" s="3581"/>
      <c r="AN205" s="3581">
        <f>IF(ExpComps_LenderTable[[#This Row], [R&amp;M]]+ExpComps_LenderTable[[#This Row], [Payroll]]&gt;0,ExpComps_LenderTable[[#This Row], [R&amp;M]]+ExpComps_LenderTable[[#This Row], [Payroll]],"")</f>
      </c>
      <c r="AO205"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5" s="6"/>
      <c r="AQ205" s="6"/>
      <c r="AR205" s="6"/>
    </row>
    <row r="206" ht="13.5" customHeight="1" hidden="1">
      <c r="B206" s="3560">
        <v>195</v>
      </c>
      <c r="C206" s="3529"/>
      <c r="D206" s="3529"/>
      <c r="E206" s="3529"/>
      <c r="F206" s="3530"/>
      <c r="G206" s="3561"/>
      <c r="H206" s="3562"/>
      <c r="I206" s="3532"/>
      <c r="J206" s="3533"/>
      <c r="K206" s="3534"/>
      <c r="L206" s="3535"/>
      <c r="M206" s="3536"/>
      <c r="N206" s="3535"/>
      <c r="O206" s="3535"/>
      <c r="P206" s="3535"/>
      <c r="Q206" s="3535"/>
      <c r="R206" s="3535"/>
      <c r="S206" s="3535"/>
      <c r="T206" s="3535"/>
      <c r="U206" s="3535"/>
      <c r="V206" s="3535"/>
      <c r="W206" s="3535"/>
      <c r="X206" s="3535"/>
      <c r="Y206" s="3535"/>
      <c r="Z206" s="3535"/>
      <c r="AA206" s="3568"/>
      <c r="AB206" s="3536"/>
      <c r="AC206" s="3535"/>
      <c r="AD206" s="3571"/>
      <c r="AE206" s="3573"/>
      <c r="AF206" s="3574"/>
      <c r="AG206" s="3576"/>
      <c r="AH206" s="3535"/>
      <c r="AI206" s="3535"/>
      <c r="AJ206" s="3574"/>
      <c r="AK206" s="3535"/>
      <c r="AL206" s="3579"/>
      <c r="AM206" s="3581"/>
      <c r="AN206" s="3581">
        <f>IF(ExpComps_LenderTable[[#This Row], [R&amp;M]]+ExpComps_LenderTable[[#This Row], [Payroll]]&gt;0,ExpComps_LenderTable[[#This Row], [R&amp;M]]+ExpComps_LenderTable[[#This Row], [Payroll]],"")</f>
      </c>
      <c r="AO206"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6" s="6"/>
      <c r="AQ206" s="6"/>
      <c r="AR206" s="6"/>
    </row>
    <row r="207" ht="13.5" customHeight="1" hidden="1">
      <c r="B207" s="3560">
        <v>196</v>
      </c>
      <c r="C207" s="3529"/>
      <c r="D207" s="3529"/>
      <c r="E207" s="3529"/>
      <c r="F207" s="3530"/>
      <c r="G207" s="3561"/>
      <c r="H207" s="3562"/>
      <c r="I207" s="3532"/>
      <c r="J207" s="3533"/>
      <c r="K207" s="3534"/>
      <c r="L207" s="3535"/>
      <c r="M207" s="3536"/>
      <c r="N207" s="3535"/>
      <c r="O207" s="3535"/>
      <c r="P207" s="3535"/>
      <c r="Q207" s="3535"/>
      <c r="R207" s="3535"/>
      <c r="S207" s="3535"/>
      <c r="T207" s="3535"/>
      <c r="U207" s="3535"/>
      <c r="V207" s="3535"/>
      <c r="W207" s="3535"/>
      <c r="X207" s="3535"/>
      <c r="Y207" s="3535"/>
      <c r="Z207" s="3535"/>
      <c r="AA207" s="3568"/>
      <c r="AB207" s="3536"/>
      <c r="AC207" s="3535"/>
      <c r="AD207" s="3571"/>
      <c r="AE207" s="3573"/>
      <c r="AF207" s="3574"/>
      <c r="AG207" s="3576"/>
      <c r="AH207" s="3535"/>
      <c r="AI207" s="3535"/>
      <c r="AJ207" s="3574"/>
      <c r="AK207" s="3535"/>
      <c r="AL207" s="3579"/>
      <c r="AM207" s="3581"/>
      <c r="AN207" s="3581">
        <f>IF(ExpComps_LenderTable[[#This Row], [R&amp;M]]+ExpComps_LenderTable[[#This Row], [Payroll]]&gt;0,ExpComps_LenderTable[[#This Row], [R&amp;M]]+ExpComps_LenderTable[[#This Row], [Payroll]],"")</f>
      </c>
      <c r="AO207"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7" s="6"/>
      <c r="AQ207" s="6"/>
      <c r="AR207" s="6"/>
    </row>
    <row r="208" ht="13.5" customHeight="1" hidden="1">
      <c r="B208" s="3560">
        <v>197</v>
      </c>
      <c r="C208" s="3529"/>
      <c r="D208" s="3529"/>
      <c r="E208" s="3529"/>
      <c r="F208" s="3530"/>
      <c r="G208" s="3561"/>
      <c r="H208" s="3562"/>
      <c r="I208" s="3532"/>
      <c r="J208" s="3533"/>
      <c r="K208" s="3534"/>
      <c r="L208" s="3535"/>
      <c r="M208" s="3536"/>
      <c r="N208" s="3535"/>
      <c r="O208" s="3535"/>
      <c r="P208" s="3535"/>
      <c r="Q208" s="3535"/>
      <c r="R208" s="3535"/>
      <c r="S208" s="3535"/>
      <c r="T208" s="3535"/>
      <c r="U208" s="3535"/>
      <c r="V208" s="3535"/>
      <c r="W208" s="3535"/>
      <c r="X208" s="3535"/>
      <c r="Y208" s="3535"/>
      <c r="Z208" s="3535"/>
      <c r="AA208" s="3568"/>
      <c r="AB208" s="3536"/>
      <c r="AC208" s="3535"/>
      <c r="AD208" s="3571"/>
      <c r="AE208" s="3573"/>
      <c r="AF208" s="3574"/>
      <c r="AG208" s="3576"/>
      <c r="AH208" s="3535"/>
      <c r="AI208" s="3535"/>
      <c r="AJ208" s="3574"/>
      <c r="AK208" s="3535"/>
      <c r="AL208" s="3579"/>
      <c r="AM208" s="3581"/>
      <c r="AN208" s="3581">
        <f>IF(ExpComps_LenderTable[[#This Row], [R&amp;M]]+ExpComps_LenderTable[[#This Row], [Payroll]]&gt;0,ExpComps_LenderTable[[#This Row], [R&amp;M]]+ExpComps_LenderTable[[#This Row], [Payroll]],"")</f>
      </c>
      <c r="AO208"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8" s="6"/>
      <c r="AQ208" s="6"/>
      <c r="AR208" s="6"/>
    </row>
    <row r="209" ht="13.5" customHeight="1" hidden="1">
      <c r="B209" s="3560">
        <v>198</v>
      </c>
      <c r="C209" s="3529"/>
      <c r="D209" s="3529"/>
      <c r="E209" s="3529"/>
      <c r="F209" s="3530"/>
      <c r="G209" s="3561"/>
      <c r="H209" s="3562"/>
      <c r="I209" s="3532"/>
      <c r="J209" s="3533"/>
      <c r="K209" s="3534"/>
      <c r="L209" s="3535"/>
      <c r="M209" s="3536"/>
      <c r="N209" s="3535"/>
      <c r="O209" s="3535"/>
      <c r="P209" s="3535"/>
      <c r="Q209" s="3535"/>
      <c r="R209" s="3535"/>
      <c r="S209" s="3535"/>
      <c r="T209" s="3535"/>
      <c r="U209" s="3535"/>
      <c r="V209" s="3535"/>
      <c r="W209" s="3535"/>
      <c r="X209" s="3535"/>
      <c r="Y209" s="3535"/>
      <c r="Z209" s="3535"/>
      <c r="AA209" s="3568"/>
      <c r="AB209" s="3536"/>
      <c r="AC209" s="3535"/>
      <c r="AD209" s="3571"/>
      <c r="AE209" s="3573"/>
      <c r="AF209" s="3574"/>
      <c r="AG209" s="3576"/>
      <c r="AH209" s="3535"/>
      <c r="AI209" s="3535"/>
      <c r="AJ209" s="3574"/>
      <c r="AK209" s="3535"/>
      <c r="AL209" s="3579"/>
      <c r="AM209" s="3581"/>
      <c r="AN209" s="3581">
        <f>IF(ExpComps_LenderTable[[#This Row], [R&amp;M]]+ExpComps_LenderTable[[#This Row], [Payroll]]&gt;0,ExpComps_LenderTable[[#This Row], [R&amp;M]]+ExpComps_LenderTable[[#This Row], [Payroll]],"")</f>
      </c>
      <c r="AO209"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09" s="6"/>
      <c r="AQ209" s="6"/>
      <c r="AR209" s="6"/>
    </row>
    <row r="210" ht="13.5" customHeight="1" hidden="1">
      <c r="B210" s="3560">
        <v>199</v>
      </c>
      <c r="C210" s="3529"/>
      <c r="D210" s="3529"/>
      <c r="E210" s="3529"/>
      <c r="F210" s="3530"/>
      <c r="G210" s="3561"/>
      <c r="H210" s="3562"/>
      <c r="I210" s="3532"/>
      <c r="J210" s="3533"/>
      <c r="K210" s="3534"/>
      <c r="L210" s="3535"/>
      <c r="M210" s="3536"/>
      <c r="N210" s="3535"/>
      <c r="O210" s="3535"/>
      <c r="P210" s="3535"/>
      <c r="Q210" s="3535"/>
      <c r="R210" s="3535"/>
      <c r="S210" s="3535"/>
      <c r="T210" s="3535"/>
      <c r="U210" s="3535"/>
      <c r="V210" s="3535"/>
      <c r="W210" s="3535"/>
      <c r="X210" s="3535"/>
      <c r="Y210" s="3535"/>
      <c r="Z210" s="3535"/>
      <c r="AA210" s="3568"/>
      <c r="AB210" s="3536"/>
      <c r="AC210" s="3535"/>
      <c r="AD210" s="3571"/>
      <c r="AE210" s="3573"/>
      <c r="AF210" s="3574"/>
      <c r="AG210" s="3576"/>
      <c r="AH210" s="3535"/>
      <c r="AI210" s="3535"/>
      <c r="AJ210" s="3574"/>
      <c r="AK210" s="3535"/>
      <c r="AL210" s="3579"/>
      <c r="AM210" s="3581"/>
      <c r="AN210" s="3581">
        <f>IF(ExpComps_LenderTable[[#This Row], [R&amp;M]]+ExpComps_LenderTable[[#This Row], [Payroll]]&gt;0,ExpComps_LenderTable[[#This Row], [R&amp;M]]+ExpComps_LenderTable[[#This Row], [Payroll]],"")</f>
      </c>
      <c r="AO210" s="3581">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10" s="6"/>
      <c r="AQ210" s="6"/>
      <c r="AR210" s="6"/>
    </row>
    <row r="211" ht="13.5" customHeight="1" hidden="1">
      <c r="B211" s="3560">
        <v>200</v>
      </c>
      <c r="C211" s="3529"/>
      <c r="D211" s="3529"/>
      <c r="E211" s="3529"/>
      <c r="F211" s="3530"/>
      <c r="G211" s="3561"/>
      <c r="H211" s="3562"/>
      <c r="I211" s="3532"/>
      <c r="J211" s="3533"/>
      <c r="K211" s="3534"/>
      <c r="L211" s="3535"/>
      <c r="M211" s="3536"/>
      <c r="N211" s="3535"/>
      <c r="O211" s="3535"/>
      <c r="P211" s="3535"/>
      <c r="Q211" s="3535"/>
      <c r="R211" s="3535"/>
      <c r="S211" s="3535"/>
      <c r="T211" s="3535"/>
      <c r="U211" s="3535"/>
      <c r="V211" s="3535"/>
      <c r="W211" s="3535"/>
      <c r="X211" s="3535"/>
      <c r="Y211" s="3535"/>
      <c r="Z211" s="3535"/>
      <c r="AA211" s="3568"/>
      <c r="AB211" s="3536"/>
      <c r="AC211" s="3535"/>
      <c r="AD211" s="3571"/>
      <c r="AE211" s="3573"/>
      <c r="AF211" s="3574"/>
      <c r="AG211" s="3576"/>
      <c r="AH211" s="3535"/>
      <c r="AI211" s="3535"/>
      <c r="AJ211" s="3574"/>
      <c r="AK211" s="3535"/>
      <c r="AL211" s="3579"/>
      <c r="AM211" s="3546"/>
      <c r="AN211" s="3582">
        <f>IF(ExpComps_LenderTable[[#This Row], [R&amp;M]]+ExpComps_LenderTable[[#This Row], [Payroll]]&gt;0,ExpComps_LenderTable[[#This Row], [R&amp;M]]+ExpComps_LenderTable[[#This Row], [Payroll]],"")</f>
      </c>
      <c r="AO211" s="3472">
        <f>IF(ExpComps_LenderTable[[#This Row], [Payroll]]+ExpComps_LenderTable[[#This Row], [R&amp;M]]+ExpComps_LenderTable[[#This Row], [Admin]]+ExpComps_LenderTable[[#This Row], [Prof]]+ExpComps_LenderTable[[#This Row], [Adv]]&gt;0,ExpComps_LenderTable[[#This Row], [Payroll]]+ExpComps_LenderTable[[#This Row], [R&amp;M]]+ExpComps_LenderTable[[#This Row], [Admin]]+ExpComps_LenderTable[[#This Row], [Prof]]+ExpComps_LenderTable[[#This Row], [Adv]],"")</f>
      </c>
      <c r="AP211" s="6"/>
      <c r="AQ211" s="6"/>
      <c r="AR211" s="6"/>
    </row>
    <row r="212" ht="15" customHeight="1">
      <c r="A212" s="6"/>
      <c r="B212" s="3183"/>
      <c r="C212" s="3419"/>
      <c r="D212" s="3419"/>
      <c r="E212" s="3419"/>
      <c r="F212" s="3409"/>
      <c r="G212" s="3469"/>
      <c r="H212" s="3470"/>
      <c r="I212" s="3471"/>
      <c r="J212" s="3472"/>
      <c r="K212" s="3473"/>
      <c r="L212" s="3472"/>
      <c r="M212" s="3472"/>
      <c r="N212" s="3472"/>
      <c r="O212" s="3472"/>
      <c r="P212" s="3472"/>
      <c r="Q212" s="3472"/>
      <c r="R212" s="3472"/>
      <c r="S212" s="3472"/>
      <c r="T212" s="3472"/>
      <c r="U212" s="3472"/>
      <c r="V212" s="3472"/>
      <c r="W212" s="3472"/>
      <c r="X212" s="3472"/>
      <c r="Y212" s="3474"/>
      <c r="Z212" s="3474"/>
      <c r="AA212" s="3472"/>
      <c r="AB212" s="3474"/>
      <c r="AC212" s="3474"/>
      <c r="AD212" s="3475"/>
      <c r="AE212" s="3472"/>
      <c r="AF212" s="3472"/>
      <c r="AG212" s="3472"/>
      <c r="AH212" s="3475"/>
      <c r="AI212" s="3472"/>
      <c r="AJ212" s="3475"/>
      <c r="AK212" s="3474"/>
      <c r="AL212" s="2581"/>
      <c r="AM212" s="2581"/>
      <c r="AN212" s="2581"/>
      <c r="AO212" s="1641"/>
      <c r="AP212" s="6"/>
      <c r="AQ212" s="6"/>
    </row>
    <row r="213" ht="15" customHeight="1">
      <c r="A213" s="6"/>
      <c r="B213" s="3476" t="s">
        <v>774</v>
      </c>
      <c r="C213" s="3477"/>
      <c r="D213" s="3478"/>
      <c r="E213" s="3478"/>
      <c r="F213" s="3478"/>
      <c r="G213" s="3478"/>
      <c r="H213" s="3479"/>
      <c r="I213" s="3480">
        <f t="shared" si="1" ref="I213:AO213">MIN(I12:I211)</f>
        <v>0</v>
      </c>
      <c r="J213" s="3481">
        <f t="shared" si="1"/>
        <v>0</v>
      </c>
      <c r="K213" s="3482">
        <f t="shared" si="1"/>
        <v>0</v>
      </c>
      <c r="L213" s="3483">
        <f t="shared" si="1"/>
        <v>0</v>
      </c>
      <c r="M213" s="3484">
        <f t="shared" si="1"/>
        <v>0</v>
      </c>
      <c r="N213" s="3483">
        <f t="shared" si="1"/>
        <v>0</v>
      </c>
      <c r="O213" s="3483">
        <f t="shared" si="1"/>
        <v>0</v>
      </c>
      <c r="P213" s="3483">
        <f t="shared" si="1"/>
        <v>0</v>
      </c>
      <c r="Q213" s="3483">
        <f t="shared" si="1"/>
        <v>0</v>
      </c>
      <c r="R213" s="3483">
        <f t="shared" si="1"/>
        <v>0</v>
      </c>
      <c r="S213" s="3483">
        <f t="shared" si="1"/>
        <v>0</v>
      </c>
      <c r="T213" s="3483">
        <f t="shared" si="1"/>
        <v>0</v>
      </c>
      <c r="U213" s="3483">
        <f t="shared" si="1"/>
        <v>0</v>
      </c>
      <c r="V213" s="3483">
        <f t="shared" si="1"/>
        <v>0</v>
      </c>
      <c r="W213" s="3483">
        <f t="shared" si="1"/>
        <v>0</v>
      </c>
      <c r="X213" s="3483">
        <f t="shared" si="1"/>
        <v>0</v>
      </c>
      <c r="Y213" s="3483">
        <f t="shared" si="1"/>
        <v>0</v>
      </c>
      <c r="Z213" s="3483">
        <f t="shared" si="1"/>
        <v>0</v>
      </c>
      <c r="AA213" s="3484">
        <f t="shared" si="1"/>
        <v>0</v>
      </c>
      <c r="AB213" s="3484">
        <f t="shared" si="1"/>
        <v>0</v>
      </c>
      <c r="AC213" s="3483">
        <f t="shared" si="1"/>
        <v>0</v>
      </c>
      <c r="AD213" s="3483">
        <f t="shared" si="1"/>
        <v>0</v>
      </c>
      <c r="AE213" s="3483">
        <f t="shared" si="1"/>
        <v>0</v>
      </c>
      <c r="AF213" s="3482">
        <f t="shared" si="1"/>
        <v>0</v>
      </c>
      <c r="AG213" s="3482">
        <f t="shared" si="1"/>
        <v>0</v>
      </c>
      <c r="AH213" s="3483">
        <f t="shared" si="1"/>
        <v>0</v>
      </c>
      <c r="AI213" s="3483">
        <f t="shared" si="1"/>
        <v>0</v>
      </c>
      <c r="AJ213" s="3485">
        <f t="shared" si="1"/>
        <v>0</v>
      </c>
      <c r="AK213" s="3483">
        <f t="shared" si="1"/>
        <v>0</v>
      </c>
      <c r="AL213" s="3486">
        <f t="shared" si="1"/>
        <v>0</v>
      </c>
      <c r="AM213" s="3483">
        <f t="shared" si="1"/>
        <v>0</v>
      </c>
      <c r="AN213" s="3483">
        <f t="shared" si="1"/>
        <v>0</v>
      </c>
      <c r="AO213" s="3483">
        <f t="shared" si="1"/>
        <v>0</v>
      </c>
      <c r="AP213" s="6"/>
      <c r="AQ213" s="6"/>
      <c r="AR213" s="6"/>
    </row>
    <row r="214" ht="15" customHeight="1">
      <c r="A214" s="6"/>
      <c r="B214" s="3476" t="s">
        <v>3129</v>
      </c>
      <c r="C214" s="3477"/>
      <c r="D214" s="3478"/>
      <c r="E214" s="3478"/>
      <c r="F214" s="3478"/>
      <c r="G214" s="3478"/>
      <c r="H214" s="3479"/>
      <c r="I214" s="3480">
        <f t="shared" si="2" ref="I214:AO214">MAX(I12:I211)</f>
        <v>0</v>
      </c>
      <c r="J214" s="3481">
        <f t="shared" si="2"/>
        <v>0</v>
      </c>
      <c r="K214" s="3482">
        <f t="shared" si="2"/>
        <v>0</v>
      </c>
      <c r="L214" s="3483">
        <f t="shared" si="2"/>
        <v>0</v>
      </c>
      <c r="M214" s="3484">
        <f t="shared" si="2"/>
        <v>0</v>
      </c>
      <c r="N214" s="3483">
        <f t="shared" si="2"/>
        <v>0</v>
      </c>
      <c r="O214" s="3483">
        <f t="shared" si="2"/>
        <v>0</v>
      </c>
      <c r="P214" s="3483">
        <f t="shared" si="2"/>
        <v>0</v>
      </c>
      <c r="Q214" s="3483">
        <f t="shared" si="2"/>
        <v>0</v>
      </c>
      <c r="R214" s="3483">
        <f t="shared" si="2"/>
        <v>0</v>
      </c>
      <c r="S214" s="3483">
        <f t="shared" si="2"/>
        <v>0</v>
      </c>
      <c r="T214" s="3483">
        <f t="shared" si="2"/>
        <v>0</v>
      </c>
      <c r="U214" s="3483">
        <f t="shared" si="2"/>
        <v>0</v>
      </c>
      <c r="V214" s="3483">
        <f t="shared" si="2"/>
        <v>0</v>
      </c>
      <c r="W214" s="3483">
        <f t="shared" si="2"/>
        <v>0</v>
      </c>
      <c r="X214" s="3483">
        <f t="shared" si="2"/>
        <v>0</v>
      </c>
      <c r="Y214" s="3483">
        <f t="shared" si="2"/>
        <v>0</v>
      </c>
      <c r="Z214" s="3483">
        <f t="shared" si="2"/>
        <v>0</v>
      </c>
      <c r="AA214" s="3484">
        <f t="shared" si="2"/>
        <v>0</v>
      </c>
      <c r="AB214" s="3484">
        <f t="shared" si="2"/>
        <v>0</v>
      </c>
      <c r="AC214" s="3483">
        <f t="shared" si="2"/>
        <v>0</v>
      </c>
      <c r="AD214" s="3483">
        <f t="shared" si="2"/>
        <v>0</v>
      </c>
      <c r="AE214" s="3483">
        <f t="shared" si="2"/>
        <v>0</v>
      </c>
      <c r="AF214" s="3482">
        <f t="shared" si="2"/>
        <v>0</v>
      </c>
      <c r="AG214" s="3482">
        <f t="shared" si="2"/>
        <v>0</v>
      </c>
      <c r="AH214" s="3483">
        <f t="shared" si="2"/>
        <v>0</v>
      </c>
      <c r="AI214" s="3483">
        <f t="shared" si="2"/>
        <v>0</v>
      </c>
      <c r="AJ214" s="3485">
        <f t="shared" si="2"/>
        <v>0</v>
      </c>
      <c r="AK214" s="3483">
        <f t="shared" si="2"/>
        <v>0</v>
      </c>
      <c r="AL214" s="3486">
        <f t="shared" si="2"/>
        <v>0</v>
      </c>
      <c r="AM214" s="3483">
        <f t="shared" si="2"/>
        <v>0</v>
      </c>
      <c r="AN214" s="3483">
        <f t="shared" si="2"/>
        <v>0</v>
      </c>
      <c r="AO214" s="3483">
        <f t="shared" si="2"/>
        <v>0</v>
      </c>
      <c r="AP214" s="6"/>
      <c r="AQ214" s="6"/>
      <c r="AR214" s="6"/>
    </row>
    <row r="215" ht="15" customHeight="1">
      <c r="A215" s="6"/>
      <c r="B215" s="3476" t="s">
        <v>1780</v>
      </c>
      <c r="C215" s="3477"/>
      <c r="D215" s="3478"/>
      <c r="E215" s="3478"/>
      <c r="F215" s="3478"/>
      <c r="G215" s="3478"/>
      <c r="H215" s="3479"/>
      <c r="I215" s="3480">
        <f t="shared" si="3" ref="I215:K215">_xlfn.IFERROR(AVERAGE(I12:I211),0)</f>
        <v>0</v>
      </c>
      <c r="J215" s="3481">
        <f t="shared" si="3"/>
        <v>0</v>
      </c>
      <c r="K215" s="3482">
        <f t="shared" si="3"/>
        <v>0</v>
      </c>
      <c r="L215" s="3483">
        <f t="shared" si="4" ref="L215:AO215">_xlfn.IFERROR(_xlfn.AVERAGEIF(L12:L211,"&gt;0",L12:L211),0)</f>
        <v>0</v>
      </c>
      <c r="M215" s="3484">
        <f t="shared" si="4"/>
        <v>0</v>
      </c>
      <c r="N215" s="3483">
        <f t="shared" si="4"/>
        <v>0</v>
      </c>
      <c r="O215" s="3483">
        <f t="shared" si="4"/>
        <v>0</v>
      </c>
      <c r="P215" s="3483">
        <f t="shared" si="4"/>
        <v>0</v>
      </c>
      <c r="Q215" s="3483">
        <f t="shared" si="4"/>
        <v>0</v>
      </c>
      <c r="R215" s="3483">
        <f t="shared" si="4"/>
        <v>0</v>
      </c>
      <c r="S215" s="3483">
        <f t="shared" si="4"/>
        <v>0</v>
      </c>
      <c r="T215" s="3483">
        <f t="shared" si="4"/>
        <v>0</v>
      </c>
      <c r="U215" s="3483">
        <f t="shared" si="4"/>
        <v>0</v>
      </c>
      <c r="V215" s="3483">
        <f t="shared" si="4"/>
        <v>0</v>
      </c>
      <c r="W215" s="3483">
        <f t="shared" si="4"/>
        <v>0</v>
      </c>
      <c r="X215" s="3483">
        <f t="shared" si="4"/>
        <v>0</v>
      </c>
      <c r="Y215" s="3483">
        <f t="shared" si="4"/>
        <v>0</v>
      </c>
      <c r="Z215" s="3483">
        <f t="shared" si="4"/>
        <v>0</v>
      </c>
      <c r="AA215" s="3484">
        <f t="shared" si="4"/>
        <v>0</v>
      </c>
      <c r="AB215" s="3484">
        <f t="shared" si="4"/>
        <v>0</v>
      </c>
      <c r="AC215" s="3483">
        <f t="shared" si="4"/>
        <v>0</v>
      </c>
      <c r="AD215" s="3483">
        <f t="shared" si="4"/>
        <v>0</v>
      </c>
      <c r="AE215" s="3483">
        <f t="shared" si="4"/>
        <v>0</v>
      </c>
      <c r="AF215" s="3482">
        <f t="shared" si="4"/>
        <v>0</v>
      </c>
      <c r="AG215" s="3482">
        <f t="shared" si="4"/>
        <v>0</v>
      </c>
      <c r="AH215" s="3483">
        <f t="shared" si="4"/>
        <v>0</v>
      </c>
      <c r="AI215" s="3483">
        <f t="shared" si="4"/>
        <v>0</v>
      </c>
      <c r="AJ215" s="3485">
        <f t="shared" si="4"/>
        <v>0</v>
      </c>
      <c r="AK215" s="3483">
        <f t="shared" si="4"/>
        <v>0</v>
      </c>
      <c r="AL215" s="3486">
        <f t="shared" si="4"/>
        <v>0</v>
      </c>
      <c r="AM215" s="3483">
        <f t="shared" si="4"/>
        <v>0</v>
      </c>
      <c r="AN215" s="3483">
        <f t="shared" si="4"/>
        <v>0</v>
      </c>
      <c r="AO215" s="3483">
        <f t="shared" si="4"/>
        <v>0</v>
      </c>
      <c r="AP215" s="6"/>
      <c r="AQ215" s="6"/>
      <c r="AR215" s="6"/>
    </row>
    <row r="216" ht="15.75" customHeight="1">
      <c r="A216" s="6"/>
      <c r="B216" s="3183"/>
      <c r="C216" s="3419"/>
      <c r="D216" s="3409"/>
      <c r="E216" s="3409"/>
      <c r="F216" s="3409"/>
      <c r="G216" s="3409"/>
      <c r="H216" s="3409"/>
      <c r="I216" s="3185"/>
      <c r="J216" s="3470"/>
      <c r="K216" s="3470"/>
      <c r="L216" s="3471"/>
      <c r="M216" s="3472"/>
      <c r="N216" s="3474"/>
      <c r="O216" s="3472"/>
      <c r="P216" s="3472"/>
      <c r="Q216" s="3472"/>
      <c r="R216" s="3472"/>
      <c r="S216" s="3472"/>
      <c r="T216" s="3472"/>
      <c r="U216" s="3472"/>
      <c r="V216" s="3472"/>
      <c r="W216" s="3472"/>
      <c r="X216" s="3472"/>
      <c r="Y216" s="3472"/>
      <c r="Z216" s="3472"/>
      <c r="AA216" s="3472"/>
      <c r="AB216" s="3474"/>
      <c r="AC216" s="3474"/>
      <c r="AD216" s="3472"/>
      <c r="AE216" s="3472"/>
      <c r="AF216" s="3474"/>
      <c r="AG216" s="3475"/>
      <c r="AH216" s="3475"/>
      <c r="AI216" s="3472"/>
      <c r="AJ216" s="3475"/>
      <c r="AK216" s="3474"/>
      <c r="AL216" s="3472"/>
      <c r="AM216" s="3472"/>
      <c r="AN216" s="3472"/>
      <c r="AO216" s="2581"/>
      <c r="AP216" s="6"/>
      <c r="AQ216" s="6"/>
      <c r="AR216" s="6"/>
    </row>
    <row r="217" ht="15.75" customHeight="1">
      <c r="B217" s="3487" t="s">
        <v>3130</v>
      </c>
      <c r="C217" s="3488" t="str">
        <f>PropertyName_DataPageTab</f>
        <v>XXXX</v>
      </c>
      <c r="D217" s="3489" t="str">
        <f>City_DataPageTab</f>
        <v>City</v>
      </c>
      <c r="E217" s="3489">
        <f>MSA_DataPageTab</f>
      </c>
      <c r="F217" s="3489" t="str">
        <f>State_DataPageTab</f>
        <v>XX</v>
      </c>
      <c r="G217" s="3489"/>
      <c r="H217" s="3489"/>
      <c r="I217" s="3490" t="str">
        <f>YearBuilt_DataPageTab</f>
        <v>XXXX</v>
      </c>
      <c r="J217" s="3491">
        <f>IF(C7="Dedicated Student",TotalBeds,TotalUnits)</f>
        <v>85</v>
      </c>
      <c r="K217" s="3491"/>
      <c r="L217" s="3492">
        <f>_xlfn.IFERROR(SOps_UnderwrittenEGI/$J$217,0)</f>
        <v>13056.917647058823</v>
      </c>
      <c r="M217" s="3493">
        <f>HOps_ManagementFee</f>
        <v>0.035</v>
      </c>
      <c r="N217" s="3494">
        <f>_xlfn.IFERROR('Summary OPS'!AU35/$J$217,0)</f>
        <v>456.9921176470588</v>
      </c>
      <c r="O217" s="3494">
        <f>_xlfn.IFERROR('Summary OPS'!AU37/$J$217,0)</f>
        <v>601.3261176470588</v>
      </c>
      <c r="P217" s="3494">
        <f>_xlfn.IFERROR('Summary OPS'!AU38/$J$217,0)</f>
        <v>222.79505882352944</v>
      </c>
      <c r="Q217" s="3494">
        <f>_xlfn.IFERROR(('Summary OPS'!AU36+'Summary OPS'!AU39+'Summary OPS'!AU40+'Summary OPS'!AU47+'Summary OPS'!AU48)/$J$217,0)</f>
        <v>2646.1911764705883</v>
      </c>
      <c r="R217" s="3492">
        <f>_xlfn.IFERROR('Summary OPS'!AU41/$J$217,0)</f>
        <v>5794.040823529412</v>
      </c>
      <c r="S217" s="3492">
        <f>_xlfn.IFERROR('Summary OPS'!AU42/$J$217,0)</f>
        <v>2154.0208235294117</v>
      </c>
      <c r="T217" s="3492">
        <f>_xlfn.IFERROR('Summary OPS'!AU43/$J$217,0)</f>
        <v>1383.5202352941176</v>
      </c>
      <c r="U217" s="3492">
        <f>_xlfn.IFERROR('Summary OPS'!AU44/$J$217,0)</f>
        <v>4656.072588235294</v>
      </c>
      <c r="V217" s="3492">
        <f>_xlfn.IFERROR('Summary OPS'!AU45/$J$217,0)</f>
        <v>2945.715176470588</v>
      </c>
      <c r="W217" s="3492">
        <f>_xlfn.IFERROR('Summary OPS'!AU46/$J$217,0)</f>
        <v>12192.74011764706</v>
      </c>
      <c r="X217" s="3492">
        <f>_xlfn.IFERROR('Summary OPS'!AU51/$J$217,0)</f>
        <v>250</v>
      </c>
      <c r="Y217" s="3492">
        <f t="shared" si="12" ref="Y217:Y250">SUM(N217:X217)</f>
        <v>33303.41423529412</v>
      </c>
      <c r="Z217" s="3492">
        <f t="shared" si="15" ref="Z217:Z253">Y217-W217-X217</f>
        <v>20860.67411764706</v>
      </c>
      <c r="AA217" s="3493"/>
      <c r="AB217" s="3493">
        <f>'Summary OPS'!AV54</f>
        <v>2.550633705099303</v>
      </c>
      <c r="AC217" s="3494">
        <f>_xlfn.IFERROR('Summary OPS'!AU57/$J$217,0)</f>
        <v>-20246.496588235295</v>
      </c>
      <c r="AD217" s="3493"/>
      <c r="AE217" s="3494"/>
      <c r="AF217" s="3495">
        <f>Actual_UW_DSCR</f>
        <v>0</v>
      </c>
      <c r="AG217" s="3495"/>
      <c r="AH217" s="3494">
        <f>_xlfn.IFERROR(UW_Value/$J$217,0)</f>
        <v>-404929.9317647058</v>
      </c>
      <c r="AI217" s="3494">
        <f>_xlfn.IFERROR(LoanAmount/$J$217,0)</f>
        <v>0</v>
      </c>
      <c r="AJ217" s="3495">
        <f>LTV</f>
        <v>0</v>
      </c>
      <c r="AK217" s="3494">
        <f>_xlfn.IFERROR(UW_NCF/$J$217,0)</f>
        <v>-20246.496588235295</v>
      </c>
      <c r="AL217" s="3496">
        <f>C6</f>
        <v>2022</v>
      </c>
      <c r="AM217" s="3494"/>
      <c r="AN217" s="3494">
        <f>R217+U217</f>
        <v>10450.113411764705</v>
      </c>
      <c r="AO217" s="3497">
        <f>R217+U217+Q217+P217+O217</f>
        <v>13920.42576470588</v>
      </c>
      <c r="AP217" s="6"/>
      <c r="AQ217" s="6"/>
      <c r="AR217" s="6"/>
    </row>
    <row r="218" ht="15" customHeight="1">
      <c r="A218" s="6"/>
      <c r="B218" s="3183"/>
      <c r="C218" s="3419"/>
      <c r="D218" s="3409"/>
      <c r="E218" s="3409"/>
      <c r="F218" s="3409"/>
      <c r="G218" s="3409"/>
      <c r="H218" s="3185"/>
      <c r="I218" s="3470"/>
      <c r="J218" s="3471"/>
      <c r="K218" s="3472"/>
      <c r="L218" s="3474"/>
      <c r="M218" s="3498"/>
      <c r="N218" s="3472"/>
      <c r="O218" s="3472"/>
      <c r="P218" s="3472"/>
      <c r="Q218" s="3498"/>
      <c r="R218" s="3498"/>
      <c r="S218" s="3498"/>
      <c r="T218" s="3498"/>
      <c r="U218" s="3498"/>
      <c r="V218" s="3498"/>
      <c r="W218" s="3498"/>
      <c r="X218" s="3498"/>
      <c r="Y218" s="3498"/>
      <c r="Z218" s="3498"/>
      <c r="AA218" s="3474"/>
      <c r="AB218" s="3474"/>
      <c r="AC218" s="3499"/>
      <c r="AD218" s="3499"/>
      <c r="AE218" s="3499"/>
      <c r="AF218" s="3474"/>
      <c r="AG218" s="3185"/>
      <c r="AH218" s="3185"/>
      <c r="AI218" s="3185"/>
      <c r="AJ218" s="3185"/>
      <c r="AK218" s="3500"/>
      <c r="AL218" s="3185"/>
      <c r="AM218" s="5"/>
      <c r="AN218" s="5"/>
      <c r="AO218" s="6"/>
      <c r="AP218" s="6"/>
      <c r="AQ218" s="6"/>
    </row>
    <row r="219" ht="18" customHeight="1">
      <c r="A219" s="6"/>
      <c r="B219" s="3420" t="s">
        <v>3131</v>
      </c>
      <c r="C219" s="6"/>
      <c r="D219" s="3409"/>
      <c r="E219" s="3409"/>
      <c r="F219" s="3409"/>
      <c r="G219" s="3409"/>
      <c r="H219" s="3410"/>
      <c r="I219" s="3411"/>
      <c r="J219" s="3412"/>
      <c r="K219" s="3413"/>
      <c r="L219" s="3498"/>
      <c r="M219" s="3472"/>
      <c r="N219" s="3472"/>
      <c r="O219" s="3472"/>
      <c r="P219" s="3498"/>
      <c r="Q219" s="3498"/>
      <c r="R219" s="3498"/>
      <c r="S219" s="3498"/>
      <c r="T219" s="3498"/>
      <c r="U219" s="3498"/>
      <c r="V219" s="3498"/>
      <c r="W219" s="3498"/>
      <c r="X219" s="3498"/>
      <c r="Y219" s="3498"/>
      <c r="Z219" s="3413"/>
      <c r="AA219" s="3413"/>
      <c r="AB219" s="3414"/>
      <c r="AC219" s="3414"/>
      <c r="AD219" s="3414"/>
      <c r="AE219" s="3413"/>
      <c r="AF219" s="3409"/>
      <c r="AG219" s="3409"/>
      <c r="AH219" s="3183"/>
      <c r="AI219" s="3183"/>
      <c r="AJ219" s="3183"/>
      <c r="AK219" s="3415"/>
      <c r="AL219" s="6"/>
      <c r="AM219" s="6"/>
      <c r="AN219" s="6"/>
      <c r="AO219" s="6"/>
      <c r="AP219" s="6"/>
      <c r="AQ219" s="6"/>
    </row>
    <row r="220" ht="15" customHeight="1">
      <c r="A220" s="6"/>
      <c r="B220" s="3183"/>
      <c r="C220" s="3419"/>
      <c r="D220" s="3409"/>
      <c r="E220" s="3409"/>
      <c r="F220" s="3409"/>
      <c r="G220" s="3409"/>
      <c r="H220" s="3409"/>
      <c r="I220" s="3410"/>
      <c r="J220" s="3410"/>
      <c r="K220" s="3411"/>
      <c r="L220" s="3430" t="str">
        <f t="shared" si="5"/>
        <v>2022 Per Unit Expenses</v>
      </c>
      <c r="M220" s="3431"/>
      <c r="N220" s="3431"/>
      <c r="O220" s="3431"/>
      <c r="P220" s="3431"/>
      <c r="Q220" s="3431"/>
      <c r="R220" s="3431"/>
      <c r="S220" s="3431"/>
      <c r="T220" s="3431"/>
      <c r="U220" s="3431"/>
      <c r="V220" s="3431"/>
      <c r="W220" s="3431"/>
      <c r="X220" s="3431"/>
      <c r="Y220" s="3431"/>
      <c r="Z220" s="3431"/>
      <c r="AA220" s="3431"/>
      <c r="AB220" s="3432"/>
      <c r="AC220" s="3413"/>
      <c r="AD220" s="3414"/>
      <c r="AE220" s="3414"/>
      <c r="AF220" s="3414"/>
      <c r="AG220" s="3413"/>
      <c r="AH220" s="3409"/>
      <c r="AI220" s="3409"/>
      <c r="AJ220" s="3409"/>
      <c r="AK220" s="3415"/>
      <c r="AL220" s="3183"/>
      <c r="AM220" s="3183"/>
      <c r="AN220" s="6"/>
      <c r="AO220" s="6"/>
      <c r="AP220" s="6"/>
      <c r="AQ220" s="6"/>
      <c r="AR220" s="6"/>
    </row>
    <row r="221" ht="42" customHeight="1">
      <c r="A221" s="6"/>
      <c r="B221" s="3551" t="s">
        <v>3103</v>
      </c>
      <c r="C221" s="3551" t="s">
        <v>3104</v>
      </c>
      <c r="D221" s="3551" t="s">
        <v>279</v>
      </c>
      <c r="E221" s="3551" t="s">
        <v>2675</v>
      </c>
      <c r="F221" s="3551" t="s">
        <v>289</v>
      </c>
      <c r="G221" s="3552" t="s">
        <v>3105</v>
      </c>
      <c r="H221" s="2872" t="s">
        <v>201</v>
      </c>
      <c r="I221" s="3553" t="s">
        <v>660</v>
      </c>
      <c r="J221" s="3554" t="s">
        <v>3106</v>
      </c>
      <c r="K221" s="3554" t="s">
        <v>3107</v>
      </c>
      <c r="L221" s="3555" t="s">
        <v>1409</v>
      </c>
      <c r="M221" s="3556" t="s">
        <v>3108</v>
      </c>
      <c r="N221" s="3552" t="s">
        <v>3109</v>
      </c>
      <c r="O221" s="3552" t="s">
        <v>3110</v>
      </c>
      <c r="P221" s="3552" t="s">
        <v>3111</v>
      </c>
      <c r="Q221" s="3552" t="s">
        <v>3112</v>
      </c>
      <c r="R221" s="3552" t="s">
        <v>1416</v>
      </c>
      <c r="S221" s="3552" t="s">
        <v>1417</v>
      </c>
      <c r="T221" s="3552" t="s">
        <v>3113</v>
      </c>
      <c r="U221" s="3552" t="s">
        <v>3114</v>
      </c>
      <c r="V221" s="3552" t="s">
        <v>3115</v>
      </c>
      <c r="W221" s="3552" t="s">
        <v>3116</v>
      </c>
      <c r="X221" s="3552" t="s">
        <v>3117</v>
      </c>
      <c r="Y221" s="3552" t="s">
        <v>2968</v>
      </c>
      <c r="Z221" s="3557" t="s">
        <v>3118</v>
      </c>
      <c r="AA221" s="3552" t="s">
        <v>3127</v>
      </c>
      <c r="AB221" s="3558" t="s">
        <v>3128</v>
      </c>
      <c r="AC221" s="3413"/>
      <c r="AD221" s="3414"/>
      <c r="AE221" s="3414"/>
      <c r="AF221" s="3414"/>
      <c r="AG221" s="3413"/>
      <c r="AH221" s="3409"/>
      <c r="AI221" s="3409"/>
      <c r="AJ221" s="3409"/>
      <c r="AK221" s="3469"/>
      <c r="AL221" s="3409"/>
      <c r="AM221" s="3409"/>
      <c r="AN221" s="6"/>
      <c r="AO221" s="6"/>
      <c r="AP221" s="6"/>
      <c r="AQ221" s="6"/>
      <c r="AR221" s="6"/>
    </row>
    <row r="222" ht="15" customHeight="1">
      <c r="A222" s="6"/>
      <c r="B222" s="3507">
        <v>1</v>
      </c>
      <c r="C222" s="3508"/>
      <c r="D222" s="3508"/>
      <c r="E222" s="3508"/>
      <c r="F222" s="3509"/>
      <c r="G222" s="3509"/>
      <c r="H222" s="3510"/>
      <c r="I222" s="3511"/>
      <c r="J222" s="3512"/>
      <c r="K222" s="3513"/>
      <c r="L222" s="3514"/>
      <c r="M222" s="3515"/>
      <c r="N222" s="3514"/>
      <c r="O222" s="3514"/>
      <c r="P222" s="3514"/>
      <c r="Q222" s="3514"/>
      <c r="R222" s="3514"/>
      <c r="S222" s="3514"/>
      <c r="T222" s="3514"/>
      <c r="U222" s="3514"/>
      <c r="V222" s="3514"/>
      <c r="W222" s="3514"/>
      <c r="X222" s="3514"/>
      <c r="Y222" s="3514">
        <f t="shared" si="6" ref="Y222:Y260">IF(SUM(N222:X222)&gt;0,SUM(N222:X222),"")</f>
      </c>
      <c r="Z222" s="3516">
        <f t="shared" si="7" ref="Z222:Z260">IF(LEN(Y222)&gt;0,Y222-W222-X222,"")</f>
      </c>
      <c r="AA222" s="3516">
        <f>IF(ExpComps_AppraiserTable[[#This Row], [R&amp;M]]+ExpComps_AppraiserTable[[#This Row], [Payroll]]&gt;0,ExpComps_AppraiserTable[[#This Row], [R&amp;M]]+ExpComps_AppraiserTable[[#This Row], [Payroll]],"")</f>
      </c>
      <c r="AB222"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2" s="3474"/>
      <c r="AD222" s="3499"/>
      <c r="AE222" s="3499"/>
      <c r="AF222" s="3499"/>
      <c r="AG222" s="3474"/>
      <c r="AH222" s="3185"/>
      <c r="AI222" s="3185"/>
      <c r="AJ222" s="3185"/>
      <c r="AK222" s="3500"/>
      <c r="AL222" s="3185"/>
      <c r="AM222" s="3185"/>
      <c r="AN222" s="6"/>
      <c r="AO222" s="6"/>
      <c r="AP222" s="6"/>
      <c r="AQ222" s="6"/>
      <c r="AR222" s="6"/>
    </row>
    <row r="223" ht="15" customHeight="1">
      <c r="A223" s="6"/>
      <c r="B223" s="3507">
        <v>2</v>
      </c>
      <c r="C223" s="3508"/>
      <c r="D223" s="3508"/>
      <c r="E223" s="3508"/>
      <c r="F223" s="3509"/>
      <c r="G223" s="3509"/>
      <c r="H223" s="3510"/>
      <c r="I223" s="3511"/>
      <c r="J223" s="3512"/>
      <c r="K223" s="3513"/>
      <c r="L223" s="3514"/>
      <c r="M223" s="3515"/>
      <c r="N223" s="3514"/>
      <c r="O223" s="3514"/>
      <c r="P223" s="3514"/>
      <c r="Q223" s="3514"/>
      <c r="R223" s="3514"/>
      <c r="S223" s="3514"/>
      <c r="T223" s="3514"/>
      <c r="U223" s="3514"/>
      <c r="V223" s="3514"/>
      <c r="W223" s="3514"/>
      <c r="X223" s="3514"/>
      <c r="Y223" s="3514">
        <f t="shared" si="6"/>
      </c>
      <c r="Z223" s="3516">
        <f t="shared" si="7"/>
      </c>
      <c r="AA223" s="3516">
        <f>IF(ExpComps_AppraiserTable[[#This Row], [R&amp;M]]+ExpComps_AppraiserTable[[#This Row], [Payroll]]&gt;0,ExpComps_AppraiserTable[[#This Row], [R&amp;M]]+ExpComps_AppraiserTable[[#This Row], [Payroll]],"")</f>
      </c>
      <c r="AB223"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3" s="3474"/>
      <c r="AD223" s="3499"/>
      <c r="AE223" s="3499"/>
      <c r="AF223" s="3499"/>
      <c r="AG223" s="3474"/>
      <c r="AH223" s="3185"/>
      <c r="AI223" s="3185"/>
      <c r="AJ223" s="3185"/>
      <c r="AK223" s="3500"/>
      <c r="AL223" s="3185"/>
      <c r="AM223" s="3185"/>
      <c r="AN223" s="6"/>
      <c r="AO223" s="6"/>
      <c r="AP223" s="6"/>
      <c r="AQ223" s="6"/>
      <c r="AR223" s="6"/>
    </row>
    <row r="224" ht="15" customHeight="1">
      <c r="A224" s="6"/>
      <c r="B224" s="3507">
        <v>3</v>
      </c>
      <c r="C224" s="3508"/>
      <c r="D224" s="3508"/>
      <c r="E224" s="3508"/>
      <c r="F224" s="3509"/>
      <c r="G224" s="3509"/>
      <c r="H224" s="3510"/>
      <c r="I224" s="3511"/>
      <c r="J224" s="3512"/>
      <c r="K224" s="3513"/>
      <c r="L224" s="3514"/>
      <c r="M224" s="3515"/>
      <c r="N224" s="3514"/>
      <c r="O224" s="3514"/>
      <c r="P224" s="3514"/>
      <c r="Q224" s="3514"/>
      <c r="R224" s="3514"/>
      <c r="S224" s="3514"/>
      <c r="T224" s="3514"/>
      <c r="U224" s="3514"/>
      <c r="V224" s="3514"/>
      <c r="W224" s="3514"/>
      <c r="X224" s="3514"/>
      <c r="Y224" s="3514">
        <f t="shared" si="6"/>
      </c>
      <c r="Z224" s="3516">
        <f t="shared" si="7"/>
      </c>
      <c r="AA224" s="3516">
        <f>IF(ExpComps_AppraiserTable[[#This Row], [R&amp;M]]+ExpComps_AppraiserTable[[#This Row], [Payroll]]&gt;0,ExpComps_AppraiserTable[[#This Row], [R&amp;M]]+ExpComps_AppraiserTable[[#This Row], [Payroll]],"")</f>
      </c>
      <c r="AB224"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4" s="3474"/>
      <c r="AD224" s="3499"/>
      <c r="AE224" s="3499"/>
      <c r="AF224" s="3499"/>
      <c r="AG224" s="3474"/>
      <c r="AH224" s="3185"/>
      <c r="AI224" s="3185"/>
      <c r="AJ224" s="3185"/>
      <c r="AK224" s="3500"/>
      <c r="AL224" s="3185"/>
      <c r="AM224" s="3185"/>
      <c r="AN224" s="6"/>
      <c r="AO224" s="6"/>
      <c r="AP224" s="6"/>
      <c r="AQ224" s="6"/>
      <c r="AR224" s="6"/>
    </row>
    <row r="225" ht="15" customHeight="1">
      <c r="A225" s="6"/>
      <c r="B225" s="3507">
        <v>4</v>
      </c>
      <c r="C225" s="3508"/>
      <c r="D225" s="3508"/>
      <c r="E225" s="3508"/>
      <c r="F225" s="3509"/>
      <c r="G225" s="3509"/>
      <c r="H225" s="3510"/>
      <c r="I225" s="3511"/>
      <c r="J225" s="3512"/>
      <c r="K225" s="3513"/>
      <c r="L225" s="3514"/>
      <c r="M225" s="3515"/>
      <c r="N225" s="3514"/>
      <c r="O225" s="3514"/>
      <c r="P225" s="3514"/>
      <c r="Q225" s="3514"/>
      <c r="R225" s="3514"/>
      <c r="S225" s="3514"/>
      <c r="T225" s="3514"/>
      <c r="U225" s="3514"/>
      <c r="V225" s="3514"/>
      <c r="W225" s="3514"/>
      <c r="X225" s="3514"/>
      <c r="Y225" s="3514">
        <f t="shared" si="6"/>
      </c>
      <c r="Z225" s="3516">
        <f t="shared" si="7"/>
      </c>
      <c r="AA225" s="3516">
        <f>IF(ExpComps_AppraiserTable[[#This Row], [R&amp;M]]+ExpComps_AppraiserTable[[#This Row], [Payroll]]&gt;0,ExpComps_AppraiserTable[[#This Row], [R&amp;M]]+ExpComps_AppraiserTable[[#This Row], [Payroll]],"")</f>
      </c>
      <c r="AB225"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5" s="3474"/>
      <c r="AD225" s="3499"/>
      <c r="AE225" s="3499"/>
      <c r="AF225" s="3499"/>
      <c r="AG225" s="3474"/>
      <c r="AH225" s="3185"/>
      <c r="AI225" s="3185"/>
      <c r="AJ225" s="3185"/>
      <c r="AK225" s="3500"/>
      <c r="AL225" s="3185"/>
      <c r="AM225" s="3185"/>
      <c r="AN225" s="6"/>
      <c r="AO225" s="6"/>
      <c r="AP225" s="6"/>
      <c r="AQ225" s="6"/>
      <c r="AR225" s="6"/>
    </row>
    <row r="226" ht="15" customHeight="1">
      <c r="A226" s="6"/>
      <c r="B226" s="3507">
        <v>5</v>
      </c>
      <c r="C226" s="3508"/>
      <c r="D226" s="3508"/>
      <c r="E226" s="3508"/>
      <c r="F226" s="3509"/>
      <c r="G226" s="3509"/>
      <c r="H226" s="3510"/>
      <c r="I226" s="3511"/>
      <c r="J226" s="3512"/>
      <c r="K226" s="3513"/>
      <c r="L226" s="3514"/>
      <c r="M226" s="3515"/>
      <c r="N226" s="3514"/>
      <c r="O226" s="3514"/>
      <c r="P226" s="3514"/>
      <c r="Q226" s="3514"/>
      <c r="R226" s="3514"/>
      <c r="S226" s="3514"/>
      <c r="T226" s="3514"/>
      <c r="U226" s="3514"/>
      <c r="V226" s="3514"/>
      <c r="W226" s="3514"/>
      <c r="X226" s="3514"/>
      <c r="Y226" s="3514">
        <f t="shared" si="6"/>
      </c>
      <c r="Z226" s="3516">
        <f t="shared" si="7"/>
      </c>
      <c r="AA226" s="3516">
        <f>IF(ExpComps_AppraiserTable[[#This Row], [R&amp;M]]+ExpComps_AppraiserTable[[#This Row], [Payroll]]&gt;0,ExpComps_AppraiserTable[[#This Row], [R&amp;M]]+ExpComps_AppraiserTable[[#This Row], [Payroll]],"")</f>
      </c>
      <c r="AB226"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6" s="3474"/>
      <c r="AD226" s="3499"/>
      <c r="AE226" s="3499"/>
      <c r="AF226" s="3499"/>
      <c r="AG226" s="3474"/>
      <c r="AH226" s="3185"/>
      <c r="AI226" s="3185"/>
      <c r="AJ226" s="3185"/>
      <c r="AK226" s="3500"/>
      <c r="AL226" s="3185"/>
      <c r="AM226" s="3185"/>
      <c r="AN226" s="6"/>
      <c r="AO226" s="6"/>
      <c r="AP226" s="6"/>
      <c r="AQ226" s="6"/>
      <c r="AR226" s="6"/>
    </row>
    <row r="227" ht="15" customHeight="1">
      <c r="A227" s="6"/>
      <c r="B227" s="3507">
        <v>6</v>
      </c>
      <c r="C227" s="3508"/>
      <c r="D227" s="3508"/>
      <c r="E227" s="3508"/>
      <c r="F227" s="3509"/>
      <c r="G227" s="3509"/>
      <c r="H227" s="3510"/>
      <c r="I227" s="3511"/>
      <c r="J227" s="3512"/>
      <c r="K227" s="3513"/>
      <c r="L227" s="3514"/>
      <c r="M227" s="3515"/>
      <c r="N227" s="3514"/>
      <c r="O227" s="3514"/>
      <c r="P227" s="3514"/>
      <c r="Q227" s="3514"/>
      <c r="R227" s="3514"/>
      <c r="S227" s="3514"/>
      <c r="T227" s="3514"/>
      <c r="U227" s="3514"/>
      <c r="V227" s="3514"/>
      <c r="W227" s="3514"/>
      <c r="X227" s="3514"/>
      <c r="Y227" s="3514">
        <f t="shared" si="6"/>
      </c>
      <c r="Z227" s="3516">
        <f t="shared" si="7"/>
      </c>
      <c r="AA227" s="3516">
        <f>IF(ExpComps_AppraiserTable[[#This Row], [R&amp;M]]+ExpComps_AppraiserTable[[#This Row], [Payroll]]&gt;0,ExpComps_AppraiserTable[[#This Row], [R&amp;M]]+ExpComps_AppraiserTable[[#This Row], [Payroll]],"")</f>
      </c>
      <c r="AB227" s="351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7" s="3474"/>
      <c r="AD227" s="3499"/>
      <c r="AE227" s="3499"/>
      <c r="AF227" s="3499"/>
      <c r="AG227" s="3474"/>
      <c r="AH227" s="3185"/>
      <c r="AI227" s="3185"/>
      <c r="AJ227" s="3185"/>
      <c r="AK227" s="3500"/>
      <c r="AL227" s="3185"/>
      <c r="AM227" s="3185"/>
      <c r="AN227" s="6"/>
      <c r="AO227" s="6"/>
      <c r="AP227" s="6"/>
      <c r="AQ227" s="6"/>
      <c r="AR227" s="6"/>
    </row>
    <row r="228" ht="15" customHeight="1">
      <c r="A228" s="6"/>
      <c r="B228" s="3517">
        <v>7</v>
      </c>
      <c r="C228" s="3518"/>
      <c r="D228" s="3518"/>
      <c r="E228" s="3518"/>
      <c r="F228" s="3519"/>
      <c r="G228" s="3519"/>
      <c r="H228" s="3520"/>
      <c r="I228" s="3521"/>
      <c r="J228" s="3522"/>
      <c r="K228" s="3523"/>
      <c r="L228" s="3524"/>
      <c r="M228" s="3525"/>
      <c r="N228" s="3524"/>
      <c r="O228" s="3524"/>
      <c r="P228" s="3524"/>
      <c r="Q228" s="3524"/>
      <c r="R228" s="3524"/>
      <c r="S228" s="3524"/>
      <c r="T228" s="3524"/>
      <c r="U228" s="3524"/>
      <c r="V228" s="3524"/>
      <c r="W228" s="3524"/>
      <c r="X228" s="3524"/>
      <c r="Y228" s="3524">
        <f t="shared" si="6"/>
      </c>
      <c r="Z228" s="3526">
        <f t="shared" si="7"/>
      </c>
      <c r="AA228" s="3526">
        <f>IF(ExpComps_AppraiserTable[[#This Row], [R&amp;M]]+ExpComps_AppraiserTable[[#This Row], [Payroll]]&gt;0,ExpComps_AppraiserTable[[#This Row], [R&amp;M]]+ExpComps_AppraiserTable[[#This Row], [Payroll]],"")</f>
      </c>
      <c r="AB228" s="3526">
        <f>IF(ExpComps_AppraiserTable[[#This Row], [Payroll]]+ExpComps_AppraiserTable[[#This Row], [R&amp;M]]+ExpComps_AppraiserTable[[#This Row], [Admin]]+ExpComps_AppraiserTable[[#This Row], [Prof]]+ExpComps_AppraiserTable[[#This Row], [Adv]]&gt;0,ExpComps_AppraiserTable[[#This Row], [Payroll]]+ExpComps_AppraiserTable[[#This Row], [R&amp;M]]+ExpComps_AppraiserTable[[#This Row], [Admin]]+ExpComps_AppraiserTable[[#This Row], [Prof]]+ExpComps_AppraiserTable[[#This Row], [Adv]],"")</f>
      </c>
      <c r="AC228" s="3474"/>
      <c r="AD228" s="3499"/>
      <c r="AE228" s="3499"/>
      <c r="AF228" s="3499"/>
      <c r="AG228" s="3474"/>
      <c r="AH228" s="3185"/>
      <c r="AI228" s="3185"/>
      <c r="AJ228" s="3185"/>
      <c r="AK228" s="3500"/>
      <c r="AL228" s="3185"/>
      <c r="AM228" s="3185"/>
      <c r="AN228" s="6"/>
      <c r="AO228" s="6"/>
      <c r="AP228" s="6"/>
      <c r="AQ228" s="6"/>
      <c r="AR228" s="6"/>
    </row>
    <row r="229" ht="15" customHeight="1">
      <c r="A229" s="6"/>
      <c r="B229" s="3183"/>
      <c r="C229" s="3419"/>
      <c r="D229" s="3419"/>
      <c r="E229" s="3419"/>
      <c r="F229" s="3409"/>
      <c r="G229" s="3469"/>
      <c r="H229" s="3185"/>
      <c r="I229" s="3470"/>
      <c r="J229" s="3500"/>
      <c r="K229" s="3473"/>
      <c r="L229" s="3474"/>
      <c r="M229" s="3472"/>
      <c r="N229" s="3472"/>
      <c r="O229" s="3472"/>
      <c r="P229" s="3472"/>
      <c r="Q229" s="3472"/>
      <c r="R229" s="3472"/>
      <c r="S229" s="3472"/>
      <c r="T229" s="3472"/>
      <c r="U229" s="3472"/>
      <c r="V229" s="3472"/>
      <c r="W229" s="3472"/>
      <c r="X229" s="3472"/>
      <c r="Y229" s="3472"/>
      <c r="Z229" s="3498"/>
      <c r="AA229" s="3474"/>
      <c r="AB229" s="3474"/>
      <c r="AC229" s="3499"/>
      <c r="AD229" s="3499"/>
      <c r="AE229" s="3499"/>
      <c r="AF229" s="3474"/>
      <c r="AG229" s="3185"/>
      <c r="AH229" s="3185"/>
      <c r="AI229" s="3185"/>
      <c r="AJ229" s="3185"/>
      <c r="AK229" s="3500"/>
      <c r="AL229" s="3185"/>
      <c r="AM229" s="6"/>
      <c r="AN229" s="6"/>
      <c r="AO229" s="6"/>
      <c r="AP229" s="6"/>
      <c r="AQ229" s="6"/>
    </row>
    <row r="230" ht="15" customHeight="1">
      <c r="A230" s="6"/>
      <c r="B230" s="3476" t="s">
        <v>774</v>
      </c>
      <c r="C230" s="3477"/>
      <c r="D230" s="3478"/>
      <c r="E230" s="3478"/>
      <c r="F230" s="3478"/>
      <c r="G230" s="3478"/>
      <c r="H230" s="3479"/>
      <c r="I230" s="3480">
        <f t="shared" si="8" ref="I230:X248">MIN(I222:I228)</f>
        <v>0</v>
      </c>
      <c r="J230" s="3481">
        <f t="shared" si="8"/>
        <v>0</v>
      </c>
      <c r="K230" s="3482">
        <f t="shared" si="8"/>
        <v>0</v>
      </c>
      <c r="L230" s="3483">
        <f t="shared" si="8"/>
        <v>0</v>
      </c>
      <c r="M230" s="3484">
        <f t="shared" si="8"/>
        <v>0</v>
      </c>
      <c r="N230" s="3483">
        <f t="shared" si="8"/>
        <v>0</v>
      </c>
      <c r="O230" s="3483">
        <f t="shared" si="8"/>
        <v>0</v>
      </c>
      <c r="P230" s="3483">
        <f t="shared" si="8"/>
        <v>0</v>
      </c>
      <c r="Q230" s="3483">
        <f t="shared" si="8"/>
        <v>0</v>
      </c>
      <c r="R230" s="3483">
        <f t="shared" si="8"/>
        <v>0</v>
      </c>
      <c r="S230" s="3483">
        <f t="shared" si="8"/>
        <v>0</v>
      </c>
      <c r="T230" s="3483">
        <f t="shared" si="8"/>
        <v>0</v>
      </c>
      <c r="U230" s="3483">
        <f t="shared" si="8"/>
        <v>0</v>
      </c>
      <c r="V230" s="3483">
        <f t="shared" si="8"/>
        <v>0</v>
      </c>
      <c r="W230" s="3483">
        <f t="shared" si="8"/>
        <v>0</v>
      </c>
      <c r="X230" s="3483">
        <f t="shared" si="8"/>
        <v>0</v>
      </c>
      <c r="Y230" s="3483">
        <f t="shared" si="9" ref="Y230:AB248">_xlfn.IFERROR(_xlfn.MINIFS(Y222:Y228,Y222:Y228,"&gt;0"),0)</f>
        <v>0</v>
      </c>
      <c r="Z230" s="3483">
        <f t="shared" si="9"/>
        <v>0</v>
      </c>
      <c r="AA230" s="3483">
        <f t="shared" si="9"/>
        <v>0</v>
      </c>
      <c r="AB230" s="3483">
        <f t="shared" si="9"/>
        <v>0</v>
      </c>
      <c r="AC230" s="3474"/>
      <c r="AD230" s="3499"/>
      <c r="AE230" s="3499"/>
      <c r="AF230" s="3499"/>
      <c r="AG230" s="3474"/>
      <c r="AH230" s="3185"/>
      <c r="AI230" s="3185"/>
      <c r="AJ230" s="3185"/>
      <c r="AK230" s="3500"/>
      <c r="AL230" s="3185"/>
      <c r="AM230" s="3185"/>
      <c r="AN230" s="6"/>
      <c r="AO230" s="6"/>
      <c r="AP230" s="6"/>
      <c r="AQ230" s="6"/>
      <c r="AR230" s="6"/>
    </row>
    <row r="231" ht="15" customHeight="1">
      <c r="A231" s="6"/>
      <c r="B231" s="3476" t="s">
        <v>3129</v>
      </c>
      <c r="C231" s="3477"/>
      <c r="D231" s="3478"/>
      <c r="E231" s="3478"/>
      <c r="F231" s="3478"/>
      <c r="G231" s="3478"/>
      <c r="H231" s="3479"/>
      <c r="I231" s="3480">
        <f t="shared" si="10" ref="I231:AB249">MAX(I222:I228)</f>
        <v>0</v>
      </c>
      <c r="J231" s="3481">
        <f t="shared" si="10"/>
        <v>0</v>
      </c>
      <c r="K231" s="3482">
        <f t="shared" si="10"/>
        <v>0</v>
      </c>
      <c r="L231" s="3483">
        <f t="shared" si="10"/>
        <v>0</v>
      </c>
      <c r="M231" s="3484">
        <f t="shared" si="10"/>
        <v>0</v>
      </c>
      <c r="N231" s="3483">
        <f t="shared" si="10"/>
        <v>0</v>
      </c>
      <c r="O231" s="3483">
        <f t="shared" si="10"/>
        <v>0</v>
      </c>
      <c r="P231" s="3483">
        <f t="shared" si="10"/>
        <v>0</v>
      </c>
      <c r="Q231" s="3483">
        <f t="shared" si="10"/>
        <v>0</v>
      </c>
      <c r="R231" s="3483">
        <f t="shared" si="10"/>
        <v>0</v>
      </c>
      <c r="S231" s="3483">
        <f t="shared" si="10"/>
        <v>0</v>
      </c>
      <c r="T231" s="3483">
        <f t="shared" si="10"/>
        <v>0</v>
      </c>
      <c r="U231" s="3483">
        <f t="shared" si="10"/>
        <v>0</v>
      </c>
      <c r="V231" s="3483">
        <f t="shared" si="10"/>
        <v>0</v>
      </c>
      <c r="W231" s="3483">
        <f t="shared" si="10"/>
        <v>0</v>
      </c>
      <c r="X231" s="3483">
        <f t="shared" si="10"/>
        <v>0</v>
      </c>
      <c r="Y231" s="3483">
        <f t="shared" si="10"/>
        <v>0</v>
      </c>
      <c r="Z231" s="3483">
        <f t="shared" si="10"/>
        <v>0</v>
      </c>
      <c r="AA231" s="3483">
        <f t="shared" si="10"/>
        <v>0</v>
      </c>
      <c r="AB231" s="3483">
        <f t="shared" si="10"/>
        <v>0</v>
      </c>
      <c r="AC231" s="3474"/>
      <c r="AD231" s="3499"/>
      <c r="AE231" s="3499"/>
      <c r="AF231" s="3499"/>
      <c r="AG231" s="3474"/>
      <c r="AH231" s="3185"/>
      <c r="AI231" s="3185"/>
      <c r="AJ231" s="3185"/>
      <c r="AK231" s="3500"/>
      <c r="AL231" s="3185"/>
      <c r="AM231" s="3185"/>
      <c r="AN231" s="6"/>
      <c r="AO231" s="6"/>
      <c r="AP231" s="6"/>
      <c r="AQ231" s="6"/>
      <c r="AR231" s="6"/>
    </row>
    <row r="232" ht="15" customHeight="1">
      <c r="A232" s="6"/>
      <c r="B232" s="3476" t="s">
        <v>1780</v>
      </c>
      <c r="C232" s="3477"/>
      <c r="D232" s="3478"/>
      <c r="E232" s="3478"/>
      <c r="F232" s="3478"/>
      <c r="G232" s="3478"/>
      <c r="H232" s="3479"/>
      <c r="I232" s="3480">
        <f t="shared" si="11" ref="I232:X250">_xlfn.IFERROR(_xlfn.AVERAGEIFS(I222:I228,I222:I228,"&lt;&gt;"),0)</f>
        <v>0</v>
      </c>
      <c r="J232" s="3481">
        <f t="shared" si="11"/>
        <v>0</v>
      </c>
      <c r="K232" s="3482">
        <f t="shared" si="11"/>
        <v>0</v>
      </c>
      <c r="L232" s="3483">
        <f t="shared" si="11"/>
        <v>0</v>
      </c>
      <c r="M232" s="3484">
        <f t="shared" si="11"/>
        <v>0</v>
      </c>
      <c r="N232" s="3483">
        <f t="shared" si="11"/>
        <v>0</v>
      </c>
      <c r="O232" s="3483">
        <f t="shared" si="11"/>
        <v>0</v>
      </c>
      <c r="P232" s="3483">
        <f t="shared" si="11"/>
        <v>0</v>
      </c>
      <c r="Q232" s="3483">
        <f t="shared" si="11"/>
        <v>0</v>
      </c>
      <c r="R232" s="3483">
        <f t="shared" si="11"/>
        <v>0</v>
      </c>
      <c r="S232" s="3483">
        <f t="shared" si="11"/>
        <v>0</v>
      </c>
      <c r="T232" s="3483">
        <f t="shared" si="11"/>
        <v>0</v>
      </c>
      <c r="U232" s="3483">
        <f t="shared" si="11"/>
        <v>0</v>
      </c>
      <c r="V232" s="3483">
        <f t="shared" si="11"/>
        <v>0</v>
      </c>
      <c r="W232" s="3483">
        <f t="shared" si="11"/>
        <v>0</v>
      </c>
      <c r="X232" s="3483">
        <f t="shared" si="11"/>
        <v>0</v>
      </c>
      <c r="Y232" s="3483">
        <f t="shared" si="12"/>
        <v>0</v>
      </c>
      <c r="Z232" s="3483">
        <f t="shared" si="13" ref="Z232:AB250">_xlfn.IFERROR(_xlfn.AVERAGEIF(Z222:Z228,"&gt;0",Z222:Z228),0)</f>
        <v>0</v>
      </c>
      <c r="AA232" s="3483">
        <f t="shared" si="13"/>
        <v>0</v>
      </c>
      <c r="AB232" s="3483">
        <f t="shared" si="13"/>
        <v>0</v>
      </c>
      <c r="AC232" s="3474"/>
      <c r="AD232" s="3499"/>
      <c r="AE232" s="3499"/>
      <c r="AF232" s="3499"/>
      <c r="AG232" s="3474"/>
      <c r="AH232" s="3185"/>
      <c r="AI232" s="3185"/>
      <c r="AJ232" s="3185"/>
      <c r="AK232" s="3500"/>
      <c r="AL232" s="3185"/>
      <c r="AM232" s="3185"/>
      <c r="AN232" s="6"/>
      <c r="AO232" s="6"/>
      <c r="AP232" s="6"/>
      <c r="AQ232" s="6"/>
      <c r="AR232" s="6"/>
    </row>
    <row r="233" ht="15.75" customHeight="1">
      <c r="A233" s="6"/>
      <c r="B233" s="3183"/>
      <c r="C233" s="3419"/>
      <c r="D233" s="3409"/>
      <c r="E233" s="3409"/>
      <c r="F233" s="3409"/>
      <c r="G233" s="3409"/>
      <c r="H233" s="3409"/>
      <c r="I233" s="3185"/>
      <c r="J233" s="3470"/>
      <c r="K233" s="3470"/>
      <c r="L233" s="3471"/>
      <c r="M233" s="3472"/>
      <c r="N233" s="3474"/>
      <c r="O233" s="3498"/>
      <c r="P233" s="3472"/>
      <c r="Q233" s="3472"/>
      <c r="R233" s="3472"/>
      <c r="S233" s="3498"/>
      <c r="T233" s="3498"/>
      <c r="U233" s="3498"/>
      <c r="V233" s="3498"/>
      <c r="W233" s="3498"/>
      <c r="X233" s="3498"/>
      <c r="Y233" s="3498"/>
      <c r="Z233" s="3498"/>
      <c r="AA233" s="3498"/>
      <c r="AB233" s="3498"/>
      <c r="AC233" s="3474"/>
      <c r="AD233" s="3474"/>
      <c r="AE233" s="3499"/>
      <c r="AF233" s="3499"/>
      <c r="AG233" s="3499"/>
      <c r="AH233" s="3474"/>
      <c r="AI233" s="3185"/>
      <c r="AJ233" s="3185"/>
      <c r="AK233" s="3500"/>
      <c r="AL233" s="3185"/>
      <c r="AM233" s="3185"/>
      <c r="AN233" s="3183"/>
      <c r="AO233" s="6"/>
      <c r="AP233" s="6"/>
      <c r="AQ233" s="6"/>
      <c r="AR233" s="6"/>
    </row>
    <row r="234" ht="15.75" customHeight="1">
      <c r="A234" s="6"/>
      <c r="B234" s="3487" t="s">
        <v>3130</v>
      </c>
      <c r="C234" s="3488" t="str">
        <f t="shared" si="14" ref="C234:Z266">C$217</f>
        <v>XXXX</v>
      </c>
      <c r="D234" s="3489" t="str">
        <f t="shared" si="14"/>
        <v>City</v>
      </c>
      <c r="E234" s="3489">
        <f t="shared" si="14"/>
      </c>
      <c r="F234" s="3489" t="str">
        <f t="shared" si="14"/>
        <v>XX</v>
      </c>
      <c r="G234" s="3489"/>
      <c r="H234" s="3489"/>
      <c r="I234" s="3490" t="str">
        <f t="shared" si="14"/>
        <v>XXXX</v>
      </c>
      <c r="J234" s="3491">
        <f t="shared" si="14"/>
        <v>85</v>
      </c>
      <c r="K234" s="3491"/>
      <c r="L234" s="3492">
        <f>L217</f>
        <v>13056.917647058823</v>
      </c>
      <c r="M234" s="3493">
        <f t="shared" si="14"/>
        <v>0.035</v>
      </c>
      <c r="N234" s="3492">
        <f t="shared" si="14"/>
        <v>456.9921176470588</v>
      </c>
      <c r="O234" s="3494">
        <f t="shared" si="14"/>
        <v>601.3261176470588</v>
      </c>
      <c r="P234" s="3494">
        <f t="shared" si="14"/>
        <v>222.79505882352944</v>
      </c>
      <c r="Q234" s="3494">
        <f t="shared" si="14"/>
        <v>2646.1911764705883</v>
      </c>
      <c r="R234" s="3492">
        <f t="shared" si="14"/>
        <v>5794.040823529412</v>
      </c>
      <c r="S234" s="3492">
        <f t="shared" si="14"/>
        <v>2154.0208235294117</v>
      </c>
      <c r="T234" s="3492">
        <f t="shared" si="14"/>
        <v>1383.5202352941176</v>
      </c>
      <c r="U234" s="3492">
        <f t="shared" si="14"/>
        <v>4656.072588235294</v>
      </c>
      <c r="V234" s="3492">
        <f t="shared" si="14"/>
        <v>2945.715176470588</v>
      </c>
      <c r="W234" s="3492">
        <f t="shared" si="14"/>
        <v>12192.74011764706</v>
      </c>
      <c r="X234" s="3492">
        <f t="shared" si="14"/>
        <v>250</v>
      </c>
      <c r="Y234" s="3492">
        <f t="shared" si="14"/>
        <v>33303.41423529412</v>
      </c>
      <c r="Z234" s="3492">
        <f t="shared" si="14"/>
        <v>20860.67411764706</v>
      </c>
      <c r="AA234" s="3492">
        <f t="shared" si="16" ref="AA234:AA253">R234+U234</f>
        <v>10450.113411764705</v>
      </c>
      <c r="AB234" s="3527">
        <f t="shared" si="17" ref="AB234:AB253">R234+U234+Q234+P234+O234</f>
        <v>13920.42576470588</v>
      </c>
      <c r="AC234" s="2751"/>
      <c r="AD234" s="2778"/>
      <c r="AE234" s="2778"/>
      <c r="AF234" s="2778"/>
      <c r="AG234" s="2751"/>
      <c r="AH234" s="2651"/>
      <c r="AI234" s="2651"/>
      <c r="AJ234" s="2651"/>
      <c r="AK234" s="2689"/>
      <c r="AL234" s="2651"/>
      <c r="AM234" s="2651"/>
      <c r="AN234" s="6"/>
      <c r="AO234" s="6"/>
      <c r="AP234" s="6"/>
      <c r="AQ234" s="6"/>
      <c r="AR234" s="6"/>
    </row>
    <row r="235" ht="15.75" customHeight="1">
      <c r="A235" s="6"/>
      <c r="B235" s="3487" t="s">
        <v>1866</v>
      </c>
      <c r="C235" s="3488" t="str">
        <f t="shared" si="14"/>
        <v>XXXX</v>
      </c>
      <c r="D235" s="3489" t="str">
        <f t="shared" si="14"/>
        <v>City</v>
      </c>
      <c r="E235" s="3489">
        <f t="shared" si="14"/>
      </c>
      <c r="F235" s="3489" t="str">
        <f t="shared" si="14"/>
        <v>XX</v>
      </c>
      <c r="G235" s="3489"/>
      <c r="H235" s="3489"/>
      <c r="I235" s="3490" t="str">
        <f t="shared" si="14"/>
        <v>XXXX</v>
      </c>
      <c r="J235" s="3491">
        <f t="shared" si="14"/>
        <v>85</v>
      </c>
      <c r="K235" s="3491"/>
      <c r="L235" s="3492">
        <f t="shared" si="18" ref="L235:L253">_xlfn.IFERROR(SOps_AppraisalEGI/J235,0)</f>
        <v>0</v>
      </c>
      <c r="M235" s="3493">
        <f>'Summary OPS'!$AF$35</f>
        <v>0</v>
      </c>
      <c r="N235" s="3492">
        <f>_xlfn.IFERROR('Summary OPS'!$AE$35/J235,0)</f>
        <v>0</v>
      </c>
      <c r="O235" s="3494">
        <f>_xlfn.IFERROR('Summary OPS'!$AE$37/J235,0)</f>
        <v>0</v>
      </c>
      <c r="P235" s="3494">
        <f>_xlfn.IFERROR('Summary OPS'!$AE$38/J235,0)</f>
        <v>0</v>
      </c>
      <c r="Q235" s="3494">
        <f>_xlfn.IFERROR(('Summary OPS'!$AE$36+'Summary OPS'!$AE$39+'Summary OPS'!$AE$40+'Summary OPS'!$AE$47+'Summary OPS'!$AE$48)/J235,0)</f>
        <v>0</v>
      </c>
      <c r="R235" s="3492">
        <f>_xlfn.IFERROR('Summary OPS'!$AE$41/J235,0)</f>
        <v>0</v>
      </c>
      <c r="S235" s="3492">
        <f>_xlfn.IFERROR('Summary OPS'!$AE$42/J235,0)</f>
        <v>0</v>
      </c>
      <c r="T235" s="3492">
        <f>_xlfn.IFERROR('Summary OPS'!$AE$43/J235,0)</f>
        <v>0</v>
      </c>
      <c r="U235" s="3492">
        <f>_xlfn.IFERROR('Summary OPS'!$AE$44/J235,0)</f>
        <v>0</v>
      </c>
      <c r="V235" s="3492">
        <f>_xlfn.IFERROR('Summary OPS'!$AE$45/J235,0)</f>
        <v>0</v>
      </c>
      <c r="W235" s="3492">
        <f>_xlfn.IFERROR('Summary OPS'!$AE$46/J235,0)</f>
        <v>0</v>
      </c>
      <c r="X235" s="3492">
        <f>_xlfn.IFERROR('Summary OPS'!$AE$51/J235,0)</f>
        <v>0</v>
      </c>
      <c r="Y235" s="3492">
        <f>_xlfn.IFERROR('Summary OPS'!$AE$53/J235,0)</f>
        <v>0</v>
      </c>
      <c r="Z235" s="3492">
        <f t="shared" si="15"/>
        <v>0</v>
      </c>
      <c r="AA235" s="3492">
        <f t="shared" si="16"/>
        <v>0</v>
      </c>
      <c r="AB235" s="3527">
        <f t="shared" si="17"/>
        <v>0</v>
      </c>
      <c r="AC235" s="3474"/>
      <c r="AD235" s="3499"/>
      <c r="AE235" s="3499"/>
      <c r="AF235" s="3499"/>
      <c r="AG235" s="3474"/>
      <c r="AH235" s="3185"/>
      <c r="AI235" s="3185"/>
      <c r="AJ235" s="3185"/>
      <c r="AK235" s="3500"/>
      <c r="AL235" s="3185"/>
      <c r="AM235" s="3185"/>
      <c r="AN235" s="6"/>
      <c r="AO235" s="6"/>
      <c r="AP235" s="6"/>
      <c r="AQ235" s="6"/>
      <c r="AR235" s="6"/>
    </row>
    <row r="236" ht="15" customHeight="1" hidden="0" collapsed="0" outlineLevel="1">
      <c r="A236" s="6"/>
      <c r="B236" s="3183"/>
      <c r="C236" s="3419"/>
      <c r="D236" s="3409"/>
      <c r="E236" s="3409"/>
      <c r="F236" s="3409"/>
      <c r="G236" s="3409"/>
      <c r="H236" s="3409"/>
      <c r="I236" s="3410"/>
      <c r="J236" s="3410"/>
      <c r="K236" s="3411"/>
      <c r="L236" s="3412"/>
      <c r="M236" s="3413"/>
      <c r="N236" s="3498"/>
      <c r="O236" s="3472"/>
      <c r="P236" s="3472"/>
      <c r="Q236" s="3472"/>
      <c r="R236" s="3498"/>
      <c r="S236" s="3498"/>
      <c r="T236" s="3498"/>
      <c r="U236" s="3498"/>
      <c r="V236" s="3498"/>
      <c r="W236" s="3498"/>
      <c r="X236" s="3498"/>
      <c r="Y236" s="3498"/>
      <c r="Z236" s="3498"/>
      <c r="AA236" s="3186"/>
      <c r="AB236" s="3413"/>
      <c r="AC236" s="3413"/>
      <c r="AD236" s="3414"/>
      <c r="AE236" s="3414"/>
      <c r="AF236" s="3414"/>
      <c r="AG236" s="3413"/>
      <c r="AH236" s="3409"/>
      <c r="AI236" s="3409"/>
      <c r="AJ236" s="3409"/>
      <c r="AK236" s="3415"/>
      <c r="AL236" s="3183"/>
      <c r="AM236" s="3183"/>
      <c r="AN236" s="6"/>
      <c r="AO236" s="6"/>
      <c r="AP236" s="6"/>
      <c r="AQ236" s="6"/>
    </row>
    <row r="237" ht="18" customHeight="1" hidden="0" collapsed="0" outlineLevel="1">
      <c r="A237" s="6"/>
      <c r="B237" s="3420" t="s">
        <v>3132</v>
      </c>
      <c r="C237" s="6"/>
      <c r="D237" s="3409"/>
      <c r="E237" s="3409"/>
      <c r="F237" s="3409"/>
      <c r="G237" s="3409"/>
      <c r="H237" s="3410"/>
      <c r="I237" s="3411"/>
      <c r="J237" s="3412"/>
      <c r="K237" s="3413"/>
      <c r="L237" s="3498"/>
      <c r="M237" s="3472"/>
      <c r="N237" s="3472"/>
      <c r="O237" s="3472"/>
      <c r="P237" s="3498"/>
      <c r="Q237" s="3498"/>
      <c r="R237" s="3498"/>
      <c r="S237" s="3498"/>
      <c r="T237" s="3498"/>
      <c r="U237" s="3498"/>
      <c r="V237" s="3498"/>
      <c r="W237" s="3498"/>
      <c r="X237" s="3498"/>
      <c r="Y237" s="3498"/>
      <c r="Z237" s="3413"/>
      <c r="AA237" s="3413"/>
      <c r="AB237" s="3414"/>
      <c r="AC237" s="3413"/>
      <c r="AD237" s="3414"/>
      <c r="AE237" s="3414"/>
      <c r="AF237" s="3414"/>
      <c r="AG237" s="3413"/>
      <c r="AH237" s="3409"/>
      <c r="AI237" s="3409"/>
      <c r="AJ237" s="3409"/>
      <c r="AK237" s="3415"/>
      <c r="AL237" s="3183"/>
      <c r="AM237" s="3183"/>
      <c r="AN237" s="6"/>
      <c r="AO237" s="6"/>
      <c r="AP237" s="6"/>
      <c r="AQ237" s="6"/>
    </row>
    <row r="238" ht="15" customHeight="1" hidden="0" collapsed="0" outlineLevel="1">
      <c r="A238" s="6"/>
      <c r="B238" s="3183"/>
      <c r="C238" s="3419"/>
      <c r="D238" s="3409"/>
      <c r="E238" s="3409"/>
      <c r="F238" s="3409"/>
      <c r="G238" s="3409"/>
      <c r="H238" s="3409"/>
      <c r="I238" s="3410"/>
      <c r="J238" s="3410"/>
      <c r="K238" s="3411"/>
      <c r="L238" s="3430" t="str">
        <f t="shared" si="5"/>
        <v>2022 Per Unit Expenses</v>
      </c>
      <c r="M238" s="3431"/>
      <c r="N238" s="3431"/>
      <c r="O238" s="3431"/>
      <c r="P238" s="3431"/>
      <c r="Q238" s="3431"/>
      <c r="R238" s="3431"/>
      <c r="S238" s="3431"/>
      <c r="T238" s="3431"/>
      <c r="U238" s="3431"/>
      <c r="V238" s="3431"/>
      <c r="W238" s="3431"/>
      <c r="X238" s="3431"/>
      <c r="Y238" s="3431"/>
      <c r="Z238" s="3431"/>
      <c r="AA238" s="3431"/>
      <c r="AB238" s="3432"/>
      <c r="AC238" s="3413"/>
      <c r="AD238" s="3414"/>
      <c r="AE238" s="3414"/>
      <c r="AF238" s="3414"/>
      <c r="AG238" s="3413"/>
      <c r="AH238" s="3409"/>
      <c r="AI238" s="3409"/>
      <c r="AJ238" s="3409"/>
      <c r="AK238" s="3415"/>
      <c r="AL238" s="3183"/>
      <c r="AM238" s="3183"/>
      <c r="AN238" s="6"/>
      <c r="AO238" s="6"/>
      <c r="AP238" s="6"/>
      <c r="AQ238" s="6"/>
    </row>
    <row r="239" ht="36" customHeight="1" hidden="0" collapsed="0" outlineLevel="1">
      <c r="A239" s="6"/>
      <c r="B239" s="3551" t="s">
        <v>3103</v>
      </c>
      <c r="C239" s="3551" t="s">
        <v>3104</v>
      </c>
      <c r="D239" s="3551" t="s">
        <v>279</v>
      </c>
      <c r="E239" s="3551" t="s">
        <v>2675</v>
      </c>
      <c r="F239" s="3551" t="s">
        <v>289</v>
      </c>
      <c r="G239" s="3552" t="s">
        <v>3105</v>
      </c>
      <c r="H239" s="2872" t="s">
        <v>201</v>
      </c>
      <c r="I239" s="3553" t="s">
        <v>660</v>
      </c>
      <c r="J239" s="3554" t="s">
        <v>3106</v>
      </c>
      <c r="K239" s="3554" t="s">
        <v>3107</v>
      </c>
      <c r="L239" s="3555" t="s">
        <v>1409</v>
      </c>
      <c r="M239" s="3556" t="s">
        <v>3108</v>
      </c>
      <c r="N239" s="3552" t="s">
        <v>3109</v>
      </c>
      <c r="O239" s="3552" t="s">
        <v>3110</v>
      </c>
      <c r="P239" s="3552" t="s">
        <v>3111</v>
      </c>
      <c r="Q239" s="3552" t="s">
        <v>3112</v>
      </c>
      <c r="R239" s="3552" t="s">
        <v>1416</v>
      </c>
      <c r="S239" s="3552" t="s">
        <v>1417</v>
      </c>
      <c r="T239" s="3552" t="s">
        <v>3113</v>
      </c>
      <c r="U239" s="3552" t="s">
        <v>3114</v>
      </c>
      <c r="V239" s="3552" t="s">
        <v>3115</v>
      </c>
      <c r="W239" s="3552" t="s">
        <v>3116</v>
      </c>
      <c r="X239" s="3552" t="s">
        <v>3117</v>
      </c>
      <c r="Y239" s="3552" t="s">
        <v>2968</v>
      </c>
      <c r="Z239" s="3557" t="s">
        <v>3118</v>
      </c>
      <c r="AA239" s="3552" t="s">
        <v>3127</v>
      </c>
      <c r="AB239" s="3558" t="s">
        <v>3128</v>
      </c>
      <c r="AC239" s="3413"/>
      <c r="AD239" s="3414"/>
      <c r="AE239" s="3414"/>
      <c r="AF239" s="3414"/>
      <c r="AG239" s="3413"/>
      <c r="AH239" s="3409"/>
      <c r="AI239" s="3409"/>
      <c r="AJ239" s="3409"/>
      <c r="AK239" s="3415"/>
      <c r="AL239" s="3183"/>
      <c r="AM239" s="3183"/>
      <c r="AN239" s="6"/>
      <c r="AO239" s="6"/>
      <c r="AP239" s="6"/>
      <c r="AQ239" s="6"/>
    </row>
    <row r="240" ht="15" customHeight="1" hidden="0" collapsed="0" outlineLevel="1">
      <c r="A240" s="6"/>
      <c r="B240" s="3507">
        <v>1</v>
      </c>
      <c r="C240" s="3508"/>
      <c r="D240" s="3508"/>
      <c r="E240" s="3508"/>
      <c r="F240" s="3509"/>
      <c r="G240" s="3509"/>
      <c r="H240" s="3510"/>
      <c r="I240" s="3511"/>
      <c r="J240" s="3512"/>
      <c r="K240" s="3513"/>
      <c r="L240" s="3514"/>
      <c r="M240" s="3515"/>
      <c r="N240" s="3514"/>
      <c r="O240" s="3514"/>
      <c r="P240" s="3514"/>
      <c r="Q240" s="3514"/>
      <c r="R240" s="3514"/>
      <c r="S240" s="3514"/>
      <c r="T240" s="3514"/>
      <c r="U240" s="3514"/>
      <c r="V240" s="3514"/>
      <c r="W240" s="3514"/>
      <c r="X240" s="3514"/>
      <c r="Y240" s="3514">
        <f t="shared" si="6"/>
      </c>
      <c r="Z240" s="3516">
        <f t="shared" si="7"/>
      </c>
      <c r="AA240" s="3516">
        <f>IF(ExpComps_DusTable[[#This Row], [R&amp;M]]+ExpComps_DusTable[[#This Row], [Payroll]]&gt;0,ExpComps_DusTable[[#This Row], [R&amp;M]]+ExpComps_DusTable[[#This Row], [Payroll]],"")</f>
      </c>
      <c r="AB240"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0" s="3413"/>
      <c r="AD240" s="3414"/>
      <c r="AE240" s="3414"/>
      <c r="AF240" s="3414"/>
      <c r="AG240" s="3413"/>
      <c r="AH240" s="3409"/>
      <c r="AI240" s="3409"/>
      <c r="AJ240" s="3409"/>
      <c r="AK240" s="3415"/>
      <c r="AL240" s="3183"/>
      <c r="AM240" s="3183"/>
      <c r="AN240" s="6"/>
      <c r="AO240" s="6"/>
      <c r="AP240" s="6"/>
      <c r="AQ240" s="6"/>
    </row>
    <row r="241" ht="15" customHeight="1" hidden="0" collapsed="0" outlineLevel="1">
      <c r="A241" s="6"/>
      <c r="B241" s="3507">
        <v>2</v>
      </c>
      <c r="C241" s="3508"/>
      <c r="D241" s="3508"/>
      <c r="E241" s="3508"/>
      <c r="F241" s="3509"/>
      <c r="G241" s="3509"/>
      <c r="H241" s="3510"/>
      <c r="I241" s="3511"/>
      <c r="J241" s="3512"/>
      <c r="K241" s="3513"/>
      <c r="L241" s="3514"/>
      <c r="M241" s="3515"/>
      <c r="N241" s="3514"/>
      <c r="O241" s="3514"/>
      <c r="P241" s="3514"/>
      <c r="Q241" s="3514"/>
      <c r="R241" s="3514"/>
      <c r="S241" s="3514"/>
      <c r="T241" s="3514"/>
      <c r="U241" s="3514"/>
      <c r="V241" s="3514"/>
      <c r="W241" s="3514"/>
      <c r="X241" s="3514"/>
      <c r="Y241" s="3514">
        <f t="shared" si="6"/>
      </c>
      <c r="Z241" s="3516">
        <f t="shared" si="7"/>
      </c>
      <c r="AA241" s="3516">
        <f>IF(ExpComps_DusTable[[#This Row], [R&amp;M]]+ExpComps_DusTable[[#This Row], [Payroll]]&gt;0,ExpComps_DusTable[[#This Row], [R&amp;M]]+ExpComps_DusTable[[#This Row], [Payroll]],"")</f>
      </c>
      <c r="AB241"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1" s="3413"/>
      <c r="AD241" s="3414"/>
      <c r="AE241" s="3414"/>
      <c r="AF241" s="3414"/>
      <c r="AG241" s="3413"/>
      <c r="AH241" s="3409"/>
      <c r="AI241" s="3409"/>
      <c r="AJ241" s="3409"/>
      <c r="AK241" s="3415"/>
      <c r="AL241" s="3183"/>
      <c r="AM241" s="3183"/>
      <c r="AN241" s="6"/>
      <c r="AO241" s="6"/>
      <c r="AP241" s="6"/>
      <c r="AQ241" s="6"/>
    </row>
    <row r="242" ht="15" customHeight="1" hidden="0" collapsed="0" outlineLevel="1">
      <c r="A242" s="6"/>
      <c r="B242" s="3507">
        <v>3</v>
      </c>
      <c r="C242" s="3508"/>
      <c r="D242" s="3508"/>
      <c r="E242" s="3508"/>
      <c r="F242" s="3509"/>
      <c r="G242" s="3509"/>
      <c r="H242" s="3510"/>
      <c r="I242" s="3511"/>
      <c r="J242" s="3512"/>
      <c r="K242" s="3513"/>
      <c r="L242" s="3514"/>
      <c r="M242" s="3515"/>
      <c r="N242" s="3514"/>
      <c r="O242" s="3514"/>
      <c r="P242" s="3514"/>
      <c r="Q242" s="3514"/>
      <c r="R242" s="3514"/>
      <c r="S242" s="3514"/>
      <c r="T242" s="3514"/>
      <c r="U242" s="3514"/>
      <c r="V242" s="3514"/>
      <c r="W242" s="3514"/>
      <c r="X242" s="3514"/>
      <c r="Y242" s="3514">
        <f t="shared" si="6"/>
      </c>
      <c r="Z242" s="3516">
        <f t="shared" si="7"/>
      </c>
      <c r="AA242" s="3516">
        <f>IF(ExpComps_DusTable[[#This Row], [R&amp;M]]+ExpComps_DusTable[[#This Row], [Payroll]]&gt;0,ExpComps_DusTable[[#This Row], [R&amp;M]]+ExpComps_DusTable[[#This Row], [Payroll]],"")</f>
      </c>
      <c r="AB242"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2" s="3413"/>
      <c r="AD242" s="3414"/>
      <c r="AE242" s="3414"/>
      <c r="AF242" s="3414"/>
      <c r="AG242" s="3413"/>
      <c r="AH242" s="3409"/>
      <c r="AI242" s="3409"/>
      <c r="AJ242" s="3409"/>
      <c r="AK242" s="3415"/>
      <c r="AL242" s="3183"/>
      <c r="AM242" s="3183"/>
      <c r="AN242" s="6"/>
      <c r="AO242" s="6"/>
      <c r="AP242" s="6"/>
      <c r="AQ242" s="6"/>
    </row>
    <row r="243" ht="15" customHeight="1" hidden="0" collapsed="0" outlineLevel="1">
      <c r="A243" s="6"/>
      <c r="B243" s="3507">
        <v>4</v>
      </c>
      <c r="C243" s="3508"/>
      <c r="D243" s="3508"/>
      <c r="E243" s="3508"/>
      <c r="F243" s="3509"/>
      <c r="G243" s="3509"/>
      <c r="H243" s="3510"/>
      <c r="I243" s="3511"/>
      <c r="J243" s="3512"/>
      <c r="K243" s="3513"/>
      <c r="L243" s="3514"/>
      <c r="M243" s="3515"/>
      <c r="N243" s="3514"/>
      <c r="O243" s="3514"/>
      <c r="P243" s="3514"/>
      <c r="Q243" s="3514"/>
      <c r="R243" s="3514"/>
      <c r="S243" s="3514"/>
      <c r="T243" s="3514"/>
      <c r="U243" s="3514"/>
      <c r="V243" s="3514"/>
      <c r="W243" s="3514"/>
      <c r="X243" s="3514"/>
      <c r="Y243" s="3514">
        <f t="shared" si="6"/>
      </c>
      <c r="Z243" s="3516">
        <f t="shared" si="7"/>
      </c>
      <c r="AA243" s="3516">
        <f>IF(ExpComps_DusTable[[#This Row], [R&amp;M]]+ExpComps_DusTable[[#This Row], [Payroll]]&gt;0,ExpComps_DusTable[[#This Row], [R&amp;M]]+ExpComps_DusTable[[#This Row], [Payroll]],"")</f>
      </c>
      <c r="AB243"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3" s="3413"/>
      <c r="AD243" s="3414"/>
      <c r="AE243" s="3414"/>
      <c r="AF243" s="3414"/>
      <c r="AG243" s="3413"/>
      <c r="AH243" s="3409"/>
      <c r="AI243" s="3409"/>
      <c r="AJ243" s="3409"/>
      <c r="AK243" s="3415"/>
      <c r="AL243" s="3183"/>
      <c r="AM243" s="3183"/>
      <c r="AN243" s="6"/>
      <c r="AO243" s="6"/>
      <c r="AP243" s="6"/>
      <c r="AQ243" s="6"/>
    </row>
    <row r="244" ht="15" customHeight="1" hidden="0" collapsed="0" outlineLevel="1">
      <c r="A244" s="6"/>
      <c r="B244" s="3507">
        <v>5</v>
      </c>
      <c r="C244" s="3508"/>
      <c r="D244" s="3508"/>
      <c r="E244" s="3508"/>
      <c r="F244" s="3509"/>
      <c r="G244" s="3509"/>
      <c r="H244" s="3510"/>
      <c r="I244" s="3511"/>
      <c r="J244" s="3512"/>
      <c r="K244" s="3513"/>
      <c r="L244" s="3514"/>
      <c r="M244" s="3515"/>
      <c r="N244" s="3514"/>
      <c r="O244" s="3514"/>
      <c r="P244" s="3514"/>
      <c r="Q244" s="3514"/>
      <c r="R244" s="3514"/>
      <c r="S244" s="3514"/>
      <c r="T244" s="3514"/>
      <c r="U244" s="3514"/>
      <c r="V244" s="3514"/>
      <c r="W244" s="3514"/>
      <c r="X244" s="3514"/>
      <c r="Y244" s="3514">
        <f t="shared" si="6"/>
      </c>
      <c r="Z244" s="3516">
        <f t="shared" si="7"/>
      </c>
      <c r="AA244" s="3516">
        <f>IF(ExpComps_DusTable[[#This Row], [R&amp;M]]+ExpComps_DusTable[[#This Row], [Payroll]]&gt;0,ExpComps_DusTable[[#This Row], [R&amp;M]]+ExpComps_DusTable[[#This Row], [Payroll]],"")</f>
      </c>
      <c r="AB244"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4" s="3413"/>
      <c r="AD244" s="3414"/>
      <c r="AE244" s="3414"/>
      <c r="AF244" s="3414"/>
      <c r="AG244" s="3413"/>
      <c r="AH244" s="3409"/>
      <c r="AI244" s="3409"/>
      <c r="AJ244" s="3409"/>
      <c r="AK244" s="3415"/>
      <c r="AL244" s="3183"/>
      <c r="AM244" s="3183"/>
      <c r="AN244" s="6"/>
      <c r="AO244" s="6"/>
      <c r="AP244" s="6"/>
      <c r="AQ244" s="6"/>
    </row>
    <row r="245" ht="15" customHeight="1" hidden="0" collapsed="0" outlineLevel="1">
      <c r="A245" s="6"/>
      <c r="B245" s="3507">
        <v>6</v>
      </c>
      <c r="C245" s="3508"/>
      <c r="D245" s="3508"/>
      <c r="E245" s="3508"/>
      <c r="F245" s="3509"/>
      <c r="G245" s="3509"/>
      <c r="H245" s="3510"/>
      <c r="I245" s="3511"/>
      <c r="J245" s="3512"/>
      <c r="K245" s="3513"/>
      <c r="L245" s="3514"/>
      <c r="M245" s="3515"/>
      <c r="N245" s="3514"/>
      <c r="O245" s="3514"/>
      <c r="P245" s="3514"/>
      <c r="Q245" s="3514"/>
      <c r="R245" s="3514"/>
      <c r="S245" s="3514"/>
      <c r="T245" s="3514"/>
      <c r="U245" s="3514"/>
      <c r="V245" s="3514"/>
      <c r="W245" s="3514"/>
      <c r="X245" s="3514"/>
      <c r="Y245" s="3514">
        <f t="shared" si="6"/>
      </c>
      <c r="Z245" s="3516">
        <f t="shared" si="7"/>
      </c>
      <c r="AA245" s="3516">
        <f>IF(ExpComps_DusTable[[#This Row], [R&amp;M]]+ExpComps_DusTable[[#This Row], [Payroll]]&gt;0,ExpComps_DusTable[[#This Row], [R&amp;M]]+ExpComps_DusTable[[#This Row], [Payroll]],"")</f>
      </c>
      <c r="AB245" s="351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5" s="3413"/>
      <c r="AD245" s="3414"/>
      <c r="AE245" s="3414"/>
      <c r="AF245" s="3414"/>
      <c r="AG245" s="3413"/>
      <c r="AH245" s="3409"/>
      <c r="AI245" s="3409"/>
      <c r="AJ245" s="3409"/>
      <c r="AK245" s="3415"/>
      <c r="AL245" s="3183"/>
      <c r="AM245" s="3183"/>
      <c r="AN245" s="6"/>
      <c r="AO245" s="6"/>
      <c r="AP245" s="6"/>
      <c r="AQ245" s="6"/>
    </row>
    <row r="246" ht="15" customHeight="1" hidden="0" collapsed="0" outlineLevel="1">
      <c r="A246" s="6"/>
      <c r="B246" s="3517">
        <v>7</v>
      </c>
      <c r="C246" s="3518"/>
      <c r="D246" s="3518"/>
      <c r="E246" s="3518"/>
      <c r="F246" s="3519"/>
      <c r="G246" s="3519"/>
      <c r="H246" s="3520"/>
      <c r="I246" s="3521"/>
      <c r="J246" s="3522"/>
      <c r="K246" s="3523"/>
      <c r="L246" s="3524"/>
      <c r="M246" s="3525"/>
      <c r="N246" s="3524"/>
      <c r="O246" s="3524"/>
      <c r="P246" s="3524"/>
      <c r="Q246" s="3524"/>
      <c r="R246" s="3524"/>
      <c r="S246" s="3524"/>
      <c r="T246" s="3524"/>
      <c r="U246" s="3524"/>
      <c r="V246" s="3524"/>
      <c r="W246" s="3524"/>
      <c r="X246" s="3524"/>
      <c r="Y246" s="3524">
        <f t="shared" si="6"/>
      </c>
      <c r="Z246" s="3526">
        <f t="shared" si="7"/>
      </c>
      <c r="AA246" s="3526">
        <f>IF(ExpComps_DusTable[[#This Row], [R&amp;M]]+ExpComps_DusTable[[#This Row], [Payroll]]&gt;0,ExpComps_DusTable[[#This Row], [R&amp;M]]+ExpComps_DusTable[[#This Row], [Payroll]],"")</f>
      </c>
      <c r="AB246" s="3526">
        <f>IF(ExpComps_DusTable[[#This Row], [Payroll]]+ExpComps_DusTable[[#This Row], [R&amp;M]]+ExpComps_DusTable[[#This Row], [Admin]]+ExpComps_DusTable[[#This Row], [Prof]]+ExpComps_DusTable[[#This Row], [Adv]]&gt;0,ExpComps_DusTable[[#This Row], [Payroll]]+ExpComps_DusTable[[#This Row], [R&amp;M]]+ExpComps_DusTable[[#This Row], [Admin]]+ExpComps_DusTable[[#This Row], [Prof]]+ExpComps_DusTable[[#This Row], [Adv]],"")</f>
      </c>
      <c r="AC246" s="3413"/>
      <c r="AD246" s="3414"/>
      <c r="AE246" s="3414"/>
      <c r="AF246" s="3414"/>
      <c r="AG246" s="3413"/>
      <c r="AH246" s="3409"/>
      <c r="AI246" s="3409"/>
      <c r="AJ246" s="3409"/>
      <c r="AK246" s="3415"/>
      <c r="AL246" s="3183"/>
      <c r="AM246" s="3183"/>
      <c r="AN246" s="6"/>
      <c r="AO246" s="6"/>
      <c r="AP246" s="6"/>
      <c r="AQ246" s="6"/>
    </row>
    <row r="247" ht="15" customHeight="1" hidden="0" collapsed="0" outlineLevel="1">
      <c r="A247" s="6"/>
      <c r="B247" s="3183"/>
      <c r="C247" s="3419"/>
      <c r="D247" s="3419"/>
      <c r="E247" s="3419"/>
      <c r="F247" s="3409"/>
      <c r="G247" s="3469"/>
      <c r="H247" s="3185"/>
      <c r="I247" s="3470"/>
      <c r="J247" s="3500"/>
      <c r="K247" s="3473"/>
      <c r="L247" s="3474"/>
      <c r="M247" s="3472"/>
      <c r="N247" s="3472"/>
      <c r="O247" s="3472"/>
      <c r="P247" s="3472"/>
      <c r="Q247" s="3472"/>
      <c r="R247" s="3472"/>
      <c r="S247" s="3472"/>
      <c r="T247" s="3472"/>
      <c r="U247" s="3472"/>
      <c r="V247" s="3472"/>
      <c r="W247" s="3472"/>
      <c r="X247" s="3472"/>
      <c r="Y247" s="3472"/>
      <c r="Z247" s="3498"/>
      <c r="AA247" s="3474"/>
      <c r="AB247" s="3474"/>
      <c r="AC247" s="3413"/>
      <c r="AD247" s="3414"/>
      <c r="AE247" s="3414"/>
      <c r="AF247" s="3414"/>
      <c r="AG247" s="3413"/>
      <c r="AH247" s="3409"/>
      <c r="AI247" s="3409"/>
      <c r="AJ247" s="3409"/>
      <c r="AK247" s="3415"/>
      <c r="AL247" s="3183"/>
      <c r="AM247" s="3183"/>
      <c r="AN247" s="6"/>
      <c r="AO247" s="6"/>
      <c r="AP247" s="6"/>
      <c r="AQ247" s="6"/>
    </row>
    <row r="248" ht="15" customHeight="1" hidden="0" collapsed="0" outlineLevel="1">
      <c r="A248" s="6"/>
      <c r="B248" s="3476" t="s">
        <v>774</v>
      </c>
      <c r="C248" s="3477"/>
      <c r="D248" s="3478"/>
      <c r="E248" s="3478"/>
      <c r="F248" s="3478"/>
      <c r="G248" s="3478"/>
      <c r="H248" s="3479"/>
      <c r="I248" s="3480">
        <f t="shared" si="8"/>
        <v>0</v>
      </c>
      <c r="J248" s="3481">
        <f t="shared" si="8"/>
        <v>0</v>
      </c>
      <c r="K248" s="3482">
        <f t="shared" si="8"/>
        <v>0</v>
      </c>
      <c r="L248" s="3483">
        <f t="shared" si="8"/>
        <v>0</v>
      </c>
      <c r="M248" s="3484">
        <f t="shared" si="8"/>
        <v>0</v>
      </c>
      <c r="N248" s="3483">
        <f t="shared" si="8"/>
        <v>0</v>
      </c>
      <c r="O248" s="3483">
        <f t="shared" si="8"/>
        <v>0</v>
      </c>
      <c r="P248" s="3483">
        <f t="shared" si="8"/>
        <v>0</v>
      </c>
      <c r="Q248" s="3483">
        <f t="shared" si="8"/>
        <v>0</v>
      </c>
      <c r="R248" s="3483">
        <f t="shared" si="8"/>
        <v>0</v>
      </c>
      <c r="S248" s="3483">
        <f t="shared" si="8"/>
        <v>0</v>
      </c>
      <c r="T248" s="3483">
        <f t="shared" si="8"/>
        <v>0</v>
      </c>
      <c r="U248" s="3483">
        <f t="shared" si="8"/>
        <v>0</v>
      </c>
      <c r="V248" s="3483">
        <f t="shared" si="8"/>
        <v>0</v>
      </c>
      <c r="W248" s="3483">
        <f t="shared" si="8"/>
        <v>0</v>
      </c>
      <c r="X248" s="3483">
        <f t="shared" si="8"/>
        <v>0</v>
      </c>
      <c r="Y248" s="3483">
        <f t="shared" si="9"/>
        <v>0</v>
      </c>
      <c r="Z248" s="3483">
        <f t="shared" si="9"/>
        <v>0</v>
      </c>
      <c r="AA248" s="3483">
        <f t="shared" si="9"/>
        <v>0</v>
      </c>
      <c r="AB248" s="3483">
        <f t="shared" si="9"/>
        <v>0</v>
      </c>
      <c r="AC248" s="3413"/>
      <c r="AD248" s="3414"/>
      <c r="AE248" s="3414"/>
      <c r="AF248" s="3414"/>
      <c r="AG248" s="3413"/>
      <c r="AH248" s="3409"/>
      <c r="AI248" s="3409"/>
      <c r="AJ248" s="3409"/>
      <c r="AK248" s="3415"/>
      <c r="AL248" s="3183"/>
      <c r="AM248" s="3183"/>
      <c r="AN248" s="6"/>
      <c r="AO248" s="6"/>
      <c r="AP248" s="6"/>
      <c r="AQ248" s="6"/>
    </row>
    <row r="249" ht="15" customHeight="1" hidden="0" collapsed="0" outlineLevel="1">
      <c r="A249" s="6"/>
      <c r="B249" s="3476" t="s">
        <v>3129</v>
      </c>
      <c r="C249" s="3477"/>
      <c r="D249" s="3478"/>
      <c r="E249" s="3478"/>
      <c r="F249" s="3478"/>
      <c r="G249" s="3478"/>
      <c r="H249" s="3479"/>
      <c r="I249" s="3480">
        <f t="shared" si="10"/>
        <v>0</v>
      </c>
      <c r="J249" s="3481">
        <f t="shared" si="10"/>
        <v>0</v>
      </c>
      <c r="K249" s="3482">
        <f t="shared" si="10"/>
        <v>0</v>
      </c>
      <c r="L249" s="3483">
        <f t="shared" si="10"/>
        <v>0</v>
      </c>
      <c r="M249" s="3484">
        <f t="shared" si="10"/>
        <v>0</v>
      </c>
      <c r="N249" s="3483">
        <f t="shared" si="10"/>
        <v>0</v>
      </c>
      <c r="O249" s="3483">
        <f t="shared" si="10"/>
        <v>0</v>
      </c>
      <c r="P249" s="3483">
        <f t="shared" si="10"/>
        <v>0</v>
      </c>
      <c r="Q249" s="3483">
        <f t="shared" si="10"/>
        <v>0</v>
      </c>
      <c r="R249" s="3483">
        <f t="shared" si="10"/>
        <v>0</v>
      </c>
      <c r="S249" s="3483">
        <f t="shared" si="10"/>
        <v>0</v>
      </c>
      <c r="T249" s="3483">
        <f t="shared" si="10"/>
        <v>0</v>
      </c>
      <c r="U249" s="3483">
        <f t="shared" si="10"/>
        <v>0</v>
      </c>
      <c r="V249" s="3483">
        <f t="shared" si="10"/>
        <v>0</v>
      </c>
      <c r="W249" s="3483">
        <f t="shared" si="10"/>
        <v>0</v>
      </c>
      <c r="X249" s="3483">
        <f t="shared" si="10"/>
        <v>0</v>
      </c>
      <c r="Y249" s="3483">
        <f t="shared" si="10"/>
        <v>0</v>
      </c>
      <c r="Z249" s="3483">
        <f t="shared" si="10"/>
        <v>0</v>
      </c>
      <c r="AA249" s="3483">
        <f t="shared" si="10"/>
        <v>0</v>
      </c>
      <c r="AB249" s="3483">
        <f t="shared" si="10"/>
        <v>0</v>
      </c>
      <c r="AC249" s="3413"/>
      <c r="AD249" s="3414"/>
      <c r="AE249" s="3414"/>
      <c r="AF249" s="3414"/>
      <c r="AG249" s="3413"/>
      <c r="AH249" s="3409"/>
      <c r="AI249" s="3409"/>
      <c r="AJ249" s="3409"/>
      <c r="AK249" s="3415"/>
      <c r="AL249" s="3183"/>
      <c r="AM249" s="3183"/>
      <c r="AN249" s="6"/>
      <c r="AO249" s="6"/>
      <c r="AP249" s="6"/>
      <c r="AQ249" s="6"/>
    </row>
    <row r="250" ht="15" customHeight="1" hidden="0" collapsed="0" outlineLevel="1">
      <c r="A250" s="6"/>
      <c r="B250" s="3476" t="s">
        <v>1780</v>
      </c>
      <c r="C250" s="3477"/>
      <c r="D250" s="3478"/>
      <c r="E250" s="3478"/>
      <c r="F250" s="3478"/>
      <c r="G250" s="3478"/>
      <c r="H250" s="3479"/>
      <c r="I250" s="3480">
        <f t="shared" si="11"/>
        <v>0</v>
      </c>
      <c r="J250" s="3481">
        <f t="shared" si="11"/>
        <v>0</v>
      </c>
      <c r="K250" s="3482">
        <f t="shared" si="11"/>
        <v>0</v>
      </c>
      <c r="L250" s="3483">
        <f t="shared" si="11"/>
        <v>0</v>
      </c>
      <c r="M250" s="3484">
        <f t="shared" si="11"/>
        <v>0</v>
      </c>
      <c r="N250" s="3483">
        <f t="shared" si="11"/>
        <v>0</v>
      </c>
      <c r="O250" s="3483">
        <f t="shared" si="11"/>
        <v>0</v>
      </c>
      <c r="P250" s="3483">
        <f t="shared" si="11"/>
        <v>0</v>
      </c>
      <c r="Q250" s="3483">
        <f t="shared" si="11"/>
        <v>0</v>
      </c>
      <c r="R250" s="3483">
        <f t="shared" si="11"/>
        <v>0</v>
      </c>
      <c r="S250" s="3483">
        <f t="shared" si="11"/>
        <v>0</v>
      </c>
      <c r="T250" s="3483">
        <f t="shared" si="11"/>
        <v>0</v>
      </c>
      <c r="U250" s="3483">
        <f t="shared" si="11"/>
        <v>0</v>
      </c>
      <c r="V250" s="3483">
        <f t="shared" si="11"/>
        <v>0</v>
      </c>
      <c r="W250" s="3483">
        <f t="shared" si="11"/>
        <v>0</v>
      </c>
      <c r="X250" s="3483">
        <f t="shared" si="11"/>
        <v>0</v>
      </c>
      <c r="Y250" s="3483">
        <f t="shared" si="12"/>
        <v>0</v>
      </c>
      <c r="Z250" s="3483">
        <f t="shared" si="13"/>
        <v>0</v>
      </c>
      <c r="AA250" s="3483">
        <f t="shared" si="13"/>
        <v>0</v>
      </c>
      <c r="AB250" s="3483">
        <f t="shared" si="13"/>
        <v>0</v>
      </c>
      <c r="AC250" s="3413"/>
      <c r="AD250" s="3414"/>
      <c r="AE250" s="3414"/>
      <c r="AF250" s="3414"/>
      <c r="AG250" s="3413"/>
      <c r="AH250" s="3409"/>
      <c r="AI250" s="3409"/>
      <c r="AJ250" s="3409"/>
      <c r="AK250" s="3415"/>
      <c r="AL250" s="3183"/>
      <c r="AM250" s="3183"/>
      <c r="AN250" s="6"/>
      <c r="AO250" s="6"/>
      <c r="AP250" s="6"/>
      <c r="AQ250" s="6"/>
    </row>
    <row r="251" ht="15.75" customHeight="1" hidden="0" collapsed="0" outlineLevel="1">
      <c r="A251" s="6"/>
      <c r="B251" s="3183"/>
      <c r="C251" s="3419"/>
      <c r="D251" s="3409"/>
      <c r="E251" s="3409"/>
      <c r="F251" s="3409"/>
      <c r="G251" s="3409"/>
      <c r="H251" s="3409"/>
      <c r="I251" s="3185"/>
      <c r="J251" s="3470"/>
      <c r="K251" s="3470"/>
      <c r="L251" s="3471"/>
      <c r="M251" s="3472"/>
      <c r="N251" s="3474"/>
      <c r="O251" s="3498"/>
      <c r="P251" s="3472"/>
      <c r="Q251" s="3472"/>
      <c r="R251" s="3472"/>
      <c r="S251" s="3498"/>
      <c r="T251" s="3498"/>
      <c r="U251" s="3498"/>
      <c r="V251" s="3498"/>
      <c r="W251" s="3498"/>
      <c r="X251" s="3498"/>
      <c r="Y251" s="3498"/>
      <c r="Z251" s="3498"/>
      <c r="AA251" s="3498"/>
      <c r="AB251" s="3498"/>
      <c r="AC251" s="3413"/>
      <c r="AD251" s="3414"/>
      <c r="AE251" s="3414"/>
      <c r="AF251" s="3414"/>
      <c r="AG251" s="3413"/>
      <c r="AH251" s="3409"/>
      <c r="AI251" s="3409"/>
      <c r="AJ251" s="3409"/>
      <c r="AK251" s="3415"/>
      <c r="AL251" s="3183"/>
      <c r="AM251" s="3183"/>
      <c r="AN251" s="6"/>
      <c r="AO251" s="6"/>
      <c r="AP251" s="6"/>
      <c r="AQ251" s="6"/>
    </row>
    <row r="252" ht="15.75" customHeight="1" hidden="0" collapsed="0" outlineLevel="1">
      <c r="A252" s="6"/>
      <c r="B252" s="3487" t="s">
        <v>3130</v>
      </c>
      <c r="C252" s="3488" t="str">
        <f t="shared" si="14"/>
        <v>XXXX</v>
      </c>
      <c r="D252" s="3489" t="str">
        <f t="shared" si="14"/>
        <v>City</v>
      </c>
      <c r="E252" s="3489">
        <f t="shared" si="14"/>
      </c>
      <c r="F252" s="3489" t="str">
        <f t="shared" si="14"/>
        <v>XX</v>
      </c>
      <c r="G252" s="3489"/>
      <c r="H252" s="3489"/>
      <c r="I252" s="3490" t="str">
        <f t="shared" si="14"/>
        <v>XXXX</v>
      </c>
      <c r="J252" s="3491">
        <f t="shared" si="14"/>
        <v>85</v>
      </c>
      <c r="K252" s="3491"/>
      <c r="L252" s="3494">
        <f t="shared" si="14"/>
        <v>13056.917647058823</v>
      </c>
      <c r="M252" s="3493">
        <f t="shared" si="14"/>
        <v>0.035</v>
      </c>
      <c r="N252" s="3492">
        <f t="shared" si="14"/>
        <v>456.9921176470588</v>
      </c>
      <c r="O252" s="3494">
        <f t="shared" si="14"/>
        <v>601.3261176470588</v>
      </c>
      <c r="P252" s="3494">
        <f t="shared" si="14"/>
        <v>222.79505882352944</v>
      </c>
      <c r="Q252" s="3494">
        <f t="shared" si="14"/>
        <v>2646.1911764705883</v>
      </c>
      <c r="R252" s="3492">
        <f t="shared" si="14"/>
        <v>5794.040823529412</v>
      </c>
      <c r="S252" s="3492">
        <f t="shared" si="14"/>
        <v>2154.0208235294117</v>
      </c>
      <c r="T252" s="3492">
        <f t="shared" si="14"/>
        <v>1383.5202352941176</v>
      </c>
      <c r="U252" s="3492">
        <f t="shared" si="14"/>
        <v>4656.072588235294</v>
      </c>
      <c r="V252" s="3492">
        <f t="shared" si="14"/>
        <v>2945.715176470588</v>
      </c>
      <c r="W252" s="3492">
        <f t="shared" si="14"/>
        <v>12192.74011764706</v>
      </c>
      <c r="X252" s="3492">
        <f t="shared" si="14"/>
        <v>250</v>
      </c>
      <c r="Y252" s="3492">
        <f t="shared" si="14"/>
        <v>33303.41423529412</v>
      </c>
      <c r="Z252" s="3492">
        <f t="shared" si="14"/>
        <v>20860.67411764706</v>
      </c>
      <c r="AA252" s="3492">
        <f t="shared" si="16"/>
        <v>10450.113411764705</v>
      </c>
      <c r="AB252" s="3527">
        <f t="shared" si="17"/>
        <v>13920.42576470588</v>
      </c>
      <c r="AC252" s="3413"/>
      <c r="AD252" s="3414"/>
      <c r="AE252" s="3414"/>
      <c r="AF252" s="3414"/>
      <c r="AG252" s="3413"/>
      <c r="AH252" s="3409"/>
      <c r="AI252" s="3409"/>
      <c r="AJ252" s="3409"/>
      <c r="AK252" s="3415"/>
      <c r="AL252" s="3183"/>
      <c r="AM252" s="3183"/>
      <c r="AN252" s="6"/>
      <c r="AO252" s="6"/>
      <c r="AP252" s="6"/>
      <c r="AQ252" s="6"/>
    </row>
    <row r="253" ht="15.75" customHeight="1" hidden="0" collapsed="0" outlineLevel="1">
      <c r="A253" s="6"/>
      <c r="B253" s="3487" t="s">
        <v>1866</v>
      </c>
      <c r="C253" s="3488" t="str">
        <f t="shared" si="14"/>
        <v>XXXX</v>
      </c>
      <c r="D253" s="3489" t="str">
        <f t="shared" si="14"/>
        <v>City</v>
      </c>
      <c r="E253" s="3489">
        <f t="shared" si="14"/>
      </c>
      <c r="F253" s="3489" t="str">
        <f t="shared" si="14"/>
        <v>XX</v>
      </c>
      <c r="G253" s="3489"/>
      <c r="H253" s="3489"/>
      <c r="I253" s="3490" t="str">
        <f t="shared" si="14"/>
        <v>XXXX</v>
      </c>
      <c r="J253" s="3491">
        <f t="shared" si="14"/>
        <v>85</v>
      </c>
      <c r="K253" s="3491"/>
      <c r="L253" s="3492">
        <f t="shared" si="18"/>
        <v>0</v>
      </c>
      <c r="M253" s="3493">
        <f>'Summary OPS'!$AF$35</f>
        <v>0</v>
      </c>
      <c r="N253" s="3492">
        <f>_xlfn.IFERROR('Summary OPS'!$AE$35/J253,0)</f>
        <v>0</v>
      </c>
      <c r="O253" s="3494">
        <f>_xlfn.IFERROR('Summary OPS'!$AE$37/J253,0)</f>
        <v>0</v>
      </c>
      <c r="P253" s="3494">
        <f>_xlfn.IFERROR('Summary OPS'!$AE$38/J253,0)</f>
        <v>0</v>
      </c>
      <c r="Q253" s="3494">
        <f>_xlfn.IFERROR(('Summary OPS'!$AE$36+'Summary OPS'!$AE$39+'Summary OPS'!$AE$40+'Summary OPS'!$AE$47+'Summary OPS'!$AE$48)/J253,0)</f>
        <v>0</v>
      </c>
      <c r="R253" s="3492">
        <f>_xlfn.IFERROR('Summary OPS'!$AE$41/J253,0)</f>
        <v>0</v>
      </c>
      <c r="S253" s="3492">
        <f>_xlfn.IFERROR('Summary OPS'!$AE$42/J253,0)</f>
        <v>0</v>
      </c>
      <c r="T253" s="3492">
        <f>_xlfn.IFERROR('Summary OPS'!$AE$43/J253,0)</f>
        <v>0</v>
      </c>
      <c r="U253" s="3492">
        <f>_xlfn.IFERROR('Summary OPS'!$AE$44/J253,0)</f>
        <v>0</v>
      </c>
      <c r="V253" s="3492">
        <f>_xlfn.IFERROR('Summary OPS'!$AE$45/J253,0)</f>
        <v>0</v>
      </c>
      <c r="W253" s="3492">
        <f>_xlfn.IFERROR('Summary OPS'!$AE$46/J253,0)</f>
        <v>0</v>
      </c>
      <c r="X253" s="3492">
        <f>_xlfn.IFERROR('Summary OPS'!$AE$51/J253,0)</f>
        <v>0</v>
      </c>
      <c r="Y253" s="3492">
        <f>_xlfn.IFERROR('Summary OPS'!$AE$53/J253,0)</f>
        <v>0</v>
      </c>
      <c r="Z253" s="3492">
        <f t="shared" si="15"/>
        <v>0</v>
      </c>
      <c r="AA253" s="3492">
        <f t="shared" si="16"/>
        <v>0</v>
      </c>
      <c r="AB253" s="3527">
        <f t="shared" si="17"/>
        <v>0</v>
      </c>
      <c r="AC253" s="3413"/>
      <c r="AD253" s="3414"/>
      <c r="AE253" s="3414"/>
      <c r="AF253" s="3414"/>
      <c r="AG253" s="3413"/>
      <c r="AH253" s="3409"/>
      <c r="AI253" s="3409"/>
      <c r="AJ253" s="3409"/>
      <c r="AK253" s="3415"/>
      <c r="AL253" s="3183"/>
      <c r="AM253" s="3183"/>
      <c r="AN253" s="6"/>
      <c r="AO253" s="6"/>
      <c r="AP253" s="6"/>
      <c r="AQ253" s="6"/>
    </row>
    <row r="254" ht="15" customHeight="1">
      <c r="A254" s="6"/>
      <c r="B254" s="3183"/>
      <c r="C254" s="3419"/>
      <c r="D254" s="3409"/>
      <c r="E254" s="3409"/>
      <c r="F254" s="3409"/>
      <c r="G254" s="3409"/>
      <c r="H254" s="3409"/>
      <c r="I254" s="3410"/>
      <c r="J254" s="3410"/>
      <c r="K254" s="3411"/>
      <c r="L254" s="3412"/>
      <c r="M254" s="3413"/>
      <c r="N254" s="3498"/>
      <c r="O254" s="3472"/>
      <c r="P254" s="3472"/>
      <c r="Q254" s="3472"/>
      <c r="R254" s="3498"/>
      <c r="S254" s="3498"/>
      <c r="T254" s="3498"/>
      <c r="U254" s="3498"/>
      <c r="V254" s="3498"/>
      <c r="W254" s="3498"/>
      <c r="X254" s="3498"/>
      <c r="Y254" s="3498"/>
      <c r="Z254" s="3498"/>
      <c r="AA254" s="3186"/>
      <c r="AB254" s="3413"/>
      <c r="AC254" s="3413"/>
      <c r="AD254" s="3414"/>
      <c r="AE254" s="3414"/>
      <c r="AF254" s="3414"/>
      <c r="AG254" s="3413"/>
      <c r="AH254" s="3409"/>
      <c r="AI254" s="3409"/>
      <c r="AJ254" s="3409"/>
      <c r="AK254" s="3415"/>
      <c r="AL254" s="3183"/>
      <c r="AM254" s="3183"/>
      <c r="AN254" s="6"/>
      <c r="AO254" s="6"/>
      <c r="AP254" s="6"/>
      <c r="AQ254" s="6"/>
    </row>
    <row r="255" ht="18" customHeight="1">
      <c r="A255" s="6"/>
      <c r="B255" s="3420" t="s">
        <v>3133</v>
      </c>
      <c r="C255" s="6"/>
      <c r="D255" s="3409"/>
      <c r="E255" s="3409"/>
      <c r="F255" s="3409"/>
      <c r="G255" s="3409"/>
      <c r="H255" s="3410"/>
      <c r="I255" s="3411"/>
      <c r="J255" s="3412"/>
      <c r="K255" s="3413"/>
      <c r="L255" s="3498"/>
      <c r="M255" s="3472"/>
      <c r="N255" s="3472"/>
      <c r="O255" s="3472"/>
      <c r="P255" s="3498"/>
      <c r="Q255" s="3498"/>
      <c r="R255" s="3498"/>
      <c r="S255" s="3498"/>
      <c r="T255" s="3498"/>
      <c r="U255" s="3498"/>
      <c r="V255" s="3498"/>
      <c r="W255" s="3498"/>
      <c r="X255" s="3498"/>
      <c r="Y255" s="3186"/>
      <c r="Z255" s="3413"/>
      <c r="AA255" s="3413"/>
      <c r="AB255" s="3414"/>
      <c r="AC255" s="3414"/>
      <c r="AD255" s="3414"/>
      <c r="AE255" s="3413"/>
      <c r="AF255" s="3409"/>
      <c r="AG255" s="3409"/>
      <c r="AH255" s="3183"/>
      <c r="AI255" s="3183"/>
      <c r="AJ255" s="3183"/>
      <c r="AK255" s="3415"/>
      <c r="AL255" s="6"/>
      <c r="AM255" s="6"/>
      <c r="AN255" s="6"/>
      <c r="AO255" s="6"/>
      <c r="AP255" s="6"/>
      <c r="AQ255" s="6"/>
    </row>
    <row r="256" ht="15" customHeight="1">
      <c r="A256" s="6"/>
      <c r="B256" s="3183"/>
      <c r="C256" s="3419"/>
      <c r="D256" s="3409"/>
      <c r="E256" s="3409"/>
      <c r="F256" s="3409"/>
      <c r="G256" s="3409"/>
      <c r="H256" s="3410"/>
      <c r="I256" s="3410"/>
      <c r="J256" s="3410"/>
      <c r="K256" s="3411"/>
      <c r="L256" s="3430" t="str">
        <f t="shared" si="5"/>
        <v>2022 Per Unit Expenses</v>
      </c>
      <c r="M256" s="3431"/>
      <c r="N256" s="3431"/>
      <c r="O256" s="3431"/>
      <c r="P256" s="3431"/>
      <c r="Q256" s="3431"/>
      <c r="R256" s="3431"/>
      <c r="S256" s="3431"/>
      <c r="T256" s="3431"/>
      <c r="U256" s="3431"/>
      <c r="V256" s="3431"/>
      <c r="W256" s="3431"/>
      <c r="X256" s="3431"/>
      <c r="Y256" s="3431"/>
      <c r="Z256" s="3431"/>
      <c r="AA256" s="3431"/>
      <c r="AB256" s="3432"/>
      <c r="AC256" s="3413"/>
      <c r="AD256" s="3414"/>
      <c r="AE256" s="3414"/>
      <c r="AF256" s="3414"/>
      <c r="AG256" s="3413"/>
      <c r="AH256" s="3409"/>
      <c r="AI256" s="3409"/>
      <c r="AJ256" s="3409"/>
      <c r="AK256" s="3415"/>
      <c r="AL256" s="3183"/>
      <c r="AM256" s="3183"/>
      <c r="AN256" s="6"/>
      <c r="AO256" s="6"/>
      <c r="AP256" s="6"/>
      <c r="AQ256" s="6"/>
      <c r="AR256" s="6"/>
    </row>
    <row r="257" ht="41.25" customHeight="1">
      <c r="A257" s="6"/>
      <c r="B257" s="3550" t="s">
        <v>3103</v>
      </c>
      <c r="C257" s="3551" t="s">
        <v>3104</v>
      </c>
      <c r="D257" s="3551" t="s">
        <v>279</v>
      </c>
      <c r="E257" s="3551" t="s">
        <v>2675</v>
      </c>
      <c r="F257" s="3551" t="s">
        <v>289</v>
      </c>
      <c r="G257" s="3552" t="s">
        <v>3105</v>
      </c>
      <c r="H257" s="2872" t="s">
        <v>201</v>
      </c>
      <c r="I257" s="3553" t="s">
        <v>660</v>
      </c>
      <c r="J257" s="3554" t="s">
        <v>3106</v>
      </c>
      <c r="K257" s="3554" t="s">
        <v>3107</v>
      </c>
      <c r="L257" s="3555" t="s">
        <v>1409</v>
      </c>
      <c r="M257" s="3556" t="s">
        <v>3108</v>
      </c>
      <c r="N257" s="3552" t="s">
        <v>3109</v>
      </c>
      <c r="O257" s="3552" t="s">
        <v>3110</v>
      </c>
      <c r="P257" s="3552" t="s">
        <v>3111</v>
      </c>
      <c r="Q257" s="3552" t="s">
        <v>3112</v>
      </c>
      <c r="R257" s="3552" t="s">
        <v>1416</v>
      </c>
      <c r="S257" s="3552" t="s">
        <v>1417</v>
      </c>
      <c r="T257" s="3552" t="s">
        <v>3113</v>
      </c>
      <c r="U257" s="3552" t="s">
        <v>3114</v>
      </c>
      <c r="V257" s="3552" t="s">
        <v>3115</v>
      </c>
      <c r="W257" s="3552" t="s">
        <v>3116</v>
      </c>
      <c r="X257" s="3552" t="s">
        <v>3117</v>
      </c>
      <c r="Y257" s="3552" t="s">
        <v>2968</v>
      </c>
      <c r="Z257" s="3557" t="s">
        <v>3118</v>
      </c>
      <c r="AA257" s="3552" t="s">
        <v>3127</v>
      </c>
      <c r="AB257" s="3558" t="s">
        <v>3128</v>
      </c>
      <c r="AC257" s="3413"/>
      <c r="AD257" s="3414"/>
      <c r="AE257" s="3414"/>
      <c r="AF257" s="3414"/>
      <c r="AG257" s="3413"/>
      <c r="AH257" s="3409"/>
      <c r="AI257" s="3409"/>
      <c r="AJ257" s="3409"/>
      <c r="AK257" s="3469"/>
      <c r="AL257" s="3409"/>
      <c r="AM257" s="3409"/>
      <c r="AN257" s="6"/>
      <c r="AO257" s="6"/>
      <c r="AP257" s="6"/>
      <c r="AQ257" s="6"/>
      <c r="AR257" s="6"/>
    </row>
    <row r="258" ht="15" customHeight="1">
      <c r="A258" s="6"/>
      <c r="B258" s="3507">
        <v>1</v>
      </c>
      <c r="C258" s="3529"/>
      <c r="D258" s="3530"/>
      <c r="E258" s="3530"/>
      <c r="F258" s="3530"/>
      <c r="G258" s="3530"/>
      <c r="H258" s="3531"/>
      <c r="I258" s="3532"/>
      <c r="J258" s="3533"/>
      <c r="K258" s="3534"/>
      <c r="L258" s="3535"/>
      <c r="M258" s="3536"/>
      <c r="N258" s="3535"/>
      <c r="O258" s="3535"/>
      <c r="P258" s="3535"/>
      <c r="Q258" s="3535"/>
      <c r="R258" s="3535"/>
      <c r="S258" s="3535"/>
      <c r="T258" s="3535"/>
      <c r="U258" s="3535"/>
      <c r="V258" s="3535"/>
      <c r="W258" s="3535"/>
      <c r="X258" s="3535"/>
      <c r="Y258" s="3514">
        <f t="shared" si="6"/>
      </c>
      <c r="Z258" s="3516">
        <f t="shared" si="7"/>
      </c>
      <c r="AA258" s="3537">
        <f>IF(ExpComps_BorrowerTable[[#This Row], [R&amp;M]]+ExpComps_BorrowerTable[[#This Row], [Payroll]]&gt;0,ExpComps_BorrowerTable[[#This Row], [R&amp;M]]+ExpComps_BorrowerTable[[#This Row], [Payroll]],"")</f>
      </c>
      <c r="AB258" s="3537">
        <f>IF(ExpComps_BorrowerTable[[#This Row], [Payroll]]+ExpComps_BorrowerTable[[#This Row], [R&amp;M]]+ExpComps_BorrowerTable[[#This Row], [Admin]]+ExpComps_BorrowerTable[[#This Row], [Prof]]+ExpComps_BorrowerTable[[#This Row], [Adv]]&gt;0,ExpComps_BorrowerTable[[#This Row], [Payroll]]+ExpComps_BorrowerTable[[#This Row], [R&amp;M]]+ExpComps_BorrowerTable[[#This Row], [Admin]]+ExpComps_BorrowerTable[[#This Row], [Prof]]+ExpComps_BorrowerTable[[#This Row], [Adv]],"")</f>
      </c>
      <c r="AC258" s="3474"/>
      <c r="AD258" s="3414"/>
      <c r="AE258" s="3414"/>
      <c r="AF258" s="3414"/>
      <c r="AG258" s="3413"/>
      <c r="AH258" s="3409"/>
      <c r="AI258" s="3409"/>
      <c r="AJ258" s="3409"/>
      <c r="AK258" s="3415"/>
      <c r="AL258" s="3183"/>
      <c r="AM258" s="3183"/>
      <c r="AN258" s="6"/>
      <c r="AO258" s="6"/>
      <c r="AP258" s="6"/>
      <c r="AQ258" s="6"/>
      <c r="AR258" s="6"/>
    </row>
    <row r="259" ht="15" customHeight="1">
      <c r="A259" s="6"/>
      <c r="B259" s="3507">
        <v>2</v>
      </c>
      <c r="C259" s="3538"/>
      <c r="D259" s="3539"/>
      <c r="E259" s="3539"/>
      <c r="F259" s="3539"/>
      <c r="G259" s="3539"/>
      <c r="H259" s="3540"/>
      <c r="I259" s="3541"/>
      <c r="J259" s="3542"/>
      <c r="K259" s="3543"/>
      <c r="L259" s="3544"/>
      <c r="M259" s="3545"/>
      <c r="N259" s="3544"/>
      <c r="O259" s="3544"/>
      <c r="P259" s="3544"/>
      <c r="Q259" s="3544"/>
      <c r="R259" s="3544"/>
      <c r="S259" s="3544"/>
      <c r="T259" s="3544"/>
      <c r="U259" s="3544"/>
      <c r="V259" s="3544"/>
      <c r="W259" s="3544"/>
      <c r="X259" s="3544"/>
      <c r="Y259" s="3544">
        <f t="shared" si="6"/>
      </c>
      <c r="Z259" s="3546">
        <f t="shared" si="7"/>
      </c>
      <c r="AA259" s="3535">
        <f>IF(ExpComps_BorrowerTable[[#This Row], [R&amp;M]]+ExpComps_BorrowerTable[[#This Row], [Payroll]]&gt;0,ExpComps_BorrowerTable[[#This Row], [R&amp;M]]+ExpComps_BorrowerTable[[#This Row], [Payroll]],"")</f>
      </c>
      <c r="AB259" s="3535">
        <f>IF(ExpComps_BorrowerTable[[#This Row], [Payroll]]+ExpComps_BorrowerTable[[#This Row], [R&amp;M]]+ExpComps_BorrowerTable[[#This Row], [Admin]]+ExpComps_BorrowerTable[[#This Row], [Prof]]+ExpComps_BorrowerTable[[#This Row], [Adv]]&gt;0,ExpComps_BorrowerTable[[#This Row], [Payroll]]+ExpComps_BorrowerTable[[#This Row], [R&amp;M]]+ExpComps_BorrowerTable[[#This Row], [Admin]]+ExpComps_BorrowerTable[[#This Row], [Prof]]+ExpComps_BorrowerTable[[#This Row], [Adv]],"")</f>
      </c>
      <c r="AC259" s="3474"/>
      <c r="AD259" s="3414"/>
      <c r="AE259" s="3414"/>
      <c r="AF259" s="3414"/>
      <c r="AG259" s="3413"/>
      <c r="AH259" s="3409"/>
      <c r="AI259" s="3409"/>
      <c r="AJ259" s="3409"/>
      <c r="AK259" s="3415"/>
      <c r="AL259" s="3183"/>
      <c r="AM259" s="3183"/>
      <c r="AN259" s="6"/>
      <c r="AO259" s="6"/>
      <c r="AP259" s="6"/>
      <c r="AQ259" s="6"/>
      <c r="AR259" s="6"/>
    </row>
    <row r="260" ht="15" customHeight="1">
      <c r="A260" s="6"/>
      <c r="B260" s="3507">
        <v>3</v>
      </c>
      <c r="C260" s="3538"/>
      <c r="D260" s="3539"/>
      <c r="E260" s="3539"/>
      <c r="F260" s="3539"/>
      <c r="G260" s="3539"/>
      <c r="H260" s="3540"/>
      <c r="I260" s="3541"/>
      <c r="J260" s="3542"/>
      <c r="K260" s="3543"/>
      <c r="L260" s="3544"/>
      <c r="M260" s="3545"/>
      <c r="N260" s="3544"/>
      <c r="O260" s="3544"/>
      <c r="P260" s="3544"/>
      <c r="Q260" s="3544"/>
      <c r="R260" s="3544"/>
      <c r="S260" s="3544"/>
      <c r="T260" s="3544"/>
      <c r="U260" s="3544"/>
      <c r="V260" s="3544"/>
      <c r="W260" s="3544"/>
      <c r="X260" s="3544"/>
      <c r="Y260" s="3544">
        <f t="shared" si="6"/>
      </c>
      <c r="Z260" s="3546">
        <f t="shared" si="7"/>
      </c>
      <c r="AA260" s="3544">
        <f>IF(ExpComps_BorrowerTable[[#This Row], [R&amp;M]]+ExpComps_BorrowerTable[[#This Row], [Payroll]]&gt;0,ExpComps_BorrowerTable[[#This Row], [R&amp;M]]+ExpComps_BorrowerTable[[#This Row], [Payroll]],"")</f>
      </c>
      <c r="AB260" s="3544">
        <f>IF(ExpComps_BorrowerTable[[#This Row], [Payroll]]+ExpComps_BorrowerTable[[#This Row], [R&amp;M]]+ExpComps_BorrowerTable[[#This Row], [Admin]]+ExpComps_BorrowerTable[[#This Row], [Prof]]+ExpComps_BorrowerTable[[#This Row], [Adv]]&gt;0,ExpComps_BorrowerTable[[#This Row], [Payroll]]+ExpComps_BorrowerTable[[#This Row], [R&amp;M]]+ExpComps_BorrowerTable[[#This Row], [Admin]]+ExpComps_BorrowerTable[[#This Row], [Prof]]+ExpComps_BorrowerTable[[#This Row], [Adv]],"")</f>
      </c>
      <c r="AC260" s="3474"/>
      <c r="AD260" s="3414"/>
      <c r="AE260" s="3414"/>
      <c r="AF260" s="3414"/>
      <c r="AG260" s="3413"/>
      <c r="AH260" s="3409"/>
      <c r="AI260" s="3409"/>
      <c r="AJ260" s="3409"/>
      <c r="AK260" s="3415"/>
      <c r="AL260" s="3183"/>
      <c r="AM260" s="3183"/>
      <c r="AN260" s="6"/>
      <c r="AO260" s="6"/>
      <c r="AP260" s="6"/>
      <c r="AQ260" s="6"/>
      <c r="AR260" s="6"/>
    </row>
    <row r="261" ht="15" customHeight="1">
      <c r="A261" s="6"/>
      <c r="B261" s="3183"/>
      <c r="C261" s="3419"/>
      <c r="D261" s="3409"/>
      <c r="E261" s="3409"/>
      <c r="F261" s="3409"/>
      <c r="G261" s="3469"/>
      <c r="H261" s="3185"/>
      <c r="I261" s="3470"/>
      <c r="J261" s="3500"/>
      <c r="K261" s="3473"/>
      <c r="L261" s="3474"/>
      <c r="M261" s="3472"/>
      <c r="N261" s="3472"/>
      <c r="O261" s="3472"/>
      <c r="P261" s="3472"/>
      <c r="Q261" s="3472"/>
      <c r="R261" s="3472"/>
      <c r="S261" s="3472"/>
      <c r="T261" s="3472"/>
      <c r="U261" s="3472"/>
      <c r="V261" s="3472"/>
      <c r="W261" s="3472"/>
      <c r="X261" s="3472"/>
      <c r="Y261" s="3472"/>
      <c r="Z261" s="3498"/>
      <c r="AA261" s="3474"/>
      <c r="AB261" s="3474"/>
      <c r="AC261" s="3414"/>
      <c r="AD261" s="3414"/>
      <c r="AE261" s="3414"/>
      <c r="AF261" s="3413"/>
      <c r="AG261" s="3409"/>
      <c r="AH261" s="3409"/>
      <c r="AI261" s="3183"/>
      <c r="AJ261" s="3183"/>
      <c r="AK261" s="3415"/>
      <c r="AL261" s="3183"/>
      <c r="AM261" s="6"/>
      <c r="AN261" s="6"/>
      <c r="AO261" s="6"/>
      <c r="AP261" s="6"/>
      <c r="AQ261" s="6"/>
    </row>
    <row r="262" ht="15" customHeight="1">
      <c r="A262" s="6"/>
      <c r="B262" s="3476" t="s">
        <v>774</v>
      </c>
      <c r="C262" s="3477"/>
      <c r="D262" s="3478"/>
      <c r="E262" s="3478"/>
      <c r="F262" s="3478"/>
      <c r="G262" s="3478"/>
      <c r="H262" s="3479"/>
      <c r="I262" s="3480">
        <f t="shared" si="19" ref="I262:AB262">MIN(I258:I260)</f>
        <v>0</v>
      </c>
      <c r="J262" s="3481">
        <f t="shared" si="19"/>
        <v>0</v>
      </c>
      <c r="K262" s="3482">
        <f t="shared" si="19"/>
        <v>0</v>
      </c>
      <c r="L262" s="3483">
        <f t="shared" si="19"/>
        <v>0</v>
      </c>
      <c r="M262" s="3484">
        <f t="shared" si="19"/>
        <v>0</v>
      </c>
      <c r="N262" s="3483">
        <f t="shared" si="19"/>
        <v>0</v>
      </c>
      <c r="O262" s="3483">
        <f t="shared" si="19"/>
        <v>0</v>
      </c>
      <c r="P262" s="3483">
        <f t="shared" si="19"/>
        <v>0</v>
      </c>
      <c r="Q262" s="3483">
        <f t="shared" si="19"/>
        <v>0</v>
      </c>
      <c r="R262" s="3483">
        <f t="shared" si="19"/>
        <v>0</v>
      </c>
      <c r="S262" s="3483">
        <f t="shared" si="19"/>
        <v>0</v>
      </c>
      <c r="T262" s="3483">
        <f t="shared" si="19"/>
        <v>0</v>
      </c>
      <c r="U262" s="3483">
        <f t="shared" si="19"/>
        <v>0</v>
      </c>
      <c r="V262" s="3483">
        <f t="shared" si="19"/>
        <v>0</v>
      </c>
      <c r="W262" s="3483">
        <f t="shared" si="19"/>
        <v>0</v>
      </c>
      <c r="X262" s="3483">
        <f t="shared" si="19"/>
        <v>0</v>
      </c>
      <c r="Y262" s="3483">
        <f>_xlfn.IFERROR(_xlfn.MINIFS(Y258:Y260,Y258:Y260,"&gt;0"),0)</f>
        <v>0</v>
      </c>
      <c r="Z262" s="3483">
        <f t="shared" si="19"/>
        <v>0</v>
      </c>
      <c r="AA262" s="3483">
        <f t="shared" si="19"/>
        <v>0</v>
      </c>
      <c r="AB262" s="3483">
        <f t="shared" si="19"/>
        <v>0</v>
      </c>
      <c r="AC262" s="3474"/>
      <c r="AD262" s="3414"/>
      <c r="AE262" s="3414"/>
      <c r="AF262" s="3414"/>
      <c r="AG262" s="3413"/>
      <c r="AH262" s="3409"/>
      <c r="AI262" s="3409"/>
      <c r="AJ262" s="3409"/>
      <c r="AK262" s="3415"/>
      <c r="AL262" s="3183"/>
      <c r="AM262" s="3183"/>
      <c r="AN262" s="6"/>
      <c r="AO262" s="6"/>
      <c r="AP262" s="6"/>
      <c r="AQ262" s="6"/>
      <c r="AR262" s="6"/>
    </row>
    <row r="263" ht="15" customHeight="1">
      <c r="A263" s="6"/>
      <c r="B263" s="3476" t="s">
        <v>3129</v>
      </c>
      <c r="C263" s="3477"/>
      <c r="D263" s="3478"/>
      <c r="E263" s="3478"/>
      <c r="F263" s="3478"/>
      <c r="G263" s="3478"/>
      <c r="H263" s="3479"/>
      <c r="I263" s="3480">
        <f t="shared" si="20" ref="I263:AB263">MAX(I258:I260)</f>
        <v>0</v>
      </c>
      <c r="J263" s="3481">
        <f t="shared" si="20"/>
        <v>0</v>
      </c>
      <c r="K263" s="3482">
        <f t="shared" si="20"/>
        <v>0</v>
      </c>
      <c r="L263" s="3483">
        <f t="shared" si="20"/>
        <v>0</v>
      </c>
      <c r="M263" s="3484">
        <f t="shared" si="20"/>
        <v>0</v>
      </c>
      <c r="N263" s="3483">
        <f t="shared" si="20"/>
        <v>0</v>
      </c>
      <c r="O263" s="3483">
        <f t="shared" si="20"/>
        <v>0</v>
      </c>
      <c r="P263" s="3483">
        <f t="shared" si="20"/>
        <v>0</v>
      </c>
      <c r="Q263" s="3483">
        <f t="shared" si="20"/>
        <v>0</v>
      </c>
      <c r="R263" s="3483">
        <f t="shared" si="20"/>
        <v>0</v>
      </c>
      <c r="S263" s="3483">
        <f t="shared" si="20"/>
        <v>0</v>
      </c>
      <c r="T263" s="3483">
        <f t="shared" si="20"/>
        <v>0</v>
      </c>
      <c r="U263" s="3483">
        <f t="shared" si="20"/>
        <v>0</v>
      </c>
      <c r="V263" s="3483">
        <f t="shared" si="20"/>
        <v>0</v>
      </c>
      <c r="W263" s="3483">
        <f t="shared" si="20"/>
        <v>0</v>
      </c>
      <c r="X263" s="3483">
        <f t="shared" si="20"/>
        <v>0</v>
      </c>
      <c r="Y263" s="3483">
        <f t="shared" si="20"/>
        <v>0</v>
      </c>
      <c r="Z263" s="3483">
        <f t="shared" si="20"/>
        <v>0</v>
      </c>
      <c r="AA263" s="3483">
        <f t="shared" si="20"/>
        <v>0</v>
      </c>
      <c r="AB263" s="3483">
        <f t="shared" si="20"/>
        <v>0</v>
      </c>
      <c r="AC263" s="3474"/>
      <c r="AD263" s="3414"/>
      <c r="AE263" s="3414"/>
      <c r="AF263" s="3414"/>
      <c r="AG263" s="3413"/>
      <c r="AH263" s="3409"/>
      <c r="AI263" s="3409"/>
      <c r="AJ263" s="3409"/>
      <c r="AK263" s="3415"/>
      <c r="AL263" s="3183"/>
      <c r="AM263" s="3183"/>
      <c r="AN263" s="6"/>
      <c r="AO263" s="6"/>
      <c r="AP263" s="6"/>
      <c r="AQ263" s="6"/>
      <c r="AR263" s="6"/>
    </row>
    <row r="264" ht="15" customHeight="1">
      <c r="A264" s="6"/>
      <c r="B264" s="3476" t="s">
        <v>1780</v>
      </c>
      <c r="C264" s="3477"/>
      <c r="D264" s="3478"/>
      <c r="E264" s="3478"/>
      <c r="F264" s="3478"/>
      <c r="G264" s="3478"/>
      <c r="H264" s="3479"/>
      <c r="I264" s="3480">
        <f t="shared" si="21" ref="I264:K264">_xlfn.IFERROR(AVERAGE(I258:I260),0)</f>
        <v>0</v>
      </c>
      <c r="J264" s="3481">
        <f t="shared" si="21"/>
        <v>0</v>
      </c>
      <c r="K264" s="3482">
        <f t="shared" si="21"/>
        <v>0</v>
      </c>
      <c r="L264" s="3483">
        <f t="shared" si="22" ref="L264:AB264">_xlfn.IFERROR(_xlfn.AVERAGEIF(L258:L260,"&gt;0",L258:L260),0)</f>
        <v>0</v>
      </c>
      <c r="M264" s="3484">
        <f t="shared" si="22"/>
        <v>0</v>
      </c>
      <c r="N264" s="3483">
        <f t="shared" si="22"/>
        <v>0</v>
      </c>
      <c r="O264" s="3483">
        <f t="shared" si="22"/>
        <v>0</v>
      </c>
      <c r="P264" s="3483">
        <f t="shared" si="22"/>
        <v>0</v>
      </c>
      <c r="Q264" s="3483">
        <f t="shared" si="22"/>
        <v>0</v>
      </c>
      <c r="R264" s="3483">
        <f t="shared" si="22"/>
        <v>0</v>
      </c>
      <c r="S264" s="3483">
        <f t="shared" si="22"/>
        <v>0</v>
      </c>
      <c r="T264" s="3483">
        <f t="shared" si="22"/>
        <v>0</v>
      </c>
      <c r="U264" s="3483">
        <f t="shared" si="22"/>
        <v>0</v>
      </c>
      <c r="V264" s="3483">
        <f t="shared" si="22"/>
        <v>0</v>
      </c>
      <c r="W264" s="3483">
        <f t="shared" si="22"/>
        <v>0</v>
      </c>
      <c r="X264" s="3483">
        <f t="shared" si="22"/>
        <v>0</v>
      </c>
      <c r="Y264" s="3483">
        <f>_xlfn.IFERROR(SUM(N264:X264),0)</f>
        <v>0</v>
      </c>
      <c r="Z264" s="3483">
        <f t="shared" si="22"/>
        <v>0</v>
      </c>
      <c r="AA264" s="3483">
        <f t="shared" si="22"/>
        <v>0</v>
      </c>
      <c r="AB264" s="3483">
        <f t="shared" si="22"/>
        <v>0</v>
      </c>
      <c r="AC264" s="3474"/>
      <c r="AD264" s="3414"/>
      <c r="AE264" s="3414"/>
      <c r="AF264" s="3414"/>
      <c r="AG264" s="3413"/>
      <c r="AH264" s="3409"/>
      <c r="AI264" s="3409"/>
      <c r="AJ264" s="3409"/>
      <c r="AK264" s="3415"/>
      <c r="AL264" s="3183"/>
      <c r="AM264" s="3183"/>
      <c r="AN264" s="6"/>
      <c r="AO264" s="6"/>
      <c r="AP264" s="6"/>
      <c r="AQ264" s="6"/>
      <c r="AR264" s="6"/>
    </row>
    <row r="265" ht="15.75" customHeight="1">
      <c r="A265" s="6"/>
      <c r="B265" s="3183"/>
      <c r="C265" s="3419"/>
      <c r="D265" s="3409"/>
      <c r="E265" s="3409"/>
      <c r="F265" s="3409"/>
      <c r="G265" s="3409"/>
      <c r="H265" s="3409"/>
      <c r="I265" s="3470"/>
      <c r="J265" s="3471"/>
      <c r="K265" s="3471"/>
      <c r="L265" s="3472"/>
      <c r="M265" s="3474"/>
      <c r="N265" s="3472"/>
      <c r="O265" s="3472"/>
      <c r="P265" s="3472"/>
      <c r="Q265" s="3472"/>
      <c r="R265" s="3472"/>
      <c r="S265" s="3472"/>
      <c r="T265" s="3472"/>
      <c r="U265" s="3472"/>
      <c r="V265" s="3472"/>
      <c r="W265" s="3472"/>
      <c r="X265" s="3472"/>
      <c r="Y265" s="3472"/>
      <c r="Z265" s="3472"/>
      <c r="AA265" s="3498"/>
      <c r="AB265" s="3474"/>
      <c r="AC265" s="3474"/>
      <c r="AD265" s="3414"/>
      <c r="AE265" s="3414"/>
      <c r="AF265" s="3414"/>
      <c r="AG265" s="3413"/>
      <c r="AH265" s="3409"/>
      <c r="AI265" s="3409"/>
      <c r="AJ265" s="3409"/>
      <c r="AK265" s="3415"/>
      <c r="AL265" s="3183"/>
      <c r="AM265" s="3183"/>
      <c r="AN265" s="6"/>
      <c r="AO265" s="6"/>
      <c r="AP265" s="6"/>
      <c r="AQ265" s="6"/>
      <c r="AR265" s="6"/>
    </row>
    <row r="266" ht="15.75" customHeight="1">
      <c r="B266" s="3487" t="s">
        <v>3130</v>
      </c>
      <c r="C266" s="3488" t="str">
        <f t="shared" si="14"/>
        <v>XXXX</v>
      </c>
      <c r="D266" s="3489" t="str">
        <f t="shared" si="14"/>
        <v>City</v>
      </c>
      <c r="E266" s="3489">
        <f t="shared" si="14"/>
      </c>
      <c r="F266" s="3489" t="str">
        <f t="shared" si="14"/>
        <v>XX</v>
      </c>
      <c r="G266" s="3489"/>
      <c r="H266" s="3489"/>
      <c r="I266" s="3490" t="str">
        <f t="shared" si="14"/>
        <v>XXXX</v>
      </c>
      <c r="J266" s="3491">
        <f t="shared" si="14"/>
        <v>85</v>
      </c>
      <c r="K266" s="3491"/>
      <c r="L266" s="3492">
        <f>L217</f>
        <v>13056.917647058823</v>
      </c>
      <c r="M266" s="3493">
        <f t="shared" si="14"/>
        <v>0.035</v>
      </c>
      <c r="N266" s="3492">
        <f t="shared" si="14"/>
        <v>456.9921176470588</v>
      </c>
      <c r="O266" s="3494">
        <f t="shared" si="14"/>
        <v>601.3261176470588</v>
      </c>
      <c r="P266" s="3494">
        <f t="shared" si="14"/>
        <v>222.79505882352944</v>
      </c>
      <c r="Q266" s="3494">
        <f t="shared" si="14"/>
        <v>2646.1911764705883</v>
      </c>
      <c r="R266" s="3492">
        <f t="shared" si="14"/>
        <v>5794.040823529412</v>
      </c>
      <c r="S266" s="3492">
        <f t="shared" si="14"/>
        <v>2154.0208235294117</v>
      </c>
      <c r="T266" s="3492">
        <f t="shared" si="14"/>
        <v>1383.5202352941176</v>
      </c>
      <c r="U266" s="3492">
        <f t="shared" si="14"/>
        <v>4656.072588235294</v>
      </c>
      <c r="V266" s="3492">
        <f t="shared" si="14"/>
        <v>2945.715176470588</v>
      </c>
      <c r="W266" s="3492">
        <f t="shared" si="14"/>
        <v>12192.74011764706</v>
      </c>
      <c r="X266" s="3492">
        <f t="shared" si="14"/>
        <v>250</v>
      </c>
      <c r="Y266" s="3492">
        <f t="shared" si="14"/>
        <v>33303.41423529412</v>
      </c>
      <c r="Z266" s="3492">
        <f t="shared" si="14"/>
        <v>20860.67411764706</v>
      </c>
      <c r="AA266" s="3492">
        <f t="shared" si="23" ref="AA266:AB266">AA234</f>
        <v>10450.113411764705</v>
      </c>
      <c r="AB266" s="3527">
        <f t="shared" si="23"/>
        <v>13920.42576470588</v>
      </c>
      <c r="AC266" s="2751"/>
      <c r="AD266" s="3547"/>
      <c r="AE266" s="3547"/>
      <c r="AF266" s="3547"/>
      <c r="AG266" s="3548"/>
      <c r="AH266" s="2663"/>
      <c r="AI266" s="2663"/>
      <c r="AJ266" s="2663"/>
      <c r="AK266" s="2694"/>
      <c r="AL266" s="2649"/>
      <c r="AM266" s="2649"/>
      <c r="AN266" s="6"/>
      <c r="AO266" s="6"/>
      <c r="AP266" s="6"/>
      <c r="AQ266" s="6"/>
      <c r="AR266" s="6"/>
    </row>
    <row r="267" ht="15" customHeight="1">
      <c r="A267" s="6"/>
      <c r="B267" s="6"/>
      <c r="C267" s="6"/>
      <c r="D267" s="6"/>
      <c r="E267" s="6"/>
      <c r="F267" s="6"/>
      <c r="G267" s="6"/>
      <c r="H267" s="6"/>
      <c r="I267" s="5"/>
      <c r="J267" s="5"/>
      <c r="K267" s="5"/>
      <c r="L267" s="5"/>
      <c r="M267" s="5"/>
      <c r="N267" s="5"/>
      <c r="O267" s="5"/>
      <c r="P267" s="2581"/>
      <c r="Q267" s="2581"/>
      <c r="R267" s="2581"/>
      <c r="S267" s="5"/>
      <c r="T267" s="5"/>
      <c r="U267" s="5"/>
      <c r="V267" s="5"/>
      <c r="W267" s="5"/>
      <c r="X267" s="5"/>
      <c r="Y267" s="5"/>
      <c r="Z267" s="5"/>
      <c r="AA267" s="5"/>
      <c r="AB267" s="5"/>
      <c r="AC267" s="5"/>
      <c r="AD267" s="6"/>
      <c r="AE267" s="6"/>
      <c r="AF267" s="6"/>
      <c r="AG267" s="6"/>
      <c r="AH267" s="6"/>
      <c r="AI267" s="6"/>
      <c r="AJ267" s="6"/>
      <c r="AK267" s="3394"/>
      <c r="AL267" s="6"/>
      <c r="AM267" s="6"/>
      <c r="AN267" s="6"/>
      <c r="AO267" s="6"/>
      <c r="AP267" s="6"/>
      <c r="AQ267" s="6"/>
      <c r="AR267" s="6"/>
    </row>
    <row r="268" ht="15" customHeight="1">
      <c r="A268" s="6"/>
      <c r="B268" s="6"/>
      <c r="C268" s="6"/>
      <c r="D268" s="6"/>
      <c r="E268" s="6"/>
      <c r="F268" s="6"/>
      <c r="G268" s="6"/>
      <c r="H268" s="6"/>
      <c r="I268" s="5"/>
      <c r="J268" s="5"/>
      <c r="K268" s="5"/>
      <c r="L268" s="5"/>
      <c r="M268" s="5"/>
      <c r="N268" s="5"/>
      <c r="O268" s="2581"/>
      <c r="P268" s="2581"/>
      <c r="Q268" s="2581"/>
      <c r="R268" s="5"/>
      <c r="S268" s="5"/>
      <c r="T268" s="5"/>
      <c r="U268" s="5"/>
      <c r="V268" s="5"/>
      <c r="W268" s="5"/>
      <c r="X268" s="5"/>
      <c r="Y268" s="5"/>
      <c r="Z268" s="5"/>
      <c r="AA268" s="5"/>
      <c r="AB268" s="5"/>
      <c r="AC268" s="5"/>
      <c r="AD268" s="6"/>
      <c r="AE268" s="6"/>
      <c r="AF268" s="6"/>
      <c r="AG268" s="6"/>
      <c r="AH268" s="6"/>
      <c r="AI268" s="6"/>
      <c r="AJ268" s="6"/>
      <c r="AK268" s="3394"/>
      <c r="AL268" s="6"/>
      <c r="AM268" s="6"/>
      <c r="AN268" s="6"/>
      <c r="AO268" s="6"/>
      <c r="AP268" s="6"/>
      <c r="AQ268" s="6"/>
      <c r="AR268" s="6"/>
    </row>
    <row r="269" ht="15" customHeight="1">
      <c r="A269" s="6"/>
      <c r="B269" s="6"/>
      <c r="C269" s="6"/>
      <c r="D269" s="6"/>
      <c r="E269" s="6"/>
      <c r="F269" s="6"/>
      <c r="G269" s="6"/>
      <c r="H269" s="5"/>
      <c r="I269" s="5"/>
      <c r="J269" s="5"/>
      <c r="K269" s="5"/>
      <c r="L269" s="5"/>
      <c r="M269" s="5"/>
      <c r="N269" s="5"/>
      <c r="O269" s="5"/>
      <c r="P269" s="5"/>
      <c r="Q269" s="5"/>
      <c r="R269" s="5"/>
      <c r="S269" s="5"/>
      <c r="T269" s="5"/>
      <c r="U269" s="5"/>
      <c r="V269" s="5"/>
      <c r="W269" s="5"/>
      <c r="X269" s="5"/>
      <c r="Y269" s="5"/>
      <c r="Z269" s="5"/>
      <c r="AA269" s="5"/>
      <c r="AB269" s="5"/>
      <c r="AC269" s="6"/>
      <c r="AD269" s="6"/>
      <c r="AE269" s="6"/>
      <c r="AF269" s="6"/>
      <c r="AG269" s="6"/>
      <c r="AH269" s="6"/>
      <c r="AI269" s="6"/>
      <c r="AJ269" s="6"/>
      <c r="AK269" s="3394"/>
      <c r="AL269" s="6"/>
      <c r="AM269" s="6"/>
      <c r="AN269" s="6"/>
      <c r="AO269" s="6"/>
      <c r="AP269" s="6"/>
      <c r="AQ269" s="6"/>
    </row>
    <row r="270" ht="14.25" customHeight="1" hidden="1">
      <c r="H270" s="2824"/>
      <c r="I270" s="2824"/>
      <c r="J270" s="2824"/>
      <c r="K270" s="2824"/>
      <c r="L270" s="2824"/>
      <c r="M270" s="2824"/>
      <c r="N270" s="2824"/>
      <c r="O270" s="2824"/>
      <c r="P270" s="2824"/>
      <c r="Q270" s="2824"/>
      <c r="R270" s="2824"/>
      <c r="S270" s="2824"/>
      <c r="T270" s="2824"/>
      <c r="U270" s="2824"/>
      <c r="V270" s="2824"/>
      <c r="W270" s="2824"/>
      <c r="X270" s="2824"/>
      <c r="Y270" s="2824"/>
      <c r="Z270" s="2824"/>
      <c r="AA270" s="2824"/>
      <c r="AB270" s="2824"/>
      <c r="AN270" s="6"/>
      <c r="AO270" s="6"/>
      <c r="AP270" s="6"/>
      <c r="AQ270" s="6"/>
    </row>
    <row r="271" ht="14.25" customHeight="1" hidden="1">
      <c r="H271" s="2824"/>
      <c r="I271" s="2824"/>
      <c r="J271" s="2824"/>
      <c r="K271" s="2824"/>
      <c r="L271" s="2824"/>
      <c r="M271" s="2824"/>
      <c r="N271" s="2824"/>
      <c r="O271" s="2824"/>
      <c r="P271" s="2824"/>
      <c r="Q271" s="2824"/>
      <c r="R271" s="2824"/>
      <c r="S271" s="2824"/>
      <c r="T271" s="2824"/>
      <c r="U271" s="2824"/>
      <c r="V271" s="2824"/>
      <c r="W271" s="2824"/>
      <c r="X271" s="2824"/>
      <c r="Y271" s="2824"/>
      <c r="Z271" s="2824"/>
      <c r="AA271" s="2824"/>
      <c r="AB271" s="2824"/>
    </row>
    <row r="272" ht="14.25" customHeight="1" hidden="1">
      <c r="AK272" s="625"/>
    </row>
    <row r="273" ht="14.25" customHeight="1" hidden="1">
      <c r="AK273" s="625"/>
    </row>
    <row r="274" ht="14.25" customHeight="1" hidden="1">
      <c r="AK274" s="625"/>
    </row>
    <row r="275" ht="14.25" customHeight="1" hidden="1">
      <c r="AK275" s="625"/>
    </row>
    <row r="276" ht="14.25" customHeight="1" hidden="1">
      <c r="AK276" s="625"/>
    </row>
    <row r="277" ht="14.25" customHeight="1" hidden="1">
      <c r="AK277" s="625"/>
    </row>
    <row r="278" ht="14.25" customHeight="1" hidden="1">
      <c r="AK278" s="625"/>
    </row>
    <row r="279" ht="14.25" customHeight="1" hidden="1">
      <c r="AK279" s="625"/>
    </row>
    <row r="280" ht="14.25" customHeight="1" hidden="1">
      <c r="AK280" s="625"/>
    </row>
    <row r="281" ht="14.25" customHeight="1" hidden="1">
      <c r="AK281" s="625"/>
    </row>
  </sheetData>
  <mergeCells>
    <mergeCell ref="L10:Z10"/>
    <mergeCell ref="AB10:AC10"/>
    <mergeCell ref="AH10:AO10"/>
    <mergeCell ref="L220:AB220"/>
    <mergeCell ref="L256:AB256"/>
    <mergeCell ref="L238:AB238"/>
  </mergeCells>
  <hyperlinks>
    <hyperlink ref="B3" r:id="rId1" display="Enodo Expense Comps"/>
  </hyperlinks>
  <printOptions horizontalCentered="1"/>
  <pageMargins left="0.25" right="0.25" top="0.25" bottom="0.25" header="0.3" footer="0.3"/>
  <pageSetup useFirstPageNumber="1" fitToHeight="1" fitToWidth="1" paperSize="5" firstPageNumber="1" scale="41" pageOrder="downThenOver" orientation="landscape"/>
  <headerFooter>
    <oddHeader>&amp;L&amp;C&amp;R</oddHeader>
    <oddFooter>&amp;L&amp;C&amp;R</oddFooter>
  </headerFooter>
  <drawing r:id="rId6"/>
  <legacyDrawing r:id="rId7"/>
  <mc:AlternateContent xmlns:mc="http://schemas.openxmlformats.org/markup-compatibility/2006">
    <mc:Choice Requires="x14">
      <controls>
        <mc:AlternateContent xmlns:mc="http://schemas.openxmlformats.org/markup-compatibility/2006">
          <mc:Choice Requires="x14">
            <control shapeId="1433601" name="button_UpdateExpenseComps" r:id="rId8">
              <controlPr defaultSize="0" autoPict="0" print="0">
                <anchor moveWithCells="1" sizeWithCells="1">
                  <from>
                    <xdr:col>4</xdr:col>
                    <xdr:colOff>63532</xdr:colOff>
                    <xdr:row>1</xdr:row>
                    <xdr:rowOff>88868</xdr:rowOff>
                  </from>
                  <to>
                    <xdr:col>4</xdr:col>
                    <xdr:colOff>1587532</xdr:colOff>
                    <xdr:row>3</xdr:row>
                    <xdr:rowOff>101632</xdr:rowOff>
                  </to>
                </anchor>
              </controlPr>
            </control>
          </mc:Choice>
        </mc:AlternateContent>
      </controls>
    </mc:Choice>
  </mc:AlternateContent>
  <tableParts count="4">
    <tablePart r:id="rId2"/>
    <tablePart r:id="rId3"/>
    <tablePart r:id="rId4"/>
    <tablePart r:id="rId5"/>
  </tableParts>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469EFE24-1F03-AE83-4BF4-9B92123F9DD8}" mc:Ignorable="x14ac xr xr2 xr3">
  <sheetPr>
    <pageSetUpPr fitToPage="1"/>
  </sheetPr>
  <dimension ref="A1:FS377"/>
  <sheetViews>
    <sheetView showGridLines="0" topLeftCell="C1" zoomScale="90" workbookViewId="0">
      <selection activeCell="K155" sqref="K155"/>
    </sheetView>
  </sheetViews>
  <sheetFormatPr defaultRowHeight="14.497499999999997" defaultColWidth="9.57421875" customHeight="1"/>
  <cols>
    <col min="1" max="1" style="1048" width="17.57421875" hidden="1" customWidth="1"/>
    <col min="2" max="2" style="1048" width="9.57421875" hidden="1" customWidth="1"/>
    <col min="3" max="3" style="632" width="2.8515625" customWidth="1"/>
    <col min="4" max="4" style="716" width="10.7109375" customWidth="1"/>
    <col min="5" max="5" style="716" width="11.140625" customWidth="1"/>
    <col min="6" max="6" style="716" width="12.00390625" customWidth="1"/>
    <col min="7" max="8" style="716" width="11.28125" customWidth="1"/>
    <col min="9" max="9" style="716" width="11.00390625" customWidth="1"/>
    <col min="10" max="10" style="716" width="10.57421875" customWidth="1"/>
    <col min="11" max="11" style="716" width="11.57421875" customWidth="1"/>
    <col min="12" max="14" style="716" width="12.57421875" customWidth="1"/>
    <col min="15" max="15" style="716" width="16.57421875" customWidth="1"/>
    <col min="16" max="16" style="716" width="11.57421875" customWidth="1"/>
    <col min="17" max="17" style="716" width="9.57421875" customWidth="1"/>
    <col min="18" max="18" style="716" width="14.57421875" customWidth="1"/>
    <col min="19" max="19" style="716" width="17.8515625" customWidth="1"/>
    <col min="20" max="20" style="716" width="9.57421875" customWidth="1"/>
    <col min="21" max="21" style="740" width="11.57421875" customWidth="1"/>
    <col min="22" max="175" style="716" width="9.57421875" customWidth="1"/>
  </cols>
  <sheetData>
    <row r="1" ht="6.75" customHeight="1">
      <c r="D1" s="632"/>
      <c r="E1" s="632"/>
      <c r="F1" s="632"/>
      <c r="G1" s="632"/>
      <c r="H1" s="632"/>
      <c r="I1" s="632"/>
      <c r="J1" s="632"/>
      <c r="K1" s="632"/>
      <c r="L1" s="632"/>
      <c r="M1" s="632"/>
      <c r="N1" s="632"/>
      <c r="O1" s="632"/>
      <c r="P1" s="632"/>
      <c r="Q1" s="632"/>
      <c r="R1" s="632"/>
      <c r="S1" s="632"/>
    </row>
    <row r="2" ht="14.25" customHeight="1">
      <c r="D2" s="632"/>
      <c r="E2" s="3583" t="str">
        <f>PropertyName_DataPageTab&amp;" - Unit Mix"</f>
        <v>XXXX - Unit Mix</v>
      </c>
      <c r="F2" s="3583"/>
      <c r="G2" s="3583"/>
      <c r="H2" s="632"/>
      <c r="I2" s="632"/>
      <c r="J2" s="632"/>
      <c r="K2" s="632"/>
      <c r="L2" s="632"/>
      <c r="M2" s="632"/>
      <c r="N2" s="632"/>
      <c r="O2" s="632"/>
      <c r="P2" s="632"/>
      <c r="Q2" s="632"/>
      <c r="R2" s="632"/>
      <c r="S2" s="632"/>
    </row>
    <row r="3" ht="6.75" customHeight="1">
      <c r="D3" s="632"/>
      <c r="E3" s="3583"/>
      <c r="F3" s="3583"/>
      <c r="G3" s="3583"/>
      <c r="H3" s="632"/>
      <c r="I3" s="632"/>
      <c r="J3" s="632"/>
      <c r="K3" s="632"/>
      <c r="L3" s="632"/>
      <c r="M3" s="632"/>
      <c r="N3" s="632"/>
      <c r="O3" s="632"/>
      <c r="P3" s="632"/>
      <c r="Q3" s="632"/>
      <c r="R3" s="632"/>
      <c r="S3" s="632"/>
    </row>
    <row r="4" ht="12.75" customHeight="1">
      <c r="A4" s="1048" t="s">
        <v>3135</v>
      </c>
      <c r="B4" s="1048" t="b">
        <f>AND(E149=E173,E149=E176)</f>
        <v>0</v>
      </c>
      <c r="D4" s="632"/>
      <c r="E4" s="642" cm="1" t="str">
        <f t="array" ref="E4">IF(NOT(UnitMix_HasUnitCountsMatch),"Warning - Unit Counts for DataPage and Unit Counts for Rent Comps don't match","Counts Match")</f>
        <v>Warning - Unit Counts for DataPage and Unit Counts for Rent Comps don't match</v>
      </c>
      <c r="F4" s="642"/>
      <c r="G4" s="642"/>
      <c r="H4" s="642"/>
      <c r="I4" s="642"/>
      <c r="J4" s="642"/>
      <c r="K4" s="642"/>
      <c r="L4" s="642"/>
      <c r="M4" s="642"/>
      <c r="N4" s="632"/>
      <c r="O4" s="632"/>
      <c r="P4" s="632"/>
      <c r="Q4" s="632"/>
      <c r="R4" s="632"/>
      <c r="S4" s="632"/>
    </row>
    <row r="5" ht="8.25" customHeight="1">
      <c r="D5" s="632"/>
      <c r="E5" s="632"/>
      <c r="F5" s="632"/>
      <c r="G5" s="632"/>
      <c r="H5" s="632"/>
      <c r="I5" s="632"/>
      <c r="J5" s="632"/>
      <c r="K5" s="632"/>
      <c r="L5" s="632"/>
      <c r="M5" s="632"/>
      <c r="N5" s="632"/>
      <c r="O5" s="632"/>
      <c r="P5" s="632"/>
      <c r="Q5" s="632"/>
      <c r="R5" s="632"/>
      <c r="S5" s="632"/>
    </row>
    <row r="6" ht="14.25" customHeight="1">
      <c r="D6" s="3584" t="s">
        <v>2669</v>
      </c>
      <c r="E6" s="3585" t="s">
        <v>223</v>
      </c>
      <c r="F6" s="3586" t="s">
        <v>3137</v>
      </c>
      <c r="G6" s="3587" t="s">
        <v>3138</v>
      </c>
      <c r="H6" s="3587" t="s">
        <v>3139</v>
      </c>
      <c r="I6" s="3588" t="s">
        <v>3140</v>
      </c>
      <c r="J6" s="3585" t="s">
        <v>3141</v>
      </c>
      <c r="K6" s="3587" t="s">
        <v>3142</v>
      </c>
      <c r="L6" s="3587" t="s">
        <v>3143</v>
      </c>
      <c r="M6" s="3587" t="s">
        <v>3144</v>
      </c>
      <c r="N6" s="3587" t="s">
        <v>3145</v>
      </c>
      <c r="O6" s="3587" t="s">
        <v>3146</v>
      </c>
      <c r="P6" s="3587" t="s">
        <v>3147</v>
      </c>
      <c r="Q6" s="3587" t="s">
        <v>3148</v>
      </c>
      <c r="R6" s="3588" t="s">
        <v>3149</v>
      </c>
      <c r="S6" s="3584" t="s">
        <v>3150</v>
      </c>
    </row>
    <row r="7" ht="14.25" customHeight="1">
      <c r="D7" s="3589"/>
      <c r="E7" s="3590"/>
      <c r="F7" s="3591"/>
      <c r="G7" s="3592"/>
      <c r="H7" s="3592"/>
      <c r="I7" s="3593"/>
      <c r="J7" s="3590"/>
      <c r="K7" s="3592"/>
      <c r="L7" s="3592"/>
      <c r="M7" s="3592"/>
      <c r="N7" s="3592"/>
      <c r="O7" s="3592"/>
      <c r="P7" s="3592"/>
      <c r="Q7" s="3592"/>
      <c r="R7" s="3593"/>
      <c r="S7" s="3589"/>
    </row>
    <row r="8" ht="14.25" customHeight="1">
      <c r="A8" s="3594" t="s">
        <v>3151</v>
      </c>
      <c r="B8" s="1048" t="s">
        <v>3152</v>
      </c>
      <c r="D8" s="3595"/>
      <c r="E8" s="3596"/>
      <c r="F8" s="3597"/>
      <c r="G8" s="3598"/>
      <c r="H8" s="3598"/>
      <c r="I8" s="3599"/>
      <c r="J8" s="3596"/>
      <c r="K8" s="3598"/>
      <c r="L8" s="3598"/>
      <c r="M8" s="3598"/>
      <c r="N8" s="3598"/>
      <c r="O8" s="3598"/>
      <c r="P8" s="3598"/>
      <c r="Q8" s="3598"/>
      <c r="R8" s="3599"/>
      <c r="S8" s="3589"/>
      <c r="W8" s="3600"/>
      <c r="X8" s="3600"/>
      <c r="Y8" s="3600"/>
      <c r="Z8" s="3600"/>
      <c r="AA8" s="3600"/>
      <c r="AB8" s="3600"/>
      <c r="AC8" s="3600"/>
      <c r="AD8" s="3600"/>
      <c r="AE8" s="3600"/>
      <c r="AF8" s="3600"/>
      <c r="AG8" s="3600"/>
      <c r="AH8" s="3600"/>
      <c r="AI8" s="3600"/>
      <c r="AJ8" s="3600"/>
      <c r="AK8" s="3600"/>
      <c r="AL8" s="3600"/>
      <c r="AM8" s="3600"/>
      <c r="AN8" s="3600"/>
      <c r="AO8" s="3600"/>
      <c r="AP8" s="3600"/>
      <c r="AQ8" s="3600"/>
      <c r="AR8" s="3600"/>
      <c r="AS8" s="3600"/>
      <c r="AT8" s="3600"/>
      <c r="AU8" s="3600"/>
      <c r="AV8" s="3600"/>
      <c r="AW8" s="3600"/>
      <c r="AX8" s="3600"/>
      <c r="AY8" s="3600"/>
      <c r="AZ8" s="3600"/>
      <c r="BA8" s="3600"/>
      <c r="BB8" s="3600"/>
      <c r="BC8" s="3600"/>
      <c r="BD8" s="3600"/>
      <c r="BE8" s="3600"/>
      <c r="BF8" s="3600"/>
      <c r="BG8" s="3600"/>
      <c r="BH8" s="3600"/>
      <c r="BI8" s="3600"/>
      <c r="BJ8" s="3600"/>
      <c r="BK8" s="3600"/>
      <c r="BL8" s="3600"/>
      <c r="BM8" s="3600"/>
      <c r="BN8" s="3600"/>
      <c r="BO8" s="3600"/>
      <c r="BP8" s="3600"/>
      <c r="BQ8" s="3600"/>
      <c r="BR8" s="3600"/>
      <c r="BS8" s="3600"/>
      <c r="BT8" s="3600"/>
      <c r="BU8" s="3600"/>
      <c r="BV8" s="3600"/>
      <c r="BW8" s="3600"/>
      <c r="BX8" s="3600"/>
      <c r="BY8" s="3600"/>
      <c r="BZ8" s="3600"/>
      <c r="CA8" s="3600"/>
      <c r="CB8" s="3600"/>
      <c r="CC8" s="3600"/>
      <c r="CD8" s="3600"/>
      <c r="CE8" s="3600"/>
      <c r="CF8" s="3600"/>
      <c r="CG8" s="3600"/>
      <c r="CH8" s="3600"/>
      <c r="CI8" s="3600"/>
      <c r="CJ8" s="3600"/>
      <c r="CK8" s="3600"/>
      <c r="CL8" s="3600"/>
      <c r="CM8" s="3600"/>
      <c r="CN8" s="3600"/>
      <c r="CO8" s="3600"/>
      <c r="CP8" s="3600"/>
      <c r="CQ8" s="3600"/>
      <c r="CR8" s="3600"/>
      <c r="CS8" s="3600"/>
      <c r="CT8" s="3600"/>
      <c r="CU8" s="3600"/>
      <c r="CV8" s="3600"/>
      <c r="CW8" s="3600"/>
      <c r="CX8" s="3600"/>
      <c r="CY8" s="3600"/>
      <c r="CZ8" s="3600"/>
      <c r="DA8" s="3600"/>
      <c r="DB8" s="3600"/>
      <c r="DC8" s="3600"/>
      <c r="DD8" s="3600"/>
      <c r="DE8" s="3600"/>
      <c r="DF8" s="3600"/>
      <c r="DG8" s="3600"/>
      <c r="DH8" s="3600"/>
      <c r="DI8" s="3600"/>
      <c r="DJ8" s="3600"/>
      <c r="DK8" s="3600"/>
      <c r="DL8" s="3600"/>
      <c r="DM8" s="3600"/>
      <c r="DN8" s="3600"/>
      <c r="DO8" s="3600"/>
      <c r="DP8" s="3600"/>
      <c r="DQ8" s="3600"/>
      <c r="DR8" s="3600"/>
      <c r="DS8" s="3600"/>
      <c r="DT8" s="3600"/>
      <c r="DU8" s="3600"/>
      <c r="DV8" s="3600"/>
      <c r="DW8" s="3600"/>
      <c r="DX8" s="3600"/>
      <c r="DY8" s="3600"/>
      <c r="DZ8" s="3600"/>
      <c r="EA8" s="3600"/>
      <c r="EB8" s="3600"/>
      <c r="EC8" s="3600"/>
      <c r="ED8" s="3600"/>
      <c r="EE8" s="3600"/>
      <c r="EF8" s="3600"/>
      <c r="EG8" s="3600"/>
      <c r="EH8" s="3600"/>
      <c r="EI8" s="3600"/>
      <c r="EJ8" s="3600"/>
      <c r="EK8" s="3600"/>
      <c r="EL8" s="3600"/>
      <c r="EM8" s="3600"/>
      <c r="EN8" s="3600"/>
      <c r="EO8" s="3600"/>
      <c r="EP8" s="3600"/>
      <c r="EQ8" s="3600"/>
      <c r="ER8" s="3600"/>
      <c r="ES8" s="3600"/>
      <c r="ET8" s="3600"/>
      <c r="EU8" s="3600"/>
      <c r="EV8" s="3600"/>
      <c r="EW8" s="3600"/>
      <c r="EX8" s="3600"/>
      <c r="EY8" s="3600"/>
      <c r="EZ8" s="3600"/>
      <c r="FA8" s="3600"/>
      <c r="FB8" s="3600"/>
      <c r="FC8" s="3600"/>
      <c r="FD8" s="3600"/>
      <c r="FE8" s="3600"/>
      <c r="FF8" s="3600"/>
      <c r="FG8" s="3600"/>
      <c r="FH8" s="3600"/>
      <c r="FI8" s="3600"/>
      <c r="FJ8" s="3600"/>
      <c r="FK8" s="3600"/>
      <c r="FL8" s="3600"/>
      <c r="FM8" s="3600"/>
      <c r="FN8" s="3600"/>
      <c r="FO8" s="3600"/>
      <c r="FP8" s="3600"/>
      <c r="FQ8" s="3600"/>
      <c r="FR8" s="3600"/>
      <c r="FS8" s="3600"/>
    </row>
    <row r="9" ht="14.25" customHeight="1">
      <c r="A9" s="3594" t="s">
        <v>2543</v>
      </c>
      <c r="B9" s="3594" t="s">
        <v>2547</v>
      </c>
      <c r="D9" s="3601" t="str">
        <f t="shared" si="0" ref="D9:D148">IF(G9&amp;"/"&amp;H9="N/A/N/A","N/A",G9&amp;"/"&amp;H9)</f>
        <v>1/0</v>
      </c>
      <c r="E9" s="3602" cm="1">
        <f t="array" ref="E9">SUMPRODUCT((--EXACT(S9,'Rent Roll'!$G$24:$G$125)))</f>
        <v>32</v>
      </c>
      <c r="F9" s="3603">
        <f t="shared" si="1" ref="F9:F148">_xlfn.IFERROR(E9/$E$149,0)</f>
        <v>0.31683168316831684</v>
      </c>
      <c r="G9" s="3604">
        <f>IF('Rent Roll'!Q17="# Bedrooms","N/A",'Rent Roll'!Q$17)</f>
        <v>1</v>
      </c>
      <c r="H9" s="3605">
        <f>IF('Rent Roll'!Q$18="# Baths","N/A",'Rent Roll'!Q$18)</f>
        <v>0</v>
      </c>
      <c r="I9" s="3606">
        <f>IF('Rent Roll'!$Q$22="Square Footage","N/A",'Rent Roll'!$Q$22)</f>
        <v>704</v>
      </c>
      <c r="J9" s="3607">
        <f>IF('Rent Roll'!Q$21="Market Rent","N/A",'Rent Roll'!Q$21)</f>
        <v>1159</v>
      </c>
      <c r="K9" s="3608">
        <f t="shared" si="2" ref="K9:K149">_xlfn.IFERROR(J9/I9,0)</f>
        <v>1.6463068181818181</v>
      </c>
      <c r="L9" s="3609">
        <f>'Rent Roll'!Q$126</f>
        <v>36220</v>
      </c>
      <c r="M9" s="3609">
        <f>'Rent Roll'!Q$130</f>
        <v>1131.875</v>
      </c>
      <c r="N9" s="3609">
        <f>IF('Rent Roll'!Q$126=0,"N/A",('Rent Roll'!Q$126-SUMIF('Rent Roll'!$G$24:$G$125,'Rent Roll'!Q$20,'Rent Roll'!$K$24:$K$125))/($E9-$Q9))</f>
        <v>1131.875</v>
      </c>
      <c r="O9" s="3608">
        <f t="shared" si="3" ref="O9:O148">_xlfn.IFERROR(M9/I9,0)</f>
        <v>1.6077769886363635</v>
      </c>
      <c r="P9" s="3610">
        <f t="shared" si="4" ref="P9:P148">E9-Q9</f>
        <v>32</v>
      </c>
      <c r="Q9" s="3611">
        <f>'Rent Roll'!Q$128</f>
        <v>0</v>
      </c>
      <c r="R9" s="3612">
        <f t="shared" si="5" ref="R9:R149">_xlfn.IFERROR(Q9/E9,0)</f>
        <v>0</v>
      </c>
      <c r="S9" s="3613" t="str">
        <f>'Rent Roll'!$Q$20</f>
        <v>1 BR</v>
      </c>
      <c r="X9" s="3600"/>
      <c r="Y9" s="3600"/>
      <c r="Z9" s="3600"/>
    </row>
    <row r="10" ht="14.25" customHeight="1">
      <c r="A10" s="3594" t="s">
        <v>2544</v>
      </c>
      <c r="B10" s="3594" t="str">
        <f t="shared" si="6" ref="B10:B148">IF(E10&gt;0,"S","H")</f>
        <v>S</v>
      </c>
      <c r="D10" s="3601" t="str">
        <f t="shared" si="0"/>
        <v>0/0</v>
      </c>
      <c r="E10" s="3602" cm="1">
        <f t="array" ref="E10">SUMPRODUCT((--EXACT(S10,'Rent Roll'!$G$24:$G$125)))</f>
        <v>28</v>
      </c>
      <c r="F10" s="3603">
        <f t="shared" si="1"/>
        <v>0.27722772277227725</v>
      </c>
      <c r="G10" s="3604">
        <f>IF('Rent Roll'!R$17="# Bedrooms","N/A",'Rent Roll'!R$17)</f>
        <v>0</v>
      </c>
      <c r="H10" s="3605">
        <f>IF('Rent Roll'!R$18="# Baths","N/A",'Rent Roll'!R$18)</f>
        <v>0</v>
      </c>
      <c r="I10" s="3606">
        <f>IF('Rent Roll'!$R$22="Square Footage","N/A",'Rent Roll'!$R$22)</f>
        <v>800</v>
      </c>
      <c r="J10" s="3607">
        <f>IF('Rent Roll'!R$21="Market Rent","N/A",'Rent Roll'!R$21)</f>
        <v>1217</v>
      </c>
      <c r="K10" s="3608">
        <f t="shared" si="2"/>
        <v>1.52125</v>
      </c>
      <c r="L10" s="3609">
        <f>'Rent Roll'!R$126</f>
        <v>33765</v>
      </c>
      <c r="M10" s="3609">
        <f>'Rent Roll'!R$130</f>
        <v>1205.892857142857</v>
      </c>
      <c r="N10" s="3609">
        <f>IF('Rent Roll'!R$126=0,"N/A",('Rent Roll'!R$126-SUMIF('Rent Roll'!$G$24:$G$125,'Rent Roll'!R$20,'Rent Roll'!$K$24:$K$125))/($E10-$Q10))</f>
        <v>1205.892857142857</v>
      </c>
      <c r="O10" s="3608">
        <f t="shared" si="3"/>
        <v>1.5073660714285715</v>
      </c>
      <c r="P10" s="3610">
        <f t="shared" si="4"/>
        <v>28</v>
      </c>
      <c r="Q10" s="3611">
        <f>'Rent Roll'!R$128</f>
        <v>0</v>
      </c>
      <c r="R10" s="3612">
        <f t="shared" si="5"/>
        <v>0</v>
      </c>
      <c r="S10" s="3614" t="str">
        <f>'Rent Roll'!$R$20</f>
        <v>1 TH</v>
      </c>
    </row>
    <row r="11" ht="14.25" customHeight="1">
      <c r="A11" s="3594" t="s">
        <v>2545</v>
      </c>
      <c r="B11" s="3594" t="str">
        <f t="shared" si="6"/>
        <v>S</v>
      </c>
      <c r="D11" s="3601" t="str">
        <f t="shared" si="0"/>
        <v>2/0</v>
      </c>
      <c r="E11" s="3602" cm="1">
        <f t="array" ref="E11">SUMPRODUCT((--EXACT(S11,'Rent Roll'!$G$24:$G$125)))</f>
        <v>16</v>
      </c>
      <c r="F11" s="3603">
        <f t="shared" si="1"/>
        <v>0.15841584158415842</v>
      </c>
      <c r="G11" s="3604">
        <f>IF('Rent Roll'!S$17="# Bedrooms","N/A",'Rent Roll'!S$17)</f>
        <v>2</v>
      </c>
      <c r="H11" s="3605">
        <f>IF('Rent Roll'!S$18="# Baths","N/A",'Rent Roll'!S$18)</f>
        <v>0</v>
      </c>
      <c r="I11" s="3606">
        <f>IF('Rent Roll'!$S$22="Square Footage","N/A",'Rent Roll'!$S$22)</f>
        <v>851</v>
      </c>
      <c r="J11" s="3607">
        <f>IF('Rent Roll'!S$21="Market Rent","N/A",'Rent Roll'!S$21)</f>
        <v>1410</v>
      </c>
      <c r="K11" s="3608">
        <f t="shared" si="2"/>
        <v>1.6568742655699178</v>
      </c>
      <c r="L11" s="3609">
        <f>'Rent Roll'!S$126</f>
        <v>20467</v>
      </c>
      <c r="M11" s="3609">
        <f>'Rent Roll'!S$130</f>
        <v>1364.4666666666667</v>
      </c>
      <c r="N11" s="3609">
        <f>IF('Rent Roll'!S$126=0,"N/A",('Rent Roll'!S$126-SUMIF('Rent Roll'!$G$24:$G$125,'Rent Roll'!S$20,'Rent Roll'!$K$24:$K$125))/($E11-$Q11))</f>
        <v>1364.4666666666667</v>
      </c>
      <c r="O11" s="3608">
        <f t="shared" si="3"/>
        <v>1.6033685859772817</v>
      </c>
      <c r="P11" s="3610">
        <f t="shared" si="4"/>
        <v>15</v>
      </c>
      <c r="Q11" s="3611">
        <f>'Rent Roll'!S$128</f>
        <v>1</v>
      </c>
      <c r="R11" s="3612">
        <f t="shared" si="5"/>
        <v>0.0625</v>
      </c>
      <c r="S11" s="3614" t="str">
        <f>'Rent Roll'!$S$20</f>
        <v>2 BR</v>
      </c>
    </row>
    <row r="12" ht="15" customHeight="1">
      <c r="A12" s="3594" t="s">
        <v>2546</v>
      </c>
      <c r="B12" s="3594" t="str">
        <f t="shared" si="6"/>
        <v>S</v>
      </c>
      <c r="D12" s="3601" t="str">
        <f t="shared" si="0"/>
        <v>0/0</v>
      </c>
      <c r="E12" s="3602" cm="1">
        <f t="array" ref="E12">SUMPRODUCT((--EXACT(S12,'Rent Roll'!$G$24:$G$125)))</f>
        <v>24</v>
      </c>
      <c r="F12" s="3603">
        <f t="shared" si="1"/>
        <v>0.2376237623762376</v>
      </c>
      <c r="G12" s="3604">
        <f>IF('Rent Roll'!T$17="# Bedrooms","N/A",'Rent Roll'!T$17)</f>
        <v>0</v>
      </c>
      <c r="H12" s="3605">
        <f>IF('Rent Roll'!T$18="# Baths","N/A",'Rent Roll'!T$18)</f>
        <v>0</v>
      </c>
      <c r="I12" s="3606">
        <f>IF('Rent Roll'!$T$22="Square Footage","N/A",'Rent Roll'!$T$22)</f>
        <v>1050</v>
      </c>
      <c r="J12" s="3607">
        <f>IF('Rent Roll'!T$21="Market Rent","N/A",'Rent Roll'!T$21)</f>
        <v>1533</v>
      </c>
      <c r="K12" s="3608">
        <f t="shared" si="2"/>
        <v>1.46</v>
      </c>
      <c r="L12" s="3609">
        <f>'Rent Roll'!T$126</f>
        <v>30704</v>
      </c>
      <c r="M12" s="3609">
        <f>'Rent Roll'!T$130</f>
        <v>1535.2</v>
      </c>
      <c r="N12" s="3609">
        <f>IF('Rent Roll'!T$126=0,"N/A",('Rent Roll'!T$126-SUMIF('Rent Roll'!$G$24:$G$125,'Rent Roll'!T$20,'Rent Roll'!$K$24:$K$125))/($E12-$Q12))</f>
        <v>1535.2</v>
      </c>
      <c r="O12" s="3608">
        <f t="shared" si="3"/>
        <v>1.4620952380952381</v>
      </c>
      <c r="P12" s="3610">
        <f t="shared" si="4"/>
        <v>20</v>
      </c>
      <c r="Q12" s="3611">
        <f>'Rent Roll'!T$128</f>
        <v>4</v>
      </c>
      <c r="R12" s="3612">
        <f t="shared" si="5"/>
        <v>0.16666666666666666</v>
      </c>
      <c r="S12" s="3614" t="str">
        <f>'Rent Roll'!$T$20</f>
        <v>2 TH</v>
      </c>
    </row>
    <row r="13" ht="14.25" customHeight="1" hidden="1">
      <c r="A13" s="3594" t="s">
        <v>2547</v>
      </c>
      <c r="B13" s="3594" t="str">
        <f t="shared" si="6"/>
        <v>S</v>
      </c>
      <c r="D13" s="3601" t="str">
        <f t="shared" si="0"/>
        <v>0/0</v>
      </c>
      <c r="E13" s="3602" cm="1">
        <f t="array" ref="E13">SUMPRODUCT((--EXACT(S13,'Rent Roll'!$G$24:$G$125)))</f>
        <v>1</v>
      </c>
      <c r="F13" s="3603">
        <f t="shared" si="1"/>
        <v>0.009900990099009901</v>
      </c>
      <c r="G13" s="3604">
        <f>IF('Rent Roll'!U$17="# Bedrooms","N/A",'Rent Roll'!U$17)</f>
        <v>0</v>
      </c>
      <c r="H13" s="3605">
        <f>IF('Rent Roll'!U$18="# Baths","N/A",'Rent Roll'!U$18)</f>
        <v>0</v>
      </c>
      <c r="I13" s="3606">
        <f>IF('Rent Roll'!$U$22="Square Footage","N/A",'Rent Roll'!$U$22)</f>
        <v>1247</v>
      </c>
      <c r="J13" s="3607">
        <f>IF('Rent Roll'!U$21="Market Rent","N/A",'Rent Roll'!U$21)</f>
        <v>1081</v>
      </c>
      <c r="K13" s="3608">
        <f t="shared" si="2"/>
        <v>0.8668805132317562</v>
      </c>
      <c r="L13" s="3609">
        <f>'Rent Roll'!U$126</f>
        <v>1017</v>
      </c>
      <c r="M13" s="3609">
        <f>'Rent Roll'!U$130</f>
        <v>1017</v>
      </c>
      <c r="N13" s="3609">
        <f>IF('Rent Roll'!U$126=0,"N/A",('Rent Roll'!U$126-SUMIF('Rent Roll'!$G$24:$G$125,'Rent Roll'!U$20,'Rent Roll'!$K$24:$K$125))/($E13-$Q13))</f>
        <v>1017</v>
      </c>
      <c r="O13" s="3608">
        <f t="shared" si="3"/>
        <v>0.8155573376102646</v>
      </c>
      <c r="P13" s="3610">
        <f t="shared" si="4"/>
        <v>1</v>
      </c>
      <c r="Q13" s="3611">
        <f>'Rent Roll'!U$128</f>
        <v>0</v>
      </c>
      <c r="R13" s="3612">
        <f t="shared" si="5"/>
        <v>0</v>
      </c>
      <c r="S13" s="3614" t="str">
        <f>'Rent Roll'!$U$20</f>
        <v>1 CH</v>
      </c>
    </row>
    <row r="14" ht="14.25" customHeight="1" hidden="1">
      <c r="A14" s="3594" t="s">
        <v>2548</v>
      </c>
      <c r="B14" s="3594" t="str">
        <f t="shared" si="6"/>
        <v>H</v>
      </c>
      <c r="D14" s="3601" t="str">
        <f t="shared" si="0"/>
        <v>N/A</v>
      </c>
      <c r="E14" s="3602" cm="1">
        <f t="array" ref="E14">SUMPRODUCT((--EXACT(S14,'Rent Roll'!$G$24:$G$125)))</f>
        <v>0</v>
      </c>
      <c r="F14" s="3603">
        <f t="shared" si="1"/>
        <v>0</v>
      </c>
      <c r="G14" s="3604" t="str">
        <f>IF('Rent Roll'!V$17="# Bedrooms","N/A",'Rent Roll'!V$17)</f>
        <v>N/A</v>
      </c>
      <c r="H14" s="3605" t="str">
        <f>IF('Rent Roll'!V$18="# Baths","N/A",'Rent Roll'!V$18)</f>
        <v>N/A</v>
      </c>
      <c r="I14" s="3606" t="str">
        <f>IF('Rent Roll'!$V$22="Square Footage","N/A",'Rent Roll'!$V$22)</f>
        <v>N/A</v>
      </c>
      <c r="J14" s="3607" t="str">
        <f>IF('Rent Roll'!V$21="Market Rent","N/A",'Rent Roll'!V$21)</f>
        <v>N/A</v>
      </c>
      <c r="K14" s="3608">
        <f t="shared" si="2"/>
        <v>0</v>
      </c>
      <c r="L14" s="3609">
        <f>'Rent Roll'!V$126</f>
        <v>0</v>
      </c>
      <c r="M14" s="3609">
        <f>'Rent Roll'!V$130</f>
        <v>0</v>
      </c>
      <c r="N14" s="3609" t="str">
        <f>IF('Rent Roll'!V$126=0,"N/A",('Rent Roll'!V$126-SUMIF('Rent Roll'!$G$24:$G$125,'Rent Roll'!V$20,'Rent Roll'!$K$24:$K$125))/($E14-$Q14))</f>
        <v>N/A</v>
      </c>
      <c r="O14" s="3608">
        <f t="shared" si="3"/>
        <v>0</v>
      </c>
      <c r="P14" s="3610">
        <f t="shared" si="4"/>
        <v>0</v>
      </c>
      <c r="Q14" s="3611">
        <f>'Rent Roll'!V$128</f>
        <v>0</v>
      </c>
      <c r="R14" s="3612">
        <f t="shared" si="5"/>
        <v>0</v>
      </c>
      <c r="S14" s="3614" t="str">
        <f>'Rent Roll'!$V$20</f>
        <v>F</v>
      </c>
    </row>
    <row r="15" ht="14.25" customHeight="1" hidden="1">
      <c r="A15" s="3594" t="s">
        <v>2549</v>
      </c>
      <c r="B15" s="3594" t="str">
        <f t="shared" si="6"/>
        <v>H</v>
      </c>
      <c r="D15" s="3601" t="str">
        <f t="shared" si="0"/>
        <v>N/A</v>
      </c>
      <c r="E15" s="3602" cm="1">
        <f t="array" ref="E15">SUMPRODUCT((--EXACT(S15,'Rent Roll'!$G$24:$G$125)))</f>
        <v>0</v>
      </c>
      <c r="F15" s="3603">
        <f t="shared" si="1"/>
        <v>0</v>
      </c>
      <c r="G15" s="3604" t="str">
        <f>IF('Rent Roll'!W$17="# Bedrooms","N/A",'Rent Roll'!W$17)</f>
        <v>N/A</v>
      </c>
      <c r="H15" s="3605" t="str">
        <f>IF('Rent Roll'!W$18="# Baths","N/A",'Rent Roll'!W$18)</f>
        <v>N/A</v>
      </c>
      <c r="I15" s="3606" t="str">
        <f>IF('Rent Roll'!$W$22="Square Footage","N/A",'Rent Roll'!$W$22)</f>
        <v>N/A</v>
      </c>
      <c r="J15" s="3607" t="str">
        <f>IF('Rent Roll'!W$21="Market Rent","N/A",'Rent Roll'!W$21)</f>
        <v>N/A</v>
      </c>
      <c r="K15" s="3608">
        <f t="shared" si="2"/>
        <v>0</v>
      </c>
      <c r="L15" s="3609">
        <f>'Rent Roll'!W$126</f>
        <v>0</v>
      </c>
      <c r="M15" s="3609">
        <f>'Rent Roll'!W$130</f>
        <v>0</v>
      </c>
      <c r="N15" s="3609" t="str">
        <f>IF('Rent Roll'!W$126=0,"N/A",('Rent Roll'!W$126-SUMIF('Rent Roll'!$G$24:$G$125,'Rent Roll'!W$20,'Rent Roll'!$K$24:$K$125))/($E15-$Q15))</f>
        <v>N/A</v>
      </c>
      <c r="O15" s="3608">
        <f t="shared" si="3"/>
        <v>0</v>
      </c>
      <c r="P15" s="3610">
        <f t="shared" si="4"/>
        <v>0</v>
      </c>
      <c r="Q15" s="3611">
        <f>'Rent Roll'!W$128</f>
        <v>0</v>
      </c>
      <c r="R15" s="3612">
        <f t="shared" si="5"/>
        <v>0</v>
      </c>
      <c r="S15" s="3614" t="str">
        <f>'Rent Roll'!$W$20</f>
        <v>G</v>
      </c>
    </row>
    <row r="16" ht="14.25" customHeight="1" hidden="1">
      <c r="A16" s="3594" t="s">
        <v>2550</v>
      </c>
      <c r="B16" s="3594" t="str">
        <f t="shared" si="6"/>
        <v>H</v>
      </c>
      <c r="D16" s="3601" t="str">
        <f t="shared" si="0"/>
        <v>N/A</v>
      </c>
      <c r="E16" s="3602" cm="1">
        <f t="array" ref="E16">SUMPRODUCT((--EXACT(S16,'Rent Roll'!$G$24:$G$125)))</f>
        <v>0</v>
      </c>
      <c r="F16" s="3603">
        <f t="shared" si="1"/>
        <v>0</v>
      </c>
      <c r="G16" s="3604" t="str">
        <f>IF('Rent Roll'!X$17="# Bedrooms","N/A",'Rent Roll'!X$17)</f>
        <v>N/A</v>
      </c>
      <c r="H16" s="3605" t="str">
        <f>IF('Rent Roll'!X$18="# Baths","N/A",'Rent Roll'!X$18)</f>
        <v>N/A</v>
      </c>
      <c r="I16" s="3606" t="str">
        <f>IF('Rent Roll'!$X$22="Square Footage","N/A",'Rent Roll'!$X$22)</f>
        <v>N/A</v>
      </c>
      <c r="J16" s="3607" t="str">
        <f>IF('Rent Roll'!X$21="Market Rent","N/A",'Rent Roll'!X$21)</f>
        <v>N/A</v>
      </c>
      <c r="K16" s="3608">
        <f t="shared" si="2"/>
        <v>0</v>
      </c>
      <c r="L16" s="3609">
        <f>'Rent Roll'!X$126</f>
        <v>0</v>
      </c>
      <c r="M16" s="3609">
        <f>'Rent Roll'!X$130</f>
        <v>0</v>
      </c>
      <c r="N16" s="3609" t="str">
        <f>IF('Rent Roll'!X$126=0,"N/A",('Rent Roll'!X$126-SUMIF('Rent Roll'!$G$24:$G$125,'Rent Roll'!X$20,'Rent Roll'!$K$24:$K$125))/($E16-$Q16))</f>
        <v>N/A</v>
      </c>
      <c r="O16" s="3608">
        <f t="shared" si="3"/>
        <v>0</v>
      </c>
      <c r="P16" s="3610">
        <f t="shared" si="4"/>
        <v>0</v>
      </c>
      <c r="Q16" s="3611">
        <f>'Rent Roll'!X$128</f>
        <v>0</v>
      </c>
      <c r="R16" s="3612">
        <f t="shared" si="5"/>
        <v>0</v>
      </c>
      <c r="S16" s="3614" t="str">
        <f>'Rent Roll'!$X$20</f>
        <v>H</v>
      </c>
    </row>
    <row r="17" ht="14.25" customHeight="1" hidden="1">
      <c r="A17" s="3594" t="s">
        <v>2551</v>
      </c>
      <c r="B17" s="3594" t="str">
        <f t="shared" si="6"/>
        <v>H</v>
      </c>
      <c r="D17" s="3601" t="str">
        <f t="shared" si="0"/>
        <v>N/A</v>
      </c>
      <c r="E17" s="3602" cm="1">
        <f t="array" ref="E17">SUMPRODUCT((--EXACT(S17,'Rent Roll'!$G$24:$G$125)))</f>
        <v>0</v>
      </c>
      <c r="F17" s="3603">
        <f t="shared" si="1"/>
        <v>0</v>
      </c>
      <c r="G17" s="3604" t="str">
        <f>IF('Rent Roll'!Y$17="# Bedrooms","N/A",'Rent Roll'!Y$17)</f>
        <v>N/A</v>
      </c>
      <c r="H17" s="3605" t="str">
        <f>IF('Rent Roll'!Y$18="# Baths","N/A",'Rent Roll'!Y$18)</f>
        <v>N/A</v>
      </c>
      <c r="I17" s="3606" t="str">
        <f>IF('Rent Roll'!$Y$22="Square Footage","N/A",'Rent Roll'!$Y$22)</f>
        <v>N/A</v>
      </c>
      <c r="J17" s="3607" t="str">
        <f>IF('Rent Roll'!Y$21="Market Rent","N/A",'Rent Roll'!Y$21)</f>
        <v>N/A</v>
      </c>
      <c r="K17" s="3608">
        <f t="shared" si="2"/>
        <v>0</v>
      </c>
      <c r="L17" s="3609">
        <f>'Rent Roll'!Y$126</f>
        <v>0</v>
      </c>
      <c r="M17" s="3609">
        <f>'Rent Roll'!Y$130</f>
        <v>0</v>
      </c>
      <c r="N17" s="3609" t="str">
        <f>IF('Rent Roll'!Y$126=0,"N/A",('Rent Roll'!Y$126-SUMIF('Rent Roll'!$G$24:$G$125,'Rent Roll'!Y$20,'Rent Roll'!$K$24:$K$125))/($E17-$Q17))</f>
        <v>N/A</v>
      </c>
      <c r="O17" s="3608">
        <f t="shared" si="3"/>
        <v>0</v>
      </c>
      <c r="P17" s="3610">
        <f t="shared" si="4"/>
        <v>0</v>
      </c>
      <c r="Q17" s="3611">
        <f>'Rent Roll'!Y$128</f>
        <v>0</v>
      </c>
      <c r="R17" s="3612">
        <f t="shared" si="5"/>
        <v>0</v>
      </c>
      <c r="S17" s="3614" t="str">
        <f>'Rent Roll'!$Y$20</f>
        <v>I</v>
      </c>
    </row>
    <row r="18" ht="14.25" customHeight="1" hidden="1">
      <c r="A18" s="3594" t="s">
        <v>2552</v>
      </c>
      <c r="B18" s="3594" t="str">
        <f t="shared" si="6"/>
        <v>H</v>
      </c>
      <c r="D18" s="3601" t="str">
        <f t="shared" si="0"/>
        <v>N/A</v>
      </c>
      <c r="E18" s="3602" cm="1">
        <f t="array" ref="E18">SUMPRODUCT((--EXACT(S18,'Rent Roll'!$G$24:$G$125)))</f>
        <v>0</v>
      </c>
      <c r="F18" s="3603">
        <f t="shared" si="1"/>
        <v>0</v>
      </c>
      <c r="G18" s="3604" t="str">
        <f>IF('Rent Roll'!Z$17="# Bedrooms","N/A",'Rent Roll'!Z$17)</f>
        <v>N/A</v>
      </c>
      <c r="H18" s="3605" t="str">
        <f>IF('Rent Roll'!Z$18="# Baths","N/A",'Rent Roll'!Z$18)</f>
        <v>N/A</v>
      </c>
      <c r="I18" s="3606" t="str">
        <f>IF('Rent Roll'!$Z$22="Square Footage","N/A",'Rent Roll'!$Z$22)</f>
        <v>N/A</v>
      </c>
      <c r="J18" s="3607" t="str">
        <f>IF('Rent Roll'!Z$21="Market Rent","N/A",'Rent Roll'!Z$21)</f>
        <v>N/A</v>
      </c>
      <c r="K18" s="3608">
        <f t="shared" si="2"/>
        <v>0</v>
      </c>
      <c r="L18" s="3609">
        <f>'Rent Roll'!Z$126</f>
        <v>0</v>
      </c>
      <c r="M18" s="3609">
        <f>'Rent Roll'!Z$130</f>
        <v>0</v>
      </c>
      <c r="N18" s="3609" t="str">
        <f>IF('Rent Roll'!Z$126=0,"N/A",('Rent Roll'!Z$126-SUMIF('Rent Roll'!$G$24:$G$125,'Rent Roll'!Z$20,'Rent Roll'!$K$24:$K$125))/($E18-$Q18))</f>
        <v>N/A</v>
      </c>
      <c r="O18" s="3608">
        <f t="shared" si="3"/>
        <v>0</v>
      </c>
      <c r="P18" s="3610">
        <f t="shared" si="4"/>
        <v>0</v>
      </c>
      <c r="Q18" s="3611">
        <f>'Rent Roll'!Z$128</f>
        <v>0</v>
      </c>
      <c r="R18" s="3612">
        <f t="shared" si="5"/>
        <v>0</v>
      </c>
      <c r="S18" s="3614" t="str">
        <f>'Rent Roll'!$Z$20</f>
        <v>J</v>
      </c>
    </row>
    <row r="19" ht="14.25" customHeight="1" hidden="1">
      <c r="A19" s="3594" t="s">
        <v>2553</v>
      </c>
      <c r="B19" s="3594" t="str">
        <f t="shared" si="6"/>
        <v>H</v>
      </c>
      <c r="D19" s="3601" t="str">
        <f t="shared" si="0"/>
        <v>N/A</v>
      </c>
      <c r="E19" s="3602" cm="1">
        <f t="array" ref="E19">SUMPRODUCT((--EXACT(S19,'Rent Roll'!$G$24:$G$125)))</f>
        <v>0</v>
      </c>
      <c r="F19" s="3603">
        <f t="shared" si="1"/>
        <v>0</v>
      </c>
      <c r="G19" s="3604" t="str">
        <f>IF('Rent Roll'!AA$17="# Bedrooms","N/A",'Rent Roll'!AA$17)</f>
        <v>N/A</v>
      </c>
      <c r="H19" s="3605" t="str">
        <f>IF('Rent Roll'!AA$18="# Baths","N/A",'Rent Roll'!AA$18)</f>
        <v>N/A</v>
      </c>
      <c r="I19" s="3606" t="str">
        <f>IF('Rent Roll'!$AA$22="Square Footage","N/A",'Rent Roll'!$AA$22)</f>
        <v>N/A</v>
      </c>
      <c r="J19" s="3607" t="str">
        <f>IF('Rent Roll'!AA$21="Market Rent","N/A",'Rent Roll'!AA$21)</f>
        <v>N/A</v>
      </c>
      <c r="K19" s="3608">
        <f t="shared" si="2"/>
        <v>0</v>
      </c>
      <c r="L19" s="3609">
        <f>'Rent Roll'!AA$126</f>
        <v>0</v>
      </c>
      <c r="M19" s="3609">
        <f>'Rent Roll'!AA$130</f>
        <v>0</v>
      </c>
      <c r="N19" s="3609" t="str">
        <f>IF('Rent Roll'!AA$126=0,"N/A",('Rent Roll'!AA$126-SUMIF('Rent Roll'!$G$24:$G$125,'Rent Roll'!AA$20,'Rent Roll'!$K$24:$K$125))/($E19-$Q19))</f>
        <v>N/A</v>
      </c>
      <c r="O19" s="3608">
        <f t="shared" si="3"/>
        <v>0</v>
      </c>
      <c r="P19" s="3610">
        <f t="shared" si="4"/>
        <v>0</v>
      </c>
      <c r="Q19" s="3611">
        <f>'Rent Roll'!AA$128</f>
        <v>0</v>
      </c>
      <c r="R19" s="3612">
        <f t="shared" si="5"/>
        <v>0</v>
      </c>
      <c r="S19" s="3614" t="str">
        <f>'Rent Roll'!$AA$20</f>
        <v>K</v>
      </c>
    </row>
    <row r="20" ht="14.25" customHeight="1" hidden="1">
      <c r="A20" s="3594" t="s">
        <v>2554</v>
      </c>
      <c r="B20" s="3594" t="str">
        <f t="shared" si="6"/>
        <v>H</v>
      </c>
      <c r="D20" s="3601" t="str">
        <f t="shared" si="0"/>
        <v>N/A</v>
      </c>
      <c r="E20" s="3602" cm="1">
        <f t="array" ref="E20">SUMPRODUCT((--EXACT(S20,'Rent Roll'!$G$24:$G$125)))</f>
        <v>0</v>
      </c>
      <c r="F20" s="3603">
        <f t="shared" si="1"/>
        <v>0</v>
      </c>
      <c r="G20" s="3604" t="str">
        <f>IF('Rent Roll'!AB$17="# Bedrooms","N/A",'Rent Roll'!AB$17)</f>
        <v>N/A</v>
      </c>
      <c r="H20" s="3605" t="str">
        <f>IF('Rent Roll'!AB$18="# Baths","N/A",'Rent Roll'!AB$18)</f>
        <v>N/A</v>
      </c>
      <c r="I20" s="3606" t="str">
        <f>IF('Rent Roll'!$AB$22="Square Footage","N/A",'Rent Roll'!$AB$22)</f>
        <v>N/A</v>
      </c>
      <c r="J20" s="3607" t="str">
        <f>IF('Rent Roll'!AB$21="Market Rent","N/A",'Rent Roll'!AB$21)</f>
        <v>N/A</v>
      </c>
      <c r="K20" s="3608">
        <f t="shared" si="2"/>
        <v>0</v>
      </c>
      <c r="L20" s="3609">
        <f>'Rent Roll'!AB$126</f>
        <v>0</v>
      </c>
      <c r="M20" s="3609">
        <f>'Rent Roll'!AB$130</f>
        <v>0</v>
      </c>
      <c r="N20" s="3609" t="str">
        <f>IF('Rent Roll'!AB$126=0,"N/A",('Rent Roll'!AB$126-SUMIF('Rent Roll'!$G$24:$G$125,'Rent Roll'!AB$20,'Rent Roll'!$K$24:$K$125))/($E20-$Q20))</f>
        <v>N/A</v>
      </c>
      <c r="O20" s="3608">
        <f t="shared" si="3"/>
        <v>0</v>
      </c>
      <c r="P20" s="3610">
        <f t="shared" si="4"/>
        <v>0</v>
      </c>
      <c r="Q20" s="3611">
        <f>'Rent Roll'!AB$128</f>
        <v>0</v>
      </c>
      <c r="R20" s="3612">
        <f t="shared" si="5"/>
        <v>0</v>
      </c>
      <c r="S20" s="3614" t="str">
        <f>'Rent Roll'!$AB$20</f>
        <v>L</v>
      </c>
    </row>
    <row r="21" ht="14.25" customHeight="1" hidden="1">
      <c r="A21" s="3594" t="s">
        <v>3156</v>
      </c>
      <c r="B21" s="3594" t="str">
        <f t="shared" si="6"/>
        <v>H</v>
      </c>
      <c r="D21" s="3601" t="str">
        <f t="shared" si="0"/>
        <v>N/A</v>
      </c>
      <c r="E21" s="3602" cm="1">
        <f t="array" ref="E21">SUMPRODUCT((--EXACT(S21,'Rent Roll'!$G$24:$G$125)))</f>
        <v>0</v>
      </c>
      <c r="F21" s="3603">
        <f t="shared" si="1"/>
        <v>0</v>
      </c>
      <c r="G21" s="3604" t="str">
        <f>IF('Rent Roll'!AC$17="# Bedrooms","N/A",'Rent Roll'!AC$17)</f>
        <v>N/A</v>
      </c>
      <c r="H21" s="3605" t="str">
        <f>IF('Rent Roll'!AC$18="# Baths","N/A",'Rent Roll'!AC$18)</f>
        <v>N/A</v>
      </c>
      <c r="I21" s="3606" t="str">
        <f>IF('Rent Roll'!$AC$22="Square Footage","N/A",'Rent Roll'!$AC$22)</f>
        <v>N/A</v>
      </c>
      <c r="J21" s="3607" t="str">
        <f>IF('Rent Roll'!AC$21="Market Rent","N/A",'Rent Roll'!AC$21)</f>
        <v>N/A</v>
      </c>
      <c r="K21" s="3608">
        <f t="shared" si="2"/>
        <v>0</v>
      </c>
      <c r="L21" s="3609">
        <f>'Rent Roll'!AC$126</f>
        <v>0</v>
      </c>
      <c r="M21" s="3609">
        <f>'Rent Roll'!AC$130</f>
        <v>0</v>
      </c>
      <c r="N21" s="3609" t="str">
        <f>IF('Rent Roll'!AC$126=0,"N/A",('Rent Roll'!AC$126-SUMIF('Rent Roll'!$G$24:$G$125,'Rent Roll'!AC$20,'Rent Roll'!$K$24:$K$125))/($E21-$Q21))</f>
        <v>N/A</v>
      </c>
      <c r="O21" s="3608">
        <f t="shared" si="3"/>
        <v>0</v>
      </c>
      <c r="P21" s="3610">
        <f t="shared" si="4"/>
        <v>0</v>
      </c>
      <c r="Q21" s="3611">
        <f>'Rent Roll'!AC$128</f>
        <v>0</v>
      </c>
      <c r="R21" s="3612">
        <f t="shared" si="5"/>
        <v>0</v>
      </c>
      <c r="S21" s="3614" t="str">
        <f>'Rent Roll'!$AC$20</f>
        <v>M</v>
      </c>
    </row>
    <row r="22" ht="14.25" customHeight="1" hidden="1">
      <c r="A22" s="3594" t="s">
        <v>3157</v>
      </c>
      <c r="B22" s="3594" t="str">
        <f t="shared" si="6"/>
        <v>H</v>
      </c>
      <c r="D22" s="3601" t="str">
        <f t="shared" si="0"/>
        <v>N/A</v>
      </c>
      <c r="E22" s="3602" cm="1">
        <f t="array" ref="E22">SUMPRODUCT((--EXACT(S22,'Rent Roll'!$G$24:$G$125)))</f>
        <v>0</v>
      </c>
      <c r="F22" s="3603">
        <f t="shared" si="1"/>
        <v>0</v>
      </c>
      <c r="G22" s="3604" t="str">
        <f>IF('Rent Roll'!AD$17="# Bedrooms","N/A",'Rent Roll'!AD$17)</f>
        <v>N/A</v>
      </c>
      <c r="H22" s="3605" t="str">
        <f>IF('Rent Roll'!AD$18="# Baths","N/A",'Rent Roll'!AD$18)</f>
        <v>N/A</v>
      </c>
      <c r="I22" s="3606" t="str">
        <f>IF('Rent Roll'!$AD$22="Square Footage","N/A",'Rent Roll'!$AD$22)</f>
        <v>N/A</v>
      </c>
      <c r="J22" s="3607" t="str">
        <f>IF('Rent Roll'!AD$21="Market Rent","N/A",'Rent Roll'!AD$21)</f>
        <v>N/A</v>
      </c>
      <c r="K22" s="3608">
        <f t="shared" si="2"/>
        <v>0</v>
      </c>
      <c r="L22" s="3609">
        <f>'Rent Roll'!AD$126</f>
        <v>0</v>
      </c>
      <c r="M22" s="3609">
        <f>'Rent Roll'!AD$130</f>
        <v>0</v>
      </c>
      <c r="N22" s="3609" t="str">
        <f>IF('Rent Roll'!AD$126=0,"N/A",('Rent Roll'!AD$126-SUMIF('Rent Roll'!$G$24:$G$125,'Rent Roll'!AD$20,'Rent Roll'!$K$24:$K$125))/($E22-$Q22))</f>
        <v>N/A</v>
      </c>
      <c r="O22" s="3608">
        <f t="shared" si="3"/>
        <v>0</v>
      </c>
      <c r="P22" s="3610">
        <f t="shared" si="4"/>
        <v>0</v>
      </c>
      <c r="Q22" s="3611">
        <f>'Rent Roll'!AD$128</f>
        <v>0</v>
      </c>
      <c r="R22" s="3612">
        <f t="shared" si="5"/>
        <v>0</v>
      </c>
      <c r="S22" s="3614" t="str">
        <f>'Rent Roll'!$AD$20</f>
        <v>N</v>
      </c>
    </row>
    <row r="23" ht="14.25" customHeight="1" hidden="1">
      <c r="A23" s="3594" t="s">
        <v>3158</v>
      </c>
      <c r="B23" s="3594" t="str">
        <f t="shared" si="6"/>
        <v>H</v>
      </c>
      <c r="D23" s="3601" t="str">
        <f t="shared" si="0"/>
        <v>N/A</v>
      </c>
      <c r="E23" s="3602" cm="1">
        <f t="array" ref="E23">SUMPRODUCT((--EXACT(S23,'Rent Roll'!$G$24:$G$125)))</f>
        <v>0</v>
      </c>
      <c r="F23" s="3603">
        <f t="shared" si="1"/>
        <v>0</v>
      </c>
      <c r="G23" s="3604" t="str">
        <f>IF('Rent Roll'!AE$17="# Bedrooms","N/A",'Rent Roll'!AE$17)</f>
        <v>N/A</v>
      </c>
      <c r="H23" s="3605" t="str">
        <f>IF('Rent Roll'!AE$18="# Baths","N/A",'Rent Roll'!AE$18)</f>
        <v>N/A</v>
      </c>
      <c r="I23" s="3606" t="str">
        <f>IF('Rent Roll'!$AE$22="Square Footage","N/A",'Rent Roll'!$AE$22)</f>
        <v>N/A</v>
      </c>
      <c r="J23" s="3607" t="str">
        <f>IF('Rent Roll'!AE$21="Market Rent","N/A",'Rent Roll'!AE$21)</f>
        <v>N/A</v>
      </c>
      <c r="K23" s="3608">
        <f t="shared" si="2"/>
        <v>0</v>
      </c>
      <c r="L23" s="3609">
        <f>'Rent Roll'!AE$126</f>
        <v>0</v>
      </c>
      <c r="M23" s="3609">
        <f>'Rent Roll'!AE$130</f>
        <v>0</v>
      </c>
      <c r="N23" s="3609" t="str">
        <f>IF('Rent Roll'!AE$126=0,"N/A",('Rent Roll'!AE$126-SUMIF('Rent Roll'!$G$24:$G$125,'Rent Roll'!AE$20,'Rent Roll'!$K$24:$K$125))/($E23-$Q23))</f>
        <v>N/A</v>
      </c>
      <c r="O23" s="3608">
        <f t="shared" si="3"/>
        <v>0</v>
      </c>
      <c r="P23" s="3610">
        <f t="shared" si="4"/>
        <v>0</v>
      </c>
      <c r="Q23" s="3611">
        <f>'Rent Roll'!AE$128</f>
        <v>0</v>
      </c>
      <c r="R23" s="3612">
        <f t="shared" si="5"/>
        <v>0</v>
      </c>
      <c r="S23" s="3614" t="str">
        <f>'Rent Roll'!$AE$20</f>
        <v>O</v>
      </c>
    </row>
    <row r="24" ht="14.25" customHeight="1" hidden="1">
      <c r="A24" s="3594" t="s">
        <v>3159</v>
      </c>
      <c r="B24" s="3594" t="str">
        <f t="shared" si="6"/>
        <v>H</v>
      </c>
      <c r="D24" s="3601" t="str">
        <f t="shared" si="0"/>
        <v>N/A</v>
      </c>
      <c r="E24" s="3602" cm="1">
        <f t="array" ref="E24">SUMPRODUCT((--EXACT(S24,'Rent Roll'!$G$24:$G$125)))</f>
        <v>0</v>
      </c>
      <c r="F24" s="3603">
        <f t="shared" si="1"/>
        <v>0</v>
      </c>
      <c r="G24" s="3604" t="str">
        <f>IF('Rent Roll'!AF$17="# Bedrooms","N/A",'Rent Roll'!AF$17)</f>
        <v>N/A</v>
      </c>
      <c r="H24" s="3605" t="str">
        <f>IF('Rent Roll'!AF$18="# Baths","N/A",'Rent Roll'!AF$18)</f>
        <v>N/A</v>
      </c>
      <c r="I24" s="3606" t="str">
        <f>IF('Rent Roll'!$AF$22="Square Footage","N/A",'Rent Roll'!$AF$22)</f>
        <v>N/A</v>
      </c>
      <c r="J24" s="3607" t="str">
        <f>IF('Rent Roll'!AF$21="Market Rent","N/A",'Rent Roll'!AF$21)</f>
        <v>N/A</v>
      </c>
      <c r="K24" s="3608">
        <f t="shared" si="2"/>
        <v>0</v>
      </c>
      <c r="L24" s="3609">
        <f>'Rent Roll'!AF$126</f>
        <v>0</v>
      </c>
      <c r="M24" s="3609">
        <f>'Rent Roll'!AF$130</f>
        <v>0</v>
      </c>
      <c r="N24" s="3609" t="str">
        <f>IF('Rent Roll'!AF$126=0,"N/A",('Rent Roll'!AF$126-SUMIF('Rent Roll'!$G$24:$G$125,'Rent Roll'!AF$20,'Rent Roll'!$K$24:$K$125))/($E24-$Q24))</f>
        <v>N/A</v>
      </c>
      <c r="O24" s="3608">
        <f t="shared" si="3"/>
        <v>0</v>
      </c>
      <c r="P24" s="3610">
        <f t="shared" si="4"/>
        <v>0</v>
      </c>
      <c r="Q24" s="3611">
        <f>'Rent Roll'!AF$128</f>
        <v>0</v>
      </c>
      <c r="R24" s="3612">
        <f t="shared" si="5"/>
        <v>0</v>
      </c>
      <c r="S24" s="3614" t="str">
        <f>'Rent Roll'!$AF$20</f>
        <v>P</v>
      </c>
    </row>
    <row r="25" ht="14.25" customHeight="1" hidden="1">
      <c r="A25" s="3594" t="s">
        <v>3160</v>
      </c>
      <c r="B25" s="3594" t="str">
        <f t="shared" si="6"/>
        <v>H</v>
      </c>
      <c r="D25" s="3601" t="str">
        <f t="shared" si="0"/>
        <v>N/A</v>
      </c>
      <c r="E25" s="3602" cm="1">
        <f t="array" ref="E25">SUMPRODUCT((--EXACT(S25,'Rent Roll'!$G$24:$G$125)))</f>
        <v>0</v>
      </c>
      <c r="F25" s="3603">
        <f t="shared" si="1"/>
        <v>0</v>
      </c>
      <c r="G25" s="3604" t="str">
        <f>IF('Rent Roll'!AG$17="# Bedrooms","N/A",'Rent Roll'!AG$17)</f>
        <v>N/A</v>
      </c>
      <c r="H25" s="3605" t="str">
        <f>IF('Rent Roll'!AG$18="# Baths","N/A",'Rent Roll'!AG$18)</f>
        <v>N/A</v>
      </c>
      <c r="I25" s="3606" t="str">
        <f>IF('Rent Roll'!$AG$22="Square Footage","N/A",'Rent Roll'!$AG$22)</f>
        <v>N/A</v>
      </c>
      <c r="J25" s="3607" t="str">
        <f>IF('Rent Roll'!AG$21="Market Rent","N/A",'Rent Roll'!AG$21)</f>
        <v>N/A</v>
      </c>
      <c r="K25" s="3608">
        <f t="shared" si="2"/>
        <v>0</v>
      </c>
      <c r="L25" s="3609">
        <f>'Rent Roll'!AG$126</f>
        <v>0</v>
      </c>
      <c r="M25" s="3609">
        <f>'Rent Roll'!AG$130</f>
        <v>0</v>
      </c>
      <c r="N25" s="3609" t="str">
        <f>IF('Rent Roll'!AG$126=0,"N/A",('Rent Roll'!AG$126-SUMIF('Rent Roll'!$G$24:$G$125,'Rent Roll'!AG$20,'Rent Roll'!$K$24:$K$125))/($E25-$Q25))</f>
        <v>N/A</v>
      </c>
      <c r="O25" s="3608">
        <f t="shared" si="3"/>
        <v>0</v>
      </c>
      <c r="P25" s="3610">
        <f t="shared" si="4"/>
        <v>0</v>
      </c>
      <c r="Q25" s="3611">
        <f>'Rent Roll'!AG$128</f>
        <v>0</v>
      </c>
      <c r="R25" s="3612">
        <f t="shared" si="5"/>
        <v>0</v>
      </c>
      <c r="S25" s="3614" t="str">
        <f>'Rent Roll'!$AG$20</f>
        <v>Q</v>
      </c>
    </row>
    <row r="26" ht="14.25" customHeight="1" hidden="1">
      <c r="A26" s="3594" t="s">
        <v>3161</v>
      </c>
      <c r="B26" s="3594" t="str">
        <f t="shared" si="6"/>
        <v>H</v>
      </c>
      <c r="D26" s="3601" t="str">
        <f t="shared" si="0"/>
        <v>N/A</v>
      </c>
      <c r="E26" s="3602" cm="1">
        <f t="array" ref="E26">SUMPRODUCT((--EXACT(S26,'Rent Roll'!$G$24:$G$125)))</f>
        <v>0</v>
      </c>
      <c r="F26" s="3603">
        <f t="shared" si="1"/>
        <v>0</v>
      </c>
      <c r="G26" s="3604" t="str">
        <f>IF('Rent Roll'!AH$17="# Bedrooms","N/A",'Rent Roll'!AH$17)</f>
        <v>N/A</v>
      </c>
      <c r="H26" s="3605" t="str">
        <f>IF('Rent Roll'!AH$18="# Baths","N/A",'Rent Roll'!AH$18)</f>
        <v>N/A</v>
      </c>
      <c r="I26" s="3606" t="str">
        <f>IF('Rent Roll'!$AH$22="Square Footage","N/A",'Rent Roll'!$AH$22)</f>
        <v>N/A</v>
      </c>
      <c r="J26" s="3607" t="str">
        <f>IF('Rent Roll'!AH$21="Market Rent","N/A",'Rent Roll'!AH$21)</f>
        <v>N/A</v>
      </c>
      <c r="K26" s="3608">
        <f t="shared" si="2"/>
        <v>0</v>
      </c>
      <c r="L26" s="3609">
        <f>'Rent Roll'!AH$126</f>
        <v>0</v>
      </c>
      <c r="M26" s="3609">
        <f>'Rent Roll'!AH$130</f>
        <v>0</v>
      </c>
      <c r="N26" s="3609" t="str">
        <f>IF('Rent Roll'!AH$126=0,"N/A",('Rent Roll'!AH$126-SUMIF('Rent Roll'!$G$24:$G$125,'Rent Roll'!AH$20,'Rent Roll'!$K$24:$K$125))/($E26-$Q26))</f>
        <v>N/A</v>
      </c>
      <c r="O26" s="3608">
        <f t="shared" si="3"/>
        <v>0</v>
      </c>
      <c r="P26" s="3610">
        <f t="shared" si="4"/>
        <v>0</v>
      </c>
      <c r="Q26" s="3611">
        <f>'Rent Roll'!AH$128</f>
        <v>0</v>
      </c>
      <c r="R26" s="3612">
        <f t="shared" si="5"/>
        <v>0</v>
      </c>
      <c r="S26" s="3614" t="str">
        <f>'Rent Roll'!$AH$20</f>
        <v>R</v>
      </c>
    </row>
    <row r="27" ht="14.25" customHeight="1" hidden="1">
      <c r="A27" s="3594" t="s">
        <v>3162</v>
      </c>
      <c r="B27" s="3594" t="str">
        <f t="shared" si="6"/>
        <v>H</v>
      </c>
      <c r="D27" s="3601" t="str">
        <f t="shared" si="0"/>
        <v>N/A</v>
      </c>
      <c r="E27" s="3602" cm="1">
        <f t="array" ref="E27">SUMPRODUCT((--EXACT(S27,'Rent Roll'!$G$24:$G$125)))</f>
        <v>0</v>
      </c>
      <c r="F27" s="3603">
        <f t="shared" si="1"/>
        <v>0</v>
      </c>
      <c r="G27" s="3604" t="str">
        <f>IF('Rent Roll'!AI$17="# Bedrooms","N/A",'Rent Roll'!AI$17)</f>
        <v>N/A</v>
      </c>
      <c r="H27" s="3605" t="str">
        <f>IF('Rent Roll'!AI$18="# Baths","N/A",'Rent Roll'!AI$18)</f>
        <v>N/A</v>
      </c>
      <c r="I27" s="3606" t="str">
        <f>IF('Rent Roll'!$AI$22="Square Footage","N/A",'Rent Roll'!$AI$22)</f>
        <v>N/A</v>
      </c>
      <c r="J27" s="3607" t="str">
        <f>IF('Rent Roll'!AI$21="Market Rent","N/A",'Rent Roll'!AI$21)</f>
        <v>N/A</v>
      </c>
      <c r="K27" s="3608">
        <f t="shared" si="2"/>
        <v>0</v>
      </c>
      <c r="L27" s="3609">
        <f>'Rent Roll'!AI$126</f>
        <v>0</v>
      </c>
      <c r="M27" s="3609">
        <f>'Rent Roll'!AI$130</f>
        <v>0</v>
      </c>
      <c r="N27" s="3609" t="str">
        <f>IF('Rent Roll'!AI$126=0,"N/A",('Rent Roll'!AI$126-SUMIF('Rent Roll'!$G$24:$G$125,'Rent Roll'!AI$20,'Rent Roll'!$K$24:$K$125))/($E27-$Q27))</f>
        <v>N/A</v>
      </c>
      <c r="O27" s="3608">
        <f t="shared" si="3"/>
        <v>0</v>
      </c>
      <c r="P27" s="3610">
        <f t="shared" si="4"/>
        <v>0</v>
      </c>
      <c r="Q27" s="3611">
        <f>'Rent Roll'!AI$128</f>
        <v>0</v>
      </c>
      <c r="R27" s="3612">
        <f t="shared" si="5"/>
        <v>0</v>
      </c>
      <c r="S27" s="3614" t="str">
        <f>'Rent Roll'!$AI$20</f>
        <v>S</v>
      </c>
    </row>
    <row r="28" ht="14.25" customHeight="1" hidden="1">
      <c r="A28" s="3594" t="s">
        <v>3163</v>
      </c>
      <c r="B28" s="3594" t="str">
        <f t="shared" si="6"/>
        <v>H</v>
      </c>
      <c r="D28" s="3601" t="str">
        <f t="shared" si="0"/>
        <v>N/A</v>
      </c>
      <c r="E28" s="3602" cm="1">
        <f t="array" ref="E28">SUMPRODUCT((--EXACT(S28,'Rent Roll'!$G$24:$G$125)))</f>
        <v>0</v>
      </c>
      <c r="F28" s="3603">
        <f t="shared" si="1"/>
        <v>0</v>
      </c>
      <c r="G28" s="3604" t="str">
        <f>IF('Rent Roll'!AJ$17="# Bedrooms","N/A",'Rent Roll'!AJ$17)</f>
        <v>N/A</v>
      </c>
      <c r="H28" s="3605" t="str">
        <f>IF('Rent Roll'!AJ$18="# Baths","N/A",'Rent Roll'!AJ$18)</f>
        <v>N/A</v>
      </c>
      <c r="I28" s="3606" t="str">
        <f>IF('Rent Roll'!$AJ$22="Square Footage","N/A",'Rent Roll'!$AJ$22)</f>
        <v>N/A</v>
      </c>
      <c r="J28" s="3607" t="str">
        <f>IF('Rent Roll'!AJ$21="Market Rent","N/A",'Rent Roll'!AJ$21)</f>
        <v>N/A</v>
      </c>
      <c r="K28" s="3608">
        <f t="shared" si="2"/>
        <v>0</v>
      </c>
      <c r="L28" s="3609">
        <f>'Rent Roll'!AJ$126</f>
        <v>0</v>
      </c>
      <c r="M28" s="3609">
        <f>'Rent Roll'!AJ$130</f>
        <v>0</v>
      </c>
      <c r="N28" s="3609" t="str">
        <f>IF('Rent Roll'!AJ$126=0,"N/A",('Rent Roll'!AJ$126-SUMIF('Rent Roll'!$G$24:$G$125,'Rent Roll'!AJ$20,'Rent Roll'!$K$24:$K$125))/($E28-$Q28))</f>
        <v>N/A</v>
      </c>
      <c r="O28" s="3608">
        <f t="shared" si="3"/>
        <v>0</v>
      </c>
      <c r="P28" s="3610">
        <f t="shared" si="4"/>
        <v>0</v>
      </c>
      <c r="Q28" s="3611">
        <f>'Rent Roll'!AJ$128</f>
        <v>0</v>
      </c>
      <c r="R28" s="3612">
        <f t="shared" si="5"/>
        <v>0</v>
      </c>
      <c r="S28" s="3614" t="str">
        <f>'Rent Roll'!$AJ$20</f>
        <v>T</v>
      </c>
    </row>
    <row r="29" ht="14.25" customHeight="1" hidden="1">
      <c r="A29" s="3594" t="s">
        <v>3164</v>
      </c>
      <c r="B29" s="3594" t="str">
        <f t="shared" si="6"/>
        <v>H</v>
      </c>
      <c r="D29" s="3601" t="str">
        <f t="shared" si="0"/>
        <v>N/A</v>
      </c>
      <c r="E29" s="3602" cm="1">
        <f t="array" ref="E29">SUMPRODUCT((--EXACT(S29,'Rent Roll'!$G$24:$G$125)))</f>
        <v>0</v>
      </c>
      <c r="F29" s="3603">
        <f t="shared" si="1"/>
        <v>0</v>
      </c>
      <c r="G29" s="3604" t="str">
        <f>IF('Rent Roll'!AK$17="# Bedrooms","N/A",'Rent Roll'!AK$17)</f>
        <v>N/A</v>
      </c>
      <c r="H29" s="3605" t="str">
        <f>IF('Rent Roll'!AK$18="# Baths","N/A",'Rent Roll'!AK$18)</f>
        <v>N/A</v>
      </c>
      <c r="I29" s="3606" t="str">
        <f>IF('Rent Roll'!$AK$22="Square Footage","N/A",'Rent Roll'!$AK$22)</f>
        <v>N/A</v>
      </c>
      <c r="J29" s="3607" t="str">
        <f>IF('Rent Roll'!AK$21="Market Rent","N/A",'Rent Roll'!AK$21)</f>
        <v>N/A</v>
      </c>
      <c r="K29" s="3608">
        <f t="shared" si="2"/>
        <v>0</v>
      </c>
      <c r="L29" s="3609">
        <f>'Rent Roll'!AK$126</f>
        <v>0</v>
      </c>
      <c r="M29" s="3609">
        <f>'Rent Roll'!AK$130</f>
        <v>0</v>
      </c>
      <c r="N29" s="3609" t="str">
        <f>IF('Rent Roll'!AK$126=0,"N/A",('Rent Roll'!AK$126-SUMIF('Rent Roll'!$G$24:$G$125,'Rent Roll'!AK$20,'Rent Roll'!$K$24:$K$125))/($E29-$Q29))</f>
        <v>N/A</v>
      </c>
      <c r="O29" s="3608">
        <f t="shared" si="3"/>
        <v>0</v>
      </c>
      <c r="P29" s="3610">
        <f t="shared" si="4"/>
        <v>0</v>
      </c>
      <c r="Q29" s="3611">
        <f>'Rent Roll'!AK$128</f>
        <v>0</v>
      </c>
      <c r="R29" s="3612">
        <f t="shared" si="5"/>
        <v>0</v>
      </c>
      <c r="S29" s="3614" t="str">
        <f>'Rent Roll'!$AK$20</f>
        <v>U</v>
      </c>
    </row>
    <row r="30" ht="14.25" customHeight="1" hidden="1">
      <c r="A30" s="3594" t="s">
        <v>3165</v>
      </c>
      <c r="B30" s="3594" t="str">
        <f t="shared" si="6"/>
        <v>H</v>
      </c>
      <c r="D30" s="3601" t="str">
        <f t="shared" si="0"/>
        <v>N/A</v>
      </c>
      <c r="E30" s="3602" cm="1">
        <f t="array" ref="E30">SUMPRODUCT((--EXACT(S30,'Rent Roll'!$G$24:$G$125)))</f>
        <v>0</v>
      </c>
      <c r="F30" s="3603">
        <f t="shared" si="1"/>
        <v>0</v>
      </c>
      <c r="G30" s="3604" t="str">
        <f>IF('Rent Roll'!AL$17="# Bedrooms","N/A",'Rent Roll'!AL$17)</f>
        <v>N/A</v>
      </c>
      <c r="H30" s="3605" t="str">
        <f>IF('Rent Roll'!AL$18="# Baths","N/A",'Rent Roll'!AL$18)</f>
        <v>N/A</v>
      </c>
      <c r="I30" s="3606" t="str">
        <f>IF('Rent Roll'!$AL$22="Square Footage","N/A",'Rent Roll'!$AL$22)</f>
        <v>N/A</v>
      </c>
      <c r="J30" s="3607" t="str">
        <f>IF('Rent Roll'!AL$21="Market Rent","N/A",'Rent Roll'!AL$21)</f>
        <v>N/A</v>
      </c>
      <c r="K30" s="3608">
        <f t="shared" si="2"/>
        <v>0</v>
      </c>
      <c r="L30" s="3609">
        <f>'Rent Roll'!AL$126</f>
        <v>0</v>
      </c>
      <c r="M30" s="3609">
        <f>'Rent Roll'!AL$130</f>
        <v>0</v>
      </c>
      <c r="N30" s="3609" t="str">
        <f>IF('Rent Roll'!AL$126=0,"N/A",('Rent Roll'!AL$126-SUMIF('Rent Roll'!$G$24:$G$125,'Rent Roll'!AL$20,'Rent Roll'!$K$24:$K$125))/($E30-$Q30))</f>
        <v>N/A</v>
      </c>
      <c r="O30" s="3608">
        <f t="shared" si="3"/>
        <v>0</v>
      </c>
      <c r="P30" s="3610">
        <f t="shared" si="4"/>
        <v>0</v>
      </c>
      <c r="Q30" s="3611">
        <f>'Rent Roll'!AL$128</f>
        <v>0</v>
      </c>
      <c r="R30" s="3612">
        <f t="shared" si="5"/>
        <v>0</v>
      </c>
      <c r="S30" s="3614" t="str">
        <f>'Rent Roll'!$AL$20</f>
        <v>V</v>
      </c>
    </row>
    <row r="31" ht="14.25" customHeight="1" hidden="1">
      <c r="A31" s="3594" t="s">
        <v>3166</v>
      </c>
      <c r="B31" s="3594" t="str">
        <f t="shared" si="6"/>
        <v>H</v>
      </c>
      <c r="D31" s="3601" t="str">
        <f t="shared" si="0"/>
        <v>N/A</v>
      </c>
      <c r="E31" s="3602" cm="1">
        <f t="array" ref="E31">SUMPRODUCT((--EXACT(S31,'Rent Roll'!$G$24:$G$125)))</f>
        <v>0</v>
      </c>
      <c r="F31" s="3603">
        <f t="shared" si="1"/>
        <v>0</v>
      </c>
      <c r="G31" s="3604" t="str">
        <f>IF('Rent Roll'!AM$17="# Bedrooms","N/A",'Rent Roll'!AM$17)</f>
        <v>N/A</v>
      </c>
      <c r="H31" s="3605" t="str">
        <f>IF('Rent Roll'!AM$18="# Baths","N/A",'Rent Roll'!AM$18)</f>
        <v>N/A</v>
      </c>
      <c r="I31" s="3606" t="str">
        <f>IF('Rent Roll'!$AM$22="Square Footage","N/A",'Rent Roll'!$AM$22)</f>
        <v>N/A</v>
      </c>
      <c r="J31" s="3607" t="str">
        <f>IF('Rent Roll'!AM$21="Market Rent","N/A",'Rent Roll'!AM$21)</f>
        <v>N/A</v>
      </c>
      <c r="K31" s="3608">
        <f t="shared" si="2"/>
        <v>0</v>
      </c>
      <c r="L31" s="3609">
        <f>'Rent Roll'!AM$126</f>
        <v>0</v>
      </c>
      <c r="M31" s="3609">
        <f>'Rent Roll'!AM$130</f>
        <v>0</v>
      </c>
      <c r="N31" s="3609" t="str">
        <f>IF('Rent Roll'!AM$126=0,"N/A",('Rent Roll'!AM$126-SUMIF('Rent Roll'!$G$24:$G$125,'Rent Roll'!AM$20,'Rent Roll'!$K$24:$K$125))/($E31-$Q31))</f>
        <v>N/A</v>
      </c>
      <c r="O31" s="3608">
        <f t="shared" si="3"/>
        <v>0</v>
      </c>
      <c r="P31" s="3610">
        <f t="shared" si="4"/>
        <v>0</v>
      </c>
      <c r="Q31" s="3611">
        <f>'Rent Roll'!AM$128</f>
        <v>0</v>
      </c>
      <c r="R31" s="3612">
        <f t="shared" si="5"/>
        <v>0</v>
      </c>
      <c r="S31" s="3614" t="str">
        <f>'Rent Roll'!$AM$20</f>
        <v>W</v>
      </c>
    </row>
    <row r="32" ht="14.25" customHeight="1" hidden="1">
      <c r="A32" s="3594" t="s">
        <v>3167</v>
      </c>
      <c r="B32" s="3594" t="str">
        <f t="shared" si="6"/>
        <v>H</v>
      </c>
      <c r="D32" s="3601" t="str">
        <f t="shared" si="0"/>
        <v>N/A</v>
      </c>
      <c r="E32" s="3602" cm="1">
        <f t="array" ref="E32">SUMPRODUCT((--EXACT(S32,'Rent Roll'!$G$24:$G$125)))</f>
        <v>0</v>
      </c>
      <c r="F32" s="3603">
        <f t="shared" si="1"/>
        <v>0</v>
      </c>
      <c r="G32" s="3604" t="str">
        <f>IF('Rent Roll'!AN$17="# Bedrooms","N/A",'Rent Roll'!AN$17)</f>
        <v>N/A</v>
      </c>
      <c r="H32" s="3605" t="str">
        <f>IF('Rent Roll'!AN$18="# Baths","N/A",'Rent Roll'!AN$18)</f>
        <v>N/A</v>
      </c>
      <c r="I32" s="3606" t="str">
        <f>IF('Rent Roll'!$AN$22="Square Footage","N/A",'Rent Roll'!$AN$22)</f>
        <v>N/A</v>
      </c>
      <c r="J32" s="3607" t="str">
        <f>IF('Rent Roll'!AN$21="Market Rent","N/A",'Rent Roll'!AN$21)</f>
        <v>N/A</v>
      </c>
      <c r="K32" s="3608">
        <f t="shared" si="2"/>
        <v>0</v>
      </c>
      <c r="L32" s="3609">
        <f>'Rent Roll'!AN$126</f>
        <v>0</v>
      </c>
      <c r="M32" s="3609">
        <f>'Rent Roll'!AN$130</f>
        <v>0</v>
      </c>
      <c r="N32" s="3609" t="str">
        <f>IF('Rent Roll'!AN$126=0,"N/A",('Rent Roll'!AN$126-SUMIF('Rent Roll'!$G$24:$G$125,'Rent Roll'!AN$20,'Rent Roll'!$K$24:$K$125))/($E32-$Q32))</f>
        <v>N/A</v>
      </c>
      <c r="O32" s="3608">
        <f t="shared" si="3"/>
        <v>0</v>
      </c>
      <c r="P32" s="3610">
        <f t="shared" si="4"/>
        <v>0</v>
      </c>
      <c r="Q32" s="3611">
        <f>'Rent Roll'!AN$128</f>
        <v>0</v>
      </c>
      <c r="R32" s="3612">
        <f t="shared" si="5"/>
        <v>0</v>
      </c>
      <c r="S32" s="3614" t="str">
        <f>'Rent Roll'!$AN$20</f>
        <v>X</v>
      </c>
    </row>
    <row r="33" ht="14.25" customHeight="1" hidden="1">
      <c r="A33" s="3594" t="s">
        <v>3168</v>
      </c>
      <c r="B33" s="3594" t="str">
        <f t="shared" si="6"/>
        <v>H</v>
      </c>
      <c r="D33" s="3601" t="str">
        <f t="shared" si="0"/>
        <v>N/A</v>
      </c>
      <c r="E33" s="3602" cm="1">
        <f t="array" ref="E33">SUMPRODUCT((--EXACT(S33,'Rent Roll'!$G$24:$G$125)))</f>
        <v>0</v>
      </c>
      <c r="F33" s="3603">
        <f t="shared" si="1"/>
        <v>0</v>
      </c>
      <c r="G33" s="3604" t="str">
        <f>IF('Rent Roll'!AO$17="# Bedrooms","N/A",'Rent Roll'!AO$17)</f>
        <v>N/A</v>
      </c>
      <c r="H33" s="3605" t="str">
        <f>IF('Rent Roll'!AO$18="# Baths","N/A",'Rent Roll'!AO$18)</f>
        <v>N/A</v>
      </c>
      <c r="I33" s="3606" t="str">
        <f>IF('Rent Roll'!$AO$22="Square Footage","N/A",'Rent Roll'!$AO$22)</f>
        <v>N/A</v>
      </c>
      <c r="J33" s="3607" t="str">
        <f>IF('Rent Roll'!AO$21="Market Rent","N/A",'Rent Roll'!AO$21)</f>
        <v>N/A</v>
      </c>
      <c r="K33" s="3608">
        <f t="shared" si="2"/>
        <v>0</v>
      </c>
      <c r="L33" s="3609">
        <f>'Rent Roll'!AO$126</f>
        <v>0</v>
      </c>
      <c r="M33" s="3609">
        <f>'Rent Roll'!AO$130</f>
        <v>0</v>
      </c>
      <c r="N33" s="3609" t="str">
        <f>IF('Rent Roll'!AO$126=0,"N/A",('Rent Roll'!AO$126-SUMIF('Rent Roll'!$G$24:$G$125,'Rent Roll'!AO$20,'Rent Roll'!$K$24:$K$125))/($E33-$Q33))</f>
        <v>N/A</v>
      </c>
      <c r="O33" s="3608">
        <f t="shared" si="3"/>
        <v>0</v>
      </c>
      <c r="P33" s="3610">
        <f t="shared" si="4"/>
        <v>0</v>
      </c>
      <c r="Q33" s="3611">
        <f>'Rent Roll'!AO$128</f>
        <v>0</v>
      </c>
      <c r="R33" s="3612">
        <f t="shared" si="5"/>
        <v>0</v>
      </c>
      <c r="S33" s="3614" t="str">
        <f>'Rent Roll'!$AO$20</f>
        <v>Y</v>
      </c>
    </row>
    <row r="34" ht="14.25" customHeight="1" hidden="1">
      <c r="A34" s="3594" t="s">
        <v>3169</v>
      </c>
      <c r="B34" s="3594" t="str">
        <f t="shared" si="6"/>
        <v>H</v>
      </c>
      <c r="D34" s="3601" t="str">
        <f t="shared" si="0"/>
        <v>N/A</v>
      </c>
      <c r="E34" s="3602" cm="1">
        <f t="array" ref="E34">SUMPRODUCT((--EXACT(S34,'Rent Roll'!$G$24:$G$125)))</f>
        <v>0</v>
      </c>
      <c r="F34" s="3603">
        <f t="shared" si="1"/>
        <v>0</v>
      </c>
      <c r="G34" s="3604" t="str">
        <f>IF('Rent Roll'!AP$17="# Bedrooms","N/A",'Rent Roll'!AP$17)</f>
        <v>N/A</v>
      </c>
      <c r="H34" s="3605" t="str">
        <f>IF('Rent Roll'!AP$18="# Baths","N/A",'Rent Roll'!AP$18)</f>
        <v>N/A</v>
      </c>
      <c r="I34" s="3606" t="str">
        <f>IF('Rent Roll'!$AP$22="Square Footage","N/A",'Rent Roll'!$AP$22)</f>
        <v>N/A</v>
      </c>
      <c r="J34" s="3607" t="str">
        <f>IF('Rent Roll'!AP$21="Market Rent","N/A",'Rent Roll'!AP$21)</f>
        <v>N/A</v>
      </c>
      <c r="K34" s="3608">
        <f t="shared" si="2"/>
        <v>0</v>
      </c>
      <c r="L34" s="3609">
        <f>'Rent Roll'!AP$126</f>
        <v>0</v>
      </c>
      <c r="M34" s="3609">
        <f>'Rent Roll'!AP$130</f>
        <v>0</v>
      </c>
      <c r="N34" s="3609" t="str">
        <f>IF('Rent Roll'!AP$126=0,"N/A",('Rent Roll'!AP$126-SUMIF('Rent Roll'!$G$24:$G$125,'Rent Roll'!AP$20,'Rent Roll'!$K$24:$K$125))/($E34-$Q34))</f>
        <v>N/A</v>
      </c>
      <c r="O34" s="3608">
        <f t="shared" si="3"/>
        <v>0</v>
      </c>
      <c r="P34" s="3610">
        <f t="shared" si="4"/>
        <v>0</v>
      </c>
      <c r="Q34" s="3611">
        <f>'Rent Roll'!AP$128</f>
        <v>0</v>
      </c>
      <c r="R34" s="3612">
        <f t="shared" si="5"/>
        <v>0</v>
      </c>
      <c r="S34" s="3614" t="str">
        <f>'Rent Roll'!$AP$20</f>
        <v>Z</v>
      </c>
    </row>
    <row r="35" ht="14.25" customHeight="1" hidden="1">
      <c r="A35" s="3594" t="s">
        <v>3170</v>
      </c>
      <c r="B35" s="3594" t="str">
        <f t="shared" si="6"/>
        <v>H</v>
      </c>
      <c r="D35" s="3601" t="str">
        <f t="shared" si="0"/>
        <v>N/A</v>
      </c>
      <c r="E35" s="3602" cm="1">
        <f t="array" ref="E35">SUMPRODUCT((--EXACT(S35,'Rent Roll'!$G$24:$G$125)))</f>
        <v>0</v>
      </c>
      <c r="F35" s="3603">
        <f t="shared" si="1"/>
        <v>0</v>
      </c>
      <c r="G35" s="3604" t="str">
        <f>IF('Rent Roll'!AQ$17="# Bedrooms","N/A",'Rent Roll'!AQ$17)</f>
        <v>N/A</v>
      </c>
      <c r="H35" s="3605" t="str">
        <f>IF('Rent Roll'!AQ$18="# Baths","N/A",'Rent Roll'!AQ$18)</f>
        <v>N/A</v>
      </c>
      <c r="I35" s="3606" t="str">
        <f>IF('Rent Roll'!$AQ$22="Square Footage","N/A",'Rent Roll'!$AQ$22)</f>
        <v>N/A</v>
      </c>
      <c r="J35" s="3607" t="str">
        <f>IF('Rent Roll'!AQ$21="Market Rent","N/A",'Rent Roll'!AQ$21)</f>
        <v>N/A</v>
      </c>
      <c r="K35" s="3608">
        <f t="shared" si="2"/>
        <v>0</v>
      </c>
      <c r="L35" s="3609">
        <f>'Rent Roll'!AQ$126</f>
        <v>0</v>
      </c>
      <c r="M35" s="3609">
        <f>'Rent Roll'!AQ$130</f>
        <v>0</v>
      </c>
      <c r="N35" s="3609" t="str">
        <f>IF('Rent Roll'!AQ$126=0,"N/A",('Rent Roll'!AQ$126-SUMIF('Rent Roll'!$G$24:$G$125,'Rent Roll'!AQ$20,'Rent Roll'!$K$24:$K$125))/($E35-$Q35))</f>
        <v>N/A</v>
      </c>
      <c r="O35" s="3608">
        <f t="shared" si="3"/>
        <v>0</v>
      </c>
      <c r="P35" s="3610">
        <f t="shared" si="4"/>
        <v>0</v>
      </c>
      <c r="Q35" s="3611">
        <f>'Rent Roll'!AQ$128</f>
        <v>0</v>
      </c>
      <c r="R35" s="3612">
        <f t="shared" si="5"/>
        <v>0</v>
      </c>
      <c r="S35" s="3614" t="str">
        <f>'Rent Roll'!$AQ$20</f>
        <v>BA</v>
      </c>
    </row>
    <row r="36" ht="14.25" customHeight="1" hidden="1">
      <c r="A36" s="3594" t="s">
        <v>3171</v>
      </c>
      <c r="B36" s="3594" t="str">
        <f t="shared" si="6"/>
        <v>H</v>
      </c>
      <c r="D36" s="3601" t="str">
        <f t="shared" si="0"/>
        <v>N/A</v>
      </c>
      <c r="E36" s="3602" cm="1">
        <f t="array" ref="E36">SUMPRODUCT((--EXACT(S36,'Rent Roll'!$G$24:$G$125)))</f>
        <v>0</v>
      </c>
      <c r="F36" s="3603">
        <f t="shared" si="1"/>
        <v>0</v>
      </c>
      <c r="G36" s="3604" t="str">
        <f>IF('Rent Roll'!AR$17="# Bedrooms","N/A",'Rent Roll'!AR$17)</f>
        <v>N/A</v>
      </c>
      <c r="H36" s="3605" t="str">
        <f>IF('Rent Roll'!AR$18="# Baths","N/A",'Rent Roll'!AR$18)</f>
        <v>N/A</v>
      </c>
      <c r="I36" s="3606" t="str">
        <f>IF('Rent Roll'!$AR$22="Square Footage","N/A",'Rent Roll'!$AR$22)</f>
        <v>N/A</v>
      </c>
      <c r="J36" s="3607" t="str">
        <f>IF('Rent Roll'!AR$21="Market Rent","N/A",'Rent Roll'!AR$21)</f>
        <v>N/A</v>
      </c>
      <c r="K36" s="3608">
        <f t="shared" si="2"/>
        <v>0</v>
      </c>
      <c r="L36" s="3609">
        <f>'Rent Roll'!AR$126</f>
        <v>0</v>
      </c>
      <c r="M36" s="3609">
        <f>'Rent Roll'!AR$130</f>
        <v>0</v>
      </c>
      <c r="N36" s="3609" t="str">
        <f>IF('Rent Roll'!AR$126=0,"N/A",('Rent Roll'!AR$126-SUMIF('Rent Roll'!$G$24:$G$125,'Rent Roll'!AR$20,'Rent Roll'!$K$24:$K$125))/($E36-$Q36))</f>
        <v>N/A</v>
      </c>
      <c r="O36" s="3608">
        <f t="shared" si="3"/>
        <v>0</v>
      </c>
      <c r="P36" s="3610">
        <f t="shared" si="4"/>
        <v>0</v>
      </c>
      <c r="Q36" s="3611">
        <f>'Rent Roll'!AR$128</f>
        <v>0</v>
      </c>
      <c r="R36" s="3612">
        <f t="shared" si="5"/>
        <v>0</v>
      </c>
      <c r="S36" s="3614" t="str">
        <f>'Rent Roll'!$AR$20</f>
        <v>BB</v>
      </c>
    </row>
    <row r="37" ht="14.25" customHeight="1" hidden="1">
      <c r="A37" s="3594" t="s">
        <v>3172</v>
      </c>
      <c r="B37" s="3594" t="str">
        <f t="shared" si="6"/>
        <v>H</v>
      </c>
      <c r="D37" s="3601" t="str">
        <f t="shared" si="0"/>
        <v>N/A</v>
      </c>
      <c r="E37" s="3602" cm="1">
        <f t="array" ref="E37">SUMPRODUCT((--EXACT(S37,'Rent Roll'!$G$24:$G$125)))</f>
        <v>0</v>
      </c>
      <c r="F37" s="3603">
        <f t="shared" si="1"/>
        <v>0</v>
      </c>
      <c r="G37" s="3604" t="str">
        <f>IF('Rent Roll'!AS$17="# Bedrooms","N/A",'Rent Roll'!AS$17)</f>
        <v>N/A</v>
      </c>
      <c r="H37" s="3605" t="str">
        <f>IF('Rent Roll'!AS$18="# Baths","N/A",'Rent Roll'!AS$18)</f>
        <v>N/A</v>
      </c>
      <c r="I37" s="3606" t="str">
        <f>IF('Rent Roll'!$AS$22="Square Footage","N/A",'Rent Roll'!$AS$22)</f>
        <v>N/A</v>
      </c>
      <c r="J37" s="3607" t="str">
        <f>IF('Rent Roll'!AS$21="Market Rent","N/A",'Rent Roll'!AS$21)</f>
        <v>N/A</v>
      </c>
      <c r="K37" s="3608">
        <f t="shared" si="2"/>
        <v>0</v>
      </c>
      <c r="L37" s="3609">
        <f>'Rent Roll'!AS$126</f>
        <v>0</v>
      </c>
      <c r="M37" s="3609">
        <f>'Rent Roll'!AS$130</f>
        <v>0</v>
      </c>
      <c r="N37" s="3609" t="str">
        <f>IF('Rent Roll'!AS$126=0,"N/A",('Rent Roll'!AS$126-SUMIF('Rent Roll'!$G$24:$G$125,'Rent Roll'!AS$20,'Rent Roll'!$K$24:$K$125))/($E37-$Q37))</f>
        <v>N/A</v>
      </c>
      <c r="O37" s="3608">
        <f t="shared" si="3"/>
        <v>0</v>
      </c>
      <c r="P37" s="3610">
        <f t="shared" si="4"/>
        <v>0</v>
      </c>
      <c r="Q37" s="3611">
        <f>'Rent Roll'!AS$128</f>
        <v>0</v>
      </c>
      <c r="R37" s="3612">
        <f t="shared" si="5"/>
        <v>0</v>
      </c>
      <c r="S37" s="3614" t="str">
        <f>'Rent Roll'!$AS$20</f>
        <v>BC</v>
      </c>
    </row>
    <row r="38" ht="14.25" customHeight="1" hidden="1">
      <c r="A38" s="3594" t="s">
        <v>3173</v>
      </c>
      <c r="B38" s="3594" t="str">
        <f t="shared" si="6"/>
        <v>H</v>
      </c>
      <c r="D38" s="3601" t="str">
        <f t="shared" si="0"/>
        <v>N/A</v>
      </c>
      <c r="E38" s="3602" cm="1">
        <f t="array" ref="E38">SUMPRODUCT((--EXACT(S38,'Rent Roll'!$G$24:$G$125)))</f>
        <v>0</v>
      </c>
      <c r="F38" s="3603">
        <f t="shared" si="1"/>
        <v>0</v>
      </c>
      <c r="G38" s="3604" t="str">
        <f>IF('Rent Roll'!AT$17="# Bedrooms","N/A",'Rent Roll'!AT$17)</f>
        <v>N/A</v>
      </c>
      <c r="H38" s="3605" t="str">
        <f>IF('Rent Roll'!AT$18="# Baths","N/A",'Rent Roll'!AT$18)</f>
        <v>N/A</v>
      </c>
      <c r="I38" s="3606" t="str">
        <f>IF('Rent Roll'!$AT$22="Square Footage","N/A",'Rent Roll'!$AT$22)</f>
        <v>N/A</v>
      </c>
      <c r="J38" s="3607" t="str">
        <f>IF('Rent Roll'!AT$21="Market Rent","N/A",'Rent Roll'!AT$21)</f>
        <v>N/A</v>
      </c>
      <c r="K38" s="3608">
        <f t="shared" si="2"/>
        <v>0</v>
      </c>
      <c r="L38" s="3609">
        <f>'Rent Roll'!AT$126</f>
        <v>0</v>
      </c>
      <c r="M38" s="3609">
        <f>'Rent Roll'!AT$130</f>
        <v>0</v>
      </c>
      <c r="N38" s="3609" t="str">
        <f>IF('Rent Roll'!AT$126=0,"N/A",('Rent Roll'!AT$126-SUMIF('Rent Roll'!$G$24:$G$125,'Rent Roll'!AT$20,'Rent Roll'!$K$24:$K$125))/($E38-$Q38))</f>
        <v>N/A</v>
      </c>
      <c r="O38" s="3608">
        <f t="shared" si="3"/>
        <v>0</v>
      </c>
      <c r="P38" s="3610">
        <f t="shared" si="4"/>
        <v>0</v>
      </c>
      <c r="Q38" s="3611">
        <f>'Rent Roll'!AT$128</f>
        <v>0</v>
      </c>
      <c r="R38" s="3612">
        <f t="shared" si="5"/>
        <v>0</v>
      </c>
      <c r="S38" s="3614" t="str">
        <f>'Rent Roll'!$AT$20</f>
        <v>BD</v>
      </c>
    </row>
    <row r="39" ht="14.25" customHeight="1" hidden="1">
      <c r="A39" s="3594" t="s">
        <v>3174</v>
      </c>
      <c r="B39" s="3594" t="str">
        <f t="shared" si="6"/>
        <v>H</v>
      </c>
      <c r="D39" s="3601" t="str">
        <f t="shared" si="0"/>
        <v>N/A</v>
      </c>
      <c r="E39" s="3602" cm="1">
        <f t="array" ref="E39">SUMPRODUCT((--EXACT(S39,'Rent Roll'!$G$24:$G$125)))</f>
        <v>0</v>
      </c>
      <c r="F39" s="3603">
        <f t="shared" si="1"/>
        <v>0</v>
      </c>
      <c r="G39" s="3604" t="str">
        <f>IF('Rent Roll'!AU$17="# Bedrooms","N/A",'Rent Roll'!AU$17)</f>
        <v>N/A</v>
      </c>
      <c r="H39" s="3605" t="str">
        <f>IF('Rent Roll'!AU$18="# Baths","N/A",'Rent Roll'!AU$18)</f>
        <v>N/A</v>
      </c>
      <c r="I39" s="3606" t="str">
        <f>IF('Rent Roll'!$AU$22="Square Footage","N/A",'Rent Roll'!$AU$22)</f>
        <v>N/A</v>
      </c>
      <c r="J39" s="3607" t="str">
        <f>IF('Rent Roll'!AU$21="Market Rent","N/A",'Rent Roll'!AU$21)</f>
        <v>N/A</v>
      </c>
      <c r="K39" s="3608">
        <f t="shared" si="2"/>
        <v>0</v>
      </c>
      <c r="L39" s="3609">
        <f>'Rent Roll'!AU$126</f>
        <v>0</v>
      </c>
      <c r="M39" s="3609">
        <f>'Rent Roll'!AU$130</f>
        <v>0</v>
      </c>
      <c r="N39" s="3609" t="str">
        <f>IF('Rent Roll'!AU$126=0,"N/A",('Rent Roll'!AU$126-SUMIF('Rent Roll'!$G$24:$G$125,'Rent Roll'!AU$20,'Rent Roll'!$K$24:$K$125))/($E39-$Q39))</f>
        <v>N/A</v>
      </c>
      <c r="O39" s="3608">
        <f t="shared" si="3"/>
        <v>0</v>
      </c>
      <c r="P39" s="3610">
        <f t="shared" si="4"/>
        <v>0</v>
      </c>
      <c r="Q39" s="3611">
        <f>'Rent Roll'!AU$128</f>
        <v>0</v>
      </c>
      <c r="R39" s="3612">
        <f t="shared" si="5"/>
        <v>0</v>
      </c>
      <c r="S39" s="3614" t="str">
        <f>'Rent Roll'!$AU$20</f>
        <v>BE</v>
      </c>
    </row>
    <row r="40" ht="14.25" customHeight="1" hidden="1">
      <c r="A40" s="3594" t="s">
        <v>3175</v>
      </c>
      <c r="B40" s="3594" t="str">
        <f t="shared" si="6"/>
        <v>H</v>
      </c>
      <c r="D40" s="3601" t="str">
        <f t="shared" si="0"/>
        <v>N/A</v>
      </c>
      <c r="E40" s="3602" cm="1">
        <f t="array" ref="E40">SUMPRODUCT((--EXACT(S40,'Rent Roll'!$G$24:$G$125)))</f>
        <v>0</v>
      </c>
      <c r="F40" s="3603">
        <f t="shared" si="1"/>
        <v>0</v>
      </c>
      <c r="G40" s="3604" t="str">
        <f>IF('Rent Roll'!AV$17="# Bedrooms","N/A",'Rent Roll'!AV$17)</f>
        <v>N/A</v>
      </c>
      <c r="H40" s="3605" t="str">
        <f>IF('Rent Roll'!AV$18="# Baths","N/A",'Rent Roll'!AV$18)</f>
        <v>N/A</v>
      </c>
      <c r="I40" s="3606" t="str">
        <f>IF('Rent Roll'!$AV$22="Square Footage","N/A",'Rent Roll'!$AV$22)</f>
        <v>N/A</v>
      </c>
      <c r="J40" s="3607" t="str">
        <f>IF('Rent Roll'!AV$21="Market Rent","N/A",'Rent Roll'!AV$21)</f>
        <v>N/A</v>
      </c>
      <c r="K40" s="3608">
        <f t="shared" si="2"/>
        <v>0</v>
      </c>
      <c r="L40" s="3609">
        <f>'Rent Roll'!AV$126</f>
        <v>0</v>
      </c>
      <c r="M40" s="3609">
        <f>'Rent Roll'!AV$130</f>
        <v>0</v>
      </c>
      <c r="N40" s="3609" t="str">
        <f>IF('Rent Roll'!AV$126=0,"N/A",('Rent Roll'!AV$126-SUMIF('Rent Roll'!$G$24:$G$125,'Rent Roll'!AV$20,'Rent Roll'!$K$24:$K$125))/($E40-$Q40))</f>
        <v>N/A</v>
      </c>
      <c r="O40" s="3608">
        <f t="shared" si="3"/>
        <v>0</v>
      </c>
      <c r="P40" s="3610">
        <f t="shared" si="4"/>
        <v>0</v>
      </c>
      <c r="Q40" s="3611">
        <f>'Rent Roll'!AV$128</f>
        <v>0</v>
      </c>
      <c r="R40" s="3612">
        <f t="shared" si="5"/>
        <v>0</v>
      </c>
      <c r="S40" s="3614" t="str">
        <f>'Rent Roll'!$AV$20</f>
        <v>BF</v>
      </c>
    </row>
    <row r="41" ht="14.25" customHeight="1" hidden="1">
      <c r="A41" s="3594" t="s">
        <v>3176</v>
      </c>
      <c r="B41" s="3594" t="str">
        <f t="shared" si="6"/>
        <v>H</v>
      </c>
      <c r="D41" s="3601" t="str">
        <f t="shared" si="0"/>
        <v>N/A</v>
      </c>
      <c r="E41" s="3602" cm="1">
        <f t="array" ref="E41">SUMPRODUCT((--EXACT(S41,'Rent Roll'!$G$24:$G$125)))</f>
        <v>0</v>
      </c>
      <c r="F41" s="3603">
        <f t="shared" si="1"/>
        <v>0</v>
      </c>
      <c r="G41" s="3604" t="str">
        <f>IF('Rent Roll'!AW$17="# Bedrooms","N/A",'Rent Roll'!AW$17)</f>
        <v>N/A</v>
      </c>
      <c r="H41" s="3605" t="str">
        <f>IF('Rent Roll'!AW$18="# Baths","N/A",'Rent Roll'!AW$18)</f>
        <v>N/A</v>
      </c>
      <c r="I41" s="3606" t="str">
        <f>IF('Rent Roll'!$AW$22="Square Footage","N/A",'Rent Roll'!$AW$22)</f>
        <v>N/A</v>
      </c>
      <c r="J41" s="3607" t="str">
        <f>IF('Rent Roll'!AW$21="Market Rent","N/A",'Rent Roll'!AW$21)</f>
        <v>N/A</v>
      </c>
      <c r="K41" s="3608">
        <f t="shared" si="2"/>
        <v>0</v>
      </c>
      <c r="L41" s="3609">
        <f>'Rent Roll'!AW$126</f>
        <v>0</v>
      </c>
      <c r="M41" s="3609">
        <f>'Rent Roll'!AW$130</f>
        <v>0</v>
      </c>
      <c r="N41" s="3609" t="str">
        <f>IF('Rent Roll'!AW$126=0,"N/A",('Rent Roll'!AW$126-SUMIF('Rent Roll'!$G$24:$G$125,'Rent Roll'!AW$20,'Rent Roll'!$K$24:$K$125))/($E41-$Q41))</f>
        <v>N/A</v>
      </c>
      <c r="O41" s="3608">
        <f t="shared" si="3"/>
        <v>0</v>
      </c>
      <c r="P41" s="3610">
        <f t="shared" si="4"/>
        <v>0</v>
      </c>
      <c r="Q41" s="3611">
        <f>'Rent Roll'!AW$128</f>
        <v>0</v>
      </c>
      <c r="R41" s="3612">
        <f t="shared" si="5"/>
        <v>0</v>
      </c>
      <c r="S41" s="3614" t="str">
        <f>'Rent Roll'!$AW$20</f>
        <v>BG</v>
      </c>
    </row>
    <row r="42" ht="14.25" customHeight="1" hidden="1">
      <c r="A42" s="3594" t="s">
        <v>3177</v>
      </c>
      <c r="B42" s="3594" t="str">
        <f t="shared" si="6"/>
        <v>H</v>
      </c>
      <c r="D42" s="3601" t="str">
        <f t="shared" si="0"/>
        <v>N/A</v>
      </c>
      <c r="E42" s="3602" cm="1">
        <f t="array" ref="E42">SUMPRODUCT((--EXACT(S42,'Rent Roll'!$G$24:$G$125)))</f>
        <v>0</v>
      </c>
      <c r="F42" s="3603">
        <f t="shared" si="1"/>
        <v>0</v>
      </c>
      <c r="G42" s="3604" t="str">
        <f>IF('Rent Roll'!AX$17="# Bedrooms","N/A",'Rent Roll'!AX$17)</f>
        <v>N/A</v>
      </c>
      <c r="H42" s="3605" t="str">
        <f>IF('Rent Roll'!AX$18="# Baths","N/A",'Rent Roll'!AX$18)</f>
        <v>N/A</v>
      </c>
      <c r="I42" s="3606" t="str">
        <f>IF('Rent Roll'!$AX$22="Square Footage","N/A",'Rent Roll'!$AX$22)</f>
        <v>N/A</v>
      </c>
      <c r="J42" s="3607" t="str">
        <f>IF('Rent Roll'!AX$21="Market Rent","N/A",'Rent Roll'!AX$21)</f>
        <v>N/A</v>
      </c>
      <c r="K42" s="3608">
        <f t="shared" si="2"/>
        <v>0</v>
      </c>
      <c r="L42" s="3609">
        <f>'Rent Roll'!AX$126</f>
        <v>0</v>
      </c>
      <c r="M42" s="3609">
        <f>'Rent Roll'!AX$130</f>
        <v>0</v>
      </c>
      <c r="N42" s="3609" t="str">
        <f>IF('Rent Roll'!AX$126=0,"N/A",('Rent Roll'!AX$126-SUMIF('Rent Roll'!$G$24:$G$125,'Rent Roll'!AX$20,'Rent Roll'!$K$24:$K$125))/($E42-$Q42))</f>
        <v>N/A</v>
      </c>
      <c r="O42" s="3608">
        <f t="shared" si="3"/>
        <v>0</v>
      </c>
      <c r="P42" s="3610">
        <f t="shared" si="4"/>
        <v>0</v>
      </c>
      <c r="Q42" s="3611">
        <f>'Rent Roll'!AX$128</f>
        <v>0</v>
      </c>
      <c r="R42" s="3612">
        <f t="shared" si="5"/>
        <v>0</v>
      </c>
      <c r="S42" s="3614" t="str">
        <f>'Rent Roll'!$AX$20</f>
        <v>BH</v>
      </c>
    </row>
    <row r="43" ht="14.25" customHeight="1" hidden="1">
      <c r="A43" s="3594" t="s">
        <v>3178</v>
      </c>
      <c r="B43" s="3594" t="str">
        <f t="shared" si="6"/>
        <v>H</v>
      </c>
      <c r="D43" s="3601" t="str">
        <f t="shared" si="0"/>
        <v>N/A</v>
      </c>
      <c r="E43" s="3602" cm="1">
        <f t="array" ref="E43">SUMPRODUCT((--EXACT(S43,'Rent Roll'!$G$24:$G$125)))</f>
        <v>0</v>
      </c>
      <c r="F43" s="3603">
        <f t="shared" si="1"/>
        <v>0</v>
      </c>
      <c r="G43" s="3604" t="str">
        <f>IF('Rent Roll'!AY$17="# Bedrooms","N/A",'Rent Roll'!AY$17)</f>
        <v>N/A</v>
      </c>
      <c r="H43" s="3605" t="str">
        <f>IF('Rent Roll'!AY$18="# Baths","N/A",'Rent Roll'!AY$18)</f>
        <v>N/A</v>
      </c>
      <c r="I43" s="3606" t="str">
        <f>IF('Rent Roll'!$AY$22="Square Footage","N/A",'Rent Roll'!$AY$22)</f>
        <v>N/A</v>
      </c>
      <c r="J43" s="3607" t="str">
        <f>IF('Rent Roll'!AY$21="Market Rent","N/A",'Rent Roll'!AY$21)</f>
        <v>N/A</v>
      </c>
      <c r="K43" s="3608">
        <f t="shared" si="2"/>
        <v>0</v>
      </c>
      <c r="L43" s="3609">
        <f>'Rent Roll'!AY$126</f>
        <v>0</v>
      </c>
      <c r="M43" s="3609">
        <f>'Rent Roll'!AY$130</f>
        <v>0</v>
      </c>
      <c r="N43" s="3609" t="str">
        <f>IF('Rent Roll'!AY$126=0,"N/A",('Rent Roll'!AY$126-SUMIF('Rent Roll'!$G$24:$G$125,'Rent Roll'!AY$20,'Rent Roll'!$K$24:$K$125))/($E43-$Q43))</f>
        <v>N/A</v>
      </c>
      <c r="O43" s="3608">
        <f t="shared" si="3"/>
        <v>0</v>
      </c>
      <c r="P43" s="3610">
        <f t="shared" si="4"/>
        <v>0</v>
      </c>
      <c r="Q43" s="3611">
        <f>'Rent Roll'!AY$128</f>
        <v>0</v>
      </c>
      <c r="R43" s="3612">
        <f t="shared" si="5"/>
        <v>0</v>
      </c>
      <c r="S43" s="3614" t="str">
        <f>'Rent Roll'!$AY$20</f>
        <v>BI</v>
      </c>
    </row>
    <row r="44" ht="14.25" customHeight="1" hidden="1">
      <c r="A44" s="3594" t="s">
        <v>3179</v>
      </c>
      <c r="B44" s="3594" t="str">
        <f t="shared" si="6"/>
        <v>H</v>
      </c>
      <c r="D44" s="3601" t="str">
        <f t="shared" si="0"/>
        <v>N/A</v>
      </c>
      <c r="E44" s="3602" cm="1">
        <f t="array" ref="E44">SUMPRODUCT((--EXACT(S44,'Rent Roll'!$G$24:$G$125)))</f>
        <v>0</v>
      </c>
      <c r="F44" s="3603">
        <f t="shared" si="1"/>
        <v>0</v>
      </c>
      <c r="G44" s="3604" t="str">
        <f>IF('Rent Roll'!AZ$17="# Bedrooms","N/A",'Rent Roll'!AZ$17)</f>
        <v>N/A</v>
      </c>
      <c r="H44" s="3605" t="str">
        <f>IF('Rent Roll'!AZ$18="# Baths","N/A",'Rent Roll'!AZ$18)</f>
        <v>N/A</v>
      </c>
      <c r="I44" s="3606" t="str">
        <f>IF('Rent Roll'!$AZ$22="Square Footage","N/A",'Rent Roll'!$AZ$22)</f>
        <v>N/A</v>
      </c>
      <c r="J44" s="3607" t="str">
        <f>IF('Rent Roll'!AZ$21="Market Rent","N/A",'Rent Roll'!AZ$21)</f>
        <v>N/A</v>
      </c>
      <c r="K44" s="3608">
        <f t="shared" si="2"/>
        <v>0</v>
      </c>
      <c r="L44" s="3609">
        <f>'Rent Roll'!AZ$126</f>
        <v>0</v>
      </c>
      <c r="M44" s="3609">
        <f>'Rent Roll'!AZ$130</f>
        <v>0</v>
      </c>
      <c r="N44" s="3609" t="str">
        <f>IF('Rent Roll'!AZ$126=0,"N/A",('Rent Roll'!AZ$126-SUMIF('Rent Roll'!$G$24:$G$125,'Rent Roll'!AZ$20,'Rent Roll'!$K$24:$K$125))/($E44-$Q44))</f>
        <v>N/A</v>
      </c>
      <c r="O44" s="3608">
        <f t="shared" si="3"/>
        <v>0</v>
      </c>
      <c r="P44" s="3610">
        <f t="shared" si="4"/>
        <v>0</v>
      </c>
      <c r="Q44" s="3611">
        <f>'Rent Roll'!AZ$128</f>
        <v>0</v>
      </c>
      <c r="R44" s="3612">
        <f t="shared" si="5"/>
        <v>0</v>
      </c>
      <c r="S44" s="3614" t="str">
        <f>'Rent Roll'!$AZ$20</f>
        <v>BJ</v>
      </c>
    </row>
    <row r="45" ht="14.25" customHeight="1" hidden="1">
      <c r="A45" s="3594" t="s">
        <v>3180</v>
      </c>
      <c r="B45" s="3594" t="str">
        <f t="shared" si="6"/>
        <v>H</v>
      </c>
      <c r="D45" s="3601" t="str">
        <f t="shared" si="0"/>
        <v>N/A</v>
      </c>
      <c r="E45" s="3602" cm="1">
        <f t="array" ref="E45">SUMPRODUCT((--EXACT(S45,'Rent Roll'!$G$24:$G$125)))</f>
        <v>0</v>
      </c>
      <c r="F45" s="3603">
        <f t="shared" si="1"/>
        <v>0</v>
      </c>
      <c r="G45" s="3604" t="str">
        <f>IF('Rent Roll'!BA$17="# Bedrooms","N/A",'Rent Roll'!BA$17)</f>
        <v>N/A</v>
      </c>
      <c r="H45" s="3605" t="str">
        <f>IF('Rent Roll'!BA$18="# Baths","N/A",'Rent Roll'!BA$18)</f>
        <v>N/A</v>
      </c>
      <c r="I45" s="3606" t="str">
        <f>IF('Rent Roll'!$BA$22="Square Footage","N/A",'Rent Roll'!$BA$22)</f>
        <v>N/A</v>
      </c>
      <c r="J45" s="3607" t="str">
        <f>IF('Rent Roll'!BA$21="Market Rent","N/A",'Rent Roll'!BA$21)</f>
        <v>N/A</v>
      </c>
      <c r="K45" s="3608">
        <f t="shared" si="2"/>
        <v>0</v>
      </c>
      <c r="L45" s="3609">
        <f>'Rent Roll'!BA$126</f>
        <v>0</v>
      </c>
      <c r="M45" s="3609">
        <f>'Rent Roll'!BA$130</f>
        <v>0</v>
      </c>
      <c r="N45" s="3609" t="str">
        <f>IF('Rent Roll'!BA$126=0,"N/A",('Rent Roll'!BA$126-SUMIF('Rent Roll'!$G$24:$G$125,'Rent Roll'!BA$20,'Rent Roll'!$K$24:$K$125))/($E45-$Q45))</f>
        <v>N/A</v>
      </c>
      <c r="O45" s="3608">
        <f t="shared" si="3"/>
        <v>0</v>
      </c>
      <c r="P45" s="3610">
        <f t="shared" si="4"/>
        <v>0</v>
      </c>
      <c r="Q45" s="3611">
        <f>'Rent Roll'!BA$128</f>
        <v>0</v>
      </c>
      <c r="R45" s="3612">
        <f t="shared" si="5"/>
        <v>0</v>
      </c>
      <c r="S45" s="3614" t="str">
        <f>'Rent Roll'!$BA$20</f>
        <v>BK</v>
      </c>
    </row>
    <row r="46" ht="14.25" customHeight="1" hidden="1">
      <c r="A46" s="3594" t="s">
        <v>3181</v>
      </c>
      <c r="B46" s="3594" t="str">
        <f t="shared" si="6"/>
        <v>H</v>
      </c>
      <c r="D46" s="3601" t="str">
        <f t="shared" si="0"/>
        <v>N/A</v>
      </c>
      <c r="E46" s="3602" cm="1">
        <f t="array" ref="E46">SUMPRODUCT((--EXACT(S46,'Rent Roll'!$G$24:$G$125)))</f>
        <v>0</v>
      </c>
      <c r="F46" s="3603">
        <f t="shared" si="1"/>
        <v>0</v>
      </c>
      <c r="G46" s="3604" t="str">
        <f>IF('Rent Roll'!BB$17="# Bedrooms","N/A",'Rent Roll'!BB$17)</f>
        <v>N/A</v>
      </c>
      <c r="H46" s="3605" t="str">
        <f>IF('Rent Roll'!BB$18="# Baths","N/A",'Rent Roll'!BB$18)</f>
        <v>N/A</v>
      </c>
      <c r="I46" s="3606" t="str">
        <f>IF('Rent Roll'!$BB$22="Square Footage","N/A",'Rent Roll'!$BB$22)</f>
        <v>N/A</v>
      </c>
      <c r="J46" s="3607" t="str">
        <f>IF('Rent Roll'!BB$21="Market Rent","N/A",'Rent Roll'!BB$21)</f>
        <v>N/A</v>
      </c>
      <c r="K46" s="3608">
        <f t="shared" si="2"/>
        <v>0</v>
      </c>
      <c r="L46" s="3609">
        <f>'Rent Roll'!BB$126</f>
        <v>0</v>
      </c>
      <c r="M46" s="3609">
        <f>'Rent Roll'!BB$130</f>
        <v>0</v>
      </c>
      <c r="N46" s="3609" t="str">
        <f>IF('Rent Roll'!BB$126=0,"N/A",('Rent Roll'!BB$126-SUMIF('Rent Roll'!$G$24:$G$125,'Rent Roll'!BB$20,'Rent Roll'!$K$24:$K$125))/($E46-$Q46))</f>
        <v>N/A</v>
      </c>
      <c r="O46" s="3608">
        <f t="shared" si="3"/>
        <v>0</v>
      </c>
      <c r="P46" s="3610">
        <f t="shared" si="4"/>
        <v>0</v>
      </c>
      <c r="Q46" s="3611">
        <f>'Rent Roll'!BB$128</f>
        <v>0</v>
      </c>
      <c r="R46" s="3612">
        <f t="shared" si="5"/>
        <v>0</v>
      </c>
      <c r="S46" s="3614" t="str">
        <f>'Rent Roll'!$BB$20</f>
        <v>BL</v>
      </c>
    </row>
    <row r="47" ht="14.25" customHeight="1" hidden="1">
      <c r="A47" s="3594" t="s">
        <v>2555</v>
      </c>
      <c r="B47" s="3594" t="str">
        <f t="shared" si="6"/>
        <v>H</v>
      </c>
      <c r="D47" s="3601" t="str">
        <f t="shared" si="0"/>
        <v>N/A</v>
      </c>
      <c r="E47" s="3602" cm="1">
        <f t="array" ref="E47">SUMPRODUCT((--EXACT(S47,'Rent Roll'!$G$24:$G$125)))</f>
        <v>0</v>
      </c>
      <c r="F47" s="3603">
        <f t="shared" si="1"/>
        <v>0</v>
      </c>
      <c r="G47" s="3604" t="str">
        <f>IF('Rent Roll'!BC$17="# Bedrooms","N/A",'Rent Roll'!BC$17)</f>
        <v>N/A</v>
      </c>
      <c r="H47" s="3605" t="str">
        <f>IF('Rent Roll'!BC$18="# Baths","N/A",'Rent Roll'!BC$18)</f>
        <v>N/A</v>
      </c>
      <c r="I47" s="3606" t="str">
        <f>IF('Rent Roll'!$BC$22="Square Footage","N/A",'Rent Roll'!$BC$22)</f>
        <v>N/A</v>
      </c>
      <c r="J47" s="3607" t="str">
        <f>IF('Rent Roll'!BC$21="Market Rent","N/A",'Rent Roll'!BC$21)</f>
        <v>N/A</v>
      </c>
      <c r="K47" s="3608">
        <f t="shared" si="2"/>
        <v>0</v>
      </c>
      <c r="L47" s="3609">
        <f>'Rent Roll'!BC$126</f>
        <v>0</v>
      </c>
      <c r="M47" s="3609">
        <f>'Rent Roll'!BC$130</f>
        <v>0</v>
      </c>
      <c r="N47" s="3609" t="str">
        <f>IF('Rent Roll'!BC$126=0,"N/A",('Rent Roll'!BC$126-SUMIF('Rent Roll'!$G$24:$G$125,'Rent Roll'!BC$20,'Rent Roll'!$K$24:$K$125))/($E47-$Q47))</f>
        <v>N/A</v>
      </c>
      <c r="O47" s="3608">
        <f t="shared" si="3"/>
        <v>0</v>
      </c>
      <c r="P47" s="3610">
        <f t="shared" si="4"/>
        <v>0</v>
      </c>
      <c r="Q47" s="3611">
        <f>'Rent Roll'!BC$128</f>
        <v>0</v>
      </c>
      <c r="R47" s="3612">
        <f t="shared" si="5"/>
        <v>0</v>
      </c>
      <c r="S47" s="3614" t="str">
        <f>'Rent Roll'!$BC$20</f>
        <v>BM</v>
      </c>
    </row>
    <row r="48" ht="14.25" customHeight="1" hidden="1">
      <c r="A48" s="3594" t="s">
        <v>2556</v>
      </c>
      <c r="B48" s="3594" t="str">
        <f t="shared" si="6"/>
        <v>H</v>
      </c>
      <c r="D48" s="3601" t="str">
        <f t="shared" si="0"/>
        <v>N/A</v>
      </c>
      <c r="E48" s="3602" cm="1">
        <f t="array" ref="E48">SUMPRODUCT((--EXACT(S48,'Rent Roll'!$G$24:$G$125)))</f>
        <v>0</v>
      </c>
      <c r="F48" s="3603">
        <f t="shared" si="1"/>
        <v>0</v>
      </c>
      <c r="G48" s="3604" t="str">
        <f>IF('Rent Roll'!BD$17="# Bedrooms","N/A",'Rent Roll'!BD$17)</f>
        <v>N/A</v>
      </c>
      <c r="H48" s="3605" t="str">
        <f>IF('Rent Roll'!BD$18="# Baths","N/A",'Rent Roll'!BD$18)</f>
        <v>N/A</v>
      </c>
      <c r="I48" s="3606" t="str">
        <f>IF('Rent Roll'!$BD$22="Square Footage","N/A",'Rent Roll'!$BD$22)</f>
        <v>N/A</v>
      </c>
      <c r="J48" s="3607" t="str">
        <f>IF('Rent Roll'!BD$21="Market Rent","N/A",'Rent Roll'!BD$21)</f>
        <v>N/A</v>
      </c>
      <c r="K48" s="3608">
        <f t="shared" si="2"/>
        <v>0</v>
      </c>
      <c r="L48" s="3609">
        <f>'Rent Roll'!BD$126</f>
        <v>0</v>
      </c>
      <c r="M48" s="3609">
        <f>'Rent Roll'!BD$130</f>
        <v>0</v>
      </c>
      <c r="N48" s="3609" t="str">
        <f>IF('Rent Roll'!BD$126=0,"N/A",('Rent Roll'!BD$126-SUMIF('Rent Roll'!$G$24:$G$125,'Rent Roll'!BD$20,'Rent Roll'!$K$24:$K$125))/($E48-$Q48))</f>
        <v>N/A</v>
      </c>
      <c r="O48" s="3608">
        <f t="shared" si="3"/>
        <v>0</v>
      </c>
      <c r="P48" s="3610">
        <f t="shared" si="4"/>
        <v>0</v>
      </c>
      <c r="Q48" s="3611">
        <f>'Rent Roll'!BD$128</f>
        <v>0</v>
      </c>
      <c r="R48" s="3612">
        <f t="shared" si="5"/>
        <v>0</v>
      </c>
      <c r="S48" s="3614" t="str">
        <f>'Rent Roll'!$BD$20</f>
        <v>BN</v>
      </c>
    </row>
    <row r="49" ht="14.25" customHeight="1" hidden="1">
      <c r="A49" s="3594" t="s">
        <v>2557</v>
      </c>
      <c r="B49" s="3594" t="str">
        <f t="shared" si="6"/>
        <v>H</v>
      </c>
      <c r="D49" s="3601" t="str">
        <f t="shared" si="0"/>
        <v>N/A</v>
      </c>
      <c r="E49" s="3602" cm="1">
        <f t="array" ref="E49">SUMPRODUCT((--EXACT(S49,'Rent Roll'!$G$24:$G$125)))</f>
        <v>0</v>
      </c>
      <c r="F49" s="3603">
        <f t="shared" si="1"/>
        <v>0</v>
      </c>
      <c r="G49" s="3604" t="str">
        <f>IF('Rent Roll'!BE$17="# Bedrooms","N/A",'Rent Roll'!BE$17)</f>
        <v>N/A</v>
      </c>
      <c r="H49" s="3605" t="str">
        <f>IF('Rent Roll'!BE$18="# Baths","N/A",'Rent Roll'!BE$18)</f>
        <v>N/A</v>
      </c>
      <c r="I49" s="3606" t="str">
        <f>IF('Rent Roll'!$BE$22="Square Footage","N/A",'Rent Roll'!$BE$22)</f>
        <v>N/A</v>
      </c>
      <c r="J49" s="3607" t="str">
        <f>IF('Rent Roll'!BE$21="Market Rent","N/A",'Rent Roll'!BE$21)</f>
        <v>N/A</v>
      </c>
      <c r="K49" s="3608">
        <f t="shared" si="2"/>
        <v>0</v>
      </c>
      <c r="L49" s="3609">
        <f>'Rent Roll'!BE$126</f>
        <v>0</v>
      </c>
      <c r="M49" s="3609">
        <f>'Rent Roll'!BE$130</f>
        <v>0</v>
      </c>
      <c r="N49" s="3609" t="str">
        <f>IF('Rent Roll'!BE$126=0,"N/A",('Rent Roll'!BE$126-SUMIF('Rent Roll'!$G$24:$G$125,'Rent Roll'!BE$20,'Rent Roll'!$K$24:$K$125))/($E49-$Q49))</f>
        <v>N/A</v>
      </c>
      <c r="O49" s="3608">
        <f t="shared" si="3"/>
        <v>0</v>
      </c>
      <c r="P49" s="3610">
        <f t="shared" si="4"/>
        <v>0</v>
      </c>
      <c r="Q49" s="3611">
        <f>'Rent Roll'!BE$128</f>
        <v>0</v>
      </c>
      <c r="R49" s="3612">
        <f t="shared" si="5"/>
        <v>0</v>
      </c>
      <c r="S49" s="3614" t="str">
        <f>'Rent Roll'!$BE$20</f>
        <v>BO</v>
      </c>
    </row>
    <row r="50" ht="14.25" customHeight="1" hidden="1">
      <c r="A50" s="3594" t="s">
        <v>2558</v>
      </c>
      <c r="B50" s="3594" t="str">
        <f t="shared" si="6"/>
        <v>H</v>
      </c>
      <c r="D50" s="3601" t="str">
        <f t="shared" si="0"/>
        <v>N/A</v>
      </c>
      <c r="E50" s="3602" cm="1">
        <f t="array" ref="E50">SUMPRODUCT((--EXACT(S50,'Rent Roll'!$G$24:$G$125)))</f>
        <v>0</v>
      </c>
      <c r="F50" s="3603">
        <f t="shared" si="1"/>
        <v>0</v>
      </c>
      <c r="G50" s="3604" t="str">
        <f>IF('Rent Roll'!BF$17="# Bedrooms","N/A",'Rent Roll'!BF$17)</f>
        <v>N/A</v>
      </c>
      <c r="H50" s="3605" t="str">
        <f>IF('Rent Roll'!BF$18="# Baths","N/A",'Rent Roll'!BF$18)</f>
        <v>N/A</v>
      </c>
      <c r="I50" s="3606" t="str">
        <f>IF('Rent Roll'!$BF$22="Square Footage","N/A",'Rent Roll'!$BF$22)</f>
        <v>N/A</v>
      </c>
      <c r="J50" s="3607" t="str">
        <f>IF('Rent Roll'!BF$21="Market Rent","N/A",'Rent Roll'!BF$21)</f>
        <v>N/A</v>
      </c>
      <c r="K50" s="3608">
        <f t="shared" si="2"/>
        <v>0</v>
      </c>
      <c r="L50" s="3609">
        <f>'Rent Roll'!BF$126</f>
        <v>0</v>
      </c>
      <c r="M50" s="3609">
        <f>'Rent Roll'!BF$130</f>
        <v>0</v>
      </c>
      <c r="N50" s="3609" t="str">
        <f>IF('Rent Roll'!BF$126=0,"N/A",('Rent Roll'!BF$126-SUMIF('Rent Roll'!$G$24:$G$125,'Rent Roll'!BF$20,'Rent Roll'!$K$24:$K$125))/($E50-$Q50))</f>
        <v>N/A</v>
      </c>
      <c r="O50" s="3608">
        <f t="shared" si="3"/>
        <v>0</v>
      </c>
      <c r="P50" s="3610">
        <f t="shared" si="4"/>
        <v>0</v>
      </c>
      <c r="Q50" s="3611">
        <f>'Rent Roll'!BF$128</f>
        <v>0</v>
      </c>
      <c r="R50" s="3612">
        <f t="shared" si="5"/>
        <v>0</v>
      </c>
      <c r="S50" s="3614" t="str">
        <f>'Rent Roll'!$BF$20</f>
        <v>BP</v>
      </c>
    </row>
    <row r="51" ht="14.25" customHeight="1" hidden="1">
      <c r="A51" s="3594" t="s">
        <v>2559</v>
      </c>
      <c r="B51" s="3594" t="str">
        <f t="shared" si="6"/>
        <v>H</v>
      </c>
      <c r="D51" s="3601" t="str">
        <f t="shared" si="0"/>
        <v>N/A</v>
      </c>
      <c r="E51" s="3602" cm="1">
        <f t="array" ref="E51">SUMPRODUCT((--EXACT(S51,'Rent Roll'!$G$24:$G$125)))</f>
        <v>0</v>
      </c>
      <c r="F51" s="3603">
        <f t="shared" si="1"/>
        <v>0</v>
      </c>
      <c r="G51" s="3604" t="str">
        <f>IF('Rent Roll'!BG$17="# Bedrooms","N/A",'Rent Roll'!BG$17)</f>
        <v>N/A</v>
      </c>
      <c r="H51" s="3605" t="str">
        <f>IF('Rent Roll'!BG$18="# Baths","N/A",'Rent Roll'!BG$18)</f>
        <v>N/A</v>
      </c>
      <c r="I51" s="3606" t="str">
        <f>IF('Rent Roll'!$BG$22="Square Footage","N/A",'Rent Roll'!$BG$22)</f>
        <v>N/A</v>
      </c>
      <c r="J51" s="3607" t="str">
        <f>IF('Rent Roll'!BG$21="Market Rent","N/A",'Rent Roll'!BG$21)</f>
        <v>N/A</v>
      </c>
      <c r="K51" s="3608">
        <f t="shared" si="2"/>
        <v>0</v>
      </c>
      <c r="L51" s="3609">
        <f>'Rent Roll'!BG$126</f>
        <v>0</v>
      </c>
      <c r="M51" s="3609">
        <f>'Rent Roll'!BG$130</f>
        <v>0</v>
      </c>
      <c r="N51" s="3609" t="str">
        <f>IF('Rent Roll'!BG$126=0,"N/A",('Rent Roll'!BG$126-SUMIF('Rent Roll'!$G$24:$G$125,'Rent Roll'!BG$20,'Rent Roll'!$K$24:$K$125))/($E51-$Q51))</f>
        <v>N/A</v>
      </c>
      <c r="O51" s="3608">
        <f t="shared" si="3"/>
        <v>0</v>
      </c>
      <c r="P51" s="3610">
        <f t="shared" si="4"/>
        <v>0</v>
      </c>
      <c r="Q51" s="3611">
        <f>'Rent Roll'!BG$128</f>
        <v>0</v>
      </c>
      <c r="R51" s="3612">
        <f t="shared" si="5"/>
        <v>0</v>
      </c>
      <c r="S51" s="3614" t="str">
        <f>'Rent Roll'!$BG$20</f>
        <v>BQ</v>
      </c>
    </row>
    <row r="52" ht="14.25" customHeight="1" hidden="1">
      <c r="A52" s="3594" t="s">
        <v>2560</v>
      </c>
      <c r="B52" s="3594" t="str">
        <f t="shared" si="6"/>
        <v>H</v>
      </c>
      <c r="D52" s="3601" t="str">
        <f t="shared" si="0"/>
        <v>N/A</v>
      </c>
      <c r="E52" s="3602" cm="1">
        <f t="array" ref="E52">SUMPRODUCT((--EXACT(S52,'Rent Roll'!$G$24:$G$125)))</f>
        <v>0</v>
      </c>
      <c r="F52" s="3603">
        <f t="shared" si="1"/>
        <v>0</v>
      </c>
      <c r="G52" s="3604" t="str">
        <f>IF('Rent Roll'!BH$17="# Bedrooms","N/A",'Rent Roll'!BH$17)</f>
        <v>N/A</v>
      </c>
      <c r="H52" s="3605" t="str">
        <f>IF('Rent Roll'!BH$18="# Baths","N/A",'Rent Roll'!BH$18)</f>
        <v>N/A</v>
      </c>
      <c r="I52" s="3606" t="str">
        <f>IF('Rent Roll'!$BH$22="Square Footage","N/A",'Rent Roll'!$BH$22)</f>
        <v>N/A</v>
      </c>
      <c r="J52" s="3607" t="str">
        <f>IF('Rent Roll'!BH$21="Market Rent","N/A",'Rent Roll'!BH$21)</f>
        <v>N/A</v>
      </c>
      <c r="K52" s="3608">
        <f t="shared" si="2"/>
        <v>0</v>
      </c>
      <c r="L52" s="3609">
        <f>'Rent Roll'!BH$126</f>
        <v>0</v>
      </c>
      <c r="M52" s="3609">
        <f>'Rent Roll'!BH$130</f>
        <v>0</v>
      </c>
      <c r="N52" s="3609" t="str">
        <f>IF('Rent Roll'!BH$126=0,"N/A",('Rent Roll'!BH$126-SUMIF('Rent Roll'!$G$24:$G$125,'Rent Roll'!BH$20,'Rent Roll'!$K$24:$K$125))/($E52-$Q52))</f>
        <v>N/A</v>
      </c>
      <c r="O52" s="3608">
        <f t="shared" si="3"/>
        <v>0</v>
      </c>
      <c r="P52" s="3610">
        <f t="shared" si="4"/>
        <v>0</v>
      </c>
      <c r="Q52" s="3611">
        <f>'Rent Roll'!BH$128</f>
        <v>0</v>
      </c>
      <c r="R52" s="3612">
        <f t="shared" si="5"/>
        <v>0</v>
      </c>
      <c r="S52" s="3614" t="str">
        <f>'Rent Roll'!$BH$20</f>
        <v>BR</v>
      </c>
    </row>
    <row r="53" ht="14.25" customHeight="1" hidden="1">
      <c r="A53" s="3594" t="s">
        <v>2561</v>
      </c>
      <c r="B53" s="3594" t="str">
        <f t="shared" si="6"/>
        <v>H</v>
      </c>
      <c r="D53" s="3601" t="str">
        <f t="shared" si="0"/>
        <v>N/A</v>
      </c>
      <c r="E53" s="3602" cm="1">
        <f t="array" ref="E53">SUMPRODUCT((--EXACT(S53,'Rent Roll'!$G$24:$G$125)))</f>
        <v>0</v>
      </c>
      <c r="F53" s="3603">
        <f t="shared" si="1"/>
        <v>0</v>
      </c>
      <c r="G53" s="3604" t="str">
        <f>IF('Rent Roll'!BI$17="# Bedrooms","N/A",'Rent Roll'!BI$17)</f>
        <v>N/A</v>
      </c>
      <c r="H53" s="3605" t="str">
        <f>IF('Rent Roll'!BI$18="# Baths","N/A",'Rent Roll'!BI$18)</f>
        <v>N/A</v>
      </c>
      <c r="I53" s="3606" t="str">
        <f>IF('Rent Roll'!$BI$22="Square Footage","N/A",'Rent Roll'!$BI$22)</f>
        <v>N/A</v>
      </c>
      <c r="J53" s="3607" t="str">
        <f>IF('Rent Roll'!BI$21="Market Rent","N/A",'Rent Roll'!BI$21)</f>
        <v>N/A</v>
      </c>
      <c r="K53" s="3608">
        <f t="shared" si="2"/>
        <v>0</v>
      </c>
      <c r="L53" s="3609">
        <f>'Rent Roll'!BI$126</f>
        <v>0</v>
      </c>
      <c r="M53" s="3609">
        <f>'Rent Roll'!BI$130</f>
        <v>0</v>
      </c>
      <c r="N53" s="3609" t="str">
        <f>IF('Rent Roll'!BI$126=0,"N/A",('Rent Roll'!BI$126-SUMIF('Rent Roll'!$G$24:$G$125,'Rent Roll'!BI$20,'Rent Roll'!$K$24:$K$125))/($E53-$Q53))</f>
        <v>N/A</v>
      </c>
      <c r="O53" s="3608">
        <f t="shared" si="3"/>
        <v>0</v>
      </c>
      <c r="P53" s="3610">
        <f t="shared" si="4"/>
        <v>0</v>
      </c>
      <c r="Q53" s="3611">
        <f>'Rent Roll'!BI$128</f>
        <v>0</v>
      </c>
      <c r="R53" s="3612">
        <f t="shared" si="5"/>
        <v>0</v>
      </c>
      <c r="S53" s="3614" t="str">
        <f>'Rent Roll'!$BI$20</f>
        <v>BS</v>
      </c>
    </row>
    <row r="54" ht="14.25" customHeight="1" hidden="1">
      <c r="A54" s="3594" t="s">
        <v>2562</v>
      </c>
      <c r="B54" s="3594" t="str">
        <f t="shared" si="6"/>
        <v>H</v>
      </c>
      <c r="D54" s="3601" t="str">
        <f t="shared" si="0"/>
        <v>N/A</v>
      </c>
      <c r="E54" s="3602" cm="1">
        <f t="array" ref="E54">SUMPRODUCT((--EXACT(S54,'Rent Roll'!$G$24:$G$125)))</f>
        <v>0</v>
      </c>
      <c r="F54" s="3603">
        <f t="shared" si="1"/>
        <v>0</v>
      </c>
      <c r="G54" s="3604" t="str">
        <f>IF('Rent Roll'!BJ$17="# Bedrooms","N/A",'Rent Roll'!BJ$17)</f>
        <v>N/A</v>
      </c>
      <c r="H54" s="3605" t="str">
        <f>IF('Rent Roll'!BJ$18="# Baths","N/A",'Rent Roll'!BJ$18)</f>
        <v>N/A</v>
      </c>
      <c r="I54" s="3606" t="str">
        <f>IF('Rent Roll'!$BJ$22="Square Footage","N/A",'Rent Roll'!$BJ$22)</f>
        <v>N/A</v>
      </c>
      <c r="J54" s="3607" t="str">
        <f>IF('Rent Roll'!BJ$21="Market Rent","N/A",'Rent Roll'!BJ$21)</f>
        <v>N/A</v>
      </c>
      <c r="K54" s="3608">
        <f t="shared" si="2"/>
        <v>0</v>
      </c>
      <c r="L54" s="3609">
        <f>'Rent Roll'!BJ$126</f>
        <v>0</v>
      </c>
      <c r="M54" s="3609">
        <f>'Rent Roll'!BJ$130</f>
        <v>0</v>
      </c>
      <c r="N54" s="3609" t="str">
        <f>IF('Rent Roll'!BJ$126=0,"N/A",('Rent Roll'!BJ$126-SUMIF('Rent Roll'!$G$24:$G$125,'Rent Roll'!BJ$20,'Rent Roll'!$K$24:$K$125))/($E54-$Q54))</f>
        <v>N/A</v>
      </c>
      <c r="O54" s="3608">
        <f t="shared" si="3"/>
        <v>0</v>
      </c>
      <c r="P54" s="3610">
        <f t="shared" si="4"/>
        <v>0</v>
      </c>
      <c r="Q54" s="3611">
        <f>'Rent Roll'!BJ$128</f>
        <v>0</v>
      </c>
      <c r="R54" s="3612">
        <f t="shared" si="5"/>
        <v>0</v>
      </c>
      <c r="S54" s="3614" t="str">
        <f>'Rent Roll'!$BJ$20</f>
        <v>BT</v>
      </c>
    </row>
    <row r="55" ht="14.25" customHeight="1" hidden="1">
      <c r="A55" s="3594" t="s">
        <v>2563</v>
      </c>
      <c r="B55" s="3594" t="str">
        <f t="shared" si="6"/>
        <v>H</v>
      </c>
      <c r="D55" s="3601" t="str">
        <f t="shared" si="0"/>
        <v>N/A</v>
      </c>
      <c r="E55" s="3602" cm="1">
        <f t="array" ref="E55">SUMPRODUCT((--EXACT(S55,'Rent Roll'!$G$24:$G$125)))</f>
        <v>0</v>
      </c>
      <c r="F55" s="3603">
        <f t="shared" si="1"/>
        <v>0</v>
      </c>
      <c r="G55" s="3604" t="str">
        <f>IF('Rent Roll'!BK$17="# Bedrooms","N/A",'Rent Roll'!BK$17)</f>
        <v>N/A</v>
      </c>
      <c r="H55" s="3605" t="str">
        <f>IF('Rent Roll'!BK$18="# Baths","N/A",'Rent Roll'!BK$18)</f>
        <v>N/A</v>
      </c>
      <c r="I55" s="3606" t="str">
        <f>IF('Rent Roll'!$BK$22="Square Footage","N/A",'Rent Roll'!$BK$22)</f>
        <v>N/A</v>
      </c>
      <c r="J55" s="3607" t="str">
        <f>IF('Rent Roll'!BK$21="Market Rent","N/A",'Rent Roll'!BK$21)</f>
        <v>N/A</v>
      </c>
      <c r="K55" s="3608">
        <f t="shared" si="2"/>
        <v>0</v>
      </c>
      <c r="L55" s="3609">
        <f>'Rent Roll'!BK$126</f>
        <v>0</v>
      </c>
      <c r="M55" s="3609">
        <f>'Rent Roll'!BK$130</f>
        <v>0</v>
      </c>
      <c r="N55" s="3609" t="str">
        <f>IF('Rent Roll'!BK$126=0,"N/A",('Rent Roll'!BK$126-SUMIF('Rent Roll'!$G$24:$G$125,'Rent Roll'!BK$20,'Rent Roll'!$K$24:$K$125))/($E55-$Q55))</f>
        <v>N/A</v>
      </c>
      <c r="O55" s="3608">
        <f t="shared" si="3"/>
        <v>0</v>
      </c>
      <c r="P55" s="3610">
        <f t="shared" si="4"/>
        <v>0</v>
      </c>
      <c r="Q55" s="3611">
        <f>'Rent Roll'!BK$128</f>
        <v>0</v>
      </c>
      <c r="R55" s="3612">
        <f t="shared" si="5"/>
        <v>0</v>
      </c>
      <c r="S55" s="3614" t="str">
        <f>'Rent Roll'!$BK$20</f>
        <v>BU</v>
      </c>
    </row>
    <row r="56" ht="14.25" customHeight="1" hidden="1">
      <c r="A56" s="3594" t="s">
        <v>2564</v>
      </c>
      <c r="B56" s="3594" t="str">
        <f t="shared" si="6"/>
        <v>H</v>
      </c>
      <c r="D56" s="3601" t="str">
        <f t="shared" si="0"/>
        <v>N/A</v>
      </c>
      <c r="E56" s="3602" cm="1">
        <f t="array" ref="E56">SUMPRODUCT((--EXACT(S56,'Rent Roll'!$G$24:$G$125)))</f>
        <v>0</v>
      </c>
      <c r="F56" s="3603">
        <f t="shared" si="1"/>
        <v>0</v>
      </c>
      <c r="G56" s="3604" t="str">
        <f>IF('Rent Roll'!BL$17="# Bedrooms","N/A",'Rent Roll'!BL$17)</f>
        <v>N/A</v>
      </c>
      <c r="H56" s="3605" t="str">
        <f>IF('Rent Roll'!BL$18="# Baths","N/A",'Rent Roll'!BL$18)</f>
        <v>N/A</v>
      </c>
      <c r="I56" s="3606" t="str">
        <f>IF('Rent Roll'!$BL$22="Square Footage","N/A",'Rent Roll'!$BL$22)</f>
        <v>N/A</v>
      </c>
      <c r="J56" s="3607" t="str">
        <f>IF('Rent Roll'!BL$21="Market Rent","N/A",'Rent Roll'!BL$21)</f>
        <v>N/A</v>
      </c>
      <c r="K56" s="3608">
        <f t="shared" si="2"/>
        <v>0</v>
      </c>
      <c r="L56" s="3609">
        <f>'Rent Roll'!BL$126</f>
        <v>0</v>
      </c>
      <c r="M56" s="3609">
        <f>'Rent Roll'!BL$130</f>
        <v>0</v>
      </c>
      <c r="N56" s="3609" t="str">
        <f>IF('Rent Roll'!BL$126=0,"N/A",('Rent Roll'!BL$126-SUMIF('Rent Roll'!$G$24:$G$125,'Rent Roll'!BL$20,'Rent Roll'!$K$24:$K$125))/($E56-$Q56))</f>
        <v>N/A</v>
      </c>
      <c r="O56" s="3608">
        <f t="shared" si="3"/>
        <v>0</v>
      </c>
      <c r="P56" s="3610">
        <f t="shared" si="4"/>
        <v>0</v>
      </c>
      <c r="Q56" s="3611">
        <f>'Rent Roll'!BL$128</f>
        <v>0</v>
      </c>
      <c r="R56" s="3612">
        <f t="shared" si="5"/>
        <v>0</v>
      </c>
      <c r="S56" s="3614" t="str">
        <f>'Rent Roll'!$BL$20</f>
        <v>BV</v>
      </c>
    </row>
    <row r="57" ht="14.25" customHeight="1" hidden="1">
      <c r="A57" s="3594" t="s">
        <v>2565</v>
      </c>
      <c r="B57" s="3594" t="str">
        <f t="shared" si="6"/>
        <v>H</v>
      </c>
      <c r="D57" s="3601" t="str">
        <f t="shared" si="0"/>
        <v>N/A</v>
      </c>
      <c r="E57" s="3602" cm="1">
        <f t="array" ref="E57">SUMPRODUCT((--EXACT(S57,'Rent Roll'!$G$24:$G$125)))</f>
        <v>0</v>
      </c>
      <c r="F57" s="3603">
        <f t="shared" si="1"/>
        <v>0</v>
      </c>
      <c r="G57" s="3604" t="str">
        <f>IF('Rent Roll'!BM$17="# Bedrooms","N/A",'Rent Roll'!BM$17)</f>
        <v>N/A</v>
      </c>
      <c r="H57" s="3605" t="str">
        <f>IF('Rent Roll'!BM$18="# Baths","N/A",'Rent Roll'!BM$18)</f>
        <v>N/A</v>
      </c>
      <c r="I57" s="3606" t="str">
        <f>IF('Rent Roll'!$BM$22="Square Footage","N/A",'Rent Roll'!$BM$22)</f>
        <v>N/A</v>
      </c>
      <c r="J57" s="3607" t="str">
        <f>IF('Rent Roll'!BM$21="Market Rent","N/A",'Rent Roll'!BM$21)</f>
        <v>N/A</v>
      </c>
      <c r="K57" s="3608">
        <f t="shared" si="2"/>
        <v>0</v>
      </c>
      <c r="L57" s="3609">
        <f>'Rent Roll'!BM$126</f>
        <v>0</v>
      </c>
      <c r="M57" s="3609">
        <f>'Rent Roll'!BM$130</f>
        <v>0</v>
      </c>
      <c r="N57" s="3609" t="str">
        <f>IF('Rent Roll'!BM$126=0,"N/A",('Rent Roll'!BM$126-SUMIF('Rent Roll'!$G$24:$G$125,'Rent Roll'!BM$20,'Rent Roll'!$K$24:$K$125))/($E57-$Q57))</f>
        <v>N/A</v>
      </c>
      <c r="O57" s="3608">
        <f t="shared" si="3"/>
        <v>0</v>
      </c>
      <c r="P57" s="3610">
        <f t="shared" si="4"/>
        <v>0</v>
      </c>
      <c r="Q57" s="3611">
        <f>'Rent Roll'!BM$128</f>
        <v>0</v>
      </c>
      <c r="R57" s="3612">
        <f t="shared" si="5"/>
        <v>0</v>
      </c>
      <c r="S57" s="3614" t="str">
        <f>'Rent Roll'!$BM$20</f>
        <v>BW</v>
      </c>
    </row>
    <row r="58" ht="14.25" customHeight="1" hidden="1">
      <c r="A58" s="3594" t="s">
        <v>2566</v>
      </c>
      <c r="B58" s="3594" t="str">
        <f t="shared" si="6"/>
        <v>H</v>
      </c>
      <c r="D58" s="3601" t="str">
        <f t="shared" si="0"/>
        <v>N/A</v>
      </c>
      <c r="E58" s="3602" cm="1">
        <f t="array" ref="E58">SUMPRODUCT((--EXACT(S58,'Rent Roll'!$G$24:$G$125)))</f>
        <v>0</v>
      </c>
      <c r="F58" s="3603">
        <f t="shared" si="1"/>
        <v>0</v>
      </c>
      <c r="G58" s="3604" t="str">
        <f>IF('Rent Roll'!BN$17="# Bedrooms","N/A",'Rent Roll'!BN$17)</f>
        <v>N/A</v>
      </c>
      <c r="H58" s="3605" t="str">
        <f>IF('Rent Roll'!BN$18="# Baths","N/A",'Rent Roll'!BN$18)</f>
        <v>N/A</v>
      </c>
      <c r="I58" s="3606" t="str">
        <f>IF('Rent Roll'!$BN$22="Square Footage","N/A",'Rent Roll'!$BN$22)</f>
        <v>N/A</v>
      </c>
      <c r="J58" s="3607" t="str">
        <f>IF('Rent Roll'!BN$21="Market Rent","N/A",'Rent Roll'!BN$21)</f>
        <v>N/A</v>
      </c>
      <c r="K58" s="3608">
        <f t="shared" si="2"/>
        <v>0</v>
      </c>
      <c r="L58" s="3609">
        <f>'Rent Roll'!BN$126</f>
        <v>0</v>
      </c>
      <c r="M58" s="3609">
        <f>'Rent Roll'!BN$130</f>
        <v>0</v>
      </c>
      <c r="N58" s="3609" t="str">
        <f>IF('Rent Roll'!BN$126=0,"N/A",('Rent Roll'!BN$126-SUMIF('Rent Roll'!$G$24:$G$125,'Rent Roll'!BN$20,'Rent Roll'!$K$24:$K$125))/($E58-$Q58))</f>
        <v>N/A</v>
      </c>
      <c r="O58" s="3608">
        <f t="shared" si="3"/>
        <v>0</v>
      </c>
      <c r="P58" s="3610">
        <f t="shared" si="4"/>
        <v>0</v>
      </c>
      <c r="Q58" s="3611">
        <f>'Rent Roll'!BN$128</f>
        <v>0</v>
      </c>
      <c r="R58" s="3612">
        <f t="shared" si="5"/>
        <v>0</v>
      </c>
      <c r="S58" s="3614" t="str">
        <f>'Rent Roll'!$BN$20</f>
        <v>BX</v>
      </c>
    </row>
    <row r="59" ht="14.25" customHeight="1" hidden="1">
      <c r="A59" s="3594" t="s">
        <v>2567</v>
      </c>
      <c r="B59" s="3594" t="str">
        <f t="shared" si="6"/>
        <v>H</v>
      </c>
      <c r="D59" s="3601" t="str">
        <f t="shared" si="0"/>
        <v>N/A</v>
      </c>
      <c r="E59" s="3602" cm="1">
        <f t="array" ref="E59">SUMPRODUCT((--EXACT(S59,'Rent Roll'!$G$24:$G$125)))</f>
        <v>0</v>
      </c>
      <c r="F59" s="3603">
        <f t="shared" si="1"/>
        <v>0</v>
      </c>
      <c r="G59" s="3604" t="str">
        <f>IF('Rent Roll'!BO$17="# Bedrooms","N/A",'Rent Roll'!BO$17)</f>
        <v>N/A</v>
      </c>
      <c r="H59" s="3605" t="str">
        <f>IF('Rent Roll'!BO$18="# Baths","N/A",'Rent Roll'!BO$18)</f>
        <v>N/A</v>
      </c>
      <c r="I59" s="3606" t="str">
        <f>IF('Rent Roll'!$BO$22="Square Footage","N/A",'Rent Roll'!$BO$22)</f>
        <v>N/A</v>
      </c>
      <c r="J59" s="3607" t="str">
        <f>IF('Rent Roll'!BO$21="Market Rent","N/A",'Rent Roll'!BO$21)</f>
        <v>N/A</v>
      </c>
      <c r="K59" s="3608">
        <f t="shared" si="2"/>
        <v>0</v>
      </c>
      <c r="L59" s="3609">
        <f>'Rent Roll'!BO$126</f>
        <v>0</v>
      </c>
      <c r="M59" s="3609">
        <f>'Rent Roll'!BO$130</f>
        <v>0</v>
      </c>
      <c r="N59" s="3609" t="str">
        <f>IF('Rent Roll'!BO$126=0,"N/A",('Rent Roll'!BO$126-SUMIF('Rent Roll'!$G$24:$G$125,'Rent Roll'!BO$20,'Rent Roll'!$K$24:$K$125))/($E59-$Q59))</f>
        <v>N/A</v>
      </c>
      <c r="O59" s="3608">
        <f t="shared" si="3"/>
        <v>0</v>
      </c>
      <c r="P59" s="3610">
        <f t="shared" si="4"/>
        <v>0</v>
      </c>
      <c r="Q59" s="3611">
        <f>'Rent Roll'!BO$128</f>
        <v>0</v>
      </c>
      <c r="R59" s="3612">
        <f t="shared" si="5"/>
        <v>0</v>
      </c>
      <c r="S59" s="3614" t="str">
        <f>'Rent Roll'!$BO$20</f>
        <v>BY</v>
      </c>
    </row>
    <row r="60" ht="14.25" customHeight="1" hidden="1">
      <c r="A60" s="3594" t="s">
        <v>2568</v>
      </c>
      <c r="B60" s="3594" t="str">
        <f t="shared" si="6"/>
        <v>H</v>
      </c>
      <c r="D60" s="3601" t="str">
        <f t="shared" si="0"/>
        <v>N/A</v>
      </c>
      <c r="E60" s="3602" cm="1">
        <f t="array" ref="E60">SUMPRODUCT((--EXACT(S60,'Rent Roll'!$G$24:$G$125)))</f>
        <v>0</v>
      </c>
      <c r="F60" s="3603">
        <f t="shared" si="1"/>
        <v>0</v>
      </c>
      <c r="G60" s="3604" t="str">
        <f>IF('Rent Roll'!BP$17="# Bedrooms","N/A",'Rent Roll'!BP$17)</f>
        <v>N/A</v>
      </c>
      <c r="H60" s="3605" t="str">
        <f>IF('Rent Roll'!BP$18="# Baths","N/A",'Rent Roll'!BP$18)</f>
        <v>N/A</v>
      </c>
      <c r="I60" s="3606" t="str">
        <f>IF('Rent Roll'!$BP$22="Square Footage","N/A",'Rent Roll'!$BP$22)</f>
        <v>N/A</v>
      </c>
      <c r="J60" s="3607" t="str">
        <f>IF('Rent Roll'!BP$21="Market Rent","N/A",'Rent Roll'!BP$21)</f>
        <v>N/A</v>
      </c>
      <c r="K60" s="3608">
        <f t="shared" si="2"/>
        <v>0</v>
      </c>
      <c r="L60" s="3609">
        <f>'Rent Roll'!BP$126</f>
        <v>0</v>
      </c>
      <c r="M60" s="3609">
        <f>'Rent Roll'!BP$130</f>
        <v>0</v>
      </c>
      <c r="N60" s="3609" t="str">
        <f>IF('Rent Roll'!BP$126=0,"N/A",('Rent Roll'!BP$126-SUMIF('Rent Roll'!$G$24:$G$125,'Rent Roll'!BP$20,'Rent Roll'!$K$24:$K$125))/($E60-$Q60))</f>
        <v>N/A</v>
      </c>
      <c r="O60" s="3608">
        <f t="shared" si="3"/>
        <v>0</v>
      </c>
      <c r="P60" s="3610">
        <f t="shared" si="4"/>
        <v>0</v>
      </c>
      <c r="Q60" s="3611">
        <f>'Rent Roll'!BP$128</f>
        <v>0</v>
      </c>
      <c r="R60" s="3612">
        <f t="shared" si="5"/>
        <v>0</v>
      </c>
      <c r="S60" s="3614" t="str">
        <f>'Rent Roll'!$BP$20</f>
        <v>BZ</v>
      </c>
    </row>
    <row r="61" ht="14.25" customHeight="1" hidden="1">
      <c r="A61" s="3594" t="s">
        <v>2569</v>
      </c>
      <c r="B61" s="3594" t="str">
        <f t="shared" si="6"/>
        <v>H</v>
      </c>
      <c r="D61" s="3601" t="str">
        <f t="shared" si="0"/>
        <v>N/A</v>
      </c>
      <c r="E61" s="3602" cm="1">
        <f t="array" ref="E61">SUMPRODUCT((--EXACT(S61,'Rent Roll'!$G$24:$G$125)))</f>
        <v>0</v>
      </c>
      <c r="F61" s="3603">
        <f t="shared" si="1"/>
        <v>0</v>
      </c>
      <c r="G61" s="3604" t="str">
        <f>IF('Rent Roll'!BQ$17="# Bedrooms","N/A",'Rent Roll'!BQ$17)</f>
        <v>N/A</v>
      </c>
      <c r="H61" s="3605" t="str">
        <f>IF('Rent Roll'!BQ$18="# Baths","N/A",'Rent Roll'!BQ$18)</f>
        <v>N/A</v>
      </c>
      <c r="I61" s="3606" t="str">
        <f>IF('Rent Roll'!$BQ$22="Square Footage","N/A",'Rent Roll'!$BQ$22)</f>
        <v>N/A</v>
      </c>
      <c r="J61" s="3607" t="str">
        <f>IF('Rent Roll'!BQ$21="Market Rent","N/A",'Rent Roll'!BQ$21)</f>
        <v>N/A</v>
      </c>
      <c r="K61" s="3608">
        <f t="shared" si="2"/>
        <v>0</v>
      </c>
      <c r="L61" s="3609">
        <f>'Rent Roll'!BQ$126</f>
        <v>0</v>
      </c>
      <c r="M61" s="3609">
        <f>'Rent Roll'!BQ$130</f>
        <v>0</v>
      </c>
      <c r="N61" s="3609" t="str">
        <f>IF('Rent Roll'!BQ$126=0,"N/A",('Rent Roll'!BQ$126-SUMIF('Rent Roll'!$G$24:$G$125,'Rent Roll'!BQ$20,'Rent Roll'!$K$24:$K$125))/($E61-$Q61))</f>
        <v>N/A</v>
      </c>
      <c r="O61" s="3608">
        <f t="shared" si="3"/>
        <v>0</v>
      </c>
      <c r="P61" s="3610">
        <f t="shared" si="4"/>
        <v>0</v>
      </c>
      <c r="Q61" s="3611">
        <f>'Rent Roll'!BQ$128</f>
        <v>0</v>
      </c>
      <c r="R61" s="3612">
        <f t="shared" si="5"/>
        <v>0</v>
      </c>
      <c r="S61" s="3614" t="str">
        <f>'Rent Roll'!$BQ$20</f>
        <v>CA</v>
      </c>
    </row>
    <row r="62" ht="14.25" customHeight="1" hidden="1">
      <c r="A62" s="3594" t="s">
        <v>2570</v>
      </c>
      <c r="B62" s="3594" t="str">
        <f t="shared" si="6"/>
        <v>H</v>
      </c>
      <c r="D62" s="3601" t="str">
        <f t="shared" si="0"/>
        <v>N/A</v>
      </c>
      <c r="E62" s="3602" cm="1">
        <f t="array" ref="E62">SUMPRODUCT((--EXACT(S62,'Rent Roll'!$G$24:$G$125)))</f>
        <v>0</v>
      </c>
      <c r="F62" s="3603">
        <f t="shared" si="1"/>
        <v>0</v>
      </c>
      <c r="G62" s="3604" t="str">
        <f>IF('Rent Roll'!BR$17="# Bedrooms","N/A",'Rent Roll'!BR$17)</f>
        <v>N/A</v>
      </c>
      <c r="H62" s="3605" t="str">
        <f>IF('Rent Roll'!BR$18="# Baths","N/A",'Rent Roll'!BR$18)</f>
        <v>N/A</v>
      </c>
      <c r="I62" s="3606" t="str">
        <f>IF('Rent Roll'!$BR$22="Square Footage","N/A",'Rent Roll'!$BR$22)</f>
        <v>N/A</v>
      </c>
      <c r="J62" s="3607" t="str">
        <f>IF('Rent Roll'!BR$21="Market Rent","N/A",'Rent Roll'!BR$21)</f>
        <v>N/A</v>
      </c>
      <c r="K62" s="3608">
        <f t="shared" si="2"/>
        <v>0</v>
      </c>
      <c r="L62" s="3609">
        <f>'Rent Roll'!BR$126</f>
        <v>0</v>
      </c>
      <c r="M62" s="3609">
        <f>'Rent Roll'!BR$130</f>
        <v>0</v>
      </c>
      <c r="N62" s="3609" t="str">
        <f>IF('Rent Roll'!BR$126=0,"N/A",('Rent Roll'!BR$126-SUMIF('Rent Roll'!$G$24:$G$125,'Rent Roll'!BR$20,'Rent Roll'!$K$24:$K$125))/($E62-$Q62))</f>
        <v>N/A</v>
      </c>
      <c r="O62" s="3608">
        <f t="shared" si="3"/>
        <v>0</v>
      </c>
      <c r="P62" s="3610">
        <f t="shared" si="4"/>
        <v>0</v>
      </c>
      <c r="Q62" s="3611">
        <f>'Rent Roll'!BR$128</f>
        <v>0</v>
      </c>
      <c r="R62" s="3612">
        <f t="shared" si="5"/>
        <v>0</v>
      </c>
      <c r="S62" s="3614" t="str">
        <f>'Rent Roll'!$BR$20</f>
        <v>CB</v>
      </c>
    </row>
    <row r="63" ht="14.25" customHeight="1" hidden="1">
      <c r="A63" s="3594" t="s">
        <v>2571</v>
      </c>
      <c r="B63" s="3594" t="str">
        <f t="shared" si="6"/>
        <v>H</v>
      </c>
      <c r="D63" s="3601" t="str">
        <f t="shared" si="0"/>
        <v>N/A</v>
      </c>
      <c r="E63" s="3602" cm="1">
        <f t="array" ref="E63">SUMPRODUCT((--EXACT(S63,'Rent Roll'!$G$24:$G$125)))</f>
        <v>0</v>
      </c>
      <c r="F63" s="3603">
        <f t="shared" si="1"/>
        <v>0</v>
      </c>
      <c r="G63" s="3604" t="str">
        <f>IF('Rent Roll'!BS$17="# Bedrooms","N/A",'Rent Roll'!BS$17)</f>
        <v>N/A</v>
      </c>
      <c r="H63" s="3605" t="str">
        <f>IF('Rent Roll'!BS$18="# Baths","N/A",'Rent Roll'!BS$18)</f>
        <v>N/A</v>
      </c>
      <c r="I63" s="3606" t="str">
        <f>IF('Rent Roll'!$BS$22="Square Footage","N/A",'Rent Roll'!$BS$22)</f>
        <v>N/A</v>
      </c>
      <c r="J63" s="3607" t="str">
        <f>IF('Rent Roll'!BS$21="Market Rent","N/A",'Rent Roll'!BS$21)</f>
        <v>N/A</v>
      </c>
      <c r="K63" s="3608">
        <f t="shared" si="2"/>
        <v>0</v>
      </c>
      <c r="L63" s="3609">
        <f>'Rent Roll'!BS$126</f>
        <v>0</v>
      </c>
      <c r="M63" s="3609">
        <f>'Rent Roll'!BS$130</f>
        <v>0</v>
      </c>
      <c r="N63" s="3609" t="str">
        <f>IF('Rent Roll'!BS$126=0,"N/A",('Rent Roll'!BS$126-SUMIF('Rent Roll'!$G$24:$G$125,'Rent Roll'!BS$20,'Rent Roll'!$K$24:$K$125))/($E63-$Q63))</f>
        <v>N/A</v>
      </c>
      <c r="O63" s="3608">
        <f t="shared" si="3"/>
        <v>0</v>
      </c>
      <c r="P63" s="3610">
        <f t="shared" si="4"/>
        <v>0</v>
      </c>
      <c r="Q63" s="3611">
        <f>'Rent Roll'!BS$128</f>
        <v>0</v>
      </c>
      <c r="R63" s="3612">
        <f t="shared" si="5"/>
        <v>0</v>
      </c>
      <c r="S63" s="3614" t="str">
        <f>'Rent Roll'!$BS$20</f>
        <v>CC</v>
      </c>
    </row>
    <row r="64" ht="14.25" customHeight="1" hidden="1">
      <c r="A64" s="3594" t="s">
        <v>2572</v>
      </c>
      <c r="B64" s="3594" t="str">
        <f t="shared" si="6"/>
        <v>H</v>
      </c>
      <c r="D64" s="3601" t="str">
        <f t="shared" si="0"/>
        <v>N/A</v>
      </c>
      <c r="E64" s="3602" cm="1">
        <f t="array" ref="E64">SUMPRODUCT((--EXACT(S64,'Rent Roll'!$G$24:$G$125)))</f>
        <v>0</v>
      </c>
      <c r="F64" s="3603">
        <f t="shared" si="1"/>
        <v>0</v>
      </c>
      <c r="G64" s="3604" t="str">
        <f>IF('Rent Roll'!BT$17="# Bedrooms","N/A",'Rent Roll'!BT$17)</f>
        <v>N/A</v>
      </c>
      <c r="H64" s="3605" t="str">
        <f>IF('Rent Roll'!BT$18="# Baths","N/A",'Rent Roll'!BT$18)</f>
        <v>N/A</v>
      </c>
      <c r="I64" s="3606" t="str">
        <f>IF('Rent Roll'!$BT$22="Square Footage","N/A",'Rent Roll'!$BT$22)</f>
        <v>N/A</v>
      </c>
      <c r="J64" s="3607" t="str">
        <f>IF('Rent Roll'!BT$21="Market Rent","N/A",'Rent Roll'!BT$21)</f>
        <v>N/A</v>
      </c>
      <c r="K64" s="3608">
        <f t="shared" si="2"/>
        <v>0</v>
      </c>
      <c r="L64" s="3609">
        <f>'Rent Roll'!BT$126</f>
        <v>0</v>
      </c>
      <c r="M64" s="3609">
        <f>'Rent Roll'!BT$130</f>
        <v>0</v>
      </c>
      <c r="N64" s="3609" t="str">
        <f>IF('Rent Roll'!BT$126=0,"N/A",('Rent Roll'!BT$126-SUMIF('Rent Roll'!$G$24:$G$125,'Rent Roll'!BT$20,'Rent Roll'!$K$24:$K$125))/($E64-$Q64))</f>
        <v>N/A</v>
      </c>
      <c r="O64" s="3608">
        <f t="shared" si="3"/>
        <v>0</v>
      </c>
      <c r="P64" s="3610">
        <f t="shared" si="4"/>
        <v>0</v>
      </c>
      <c r="Q64" s="3611">
        <f>'Rent Roll'!BT$128</f>
        <v>0</v>
      </c>
      <c r="R64" s="3612">
        <f t="shared" si="5"/>
        <v>0</v>
      </c>
      <c r="S64" s="3614" t="str">
        <f>'Rent Roll'!$BT$20</f>
        <v>CD</v>
      </c>
    </row>
    <row r="65" ht="14.25" customHeight="1" hidden="1">
      <c r="A65" s="3594" t="s">
        <v>2573</v>
      </c>
      <c r="B65" s="3594" t="str">
        <f t="shared" si="6"/>
        <v>H</v>
      </c>
      <c r="D65" s="3601" t="str">
        <f t="shared" si="0"/>
        <v>N/A</v>
      </c>
      <c r="E65" s="3602" cm="1">
        <f t="array" ref="E65">SUMPRODUCT((--EXACT(S65,'Rent Roll'!$G$24:$G$125)))</f>
        <v>0</v>
      </c>
      <c r="F65" s="3603">
        <f t="shared" si="1"/>
        <v>0</v>
      </c>
      <c r="G65" s="3604" t="str">
        <f>IF('Rent Roll'!BU$17="# Bedrooms","N/A",'Rent Roll'!BU$17)</f>
        <v>N/A</v>
      </c>
      <c r="H65" s="3605" t="str">
        <f>IF('Rent Roll'!BU$18="# Baths","N/A",'Rent Roll'!BU$18)</f>
        <v>N/A</v>
      </c>
      <c r="I65" s="3606" t="str">
        <f>IF('Rent Roll'!$BU$22="Square Footage","N/A",'Rent Roll'!$BU$22)</f>
        <v>N/A</v>
      </c>
      <c r="J65" s="3607" t="str">
        <f>IF('Rent Roll'!BU$21="Market Rent","N/A",'Rent Roll'!BU$21)</f>
        <v>N/A</v>
      </c>
      <c r="K65" s="3608">
        <f t="shared" si="2"/>
        <v>0</v>
      </c>
      <c r="L65" s="3609">
        <f>'Rent Roll'!BU$126</f>
        <v>0</v>
      </c>
      <c r="M65" s="3609">
        <f>'Rent Roll'!BU$130</f>
        <v>0</v>
      </c>
      <c r="N65" s="3609" t="str">
        <f>IF('Rent Roll'!BU$126=0,"N/A",('Rent Roll'!BU$126-SUMIF('Rent Roll'!$G$24:$G$125,'Rent Roll'!BU$20,'Rent Roll'!$K$24:$K$125))/($E65-$Q65))</f>
        <v>N/A</v>
      </c>
      <c r="O65" s="3608">
        <f t="shared" si="3"/>
        <v>0</v>
      </c>
      <c r="P65" s="3610">
        <f t="shared" si="4"/>
        <v>0</v>
      </c>
      <c r="Q65" s="3611">
        <f>'Rent Roll'!BU$128</f>
        <v>0</v>
      </c>
      <c r="R65" s="3612">
        <f t="shared" si="5"/>
        <v>0</v>
      </c>
      <c r="S65" s="3614" t="str">
        <f>'Rent Roll'!$BU$20</f>
        <v>CE</v>
      </c>
    </row>
    <row r="66" ht="14.25" customHeight="1" hidden="1">
      <c r="A66" s="3594" t="s">
        <v>2574</v>
      </c>
      <c r="B66" s="3594" t="str">
        <f t="shared" si="6"/>
        <v>H</v>
      </c>
      <c r="D66" s="3601" t="str">
        <f t="shared" si="0"/>
        <v>N/A</v>
      </c>
      <c r="E66" s="3602" cm="1">
        <f t="array" ref="E66">SUMPRODUCT((--EXACT(S66,'Rent Roll'!$G$24:$G$125)))</f>
        <v>0</v>
      </c>
      <c r="F66" s="3603">
        <f t="shared" si="1"/>
        <v>0</v>
      </c>
      <c r="G66" s="3604" t="str">
        <f>IF('Rent Roll'!BV$17="# Bedrooms","N/A",'Rent Roll'!BV$17)</f>
        <v>N/A</v>
      </c>
      <c r="H66" s="3605" t="str">
        <f>IF('Rent Roll'!BV$18="# Baths","N/A",'Rent Roll'!BV$18)</f>
        <v>N/A</v>
      </c>
      <c r="I66" s="3606" t="str">
        <f>IF('Rent Roll'!$BV$22="Square Footage","N/A",'Rent Roll'!$BV$22)</f>
        <v>N/A</v>
      </c>
      <c r="J66" s="3607" t="str">
        <f>IF('Rent Roll'!BV$21="Market Rent","N/A",'Rent Roll'!BV$21)</f>
        <v>N/A</v>
      </c>
      <c r="K66" s="3608">
        <f t="shared" si="2"/>
        <v>0</v>
      </c>
      <c r="L66" s="3609">
        <f>'Rent Roll'!BV$126</f>
        <v>0</v>
      </c>
      <c r="M66" s="3609">
        <f>'Rent Roll'!BV$130</f>
        <v>0</v>
      </c>
      <c r="N66" s="3609" t="str">
        <f>IF('Rent Roll'!BV$126=0,"N/A",('Rent Roll'!BV$126-SUMIF('Rent Roll'!$G$24:$G$125,'Rent Roll'!BV$20,'Rent Roll'!$K$24:$K$125))/($E66-$Q66))</f>
        <v>N/A</v>
      </c>
      <c r="O66" s="3608">
        <f t="shared" si="3"/>
        <v>0</v>
      </c>
      <c r="P66" s="3610">
        <f t="shared" si="4"/>
        <v>0</v>
      </c>
      <c r="Q66" s="3611">
        <f>'Rent Roll'!BV$128</f>
        <v>0</v>
      </c>
      <c r="R66" s="3612">
        <f t="shared" si="5"/>
        <v>0</v>
      </c>
      <c r="S66" s="3614" t="str">
        <f>'Rent Roll'!$BV$20</f>
        <v>CF</v>
      </c>
    </row>
    <row r="67" ht="14.25" customHeight="1" hidden="1">
      <c r="A67" s="3594" t="s">
        <v>2575</v>
      </c>
      <c r="B67" s="3594" t="str">
        <f t="shared" si="6"/>
        <v>H</v>
      </c>
      <c r="D67" s="3601" t="str">
        <f t="shared" si="0"/>
        <v>N/A</v>
      </c>
      <c r="E67" s="3602" cm="1">
        <f t="array" ref="E67">SUMPRODUCT((--EXACT(S67,'Rent Roll'!$G$24:$G$125)))</f>
        <v>0</v>
      </c>
      <c r="F67" s="3603">
        <f t="shared" si="1"/>
        <v>0</v>
      </c>
      <c r="G67" s="3604" t="str">
        <f>IF('Rent Roll'!BW$17="# Bedrooms","N/A",'Rent Roll'!BW$17)</f>
        <v>N/A</v>
      </c>
      <c r="H67" s="3605" t="str">
        <f>IF('Rent Roll'!BW$18="# Baths","N/A",'Rent Roll'!BW$18)</f>
        <v>N/A</v>
      </c>
      <c r="I67" s="3606" t="str">
        <f>IF('Rent Roll'!$BW$22="Square Footage","N/A",'Rent Roll'!$BW$22)</f>
        <v>N/A</v>
      </c>
      <c r="J67" s="3607" t="str">
        <f>IF('Rent Roll'!BW$21="Market Rent","N/A",'Rent Roll'!BW$21)</f>
        <v>N/A</v>
      </c>
      <c r="K67" s="3608">
        <f t="shared" si="2"/>
        <v>0</v>
      </c>
      <c r="L67" s="3609">
        <f>'Rent Roll'!BW$126</f>
        <v>0</v>
      </c>
      <c r="M67" s="3609">
        <f>'Rent Roll'!BW$130</f>
        <v>0</v>
      </c>
      <c r="N67" s="3609" t="str">
        <f>IF('Rent Roll'!BW$126=0,"N/A",('Rent Roll'!BW$126-SUMIF('Rent Roll'!$G$24:$G$125,'Rent Roll'!BW$20,'Rent Roll'!$K$24:$K$125))/($E67-$Q67))</f>
        <v>N/A</v>
      </c>
      <c r="O67" s="3608">
        <f t="shared" si="3"/>
        <v>0</v>
      </c>
      <c r="P67" s="3610">
        <f t="shared" si="4"/>
        <v>0</v>
      </c>
      <c r="Q67" s="3611">
        <f>'Rent Roll'!BW$128</f>
        <v>0</v>
      </c>
      <c r="R67" s="3612">
        <f t="shared" si="5"/>
        <v>0</v>
      </c>
      <c r="S67" s="3614" t="str">
        <f>'Rent Roll'!$BW$20</f>
        <v>CG</v>
      </c>
    </row>
    <row r="68" ht="14.25" customHeight="1" hidden="1">
      <c r="A68" s="3594" t="s">
        <v>2576</v>
      </c>
      <c r="B68" s="3594" t="str">
        <f t="shared" si="6"/>
        <v>H</v>
      </c>
      <c r="D68" s="3601" t="str">
        <f t="shared" si="0"/>
        <v>N/A</v>
      </c>
      <c r="E68" s="3602" cm="1">
        <f t="array" ref="E68">SUMPRODUCT((--EXACT(S68,'Rent Roll'!$G$24:$G$125)))</f>
        <v>0</v>
      </c>
      <c r="F68" s="3603">
        <f t="shared" si="1"/>
        <v>0</v>
      </c>
      <c r="G68" s="3604" t="str">
        <f>IF('Rent Roll'!BX$17="# Bedrooms","N/A",'Rent Roll'!BX$17)</f>
        <v>N/A</v>
      </c>
      <c r="H68" s="3605" t="str">
        <f>IF('Rent Roll'!BX$18="# Baths","N/A",'Rent Roll'!BX$18)</f>
        <v>N/A</v>
      </c>
      <c r="I68" s="3606" t="str">
        <f>IF('Rent Roll'!$BX$22="Square Footage","N/A",'Rent Roll'!$BX$22)</f>
        <v>N/A</v>
      </c>
      <c r="J68" s="3607" t="str">
        <f>IF('Rent Roll'!BX$21="Market Rent","N/A",'Rent Roll'!BX$21)</f>
        <v>N/A</v>
      </c>
      <c r="K68" s="3608">
        <f t="shared" si="2"/>
        <v>0</v>
      </c>
      <c r="L68" s="3609">
        <f>'Rent Roll'!BX$126</f>
        <v>0</v>
      </c>
      <c r="M68" s="3609">
        <f>'Rent Roll'!BX$130</f>
        <v>0</v>
      </c>
      <c r="N68" s="3609" t="str">
        <f>IF('Rent Roll'!BX$126=0,"N/A",('Rent Roll'!BX$126-SUMIF('Rent Roll'!$G$24:$G$125,'Rent Roll'!BX$20,'Rent Roll'!$K$24:$K$125))/($E68-$Q68))</f>
        <v>N/A</v>
      </c>
      <c r="O68" s="3608">
        <f t="shared" si="3"/>
        <v>0</v>
      </c>
      <c r="P68" s="3610">
        <f t="shared" si="4"/>
        <v>0</v>
      </c>
      <c r="Q68" s="3611">
        <f>'Rent Roll'!BX$128</f>
        <v>0</v>
      </c>
      <c r="R68" s="3612">
        <f t="shared" si="5"/>
        <v>0</v>
      </c>
      <c r="S68" s="3614" t="str">
        <f>'Rent Roll'!$BX$20</f>
        <v>CH</v>
      </c>
    </row>
    <row r="69" ht="14.25" customHeight="1" hidden="1">
      <c r="A69" s="3594" t="s">
        <v>2577</v>
      </c>
      <c r="B69" s="3594" t="str">
        <f t="shared" si="6"/>
        <v>H</v>
      </c>
      <c r="D69" s="3601" t="str">
        <f t="shared" si="0"/>
        <v>N/A</v>
      </c>
      <c r="E69" s="3602" cm="1">
        <f t="array" ref="E69">SUMPRODUCT((--EXACT(S69,'Rent Roll'!$G$24:$G$125)))</f>
        <v>0</v>
      </c>
      <c r="F69" s="3603">
        <f t="shared" si="1"/>
        <v>0</v>
      </c>
      <c r="G69" s="3604" t="str">
        <f>IF('Rent Roll'!BY$17="# Bedrooms","N/A",'Rent Roll'!BY$17)</f>
        <v>N/A</v>
      </c>
      <c r="H69" s="3605" t="str">
        <f>IF('Rent Roll'!BY$18="# Baths","N/A",'Rent Roll'!BY$18)</f>
        <v>N/A</v>
      </c>
      <c r="I69" s="3606" t="str">
        <f>IF('Rent Roll'!$BY$22="Square Footage","N/A",'Rent Roll'!$BY$22)</f>
        <v>N/A</v>
      </c>
      <c r="J69" s="3607" t="str">
        <f>IF('Rent Roll'!BY$21="Market Rent","N/A",'Rent Roll'!BY$21)</f>
        <v>N/A</v>
      </c>
      <c r="K69" s="3608">
        <f t="shared" si="2"/>
        <v>0</v>
      </c>
      <c r="L69" s="3609">
        <f>'Rent Roll'!BY$126</f>
        <v>0</v>
      </c>
      <c r="M69" s="3609">
        <f>'Rent Roll'!BY$130</f>
        <v>0</v>
      </c>
      <c r="N69" s="3609" t="str">
        <f>IF('Rent Roll'!BY$126=0,"N/A",('Rent Roll'!BY$126-SUMIF('Rent Roll'!$G$24:$G$125,'Rent Roll'!BY$20,'Rent Roll'!$K$24:$K$125))/($E69-$Q69))</f>
        <v>N/A</v>
      </c>
      <c r="O69" s="3608">
        <f t="shared" si="3"/>
        <v>0</v>
      </c>
      <c r="P69" s="3610">
        <f t="shared" si="4"/>
        <v>0</v>
      </c>
      <c r="Q69" s="3611">
        <f>'Rent Roll'!BY$128</f>
        <v>0</v>
      </c>
      <c r="R69" s="3612">
        <f t="shared" si="5"/>
        <v>0</v>
      </c>
      <c r="S69" s="3614" t="str">
        <f>'Rent Roll'!$BY$20</f>
        <v>CI</v>
      </c>
    </row>
    <row r="70" ht="14.25" customHeight="1" hidden="1">
      <c r="A70" s="3594" t="s">
        <v>2578</v>
      </c>
      <c r="B70" s="3594" t="str">
        <f t="shared" si="6"/>
        <v>H</v>
      </c>
      <c r="D70" s="3601" t="str">
        <f t="shared" si="0"/>
        <v>N/A</v>
      </c>
      <c r="E70" s="3602" cm="1">
        <f t="array" ref="E70">SUMPRODUCT((--EXACT(S70,'Rent Roll'!$G$24:$G$125)))</f>
        <v>0</v>
      </c>
      <c r="F70" s="3603">
        <f t="shared" si="1"/>
        <v>0</v>
      </c>
      <c r="G70" s="3604" t="str">
        <f>IF('Rent Roll'!BZ$17="# Bedrooms","N/A",'Rent Roll'!BZ$17)</f>
        <v>N/A</v>
      </c>
      <c r="H70" s="3605" t="str">
        <f>IF('Rent Roll'!BZ$18="# Baths","N/A",'Rent Roll'!BZ$18)</f>
        <v>N/A</v>
      </c>
      <c r="I70" s="3606" t="str">
        <f>IF('Rent Roll'!$BZ$22="Square Footage","N/A",'Rent Roll'!$BZ$22)</f>
        <v>N/A</v>
      </c>
      <c r="J70" s="3607" t="str">
        <f>IF('Rent Roll'!BZ$21="Market Rent","N/A",'Rent Roll'!BZ$21)</f>
        <v>N/A</v>
      </c>
      <c r="K70" s="3608">
        <f t="shared" si="2"/>
        <v>0</v>
      </c>
      <c r="L70" s="3609">
        <f>'Rent Roll'!BZ$126</f>
        <v>0</v>
      </c>
      <c r="M70" s="3609">
        <f>'Rent Roll'!BZ$130</f>
        <v>0</v>
      </c>
      <c r="N70" s="3609" t="str">
        <f>IF('Rent Roll'!BZ$126=0,"N/A",('Rent Roll'!BZ$126-SUMIF('Rent Roll'!$G$24:$G$125,'Rent Roll'!BZ$20,'Rent Roll'!$K$24:$K$125))/($E70-$Q70))</f>
        <v>N/A</v>
      </c>
      <c r="O70" s="3608">
        <f t="shared" si="3"/>
        <v>0</v>
      </c>
      <c r="P70" s="3610">
        <f t="shared" si="4"/>
        <v>0</v>
      </c>
      <c r="Q70" s="3611">
        <f>'Rent Roll'!BZ$128</f>
        <v>0</v>
      </c>
      <c r="R70" s="3612">
        <f t="shared" si="5"/>
        <v>0</v>
      </c>
      <c r="S70" s="3614" t="str">
        <f>'Rent Roll'!$BZ$20</f>
        <v>CJ</v>
      </c>
    </row>
    <row r="71" ht="14.25" customHeight="1" hidden="1">
      <c r="A71" s="3594" t="s">
        <v>2579</v>
      </c>
      <c r="B71" s="3594" t="str">
        <f t="shared" si="6"/>
        <v>H</v>
      </c>
      <c r="D71" s="3601" t="str">
        <f t="shared" si="0"/>
        <v>N/A</v>
      </c>
      <c r="E71" s="3602" cm="1">
        <f t="array" ref="E71">SUMPRODUCT((--EXACT(S71,'Rent Roll'!$G$24:$G$125)))</f>
        <v>0</v>
      </c>
      <c r="F71" s="3603">
        <f t="shared" si="1"/>
        <v>0</v>
      </c>
      <c r="G71" s="3604" t="str">
        <f>IF('Rent Roll'!CA$17="# Bedrooms","N/A",'Rent Roll'!CA$17)</f>
        <v>N/A</v>
      </c>
      <c r="H71" s="3605" t="str">
        <f>IF('Rent Roll'!CA$18="# Baths","N/A",'Rent Roll'!CA$18)</f>
        <v>N/A</v>
      </c>
      <c r="I71" s="3606" t="str">
        <f>IF('Rent Roll'!$CA$22="Square Footage","N/A",'Rent Roll'!$CA$22)</f>
        <v>N/A</v>
      </c>
      <c r="J71" s="3607" t="str">
        <f>IF('Rent Roll'!CA$21="Market Rent","N/A",'Rent Roll'!CA$21)</f>
        <v>N/A</v>
      </c>
      <c r="K71" s="3608">
        <f t="shared" si="2"/>
        <v>0</v>
      </c>
      <c r="L71" s="3609">
        <f>'Rent Roll'!CA$126</f>
        <v>0</v>
      </c>
      <c r="M71" s="3609">
        <f>'Rent Roll'!CA$130</f>
        <v>0</v>
      </c>
      <c r="N71" s="3609" t="str">
        <f>IF('Rent Roll'!CA$126=0,"N/A",('Rent Roll'!CA$126-SUMIF('Rent Roll'!$G$24:$G$125,'Rent Roll'!CA$20,'Rent Roll'!$K$24:$K$125))/($E71-$Q71))</f>
        <v>N/A</v>
      </c>
      <c r="O71" s="3608">
        <f t="shared" si="3"/>
        <v>0</v>
      </c>
      <c r="P71" s="3610">
        <f t="shared" si="4"/>
        <v>0</v>
      </c>
      <c r="Q71" s="3611">
        <f>'Rent Roll'!CA$128</f>
        <v>0</v>
      </c>
      <c r="R71" s="3612">
        <f t="shared" si="5"/>
        <v>0</v>
      </c>
      <c r="S71" s="3614" t="str">
        <f>'Rent Roll'!$CA$20</f>
        <v>CK</v>
      </c>
    </row>
    <row r="72" ht="14.25" customHeight="1" hidden="1">
      <c r="A72" s="3594" t="s">
        <v>2580</v>
      </c>
      <c r="B72" s="3594" t="str">
        <f t="shared" si="6"/>
        <v>H</v>
      </c>
      <c r="D72" s="3601" t="str">
        <f t="shared" si="0"/>
        <v>N/A</v>
      </c>
      <c r="E72" s="3602" cm="1">
        <f t="array" ref="E72">SUMPRODUCT((--EXACT(S72,'Rent Roll'!$G$24:$G$125)))</f>
        <v>0</v>
      </c>
      <c r="F72" s="3603">
        <f t="shared" si="1"/>
        <v>0</v>
      </c>
      <c r="G72" s="3604" t="str">
        <f>IF('Rent Roll'!CB$17="# Bedrooms","N/A",'Rent Roll'!CB$17)</f>
        <v>N/A</v>
      </c>
      <c r="H72" s="3605" t="str">
        <f>IF('Rent Roll'!CB$18="# Baths","N/A",'Rent Roll'!CB$18)</f>
        <v>N/A</v>
      </c>
      <c r="I72" s="3606" t="str">
        <f>IF('Rent Roll'!$CB$22="Square Footage","N/A",'Rent Roll'!$CB$22)</f>
        <v>N/A</v>
      </c>
      <c r="J72" s="3607" t="str">
        <f>IF('Rent Roll'!CB$21="Market Rent","N/A",'Rent Roll'!CB$21)</f>
        <v>N/A</v>
      </c>
      <c r="K72" s="3608">
        <f t="shared" si="2"/>
        <v>0</v>
      </c>
      <c r="L72" s="3609">
        <f>'Rent Roll'!CB$126</f>
        <v>0</v>
      </c>
      <c r="M72" s="3609">
        <f>'Rent Roll'!CB$130</f>
        <v>0</v>
      </c>
      <c r="N72" s="3609" t="str">
        <f>IF('Rent Roll'!CB$126=0,"N/A",('Rent Roll'!CB$126-SUMIF('Rent Roll'!$G$24:$G$125,'Rent Roll'!CB$20,'Rent Roll'!$K$24:$K$125))/($E72-$Q72))</f>
        <v>N/A</v>
      </c>
      <c r="O72" s="3608">
        <f t="shared" si="3"/>
        <v>0</v>
      </c>
      <c r="P72" s="3610">
        <f t="shared" si="4"/>
        <v>0</v>
      </c>
      <c r="Q72" s="3611">
        <f>'Rent Roll'!CB$128</f>
        <v>0</v>
      </c>
      <c r="R72" s="3612">
        <f t="shared" si="5"/>
        <v>0</v>
      </c>
      <c r="S72" s="3614" t="str">
        <f>'Rent Roll'!$CB$20</f>
        <v>CL</v>
      </c>
    </row>
    <row r="73" ht="14.25" customHeight="1" hidden="1">
      <c r="A73" s="3594" t="s">
        <v>2581</v>
      </c>
      <c r="B73" s="3594" t="str">
        <f t="shared" si="6"/>
        <v>H</v>
      </c>
      <c r="D73" s="3601" t="str">
        <f t="shared" si="0"/>
        <v>N/A</v>
      </c>
      <c r="E73" s="3602" cm="1">
        <f t="array" ref="E73">SUMPRODUCT((--EXACT(S73,'Rent Roll'!$G$24:$G$125)))</f>
        <v>0</v>
      </c>
      <c r="F73" s="3603">
        <f t="shared" si="1"/>
        <v>0</v>
      </c>
      <c r="G73" s="3604" t="str">
        <f>IF('Rent Roll'!CC$17="# Bedrooms","N/A",'Rent Roll'!CC$17)</f>
        <v>N/A</v>
      </c>
      <c r="H73" s="3605" t="str">
        <f>IF('Rent Roll'!CC$18="# Baths","N/A",'Rent Roll'!CC$18)</f>
        <v>N/A</v>
      </c>
      <c r="I73" s="3606" t="str">
        <f>IF('Rent Roll'!$CC$22="Square Footage","N/A",'Rent Roll'!$CC$22)</f>
        <v>N/A</v>
      </c>
      <c r="J73" s="3607" t="str">
        <f>IF('Rent Roll'!CC$21="Market Rent","N/A",'Rent Roll'!CC$21)</f>
        <v>N/A</v>
      </c>
      <c r="K73" s="3608">
        <f t="shared" si="2"/>
        <v>0</v>
      </c>
      <c r="L73" s="3609">
        <f>'Rent Roll'!CC$126</f>
        <v>0</v>
      </c>
      <c r="M73" s="3609">
        <f>'Rent Roll'!CC$130</f>
        <v>0</v>
      </c>
      <c r="N73" s="3609" t="str">
        <f>IF('Rent Roll'!CC$126=0,"N/A",('Rent Roll'!CC$126-SUMIF('Rent Roll'!$G$24:$G$125,'Rent Roll'!CC$20,'Rent Roll'!$K$24:$K$125))/($E73-$Q73))</f>
        <v>N/A</v>
      </c>
      <c r="O73" s="3608">
        <f t="shared" si="3"/>
        <v>0</v>
      </c>
      <c r="P73" s="3610">
        <f t="shared" si="4"/>
        <v>0</v>
      </c>
      <c r="Q73" s="3611">
        <f>'Rent Roll'!CC$128</f>
        <v>0</v>
      </c>
      <c r="R73" s="3612">
        <f t="shared" si="5"/>
        <v>0</v>
      </c>
      <c r="S73" s="3614" t="str">
        <f>'Rent Roll'!$CC$20</f>
        <v>CM</v>
      </c>
    </row>
    <row r="74" ht="14.25" customHeight="1" hidden="1">
      <c r="A74" s="3594" t="s">
        <v>2582</v>
      </c>
      <c r="B74" s="3594" t="str">
        <f t="shared" si="6"/>
        <v>H</v>
      </c>
      <c r="D74" s="3601" t="str">
        <f t="shared" si="0"/>
        <v>N/A</v>
      </c>
      <c r="E74" s="3602" cm="1">
        <f t="array" ref="E74">SUMPRODUCT((--EXACT(S74,'Rent Roll'!$G$24:$G$125)))</f>
        <v>0</v>
      </c>
      <c r="F74" s="3603">
        <f t="shared" si="1"/>
        <v>0</v>
      </c>
      <c r="G74" s="3604" t="str">
        <f>IF('Rent Roll'!CD$17="# Bedrooms","N/A",'Rent Roll'!CD$17)</f>
        <v>N/A</v>
      </c>
      <c r="H74" s="3605" t="str">
        <f>IF('Rent Roll'!CD$18="# Baths","N/A",'Rent Roll'!CD$18)</f>
        <v>N/A</v>
      </c>
      <c r="I74" s="3606" t="str">
        <f>IF('Rent Roll'!$CD$22="Square Footage","N/A",'Rent Roll'!$CD$22)</f>
        <v>N/A</v>
      </c>
      <c r="J74" s="3607" t="str">
        <f>IF('Rent Roll'!CD$21="Market Rent","N/A",'Rent Roll'!CD$21)</f>
        <v>N/A</v>
      </c>
      <c r="K74" s="3608">
        <f t="shared" si="2"/>
        <v>0</v>
      </c>
      <c r="L74" s="3609">
        <f>'Rent Roll'!CD$126</f>
        <v>0</v>
      </c>
      <c r="M74" s="3609">
        <f>'Rent Roll'!CD$130</f>
        <v>0</v>
      </c>
      <c r="N74" s="3609" t="str">
        <f>IF('Rent Roll'!CD$126=0,"N/A",('Rent Roll'!CD$126-SUMIF('Rent Roll'!$G$24:$G$125,'Rent Roll'!CD$20,'Rent Roll'!$K$24:$K$125))/($E74-$Q74))</f>
        <v>N/A</v>
      </c>
      <c r="O74" s="3608">
        <f t="shared" si="3"/>
        <v>0</v>
      </c>
      <c r="P74" s="3610">
        <f t="shared" si="4"/>
        <v>0</v>
      </c>
      <c r="Q74" s="3611">
        <f>'Rent Roll'!CD$128</f>
        <v>0</v>
      </c>
      <c r="R74" s="3612">
        <f t="shared" si="5"/>
        <v>0</v>
      </c>
      <c r="S74" s="3614" t="str">
        <f>'Rent Roll'!$CD$20</f>
        <v>CN</v>
      </c>
    </row>
    <row r="75" ht="14.25" customHeight="1" hidden="1">
      <c r="A75" s="3594" t="s">
        <v>2583</v>
      </c>
      <c r="B75" s="3594" t="str">
        <f t="shared" si="6"/>
        <v>H</v>
      </c>
      <c r="D75" s="3601" t="str">
        <f t="shared" si="0"/>
        <v>N/A</v>
      </c>
      <c r="E75" s="3602" cm="1">
        <f t="array" ref="E75">SUMPRODUCT((--EXACT(S75,'Rent Roll'!$G$24:$G$125)))</f>
        <v>0</v>
      </c>
      <c r="F75" s="3603">
        <f t="shared" si="1"/>
        <v>0</v>
      </c>
      <c r="G75" s="3604" t="str">
        <f>IF('Rent Roll'!CE$17="# Bedrooms","N/A",'Rent Roll'!CE$17)</f>
        <v>N/A</v>
      </c>
      <c r="H75" s="3605" t="str">
        <f>IF('Rent Roll'!CE$18="# Baths","N/A",'Rent Roll'!CE$18)</f>
        <v>N/A</v>
      </c>
      <c r="I75" s="3606" t="str">
        <f>IF('Rent Roll'!$CE$22="Square Footage","N/A",'Rent Roll'!$CE$22)</f>
        <v>N/A</v>
      </c>
      <c r="J75" s="3607" t="str">
        <f>IF('Rent Roll'!CE$21="Market Rent","N/A",'Rent Roll'!CE$21)</f>
        <v>N/A</v>
      </c>
      <c r="K75" s="3608">
        <f t="shared" si="2"/>
        <v>0</v>
      </c>
      <c r="L75" s="3609">
        <f>'Rent Roll'!CE$126</f>
        <v>0</v>
      </c>
      <c r="M75" s="3609">
        <f>'Rent Roll'!CE$130</f>
        <v>0</v>
      </c>
      <c r="N75" s="3609" t="str">
        <f>IF('Rent Roll'!CE$126=0,"N/A",('Rent Roll'!CE$126-SUMIF('Rent Roll'!$G$24:$G$125,'Rent Roll'!CE$20,'Rent Roll'!$K$24:$K$125))/($E75-$Q75))</f>
        <v>N/A</v>
      </c>
      <c r="O75" s="3608">
        <f t="shared" si="3"/>
        <v>0</v>
      </c>
      <c r="P75" s="3610">
        <f t="shared" si="4"/>
        <v>0</v>
      </c>
      <c r="Q75" s="3611">
        <f>'Rent Roll'!CE$128</f>
        <v>0</v>
      </c>
      <c r="R75" s="3612">
        <f t="shared" si="5"/>
        <v>0</v>
      </c>
      <c r="S75" s="3614" t="str">
        <f>'Rent Roll'!$CE$20</f>
        <v>CO</v>
      </c>
    </row>
    <row r="76" ht="14.25" customHeight="1" hidden="1">
      <c r="A76" s="3594" t="s">
        <v>2584</v>
      </c>
      <c r="B76" s="3594" t="str">
        <f t="shared" si="6"/>
        <v>H</v>
      </c>
      <c r="D76" s="3601" t="str">
        <f t="shared" si="0"/>
        <v>N/A</v>
      </c>
      <c r="E76" s="3602" cm="1">
        <f t="array" ref="E76">SUMPRODUCT((--EXACT(S76,'Rent Roll'!$G$24:$G$125)))</f>
        <v>0</v>
      </c>
      <c r="F76" s="3603">
        <f t="shared" si="1"/>
        <v>0</v>
      </c>
      <c r="G76" s="3604" t="str">
        <f>IF('Rent Roll'!CF$17="# Bedrooms","N/A",'Rent Roll'!CF$17)</f>
        <v>N/A</v>
      </c>
      <c r="H76" s="3605" t="str">
        <f>IF('Rent Roll'!CF$18="# Baths","N/A",'Rent Roll'!CF$18)</f>
        <v>N/A</v>
      </c>
      <c r="I76" s="3606" t="str">
        <f>IF('Rent Roll'!$CF$22="Square Footage","N/A",'Rent Roll'!$CF$22)</f>
        <v>N/A</v>
      </c>
      <c r="J76" s="3607" t="str">
        <f>IF('Rent Roll'!CF$21="Market Rent","N/A",'Rent Roll'!CF$21)</f>
        <v>N/A</v>
      </c>
      <c r="K76" s="3608">
        <f t="shared" si="2"/>
        <v>0</v>
      </c>
      <c r="L76" s="3609">
        <f>'Rent Roll'!CF$126</f>
        <v>0</v>
      </c>
      <c r="M76" s="3609">
        <f>'Rent Roll'!CF$130</f>
        <v>0</v>
      </c>
      <c r="N76" s="3609" t="str">
        <f>IF('Rent Roll'!CF$126=0,"N/A",('Rent Roll'!CF$126-SUMIF('Rent Roll'!$G$24:$G$125,'Rent Roll'!CF$20,'Rent Roll'!$K$24:$K$125))/($E76-$Q76))</f>
        <v>N/A</v>
      </c>
      <c r="O76" s="3608">
        <f t="shared" si="3"/>
        <v>0</v>
      </c>
      <c r="P76" s="3610">
        <f t="shared" si="4"/>
        <v>0</v>
      </c>
      <c r="Q76" s="3611">
        <f>'Rent Roll'!CF$128</f>
        <v>0</v>
      </c>
      <c r="R76" s="3612">
        <f t="shared" si="5"/>
        <v>0</v>
      </c>
      <c r="S76" s="3614" t="str">
        <f>'Rent Roll'!$CF$20</f>
        <v>CP</v>
      </c>
    </row>
    <row r="77" ht="14.25" customHeight="1" hidden="1">
      <c r="A77" s="3594" t="s">
        <v>2585</v>
      </c>
      <c r="B77" s="3594" t="str">
        <f t="shared" si="6"/>
        <v>H</v>
      </c>
      <c r="D77" s="3601" t="str">
        <f t="shared" si="0"/>
        <v>N/A</v>
      </c>
      <c r="E77" s="3602" cm="1">
        <f t="array" ref="E77">SUMPRODUCT((--EXACT(S77,'Rent Roll'!$G$24:$G$125)))</f>
        <v>0</v>
      </c>
      <c r="F77" s="3603">
        <f t="shared" si="1"/>
        <v>0</v>
      </c>
      <c r="G77" s="3604" t="str">
        <f>IF('Rent Roll'!CG$17="# Bedrooms","N/A",'Rent Roll'!CG$17)</f>
        <v>N/A</v>
      </c>
      <c r="H77" s="3605" t="str">
        <f>IF('Rent Roll'!CG$18="# Baths","N/A",'Rent Roll'!CG$18)</f>
        <v>N/A</v>
      </c>
      <c r="I77" s="3606" t="str">
        <f>IF('Rent Roll'!$CG$22="Square Footage","N/A",'Rent Roll'!$CG$22)</f>
        <v>N/A</v>
      </c>
      <c r="J77" s="3607" t="str">
        <f>IF('Rent Roll'!CG$21="Market Rent","N/A",'Rent Roll'!CG$21)</f>
        <v>N/A</v>
      </c>
      <c r="K77" s="3608">
        <f t="shared" si="2"/>
        <v>0</v>
      </c>
      <c r="L77" s="3609">
        <f>'Rent Roll'!CG$126</f>
        <v>0</v>
      </c>
      <c r="M77" s="3609">
        <f>'Rent Roll'!CG$130</f>
        <v>0</v>
      </c>
      <c r="N77" s="3609" t="str">
        <f>IF('Rent Roll'!CG$126=0,"N/A",('Rent Roll'!CG$126-SUMIF('Rent Roll'!$G$24:$G$125,'Rent Roll'!CG$20,'Rent Roll'!$K$24:$K$125))/($E77-$Q77))</f>
        <v>N/A</v>
      </c>
      <c r="O77" s="3608">
        <f t="shared" si="3"/>
        <v>0</v>
      </c>
      <c r="P77" s="3610">
        <f t="shared" si="4"/>
        <v>0</v>
      </c>
      <c r="Q77" s="3611">
        <f>'Rent Roll'!CG$128</f>
        <v>0</v>
      </c>
      <c r="R77" s="3612">
        <f t="shared" si="5"/>
        <v>0</v>
      </c>
      <c r="S77" s="3614" t="str">
        <f>'Rent Roll'!$CG$20</f>
        <v>CQ</v>
      </c>
    </row>
    <row r="78" ht="14.25" customHeight="1" hidden="1">
      <c r="A78" s="3594" t="s">
        <v>2586</v>
      </c>
      <c r="B78" s="3594" t="str">
        <f t="shared" si="6"/>
        <v>H</v>
      </c>
      <c r="D78" s="3601" t="str">
        <f t="shared" si="0"/>
        <v>N/A</v>
      </c>
      <c r="E78" s="3602" cm="1">
        <f t="array" ref="E78">SUMPRODUCT((--EXACT(S78,'Rent Roll'!$G$24:$G$125)))</f>
        <v>0</v>
      </c>
      <c r="F78" s="3603">
        <f t="shared" si="1"/>
        <v>0</v>
      </c>
      <c r="G78" s="3604" t="str">
        <f>IF('Rent Roll'!CH$17="# Bedrooms","N/A",'Rent Roll'!CH$17)</f>
        <v>N/A</v>
      </c>
      <c r="H78" s="3605" t="str">
        <f>IF('Rent Roll'!CH$18="# Baths","N/A",'Rent Roll'!CH$18)</f>
        <v>N/A</v>
      </c>
      <c r="I78" s="3606" t="str">
        <f>IF('Rent Roll'!$CH$22="Square Footage","N/A",'Rent Roll'!$CH$22)</f>
        <v>N/A</v>
      </c>
      <c r="J78" s="3607" t="str">
        <f>IF('Rent Roll'!CH$21="Market Rent","N/A",'Rent Roll'!CH$21)</f>
        <v>N/A</v>
      </c>
      <c r="K78" s="3608">
        <f t="shared" si="2"/>
        <v>0</v>
      </c>
      <c r="L78" s="3609">
        <f>'Rent Roll'!CH$126</f>
        <v>0</v>
      </c>
      <c r="M78" s="3609">
        <f>'Rent Roll'!CH$130</f>
        <v>0</v>
      </c>
      <c r="N78" s="3609" t="str">
        <f>IF('Rent Roll'!CH$126=0,"N/A",('Rent Roll'!CH$126-SUMIF('Rent Roll'!$G$24:$G$125,'Rent Roll'!CH$20,'Rent Roll'!$K$24:$K$125))/($E78-$Q78))</f>
        <v>N/A</v>
      </c>
      <c r="O78" s="3608">
        <f t="shared" si="3"/>
        <v>0</v>
      </c>
      <c r="P78" s="3610">
        <f t="shared" si="4"/>
        <v>0</v>
      </c>
      <c r="Q78" s="3611">
        <f>'Rent Roll'!CH$128</f>
        <v>0</v>
      </c>
      <c r="R78" s="3612">
        <f t="shared" si="5"/>
        <v>0</v>
      </c>
      <c r="S78" s="3614" t="str">
        <f>'Rent Roll'!$CH$20</f>
        <v>CR</v>
      </c>
    </row>
    <row r="79" ht="14.25" customHeight="1" hidden="1">
      <c r="A79" s="3594" t="s">
        <v>2587</v>
      </c>
      <c r="B79" s="3594" t="str">
        <f t="shared" si="6"/>
        <v>H</v>
      </c>
      <c r="D79" s="3601" t="str">
        <f t="shared" si="0"/>
        <v>N/A</v>
      </c>
      <c r="E79" s="3602" cm="1">
        <f t="array" ref="E79">SUMPRODUCT((--EXACT(S79,'Rent Roll'!$G$24:$G$125)))</f>
        <v>0</v>
      </c>
      <c r="F79" s="3603">
        <f t="shared" si="1"/>
        <v>0</v>
      </c>
      <c r="G79" s="3604" t="str">
        <f>IF('Rent Roll'!CI$17="# Bedrooms","N/A",'Rent Roll'!CI$17)</f>
        <v>N/A</v>
      </c>
      <c r="H79" s="3605" t="str">
        <f>IF('Rent Roll'!CI$18="# Baths","N/A",'Rent Roll'!CI$18)</f>
        <v>N/A</v>
      </c>
      <c r="I79" s="3606" t="str">
        <f>IF('Rent Roll'!$CI$22="Square Footage","N/A",'Rent Roll'!$CI$22)</f>
        <v>N/A</v>
      </c>
      <c r="J79" s="3607" t="str">
        <f>IF('Rent Roll'!CI$21="Market Rent","N/A",'Rent Roll'!CI$21)</f>
        <v>N/A</v>
      </c>
      <c r="K79" s="3608">
        <f t="shared" si="2"/>
        <v>0</v>
      </c>
      <c r="L79" s="3609">
        <f>'Rent Roll'!CI$126</f>
        <v>0</v>
      </c>
      <c r="M79" s="3609">
        <f>'Rent Roll'!CI$130</f>
        <v>0</v>
      </c>
      <c r="N79" s="3609" t="str">
        <f>IF('Rent Roll'!CI$126=0,"N/A",('Rent Roll'!CI$126-SUMIF('Rent Roll'!$G$24:$G$125,'Rent Roll'!CI$20,'Rent Roll'!$K$24:$K$125))/($E79-$Q79))</f>
        <v>N/A</v>
      </c>
      <c r="O79" s="3608">
        <f t="shared" si="3"/>
        <v>0</v>
      </c>
      <c r="P79" s="3610">
        <f t="shared" si="4"/>
        <v>0</v>
      </c>
      <c r="Q79" s="3611">
        <f>'Rent Roll'!CI$128</f>
        <v>0</v>
      </c>
      <c r="R79" s="3612">
        <f t="shared" si="5"/>
        <v>0</v>
      </c>
      <c r="S79" s="3614" t="str">
        <f>'Rent Roll'!$CI$20</f>
        <v>CS</v>
      </c>
    </row>
    <row r="80" ht="14.25" customHeight="1" hidden="1">
      <c r="A80" s="3594" t="s">
        <v>2588</v>
      </c>
      <c r="B80" s="3594" t="str">
        <f t="shared" si="6"/>
        <v>H</v>
      </c>
      <c r="D80" s="3601" t="str">
        <f t="shared" si="0"/>
        <v>N/A</v>
      </c>
      <c r="E80" s="3602" cm="1">
        <f t="array" ref="E80">SUMPRODUCT((--EXACT(S80,'Rent Roll'!$G$24:$G$125)))</f>
        <v>0</v>
      </c>
      <c r="F80" s="3603">
        <f t="shared" si="1"/>
        <v>0</v>
      </c>
      <c r="G80" s="3604" t="str">
        <f>IF('Rent Roll'!CJ$17="# Bedrooms","N/A",'Rent Roll'!CJ$17)</f>
        <v>N/A</v>
      </c>
      <c r="H80" s="3605" t="str">
        <f>IF('Rent Roll'!CJ$18="# Baths","N/A",'Rent Roll'!CJ$18)</f>
        <v>N/A</v>
      </c>
      <c r="I80" s="3606" t="str">
        <f>IF('Rent Roll'!$CJ$22="Square Footage","N/A",'Rent Roll'!$CJ$22)</f>
        <v>N/A</v>
      </c>
      <c r="J80" s="3607" t="str">
        <f>IF('Rent Roll'!CJ$21="Market Rent","N/A",'Rent Roll'!CJ$21)</f>
        <v>N/A</v>
      </c>
      <c r="K80" s="3608">
        <f t="shared" si="2"/>
        <v>0</v>
      </c>
      <c r="L80" s="3609">
        <f>'Rent Roll'!CJ$126</f>
        <v>0</v>
      </c>
      <c r="M80" s="3609">
        <f>'Rent Roll'!CJ$130</f>
        <v>0</v>
      </c>
      <c r="N80" s="3609" t="str">
        <f>IF('Rent Roll'!CJ$126=0,"N/A",('Rent Roll'!CJ$126-SUMIF('Rent Roll'!$G$24:$G$125,'Rent Roll'!CJ$20,'Rent Roll'!$K$24:$K$125))/($E80-$Q80))</f>
        <v>N/A</v>
      </c>
      <c r="O80" s="3608">
        <f t="shared" si="3"/>
        <v>0</v>
      </c>
      <c r="P80" s="3610">
        <f t="shared" si="4"/>
        <v>0</v>
      </c>
      <c r="Q80" s="3611">
        <f>'Rent Roll'!CJ$128</f>
        <v>0</v>
      </c>
      <c r="R80" s="3612">
        <f t="shared" si="5"/>
        <v>0</v>
      </c>
      <c r="S80" s="3614" t="str">
        <f>'Rent Roll'!$CJ$20</f>
        <v>CT</v>
      </c>
    </row>
    <row r="81" ht="14.25" customHeight="1" hidden="1">
      <c r="A81" s="3594" t="s">
        <v>2589</v>
      </c>
      <c r="B81" s="3594" t="str">
        <f t="shared" si="6"/>
        <v>H</v>
      </c>
      <c r="D81" s="3601" t="str">
        <f t="shared" si="0"/>
        <v>N/A</v>
      </c>
      <c r="E81" s="3602" cm="1">
        <f t="array" ref="E81">SUMPRODUCT((--EXACT(S81,'Rent Roll'!$G$24:$G$125)))</f>
        <v>0</v>
      </c>
      <c r="F81" s="3603">
        <f t="shared" si="1"/>
        <v>0</v>
      </c>
      <c r="G81" s="3604" t="str">
        <f>IF('Rent Roll'!CK$17="# Bedrooms","N/A",'Rent Roll'!CK$17)</f>
        <v>N/A</v>
      </c>
      <c r="H81" s="3605" t="str">
        <f>IF('Rent Roll'!CK$18="# Baths","N/A",'Rent Roll'!CK$18)</f>
        <v>N/A</v>
      </c>
      <c r="I81" s="3606" t="str">
        <f>IF('Rent Roll'!$CK$22="Square Footage","N/A",'Rent Roll'!$CK$22)</f>
        <v>N/A</v>
      </c>
      <c r="J81" s="3607" t="str">
        <f>IF('Rent Roll'!CK$21="Market Rent","N/A",'Rent Roll'!CK$21)</f>
        <v>N/A</v>
      </c>
      <c r="K81" s="3608">
        <f t="shared" si="2"/>
        <v>0</v>
      </c>
      <c r="L81" s="3609">
        <f>'Rent Roll'!CK$126</f>
        <v>0</v>
      </c>
      <c r="M81" s="3609">
        <f>'Rent Roll'!CK$130</f>
        <v>0</v>
      </c>
      <c r="N81" s="3609" t="str">
        <f>IF('Rent Roll'!CK$126=0,"N/A",('Rent Roll'!CK$126-SUMIF('Rent Roll'!$G$24:$G$125,'Rent Roll'!CK$20,'Rent Roll'!$K$24:$K$125))/($E81-$Q81))</f>
        <v>N/A</v>
      </c>
      <c r="O81" s="3608">
        <f t="shared" si="3"/>
        <v>0</v>
      </c>
      <c r="P81" s="3610">
        <f t="shared" si="4"/>
        <v>0</v>
      </c>
      <c r="Q81" s="3611">
        <f>'Rent Roll'!CK$128</f>
        <v>0</v>
      </c>
      <c r="R81" s="3612">
        <f t="shared" si="5"/>
        <v>0</v>
      </c>
      <c r="S81" s="3614" t="str">
        <f>'Rent Roll'!$CK$20</f>
        <v>CU</v>
      </c>
    </row>
    <row r="82" ht="14.25" customHeight="1" hidden="1">
      <c r="A82" s="3594" t="s">
        <v>2590</v>
      </c>
      <c r="B82" s="3594" t="str">
        <f t="shared" si="6"/>
        <v>H</v>
      </c>
      <c r="D82" s="3601" t="str">
        <f t="shared" si="0"/>
        <v>N/A</v>
      </c>
      <c r="E82" s="3602" cm="1">
        <f t="array" ref="E82">SUMPRODUCT((--EXACT(S82,'Rent Roll'!$G$24:$G$125)))</f>
        <v>0</v>
      </c>
      <c r="F82" s="3603">
        <f t="shared" si="1"/>
        <v>0</v>
      </c>
      <c r="G82" s="3604" t="str">
        <f>IF('Rent Roll'!CL$17="# Bedrooms","N/A",'Rent Roll'!CL$17)</f>
        <v>N/A</v>
      </c>
      <c r="H82" s="3605" t="str">
        <f>IF('Rent Roll'!CL$18="# Baths","N/A",'Rent Roll'!CL$18)</f>
        <v>N/A</v>
      </c>
      <c r="I82" s="3606" t="str">
        <f>IF('Rent Roll'!$CL$22="Square Footage","N/A",'Rent Roll'!$CL$22)</f>
        <v>N/A</v>
      </c>
      <c r="J82" s="3607" t="str">
        <f>IF('Rent Roll'!CL$21="Market Rent","N/A",'Rent Roll'!CL$21)</f>
        <v>N/A</v>
      </c>
      <c r="K82" s="3608">
        <f t="shared" si="2"/>
        <v>0</v>
      </c>
      <c r="L82" s="3609">
        <f>'Rent Roll'!CL$126</f>
        <v>0</v>
      </c>
      <c r="M82" s="3609">
        <f>'Rent Roll'!CL$130</f>
        <v>0</v>
      </c>
      <c r="N82" s="3609" t="str">
        <f>IF('Rent Roll'!CL$126=0,"N/A",('Rent Roll'!CL$126-SUMIF('Rent Roll'!$G$24:$G$125,'Rent Roll'!CL$20,'Rent Roll'!$K$24:$K$125))/($E82-$Q82))</f>
        <v>N/A</v>
      </c>
      <c r="O82" s="3608">
        <f t="shared" si="3"/>
        <v>0</v>
      </c>
      <c r="P82" s="3610">
        <f t="shared" si="4"/>
        <v>0</v>
      </c>
      <c r="Q82" s="3611">
        <f>'Rent Roll'!CL$128</f>
        <v>0</v>
      </c>
      <c r="R82" s="3612">
        <f t="shared" si="5"/>
        <v>0</v>
      </c>
      <c r="S82" s="3614" t="str">
        <f>'Rent Roll'!$CL$20</f>
        <v>CV</v>
      </c>
    </row>
    <row r="83" ht="14.25" customHeight="1" hidden="1">
      <c r="A83" s="3594" t="s">
        <v>2591</v>
      </c>
      <c r="B83" s="3594" t="str">
        <f t="shared" si="6"/>
        <v>H</v>
      </c>
      <c r="D83" s="3601" t="str">
        <f t="shared" si="0"/>
        <v>N/A</v>
      </c>
      <c r="E83" s="3602" cm="1">
        <f t="array" ref="E83">SUMPRODUCT((--EXACT(S83,'Rent Roll'!$G$24:$G$125)))</f>
        <v>0</v>
      </c>
      <c r="F83" s="3603">
        <f t="shared" si="1"/>
        <v>0</v>
      </c>
      <c r="G83" s="3604" t="str">
        <f>IF('Rent Roll'!CM$17="# Bedrooms","N/A",'Rent Roll'!CM$17)</f>
        <v>N/A</v>
      </c>
      <c r="H83" s="3605" t="str">
        <f>IF('Rent Roll'!CM$18="# Baths","N/A",'Rent Roll'!CM$18)</f>
        <v>N/A</v>
      </c>
      <c r="I83" s="3606" t="str">
        <f>IF('Rent Roll'!$CM$22="Square Footage","N/A",'Rent Roll'!$CM$22)</f>
        <v>N/A</v>
      </c>
      <c r="J83" s="3607" t="str">
        <f>IF('Rent Roll'!CM$21="Market Rent","N/A",'Rent Roll'!CM$21)</f>
        <v>N/A</v>
      </c>
      <c r="K83" s="3608">
        <f t="shared" si="2"/>
        <v>0</v>
      </c>
      <c r="L83" s="3609">
        <f>'Rent Roll'!CM$126</f>
        <v>0</v>
      </c>
      <c r="M83" s="3609">
        <f>'Rent Roll'!CM$130</f>
        <v>0</v>
      </c>
      <c r="N83" s="3609" t="str">
        <f>IF('Rent Roll'!CM$126=0,"N/A",('Rent Roll'!CM$126-SUMIF('Rent Roll'!$G$24:$G$125,'Rent Roll'!CM$20,'Rent Roll'!$K$24:$K$125))/($E83-$Q83))</f>
        <v>N/A</v>
      </c>
      <c r="O83" s="3608">
        <f t="shared" si="3"/>
        <v>0</v>
      </c>
      <c r="P83" s="3610">
        <f t="shared" si="4"/>
        <v>0</v>
      </c>
      <c r="Q83" s="3611">
        <f>'Rent Roll'!CM$128</f>
        <v>0</v>
      </c>
      <c r="R83" s="3612">
        <f t="shared" si="5"/>
        <v>0</v>
      </c>
      <c r="S83" s="3614" t="str">
        <f>'Rent Roll'!$CM$20</f>
        <v>CW</v>
      </c>
    </row>
    <row r="84" ht="14.25" customHeight="1" hidden="1">
      <c r="A84" s="3594" t="s">
        <v>2592</v>
      </c>
      <c r="B84" s="3594" t="str">
        <f t="shared" si="6"/>
        <v>H</v>
      </c>
      <c r="D84" s="3601" t="str">
        <f t="shared" si="0"/>
        <v>N/A</v>
      </c>
      <c r="E84" s="3602" cm="1">
        <f t="array" ref="E84">SUMPRODUCT((--EXACT(S84,'Rent Roll'!$G$24:$G$125)))</f>
        <v>0</v>
      </c>
      <c r="F84" s="3603">
        <f t="shared" si="1"/>
        <v>0</v>
      </c>
      <c r="G84" s="3604" t="str">
        <f>IF('Rent Roll'!CN$17="# Bedrooms","N/A",'Rent Roll'!CN$17)</f>
        <v>N/A</v>
      </c>
      <c r="H84" s="3605" t="str">
        <f>IF('Rent Roll'!CN$18="# Baths","N/A",'Rent Roll'!CN$18)</f>
        <v>N/A</v>
      </c>
      <c r="I84" s="3606" t="str">
        <f>IF('Rent Roll'!$CN$22="Square Footage","N/A",'Rent Roll'!$CN$22)</f>
        <v>N/A</v>
      </c>
      <c r="J84" s="3607" t="str">
        <f>IF('Rent Roll'!CN$21="Market Rent","N/A",'Rent Roll'!CN$21)</f>
        <v>N/A</v>
      </c>
      <c r="K84" s="3608">
        <f t="shared" si="2"/>
        <v>0</v>
      </c>
      <c r="L84" s="3609">
        <f>'Rent Roll'!CN$126</f>
        <v>0</v>
      </c>
      <c r="M84" s="3609">
        <f>'Rent Roll'!CN$130</f>
        <v>0</v>
      </c>
      <c r="N84" s="3609" t="str">
        <f>IF('Rent Roll'!CN$126=0,"N/A",('Rent Roll'!CN$126-SUMIF('Rent Roll'!$G$24:$G$125,'Rent Roll'!CN$20,'Rent Roll'!$K$24:$K$125))/($E84-$Q84))</f>
        <v>N/A</v>
      </c>
      <c r="O84" s="3608">
        <f t="shared" si="3"/>
        <v>0</v>
      </c>
      <c r="P84" s="3610">
        <f t="shared" si="4"/>
        <v>0</v>
      </c>
      <c r="Q84" s="3611">
        <f>'Rent Roll'!CN$128</f>
        <v>0</v>
      </c>
      <c r="R84" s="3612">
        <f t="shared" si="5"/>
        <v>0</v>
      </c>
      <c r="S84" s="3614" t="str">
        <f>'Rent Roll'!$CN$20</f>
        <v>CX</v>
      </c>
    </row>
    <row r="85" ht="14.25" customHeight="1" hidden="1">
      <c r="A85" s="3594" t="s">
        <v>2593</v>
      </c>
      <c r="B85" s="3594" t="str">
        <f t="shared" si="6"/>
        <v>H</v>
      </c>
      <c r="D85" s="3601" t="str">
        <f t="shared" si="0"/>
        <v>N/A</v>
      </c>
      <c r="E85" s="3602" cm="1">
        <f t="array" ref="E85">SUMPRODUCT((--EXACT(S85,'Rent Roll'!$G$24:$G$125)))</f>
        <v>0</v>
      </c>
      <c r="F85" s="3603">
        <f t="shared" si="1"/>
        <v>0</v>
      </c>
      <c r="G85" s="3604" t="str">
        <f>IF('Rent Roll'!CO$17="# Bedrooms","N/A",'Rent Roll'!CO$17)</f>
        <v>N/A</v>
      </c>
      <c r="H85" s="3605" t="str">
        <f>IF('Rent Roll'!CO$18="# Baths","N/A",'Rent Roll'!CO$18)</f>
        <v>N/A</v>
      </c>
      <c r="I85" s="3606" t="str">
        <f>IF('Rent Roll'!$CO$22="Square Footage","N/A",'Rent Roll'!$CO$22)</f>
        <v>N/A</v>
      </c>
      <c r="J85" s="3607" t="str">
        <f>IF('Rent Roll'!CO$21="Market Rent","N/A",'Rent Roll'!CO$21)</f>
        <v>N/A</v>
      </c>
      <c r="K85" s="3608">
        <f t="shared" si="2"/>
        <v>0</v>
      </c>
      <c r="L85" s="3609">
        <f>'Rent Roll'!CO$126</f>
        <v>0</v>
      </c>
      <c r="M85" s="3609">
        <f>'Rent Roll'!CO$130</f>
        <v>0</v>
      </c>
      <c r="N85" s="3609" t="str">
        <f>IF('Rent Roll'!CO$126=0,"N/A",('Rent Roll'!CO$126-SUMIF('Rent Roll'!$G$24:$G$125,'Rent Roll'!CO$20,'Rent Roll'!$K$24:$K$125))/($E85-$Q85))</f>
        <v>N/A</v>
      </c>
      <c r="O85" s="3608">
        <f t="shared" si="3"/>
        <v>0</v>
      </c>
      <c r="P85" s="3610">
        <f t="shared" si="4"/>
        <v>0</v>
      </c>
      <c r="Q85" s="3611">
        <f>'Rent Roll'!CO$128</f>
        <v>0</v>
      </c>
      <c r="R85" s="3612">
        <f t="shared" si="5"/>
        <v>0</v>
      </c>
      <c r="S85" s="3614" t="str">
        <f>'Rent Roll'!$CO$20</f>
        <v>CY</v>
      </c>
    </row>
    <row r="86" ht="14.25" customHeight="1" hidden="1">
      <c r="A86" s="3594" t="s">
        <v>2594</v>
      </c>
      <c r="B86" s="3594" t="str">
        <f t="shared" si="6"/>
        <v>H</v>
      </c>
      <c r="D86" s="3601" t="str">
        <f t="shared" si="0"/>
        <v>N/A</v>
      </c>
      <c r="E86" s="3602" cm="1">
        <f t="array" ref="E86">SUMPRODUCT((--EXACT(S86,'Rent Roll'!$G$24:$G$125)))</f>
        <v>0</v>
      </c>
      <c r="F86" s="3603">
        <f t="shared" si="1"/>
        <v>0</v>
      </c>
      <c r="G86" s="3604" t="str">
        <f>IF('Rent Roll'!CP$17="# Bedrooms","N/A",'Rent Roll'!CP$17)</f>
        <v>N/A</v>
      </c>
      <c r="H86" s="3605" t="str">
        <f>IF('Rent Roll'!CP$18="# Baths","N/A",'Rent Roll'!CP$18)</f>
        <v>N/A</v>
      </c>
      <c r="I86" s="3606" t="str">
        <f>IF('Rent Roll'!$CP$22="Square Footage","N/A",'Rent Roll'!$CP$22)</f>
        <v>N/A</v>
      </c>
      <c r="J86" s="3607" t="str">
        <f>IF('Rent Roll'!CP$21="Market Rent","N/A",'Rent Roll'!CP$21)</f>
        <v>N/A</v>
      </c>
      <c r="K86" s="3608">
        <f t="shared" si="2"/>
        <v>0</v>
      </c>
      <c r="L86" s="3609">
        <f>'Rent Roll'!CP$126</f>
        <v>0</v>
      </c>
      <c r="M86" s="3609">
        <f>'Rent Roll'!CP$130</f>
        <v>0</v>
      </c>
      <c r="N86" s="3609" t="str">
        <f>IF('Rent Roll'!CP$126=0,"N/A",('Rent Roll'!CP$126-SUMIF('Rent Roll'!$G$24:$G$125,'Rent Roll'!CP$20,'Rent Roll'!$K$24:$K$125))/($E86-$Q86))</f>
        <v>N/A</v>
      </c>
      <c r="O86" s="3608">
        <f t="shared" si="3"/>
        <v>0</v>
      </c>
      <c r="P86" s="3610">
        <f t="shared" si="4"/>
        <v>0</v>
      </c>
      <c r="Q86" s="3611">
        <f>'Rent Roll'!CP$128</f>
        <v>0</v>
      </c>
      <c r="R86" s="3612">
        <f t="shared" si="5"/>
        <v>0</v>
      </c>
      <c r="S86" s="3614" t="str">
        <f>'Rent Roll'!$CP$20</f>
        <v>CZ</v>
      </c>
    </row>
    <row r="87" ht="14.25" customHeight="1" hidden="1">
      <c r="A87" s="3594" t="s">
        <v>2595</v>
      </c>
      <c r="B87" s="3594" t="str">
        <f t="shared" si="6"/>
        <v>H</v>
      </c>
      <c r="D87" s="3601" t="str">
        <f t="shared" si="0"/>
        <v>N/A</v>
      </c>
      <c r="E87" s="3602" cm="1">
        <f t="array" ref="E87">SUMPRODUCT((--EXACT(S87,'Rent Roll'!$G$24:$G$125)))</f>
        <v>0</v>
      </c>
      <c r="F87" s="3603">
        <f t="shared" si="1"/>
        <v>0</v>
      </c>
      <c r="G87" s="3604" t="str">
        <f>IF('Rent Roll'!CQ$17="# Bedrooms","N/A",'Rent Roll'!CQ$17)</f>
        <v>N/A</v>
      </c>
      <c r="H87" s="3605" t="str">
        <f>IF('Rent Roll'!CQ$18="# Baths","N/A",'Rent Roll'!CQ$18)</f>
        <v>N/A</v>
      </c>
      <c r="I87" s="3606" t="str">
        <f>IF('Rent Roll'!$CQ$22="Square Footage","N/A",'Rent Roll'!$CQ$22)</f>
        <v>N/A</v>
      </c>
      <c r="J87" s="3607" t="str">
        <f>IF('Rent Roll'!CQ$21="Market Rent","N/A",'Rent Roll'!CQ$21)</f>
        <v>N/A</v>
      </c>
      <c r="K87" s="3608">
        <f t="shared" si="2"/>
        <v>0</v>
      </c>
      <c r="L87" s="3609">
        <f>'Rent Roll'!CQ$126</f>
        <v>0</v>
      </c>
      <c r="M87" s="3609">
        <f>'Rent Roll'!CQ$130</f>
        <v>0</v>
      </c>
      <c r="N87" s="3609" t="str">
        <f>IF('Rent Roll'!CQ$126=0,"N/A",('Rent Roll'!CQ$126-SUMIF('Rent Roll'!$G$24:$G$125,'Rent Roll'!CQ$20,'Rent Roll'!$K$24:$K$125))/($E87-$Q87))</f>
        <v>N/A</v>
      </c>
      <c r="O87" s="3608">
        <f t="shared" si="3"/>
        <v>0</v>
      </c>
      <c r="P87" s="3610">
        <f t="shared" si="4"/>
        <v>0</v>
      </c>
      <c r="Q87" s="3611">
        <f>'Rent Roll'!CQ$128</f>
        <v>0</v>
      </c>
      <c r="R87" s="3612">
        <f t="shared" si="5"/>
        <v>0</v>
      </c>
      <c r="S87" s="3614" t="str">
        <f>'Rent Roll'!$CQ$20</f>
        <v>DA</v>
      </c>
    </row>
    <row r="88" ht="14.25" customHeight="1" hidden="1">
      <c r="A88" s="3594" t="s">
        <v>2596</v>
      </c>
      <c r="B88" s="3594" t="str">
        <f t="shared" si="6"/>
        <v>H</v>
      </c>
      <c r="D88" s="3601" t="str">
        <f t="shared" si="0"/>
        <v>N/A</v>
      </c>
      <c r="E88" s="3602" cm="1">
        <f t="array" ref="E88">SUMPRODUCT((--EXACT(S88,'Rent Roll'!$G$24:$G$125)))</f>
        <v>0</v>
      </c>
      <c r="F88" s="3603">
        <f t="shared" si="1"/>
        <v>0</v>
      </c>
      <c r="G88" s="3604" t="str">
        <f>IF('Rent Roll'!CR$17="# Bedrooms","N/A",'Rent Roll'!CR$17)</f>
        <v>N/A</v>
      </c>
      <c r="H88" s="3605" t="str">
        <f>IF('Rent Roll'!CR$18="# Baths","N/A",'Rent Roll'!CR$18)</f>
        <v>N/A</v>
      </c>
      <c r="I88" s="3606" t="str">
        <f>IF('Rent Roll'!$CR$22="Square Footage","N/A",'Rent Roll'!$CR$22)</f>
        <v>N/A</v>
      </c>
      <c r="J88" s="3607" t="str">
        <f>IF('Rent Roll'!CR$21="Market Rent","N/A",'Rent Roll'!CR$21)</f>
        <v>N/A</v>
      </c>
      <c r="K88" s="3608">
        <f t="shared" si="2"/>
        <v>0</v>
      </c>
      <c r="L88" s="3609">
        <f>'Rent Roll'!CR$126</f>
        <v>0</v>
      </c>
      <c r="M88" s="3609">
        <f>'Rent Roll'!CR$130</f>
        <v>0</v>
      </c>
      <c r="N88" s="3609" t="str">
        <f>IF('Rent Roll'!CR$126=0,"N/A",('Rent Roll'!CR$126-SUMIF('Rent Roll'!$G$24:$G$125,'Rent Roll'!CR$20,'Rent Roll'!$K$24:$K$125))/($E88-$Q88))</f>
        <v>N/A</v>
      </c>
      <c r="O88" s="3608">
        <f t="shared" si="3"/>
        <v>0</v>
      </c>
      <c r="P88" s="3610">
        <f t="shared" si="4"/>
        <v>0</v>
      </c>
      <c r="Q88" s="3611">
        <f>'Rent Roll'!CR$128</f>
        <v>0</v>
      </c>
      <c r="R88" s="3612">
        <f t="shared" si="5"/>
        <v>0</v>
      </c>
      <c r="S88" s="3614" t="str">
        <f>'Rent Roll'!$CR$20</f>
        <v>DB</v>
      </c>
    </row>
    <row r="89" ht="14.25" customHeight="1" hidden="1">
      <c r="A89" s="3594" t="s">
        <v>2597</v>
      </c>
      <c r="B89" s="3594" t="str">
        <f t="shared" si="6"/>
        <v>H</v>
      </c>
      <c r="D89" s="3601" t="str">
        <f t="shared" si="0"/>
        <v>N/A</v>
      </c>
      <c r="E89" s="3602" cm="1">
        <f t="array" ref="E89">SUMPRODUCT((--EXACT(S89,'Rent Roll'!$G$24:$G$125)))</f>
        <v>0</v>
      </c>
      <c r="F89" s="3603">
        <f t="shared" si="1"/>
        <v>0</v>
      </c>
      <c r="G89" s="3604" t="str">
        <f>IF('Rent Roll'!CS$17="# Bedrooms","N/A",'Rent Roll'!CS$17)</f>
        <v>N/A</v>
      </c>
      <c r="H89" s="3605" t="str">
        <f>IF('Rent Roll'!CS$18="# Baths","N/A",'Rent Roll'!CS$18)</f>
        <v>N/A</v>
      </c>
      <c r="I89" s="3606" t="str">
        <f>IF('Rent Roll'!$CS$22="Square Footage","N/A",'Rent Roll'!$CS$22)</f>
        <v>N/A</v>
      </c>
      <c r="J89" s="3607" t="str">
        <f>IF('Rent Roll'!CS$21="Market Rent","N/A",'Rent Roll'!CS$21)</f>
        <v>N/A</v>
      </c>
      <c r="K89" s="3608">
        <f t="shared" si="2"/>
        <v>0</v>
      </c>
      <c r="L89" s="3609">
        <f>'Rent Roll'!CS$126</f>
        <v>0</v>
      </c>
      <c r="M89" s="3609">
        <f>'Rent Roll'!CS$130</f>
        <v>0</v>
      </c>
      <c r="N89" s="3609" t="str">
        <f>IF('Rent Roll'!CS$126=0,"N/A",('Rent Roll'!CS$126-SUMIF('Rent Roll'!$G$24:$G$125,'Rent Roll'!CS$20,'Rent Roll'!$K$24:$K$125))/($E89-$Q89))</f>
        <v>N/A</v>
      </c>
      <c r="O89" s="3608">
        <f t="shared" si="3"/>
        <v>0</v>
      </c>
      <c r="P89" s="3610">
        <f t="shared" si="4"/>
        <v>0</v>
      </c>
      <c r="Q89" s="3611">
        <f>'Rent Roll'!CS$128</f>
        <v>0</v>
      </c>
      <c r="R89" s="3612">
        <f t="shared" si="5"/>
        <v>0</v>
      </c>
      <c r="S89" s="3614" t="str">
        <f>'Rent Roll'!$CS$20</f>
        <v>DC</v>
      </c>
    </row>
    <row r="90" ht="14.25" customHeight="1" hidden="1">
      <c r="A90" s="3594" t="s">
        <v>2598</v>
      </c>
      <c r="B90" s="3594" t="str">
        <f t="shared" si="6"/>
        <v>H</v>
      </c>
      <c r="D90" s="3601" t="str">
        <f t="shared" si="0"/>
        <v>N/A</v>
      </c>
      <c r="E90" s="3602" cm="1">
        <f t="array" ref="E90">SUMPRODUCT((--EXACT(S90,'Rent Roll'!$G$24:$G$125)))</f>
        <v>0</v>
      </c>
      <c r="F90" s="3603">
        <f t="shared" si="1"/>
        <v>0</v>
      </c>
      <c r="G90" s="3604" t="str">
        <f>IF('Rent Roll'!CT$17="# Bedrooms","N/A",'Rent Roll'!CT$17)</f>
        <v>N/A</v>
      </c>
      <c r="H90" s="3605" t="str">
        <f>IF('Rent Roll'!CT$18="# Baths","N/A",'Rent Roll'!CT$18)</f>
        <v>N/A</v>
      </c>
      <c r="I90" s="3606" t="str">
        <f>IF('Rent Roll'!$CT$22="Square Footage","N/A",'Rent Roll'!$CT$22)</f>
        <v>N/A</v>
      </c>
      <c r="J90" s="3607" t="str">
        <f>IF('Rent Roll'!CT$21="Market Rent","N/A",'Rent Roll'!CT$21)</f>
        <v>N/A</v>
      </c>
      <c r="K90" s="3608">
        <f t="shared" si="2"/>
        <v>0</v>
      </c>
      <c r="L90" s="3609">
        <f>'Rent Roll'!CT$126</f>
        <v>0</v>
      </c>
      <c r="M90" s="3609">
        <f>'Rent Roll'!CT$130</f>
        <v>0</v>
      </c>
      <c r="N90" s="3609" t="str">
        <f>IF('Rent Roll'!CT$126=0,"N/A",('Rent Roll'!CT$126-SUMIF('Rent Roll'!$G$24:$G$125,'Rent Roll'!CT$20,'Rent Roll'!$K$24:$K$125))/($E90-$Q90))</f>
        <v>N/A</v>
      </c>
      <c r="O90" s="3608">
        <f t="shared" si="3"/>
        <v>0</v>
      </c>
      <c r="P90" s="3610">
        <f t="shared" si="4"/>
        <v>0</v>
      </c>
      <c r="Q90" s="3611">
        <f>'Rent Roll'!CT$128</f>
        <v>0</v>
      </c>
      <c r="R90" s="3612">
        <f t="shared" si="5"/>
        <v>0</v>
      </c>
      <c r="S90" s="3614" t="str">
        <f>'Rent Roll'!$CT$20</f>
        <v>DD</v>
      </c>
    </row>
    <row r="91" ht="14.25" customHeight="1" hidden="1">
      <c r="A91" s="3594" t="s">
        <v>2599</v>
      </c>
      <c r="B91" s="3594" t="str">
        <f t="shared" si="6"/>
        <v>H</v>
      </c>
      <c r="D91" s="3601" t="str">
        <f t="shared" si="0"/>
        <v>N/A</v>
      </c>
      <c r="E91" s="3602" cm="1">
        <f t="array" ref="E91">SUMPRODUCT((--EXACT(S91,'Rent Roll'!$G$24:$G$125)))</f>
        <v>0</v>
      </c>
      <c r="F91" s="3603">
        <f t="shared" si="1"/>
        <v>0</v>
      </c>
      <c r="G91" s="3604" t="str">
        <f>IF('Rent Roll'!CU$17="# Bedrooms","N/A",'Rent Roll'!CU$17)</f>
        <v>N/A</v>
      </c>
      <c r="H91" s="3605" t="str">
        <f>IF('Rent Roll'!CU$18="# Baths","N/A",'Rent Roll'!CU$18)</f>
        <v>N/A</v>
      </c>
      <c r="I91" s="3606" t="str">
        <f>IF('Rent Roll'!$CU$22="Square Footage","N/A",'Rent Roll'!$CU$22)</f>
        <v>N/A</v>
      </c>
      <c r="J91" s="3607" t="str">
        <f>IF('Rent Roll'!CU$21="Market Rent","N/A",'Rent Roll'!CU$21)</f>
        <v>N/A</v>
      </c>
      <c r="K91" s="3608">
        <f t="shared" si="2"/>
        <v>0</v>
      </c>
      <c r="L91" s="3609">
        <f>'Rent Roll'!CU$126</f>
        <v>0</v>
      </c>
      <c r="M91" s="3609">
        <f>'Rent Roll'!CU$130</f>
        <v>0</v>
      </c>
      <c r="N91" s="3609" t="str">
        <f>IF('Rent Roll'!CU$126=0,"N/A",('Rent Roll'!CU$126-SUMIF('Rent Roll'!$G$24:$G$125,'Rent Roll'!CU$20,'Rent Roll'!$K$24:$K$125))/($E91-$Q91))</f>
        <v>N/A</v>
      </c>
      <c r="O91" s="3608">
        <f t="shared" si="3"/>
        <v>0</v>
      </c>
      <c r="P91" s="3610">
        <f t="shared" si="4"/>
        <v>0</v>
      </c>
      <c r="Q91" s="3611">
        <f>'Rent Roll'!CU$128</f>
        <v>0</v>
      </c>
      <c r="R91" s="3612">
        <f t="shared" si="5"/>
        <v>0</v>
      </c>
      <c r="S91" s="3614" t="str">
        <f>'Rent Roll'!$CU$20</f>
        <v>DE</v>
      </c>
    </row>
    <row r="92" ht="14.25" customHeight="1" hidden="1">
      <c r="A92" s="3594" t="s">
        <v>2600</v>
      </c>
      <c r="B92" s="3594" t="str">
        <f t="shared" si="6"/>
        <v>H</v>
      </c>
      <c r="D92" s="3601" t="str">
        <f t="shared" si="0"/>
        <v>N/A</v>
      </c>
      <c r="E92" s="3602" cm="1">
        <f t="array" ref="E92">SUMPRODUCT((--EXACT(S92,'Rent Roll'!$G$24:$G$125)))</f>
        <v>0</v>
      </c>
      <c r="F92" s="3603">
        <f t="shared" si="1"/>
        <v>0</v>
      </c>
      <c r="G92" s="3604" t="str">
        <f>IF('Rent Roll'!CV$17="# Bedrooms","N/A",'Rent Roll'!CV$17)</f>
        <v>N/A</v>
      </c>
      <c r="H92" s="3605" t="str">
        <f>IF('Rent Roll'!CV$18="# Baths","N/A",'Rent Roll'!CV$18)</f>
        <v>N/A</v>
      </c>
      <c r="I92" s="3606" t="str">
        <f>IF('Rent Roll'!$CV$22="Square Footage","N/A",'Rent Roll'!$CV$22)</f>
        <v>N/A</v>
      </c>
      <c r="J92" s="3607" t="str">
        <f>IF('Rent Roll'!CV$21="Market Rent","N/A",'Rent Roll'!CV$21)</f>
        <v>N/A</v>
      </c>
      <c r="K92" s="3608">
        <f t="shared" si="2"/>
        <v>0</v>
      </c>
      <c r="L92" s="3609">
        <f>'Rent Roll'!CV$126</f>
        <v>0</v>
      </c>
      <c r="M92" s="3609">
        <f>'Rent Roll'!CV$130</f>
        <v>0</v>
      </c>
      <c r="N92" s="3609" t="str">
        <f>IF('Rent Roll'!CV$126=0,"N/A",('Rent Roll'!CV$126-SUMIF('Rent Roll'!$G$24:$G$125,'Rent Roll'!CV$20,'Rent Roll'!$K$24:$K$125))/($E92-$Q92))</f>
        <v>N/A</v>
      </c>
      <c r="O92" s="3608">
        <f t="shared" si="3"/>
        <v>0</v>
      </c>
      <c r="P92" s="3610">
        <f t="shared" si="4"/>
        <v>0</v>
      </c>
      <c r="Q92" s="3611">
        <f>'Rent Roll'!CV$128</f>
        <v>0</v>
      </c>
      <c r="R92" s="3612">
        <f t="shared" si="5"/>
        <v>0</v>
      </c>
      <c r="S92" s="3614" t="str">
        <f>'Rent Roll'!$CV$20</f>
        <v>DF</v>
      </c>
    </row>
    <row r="93" ht="14.25" customHeight="1" hidden="1">
      <c r="A93" s="3594" t="s">
        <v>2601</v>
      </c>
      <c r="B93" s="3594" t="str">
        <f t="shared" si="6"/>
        <v>H</v>
      </c>
      <c r="D93" s="3601" t="str">
        <f t="shared" si="0"/>
        <v>N/A</v>
      </c>
      <c r="E93" s="3602" cm="1">
        <f t="array" ref="E93">SUMPRODUCT((--EXACT(S93,'Rent Roll'!$G$24:$G$125)))</f>
        <v>0</v>
      </c>
      <c r="F93" s="3603">
        <f t="shared" si="1"/>
        <v>0</v>
      </c>
      <c r="G93" s="3604" t="str">
        <f>IF('Rent Roll'!CW$17="# Bedrooms","N/A",'Rent Roll'!CW$17)</f>
        <v>N/A</v>
      </c>
      <c r="H93" s="3605" t="str">
        <f>IF('Rent Roll'!CW$18="# Baths","N/A",'Rent Roll'!CW$18)</f>
        <v>N/A</v>
      </c>
      <c r="I93" s="3606" t="str">
        <f>IF('Rent Roll'!$CW$22="Square Footage","N/A",'Rent Roll'!$CW$22)</f>
        <v>N/A</v>
      </c>
      <c r="J93" s="3607" t="str">
        <f>IF('Rent Roll'!CW$21="Market Rent","N/A",'Rent Roll'!CW$21)</f>
        <v>N/A</v>
      </c>
      <c r="K93" s="3608">
        <f t="shared" si="2"/>
        <v>0</v>
      </c>
      <c r="L93" s="3609">
        <f>'Rent Roll'!CW$126</f>
        <v>0</v>
      </c>
      <c r="M93" s="3609">
        <f>'Rent Roll'!CW$130</f>
        <v>0</v>
      </c>
      <c r="N93" s="3609" t="str">
        <f>IF('Rent Roll'!CW$126=0,"N/A",('Rent Roll'!CW$126-SUMIF('Rent Roll'!$G$24:$G$125,'Rent Roll'!CW$20,'Rent Roll'!$K$24:$K$125))/($E93-$Q93))</f>
        <v>N/A</v>
      </c>
      <c r="O93" s="3608">
        <f t="shared" si="3"/>
        <v>0</v>
      </c>
      <c r="P93" s="3610">
        <f t="shared" si="4"/>
        <v>0</v>
      </c>
      <c r="Q93" s="3611">
        <f>'Rent Roll'!CW$128</f>
        <v>0</v>
      </c>
      <c r="R93" s="3612">
        <f t="shared" si="5"/>
        <v>0</v>
      </c>
      <c r="S93" s="3614" t="str">
        <f>'Rent Roll'!$CW$20</f>
        <v>DG</v>
      </c>
    </row>
    <row r="94" ht="14.25" customHeight="1" hidden="1">
      <c r="A94" s="3594" t="s">
        <v>2602</v>
      </c>
      <c r="B94" s="3594" t="str">
        <f t="shared" si="6"/>
        <v>H</v>
      </c>
      <c r="D94" s="3601" t="str">
        <f t="shared" si="0"/>
        <v>N/A</v>
      </c>
      <c r="E94" s="3602" cm="1">
        <f t="array" ref="E94">SUMPRODUCT((--EXACT(S94,'Rent Roll'!$G$24:$G$125)))</f>
        <v>0</v>
      </c>
      <c r="F94" s="3603">
        <f t="shared" si="1"/>
        <v>0</v>
      </c>
      <c r="G94" s="3604" t="str">
        <f>IF('Rent Roll'!CX$17="# Bedrooms","N/A",'Rent Roll'!CX$17)</f>
        <v>N/A</v>
      </c>
      <c r="H94" s="3605" t="str">
        <f>IF('Rent Roll'!CX$18="# Baths","N/A",'Rent Roll'!CX$18)</f>
        <v>N/A</v>
      </c>
      <c r="I94" s="3606" t="str">
        <f>IF('Rent Roll'!$CX$22="Square Footage","N/A",'Rent Roll'!$CX$22)</f>
        <v>N/A</v>
      </c>
      <c r="J94" s="3607" t="str">
        <f>IF('Rent Roll'!CX$21="Market Rent","N/A",'Rent Roll'!CX$21)</f>
        <v>N/A</v>
      </c>
      <c r="K94" s="3608">
        <f t="shared" si="2"/>
        <v>0</v>
      </c>
      <c r="L94" s="3609">
        <f>'Rent Roll'!CX$126</f>
        <v>0</v>
      </c>
      <c r="M94" s="3609">
        <f>'Rent Roll'!CX$130</f>
        <v>0</v>
      </c>
      <c r="N94" s="3609" t="str">
        <f>IF('Rent Roll'!CX$126=0,"N/A",('Rent Roll'!CX$126-SUMIF('Rent Roll'!$G$24:$G$125,'Rent Roll'!CX$20,'Rent Roll'!$K$24:$K$125))/($E94-$Q94))</f>
        <v>N/A</v>
      </c>
      <c r="O94" s="3608">
        <f t="shared" si="3"/>
        <v>0</v>
      </c>
      <c r="P94" s="3610">
        <f t="shared" si="4"/>
        <v>0</v>
      </c>
      <c r="Q94" s="3611">
        <f>'Rent Roll'!CX$128</f>
        <v>0</v>
      </c>
      <c r="R94" s="3612">
        <f t="shared" si="5"/>
        <v>0</v>
      </c>
      <c r="S94" s="3614" t="str">
        <f>'Rent Roll'!$CX$20</f>
        <v>DH</v>
      </c>
    </row>
    <row r="95" ht="14.25" customHeight="1" hidden="1">
      <c r="A95" s="3594" t="s">
        <v>2603</v>
      </c>
      <c r="B95" s="3594" t="str">
        <f t="shared" si="6"/>
        <v>H</v>
      </c>
      <c r="D95" s="3601" t="str">
        <f t="shared" si="0"/>
        <v>N/A</v>
      </c>
      <c r="E95" s="3602" cm="1">
        <f t="array" ref="E95">SUMPRODUCT((--EXACT(S95,'Rent Roll'!$G$24:$G$125)))</f>
        <v>0</v>
      </c>
      <c r="F95" s="3603">
        <f t="shared" si="1"/>
        <v>0</v>
      </c>
      <c r="G95" s="3604" t="str">
        <f>IF('Rent Roll'!CY$17="# Bedrooms","N/A",'Rent Roll'!CY$17)</f>
        <v>N/A</v>
      </c>
      <c r="H95" s="3605" t="str">
        <f>IF('Rent Roll'!CY$18="# Baths","N/A",'Rent Roll'!CY$18)</f>
        <v>N/A</v>
      </c>
      <c r="I95" s="3606" t="str">
        <f>IF('Rent Roll'!$CY$22="Square Footage","N/A",'Rent Roll'!$CY$22)</f>
        <v>N/A</v>
      </c>
      <c r="J95" s="3607" t="str">
        <f>IF('Rent Roll'!CY$21="Market Rent","N/A",'Rent Roll'!CY$21)</f>
        <v>N/A</v>
      </c>
      <c r="K95" s="3608">
        <f t="shared" si="2"/>
        <v>0</v>
      </c>
      <c r="L95" s="3609">
        <f>'Rent Roll'!CY$126</f>
        <v>0</v>
      </c>
      <c r="M95" s="3609">
        <f>'Rent Roll'!CY$130</f>
        <v>0</v>
      </c>
      <c r="N95" s="3609" t="str">
        <f>IF('Rent Roll'!CY$126=0,"N/A",('Rent Roll'!CY$126-SUMIF('Rent Roll'!$G$24:$G$125,'Rent Roll'!CY$20,'Rent Roll'!$K$24:$K$125))/($E95-$Q95))</f>
        <v>N/A</v>
      </c>
      <c r="O95" s="3608">
        <f t="shared" si="3"/>
        <v>0</v>
      </c>
      <c r="P95" s="3610">
        <f t="shared" si="4"/>
        <v>0</v>
      </c>
      <c r="Q95" s="3611">
        <f>'Rent Roll'!CY$128</f>
        <v>0</v>
      </c>
      <c r="R95" s="3612">
        <f t="shared" si="5"/>
        <v>0</v>
      </c>
      <c r="S95" s="3614" t="str">
        <f>'Rent Roll'!$CY$20</f>
        <v>DI</v>
      </c>
    </row>
    <row r="96" ht="14.25" customHeight="1" hidden="1">
      <c r="A96" s="3594" t="s">
        <v>2604</v>
      </c>
      <c r="B96" s="3594" t="str">
        <f t="shared" si="6"/>
        <v>H</v>
      </c>
      <c r="D96" s="3601" t="str">
        <f t="shared" si="0"/>
        <v>N/A</v>
      </c>
      <c r="E96" s="3602" cm="1">
        <f t="array" ref="E96">SUMPRODUCT((--EXACT(S96,'Rent Roll'!$G$24:$G$125)))</f>
        <v>0</v>
      </c>
      <c r="F96" s="3603">
        <f t="shared" si="1"/>
        <v>0</v>
      </c>
      <c r="G96" s="3604" t="str">
        <f>IF('Rent Roll'!CZ$17="# Bedrooms","N/A",'Rent Roll'!CZ$17)</f>
        <v>N/A</v>
      </c>
      <c r="H96" s="3605" t="str">
        <f>IF('Rent Roll'!CZ$18="# Baths","N/A",'Rent Roll'!CZ$18)</f>
        <v>N/A</v>
      </c>
      <c r="I96" s="3606" t="str">
        <f>IF('Rent Roll'!$CZ$22="Square Footage","N/A",'Rent Roll'!$CZ$22)</f>
        <v>N/A</v>
      </c>
      <c r="J96" s="3607" t="str">
        <f>IF('Rent Roll'!CZ$21="Market Rent","N/A",'Rent Roll'!CZ$21)</f>
        <v>N/A</v>
      </c>
      <c r="K96" s="3608">
        <f t="shared" si="2"/>
        <v>0</v>
      </c>
      <c r="L96" s="3609">
        <f>'Rent Roll'!CZ$126</f>
        <v>0</v>
      </c>
      <c r="M96" s="3609">
        <f>'Rent Roll'!CZ$130</f>
        <v>0</v>
      </c>
      <c r="N96" s="3609" t="str">
        <f>IF('Rent Roll'!CZ$126=0,"N/A",('Rent Roll'!CZ$126-SUMIF('Rent Roll'!$G$24:$G$125,'Rent Roll'!CZ$20,'Rent Roll'!$K$24:$K$125))/($E96-$Q96))</f>
        <v>N/A</v>
      </c>
      <c r="O96" s="3608">
        <f t="shared" si="3"/>
        <v>0</v>
      </c>
      <c r="P96" s="3610">
        <f t="shared" si="4"/>
        <v>0</v>
      </c>
      <c r="Q96" s="3611">
        <f>'Rent Roll'!CZ$128</f>
        <v>0</v>
      </c>
      <c r="R96" s="3612">
        <f t="shared" si="5"/>
        <v>0</v>
      </c>
      <c r="S96" s="3614" t="str">
        <f>'Rent Roll'!$CZ$20</f>
        <v>DJ</v>
      </c>
    </row>
    <row r="97" ht="14.25" customHeight="1" hidden="1">
      <c r="A97" s="3594" t="s">
        <v>2605</v>
      </c>
      <c r="B97" s="3594" t="str">
        <f t="shared" si="6"/>
        <v>H</v>
      </c>
      <c r="D97" s="3601" t="str">
        <f t="shared" si="0"/>
        <v>N/A</v>
      </c>
      <c r="E97" s="3602" cm="1">
        <f t="array" ref="E97">SUMPRODUCT((--EXACT(S97,'Rent Roll'!$G$24:$G$125)))</f>
        <v>0</v>
      </c>
      <c r="F97" s="3603">
        <f t="shared" si="1"/>
        <v>0</v>
      </c>
      <c r="G97" s="3604" t="str">
        <f>IF('Rent Roll'!DA$17="# Bedrooms","N/A",'Rent Roll'!DA$17)</f>
        <v>N/A</v>
      </c>
      <c r="H97" s="3605" t="str">
        <f>IF('Rent Roll'!DA$18="# Baths","N/A",'Rent Roll'!DA$18)</f>
        <v>N/A</v>
      </c>
      <c r="I97" s="3606" t="str">
        <f>IF('Rent Roll'!$DA$22="Square Footage","N/A",'Rent Roll'!$DA$22)</f>
        <v>N/A</v>
      </c>
      <c r="J97" s="3607" t="str">
        <f>IF('Rent Roll'!DA$21="Market Rent","N/A",'Rent Roll'!DA$21)</f>
        <v>N/A</v>
      </c>
      <c r="K97" s="3608">
        <f t="shared" si="2"/>
        <v>0</v>
      </c>
      <c r="L97" s="3609">
        <f>'Rent Roll'!DA$126</f>
        <v>0</v>
      </c>
      <c r="M97" s="3609">
        <f>'Rent Roll'!DA$130</f>
        <v>0</v>
      </c>
      <c r="N97" s="3609" t="str">
        <f>IF('Rent Roll'!DA$126=0,"N/A",('Rent Roll'!DA$126-SUMIF('Rent Roll'!$G$24:$G$125,'Rent Roll'!DA$20,'Rent Roll'!$K$24:$K$125))/($E97-$Q97))</f>
        <v>N/A</v>
      </c>
      <c r="O97" s="3608">
        <f t="shared" si="3"/>
        <v>0</v>
      </c>
      <c r="P97" s="3610">
        <f t="shared" si="4"/>
        <v>0</v>
      </c>
      <c r="Q97" s="3611">
        <f>'Rent Roll'!DA$128</f>
        <v>0</v>
      </c>
      <c r="R97" s="3612">
        <f t="shared" si="5"/>
        <v>0</v>
      </c>
      <c r="S97" s="3614" t="str">
        <f>'Rent Roll'!$DA$20</f>
        <v>DK</v>
      </c>
    </row>
    <row r="98" ht="14.25" customHeight="1" hidden="1">
      <c r="A98" s="3594" t="s">
        <v>2606</v>
      </c>
      <c r="B98" s="3594" t="str">
        <f t="shared" si="6"/>
        <v>H</v>
      </c>
      <c r="D98" s="3601" t="str">
        <f t="shared" si="0"/>
        <v>N/A</v>
      </c>
      <c r="E98" s="3602" cm="1">
        <f t="array" ref="E98">SUMPRODUCT((--EXACT(S98,'Rent Roll'!$G$24:$G$125)))</f>
        <v>0</v>
      </c>
      <c r="F98" s="3603">
        <f t="shared" si="1"/>
        <v>0</v>
      </c>
      <c r="G98" s="3604" t="str">
        <f>IF('Rent Roll'!DB$17="# Bedrooms","N/A",'Rent Roll'!DB$17)</f>
        <v>N/A</v>
      </c>
      <c r="H98" s="3605" t="str">
        <f>IF('Rent Roll'!DB$18="# Baths","N/A",'Rent Roll'!DB$18)</f>
        <v>N/A</v>
      </c>
      <c r="I98" s="3606" t="str">
        <f>IF('Rent Roll'!$DB$22="Square Footage","N/A",'Rent Roll'!$DB$22)</f>
        <v>N/A</v>
      </c>
      <c r="J98" s="3607" t="str">
        <f>IF('Rent Roll'!DB$21="Market Rent","N/A",'Rent Roll'!DB$21)</f>
        <v>N/A</v>
      </c>
      <c r="K98" s="3608">
        <f t="shared" si="2"/>
        <v>0</v>
      </c>
      <c r="L98" s="3609">
        <f>'Rent Roll'!DB$126</f>
        <v>0</v>
      </c>
      <c r="M98" s="3609">
        <f>'Rent Roll'!DB$130</f>
        <v>0</v>
      </c>
      <c r="N98" s="3609" t="str">
        <f>IF('Rent Roll'!DB$126=0,"N/A",('Rent Roll'!DB$126-SUMIF('Rent Roll'!$G$24:$G$125,'Rent Roll'!DB$20,'Rent Roll'!$K$24:$K$125))/($E98-$Q98))</f>
        <v>N/A</v>
      </c>
      <c r="O98" s="3608">
        <f t="shared" si="3"/>
        <v>0</v>
      </c>
      <c r="P98" s="3610">
        <f t="shared" si="4"/>
        <v>0</v>
      </c>
      <c r="Q98" s="3611">
        <f>'Rent Roll'!DB$128</f>
        <v>0</v>
      </c>
      <c r="R98" s="3612">
        <f t="shared" si="5"/>
        <v>0</v>
      </c>
      <c r="S98" s="3614" t="str">
        <f>'Rent Roll'!$DB$20</f>
        <v>DL</v>
      </c>
    </row>
    <row r="99" ht="14.25" customHeight="1" hidden="1">
      <c r="A99" s="3594" t="s">
        <v>2607</v>
      </c>
      <c r="B99" s="3594" t="str">
        <f t="shared" si="6"/>
        <v>H</v>
      </c>
      <c r="D99" s="3601" t="str">
        <f t="shared" si="0"/>
        <v>N/A</v>
      </c>
      <c r="E99" s="3602" cm="1">
        <f t="array" ref="E99">SUMPRODUCT((--EXACT(S99,'Rent Roll'!$G$24:$G$125)))</f>
        <v>0</v>
      </c>
      <c r="F99" s="3603">
        <f t="shared" si="1"/>
        <v>0</v>
      </c>
      <c r="G99" s="3604" t="str">
        <f>IF('Rent Roll'!DC$17="# Bedrooms","N/A",'Rent Roll'!DC$17)</f>
        <v>N/A</v>
      </c>
      <c r="H99" s="3605" t="str">
        <f>IF('Rent Roll'!DC$18="# Baths","N/A",'Rent Roll'!DC$18)</f>
        <v>N/A</v>
      </c>
      <c r="I99" s="3606" t="str">
        <f>IF('Rent Roll'!$DC$22="Square Footage","N/A",'Rent Roll'!$DC$22)</f>
        <v>N/A</v>
      </c>
      <c r="J99" s="3607" t="str">
        <f>IF('Rent Roll'!DC$21="Market Rent","N/A",'Rent Roll'!DC$21)</f>
        <v>N/A</v>
      </c>
      <c r="K99" s="3608">
        <f t="shared" si="2"/>
        <v>0</v>
      </c>
      <c r="L99" s="3609">
        <f>'Rent Roll'!DC$126</f>
        <v>0</v>
      </c>
      <c r="M99" s="3609">
        <f>'Rent Roll'!DC$130</f>
        <v>0</v>
      </c>
      <c r="N99" s="3609" t="str">
        <f>IF('Rent Roll'!DC$126=0,"N/A",('Rent Roll'!DC$126-SUMIF('Rent Roll'!$G$24:$G$125,'Rent Roll'!DC$20,'Rent Roll'!$K$24:$K$125))/($E99-$Q99))</f>
        <v>N/A</v>
      </c>
      <c r="O99" s="3608">
        <f t="shared" si="3"/>
        <v>0</v>
      </c>
      <c r="P99" s="3610">
        <f t="shared" si="4"/>
        <v>0</v>
      </c>
      <c r="Q99" s="3611">
        <f>'Rent Roll'!DC$128</f>
        <v>0</v>
      </c>
      <c r="R99" s="3612">
        <f t="shared" si="5"/>
        <v>0</v>
      </c>
      <c r="S99" s="3614" t="str">
        <f>'Rent Roll'!$DC$20</f>
        <v>DM</v>
      </c>
    </row>
    <row r="100" ht="14.25" customHeight="1" hidden="1">
      <c r="A100" s="3594" t="s">
        <v>2608</v>
      </c>
      <c r="B100" s="3594" t="str">
        <f t="shared" si="6"/>
        <v>H</v>
      </c>
      <c r="D100" s="3601" t="str">
        <f t="shared" si="0"/>
        <v>N/A</v>
      </c>
      <c r="E100" s="3602" cm="1">
        <f t="array" ref="E100">SUMPRODUCT((--EXACT(S100,'Rent Roll'!$G$24:$G$125)))</f>
        <v>0</v>
      </c>
      <c r="F100" s="3603">
        <f t="shared" si="1"/>
        <v>0</v>
      </c>
      <c r="G100" s="3604" t="str">
        <f>IF('Rent Roll'!DD$17="# Bedrooms","N/A",'Rent Roll'!DD$17)</f>
        <v>N/A</v>
      </c>
      <c r="H100" s="3605" t="str">
        <f>IF('Rent Roll'!DD$18="# Baths","N/A",'Rent Roll'!DD$18)</f>
        <v>N/A</v>
      </c>
      <c r="I100" s="3606" t="str">
        <f>IF('Rent Roll'!$DD$22="Square Footage","N/A",'Rent Roll'!$DD$22)</f>
        <v>N/A</v>
      </c>
      <c r="J100" s="3607" t="str">
        <f>IF('Rent Roll'!DD$21="Market Rent","N/A",'Rent Roll'!DD$21)</f>
        <v>N/A</v>
      </c>
      <c r="K100" s="3608">
        <f t="shared" si="2"/>
        <v>0</v>
      </c>
      <c r="L100" s="3609">
        <f>'Rent Roll'!DD$126</f>
        <v>0</v>
      </c>
      <c r="M100" s="3609">
        <f>'Rent Roll'!DD$130</f>
        <v>0</v>
      </c>
      <c r="N100" s="3609" t="str">
        <f>IF('Rent Roll'!DD$126=0,"N/A",('Rent Roll'!DD$126-SUMIF('Rent Roll'!$G$24:$G$125,'Rent Roll'!DD$20,'Rent Roll'!$K$24:$K$125))/($E100-$Q100))</f>
        <v>N/A</v>
      </c>
      <c r="O100" s="3608">
        <f t="shared" si="3"/>
        <v>0</v>
      </c>
      <c r="P100" s="3610">
        <f t="shared" si="4"/>
        <v>0</v>
      </c>
      <c r="Q100" s="3611">
        <f>'Rent Roll'!DD$128</f>
        <v>0</v>
      </c>
      <c r="R100" s="3612">
        <f t="shared" si="5"/>
        <v>0</v>
      </c>
      <c r="S100" s="3614" t="str">
        <f>'Rent Roll'!$DD$20</f>
        <v>DN</v>
      </c>
    </row>
    <row r="101" ht="14.25" customHeight="1" hidden="1">
      <c r="A101" s="3594" t="s">
        <v>2609</v>
      </c>
      <c r="B101" s="3594" t="str">
        <f t="shared" si="6"/>
        <v>H</v>
      </c>
      <c r="D101" s="3601" t="str">
        <f t="shared" si="0"/>
        <v>N/A</v>
      </c>
      <c r="E101" s="3602" cm="1">
        <f t="array" ref="E101">SUMPRODUCT((--EXACT(S101,'Rent Roll'!$G$24:$G$125)))</f>
        <v>0</v>
      </c>
      <c r="F101" s="3603">
        <f t="shared" si="1"/>
        <v>0</v>
      </c>
      <c r="G101" s="3604" t="str">
        <f>IF('Rent Roll'!DE$17="# Bedrooms","N/A",'Rent Roll'!DE$17)</f>
        <v>N/A</v>
      </c>
      <c r="H101" s="3605" t="str">
        <f>IF('Rent Roll'!DE$18="# Baths","N/A",'Rent Roll'!DE$18)</f>
        <v>N/A</v>
      </c>
      <c r="I101" s="3606" t="str">
        <f>IF('Rent Roll'!$DE$22="Square Footage","N/A",'Rent Roll'!$DE$22)</f>
        <v>N/A</v>
      </c>
      <c r="J101" s="3607" t="str">
        <f>IF('Rent Roll'!DE$21="Market Rent","N/A",'Rent Roll'!DE$21)</f>
        <v>N/A</v>
      </c>
      <c r="K101" s="3608">
        <f t="shared" si="2"/>
        <v>0</v>
      </c>
      <c r="L101" s="3609">
        <f>'Rent Roll'!DE$126</f>
        <v>0</v>
      </c>
      <c r="M101" s="3609">
        <f>'Rent Roll'!DE$130</f>
        <v>0</v>
      </c>
      <c r="N101" s="3609" t="str">
        <f>IF('Rent Roll'!DE$126=0,"N/A",('Rent Roll'!DE$126-SUMIF('Rent Roll'!$G$24:$G$125,'Rent Roll'!DE$20,'Rent Roll'!$K$24:$K$125))/($E101-$Q101))</f>
        <v>N/A</v>
      </c>
      <c r="O101" s="3608">
        <f t="shared" si="3"/>
        <v>0</v>
      </c>
      <c r="P101" s="3610">
        <f t="shared" si="4"/>
        <v>0</v>
      </c>
      <c r="Q101" s="3611">
        <f>'Rent Roll'!DE$128</f>
        <v>0</v>
      </c>
      <c r="R101" s="3612">
        <f t="shared" si="5"/>
        <v>0</v>
      </c>
      <c r="S101" s="3614" t="str">
        <f>'Rent Roll'!$DE$20</f>
        <v>DO</v>
      </c>
    </row>
    <row r="102" ht="14.25" customHeight="1" hidden="1">
      <c r="A102" s="3594" t="s">
        <v>2610</v>
      </c>
      <c r="B102" s="3594" t="str">
        <f t="shared" si="6"/>
        <v>H</v>
      </c>
      <c r="D102" s="3601" t="str">
        <f t="shared" si="0"/>
        <v>N/A</v>
      </c>
      <c r="E102" s="3602" cm="1">
        <f t="array" ref="E102">SUMPRODUCT((--EXACT(S102,'Rent Roll'!$G$24:$G$125)))</f>
        <v>0</v>
      </c>
      <c r="F102" s="3603">
        <f t="shared" si="1"/>
        <v>0</v>
      </c>
      <c r="G102" s="3604" t="str">
        <f>IF('Rent Roll'!DF$17="# Bedrooms","N/A",'Rent Roll'!DF$17)</f>
        <v>N/A</v>
      </c>
      <c r="H102" s="3605" t="str">
        <f>IF('Rent Roll'!DF$18="# Baths","N/A",'Rent Roll'!DF$18)</f>
        <v>N/A</v>
      </c>
      <c r="I102" s="3606" t="str">
        <f>IF('Rent Roll'!$DF$22="Square Footage","N/A",'Rent Roll'!$DF$22)</f>
        <v>N/A</v>
      </c>
      <c r="J102" s="3607" t="str">
        <f>IF('Rent Roll'!DF$21="Market Rent","N/A",'Rent Roll'!DF$21)</f>
        <v>N/A</v>
      </c>
      <c r="K102" s="3608">
        <f t="shared" si="2"/>
        <v>0</v>
      </c>
      <c r="L102" s="3609">
        <f>'Rent Roll'!DF$126</f>
        <v>0</v>
      </c>
      <c r="M102" s="3609">
        <f>'Rent Roll'!DF$130</f>
        <v>0</v>
      </c>
      <c r="N102" s="3609" t="str">
        <f>IF('Rent Roll'!DF$126=0,"N/A",('Rent Roll'!DF$126-SUMIF('Rent Roll'!$G$24:$G$125,'Rent Roll'!DF$20,'Rent Roll'!$K$24:$K$125))/($E102-$Q102))</f>
        <v>N/A</v>
      </c>
      <c r="O102" s="3608">
        <f t="shared" si="3"/>
        <v>0</v>
      </c>
      <c r="P102" s="3610">
        <f t="shared" si="4"/>
        <v>0</v>
      </c>
      <c r="Q102" s="3611">
        <f>'Rent Roll'!DF$128</f>
        <v>0</v>
      </c>
      <c r="R102" s="3612">
        <f t="shared" si="5"/>
        <v>0</v>
      </c>
      <c r="S102" s="3614" t="str">
        <f>'Rent Roll'!$DF$20</f>
        <v>DP</v>
      </c>
    </row>
    <row r="103" ht="14.25" customHeight="1" hidden="1">
      <c r="A103" s="3594" t="s">
        <v>2611</v>
      </c>
      <c r="B103" s="3594" t="str">
        <f t="shared" si="6"/>
        <v>H</v>
      </c>
      <c r="D103" s="3601" t="str">
        <f t="shared" si="0"/>
        <v>N/A</v>
      </c>
      <c r="E103" s="3602" cm="1">
        <f t="array" ref="E103">SUMPRODUCT((--EXACT(S103,'Rent Roll'!$G$24:$G$125)))</f>
        <v>0</v>
      </c>
      <c r="F103" s="3603">
        <f t="shared" si="1"/>
        <v>0</v>
      </c>
      <c r="G103" s="3604" t="str">
        <f>IF('Rent Roll'!DG$17="# Bedrooms","N/A",'Rent Roll'!DG$17)</f>
        <v>N/A</v>
      </c>
      <c r="H103" s="3605" t="str">
        <f>IF('Rent Roll'!DG$18="# Baths","N/A",'Rent Roll'!DG$18)</f>
        <v>N/A</v>
      </c>
      <c r="I103" s="3606" t="str">
        <f>IF('Rent Roll'!$DG$22="Square Footage","N/A",'Rent Roll'!$DG$22)</f>
        <v>N/A</v>
      </c>
      <c r="J103" s="3607" t="str">
        <f>IF('Rent Roll'!DG$21="Market Rent","N/A",'Rent Roll'!DG$21)</f>
        <v>N/A</v>
      </c>
      <c r="K103" s="3608">
        <f t="shared" si="2"/>
        <v>0</v>
      </c>
      <c r="L103" s="3609">
        <f>'Rent Roll'!DG$126</f>
        <v>0</v>
      </c>
      <c r="M103" s="3609">
        <f>'Rent Roll'!DG$130</f>
        <v>0</v>
      </c>
      <c r="N103" s="3609" t="str">
        <f>IF('Rent Roll'!DG$126=0,"N/A",('Rent Roll'!DG$126-SUMIF('Rent Roll'!$G$24:$G$125,'Rent Roll'!DG$20,'Rent Roll'!$K$24:$K$125))/($E103-$Q103))</f>
        <v>N/A</v>
      </c>
      <c r="O103" s="3608">
        <f t="shared" si="3"/>
        <v>0</v>
      </c>
      <c r="P103" s="3610">
        <f t="shared" si="4"/>
        <v>0</v>
      </c>
      <c r="Q103" s="3611">
        <f>'Rent Roll'!DG$128</f>
        <v>0</v>
      </c>
      <c r="R103" s="3612">
        <f t="shared" si="5"/>
        <v>0</v>
      </c>
      <c r="S103" s="3614" t="str">
        <f>'Rent Roll'!$DG$20</f>
        <v>DQ</v>
      </c>
    </row>
    <row r="104" ht="14.25" customHeight="1" hidden="1">
      <c r="A104" s="3594" t="s">
        <v>2612</v>
      </c>
      <c r="B104" s="3594" t="str">
        <f t="shared" si="6"/>
        <v>H</v>
      </c>
      <c r="D104" s="3601" t="str">
        <f t="shared" si="0"/>
        <v>N/A</v>
      </c>
      <c r="E104" s="3602" cm="1">
        <f t="array" ref="E104">SUMPRODUCT((--EXACT(S104,'Rent Roll'!$G$24:$G$125)))</f>
        <v>0</v>
      </c>
      <c r="F104" s="3603">
        <f t="shared" si="1"/>
        <v>0</v>
      </c>
      <c r="G104" s="3604" t="str">
        <f>IF('Rent Roll'!DH$17="# Bedrooms","N/A",'Rent Roll'!DH$17)</f>
        <v>N/A</v>
      </c>
      <c r="H104" s="3605" t="str">
        <f>IF('Rent Roll'!DH$18="# Baths","N/A",'Rent Roll'!DH$18)</f>
        <v>N/A</v>
      </c>
      <c r="I104" s="3606" t="str">
        <f>IF('Rent Roll'!$DH$22="Square Footage","N/A",'Rent Roll'!$DH$22)</f>
        <v>N/A</v>
      </c>
      <c r="J104" s="3607" t="str">
        <f>IF('Rent Roll'!DH$21="Market Rent","N/A",'Rent Roll'!DH$21)</f>
        <v>N/A</v>
      </c>
      <c r="K104" s="3608">
        <f t="shared" si="2"/>
        <v>0</v>
      </c>
      <c r="L104" s="3609">
        <f>'Rent Roll'!DH$126</f>
        <v>0</v>
      </c>
      <c r="M104" s="3609">
        <f>'Rent Roll'!DH$130</f>
        <v>0</v>
      </c>
      <c r="N104" s="3609" t="str">
        <f>IF('Rent Roll'!DH$126=0,"N/A",('Rent Roll'!DH$126-SUMIF('Rent Roll'!$G$24:$G$125,'Rent Roll'!DH$20,'Rent Roll'!$K$24:$K$125))/($E104-$Q104))</f>
        <v>N/A</v>
      </c>
      <c r="O104" s="3608">
        <f t="shared" si="3"/>
        <v>0</v>
      </c>
      <c r="P104" s="3610">
        <f t="shared" si="4"/>
        <v>0</v>
      </c>
      <c r="Q104" s="3611">
        <f>'Rent Roll'!DH$128</f>
        <v>0</v>
      </c>
      <c r="R104" s="3612">
        <f t="shared" si="5"/>
        <v>0</v>
      </c>
      <c r="S104" s="3614" t="str">
        <f>'Rent Roll'!$DH$20</f>
        <v>DR</v>
      </c>
    </row>
    <row r="105" ht="14.25" customHeight="1" hidden="1">
      <c r="A105" s="3594" t="s">
        <v>2613</v>
      </c>
      <c r="B105" s="3594" t="str">
        <f t="shared" si="6"/>
        <v>H</v>
      </c>
      <c r="D105" s="3601" t="str">
        <f t="shared" si="0"/>
        <v>N/A</v>
      </c>
      <c r="E105" s="3602" cm="1">
        <f t="array" ref="E105">SUMPRODUCT((--EXACT(S105,'Rent Roll'!$G$24:$G$125)))</f>
        <v>0</v>
      </c>
      <c r="F105" s="3603">
        <f t="shared" si="1"/>
        <v>0</v>
      </c>
      <c r="G105" s="3604" t="str">
        <f>IF('Rent Roll'!DI$17="# Bedrooms","N/A",'Rent Roll'!DI$17)</f>
        <v>N/A</v>
      </c>
      <c r="H105" s="3605" t="str">
        <f>IF('Rent Roll'!DI$18="# Baths","N/A",'Rent Roll'!DI$18)</f>
        <v>N/A</v>
      </c>
      <c r="I105" s="3606" t="str">
        <f>IF('Rent Roll'!$DI$22="Square Footage","N/A",'Rent Roll'!$DI$22)</f>
        <v>N/A</v>
      </c>
      <c r="J105" s="3607" t="str">
        <f>IF('Rent Roll'!DI$21="Market Rent","N/A",'Rent Roll'!DI$21)</f>
        <v>N/A</v>
      </c>
      <c r="K105" s="3608">
        <f t="shared" si="2"/>
        <v>0</v>
      </c>
      <c r="L105" s="3609">
        <f>'Rent Roll'!DI$126</f>
        <v>0</v>
      </c>
      <c r="M105" s="3609">
        <f>'Rent Roll'!DI$130</f>
        <v>0</v>
      </c>
      <c r="N105" s="3609" t="str">
        <f>IF('Rent Roll'!DI$126=0,"N/A",('Rent Roll'!DI$126-SUMIF('Rent Roll'!$G$24:$G$125,'Rent Roll'!DI$20,'Rent Roll'!$K$24:$K$125))/($E105-$Q105))</f>
        <v>N/A</v>
      </c>
      <c r="O105" s="3608">
        <f t="shared" si="3"/>
        <v>0</v>
      </c>
      <c r="P105" s="3610">
        <f t="shared" si="4"/>
        <v>0</v>
      </c>
      <c r="Q105" s="3611">
        <f>'Rent Roll'!DI$128</f>
        <v>0</v>
      </c>
      <c r="R105" s="3612">
        <f t="shared" si="5"/>
        <v>0</v>
      </c>
      <c r="S105" s="3614" t="str">
        <f>'Rent Roll'!$DI$20</f>
        <v>DS</v>
      </c>
    </row>
    <row r="106" ht="14.25" customHeight="1" hidden="1">
      <c r="A106" s="3594" t="s">
        <v>2614</v>
      </c>
      <c r="B106" s="3594" t="str">
        <f t="shared" si="6"/>
        <v>H</v>
      </c>
      <c r="D106" s="3601" t="str">
        <f t="shared" si="0"/>
        <v>N/A</v>
      </c>
      <c r="E106" s="3602" cm="1">
        <f t="array" ref="E106">SUMPRODUCT((--EXACT(S106,'Rent Roll'!$G$24:$G$125)))</f>
        <v>0</v>
      </c>
      <c r="F106" s="3603">
        <f t="shared" si="1"/>
        <v>0</v>
      </c>
      <c r="G106" s="3604" t="str">
        <f>IF('Rent Roll'!DJ$17="# Bedrooms","N/A",'Rent Roll'!DJ$17)</f>
        <v>N/A</v>
      </c>
      <c r="H106" s="3605" t="str">
        <f>IF('Rent Roll'!DJ$18="# Baths","N/A",'Rent Roll'!DJ$18)</f>
        <v>N/A</v>
      </c>
      <c r="I106" s="3606" t="str">
        <f>IF('Rent Roll'!$DJ$22="Square Footage","N/A",'Rent Roll'!$DJ$22)</f>
        <v>N/A</v>
      </c>
      <c r="J106" s="3607" t="str">
        <f>IF('Rent Roll'!DJ$21="Market Rent","N/A",'Rent Roll'!DJ$21)</f>
        <v>N/A</v>
      </c>
      <c r="K106" s="3608">
        <f t="shared" si="2"/>
        <v>0</v>
      </c>
      <c r="L106" s="3609">
        <f>'Rent Roll'!DJ$126</f>
        <v>0</v>
      </c>
      <c r="M106" s="3609">
        <f>'Rent Roll'!DJ$130</f>
        <v>0</v>
      </c>
      <c r="N106" s="3609" t="str">
        <f>IF('Rent Roll'!DJ$126=0,"N/A",('Rent Roll'!DJ$126-SUMIF('Rent Roll'!$G$24:$G$125,'Rent Roll'!DJ$20,'Rent Roll'!$K$24:$K$125))/($E106-$Q106))</f>
        <v>N/A</v>
      </c>
      <c r="O106" s="3608">
        <f t="shared" si="3"/>
        <v>0</v>
      </c>
      <c r="P106" s="3610">
        <f t="shared" si="4"/>
        <v>0</v>
      </c>
      <c r="Q106" s="3611">
        <f>'Rent Roll'!DJ$128</f>
        <v>0</v>
      </c>
      <c r="R106" s="3612">
        <f t="shared" si="5"/>
        <v>0</v>
      </c>
      <c r="S106" s="3614" t="str">
        <f>'Rent Roll'!$DJ$20</f>
        <v>DT</v>
      </c>
    </row>
    <row r="107" ht="14.25" customHeight="1" hidden="1">
      <c r="A107" s="3594" t="s">
        <v>2615</v>
      </c>
      <c r="B107" s="3594" t="str">
        <f t="shared" si="6"/>
        <v>H</v>
      </c>
      <c r="D107" s="3601" t="str">
        <f t="shared" si="0"/>
        <v>N/A</v>
      </c>
      <c r="E107" s="3602" cm="1">
        <f t="array" ref="E107">SUMPRODUCT((--EXACT(S107,'Rent Roll'!$G$24:$G$125)))</f>
        <v>0</v>
      </c>
      <c r="F107" s="3603">
        <f t="shared" si="1"/>
        <v>0</v>
      </c>
      <c r="G107" s="3604" t="str">
        <f>IF('Rent Roll'!DK$17="# Bedrooms","N/A",'Rent Roll'!DK$17)</f>
        <v>N/A</v>
      </c>
      <c r="H107" s="3605" t="str">
        <f>IF('Rent Roll'!DK$18="# Baths","N/A",'Rent Roll'!DK$18)</f>
        <v>N/A</v>
      </c>
      <c r="I107" s="3606" t="str">
        <f>IF('Rent Roll'!$DK$22="Square Footage","N/A",'Rent Roll'!$DK$22)</f>
        <v>N/A</v>
      </c>
      <c r="J107" s="3607" t="str">
        <f>IF('Rent Roll'!DK$21="Market Rent","N/A",'Rent Roll'!DK$21)</f>
        <v>N/A</v>
      </c>
      <c r="K107" s="3608">
        <f t="shared" si="2"/>
        <v>0</v>
      </c>
      <c r="L107" s="3609">
        <f>'Rent Roll'!DK$126</f>
        <v>0</v>
      </c>
      <c r="M107" s="3609">
        <f>'Rent Roll'!DK$130</f>
        <v>0</v>
      </c>
      <c r="N107" s="3609" t="str">
        <f>IF('Rent Roll'!DK$126=0,"N/A",('Rent Roll'!DK$126-SUMIF('Rent Roll'!$G$24:$G$125,'Rent Roll'!DK$20,'Rent Roll'!$K$24:$K$125))/($E107-$Q107))</f>
        <v>N/A</v>
      </c>
      <c r="O107" s="3608">
        <f t="shared" si="3"/>
        <v>0</v>
      </c>
      <c r="P107" s="3610">
        <f t="shared" si="4"/>
        <v>0</v>
      </c>
      <c r="Q107" s="3611">
        <f>'Rent Roll'!DK$128</f>
        <v>0</v>
      </c>
      <c r="R107" s="3612">
        <f t="shared" si="5"/>
        <v>0</v>
      </c>
      <c r="S107" s="3614" t="str">
        <f>'Rent Roll'!$DK$20</f>
        <v>DU</v>
      </c>
    </row>
    <row r="108" ht="14.25" customHeight="1" hidden="1">
      <c r="A108" s="3594" t="s">
        <v>2616</v>
      </c>
      <c r="B108" s="3594" t="str">
        <f t="shared" si="6"/>
        <v>H</v>
      </c>
      <c r="D108" s="3601" t="str">
        <f t="shared" si="0"/>
        <v>N/A</v>
      </c>
      <c r="E108" s="3602" cm="1">
        <f t="array" ref="E108">SUMPRODUCT((--EXACT(S108,'Rent Roll'!$G$24:$G$125)))</f>
        <v>0</v>
      </c>
      <c r="F108" s="3603">
        <f t="shared" si="1"/>
        <v>0</v>
      </c>
      <c r="G108" s="3604" t="str">
        <f>IF('Rent Roll'!DL$17="# Bedrooms","N/A",'Rent Roll'!DL$17)</f>
        <v>N/A</v>
      </c>
      <c r="H108" s="3605" t="str">
        <f>IF('Rent Roll'!DL$18="# Baths","N/A",'Rent Roll'!DL$18)</f>
        <v>N/A</v>
      </c>
      <c r="I108" s="3606" t="str">
        <f>IF('Rent Roll'!$DL$22="Square Footage","N/A",'Rent Roll'!$DL$22)</f>
        <v>N/A</v>
      </c>
      <c r="J108" s="3607" t="str">
        <f>IF('Rent Roll'!DL$21="Market Rent","N/A",'Rent Roll'!DL$21)</f>
        <v>N/A</v>
      </c>
      <c r="K108" s="3608">
        <f t="shared" si="2"/>
        <v>0</v>
      </c>
      <c r="L108" s="3609">
        <f>'Rent Roll'!DL$126</f>
        <v>0</v>
      </c>
      <c r="M108" s="3609">
        <f>'Rent Roll'!DL$130</f>
        <v>0</v>
      </c>
      <c r="N108" s="3609" t="str">
        <f>IF('Rent Roll'!DL$126=0,"N/A",('Rent Roll'!DL$126-SUMIF('Rent Roll'!$G$24:$G$125,'Rent Roll'!DL$20,'Rent Roll'!$K$24:$K$125))/($E108-$Q108))</f>
        <v>N/A</v>
      </c>
      <c r="O108" s="3608">
        <f t="shared" si="3"/>
        <v>0</v>
      </c>
      <c r="P108" s="3610">
        <f t="shared" si="4"/>
        <v>0</v>
      </c>
      <c r="Q108" s="3611">
        <f>'Rent Roll'!DL$128</f>
        <v>0</v>
      </c>
      <c r="R108" s="3612">
        <f t="shared" si="5"/>
        <v>0</v>
      </c>
      <c r="S108" s="3614" t="str">
        <f>'Rent Roll'!$DL$20</f>
        <v>DV</v>
      </c>
    </row>
    <row r="109" ht="14.25" customHeight="1" hidden="1">
      <c r="A109" s="3594" t="s">
        <v>2617</v>
      </c>
      <c r="B109" s="3594" t="str">
        <f t="shared" si="6"/>
        <v>H</v>
      </c>
      <c r="D109" s="3601" t="str">
        <f t="shared" si="0"/>
        <v>N/A</v>
      </c>
      <c r="E109" s="3602" cm="1">
        <f t="array" ref="E109">SUMPRODUCT((--EXACT(S109,'Rent Roll'!$G$24:$G$125)))</f>
        <v>0</v>
      </c>
      <c r="F109" s="3603">
        <f t="shared" si="1"/>
        <v>0</v>
      </c>
      <c r="G109" s="3604" t="str">
        <f>IF('Rent Roll'!DM$17="# Bedrooms","N/A",'Rent Roll'!DM$17)</f>
        <v>N/A</v>
      </c>
      <c r="H109" s="3605" t="str">
        <f>IF('Rent Roll'!DM$18="# Baths","N/A",'Rent Roll'!DM$18)</f>
        <v>N/A</v>
      </c>
      <c r="I109" s="3606" t="str">
        <f>IF('Rent Roll'!$DM$22="Square Footage","N/A",'Rent Roll'!$DM$22)</f>
        <v>N/A</v>
      </c>
      <c r="J109" s="3607" t="str">
        <f>IF('Rent Roll'!DM$21="Market Rent","N/A",'Rent Roll'!DM$21)</f>
        <v>N/A</v>
      </c>
      <c r="K109" s="3608">
        <f t="shared" si="2"/>
        <v>0</v>
      </c>
      <c r="L109" s="3609">
        <f>'Rent Roll'!DM$126</f>
        <v>0</v>
      </c>
      <c r="M109" s="3609">
        <f>'Rent Roll'!DM$130</f>
        <v>0</v>
      </c>
      <c r="N109" s="3609" t="str">
        <f>IF('Rent Roll'!DM$126=0,"N/A",('Rent Roll'!DM$126-SUMIF('Rent Roll'!$G$24:$G$125,'Rent Roll'!DM$20,'Rent Roll'!$K$24:$K$125))/($E109-$Q109))</f>
        <v>N/A</v>
      </c>
      <c r="O109" s="3608">
        <f t="shared" si="3"/>
        <v>0</v>
      </c>
      <c r="P109" s="3610">
        <f t="shared" si="4"/>
        <v>0</v>
      </c>
      <c r="Q109" s="3611">
        <f>'Rent Roll'!DM$128</f>
        <v>0</v>
      </c>
      <c r="R109" s="3612">
        <f t="shared" si="5"/>
        <v>0</v>
      </c>
      <c r="S109" s="3614" t="str">
        <f>'Rent Roll'!$DM$20</f>
        <v>DW</v>
      </c>
    </row>
    <row r="110" ht="14.25" customHeight="1" hidden="1">
      <c r="A110" s="3594" t="s">
        <v>2618</v>
      </c>
      <c r="B110" s="3594" t="str">
        <f t="shared" si="6"/>
        <v>H</v>
      </c>
      <c r="D110" s="3601" t="str">
        <f t="shared" si="0"/>
        <v>N/A</v>
      </c>
      <c r="E110" s="3602" cm="1">
        <f t="array" ref="E110">SUMPRODUCT((--EXACT(S110,'Rent Roll'!$G$24:$G$125)))</f>
        <v>0</v>
      </c>
      <c r="F110" s="3603">
        <f t="shared" si="1"/>
        <v>0</v>
      </c>
      <c r="G110" s="3604" t="str">
        <f>IF('Rent Roll'!DN$17="# Bedrooms","N/A",'Rent Roll'!DN$17)</f>
        <v>N/A</v>
      </c>
      <c r="H110" s="3605" t="str">
        <f>IF('Rent Roll'!DN$18="# Baths","N/A",'Rent Roll'!DN$18)</f>
        <v>N/A</v>
      </c>
      <c r="I110" s="3606" t="str">
        <f>IF('Rent Roll'!$DN$22="Square Footage","N/A",'Rent Roll'!$DN$22)</f>
        <v>N/A</v>
      </c>
      <c r="J110" s="3607" t="str">
        <f>IF('Rent Roll'!DN$21="Market Rent","N/A",'Rent Roll'!DN$21)</f>
        <v>N/A</v>
      </c>
      <c r="K110" s="3608">
        <f t="shared" si="2"/>
        <v>0</v>
      </c>
      <c r="L110" s="3609">
        <f>'Rent Roll'!DN$126</f>
        <v>0</v>
      </c>
      <c r="M110" s="3609">
        <f>'Rent Roll'!DN$130</f>
        <v>0</v>
      </c>
      <c r="N110" s="3609" t="str">
        <f>IF('Rent Roll'!DN$126=0,"N/A",('Rent Roll'!DN$126-SUMIF('Rent Roll'!$G$24:$G$125,'Rent Roll'!DN$20,'Rent Roll'!$K$24:$K$125))/($E110-$Q110))</f>
        <v>N/A</v>
      </c>
      <c r="O110" s="3608">
        <f t="shared" si="3"/>
        <v>0</v>
      </c>
      <c r="P110" s="3610">
        <f t="shared" si="4"/>
        <v>0</v>
      </c>
      <c r="Q110" s="3611">
        <f>'Rent Roll'!DN$128</f>
        <v>0</v>
      </c>
      <c r="R110" s="3612">
        <f t="shared" si="5"/>
        <v>0</v>
      </c>
      <c r="S110" s="3614" t="str">
        <f>'Rent Roll'!$DN$20</f>
        <v>DX</v>
      </c>
    </row>
    <row r="111" ht="14.25" customHeight="1" hidden="1">
      <c r="A111" s="3594" t="s">
        <v>2619</v>
      </c>
      <c r="B111" s="3594" t="str">
        <f t="shared" si="6"/>
        <v>H</v>
      </c>
      <c r="D111" s="3601" t="str">
        <f t="shared" si="0"/>
        <v>N/A</v>
      </c>
      <c r="E111" s="3602" cm="1">
        <f t="array" ref="E111">SUMPRODUCT((--EXACT(S111,'Rent Roll'!$G$24:$G$125)))</f>
        <v>0</v>
      </c>
      <c r="F111" s="3603">
        <f t="shared" si="1"/>
        <v>0</v>
      </c>
      <c r="G111" s="3604" t="str">
        <f>IF('Rent Roll'!DO$17="# Bedrooms","N/A",'Rent Roll'!DO$17)</f>
        <v>N/A</v>
      </c>
      <c r="H111" s="3605" t="str">
        <f>IF('Rent Roll'!DO$18="# Baths","N/A",'Rent Roll'!DO$18)</f>
        <v>N/A</v>
      </c>
      <c r="I111" s="3606" t="str">
        <f>IF('Rent Roll'!$DO$22="Square Footage","N/A",'Rent Roll'!$DO$22)</f>
        <v>N/A</v>
      </c>
      <c r="J111" s="3607" t="str">
        <f>IF('Rent Roll'!DO$21="Market Rent","N/A",'Rent Roll'!DO$21)</f>
        <v>N/A</v>
      </c>
      <c r="K111" s="3608">
        <f t="shared" si="2"/>
        <v>0</v>
      </c>
      <c r="L111" s="3609">
        <f>'Rent Roll'!DO$126</f>
        <v>0</v>
      </c>
      <c r="M111" s="3609">
        <f>'Rent Roll'!DO$130</f>
        <v>0</v>
      </c>
      <c r="N111" s="3609" t="str">
        <f>IF('Rent Roll'!DO$126=0,"N/A",('Rent Roll'!DO$126-SUMIF('Rent Roll'!$G$24:$G$125,'Rent Roll'!DO$20,'Rent Roll'!$K$24:$K$125))/($E111-$Q111))</f>
        <v>N/A</v>
      </c>
      <c r="O111" s="3608">
        <f t="shared" si="3"/>
        <v>0</v>
      </c>
      <c r="P111" s="3610">
        <f t="shared" si="4"/>
        <v>0</v>
      </c>
      <c r="Q111" s="3611">
        <f>'Rent Roll'!DO$128</f>
        <v>0</v>
      </c>
      <c r="R111" s="3612">
        <f t="shared" si="5"/>
        <v>0</v>
      </c>
      <c r="S111" s="3614" t="str">
        <f>'Rent Roll'!$DO$20</f>
        <v>DY</v>
      </c>
    </row>
    <row r="112" ht="14.25" customHeight="1" hidden="1">
      <c r="A112" s="3594" t="s">
        <v>2620</v>
      </c>
      <c r="B112" s="3594" t="str">
        <f t="shared" si="6"/>
        <v>H</v>
      </c>
      <c r="D112" s="3601" t="str">
        <f t="shared" si="0"/>
        <v>N/A</v>
      </c>
      <c r="E112" s="3602" cm="1">
        <f t="array" ref="E112">SUMPRODUCT((--EXACT(S112,'Rent Roll'!$G$24:$G$125)))</f>
        <v>0</v>
      </c>
      <c r="F112" s="3603">
        <f t="shared" si="1"/>
        <v>0</v>
      </c>
      <c r="G112" s="3604" t="str">
        <f>IF('Rent Roll'!DP$17="# Bedrooms","N/A",'Rent Roll'!DP$17)</f>
        <v>N/A</v>
      </c>
      <c r="H112" s="3605" t="str">
        <f>IF('Rent Roll'!DP$18="# Baths","N/A",'Rent Roll'!DP$18)</f>
        <v>N/A</v>
      </c>
      <c r="I112" s="3606" t="str">
        <f>IF('Rent Roll'!$DP$22="Square Footage","N/A",'Rent Roll'!$DP$22)</f>
        <v>N/A</v>
      </c>
      <c r="J112" s="3607" t="str">
        <f>IF('Rent Roll'!DP$21="Market Rent","N/A",'Rent Roll'!DP$21)</f>
        <v>N/A</v>
      </c>
      <c r="K112" s="3608">
        <f t="shared" si="2"/>
        <v>0</v>
      </c>
      <c r="L112" s="3609">
        <f>'Rent Roll'!DP$126</f>
        <v>0</v>
      </c>
      <c r="M112" s="3609">
        <f>'Rent Roll'!DP$130</f>
        <v>0</v>
      </c>
      <c r="N112" s="3609" t="str">
        <f>IF('Rent Roll'!DP$126=0,"N/A",('Rent Roll'!DP$126-SUMIF('Rent Roll'!$G$24:$G$125,'Rent Roll'!DP$20,'Rent Roll'!$K$24:$K$125))/($E112-$Q112))</f>
        <v>N/A</v>
      </c>
      <c r="O112" s="3608">
        <f t="shared" si="3"/>
        <v>0</v>
      </c>
      <c r="P112" s="3610">
        <f t="shared" si="4"/>
        <v>0</v>
      </c>
      <c r="Q112" s="3611">
        <f>'Rent Roll'!DP$128</f>
        <v>0</v>
      </c>
      <c r="R112" s="3612">
        <f t="shared" si="5"/>
        <v>0</v>
      </c>
      <c r="S112" s="3614" t="str">
        <f>'Rent Roll'!$DP$20</f>
        <v>DZ</v>
      </c>
    </row>
    <row r="113" ht="14.25" customHeight="1" hidden="1">
      <c r="A113" s="3594" t="s">
        <v>2621</v>
      </c>
      <c r="B113" s="3594" t="str">
        <f t="shared" si="6"/>
        <v>H</v>
      </c>
      <c r="D113" s="3601" t="str">
        <f t="shared" si="0"/>
        <v>N/A</v>
      </c>
      <c r="E113" s="3602" cm="1">
        <f t="array" ref="E113">SUMPRODUCT((--EXACT(S113,'Rent Roll'!$G$24:$G$125)))</f>
        <v>0</v>
      </c>
      <c r="F113" s="3603">
        <f t="shared" si="1"/>
        <v>0</v>
      </c>
      <c r="G113" s="3604" t="str">
        <f>IF('Rent Roll'!DQ$17="# Bedrooms","N/A",'Rent Roll'!DQ$17)</f>
        <v>N/A</v>
      </c>
      <c r="H113" s="3605" t="str">
        <f>IF('Rent Roll'!DQ$18="# Baths","N/A",'Rent Roll'!DQ$18)</f>
        <v>N/A</v>
      </c>
      <c r="I113" s="3606" t="str">
        <f>IF('Rent Roll'!$DQ$22="Square Footage","N/A",'Rent Roll'!$DQ$22)</f>
        <v>N/A</v>
      </c>
      <c r="J113" s="3607" t="str">
        <f>IF('Rent Roll'!DQ$21="Market Rent","N/A",'Rent Roll'!DQ$21)</f>
        <v>N/A</v>
      </c>
      <c r="K113" s="3608">
        <f t="shared" si="2"/>
        <v>0</v>
      </c>
      <c r="L113" s="3609">
        <f>'Rent Roll'!DQ$126</f>
        <v>0</v>
      </c>
      <c r="M113" s="3609">
        <f>'Rent Roll'!DQ$130</f>
        <v>0</v>
      </c>
      <c r="N113" s="3609" t="str">
        <f>IF('Rent Roll'!DQ$126=0,"N/A",('Rent Roll'!DQ$126-SUMIF('Rent Roll'!$G$24:$G$125,'Rent Roll'!DQ$20,'Rent Roll'!$K$24:$K$125))/($E113-$Q113))</f>
        <v>N/A</v>
      </c>
      <c r="O113" s="3608">
        <f t="shared" si="3"/>
        <v>0</v>
      </c>
      <c r="P113" s="3610">
        <f t="shared" si="4"/>
        <v>0</v>
      </c>
      <c r="Q113" s="3611">
        <f>'Rent Roll'!DQ$128</f>
        <v>0</v>
      </c>
      <c r="R113" s="3612">
        <f t="shared" si="5"/>
        <v>0</v>
      </c>
      <c r="S113" s="3614" t="str">
        <f>'Rent Roll'!$DQ$20</f>
        <v>EA</v>
      </c>
    </row>
    <row r="114" ht="14.25" customHeight="1" hidden="1">
      <c r="A114" s="3594" t="s">
        <v>2622</v>
      </c>
      <c r="B114" s="3594" t="str">
        <f t="shared" si="6"/>
        <v>H</v>
      </c>
      <c r="D114" s="3601" t="str">
        <f t="shared" si="0"/>
        <v>N/A</v>
      </c>
      <c r="E114" s="3602" cm="1">
        <f t="array" ref="E114">SUMPRODUCT((--EXACT(S114,'Rent Roll'!$G$24:$G$125)))</f>
        <v>0</v>
      </c>
      <c r="F114" s="3603">
        <f t="shared" si="1"/>
        <v>0</v>
      </c>
      <c r="G114" s="3604" t="str">
        <f>IF('Rent Roll'!DR$17="# Bedrooms","N/A",'Rent Roll'!DR$17)</f>
        <v>N/A</v>
      </c>
      <c r="H114" s="3605" t="str">
        <f>IF('Rent Roll'!DR$18="# Baths","N/A",'Rent Roll'!DR$18)</f>
        <v>N/A</v>
      </c>
      <c r="I114" s="3606" t="str">
        <f>IF('Rent Roll'!$DR$22="Square Footage","N/A",'Rent Roll'!$DR$22)</f>
        <v>N/A</v>
      </c>
      <c r="J114" s="3607" t="str">
        <f>IF('Rent Roll'!DR$21="Market Rent","N/A",'Rent Roll'!DR$21)</f>
        <v>N/A</v>
      </c>
      <c r="K114" s="3608">
        <f t="shared" si="2"/>
        <v>0</v>
      </c>
      <c r="L114" s="3609">
        <f>'Rent Roll'!DR$126</f>
        <v>0</v>
      </c>
      <c r="M114" s="3609">
        <f>'Rent Roll'!DR$130</f>
        <v>0</v>
      </c>
      <c r="N114" s="3609" t="str">
        <f>IF('Rent Roll'!DR$126=0,"N/A",('Rent Roll'!DR$126-SUMIF('Rent Roll'!$G$24:$G$125,'Rent Roll'!DR$20,'Rent Roll'!$K$24:$K$125))/($E114-$Q114))</f>
        <v>N/A</v>
      </c>
      <c r="O114" s="3608">
        <f t="shared" si="3"/>
        <v>0</v>
      </c>
      <c r="P114" s="3610">
        <f t="shared" si="4"/>
        <v>0</v>
      </c>
      <c r="Q114" s="3611">
        <f>'Rent Roll'!DR$128</f>
        <v>0</v>
      </c>
      <c r="R114" s="3612">
        <f t="shared" si="5"/>
        <v>0</v>
      </c>
      <c r="S114" s="3614" t="str">
        <f>'Rent Roll'!$DR$20</f>
        <v>EB</v>
      </c>
    </row>
    <row r="115" ht="14.25" customHeight="1" hidden="1">
      <c r="A115" s="3594" t="s">
        <v>2623</v>
      </c>
      <c r="B115" s="3594" t="str">
        <f t="shared" si="6"/>
        <v>H</v>
      </c>
      <c r="D115" s="3601" t="str">
        <f t="shared" si="0"/>
        <v>N/A</v>
      </c>
      <c r="E115" s="3602" cm="1">
        <f t="array" ref="E115">SUMPRODUCT((--EXACT(S115,'Rent Roll'!$G$24:$G$125)))</f>
        <v>0</v>
      </c>
      <c r="F115" s="3603">
        <f t="shared" si="1"/>
        <v>0</v>
      </c>
      <c r="G115" s="3604" t="str">
        <f>IF('Rent Roll'!DS$17="# Bedrooms","N/A",'Rent Roll'!DS$17)</f>
        <v>N/A</v>
      </c>
      <c r="H115" s="3605" t="str">
        <f>IF('Rent Roll'!DS$18="# Baths","N/A",'Rent Roll'!DS$18)</f>
        <v>N/A</v>
      </c>
      <c r="I115" s="3606" t="str">
        <f>IF('Rent Roll'!$DS$22="Square Footage","N/A",'Rent Roll'!$DS$22)</f>
        <v>N/A</v>
      </c>
      <c r="J115" s="3607" t="str">
        <f>IF('Rent Roll'!DS$21="Market Rent","N/A",'Rent Roll'!DS$21)</f>
        <v>N/A</v>
      </c>
      <c r="K115" s="3608">
        <f t="shared" si="2"/>
        <v>0</v>
      </c>
      <c r="L115" s="3609">
        <f>'Rent Roll'!DS$126</f>
        <v>0</v>
      </c>
      <c r="M115" s="3609">
        <f>'Rent Roll'!DS$130</f>
        <v>0</v>
      </c>
      <c r="N115" s="3609" t="str">
        <f>IF('Rent Roll'!DS$126=0,"N/A",('Rent Roll'!DS$126-SUMIF('Rent Roll'!$G$24:$G$125,'Rent Roll'!DS$20,'Rent Roll'!$K$24:$K$125))/($E115-$Q115))</f>
        <v>N/A</v>
      </c>
      <c r="O115" s="3608">
        <f t="shared" si="3"/>
        <v>0</v>
      </c>
      <c r="P115" s="3610">
        <f t="shared" si="4"/>
        <v>0</v>
      </c>
      <c r="Q115" s="3611">
        <f>'Rent Roll'!DS$128</f>
        <v>0</v>
      </c>
      <c r="R115" s="3612">
        <f t="shared" si="5"/>
        <v>0</v>
      </c>
      <c r="S115" s="3614" t="str">
        <f>'Rent Roll'!$DS$20</f>
        <v>EC</v>
      </c>
    </row>
    <row r="116" ht="14.25" customHeight="1" hidden="1">
      <c r="A116" s="3594" t="s">
        <v>2624</v>
      </c>
      <c r="B116" s="3594" t="str">
        <f t="shared" si="6"/>
        <v>H</v>
      </c>
      <c r="D116" s="3601" t="str">
        <f t="shared" si="0"/>
        <v>N/A</v>
      </c>
      <c r="E116" s="3602" cm="1">
        <f t="array" ref="E116">SUMPRODUCT((--EXACT(S116,'Rent Roll'!$G$24:$G$125)))</f>
        <v>0</v>
      </c>
      <c r="F116" s="3603">
        <f t="shared" si="1"/>
        <v>0</v>
      </c>
      <c r="G116" s="3604" t="str">
        <f>IF('Rent Roll'!DT$17="# Bedrooms","N/A",'Rent Roll'!DT$17)</f>
        <v>N/A</v>
      </c>
      <c r="H116" s="3605" t="str">
        <f>IF('Rent Roll'!DT$18="# Baths","N/A",'Rent Roll'!DT$18)</f>
        <v>N/A</v>
      </c>
      <c r="I116" s="3606" t="str">
        <f>IF('Rent Roll'!$DT$22="Square Footage","N/A",'Rent Roll'!$DT$22)</f>
        <v>N/A</v>
      </c>
      <c r="J116" s="3607" t="str">
        <f>IF('Rent Roll'!DT$21="Market Rent","N/A",'Rent Roll'!DT$21)</f>
        <v>N/A</v>
      </c>
      <c r="K116" s="3608">
        <f t="shared" si="2"/>
        <v>0</v>
      </c>
      <c r="L116" s="3609">
        <f>'Rent Roll'!DT$126</f>
        <v>0</v>
      </c>
      <c r="M116" s="3609">
        <f>'Rent Roll'!DT$130</f>
        <v>0</v>
      </c>
      <c r="N116" s="3609" t="str">
        <f>IF('Rent Roll'!DT$126=0,"N/A",('Rent Roll'!DT$126-SUMIF('Rent Roll'!$G$24:$G$125,'Rent Roll'!DT$20,'Rent Roll'!$K$24:$K$125))/($E116-$Q116))</f>
        <v>N/A</v>
      </c>
      <c r="O116" s="3608">
        <f t="shared" si="3"/>
        <v>0</v>
      </c>
      <c r="P116" s="3610">
        <f t="shared" si="4"/>
        <v>0</v>
      </c>
      <c r="Q116" s="3611">
        <f>'Rent Roll'!DT$128</f>
        <v>0</v>
      </c>
      <c r="R116" s="3612">
        <f t="shared" si="5"/>
        <v>0</v>
      </c>
      <c r="S116" s="3614" t="str">
        <f>'Rent Roll'!$DT$20</f>
        <v>ED</v>
      </c>
    </row>
    <row r="117" ht="14.25" customHeight="1" hidden="1">
      <c r="A117" s="3594" t="s">
        <v>2625</v>
      </c>
      <c r="B117" s="3594" t="str">
        <f t="shared" si="6"/>
        <v>H</v>
      </c>
      <c r="D117" s="3601" t="str">
        <f t="shared" si="0"/>
        <v>N/A</v>
      </c>
      <c r="E117" s="3602" cm="1">
        <f t="array" ref="E117">SUMPRODUCT((--EXACT(S117,'Rent Roll'!$G$24:$G$125)))</f>
        <v>0</v>
      </c>
      <c r="F117" s="3603">
        <f t="shared" si="1"/>
        <v>0</v>
      </c>
      <c r="G117" s="3604" t="str">
        <f>IF('Rent Roll'!DU$17="# Bedrooms","N/A",'Rent Roll'!DU$17)</f>
        <v>N/A</v>
      </c>
      <c r="H117" s="3605" t="str">
        <f>IF('Rent Roll'!DU$18="# Baths","N/A",'Rent Roll'!DU$18)</f>
        <v>N/A</v>
      </c>
      <c r="I117" s="3606" t="str">
        <f>IF('Rent Roll'!$DU$22="Square Footage","N/A",'Rent Roll'!$DU$22)</f>
        <v>N/A</v>
      </c>
      <c r="J117" s="3607" t="str">
        <f>IF('Rent Roll'!DU$21="Market Rent","N/A",'Rent Roll'!DU$21)</f>
        <v>N/A</v>
      </c>
      <c r="K117" s="3608">
        <f t="shared" si="2"/>
        <v>0</v>
      </c>
      <c r="L117" s="3609">
        <f>'Rent Roll'!DU$126</f>
        <v>0</v>
      </c>
      <c r="M117" s="3609">
        <f>'Rent Roll'!DU$130</f>
        <v>0</v>
      </c>
      <c r="N117" s="3609" t="str">
        <f>IF('Rent Roll'!DU$126=0,"N/A",('Rent Roll'!DU$126-SUMIF('Rent Roll'!$G$24:$G$125,'Rent Roll'!DU$20,'Rent Roll'!$K$24:$K$125))/($E117-$Q117))</f>
        <v>N/A</v>
      </c>
      <c r="O117" s="3608">
        <f t="shared" si="3"/>
        <v>0</v>
      </c>
      <c r="P117" s="3610">
        <f t="shared" si="4"/>
        <v>0</v>
      </c>
      <c r="Q117" s="3611">
        <f>'Rent Roll'!DU$128</f>
        <v>0</v>
      </c>
      <c r="R117" s="3612">
        <f t="shared" si="5"/>
        <v>0</v>
      </c>
      <c r="S117" s="3614" t="str">
        <f>'Rent Roll'!$DU$20</f>
        <v>EE</v>
      </c>
    </row>
    <row r="118" ht="14.25" customHeight="1" hidden="1">
      <c r="A118" s="3594" t="s">
        <v>2626</v>
      </c>
      <c r="B118" s="3594" t="str">
        <f t="shared" si="6"/>
        <v>H</v>
      </c>
      <c r="D118" s="3601" t="str">
        <f t="shared" si="0"/>
        <v>N/A</v>
      </c>
      <c r="E118" s="3602" cm="1">
        <f t="array" ref="E118">SUMPRODUCT((--EXACT(S118,'Rent Roll'!$G$24:$G$125)))</f>
        <v>0</v>
      </c>
      <c r="F118" s="3603">
        <f t="shared" si="1"/>
        <v>0</v>
      </c>
      <c r="G118" s="3604" t="str">
        <f>IF('Rent Roll'!DV$17="# Bedrooms","N/A",'Rent Roll'!DV$17)</f>
        <v>N/A</v>
      </c>
      <c r="H118" s="3605" t="str">
        <f>IF('Rent Roll'!DV$18="# Baths","N/A",'Rent Roll'!DV$18)</f>
        <v>N/A</v>
      </c>
      <c r="I118" s="3606" t="str">
        <f>IF('Rent Roll'!$DV$22="Square Footage","N/A",'Rent Roll'!$DV$22)</f>
        <v>N/A</v>
      </c>
      <c r="J118" s="3607" t="str">
        <f>IF('Rent Roll'!DV$21="Market Rent","N/A",'Rent Roll'!DV$21)</f>
        <v>N/A</v>
      </c>
      <c r="K118" s="3608">
        <f t="shared" si="2"/>
        <v>0</v>
      </c>
      <c r="L118" s="3609">
        <f>'Rent Roll'!DV$126</f>
        <v>0</v>
      </c>
      <c r="M118" s="3609">
        <f>'Rent Roll'!DV$130</f>
        <v>0</v>
      </c>
      <c r="N118" s="3609" t="str">
        <f>IF('Rent Roll'!DV$126=0,"N/A",('Rent Roll'!DV$126-SUMIF('Rent Roll'!$G$24:$G$125,'Rent Roll'!DV$20,'Rent Roll'!$K$24:$K$125))/($E118-$Q118))</f>
        <v>N/A</v>
      </c>
      <c r="O118" s="3608">
        <f t="shared" si="3"/>
        <v>0</v>
      </c>
      <c r="P118" s="3610">
        <f t="shared" si="4"/>
        <v>0</v>
      </c>
      <c r="Q118" s="3611">
        <f>'Rent Roll'!DV$128</f>
        <v>0</v>
      </c>
      <c r="R118" s="3612">
        <f t="shared" si="5"/>
        <v>0</v>
      </c>
      <c r="S118" s="3614" t="str">
        <f>'Rent Roll'!$DV$20</f>
        <v>EF</v>
      </c>
    </row>
    <row r="119" ht="14.25" customHeight="1" hidden="1">
      <c r="A119" s="3594" t="s">
        <v>2627</v>
      </c>
      <c r="B119" s="3594" t="str">
        <f t="shared" si="6"/>
        <v>H</v>
      </c>
      <c r="D119" s="3601" t="str">
        <f t="shared" si="0"/>
        <v>N/A</v>
      </c>
      <c r="E119" s="3602" cm="1">
        <f t="array" ref="E119">SUMPRODUCT((--EXACT(S119,'Rent Roll'!$G$24:$G$125)))</f>
        <v>0</v>
      </c>
      <c r="F119" s="3603">
        <f t="shared" si="1"/>
        <v>0</v>
      </c>
      <c r="G119" s="3604" t="str">
        <f>IF('Rent Roll'!DW$17="# Bedrooms","N/A",'Rent Roll'!DW$17)</f>
        <v>N/A</v>
      </c>
      <c r="H119" s="3605" t="str">
        <f>IF('Rent Roll'!DW$18="# Baths","N/A",'Rent Roll'!DW$18)</f>
        <v>N/A</v>
      </c>
      <c r="I119" s="3606" t="str">
        <f>IF('Rent Roll'!$DW$22="Square Footage","N/A",'Rent Roll'!$DW$22)</f>
        <v>N/A</v>
      </c>
      <c r="J119" s="3607" t="str">
        <f>IF('Rent Roll'!DW$21="Market Rent","N/A",'Rent Roll'!DW$21)</f>
        <v>N/A</v>
      </c>
      <c r="K119" s="3608">
        <f t="shared" si="2"/>
        <v>0</v>
      </c>
      <c r="L119" s="3609">
        <f>'Rent Roll'!DW$126</f>
        <v>0</v>
      </c>
      <c r="M119" s="3609">
        <f>'Rent Roll'!DW$130</f>
        <v>0</v>
      </c>
      <c r="N119" s="3609" t="str">
        <f>IF('Rent Roll'!DW$126=0,"N/A",('Rent Roll'!DW$126-SUMIF('Rent Roll'!$G$24:$G$125,'Rent Roll'!DW$20,'Rent Roll'!$K$24:$K$125))/($E119-$Q119))</f>
        <v>N/A</v>
      </c>
      <c r="O119" s="3608">
        <f t="shared" si="3"/>
        <v>0</v>
      </c>
      <c r="P119" s="3610">
        <f t="shared" si="4"/>
        <v>0</v>
      </c>
      <c r="Q119" s="3611">
        <f>'Rent Roll'!DW$128</f>
        <v>0</v>
      </c>
      <c r="R119" s="3612">
        <f t="shared" si="5"/>
        <v>0</v>
      </c>
      <c r="S119" s="3614" t="str">
        <f>'Rent Roll'!$DW$20</f>
        <v>EG</v>
      </c>
    </row>
    <row r="120" ht="14.25" customHeight="1" hidden="1">
      <c r="A120" s="3594" t="s">
        <v>2628</v>
      </c>
      <c r="B120" s="3594" t="str">
        <f t="shared" si="6"/>
        <v>H</v>
      </c>
      <c r="D120" s="3601" t="str">
        <f t="shared" si="0"/>
        <v>N/A</v>
      </c>
      <c r="E120" s="3602" cm="1">
        <f t="array" ref="E120">SUMPRODUCT((--EXACT(S120,'Rent Roll'!$G$24:$G$125)))</f>
        <v>0</v>
      </c>
      <c r="F120" s="3603">
        <f t="shared" si="1"/>
        <v>0</v>
      </c>
      <c r="G120" s="3604" t="str">
        <f>IF('Rent Roll'!DX$17="# Bedrooms","N/A",'Rent Roll'!DX$17)</f>
        <v>N/A</v>
      </c>
      <c r="H120" s="3605" t="str">
        <f>IF('Rent Roll'!DX$18="# Baths","N/A",'Rent Roll'!DX$18)</f>
        <v>N/A</v>
      </c>
      <c r="I120" s="3606" t="str">
        <f>IF('Rent Roll'!$DX$22="Square Footage","N/A",'Rent Roll'!$DX$22)</f>
        <v>N/A</v>
      </c>
      <c r="J120" s="3607" t="str">
        <f>IF('Rent Roll'!DX$21="Market Rent","N/A",'Rent Roll'!DX$21)</f>
        <v>N/A</v>
      </c>
      <c r="K120" s="3608">
        <f t="shared" si="2"/>
        <v>0</v>
      </c>
      <c r="L120" s="3609">
        <f>'Rent Roll'!DX$126</f>
        <v>0</v>
      </c>
      <c r="M120" s="3609">
        <f>'Rent Roll'!DX$130</f>
        <v>0</v>
      </c>
      <c r="N120" s="3609" t="str">
        <f>IF('Rent Roll'!DX$126=0,"N/A",('Rent Roll'!DX$126-SUMIF('Rent Roll'!$G$24:$G$125,'Rent Roll'!DX$20,'Rent Roll'!$K$24:$K$125))/($E120-$Q120))</f>
        <v>N/A</v>
      </c>
      <c r="O120" s="3608">
        <f t="shared" si="3"/>
        <v>0</v>
      </c>
      <c r="P120" s="3610">
        <f t="shared" si="4"/>
        <v>0</v>
      </c>
      <c r="Q120" s="3611">
        <f>'Rent Roll'!DX$128</f>
        <v>0</v>
      </c>
      <c r="R120" s="3612">
        <f t="shared" si="5"/>
        <v>0</v>
      </c>
      <c r="S120" s="3614" t="str">
        <f>'Rent Roll'!$DX$20</f>
        <v>EH</v>
      </c>
    </row>
    <row r="121" ht="14.25" customHeight="1" hidden="1">
      <c r="A121" s="3594" t="s">
        <v>2629</v>
      </c>
      <c r="B121" s="3594" t="str">
        <f t="shared" si="6"/>
        <v>H</v>
      </c>
      <c r="D121" s="3601" t="str">
        <f t="shared" si="0"/>
        <v>N/A</v>
      </c>
      <c r="E121" s="3602" cm="1">
        <f t="array" ref="E121">SUMPRODUCT((--EXACT(S121,'Rent Roll'!$G$24:$G$125)))</f>
        <v>0</v>
      </c>
      <c r="F121" s="3603">
        <f t="shared" si="1"/>
        <v>0</v>
      </c>
      <c r="G121" s="3604" t="str">
        <f>IF('Rent Roll'!DY$17="# Bedrooms","N/A",'Rent Roll'!DY$17)</f>
        <v>N/A</v>
      </c>
      <c r="H121" s="3605" t="str">
        <f>IF('Rent Roll'!DY$18="# Baths","N/A",'Rent Roll'!DY$18)</f>
        <v>N/A</v>
      </c>
      <c r="I121" s="3606" t="str">
        <f>IF('Rent Roll'!$DY$22="Square Footage","N/A",'Rent Roll'!$DY$22)</f>
        <v>N/A</v>
      </c>
      <c r="J121" s="3607" t="str">
        <f>IF('Rent Roll'!DY$21="Market Rent","N/A",'Rent Roll'!DY$21)</f>
        <v>N/A</v>
      </c>
      <c r="K121" s="3608">
        <f t="shared" si="2"/>
        <v>0</v>
      </c>
      <c r="L121" s="3609">
        <f>'Rent Roll'!DY$126</f>
        <v>0</v>
      </c>
      <c r="M121" s="3609">
        <f>'Rent Roll'!DY$130</f>
        <v>0</v>
      </c>
      <c r="N121" s="3609" t="str">
        <f>IF('Rent Roll'!DY$126=0,"N/A",('Rent Roll'!DY$126-SUMIF('Rent Roll'!$G$24:$G$125,'Rent Roll'!DY$20,'Rent Roll'!$K$24:$K$125))/($E121-$Q121))</f>
        <v>N/A</v>
      </c>
      <c r="O121" s="3608">
        <f t="shared" si="3"/>
        <v>0</v>
      </c>
      <c r="P121" s="3610">
        <f t="shared" si="4"/>
        <v>0</v>
      </c>
      <c r="Q121" s="3611">
        <f>'Rent Roll'!DY$128</f>
        <v>0</v>
      </c>
      <c r="R121" s="3612">
        <f t="shared" si="5"/>
        <v>0</v>
      </c>
      <c r="S121" s="3614" t="str">
        <f>'Rent Roll'!$DY$20</f>
        <v>EI</v>
      </c>
    </row>
    <row r="122" ht="14.25" customHeight="1" hidden="1">
      <c r="A122" s="3594" t="s">
        <v>2630</v>
      </c>
      <c r="B122" s="3594" t="str">
        <f t="shared" si="6"/>
        <v>H</v>
      </c>
      <c r="D122" s="3601" t="str">
        <f t="shared" si="0"/>
        <v>N/A</v>
      </c>
      <c r="E122" s="3602" cm="1">
        <f t="array" ref="E122">SUMPRODUCT((--EXACT(S122,'Rent Roll'!$G$24:$G$125)))</f>
        <v>0</v>
      </c>
      <c r="F122" s="3603">
        <f t="shared" si="1"/>
        <v>0</v>
      </c>
      <c r="G122" s="3604" t="str">
        <f>IF('Rent Roll'!DZ$17="# Bedrooms","N/A",'Rent Roll'!DZ$17)</f>
        <v>N/A</v>
      </c>
      <c r="H122" s="3605" t="str">
        <f>IF('Rent Roll'!DZ$18="# Baths","N/A",'Rent Roll'!DZ$18)</f>
        <v>N/A</v>
      </c>
      <c r="I122" s="3606" t="str">
        <f>IF('Rent Roll'!$DZ$22="Square Footage","N/A",'Rent Roll'!$DZ$22)</f>
        <v>N/A</v>
      </c>
      <c r="J122" s="3607" t="str">
        <f>IF('Rent Roll'!DZ$21="Market Rent","N/A",'Rent Roll'!DZ$21)</f>
        <v>N/A</v>
      </c>
      <c r="K122" s="3608">
        <f t="shared" si="2"/>
        <v>0</v>
      </c>
      <c r="L122" s="3609">
        <f>'Rent Roll'!DZ$126</f>
        <v>0</v>
      </c>
      <c r="M122" s="3609">
        <f>'Rent Roll'!DZ$130</f>
        <v>0</v>
      </c>
      <c r="N122" s="3609" t="str">
        <f>IF('Rent Roll'!DZ$126=0,"N/A",('Rent Roll'!DZ$126-SUMIF('Rent Roll'!$G$24:$G$125,'Rent Roll'!DZ$20,'Rent Roll'!$K$24:$K$125))/($E122-$Q122))</f>
        <v>N/A</v>
      </c>
      <c r="O122" s="3608">
        <f t="shared" si="3"/>
        <v>0</v>
      </c>
      <c r="P122" s="3610">
        <f t="shared" si="4"/>
        <v>0</v>
      </c>
      <c r="Q122" s="3611">
        <f>'Rent Roll'!DZ$128</f>
        <v>0</v>
      </c>
      <c r="R122" s="3612">
        <f t="shared" si="5"/>
        <v>0</v>
      </c>
      <c r="S122" s="3614" t="str">
        <f>'Rent Roll'!$DZ$20</f>
        <v>EJ</v>
      </c>
    </row>
    <row r="123" ht="14.25" customHeight="1" hidden="1">
      <c r="A123" s="3594" t="s">
        <v>2631</v>
      </c>
      <c r="B123" s="3594" t="str">
        <f t="shared" si="6"/>
        <v>H</v>
      </c>
      <c r="D123" s="3601" t="str">
        <f t="shared" si="0"/>
        <v>N/A</v>
      </c>
      <c r="E123" s="3602" cm="1">
        <f t="array" ref="E123">SUMPRODUCT((--EXACT(S123,'Rent Roll'!$G$24:$G$125)))</f>
        <v>0</v>
      </c>
      <c r="F123" s="3603">
        <f t="shared" si="1"/>
        <v>0</v>
      </c>
      <c r="G123" s="3604" t="str">
        <f>IF('Rent Roll'!EA$17="# Bedrooms","N/A",'Rent Roll'!EA$17)</f>
        <v>N/A</v>
      </c>
      <c r="H123" s="3605" t="str">
        <f>IF('Rent Roll'!EA$18="# Baths","N/A",'Rent Roll'!EA$18)</f>
        <v>N/A</v>
      </c>
      <c r="I123" s="3606" t="str">
        <f>IF('Rent Roll'!$EA$22="Square Footage","N/A",'Rent Roll'!$EA$22)</f>
        <v>N/A</v>
      </c>
      <c r="J123" s="3607" t="str">
        <f>IF('Rent Roll'!EA$21="Market Rent","N/A",'Rent Roll'!EA$21)</f>
        <v>N/A</v>
      </c>
      <c r="K123" s="3608">
        <f t="shared" si="2"/>
        <v>0</v>
      </c>
      <c r="L123" s="3609">
        <f>'Rent Roll'!EA$126</f>
        <v>0</v>
      </c>
      <c r="M123" s="3609">
        <f>'Rent Roll'!EA$130</f>
        <v>0</v>
      </c>
      <c r="N123" s="3609" t="str">
        <f>IF('Rent Roll'!EA$126=0,"N/A",('Rent Roll'!EA$126-SUMIF('Rent Roll'!$G$24:$G$125,'Rent Roll'!EA$20,'Rent Roll'!$K$24:$K$125))/($E123-$Q123))</f>
        <v>N/A</v>
      </c>
      <c r="O123" s="3608">
        <f t="shared" si="3"/>
        <v>0</v>
      </c>
      <c r="P123" s="3610">
        <f t="shared" si="4"/>
        <v>0</v>
      </c>
      <c r="Q123" s="3611">
        <f>'Rent Roll'!EA$128</f>
        <v>0</v>
      </c>
      <c r="R123" s="3612">
        <f t="shared" si="5"/>
        <v>0</v>
      </c>
      <c r="S123" s="3614" t="str">
        <f>'Rent Roll'!$EA$20</f>
        <v>EK</v>
      </c>
    </row>
    <row r="124" ht="14.25" customHeight="1" hidden="1">
      <c r="A124" s="3594" t="s">
        <v>2632</v>
      </c>
      <c r="B124" s="3594" t="str">
        <f t="shared" si="6"/>
        <v>H</v>
      </c>
      <c r="D124" s="3601" t="str">
        <f t="shared" si="0"/>
        <v>N/A</v>
      </c>
      <c r="E124" s="3602" cm="1">
        <f t="array" ref="E124">SUMPRODUCT((--EXACT(S124,'Rent Roll'!$G$24:$G$125)))</f>
        <v>0</v>
      </c>
      <c r="F124" s="3603">
        <f t="shared" si="1"/>
        <v>0</v>
      </c>
      <c r="G124" s="3604" t="str">
        <f>IF('Rent Roll'!EB$17="# Bedrooms","N/A",'Rent Roll'!EB$17)</f>
        <v>N/A</v>
      </c>
      <c r="H124" s="3605" t="str">
        <f>IF('Rent Roll'!EB$18="# Baths","N/A",'Rent Roll'!EB$18)</f>
        <v>N/A</v>
      </c>
      <c r="I124" s="3606" t="str">
        <f>IF('Rent Roll'!$EB$22="Square Footage","N/A",'Rent Roll'!$EB$22)</f>
        <v>N/A</v>
      </c>
      <c r="J124" s="3607" t="str">
        <f>IF('Rent Roll'!EB$21="Market Rent","N/A",'Rent Roll'!EB$21)</f>
        <v>N/A</v>
      </c>
      <c r="K124" s="3608">
        <f t="shared" si="2"/>
        <v>0</v>
      </c>
      <c r="L124" s="3609">
        <f>'Rent Roll'!EB$126</f>
        <v>0</v>
      </c>
      <c r="M124" s="3609">
        <f>'Rent Roll'!EB$130</f>
        <v>0</v>
      </c>
      <c r="N124" s="3609" t="str">
        <f>IF('Rent Roll'!EB$126=0,"N/A",('Rent Roll'!EB$126-SUMIF('Rent Roll'!$G$24:$G$125,'Rent Roll'!EB$20,'Rent Roll'!$K$24:$K$125))/($E124-$Q124))</f>
        <v>N/A</v>
      </c>
      <c r="O124" s="3608">
        <f t="shared" si="3"/>
        <v>0</v>
      </c>
      <c r="P124" s="3610">
        <f t="shared" si="4"/>
        <v>0</v>
      </c>
      <c r="Q124" s="3611">
        <f>'Rent Roll'!EB$128</f>
        <v>0</v>
      </c>
      <c r="R124" s="3612">
        <f t="shared" si="5"/>
        <v>0</v>
      </c>
      <c r="S124" s="3614" t="str">
        <f>'Rent Roll'!$EB$20</f>
        <v>EL</v>
      </c>
    </row>
    <row r="125" ht="14.25" customHeight="1" hidden="1">
      <c r="A125" s="3594" t="s">
        <v>2633</v>
      </c>
      <c r="B125" s="3594" t="str">
        <f t="shared" si="6"/>
        <v>H</v>
      </c>
      <c r="D125" s="3601" t="str">
        <f t="shared" si="0"/>
        <v>N/A</v>
      </c>
      <c r="E125" s="3602" cm="1">
        <f t="array" ref="E125">SUMPRODUCT((--EXACT(S125,'Rent Roll'!$G$24:$G$125)))</f>
        <v>0</v>
      </c>
      <c r="F125" s="3603">
        <f t="shared" si="1"/>
        <v>0</v>
      </c>
      <c r="G125" s="3604" t="str">
        <f>IF('Rent Roll'!EC$17="# Bedrooms","N/A",'Rent Roll'!EC$17)</f>
        <v>N/A</v>
      </c>
      <c r="H125" s="3605" t="str">
        <f>IF('Rent Roll'!EC$18="# Baths","N/A",'Rent Roll'!EC$18)</f>
        <v>N/A</v>
      </c>
      <c r="I125" s="3606" t="str">
        <f>IF('Rent Roll'!$EC$22="Square Footage","N/A",'Rent Roll'!$EC$22)</f>
        <v>N/A</v>
      </c>
      <c r="J125" s="3607" t="str">
        <f>IF('Rent Roll'!EC$21="Market Rent","N/A",'Rent Roll'!EC$21)</f>
        <v>N/A</v>
      </c>
      <c r="K125" s="3608">
        <f t="shared" si="2"/>
        <v>0</v>
      </c>
      <c r="L125" s="3609">
        <f>'Rent Roll'!EC$126</f>
        <v>0</v>
      </c>
      <c r="M125" s="3609">
        <f>'Rent Roll'!EC$130</f>
        <v>0</v>
      </c>
      <c r="N125" s="3609" t="str">
        <f>IF('Rent Roll'!EC$126=0,"N/A",('Rent Roll'!EC$126-SUMIF('Rent Roll'!$G$24:$G$125,'Rent Roll'!EC$20,'Rent Roll'!$K$24:$K$125))/($E125-$Q125))</f>
        <v>N/A</v>
      </c>
      <c r="O125" s="3608">
        <f t="shared" si="3"/>
        <v>0</v>
      </c>
      <c r="P125" s="3610">
        <f t="shared" si="4"/>
        <v>0</v>
      </c>
      <c r="Q125" s="3611">
        <f>'Rent Roll'!EC$128</f>
        <v>0</v>
      </c>
      <c r="R125" s="3612">
        <f t="shared" si="5"/>
        <v>0</v>
      </c>
      <c r="S125" s="3614" t="str">
        <f>'Rent Roll'!$EC$20</f>
        <v>EM</v>
      </c>
    </row>
    <row r="126" ht="14.25" customHeight="1" hidden="1">
      <c r="A126" s="3594" t="s">
        <v>2634</v>
      </c>
      <c r="B126" s="3594" t="str">
        <f t="shared" si="6"/>
        <v>H</v>
      </c>
      <c r="D126" s="3601" t="str">
        <f t="shared" si="0"/>
        <v>N/A</v>
      </c>
      <c r="E126" s="3602" cm="1">
        <f t="array" ref="E126">SUMPRODUCT((--EXACT(S126,'Rent Roll'!$G$24:$G$125)))</f>
        <v>0</v>
      </c>
      <c r="F126" s="3603">
        <f t="shared" si="1"/>
        <v>0</v>
      </c>
      <c r="G126" s="3604" t="str">
        <f>IF('Rent Roll'!ED$17="# Bedrooms","N/A",'Rent Roll'!ED$17)</f>
        <v>N/A</v>
      </c>
      <c r="H126" s="3605" t="str">
        <f>IF('Rent Roll'!ED$18="# Baths","N/A",'Rent Roll'!ED$18)</f>
        <v>N/A</v>
      </c>
      <c r="I126" s="3606" t="str">
        <f>IF('Rent Roll'!$ED$22="Square Footage","N/A",'Rent Roll'!$ED$22)</f>
        <v>N/A</v>
      </c>
      <c r="J126" s="3607" t="str">
        <f>IF('Rent Roll'!ED$21="Market Rent","N/A",'Rent Roll'!ED$21)</f>
        <v>N/A</v>
      </c>
      <c r="K126" s="3608">
        <f t="shared" si="2"/>
        <v>0</v>
      </c>
      <c r="L126" s="3609">
        <f>'Rent Roll'!ED$126</f>
        <v>0</v>
      </c>
      <c r="M126" s="3609">
        <f>'Rent Roll'!ED$130</f>
        <v>0</v>
      </c>
      <c r="N126" s="3609" t="str">
        <f>IF('Rent Roll'!ED$126=0,"N/A",('Rent Roll'!ED$126-SUMIF('Rent Roll'!$G$24:$G$125,'Rent Roll'!ED$20,'Rent Roll'!$K$24:$K$125))/($E126-$Q126))</f>
        <v>N/A</v>
      </c>
      <c r="O126" s="3608">
        <f t="shared" si="3"/>
        <v>0</v>
      </c>
      <c r="P126" s="3610">
        <f t="shared" si="4"/>
        <v>0</v>
      </c>
      <c r="Q126" s="3611">
        <f>'Rent Roll'!ED$128</f>
        <v>0</v>
      </c>
      <c r="R126" s="3612">
        <f t="shared" si="5"/>
        <v>0</v>
      </c>
      <c r="S126" s="3614" t="str">
        <f>'Rent Roll'!$ED$20</f>
        <v>EN</v>
      </c>
    </row>
    <row r="127" ht="14.25" customHeight="1" hidden="1">
      <c r="A127" s="3594" t="s">
        <v>2635</v>
      </c>
      <c r="B127" s="3594" t="str">
        <f t="shared" si="6"/>
        <v>H</v>
      </c>
      <c r="D127" s="3601" t="str">
        <f t="shared" si="0"/>
        <v>N/A</v>
      </c>
      <c r="E127" s="3602" cm="1">
        <f t="array" ref="E127">SUMPRODUCT((--EXACT(S127,'Rent Roll'!$G$24:$G$125)))</f>
        <v>0</v>
      </c>
      <c r="F127" s="3603">
        <f t="shared" si="1"/>
        <v>0</v>
      </c>
      <c r="G127" s="3604" t="str">
        <f>IF('Rent Roll'!EE$17="# Bedrooms","N/A",'Rent Roll'!EE$17)</f>
        <v>N/A</v>
      </c>
      <c r="H127" s="3605" t="str">
        <f>IF('Rent Roll'!EE$18="# Baths","N/A",'Rent Roll'!EE$18)</f>
        <v>N/A</v>
      </c>
      <c r="I127" s="3606" t="str">
        <f>IF('Rent Roll'!$EE$22="Square Footage","N/A",'Rent Roll'!$EE$22)</f>
        <v>N/A</v>
      </c>
      <c r="J127" s="3607" t="str">
        <f>IF('Rent Roll'!EE$21="Market Rent","N/A",'Rent Roll'!EE$21)</f>
        <v>N/A</v>
      </c>
      <c r="K127" s="3608">
        <f t="shared" si="2"/>
        <v>0</v>
      </c>
      <c r="L127" s="3609">
        <f>'Rent Roll'!EE$126</f>
        <v>0</v>
      </c>
      <c r="M127" s="3609">
        <f>'Rent Roll'!EE$130</f>
        <v>0</v>
      </c>
      <c r="N127" s="3609" t="str">
        <f>IF('Rent Roll'!EE$126=0,"N/A",('Rent Roll'!EE$126-SUMIF('Rent Roll'!$G$24:$G$125,'Rent Roll'!EE$20,'Rent Roll'!$K$24:$K$125))/($E127-$Q127))</f>
        <v>N/A</v>
      </c>
      <c r="O127" s="3608">
        <f t="shared" si="3"/>
        <v>0</v>
      </c>
      <c r="P127" s="3610">
        <f t="shared" si="4"/>
        <v>0</v>
      </c>
      <c r="Q127" s="3611">
        <f>'Rent Roll'!EE$128</f>
        <v>0</v>
      </c>
      <c r="R127" s="3612">
        <f t="shared" si="5"/>
        <v>0</v>
      </c>
      <c r="S127" s="3614" t="str">
        <f>'Rent Roll'!$EE$20</f>
        <v>EO</v>
      </c>
    </row>
    <row r="128" ht="14.25" customHeight="1" hidden="1">
      <c r="A128" s="3594" t="s">
        <v>2636</v>
      </c>
      <c r="B128" s="3594" t="str">
        <f t="shared" si="6"/>
        <v>H</v>
      </c>
      <c r="D128" s="3601" t="str">
        <f t="shared" si="0"/>
        <v>N/A</v>
      </c>
      <c r="E128" s="3602" cm="1">
        <f t="array" ref="E128">SUMPRODUCT((--EXACT(S128,'Rent Roll'!$G$24:$G$125)))</f>
        <v>0</v>
      </c>
      <c r="F128" s="3603">
        <f t="shared" si="1"/>
        <v>0</v>
      </c>
      <c r="G128" s="3604" t="str">
        <f>IF('Rent Roll'!EF$17="# Bedrooms","N/A",'Rent Roll'!EF$17)</f>
        <v>N/A</v>
      </c>
      <c r="H128" s="3605" t="str">
        <f>IF('Rent Roll'!EF$18="# Baths","N/A",'Rent Roll'!EF$18)</f>
        <v>N/A</v>
      </c>
      <c r="I128" s="3606" t="str">
        <f>IF('Rent Roll'!$EF$22="Square Footage","N/A",'Rent Roll'!$EF$22)</f>
        <v>N/A</v>
      </c>
      <c r="J128" s="3607" t="str">
        <f>IF('Rent Roll'!EF$21="Market Rent","N/A",'Rent Roll'!EF$21)</f>
        <v>N/A</v>
      </c>
      <c r="K128" s="3608">
        <f t="shared" si="2"/>
        <v>0</v>
      </c>
      <c r="L128" s="3609">
        <f>'Rent Roll'!EF$126</f>
        <v>0</v>
      </c>
      <c r="M128" s="3609">
        <f>'Rent Roll'!EF$130</f>
        <v>0</v>
      </c>
      <c r="N128" s="3609" t="str">
        <f>IF('Rent Roll'!EF$126=0,"N/A",('Rent Roll'!EF$126-SUMIF('Rent Roll'!$G$24:$G$125,'Rent Roll'!EF$20,'Rent Roll'!$K$24:$K$125))/($E128-$Q128))</f>
        <v>N/A</v>
      </c>
      <c r="O128" s="3608">
        <f t="shared" si="3"/>
        <v>0</v>
      </c>
      <c r="P128" s="3610">
        <f t="shared" si="4"/>
        <v>0</v>
      </c>
      <c r="Q128" s="3611">
        <f>'Rent Roll'!EF$128</f>
        <v>0</v>
      </c>
      <c r="R128" s="3612">
        <f t="shared" si="5"/>
        <v>0</v>
      </c>
      <c r="S128" s="3614" t="str">
        <f>'Rent Roll'!$EF$20</f>
        <v>EP</v>
      </c>
    </row>
    <row r="129" ht="14.25" customHeight="1" hidden="1">
      <c r="A129" s="3594" t="s">
        <v>2637</v>
      </c>
      <c r="B129" s="3594" t="str">
        <f t="shared" si="6"/>
        <v>H</v>
      </c>
      <c r="D129" s="3601" t="str">
        <f t="shared" si="0"/>
        <v>N/A</v>
      </c>
      <c r="E129" s="3602" cm="1">
        <f t="array" ref="E129">SUMPRODUCT((--EXACT(S129,'Rent Roll'!$G$24:$G$125)))</f>
        <v>0</v>
      </c>
      <c r="F129" s="3603">
        <f t="shared" si="1"/>
        <v>0</v>
      </c>
      <c r="G129" s="3604" t="str">
        <f>IF('Rent Roll'!EG$17="# Bedrooms","N/A",'Rent Roll'!EG$17)</f>
        <v>N/A</v>
      </c>
      <c r="H129" s="3605" t="str">
        <f>IF('Rent Roll'!EG$18="# Baths","N/A",'Rent Roll'!EG$18)</f>
        <v>N/A</v>
      </c>
      <c r="I129" s="3606" t="str">
        <f>IF('Rent Roll'!$EG$22="Square Footage","N/A",'Rent Roll'!$EG$22)</f>
        <v>N/A</v>
      </c>
      <c r="J129" s="3607" t="str">
        <f>IF('Rent Roll'!EG$21="Market Rent","N/A",'Rent Roll'!EG$21)</f>
        <v>N/A</v>
      </c>
      <c r="K129" s="3608">
        <f t="shared" si="2"/>
        <v>0</v>
      </c>
      <c r="L129" s="3609">
        <f>'Rent Roll'!EG$126</f>
        <v>0</v>
      </c>
      <c r="M129" s="3609">
        <f>'Rent Roll'!EG$130</f>
        <v>0</v>
      </c>
      <c r="N129" s="3609" t="str">
        <f>IF('Rent Roll'!EG$126=0,"N/A",('Rent Roll'!EG$126-SUMIF('Rent Roll'!$G$24:$G$125,'Rent Roll'!EG$20,'Rent Roll'!$K$24:$K$125))/($E129-$Q129))</f>
        <v>N/A</v>
      </c>
      <c r="O129" s="3608">
        <f t="shared" si="3"/>
        <v>0</v>
      </c>
      <c r="P129" s="3610">
        <f t="shared" si="4"/>
        <v>0</v>
      </c>
      <c r="Q129" s="3611">
        <f>'Rent Roll'!EG$128</f>
        <v>0</v>
      </c>
      <c r="R129" s="3612">
        <f t="shared" si="5"/>
        <v>0</v>
      </c>
      <c r="S129" s="3614" t="str">
        <f>'Rent Roll'!$EG$20</f>
        <v>EQ</v>
      </c>
    </row>
    <row r="130" ht="14.25" customHeight="1" hidden="1">
      <c r="A130" s="3594" t="s">
        <v>2638</v>
      </c>
      <c r="B130" s="3594" t="str">
        <f t="shared" si="6"/>
        <v>H</v>
      </c>
      <c r="D130" s="3601" t="str">
        <f t="shared" si="0"/>
        <v>N/A</v>
      </c>
      <c r="E130" s="3602" cm="1">
        <f t="array" ref="E130">SUMPRODUCT((--EXACT(S130,'Rent Roll'!$G$24:$G$125)))</f>
        <v>0</v>
      </c>
      <c r="F130" s="3603">
        <f t="shared" si="1"/>
        <v>0</v>
      </c>
      <c r="G130" s="3604" t="str">
        <f>IF('Rent Roll'!EH$17="# Bedrooms","N/A",'Rent Roll'!EH$17)</f>
        <v>N/A</v>
      </c>
      <c r="H130" s="3605" t="str">
        <f>IF('Rent Roll'!EH$18="# Baths","N/A",'Rent Roll'!EH$18)</f>
        <v>N/A</v>
      </c>
      <c r="I130" s="3606" t="str">
        <f>IF('Rent Roll'!$EH$22="Square Footage","N/A",'Rent Roll'!$EH$22)</f>
        <v>N/A</v>
      </c>
      <c r="J130" s="3607" t="str">
        <f>IF('Rent Roll'!EH$21="Market Rent","N/A",'Rent Roll'!EH$21)</f>
        <v>N/A</v>
      </c>
      <c r="K130" s="3608">
        <f t="shared" si="2"/>
        <v>0</v>
      </c>
      <c r="L130" s="3609">
        <f>'Rent Roll'!EH$126</f>
        <v>0</v>
      </c>
      <c r="M130" s="3609">
        <f>'Rent Roll'!EH$130</f>
        <v>0</v>
      </c>
      <c r="N130" s="3609" t="str">
        <f>IF('Rent Roll'!EH$126=0,"N/A",('Rent Roll'!EH$126-SUMIF('Rent Roll'!$G$24:$G$125,'Rent Roll'!EH$20,'Rent Roll'!$K$24:$K$125))/($E130-$Q130))</f>
        <v>N/A</v>
      </c>
      <c r="O130" s="3608">
        <f t="shared" si="3"/>
        <v>0</v>
      </c>
      <c r="P130" s="3610">
        <f t="shared" si="4"/>
        <v>0</v>
      </c>
      <c r="Q130" s="3611">
        <f>'Rent Roll'!EH$128</f>
        <v>0</v>
      </c>
      <c r="R130" s="3612">
        <f t="shared" si="5"/>
        <v>0</v>
      </c>
      <c r="S130" s="3614" t="str">
        <f>'Rent Roll'!$EH$20</f>
        <v>ER</v>
      </c>
    </row>
    <row r="131" ht="14.25" customHeight="1" hidden="1">
      <c r="A131" s="3594" t="s">
        <v>2639</v>
      </c>
      <c r="B131" s="3594" t="str">
        <f t="shared" si="6"/>
        <v>H</v>
      </c>
      <c r="D131" s="3601" t="str">
        <f t="shared" si="0"/>
        <v>N/A</v>
      </c>
      <c r="E131" s="3602" cm="1">
        <f t="array" ref="E131">SUMPRODUCT((--EXACT(S131,'Rent Roll'!$G$24:$G$125)))</f>
        <v>0</v>
      </c>
      <c r="F131" s="3603">
        <f t="shared" si="1"/>
        <v>0</v>
      </c>
      <c r="G131" s="3604" t="str">
        <f>IF('Rent Roll'!EI$17="# Bedrooms","N/A",'Rent Roll'!EI$17)</f>
        <v>N/A</v>
      </c>
      <c r="H131" s="3605" t="str">
        <f>IF('Rent Roll'!EI$18="# Baths","N/A",'Rent Roll'!EI$18)</f>
        <v>N/A</v>
      </c>
      <c r="I131" s="3606" t="str">
        <f>IF('Rent Roll'!$EI$22="Square Footage","N/A",'Rent Roll'!$EI$22)</f>
        <v>N/A</v>
      </c>
      <c r="J131" s="3607" t="str">
        <f>IF('Rent Roll'!EI$21="Market Rent","N/A",'Rent Roll'!EI$21)</f>
        <v>N/A</v>
      </c>
      <c r="K131" s="3608">
        <f t="shared" si="2"/>
        <v>0</v>
      </c>
      <c r="L131" s="3609">
        <f>'Rent Roll'!EI$126</f>
        <v>0</v>
      </c>
      <c r="M131" s="3609">
        <f>'Rent Roll'!EI$130</f>
        <v>0</v>
      </c>
      <c r="N131" s="3609" t="str">
        <f>IF('Rent Roll'!EI$126=0,"N/A",('Rent Roll'!EI$126-SUMIF('Rent Roll'!$G$24:$G$125,'Rent Roll'!EI$20,'Rent Roll'!$K$24:$K$125))/($E131-$Q131))</f>
        <v>N/A</v>
      </c>
      <c r="O131" s="3608">
        <f t="shared" si="3"/>
        <v>0</v>
      </c>
      <c r="P131" s="3610">
        <f t="shared" si="4"/>
        <v>0</v>
      </c>
      <c r="Q131" s="3611">
        <f>'Rent Roll'!EI$128</f>
        <v>0</v>
      </c>
      <c r="R131" s="3612">
        <f t="shared" si="5"/>
        <v>0</v>
      </c>
      <c r="S131" s="3614" t="str">
        <f>'Rent Roll'!$EI$20</f>
        <v>ES</v>
      </c>
    </row>
    <row r="132" ht="14.25" customHeight="1" hidden="1">
      <c r="A132" s="3594" t="s">
        <v>2640</v>
      </c>
      <c r="B132" s="3594" t="str">
        <f t="shared" si="6"/>
        <v>H</v>
      </c>
      <c r="D132" s="3601" t="str">
        <f t="shared" si="0"/>
        <v>N/A</v>
      </c>
      <c r="E132" s="3602" cm="1">
        <f t="array" ref="E132">SUMPRODUCT((--EXACT(S132,'Rent Roll'!$G$24:$G$125)))</f>
        <v>0</v>
      </c>
      <c r="F132" s="3603">
        <f t="shared" si="1"/>
        <v>0</v>
      </c>
      <c r="G132" s="3604" t="str">
        <f>IF('Rent Roll'!EJ$17="# Bedrooms","N/A",'Rent Roll'!EJ$17)</f>
        <v>N/A</v>
      </c>
      <c r="H132" s="3605" t="str">
        <f>IF('Rent Roll'!EJ$18="# Baths","N/A",'Rent Roll'!EJ$18)</f>
        <v>N/A</v>
      </c>
      <c r="I132" s="3606" t="str">
        <f>IF('Rent Roll'!$EJ$22="Square Footage","N/A",'Rent Roll'!$EJ$22)</f>
        <v>N/A</v>
      </c>
      <c r="J132" s="3607" t="str">
        <f>IF('Rent Roll'!EJ$21="Market Rent","N/A",'Rent Roll'!EJ$21)</f>
        <v>N/A</v>
      </c>
      <c r="K132" s="3608">
        <f t="shared" si="2"/>
        <v>0</v>
      </c>
      <c r="L132" s="3609">
        <f>'Rent Roll'!EJ$126</f>
        <v>0</v>
      </c>
      <c r="M132" s="3609">
        <f>'Rent Roll'!EJ$130</f>
        <v>0</v>
      </c>
      <c r="N132" s="3609" t="str">
        <f>IF('Rent Roll'!EJ$126=0,"N/A",('Rent Roll'!EJ$126-SUMIF('Rent Roll'!$G$24:$G$125,'Rent Roll'!EJ$20,'Rent Roll'!$K$24:$K$125))/($E132-$Q132))</f>
        <v>N/A</v>
      </c>
      <c r="O132" s="3608">
        <f t="shared" si="3"/>
        <v>0</v>
      </c>
      <c r="P132" s="3610">
        <f t="shared" si="4"/>
        <v>0</v>
      </c>
      <c r="Q132" s="3611">
        <f>'Rent Roll'!EJ$128</f>
        <v>0</v>
      </c>
      <c r="R132" s="3612">
        <f t="shared" si="5"/>
        <v>0</v>
      </c>
      <c r="S132" s="3614" t="str">
        <f>'Rent Roll'!$EJ$20</f>
        <v>ET</v>
      </c>
    </row>
    <row r="133" ht="14.25" customHeight="1" hidden="1">
      <c r="A133" s="3594" t="s">
        <v>2641</v>
      </c>
      <c r="B133" s="3594" t="str">
        <f t="shared" si="6"/>
        <v>H</v>
      </c>
      <c r="D133" s="3601" t="str">
        <f t="shared" si="0"/>
        <v>N/A</v>
      </c>
      <c r="E133" s="3602" cm="1">
        <f t="array" ref="E133">SUMPRODUCT((--EXACT(S133,'Rent Roll'!$G$24:$G$125)))</f>
        <v>0</v>
      </c>
      <c r="F133" s="3603">
        <f t="shared" si="1"/>
        <v>0</v>
      </c>
      <c r="G133" s="3604" t="str">
        <f>IF('Rent Roll'!EK$17="# Bedrooms","N/A",'Rent Roll'!EK$17)</f>
        <v>N/A</v>
      </c>
      <c r="H133" s="3605" t="str">
        <f>IF('Rent Roll'!EK$18="# Baths","N/A",'Rent Roll'!EK$18)</f>
        <v>N/A</v>
      </c>
      <c r="I133" s="3606" t="str">
        <f>IF('Rent Roll'!$EK$22="Square Footage","N/A",'Rent Roll'!$EK$22)</f>
        <v>N/A</v>
      </c>
      <c r="J133" s="3607" t="str">
        <f>IF('Rent Roll'!EK$21="Market Rent","N/A",'Rent Roll'!EK$21)</f>
        <v>N/A</v>
      </c>
      <c r="K133" s="3608">
        <f t="shared" si="2"/>
        <v>0</v>
      </c>
      <c r="L133" s="3609">
        <f>'Rent Roll'!EK$126</f>
        <v>0</v>
      </c>
      <c r="M133" s="3609">
        <f>'Rent Roll'!EK$130</f>
        <v>0</v>
      </c>
      <c r="N133" s="3609" t="str">
        <f>IF('Rent Roll'!EK$126=0,"N/A",('Rent Roll'!EK$126-SUMIF('Rent Roll'!$G$24:$G$125,'Rent Roll'!EK$20,'Rent Roll'!$K$24:$K$125))/($E133-$Q133))</f>
        <v>N/A</v>
      </c>
      <c r="O133" s="3608">
        <f t="shared" si="3"/>
        <v>0</v>
      </c>
      <c r="P133" s="3610">
        <f t="shared" si="4"/>
        <v>0</v>
      </c>
      <c r="Q133" s="3611">
        <f>'Rent Roll'!EK$128</f>
        <v>0</v>
      </c>
      <c r="R133" s="3612">
        <f t="shared" si="5"/>
        <v>0</v>
      </c>
      <c r="S133" s="3614" t="str">
        <f>'Rent Roll'!$EK$20</f>
        <v>EU</v>
      </c>
    </row>
    <row r="134" ht="14.25" customHeight="1" hidden="1">
      <c r="A134" s="3594" t="s">
        <v>2642</v>
      </c>
      <c r="B134" s="3594" t="str">
        <f t="shared" si="6"/>
        <v>H</v>
      </c>
      <c r="D134" s="3601" t="str">
        <f t="shared" si="0"/>
        <v>N/A</v>
      </c>
      <c r="E134" s="3602" cm="1">
        <f t="array" ref="E134">SUMPRODUCT((--EXACT(S134,'Rent Roll'!$G$24:$G$125)))</f>
        <v>0</v>
      </c>
      <c r="F134" s="3603">
        <f t="shared" si="1"/>
        <v>0</v>
      </c>
      <c r="G134" s="3604" t="str">
        <f>IF('Rent Roll'!EL$17="# Bedrooms","N/A",'Rent Roll'!EL$17)</f>
        <v>N/A</v>
      </c>
      <c r="H134" s="3605" t="str">
        <f>IF('Rent Roll'!EL$18="# Baths","N/A",'Rent Roll'!EL$18)</f>
        <v>N/A</v>
      </c>
      <c r="I134" s="3606" t="str">
        <f>IF('Rent Roll'!$EL$22="Square Footage","N/A",'Rent Roll'!$EL$22)</f>
        <v>N/A</v>
      </c>
      <c r="J134" s="3607" t="str">
        <f>IF('Rent Roll'!EL$21="Market Rent","N/A",'Rent Roll'!EL$21)</f>
        <v>N/A</v>
      </c>
      <c r="K134" s="3608">
        <f t="shared" si="2"/>
        <v>0</v>
      </c>
      <c r="L134" s="3609">
        <f>'Rent Roll'!EL$126</f>
        <v>0</v>
      </c>
      <c r="M134" s="3609">
        <f>'Rent Roll'!EL$130</f>
        <v>0</v>
      </c>
      <c r="N134" s="3609" t="str">
        <f>IF('Rent Roll'!EL$126=0,"N/A",('Rent Roll'!EL$126-SUMIF('Rent Roll'!$G$24:$G$125,'Rent Roll'!EL$20,'Rent Roll'!$K$24:$K$125))/($E134-$Q134))</f>
        <v>N/A</v>
      </c>
      <c r="O134" s="3608">
        <f t="shared" si="3"/>
        <v>0</v>
      </c>
      <c r="P134" s="3610">
        <f t="shared" si="4"/>
        <v>0</v>
      </c>
      <c r="Q134" s="3611">
        <f>'Rent Roll'!EL$128</f>
        <v>0</v>
      </c>
      <c r="R134" s="3612">
        <f t="shared" si="5"/>
        <v>0</v>
      </c>
      <c r="S134" s="3614" t="str">
        <f>'Rent Roll'!$EL$20</f>
        <v>EV</v>
      </c>
    </row>
    <row r="135" ht="14.25" customHeight="1" hidden="1">
      <c r="A135" s="3594" t="s">
        <v>2643</v>
      </c>
      <c r="B135" s="3594" t="str">
        <f t="shared" si="6"/>
        <v>H</v>
      </c>
      <c r="D135" s="3601" t="str">
        <f t="shared" si="0"/>
        <v>N/A</v>
      </c>
      <c r="E135" s="3602" cm="1">
        <f t="array" ref="E135">SUMPRODUCT((--EXACT(S135,'Rent Roll'!$G$24:$G$125)))</f>
        <v>0</v>
      </c>
      <c r="F135" s="3603">
        <f t="shared" si="1"/>
        <v>0</v>
      </c>
      <c r="G135" s="3604" t="str">
        <f>IF('Rent Roll'!EM$17="# Bedrooms","N/A",'Rent Roll'!EM$17)</f>
        <v>N/A</v>
      </c>
      <c r="H135" s="3605" t="str">
        <f>IF('Rent Roll'!EM$18="# Baths","N/A",'Rent Roll'!EM$18)</f>
        <v>N/A</v>
      </c>
      <c r="I135" s="3606" t="str">
        <f>IF('Rent Roll'!$EM$22="Square Footage","N/A",'Rent Roll'!$EM$22)</f>
        <v>N/A</v>
      </c>
      <c r="J135" s="3607" t="str">
        <f>IF('Rent Roll'!EM$21="Market Rent","N/A",'Rent Roll'!EM$21)</f>
        <v>N/A</v>
      </c>
      <c r="K135" s="3608">
        <f t="shared" si="2"/>
        <v>0</v>
      </c>
      <c r="L135" s="3609">
        <f>'Rent Roll'!EM$126</f>
        <v>0</v>
      </c>
      <c r="M135" s="3609">
        <f>'Rent Roll'!EM$130</f>
        <v>0</v>
      </c>
      <c r="N135" s="3609" t="str">
        <f>IF('Rent Roll'!EM$126=0,"N/A",('Rent Roll'!EM$126-SUMIF('Rent Roll'!$G$24:$G$125,'Rent Roll'!EM$20,'Rent Roll'!$K$24:$K$125))/($E135-$Q135))</f>
        <v>N/A</v>
      </c>
      <c r="O135" s="3608">
        <f t="shared" si="3"/>
        <v>0</v>
      </c>
      <c r="P135" s="3610">
        <f t="shared" si="4"/>
        <v>0</v>
      </c>
      <c r="Q135" s="3611">
        <f>'Rent Roll'!EM$128</f>
        <v>0</v>
      </c>
      <c r="R135" s="3612">
        <f t="shared" si="5"/>
        <v>0</v>
      </c>
      <c r="S135" s="3614" t="str">
        <f>'Rent Roll'!$EM$20</f>
        <v>EW</v>
      </c>
    </row>
    <row r="136" ht="14.25" customHeight="1" hidden="1">
      <c r="A136" s="3594" t="s">
        <v>2644</v>
      </c>
      <c r="B136" s="3594" t="str">
        <f t="shared" si="6"/>
        <v>H</v>
      </c>
      <c r="D136" s="3601" t="str">
        <f t="shared" si="0"/>
        <v>N/A</v>
      </c>
      <c r="E136" s="3602" cm="1">
        <f t="array" ref="E136">SUMPRODUCT((--EXACT(S136,'Rent Roll'!$G$24:$G$125)))</f>
        <v>0</v>
      </c>
      <c r="F136" s="3603">
        <f t="shared" si="1"/>
        <v>0</v>
      </c>
      <c r="G136" s="3604" t="str">
        <f>IF('Rent Roll'!EN$17="# Bedrooms","N/A",'Rent Roll'!EN$17)</f>
        <v>N/A</v>
      </c>
      <c r="H136" s="3605" t="str">
        <f>IF('Rent Roll'!EN$18="# Baths","N/A",'Rent Roll'!EN$18)</f>
        <v>N/A</v>
      </c>
      <c r="I136" s="3606" t="str">
        <f>IF('Rent Roll'!$EN$22="Square Footage","N/A",'Rent Roll'!$EN$22)</f>
        <v>N/A</v>
      </c>
      <c r="J136" s="3607" t="str">
        <f>IF('Rent Roll'!EN$21="Market Rent","N/A",'Rent Roll'!EN$21)</f>
        <v>N/A</v>
      </c>
      <c r="K136" s="3608">
        <f t="shared" si="2"/>
        <v>0</v>
      </c>
      <c r="L136" s="3609">
        <f>'Rent Roll'!EN$126</f>
        <v>0</v>
      </c>
      <c r="M136" s="3609">
        <f>'Rent Roll'!EN$130</f>
        <v>0</v>
      </c>
      <c r="N136" s="3609" t="str">
        <f>IF('Rent Roll'!EN$126=0,"N/A",('Rent Roll'!EN$126-SUMIF('Rent Roll'!$G$24:$G$125,'Rent Roll'!EN$20,'Rent Roll'!$K$24:$K$125))/($E136-$Q136))</f>
        <v>N/A</v>
      </c>
      <c r="O136" s="3608">
        <f t="shared" si="3"/>
        <v>0</v>
      </c>
      <c r="P136" s="3610">
        <f t="shared" si="4"/>
        <v>0</v>
      </c>
      <c r="Q136" s="3611">
        <f>'Rent Roll'!EN$128</f>
        <v>0</v>
      </c>
      <c r="R136" s="3612">
        <f t="shared" si="5"/>
        <v>0</v>
      </c>
      <c r="S136" s="3614" t="str">
        <f>'Rent Roll'!$EN$20</f>
        <v>EX</v>
      </c>
    </row>
    <row r="137" ht="14.25" customHeight="1" hidden="1">
      <c r="A137" s="3594" t="s">
        <v>2645</v>
      </c>
      <c r="B137" s="3594" t="str">
        <f t="shared" si="6"/>
        <v>H</v>
      </c>
      <c r="D137" s="3601" t="str">
        <f t="shared" si="0"/>
        <v>N/A</v>
      </c>
      <c r="E137" s="3602" cm="1">
        <f t="array" ref="E137">SUMPRODUCT((--EXACT(S137,'Rent Roll'!$G$24:$G$125)))</f>
        <v>0</v>
      </c>
      <c r="F137" s="3603">
        <f t="shared" si="1"/>
        <v>0</v>
      </c>
      <c r="G137" s="3604" t="str">
        <f>IF('Rent Roll'!EO$17="# Bedrooms","N/A",'Rent Roll'!EO$17)</f>
        <v>N/A</v>
      </c>
      <c r="H137" s="3605" t="str">
        <f>IF('Rent Roll'!EO$18="# Baths","N/A",'Rent Roll'!EO$18)</f>
        <v>N/A</v>
      </c>
      <c r="I137" s="3606" t="str">
        <f>IF('Rent Roll'!$EO$22="Square Footage","N/A",'Rent Roll'!$EO$22)</f>
        <v>N/A</v>
      </c>
      <c r="J137" s="3607" t="str">
        <f>IF('Rent Roll'!EO$21="Market Rent","N/A",'Rent Roll'!EO$21)</f>
        <v>N/A</v>
      </c>
      <c r="K137" s="3608">
        <f t="shared" si="2"/>
        <v>0</v>
      </c>
      <c r="L137" s="3609">
        <f>'Rent Roll'!EO$126</f>
        <v>0</v>
      </c>
      <c r="M137" s="3609">
        <f>'Rent Roll'!EO$130</f>
        <v>0</v>
      </c>
      <c r="N137" s="3609" t="str">
        <f>IF('Rent Roll'!EO$126=0,"N/A",('Rent Roll'!EO$126-SUMIF('Rent Roll'!$G$24:$G$125,'Rent Roll'!EO$20,'Rent Roll'!$K$24:$K$125))/($E137-$Q137))</f>
        <v>N/A</v>
      </c>
      <c r="O137" s="3608">
        <f t="shared" si="3"/>
        <v>0</v>
      </c>
      <c r="P137" s="3610">
        <f t="shared" si="4"/>
        <v>0</v>
      </c>
      <c r="Q137" s="3611">
        <f>'Rent Roll'!EO$128</f>
        <v>0</v>
      </c>
      <c r="R137" s="3612">
        <f t="shared" si="5"/>
        <v>0</v>
      </c>
      <c r="S137" s="3614" t="str">
        <f>'Rent Roll'!$EO$20</f>
        <v>EY</v>
      </c>
    </row>
    <row r="138" ht="14.25" customHeight="1" hidden="1">
      <c r="A138" s="3594" t="s">
        <v>2646</v>
      </c>
      <c r="B138" s="3594" t="str">
        <f t="shared" si="6"/>
        <v>H</v>
      </c>
      <c r="D138" s="3601" t="str">
        <f t="shared" si="0"/>
        <v>N/A</v>
      </c>
      <c r="E138" s="3602" cm="1">
        <f t="array" ref="E138">SUMPRODUCT((--EXACT(S138,'Rent Roll'!$G$24:$G$125)))</f>
        <v>0</v>
      </c>
      <c r="F138" s="3603">
        <f t="shared" si="1"/>
        <v>0</v>
      </c>
      <c r="G138" s="3604" t="str">
        <f>IF('Rent Roll'!EP$17="# Bedrooms","N/A",'Rent Roll'!EP$17)</f>
        <v>N/A</v>
      </c>
      <c r="H138" s="3605" t="str">
        <f>IF('Rent Roll'!EP$18="# Baths","N/A",'Rent Roll'!EP$18)</f>
        <v>N/A</v>
      </c>
      <c r="I138" s="3606" t="str">
        <f>IF('Rent Roll'!$EP$22="Square Footage","N/A",'Rent Roll'!$EP$22)</f>
        <v>N/A</v>
      </c>
      <c r="J138" s="3607" t="str">
        <f>IF('Rent Roll'!EP$21="Market Rent","N/A",'Rent Roll'!EP$21)</f>
        <v>N/A</v>
      </c>
      <c r="K138" s="3608">
        <f t="shared" si="2"/>
        <v>0</v>
      </c>
      <c r="L138" s="3609">
        <f>'Rent Roll'!EP$126</f>
        <v>0</v>
      </c>
      <c r="M138" s="3609">
        <f>'Rent Roll'!EP$130</f>
        <v>0</v>
      </c>
      <c r="N138" s="3609" t="str">
        <f>IF('Rent Roll'!EP$126=0,"N/A",('Rent Roll'!EP$126-SUMIF('Rent Roll'!$G$24:$G$125,'Rent Roll'!EP$20,'Rent Roll'!$K$24:$K$125))/($E138-$Q138))</f>
        <v>N/A</v>
      </c>
      <c r="O138" s="3608">
        <f t="shared" si="3"/>
        <v>0</v>
      </c>
      <c r="P138" s="3610">
        <f t="shared" si="4"/>
        <v>0</v>
      </c>
      <c r="Q138" s="3611">
        <f>'Rent Roll'!EP$128</f>
        <v>0</v>
      </c>
      <c r="R138" s="3612">
        <f t="shared" si="5"/>
        <v>0</v>
      </c>
      <c r="S138" s="3614" t="str">
        <f>'Rent Roll'!$EP$20</f>
        <v>EZ</v>
      </c>
    </row>
    <row r="139" ht="14.25" customHeight="1" hidden="1">
      <c r="A139" s="3594" t="s">
        <v>2647</v>
      </c>
      <c r="B139" s="3594" t="str">
        <f t="shared" si="6"/>
        <v>H</v>
      </c>
      <c r="D139" s="3601" t="str">
        <f t="shared" si="0"/>
        <v>N/A</v>
      </c>
      <c r="E139" s="3602" cm="1">
        <f t="array" ref="E139">SUMPRODUCT((--EXACT(S139,'Rent Roll'!$G$24:$G$125)))</f>
        <v>0</v>
      </c>
      <c r="F139" s="3603">
        <f t="shared" si="1"/>
        <v>0</v>
      </c>
      <c r="G139" s="3604" t="str">
        <f>IF('Rent Roll'!EQ$17="# Bedrooms","N/A",'Rent Roll'!EQ$17)</f>
        <v>N/A</v>
      </c>
      <c r="H139" s="3605" t="str">
        <f>IF('Rent Roll'!EQ$18="# Baths","N/A",'Rent Roll'!EQ$18)</f>
        <v>N/A</v>
      </c>
      <c r="I139" s="3606" t="str">
        <f>IF('Rent Roll'!$EQ$22="Square Footage","N/A",'Rent Roll'!$EQ$22)</f>
        <v>N/A</v>
      </c>
      <c r="J139" s="3607" t="str">
        <f>IF('Rent Roll'!EQ$21="Market Rent","N/A",'Rent Roll'!EQ$21)</f>
        <v>N/A</v>
      </c>
      <c r="K139" s="3608">
        <f t="shared" si="2"/>
        <v>0</v>
      </c>
      <c r="L139" s="3609">
        <f>'Rent Roll'!EQ$126</f>
        <v>0</v>
      </c>
      <c r="M139" s="3609">
        <f>'Rent Roll'!EQ$130</f>
        <v>0</v>
      </c>
      <c r="N139" s="3609" t="str">
        <f>IF('Rent Roll'!EQ$126=0,"N/A",('Rent Roll'!EQ$126-SUMIF('Rent Roll'!$G$24:$G$125,'Rent Roll'!EQ$20,'Rent Roll'!$K$24:$K$125))/($E139-$Q139))</f>
        <v>N/A</v>
      </c>
      <c r="O139" s="3608">
        <f t="shared" si="3"/>
        <v>0</v>
      </c>
      <c r="P139" s="3610">
        <f t="shared" si="4"/>
        <v>0</v>
      </c>
      <c r="Q139" s="3611">
        <f>'Rent Roll'!EQ$128</f>
        <v>0</v>
      </c>
      <c r="R139" s="3612">
        <f t="shared" si="5"/>
        <v>0</v>
      </c>
      <c r="S139" s="3614" t="str">
        <f>'Rent Roll'!$EQ$20</f>
        <v>FA</v>
      </c>
    </row>
    <row r="140" ht="14.25" customHeight="1" hidden="1">
      <c r="A140" s="3594" t="s">
        <v>2648</v>
      </c>
      <c r="B140" s="3594" t="str">
        <f t="shared" si="6"/>
        <v>H</v>
      </c>
      <c r="D140" s="3601" t="str">
        <f t="shared" si="0"/>
        <v>N/A</v>
      </c>
      <c r="E140" s="3602" cm="1">
        <f t="array" ref="E140">SUMPRODUCT((--EXACT(S140,'Rent Roll'!$G$24:$G$125)))</f>
        <v>0</v>
      </c>
      <c r="F140" s="3603">
        <f t="shared" si="1"/>
        <v>0</v>
      </c>
      <c r="G140" s="3604" t="str">
        <f>IF('Rent Roll'!ER$17="# Bedrooms","N/A",'Rent Roll'!ER$17)</f>
        <v>N/A</v>
      </c>
      <c r="H140" s="3605" t="str">
        <f>IF('Rent Roll'!ER$18="# Baths","N/A",'Rent Roll'!ER$18)</f>
        <v>N/A</v>
      </c>
      <c r="I140" s="3606" t="str">
        <f>IF('Rent Roll'!$ER$22="Square Footage","N/A",'Rent Roll'!$ER$22)</f>
        <v>N/A</v>
      </c>
      <c r="J140" s="3607" t="str">
        <f>IF('Rent Roll'!ER$21="Market Rent","N/A",'Rent Roll'!ER$21)</f>
        <v>N/A</v>
      </c>
      <c r="K140" s="3608">
        <f t="shared" si="2"/>
        <v>0</v>
      </c>
      <c r="L140" s="3609">
        <f>'Rent Roll'!ER$126</f>
        <v>0</v>
      </c>
      <c r="M140" s="3609">
        <f>'Rent Roll'!ER$130</f>
        <v>0</v>
      </c>
      <c r="N140" s="3609" t="str">
        <f>IF('Rent Roll'!ER$126=0,"N/A",('Rent Roll'!ER$126-SUMIF('Rent Roll'!$G$24:$G$125,'Rent Roll'!ER$20,'Rent Roll'!$K$24:$K$125))/($E140-$Q140))</f>
        <v>N/A</v>
      </c>
      <c r="O140" s="3608">
        <f t="shared" si="3"/>
        <v>0</v>
      </c>
      <c r="P140" s="3610">
        <f t="shared" si="4"/>
        <v>0</v>
      </c>
      <c r="Q140" s="3611">
        <f>'Rent Roll'!ER$128</f>
        <v>0</v>
      </c>
      <c r="R140" s="3612">
        <f t="shared" si="5"/>
        <v>0</v>
      </c>
      <c r="S140" s="3614" t="str">
        <f>'Rent Roll'!$ER$20</f>
        <v>FB</v>
      </c>
    </row>
    <row r="141" ht="14.25" customHeight="1" hidden="1">
      <c r="A141" s="3594" t="s">
        <v>2649</v>
      </c>
      <c r="B141" s="3594" t="str">
        <f t="shared" si="6"/>
        <v>H</v>
      </c>
      <c r="D141" s="3601" t="str">
        <f t="shared" si="0"/>
        <v>N/A</v>
      </c>
      <c r="E141" s="3602" cm="1">
        <f t="array" ref="E141">SUMPRODUCT((--EXACT(S141,'Rent Roll'!$G$24:$G$125)))</f>
        <v>0</v>
      </c>
      <c r="F141" s="3603">
        <f t="shared" si="1"/>
        <v>0</v>
      </c>
      <c r="G141" s="3604" t="str">
        <f>IF('Rent Roll'!ES$17="# Bedrooms","N/A",'Rent Roll'!ES$17)</f>
        <v>N/A</v>
      </c>
      <c r="H141" s="3605" t="str">
        <f>IF('Rent Roll'!ES$18="# Baths","N/A",'Rent Roll'!ES$18)</f>
        <v>N/A</v>
      </c>
      <c r="I141" s="3606" t="str">
        <f>IF('Rent Roll'!$ES$22="Square Footage","N/A",'Rent Roll'!$ES$22)</f>
        <v>N/A</v>
      </c>
      <c r="J141" s="3607" t="str">
        <f>IF('Rent Roll'!ES$21="Market Rent","N/A",'Rent Roll'!ES$21)</f>
        <v>N/A</v>
      </c>
      <c r="K141" s="3608">
        <f t="shared" si="2"/>
        <v>0</v>
      </c>
      <c r="L141" s="3609">
        <f>'Rent Roll'!ES$126</f>
        <v>0</v>
      </c>
      <c r="M141" s="3609">
        <f>'Rent Roll'!ES$130</f>
        <v>0</v>
      </c>
      <c r="N141" s="3609" t="str">
        <f>IF('Rent Roll'!ES$126=0,"N/A",('Rent Roll'!ES$126-SUMIF('Rent Roll'!$G$24:$G$125,'Rent Roll'!ES$20,'Rent Roll'!$K$24:$K$125))/($E141-$Q141))</f>
        <v>N/A</v>
      </c>
      <c r="O141" s="3608">
        <f t="shared" si="3"/>
        <v>0</v>
      </c>
      <c r="P141" s="3610">
        <f t="shared" si="4"/>
        <v>0</v>
      </c>
      <c r="Q141" s="3611">
        <f>'Rent Roll'!ES$128</f>
        <v>0</v>
      </c>
      <c r="R141" s="3612">
        <f t="shared" si="5"/>
        <v>0</v>
      </c>
      <c r="S141" s="3614" t="str">
        <f>'Rent Roll'!$ES$20</f>
        <v>FC</v>
      </c>
    </row>
    <row r="142" ht="14.25" customHeight="1" hidden="1">
      <c r="A142" s="3594" t="s">
        <v>2650</v>
      </c>
      <c r="B142" s="3594" t="str">
        <f t="shared" si="6"/>
        <v>H</v>
      </c>
      <c r="D142" s="3601" t="str">
        <f t="shared" si="0"/>
        <v>N/A</v>
      </c>
      <c r="E142" s="3602" cm="1">
        <f t="array" ref="E142">SUMPRODUCT((--EXACT(S142,'Rent Roll'!$G$24:$G$125)))</f>
        <v>0</v>
      </c>
      <c r="F142" s="3603">
        <f t="shared" si="1"/>
        <v>0</v>
      </c>
      <c r="G142" s="3604" t="str">
        <f>IF('Rent Roll'!ET$17="# Bedrooms","N/A",'Rent Roll'!ET$17)</f>
        <v>N/A</v>
      </c>
      <c r="H142" s="3605" t="str">
        <f>IF('Rent Roll'!ET$18="# Baths","N/A",'Rent Roll'!ET$18)</f>
        <v>N/A</v>
      </c>
      <c r="I142" s="3606" t="str">
        <f>IF('Rent Roll'!$ET$22="Square Footage","N/A",'Rent Roll'!$ET$22)</f>
        <v>N/A</v>
      </c>
      <c r="J142" s="3607" t="str">
        <f>IF('Rent Roll'!ET$21="Market Rent","N/A",'Rent Roll'!ET$21)</f>
        <v>N/A</v>
      </c>
      <c r="K142" s="3608">
        <f t="shared" si="2"/>
        <v>0</v>
      </c>
      <c r="L142" s="3609">
        <f>'Rent Roll'!ET$126</f>
        <v>0</v>
      </c>
      <c r="M142" s="3609">
        <f>'Rent Roll'!ET$130</f>
        <v>0</v>
      </c>
      <c r="N142" s="3609" t="str">
        <f>IF('Rent Roll'!ET$126=0,"N/A",('Rent Roll'!ET$126-SUMIF('Rent Roll'!$G$24:$G$125,'Rent Roll'!ET$20,'Rent Roll'!$K$24:$K$125))/($E142-$Q142))</f>
        <v>N/A</v>
      </c>
      <c r="O142" s="3608">
        <f t="shared" si="3"/>
        <v>0</v>
      </c>
      <c r="P142" s="3610">
        <f t="shared" si="4"/>
        <v>0</v>
      </c>
      <c r="Q142" s="3611">
        <f>'Rent Roll'!ET$128</f>
        <v>0</v>
      </c>
      <c r="R142" s="3612">
        <f t="shared" si="5"/>
        <v>0</v>
      </c>
      <c r="S142" s="3614" t="str">
        <f>'Rent Roll'!$ET$20</f>
        <v>FD</v>
      </c>
    </row>
    <row r="143" ht="14.25" customHeight="1" hidden="1">
      <c r="A143" s="3594" t="s">
        <v>2651</v>
      </c>
      <c r="B143" s="3594" t="str">
        <f t="shared" si="6"/>
        <v>H</v>
      </c>
      <c r="D143" s="3601" t="str">
        <f t="shared" si="0"/>
        <v>N/A</v>
      </c>
      <c r="E143" s="3602" cm="1">
        <f t="array" ref="E143">SUMPRODUCT((--EXACT(S143,'Rent Roll'!$G$24:$G$125)))</f>
        <v>0</v>
      </c>
      <c r="F143" s="3603">
        <f t="shared" si="1"/>
        <v>0</v>
      </c>
      <c r="G143" s="3604" t="str">
        <f>IF('Rent Roll'!EU$17="# Bedrooms","N/A",'Rent Roll'!EU$17)</f>
        <v>N/A</v>
      </c>
      <c r="H143" s="3605" t="str">
        <f>IF('Rent Roll'!EU$18="# Baths","N/A",'Rent Roll'!EU$18)</f>
        <v>N/A</v>
      </c>
      <c r="I143" s="3606" t="str">
        <f>IF('Rent Roll'!$EU$22="Square Footage","N/A",'Rent Roll'!$EU$22)</f>
        <v>N/A</v>
      </c>
      <c r="J143" s="3607" t="str">
        <f>IF('Rent Roll'!EU$21="Market Rent","N/A",'Rent Roll'!EU$21)</f>
        <v>N/A</v>
      </c>
      <c r="K143" s="3608">
        <f t="shared" si="2"/>
        <v>0</v>
      </c>
      <c r="L143" s="3609">
        <f>'Rent Roll'!EU$126</f>
        <v>0</v>
      </c>
      <c r="M143" s="3609">
        <f>'Rent Roll'!EU$130</f>
        <v>0</v>
      </c>
      <c r="N143" s="3609" t="str">
        <f>IF('Rent Roll'!EU$126=0,"N/A",('Rent Roll'!EU$126-SUMIF('Rent Roll'!$G$24:$G$125,'Rent Roll'!EU$20,'Rent Roll'!$K$24:$K$125))/($E143-$Q143))</f>
        <v>N/A</v>
      </c>
      <c r="O143" s="3608">
        <f t="shared" si="3"/>
        <v>0</v>
      </c>
      <c r="P143" s="3610">
        <f t="shared" si="4"/>
        <v>0</v>
      </c>
      <c r="Q143" s="3611">
        <f>'Rent Roll'!EU$128</f>
        <v>0</v>
      </c>
      <c r="R143" s="3612">
        <f t="shared" si="5"/>
        <v>0</v>
      </c>
      <c r="S143" s="3614" t="str">
        <f>'Rent Roll'!$EU$20</f>
        <v>FE</v>
      </c>
    </row>
    <row r="144" ht="14.25" customHeight="1" hidden="1">
      <c r="A144" s="3594" t="s">
        <v>2652</v>
      </c>
      <c r="B144" s="3594" t="str">
        <f t="shared" si="6"/>
        <v>H</v>
      </c>
      <c r="D144" s="3601" t="str">
        <f t="shared" si="0"/>
        <v>N/A</v>
      </c>
      <c r="E144" s="3602" cm="1">
        <f t="array" ref="E144">SUMPRODUCT((--EXACT(S144,'Rent Roll'!$G$24:$G$125)))</f>
        <v>0</v>
      </c>
      <c r="F144" s="3603">
        <f t="shared" si="1"/>
        <v>0</v>
      </c>
      <c r="G144" s="3604" t="str">
        <f>IF('Rent Roll'!EV$17="# Bedrooms","N/A",'Rent Roll'!EV$17)</f>
        <v>N/A</v>
      </c>
      <c r="H144" s="3605" t="str">
        <f>IF('Rent Roll'!EV$18="# Baths","N/A",'Rent Roll'!EV$18)</f>
        <v>N/A</v>
      </c>
      <c r="I144" s="3606" t="str">
        <f>IF('Rent Roll'!$EV$22="Square Footage","N/A",'Rent Roll'!$EV$22)</f>
        <v>N/A</v>
      </c>
      <c r="J144" s="3607" t="str">
        <f>IF('Rent Roll'!EV$21="Market Rent","N/A",'Rent Roll'!EV$21)</f>
        <v>N/A</v>
      </c>
      <c r="K144" s="3608">
        <f t="shared" si="2"/>
        <v>0</v>
      </c>
      <c r="L144" s="3609">
        <f>'Rent Roll'!EV$126</f>
        <v>0</v>
      </c>
      <c r="M144" s="3609">
        <f>'Rent Roll'!EV$130</f>
        <v>0</v>
      </c>
      <c r="N144" s="3609" t="str">
        <f>IF('Rent Roll'!EV$126=0,"N/A",('Rent Roll'!EV$126-SUMIF('Rent Roll'!$G$24:$G$125,'Rent Roll'!EV$20,'Rent Roll'!$K$24:$K$125))/($E144-$Q144))</f>
        <v>N/A</v>
      </c>
      <c r="O144" s="3608">
        <f t="shared" si="3"/>
        <v>0</v>
      </c>
      <c r="P144" s="3610">
        <f t="shared" si="4"/>
        <v>0</v>
      </c>
      <c r="Q144" s="3611">
        <f>'Rent Roll'!EV$128</f>
        <v>0</v>
      </c>
      <c r="R144" s="3612">
        <f t="shared" si="5"/>
        <v>0</v>
      </c>
      <c r="S144" s="3614" t="str">
        <f>'Rent Roll'!$EV$20</f>
        <v>FF</v>
      </c>
    </row>
    <row r="145" ht="14.25" customHeight="1" hidden="1">
      <c r="A145" s="3594" t="s">
        <v>2653</v>
      </c>
      <c r="B145" s="3594" t="str">
        <f t="shared" si="6"/>
        <v>H</v>
      </c>
      <c r="D145" s="3601" t="str">
        <f t="shared" si="0"/>
        <v>N/A</v>
      </c>
      <c r="E145" s="3602" cm="1">
        <f t="array" ref="E145">SUMPRODUCT((--EXACT(S145,'Rent Roll'!$G$24:$G$125)))</f>
        <v>0</v>
      </c>
      <c r="F145" s="3603">
        <f t="shared" si="1"/>
        <v>0</v>
      </c>
      <c r="G145" s="3604" t="str">
        <f>IF('Rent Roll'!EW$17="# Bedrooms","N/A",'Rent Roll'!EW$17)</f>
        <v>N/A</v>
      </c>
      <c r="H145" s="3605" t="str">
        <f>IF('Rent Roll'!EW$18="# Baths","N/A",'Rent Roll'!EW$18)</f>
        <v>N/A</v>
      </c>
      <c r="I145" s="3606" t="str">
        <f>IF('Rent Roll'!$EW$22="Square Footage","N/A",'Rent Roll'!$EW$22)</f>
        <v>N/A</v>
      </c>
      <c r="J145" s="3607" t="str">
        <f>IF('Rent Roll'!EW$21="Market Rent","N/A",'Rent Roll'!EW$21)</f>
        <v>N/A</v>
      </c>
      <c r="K145" s="3608">
        <f t="shared" si="2"/>
        <v>0</v>
      </c>
      <c r="L145" s="3609">
        <f>'Rent Roll'!EW$126</f>
        <v>0</v>
      </c>
      <c r="M145" s="3609">
        <f>'Rent Roll'!EW$130</f>
        <v>0</v>
      </c>
      <c r="N145" s="3609" t="str">
        <f>IF('Rent Roll'!EW$126=0,"N/A",('Rent Roll'!EW$126-SUMIF('Rent Roll'!$G$24:$G$125,'Rent Roll'!EW$20,'Rent Roll'!$K$24:$K$125))/($E145-$Q145))</f>
        <v>N/A</v>
      </c>
      <c r="O145" s="3608">
        <f t="shared" si="3"/>
        <v>0</v>
      </c>
      <c r="P145" s="3610">
        <f t="shared" si="4"/>
        <v>0</v>
      </c>
      <c r="Q145" s="3611">
        <f>'Rent Roll'!EW$128</f>
        <v>0</v>
      </c>
      <c r="R145" s="3612">
        <f t="shared" si="5"/>
        <v>0</v>
      </c>
      <c r="S145" s="3614" t="str">
        <f>'Rent Roll'!$EW$20</f>
        <v>FG</v>
      </c>
    </row>
    <row r="146" ht="14.25" customHeight="1" hidden="1">
      <c r="A146" s="3594" t="s">
        <v>2654</v>
      </c>
      <c r="B146" s="3594" t="str">
        <f t="shared" si="6"/>
        <v>H</v>
      </c>
      <c r="D146" s="3601" t="str">
        <f t="shared" si="0"/>
        <v>N/A</v>
      </c>
      <c r="E146" s="3602" cm="1">
        <f t="array" ref="E146">SUMPRODUCT((--EXACT(S146,'Rent Roll'!$G$24:$G$125)))</f>
        <v>0</v>
      </c>
      <c r="F146" s="3603">
        <f t="shared" si="1"/>
        <v>0</v>
      </c>
      <c r="G146" s="3604" t="str">
        <f>IF('Rent Roll'!EX$17="# Bedrooms","N/A",'Rent Roll'!EX$17)</f>
        <v>N/A</v>
      </c>
      <c r="H146" s="3605" t="str">
        <f>IF('Rent Roll'!EX$18="# Baths","N/A",'Rent Roll'!EX$18)</f>
        <v>N/A</v>
      </c>
      <c r="I146" s="3606" t="str">
        <f>IF('Rent Roll'!$EX$22="Square Footage","N/A",'Rent Roll'!$EX$22)</f>
        <v>N/A</v>
      </c>
      <c r="J146" s="3607" t="str">
        <f>IF('Rent Roll'!EX$21="Market Rent","N/A",'Rent Roll'!EX$21)</f>
        <v>N/A</v>
      </c>
      <c r="K146" s="3608">
        <f t="shared" si="2"/>
        <v>0</v>
      </c>
      <c r="L146" s="3609">
        <f>'Rent Roll'!EX$126</f>
        <v>0</v>
      </c>
      <c r="M146" s="3609">
        <f>'Rent Roll'!EX$130</f>
        <v>0</v>
      </c>
      <c r="N146" s="3609" t="str">
        <f>IF('Rent Roll'!EX$126=0,"N/A",('Rent Roll'!EX$126-SUMIF('Rent Roll'!$G$24:$G$125,'Rent Roll'!EX$20,'Rent Roll'!$K$24:$K$125))/($E146-$Q146))</f>
        <v>N/A</v>
      </c>
      <c r="O146" s="3608">
        <f t="shared" si="3"/>
        <v>0</v>
      </c>
      <c r="P146" s="3610">
        <f t="shared" si="4"/>
        <v>0</v>
      </c>
      <c r="Q146" s="3611">
        <f>'Rent Roll'!EX$128</f>
        <v>0</v>
      </c>
      <c r="R146" s="3612">
        <f t="shared" si="5"/>
        <v>0</v>
      </c>
      <c r="S146" s="3614" t="str">
        <f>'Rent Roll'!$EX$20</f>
        <v>FH</v>
      </c>
    </row>
    <row r="147" ht="14.25" customHeight="1" hidden="1">
      <c r="A147" s="3594" t="s">
        <v>2655</v>
      </c>
      <c r="B147" s="3594" t="str">
        <f t="shared" si="6"/>
        <v>H</v>
      </c>
      <c r="D147" s="3601" t="str">
        <f t="shared" si="0"/>
        <v>N/A</v>
      </c>
      <c r="E147" s="3602" cm="1">
        <f t="array" ref="E147">SUMPRODUCT((--EXACT(S147,'Rent Roll'!$G$24:$G$125)))</f>
        <v>0</v>
      </c>
      <c r="F147" s="3603">
        <f t="shared" si="1"/>
        <v>0</v>
      </c>
      <c r="G147" s="3604" t="str">
        <f>IF('Rent Roll'!EY$17="# Bedrooms","N/A",'Rent Roll'!EY$17)</f>
        <v>N/A</v>
      </c>
      <c r="H147" s="3605" t="str">
        <f>IF('Rent Roll'!EY$18="# Baths","N/A",'Rent Roll'!EY$18)</f>
        <v>N/A</v>
      </c>
      <c r="I147" s="3606" t="str">
        <f>IF('Rent Roll'!$EY$22="Square Footage","N/A",'Rent Roll'!$EY$22)</f>
        <v>N/A</v>
      </c>
      <c r="J147" s="3607" t="str">
        <f>IF('Rent Roll'!EY$21="Market Rent","N/A",'Rent Roll'!EY$21)</f>
        <v>N/A</v>
      </c>
      <c r="K147" s="3608">
        <f t="shared" si="2"/>
        <v>0</v>
      </c>
      <c r="L147" s="3609">
        <f>'Rent Roll'!EY$126</f>
        <v>0</v>
      </c>
      <c r="M147" s="3609">
        <f>'Rent Roll'!EY$130</f>
        <v>0</v>
      </c>
      <c r="N147" s="3609" t="str">
        <f>IF('Rent Roll'!EY$126=0,"N/A",('Rent Roll'!EY$126-SUMIF('Rent Roll'!$G$24:$G$125,'Rent Roll'!EY$20,'Rent Roll'!$K$24:$K$125))/($E147-$Q147))</f>
        <v>N/A</v>
      </c>
      <c r="O147" s="3608">
        <f t="shared" si="3"/>
        <v>0</v>
      </c>
      <c r="P147" s="3610">
        <f t="shared" si="4"/>
        <v>0</v>
      </c>
      <c r="Q147" s="3611">
        <f>'Rent Roll'!EY$128</f>
        <v>0</v>
      </c>
      <c r="R147" s="3612">
        <f t="shared" si="5"/>
        <v>0</v>
      </c>
      <c r="S147" s="3614" t="str">
        <f>'Rent Roll'!$EY$20</f>
        <v>FI</v>
      </c>
    </row>
    <row r="148" ht="15" customHeight="1" hidden="1">
      <c r="A148" s="3594" t="s">
        <v>2656</v>
      </c>
      <c r="B148" s="3594" t="str">
        <f t="shared" si="6"/>
        <v>H</v>
      </c>
      <c r="D148" s="3601" t="str">
        <f t="shared" si="0"/>
        <v>N/A</v>
      </c>
      <c r="E148" s="3602" cm="1">
        <f t="array" ref="E148">SUMPRODUCT((--EXACT(S148,'Rent Roll'!$G$24:$G$125)))</f>
        <v>0</v>
      </c>
      <c r="F148" s="3603">
        <f t="shared" si="1"/>
        <v>0</v>
      </c>
      <c r="G148" s="3604" t="str">
        <f>IF('Rent Roll'!EZ$17="# Bedrooms","N/A",'Rent Roll'!EZ$17)</f>
        <v>N/A</v>
      </c>
      <c r="H148" s="3605" t="str">
        <f>IF('Rent Roll'!EZ$18="# Baths","N/A",'Rent Roll'!EZ$18)</f>
        <v>N/A</v>
      </c>
      <c r="I148" s="3606" t="str">
        <f>IF('Rent Roll'!$EZ$22="Square Footage","N/A",'Rent Roll'!$EZ$22)</f>
        <v>N/A</v>
      </c>
      <c r="J148" s="3607" t="str">
        <f>IF('Rent Roll'!EZ$21="Market Rent","N/A",'Rent Roll'!EZ$21)</f>
        <v>N/A</v>
      </c>
      <c r="K148" s="3608">
        <f t="shared" si="2"/>
        <v>0</v>
      </c>
      <c r="L148" s="3609">
        <f>'Rent Roll'!EY$126</f>
        <v>0</v>
      </c>
      <c r="M148" s="3609">
        <f>'Rent Roll'!EZ$130</f>
        <v>0</v>
      </c>
      <c r="N148" s="3609" t="str">
        <f>IF('Rent Roll'!EZ$126=0,"N/A",('Rent Roll'!EZ$126-SUMIF('Rent Roll'!$G$24:$G$125,'Rent Roll'!EZ$20,'Rent Roll'!$K$24:$K$125))/($E148-$Q148))</f>
        <v>N/A</v>
      </c>
      <c r="O148" s="3608">
        <f t="shared" si="3"/>
        <v>0</v>
      </c>
      <c r="P148" s="3610">
        <f t="shared" si="4"/>
        <v>0</v>
      </c>
      <c r="Q148" s="3611">
        <f>'Rent Roll'!EZ$128</f>
        <v>0</v>
      </c>
      <c r="R148" s="3612">
        <f t="shared" si="5"/>
        <v>0</v>
      </c>
      <c r="S148" s="3615" t="str">
        <f>'Rent Roll'!$EZ$20</f>
        <v>FJ</v>
      </c>
    </row>
    <row r="149" ht="15" customHeight="1" collapsed="1" outlineLevel="0">
      <c r="D149" s="3616"/>
      <c r="E149" s="3617">
        <f>IF(SUM(E9:E148)=0,1,SUM(E9:E148))</f>
        <v>101</v>
      </c>
      <c r="F149" s="3618">
        <f t="shared" si="7" ref="F149:Q149">SUM(F9:F148)</f>
        <v>1</v>
      </c>
      <c r="G149" s="3619"/>
      <c r="H149" s="3620"/>
      <c r="I149" s="3621">
        <f>_xlfn.IFERROR(SUMPRODUCT($E9:$E148,I9:I148)/$E$149,"0")</f>
        <v>841.4950495049505</v>
      </c>
      <c r="J149" s="3622">
        <f>_xlfn.IFERROR(SUMPRODUCT($E9:$E148,J9:J148)/$E$149,0)</f>
        <v>1302.9405940594058</v>
      </c>
      <c r="K149" s="3623">
        <f t="shared" si="2"/>
        <v>1.548363944417644</v>
      </c>
      <c r="L149" s="3624">
        <f t="shared" si="7"/>
        <v>122173</v>
      </c>
      <c r="M149" s="3624">
        <f t="shared" si="8" ref="M149:N149">_xlfn.IFERROR(SUMPRODUCT($P9:$P148,M9:M148)/($P$149),0)</f>
        <v>1272.6354166666667</v>
      </c>
      <c r="N149" s="3625">
        <f t="shared" si="8"/>
        <v>1272.6354166666667</v>
      </c>
      <c r="O149" s="3623">
        <f>_xlfn.IFERROR('Rent Roll'!$M$135/SUMPRODUCT($E9:$E148-$Q9:$Q148,I9:I148),0)</f>
        <v>1.5283087315486614</v>
      </c>
      <c r="P149" s="3626">
        <f t="shared" si="7"/>
        <v>96</v>
      </c>
      <c r="Q149" s="3627">
        <f t="shared" si="7"/>
        <v>5</v>
      </c>
      <c r="R149" s="3628">
        <f t="shared" si="5"/>
        <v>0.04950495049504951</v>
      </c>
      <c r="S149" s="3629"/>
    </row>
    <row r="150" ht="15" customHeight="1">
      <c r="D150" s="632"/>
      <c r="E150" s="632"/>
      <c r="F150" s="632"/>
      <c r="G150" s="632"/>
      <c r="H150" s="632"/>
      <c r="I150" s="632"/>
      <c r="J150" s="632"/>
      <c r="K150" s="632"/>
      <c r="L150" s="632"/>
      <c r="M150" s="632"/>
      <c r="N150" s="632"/>
      <c r="O150" s="632"/>
      <c r="P150" s="632"/>
      <c r="Q150" s="632"/>
      <c r="R150" s="632"/>
      <c r="S150" s="632"/>
    </row>
    <row r="151" ht="15" customHeight="1">
      <c r="D151" s="632"/>
      <c r="E151" s="632"/>
      <c r="F151" s="632"/>
      <c r="G151" s="632"/>
      <c r="H151" s="632" t="s">
        <v>3182</v>
      </c>
      <c r="I151" s="3630">
        <f>SUMPRODUCT(E9:E148,I9:I148)</f>
        <v>84991</v>
      </c>
      <c r="J151" s="632"/>
      <c r="K151" s="632"/>
      <c r="L151" s="632"/>
      <c r="M151" s="632"/>
      <c r="N151" s="632"/>
      <c r="O151" s="632"/>
      <c r="P151" s="632"/>
      <c r="Q151" s="632"/>
      <c r="R151" s="632"/>
      <c r="S151" s="632"/>
    </row>
    <row r="152" ht="6" customHeight="1">
      <c r="D152" s="632"/>
      <c r="E152" s="632"/>
      <c r="F152" s="632"/>
      <c r="G152" s="632"/>
      <c r="H152" s="632"/>
      <c r="I152" s="632"/>
      <c r="J152" s="632"/>
      <c r="K152" s="632"/>
      <c r="L152" s="632"/>
      <c r="M152" s="632"/>
      <c r="N152" s="632"/>
      <c r="O152" s="632"/>
      <c r="P152" s="632"/>
      <c r="Q152" s="632"/>
      <c r="R152" s="632"/>
      <c r="S152" s="632"/>
    </row>
    <row r="153" ht="14.25" customHeight="1">
      <c r="D153" s="632"/>
      <c r="E153" s="3631" t="s">
        <v>3183</v>
      </c>
      <c r="F153" s="3632"/>
      <c r="G153" s="3632"/>
      <c r="H153" s="3632"/>
      <c r="I153" s="3632"/>
      <c r="J153" s="3632"/>
      <c r="K153" s="3632"/>
      <c r="L153" s="3632"/>
      <c r="M153" s="3632"/>
      <c r="N153" s="3632"/>
      <c r="O153" s="3632"/>
      <c r="P153" s="3632"/>
      <c r="Q153" s="3633"/>
      <c r="S153" s="632"/>
    </row>
    <row r="154" ht="6" customHeight="1">
      <c r="D154" s="632"/>
      <c r="E154" s="3634"/>
      <c r="F154" s="1084"/>
      <c r="G154" s="1084"/>
      <c r="H154" s="1084"/>
      <c r="I154" s="1084"/>
      <c r="J154" s="1084"/>
      <c r="K154" s="1084"/>
      <c r="L154" s="1084"/>
      <c r="M154" s="1084"/>
      <c r="N154" s="1084"/>
      <c r="O154" s="1084"/>
      <c r="P154" s="1084"/>
      <c r="Q154" s="3635"/>
      <c r="R154" s="632"/>
      <c r="S154" s="632"/>
    </row>
    <row r="155" ht="14.25" customHeight="1">
      <c r="D155" s="632"/>
      <c r="E155" s="636"/>
      <c r="F155" s="632"/>
      <c r="G155" s="779"/>
      <c r="H155" s="632"/>
      <c r="I155" s="632"/>
      <c r="J155" s="779" t="s">
        <v>3184</v>
      </c>
      <c r="K155" s="3636">
        <v>0</v>
      </c>
      <c r="L155" s="779"/>
      <c r="M155" s="779"/>
      <c r="N155" s="632"/>
      <c r="O155" s="632"/>
      <c r="P155" s="779"/>
      <c r="Q155" s="3637"/>
      <c r="R155" s="632"/>
      <c r="S155" s="632"/>
    </row>
    <row r="156" ht="14.25" customHeight="1">
      <c r="D156" s="632"/>
      <c r="E156" s="636"/>
      <c r="F156" s="632"/>
      <c r="G156" s="779"/>
      <c r="H156" s="632"/>
      <c r="I156" s="632"/>
      <c r="J156" s="779" t="s">
        <v>3185</v>
      </c>
      <c r="K156" s="3638">
        <f>_xlfn.IFERROR((J149-K155)/J149,0)</f>
        <v>1</v>
      </c>
      <c r="L156" s="779"/>
      <c r="M156" s="779"/>
      <c r="N156" s="779" t="s">
        <v>3186</v>
      </c>
      <c r="O156" s="3639">
        <v>0</v>
      </c>
      <c r="P156" s="779"/>
      <c r="Q156" s="3637"/>
      <c r="R156" s="632"/>
      <c r="S156" s="632"/>
    </row>
    <row r="157" ht="14.25" customHeight="1">
      <c r="D157" s="632"/>
      <c r="E157" s="636"/>
      <c r="F157" s="632"/>
      <c r="G157" s="779"/>
      <c r="H157" s="632"/>
      <c r="I157" s="632"/>
      <c r="J157" s="779" t="s">
        <v>3187</v>
      </c>
      <c r="K157" s="3640">
        <v>0</v>
      </c>
      <c r="L157" s="779"/>
      <c r="M157" s="779"/>
      <c r="N157" s="779" t="s">
        <v>3188</v>
      </c>
      <c r="O157" s="3639">
        <v>0</v>
      </c>
      <c r="P157" s="3641"/>
      <c r="Q157" s="3637"/>
      <c r="R157" s="632"/>
      <c r="S157" s="632"/>
    </row>
    <row r="158" ht="14.25" customHeight="1">
      <c r="D158" s="632"/>
      <c r="E158" s="636"/>
      <c r="F158" s="632"/>
      <c r="G158" s="779"/>
      <c r="H158" s="632"/>
      <c r="I158" s="632"/>
      <c r="J158" s="779" t="s">
        <v>3189</v>
      </c>
      <c r="K158" s="3642">
        <v>0</v>
      </c>
      <c r="L158" s="779"/>
      <c r="M158" s="779"/>
      <c r="N158" s="779" t="s">
        <v>3190</v>
      </c>
      <c r="O158" s="3643">
        <f>_xlfn.IFERROR(O157/O156,0)</f>
        <v>0</v>
      </c>
      <c r="P158" s="3641"/>
      <c r="Q158" s="3637"/>
      <c r="R158" s="632"/>
      <c r="S158" s="632"/>
    </row>
    <row r="159" ht="14.25" customHeight="1">
      <c r="D159" s="632"/>
      <c r="E159" s="636"/>
      <c r="F159" s="632"/>
      <c r="G159" s="632"/>
      <c r="H159" s="632"/>
      <c r="I159" s="632"/>
      <c r="J159" s="779" t="s">
        <v>3191</v>
      </c>
      <c r="K159" s="3644">
        <f>(PMT(+K158/12,360,(+K157*0.1)-K157))+(1.5%*K157/12)</f>
        <v>0</v>
      </c>
      <c r="L159" s="632"/>
      <c r="M159" s="632"/>
      <c r="N159" s="779" t="s">
        <v>3192</v>
      </c>
      <c r="O159" s="3645">
        <v>0</v>
      </c>
      <c r="P159" s="888"/>
      <c r="Q159" s="637"/>
      <c r="R159" s="632"/>
      <c r="S159" s="632"/>
    </row>
    <row r="160" ht="14.25" customHeight="1">
      <c r="D160" s="632"/>
      <c r="E160" s="636"/>
      <c r="F160" s="632"/>
      <c r="G160" s="779"/>
      <c r="H160" s="632"/>
      <c r="I160" s="632"/>
      <c r="J160" s="779" t="s">
        <v>3193</v>
      </c>
      <c r="K160" s="3643">
        <f>_xlfn.IFERROR((K159-J149)/J149,0)</f>
        <v>-1</v>
      </c>
      <c r="L160" s="632"/>
      <c r="M160" s="632"/>
      <c r="N160" s="779"/>
      <c r="O160" s="3646"/>
      <c r="P160" s="3647"/>
      <c r="Q160" s="637"/>
      <c r="R160" s="632"/>
      <c r="S160" s="632"/>
    </row>
    <row r="161" ht="14.25" customHeight="1">
      <c r="D161" s="632"/>
      <c r="E161" s="3648"/>
      <c r="F161" s="939"/>
      <c r="G161" s="939"/>
      <c r="H161" s="939"/>
      <c r="I161" s="939"/>
      <c r="J161" s="939"/>
      <c r="K161" s="939"/>
      <c r="L161" s="939"/>
      <c r="M161" s="939"/>
      <c r="N161" s="939"/>
      <c r="O161" s="939"/>
      <c r="P161" s="939"/>
      <c r="Q161" s="3649"/>
      <c r="R161" s="632"/>
      <c r="S161" s="632"/>
    </row>
    <row r="162" ht="14.25" customHeight="1">
      <c r="D162" s="632"/>
      <c r="E162" s="632"/>
      <c r="F162" s="632"/>
      <c r="G162" s="632"/>
      <c r="H162" s="632"/>
      <c r="I162" s="632"/>
      <c r="J162" s="632"/>
      <c r="K162" s="632"/>
      <c r="L162" s="632"/>
      <c r="M162" s="632"/>
      <c r="N162" s="632"/>
      <c r="O162" s="632"/>
      <c r="P162" s="632"/>
      <c r="Q162" s="632"/>
      <c r="R162" s="632"/>
      <c r="S162" s="632"/>
    </row>
    <row r="163" ht="14.25" customHeight="1">
      <c r="D163" s="3650" t="s">
        <v>3194</v>
      </c>
      <c r="E163" s="632"/>
      <c r="F163" s="632"/>
      <c r="G163" s="632"/>
      <c r="H163" s="632"/>
      <c r="I163" s="632"/>
      <c r="J163" s="632"/>
      <c r="K163" s="632"/>
      <c r="L163" s="632"/>
      <c r="M163" s="632"/>
      <c r="N163" s="632"/>
      <c r="O163" s="632"/>
      <c r="P163" s="632"/>
      <c r="Q163" s="632"/>
      <c r="R163" s="632"/>
      <c r="S163" s="632"/>
    </row>
    <row r="164" ht="30" customHeight="1">
      <c r="D164" s="3651"/>
      <c r="E164" s="3652" t="s">
        <v>223</v>
      </c>
      <c r="F164" s="3653" t="s">
        <v>2743</v>
      </c>
      <c r="G164" s="3652" t="s">
        <v>3195</v>
      </c>
      <c r="H164" s="3652" t="s">
        <v>3196</v>
      </c>
      <c r="I164" s="3654" t="s">
        <v>3197</v>
      </c>
      <c r="J164" s="3655" t="s">
        <v>191</v>
      </c>
      <c r="K164" s="632"/>
      <c r="L164" s="632"/>
      <c r="M164" s="632"/>
      <c r="N164" s="632"/>
      <c r="O164" s="632"/>
      <c r="P164" s="632"/>
      <c r="Q164" s="632"/>
      <c r="R164" s="632"/>
      <c r="S164" s="632"/>
      <c r="T164" s="632"/>
    </row>
    <row r="165" ht="14.25" customHeight="1">
      <c r="D165" s="3656" t="s">
        <v>203</v>
      </c>
      <c r="E165" s="3657">
        <f>SUMIF($G$9:$G$148,0,$E$9:$E$148)</f>
        <v>53</v>
      </c>
      <c r="F165" s="3658">
        <f>SUMIF($G$9:$G$148,0,$P$9:$P$148)</f>
        <v>49</v>
      </c>
      <c r="G165" s="3659" cm="1">
        <f t="array" ref="G165">_xlfn.IFERROR(SUMPRODUCT(--(UnitMix_number_of_bedrooms=0),UnitMix_number_of_units,UnitMix_average_actual_rent)/E165,0)</f>
        <v>1351.4490566037737</v>
      </c>
      <c r="H165" s="3660">
        <f>SUMPRODUCT(--(UnitMix_number_of_bedrooms=0),UnitMix_number_of_units,UnitMix_unit_sizes)</f>
        <v>48847</v>
      </c>
      <c r="I165" s="3661">
        <f t="shared" si="9" ref="I165:I173">_xlfn.IFERROR(H165/E165,0)</f>
        <v>921.6415094339623</v>
      </c>
      <c r="J165" s="3662">
        <f t="shared" si="10" ref="J165:J173">_xlfn.IFERROR(E165/TotalUnits,0)</f>
        <v>0.6235294117647059</v>
      </c>
      <c r="K165" s="632"/>
      <c r="L165" s="632"/>
      <c r="M165" s="632"/>
      <c r="N165" s="632"/>
      <c r="O165" s="632"/>
      <c r="P165" s="632"/>
      <c r="Q165" s="632"/>
      <c r="R165" s="632"/>
      <c r="S165" s="632"/>
      <c r="T165" s="632"/>
    </row>
    <row r="166" ht="14.25" customHeight="1">
      <c r="D166" s="3663" t="s">
        <v>210</v>
      </c>
      <c r="E166" s="3657">
        <f>SUMIF($G$9:$G$148,1,$E$9:$E$148)</f>
        <v>32</v>
      </c>
      <c r="F166" s="3658">
        <f>SUMIF($G$9:$G$148,1,$P$9:$P$148)</f>
        <v>32</v>
      </c>
      <c r="G166" s="3659" cm="1">
        <f t="array" ref="G166">_xlfn.IFERROR(SUMPRODUCT(--(UnitMix_number_of_bedrooms=1),UnitMix_number_of_units,UnitMix_average_actual_rent)/E166,0)</f>
        <v>1131.875</v>
      </c>
      <c r="H166" s="3660">
        <f>SUMPRODUCT(--(UnitMix_number_of_bedrooms=1),UnitMix_number_of_units,UnitMix_unit_sizes)</f>
        <v>22528</v>
      </c>
      <c r="I166" s="3661">
        <f t="shared" si="9"/>
        <v>704</v>
      </c>
      <c r="J166" s="3662">
        <f t="shared" si="10"/>
        <v>0.3764705882352941</v>
      </c>
      <c r="K166" s="632"/>
      <c r="L166" s="632"/>
      <c r="M166" s="632"/>
      <c r="N166" s="632"/>
      <c r="O166" s="632"/>
      <c r="P166" s="632"/>
      <c r="Q166" s="632"/>
      <c r="R166" s="632"/>
      <c r="S166" s="632"/>
      <c r="T166" s="632"/>
    </row>
    <row r="167" ht="14.25" customHeight="1">
      <c r="D167" s="3663" t="s">
        <v>3198</v>
      </c>
      <c r="E167" s="3657">
        <f>SUMIF($D$9:$D$148,"2/1",$E$9:$E$148)</f>
        <v>0</v>
      </c>
      <c r="F167" s="3658">
        <f>SUMIF($D$9:$D$148,"2/1",$P$9:$P$148)</f>
        <v>0</v>
      </c>
      <c r="G167" s="3659" cm="1">
        <f t="array" ref="G167">_xlfn.IFERROR(SUMPRODUCT(--(UnitMix_unit_types="2/1"),UnitMix_number_of_units,UnitMix_average_actual_rent)/E167,0)</f>
        <v>0</v>
      </c>
      <c r="H167" s="3660">
        <f>SUMPRODUCT(--(UnitMix_unit_types="2/1"),UnitMix_number_of_units,UnitMix_unit_sizes)</f>
        <v>0</v>
      </c>
      <c r="I167" s="3661">
        <f t="shared" si="9"/>
        <v>0</v>
      </c>
      <c r="J167" s="3662">
        <f t="shared" si="10"/>
        <v>0</v>
      </c>
      <c r="K167" s="632"/>
      <c r="L167" s="632"/>
      <c r="M167" s="632"/>
      <c r="N167" s="632"/>
      <c r="O167" s="632"/>
      <c r="P167" s="632"/>
      <c r="Q167" s="632"/>
      <c r="R167" s="632"/>
      <c r="S167" s="632"/>
      <c r="T167" s="632"/>
    </row>
    <row r="168" ht="14.25" customHeight="1">
      <c r="D168" s="3663" t="s">
        <v>3199</v>
      </c>
      <c r="E168" s="3657">
        <f>SUMIF($D$9:$D$148,"2/1.5",$E$9:$E$148)</f>
        <v>0</v>
      </c>
      <c r="F168" s="3658">
        <f>SUMIF($D$9:$D$148,"2/1.5",$P$9:$P$148)</f>
        <v>0</v>
      </c>
      <c r="G168" s="3659" cm="1">
        <f t="array" ref="G168">_xlfn.IFERROR(SUMPRODUCT(--(UnitMix_unit_types="2/1.5"),UnitMix_number_of_units,UnitMix_average_actual_rent)/E168,0)</f>
        <v>0</v>
      </c>
      <c r="H168" s="3660">
        <f>SUMPRODUCT(--(UnitMix_unit_types="2/1.5"),UnitMix_number_of_units,UnitMix_unit_sizes)</f>
        <v>0</v>
      </c>
      <c r="I168" s="3661">
        <f t="shared" si="9"/>
        <v>0</v>
      </c>
      <c r="J168" s="3662">
        <f t="shared" si="10"/>
        <v>0</v>
      </c>
      <c r="K168" s="632"/>
      <c r="L168" s="632"/>
      <c r="M168" s="632"/>
      <c r="N168" s="632"/>
      <c r="O168" s="632"/>
      <c r="P168" s="632"/>
      <c r="Q168" s="632"/>
      <c r="R168" s="632"/>
      <c r="S168" s="632"/>
      <c r="T168" s="632"/>
    </row>
    <row r="169" ht="14.25" customHeight="1">
      <c r="D169" s="3663" t="s">
        <v>3200</v>
      </c>
      <c r="E169" s="3657">
        <f>SUMIF($D$9:$D$148,"2/2",$E$9:$E$148)</f>
        <v>0</v>
      </c>
      <c r="F169" s="3658">
        <f>SUMIF($D$9:$D$148,"2/2",$P$9:$P$148)</f>
        <v>0</v>
      </c>
      <c r="G169" s="3659" cm="1">
        <f t="array" ref="G169">_xlfn.IFERROR(SUMPRODUCT(--(UnitMix_unit_types="2/2"),UnitMix_number_of_units,UnitMix_average_actual_rent)/E169,0)</f>
        <v>0</v>
      </c>
      <c r="H169" s="3660">
        <f>SUMPRODUCT(--(UnitMix_unit_types="2/2"),UnitMix_number_of_units,UnitMix_unit_sizes)</f>
        <v>0</v>
      </c>
      <c r="I169" s="3661">
        <f t="shared" si="9"/>
        <v>0</v>
      </c>
      <c r="J169" s="3662">
        <f t="shared" si="10"/>
        <v>0</v>
      </c>
      <c r="K169" s="632"/>
      <c r="L169" s="632"/>
      <c r="M169" s="632"/>
      <c r="N169" s="632"/>
      <c r="O169" s="632"/>
      <c r="P169" s="632"/>
      <c r="Q169" s="632"/>
      <c r="R169" s="632"/>
      <c r="S169" s="632"/>
      <c r="T169" s="632"/>
    </row>
    <row r="170" ht="14.25" customHeight="1">
      <c r="D170" s="3663" t="s">
        <v>3201</v>
      </c>
      <c r="E170" s="3657">
        <f>SUMIF($D$9:$D$148,"2/2.5",$E$9:$E$148)</f>
        <v>0</v>
      </c>
      <c r="F170" s="3658">
        <f>SUMIF($D$9:$D$148,"2/2.5",$P$9:$P$148)</f>
        <v>0</v>
      </c>
      <c r="G170" s="3659" cm="1">
        <f t="array" ref="G170">_xlfn.IFERROR(SUMPRODUCT(--(UnitMix_unit_types="2/2.5"),UnitMix_number_of_units,UnitMix_average_actual_rent)/E170,0)</f>
        <v>0</v>
      </c>
      <c r="H170" s="3660">
        <f>SUMPRODUCT(--(UnitMix_unit_types="2/2.5"),UnitMix_number_of_units,UnitMix_unit_sizes)</f>
        <v>0</v>
      </c>
      <c r="I170" s="3661">
        <f t="shared" si="9"/>
        <v>0</v>
      </c>
      <c r="J170" s="3662">
        <f t="shared" si="10"/>
        <v>0</v>
      </c>
      <c r="K170" s="632"/>
      <c r="L170" s="632"/>
      <c r="M170" s="632"/>
      <c r="N170" s="632"/>
      <c r="O170" s="632"/>
      <c r="P170" s="632"/>
      <c r="Q170" s="632"/>
      <c r="R170" s="632"/>
      <c r="S170" s="632"/>
      <c r="T170" s="632"/>
    </row>
    <row r="171" ht="14.25" customHeight="1">
      <c r="D171" s="3663" t="s">
        <v>233</v>
      </c>
      <c r="E171" s="3657">
        <f>SUMIF($G$9:$G$148,3,$E$9:$E$148)</f>
        <v>0</v>
      </c>
      <c r="F171" s="3658">
        <f>SUMIF($G$9:$G$148,3,$P$9:$P$148)</f>
        <v>0</v>
      </c>
      <c r="G171" s="3659" cm="1">
        <f t="array" ref="G171">_xlfn.IFERROR(SUMPRODUCT(--(UnitMix_number_of_bedrooms=3),UnitMix_number_of_units,UnitMix_average_actual_rent)/E171,0)</f>
        <v>0</v>
      </c>
      <c r="H171" s="3660">
        <f>SUMPRODUCT(--(UnitMix_number_of_bedrooms=3),UnitMix_number_of_units,UnitMix_unit_sizes)</f>
        <v>0</v>
      </c>
      <c r="I171" s="3661">
        <f t="shared" si="9"/>
        <v>0</v>
      </c>
      <c r="J171" s="3662">
        <f t="shared" si="10"/>
        <v>0</v>
      </c>
      <c r="K171" s="632"/>
      <c r="L171" s="632"/>
      <c r="M171" s="632"/>
      <c r="N171" s="632"/>
      <c r="O171" s="632"/>
      <c r="P171" s="632"/>
      <c r="Q171" s="632"/>
      <c r="R171" s="632"/>
      <c r="S171" s="632"/>
      <c r="T171" s="632"/>
    </row>
    <row r="172" ht="14.25" customHeight="1">
      <c r="D172" s="3664" t="s">
        <v>241</v>
      </c>
      <c r="E172" s="3657">
        <f>SUMIF($G$9:$G$148,"&gt;=4",$E$9:$E$148)</f>
        <v>0</v>
      </c>
      <c r="F172" s="3658">
        <f>SUMIF($G$9:$G$148,"&gt;=4",$P$9:$P$148)</f>
        <v>0</v>
      </c>
      <c r="G172" s="3659" cm="1">
        <f t="array" ref="G172">_xlfn.IFERROR(SUMPRODUCT(--(UnitMix_number_of_bedrooms&gt;=4),UnitMix_number_of_units,UnitMix_average_actual_rent)/E172,0)</f>
        <v>0</v>
      </c>
      <c r="H172" s="3660" cm="1">
        <f t="array" ref="H172">SUMPRODUCT(--(UnitMix_number_of_bedrooms&gt;=4),UnitMix_number_of_units,UnitMix_unit_sizes)</f>
        <v>0</v>
      </c>
      <c r="I172" s="3661">
        <f t="shared" si="9"/>
        <v>0</v>
      </c>
      <c r="J172" s="3662">
        <f t="shared" si="10"/>
        <v>0</v>
      </c>
      <c r="K172" s="632"/>
      <c r="L172" s="632"/>
      <c r="M172" s="632"/>
      <c r="N172" s="632"/>
      <c r="O172" s="632"/>
      <c r="P172" s="632"/>
      <c r="Q172" s="632"/>
      <c r="R172" s="632"/>
      <c r="S172" s="632"/>
      <c r="T172" s="632"/>
    </row>
    <row r="173" ht="14.25" customHeight="1">
      <c r="D173" s="3665"/>
      <c r="E173" s="3666">
        <f t="shared" si="11" ref="E173:H173">SUM(E165:E172)</f>
        <v>85</v>
      </c>
      <c r="F173" s="3667">
        <f t="shared" si="11"/>
        <v>81</v>
      </c>
      <c r="G173" s="3668">
        <f>_xlfn.IFERROR(SUMPRODUCT(E165:E172,G165:G172)/E173,0)</f>
        <v>1268.7858823529411</v>
      </c>
      <c r="H173" s="3667">
        <f t="shared" si="11"/>
        <v>71375</v>
      </c>
      <c r="I173" s="3669">
        <f t="shared" si="9"/>
        <v>839.7058823529412</v>
      </c>
      <c r="J173" s="3670">
        <f t="shared" si="10"/>
        <v>1</v>
      </c>
      <c r="K173" s="632"/>
      <c r="L173" s="632"/>
      <c r="M173" s="632"/>
      <c r="N173" s="632"/>
      <c r="O173" s="632"/>
      <c r="P173" s="632"/>
      <c r="Q173" s="632"/>
      <c r="R173" s="632"/>
      <c r="S173" s="632"/>
      <c r="T173" s="632"/>
    </row>
    <row r="174" ht="14.25" customHeight="1">
      <c r="D174" s="632"/>
      <c r="E174" s="632"/>
      <c r="F174" s="632"/>
      <c r="G174" s="632"/>
      <c r="H174" s="632"/>
      <c r="I174" s="632"/>
      <c r="J174" s="632"/>
      <c r="K174" s="632"/>
      <c r="L174" s="632"/>
      <c r="M174" s="632"/>
      <c r="N174" s="632"/>
      <c r="O174" s="632"/>
      <c r="P174" s="632"/>
      <c r="Q174" s="632"/>
      <c r="R174" s="632"/>
      <c r="S174" s="632"/>
      <c r="T174" s="632"/>
    </row>
    <row r="175" ht="14.25" customHeight="1">
      <c r="D175" s="3671" t="s">
        <v>3202</v>
      </c>
      <c r="E175" s="632"/>
      <c r="F175" s="632"/>
      <c r="G175" s="632"/>
      <c r="H175" s="632"/>
      <c r="I175" s="632"/>
      <c r="J175" s="632"/>
      <c r="K175" s="632"/>
      <c r="L175" s="632"/>
      <c r="M175" s="632"/>
      <c r="N175" s="632"/>
      <c r="O175" s="632"/>
      <c r="P175" s="632"/>
      <c r="Q175" s="632"/>
      <c r="R175" s="632"/>
      <c r="S175" s="632"/>
      <c r="T175" s="632"/>
    </row>
    <row r="176" ht="14.25" customHeight="1">
      <c r="B176" s="3672" t="s">
        <v>3203</v>
      </c>
      <c r="D176" s="3673" t="s">
        <v>2669</v>
      </c>
      <c r="E176" s="3674">
        <f>SUM(E177:E376)</f>
        <v>101</v>
      </c>
      <c r="F176" s="3673" t="s">
        <v>2743</v>
      </c>
      <c r="G176" s="3673" t="s">
        <v>3204</v>
      </c>
      <c r="H176" s="3673" t="s">
        <v>3205</v>
      </c>
      <c r="I176" s="3673" t="s">
        <v>3206</v>
      </c>
    </row>
    <row r="177" ht="14.25" customHeight="1">
      <c r="B177" s="3675" t="s">
        <v>2547</v>
      </c>
      <c r="D177" s="3676">
        <v>0</v>
      </c>
      <c r="E177" s="3677">
        <f t="shared" si="12" ref="E177:E376">_xlfn.LET(_xlpm.unit_type_beds,$D177,_xlpm.unit_type_sqft,$H177,_xlpm.beds_criteria,IF(_xlpm.unit_type_beds=4,"&gt;=","=")&amp;_xlpm.unit_type_beds,IF(LEN(_xlpm.unit_type_sqft)=0,"",_xlfn.SUMIFS(UnitMix_number_of_units,UnitMix_number_of_bedrooms,_xlpm.beds_criteria,UnitMix_unit_sizes,_xlpm.unit_type_sqft)))</f>
        <v>28</v>
      </c>
      <c r="F177" s="3677">
        <f t="shared" si="13" ref="F177:F376">_xlfn.LET(_xlpm.unit_type_beds,$D177,_xlpm.unit_type_sqft,$H177,_xlpm.beds_criteria,IF(_xlpm.unit_type_beds=4,"&gt;=","=")&amp;_xlpm.unit_type_beds,_xlpm.number_of_occupied_units,$P$9:$P$148,IF(LEN(_xlpm.unit_type_sqft)=0,"",_xlfn.SUMIFS(_xlpm.number_of_occupied_units,UnitMix_number_of_bedrooms,_xlpm.beds_criteria,UnitMix_unit_sizes,_xlpm.unit_type_sqft)))</f>
        <v>28</v>
      </c>
      <c r="G177" s="3678">
        <f t="shared" si="14" ref="G177:G376">_xlfn.LET(_xlpm.unit_type_beds,$D177,_xlpm.unit_type_sqft,$H177,_xlpm.beds_criteria,IF(_xlpm.unit_type_beds=4,"&gt;=","=")&amp;_xlpm.unit_type_beds,_xlpm.total_rent,$L$9:$L$148,_xlpm.occupied_units,$F177,_xlpm.has_no_occupied_units,OR(LEN(_xlpm.occupied_units)=0,_xlpm.occupied_units=0),IF(_xlpm.has_no_occupied_units,IF(LEN(_xlpm.unit_type_sqft)=0,"","vacant"),_xlfn.SUMIFS(_xlpm.total_rent,UnitMix_number_of_bedrooms,_xlpm.beds_criteria,UnitMix_unit_sizes,_xlpm.unit_type_sqft)/_xlpm.occupied_units))</f>
        <v>1205.892857142857</v>
      </c>
      <c r="H177" s="3679" cm="1">
        <f t="array" ref="H177">_xlfn.IFERROR(SMALL(IF(UnitMix_number_of_bedrooms=D177,UnitMix_unit_sizes),1),"")</f>
        <v>800</v>
      </c>
      <c r="I177" s="3680">
        <f t="shared" si="15" ref="I177:I376">_xlfn.LET(_xlpm.unit_type_beds,$D177,_xlpm.unit_type_sqft,$H177,_xlpm.beds_criteria,IF(_xlpm.unit_type_beds=4,"&gt;=","=")&amp;_xlpm.unit_type_beds,IF(LEN(_xlpm.unit_type_sqft)=0,"",_xlfn.COUNTIFS(UnitMix_number_of_bedrooms,_xlpm.beds_criteria,UnitMix_unit_sizes,_xlpm.unit_type_sqft)))</f>
        <v>1</v>
      </c>
    </row>
    <row r="178" ht="14.25" customHeight="1" hidden="1">
      <c r="B178" s="3594" t="str">
        <f t="shared" si="16" ref="B178:B377">IF(LEN(H178)&gt;0,"S","H")</f>
        <v>S</v>
      </c>
      <c r="D178" s="3676">
        <v>0</v>
      </c>
      <c r="E178" s="3677">
        <f t="shared" si="12"/>
        <v>24</v>
      </c>
      <c r="F178" s="3677">
        <f t="shared" si="13"/>
        <v>20</v>
      </c>
      <c r="G178" s="3678">
        <f t="shared" si="14"/>
        <v>1535.2</v>
      </c>
      <c r="H178" s="3679" cm="1">
        <f t="array" ref="H178">_xlfn.IFERROR(SMALL(IF(UnitMix_number_of_bedrooms=D178,UnitMix_unit_sizes),1+SUM($I$177:I177)),"")</f>
        <v>1050</v>
      </c>
      <c r="I178" s="3680">
        <f t="shared" si="15"/>
        <v>1</v>
      </c>
    </row>
    <row r="179" ht="14.25" customHeight="1" hidden="1">
      <c r="B179" s="3594" t="str">
        <f t="shared" si="16"/>
        <v>S</v>
      </c>
      <c r="D179" s="3676">
        <v>0</v>
      </c>
      <c r="E179" s="3677">
        <f t="shared" si="12"/>
        <v>1</v>
      </c>
      <c r="F179" s="3677">
        <f t="shared" si="13"/>
        <v>1</v>
      </c>
      <c r="G179" s="3678">
        <f t="shared" si="14"/>
        <v>1017</v>
      </c>
      <c r="H179" s="3679" cm="1">
        <f t="array" ref="H179">_xlfn.IFERROR(SMALL(IF(UnitMix_number_of_bedrooms=D179,UnitMix_unit_sizes),1+SUM($I$177:I178)),"")</f>
        <v>1247</v>
      </c>
      <c r="I179" s="3680">
        <f t="shared" si="15"/>
        <v>1</v>
      </c>
    </row>
    <row r="180" ht="14.25" customHeight="1" hidden="1">
      <c r="B180" s="3594" t="str">
        <f t="shared" si="16"/>
        <v>H</v>
      </c>
      <c r="D180" s="3676">
        <v>0</v>
      </c>
      <c r="E180" s="3677">
        <f t="shared" si="12"/>
      </c>
      <c r="F180" s="3677">
        <f t="shared" si="13"/>
      </c>
      <c r="G180" s="3678">
        <f t="shared" si="14"/>
      </c>
      <c r="H180" s="3679" cm="1">
        <f t="array" ref="H180">_xlfn.IFERROR(SMALL(IF(UnitMix_number_of_bedrooms=D180,UnitMix_unit_sizes),1+SUM($I$177:I179)),"")</f>
      </c>
      <c r="I180" s="3680">
        <f t="shared" si="15"/>
      </c>
    </row>
    <row r="181" ht="14.25" customHeight="1" hidden="1">
      <c r="B181" s="3594" t="str">
        <f t="shared" si="16"/>
        <v>H</v>
      </c>
      <c r="D181" s="3676">
        <v>0</v>
      </c>
      <c r="E181" s="3677">
        <f t="shared" si="12"/>
      </c>
      <c r="F181" s="3677">
        <f t="shared" si="13"/>
      </c>
      <c r="G181" s="3678">
        <f t="shared" si="14"/>
      </c>
      <c r="H181" s="3679" cm="1">
        <f t="array" ref="H181">_xlfn.IFERROR(SMALL(IF(UnitMix_number_of_bedrooms=D181,UnitMix_unit_sizes),1+SUM($I$177:I180)),"")</f>
      </c>
      <c r="I181" s="3680">
        <f t="shared" si="15"/>
      </c>
    </row>
    <row r="182" ht="14.25" customHeight="1" hidden="1">
      <c r="B182" s="3594" t="str">
        <f t="shared" si="16"/>
        <v>H</v>
      </c>
      <c r="D182" s="3676">
        <v>0</v>
      </c>
      <c r="E182" s="3677">
        <f t="shared" si="12"/>
      </c>
      <c r="F182" s="3677">
        <f t="shared" si="13"/>
      </c>
      <c r="G182" s="3678">
        <f t="shared" si="14"/>
      </c>
      <c r="H182" s="3679" cm="1">
        <f t="array" ref="H182">_xlfn.IFERROR(SMALL(IF(UnitMix_number_of_bedrooms=D182,UnitMix_unit_sizes),1+SUM($I$177:I181)),"")</f>
      </c>
      <c r="I182" s="3680">
        <f t="shared" si="15"/>
      </c>
    </row>
    <row r="183" ht="14.25" customHeight="1" hidden="1">
      <c r="B183" s="3594" t="str">
        <f t="shared" si="16"/>
        <v>H</v>
      </c>
      <c r="D183" s="3676">
        <v>0</v>
      </c>
      <c r="E183" s="3677">
        <f t="shared" si="12"/>
      </c>
      <c r="F183" s="3677">
        <f t="shared" si="13"/>
      </c>
      <c r="G183" s="3678">
        <f t="shared" si="14"/>
      </c>
      <c r="H183" s="3679" cm="1">
        <f t="array" ref="H183">_xlfn.IFERROR(SMALL(IF(UnitMix_number_of_bedrooms=D183,UnitMix_unit_sizes),1+SUM($I$177:I182)),"")</f>
      </c>
      <c r="I183" s="3680">
        <f t="shared" si="15"/>
      </c>
    </row>
    <row r="184" ht="14.25" customHeight="1" hidden="1">
      <c r="B184" s="3594" t="str">
        <f t="shared" si="16"/>
        <v>H</v>
      </c>
      <c r="D184" s="3676">
        <v>0</v>
      </c>
      <c r="E184" s="3677">
        <f t="shared" si="12"/>
      </c>
      <c r="F184" s="3677">
        <f t="shared" si="13"/>
      </c>
      <c r="G184" s="3678">
        <f t="shared" si="14"/>
      </c>
      <c r="H184" s="3679" cm="1">
        <f t="array" ref="H184">_xlfn.IFERROR(SMALL(IF(UnitMix_number_of_bedrooms=D184,UnitMix_unit_sizes),1+SUM($I$177:I183)),"")</f>
      </c>
      <c r="I184" s="3680">
        <f t="shared" si="15"/>
      </c>
    </row>
    <row r="185" ht="14.25" customHeight="1" hidden="1">
      <c r="B185" s="3594" t="str">
        <f t="shared" si="16"/>
        <v>H</v>
      </c>
      <c r="D185" s="3676">
        <v>0</v>
      </c>
      <c r="E185" s="3677">
        <f t="shared" si="12"/>
      </c>
      <c r="F185" s="3677">
        <f t="shared" si="13"/>
      </c>
      <c r="G185" s="3678">
        <f t="shared" si="14"/>
      </c>
      <c r="H185" s="3679" cm="1">
        <f t="array" ref="H185">_xlfn.IFERROR(SMALL(IF(UnitMix_number_of_bedrooms=D185,UnitMix_unit_sizes),1+SUM($I$177:I184)),"")</f>
      </c>
      <c r="I185" s="3680">
        <f t="shared" si="15"/>
      </c>
    </row>
    <row r="186" ht="14.25" customHeight="1" hidden="1">
      <c r="B186" s="3594" t="str">
        <f t="shared" si="16"/>
        <v>H</v>
      </c>
      <c r="D186" s="3676">
        <v>0</v>
      </c>
      <c r="E186" s="3677">
        <f t="shared" si="12"/>
      </c>
      <c r="F186" s="3677">
        <f t="shared" si="13"/>
      </c>
      <c r="G186" s="3678">
        <f t="shared" si="14"/>
      </c>
      <c r="H186" s="3679" cm="1">
        <f t="array" ref="H186">_xlfn.IFERROR(SMALL(IF(UnitMix_number_of_bedrooms=D186,UnitMix_unit_sizes),1+SUM($I$177:I185)),"")</f>
      </c>
      <c r="I186" s="3680">
        <f t="shared" si="15"/>
      </c>
    </row>
    <row r="187" ht="14.25" customHeight="1" hidden="1">
      <c r="B187" s="3594" t="str">
        <f t="shared" si="16"/>
        <v>H</v>
      </c>
      <c r="D187" s="3676">
        <v>0</v>
      </c>
      <c r="E187" s="3677">
        <f t="shared" si="12"/>
      </c>
      <c r="F187" s="3677">
        <f t="shared" si="13"/>
      </c>
      <c r="G187" s="3678">
        <f t="shared" si="14"/>
      </c>
      <c r="H187" s="3679" cm="1">
        <f t="array" ref="H187">_xlfn.IFERROR(SMALL(IF(UnitMix_number_of_bedrooms=D187,UnitMix_unit_sizes),1+SUM($I$177:I186)),"")</f>
      </c>
      <c r="I187" s="3680">
        <f t="shared" si="15"/>
      </c>
    </row>
    <row r="188" ht="14.25" customHeight="1" hidden="1">
      <c r="B188" s="3594" t="str">
        <f t="shared" si="16"/>
        <v>H</v>
      </c>
      <c r="D188" s="3676">
        <v>0</v>
      </c>
      <c r="E188" s="3677">
        <f t="shared" si="12"/>
      </c>
      <c r="F188" s="3677">
        <f t="shared" si="13"/>
      </c>
      <c r="G188" s="3678">
        <f t="shared" si="14"/>
      </c>
      <c r="H188" s="3679" cm="1">
        <f t="array" ref="H188">_xlfn.IFERROR(SMALL(IF(UnitMix_number_of_bedrooms=D188,UnitMix_unit_sizes),1+SUM($I$177:I187)),"")</f>
      </c>
      <c r="I188" s="3680">
        <f t="shared" si="15"/>
      </c>
    </row>
    <row r="189" ht="14.25" customHeight="1" hidden="1">
      <c r="B189" s="3594" t="str">
        <f t="shared" si="16"/>
        <v>H</v>
      </c>
      <c r="D189" s="3676">
        <v>0</v>
      </c>
      <c r="E189" s="3677">
        <f t="shared" si="12"/>
      </c>
      <c r="F189" s="3677">
        <f t="shared" si="13"/>
      </c>
      <c r="G189" s="3678">
        <f t="shared" si="14"/>
      </c>
      <c r="H189" s="3679" cm="1">
        <f t="array" ref="H189">_xlfn.IFERROR(SMALL(IF(UnitMix_number_of_bedrooms=D189,UnitMix_unit_sizes),1+SUM($I$177:I188)),"")</f>
      </c>
      <c r="I189" s="3680">
        <f t="shared" si="15"/>
      </c>
    </row>
    <row r="190" ht="14.25" customHeight="1" hidden="1">
      <c r="B190" s="3594" t="str">
        <f t="shared" si="16"/>
        <v>H</v>
      </c>
      <c r="D190" s="3676">
        <v>0</v>
      </c>
      <c r="E190" s="3677">
        <f t="shared" si="12"/>
      </c>
      <c r="F190" s="3677">
        <f t="shared" si="13"/>
      </c>
      <c r="G190" s="3678">
        <f t="shared" si="14"/>
      </c>
      <c r="H190" s="3679" cm="1">
        <f t="array" ref="H190">_xlfn.IFERROR(SMALL(IF(UnitMix_number_of_bedrooms=D190,UnitMix_unit_sizes),1+SUM($I$177:I189)),"")</f>
      </c>
      <c r="I190" s="3680">
        <f t="shared" si="15"/>
      </c>
    </row>
    <row r="191" ht="14.25" customHeight="1" hidden="1">
      <c r="B191" s="3594" t="str">
        <f t="shared" si="16"/>
        <v>H</v>
      </c>
      <c r="D191" s="3676">
        <v>0</v>
      </c>
      <c r="E191" s="3677">
        <f t="shared" si="12"/>
      </c>
      <c r="F191" s="3677">
        <f t="shared" si="13"/>
      </c>
      <c r="G191" s="3678">
        <f t="shared" si="14"/>
      </c>
      <c r="H191" s="3679" cm="1">
        <f t="array" ref="H191">_xlfn.IFERROR(SMALL(IF(UnitMix_number_of_bedrooms=D191,UnitMix_unit_sizes),1+SUM($I$177:I190)),"")</f>
      </c>
      <c r="I191" s="3680">
        <f t="shared" si="15"/>
      </c>
    </row>
    <row r="192" ht="14.25" customHeight="1" hidden="1">
      <c r="B192" s="3594" t="str">
        <f t="shared" si="16"/>
        <v>H</v>
      </c>
      <c r="D192" s="3676">
        <v>0</v>
      </c>
      <c r="E192" s="3677">
        <f t="shared" si="12"/>
      </c>
      <c r="F192" s="3677">
        <f t="shared" si="13"/>
      </c>
      <c r="G192" s="3678">
        <f t="shared" si="14"/>
      </c>
      <c r="H192" s="3679" cm="1">
        <f t="array" ref="H192">_xlfn.IFERROR(SMALL(IF(UnitMix_number_of_bedrooms=D192,UnitMix_unit_sizes),1+SUM($I$177:I191)),"")</f>
      </c>
      <c r="I192" s="3680">
        <f t="shared" si="15"/>
      </c>
    </row>
    <row r="193" ht="14.25" customHeight="1" hidden="1">
      <c r="B193" s="3594" t="str">
        <f t="shared" si="16"/>
        <v>H</v>
      </c>
      <c r="D193" s="3676">
        <v>0</v>
      </c>
      <c r="E193" s="3677">
        <f t="shared" si="12"/>
      </c>
      <c r="F193" s="3677">
        <f t="shared" si="13"/>
      </c>
      <c r="G193" s="3678">
        <f t="shared" si="14"/>
      </c>
      <c r="H193" s="3679" cm="1">
        <f t="array" ref="H193">_xlfn.IFERROR(SMALL(IF(UnitMix_number_of_bedrooms=D193,UnitMix_unit_sizes),1+SUM($I$177:I192)),"")</f>
      </c>
      <c r="I193" s="3680">
        <f t="shared" si="15"/>
      </c>
    </row>
    <row r="194" ht="14.25" customHeight="1" hidden="1">
      <c r="B194" s="3594" t="str">
        <f t="shared" si="16"/>
        <v>H</v>
      </c>
      <c r="D194" s="3676">
        <v>0</v>
      </c>
      <c r="E194" s="3677">
        <f t="shared" si="12"/>
      </c>
      <c r="F194" s="3677">
        <f t="shared" si="13"/>
      </c>
      <c r="G194" s="3678">
        <f t="shared" si="14"/>
      </c>
      <c r="H194" s="3679" cm="1">
        <f t="array" ref="H194">_xlfn.IFERROR(SMALL(IF(UnitMix_number_of_bedrooms=D194,UnitMix_unit_sizes),1+SUM($I$177:I193)),"")</f>
      </c>
      <c r="I194" s="3680">
        <f t="shared" si="15"/>
      </c>
    </row>
    <row r="195" ht="14.25" customHeight="1" hidden="1">
      <c r="B195" s="3594" t="str">
        <f t="shared" si="16"/>
        <v>H</v>
      </c>
      <c r="D195" s="3676">
        <v>0</v>
      </c>
      <c r="E195" s="3677">
        <f t="shared" si="12"/>
      </c>
      <c r="F195" s="3677">
        <f t="shared" si="13"/>
      </c>
      <c r="G195" s="3678">
        <f t="shared" si="14"/>
      </c>
      <c r="H195" s="3679" cm="1">
        <f t="array" ref="H195">_xlfn.IFERROR(SMALL(IF(UnitMix_number_of_bedrooms=D195,UnitMix_unit_sizes),1+SUM($I$177:I194)),"")</f>
      </c>
      <c r="I195" s="3680">
        <f t="shared" si="15"/>
      </c>
    </row>
    <row r="196" ht="14.25" customHeight="1" hidden="1">
      <c r="B196" s="3594" t="str">
        <f t="shared" si="16"/>
        <v>H</v>
      </c>
      <c r="D196" s="3676">
        <v>0</v>
      </c>
      <c r="E196" s="3677">
        <f t="shared" si="12"/>
      </c>
      <c r="F196" s="3677">
        <f t="shared" si="13"/>
      </c>
      <c r="G196" s="3678">
        <f t="shared" si="14"/>
      </c>
      <c r="H196" s="3679" cm="1">
        <f t="array" ref="H196">_xlfn.IFERROR(SMALL(IF(UnitMix_number_of_bedrooms=D196,UnitMix_unit_sizes),1+SUM($I$177:I195)),"")</f>
      </c>
      <c r="I196" s="3680">
        <f t="shared" si="15"/>
      </c>
    </row>
    <row r="197" ht="14.25" customHeight="1" hidden="1">
      <c r="B197" s="3594" t="str">
        <f t="shared" si="16"/>
        <v>H</v>
      </c>
      <c r="D197" s="3676">
        <v>0</v>
      </c>
      <c r="E197" s="3677">
        <f t="shared" si="12"/>
      </c>
      <c r="F197" s="3677">
        <f t="shared" si="13"/>
      </c>
      <c r="G197" s="3678">
        <f t="shared" si="14"/>
      </c>
      <c r="H197" s="3679" cm="1">
        <f t="array" ref="H197">_xlfn.IFERROR(SMALL(IF(UnitMix_number_of_bedrooms=D197,UnitMix_unit_sizes),1+SUM($I$177:I196)),"")</f>
      </c>
      <c r="I197" s="3680">
        <f t="shared" si="15"/>
      </c>
    </row>
    <row r="198" ht="14.25" customHeight="1" hidden="1">
      <c r="B198" s="3594" t="str">
        <f t="shared" si="16"/>
        <v>H</v>
      </c>
      <c r="D198" s="3676">
        <v>0</v>
      </c>
      <c r="E198" s="3677">
        <f t="shared" si="12"/>
      </c>
      <c r="F198" s="3677">
        <f t="shared" si="13"/>
      </c>
      <c r="G198" s="3678">
        <f t="shared" si="14"/>
      </c>
      <c r="H198" s="3679" cm="1">
        <f t="array" ref="H198">_xlfn.IFERROR(SMALL(IF(UnitMix_number_of_bedrooms=D198,UnitMix_unit_sizes),1+SUM($I$177:I197)),"")</f>
      </c>
      <c r="I198" s="3680">
        <f t="shared" si="15"/>
      </c>
    </row>
    <row r="199" ht="14.25" customHeight="1" hidden="1">
      <c r="B199" s="3594" t="str">
        <f t="shared" si="16"/>
        <v>H</v>
      </c>
      <c r="D199" s="3676">
        <v>0</v>
      </c>
      <c r="E199" s="3677">
        <f t="shared" si="12"/>
      </c>
      <c r="F199" s="3677">
        <f t="shared" si="13"/>
      </c>
      <c r="G199" s="3678">
        <f t="shared" si="14"/>
      </c>
      <c r="H199" s="3679" cm="1">
        <f t="array" ref="H199">_xlfn.IFERROR(SMALL(IF(UnitMix_number_of_bedrooms=D199,UnitMix_unit_sizes),1+SUM($I$177:I198)),"")</f>
      </c>
      <c r="I199" s="3680">
        <f t="shared" si="15"/>
      </c>
    </row>
    <row r="200" ht="14.25" customHeight="1" hidden="1">
      <c r="B200" s="3594" t="str">
        <f t="shared" si="16"/>
        <v>H</v>
      </c>
      <c r="D200" s="3676">
        <v>0</v>
      </c>
      <c r="E200" s="3677">
        <f t="shared" si="12"/>
      </c>
      <c r="F200" s="3677">
        <f t="shared" si="13"/>
      </c>
      <c r="G200" s="3678">
        <f t="shared" si="14"/>
      </c>
      <c r="H200" s="3679" cm="1">
        <f t="array" ref="H200">_xlfn.IFERROR(SMALL(IF(UnitMix_number_of_bedrooms=D200,UnitMix_unit_sizes),1+SUM($I$177:I199)),"")</f>
      </c>
      <c r="I200" s="3680">
        <f t="shared" si="15"/>
      </c>
    </row>
    <row r="201" ht="14.25" customHeight="1" hidden="1">
      <c r="B201" s="3594" t="str">
        <f t="shared" si="16"/>
        <v>H</v>
      </c>
      <c r="D201" s="3676">
        <v>0</v>
      </c>
      <c r="E201" s="3677">
        <f t="shared" si="12"/>
      </c>
      <c r="F201" s="3677">
        <f t="shared" si="13"/>
      </c>
      <c r="G201" s="3678">
        <f t="shared" si="14"/>
      </c>
      <c r="H201" s="3679" cm="1">
        <f t="array" ref="H201">_xlfn.IFERROR(SMALL(IF(UnitMix_number_of_bedrooms=D201,UnitMix_unit_sizes),1+SUM($I$177:I200)),"")</f>
      </c>
      <c r="I201" s="3680">
        <f t="shared" si="15"/>
      </c>
    </row>
    <row r="202" ht="14.25" customHeight="1" hidden="1">
      <c r="B202" s="3594" t="str">
        <f t="shared" si="16"/>
        <v>H</v>
      </c>
      <c r="D202" s="3676">
        <v>0</v>
      </c>
      <c r="E202" s="3677">
        <f t="shared" si="12"/>
      </c>
      <c r="F202" s="3677">
        <f t="shared" si="13"/>
      </c>
      <c r="G202" s="3678">
        <f t="shared" si="14"/>
      </c>
      <c r="H202" s="3679" cm="1">
        <f t="array" ref="H202">_xlfn.IFERROR(SMALL(IF(UnitMix_number_of_bedrooms=D202,UnitMix_unit_sizes),1+SUM($I$177:I201)),"")</f>
      </c>
      <c r="I202" s="3680">
        <f t="shared" si="15"/>
      </c>
    </row>
    <row r="203" ht="14.25" customHeight="1" hidden="1">
      <c r="B203" s="3594" t="str">
        <f t="shared" si="16"/>
        <v>H</v>
      </c>
      <c r="D203" s="3676">
        <v>0</v>
      </c>
      <c r="E203" s="3677">
        <f t="shared" si="12"/>
      </c>
      <c r="F203" s="3677">
        <f t="shared" si="13"/>
      </c>
      <c r="G203" s="3678">
        <f t="shared" si="14"/>
      </c>
      <c r="H203" s="3679" cm="1">
        <f t="array" ref="H203">_xlfn.IFERROR(SMALL(IF(UnitMix_number_of_bedrooms=D203,UnitMix_unit_sizes),1+SUM($I$177:I202)),"")</f>
      </c>
      <c r="I203" s="3680">
        <f t="shared" si="15"/>
      </c>
    </row>
    <row r="204" ht="14.25" customHeight="1" hidden="1">
      <c r="B204" s="3594" t="str">
        <f t="shared" si="16"/>
        <v>H</v>
      </c>
      <c r="D204" s="3676">
        <v>0</v>
      </c>
      <c r="E204" s="3677">
        <f t="shared" si="12"/>
      </c>
      <c r="F204" s="3677">
        <f t="shared" si="13"/>
      </c>
      <c r="G204" s="3678">
        <f t="shared" si="14"/>
      </c>
      <c r="H204" s="3679" cm="1">
        <f t="array" ref="H204">_xlfn.IFERROR(SMALL(IF(UnitMix_number_of_bedrooms=D204,UnitMix_unit_sizes),1+SUM($I$177:I203)),"")</f>
      </c>
      <c r="I204" s="3680">
        <f t="shared" si="15"/>
      </c>
    </row>
    <row r="205" ht="14.25" customHeight="1" hidden="1">
      <c r="B205" s="3594" t="str">
        <f t="shared" si="16"/>
        <v>H</v>
      </c>
      <c r="D205" s="3676">
        <v>0</v>
      </c>
      <c r="E205" s="3677">
        <f t="shared" si="12"/>
      </c>
      <c r="F205" s="3677">
        <f t="shared" si="13"/>
      </c>
      <c r="G205" s="3678">
        <f t="shared" si="14"/>
      </c>
      <c r="H205" s="3679" cm="1">
        <f t="array" ref="H205">_xlfn.IFERROR(SMALL(IF(UnitMix_number_of_bedrooms=D205,UnitMix_unit_sizes),1+SUM($I$177:I204)),"")</f>
      </c>
      <c r="I205" s="3680">
        <f t="shared" si="15"/>
      </c>
    </row>
    <row r="206" ht="14.25" customHeight="1" hidden="1">
      <c r="B206" s="3594" t="str">
        <f t="shared" si="16"/>
        <v>H</v>
      </c>
      <c r="D206" s="3676">
        <v>0</v>
      </c>
      <c r="E206" s="3677">
        <f t="shared" si="12"/>
      </c>
      <c r="F206" s="3677">
        <f t="shared" si="13"/>
      </c>
      <c r="G206" s="3678">
        <f t="shared" si="14"/>
      </c>
      <c r="H206" s="3679" cm="1">
        <f t="array" ref="H206">_xlfn.IFERROR(SMALL(IF(UnitMix_number_of_bedrooms=D206,UnitMix_unit_sizes),1+SUM($I$177:I205)),"")</f>
      </c>
      <c r="I206" s="3680">
        <f t="shared" si="15"/>
      </c>
    </row>
    <row r="207" ht="14.25" customHeight="1" hidden="1">
      <c r="B207" s="3594" t="str">
        <f t="shared" si="16"/>
        <v>H</v>
      </c>
      <c r="D207" s="3676">
        <v>0</v>
      </c>
      <c r="E207" s="3677">
        <f t="shared" si="12"/>
      </c>
      <c r="F207" s="3677">
        <f t="shared" si="13"/>
      </c>
      <c r="G207" s="3678">
        <f t="shared" si="14"/>
      </c>
      <c r="H207" s="3679" cm="1">
        <f t="array" ref="H207">_xlfn.IFERROR(SMALL(IF(UnitMix_number_of_bedrooms=D207,UnitMix_unit_sizes),1+SUM($I$177:I206)),"")</f>
      </c>
      <c r="I207" s="3680">
        <f t="shared" si="15"/>
      </c>
    </row>
    <row r="208" ht="14.25" customHeight="1" hidden="1">
      <c r="B208" s="3594" t="str">
        <f t="shared" si="16"/>
        <v>H</v>
      </c>
      <c r="D208" s="3676">
        <v>0</v>
      </c>
      <c r="E208" s="3677">
        <f t="shared" si="12"/>
      </c>
      <c r="F208" s="3677">
        <f t="shared" si="13"/>
      </c>
      <c r="G208" s="3678">
        <f t="shared" si="14"/>
      </c>
      <c r="H208" s="3679" cm="1">
        <f t="array" ref="H208">_xlfn.IFERROR(SMALL(IF(UnitMix_number_of_bedrooms=D208,UnitMix_unit_sizes),1+SUM($I$177:I207)),"")</f>
      </c>
      <c r="I208" s="3680">
        <f t="shared" si="15"/>
      </c>
    </row>
    <row r="209" ht="14.25" customHeight="1" hidden="1">
      <c r="B209" s="3594" t="str">
        <f t="shared" si="16"/>
        <v>H</v>
      </c>
      <c r="D209" s="3676">
        <v>0</v>
      </c>
      <c r="E209" s="3677">
        <f t="shared" si="12"/>
      </c>
      <c r="F209" s="3677">
        <f t="shared" si="13"/>
      </c>
      <c r="G209" s="3678">
        <f t="shared" si="14"/>
      </c>
      <c r="H209" s="3679" cm="1">
        <f t="array" ref="H209">_xlfn.IFERROR(SMALL(IF(UnitMix_number_of_bedrooms=D209,UnitMix_unit_sizes),1+SUM($I$177:I208)),"")</f>
      </c>
      <c r="I209" s="3680">
        <f t="shared" si="15"/>
      </c>
    </row>
    <row r="210" ht="14.25" customHeight="1" hidden="1">
      <c r="B210" s="3594" t="str">
        <f t="shared" si="16"/>
        <v>H</v>
      </c>
      <c r="D210" s="3676">
        <v>0</v>
      </c>
      <c r="E210" s="3677">
        <f t="shared" si="12"/>
      </c>
      <c r="F210" s="3677">
        <f t="shared" si="13"/>
      </c>
      <c r="G210" s="3678">
        <f t="shared" si="14"/>
      </c>
      <c r="H210" s="3679" cm="1">
        <f t="array" ref="H210">_xlfn.IFERROR(SMALL(IF(UnitMix_number_of_bedrooms=D210,UnitMix_unit_sizes),1+SUM($I$177:I209)),"")</f>
      </c>
      <c r="I210" s="3680">
        <f t="shared" si="15"/>
      </c>
    </row>
    <row r="211" ht="14.25" customHeight="1" hidden="1">
      <c r="B211" s="3594" t="str">
        <f t="shared" si="16"/>
        <v>H</v>
      </c>
      <c r="D211" s="3676">
        <v>0</v>
      </c>
      <c r="E211" s="3677">
        <f t="shared" si="12"/>
      </c>
      <c r="F211" s="3677">
        <f t="shared" si="13"/>
      </c>
      <c r="G211" s="3678">
        <f t="shared" si="14"/>
      </c>
      <c r="H211" s="3679" cm="1">
        <f t="array" ref="H211">_xlfn.IFERROR(SMALL(IF(UnitMix_number_of_bedrooms=D211,UnitMix_unit_sizes),1+SUM($I$177:I210)),"")</f>
      </c>
      <c r="I211" s="3680">
        <f t="shared" si="15"/>
      </c>
    </row>
    <row r="212" ht="14.25" customHeight="1" hidden="1">
      <c r="B212" s="3594" t="str">
        <f t="shared" si="16"/>
        <v>H</v>
      </c>
      <c r="D212" s="3676">
        <v>0</v>
      </c>
      <c r="E212" s="3677">
        <f t="shared" si="12"/>
      </c>
      <c r="F212" s="3677">
        <f t="shared" si="13"/>
      </c>
      <c r="G212" s="3678">
        <f t="shared" si="14"/>
      </c>
      <c r="H212" s="3679" cm="1">
        <f t="array" ref="H212">_xlfn.IFERROR(SMALL(IF(UnitMix_number_of_bedrooms=D212,UnitMix_unit_sizes),1+SUM($I$177:I211)),"")</f>
      </c>
      <c r="I212" s="3680">
        <f t="shared" si="15"/>
      </c>
    </row>
    <row r="213" ht="14.25" customHeight="1" hidden="1">
      <c r="B213" s="3594" t="str">
        <f t="shared" si="16"/>
        <v>H</v>
      </c>
      <c r="D213" s="3676">
        <v>0</v>
      </c>
      <c r="E213" s="3677">
        <f t="shared" si="12"/>
      </c>
      <c r="F213" s="3677">
        <f t="shared" si="13"/>
      </c>
      <c r="G213" s="3678">
        <f t="shared" si="14"/>
      </c>
      <c r="H213" s="3679" cm="1">
        <f t="array" ref="H213">_xlfn.IFERROR(SMALL(IF(UnitMix_number_of_bedrooms=D213,UnitMix_unit_sizes),1+SUM($I$177:I212)),"")</f>
      </c>
      <c r="I213" s="3680">
        <f t="shared" si="15"/>
      </c>
    </row>
    <row r="214" ht="14.25" customHeight="1" hidden="1">
      <c r="B214" s="3594" t="str">
        <f t="shared" si="16"/>
        <v>H</v>
      </c>
      <c r="D214" s="3676">
        <v>0</v>
      </c>
      <c r="E214" s="3677">
        <f t="shared" si="12"/>
      </c>
      <c r="F214" s="3677">
        <f t="shared" si="13"/>
      </c>
      <c r="G214" s="3678">
        <f t="shared" si="14"/>
      </c>
      <c r="H214" s="3679" cm="1">
        <f t="array" ref="H214">_xlfn.IFERROR(SMALL(IF(UnitMix_number_of_bedrooms=D214,UnitMix_unit_sizes),1+SUM($I$177:I213)),"")</f>
      </c>
      <c r="I214" s="3680">
        <f t="shared" si="15"/>
      </c>
    </row>
    <row r="215" ht="14.25" customHeight="1" hidden="1">
      <c r="B215" s="3594" t="str">
        <f t="shared" si="16"/>
        <v>H</v>
      </c>
      <c r="D215" s="3676">
        <v>0</v>
      </c>
      <c r="E215" s="3677">
        <f t="shared" si="12"/>
      </c>
      <c r="F215" s="3677">
        <f t="shared" si="13"/>
      </c>
      <c r="G215" s="3678">
        <f t="shared" si="14"/>
      </c>
      <c r="H215" s="3679" cm="1">
        <f t="array" ref="H215">_xlfn.IFERROR(SMALL(IF(UnitMix_number_of_bedrooms=D215,UnitMix_unit_sizes),1+SUM($I$177:I214)),"")</f>
      </c>
      <c r="I215" s="3680">
        <f t="shared" si="15"/>
      </c>
    </row>
    <row r="216" ht="14.25" customHeight="1" hidden="1">
      <c r="B216" s="3594" t="str">
        <f t="shared" si="16"/>
        <v>H</v>
      </c>
      <c r="D216" s="3676">
        <v>0</v>
      </c>
      <c r="E216" s="3677">
        <f t="shared" si="12"/>
      </c>
      <c r="F216" s="3677">
        <f t="shared" si="13"/>
      </c>
      <c r="G216" s="3678">
        <f t="shared" si="14"/>
      </c>
      <c r="H216" s="3679" cm="1">
        <f t="array" ref="H216">_xlfn.IFERROR(SMALL(IF(UnitMix_number_of_bedrooms=D216,UnitMix_unit_sizes),1+SUM($I$177:I215)),"")</f>
      </c>
      <c r="I216" s="3680">
        <f t="shared" si="15"/>
      </c>
    </row>
    <row r="217" ht="14.25" customHeight="1">
      <c r="B217" s="3675" t="s">
        <v>2547</v>
      </c>
      <c r="D217" s="3681">
        <v>1</v>
      </c>
      <c r="E217" s="3682">
        <f t="shared" si="12"/>
        <v>32</v>
      </c>
      <c r="F217" s="3682">
        <f t="shared" si="13"/>
        <v>32</v>
      </c>
      <c r="G217" s="3683">
        <f t="shared" si="14"/>
        <v>1131.875</v>
      </c>
      <c r="H217" s="3684" cm="1">
        <f t="array" ref="H217">_xlfn.IFERROR(SMALL(IF(UnitMix_number_of_bedrooms=D217,UnitMix_unit_sizes),1),"")</f>
        <v>704</v>
      </c>
      <c r="I217" s="3685">
        <f t="shared" si="15"/>
        <v>1</v>
      </c>
    </row>
    <row r="218" ht="14.25" customHeight="1" hidden="1">
      <c r="B218" s="3594" t="str">
        <f t="shared" si="16"/>
        <v>H</v>
      </c>
      <c r="D218" s="3681">
        <v>1</v>
      </c>
      <c r="E218" s="3682">
        <f t="shared" si="12"/>
      </c>
      <c r="F218" s="3682">
        <f t="shared" si="13"/>
      </c>
      <c r="G218" s="3683">
        <f t="shared" si="14"/>
      </c>
      <c r="H218" s="3684" cm="1">
        <f t="array" ref="H218">_xlfn.IFERROR(SMALL(IF(UnitMix_number_of_bedrooms=D218,UnitMix_unit_sizes),1+SUM($I$217:I217)),"")</f>
      </c>
      <c r="I218" s="3685">
        <f t="shared" si="15"/>
      </c>
    </row>
    <row r="219" ht="14.25" customHeight="1" hidden="1">
      <c r="B219" s="3594" t="str">
        <f t="shared" si="16"/>
        <v>H</v>
      </c>
      <c r="D219" s="3681">
        <v>1</v>
      </c>
      <c r="E219" s="3682">
        <f t="shared" si="12"/>
      </c>
      <c r="F219" s="3682">
        <f t="shared" si="13"/>
      </c>
      <c r="G219" s="3683">
        <f t="shared" si="14"/>
      </c>
      <c r="H219" s="3684" cm="1">
        <f t="array" ref="H219">_xlfn.IFERROR(SMALL(IF(UnitMix_number_of_bedrooms=D219,UnitMix_unit_sizes),1+SUM($I$217:I218)),"")</f>
      </c>
      <c r="I219" s="3685">
        <f t="shared" si="15"/>
      </c>
    </row>
    <row r="220" ht="14.25" customHeight="1" hidden="1">
      <c r="B220" s="3594" t="str">
        <f t="shared" si="16"/>
        <v>H</v>
      </c>
      <c r="D220" s="3681">
        <v>1</v>
      </c>
      <c r="E220" s="3682">
        <f t="shared" si="12"/>
      </c>
      <c r="F220" s="3682">
        <f t="shared" si="13"/>
      </c>
      <c r="G220" s="3683">
        <f t="shared" si="14"/>
      </c>
      <c r="H220" s="3684" cm="1">
        <f t="array" ref="H220">_xlfn.IFERROR(SMALL(IF(UnitMix_number_of_bedrooms=D220,UnitMix_unit_sizes),1+SUM($I$217:I219)),"")</f>
      </c>
      <c r="I220" s="3685">
        <f t="shared" si="15"/>
      </c>
    </row>
    <row r="221" ht="14.25" customHeight="1" hidden="1">
      <c r="B221" s="3594" t="str">
        <f t="shared" si="16"/>
        <v>H</v>
      </c>
      <c r="D221" s="3681">
        <v>1</v>
      </c>
      <c r="E221" s="3682">
        <f t="shared" si="12"/>
      </c>
      <c r="F221" s="3682">
        <f t="shared" si="13"/>
      </c>
      <c r="G221" s="3683">
        <f t="shared" si="14"/>
      </c>
      <c r="H221" s="3684" cm="1">
        <f t="array" ref="H221">_xlfn.IFERROR(SMALL(IF(UnitMix_number_of_bedrooms=D221,UnitMix_unit_sizes),1+SUM($I$217:I220)),"")</f>
      </c>
      <c r="I221" s="3685">
        <f t="shared" si="15"/>
      </c>
    </row>
    <row r="222" ht="14.25" customHeight="1" hidden="1">
      <c r="B222" s="3594" t="str">
        <f t="shared" si="16"/>
        <v>H</v>
      </c>
      <c r="D222" s="3681">
        <v>1</v>
      </c>
      <c r="E222" s="3682">
        <f t="shared" si="12"/>
      </c>
      <c r="F222" s="3682">
        <f t="shared" si="13"/>
      </c>
      <c r="G222" s="3683">
        <f t="shared" si="14"/>
      </c>
      <c r="H222" s="3684" cm="1">
        <f t="array" ref="H222">_xlfn.IFERROR(SMALL(IF(UnitMix_number_of_bedrooms=D222,UnitMix_unit_sizes),1+SUM($I$217:I221)),"")</f>
      </c>
      <c r="I222" s="3685">
        <f t="shared" si="15"/>
      </c>
    </row>
    <row r="223" ht="14.25" customHeight="1" hidden="1">
      <c r="B223" s="3594" t="str">
        <f t="shared" si="16"/>
        <v>H</v>
      </c>
      <c r="D223" s="3681">
        <v>1</v>
      </c>
      <c r="E223" s="3682">
        <f t="shared" si="12"/>
      </c>
      <c r="F223" s="3682">
        <f t="shared" si="13"/>
      </c>
      <c r="G223" s="3683">
        <f t="shared" si="14"/>
      </c>
      <c r="H223" s="3684" cm="1">
        <f t="array" ref="H223">_xlfn.IFERROR(SMALL(IF(UnitMix_number_of_bedrooms=D223,UnitMix_unit_sizes),1+SUM($I$217:I222)),"")</f>
      </c>
      <c r="I223" s="3685">
        <f t="shared" si="15"/>
      </c>
    </row>
    <row r="224" ht="14.25" customHeight="1" hidden="1">
      <c r="B224" s="3594" t="str">
        <f t="shared" si="16"/>
        <v>H</v>
      </c>
      <c r="D224" s="3681">
        <v>1</v>
      </c>
      <c r="E224" s="3682">
        <f t="shared" si="12"/>
      </c>
      <c r="F224" s="3682">
        <f t="shared" si="13"/>
      </c>
      <c r="G224" s="3683">
        <f t="shared" si="14"/>
      </c>
      <c r="H224" s="3684" cm="1">
        <f t="array" ref="H224">_xlfn.IFERROR(SMALL(IF(UnitMix_number_of_bedrooms=D224,UnitMix_unit_sizes),1+SUM($I$217:I223)),"")</f>
      </c>
      <c r="I224" s="3685">
        <f t="shared" si="15"/>
      </c>
    </row>
    <row r="225" ht="14.25" customHeight="1" hidden="1">
      <c r="B225" s="3594" t="str">
        <f t="shared" si="16"/>
        <v>H</v>
      </c>
      <c r="D225" s="3681">
        <v>1</v>
      </c>
      <c r="E225" s="3682">
        <f t="shared" si="12"/>
      </c>
      <c r="F225" s="3682">
        <f t="shared" si="13"/>
      </c>
      <c r="G225" s="3683">
        <f t="shared" si="14"/>
      </c>
      <c r="H225" s="3684" cm="1">
        <f t="array" ref="H225">_xlfn.IFERROR(SMALL(IF(UnitMix_number_of_bedrooms=D225,UnitMix_unit_sizes),1+SUM($I$217:I224)),"")</f>
      </c>
      <c r="I225" s="3685">
        <f t="shared" si="15"/>
      </c>
    </row>
    <row r="226" ht="14.25" customHeight="1" hidden="1">
      <c r="B226" s="3594" t="str">
        <f t="shared" si="16"/>
        <v>H</v>
      </c>
      <c r="D226" s="3681">
        <v>1</v>
      </c>
      <c r="E226" s="3682">
        <f t="shared" si="12"/>
      </c>
      <c r="F226" s="3682">
        <f t="shared" si="13"/>
      </c>
      <c r="G226" s="3683">
        <f t="shared" si="14"/>
      </c>
      <c r="H226" s="3684" cm="1">
        <f t="array" ref="H226">_xlfn.IFERROR(SMALL(IF(UnitMix_number_of_bedrooms=D226,UnitMix_unit_sizes),1+SUM($I$217:I225)),"")</f>
      </c>
      <c r="I226" s="3685">
        <f t="shared" si="15"/>
      </c>
    </row>
    <row r="227" ht="14.25" customHeight="1" hidden="1">
      <c r="B227" s="3594" t="str">
        <f t="shared" si="16"/>
        <v>H</v>
      </c>
      <c r="D227" s="3681">
        <v>1</v>
      </c>
      <c r="E227" s="3682">
        <f t="shared" si="12"/>
      </c>
      <c r="F227" s="3682">
        <f t="shared" si="13"/>
      </c>
      <c r="G227" s="3683">
        <f t="shared" si="14"/>
      </c>
      <c r="H227" s="3684" cm="1">
        <f t="array" ref="H227">_xlfn.IFERROR(SMALL(IF(UnitMix_number_of_bedrooms=D227,UnitMix_unit_sizes),1+SUM($I$217:I226)),"")</f>
      </c>
      <c r="I227" s="3685">
        <f t="shared" si="15"/>
      </c>
    </row>
    <row r="228" ht="14.25" customHeight="1" hidden="1">
      <c r="B228" s="3594" t="str">
        <f t="shared" si="16"/>
        <v>H</v>
      </c>
      <c r="D228" s="3681">
        <v>1</v>
      </c>
      <c r="E228" s="3682">
        <f t="shared" si="12"/>
      </c>
      <c r="F228" s="3682">
        <f t="shared" si="13"/>
      </c>
      <c r="G228" s="3683">
        <f t="shared" si="14"/>
      </c>
      <c r="H228" s="3684" cm="1">
        <f t="array" ref="H228">_xlfn.IFERROR(SMALL(IF(UnitMix_number_of_bedrooms=D228,UnitMix_unit_sizes),1+SUM($I$217:I227)),"")</f>
      </c>
      <c r="I228" s="3685">
        <f t="shared" si="15"/>
      </c>
    </row>
    <row r="229" ht="14.25" customHeight="1" hidden="1">
      <c r="B229" s="3594" t="str">
        <f t="shared" si="16"/>
        <v>H</v>
      </c>
      <c r="D229" s="3681">
        <v>1</v>
      </c>
      <c r="E229" s="3682">
        <f t="shared" si="12"/>
      </c>
      <c r="F229" s="3682">
        <f t="shared" si="13"/>
      </c>
      <c r="G229" s="3683">
        <f t="shared" si="14"/>
      </c>
      <c r="H229" s="3684" cm="1">
        <f t="array" ref="H229">_xlfn.IFERROR(SMALL(IF(UnitMix_number_of_bedrooms=D229,UnitMix_unit_sizes),1+SUM($I$217:I228)),"")</f>
      </c>
      <c r="I229" s="3685">
        <f t="shared" si="15"/>
      </c>
    </row>
    <row r="230" ht="14.25" customHeight="1" hidden="1">
      <c r="B230" s="3594" t="str">
        <f t="shared" si="16"/>
        <v>H</v>
      </c>
      <c r="D230" s="3681">
        <v>1</v>
      </c>
      <c r="E230" s="3682">
        <f t="shared" si="12"/>
      </c>
      <c r="F230" s="3682">
        <f t="shared" si="13"/>
      </c>
      <c r="G230" s="3683">
        <f t="shared" si="14"/>
      </c>
      <c r="H230" s="3684" cm="1">
        <f t="array" ref="H230">_xlfn.IFERROR(SMALL(IF(UnitMix_number_of_bedrooms=D230,UnitMix_unit_sizes),1+SUM($I$217:I229)),"")</f>
      </c>
      <c r="I230" s="3685">
        <f t="shared" si="15"/>
      </c>
    </row>
    <row r="231" ht="14.25" customHeight="1" hidden="1">
      <c r="B231" s="3594" t="str">
        <f t="shared" si="16"/>
        <v>H</v>
      </c>
      <c r="D231" s="3681">
        <v>1</v>
      </c>
      <c r="E231" s="3682">
        <f t="shared" si="12"/>
      </c>
      <c r="F231" s="3682">
        <f t="shared" si="13"/>
      </c>
      <c r="G231" s="3683">
        <f t="shared" si="14"/>
      </c>
      <c r="H231" s="3684" cm="1">
        <f t="array" ref="H231">_xlfn.IFERROR(SMALL(IF(UnitMix_number_of_bedrooms=D231,UnitMix_unit_sizes),1+SUM($I$217:I230)),"")</f>
      </c>
      <c r="I231" s="3685">
        <f t="shared" si="15"/>
      </c>
    </row>
    <row r="232" ht="14.25" customHeight="1" hidden="1">
      <c r="B232" s="3594" t="str">
        <f t="shared" si="16"/>
        <v>H</v>
      </c>
      <c r="D232" s="3681">
        <v>1</v>
      </c>
      <c r="E232" s="3682">
        <f t="shared" si="12"/>
      </c>
      <c r="F232" s="3682">
        <f t="shared" si="13"/>
      </c>
      <c r="G232" s="3683">
        <f t="shared" si="14"/>
      </c>
      <c r="H232" s="3684" cm="1">
        <f t="array" ref="H232">_xlfn.IFERROR(SMALL(IF(UnitMix_number_of_bedrooms=D232,UnitMix_unit_sizes),1+SUM($I$217:I231)),"")</f>
      </c>
      <c r="I232" s="3685">
        <f t="shared" si="15"/>
      </c>
    </row>
    <row r="233" ht="14.25" customHeight="1" hidden="1">
      <c r="B233" s="3594" t="str">
        <f t="shared" si="16"/>
        <v>H</v>
      </c>
      <c r="D233" s="3681">
        <v>1</v>
      </c>
      <c r="E233" s="3682">
        <f t="shared" si="12"/>
      </c>
      <c r="F233" s="3682">
        <f t="shared" si="13"/>
      </c>
      <c r="G233" s="3683">
        <f t="shared" si="14"/>
      </c>
      <c r="H233" s="3684" cm="1">
        <f t="array" ref="H233">_xlfn.IFERROR(SMALL(IF(UnitMix_number_of_bedrooms=D233,UnitMix_unit_sizes),1+SUM($I$217:I232)),"")</f>
      </c>
      <c r="I233" s="3685">
        <f t="shared" si="15"/>
      </c>
    </row>
    <row r="234" ht="14.25" customHeight="1" hidden="1">
      <c r="B234" s="3594" t="str">
        <f t="shared" si="16"/>
        <v>H</v>
      </c>
      <c r="D234" s="3681">
        <v>1</v>
      </c>
      <c r="E234" s="3682">
        <f t="shared" si="12"/>
      </c>
      <c r="F234" s="3682">
        <f t="shared" si="13"/>
      </c>
      <c r="G234" s="3683">
        <f t="shared" si="14"/>
      </c>
      <c r="H234" s="3684" cm="1">
        <f t="array" ref="H234">_xlfn.IFERROR(SMALL(IF(UnitMix_number_of_bedrooms=D234,UnitMix_unit_sizes),1+SUM($I$217:I233)),"")</f>
      </c>
      <c r="I234" s="3685">
        <f t="shared" si="15"/>
      </c>
    </row>
    <row r="235" ht="14.25" customHeight="1" hidden="1">
      <c r="B235" s="3594" t="str">
        <f t="shared" si="16"/>
        <v>H</v>
      </c>
      <c r="D235" s="3681">
        <v>1</v>
      </c>
      <c r="E235" s="3682">
        <f t="shared" si="12"/>
      </c>
      <c r="F235" s="3682">
        <f t="shared" si="13"/>
      </c>
      <c r="G235" s="3683">
        <f t="shared" si="14"/>
      </c>
      <c r="H235" s="3684" cm="1">
        <f t="array" ref="H235">_xlfn.IFERROR(SMALL(IF(UnitMix_number_of_bedrooms=D235,UnitMix_unit_sizes),1+SUM($I$217:I234)),"")</f>
      </c>
      <c r="I235" s="3685">
        <f t="shared" si="15"/>
      </c>
    </row>
    <row r="236" ht="14.25" customHeight="1" hidden="1">
      <c r="B236" s="3594" t="str">
        <f t="shared" si="16"/>
        <v>H</v>
      </c>
      <c r="D236" s="3681">
        <v>1</v>
      </c>
      <c r="E236" s="3682">
        <f t="shared" si="12"/>
      </c>
      <c r="F236" s="3682">
        <f t="shared" si="13"/>
      </c>
      <c r="G236" s="3683">
        <f t="shared" si="14"/>
      </c>
      <c r="H236" s="3684" cm="1">
        <f t="array" ref="H236">_xlfn.IFERROR(SMALL(IF(UnitMix_number_of_bedrooms=D236,UnitMix_unit_sizes),1+SUM($I$217:I235)),"")</f>
      </c>
      <c r="I236" s="3685">
        <f t="shared" si="15"/>
      </c>
    </row>
    <row r="237" ht="14.25" customHeight="1" hidden="1">
      <c r="B237" s="3594" t="str">
        <f t="shared" si="16"/>
        <v>H</v>
      </c>
      <c r="D237" s="3681">
        <v>1</v>
      </c>
      <c r="E237" s="3682">
        <f t="shared" si="12"/>
      </c>
      <c r="F237" s="3682">
        <f t="shared" si="13"/>
      </c>
      <c r="G237" s="3683">
        <f t="shared" si="14"/>
      </c>
      <c r="H237" s="3684" cm="1">
        <f t="array" ref="H237">_xlfn.IFERROR(SMALL(IF(UnitMix_number_of_bedrooms=D237,UnitMix_unit_sizes),1+SUM($I$217:I236)),"")</f>
      </c>
      <c r="I237" s="3685">
        <f t="shared" si="15"/>
      </c>
    </row>
    <row r="238" ht="14.25" customHeight="1" hidden="1">
      <c r="B238" s="3594" t="str">
        <f t="shared" si="16"/>
        <v>H</v>
      </c>
      <c r="D238" s="3681">
        <v>1</v>
      </c>
      <c r="E238" s="3682">
        <f t="shared" si="12"/>
      </c>
      <c r="F238" s="3682">
        <f t="shared" si="13"/>
      </c>
      <c r="G238" s="3683">
        <f t="shared" si="14"/>
      </c>
      <c r="H238" s="3684" cm="1">
        <f t="array" ref="H238">_xlfn.IFERROR(SMALL(IF(UnitMix_number_of_bedrooms=D238,UnitMix_unit_sizes),1+SUM($I$217:I237)),"")</f>
      </c>
      <c r="I238" s="3685">
        <f t="shared" si="15"/>
      </c>
    </row>
    <row r="239" ht="14.25" customHeight="1" hidden="1">
      <c r="B239" s="3594" t="str">
        <f t="shared" si="16"/>
        <v>H</v>
      </c>
      <c r="D239" s="3681">
        <v>1</v>
      </c>
      <c r="E239" s="3682">
        <f t="shared" si="12"/>
      </c>
      <c r="F239" s="3682">
        <f t="shared" si="13"/>
      </c>
      <c r="G239" s="3683">
        <f t="shared" si="14"/>
      </c>
      <c r="H239" s="3684" cm="1">
        <f t="array" ref="H239">_xlfn.IFERROR(SMALL(IF(UnitMix_number_of_bedrooms=D239,UnitMix_unit_sizes),1+SUM($I$217:I238)),"")</f>
      </c>
      <c r="I239" s="3685">
        <f t="shared" si="15"/>
      </c>
    </row>
    <row r="240" ht="14.25" customHeight="1" hidden="1">
      <c r="B240" s="3594" t="str">
        <f t="shared" si="16"/>
        <v>H</v>
      </c>
      <c r="D240" s="3681">
        <v>1</v>
      </c>
      <c r="E240" s="3682">
        <f t="shared" si="12"/>
      </c>
      <c r="F240" s="3682">
        <f t="shared" si="13"/>
      </c>
      <c r="G240" s="3683">
        <f t="shared" si="14"/>
      </c>
      <c r="H240" s="3684" cm="1">
        <f t="array" ref="H240">_xlfn.IFERROR(SMALL(IF(UnitMix_number_of_bedrooms=D240,UnitMix_unit_sizes),1+SUM($I$217:I239)),"")</f>
      </c>
      <c r="I240" s="3685">
        <f t="shared" si="15"/>
      </c>
    </row>
    <row r="241" ht="14.25" customHeight="1" hidden="1">
      <c r="B241" s="3594" t="str">
        <f t="shared" si="16"/>
        <v>H</v>
      </c>
      <c r="D241" s="3681">
        <v>1</v>
      </c>
      <c r="E241" s="3682">
        <f t="shared" si="12"/>
      </c>
      <c r="F241" s="3682">
        <f t="shared" si="13"/>
      </c>
      <c r="G241" s="3683">
        <f t="shared" si="14"/>
      </c>
      <c r="H241" s="3684" cm="1">
        <f t="array" ref="H241">_xlfn.IFERROR(SMALL(IF(UnitMix_number_of_bedrooms=D241,UnitMix_unit_sizes),1+SUM($I$217:I240)),"")</f>
      </c>
      <c r="I241" s="3685">
        <f t="shared" si="15"/>
      </c>
    </row>
    <row r="242" ht="14.25" customHeight="1" hidden="1">
      <c r="B242" s="3594" t="str">
        <f t="shared" si="16"/>
        <v>H</v>
      </c>
      <c r="D242" s="3681">
        <v>1</v>
      </c>
      <c r="E242" s="3682">
        <f t="shared" si="12"/>
      </c>
      <c r="F242" s="3682">
        <f t="shared" si="13"/>
      </c>
      <c r="G242" s="3683">
        <f t="shared" si="14"/>
      </c>
      <c r="H242" s="3684" cm="1">
        <f t="array" ref="H242">_xlfn.IFERROR(SMALL(IF(UnitMix_number_of_bedrooms=D242,UnitMix_unit_sizes),1+SUM($I$217:I241)),"")</f>
      </c>
      <c r="I242" s="3685">
        <f t="shared" si="15"/>
      </c>
    </row>
    <row r="243" ht="14.25" customHeight="1" hidden="1">
      <c r="B243" s="3594" t="str">
        <f t="shared" si="16"/>
        <v>H</v>
      </c>
      <c r="D243" s="3681">
        <v>1</v>
      </c>
      <c r="E243" s="3682">
        <f t="shared" si="12"/>
      </c>
      <c r="F243" s="3682">
        <f t="shared" si="13"/>
      </c>
      <c r="G243" s="3683">
        <f t="shared" si="14"/>
      </c>
      <c r="H243" s="3684" cm="1">
        <f t="array" ref="H243">_xlfn.IFERROR(SMALL(IF(UnitMix_number_of_bedrooms=D243,UnitMix_unit_sizes),1+SUM($I$217:I242)),"")</f>
      </c>
      <c r="I243" s="3685">
        <f t="shared" si="15"/>
      </c>
    </row>
    <row r="244" ht="14.25" customHeight="1" hidden="1">
      <c r="B244" s="3594" t="str">
        <f t="shared" si="16"/>
        <v>H</v>
      </c>
      <c r="D244" s="3681">
        <v>1</v>
      </c>
      <c r="E244" s="3682">
        <f t="shared" si="12"/>
      </c>
      <c r="F244" s="3682">
        <f t="shared" si="13"/>
      </c>
      <c r="G244" s="3683">
        <f t="shared" si="14"/>
      </c>
      <c r="H244" s="3684" cm="1">
        <f t="array" ref="H244">_xlfn.IFERROR(SMALL(IF(UnitMix_number_of_bedrooms=D244,UnitMix_unit_sizes),1+SUM($I$217:I243)),"")</f>
      </c>
      <c r="I244" s="3685">
        <f t="shared" si="15"/>
      </c>
    </row>
    <row r="245" ht="14.25" customHeight="1" hidden="1">
      <c r="B245" s="3594" t="str">
        <f t="shared" si="16"/>
        <v>H</v>
      </c>
      <c r="D245" s="3681">
        <v>1</v>
      </c>
      <c r="E245" s="3682">
        <f t="shared" si="12"/>
      </c>
      <c r="F245" s="3682">
        <f t="shared" si="13"/>
      </c>
      <c r="G245" s="3683">
        <f t="shared" si="14"/>
      </c>
      <c r="H245" s="3684" cm="1">
        <f t="array" ref="H245">_xlfn.IFERROR(SMALL(IF(UnitMix_number_of_bedrooms=D245,UnitMix_unit_sizes),1+SUM($I$217:I244)),"")</f>
      </c>
      <c r="I245" s="3685">
        <f t="shared" si="15"/>
      </c>
    </row>
    <row r="246" ht="14.25" customHeight="1" hidden="1">
      <c r="B246" s="3594" t="str">
        <f t="shared" si="16"/>
        <v>H</v>
      </c>
      <c r="D246" s="3681">
        <v>1</v>
      </c>
      <c r="E246" s="3682">
        <f t="shared" si="12"/>
      </c>
      <c r="F246" s="3682">
        <f t="shared" si="13"/>
      </c>
      <c r="G246" s="3683">
        <f t="shared" si="14"/>
      </c>
      <c r="H246" s="3684" cm="1">
        <f t="array" ref="H246">_xlfn.IFERROR(SMALL(IF(UnitMix_number_of_bedrooms=D246,UnitMix_unit_sizes),1+SUM($I$217:I245)),"")</f>
      </c>
      <c r="I246" s="3685">
        <f t="shared" si="15"/>
      </c>
    </row>
    <row r="247" ht="14.25" customHeight="1" hidden="1">
      <c r="B247" s="3594" t="str">
        <f t="shared" si="16"/>
        <v>H</v>
      </c>
      <c r="D247" s="3681">
        <v>1</v>
      </c>
      <c r="E247" s="3682">
        <f t="shared" si="12"/>
      </c>
      <c r="F247" s="3682">
        <f t="shared" si="13"/>
      </c>
      <c r="G247" s="3683">
        <f t="shared" si="14"/>
      </c>
      <c r="H247" s="3684" cm="1">
        <f t="array" ref="H247">_xlfn.IFERROR(SMALL(IF(UnitMix_number_of_bedrooms=D247,UnitMix_unit_sizes),1+SUM($I$217:I246)),"")</f>
      </c>
      <c r="I247" s="3685">
        <f t="shared" si="15"/>
      </c>
    </row>
    <row r="248" ht="14.25" customHeight="1" hidden="1">
      <c r="B248" s="3594" t="str">
        <f t="shared" si="16"/>
        <v>H</v>
      </c>
      <c r="D248" s="3681">
        <v>1</v>
      </c>
      <c r="E248" s="3682">
        <f t="shared" si="12"/>
      </c>
      <c r="F248" s="3682">
        <f t="shared" si="13"/>
      </c>
      <c r="G248" s="3683">
        <f t="shared" si="14"/>
      </c>
      <c r="H248" s="3684" cm="1">
        <f t="array" ref="H248">_xlfn.IFERROR(SMALL(IF(UnitMix_number_of_bedrooms=D248,UnitMix_unit_sizes),1+SUM($I$217:I247)),"")</f>
      </c>
      <c r="I248" s="3685">
        <f t="shared" si="15"/>
      </c>
    </row>
    <row r="249" ht="14.25" customHeight="1" hidden="1">
      <c r="B249" s="3594" t="str">
        <f t="shared" si="16"/>
        <v>H</v>
      </c>
      <c r="D249" s="3681">
        <v>1</v>
      </c>
      <c r="E249" s="3682">
        <f t="shared" si="12"/>
      </c>
      <c r="F249" s="3682">
        <f t="shared" si="13"/>
      </c>
      <c r="G249" s="3683">
        <f t="shared" si="14"/>
      </c>
      <c r="H249" s="3684" cm="1">
        <f t="array" ref="H249">_xlfn.IFERROR(SMALL(IF(UnitMix_number_of_bedrooms=D249,UnitMix_unit_sizes),1+SUM($I$217:I248)),"")</f>
      </c>
      <c r="I249" s="3685">
        <f t="shared" si="15"/>
      </c>
    </row>
    <row r="250" ht="14.25" customHeight="1" hidden="1">
      <c r="B250" s="3594" t="str">
        <f t="shared" si="16"/>
        <v>H</v>
      </c>
      <c r="D250" s="3681">
        <v>1</v>
      </c>
      <c r="E250" s="3682">
        <f t="shared" si="12"/>
      </c>
      <c r="F250" s="3682">
        <f t="shared" si="13"/>
      </c>
      <c r="G250" s="3683">
        <f t="shared" si="14"/>
      </c>
      <c r="H250" s="3684" cm="1">
        <f t="array" ref="H250">_xlfn.IFERROR(SMALL(IF(UnitMix_number_of_bedrooms=D250,UnitMix_unit_sizes),1+SUM($I$217:I249)),"")</f>
      </c>
      <c r="I250" s="3685">
        <f t="shared" si="15"/>
      </c>
    </row>
    <row r="251" ht="14.25" customHeight="1" hidden="1">
      <c r="B251" s="3594" t="str">
        <f t="shared" si="16"/>
        <v>H</v>
      </c>
      <c r="D251" s="3681">
        <v>1</v>
      </c>
      <c r="E251" s="3682">
        <f t="shared" si="12"/>
      </c>
      <c r="F251" s="3682">
        <f t="shared" si="13"/>
      </c>
      <c r="G251" s="3683">
        <f t="shared" si="14"/>
      </c>
      <c r="H251" s="3684" cm="1">
        <f t="array" ref="H251">_xlfn.IFERROR(SMALL(IF(UnitMix_number_of_bedrooms=D251,UnitMix_unit_sizes),1+SUM($I$217:I250)),"")</f>
      </c>
      <c r="I251" s="3685">
        <f t="shared" si="15"/>
      </c>
    </row>
    <row r="252" ht="14.25" customHeight="1" hidden="1">
      <c r="B252" s="3594" t="str">
        <f t="shared" si="16"/>
        <v>H</v>
      </c>
      <c r="D252" s="3681">
        <v>1</v>
      </c>
      <c r="E252" s="3682">
        <f t="shared" si="12"/>
      </c>
      <c r="F252" s="3682">
        <f t="shared" si="13"/>
      </c>
      <c r="G252" s="3683">
        <f t="shared" si="14"/>
      </c>
      <c r="H252" s="3684" cm="1">
        <f t="array" ref="H252">_xlfn.IFERROR(SMALL(IF(UnitMix_number_of_bedrooms=D252,UnitMix_unit_sizes),1+SUM($I$217:I251)),"")</f>
      </c>
      <c r="I252" s="3685">
        <f t="shared" si="15"/>
      </c>
    </row>
    <row r="253" ht="14.25" customHeight="1" hidden="1">
      <c r="B253" s="3594" t="str">
        <f t="shared" si="16"/>
        <v>H</v>
      </c>
      <c r="D253" s="3681">
        <v>1</v>
      </c>
      <c r="E253" s="3682">
        <f t="shared" si="12"/>
      </c>
      <c r="F253" s="3682">
        <f t="shared" si="13"/>
      </c>
      <c r="G253" s="3683">
        <f t="shared" si="14"/>
      </c>
      <c r="H253" s="3684" cm="1">
        <f t="array" ref="H253">_xlfn.IFERROR(SMALL(IF(UnitMix_number_of_bedrooms=D253,UnitMix_unit_sizes),1+SUM($I$217:I252)),"")</f>
      </c>
      <c r="I253" s="3685">
        <f t="shared" si="15"/>
      </c>
    </row>
    <row r="254" ht="14.25" customHeight="1" hidden="1">
      <c r="B254" s="3594" t="str">
        <f t="shared" si="16"/>
        <v>H</v>
      </c>
      <c r="D254" s="3681">
        <v>1</v>
      </c>
      <c r="E254" s="3682">
        <f t="shared" si="12"/>
      </c>
      <c r="F254" s="3682">
        <f t="shared" si="13"/>
      </c>
      <c r="G254" s="3683">
        <f t="shared" si="14"/>
      </c>
      <c r="H254" s="3684" cm="1">
        <f t="array" ref="H254">_xlfn.IFERROR(SMALL(IF(UnitMix_number_of_bedrooms=D254,UnitMix_unit_sizes),1+SUM($I$217:I253)),"")</f>
      </c>
      <c r="I254" s="3685">
        <f t="shared" si="15"/>
      </c>
    </row>
    <row r="255" ht="14.25" customHeight="1" hidden="1">
      <c r="B255" s="3594" t="str">
        <f t="shared" si="16"/>
        <v>H</v>
      </c>
      <c r="D255" s="3681">
        <v>1</v>
      </c>
      <c r="E255" s="3682">
        <f t="shared" si="12"/>
      </c>
      <c r="F255" s="3682">
        <f t="shared" si="13"/>
      </c>
      <c r="G255" s="3683">
        <f t="shared" si="14"/>
      </c>
      <c r="H255" s="3684" cm="1">
        <f t="array" ref="H255">_xlfn.IFERROR(SMALL(IF(UnitMix_number_of_bedrooms=D255,UnitMix_unit_sizes),1+SUM($I$217:I254)),"")</f>
      </c>
      <c r="I255" s="3685">
        <f t="shared" si="15"/>
      </c>
    </row>
    <row r="256" ht="14.25" customHeight="1" hidden="1">
      <c r="B256" s="3594" t="str">
        <f t="shared" si="16"/>
        <v>H</v>
      </c>
      <c r="D256" s="3681">
        <v>1</v>
      </c>
      <c r="E256" s="3682">
        <f t="shared" si="12"/>
      </c>
      <c r="F256" s="3682">
        <f t="shared" si="13"/>
      </c>
      <c r="G256" s="3683">
        <f t="shared" si="14"/>
      </c>
      <c r="H256" s="3684" cm="1">
        <f t="array" ref="H256">_xlfn.IFERROR(SMALL(IF(UnitMix_number_of_bedrooms=D256,UnitMix_unit_sizes),1+SUM($I$217:I255)),"")</f>
      </c>
      <c r="I256" s="3685">
        <f t="shared" si="15"/>
      </c>
    </row>
    <row r="257" ht="14.25" customHeight="1">
      <c r="B257" s="3675" t="s">
        <v>2547</v>
      </c>
      <c r="D257" s="3676">
        <v>2</v>
      </c>
      <c r="E257" s="3677">
        <f t="shared" si="12"/>
        <v>16</v>
      </c>
      <c r="F257" s="3677">
        <f t="shared" si="13"/>
        <v>15</v>
      </c>
      <c r="G257" s="3678">
        <f t="shared" si="14"/>
        <v>1364.4666666666667</v>
      </c>
      <c r="H257" s="3679" cm="1">
        <f t="array" ref="H257">_xlfn.IFERROR(SMALL(IF(UnitMix_number_of_bedrooms=D257,UnitMix_unit_sizes),1),"")</f>
        <v>851</v>
      </c>
      <c r="I257" s="3680">
        <f t="shared" si="15"/>
        <v>1</v>
      </c>
    </row>
    <row r="258" ht="14.25" customHeight="1" hidden="1">
      <c r="B258" s="3594" t="str">
        <f t="shared" si="16"/>
        <v>H</v>
      </c>
      <c r="D258" s="3676">
        <v>2</v>
      </c>
      <c r="E258" s="3677">
        <f t="shared" si="12"/>
      </c>
      <c r="F258" s="3677">
        <f t="shared" si="13"/>
      </c>
      <c r="G258" s="3678">
        <f t="shared" si="14"/>
      </c>
      <c r="H258" s="3679" cm="1">
        <f t="array" ref="H258">_xlfn.IFERROR(SMALL(IF(UnitMix_number_of_bedrooms=D258,UnitMix_unit_sizes),1+SUM($I$257:I257)),"")</f>
      </c>
      <c r="I258" s="3680">
        <f t="shared" si="15"/>
      </c>
    </row>
    <row r="259" ht="14.25" customHeight="1" hidden="1">
      <c r="B259" s="3594" t="str">
        <f t="shared" si="16"/>
        <v>H</v>
      </c>
      <c r="D259" s="3676">
        <v>2</v>
      </c>
      <c r="E259" s="3677">
        <f t="shared" si="12"/>
      </c>
      <c r="F259" s="3677">
        <f t="shared" si="13"/>
      </c>
      <c r="G259" s="3678">
        <f t="shared" si="14"/>
      </c>
      <c r="H259" s="3679" cm="1">
        <f t="array" ref="H259">_xlfn.IFERROR(SMALL(IF(UnitMix_number_of_bedrooms=D259,UnitMix_unit_sizes),1+SUM($I$257:I258)),"")</f>
      </c>
      <c r="I259" s="3680">
        <f t="shared" si="15"/>
      </c>
    </row>
    <row r="260" ht="14.25" customHeight="1" hidden="1">
      <c r="B260" s="3594" t="str">
        <f t="shared" si="16"/>
        <v>H</v>
      </c>
      <c r="D260" s="3676">
        <v>2</v>
      </c>
      <c r="E260" s="3677">
        <f t="shared" si="12"/>
      </c>
      <c r="F260" s="3677">
        <f t="shared" si="13"/>
      </c>
      <c r="G260" s="3678">
        <f t="shared" si="14"/>
      </c>
      <c r="H260" s="3679" cm="1">
        <f t="array" ref="H260">_xlfn.IFERROR(SMALL(IF(UnitMix_number_of_bedrooms=D260,UnitMix_unit_sizes),1+SUM($I$257:I259)),"")</f>
      </c>
      <c r="I260" s="3680">
        <f t="shared" si="15"/>
      </c>
    </row>
    <row r="261" ht="14.25" customHeight="1" hidden="1">
      <c r="B261" s="3594" t="str">
        <f t="shared" si="16"/>
        <v>H</v>
      </c>
      <c r="D261" s="3676">
        <v>2</v>
      </c>
      <c r="E261" s="3677">
        <f t="shared" si="12"/>
      </c>
      <c r="F261" s="3677">
        <f t="shared" si="13"/>
      </c>
      <c r="G261" s="3678">
        <f t="shared" si="14"/>
      </c>
      <c r="H261" s="3679" cm="1">
        <f t="array" ref="H261">_xlfn.IFERROR(SMALL(IF(UnitMix_number_of_bedrooms=D261,UnitMix_unit_sizes),1+SUM($I$257:I260)),"")</f>
      </c>
      <c r="I261" s="3680">
        <f t="shared" si="15"/>
      </c>
    </row>
    <row r="262" ht="14.25" customHeight="1" hidden="1">
      <c r="B262" s="3594" t="str">
        <f t="shared" si="16"/>
        <v>H</v>
      </c>
      <c r="D262" s="3676">
        <v>2</v>
      </c>
      <c r="E262" s="3677">
        <f t="shared" si="12"/>
      </c>
      <c r="F262" s="3677">
        <f t="shared" si="13"/>
      </c>
      <c r="G262" s="3678">
        <f t="shared" si="14"/>
      </c>
      <c r="H262" s="3679" cm="1">
        <f t="array" ref="H262">_xlfn.IFERROR(SMALL(IF(UnitMix_number_of_bedrooms=D262,UnitMix_unit_sizes),1+SUM($I$257:I261)),"")</f>
      </c>
      <c r="I262" s="3680">
        <f t="shared" si="15"/>
      </c>
    </row>
    <row r="263" ht="14.25" customHeight="1" hidden="1">
      <c r="B263" s="3594" t="str">
        <f t="shared" si="16"/>
        <v>H</v>
      </c>
      <c r="D263" s="3676">
        <v>2</v>
      </c>
      <c r="E263" s="3677">
        <f t="shared" si="12"/>
      </c>
      <c r="F263" s="3677">
        <f t="shared" si="13"/>
      </c>
      <c r="G263" s="3678">
        <f t="shared" si="14"/>
      </c>
      <c r="H263" s="3679" cm="1">
        <f t="array" ref="H263">_xlfn.IFERROR(SMALL(IF(UnitMix_number_of_bedrooms=D263,UnitMix_unit_sizes),1+SUM($I$257:I262)),"")</f>
      </c>
      <c r="I263" s="3680">
        <f t="shared" si="15"/>
      </c>
    </row>
    <row r="264" ht="14.25" customHeight="1" hidden="1">
      <c r="B264" s="3594" t="str">
        <f t="shared" si="16"/>
        <v>H</v>
      </c>
      <c r="D264" s="3676">
        <v>2</v>
      </c>
      <c r="E264" s="3677">
        <f t="shared" si="12"/>
      </c>
      <c r="F264" s="3677">
        <f t="shared" si="13"/>
      </c>
      <c r="G264" s="3678">
        <f t="shared" si="14"/>
      </c>
      <c r="H264" s="3679" cm="1">
        <f t="array" ref="H264">_xlfn.IFERROR(SMALL(IF(UnitMix_number_of_bedrooms=D264,UnitMix_unit_sizes),1+SUM($I$257:I263)),"")</f>
      </c>
      <c r="I264" s="3680">
        <f t="shared" si="15"/>
      </c>
    </row>
    <row r="265" ht="14.25" customHeight="1" hidden="1">
      <c r="B265" s="3594" t="str">
        <f t="shared" si="16"/>
        <v>H</v>
      </c>
      <c r="D265" s="3676">
        <v>2</v>
      </c>
      <c r="E265" s="3677">
        <f t="shared" si="12"/>
      </c>
      <c r="F265" s="3677">
        <f t="shared" si="13"/>
      </c>
      <c r="G265" s="3678">
        <f t="shared" si="14"/>
      </c>
      <c r="H265" s="3679" cm="1">
        <f t="array" ref="H265">_xlfn.IFERROR(SMALL(IF(UnitMix_number_of_bedrooms=D265,UnitMix_unit_sizes),1+SUM($I$257:I264)),"")</f>
      </c>
      <c r="I265" s="3680">
        <f t="shared" si="15"/>
      </c>
    </row>
    <row r="266" ht="14.25" customHeight="1" hidden="1">
      <c r="B266" s="3594" t="str">
        <f t="shared" si="16"/>
        <v>H</v>
      </c>
      <c r="D266" s="3676">
        <v>2</v>
      </c>
      <c r="E266" s="3677">
        <f t="shared" si="12"/>
      </c>
      <c r="F266" s="3677">
        <f t="shared" si="13"/>
      </c>
      <c r="G266" s="3678">
        <f t="shared" si="14"/>
      </c>
      <c r="H266" s="3679" cm="1">
        <f t="array" ref="H266">_xlfn.IFERROR(SMALL(IF(UnitMix_number_of_bedrooms=D266,UnitMix_unit_sizes),1+SUM($I$257:I265)),"")</f>
      </c>
      <c r="I266" s="3680">
        <f t="shared" si="15"/>
      </c>
    </row>
    <row r="267" ht="14.25" customHeight="1" hidden="1">
      <c r="B267" s="3594" t="str">
        <f t="shared" si="16"/>
        <v>H</v>
      </c>
      <c r="D267" s="3676">
        <v>2</v>
      </c>
      <c r="E267" s="3677">
        <f t="shared" si="12"/>
      </c>
      <c r="F267" s="3677">
        <f t="shared" si="13"/>
      </c>
      <c r="G267" s="3678">
        <f t="shared" si="14"/>
      </c>
      <c r="H267" s="3679" cm="1">
        <f t="array" ref="H267">_xlfn.IFERROR(SMALL(IF(UnitMix_number_of_bedrooms=D267,UnitMix_unit_sizes),1+SUM($I$257:I266)),"")</f>
      </c>
      <c r="I267" s="3680">
        <f t="shared" si="15"/>
      </c>
    </row>
    <row r="268" ht="14.25" customHeight="1" hidden="1">
      <c r="B268" s="3594" t="str">
        <f t="shared" si="16"/>
        <v>H</v>
      </c>
      <c r="D268" s="3676">
        <v>2</v>
      </c>
      <c r="E268" s="3677">
        <f t="shared" si="12"/>
      </c>
      <c r="F268" s="3677">
        <f t="shared" si="13"/>
      </c>
      <c r="G268" s="3678">
        <f t="shared" si="14"/>
      </c>
      <c r="H268" s="3679" cm="1">
        <f t="array" ref="H268">_xlfn.IFERROR(SMALL(IF(UnitMix_number_of_bedrooms=D268,UnitMix_unit_sizes),1+SUM($I$257:I267)),"")</f>
      </c>
      <c r="I268" s="3680">
        <f t="shared" si="15"/>
      </c>
    </row>
    <row r="269" ht="14.25" customHeight="1" hidden="1">
      <c r="B269" s="3594" t="str">
        <f t="shared" si="16"/>
        <v>H</v>
      </c>
      <c r="D269" s="3676">
        <v>2</v>
      </c>
      <c r="E269" s="3677">
        <f t="shared" si="12"/>
      </c>
      <c r="F269" s="3677">
        <f t="shared" si="13"/>
      </c>
      <c r="G269" s="3678">
        <f t="shared" si="14"/>
      </c>
      <c r="H269" s="3679" cm="1">
        <f t="array" ref="H269">_xlfn.IFERROR(SMALL(IF(UnitMix_number_of_bedrooms=D269,UnitMix_unit_sizes),1+SUM($I$257:I268)),"")</f>
      </c>
      <c r="I269" s="3680">
        <f t="shared" si="15"/>
      </c>
    </row>
    <row r="270" ht="14.25" customHeight="1" hidden="1">
      <c r="B270" s="3594" t="str">
        <f t="shared" si="16"/>
        <v>H</v>
      </c>
      <c r="D270" s="3676">
        <v>2</v>
      </c>
      <c r="E270" s="3677">
        <f t="shared" si="12"/>
      </c>
      <c r="F270" s="3677">
        <f t="shared" si="13"/>
      </c>
      <c r="G270" s="3678">
        <f t="shared" si="14"/>
      </c>
      <c r="H270" s="3679" cm="1">
        <f t="array" ref="H270">_xlfn.IFERROR(SMALL(IF(UnitMix_number_of_bedrooms=D270,UnitMix_unit_sizes),1+SUM($I$257:I269)),"")</f>
      </c>
      <c r="I270" s="3680">
        <f t="shared" si="15"/>
      </c>
    </row>
    <row r="271" ht="14.25" customHeight="1" hidden="1">
      <c r="B271" s="3594" t="str">
        <f t="shared" si="16"/>
        <v>H</v>
      </c>
      <c r="D271" s="3676">
        <v>2</v>
      </c>
      <c r="E271" s="3677">
        <f t="shared" si="12"/>
      </c>
      <c r="F271" s="3677">
        <f t="shared" si="13"/>
      </c>
      <c r="G271" s="3678">
        <f t="shared" si="14"/>
      </c>
      <c r="H271" s="3679" cm="1">
        <f t="array" ref="H271">_xlfn.IFERROR(SMALL(IF(UnitMix_number_of_bedrooms=D271,UnitMix_unit_sizes),1+SUM($I$257:I270)),"")</f>
      </c>
      <c r="I271" s="3680">
        <f t="shared" si="15"/>
      </c>
    </row>
    <row r="272" ht="14.25" customHeight="1" hidden="1">
      <c r="B272" s="3594" t="str">
        <f t="shared" si="16"/>
        <v>H</v>
      </c>
      <c r="D272" s="3676">
        <v>2</v>
      </c>
      <c r="E272" s="3677">
        <f t="shared" si="12"/>
      </c>
      <c r="F272" s="3677">
        <f t="shared" si="13"/>
      </c>
      <c r="G272" s="3678">
        <f t="shared" si="14"/>
      </c>
      <c r="H272" s="3679" cm="1">
        <f t="array" ref="H272">_xlfn.IFERROR(SMALL(IF(UnitMix_number_of_bedrooms=D272,UnitMix_unit_sizes),1+SUM($I$257:I271)),"")</f>
      </c>
      <c r="I272" s="3680">
        <f t="shared" si="15"/>
      </c>
    </row>
    <row r="273" ht="14.25" customHeight="1" hidden="1">
      <c r="B273" s="3594" t="str">
        <f t="shared" si="16"/>
        <v>H</v>
      </c>
      <c r="D273" s="3676">
        <v>2</v>
      </c>
      <c r="E273" s="3677">
        <f t="shared" si="12"/>
      </c>
      <c r="F273" s="3677">
        <f t="shared" si="13"/>
      </c>
      <c r="G273" s="3678">
        <f t="shared" si="14"/>
      </c>
      <c r="H273" s="3679" cm="1">
        <f t="array" ref="H273">_xlfn.IFERROR(SMALL(IF(UnitMix_number_of_bedrooms=D273,UnitMix_unit_sizes),1+SUM($I$257:I272)),"")</f>
      </c>
      <c r="I273" s="3680">
        <f t="shared" si="15"/>
      </c>
    </row>
    <row r="274" ht="14.25" customHeight="1" hidden="1">
      <c r="B274" s="3594" t="str">
        <f t="shared" si="16"/>
        <v>H</v>
      </c>
      <c r="D274" s="3676">
        <v>2</v>
      </c>
      <c r="E274" s="3677">
        <f t="shared" si="12"/>
      </c>
      <c r="F274" s="3677">
        <f t="shared" si="13"/>
      </c>
      <c r="G274" s="3678">
        <f t="shared" si="14"/>
      </c>
      <c r="H274" s="3679" cm="1">
        <f t="array" ref="H274">_xlfn.IFERROR(SMALL(IF(UnitMix_number_of_bedrooms=D274,UnitMix_unit_sizes),1+SUM($I$257:I273)),"")</f>
      </c>
      <c r="I274" s="3680">
        <f t="shared" si="15"/>
      </c>
    </row>
    <row r="275" ht="14.25" customHeight="1" hidden="1">
      <c r="B275" s="3594" t="str">
        <f t="shared" si="16"/>
        <v>H</v>
      </c>
      <c r="D275" s="3676">
        <v>2</v>
      </c>
      <c r="E275" s="3677">
        <f t="shared" si="12"/>
      </c>
      <c r="F275" s="3677">
        <f t="shared" si="13"/>
      </c>
      <c r="G275" s="3678">
        <f t="shared" si="14"/>
      </c>
      <c r="H275" s="3679" cm="1">
        <f t="array" ref="H275">_xlfn.IFERROR(SMALL(IF(UnitMix_number_of_bedrooms=D275,UnitMix_unit_sizes),1+SUM($I$257:I274)),"")</f>
      </c>
      <c r="I275" s="3680">
        <f t="shared" si="15"/>
      </c>
    </row>
    <row r="276" ht="14.25" customHeight="1" hidden="1">
      <c r="B276" s="3594" t="str">
        <f t="shared" si="16"/>
        <v>H</v>
      </c>
      <c r="D276" s="3676">
        <v>2</v>
      </c>
      <c r="E276" s="3677">
        <f t="shared" si="12"/>
      </c>
      <c r="F276" s="3677">
        <f t="shared" si="13"/>
      </c>
      <c r="G276" s="3678">
        <f t="shared" si="14"/>
      </c>
      <c r="H276" s="3679" cm="1">
        <f t="array" ref="H276">_xlfn.IFERROR(SMALL(IF(UnitMix_number_of_bedrooms=D276,UnitMix_unit_sizes),1+SUM($I$257:I275)),"")</f>
      </c>
      <c r="I276" s="3680">
        <f t="shared" si="15"/>
      </c>
    </row>
    <row r="277" ht="14.25" customHeight="1" hidden="1">
      <c r="B277" s="3594" t="str">
        <f t="shared" si="16"/>
        <v>H</v>
      </c>
      <c r="D277" s="3676">
        <v>2</v>
      </c>
      <c r="E277" s="3677">
        <f t="shared" si="12"/>
      </c>
      <c r="F277" s="3677">
        <f t="shared" si="13"/>
      </c>
      <c r="G277" s="3678">
        <f t="shared" si="14"/>
      </c>
      <c r="H277" s="3679" cm="1">
        <f t="array" ref="H277">_xlfn.IFERROR(SMALL(IF(UnitMix_number_of_bedrooms=D277,UnitMix_unit_sizes),1+SUM($I$257:I276)),"")</f>
      </c>
      <c r="I277" s="3680">
        <f t="shared" si="15"/>
      </c>
    </row>
    <row r="278" ht="14.25" customHeight="1" hidden="1">
      <c r="B278" s="3594" t="str">
        <f t="shared" si="16"/>
        <v>H</v>
      </c>
      <c r="D278" s="3676">
        <v>2</v>
      </c>
      <c r="E278" s="3677">
        <f t="shared" si="12"/>
      </c>
      <c r="F278" s="3677">
        <f t="shared" si="13"/>
      </c>
      <c r="G278" s="3678">
        <f t="shared" si="14"/>
      </c>
      <c r="H278" s="3679" cm="1">
        <f t="array" ref="H278">_xlfn.IFERROR(SMALL(IF(UnitMix_number_of_bedrooms=D278,UnitMix_unit_sizes),1+SUM($I$257:I277)),"")</f>
      </c>
      <c r="I278" s="3680">
        <f t="shared" si="15"/>
      </c>
    </row>
    <row r="279" ht="14.25" customHeight="1" hidden="1">
      <c r="B279" s="3594" t="str">
        <f t="shared" si="16"/>
        <v>H</v>
      </c>
      <c r="D279" s="3676">
        <v>2</v>
      </c>
      <c r="E279" s="3677">
        <f t="shared" si="12"/>
      </c>
      <c r="F279" s="3677">
        <f t="shared" si="13"/>
      </c>
      <c r="G279" s="3678">
        <f t="shared" si="14"/>
      </c>
      <c r="H279" s="3679" cm="1">
        <f t="array" ref="H279">_xlfn.IFERROR(SMALL(IF(UnitMix_number_of_bedrooms=D279,UnitMix_unit_sizes),1+SUM($I$257:I278)),"")</f>
      </c>
      <c r="I279" s="3680">
        <f t="shared" si="15"/>
      </c>
    </row>
    <row r="280" ht="14.25" customHeight="1" hidden="1">
      <c r="B280" s="3594" t="str">
        <f t="shared" si="16"/>
        <v>H</v>
      </c>
      <c r="D280" s="3676">
        <v>2</v>
      </c>
      <c r="E280" s="3677">
        <f t="shared" si="12"/>
      </c>
      <c r="F280" s="3677">
        <f t="shared" si="13"/>
      </c>
      <c r="G280" s="3678">
        <f t="shared" si="14"/>
      </c>
      <c r="H280" s="3679" cm="1">
        <f t="array" ref="H280">_xlfn.IFERROR(SMALL(IF(UnitMix_number_of_bedrooms=D280,UnitMix_unit_sizes),1+SUM($I$257:I279)),"")</f>
      </c>
      <c r="I280" s="3680">
        <f t="shared" si="15"/>
      </c>
    </row>
    <row r="281" ht="14.25" customHeight="1" hidden="1">
      <c r="B281" s="3594" t="str">
        <f t="shared" si="16"/>
        <v>H</v>
      </c>
      <c r="D281" s="3676">
        <v>2</v>
      </c>
      <c r="E281" s="3677">
        <f t="shared" si="12"/>
      </c>
      <c r="F281" s="3677">
        <f t="shared" si="13"/>
      </c>
      <c r="G281" s="3678">
        <f t="shared" si="14"/>
      </c>
      <c r="H281" s="3679" cm="1">
        <f t="array" ref="H281">_xlfn.IFERROR(SMALL(IF(UnitMix_number_of_bedrooms=D281,UnitMix_unit_sizes),1+SUM($I$257:I280)),"")</f>
      </c>
      <c r="I281" s="3680">
        <f t="shared" si="15"/>
      </c>
    </row>
    <row r="282" ht="14.25" customHeight="1" hidden="1">
      <c r="B282" s="3594" t="str">
        <f t="shared" si="16"/>
        <v>H</v>
      </c>
      <c r="D282" s="3676">
        <v>2</v>
      </c>
      <c r="E282" s="3677">
        <f t="shared" si="12"/>
      </c>
      <c r="F282" s="3677">
        <f t="shared" si="13"/>
      </c>
      <c r="G282" s="3678">
        <f t="shared" si="14"/>
      </c>
      <c r="H282" s="3679" cm="1">
        <f t="array" ref="H282">_xlfn.IFERROR(SMALL(IF(UnitMix_number_of_bedrooms=D282,UnitMix_unit_sizes),1+SUM($I$257:I281)),"")</f>
      </c>
      <c r="I282" s="3680">
        <f t="shared" si="15"/>
      </c>
    </row>
    <row r="283" ht="14.25" customHeight="1" hidden="1">
      <c r="B283" s="3594" t="str">
        <f t="shared" si="16"/>
        <v>H</v>
      </c>
      <c r="D283" s="3676">
        <v>2</v>
      </c>
      <c r="E283" s="3677">
        <f t="shared" si="12"/>
      </c>
      <c r="F283" s="3677">
        <f t="shared" si="13"/>
      </c>
      <c r="G283" s="3678">
        <f t="shared" si="14"/>
      </c>
      <c r="H283" s="3679" cm="1">
        <f t="array" ref="H283">_xlfn.IFERROR(SMALL(IF(UnitMix_number_of_bedrooms=D283,UnitMix_unit_sizes),1+SUM($I$257:I282)),"")</f>
      </c>
      <c r="I283" s="3680">
        <f t="shared" si="15"/>
      </c>
    </row>
    <row r="284" ht="14.25" customHeight="1" hidden="1">
      <c r="B284" s="3594" t="str">
        <f t="shared" si="16"/>
        <v>H</v>
      </c>
      <c r="D284" s="3676">
        <v>2</v>
      </c>
      <c r="E284" s="3677">
        <f t="shared" si="12"/>
      </c>
      <c r="F284" s="3677">
        <f t="shared" si="13"/>
      </c>
      <c r="G284" s="3678">
        <f t="shared" si="14"/>
      </c>
      <c r="H284" s="3679" cm="1">
        <f t="array" ref="H284">_xlfn.IFERROR(SMALL(IF(UnitMix_number_of_bedrooms=D284,UnitMix_unit_sizes),1+SUM($I$257:I283)),"")</f>
      </c>
      <c r="I284" s="3680">
        <f t="shared" si="15"/>
      </c>
    </row>
    <row r="285" ht="14.25" customHeight="1" hidden="1">
      <c r="B285" s="3594" t="str">
        <f t="shared" si="16"/>
        <v>H</v>
      </c>
      <c r="D285" s="3676">
        <v>2</v>
      </c>
      <c r="E285" s="3677">
        <f t="shared" si="12"/>
      </c>
      <c r="F285" s="3677">
        <f t="shared" si="13"/>
      </c>
      <c r="G285" s="3678">
        <f t="shared" si="14"/>
      </c>
      <c r="H285" s="3679" cm="1">
        <f t="array" ref="H285">_xlfn.IFERROR(SMALL(IF(UnitMix_number_of_bedrooms=D285,UnitMix_unit_sizes),1+SUM($I$257:I284)),"")</f>
      </c>
      <c r="I285" s="3680">
        <f t="shared" si="15"/>
      </c>
    </row>
    <row r="286" ht="14.25" customHeight="1" hidden="1">
      <c r="B286" s="3594" t="str">
        <f t="shared" si="16"/>
        <v>H</v>
      </c>
      <c r="D286" s="3676">
        <v>2</v>
      </c>
      <c r="E286" s="3677">
        <f t="shared" si="12"/>
      </c>
      <c r="F286" s="3677">
        <f t="shared" si="13"/>
      </c>
      <c r="G286" s="3678">
        <f t="shared" si="14"/>
      </c>
      <c r="H286" s="3679" cm="1">
        <f t="array" ref="H286">_xlfn.IFERROR(SMALL(IF(UnitMix_number_of_bedrooms=D286,UnitMix_unit_sizes),1+SUM($I$257:I285)),"")</f>
      </c>
      <c r="I286" s="3680">
        <f t="shared" si="15"/>
      </c>
    </row>
    <row r="287" ht="14.25" customHeight="1" hidden="1">
      <c r="B287" s="3594" t="str">
        <f t="shared" si="16"/>
        <v>H</v>
      </c>
      <c r="D287" s="3676">
        <v>2</v>
      </c>
      <c r="E287" s="3677">
        <f t="shared" si="12"/>
      </c>
      <c r="F287" s="3677">
        <f t="shared" si="13"/>
      </c>
      <c r="G287" s="3678">
        <f t="shared" si="14"/>
      </c>
      <c r="H287" s="3679" cm="1">
        <f t="array" ref="H287">_xlfn.IFERROR(SMALL(IF(UnitMix_number_of_bedrooms=D287,UnitMix_unit_sizes),1+SUM($I$257:I286)),"")</f>
      </c>
      <c r="I287" s="3680">
        <f t="shared" si="15"/>
      </c>
    </row>
    <row r="288" ht="14.25" customHeight="1" hidden="1">
      <c r="B288" s="3594" t="str">
        <f t="shared" si="16"/>
        <v>H</v>
      </c>
      <c r="D288" s="3676">
        <v>2</v>
      </c>
      <c r="E288" s="3677">
        <f t="shared" si="12"/>
      </c>
      <c r="F288" s="3677">
        <f t="shared" si="13"/>
      </c>
      <c r="G288" s="3678">
        <f t="shared" si="14"/>
      </c>
      <c r="H288" s="3679" cm="1">
        <f t="array" ref="H288">_xlfn.IFERROR(SMALL(IF(UnitMix_number_of_bedrooms=D288,UnitMix_unit_sizes),1+SUM($I$257:I287)),"")</f>
      </c>
      <c r="I288" s="3680">
        <f t="shared" si="15"/>
      </c>
    </row>
    <row r="289" ht="14.25" customHeight="1" hidden="1">
      <c r="B289" s="3594" t="str">
        <f t="shared" si="16"/>
        <v>H</v>
      </c>
      <c r="D289" s="3676">
        <v>2</v>
      </c>
      <c r="E289" s="3677">
        <f t="shared" si="12"/>
      </c>
      <c r="F289" s="3677">
        <f t="shared" si="13"/>
      </c>
      <c r="G289" s="3678">
        <f t="shared" si="14"/>
      </c>
      <c r="H289" s="3679" cm="1">
        <f t="array" ref="H289">_xlfn.IFERROR(SMALL(IF(UnitMix_number_of_bedrooms=D289,UnitMix_unit_sizes),1+SUM($I$257:I288)),"")</f>
      </c>
      <c r="I289" s="3680">
        <f t="shared" si="15"/>
      </c>
    </row>
    <row r="290" ht="14.25" customHeight="1" hidden="1">
      <c r="B290" s="3594" t="str">
        <f t="shared" si="16"/>
        <v>H</v>
      </c>
      <c r="D290" s="3676">
        <v>2</v>
      </c>
      <c r="E290" s="3677">
        <f t="shared" si="12"/>
      </c>
      <c r="F290" s="3677">
        <f t="shared" si="13"/>
      </c>
      <c r="G290" s="3678">
        <f t="shared" si="14"/>
      </c>
      <c r="H290" s="3679" cm="1">
        <f t="array" ref="H290">_xlfn.IFERROR(SMALL(IF(UnitMix_number_of_bedrooms=D290,UnitMix_unit_sizes),1+SUM($I$257:I289)),"")</f>
      </c>
      <c r="I290" s="3680">
        <f t="shared" si="15"/>
      </c>
    </row>
    <row r="291" ht="14.25" customHeight="1" hidden="1">
      <c r="B291" s="3594" t="str">
        <f t="shared" si="16"/>
        <v>H</v>
      </c>
      <c r="D291" s="3676">
        <v>2</v>
      </c>
      <c r="E291" s="3677">
        <f t="shared" si="12"/>
      </c>
      <c r="F291" s="3677">
        <f t="shared" si="13"/>
      </c>
      <c r="G291" s="3678">
        <f t="shared" si="14"/>
      </c>
      <c r="H291" s="3679" cm="1">
        <f t="array" ref="H291">_xlfn.IFERROR(SMALL(IF(UnitMix_number_of_bedrooms=D291,UnitMix_unit_sizes),1+SUM($I$257:I290)),"")</f>
      </c>
      <c r="I291" s="3680">
        <f t="shared" si="15"/>
      </c>
    </row>
    <row r="292" ht="14.25" customHeight="1" hidden="1">
      <c r="B292" s="3594" t="str">
        <f t="shared" si="16"/>
        <v>H</v>
      </c>
      <c r="D292" s="3676">
        <v>2</v>
      </c>
      <c r="E292" s="3677">
        <f t="shared" si="12"/>
      </c>
      <c r="F292" s="3677">
        <f t="shared" si="13"/>
      </c>
      <c r="G292" s="3678">
        <f t="shared" si="14"/>
      </c>
      <c r="H292" s="3679" cm="1">
        <f t="array" ref="H292">_xlfn.IFERROR(SMALL(IF(UnitMix_number_of_bedrooms=D292,UnitMix_unit_sizes),1+SUM($I$257:I291)),"")</f>
      </c>
      <c r="I292" s="3680">
        <f t="shared" si="15"/>
      </c>
    </row>
    <row r="293" ht="14.25" customHeight="1" hidden="1">
      <c r="B293" s="3594" t="str">
        <f t="shared" si="16"/>
        <v>H</v>
      </c>
      <c r="D293" s="3676">
        <v>2</v>
      </c>
      <c r="E293" s="3677">
        <f t="shared" si="12"/>
      </c>
      <c r="F293" s="3677">
        <f t="shared" si="13"/>
      </c>
      <c r="G293" s="3678">
        <f t="shared" si="14"/>
      </c>
      <c r="H293" s="3679" cm="1">
        <f t="array" ref="H293">_xlfn.IFERROR(SMALL(IF(UnitMix_number_of_bedrooms=D293,UnitMix_unit_sizes),1+SUM($I$257:I292)),"")</f>
      </c>
      <c r="I293" s="3680">
        <f t="shared" si="15"/>
      </c>
    </row>
    <row r="294" ht="14.25" customHeight="1" hidden="1">
      <c r="B294" s="3594" t="str">
        <f t="shared" si="16"/>
        <v>H</v>
      </c>
      <c r="D294" s="3676">
        <v>2</v>
      </c>
      <c r="E294" s="3677">
        <f t="shared" si="12"/>
      </c>
      <c r="F294" s="3677">
        <f t="shared" si="13"/>
      </c>
      <c r="G294" s="3678">
        <f t="shared" si="14"/>
      </c>
      <c r="H294" s="3679" cm="1">
        <f t="array" ref="H294">_xlfn.IFERROR(SMALL(IF(UnitMix_number_of_bedrooms=D294,UnitMix_unit_sizes),1+SUM($I$257:I293)),"")</f>
      </c>
      <c r="I294" s="3680">
        <f t="shared" si="15"/>
      </c>
    </row>
    <row r="295" ht="14.25" customHeight="1" hidden="1">
      <c r="B295" s="3594" t="str">
        <f t="shared" si="16"/>
        <v>H</v>
      </c>
      <c r="D295" s="3676">
        <v>2</v>
      </c>
      <c r="E295" s="3677">
        <f t="shared" si="12"/>
      </c>
      <c r="F295" s="3677">
        <f t="shared" si="13"/>
      </c>
      <c r="G295" s="3678">
        <f t="shared" si="14"/>
      </c>
      <c r="H295" s="3679" cm="1">
        <f t="array" ref="H295">_xlfn.IFERROR(SMALL(IF(UnitMix_number_of_bedrooms=D295,UnitMix_unit_sizes),1+SUM($I$257:I294)),"")</f>
      </c>
      <c r="I295" s="3680">
        <f t="shared" si="15"/>
      </c>
    </row>
    <row r="296" ht="14.25" customHeight="1" hidden="1">
      <c r="B296" s="3594" t="str">
        <f t="shared" si="16"/>
        <v>H</v>
      </c>
      <c r="D296" s="3676">
        <v>2</v>
      </c>
      <c r="E296" s="3677">
        <f t="shared" si="12"/>
      </c>
      <c r="F296" s="3677">
        <f t="shared" si="13"/>
      </c>
      <c r="G296" s="3678">
        <f t="shared" si="14"/>
      </c>
      <c r="H296" s="3679" cm="1">
        <f t="array" ref="H296">_xlfn.IFERROR(SMALL(IF(UnitMix_number_of_bedrooms=D296,UnitMix_unit_sizes),1+SUM($I$257:I295)),"")</f>
      </c>
      <c r="I296" s="3680">
        <f t="shared" si="15"/>
      </c>
    </row>
    <row r="297" ht="14.25" customHeight="1">
      <c r="B297" s="3675" t="s">
        <v>2547</v>
      </c>
      <c r="D297" s="3681">
        <v>3</v>
      </c>
      <c r="E297" s="3682">
        <f t="shared" si="12"/>
      </c>
      <c r="F297" s="3682">
        <f t="shared" si="13"/>
      </c>
      <c r="G297" s="3683">
        <f t="shared" si="14"/>
      </c>
      <c r="H297" s="3684" cm="1">
        <f t="array" ref="H297">_xlfn.IFERROR(SMALL(IF(UnitMix_number_of_bedrooms=D297,UnitMix_unit_sizes),1),"")</f>
      </c>
      <c r="I297" s="3685">
        <f t="shared" si="15"/>
      </c>
    </row>
    <row r="298" ht="14.25" customHeight="1" hidden="1">
      <c r="B298" s="3594" t="str">
        <f t="shared" si="16"/>
        <v>H</v>
      </c>
      <c r="D298" s="3681">
        <v>3</v>
      </c>
      <c r="E298" s="3682">
        <f t="shared" si="12"/>
      </c>
      <c r="F298" s="3682">
        <f t="shared" si="13"/>
      </c>
      <c r="G298" s="3683">
        <f t="shared" si="14"/>
      </c>
      <c r="H298" s="3684" cm="1">
        <f t="array" ref="H298">_xlfn.IFERROR(SMALL(IF(UnitMix_number_of_bedrooms=D298,UnitMix_unit_sizes),1+SUM($I$297:I297)),"")</f>
      </c>
      <c r="I298" s="3685">
        <f t="shared" si="15"/>
      </c>
    </row>
    <row r="299" ht="14.25" customHeight="1" hidden="1">
      <c r="B299" s="3594" t="str">
        <f t="shared" si="16"/>
        <v>H</v>
      </c>
      <c r="D299" s="3681">
        <v>3</v>
      </c>
      <c r="E299" s="3682">
        <f t="shared" si="12"/>
      </c>
      <c r="F299" s="3682">
        <f t="shared" si="13"/>
      </c>
      <c r="G299" s="3683">
        <f t="shared" si="14"/>
      </c>
      <c r="H299" s="3684" cm="1">
        <f t="array" ref="H299">_xlfn.IFERROR(SMALL(IF(UnitMix_number_of_bedrooms=D299,UnitMix_unit_sizes),1+SUM($I$297:I298)),"")</f>
      </c>
      <c r="I299" s="3685">
        <f t="shared" si="15"/>
      </c>
    </row>
    <row r="300" ht="14.25" customHeight="1" hidden="1">
      <c r="B300" s="3594" t="str">
        <f t="shared" si="16"/>
        <v>H</v>
      </c>
      <c r="D300" s="3681">
        <v>3</v>
      </c>
      <c r="E300" s="3682">
        <f t="shared" si="12"/>
      </c>
      <c r="F300" s="3682">
        <f t="shared" si="13"/>
      </c>
      <c r="G300" s="3683">
        <f t="shared" si="14"/>
      </c>
      <c r="H300" s="3684" cm="1">
        <f t="array" ref="H300">_xlfn.IFERROR(SMALL(IF(UnitMix_number_of_bedrooms=D300,UnitMix_unit_sizes),1+SUM($I$297:I299)),"")</f>
      </c>
      <c r="I300" s="3685">
        <f t="shared" si="15"/>
      </c>
    </row>
    <row r="301" ht="14.25" customHeight="1" hidden="1">
      <c r="B301" s="3594" t="str">
        <f t="shared" si="16"/>
        <v>H</v>
      </c>
      <c r="D301" s="3681">
        <v>3</v>
      </c>
      <c r="E301" s="3682">
        <f t="shared" si="12"/>
      </c>
      <c r="F301" s="3682">
        <f t="shared" si="13"/>
      </c>
      <c r="G301" s="3683">
        <f t="shared" si="14"/>
      </c>
      <c r="H301" s="3684" cm="1">
        <f t="array" ref="H301">_xlfn.IFERROR(SMALL(IF(UnitMix_number_of_bedrooms=D301,UnitMix_unit_sizes),1+SUM($I$297:I300)),"")</f>
      </c>
      <c r="I301" s="3685">
        <f t="shared" si="15"/>
      </c>
    </row>
    <row r="302" ht="14.25" customHeight="1" hidden="1">
      <c r="B302" s="3594" t="str">
        <f t="shared" si="16"/>
        <v>H</v>
      </c>
      <c r="D302" s="3681">
        <v>3</v>
      </c>
      <c r="E302" s="3682">
        <f t="shared" si="12"/>
      </c>
      <c r="F302" s="3682">
        <f t="shared" si="13"/>
      </c>
      <c r="G302" s="3683">
        <f t="shared" si="14"/>
      </c>
      <c r="H302" s="3684" cm="1">
        <f t="array" ref="H302">_xlfn.IFERROR(SMALL(IF(UnitMix_number_of_bedrooms=D302,UnitMix_unit_sizes),1+SUM($I$297:I301)),"")</f>
      </c>
      <c r="I302" s="3685">
        <f t="shared" si="15"/>
      </c>
    </row>
    <row r="303" ht="14.25" customHeight="1" hidden="1">
      <c r="B303" s="3594" t="str">
        <f t="shared" si="16"/>
        <v>H</v>
      </c>
      <c r="D303" s="3681">
        <v>3</v>
      </c>
      <c r="E303" s="3682">
        <f t="shared" si="12"/>
      </c>
      <c r="F303" s="3682">
        <f t="shared" si="13"/>
      </c>
      <c r="G303" s="3683">
        <f t="shared" si="14"/>
      </c>
      <c r="H303" s="3684" cm="1">
        <f t="array" ref="H303">_xlfn.IFERROR(SMALL(IF(UnitMix_number_of_bedrooms=D303,UnitMix_unit_sizes),1+SUM($I$297:I302)),"")</f>
      </c>
      <c r="I303" s="3685">
        <f t="shared" si="15"/>
      </c>
    </row>
    <row r="304" ht="14.25" customHeight="1" hidden="1">
      <c r="B304" s="3594" t="str">
        <f t="shared" si="16"/>
        <v>H</v>
      </c>
      <c r="D304" s="3681">
        <v>3</v>
      </c>
      <c r="E304" s="3682">
        <f t="shared" si="12"/>
      </c>
      <c r="F304" s="3682">
        <f t="shared" si="13"/>
      </c>
      <c r="G304" s="3683">
        <f t="shared" si="14"/>
      </c>
      <c r="H304" s="3684" cm="1">
        <f t="array" ref="H304">_xlfn.IFERROR(SMALL(IF(UnitMix_number_of_bedrooms=D304,UnitMix_unit_sizes),1+SUM($I$297:I303)),"")</f>
      </c>
      <c r="I304" s="3685">
        <f t="shared" si="15"/>
      </c>
    </row>
    <row r="305" ht="14.25" customHeight="1" hidden="1">
      <c r="B305" s="3594" t="str">
        <f t="shared" si="16"/>
        <v>H</v>
      </c>
      <c r="D305" s="3681">
        <v>3</v>
      </c>
      <c r="E305" s="3682">
        <f t="shared" si="12"/>
      </c>
      <c r="F305" s="3682">
        <f t="shared" si="13"/>
      </c>
      <c r="G305" s="3683">
        <f t="shared" si="14"/>
      </c>
      <c r="H305" s="3684" cm="1">
        <f t="array" ref="H305">_xlfn.IFERROR(SMALL(IF(UnitMix_number_of_bedrooms=D305,UnitMix_unit_sizes),1+SUM($I$297:I304)),"")</f>
      </c>
      <c r="I305" s="3685">
        <f t="shared" si="15"/>
      </c>
    </row>
    <row r="306" ht="14.25" customHeight="1" hidden="1">
      <c r="B306" s="3594" t="str">
        <f t="shared" si="16"/>
        <v>H</v>
      </c>
      <c r="D306" s="3681">
        <v>3</v>
      </c>
      <c r="E306" s="3682">
        <f t="shared" si="12"/>
      </c>
      <c r="F306" s="3682">
        <f t="shared" si="13"/>
      </c>
      <c r="G306" s="3683">
        <f t="shared" si="14"/>
      </c>
      <c r="H306" s="3684" cm="1">
        <f t="array" ref="H306">_xlfn.IFERROR(SMALL(IF(UnitMix_number_of_bedrooms=D306,UnitMix_unit_sizes),1+SUM($I$297:I305)),"")</f>
      </c>
      <c r="I306" s="3685">
        <f t="shared" si="15"/>
      </c>
    </row>
    <row r="307" ht="14.25" customHeight="1" hidden="1">
      <c r="B307" s="3594" t="str">
        <f t="shared" si="16"/>
        <v>H</v>
      </c>
      <c r="D307" s="3681">
        <v>3</v>
      </c>
      <c r="E307" s="3682">
        <f t="shared" si="12"/>
      </c>
      <c r="F307" s="3682">
        <f t="shared" si="13"/>
      </c>
      <c r="G307" s="3683">
        <f t="shared" si="14"/>
      </c>
      <c r="H307" s="3684" cm="1">
        <f t="array" ref="H307">_xlfn.IFERROR(SMALL(IF(UnitMix_number_of_bedrooms=D307,UnitMix_unit_sizes),1+SUM($I$297:I306)),"")</f>
      </c>
      <c r="I307" s="3685">
        <f t="shared" si="15"/>
      </c>
    </row>
    <row r="308" ht="14.25" customHeight="1" hidden="1">
      <c r="B308" s="3594" t="str">
        <f t="shared" si="16"/>
        <v>H</v>
      </c>
      <c r="D308" s="3681">
        <v>3</v>
      </c>
      <c r="E308" s="3682">
        <f t="shared" si="12"/>
      </c>
      <c r="F308" s="3682">
        <f t="shared" si="13"/>
      </c>
      <c r="G308" s="3683">
        <f t="shared" si="14"/>
      </c>
      <c r="H308" s="3684" cm="1">
        <f t="array" ref="H308">_xlfn.IFERROR(SMALL(IF(UnitMix_number_of_bedrooms=D308,UnitMix_unit_sizes),1+SUM($I$297:I307)),"")</f>
      </c>
      <c r="I308" s="3685">
        <f t="shared" si="15"/>
      </c>
    </row>
    <row r="309" ht="14.25" customHeight="1" hidden="1">
      <c r="B309" s="3594" t="str">
        <f t="shared" si="16"/>
        <v>H</v>
      </c>
      <c r="D309" s="3681">
        <v>3</v>
      </c>
      <c r="E309" s="3682">
        <f t="shared" si="12"/>
      </c>
      <c r="F309" s="3682">
        <f t="shared" si="13"/>
      </c>
      <c r="G309" s="3683">
        <f t="shared" si="14"/>
      </c>
      <c r="H309" s="3684" cm="1">
        <f t="array" ref="H309">_xlfn.IFERROR(SMALL(IF(UnitMix_number_of_bedrooms=D309,UnitMix_unit_sizes),1+SUM($I$297:I308)),"")</f>
      </c>
      <c r="I309" s="3685">
        <f t="shared" si="15"/>
      </c>
    </row>
    <row r="310" ht="14.25" customHeight="1" hidden="1">
      <c r="B310" s="3594" t="str">
        <f t="shared" si="16"/>
        <v>H</v>
      </c>
      <c r="D310" s="3681">
        <v>3</v>
      </c>
      <c r="E310" s="3682">
        <f t="shared" si="12"/>
      </c>
      <c r="F310" s="3682">
        <f t="shared" si="13"/>
      </c>
      <c r="G310" s="3683">
        <f t="shared" si="14"/>
      </c>
      <c r="H310" s="3684" cm="1">
        <f t="array" ref="H310">_xlfn.IFERROR(SMALL(IF(UnitMix_number_of_bedrooms=D310,UnitMix_unit_sizes),1+SUM($I$297:I309)),"")</f>
      </c>
      <c r="I310" s="3685">
        <f t="shared" si="15"/>
      </c>
    </row>
    <row r="311" ht="14.25" customHeight="1" hidden="1">
      <c r="B311" s="3594" t="str">
        <f t="shared" si="16"/>
        <v>H</v>
      </c>
      <c r="D311" s="3681">
        <v>3</v>
      </c>
      <c r="E311" s="3682">
        <f t="shared" si="12"/>
      </c>
      <c r="F311" s="3682">
        <f t="shared" si="13"/>
      </c>
      <c r="G311" s="3683">
        <f t="shared" si="14"/>
      </c>
      <c r="H311" s="3684" cm="1">
        <f t="array" ref="H311">_xlfn.IFERROR(SMALL(IF(UnitMix_number_of_bedrooms=D311,UnitMix_unit_sizes),1+SUM($I$297:I310)),"")</f>
      </c>
      <c r="I311" s="3685">
        <f t="shared" si="15"/>
      </c>
    </row>
    <row r="312" ht="14.25" customHeight="1" hidden="1">
      <c r="B312" s="3594" t="str">
        <f t="shared" si="16"/>
        <v>H</v>
      </c>
      <c r="D312" s="3681">
        <v>3</v>
      </c>
      <c r="E312" s="3682">
        <f t="shared" si="12"/>
      </c>
      <c r="F312" s="3682">
        <f t="shared" si="13"/>
      </c>
      <c r="G312" s="3683">
        <f t="shared" si="14"/>
      </c>
      <c r="H312" s="3684" cm="1">
        <f t="array" ref="H312">_xlfn.IFERROR(SMALL(IF(UnitMix_number_of_bedrooms=D312,UnitMix_unit_sizes),1+SUM($I$297:I311)),"")</f>
      </c>
      <c r="I312" s="3685">
        <f t="shared" si="15"/>
      </c>
    </row>
    <row r="313" ht="14.25" customHeight="1" hidden="1">
      <c r="B313" s="3594" t="str">
        <f t="shared" si="16"/>
        <v>H</v>
      </c>
      <c r="D313" s="3681">
        <v>3</v>
      </c>
      <c r="E313" s="3682">
        <f t="shared" si="12"/>
      </c>
      <c r="F313" s="3682">
        <f t="shared" si="13"/>
      </c>
      <c r="G313" s="3683">
        <f t="shared" si="14"/>
      </c>
      <c r="H313" s="3684" cm="1">
        <f t="array" ref="H313">_xlfn.IFERROR(SMALL(IF(UnitMix_number_of_bedrooms=D313,UnitMix_unit_sizes),1+SUM($I$297:I312)),"")</f>
      </c>
      <c r="I313" s="3685">
        <f t="shared" si="15"/>
      </c>
    </row>
    <row r="314" ht="14.25" customHeight="1" hidden="1">
      <c r="B314" s="3594" t="str">
        <f t="shared" si="16"/>
        <v>H</v>
      </c>
      <c r="D314" s="3681">
        <v>3</v>
      </c>
      <c r="E314" s="3682">
        <f t="shared" si="12"/>
      </c>
      <c r="F314" s="3682">
        <f t="shared" si="13"/>
      </c>
      <c r="G314" s="3683">
        <f t="shared" si="14"/>
      </c>
      <c r="H314" s="3684" cm="1">
        <f t="array" ref="H314">_xlfn.IFERROR(SMALL(IF(UnitMix_number_of_bedrooms=D314,UnitMix_unit_sizes),1+SUM($I$297:I313)),"")</f>
      </c>
      <c r="I314" s="3685">
        <f t="shared" si="15"/>
      </c>
    </row>
    <row r="315" ht="14.25" customHeight="1" hidden="1">
      <c r="B315" s="3594" t="str">
        <f t="shared" si="16"/>
        <v>H</v>
      </c>
      <c r="D315" s="3681">
        <v>3</v>
      </c>
      <c r="E315" s="3682">
        <f t="shared" si="12"/>
      </c>
      <c r="F315" s="3682">
        <f t="shared" si="13"/>
      </c>
      <c r="G315" s="3683">
        <f t="shared" si="14"/>
      </c>
      <c r="H315" s="3684" cm="1">
        <f t="array" ref="H315">_xlfn.IFERROR(SMALL(IF(UnitMix_number_of_bedrooms=D315,UnitMix_unit_sizes),1+SUM($I$297:I314)),"")</f>
      </c>
      <c r="I315" s="3685">
        <f t="shared" si="15"/>
      </c>
    </row>
    <row r="316" ht="14.25" customHeight="1" hidden="1">
      <c r="B316" s="3594" t="str">
        <f t="shared" si="16"/>
        <v>H</v>
      </c>
      <c r="D316" s="3681">
        <v>3</v>
      </c>
      <c r="E316" s="3682">
        <f t="shared" si="12"/>
      </c>
      <c r="F316" s="3682">
        <f t="shared" si="13"/>
      </c>
      <c r="G316" s="3683">
        <f t="shared" si="14"/>
      </c>
      <c r="H316" s="3684" cm="1">
        <f t="array" ref="H316">_xlfn.IFERROR(SMALL(IF(UnitMix_number_of_bedrooms=D316,UnitMix_unit_sizes),1+SUM($I$297:I315)),"")</f>
      </c>
      <c r="I316" s="3685">
        <f t="shared" si="15"/>
      </c>
    </row>
    <row r="317" ht="14.25" customHeight="1" hidden="1">
      <c r="B317" s="3594" t="str">
        <f t="shared" si="16"/>
        <v>H</v>
      </c>
      <c r="D317" s="3681">
        <v>3</v>
      </c>
      <c r="E317" s="3682">
        <f t="shared" si="12"/>
      </c>
      <c r="F317" s="3682">
        <f t="shared" si="13"/>
      </c>
      <c r="G317" s="3683">
        <f t="shared" si="14"/>
      </c>
      <c r="H317" s="3684" cm="1">
        <f t="array" ref="H317">_xlfn.IFERROR(SMALL(IF(UnitMix_number_of_bedrooms=D317,UnitMix_unit_sizes),1+SUM($I$297:I316)),"")</f>
      </c>
      <c r="I317" s="3685">
        <f t="shared" si="15"/>
      </c>
    </row>
    <row r="318" ht="14.25" customHeight="1" hidden="1">
      <c r="B318" s="3594" t="str">
        <f t="shared" si="16"/>
        <v>H</v>
      </c>
      <c r="D318" s="3681">
        <v>3</v>
      </c>
      <c r="E318" s="3682">
        <f t="shared" si="12"/>
      </c>
      <c r="F318" s="3682">
        <f t="shared" si="13"/>
      </c>
      <c r="G318" s="3683">
        <f t="shared" si="14"/>
      </c>
      <c r="H318" s="3684" cm="1">
        <f t="array" ref="H318">_xlfn.IFERROR(SMALL(IF(UnitMix_number_of_bedrooms=D318,UnitMix_unit_sizes),1+SUM($I$297:I317)),"")</f>
      </c>
      <c r="I318" s="3685">
        <f t="shared" si="15"/>
      </c>
    </row>
    <row r="319" ht="14.25" customHeight="1" hidden="1">
      <c r="B319" s="3594" t="str">
        <f t="shared" si="16"/>
        <v>H</v>
      </c>
      <c r="D319" s="3681">
        <v>3</v>
      </c>
      <c r="E319" s="3682">
        <f t="shared" si="12"/>
      </c>
      <c r="F319" s="3682">
        <f t="shared" si="13"/>
      </c>
      <c r="G319" s="3683">
        <f t="shared" si="14"/>
      </c>
      <c r="H319" s="3684" cm="1">
        <f t="array" ref="H319">_xlfn.IFERROR(SMALL(IF(UnitMix_number_of_bedrooms=D319,UnitMix_unit_sizes),1+SUM($I$297:I318)),"")</f>
      </c>
      <c r="I319" s="3685">
        <f t="shared" si="15"/>
      </c>
    </row>
    <row r="320" ht="14.25" customHeight="1" hidden="1">
      <c r="B320" s="3594" t="str">
        <f t="shared" si="16"/>
        <v>H</v>
      </c>
      <c r="D320" s="3681">
        <v>3</v>
      </c>
      <c r="E320" s="3682">
        <f t="shared" si="12"/>
      </c>
      <c r="F320" s="3682">
        <f t="shared" si="13"/>
      </c>
      <c r="G320" s="3683">
        <f t="shared" si="14"/>
      </c>
      <c r="H320" s="3684" cm="1">
        <f t="array" ref="H320">_xlfn.IFERROR(SMALL(IF(UnitMix_number_of_bedrooms=D320,UnitMix_unit_sizes),1+SUM($I$297:I319)),"")</f>
      </c>
      <c r="I320" s="3685">
        <f t="shared" si="15"/>
      </c>
    </row>
    <row r="321" ht="14.25" customHeight="1" hidden="1">
      <c r="B321" s="3594" t="str">
        <f t="shared" si="16"/>
        <v>H</v>
      </c>
      <c r="D321" s="3681">
        <v>3</v>
      </c>
      <c r="E321" s="3682">
        <f t="shared" si="12"/>
      </c>
      <c r="F321" s="3682">
        <f t="shared" si="13"/>
      </c>
      <c r="G321" s="3683">
        <f t="shared" si="14"/>
      </c>
      <c r="H321" s="3684" cm="1">
        <f t="array" ref="H321">_xlfn.IFERROR(SMALL(IF(UnitMix_number_of_bedrooms=D321,UnitMix_unit_sizes),1+SUM($I$297:I320)),"")</f>
      </c>
      <c r="I321" s="3685">
        <f t="shared" si="15"/>
      </c>
    </row>
    <row r="322" ht="14.25" customHeight="1" hidden="1">
      <c r="B322" s="3594" t="str">
        <f t="shared" si="16"/>
        <v>H</v>
      </c>
      <c r="D322" s="3681">
        <v>3</v>
      </c>
      <c r="E322" s="3682">
        <f t="shared" si="12"/>
      </c>
      <c r="F322" s="3682">
        <f t="shared" si="13"/>
      </c>
      <c r="G322" s="3683">
        <f t="shared" si="14"/>
      </c>
      <c r="H322" s="3684" cm="1">
        <f t="array" ref="H322">_xlfn.IFERROR(SMALL(IF(UnitMix_number_of_bedrooms=D322,UnitMix_unit_sizes),1+SUM($I$297:I321)),"")</f>
      </c>
      <c r="I322" s="3685">
        <f t="shared" si="15"/>
      </c>
    </row>
    <row r="323" ht="14.25" customHeight="1" hidden="1">
      <c r="B323" s="3594" t="str">
        <f t="shared" si="16"/>
        <v>H</v>
      </c>
      <c r="D323" s="3681">
        <v>3</v>
      </c>
      <c r="E323" s="3682">
        <f t="shared" si="12"/>
      </c>
      <c r="F323" s="3682">
        <f t="shared" si="13"/>
      </c>
      <c r="G323" s="3683">
        <f t="shared" si="14"/>
      </c>
      <c r="H323" s="3684" cm="1">
        <f t="array" ref="H323">_xlfn.IFERROR(SMALL(IF(UnitMix_number_of_bedrooms=D323,UnitMix_unit_sizes),1+SUM($I$297:I322)),"")</f>
      </c>
      <c r="I323" s="3685">
        <f t="shared" si="15"/>
      </c>
    </row>
    <row r="324" ht="14.25" customHeight="1" hidden="1">
      <c r="B324" s="3594" t="str">
        <f t="shared" si="16"/>
        <v>H</v>
      </c>
      <c r="D324" s="3681">
        <v>3</v>
      </c>
      <c r="E324" s="3682">
        <f t="shared" si="12"/>
      </c>
      <c r="F324" s="3682">
        <f t="shared" si="13"/>
      </c>
      <c r="G324" s="3683">
        <f t="shared" si="14"/>
      </c>
      <c r="H324" s="3684" cm="1">
        <f t="array" ref="H324">_xlfn.IFERROR(SMALL(IF(UnitMix_number_of_bedrooms=D324,UnitMix_unit_sizes),1+SUM($I$297:I323)),"")</f>
      </c>
      <c r="I324" s="3685">
        <f t="shared" si="15"/>
      </c>
    </row>
    <row r="325" ht="14.25" customHeight="1" hidden="1">
      <c r="B325" s="3594" t="str">
        <f t="shared" si="16"/>
        <v>H</v>
      </c>
      <c r="D325" s="3681">
        <v>3</v>
      </c>
      <c r="E325" s="3682">
        <f t="shared" si="12"/>
      </c>
      <c r="F325" s="3682">
        <f t="shared" si="13"/>
      </c>
      <c r="G325" s="3683">
        <f t="shared" si="14"/>
      </c>
      <c r="H325" s="3684" cm="1">
        <f t="array" ref="H325">_xlfn.IFERROR(SMALL(IF(UnitMix_number_of_bedrooms=D325,UnitMix_unit_sizes),1+SUM($I$297:I324)),"")</f>
      </c>
      <c r="I325" s="3685">
        <f t="shared" si="15"/>
      </c>
    </row>
    <row r="326" ht="14.25" customHeight="1" hidden="1">
      <c r="B326" s="3594" t="str">
        <f t="shared" si="16"/>
        <v>H</v>
      </c>
      <c r="D326" s="3681">
        <v>3</v>
      </c>
      <c r="E326" s="3682">
        <f t="shared" si="12"/>
      </c>
      <c r="F326" s="3682">
        <f t="shared" si="13"/>
      </c>
      <c r="G326" s="3683">
        <f t="shared" si="14"/>
      </c>
      <c r="H326" s="3684" cm="1">
        <f t="array" ref="H326">_xlfn.IFERROR(SMALL(IF(UnitMix_number_of_bedrooms=D326,UnitMix_unit_sizes),1+SUM($I$297:I325)),"")</f>
      </c>
      <c r="I326" s="3685">
        <f t="shared" si="15"/>
      </c>
    </row>
    <row r="327" ht="14.25" customHeight="1" hidden="1">
      <c r="B327" s="3594" t="str">
        <f t="shared" si="16"/>
        <v>H</v>
      </c>
      <c r="D327" s="3681">
        <v>3</v>
      </c>
      <c r="E327" s="3682">
        <f t="shared" si="12"/>
      </c>
      <c r="F327" s="3682">
        <f t="shared" si="13"/>
      </c>
      <c r="G327" s="3683">
        <f t="shared" si="14"/>
      </c>
      <c r="H327" s="3684" cm="1">
        <f t="array" ref="H327">_xlfn.IFERROR(SMALL(IF(UnitMix_number_of_bedrooms=D327,UnitMix_unit_sizes),1+SUM($I$297:I326)),"")</f>
      </c>
      <c r="I327" s="3685">
        <f t="shared" si="15"/>
      </c>
    </row>
    <row r="328" ht="14.25" customHeight="1" hidden="1">
      <c r="B328" s="3594" t="str">
        <f t="shared" si="16"/>
        <v>H</v>
      </c>
      <c r="D328" s="3681">
        <v>3</v>
      </c>
      <c r="E328" s="3682">
        <f t="shared" si="12"/>
      </c>
      <c r="F328" s="3682">
        <f t="shared" si="13"/>
      </c>
      <c r="G328" s="3683">
        <f t="shared" si="14"/>
      </c>
      <c r="H328" s="3684" cm="1">
        <f t="array" ref="H328">_xlfn.IFERROR(SMALL(IF(UnitMix_number_of_bedrooms=D328,UnitMix_unit_sizes),1+SUM($I$297:I327)),"")</f>
      </c>
      <c r="I328" s="3685">
        <f t="shared" si="15"/>
      </c>
    </row>
    <row r="329" ht="14.25" customHeight="1" hidden="1">
      <c r="B329" s="3594" t="str">
        <f t="shared" si="16"/>
        <v>H</v>
      </c>
      <c r="D329" s="3681">
        <v>3</v>
      </c>
      <c r="E329" s="3682">
        <f t="shared" si="12"/>
      </c>
      <c r="F329" s="3682">
        <f t="shared" si="13"/>
      </c>
      <c r="G329" s="3683">
        <f t="shared" si="14"/>
      </c>
      <c r="H329" s="3684" cm="1">
        <f t="array" ref="H329">_xlfn.IFERROR(SMALL(IF(UnitMix_number_of_bedrooms=D329,UnitMix_unit_sizes),1+SUM($I$297:I328)),"")</f>
      </c>
      <c r="I329" s="3685">
        <f t="shared" si="15"/>
      </c>
    </row>
    <row r="330" ht="14.25" customHeight="1" hidden="1">
      <c r="B330" s="3594" t="str">
        <f t="shared" si="16"/>
        <v>H</v>
      </c>
      <c r="D330" s="3681">
        <v>3</v>
      </c>
      <c r="E330" s="3682">
        <f t="shared" si="12"/>
      </c>
      <c r="F330" s="3682">
        <f t="shared" si="13"/>
      </c>
      <c r="G330" s="3683">
        <f t="shared" si="14"/>
      </c>
      <c r="H330" s="3684" cm="1">
        <f t="array" ref="H330">_xlfn.IFERROR(SMALL(IF(UnitMix_number_of_bedrooms=D330,UnitMix_unit_sizes),1+SUM($I$297:I329)),"")</f>
      </c>
      <c r="I330" s="3685">
        <f t="shared" si="15"/>
      </c>
    </row>
    <row r="331" ht="14.25" customHeight="1" hidden="1">
      <c r="B331" s="3594" t="str">
        <f t="shared" si="16"/>
        <v>H</v>
      </c>
      <c r="D331" s="3681">
        <v>3</v>
      </c>
      <c r="E331" s="3682">
        <f t="shared" si="12"/>
      </c>
      <c r="F331" s="3682">
        <f t="shared" si="13"/>
      </c>
      <c r="G331" s="3683">
        <f t="shared" si="14"/>
      </c>
      <c r="H331" s="3684" cm="1">
        <f t="array" ref="H331">_xlfn.IFERROR(SMALL(IF(UnitMix_number_of_bedrooms=D331,UnitMix_unit_sizes),1+SUM($I$297:I330)),"")</f>
      </c>
      <c r="I331" s="3685">
        <f t="shared" si="15"/>
      </c>
    </row>
    <row r="332" ht="14.25" customHeight="1" hidden="1">
      <c r="B332" s="3594" t="str">
        <f t="shared" si="16"/>
        <v>H</v>
      </c>
      <c r="D332" s="3681">
        <v>3</v>
      </c>
      <c r="E332" s="3682">
        <f t="shared" si="12"/>
      </c>
      <c r="F332" s="3682">
        <f t="shared" si="13"/>
      </c>
      <c r="G332" s="3683">
        <f t="shared" si="14"/>
      </c>
      <c r="H332" s="3684" cm="1">
        <f t="array" ref="H332">_xlfn.IFERROR(SMALL(IF(UnitMix_number_of_bedrooms=D332,UnitMix_unit_sizes),1+SUM($I$297:I331)),"")</f>
      </c>
      <c r="I332" s="3685">
        <f t="shared" si="15"/>
      </c>
    </row>
    <row r="333" ht="14.25" customHeight="1" hidden="1">
      <c r="B333" s="3594" t="str">
        <f t="shared" si="16"/>
        <v>H</v>
      </c>
      <c r="D333" s="3681">
        <v>3</v>
      </c>
      <c r="E333" s="3682">
        <f t="shared" si="12"/>
      </c>
      <c r="F333" s="3682">
        <f t="shared" si="13"/>
      </c>
      <c r="G333" s="3683">
        <f t="shared" si="14"/>
      </c>
      <c r="H333" s="3684" cm="1">
        <f t="array" ref="H333">_xlfn.IFERROR(SMALL(IF(UnitMix_number_of_bedrooms=D333,UnitMix_unit_sizes),1+SUM($I$297:I332)),"")</f>
      </c>
      <c r="I333" s="3685">
        <f t="shared" si="15"/>
      </c>
    </row>
    <row r="334" ht="14.25" customHeight="1" hidden="1">
      <c r="B334" s="3594" t="str">
        <f t="shared" si="16"/>
        <v>H</v>
      </c>
      <c r="D334" s="3681">
        <v>3</v>
      </c>
      <c r="E334" s="3682">
        <f t="shared" si="12"/>
      </c>
      <c r="F334" s="3682">
        <f t="shared" si="13"/>
      </c>
      <c r="G334" s="3683">
        <f t="shared" si="14"/>
      </c>
      <c r="H334" s="3684" cm="1">
        <f t="array" ref="H334">_xlfn.IFERROR(SMALL(IF(UnitMix_number_of_bedrooms=D334,UnitMix_unit_sizes),1+SUM($I$297:I333)),"")</f>
      </c>
      <c r="I334" s="3685">
        <f t="shared" si="15"/>
      </c>
    </row>
    <row r="335" ht="14.25" customHeight="1" hidden="1">
      <c r="B335" s="3594" t="str">
        <f t="shared" si="16"/>
        <v>H</v>
      </c>
      <c r="D335" s="3681">
        <v>3</v>
      </c>
      <c r="E335" s="3682">
        <f t="shared" si="12"/>
      </c>
      <c r="F335" s="3682">
        <f t="shared" si="13"/>
      </c>
      <c r="G335" s="3683">
        <f t="shared" si="14"/>
      </c>
      <c r="H335" s="3684" cm="1">
        <f t="array" ref="H335">_xlfn.IFERROR(SMALL(IF(UnitMix_number_of_bedrooms=D335,UnitMix_unit_sizes),1+SUM($I$297:I334)),"")</f>
      </c>
      <c r="I335" s="3685">
        <f t="shared" si="15"/>
      </c>
    </row>
    <row r="336" ht="14.25" customHeight="1" hidden="1">
      <c r="B336" s="3594" t="str">
        <f t="shared" si="16"/>
        <v>H</v>
      </c>
      <c r="D336" s="3681">
        <v>3</v>
      </c>
      <c r="E336" s="3682">
        <f t="shared" si="12"/>
      </c>
      <c r="F336" s="3682">
        <f t="shared" si="13"/>
      </c>
      <c r="G336" s="3683">
        <f t="shared" si="14"/>
      </c>
      <c r="H336" s="3684" cm="1">
        <f t="array" ref="H336">_xlfn.IFERROR(SMALL(IF(UnitMix_number_of_bedrooms=D336,UnitMix_unit_sizes),1+SUM($I$297:I335)),"")</f>
      </c>
      <c r="I336" s="3685">
        <f t="shared" si="15"/>
      </c>
    </row>
    <row r="337" ht="14.25" customHeight="1">
      <c r="B337" s="3675" t="s">
        <v>2547</v>
      </c>
      <c r="D337" s="3686">
        <v>4</v>
      </c>
      <c r="E337" s="3677">
        <f t="shared" si="12"/>
      </c>
      <c r="F337" s="3677">
        <f t="shared" si="13"/>
      </c>
      <c r="G337" s="3678">
        <f t="shared" si="14"/>
      </c>
      <c r="H337" s="3679" cm="1">
        <f t="array" ref="H337">_xlfn.IFERROR(SMALL(IF(UnitMix_number_of_bedrooms&gt;=D337,UnitMix_unit_sizes),1),"")</f>
      </c>
      <c r="I337" s="3680">
        <f t="shared" si="15"/>
      </c>
    </row>
    <row r="338" ht="14.25" customHeight="1" hidden="1">
      <c r="B338" s="3594" t="str">
        <f t="shared" si="16"/>
        <v>H</v>
      </c>
      <c r="D338" s="3686">
        <v>4</v>
      </c>
      <c r="E338" s="3677">
        <f t="shared" si="12"/>
      </c>
      <c r="F338" s="3677">
        <f t="shared" si="13"/>
      </c>
      <c r="G338" s="3678">
        <f t="shared" si="14"/>
      </c>
      <c r="H338" s="3679" cm="1">
        <f t="array" ref="H338">_xlfn.IFERROR(SMALL(IF(UnitMix_number_of_bedrooms&gt;=D338,UnitMix_unit_sizes),1+SUM($I$337:I337)),"")</f>
      </c>
      <c r="I338" s="3680">
        <f t="shared" si="15"/>
      </c>
    </row>
    <row r="339" ht="14.25" customHeight="1" hidden="1">
      <c r="B339" s="3594" t="str">
        <f t="shared" si="16"/>
        <v>H</v>
      </c>
      <c r="D339" s="3686">
        <v>4</v>
      </c>
      <c r="E339" s="3677">
        <f t="shared" si="12"/>
      </c>
      <c r="F339" s="3677">
        <f t="shared" si="13"/>
      </c>
      <c r="G339" s="3678">
        <f t="shared" si="14"/>
      </c>
      <c r="H339" s="3679" cm="1">
        <f t="array" ref="H339">_xlfn.IFERROR(SMALL(IF(UnitMix_number_of_bedrooms&gt;=D339,UnitMix_unit_sizes),1+SUM($I$337:I338)),"")</f>
      </c>
      <c r="I339" s="3680">
        <f t="shared" si="15"/>
      </c>
    </row>
    <row r="340" ht="14.25" customHeight="1" hidden="1">
      <c r="B340" s="3594" t="str">
        <f t="shared" si="16"/>
        <v>H</v>
      </c>
      <c r="D340" s="3686">
        <v>4</v>
      </c>
      <c r="E340" s="3677">
        <f t="shared" si="12"/>
      </c>
      <c r="F340" s="3677">
        <f t="shared" si="13"/>
      </c>
      <c r="G340" s="3678">
        <f t="shared" si="14"/>
      </c>
      <c r="H340" s="3679" cm="1">
        <f t="array" ref="H340">_xlfn.IFERROR(SMALL(IF(UnitMix_number_of_bedrooms&gt;=D340,UnitMix_unit_sizes),1+SUM($I$337:I339)),"")</f>
      </c>
      <c r="I340" s="3680">
        <f t="shared" si="15"/>
      </c>
    </row>
    <row r="341" ht="14.25" customHeight="1" hidden="1">
      <c r="B341" s="3594" t="str">
        <f t="shared" si="16"/>
        <v>H</v>
      </c>
      <c r="D341" s="3686">
        <v>4</v>
      </c>
      <c r="E341" s="3677">
        <f t="shared" si="12"/>
      </c>
      <c r="F341" s="3677">
        <f t="shared" si="13"/>
      </c>
      <c r="G341" s="3678">
        <f t="shared" si="14"/>
      </c>
      <c r="H341" s="3679" cm="1">
        <f t="array" ref="H341">_xlfn.IFERROR(SMALL(IF(UnitMix_number_of_bedrooms&gt;=D341,UnitMix_unit_sizes),1+SUM($I$337:I340)),"")</f>
      </c>
      <c r="I341" s="3680">
        <f t="shared" si="15"/>
      </c>
    </row>
    <row r="342" ht="14.25" customHeight="1" hidden="1">
      <c r="B342" s="3594" t="str">
        <f t="shared" si="16"/>
        <v>H</v>
      </c>
      <c r="D342" s="3686">
        <v>4</v>
      </c>
      <c r="E342" s="3677">
        <f t="shared" si="12"/>
      </c>
      <c r="F342" s="3677">
        <f t="shared" si="13"/>
      </c>
      <c r="G342" s="3678">
        <f t="shared" si="14"/>
      </c>
      <c r="H342" s="3679" cm="1">
        <f t="array" ref="H342">_xlfn.IFERROR(SMALL(IF(UnitMix_number_of_bedrooms&gt;=D342,UnitMix_unit_sizes),1+SUM($I$337:I341)),"")</f>
      </c>
      <c r="I342" s="3680">
        <f t="shared" si="15"/>
      </c>
    </row>
    <row r="343" ht="14.25" customHeight="1" hidden="1">
      <c r="B343" s="3594" t="str">
        <f t="shared" si="16"/>
        <v>H</v>
      </c>
      <c r="D343" s="3686">
        <v>4</v>
      </c>
      <c r="E343" s="3677">
        <f t="shared" si="12"/>
      </c>
      <c r="F343" s="3677">
        <f t="shared" si="13"/>
      </c>
      <c r="G343" s="3678">
        <f t="shared" si="14"/>
      </c>
      <c r="H343" s="3679" cm="1">
        <f t="array" ref="H343">_xlfn.IFERROR(SMALL(IF(UnitMix_number_of_bedrooms&gt;=D343,UnitMix_unit_sizes),1+SUM($I$337:I342)),"")</f>
      </c>
      <c r="I343" s="3680">
        <f t="shared" si="15"/>
      </c>
    </row>
    <row r="344" ht="14.25" customHeight="1" hidden="1">
      <c r="B344" s="3594" t="str">
        <f t="shared" si="16"/>
        <v>H</v>
      </c>
      <c r="D344" s="3686">
        <v>4</v>
      </c>
      <c r="E344" s="3677">
        <f t="shared" si="12"/>
      </c>
      <c r="F344" s="3677">
        <f t="shared" si="13"/>
      </c>
      <c r="G344" s="3678">
        <f t="shared" si="14"/>
      </c>
      <c r="H344" s="3679" cm="1">
        <f t="array" ref="H344">_xlfn.IFERROR(SMALL(IF(UnitMix_number_of_bedrooms&gt;=D344,UnitMix_unit_sizes),1+SUM($I$337:I343)),"")</f>
      </c>
      <c r="I344" s="3680">
        <f t="shared" si="15"/>
      </c>
    </row>
    <row r="345" ht="14.25" customHeight="1" hidden="1">
      <c r="B345" s="3594" t="str">
        <f t="shared" si="16"/>
        <v>H</v>
      </c>
      <c r="D345" s="3686">
        <v>4</v>
      </c>
      <c r="E345" s="3677">
        <f t="shared" si="12"/>
      </c>
      <c r="F345" s="3677">
        <f t="shared" si="13"/>
      </c>
      <c r="G345" s="3678">
        <f t="shared" si="14"/>
      </c>
      <c r="H345" s="3679" cm="1">
        <f t="array" ref="H345">_xlfn.IFERROR(SMALL(IF(UnitMix_number_of_bedrooms&gt;=D345,UnitMix_unit_sizes),1+SUM($I$337:I344)),"")</f>
      </c>
      <c r="I345" s="3680">
        <f t="shared" si="15"/>
      </c>
    </row>
    <row r="346" ht="14.25" customHeight="1" hidden="1">
      <c r="B346" s="3594" t="str">
        <f t="shared" si="16"/>
        <v>H</v>
      </c>
      <c r="D346" s="3686">
        <v>4</v>
      </c>
      <c r="E346" s="3677">
        <f t="shared" si="12"/>
      </c>
      <c r="F346" s="3677">
        <f t="shared" si="13"/>
      </c>
      <c r="G346" s="3678">
        <f t="shared" si="14"/>
      </c>
      <c r="H346" s="3679" cm="1">
        <f t="array" ref="H346">_xlfn.IFERROR(SMALL(IF(UnitMix_number_of_bedrooms&gt;=D346,UnitMix_unit_sizes),1+SUM($I$337:I345)),"")</f>
      </c>
      <c r="I346" s="3680">
        <f t="shared" si="15"/>
      </c>
    </row>
    <row r="347" ht="14.25" customHeight="1" hidden="1">
      <c r="B347" s="3594" t="str">
        <f t="shared" si="16"/>
        <v>H</v>
      </c>
      <c r="D347" s="3686">
        <v>4</v>
      </c>
      <c r="E347" s="3677">
        <f t="shared" si="12"/>
      </c>
      <c r="F347" s="3677">
        <f t="shared" si="13"/>
      </c>
      <c r="G347" s="3678">
        <f t="shared" si="14"/>
      </c>
      <c r="H347" s="3679" cm="1">
        <f t="array" ref="H347">_xlfn.IFERROR(SMALL(IF(UnitMix_number_of_bedrooms&gt;=D347,UnitMix_unit_sizes),1+SUM($I$337:I346)),"")</f>
      </c>
      <c r="I347" s="3680">
        <f t="shared" si="15"/>
      </c>
    </row>
    <row r="348" ht="14.25" customHeight="1" hidden="1">
      <c r="B348" s="3594" t="str">
        <f t="shared" si="16"/>
        <v>H</v>
      </c>
      <c r="D348" s="3686">
        <v>4</v>
      </c>
      <c r="E348" s="3677">
        <f t="shared" si="12"/>
      </c>
      <c r="F348" s="3677">
        <f t="shared" si="13"/>
      </c>
      <c r="G348" s="3678">
        <f t="shared" si="14"/>
      </c>
      <c r="H348" s="3679" cm="1">
        <f t="array" ref="H348">_xlfn.IFERROR(SMALL(IF(UnitMix_number_of_bedrooms&gt;=D348,UnitMix_unit_sizes),1+SUM($I$337:I347)),"")</f>
      </c>
      <c r="I348" s="3680">
        <f t="shared" si="15"/>
      </c>
    </row>
    <row r="349" ht="14.25" customHeight="1" hidden="1">
      <c r="B349" s="3594" t="str">
        <f t="shared" si="16"/>
        <v>H</v>
      </c>
      <c r="D349" s="3686">
        <v>4</v>
      </c>
      <c r="E349" s="3677">
        <f t="shared" si="12"/>
      </c>
      <c r="F349" s="3677">
        <f t="shared" si="13"/>
      </c>
      <c r="G349" s="3678">
        <f t="shared" si="14"/>
      </c>
      <c r="H349" s="3679" cm="1">
        <f t="array" ref="H349">_xlfn.IFERROR(SMALL(IF(UnitMix_number_of_bedrooms&gt;=D349,UnitMix_unit_sizes),1+SUM($I$337:I348)),"")</f>
      </c>
      <c r="I349" s="3680">
        <f t="shared" si="15"/>
      </c>
    </row>
    <row r="350" ht="14.25" customHeight="1" hidden="1">
      <c r="B350" s="3594" t="str">
        <f t="shared" si="16"/>
        <v>H</v>
      </c>
      <c r="D350" s="3686">
        <v>4</v>
      </c>
      <c r="E350" s="3677">
        <f t="shared" si="12"/>
      </c>
      <c r="F350" s="3677">
        <f t="shared" si="13"/>
      </c>
      <c r="G350" s="3678">
        <f t="shared" si="14"/>
      </c>
      <c r="H350" s="3679" cm="1">
        <f t="array" ref="H350">_xlfn.IFERROR(SMALL(IF(UnitMix_number_of_bedrooms&gt;=D350,UnitMix_unit_sizes),1+SUM($I$337:I349)),"")</f>
      </c>
      <c r="I350" s="3680">
        <f t="shared" si="15"/>
      </c>
    </row>
    <row r="351" ht="14.25" customHeight="1" hidden="1">
      <c r="B351" s="3594" t="str">
        <f t="shared" si="16"/>
        <v>H</v>
      </c>
      <c r="D351" s="3686">
        <v>4</v>
      </c>
      <c r="E351" s="3677">
        <f t="shared" si="12"/>
      </c>
      <c r="F351" s="3677">
        <f t="shared" si="13"/>
      </c>
      <c r="G351" s="3678">
        <f t="shared" si="14"/>
      </c>
      <c r="H351" s="3679" cm="1">
        <f t="array" ref="H351">_xlfn.IFERROR(SMALL(IF(UnitMix_number_of_bedrooms&gt;=D351,UnitMix_unit_sizes),1+SUM($I$337:I350)),"")</f>
      </c>
      <c r="I351" s="3680">
        <f t="shared" si="15"/>
      </c>
    </row>
    <row r="352" ht="14.25" customHeight="1" hidden="1">
      <c r="B352" s="3594" t="str">
        <f t="shared" si="16"/>
        <v>H</v>
      </c>
      <c r="D352" s="3686">
        <v>4</v>
      </c>
      <c r="E352" s="3677">
        <f t="shared" si="12"/>
      </c>
      <c r="F352" s="3677">
        <f t="shared" si="13"/>
      </c>
      <c r="G352" s="3678">
        <f t="shared" si="14"/>
      </c>
      <c r="H352" s="3679" cm="1">
        <f t="array" ref="H352">_xlfn.IFERROR(SMALL(IF(UnitMix_number_of_bedrooms&gt;=D352,UnitMix_unit_sizes),1+SUM($I$337:I351)),"")</f>
      </c>
      <c r="I352" s="3680">
        <f t="shared" si="15"/>
      </c>
    </row>
    <row r="353" ht="14.25" customHeight="1" hidden="1">
      <c r="B353" s="3594" t="str">
        <f t="shared" si="16"/>
        <v>H</v>
      </c>
      <c r="D353" s="3686">
        <v>4</v>
      </c>
      <c r="E353" s="3677">
        <f t="shared" si="12"/>
      </c>
      <c r="F353" s="3677">
        <f t="shared" si="13"/>
      </c>
      <c r="G353" s="3678">
        <f t="shared" si="14"/>
      </c>
      <c r="H353" s="3679" cm="1">
        <f t="array" ref="H353">_xlfn.IFERROR(SMALL(IF(UnitMix_number_of_bedrooms&gt;=D353,UnitMix_unit_sizes),1+SUM($I$337:I352)),"")</f>
      </c>
      <c r="I353" s="3680">
        <f t="shared" si="15"/>
      </c>
    </row>
    <row r="354" ht="14.25" customHeight="1" hidden="1">
      <c r="B354" s="3594" t="str">
        <f t="shared" si="16"/>
        <v>H</v>
      </c>
      <c r="D354" s="3686">
        <v>4</v>
      </c>
      <c r="E354" s="3677">
        <f t="shared" si="12"/>
      </c>
      <c r="F354" s="3677">
        <f t="shared" si="13"/>
      </c>
      <c r="G354" s="3678">
        <f t="shared" si="14"/>
      </c>
      <c r="H354" s="3679" cm="1">
        <f t="array" ref="H354">_xlfn.IFERROR(SMALL(IF(UnitMix_number_of_bedrooms&gt;=D354,UnitMix_unit_sizes),1+SUM($I$337:I353)),"")</f>
      </c>
      <c r="I354" s="3680">
        <f t="shared" si="15"/>
      </c>
    </row>
    <row r="355" ht="14.25" customHeight="1" hidden="1">
      <c r="B355" s="3594" t="str">
        <f t="shared" si="16"/>
        <v>H</v>
      </c>
      <c r="D355" s="3686">
        <v>4</v>
      </c>
      <c r="E355" s="3677">
        <f t="shared" si="12"/>
      </c>
      <c r="F355" s="3677">
        <f t="shared" si="13"/>
      </c>
      <c r="G355" s="3678">
        <f t="shared" si="14"/>
      </c>
      <c r="H355" s="3679" cm="1">
        <f t="array" ref="H355">_xlfn.IFERROR(SMALL(IF(UnitMix_number_of_bedrooms&gt;=D355,UnitMix_unit_sizes),1+SUM($I$337:I354)),"")</f>
      </c>
      <c r="I355" s="3680">
        <f t="shared" si="15"/>
      </c>
    </row>
    <row r="356" ht="14.25" customHeight="1" hidden="1">
      <c r="B356" s="3594" t="str">
        <f t="shared" si="16"/>
        <v>H</v>
      </c>
      <c r="D356" s="3686">
        <v>4</v>
      </c>
      <c r="E356" s="3677">
        <f t="shared" si="12"/>
      </c>
      <c r="F356" s="3677">
        <f t="shared" si="13"/>
      </c>
      <c r="G356" s="3678">
        <f t="shared" si="14"/>
      </c>
      <c r="H356" s="3679" cm="1">
        <f t="array" ref="H356">_xlfn.IFERROR(SMALL(IF(UnitMix_number_of_bedrooms&gt;=D356,UnitMix_unit_sizes),1+SUM($I$337:I355)),"")</f>
      </c>
      <c r="I356" s="3680">
        <f t="shared" si="15"/>
      </c>
    </row>
    <row r="357" ht="14.25" customHeight="1" hidden="1">
      <c r="B357" s="3594" t="str">
        <f t="shared" si="16"/>
        <v>H</v>
      </c>
      <c r="D357" s="3686">
        <v>4</v>
      </c>
      <c r="E357" s="3677">
        <f t="shared" si="12"/>
      </c>
      <c r="F357" s="3677">
        <f t="shared" si="13"/>
      </c>
      <c r="G357" s="3678">
        <f t="shared" si="14"/>
      </c>
      <c r="H357" s="3679" cm="1">
        <f t="array" ref="H357">_xlfn.IFERROR(SMALL(IF(UnitMix_number_of_bedrooms&gt;=D357,UnitMix_unit_sizes),1+SUM($I$337:I356)),"")</f>
      </c>
      <c r="I357" s="3680">
        <f t="shared" si="15"/>
      </c>
    </row>
    <row r="358" ht="14.25" customHeight="1" hidden="1">
      <c r="B358" s="3594" t="str">
        <f t="shared" si="16"/>
        <v>H</v>
      </c>
      <c r="D358" s="3686">
        <v>4</v>
      </c>
      <c r="E358" s="3677">
        <f t="shared" si="12"/>
      </c>
      <c r="F358" s="3677">
        <f t="shared" si="13"/>
      </c>
      <c r="G358" s="3678">
        <f t="shared" si="14"/>
      </c>
      <c r="H358" s="3679" cm="1">
        <f t="array" ref="H358">_xlfn.IFERROR(SMALL(IF(UnitMix_number_of_bedrooms&gt;=D358,UnitMix_unit_sizes),1+SUM($I$337:I357)),"")</f>
      </c>
      <c r="I358" s="3680">
        <f t="shared" si="15"/>
      </c>
    </row>
    <row r="359" ht="14.25" customHeight="1" hidden="1">
      <c r="B359" s="3594" t="str">
        <f t="shared" si="16"/>
        <v>H</v>
      </c>
      <c r="D359" s="3686">
        <v>4</v>
      </c>
      <c r="E359" s="3677">
        <f t="shared" si="12"/>
      </c>
      <c r="F359" s="3677">
        <f t="shared" si="13"/>
      </c>
      <c r="G359" s="3678">
        <f t="shared" si="14"/>
      </c>
      <c r="H359" s="3679" cm="1">
        <f t="array" ref="H359">_xlfn.IFERROR(SMALL(IF(UnitMix_number_of_bedrooms&gt;=D359,UnitMix_unit_sizes),1+SUM($I$337:I358)),"")</f>
      </c>
      <c r="I359" s="3680">
        <f t="shared" si="15"/>
      </c>
    </row>
    <row r="360" ht="14.25" customHeight="1" hidden="1">
      <c r="B360" s="3594" t="str">
        <f t="shared" si="16"/>
        <v>H</v>
      </c>
      <c r="D360" s="3686">
        <v>4</v>
      </c>
      <c r="E360" s="3677">
        <f t="shared" si="12"/>
      </c>
      <c r="F360" s="3677">
        <f t="shared" si="13"/>
      </c>
      <c r="G360" s="3678">
        <f t="shared" si="14"/>
      </c>
      <c r="H360" s="3679" cm="1">
        <f t="array" ref="H360">_xlfn.IFERROR(SMALL(IF(UnitMix_number_of_bedrooms&gt;=D360,UnitMix_unit_sizes),1+SUM($I$337:I359)),"")</f>
      </c>
      <c r="I360" s="3680">
        <f t="shared" si="15"/>
      </c>
    </row>
    <row r="361" ht="14.25" customHeight="1" hidden="1">
      <c r="B361" s="3594" t="str">
        <f t="shared" si="16"/>
        <v>H</v>
      </c>
      <c r="D361" s="3686">
        <v>4</v>
      </c>
      <c r="E361" s="3677">
        <f t="shared" si="12"/>
      </c>
      <c r="F361" s="3677">
        <f t="shared" si="13"/>
      </c>
      <c r="G361" s="3678">
        <f t="shared" si="14"/>
      </c>
      <c r="H361" s="3679" cm="1">
        <f t="array" ref="H361">_xlfn.IFERROR(SMALL(IF(UnitMix_number_of_bedrooms&gt;=D361,UnitMix_unit_sizes),1+SUM($I$337:I360)),"")</f>
      </c>
      <c r="I361" s="3680">
        <f t="shared" si="15"/>
      </c>
    </row>
    <row r="362" ht="14.25" customHeight="1" hidden="1">
      <c r="B362" s="3594" t="str">
        <f t="shared" si="16"/>
        <v>H</v>
      </c>
      <c r="D362" s="3686">
        <v>4</v>
      </c>
      <c r="E362" s="3677">
        <f t="shared" si="12"/>
      </c>
      <c r="F362" s="3677">
        <f t="shared" si="13"/>
      </c>
      <c r="G362" s="3678">
        <f t="shared" si="14"/>
      </c>
      <c r="H362" s="3679" cm="1">
        <f t="array" ref="H362">_xlfn.IFERROR(SMALL(IF(UnitMix_number_of_bedrooms&gt;=D362,UnitMix_unit_sizes),1+SUM($I$337:I361)),"")</f>
      </c>
      <c r="I362" s="3680">
        <f t="shared" si="15"/>
      </c>
    </row>
    <row r="363" ht="14.25" customHeight="1" hidden="1">
      <c r="B363" s="3594" t="str">
        <f t="shared" si="16"/>
        <v>H</v>
      </c>
      <c r="D363" s="3686">
        <v>4</v>
      </c>
      <c r="E363" s="3677">
        <f t="shared" si="12"/>
      </c>
      <c r="F363" s="3677">
        <f t="shared" si="13"/>
      </c>
      <c r="G363" s="3678">
        <f t="shared" si="14"/>
      </c>
      <c r="H363" s="3679" cm="1">
        <f t="array" ref="H363">_xlfn.IFERROR(SMALL(IF(UnitMix_number_of_bedrooms&gt;=D363,UnitMix_unit_sizes),1+SUM($I$337:I362)),"")</f>
      </c>
      <c r="I363" s="3680">
        <f t="shared" si="15"/>
      </c>
    </row>
    <row r="364" ht="14.25" customHeight="1" hidden="1">
      <c r="B364" s="3594" t="str">
        <f t="shared" si="16"/>
        <v>H</v>
      </c>
      <c r="D364" s="3686">
        <v>4</v>
      </c>
      <c r="E364" s="3677">
        <f t="shared" si="12"/>
      </c>
      <c r="F364" s="3677">
        <f t="shared" si="13"/>
      </c>
      <c r="G364" s="3678">
        <f t="shared" si="14"/>
      </c>
      <c r="H364" s="3679" cm="1">
        <f t="array" ref="H364">_xlfn.IFERROR(SMALL(IF(UnitMix_number_of_bedrooms&gt;=D364,UnitMix_unit_sizes),1+SUM($I$337:I363)),"")</f>
      </c>
      <c r="I364" s="3680">
        <f t="shared" si="15"/>
      </c>
    </row>
    <row r="365" ht="14.25" customHeight="1" hidden="1">
      <c r="B365" s="3594" t="str">
        <f t="shared" si="16"/>
        <v>H</v>
      </c>
      <c r="D365" s="3686">
        <v>4</v>
      </c>
      <c r="E365" s="3677">
        <f t="shared" si="12"/>
      </c>
      <c r="F365" s="3677">
        <f t="shared" si="13"/>
      </c>
      <c r="G365" s="3678">
        <f t="shared" si="14"/>
      </c>
      <c r="H365" s="3679" cm="1">
        <f t="array" ref="H365">_xlfn.IFERROR(SMALL(IF(UnitMix_number_of_bedrooms&gt;=D365,UnitMix_unit_sizes),1+SUM($I$337:I364)),"")</f>
      </c>
      <c r="I365" s="3680">
        <f t="shared" si="15"/>
      </c>
    </row>
    <row r="366" ht="14.25" customHeight="1" hidden="1">
      <c r="B366" s="3594" t="str">
        <f t="shared" si="16"/>
        <v>H</v>
      </c>
      <c r="D366" s="3686">
        <v>4</v>
      </c>
      <c r="E366" s="3677">
        <f t="shared" si="12"/>
      </c>
      <c r="F366" s="3677">
        <f t="shared" si="13"/>
      </c>
      <c r="G366" s="3678">
        <f t="shared" si="14"/>
      </c>
      <c r="H366" s="3679" cm="1">
        <f t="array" ref="H366">_xlfn.IFERROR(SMALL(IF(UnitMix_number_of_bedrooms&gt;=D366,UnitMix_unit_sizes),1+SUM($I$337:I365)),"")</f>
      </c>
      <c r="I366" s="3680">
        <f t="shared" si="15"/>
      </c>
    </row>
    <row r="367" ht="14.25" customHeight="1" hidden="1">
      <c r="B367" s="3594" t="str">
        <f t="shared" si="16"/>
        <v>H</v>
      </c>
      <c r="D367" s="3686">
        <v>4</v>
      </c>
      <c r="E367" s="3677">
        <f t="shared" si="12"/>
      </c>
      <c r="F367" s="3677">
        <f t="shared" si="13"/>
      </c>
      <c r="G367" s="3678">
        <f t="shared" si="14"/>
      </c>
      <c r="H367" s="3679" cm="1">
        <f t="array" ref="H367">_xlfn.IFERROR(SMALL(IF(UnitMix_number_of_bedrooms&gt;=D367,UnitMix_unit_sizes),1+SUM($I$337:I366)),"")</f>
      </c>
      <c r="I367" s="3680">
        <f t="shared" si="15"/>
      </c>
    </row>
    <row r="368" ht="14.25" customHeight="1" hidden="1">
      <c r="B368" s="3594" t="str">
        <f t="shared" si="16"/>
        <v>H</v>
      </c>
      <c r="D368" s="3686">
        <v>4</v>
      </c>
      <c r="E368" s="3677">
        <f t="shared" si="12"/>
      </c>
      <c r="F368" s="3677">
        <f t="shared" si="13"/>
      </c>
      <c r="G368" s="3678">
        <f t="shared" si="14"/>
      </c>
      <c r="H368" s="3679" cm="1">
        <f t="array" ref="H368">_xlfn.IFERROR(SMALL(IF(UnitMix_number_of_bedrooms&gt;=D368,UnitMix_unit_sizes),1+SUM($I$337:I367)),"")</f>
      </c>
      <c r="I368" s="3680">
        <f t="shared" si="15"/>
      </c>
    </row>
    <row r="369" ht="14.25" customHeight="1" hidden="1">
      <c r="B369" s="3594" t="str">
        <f t="shared" si="16"/>
        <v>H</v>
      </c>
      <c r="D369" s="3686">
        <v>4</v>
      </c>
      <c r="E369" s="3677">
        <f t="shared" si="12"/>
      </c>
      <c r="F369" s="3677">
        <f t="shared" si="13"/>
      </c>
      <c r="G369" s="3678">
        <f t="shared" si="14"/>
      </c>
      <c r="H369" s="3679" cm="1">
        <f t="array" ref="H369">_xlfn.IFERROR(SMALL(IF(UnitMix_number_of_bedrooms&gt;=D369,UnitMix_unit_sizes),1+SUM($I$337:I368)),"")</f>
      </c>
      <c r="I369" s="3680">
        <f t="shared" si="15"/>
      </c>
    </row>
    <row r="370" ht="14.25" customHeight="1" hidden="1">
      <c r="B370" s="3594" t="str">
        <f t="shared" si="16"/>
        <v>H</v>
      </c>
      <c r="D370" s="3686">
        <v>4</v>
      </c>
      <c r="E370" s="3677">
        <f t="shared" si="12"/>
      </c>
      <c r="F370" s="3677">
        <f t="shared" si="13"/>
      </c>
      <c r="G370" s="3678">
        <f t="shared" si="14"/>
      </c>
      <c r="H370" s="3679" cm="1">
        <f t="array" ref="H370">_xlfn.IFERROR(SMALL(IF(UnitMix_number_of_bedrooms&gt;=D370,UnitMix_unit_sizes),1+SUM($I$337:I369)),"")</f>
      </c>
      <c r="I370" s="3680">
        <f t="shared" si="15"/>
      </c>
    </row>
    <row r="371" ht="14.25" customHeight="1" hidden="1">
      <c r="B371" s="3594" t="str">
        <f t="shared" si="16"/>
        <v>H</v>
      </c>
      <c r="D371" s="3686">
        <v>4</v>
      </c>
      <c r="E371" s="3677">
        <f t="shared" si="12"/>
      </c>
      <c r="F371" s="3677">
        <f t="shared" si="13"/>
      </c>
      <c r="G371" s="3678">
        <f t="shared" si="14"/>
      </c>
      <c r="H371" s="3679" cm="1">
        <f t="array" ref="H371">_xlfn.IFERROR(SMALL(IF(UnitMix_number_of_bedrooms&gt;=D371,UnitMix_unit_sizes),1+SUM($I$337:I370)),"")</f>
      </c>
      <c r="I371" s="3680">
        <f t="shared" si="15"/>
      </c>
    </row>
    <row r="372" ht="14.25" customHeight="1" hidden="1">
      <c r="B372" s="3594" t="str">
        <f t="shared" si="16"/>
        <v>H</v>
      </c>
      <c r="D372" s="3686">
        <v>4</v>
      </c>
      <c r="E372" s="3677">
        <f t="shared" si="12"/>
      </c>
      <c r="F372" s="3677">
        <f t="shared" si="13"/>
      </c>
      <c r="G372" s="3678">
        <f t="shared" si="14"/>
      </c>
      <c r="H372" s="3679" cm="1">
        <f t="array" ref="H372">_xlfn.IFERROR(SMALL(IF(UnitMix_number_of_bedrooms&gt;=D372,UnitMix_unit_sizes),1+SUM($I$337:I371)),"")</f>
      </c>
      <c r="I372" s="3680">
        <f t="shared" si="15"/>
      </c>
    </row>
    <row r="373" ht="14.25" customHeight="1" hidden="1">
      <c r="B373" s="3594" t="str">
        <f t="shared" si="16"/>
        <v>H</v>
      </c>
      <c r="D373" s="3686">
        <v>4</v>
      </c>
      <c r="E373" s="3677">
        <f t="shared" si="12"/>
      </c>
      <c r="F373" s="3677">
        <f t="shared" si="13"/>
      </c>
      <c r="G373" s="3678">
        <f t="shared" si="14"/>
      </c>
      <c r="H373" s="3679" cm="1">
        <f t="array" ref="H373">_xlfn.IFERROR(SMALL(IF(UnitMix_number_of_bedrooms&gt;=D373,UnitMix_unit_sizes),1+SUM($I$337:I372)),"")</f>
      </c>
      <c r="I373" s="3680">
        <f t="shared" si="15"/>
      </c>
    </row>
    <row r="374" ht="14.25" customHeight="1" hidden="1">
      <c r="B374" s="3594" t="str">
        <f t="shared" si="16"/>
        <v>H</v>
      </c>
      <c r="D374" s="3686">
        <v>4</v>
      </c>
      <c r="E374" s="3677">
        <f t="shared" si="12"/>
      </c>
      <c r="F374" s="3677">
        <f t="shared" si="13"/>
      </c>
      <c r="G374" s="3678">
        <f t="shared" si="14"/>
      </c>
      <c r="H374" s="3679" cm="1">
        <f t="array" ref="H374">_xlfn.IFERROR(SMALL(IF(UnitMix_number_of_bedrooms&gt;=D374,UnitMix_unit_sizes),1+SUM($I$337:I373)),"")</f>
      </c>
      <c r="I374" s="3680">
        <f t="shared" si="15"/>
      </c>
    </row>
    <row r="375" ht="14.25" customHeight="1" hidden="1">
      <c r="B375" s="3594" t="str">
        <f t="shared" si="16"/>
        <v>H</v>
      </c>
      <c r="D375" s="3686">
        <v>4</v>
      </c>
      <c r="E375" s="3677">
        <f t="shared" si="12"/>
      </c>
      <c r="F375" s="3677">
        <f t="shared" si="13"/>
      </c>
      <c r="G375" s="3678">
        <f t="shared" si="14"/>
      </c>
      <c r="H375" s="3679" cm="1">
        <f t="array" ref="H375">_xlfn.IFERROR(SMALL(IF(UnitMix_number_of_bedrooms&gt;=D375,UnitMix_unit_sizes),1+SUM($I$337:I374)),"")</f>
      </c>
      <c r="I375" s="3680">
        <f t="shared" si="15"/>
      </c>
    </row>
    <row r="376" ht="14.25" customHeight="1" hidden="1">
      <c r="B376" s="3594" t="str">
        <f t="shared" si="16"/>
        <v>H</v>
      </c>
      <c r="D376" s="3686">
        <v>4</v>
      </c>
      <c r="E376" s="3677">
        <f t="shared" si="12"/>
      </c>
      <c r="F376" s="3677">
        <f t="shared" si="13"/>
      </c>
      <c r="G376" s="3678">
        <f t="shared" si="14"/>
      </c>
      <c r="H376" s="3679" cm="1">
        <f t="array" ref="H376">_xlfn.IFERROR(SMALL(IF(UnitMix_number_of_bedrooms&gt;=D376,UnitMix_unit_sizes),1+SUM($I$337:I375)),"")</f>
      </c>
      <c r="I376" s="3680">
        <f t="shared" si="15"/>
      </c>
    </row>
    <row r="377" ht="14.25" customHeight="1">
      <c r="B377" s="3594" t="str">
        <f t="shared" si="16"/>
        <v>S</v>
      </c>
      <c r="E377" s="3687">
        <f t="shared" si="17" ref="E377:I377">SUM(E177:E376)</f>
        <v>101</v>
      </c>
      <c r="F377" s="3687">
        <f t="shared" si="17"/>
        <v>96</v>
      </c>
      <c r="G377" s="3688">
        <f>SUMPRODUCT(F177:F376,G177:G376)</f>
        <v>122173</v>
      </c>
      <c r="H377" s="3689">
        <f>SUMPRODUCT(E177:E376,H177:H376)</f>
        <v>84991</v>
      </c>
      <c r="I377" s="3687">
        <f t="shared" si="17"/>
        <v>5</v>
      </c>
    </row>
  </sheetData>
  <sheetProtection formatCells="0"/>
  <mergeCells>
    <mergeCell ref="S6:S8"/>
    <mergeCell ref="R6:R8"/>
    <mergeCell ref="I6:I8"/>
    <mergeCell ref="J6:J8"/>
    <mergeCell ref="K6:K8"/>
    <mergeCell ref="M6:M8"/>
    <mergeCell ref="O6:O8"/>
    <mergeCell ref="P6:P8"/>
    <mergeCell ref="Q6:Q8"/>
    <mergeCell ref="N6:N8"/>
    <mergeCell ref="D6:D8"/>
    <mergeCell ref="E6:E8"/>
    <mergeCell ref="L6:L8"/>
    <mergeCell ref="E4:M4"/>
    <mergeCell ref="F6:F8"/>
    <mergeCell ref="G6:G8"/>
    <mergeCell ref="H6:H8"/>
  </mergeCells>
  <conditionalFormatting sqref="E176">
    <cfRule type="expression" dxfId="15" priority="8" text="null">
      <formula>NOT($B$4)</formula>
    </cfRule>
  </conditionalFormatting>
  <conditionalFormatting sqref="E173">
    <cfRule type="expression" dxfId="15" priority="7" text="null">
      <formula>NOT($B$4)</formula>
    </cfRule>
  </conditionalFormatting>
  <conditionalFormatting sqref="J165:J172">
    <cfRule type="expression" dxfId="27" priority="5" text="null">
      <formula>J165=0</formula>
    </cfRule>
  </conditionalFormatting>
  <conditionalFormatting sqref="E165:E172">
    <cfRule type="expression" dxfId="16" priority="4" text="null">
      <formula>E165=0</formula>
    </cfRule>
  </conditionalFormatting>
  <conditionalFormatting sqref="F165:I172">
    <cfRule type="expression" dxfId="8" priority="3" text="null">
      <formula>$E165=0</formula>
    </cfRule>
  </conditionalFormatting>
  <conditionalFormatting sqref="E4:M4">
    <cfRule type="expression" dxfId="15" priority="2" text="null">
      <formula>NOT($B$4)</formula>
    </cfRule>
  </conditionalFormatting>
  <conditionalFormatting sqref="E149">
    <cfRule type="expression" dxfId="15" priority="1" text="null">
      <formula>NOT($B$4)</formula>
    </cfRule>
  </conditionalFormatting>
  <printOptions horizontalCentered="1"/>
  <pageMargins left="0.25" right="0.25" top="0.25" bottom="0.25" header="0.3" footer="0.3"/>
  <pageSetup useFirstPageNumber="1" fitToHeight="1" fitToWidth="1" paperSize="5" firstPageNumber="1" scale="96" pageOrder="downThenOver" orientation="landscape"/>
  <headerFooter>
    <oddHeader>&amp;L&amp;C&amp;R</oddHeader>
    <oddFooter>&amp;L&amp;C&amp;R</oddFooter>
  </headerFooter>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C8B87835-A98E-2C4A-8ED3-98A93015431D}" mc:Ignorable="x14ac xr xr2 xr3">
  <sheetPr>
    <pageSetUpPr fitToPage="1"/>
  </sheetPr>
  <dimension ref="A1:AN94"/>
  <sheetViews>
    <sheetView showGridLines="0" topLeftCell="A1" workbookViewId="0">
      <selection activeCell="B2" sqref="B2"/>
    </sheetView>
  </sheetViews>
  <sheetFormatPr defaultRowHeight="12" defaultColWidth="9.57421875" customHeight="1"/>
  <cols>
    <col min="1" max="1" style="3807" width="54.57421875" customWidth="1"/>
    <col min="2" max="2" style="3808" width="15.7109375" customWidth="1"/>
    <col min="3" max="11" style="3808" width="15.7109375" hidden="1" customWidth="1"/>
    <col min="12" max="12" style="3808" width="15.7109375" customWidth="1"/>
    <col min="13" max="19" style="3808" width="15.7109375" hidden="1" customWidth="1"/>
    <col min="20" max="20" style="3808" width="15.7109375" customWidth="1"/>
    <col min="21" max="34" style="3808" width="15.7109375" hidden="1" customWidth="1"/>
    <col min="35" max="35" style="3808" width="14.57421875" hidden="1" customWidth="1"/>
    <col min="36" max="36" style="3808" width="39.28125" customWidth="1"/>
    <col min="37" max="40" style="3808" width="14.57421875" customWidth="1"/>
  </cols>
  <sheetData>
    <row r="1" ht="12" customHeight="1">
      <c r="A1" s="3690" t="str">
        <f>"Property Name: "&amp;PropertyName_DataPageTab</f>
        <v>Property Name: XXXX</v>
      </c>
      <c r="B1" s="3690"/>
      <c r="C1" s="3691"/>
      <c r="D1" s="3691"/>
      <c r="E1" s="3692"/>
      <c r="F1" s="3692"/>
      <c r="G1" s="3692"/>
      <c r="H1" s="3692"/>
      <c r="I1" s="3692"/>
      <c r="J1" s="3692"/>
      <c r="K1" s="3692"/>
      <c r="L1" s="3692"/>
      <c r="M1" s="3692"/>
      <c r="N1" s="3692"/>
      <c r="O1" s="3692"/>
      <c r="P1" s="3692"/>
      <c r="Q1" s="3692"/>
      <c r="R1" s="3692"/>
      <c r="S1" s="3692"/>
      <c r="T1" s="3692"/>
      <c r="U1" s="3692"/>
      <c r="V1" s="3692"/>
      <c r="W1" s="3692"/>
      <c r="X1" s="3692"/>
      <c r="Y1" s="3692"/>
      <c r="Z1" s="3692"/>
      <c r="AA1" s="3692"/>
      <c r="AB1" s="3692"/>
      <c r="AC1" s="3692"/>
      <c r="AD1" s="3692"/>
      <c r="AE1" s="3692"/>
      <c r="AF1" s="3692"/>
      <c r="AG1" s="3692"/>
      <c r="AH1" s="3692"/>
      <c r="AI1" s="3692"/>
      <c r="AJ1" s="3692"/>
      <c r="AK1" s="3692"/>
    </row>
    <row r="2" ht="12" customHeight="1">
      <c r="A2" s="3693" t="s">
        <v>3208</v>
      </c>
      <c r="B2" s="3694">
        <v>1</v>
      </c>
      <c r="C2" s="3692"/>
      <c r="D2" s="3691"/>
      <c r="E2" s="3691"/>
      <c r="F2" s="3691"/>
      <c r="G2" s="3692"/>
      <c r="H2" s="3692"/>
      <c r="I2" s="3692"/>
      <c r="J2" s="3692"/>
      <c r="K2" s="3692"/>
      <c r="L2" s="3692"/>
      <c r="M2" s="3692"/>
      <c r="N2" s="3692"/>
      <c r="O2" s="3692"/>
      <c r="P2" s="3692"/>
      <c r="Q2" s="3692"/>
      <c r="R2" s="3692"/>
      <c r="S2" s="3692"/>
      <c r="T2" s="3692"/>
      <c r="U2" s="3692"/>
      <c r="V2" s="3692"/>
      <c r="W2" s="3692"/>
      <c r="X2" s="3692"/>
      <c r="Y2" s="3692"/>
      <c r="Z2" s="3692"/>
      <c r="AA2" s="3692"/>
      <c r="AB2" s="3692"/>
      <c r="AC2" s="3692"/>
      <c r="AD2" s="3692"/>
      <c r="AE2" s="3692"/>
      <c r="AF2" s="3692"/>
      <c r="AG2" s="3692"/>
      <c r="AH2" s="3692"/>
      <c r="AI2" s="3692"/>
      <c r="AJ2" s="3692"/>
      <c r="AK2" s="3692"/>
    </row>
    <row r="3" ht="12" customHeight="1">
      <c r="A3" s="3695" t="s">
        <v>3209</v>
      </c>
      <c r="B3" s="3694">
        <v>1</v>
      </c>
      <c r="C3" s="3692"/>
      <c r="D3" s="3691"/>
      <c r="E3" s="3691"/>
      <c r="F3" s="3691"/>
      <c r="G3" s="3692"/>
      <c r="H3" s="3692"/>
      <c r="I3" s="3692"/>
      <c r="J3" s="3692"/>
      <c r="K3" s="3692"/>
      <c r="L3" s="3692"/>
      <c r="M3" s="3692"/>
      <c r="N3" s="3692"/>
      <c r="O3" s="3692"/>
      <c r="P3" s="3692"/>
      <c r="Q3" s="3692"/>
      <c r="R3" s="3692"/>
      <c r="S3" s="3692"/>
      <c r="T3" s="3692"/>
      <c r="U3" s="3692"/>
      <c r="V3" s="3692"/>
      <c r="W3" s="3692"/>
      <c r="X3" s="3692"/>
      <c r="Y3" s="3692"/>
      <c r="Z3" s="3692"/>
      <c r="AA3" s="3692"/>
      <c r="AB3" s="3692"/>
      <c r="AC3" s="3692"/>
      <c r="AD3" s="3692"/>
      <c r="AE3" s="3692"/>
      <c r="AF3" s="3692"/>
      <c r="AG3" s="3692"/>
      <c r="AH3" s="3692"/>
      <c r="AI3" s="3692"/>
      <c r="AJ3" s="3692"/>
      <c r="AK3" s="3692"/>
    </row>
    <row r="4" ht="12.75" customHeight="1">
      <c r="A4" s="3696" t="s">
        <v>3210</v>
      </c>
      <c r="B4" s="3694">
        <v>1</v>
      </c>
      <c r="C4" s="3692"/>
      <c r="D4" s="3692"/>
      <c r="E4" s="3692"/>
      <c r="F4" s="3692"/>
      <c r="G4" s="3692"/>
      <c r="H4" s="3692"/>
      <c r="I4" s="3692"/>
      <c r="J4" s="3692"/>
      <c r="K4" s="3692"/>
      <c r="L4" s="3692"/>
      <c r="M4" s="3692"/>
      <c r="N4" s="3692"/>
      <c r="O4" s="3692"/>
      <c r="P4" s="3692"/>
      <c r="Q4" s="3692"/>
      <c r="R4" s="3692"/>
      <c r="S4" s="3692"/>
      <c r="T4" s="3692"/>
      <c r="U4" s="3692"/>
      <c r="V4" s="3692"/>
      <c r="W4" s="3692"/>
      <c r="X4" s="3692"/>
      <c r="Y4" s="3692"/>
      <c r="Z4" s="3692"/>
      <c r="AA4" s="3692"/>
      <c r="AB4" s="3692"/>
      <c r="AC4" s="3692"/>
      <c r="AD4" s="3692"/>
      <c r="AE4" s="3692"/>
      <c r="AF4" s="3692"/>
      <c r="AG4" s="3692"/>
      <c r="AH4" s="3692"/>
      <c r="AI4" s="3692"/>
      <c r="AJ4" s="3692"/>
      <c r="AK4" s="3692"/>
    </row>
    <row r="5" ht="12" customHeight="1">
      <c r="A5" s="3697" t="s">
        <v>3211</v>
      </c>
      <c r="B5" s="3698" t="s">
        <v>3212</v>
      </c>
      <c r="C5" s="3698" t="s">
        <v>3213</v>
      </c>
      <c r="D5" s="3699" t="s">
        <v>3214</v>
      </c>
      <c r="E5" s="3699" t="s">
        <v>3215</v>
      </c>
      <c r="F5" s="3699" t="s">
        <v>3216</v>
      </c>
      <c r="G5" s="3699" t="s">
        <v>3217</v>
      </c>
      <c r="H5" s="3699" t="s">
        <v>3218</v>
      </c>
      <c r="I5" s="3699" t="s">
        <v>3219</v>
      </c>
      <c r="J5" s="3699" t="s">
        <v>3220</v>
      </c>
      <c r="K5" s="3699" t="s">
        <v>3221</v>
      </c>
      <c r="L5" s="3700" t="s">
        <v>3222</v>
      </c>
      <c r="M5" s="3700" t="s">
        <v>3223</v>
      </c>
      <c r="N5" s="3700" t="s">
        <v>3224</v>
      </c>
      <c r="O5" s="3700" t="s">
        <v>3225</v>
      </c>
      <c r="P5" s="3700" t="s">
        <v>3226</v>
      </c>
      <c r="Q5" s="3700" t="s">
        <v>3227</v>
      </c>
      <c r="R5" s="3700" t="s">
        <v>3228</v>
      </c>
      <c r="S5" s="3700" t="s">
        <v>3229</v>
      </c>
      <c r="T5" s="3701" t="s">
        <v>3230</v>
      </c>
      <c r="U5" s="3701" t="s">
        <v>3231</v>
      </c>
      <c r="V5" s="3701" t="s">
        <v>3232</v>
      </c>
      <c r="W5" s="3701" t="s">
        <v>3233</v>
      </c>
      <c r="X5" s="3701" t="s">
        <v>3234</v>
      </c>
      <c r="Y5" s="3701" t="s">
        <v>3235</v>
      </c>
      <c r="Z5" s="3701" t="s">
        <v>3236</v>
      </c>
      <c r="AA5" s="3701" t="s">
        <v>3237</v>
      </c>
      <c r="AB5" s="3701" t="s">
        <v>3238</v>
      </c>
      <c r="AC5" s="3701" t="s">
        <v>3239</v>
      </c>
      <c r="AD5" s="3701" t="s">
        <v>3240</v>
      </c>
      <c r="AE5" s="3701" t="s">
        <v>3241</v>
      </c>
      <c r="AF5" s="3701" t="s">
        <v>3242</v>
      </c>
      <c r="AG5" s="3701" t="s">
        <v>3243</v>
      </c>
      <c r="AH5" s="3701" t="s">
        <v>3244</v>
      </c>
      <c r="AI5" s="3692"/>
      <c r="AJ5" s="3702" t="s">
        <v>3245</v>
      </c>
      <c r="AK5" s="3692"/>
    </row>
    <row r="6" ht="14.25" customHeight="1">
      <c r="A6" s="3703" t="s">
        <v>3246</v>
      </c>
      <c r="B6" s="3704" t="s">
        <v>188</v>
      </c>
      <c r="C6" s="3704" t="s">
        <v>188</v>
      </c>
      <c r="D6" s="3705" t="s">
        <v>188</v>
      </c>
      <c r="E6" s="3705" t="s">
        <v>188</v>
      </c>
      <c r="F6" s="3705" t="s">
        <v>188</v>
      </c>
      <c r="G6" s="3705" t="s">
        <v>188</v>
      </c>
      <c r="H6" s="3705" t="s">
        <v>188</v>
      </c>
      <c r="I6" s="3705" t="s">
        <v>188</v>
      </c>
      <c r="J6" s="3705" t="s">
        <v>188</v>
      </c>
      <c r="K6" s="3705" t="s">
        <v>188</v>
      </c>
      <c r="L6" s="3706" t="s">
        <v>188</v>
      </c>
      <c r="M6" s="3706" t="s">
        <v>188</v>
      </c>
      <c r="N6" s="3706" t="s">
        <v>188</v>
      </c>
      <c r="O6" s="3706" t="s">
        <v>188</v>
      </c>
      <c r="P6" s="3706" t="s">
        <v>188</v>
      </c>
      <c r="Q6" s="3706" t="s">
        <v>188</v>
      </c>
      <c r="R6" s="3706" t="s">
        <v>188</v>
      </c>
      <c r="S6" s="3706" t="s">
        <v>188</v>
      </c>
      <c r="T6" s="3707" t="s">
        <v>188</v>
      </c>
      <c r="U6" s="3707" t="s">
        <v>188</v>
      </c>
      <c r="V6" s="3707" t="s">
        <v>188</v>
      </c>
      <c r="W6" s="3707" t="s">
        <v>188</v>
      </c>
      <c r="X6" s="3707" t="s">
        <v>188</v>
      </c>
      <c r="Y6" s="3707" t="s">
        <v>188</v>
      </c>
      <c r="Z6" s="3707" t="s">
        <v>188</v>
      </c>
      <c r="AA6" s="3707" t="s">
        <v>188</v>
      </c>
      <c r="AB6" s="3707" t="s">
        <v>188</v>
      </c>
      <c r="AC6" s="3707" t="s">
        <v>188</v>
      </c>
      <c r="AD6" s="3707" t="s">
        <v>188</v>
      </c>
      <c r="AE6" s="3707" t="s">
        <v>188</v>
      </c>
      <c r="AF6" s="3707" t="s">
        <v>188</v>
      </c>
      <c r="AG6" s="3707" t="s">
        <v>188</v>
      </c>
      <c r="AH6" s="3707" t="s">
        <v>188</v>
      </c>
      <c r="AI6" s="3692"/>
      <c r="AJ6" s="3708" t="s">
        <v>3247</v>
      </c>
      <c r="AK6" s="3692"/>
    </row>
    <row r="7" ht="12" customHeight="1">
      <c r="A7" s="3709" t="s">
        <v>3248</v>
      </c>
      <c r="B7" s="3710" t="s">
        <v>451</v>
      </c>
      <c r="C7" s="3710" t="s">
        <v>451</v>
      </c>
      <c r="D7" s="3711" t="s">
        <v>451</v>
      </c>
      <c r="E7" s="3711" t="s">
        <v>451</v>
      </c>
      <c r="F7" s="3711" t="s">
        <v>451</v>
      </c>
      <c r="G7" s="3711" t="s">
        <v>451</v>
      </c>
      <c r="H7" s="3711" t="s">
        <v>451</v>
      </c>
      <c r="I7" s="3711" t="s">
        <v>451</v>
      </c>
      <c r="J7" s="3711" t="s">
        <v>451</v>
      </c>
      <c r="K7" s="3711" t="s">
        <v>451</v>
      </c>
      <c r="L7" s="3711" t="s">
        <v>451</v>
      </c>
      <c r="M7" s="3711" t="s">
        <v>451</v>
      </c>
      <c r="N7" s="3711" t="s">
        <v>451</v>
      </c>
      <c r="O7" s="3711" t="s">
        <v>451</v>
      </c>
      <c r="P7" s="3711" t="s">
        <v>451</v>
      </c>
      <c r="Q7" s="3711" t="s">
        <v>451</v>
      </c>
      <c r="R7" s="3711" t="s">
        <v>451</v>
      </c>
      <c r="S7" s="3711" t="s">
        <v>451</v>
      </c>
      <c r="T7" s="3710" t="s">
        <v>451</v>
      </c>
      <c r="U7" s="3710" t="s">
        <v>451</v>
      </c>
      <c r="V7" s="3710" t="s">
        <v>451</v>
      </c>
      <c r="W7" s="3710" t="s">
        <v>451</v>
      </c>
      <c r="X7" s="3710" t="s">
        <v>451</v>
      </c>
      <c r="Y7" s="3710" t="s">
        <v>451</v>
      </c>
      <c r="Z7" s="3710" t="s">
        <v>451</v>
      </c>
      <c r="AA7" s="3710" t="s">
        <v>451</v>
      </c>
      <c r="AB7" s="3710" t="s">
        <v>451</v>
      </c>
      <c r="AC7" s="3710" t="s">
        <v>451</v>
      </c>
      <c r="AD7" s="3710" t="s">
        <v>451</v>
      </c>
      <c r="AE7" s="3710" t="s">
        <v>451</v>
      </c>
      <c r="AF7" s="3710" t="s">
        <v>451</v>
      </c>
      <c r="AG7" s="3710" t="s">
        <v>451</v>
      </c>
      <c r="AH7" s="3710" t="s">
        <v>451</v>
      </c>
      <c r="AI7" s="3692"/>
      <c r="AJ7" s="3692"/>
      <c r="AK7" s="3692"/>
    </row>
    <row r="8" ht="12" customHeight="1">
      <c r="A8" s="3712" t="s">
        <v>3249</v>
      </c>
      <c r="B8" s="3713" t="s">
        <v>363</v>
      </c>
      <c r="C8" s="3713" t="s">
        <v>363</v>
      </c>
      <c r="D8" s="3714" t="s">
        <v>363</v>
      </c>
      <c r="E8" s="3714" t="s">
        <v>363</v>
      </c>
      <c r="F8" s="3714" t="s">
        <v>363</v>
      </c>
      <c r="G8" s="3714" t="s">
        <v>363</v>
      </c>
      <c r="H8" s="3714" t="s">
        <v>363</v>
      </c>
      <c r="I8" s="3714" t="s">
        <v>363</v>
      </c>
      <c r="J8" s="3714" t="s">
        <v>363</v>
      </c>
      <c r="K8" s="3714" t="s">
        <v>363</v>
      </c>
      <c r="L8" s="3714" t="s">
        <v>363</v>
      </c>
      <c r="M8" s="3714" t="s">
        <v>363</v>
      </c>
      <c r="N8" s="3714" t="s">
        <v>363</v>
      </c>
      <c r="O8" s="3714" t="s">
        <v>363</v>
      </c>
      <c r="P8" s="3714" t="s">
        <v>363</v>
      </c>
      <c r="Q8" s="3714" t="s">
        <v>363</v>
      </c>
      <c r="R8" s="3714" t="s">
        <v>363</v>
      </c>
      <c r="S8" s="3714" t="s">
        <v>363</v>
      </c>
      <c r="T8" s="3714" t="s">
        <v>363</v>
      </c>
      <c r="U8" s="3714" t="s">
        <v>363</v>
      </c>
      <c r="V8" s="3714" t="s">
        <v>363</v>
      </c>
      <c r="W8" s="3714" t="s">
        <v>363</v>
      </c>
      <c r="X8" s="3714" t="s">
        <v>363</v>
      </c>
      <c r="Y8" s="3714" t="s">
        <v>363</v>
      </c>
      <c r="Z8" s="3714" t="s">
        <v>363</v>
      </c>
      <c r="AA8" s="3714" t="s">
        <v>363</v>
      </c>
      <c r="AB8" s="3714" t="s">
        <v>363</v>
      </c>
      <c r="AC8" s="3714" t="s">
        <v>363</v>
      </c>
      <c r="AD8" s="3714" t="s">
        <v>363</v>
      </c>
      <c r="AE8" s="3714" t="s">
        <v>363</v>
      </c>
      <c r="AF8" s="3714" t="s">
        <v>363</v>
      </c>
      <c r="AG8" s="3714" t="s">
        <v>363</v>
      </c>
      <c r="AH8" s="3714" t="s">
        <v>363</v>
      </c>
      <c r="AI8" s="3692"/>
      <c r="AJ8" s="3692"/>
      <c r="AK8" s="3692"/>
    </row>
    <row r="9" ht="12" customHeight="1">
      <c r="A9" s="3715" t="s">
        <v>3250</v>
      </c>
      <c r="B9" s="3716"/>
      <c r="C9" s="3716"/>
      <c r="D9" s="3717"/>
      <c r="E9" s="3717"/>
      <c r="F9" s="3717"/>
      <c r="G9" s="3717"/>
      <c r="H9" s="3717"/>
      <c r="I9" s="3717"/>
      <c r="J9" s="3717"/>
      <c r="K9" s="3717"/>
      <c r="L9" s="3717"/>
      <c r="M9" s="3717"/>
      <c r="N9" s="3717"/>
      <c r="O9" s="3717"/>
      <c r="P9" s="3717"/>
      <c r="Q9" s="3717"/>
      <c r="R9" s="3717"/>
      <c r="S9" s="3717"/>
      <c r="T9" s="3717"/>
      <c r="U9" s="3717"/>
      <c r="V9" s="3717"/>
      <c r="W9" s="3717"/>
      <c r="X9" s="3717"/>
      <c r="Y9" s="3717"/>
      <c r="Z9" s="3717"/>
      <c r="AA9" s="3717"/>
      <c r="AB9" s="3717"/>
      <c r="AC9" s="3717"/>
      <c r="AD9" s="3717"/>
      <c r="AE9" s="3717"/>
      <c r="AF9" s="3717"/>
      <c r="AG9" s="3717"/>
      <c r="AH9" s="3717"/>
      <c r="AI9" s="3692"/>
      <c r="AJ9" s="3692"/>
      <c r="AK9" s="3692"/>
    </row>
    <row r="10" ht="12" customHeight="1">
      <c r="A10" s="3718" t="s">
        <v>3251</v>
      </c>
      <c r="B10" s="3719">
        <v>0</v>
      </c>
      <c r="C10" s="3719">
        <v>0</v>
      </c>
      <c r="D10" s="3720">
        <v>0</v>
      </c>
      <c r="E10" s="3720">
        <v>0</v>
      </c>
      <c r="F10" s="3720">
        <v>0</v>
      </c>
      <c r="G10" s="3720">
        <v>0</v>
      </c>
      <c r="H10" s="3720">
        <v>0</v>
      </c>
      <c r="I10" s="3720">
        <v>0</v>
      </c>
      <c r="J10" s="3720">
        <v>0</v>
      </c>
      <c r="K10" s="3720">
        <v>0</v>
      </c>
      <c r="L10" s="3720">
        <v>0</v>
      </c>
      <c r="M10" s="3720">
        <v>0</v>
      </c>
      <c r="N10" s="3720">
        <v>0</v>
      </c>
      <c r="O10" s="3720">
        <v>0</v>
      </c>
      <c r="P10" s="3720">
        <v>0</v>
      </c>
      <c r="Q10" s="3720">
        <v>0</v>
      </c>
      <c r="R10" s="3720">
        <v>0</v>
      </c>
      <c r="S10" s="3720">
        <v>0</v>
      </c>
      <c r="T10" s="3720">
        <v>0</v>
      </c>
      <c r="U10" s="3720">
        <v>0</v>
      </c>
      <c r="V10" s="3720">
        <v>0</v>
      </c>
      <c r="W10" s="3720">
        <v>0</v>
      </c>
      <c r="X10" s="3720">
        <v>0</v>
      </c>
      <c r="Y10" s="3720">
        <v>0</v>
      </c>
      <c r="Z10" s="3720">
        <v>0</v>
      </c>
      <c r="AA10" s="3720">
        <v>0</v>
      </c>
      <c r="AB10" s="3720">
        <v>0</v>
      </c>
      <c r="AC10" s="3720">
        <v>0</v>
      </c>
      <c r="AD10" s="3720">
        <v>0</v>
      </c>
      <c r="AE10" s="3720">
        <v>0</v>
      </c>
      <c r="AF10" s="3720">
        <v>0</v>
      </c>
      <c r="AG10" s="3720">
        <v>0</v>
      </c>
      <c r="AH10" s="3720">
        <v>0</v>
      </c>
      <c r="AI10" s="3692"/>
      <c r="AJ10" s="3692"/>
      <c r="AK10" s="3692"/>
    </row>
    <row r="11" ht="12" customHeight="1">
      <c r="A11" s="3721" t="s">
        <v>3252</v>
      </c>
      <c r="B11" s="3719">
        <v>0</v>
      </c>
      <c r="C11" s="3719">
        <v>0</v>
      </c>
      <c r="D11" s="3720">
        <v>0</v>
      </c>
      <c r="E11" s="3720">
        <v>0</v>
      </c>
      <c r="F11" s="3720">
        <v>0</v>
      </c>
      <c r="G11" s="3720">
        <v>0</v>
      </c>
      <c r="H11" s="3720">
        <v>0</v>
      </c>
      <c r="I11" s="3720">
        <v>0</v>
      </c>
      <c r="J11" s="3720">
        <v>0</v>
      </c>
      <c r="K11" s="3720">
        <v>0</v>
      </c>
      <c r="L11" s="3720">
        <v>0</v>
      </c>
      <c r="M11" s="3720">
        <v>0</v>
      </c>
      <c r="N11" s="3720">
        <v>0</v>
      </c>
      <c r="O11" s="3720">
        <v>0</v>
      </c>
      <c r="P11" s="3720">
        <v>0</v>
      </c>
      <c r="Q11" s="3720">
        <v>0</v>
      </c>
      <c r="R11" s="3720">
        <v>0</v>
      </c>
      <c r="S11" s="3720">
        <v>0</v>
      </c>
      <c r="T11" s="3720">
        <v>0</v>
      </c>
      <c r="U11" s="3720">
        <v>0</v>
      </c>
      <c r="V11" s="3720">
        <v>0</v>
      </c>
      <c r="W11" s="3720">
        <v>0</v>
      </c>
      <c r="X11" s="3720">
        <v>0</v>
      </c>
      <c r="Y11" s="3720">
        <v>0</v>
      </c>
      <c r="Z11" s="3720">
        <v>0</v>
      </c>
      <c r="AA11" s="3720">
        <v>0</v>
      </c>
      <c r="AB11" s="3720">
        <v>0</v>
      </c>
      <c r="AC11" s="3720">
        <v>0</v>
      </c>
      <c r="AD11" s="3720">
        <v>0</v>
      </c>
      <c r="AE11" s="3720">
        <v>0</v>
      </c>
      <c r="AF11" s="3720">
        <v>0</v>
      </c>
      <c r="AG11" s="3720">
        <v>0</v>
      </c>
      <c r="AH11" s="3720">
        <v>0</v>
      </c>
      <c r="AI11" s="3692"/>
      <c r="AJ11" s="3692"/>
      <c r="AK11" s="3692"/>
    </row>
    <row r="12" ht="12" customHeight="1">
      <c r="A12" s="3722" t="s">
        <v>3253</v>
      </c>
      <c r="B12" s="3723">
        <f t="shared" si="0" ref="B12:AH26">B10+B11</f>
        <v>0</v>
      </c>
      <c r="C12" s="3723">
        <f t="shared" si="0"/>
        <v>0</v>
      </c>
      <c r="D12" s="3724">
        <f t="shared" si="0"/>
        <v>0</v>
      </c>
      <c r="E12" s="3724">
        <f t="shared" si="0"/>
        <v>0</v>
      </c>
      <c r="F12" s="3724">
        <f t="shared" si="0"/>
        <v>0</v>
      </c>
      <c r="G12" s="3724">
        <f t="shared" si="0"/>
        <v>0</v>
      </c>
      <c r="H12" s="3724">
        <f t="shared" si="0"/>
        <v>0</v>
      </c>
      <c r="I12" s="3724">
        <f t="shared" si="0"/>
        <v>0</v>
      </c>
      <c r="J12" s="3724">
        <f t="shared" si="0"/>
        <v>0</v>
      </c>
      <c r="K12" s="3724">
        <f t="shared" si="0"/>
        <v>0</v>
      </c>
      <c r="L12" s="3724">
        <f t="shared" si="0"/>
        <v>0</v>
      </c>
      <c r="M12" s="3724">
        <f t="shared" si="0"/>
        <v>0</v>
      </c>
      <c r="N12" s="3724">
        <f t="shared" si="0"/>
        <v>0</v>
      </c>
      <c r="O12" s="3724">
        <f t="shared" si="0"/>
        <v>0</v>
      </c>
      <c r="P12" s="3724">
        <f t="shared" si="0"/>
        <v>0</v>
      </c>
      <c r="Q12" s="3724">
        <f t="shared" si="0"/>
        <v>0</v>
      </c>
      <c r="R12" s="3724">
        <f t="shared" si="0"/>
        <v>0</v>
      </c>
      <c r="S12" s="3724">
        <f t="shared" si="0"/>
        <v>0</v>
      </c>
      <c r="T12" s="3724">
        <f t="shared" si="0"/>
        <v>0</v>
      </c>
      <c r="U12" s="3724">
        <f t="shared" si="0"/>
        <v>0</v>
      </c>
      <c r="V12" s="3724">
        <f t="shared" si="0"/>
        <v>0</v>
      </c>
      <c r="W12" s="3724">
        <f t="shared" si="0"/>
        <v>0</v>
      </c>
      <c r="X12" s="3724">
        <f t="shared" si="0"/>
        <v>0</v>
      </c>
      <c r="Y12" s="3724">
        <f t="shared" si="0"/>
        <v>0</v>
      </c>
      <c r="Z12" s="3724">
        <f t="shared" si="0"/>
        <v>0</v>
      </c>
      <c r="AA12" s="3724">
        <f t="shared" si="0"/>
        <v>0</v>
      </c>
      <c r="AB12" s="3724">
        <f t="shared" si="0"/>
        <v>0</v>
      </c>
      <c r="AC12" s="3724">
        <f t="shared" si="0"/>
        <v>0</v>
      </c>
      <c r="AD12" s="3724">
        <f t="shared" si="0"/>
        <v>0</v>
      </c>
      <c r="AE12" s="3724">
        <f t="shared" si="0"/>
        <v>0</v>
      </c>
      <c r="AF12" s="3724">
        <f t="shared" si="0"/>
        <v>0</v>
      </c>
      <c r="AG12" s="3724">
        <f t="shared" si="0"/>
        <v>0</v>
      </c>
      <c r="AH12" s="3724">
        <f t="shared" si="0"/>
        <v>0</v>
      </c>
      <c r="AI12" s="3692"/>
      <c r="AJ12" s="3692"/>
      <c r="AK12" s="3692"/>
    </row>
    <row r="13" ht="12" customHeight="1">
      <c r="A13" s="3718" t="s">
        <v>3254</v>
      </c>
      <c r="B13" s="3719">
        <v>0</v>
      </c>
      <c r="C13" s="3719">
        <v>0</v>
      </c>
      <c r="D13" s="3720">
        <v>0</v>
      </c>
      <c r="E13" s="3720">
        <v>0</v>
      </c>
      <c r="F13" s="3720">
        <v>0</v>
      </c>
      <c r="G13" s="3720">
        <v>0</v>
      </c>
      <c r="H13" s="3720">
        <v>0</v>
      </c>
      <c r="I13" s="3720">
        <v>0</v>
      </c>
      <c r="J13" s="3720">
        <v>0</v>
      </c>
      <c r="K13" s="3720">
        <v>0</v>
      </c>
      <c r="L13" s="3720">
        <v>0</v>
      </c>
      <c r="M13" s="3720">
        <v>0</v>
      </c>
      <c r="N13" s="3720">
        <v>0</v>
      </c>
      <c r="O13" s="3720">
        <v>0</v>
      </c>
      <c r="P13" s="3720">
        <v>0</v>
      </c>
      <c r="Q13" s="3720">
        <v>0</v>
      </c>
      <c r="R13" s="3720">
        <v>0</v>
      </c>
      <c r="S13" s="3720">
        <v>0</v>
      </c>
      <c r="T13" s="3720">
        <v>0</v>
      </c>
      <c r="U13" s="3720">
        <v>0</v>
      </c>
      <c r="V13" s="3720">
        <v>0</v>
      </c>
      <c r="W13" s="3720">
        <v>0</v>
      </c>
      <c r="X13" s="3720">
        <v>0</v>
      </c>
      <c r="Y13" s="3720">
        <v>0</v>
      </c>
      <c r="Z13" s="3720">
        <v>0</v>
      </c>
      <c r="AA13" s="3720">
        <v>0</v>
      </c>
      <c r="AB13" s="3720">
        <v>0</v>
      </c>
      <c r="AC13" s="3720">
        <v>0</v>
      </c>
      <c r="AD13" s="3720">
        <v>0</v>
      </c>
      <c r="AE13" s="3720">
        <v>0</v>
      </c>
      <c r="AF13" s="3720">
        <v>0</v>
      </c>
      <c r="AG13" s="3720">
        <v>0</v>
      </c>
      <c r="AH13" s="3720">
        <v>0</v>
      </c>
      <c r="AI13" s="3692"/>
      <c r="AJ13" s="3692"/>
      <c r="AK13" s="3692"/>
    </row>
    <row r="14" ht="12" customHeight="1">
      <c r="A14" s="3718" t="s">
        <v>3255</v>
      </c>
      <c r="B14" s="3719">
        <v>0</v>
      </c>
      <c r="C14" s="3719">
        <v>0</v>
      </c>
      <c r="D14" s="3720">
        <v>0</v>
      </c>
      <c r="E14" s="3720">
        <v>0</v>
      </c>
      <c r="F14" s="3720">
        <v>0</v>
      </c>
      <c r="G14" s="3720">
        <v>0</v>
      </c>
      <c r="H14" s="3720">
        <v>0</v>
      </c>
      <c r="I14" s="3720">
        <v>0</v>
      </c>
      <c r="J14" s="3720">
        <v>0</v>
      </c>
      <c r="K14" s="3720">
        <v>0</v>
      </c>
      <c r="L14" s="3720">
        <v>0</v>
      </c>
      <c r="M14" s="3720">
        <v>0</v>
      </c>
      <c r="N14" s="3720">
        <v>0</v>
      </c>
      <c r="O14" s="3720">
        <v>0</v>
      </c>
      <c r="P14" s="3720">
        <v>0</v>
      </c>
      <c r="Q14" s="3720">
        <v>0</v>
      </c>
      <c r="R14" s="3720">
        <v>0</v>
      </c>
      <c r="S14" s="3720">
        <v>0</v>
      </c>
      <c r="T14" s="3720">
        <v>0</v>
      </c>
      <c r="U14" s="3720">
        <v>0</v>
      </c>
      <c r="V14" s="3720">
        <v>0</v>
      </c>
      <c r="W14" s="3720">
        <v>0</v>
      </c>
      <c r="X14" s="3720">
        <v>0</v>
      </c>
      <c r="Y14" s="3720">
        <v>0</v>
      </c>
      <c r="Z14" s="3720">
        <v>0</v>
      </c>
      <c r="AA14" s="3720">
        <v>0</v>
      </c>
      <c r="AB14" s="3720">
        <v>0</v>
      </c>
      <c r="AC14" s="3720">
        <v>0</v>
      </c>
      <c r="AD14" s="3720">
        <v>0</v>
      </c>
      <c r="AE14" s="3720">
        <v>0</v>
      </c>
      <c r="AF14" s="3720">
        <v>0</v>
      </c>
      <c r="AG14" s="3720">
        <v>0</v>
      </c>
      <c r="AH14" s="3720">
        <v>0</v>
      </c>
      <c r="AI14" s="3692"/>
      <c r="AJ14" s="3692"/>
      <c r="AK14" s="3692"/>
    </row>
    <row r="15" ht="12" customHeight="1">
      <c r="A15" s="3721" t="s">
        <v>3256</v>
      </c>
      <c r="B15" s="3725">
        <v>0</v>
      </c>
      <c r="C15" s="3725">
        <v>0</v>
      </c>
      <c r="D15" s="3726">
        <v>0</v>
      </c>
      <c r="E15" s="3726">
        <v>0</v>
      </c>
      <c r="F15" s="3726">
        <v>0</v>
      </c>
      <c r="G15" s="3726">
        <v>0</v>
      </c>
      <c r="H15" s="3726">
        <v>0</v>
      </c>
      <c r="I15" s="3726">
        <v>0</v>
      </c>
      <c r="J15" s="3726">
        <v>0</v>
      </c>
      <c r="K15" s="3726">
        <v>0</v>
      </c>
      <c r="L15" s="3726">
        <v>0</v>
      </c>
      <c r="M15" s="3726">
        <v>0</v>
      </c>
      <c r="N15" s="3726">
        <v>0</v>
      </c>
      <c r="O15" s="3726">
        <v>0</v>
      </c>
      <c r="P15" s="3726">
        <v>0</v>
      </c>
      <c r="Q15" s="3726">
        <v>0</v>
      </c>
      <c r="R15" s="3726">
        <v>0</v>
      </c>
      <c r="S15" s="3726">
        <v>0</v>
      </c>
      <c r="T15" s="3726">
        <v>0</v>
      </c>
      <c r="U15" s="3726">
        <v>0</v>
      </c>
      <c r="V15" s="3726">
        <v>0</v>
      </c>
      <c r="W15" s="3726">
        <v>0</v>
      </c>
      <c r="X15" s="3726">
        <v>0</v>
      </c>
      <c r="Y15" s="3726">
        <v>0</v>
      </c>
      <c r="Z15" s="3726">
        <v>0</v>
      </c>
      <c r="AA15" s="3726">
        <v>0</v>
      </c>
      <c r="AB15" s="3726">
        <v>0</v>
      </c>
      <c r="AC15" s="3726">
        <v>0</v>
      </c>
      <c r="AD15" s="3726">
        <v>0</v>
      </c>
      <c r="AE15" s="3726">
        <v>0</v>
      </c>
      <c r="AF15" s="3726">
        <v>0</v>
      </c>
      <c r="AG15" s="3726">
        <v>0</v>
      </c>
      <c r="AH15" s="3726">
        <v>0</v>
      </c>
      <c r="AI15" s="3692"/>
      <c r="AJ15" s="3692"/>
      <c r="AK15" s="3692"/>
    </row>
    <row r="16" ht="12" customHeight="1">
      <c r="A16" s="3727" t="s">
        <v>3257</v>
      </c>
      <c r="B16" s="3723">
        <f t="shared" si="1" ref="B16:AH16">B13+B14+B15</f>
        <v>0</v>
      </c>
      <c r="C16" s="3723">
        <f t="shared" si="1"/>
        <v>0</v>
      </c>
      <c r="D16" s="3724">
        <f t="shared" si="1"/>
        <v>0</v>
      </c>
      <c r="E16" s="3724">
        <f t="shared" si="1"/>
        <v>0</v>
      </c>
      <c r="F16" s="3724">
        <f t="shared" si="1"/>
        <v>0</v>
      </c>
      <c r="G16" s="3724">
        <f t="shared" si="1"/>
        <v>0</v>
      </c>
      <c r="H16" s="3724">
        <f t="shared" si="1"/>
        <v>0</v>
      </c>
      <c r="I16" s="3724">
        <f t="shared" si="1"/>
        <v>0</v>
      </c>
      <c r="J16" s="3724">
        <f t="shared" si="1"/>
        <v>0</v>
      </c>
      <c r="K16" s="3724">
        <f t="shared" si="1"/>
        <v>0</v>
      </c>
      <c r="L16" s="3724">
        <f t="shared" si="1"/>
        <v>0</v>
      </c>
      <c r="M16" s="3724">
        <f t="shared" si="1"/>
        <v>0</v>
      </c>
      <c r="N16" s="3724">
        <f t="shared" si="1"/>
        <v>0</v>
      </c>
      <c r="O16" s="3724">
        <f t="shared" si="1"/>
        <v>0</v>
      </c>
      <c r="P16" s="3724">
        <f t="shared" si="1"/>
        <v>0</v>
      </c>
      <c r="Q16" s="3724">
        <f t="shared" si="1"/>
        <v>0</v>
      </c>
      <c r="R16" s="3724">
        <f t="shared" si="1"/>
        <v>0</v>
      </c>
      <c r="S16" s="3724">
        <f t="shared" si="1"/>
        <v>0</v>
      </c>
      <c r="T16" s="3724">
        <f t="shared" si="1"/>
        <v>0</v>
      </c>
      <c r="U16" s="3724">
        <f t="shared" si="1"/>
        <v>0</v>
      </c>
      <c r="V16" s="3724">
        <f t="shared" si="1"/>
        <v>0</v>
      </c>
      <c r="W16" s="3724">
        <f t="shared" si="1"/>
        <v>0</v>
      </c>
      <c r="X16" s="3724">
        <f t="shared" si="1"/>
        <v>0</v>
      </c>
      <c r="Y16" s="3724">
        <f t="shared" si="1"/>
        <v>0</v>
      </c>
      <c r="Z16" s="3724">
        <f t="shared" si="1"/>
        <v>0</v>
      </c>
      <c r="AA16" s="3724">
        <f t="shared" si="1"/>
        <v>0</v>
      </c>
      <c r="AB16" s="3724">
        <f t="shared" si="1"/>
        <v>0</v>
      </c>
      <c r="AC16" s="3724">
        <f t="shared" si="1"/>
        <v>0</v>
      </c>
      <c r="AD16" s="3724">
        <f t="shared" si="1"/>
        <v>0</v>
      </c>
      <c r="AE16" s="3724">
        <f t="shared" si="1"/>
        <v>0</v>
      </c>
      <c r="AF16" s="3724">
        <f t="shared" si="1"/>
        <v>0</v>
      </c>
      <c r="AG16" s="3724">
        <f t="shared" si="1"/>
        <v>0</v>
      </c>
      <c r="AH16" s="3724">
        <f t="shared" si="1"/>
        <v>0</v>
      </c>
      <c r="AI16" s="3692"/>
      <c r="AJ16" s="3692"/>
      <c r="AK16" s="3692"/>
    </row>
    <row r="17" ht="12" customHeight="1">
      <c r="A17" s="3718" t="s">
        <v>3258</v>
      </c>
      <c r="B17" s="3728">
        <v>0</v>
      </c>
      <c r="C17" s="3728">
        <v>0</v>
      </c>
      <c r="D17" s="3729">
        <v>0</v>
      </c>
      <c r="E17" s="3729">
        <v>0</v>
      </c>
      <c r="F17" s="3729">
        <v>0</v>
      </c>
      <c r="G17" s="3729">
        <v>0</v>
      </c>
      <c r="H17" s="3729">
        <v>0</v>
      </c>
      <c r="I17" s="3729">
        <v>0</v>
      </c>
      <c r="J17" s="3729">
        <v>0</v>
      </c>
      <c r="K17" s="3729">
        <v>0</v>
      </c>
      <c r="L17" s="3729">
        <v>0</v>
      </c>
      <c r="M17" s="3729">
        <v>0</v>
      </c>
      <c r="N17" s="3729">
        <v>0</v>
      </c>
      <c r="O17" s="3729">
        <v>0</v>
      </c>
      <c r="P17" s="3729">
        <v>0</v>
      </c>
      <c r="Q17" s="3729">
        <v>0</v>
      </c>
      <c r="R17" s="3729">
        <v>0</v>
      </c>
      <c r="S17" s="3729">
        <v>0</v>
      </c>
      <c r="T17" s="3729">
        <v>0</v>
      </c>
      <c r="U17" s="3729">
        <v>0</v>
      </c>
      <c r="V17" s="3729">
        <v>0</v>
      </c>
      <c r="W17" s="3729">
        <v>0</v>
      </c>
      <c r="X17" s="3729">
        <v>0</v>
      </c>
      <c r="Y17" s="3729">
        <v>0</v>
      </c>
      <c r="Z17" s="3729">
        <v>0</v>
      </c>
      <c r="AA17" s="3729">
        <v>0</v>
      </c>
      <c r="AB17" s="3729">
        <v>0</v>
      </c>
      <c r="AC17" s="3729">
        <v>0</v>
      </c>
      <c r="AD17" s="3729">
        <v>0</v>
      </c>
      <c r="AE17" s="3729">
        <v>0</v>
      </c>
      <c r="AF17" s="3729">
        <v>0</v>
      </c>
      <c r="AG17" s="3729">
        <v>0</v>
      </c>
      <c r="AH17" s="3729">
        <v>0</v>
      </c>
      <c r="AI17" s="3692"/>
      <c r="AJ17" s="3692"/>
      <c r="AK17" s="3692"/>
    </row>
    <row r="18" ht="12" customHeight="1">
      <c r="A18" s="3718" t="s">
        <v>3259</v>
      </c>
      <c r="B18" s="3719">
        <v>0</v>
      </c>
      <c r="C18" s="3719">
        <v>0</v>
      </c>
      <c r="D18" s="3720">
        <v>0</v>
      </c>
      <c r="E18" s="3720">
        <v>0</v>
      </c>
      <c r="F18" s="3720">
        <v>0</v>
      </c>
      <c r="G18" s="3720">
        <v>0</v>
      </c>
      <c r="H18" s="3720">
        <v>0</v>
      </c>
      <c r="I18" s="3720">
        <v>0</v>
      </c>
      <c r="J18" s="3720">
        <v>0</v>
      </c>
      <c r="K18" s="3720">
        <v>0</v>
      </c>
      <c r="L18" s="3720">
        <v>0</v>
      </c>
      <c r="M18" s="3720">
        <v>0</v>
      </c>
      <c r="N18" s="3720">
        <v>0</v>
      </c>
      <c r="O18" s="3720">
        <v>0</v>
      </c>
      <c r="P18" s="3720">
        <v>0</v>
      </c>
      <c r="Q18" s="3720">
        <v>0</v>
      </c>
      <c r="R18" s="3720">
        <v>0</v>
      </c>
      <c r="S18" s="3720">
        <v>0</v>
      </c>
      <c r="T18" s="3720">
        <v>0</v>
      </c>
      <c r="U18" s="3720">
        <v>0</v>
      </c>
      <c r="V18" s="3720">
        <v>0</v>
      </c>
      <c r="W18" s="3720">
        <v>0</v>
      </c>
      <c r="X18" s="3720">
        <v>0</v>
      </c>
      <c r="Y18" s="3720">
        <v>0</v>
      </c>
      <c r="Z18" s="3720">
        <v>0</v>
      </c>
      <c r="AA18" s="3720">
        <v>0</v>
      </c>
      <c r="AB18" s="3720">
        <v>0</v>
      </c>
      <c r="AC18" s="3720">
        <v>0</v>
      </c>
      <c r="AD18" s="3720">
        <v>0</v>
      </c>
      <c r="AE18" s="3720">
        <v>0</v>
      </c>
      <c r="AF18" s="3720">
        <v>0</v>
      </c>
      <c r="AG18" s="3720">
        <v>0</v>
      </c>
      <c r="AH18" s="3720">
        <v>0</v>
      </c>
      <c r="AI18" s="3692"/>
      <c r="AJ18" s="3692"/>
      <c r="AK18" s="3692"/>
    </row>
    <row r="19" ht="12" customHeight="1">
      <c r="A19" s="3718" t="s">
        <v>3260</v>
      </c>
      <c r="B19" s="3719">
        <v>0</v>
      </c>
      <c r="C19" s="3719">
        <v>0</v>
      </c>
      <c r="D19" s="3720">
        <v>0</v>
      </c>
      <c r="E19" s="3720">
        <v>0</v>
      </c>
      <c r="F19" s="3720">
        <v>0</v>
      </c>
      <c r="G19" s="3720">
        <v>0</v>
      </c>
      <c r="H19" s="3720">
        <v>0</v>
      </c>
      <c r="I19" s="3720">
        <v>0</v>
      </c>
      <c r="J19" s="3720">
        <v>0</v>
      </c>
      <c r="K19" s="3720">
        <v>0</v>
      </c>
      <c r="L19" s="3720">
        <v>0</v>
      </c>
      <c r="M19" s="3720">
        <v>0</v>
      </c>
      <c r="N19" s="3720">
        <v>0</v>
      </c>
      <c r="O19" s="3720">
        <v>0</v>
      </c>
      <c r="P19" s="3720">
        <v>0</v>
      </c>
      <c r="Q19" s="3720">
        <v>0</v>
      </c>
      <c r="R19" s="3720">
        <v>0</v>
      </c>
      <c r="S19" s="3720">
        <v>0</v>
      </c>
      <c r="T19" s="3720">
        <v>0</v>
      </c>
      <c r="U19" s="3720">
        <v>0</v>
      </c>
      <c r="V19" s="3720">
        <v>0</v>
      </c>
      <c r="W19" s="3720">
        <v>0</v>
      </c>
      <c r="X19" s="3720">
        <v>0</v>
      </c>
      <c r="Y19" s="3720">
        <v>0</v>
      </c>
      <c r="Z19" s="3720">
        <v>0</v>
      </c>
      <c r="AA19" s="3720">
        <v>0</v>
      </c>
      <c r="AB19" s="3720">
        <v>0</v>
      </c>
      <c r="AC19" s="3720">
        <v>0</v>
      </c>
      <c r="AD19" s="3720">
        <v>0</v>
      </c>
      <c r="AE19" s="3720">
        <v>0</v>
      </c>
      <c r="AF19" s="3720">
        <v>0</v>
      </c>
      <c r="AG19" s="3720">
        <v>0</v>
      </c>
      <c r="AH19" s="3720">
        <v>0</v>
      </c>
      <c r="AI19" s="3692"/>
      <c r="AJ19" s="3692"/>
      <c r="AK19" s="3692"/>
    </row>
    <row r="20" ht="12" customHeight="1">
      <c r="A20" s="3721" t="s">
        <v>3261</v>
      </c>
      <c r="B20" s="3725">
        <v>0</v>
      </c>
      <c r="C20" s="3725">
        <v>0</v>
      </c>
      <c r="D20" s="3726">
        <v>0</v>
      </c>
      <c r="E20" s="3726">
        <v>0</v>
      </c>
      <c r="F20" s="3726">
        <v>0</v>
      </c>
      <c r="G20" s="3726">
        <v>0</v>
      </c>
      <c r="H20" s="3726">
        <v>0</v>
      </c>
      <c r="I20" s="3726">
        <v>0</v>
      </c>
      <c r="J20" s="3726">
        <v>0</v>
      </c>
      <c r="K20" s="3726">
        <v>0</v>
      </c>
      <c r="L20" s="3726">
        <v>0</v>
      </c>
      <c r="M20" s="3726">
        <v>0</v>
      </c>
      <c r="N20" s="3726">
        <v>0</v>
      </c>
      <c r="O20" s="3726">
        <v>0</v>
      </c>
      <c r="P20" s="3726">
        <v>0</v>
      </c>
      <c r="Q20" s="3726">
        <v>0</v>
      </c>
      <c r="R20" s="3726">
        <v>0</v>
      </c>
      <c r="S20" s="3726">
        <v>0</v>
      </c>
      <c r="T20" s="3726">
        <v>0</v>
      </c>
      <c r="U20" s="3726">
        <v>0</v>
      </c>
      <c r="V20" s="3726">
        <v>0</v>
      </c>
      <c r="W20" s="3726">
        <v>0</v>
      </c>
      <c r="X20" s="3726">
        <v>0</v>
      </c>
      <c r="Y20" s="3726">
        <v>0</v>
      </c>
      <c r="Z20" s="3726">
        <v>0</v>
      </c>
      <c r="AA20" s="3726">
        <v>0</v>
      </c>
      <c r="AB20" s="3726">
        <v>0</v>
      </c>
      <c r="AC20" s="3726">
        <v>0</v>
      </c>
      <c r="AD20" s="3726">
        <v>0</v>
      </c>
      <c r="AE20" s="3726">
        <v>0</v>
      </c>
      <c r="AF20" s="3726">
        <v>0</v>
      </c>
      <c r="AG20" s="3726">
        <v>0</v>
      </c>
      <c r="AH20" s="3726">
        <v>0</v>
      </c>
      <c r="AI20" s="3692"/>
      <c r="AJ20" s="3692"/>
      <c r="AK20" s="3692"/>
    </row>
    <row r="21" ht="12.75" customHeight="1">
      <c r="A21" s="3730" t="s">
        <v>3262</v>
      </c>
      <c r="B21" s="3731">
        <f t="shared" si="2" ref="B21:AH21">SUM(B17:B20)</f>
        <v>0</v>
      </c>
      <c r="C21" s="3731">
        <f t="shared" si="2"/>
        <v>0</v>
      </c>
      <c r="D21" s="3732">
        <f t="shared" si="2"/>
        <v>0</v>
      </c>
      <c r="E21" s="3732">
        <f t="shared" si="2"/>
        <v>0</v>
      </c>
      <c r="F21" s="3732">
        <f t="shared" si="2"/>
        <v>0</v>
      </c>
      <c r="G21" s="3732">
        <f t="shared" si="2"/>
        <v>0</v>
      </c>
      <c r="H21" s="3732">
        <f t="shared" si="2"/>
        <v>0</v>
      </c>
      <c r="I21" s="3732">
        <f t="shared" si="2"/>
        <v>0</v>
      </c>
      <c r="J21" s="3732">
        <f t="shared" si="2"/>
        <v>0</v>
      </c>
      <c r="K21" s="3732">
        <f t="shared" si="2"/>
        <v>0</v>
      </c>
      <c r="L21" s="3732">
        <f t="shared" si="2"/>
        <v>0</v>
      </c>
      <c r="M21" s="3732">
        <f t="shared" si="2"/>
        <v>0</v>
      </c>
      <c r="N21" s="3732">
        <f t="shared" si="2"/>
        <v>0</v>
      </c>
      <c r="O21" s="3732">
        <f t="shared" si="2"/>
        <v>0</v>
      </c>
      <c r="P21" s="3732">
        <f t="shared" si="2"/>
        <v>0</v>
      </c>
      <c r="Q21" s="3732">
        <f t="shared" si="2"/>
        <v>0</v>
      </c>
      <c r="R21" s="3732">
        <f t="shared" si="2"/>
        <v>0</v>
      </c>
      <c r="S21" s="3732">
        <f t="shared" si="2"/>
        <v>0</v>
      </c>
      <c r="T21" s="3732">
        <f t="shared" si="2"/>
        <v>0</v>
      </c>
      <c r="U21" s="3732">
        <f t="shared" si="2"/>
        <v>0</v>
      </c>
      <c r="V21" s="3732">
        <f t="shared" si="2"/>
        <v>0</v>
      </c>
      <c r="W21" s="3732">
        <f t="shared" si="2"/>
        <v>0</v>
      </c>
      <c r="X21" s="3732">
        <f t="shared" si="2"/>
        <v>0</v>
      </c>
      <c r="Y21" s="3732">
        <f t="shared" si="2"/>
        <v>0</v>
      </c>
      <c r="Z21" s="3732">
        <f t="shared" si="2"/>
        <v>0</v>
      </c>
      <c r="AA21" s="3732">
        <f t="shared" si="2"/>
        <v>0</v>
      </c>
      <c r="AB21" s="3732">
        <f t="shared" si="2"/>
        <v>0</v>
      </c>
      <c r="AC21" s="3732">
        <f t="shared" si="2"/>
        <v>0</v>
      </c>
      <c r="AD21" s="3732">
        <f t="shared" si="2"/>
        <v>0</v>
      </c>
      <c r="AE21" s="3732">
        <f t="shared" si="2"/>
        <v>0</v>
      </c>
      <c r="AF21" s="3732">
        <f t="shared" si="2"/>
        <v>0</v>
      </c>
      <c r="AG21" s="3732">
        <f t="shared" si="2"/>
        <v>0</v>
      </c>
      <c r="AH21" s="3732">
        <f t="shared" si="2"/>
        <v>0</v>
      </c>
      <c r="AI21" s="3692"/>
      <c r="AJ21" s="3692"/>
      <c r="AK21" s="3692"/>
    </row>
    <row r="22" ht="12" customHeight="1">
      <c r="A22" s="3733" t="s">
        <v>3263</v>
      </c>
      <c r="B22" s="3734">
        <f t="shared" si="3" ref="B22:AH22">B12+B16+B21</f>
        <v>0</v>
      </c>
      <c r="C22" s="3734">
        <f t="shared" si="3"/>
        <v>0</v>
      </c>
      <c r="D22" s="3735">
        <f t="shared" si="3"/>
        <v>0</v>
      </c>
      <c r="E22" s="3735">
        <f t="shared" si="3"/>
        <v>0</v>
      </c>
      <c r="F22" s="3735">
        <f t="shared" si="3"/>
        <v>0</v>
      </c>
      <c r="G22" s="3735">
        <f t="shared" si="3"/>
        <v>0</v>
      </c>
      <c r="H22" s="3735">
        <f t="shared" si="3"/>
        <v>0</v>
      </c>
      <c r="I22" s="3735">
        <f t="shared" si="3"/>
        <v>0</v>
      </c>
      <c r="J22" s="3735">
        <f t="shared" si="3"/>
        <v>0</v>
      </c>
      <c r="K22" s="3735">
        <f t="shared" si="3"/>
        <v>0</v>
      </c>
      <c r="L22" s="3735">
        <f t="shared" si="3"/>
        <v>0</v>
      </c>
      <c r="M22" s="3735">
        <f t="shared" si="3"/>
        <v>0</v>
      </c>
      <c r="N22" s="3735">
        <f t="shared" si="3"/>
        <v>0</v>
      </c>
      <c r="O22" s="3735">
        <f t="shared" si="3"/>
        <v>0</v>
      </c>
      <c r="P22" s="3735">
        <f t="shared" si="3"/>
        <v>0</v>
      </c>
      <c r="Q22" s="3735">
        <f t="shared" si="3"/>
        <v>0</v>
      </c>
      <c r="R22" s="3735">
        <f t="shared" si="3"/>
        <v>0</v>
      </c>
      <c r="S22" s="3735">
        <f t="shared" si="3"/>
        <v>0</v>
      </c>
      <c r="T22" s="3735">
        <f t="shared" si="3"/>
        <v>0</v>
      </c>
      <c r="U22" s="3735">
        <f t="shared" si="3"/>
        <v>0</v>
      </c>
      <c r="V22" s="3735">
        <f t="shared" si="3"/>
        <v>0</v>
      </c>
      <c r="W22" s="3735">
        <f t="shared" si="3"/>
        <v>0</v>
      </c>
      <c r="X22" s="3735">
        <f t="shared" si="3"/>
        <v>0</v>
      </c>
      <c r="Y22" s="3735">
        <f t="shared" si="3"/>
        <v>0</v>
      </c>
      <c r="Z22" s="3735">
        <f t="shared" si="3"/>
        <v>0</v>
      </c>
      <c r="AA22" s="3735">
        <f t="shared" si="3"/>
        <v>0</v>
      </c>
      <c r="AB22" s="3735">
        <f t="shared" si="3"/>
        <v>0</v>
      </c>
      <c r="AC22" s="3735">
        <f t="shared" si="3"/>
        <v>0</v>
      </c>
      <c r="AD22" s="3735">
        <f t="shared" si="3"/>
        <v>0</v>
      </c>
      <c r="AE22" s="3735">
        <f t="shared" si="3"/>
        <v>0</v>
      </c>
      <c r="AF22" s="3735">
        <f t="shared" si="3"/>
        <v>0</v>
      </c>
      <c r="AG22" s="3735">
        <f t="shared" si="3"/>
        <v>0</v>
      </c>
      <c r="AH22" s="3735">
        <f t="shared" si="3"/>
        <v>0</v>
      </c>
      <c r="AI22" s="3692"/>
      <c r="AJ22" s="3692"/>
      <c r="AK22" s="3692"/>
    </row>
    <row r="23" ht="12" customHeight="1">
      <c r="A23" s="3736" t="s">
        <v>3264</v>
      </c>
      <c r="B23" s="3737"/>
      <c r="C23" s="3737"/>
      <c r="D23" s="3738"/>
      <c r="E23" s="3738"/>
      <c r="F23" s="3738"/>
      <c r="G23" s="3738"/>
      <c r="H23" s="3738"/>
      <c r="I23" s="3738"/>
      <c r="J23" s="3738"/>
      <c r="K23" s="3738"/>
      <c r="L23" s="3738"/>
      <c r="M23" s="3738"/>
      <c r="N23" s="3738"/>
      <c r="O23" s="3738"/>
      <c r="P23" s="3738"/>
      <c r="Q23" s="3738"/>
      <c r="R23" s="3738"/>
      <c r="S23" s="3738"/>
      <c r="T23" s="3738"/>
      <c r="U23" s="3738"/>
      <c r="V23" s="3738"/>
      <c r="W23" s="3738"/>
      <c r="X23" s="3738"/>
      <c r="Y23" s="3738"/>
      <c r="Z23" s="3738"/>
      <c r="AA23" s="3738"/>
      <c r="AB23" s="3738"/>
      <c r="AC23" s="3738"/>
      <c r="AD23" s="3738"/>
      <c r="AE23" s="3738"/>
      <c r="AF23" s="3738"/>
      <c r="AG23" s="3738"/>
      <c r="AH23" s="3738"/>
      <c r="AI23" s="3692"/>
      <c r="AJ23" s="3692"/>
      <c r="AK23" s="3692"/>
    </row>
    <row r="24" ht="12" customHeight="1">
      <c r="A24" s="3718" t="s">
        <v>3265</v>
      </c>
      <c r="B24" s="3719">
        <v>0</v>
      </c>
      <c r="C24" s="3719">
        <v>0</v>
      </c>
      <c r="D24" s="3720">
        <v>0</v>
      </c>
      <c r="E24" s="3720">
        <v>0</v>
      </c>
      <c r="F24" s="3720">
        <v>0</v>
      </c>
      <c r="G24" s="3720">
        <v>0</v>
      </c>
      <c r="H24" s="3720">
        <v>0</v>
      </c>
      <c r="I24" s="3720">
        <v>0</v>
      </c>
      <c r="J24" s="3720">
        <v>0</v>
      </c>
      <c r="K24" s="3720">
        <v>0</v>
      </c>
      <c r="L24" s="3720">
        <v>0</v>
      </c>
      <c r="M24" s="3720">
        <v>0</v>
      </c>
      <c r="N24" s="3720">
        <v>0</v>
      </c>
      <c r="O24" s="3720">
        <v>0</v>
      </c>
      <c r="P24" s="3720">
        <v>0</v>
      </c>
      <c r="Q24" s="3720">
        <v>0</v>
      </c>
      <c r="R24" s="3720">
        <v>0</v>
      </c>
      <c r="S24" s="3720">
        <v>0</v>
      </c>
      <c r="T24" s="3720">
        <v>0</v>
      </c>
      <c r="U24" s="3720">
        <v>0</v>
      </c>
      <c r="V24" s="3720">
        <v>0</v>
      </c>
      <c r="W24" s="3720">
        <v>0</v>
      </c>
      <c r="X24" s="3720">
        <v>0</v>
      </c>
      <c r="Y24" s="3720">
        <v>0</v>
      </c>
      <c r="Z24" s="3720">
        <v>0</v>
      </c>
      <c r="AA24" s="3720">
        <v>0</v>
      </c>
      <c r="AB24" s="3720">
        <v>0</v>
      </c>
      <c r="AC24" s="3720">
        <v>0</v>
      </c>
      <c r="AD24" s="3720">
        <v>0</v>
      </c>
      <c r="AE24" s="3720">
        <v>0</v>
      </c>
      <c r="AF24" s="3720">
        <v>0</v>
      </c>
      <c r="AG24" s="3720">
        <v>0</v>
      </c>
      <c r="AH24" s="3720">
        <v>0</v>
      </c>
      <c r="AI24" s="3692"/>
      <c r="AJ24" s="3692"/>
      <c r="AK24" s="3692"/>
    </row>
    <row r="25" ht="12" customHeight="1">
      <c r="A25" s="3721" t="s">
        <v>3266</v>
      </c>
      <c r="B25" s="3719">
        <v>0</v>
      </c>
      <c r="C25" s="3719">
        <v>0</v>
      </c>
      <c r="D25" s="3720">
        <v>0</v>
      </c>
      <c r="E25" s="3720">
        <v>0</v>
      </c>
      <c r="F25" s="3720">
        <v>0</v>
      </c>
      <c r="G25" s="3720">
        <v>0</v>
      </c>
      <c r="H25" s="3720">
        <v>0</v>
      </c>
      <c r="I25" s="3720">
        <v>0</v>
      </c>
      <c r="J25" s="3720">
        <v>0</v>
      </c>
      <c r="K25" s="3720">
        <v>0</v>
      </c>
      <c r="L25" s="3720">
        <v>0</v>
      </c>
      <c r="M25" s="3720">
        <v>0</v>
      </c>
      <c r="N25" s="3720">
        <v>0</v>
      </c>
      <c r="O25" s="3720">
        <v>0</v>
      </c>
      <c r="P25" s="3720">
        <v>0</v>
      </c>
      <c r="Q25" s="3720">
        <v>0</v>
      </c>
      <c r="R25" s="3720">
        <v>0</v>
      </c>
      <c r="S25" s="3720">
        <v>0</v>
      </c>
      <c r="T25" s="3720">
        <v>0</v>
      </c>
      <c r="U25" s="3720">
        <v>0</v>
      </c>
      <c r="V25" s="3720">
        <v>0</v>
      </c>
      <c r="W25" s="3720">
        <v>0</v>
      </c>
      <c r="X25" s="3720">
        <v>0</v>
      </c>
      <c r="Y25" s="3720">
        <v>0</v>
      </c>
      <c r="Z25" s="3720">
        <v>0</v>
      </c>
      <c r="AA25" s="3720">
        <v>0</v>
      </c>
      <c r="AB25" s="3720">
        <v>0</v>
      </c>
      <c r="AC25" s="3720">
        <v>0</v>
      </c>
      <c r="AD25" s="3720">
        <v>0</v>
      </c>
      <c r="AE25" s="3720">
        <v>0</v>
      </c>
      <c r="AF25" s="3720">
        <v>0</v>
      </c>
      <c r="AG25" s="3720">
        <v>0</v>
      </c>
      <c r="AH25" s="3720">
        <v>0</v>
      </c>
      <c r="AI25" s="3692"/>
      <c r="AJ25" s="3692"/>
      <c r="AK25" s="3692"/>
    </row>
    <row r="26" ht="12" customHeight="1">
      <c r="A26" s="3727" t="s">
        <v>3267</v>
      </c>
      <c r="B26" s="3723">
        <f t="shared" si="0"/>
        <v>0</v>
      </c>
      <c r="C26" s="3723">
        <f t="shared" si="0"/>
        <v>0</v>
      </c>
      <c r="D26" s="3724">
        <f t="shared" si="0"/>
        <v>0</v>
      </c>
      <c r="E26" s="3724">
        <f t="shared" si="0"/>
        <v>0</v>
      </c>
      <c r="F26" s="3724">
        <f t="shared" si="0"/>
        <v>0</v>
      </c>
      <c r="G26" s="3724">
        <f t="shared" si="0"/>
        <v>0</v>
      </c>
      <c r="H26" s="3724">
        <f t="shared" si="0"/>
        <v>0</v>
      </c>
      <c r="I26" s="3724">
        <f t="shared" si="0"/>
        <v>0</v>
      </c>
      <c r="J26" s="3724">
        <f t="shared" si="0"/>
        <v>0</v>
      </c>
      <c r="K26" s="3724">
        <f t="shared" si="0"/>
        <v>0</v>
      </c>
      <c r="L26" s="3724">
        <f t="shared" si="0"/>
        <v>0</v>
      </c>
      <c r="M26" s="3724">
        <f t="shared" si="0"/>
        <v>0</v>
      </c>
      <c r="N26" s="3724">
        <f t="shared" si="0"/>
        <v>0</v>
      </c>
      <c r="O26" s="3724">
        <f t="shared" si="0"/>
        <v>0</v>
      </c>
      <c r="P26" s="3724">
        <f t="shared" si="0"/>
        <v>0</v>
      </c>
      <c r="Q26" s="3724">
        <f t="shared" si="0"/>
        <v>0</v>
      </c>
      <c r="R26" s="3724">
        <f t="shared" si="0"/>
        <v>0</v>
      </c>
      <c r="S26" s="3724">
        <f t="shared" si="0"/>
        <v>0</v>
      </c>
      <c r="T26" s="3724">
        <f t="shared" si="0"/>
        <v>0</v>
      </c>
      <c r="U26" s="3724">
        <f t="shared" si="0"/>
        <v>0</v>
      </c>
      <c r="V26" s="3724">
        <f t="shared" si="0"/>
        <v>0</v>
      </c>
      <c r="W26" s="3724">
        <f t="shared" si="0"/>
        <v>0</v>
      </c>
      <c r="X26" s="3724">
        <f t="shared" si="0"/>
        <v>0</v>
      </c>
      <c r="Y26" s="3724">
        <f t="shared" si="0"/>
        <v>0</v>
      </c>
      <c r="Z26" s="3724">
        <f t="shared" si="0"/>
        <v>0</v>
      </c>
      <c r="AA26" s="3724">
        <f t="shared" si="0"/>
        <v>0</v>
      </c>
      <c r="AB26" s="3724">
        <f t="shared" si="0"/>
        <v>0</v>
      </c>
      <c r="AC26" s="3724">
        <f t="shared" si="0"/>
        <v>0</v>
      </c>
      <c r="AD26" s="3724">
        <f t="shared" si="0"/>
        <v>0</v>
      </c>
      <c r="AE26" s="3724">
        <f t="shared" si="0"/>
        <v>0</v>
      </c>
      <c r="AF26" s="3724">
        <f t="shared" si="0"/>
        <v>0</v>
      </c>
      <c r="AG26" s="3724">
        <f t="shared" si="0"/>
        <v>0</v>
      </c>
      <c r="AH26" s="3724">
        <f t="shared" si="0"/>
        <v>0</v>
      </c>
      <c r="AI26" s="3692"/>
      <c r="AJ26" s="3692"/>
      <c r="AK26" s="3692"/>
    </row>
    <row r="27" ht="12" customHeight="1">
      <c r="A27" s="3718" t="s">
        <v>3268</v>
      </c>
      <c r="B27" s="3728">
        <v>0</v>
      </c>
      <c r="C27" s="3728">
        <v>0</v>
      </c>
      <c r="D27" s="3729">
        <v>0</v>
      </c>
      <c r="E27" s="3729">
        <v>0</v>
      </c>
      <c r="F27" s="3729">
        <v>0</v>
      </c>
      <c r="G27" s="3729">
        <v>0</v>
      </c>
      <c r="H27" s="3729">
        <v>0</v>
      </c>
      <c r="I27" s="3729">
        <v>0</v>
      </c>
      <c r="J27" s="3729">
        <v>0</v>
      </c>
      <c r="K27" s="3729">
        <v>0</v>
      </c>
      <c r="L27" s="3729">
        <v>0</v>
      </c>
      <c r="M27" s="3729">
        <v>0</v>
      </c>
      <c r="N27" s="3729">
        <v>0</v>
      </c>
      <c r="O27" s="3729">
        <v>0</v>
      </c>
      <c r="P27" s="3729">
        <v>0</v>
      </c>
      <c r="Q27" s="3729">
        <v>0</v>
      </c>
      <c r="R27" s="3729">
        <v>0</v>
      </c>
      <c r="S27" s="3729">
        <v>0</v>
      </c>
      <c r="T27" s="3729">
        <v>0</v>
      </c>
      <c r="U27" s="3729">
        <v>0</v>
      </c>
      <c r="V27" s="3729">
        <v>0</v>
      </c>
      <c r="W27" s="3729">
        <v>0</v>
      </c>
      <c r="X27" s="3729">
        <v>0</v>
      </c>
      <c r="Y27" s="3729">
        <v>0</v>
      </c>
      <c r="Z27" s="3729">
        <v>0</v>
      </c>
      <c r="AA27" s="3729">
        <v>0</v>
      </c>
      <c r="AB27" s="3729">
        <v>0</v>
      </c>
      <c r="AC27" s="3729">
        <v>0</v>
      </c>
      <c r="AD27" s="3729">
        <v>0</v>
      </c>
      <c r="AE27" s="3729">
        <v>0</v>
      </c>
      <c r="AF27" s="3729">
        <v>0</v>
      </c>
      <c r="AG27" s="3729">
        <v>0</v>
      </c>
      <c r="AH27" s="3729">
        <v>0</v>
      </c>
      <c r="AI27" s="3692"/>
      <c r="AJ27" s="3692"/>
      <c r="AK27" s="3692"/>
    </row>
    <row r="28" ht="12" customHeight="1">
      <c r="A28" s="3718" t="s">
        <v>3269</v>
      </c>
      <c r="B28" s="3719">
        <v>0</v>
      </c>
      <c r="C28" s="3719">
        <v>0</v>
      </c>
      <c r="D28" s="3720">
        <v>0</v>
      </c>
      <c r="E28" s="3720">
        <v>0</v>
      </c>
      <c r="F28" s="3720">
        <v>0</v>
      </c>
      <c r="G28" s="3720">
        <v>0</v>
      </c>
      <c r="H28" s="3720">
        <v>0</v>
      </c>
      <c r="I28" s="3720">
        <v>0</v>
      </c>
      <c r="J28" s="3720">
        <v>0</v>
      </c>
      <c r="K28" s="3720">
        <v>0</v>
      </c>
      <c r="L28" s="3720">
        <v>0</v>
      </c>
      <c r="M28" s="3720">
        <v>0</v>
      </c>
      <c r="N28" s="3720">
        <v>0</v>
      </c>
      <c r="O28" s="3720">
        <v>0</v>
      </c>
      <c r="P28" s="3720">
        <v>0</v>
      </c>
      <c r="Q28" s="3720">
        <v>0</v>
      </c>
      <c r="R28" s="3720">
        <v>0</v>
      </c>
      <c r="S28" s="3720">
        <v>0</v>
      </c>
      <c r="T28" s="3720">
        <v>0</v>
      </c>
      <c r="U28" s="3720">
        <v>0</v>
      </c>
      <c r="V28" s="3720">
        <v>0</v>
      </c>
      <c r="W28" s="3720">
        <v>0</v>
      </c>
      <c r="X28" s="3720">
        <v>0</v>
      </c>
      <c r="Y28" s="3720">
        <v>0</v>
      </c>
      <c r="Z28" s="3720">
        <v>0</v>
      </c>
      <c r="AA28" s="3720">
        <v>0</v>
      </c>
      <c r="AB28" s="3720">
        <v>0</v>
      </c>
      <c r="AC28" s="3720">
        <v>0</v>
      </c>
      <c r="AD28" s="3720">
        <v>0</v>
      </c>
      <c r="AE28" s="3720">
        <v>0</v>
      </c>
      <c r="AF28" s="3720">
        <v>0</v>
      </c>
      <c r="AG28" s="3720">
        <v>0</v>
      </c>
      <c r="AH28" s="3720">
        <v>0</v>
      </c>
      <c r="AI28" s="3692"/>
      <c r="AJ28" s="3692"/>
      <c r="AK28" s="3692"/>
    </row>
    <row r="29" ht="12" customHeight="1">
      <c r="A29" s="3721" t="s">
        <v>3270</v>
      </c>
      <c r="B29" s="3719">
        <v>0</v>
      </c>
      <c r="C29" s="3719">
        <v>0</v>
      </c>
      <c r="D29" s="3720">
        <v>0</v>
      </c>
      <c r="E29" s="3720">
        <v>0</v>
      </c>
      <c r="F29" s="3720">
        <v>0</v>
      </c>
      <c r="G29" s="3720">
        <v>0</v>
      </c>
      <c r="H29" s="3720">
        <v>0</v>
      </c>
      <c r="I29" s="3720">
        <v>0</v>
      </c>
      <c r="J29" s="3720">
        <v>0</v>
      </c>
      <c r="K29" s="3720">
        <v>0</v>
      </c>
      <c r="L29" s="3720">
        <v>0</v>
      </c>
      <c r="M29" s="3720">
        <v>0</v>
      </c>
      <c r="N29" s="3720">
        <v>0</v>
      </c>
      <c r="O29" s="3720">
        <v>0</v>
      </c>
      <c r="P29" s="3720">
        <v>0</v>
      </c>
      <c r="Q29" s="3720">
        <v>0</v>
      </c>
      <c r="R29" s="3720">
        <v>0</v>
      </c>
      <c r="S29" s="3720">
        <v>0</v>
      </c>
      <c r="T29" s="3720">
        <v>0</v>
      </c>
      <c r="U29" s="3720">
        <v>0</v>
      </c>
      <c r="V29" s="3720">
        <v>0</v>
      </c>
      <c r="W29" s="3720">
        <v>0</v>
      </c>
      <c r="X29" s="3720">
        <v>0</v>
      </c>
      <c r="Y29" s="3720">
        <v>0</v>
      </c>
      <c r="Z29" s="3720">
        <v>0</v>
      </c>
      <c r="AA29" s="3720">
        <v>0</v>
      </c>
      <c r="AB29" s="3720">
        <v>0</v>
      </c>
      <c r="AC29" s="3720">
        <v>0</v>
      </c>
      <c r="AD29" s="3720">
        <v>0</v>
      </c>
      <c r="AE29" s="3720">
        <v>0</v>
      </c>
      <c r="AF29" s="3720">
        <v>0</v>
      </c>
      <c r="AG29" s="3720">
        <v>0</v>
      </c>
      <c r="AH29" s="3720">
        <v>0</v>
      </c>
      <c r="AI29" s="3692"/>
      <c r="AJ29" s="3692"/>
      <c r="AK29" s="3692"/>
    </row>
    <row r="30" ht="12.75" customHeight="1">
      <c r="A30" s="3739" t="s">
        <v>3271</v>
      </c>
      <c r="B30" s="3731">
        <f t="shared" si="4" ref="B30:AH30">SUM(B27:B29)</f>
        <v>0</v>
      </c>
      <c r="C30" s="3731">
        <f t="shared" si="4"/>
        <v>0</v>
      </c>
      <c r="D30" s="3732">
        <f t="shared" si="4"/>
        <v>0</v>
      </c>
      <c r="E30" s="3732">
        <f t="shared" si="4"/>
        <v>0</v>
      </c>
      <c r="F30" s="3732">
        <f t="shared" si="4"/>
        <v>0</v>
      </c>
      <c r="G30" s="3732">
        <f t="shared" si="4"/>
        <v>0</v>
      </c>
      <c r="H30" s="3732">
        <f t="shared" si="4"/>
        <v>0</v>
      </c>
      <c r="I30" s="3732">
        <f t="shared" si="4"/>
        <v>0</v>
      </c>
      <c r="J30" s="3732">
        <f t="shared" si="4"/>
        <v>0</v>
      </c>
      <c r="K30" s="3732">
        <f t="shared" si="4"/>
        <v>0</v>
      </c>
      <c r="L30" s="3732">
        <f t="shared" si="4"/>
        <v>0</v>
      </c>
      <c r="M30" s="3732">
        <f t="shared" si="4"/>
        <v>0</v>
      </c>
      <c r="N30" s="3732">
        <f t="shared" si="4"/>
        <v>0</v>
      </c>
      <c r="O30" s="3732">
        <f t="shared" si="4"/>
        <v>0</v>
      </c>
      <c r="P30" s="3732">
        <f t="shared" si="4"/>
        <v>0</v>
      </c>
      <c r="Q30" s="3732">
        <f t="shared" si="4"/>
        <v>0</v>
      </c>
      <c r="R30" s="3732">
        <f t="shared" si="4"/>
        <v>0</v>
      </c>
      <c r="S30" s="3732">
        <f t="shared" si="4"/>
        <v>0</v>
      </c>
      <c r="T30" s="3732">
        <f t="shared" si="4"/>
        <v>0</v>
      </c>
      <c r="U30" s="3732">
        <f t="shared" si="4"/>
        <v>0</v>
      </c>
      <c r="V30" s="3732">
        <f t="shared" si="4"/>
        <v>0</v>
      </c>
      <c r="W30" s="3732">
        <f t="shared" si="4"/>
        <v>0</v>
      </c>
      <c r="X30" s="3732">
        <f t="shared" si="4"/>
        <v>0</v>
      </c>
      <c r="Y30" s="3732">
        <f t="shared" si="4"/>
        <v>0</v>
      </c>
      <c r="Z30" s="3732">
        <f t="shared" si="4"/>
        <v>0</v>
      </c>
      <c r="AA30" s="3732">
        <f t="shared" si="4"/>
        <v>0</v>
      </c>
      <c r="AB30" s="3732">
        <f t="shared" si="4"/>
        <v>0</v>
      </c>
      <c r="AC30" s="3732">
        <f t="shared" si="4"/>
        <v>0</v>
      </c>
      <c r="AD30" s="3732">
        <f t="shared" si="4"/>
        <v>0</v>
      </c>
      <c r="AE30" s="3732">
        <f t="shared" si="4"/>
        <v>0</v>
      </c>
      <c r="AF30" s="3732">
        <f t="shared" si="4"/>
        <v>0</v>
      </c>
      <c r="AG30" s="3732">
        <f t="shared" si="4"/>
        <v>0</v>
      </c>
      <c r="AH30" s="3732">
        <f t="shared" si="4"/>
        <v>0</v>
      </c>
      <c r="AI30" s="3692"/>
      <c r="AJ30" s="3692"/>
      <c r="AK30" s="3692"/>
    </row>
    <row r="31" ht="12" customHeight="1">
      <c r="A31" s="3722" t="s">
        <v>3272</v>
      </c>
      <c r="B31" s="3740">
        <f t="shared" si="5" ref="B31:AH31">B26+B30</f>
        <v>0</v>
      </c>
      <c r="C31" s="3740">
        <f t="shared" si="5"/>
        <v>0</v>
      </c>
      <c r="D31" s="3741">
        <f t="shared" si="5"/>
        <v>0</v>
      </c>
      <c r="E31" s="3741">
        <f t="shared" si="5"/>
        <v>0</v>
      </c>
      <c r="F31" s="3741">
        <f t="shared" si="5"/>
        <v>0</v>
      </c>
      <c r="G31" s="3741">
        <f t="shared" si="5"/>
        <v>0</v>
      </c>
      <c r="H31" s="3741">
        <f t="shared" si="5"/>
        <v>0</v>
      </c>
      <c r="I31" s="3741">
        <f t="shared" si="5"/>
        <v>0</v>
      </c>
      <c r="J31" s="3741">
        <f t="shared" si="5"/>
        <v>0</v>
      </c>
      <c r="K31" s="3741">
        <f t="shared" si="5"/>
        <v>0</v>
      </c>
      <c r="L31" s="3741">
        <f t="shared" si="5"/>
        <v>0</v>
      </c>
      <c r="M31" s="3741">
        <f t="shared" si="5"/>
        <v>0</v>
      </c>
      <c r="N31" s="3741">
        <f t="shared" si="5"/>
        <v>0</v>
      </c>
      <c r="O31" s="3741">
        <f t="shared" si="5"/>
        <v>0</v>
      </c>
      <c r="P31" s="3741">
        <f t="shared" si="5"/>
        <v>0</v>
      </c>
      <c r="Q31" s="3741">
        <f t="shared" si="5"/>
        <v>0</v>
      </c>
      <c r="R31" s="3741">
        <f t="shared" si="5"/>
        <v>0</v>
      </c>
      <c r="S31" s="3741">
        <f t="shared" si="5"/>
        <v>0</v>
      </c>
      <c r="T31" s="3741">
        <f t="shared" si="5"/>
        <v>0</v>
      </c>
      <c r="U31" s="3741">
        <f t="shared" si="5"/>
        <v>0</v>
      </c>
      <c r="V31" s="3741">
        <f t="shared" si="5"/>
        <v>0</v>
      </c>
      <c r="W31" s="3741">
        <f t="shared" si="5"/>
        <v>0</v>
      </c>
      <c r="X31" s="3741">
        <f t="shared" si="5"/>
        <v>0</v>
      </c>
      <c r="Y31" s="3741">
        <f t="shared" si="5"/>
        <v>0</v>
      </c>
      <c r="Z31" s="3741">
        <f t="shared" si="5"/>
        <v>0</v>
      </c>
      <c r="AA31" s="3741">
        <f t="shared" si="5"/>
        <v>0</v>
      </c>
      <c r="AB31" s="3741">
        <f t="shared" si="5"/>
        <v>0</v>
      </c>
      <c r="AC31" s="3741">
        <f t="shared" si="5"/>
        <v>0</v>
      </c>
      <c r="AD31" s="3741">
        <f t="shared" si="5"/>
        <v>0</v>
      </c>
      <c r="AE31" s="3741">
        <f t="shared" si="5"/>
        <v>0</v>
      </c>
      <c r="AF31" s="3741">
        <f t="shared" si="5"/>
        <v>0</v>
      </c>
      <c r="AG31" s="3741">
        <f t="shared" si="5"/>
        <v>0</v>
      </c>
      <c r="AH31" s="3741">
        <f t="shared" si="5"/>
        <v>0</v>
      </c>
      <c r="AI31" s="3692"/>
      <c r="AJ31" s="3692"/>
      <c r="AK31" s="3692"/>
    </row>
    <row r="32" ht="12" customHeight="1">
      <c r="A32" s="3742" t="s">
        <v>3273</v>
      </c>
      <c r="B32" s="3743">
        <f t="shared" si="6" ref="B32:AH32">B22-B31</f>
        <v>0</v>
      </c>
      <c r="C32" s="3743">
        <f t="shared" si="6"/>
        <v>0</v>
      </c>
      <c r="D32" s="3744">
        <f t="shared" si="6"/>
        <v>0</v>
      </c>
      <c r="E32" s="3744">
        <f t="shared" si="6"/>
        <v>0</v>
      </c>
      <c r="F32" s="3744">
        <f t="shared" si="6"/>
        <v>0</v>
      </c>
      <c r="G32" s="3744">
        <f t="shared" si="6"/>
        <v>0</v>
      </c>
      <c r="H32" s="3744">
        <f t="shared" si="6"/>
        <v>0</v>
      </c>
      <c r="I32" s="3744">
        <f t="shared" si="6"/>
        <v>0</v>
      </c>
      <c r="J32" s="3744">
        <f t="shared" si="6"/>
        <v>0</v>
      </c>
      <c r="K32" s="3744">
        <f t="shared" si="6"/>
        <v>0</v>
      </c>
      <c r="L32" s="3744">
        <f t="shared" si="6"/>
        <v>0</v>
      </c>
      <c r="M32" s="3744">
        <f t="shared" si="6"/>
        <v>0</v>
      </c>
      <c r="N32" s="3744">
        <f t="shared" si="6"/>
        <v>0</v>
      </c>
      <c r="O32" s="3744">
        <f t="shared" si="6"/>
        <v>0</v>
      </c>
      <c r="P32" s="3744">
        <f t="shared" si="6"/>
        <v>0</v>
      </c>
      <c r="Q32" s="3744">
        <f t="shared" si="6"/>
        <v>0</v>
      </c>
      <c r="R32" s="3744">
        <f t="shared" si="6"/>
        <v>0</v>
      </c>
      <c r="S32" s="3744">
        <f t="shared" si="6"/>
        <v>0</v>
      </c>
      <c r="T32" s="3744">
        <f t="shared" si="6"/>
        <v>0</v>
      </c>
      <c r="U32" s="3744">
        <f t="shared" si="6"/>
        <v>0</v>
      </c>
      <c r="V32" s="3744">
        <f t="shared" si="6"/>
        <v>0</v>
      </c>
      <c r="W32" s="3744">
        <f t="shared" si="6"/>
        <v>0</v>
      </c>
      <c r="X32" s="3744">
        <f t="shared" si="6"/>
        <v>0</v>
      </c>
      <c r="Y32" s="3744">
        <f t="shared" si="6"/>
        <v>0</v>
      </c>
      <c r="Z32" s="3744">
        <f t="shared" si="6"/>
        <v>0</v>
      </c>
      <c r="AA32" s="3744">
        <f t="shared" si="6"/>
        <v>0</v>
      </c>
      <c r="AB32" s="3744">
        <f t="shared" si="6"/>
        <v>0</v>
      </c>
      <c r="AC32" s="3744">
        <f t="shared" si="6"/>
        <v>0</v>
      </c>
      <c r="AD32" s="3744">
        <f t="shared" si="6"/>
        <v>0</v>
      </c>
      <c r="AE32" s="3744">
        <f t="shared" si="6"/>
        <v>0</v>
      </c>
      <c r="AF32" s="3744">
        <f t="shared" si="6"/>
        <v>0</v>
      </c>
      <c r="AG32" s="3744">
        <f t="shared" si="6"/>
        <v>0</v>
      </c>
      <c r="AH32" s="3744">
        <f t="shared" si="6"/>
        <v>0</v>
      </c>
      <c r="AI32" s="3692"/>
      <c r="AJ32" s="3692"/>
      <c r="AK32" s="3692"/>
    </row>
    <row r="33" ht="12" customHeight="1">
      <c r="A33" s="3690" t="s">
        <v>3274</v>
      </c>
      <c r="B33" s="3745"/>
      <c r="C33" s="3745"/>
      <c r="D33" s="3746"/>
      <c r="E33" s="3746"/>
      <c r="F33" s="3746"/>
      <c r="G33" s="3746"/>
      <c r="H33" s="3746"/>
      <c r="I33" s="3746"/>
      <c r="J33" s="3746"/>
      <c r="K33" s="3746"/>
      <c r="L33" s="3747">
        <v>0</v>
      </c>
      <c r="M33" s="3747">
        <v>0</v>
      </c>
      <c r="N33" s="3747">
        <v>0</v>
      </c>
      <c r="O33" s="3747">
        <v>0</v>
      </c>
      <c r="P33" s="3747">
        <v>0</v>
      </c>
      <c r="Q33" s="3747">
        <v>0</v>
      </c>
      <c r="R33" s="3747">
        <v>0</v>
      </c>
      <c r="S33" s="3747">
        <v>0</v>
      </c>
      <c r="T33" s="3746"/>
      <c r="U33" s="3746"/>
      <c r="V33" s="3746"/>
      <c r="W33" s="3746"/>
      <c r="X33" s="3746"/>
      <c r="Y33" s="3746"/>
      <c r="Z33" s="3746"/>
      <c r="AA33" s="3746"/>
      <c r="AB33" s="3746"/>
      <c r="AC33" s="3746"/>
      <c r="AD33" s="3746"/>
      <c r="AE33" s="3746"/>
      <c r="AF33" s="3746"/>
      <c r="AG33" s="3746"/>
      <c r="AH33" s="3746"/>
      <c r="AI33" s="3692"/>
      <c r="AJ33" s="3692"/>
      <c r="AK33" s="3692"/>
    </row>
    <row r="34" ht="12" customHeight="1">
      <c r="A34" s="3748" t="s">
        <v>3275</v>
      </c>
      <c r="B34" s="3749">
        <v>0</v>
      </c>
      <c r="C34" s="3749">
        <v>0</v>
      </c>
      <c r="D34" s="3750">
        <v>0</v>
      </c>
      <c r="E34" s="3750">
        <v>0</v>
      </c>
      <c r="F34" s="3750">
        <v>0</v>
      </c>
      <c r="G34" s="3750">
        <v>0</v>
      </c>
      <c r="H34" s="3750">
        <v>0</v>
      </c>
      <c r="I34" s="3750">
        <v>0</v>
      </c>
      <c r="J34" s="3750">
        <v>0</v>
      </c>
      <c r="K34" s="3750">
        <v>0</v>
      </c>
      <c r="L34" s="3750">
        <v>0</v>
      </c>
      <c r="M34" s="3750">
        <v>0</v>
      </c>
      <c r="N34" s="3750">
        <v>0</v>
      </c>
      <c r="O34" s="3750">
        <v>0</v>
      </c>
      <c r="P34" s="3750">
        <v>0</v>
      </c>
      <c r="Q34" s="3750">
        <v>0</v>
      </c>
      <c r="R34" s="3750">
        <v>0</v>
      </c>
      <c r="S34" s="3750">
        <v>0</v>
      </c>
      <c r="T34" s="3750">
        <v>0</v>
      </c>
      <c r="U34" s="3750">
        <v>0</v>
      </c>
      <c r="V34" s="3750">
        <v>0</v>
      </c>
      <c r="W34" s="3750">
        <v>0</v>
      </c>
      <c r="X34" s="3750">
        <v>0</v>
      </c>
      <c r="Y34" s="3750">
        <v>0</v>
      </c>
      <c r="Z34" s="3750">
        <v>0</v>
      </c>
      <c r="AA34" s="3750">
        <v>0</v>
      </c>
      <c r="AB34" s="3750">
        <v>0</v>
      </c>
      <c r="AC34" s="3750">
        <v>0</v>
      </c>
      <c r="AD34" s="3750">
        <v>0</v>
      </c>
      <c r="AE34" s="3750">
        <v>0</v>
      </c>
      <c r="AF34" s="3750">
        <v>0</v>
      </c>
      <c r="AG34" s="3750">
        <v>0</v>
      </c>
      <c r="AH34" s="3750">
        <v>0</v>
      </c>
      <c r="AI34" s="3692"/>
      <c r="AJ34" s="3692"/>
      <c r="AK34" s="3692"/>
    </row>
    <row r="35" ht="12" customHeight="1">
      <c r="A35" s="3751" t="s">
        <v>3276</v>
      </c>
      <c r="B35" s="3719"/>
      <c r="C35" s="3719"/>
      <c r="D35" s="3720"/>
      <c r="E35" s="3720"/>
      <c r="F35" s="3720"/>
      <c r="G35" s="3720"/>
      <c r="H35" s="3752"/>
      <c r="I35" s="3720"/>
      <c r="J35" s="3720"/>
      <c r="K35" s="3720"/>
      <c r="L35" s="3750">
        <v>0</v>
      </c>
      <c r="M35" s="3750">
        <v>0</v>
      </c>
      <c r="N35" s="3750">
        <v>0</v>
      </c>
      <c r="O35" s="3750">
        <v>0</v>
      </c>
      <c r="P35" s="3750">
        <v>0</v>
      </c>
      <c r="Q35" s="3750">
        <v>0</v>
      </c>
      <c r="R35" s="3750">
        <v>0</v>
      </c>
      <c r="S35" s="3750">
        <v>0</v>
      </c>
      <c r="T35" s="3720"/>
      <c r="U35" s="3720"/>
      <c r="V35" s="3720"/>
      <c r="W35" s="3720"/>
      <c r="X35" s="3720"/>
      <c r="Y35" s="3720"/>
      <c r="Z35" s="3720"/>
      <c r="AA35" s="3720"/>
      <c r="AB35" s="3720"/>
      <c r="AC35" s="3720"/>
      <c r="AD35" s="3720"/>
      <c r="AE35" s="3720"/>
      <c r="AF35" s="3720"/>
      <c r="AG35" s="3720"/>
      <c r="AH35" s="3720"/>
      <c r="AI35" s="3692"/>
      <c r="AJ35" s="3692"/>
      <c r="AK35" s="3692"/>
    </row>
    <row r="36" ht="12" customHeight="1">
      <c r="A36" s="3753" t="s">
        <v>3277</v>
      </c>
      <c r="B36" s="3745"/>
      <c r="C36" s="3745"/>
      <c r="D36" s="3746"/>
      <c r="E36" s="3746"/>
      <c r="F36" s="3746"/>
      <c r="G36" s="3746"/>
      <c r="H36" s="3754"/>
      <c r="I36" s="3754"/>
      <c r="J36" s="3746"/>
      <c r="K36" s="3746"/>
      <c r="L36" s="3750">
        <v>0</v>
      </c>
      <c r="M36" s="3750">
        <v>0</v>
      </c>
      <c r="N36" s="3750">
        <v>0</v>
      </c>
      <c r="O36" s="3750">
        <v>0</v>
      </c>
      <c r="P36" s="3750">
        <v>0</v>
      </c>
      <c r="Q36" s="3750">
        <v>0</v>
      </c>
      <c r="R36" s="3750">
        <v>0</v>
      </c>
      <c r="S36" s="3750">
        <v>0</v>
      </c>
      <c r="T36" s="3720"/>
      <c r="U36" s="3720"/>
      <c r="V36" s="3720"/>
      <c r="W36" s="3720"/>
      <c r="X36" s="3720"/>
      <c r="Y36" s="3720"/>
      <c r="Z36" s="3720"/>
      <c r="AA36" s="3720"/>
      <c r="AB36" s="3720"/>
      <c r="AC36" s="3720"/>
      <c r="AD36" s="3720"/>
      <c r="AE36" s="3720"/>
      <c r="AF36" s="3720"/>
      <c r="AG36" s="3720"/>
      <c r="AH36" s="3720"/>
      <c r="AI36" s="3692"/>
      <c r="AJ36" s="3692"/>
      <c r="AK36" s="3692"/>
    </row>
    <row r="37" ht="12" customHeight="1">
      <c r="A37" s="3755" t="s">
        <v>3278</v>
      </c>
      <c r="B37" s="3756"/>
      <c r="C37" s="3756"/>
      <c r="D37" s="3757"/>
      <c r="E37" s="3757"/>
      <c r="F37" s="3757"/>
      <c r="G37" s="3757"/>
      <c r="H37" s="3757"/>
      <c r="I37" s="3757"/>
      <c r="J37" s="3757"/>
      <c r="K37" s="3757"/>
      <c r="L37" s="3758">
        <v>0</v>
      </c>
      <c r="M37" s="3758">
        <v>0</v>
      </c>
      <c r="N37" s="3758">
        <v>0</v>
      </c>
      <c r="O37" s="3758">
        <v>0</v>
      </c>
      <c r="P37" s="3758">
        <v>0</v>
      </c>
      <c r="Q37" s="3758">
        <v>0</v>
      </c>
      <c r="R37" s="3758">
        <v>0</v>
      </c>
      <c r="S37" s="3758">
        <v>0</v>
      </c>
      <c r="T37" s="3758"/>
      <c r="U37" s="3757"/>
      <c r="V37" s="3757"/>
      <c r="W37" s="3757"/>
      <c r="X37" s="3757"/>
      <c r="Y37" s="3757"/>
      <c r="Z37" s="3757"/>
      <c r="AA37" s="3757"/>
      <c r="AB37" s="3757"/>
      <c r="AC37" s="3757"/>
      <c r="AD37" s="3757"/>
      <c r="AE37" s="3757"/>
      <c r="AF37" s="3757"/>
      <c r="AG37" s="3757"/>
      <c r="AH37" s="3757"/>
      <c r="AI37" s="3692"/>
      <c r="AJ37" s="3692"/>
      <c r="AK37" s="3692"/>
    </row>
    <row r="38" ht="12" customHeight="1">
      <c r="A38" s="3759" t="s">
        <v>3279</v>
      </c>
      <c r="B38" s="3760"/>
      <c r="C38" s="3760"/>
      <c r="D38" s="3761"/>
      <c r="E38" s="3761"/>
      <c r="F38" s="3761"/>
      <c r="G38" s="3761"/>
      <c r="H38" s="3754"/>
      <c r="I38" s="3754"/>
      <c r="J38" s="3754"/>
      <c r="K38" s="3754"/>
      <c r="L38" s="3762">
        <v>0</v>
      </c>
      <c r="M38" s="3762">
        <v>0</v>
      </c>
      <c r="N38" s="3762">
        <v>0</v>
      </c>
      <c r="O38" s="3762">
        <v>0</v>
      </c>
      <c r="P38" s="3762">
        <v>0</v>
      </c>
      <c r="Q38" s="3762">
        <v>0</v>
      </c>
      <c r="R38" s="3762">
        <v>0</v>
      </c>
      <c r="S38" s="3762">
        <v>0</v>
      </c>
      <c r="T38" s="3762">
        <v>0</v>
      </c>
      <c r="U38" s="3762">
        <v>0</v>
      </c>
      <c r="V38" s="3762">
        <v>0</v>
      </c>
      <c r="W38" s="3762">
        <v>0</v>
      </c>
      <c r="X38" s="3762">
        <v>0</v>
      </c>
      <c r="Y38" s="3762">
        <v>0</v>
      </c>
      <c r="Z38" s="3762">
        <v>0</v>
      </c>
      <c r="AA38" s="3762">
        <v>0</v>
      </c>
      <c r="AB38" s="3762">
        <v>0</v>
      </c>
      <c r="AC38" s="3762">
        <v>0</v>
      </c>
      <c r="AD38" s="3762">
        <v>0</v>
      </c>
      <c r="AE38" s="3762">
        <v>0</v>
      </c>
      <c r="AF38" s="3762">
        <v>0</v>
      </c>
      <c r="AG38" s="3762">
        <v>0</v>
      </c>
      <c r="AH38" s="3762">
        <v>0</v>
      </c>
      <c r="AI38" s="3692"/>
      <c r="AJ38" s="3692"/>
      <c r="AK38" s="3692"/>
    </row>
    <row r="39" ht="12" customHeight="1">
      <c r="A39" s="3759" t="s">
        <v>3280</v>
      </c>
      <c r="B39" s="3760"/>
      <c r="C39" s="3760"/>
      <c r="D39" s="3761"/>
      <c r="E39" s="3761"/>
      <c r="F39" s="3761"/>
      <c r="G39" s="3761"/>
      <c r="H39" s="3754"/>
      <c r="I39" s="3754"/>
      <c r="J39" s="3754"/>
      <c r="K39" s="3754"/>
      <c r="L39" s="3762">
        <v>0</v>
      </c>
      <c r="M39" s="3762">
        <v>0</v>
      </c>
      <c r="N39" s="3762">
        <v>0</v>
      </c>
      <c r="O39" s="3762">
        <v>0</v>
      </c>
      <c r="P39" s="3762">
        <v>0</v>
      </c>
      <c r="Q39" s="3762">
        <v>0</v>
      </c>
      <c r="R39" s="3762">
        <v>0</v>
      </c>
      <c r="S39" s="3762">
        <v>0</v>
      </c>
      <c r="T39" s="3762">
        <v>0</v>
      </c>
      <c r="U39" s="3762">
        <v>0</v>
      </c>
      <c r="V39" s="3762">
        <v>0</v>
      </c>
      <c r="W39" s="3762">
        <v>0</v>
      </c>
      <c r="X39" s="3762">
        <v>0</v>
      </c>
      <c r="Y39" s="3762">
        <v>0</v>
      </c>
      <c r="Z39" s="3762">
        <v>0</v>
      </c>
      <c r="AA39" s="3762">
        <v>0</v>
      </c>
      <c r="AB39" s="3762">
        <v>0</v>
      </c>
      <c r="AC39" s="3762">
        <v>0</v>
      </c>
      <c r="AD39" s="3762">
        <v>0</v>
      </c>
      <c r="AE39" s="3762">
        <v>0</v>
      </c>
      <c r="AF39" s="3762">
        <v>0</v>
      </c>
      <c r="AG39" s="3762">
        <v>0</v>
      </c>
      <c r="AH39" s="3762">
        <v>0</v>
      </c>
      <c r="AI39" s="3692"/>
      <c r="AJ39" s="3692"/>
      <c r="AK39" s="3692"/>
    </row>
    <row r="40" ht="12" customHeight="1">
      <c r="A40" s="3753" t="s">
        <v>3281</v>
      </c>
      <c r="B40" s="3745"/>
      <c r="C40" s="3745"/>
      <c r="D40" s="3746"/>
      <c r="E40" s="3746"/>
      <c r="F40" s="3746"/>
      <c r="G40" s="3746"/>
      <c r="H40" s="3754"/>
      <c r="I40" s="3754"/>
      <c r="J40" s="3754"/>
      <c r="K40" s="3754"/>
      <c r="L40" s="3763" t="s">
        <v>188</v>
      </c>
      <c r="M40" s="3763" t="s">
        <v>188</v>
      </c>
      <c r="N40" s="3763" t="s">
        <v>188</v>
      </c>
      <c r="O40" s="3763" t="s">
        <v>188</v>
      </c>
      <c r="P40" s="3763" t="s">
        <v>188</v>
      </c>
      <c r="Q40" s="3763" t="s">
        <v>188</v>
      </c>
      <c r="R40" s="3763" t="s">
        <v>188</v>
      </c>
      <c r="S40" s="3763" t="s">
        <v>188</v>
      </c>
      <c r="T40" s="3746"/>
      <c r="U40" s="3746"/>
      <c r="V40" s="3746"/>
      <c r="W40" s="3746"/>
      <c r="X40" s="3746"/>
      <c r="Y40" s="3746"/>
      <c r="Z40" s="3746"/>
      <c r="AA40" s="3746"/>
      <c r="AB40" s="3746"/>
      <c r="AC40" s="3746"/>
      <c r="AD40" s="3746"/>
      <c r="AE40" s="3746"/>
      <c r="AF40" s="3746"/>
      <c r="AG40" s="3746"/>
      <c r="AH40" s="3746"/>
      <c r="AI40" s="3692"/>
      <c r="AJ40" s="3692"/>
      <c r="AK40" s="3692"/>
    </row>
    <row r="41" ht="12" customHeight="1">
      <c r="A41" s="3751" t="s">
        <v>3282</v>
      </c>
      <c r="B41" s="3764"/>
      <c r="C41" s="3764"/>
      <c r="D41" s="3765"/>
      <c r="E41" s="3765"/>
      <c r="F41" s="3765"/>
      <c r="G41" s="3765"/>
      <c r="H41" s="3766"/>
      <c r="I41" s="3766"/>
      <c r="J41" s="3766"/>
      <c r="K41" s="3766"/>
      <c r="L41" s="3765">
        <v>0</v>
      </c>
      <c r="M41" s="3765">
        <v>0</v>
      </c>
      <c r="N41" s="3765">
        <v>0</v>
      </c>
      <c r="O41" s="3765">
        <v>0</v>
      </c>
      <c r="P41" s="3765">
        <v>0</v>
      </c>
      <c r="Q41" s="3765">
        <v>0</v>
      </c>
      <c r="R41" s="3765">
        <v>0</v>
      </c>
      <c r="S41" s="3765">
        <v>0</v>
      </c>
      <c r="T41" s="3767"/>
      <c r="U41" s="3767"/>
      <c r="V41" s="3767"/>
      <c r="W41" s="3767"/>
      <c r="X41" s="3767"/>
      <c r="Y41" s="3767"/>
      <c r="Z41" s="3767"/>
      <c r="AA41" s="3767"/>
      <c r="AB41" s="3767"/>
      <c r="AC41" s="3767"/>
      <c r="AD41" s="3767"/>
      <c r="AE41" s="3767"/>
      <c r="AF41" s="3767"/>
      <c r="AG41" s="3767"/>
      <c r="AH41" s="3767"/>
      <c r="AI41" s="3692"/>
      <c r="AJ41" s="3692"/>
      <c r="AK41" s="3692"/>
    </row>
    <row r="42" ht="12" customHeight="1">
      <c r="A42" s="3768" t="s">
        <v>3283</v>
      </c>
      <c r="B42" s="3769"/>
      <c r="C42" s="3769"/>
      <c r="D42" s="3770"/>
      <c r="E42" s="3770"/>
      <c r="F42" s="3770"/>
      <c r="G42" s="3770"/>
      <c r="H42" s="3770"/>
      <c r="I42" s="3770"/>
      <c r="J42" s="3770"/>
      <c r="K42" s="3770"/>
      <c r="L42" s="3770">
        <v>0</v>
      </c>
      <c r="M42" s="3770">
        <v>0</v>
      </c>
      <c r="N42" s="3770">
        <v>0</v>
      </c>
      <c r="O42" s="3770">
        <v>0</v>
      </c>
      <c r="P42" s="3770">
        <v>0</v>
      </c>
      <c r="Q42" s="3770">
        <v>0</v>
      </c>
      <c r="R42" s="3770">
        <v>0</v>
      </c>
      <c r="S42" s="3770">
        <v>0</v>
      </c>
      <c r="T42" s="3770"/>
      <c r="U42" s="3770"/>
      <c r="V42" s="3770"/>
      <c r="W42" s="3770"/>
      <c r="X42" s="3770"/>
      <c r="Y42" s="3770"/>
      <c r="Z42" s="3770"/>
      <c r="AA42" s="3770"/>
      <c r="AB42" s="3770"/>
      <c r="AC42" s="3770"/>
      <c r="AD42" s="3770"/>
      <c r="AE42" s="3770"/>
      <c r="AF42" s="3770"/>
      <c r="AG42" s="3770"/>
      <c r="AH42" s="3770"/>
      <c r="AI42" s="3692"/>
      <c r="AJ42" s="3692"/>
      <c r="AK42" s="3692"/>
    </row>
    <row r="43" ht="12" customHeight="1">
      <c r="A43" s="3722" t="s">
        <v>3284</v>
      </c>
      <c r="B43" s="3771"/>
      <c r="C43" s="3771"/>
      <c r="D43" s="3772"/>
      <c r="E43" s="3772"/>
      <c r="F43" s="3772"/>
      <c r="G43" s="3772"/>
      <c r="H43" s="3772"/>
      <c r="I43" s="3772"/>
      <c r="J43" s="3772"/>
      <c r="K43" s="3772"/>
      <c r="L43" s="3773">
        <v>0</v>
      </c>
      <c r="M43" s="3773">
        <v>0</v>
      </c>
      <c r="N43" s="3773">
        <v>0</v>
      </c>
      <c r="O43" s="3773">
        <v>0</v>
      </c>
      <c r="P43" s="3773">
        <v>0</v>
      </c>
      <c r="Q43" s="3773">
        <v>0</v>
      </c>
      <c r="R43" s="3773">
        <v>0</v>
      </c>
      <c r="S43" s="3773">
        <v>0</v>
      </c>
      <c r="T43" s="3772"/>
      <c r="U43" s="3772"/>
      <c r="V43" s="3772"/>
      <c r="W43" s="3772"/>
      <c r="X43" s="3772"/>
      <c r="Y43" s="3772"/>
      <c r="Z43" s="3772"/>
      <c r="AA43" s="3772"/>
      <c r="AB43" s="3772"/>
      <c r="AC43" s="3772"/>
      <c r="AD43" s="3772"/>
      <c r="AE43" s="3772"/>
      <c r="AF43" s="3772"/>
      <c r="AG43" s="3772"/>
      <c r="AH43" s="3772"/>
      <c r="AI43" s="3692"/>
      <c r="AJ43" s="3692"/>
      <c r="AK43" s="3692"/>
    </row>
    <row r="44" ht="12" customHeight="1">
      <c r="A44" s="3715" t="s">
        <v>3285</v>
      </c>
      <c r="B44" s="3716"/>
      <c r="C44" s="3716"/>
      <c r="D44" s="3717"/>
      <c r="E44" s="3717"/>
      <c r="F44" s="3717"/>
      <c r="G44" s="3717"/>
      <c r="H44" s="3717"/>
      <c r="I44" s="3717"/>
      <c r="J44" s="3717"/>
      <c r="K44" s="3717"/>
      <c r="L44" s="3717"/>
      <c r="M44" s="3717"/>
      <c r="N44" s="3717"/>
      <c r="O44" s="3717"/>
      <c r="P44" s="3717"/>
      <c r="Q44" s="3717"/>
      <c r="R44" s="3717"/>
      <c r="S44" s="3717"/>
      <c r="T44" s="3717"/>
      <c r="U44" s="3717"/>
      <c r="V44" s="3717"/>
      <c r="W44" s="3717"/>
      <c r="X44" s="3717"/>
      <c r="Y44" s="3717"/>
      <c r="Z44" s="3717"/>
      <c r="AA44" s="3717"/>
      <c r="AB44" s="3717"/>
      <c r="AC44" s="3717"/>
      <c r="AD44" s="3717"/>
      <c r="AE44" s="3717"/>
      <c r="AF44" s="3717"/>
      <c r="AG44" s="3717"/>
      <c r="AH44" s="3717"/>
      <c r="AI44" s="3692"/>
      <c r="AJ44" s="3692"/>
      <c r="AK44" s="3692"/>
    </row>
    <row r="45" ht="12" customHeight="1">
      <c r="A45" s="3691" t="s">
        <v>3286</v>
      </c>
      <c r="B45" s="3774" t="s">
        <v>269</v>
      </c>
      <c r="C45" s="3774" t="s">
        <v>269</v>
      </c>
      <c r="D45" s="3763" t="s">
        <v>269</v>
      </c>
      <c r="E45" s="3763" t="s">
        <v>269</v>
      </c>
      <c r="F45" s="3763" t="s">
        <v>269</v>
      </c>
      <c r="G45" s="3763" t="s">
        <v>269</v>
      </c>
      <c r="H45" s="3763" t="s">
        <v>269</v>
      </c>
      <c r="I45" s="3763" t="s">
        <v>269</v>
      </c>
      <c r="J45" s="3763" t="s">
        <v>269</v>
      </c>
      <c r="K45" s="3763" t="s">
        <v>269</v>
      </c>
      <c r="L45" s="3763" t="s">
        <v>269</v>
      </c>
      <c r="M45" s="3763" t="s">
        <v>269</v>
      </c>
      <c r="N45" s="3763" t="s">
        <v>269</v>
      </c>
      <c r="O45" s="3763" t="s">
        <v>269</v>
      </c>
      <c r="P45" s="3763" t="s">
        <v>269</v>
      </c>
      <c r="Q45" s="3763" t="s">
        <v>269</v>
      </c>
      <c r="R45" s="3763" t="s">
        <v>269</v>
      </c>
      <c r="S45" s="3763" t="s">
        <v>269</v>
      </c>
      <c r="T45" s="3763" t="s">
        <v>269</v>
      </c>
      <c r="U45" s="3763" t="s">
        <v>269</v>
      </c>
      <c r="V45" s="3763" t="s">
        <v>269</v>
      </c>
      <c r="W45" s="3763" t="s">
        <v>269</v>
      </c>
      <c r="X45" s="3763" t="s">
        <v>269</v>
      </c>
      <c r="Y45" s="3763" t="s">
        <v>269</v>
      </c>
      <c r="Z45" s="3763" t="s">
        <v>269</v>
      </c>
      <c r="AA45" s="3763" t="s">
        <v>269</v>
      </c>
      <c r="AB45" s="3763" t="s">
        <v>269</v>
      </c>
      <c r="AC45" s="3763" t="s">
        <v>269</v>
      </c>
      <c r="AD45" s="3763" t="s">
        <v>269</v>
      </c>
      <c r="AE45" s="3763" t="s">
        <v>269</v>
      </c>
      <c r="AF45" s="3763" t="s">
        <v>269</v>
      </c>
      <c r="AG45" s="3763" t="s">
        <v>269</v>
      </c>
      <c r="AH45" s="3763" t="s">
        <v>269</v>
      </c>
      <c r="AI45" s="3692"/>
      <c r="AJ45" s="3692"/>
      <c r="AK45" s="3692"/>
    </row>
    <row r="46" ht="12" customHeight="1">
      <c r="A46" s="3691" t="s">
        <v>3287</v>
      </c>
      <c r="B46" s="3774" t="s">
        <v>269</v>
      </c>
      <c r="C46" s="3774" t="s">
        <v>269</v>
      </c>
      <c r="D46" s="3763" t="s">
        <v>269</v>
      </c>
      <c r="E46" s="3763" t="s">
        <v>269</v>
      </c>
      <c r="F46" s="3763" t="s">
        <v>269</v>
      </c>
      <c r="G46" s="3763" t="s">
        <v>269</v>
      </c>
      <c r="H46" s="3763" t="s">
        <v>269</v>
      </c>
      <c r="I46" s="3763" t="s">
        <v>269</v>
      </c>
      <c r="J46" s="3763" t="s">
        <v>269</v>
      </c>
      <c r="K46" s="3763" t="s">
        <v>269</v>
      </c>
      <c r="L46" s="3763" t="s">
        <v>269</v>
      </c>
      <c r="M46" s="3763" t="s">
        <v>269</v>
      </c>
      <c r="N46" s="3763" t="s">
        <v>269</v>
      </c>
      <c r="O46" s="3763" t="s">
        <v>269</v>
      </c>
      <c r="P46" s="3763" t="s">
        <v>269</v>
      </c>
      <c r="Q46" s="3763" t="s">
        <v>269</v>
      </c>
      <c r="R46" s="3763" t="s">
        <v>269</v>
      </c>
      <c r="S46" s="3763" t="s">
        <v>269</v>
      </c>
      <c r="T46" s="3763" t="s">
        <v>269</v>
      </c>
      <c r="U46" s="3763" t="s">
        <v>269</v>
      </c>
      <c r="V46" s="3763" t="s">
        <v>269</v>
      </c>
      <c r="W46" s="3763" t="s">
        <v>269</v>
      </c>
      <c r="X46" s="3763" t="s">
        <v>269</v>
      </c>
      <c r="Y46" s="3763" t="s">
        <v>269</v>
      </c>
      <c r="Z46" s="3763" t="s">
        <v>269</v>
      </c>
      <c r="AA46" s="3763" t="s">
        <v>269</v>
      </c>
      <c r="AB46" s="3763" t="s">
        <v>269</v>
      </c>
      <c r="AC46" s="3763" t="s">
        <v>269</v>
      </c>
      <c r="AD46" s="3763" t="s">
        <v>269</v>
      </c>
      <c r="AE46" s="3763" t="s">
        <v>269</v>
      </c>
      <c r="AF46" s="3763" t="s">
        <v>269</v>
      </c>
      <c r="AG46" s="3763" t="s">
        <v>269</v>
      </c>
      <c r="AH46" s="3763" t="s">
        <v>269</v>
      </c>
      <c r="AI46" s="3692"/>
      <c r="AJ46" s="3692"/>
      <c r="AK46" s="3692"/>
    </row>
    <row r="47" ht="12" customHeight="1">
      <c r="A47" s="3691" t="s">
        <v>3288</v>
      </c>
      <c r="B47" s="3774" t="s">
        <v>188</v>
      </c>
      <c r="C47" s="3774" t="s">
        <v>188</v>
      </c>
      <c r="D47" s="3763" t="s">
        <v>188</v>
      </c>
      <c r="E47" s="3763" t="s">
        <v>188</v>
      </c>
      <c r="F47" s="3763" t="s">
        <v>188</v>
      </c>
      <c r="G47" s="3763" t="s">
        <v>188</v>
      </c>
      <c r="H47" s="3763" t="s">
        <v>188</v>
      </c>
      <c r="I47" s="3763" t="s">
        <v>188</v>
      </c>
      <c r="J47" s="3763" t="s">
        <v>188</v>
      </c>
      <c r="K47" s="3763" t="s">
        <v>188</v>
      </c>
      <c r="L47" s="3763" t="s">
        <v>188</v>
      </c>
      <c r="M47" s="3763" t="s">
        <v>188</v>
      </c>
      <c r="N47" s="3763" t="s">
        <v>188</v>
      </c>
      <c r="O47" s="3763" t="s">
        <v>188</v>
      </c>
      <c r="P47" s="3763" t="s">
        <v>188</v>
      </c>
      <c r="Q47" s="3763" t="s">
        <v>188</v>
      </c>
      <c r="R47" s="3763" t="s">
        <v>188</v>
      </c>
      <c r="S47" s="3763" t="s">
        <v>188</v>
      </c>
      <c r="T47" s="3763" t="s">
        <v>188</v>
      </c>
      <c r="U47" s="3763" t="s">
        <v>188</v>
      </c>
      <c r="V47" s="3763" t="s">
        <v>188</v>
      </c>
      <c r="W47" s="3763" t="s">
        <v>188</v>
      </c>
      <c r="X47" s="3763" t="s">
        <v>188</v>
      </c>
      <c r="Y47" s="3763" t="s">
        <v>188</v>
      </c>
      <c r="Z47" s="3763" t="s">
        <v>188</v>
      </c>
      <c r="AA47" s="3763" t="s">
        <v>188</v>
      </c>
      <c r="AB47" s="3763" t="s">
        <v>188</v>
      </c>
      <c r="AC47" s="3763" t="s">
        <v>188</v>
      </c>
      <c r="AD47" s="3763" t="s">
        <v>188</v>
      </c>
      <c r="AE47" s="3763" t="s">
        <v>188</v>
      </c>
      <c r="AF47" s="3763" t="s">
        <v>188</v>
      </c>
      <c r="AG47" s="3763" t="s">
        <v>188</v>
      </c>
      <c r="AH47" s="3763" t="s">
        <v>188</v>
      </c>
      <c r="AI47" s="3692"/>
      <c r="AJ47" s="3692"/>
      <c r="AK47" s="3692"/>
    </row>
    <row r="48" ht="12" customHeight="1">
      <c r="A48" s="3691" t="s">
        <v>3289</v>
      </c>
      <c r="B48" s="3775" t="s">
        <v>363</v>
      </c>
      <c r="C48" s="3775" t="s">
        <v>363</v>
      </c>
      <c r="D48" s="3776" t="s">
        <v>363</v>
      </c>
      <c r="E48" s="3776" t="s">
        <v>363</v>
      </c>
      <c r="F48" s="3776" t="s">
        <v>363</v>
      </c>
      <c r="G48" s="3776" t="s">
        <v>363</v>
      </c>
      <c r="H48" s="3776" t="s">
        <v>363</v>
      </c>
      <c r="I48" s="3776" t="s">
        <v>363</v>
      </c>
      <c r="J48" s="3776" t="s">
        <v>363</v>
      </c>
      <c r="K48" s="3776" t="s">
        <v>363</v>
      </c>
      <c r="L48" s="3776" t="s">
        <v>363</v>
      </c>
      <c r="M48" s="3776" t="s">
        <v>363</v>
      </c>
      <c r="N48" s="3776" t="s">
        <v>363</v>
      </c>
      <c r="O48" s="3776" t="s">
        <v>363</v>
      </c>
      <c r="P48" s="3776" t="s">
        <v>363</v>
      </c>
      <c r="Q48" s="3776" t="s">
        <v>363</v>
      </c>
      <c r="R48" s="3776" t="s">
        <v>363</v>
      </c>
      <c r="S48" s="3776" t="s">
        <v>363</v>
      </c>
      <c r="T48" s="3776" t="s">
        <v>363</v>
      </c>
      <c r="U48" s="3776" t="s">
        <v>363</v>
      </c>
      <c r="V48" s="3776" t="s">
        <v>363</v>
      </c>
      <c r="W48" s="3776" t="s">
        <v>363</v>
      </c>
      <c r="X48" s="3776" t="s">
        <v>363</v>
      </c>
      <c r="Y48" s="3776" t="s">
        <v>363</v>
      </c>
      <c r="Z48" s="3776" t="s">
        <v>363</v>
      </c>
      <c r="AA48" s="3776" t="s">
        <v>363</v>
      </c>
      <c r="AB48" s="3776" t="s">
        <v>363</v>
      </c>
      <c r="AC48" s="3776" t="s">
        <v>363</v>
      </c>
      <c r="AD48" s="3776" t="s">
        <v>363</v>
      </c>
      <c r="AE48" s="3776" t="s">
        <v>363</v>
      </c>
      <c r="AF48" s="3776" t="s">
        <v>363</v>
      </c>
      <c r="AG48" s="3776" t="s">
        <v>363</v>
      </c>
      <c r="AH48" s="3776" t="s">
        <v>363</v>
      </c>
      <c r="AI48" s="3692"/>
      <c r="AJ48" s="3692"/>
      <c r="AK48" s="3692"/>
    </row>
    <row r="49" ht="12" customHeight="1">
      <c r="A49" s="3691" t="s">
        <v>2260</v>
      </c>
      <c r="B49" s="3774" t="s">
        <v>290</v>
      </c>
      <c r="C49" s="3774" t="s">
        <v>290</v>
      </c>
      <c r="D49" s="3763" t="s">
        <v>290</v>
      </c>
      <c r="E49" s="3763" t="s">
        <v>290</v>
      </c>
      <c r="F49" s="3763" t="s">
        <v>290</v>
      </c>
      <c r="G49" s="3763" t="s">
        <v>290</v>
      </c>
      <c r="H49" s="3763" t="s">
        <v>290</v>
      </c>
      <c r="I49" s="3763" t="s">
        <v>290</v>
      </c>
      <c r="J49" s="3763" t="s">
        <v>290</v>
      </c>
      <c r="K49" s="3763" t="s">
        <v>290</v>
      </c>
      <c r="L49" s="3763" t="s">
        <v>290</v>
      </c>
      <c r="M49" s="3763" t="s">
        <v>290</v>
      </c>
      <c r="N49" s="3763" t="s">
        <v>290</v>
      </c>
      <c r="O49" s="3763" t="s">
        <v>290</v>
      </c>
      <c r="P49" s="3763" t="s">
        <v>290</v>
      </c>
      <c r="Q49" s="3763" t="s">
        <v>290</v>
      </c>
      <c r="R49" s="3763" t="s">
        <v>290</v>
      </c>
      <c r="S49" s="3763" t="s">
        <v>290</v>
      </c>
      <c r="T49" s="3763" t="s">
        <v>290</v>
      </c>
      <c r="U49" s="3763" t="s">
        <v>290</v>
      </c>
      <c r="V49" s="3763" t="s">
        <v>290</v>
      </c>
      <c r="W49" s="3763" t="s">
        <v>290</v>
      </c>
      <c r="X49" s="3763" t="s">
        <v>290</v>
      </c>
      <c r="Y49" s="3763" t="s">
        <v>290</v>
      </c>
      <c r="Z49" s="3763" t="s">
        <v>290</v>
      </c>
      <c r="AA49" s="3763" t="s">
        <v>290</v>
      </c>
      <c r="AB49" s="3763" t="s">
        <v>290</v>
      </c>
      <c r="AC49" s="3763" t="s">
        <v>290</v>
      </c>
      <c r="AD49" s="3763" t="s">
        <v>290</v>
      </c>
      <c r="AE49" s="3763" t="s">
        <v>290</v>
      </c>
      <c r="AF49" s="3763" t="s">
        <v>290</v>
      </c>
      <c r="AG49" s="3763" t="s">
        <v>290</v>
      </c>
      <c r="AH49" s="3763" t="s">
        <v>290</v>
      </c>
      <c r="AI49" s="3692"/>
      <c r="AJ49" s="3692"/>
      <c r="AK49" s="3692"/>
    </row>
    <row r="50" ht="12" customHeight="1">
      <c r="A50" s="3691" t="s">
        <v>3290</v>
      </c>
      <c r="B50" s="3774" t="s">
        <v>188</v>
      </c>
      <c r="C50" s="3774" t="s">
        <v>188</v>
      </c>
      <c r="D50" s="3763" t="s">
        <v>188</v>
      </c>
      <c r="E50" s="3763" t="s">
        <v>188</v>
      </c>
      <c r="F50" s="3763" t="s">
        <v>188</v>
      </c>
      <c r="G50" s="3763" t="s">
        <v>188</v>
      </c>
      <c r="H50" s="3763" t="s">
        <v>188</v>
      </c>
      <c r="I50" s="3763" t="s">
        <v>188</v>
      </c>
      <c r="J50" s="3763" t="s">
        <v>188</v>
      </c>
      <c r="K50" s="3763" t="s">
        <v>188</v>
      </c>
      <c r="L50" s="3763" t="s">
        <v>188</v>
      </c>
      <c r="M50" s="3763" t="s">
        <v>188</v>
      </c>
      <c r="N50" s="3763" t="s">
        <v>188</v>
      </c>
      <c r="O50" s="3763" t="s">
        <v>188</v>
      </c>
      <c r="P50" s="3763" t="s">
        <v>188</v>
      </c>
      <c r="Q50" s="3763" t="s">
        <v>188</v>
      </c>
      <c r="R50" s="3763" t="s">
        <v>188</v>
      </c>
      <c r="S50" s="3763" t="s">
        <v>188</v>
      </c>
      <c r="T50" s="3763" t="s">
        <v>188</v>
      </c>
      <c r="U50" s="3763" t="s">
        <v>188</v>
      </c>
      <c r="V50" s="3763" t="s">
        <v>188</v>
      </c>
      <c r="W50" s="3763" t="s">
        <v>188</v>
      </c>
      <c r="X50" s="3763" t="s">
        <v>188</v>
      </c>
      <c r="Y50" s="3763" t="s">
        <v>188</v>
      </c>
      <c r="Z50" s="3763" t="s">
        <v>188</v>
      </c>
      <c r="AA50" s="3763" t="s">
        <v>188</v>
      </c>
      <c r="AB50" s="3763" t="s">
        <v>188</v>
      </c>
      <c r="AC50" s="3763" t="s">
        <v>188</v>
      </c>
      <c r="AD50" s="3763" t="s">
        <v>188</v>
      </c>
      <c r="AE50" s="3763" t="s">
        <v>188</v>
      </c>
      <c r="AF50" s="3763" t="s">
        <v>188</v>
      </c>
      <c r="AG50" s="3763" t="s">
        <v>188</v>
      </c>
      <c r="AH50" s="3763" t="s">
        <v>188</v>
      </c>
      <c r="AI50" s="3692"/>
      <c r="AJ50" s="3692"/>
      <c r="AK50" s="3692"/>
    </row>
    <row r="51" ht="12" customHeight="1">
      <c r="A51" s="3691" t="s">
        <v>3291</v>
      </c>
      <c r="B51" s="3774" t="s">
        <v>188</v>
      </c>
      <c r="C51" s="3774" t="s">
        <v>188</v>
      </c>
      <c r="D51" s="3763" t="s">
        <v>188</v>
      </c>
      <c r="E51" s="3763" t="s">
        <v>188</v>
      </c>
      <c r="F51" s="3763" t="s">
        <v>188</v>
      </c>
      <c r="G51" s="3763" t="s">
        <v>188</v>
      </c>
      <c r="H51" s="3763" t="s">
        <v>188</v>
      </c>
      <c r="I51" s="3763" t="s">
        <v>188</v>
      </c>
      <c r="J51" s="3763" t="s">
        <v>188</v>
      </c>
      <c r="K51" s="3763" t="s">
        <v>188</v>
      </c>
      <c r="L51" s="3763" t="s">
        <v>188</v>
      </c>
      <c r="M51" s="3763" t="s">
        <v>188</v>
      </c>
      <c r="N51" s="3763" t="s">
        <v>188</v>
      </c>
      <c r="O51" s="3763" t="s">
        <v>188</v>
      </c>
      <c r="P51" s="3763" t="s">
        <v>188</v>
      </c>
      <c r="Q51" s="3763" t="s">
        <v>188</v>
      </c>
      <c r="R51" s="3763" t="s">
        <v>188</v>
      </c>
      <c r="S51" s="3763" t="s">
        <v>188</v>
      </c>
      <c r="T51" s="3763" t="s">
        <v>188</v>
      </c>
      <c r="U51" s="3763" t="s">
        <v>188</v>
      </c>
      <c r="V51" s="3763" t="s">
        <v>188</v>
      </c>
      <c r="W51" s="3763" t="s">
        <v>188</v>
      </c>
      <c r="X51" s="3763" t="s">
        <v>188</v>
      </c>
      <c r="Y51" s="3763" t="s">
        <v>188</v>
      </c>
      <c r="Z51" s="3763" t="s">
        <v>188</v>
      </c>
      <c r="AA51" s="3763" t="s">
        <v>188</v>
      </c>
      <c r="AB51" s="3763" t="s">
        <v>188</v>
      </c>
      <c r="AC51" s="3763" t="s">
        <v>188</v>
      </c>
      <c r="AD51" s="3763" t="s">
        <v>188</v>
      </c>
      <c r="AE51" s="3763" t="s">
        <v>188</v>
      </c>
      <c r="AF51" s="3763" t="s">
        <v>188</v>
      </c>
      <c r="AG51" s="3763" t="s">
        <v>188</v>
      </c>
      <c r="AH51" s="3763" t="s">
        <v>188</v>
      </c>
      <c r="AI51" s="3692"/>
      <c r="AJ51" s="3692"/>
      <c r="AK51" s="3692"/>
    </row>
    <row r="52" ht="12" customHeight="1">
      <c r="A52" s="3691" t="s">
        <v>3292</v>
      </c>
      <c r="B52" s="3774" t="s">
        <v>290</v>
      </c>
      <c r="C52" s="3774" t="s">
        <v>290</v>
      </c>
      <c r="D52" s="3763" t="s">
        <v>290</v>
      </c>
      <c r="E52" s="3763" t="s">
        <v>290</v>
      </c>
      <c r="F52" s="3763" t="s">
        <v>290</v>
      </c>
      <c r="G52" s="3763" t="s">
        <v>290</v>
      </c>
      <c r="H52" s="3763" t="s">
        <v>290</v>
      </c>
      <c r="I52" s="3763" t="s">
        <v>290</v>
      </c>
      <c r="J52" s="3763" t="s">
        <v>290</v>
      </c>
      <c r="K52" s="3763" t="s">
        <v>290</v>
      </c>
      <c r="L52" s="3763" t="s">
        <v>290</v>
      </c>
      <c r="M52" s="3763" t="s">
        <v>290</v>
      </c>
      <c r="N52" s="3763" t="s">
        <v>290</v>
      </c>
      <c r="O52" s="3763" t="s">
        <v>290</v>
      </c>
      <c r="P52" s="3763" t="s">
        <v>290</v>
      </c>
      <c r="Q52" s="3763" t="s">
        <v>290</v>
      </c>
      <c r="R52" s="3763" t="s">
        <v>290</v>
      </c>
      <c r="S52" s="3763" t="s">
        <v>290</v>
      </c>
      <c r="T52" s="3763" t="s">
        <v>290</v>
      </c>
      <c r="U52" s="3763" t="s">
        <v>290</v>
      </c>
      <c r="V52" s="3763" t="s">
        <v>290</v>
      </c>
      <c r="W52" s="3763" t="s">
        <v>290</v>
      </c>
      <c r="X52" s="3763" t="s">
        <v>290</v>
      </c>
      <c r="Y52" s="3763" t="s">
        <v>290</v>
      </c>
      <c r="Z52" s="3763" t="s">
        <v>290</v>
      </c>
      <c r="AA52" s="3763" t="s">
        <v>290</v>
      </c>
      <c r="AB52" s="3763" t="s">
        <v>290</v>
      </c>
      <c r="AC52" s="3763" t="s">
        <v>290</v>
      </c>
      <c r="AD52" s="3763" t="s">
        <v>290</v>
      </c>
      <c r="AE52" s="3763" t="s">
        <v>290</v>
      </c>
      <c r="AF52" s="3763" t="s">
        <v>290</v>
      </c>
      <c r="AG52" s="3763" t="s">
        <v>290</v>
      </c>
      <c r="AH52" s="3763" t="s">
        <v>290</v>
      </c>
      <c r="AI52" s="3692"/>
      <c r="AJ52" s="3692"/>
      <c r="AK52" s="3692"/>
    </row>
    <row r="53" ht="12" customHeight="1">
      <c r="A53" s="3691" t="s">
        <v>3293</v>
      </c>
      <c r="B53" s="3774" t="s">
        <v>299</v>
      </c>
      <c r="C53" s="3774" t="s">
        <v>299</v>
      </c>
      <c r="D53" s="3763" t="s">
        <v>299</v>
      </c>
      <c r="E53" s="3763" t="s">
        <v>299</v>
      </c>
      <c r="F53" s="3763" t="s">
        <v>299</v>
      </c>
      <c r="G53" s="3763" t="s">
        <v>299</v>
      </c>
      <c r="H53" s="3763" t="s">
        <v>299</v>
      </c>
      <c r="I53" s="3763" t="s">
        <v>299</v>
      </c>
      <c r="J53" s="3763" t="s">
        <v>299</v>
      </c>
      <c r="K53" s="3763" t="s">
        <v>299</v>
      </c>
      <c r="L53" s="3763" t="s">
        <v>299</v>
      </c>
      <c r="M53" s="3763" t="s">
        <v>299</v>
      </c>
      <c r="N53" s="3763" t="s">
        <v>299</v>
      </c>
      <c r="O53" s="3763" t="s">
        <v>299</v>
      </c>
      <c r="P53" s="3763" t="s">
        <v>299</v>
      </c>
      <c r="Q53" s="3763" t="s">
        <v>299</v>
      </c>
      <c r="R53" s="3763" t="s">
        <v>299</v>
      </c>
      <c r="S53" s="3763" t="s">
        <v>299</v>
      </c>
      <c r="T53" s="3763" t="s">
        <v>299</v>
      </c>
      <c r="U53" s="3763" t="s">
        <v>299</v>
      </c>
      <c r="V53" s="3763" t="s">
        <v>299</v>
      </c>
      <c r="W53" s="3763" t="s">
        <v>299</v>
      </c>
      <c r="X53" s="3763" t="s">
        <v>299</v>
      </c>
      <c r="Y53" s="3763" t="s">
        <v>299</v>
      </c>
      <c r="Z53" s="3763" t="s">
        <v>299</v>
      </c>
      <c r="AA53" s="3763" t="s">
        <v>299</v>
      </c>
      <c r="AB53" s="3763" t="s">
        <v>299</v>
      </c>
      <c r="AC53" s="3763" t="s">
        <v>299</v>
      </c>
      <c r="AD53" s="3763" t="s">
        <v>299</v>
      </c>
      <c r="AE53" s="3763" t="s">
        <v>299</v>
      </c>
      <c r="AF53" s="3763" t="s">
        <v>299</v>
      </c>
      <c r="AG53" s="3763" t="s">
        <v>299</v>
      </c>
      <c r="AH53" s="3763" t="s">
        <v>299</v>
      </c>
      <c r="AI53" s="3692"/>
      <c r="AJ53" s="3692"/>
      <c r="AK53" s="3692"/>
    </row>
    <row r="54" ht="12" customHeight="1">
      <c r="A54" s="3691" t="s">
        <v>3294</v>
      </c>
      <c r="B54" s="3777"/>
      <c r="C54" s="3777"/>
      <c r="D54" s="3778"/>
      <c r="E54" s="3778"/>
      <c r="F54" s="3778"/>
      <c r="G54" s="3778"/>
      <c r="H54" s="3778"/>
      <c r="I54" s="3778"/>
      <c r="J54" s="3778"/>
      <c r="K54" s="3778"/>
      <c r="L54" s="3778"/>
      <c r="M54" s="3778"/>
      <c r="N54" s="3778"/>
      <c r="O54" s="3778"/>
      <c r="P54" s="3778"/>
      <c r="Q54" s="3778"/>
      <c r="R54" s="3778"/>
      <c r="S54" s="3778"/>
      <c r="T54" s="3778"/>
      <c r="U54" s="3778"/>
      <c r="V54" s="3778"/>
      <c r="W54" s="3778"/>
      <c r="X54" s="3778"/>
      <c r="Y54" s="3778"/>
      <c r="Z54" s="3778"/>
      <c r="AA54" s="3778"/>
      <c r="AB54" s="3778"/>
      <c r="AC54" s="3778"/>
      <c r="AD54" s="3778"/>
      <c r="AE54" s="3778"/>
      <c r="AF54" s="3778"/>
      <c r="AG54" s="3778"/>
      <c r="AH54" s="3778"/>
      <c r="AI54" s="3692"/>
      <c r="AJ54" s="3692"/>
      <c r="AK54" s="3692"/>
    </row>
    <row r="55" ht="12" customHeight="1">
      <c r="A55" s="3691" t="s">
        <v>3295</v>
      </c>
      <c r="B55" s="3777"/>
      <c r="C55" s="3777"/>
      <c r="D55" s="3778"/>
      <c r="E55" s="3778"/>
      <c r="F55" s="3778"/>
      <c r="G55" s="3778"/>
      <c r="H55" s="3778"/>
      <c r="I55" s="3778"/>
      <c r="J55" s="3778"/>
      <c r="K55" s="3778"/>
      <c r="L55" s="3778"/>
      <c r="M55" s="3778"/>
      <c r="N55" s="3778"/>
      <c r="O55" s="3778"/>
      <c r="P55" s="3778"/>
      <c r="Q55" s="3778"/>
      <c r="R55" s="3778"/>
      <c r="S55" s="3778"/>
      <c r="T55" s="3778"/>
      <c r="U55" s="3778"/>
      <c r="V55" s="3778"/>
      <c r="W55" s="3778"/>
      <c r="X55" s="3778"/>
      <c r="Y55" s="3778"/>
      <c r="Z55" s="3778"/>
      <c r="AA55" s="3778"/>
      <c r="AB55" s="3778"/>
      <c r="AC55" s="3778"/>
      <c r="AD55" s="3778"/>
      <c r="AE55" s="3778"/>
      <c r="AF55" s="3778"/>
      <c r="AG55" s="3778"/>
      <c r="AH55" s="3778"/>
      <c r="AI55" s="3692"/>
      <c r="AJ55" s="3692"/>
      <c r="AK55" s="3692"/>
    </row>
    <row r="56" ht="12" customHeight="1">
      <c r="A56" s="3779" t="s">
        <v>3296</v>
      </c>
      <c r="B56" s="3780">
        <v>1</v>
      </c>
      <c r="C56" s="3780">
        <v>1</v>
      </c>
      <c r="D56" s="3781">
        <v>1</v>
      </c>
      <c r="E56" s="3781">
        <v>1</v>
      </c>
      <c r="F56" s="3781">
        <v>1</v>
      </c>
      <c r="G56" s="3781">
        <v>1</v>
      </c>
      <c r="H56" s="3781">
        <v>1</v>
      </c>
      <c r="I56" s="3781">
        <v>1</v>
      </c>
      <c r="J56" s="3781">
        <v>1</v>
      </c>
      <c r="K56" s="3781">
        <v>1</v>
      </c>
      <c r="L56" s="3781">
        <v>0</v>
      </c>
      <c r="M56" s="3781">
        <v>0</v>
      </c>
      <c r="N56" s="3781">
        <v>0</v>
      </c>
      <c r="O56" s="3781">
        <v>0</v>
      </c>
      <c r="P56" s="3781">
        <v>0</v>
      </c>
      <c r="Q56" s="3781">
        <v>0</v>
      </c>
      <c r="R56" s="3781">
        <v>0</v>
      </c>
      <c r="S56" s="3781">
        <v>0</v>
      </c>
      <c r="T56" s="3781">
        <v>0</v>
      </c>
      <c r="U56" s="3781">
        <v>0</v>
      </c>
      <c r="V56" s="3781">
        <v>0</v>
      </c>
      <c r="W56" s="3781">
        <v>0</v>
      </c>
      <c r="X56" s="3781">
        <v>0</v>
      </c>
      <c r="Y56" s="3781">
        <v>0</v>
      </c>
      <c r="Z56" s="3781">
        <v>0</v>
      </c>
      <c r="AA56" s="3781">
        <v>0</v>
      </c>
      <c r="AB56" s="3781">
        <v>0</v>
      </c>
      <c r="AC56" s="3781">
        <v>0</v>
      </c>
      <c r="AD56" s="3781">
        <v>0</v>
      </c>
      <c r="AE56" s="3781">
        <v>0</v>
      </c>
      <c r="AF56" s="3781">
        <v>0</v>
      </c>
      <c r="AG56" s="3781">
        <v>0</v>
      </c>
      <c r="AH56" s="3781">
        <v>0</v>
      </c>
      <c r="AI56" s="3692"/>
      <c r="AJ56" s="3692"/>
      <c r="AK56" s="3692"/>
    </row>
    <row r="57" ht="12" customHeight="1">
      <c r="A57" s="3736" t="s">
        <v>3297</v>
      </c>
      <c r="B57" s="3782"/>
      <c r="C57" s="3782"/>
      <c r="D57" s="3783"/>
      <c r="E57" s="3783"/>
      <c r="F57" s="3783"/>
      <c r="G57" s="3783"/>
      <c r="H57" s="3783"/>
      <c r="I57" s="3783"/>
      <c r="J57" s="3783"/>
      <c r="K57" s="3783"/>
      <c r="L57" s="3783"/>
      <c r="M57" s="3783"/>
      <c r="N57" s="3783"/>
      <c r="O57" s="3783"/>
      <c r="P57" s="3783"/>
      <c r="Q57" s="3783"/>
      <c r="R57" s="3783"/>
      <c r="S57" s="3783"/>
      <c r="T57" s="3783"/>
      <c r="U57" s="3783"/>
      <c r="V57" s="3782"/>
      <c r="W57" s="3784"/>
      <c r="X57" s="3784"/>
      <c r="Y57" s="3784"/>
      <c r="Z57" s="3784"/>
      <c r="AA57" s="3784"/>
      <c r="AB57" s="3784"/>
      <c r="AC57" s="3784"/>
      <c r="AD57" s="3784"/>
      <c r="AE57" s="3784"/>
      <c r="AF57" s="3784"/>
      <c r="AG57" s="3784"/>
      <c r="AH57" s="3784"/>
      <c r="AI57" s="3692"/>
      <c r="AJ57" s="3692"/>
      <c r="AK57" s="3692"/>
    </row>
    <row r="58" ht="12" customHeight="1">
      <c r="A58" s="3785" t="s">
        <v>3298</v>
      </c>
      <c r="B58" s="3786"/>
      <c r="C58" s="3786"/>
      <c r="D58" s="3787"/>
      <c r="E58" s="3787"/>
      <c r="F58" s="3787"/>
      <c r="G58" s="3787"/>
      <c r="H58" s="3787"/>
      <c r="I58" s="3787"/>
      <c r="J58" s="3787"/>
      <c r="K58" s="3787"/>
      <c r="L58" s="3787"/>
      <c r="M58" s="3787"/>
      <c r="N58" s="3787"/>
      <c r="O58" s="3787"/>
      <c r="P58" s="3787"/>
      <c r="Q58" s="3787"/>
      <c r="R58" s="3787"/>
      <c r="S58" s="3787"/>
      <c r="T58" s="3787"/>
      <c r="U58" s="3787"/>
      <c r="V58" s="3787"/>
      <c r="W58" s="3787"/>
      <c r="X58" s="3787"/>
      <c r="Y58" s="3787"/>
      <c r="Z58" s="3787"/>
      <c r="AA58" s="3787"/>
      <c r="AB58" s="3787"/>
      <c r="AC58" s="3787"/>
      <c r="AD58" s="3787"/>
      <c r="AE58" s="3787"/>
      <c r="AF58" s="3787"/>
      <c r="AG58" s="3787"/>
      <c r="AH58" s="3787"/>
      <c r="AI58" s="3692"/>
      <c r="AJ58" s="3692"/>
      <c r="AK58" s="3692"/>
    </row>
    <row r="59" ht="12.75" customHeight="1">
      <c r="A59" s="3759" t="s">
        <v>3299</v>
      </c>
      <c r="B59" s="3788" t="s">
        <v>174</v>
      </c>
      <c r="C59" s="3788" t="s">
        <v>174</v>
      </c>
      <c r="D59" s="3789" t="s">
        <v>174</v>
      </c>
      <c r="E59" s="3789" t="s">
        <v>174</v>
      </c>
      <c r="F59" s="3789" t="s">
        <v>174</v>
      </c>
      <c r="G59" s="3789" t="s">
        <v>174</v>
      </c>
      <c r="H59" s="3789" t="s">
        <v>174</v>
      </c>
      <c r="I59" s="3789" t="s">
        <v>174</v>
      </c>
      <c r="J59" s="3789" t="s">
        <v>174</v>
      </c>
      <c r="K59" s="3789" t="s">
        <v>174</v>
      </c>
      <c r="L59" s="3790"/>
      <c r="M59" s="3790"/>
      <c r="N59" s="3790"/>
      <c r="O59" s="3790"/>
      <c r="P59" s="3790"/>
      <c r="Q59" s="3790"/>
      <c r="R59" s="3790"/>
      <c r="S59" s="3790"/>
      <c r="T59" s="3790"/>
      <c r="U59" s="3790"/>
      <c r="V59" s="3790"/>
      <c r="W59" s="3790"/>
      <c r="X59" s="3790"/>
      <c r="Y59" s="3790"/>
      <c r="Z59" s="3790"/>
      <c r="AA59" s="3790"/>
      <c r="AB59" s="3790"/>
      <c r="AC59" s="3790"/>
      <c r="AD59" s="3790"/>
      <c r="AE59" s="3790"/>
      <c r="AF59" s="3790"/>
      <c r="AG59" s="3790"/>
      <c r="AH59" s="3790"/>
      <c r="AI59" s="3692"/>
      <c r="AJ59" s="3692"/>
      <c r="AK59" s="3692"/>
    </row>
    <row r="60" ht="12" customHeight="1">
      <c r="A60" s="3785" t="s">
        <v>3300</v>
      </c>
      <c r="B60" s="3786"/>
      <c r="C60" s="3786"/>
      <c r="D60" s="3787"/>
      <c r="E60" s="3787"/>
      <c r="F60" s="3787"/>
      <c r="G60" s="3787"/>
      <c r="H60" s="3787"/>
      <c r="I60" s="3787"/>
      <c r="J60" s="3787"/>
      <c r="K60" s="3787"/>
      <c r="L60" s="3787"/>
      <c r="M60" s="3787"/>
      <c r="N60" s="3787"/>
      <c r="O60" s="3787"/>
      <c r="P60" s="3787"/>
      <c r="Q60" s="3787"/>
      <c r="R60" s="3787"/>
      <c r="S60" s="3787"/>
      <c r="T60" s="3787"/>
      <c r="U60" s="3787"/>
      <c r="V60" s="3787"/>
      <c r="W60" s="3787"/>
      <c r="X60" s="3787"/>
      <c r="Y60" s="3787"/>
      <c r="Z60" s="3787"/>
      <c r="AA60" s="3787"/>
      <c r="AB60" s="3787"/>
      <c r="AC60" s="3787"/>
      <c r="AD60" s="3787"/>
      <c r="AE60" s="3787"/>
      <c r="AF60" s="3787"/>
      <c r="AG60" s="3787"/>
      <c r="AH60" s="3787"/>
      <c r="AI60" s="3692"/>
      <c r="AJ60" s="3692"/>
      <c r="AK60" s="3692"/>
    </row>
    <row r="61" ht="12" customHeight="1">
      <c r="A61" s="3785" t="s">
        <v>3301</v>
      </c>
      <c r="B61" s="3786"/>
      <c r="C61" s="3786"/>
      <c r="D61" s="3787"/>
      <c r="E61" s="3787"/>
      <c r="F61" s="3787"/>
      <c r="G61" s="3787"/>
      <c r="H61" s="3787"/>
      <c r="I61" s="3787"/>
      <c r="J61" s="3787"/>
      <c r="K61" s="3787"/>
      <c r="L61" s="3787"/>
      <c r="M61" s="3787"/>
      <c r="N61" s="3787"/>
      <c r="O61" s="3787"/>
      <c r="P61" s="3787"/>
      <c r="Q61" s="3787"/>
      <c r="R61" s="3787"/>
      <c r="S61" s="3787"/>
      <c r="T61" s="3787"/>
      <c r="U61" s="3787"/>
      <c r="V61" s="3787"/>
      <c r="W61" s="3787"/>
      <c r="X61" s="3787"/>
      <c r="Y61" s="3787"/>
      <c r="Z61" s="3787"/>
      <c r="AA61" s="3787"/>
      <c r="AB61" s="3787"/>
      <c r="AC61" s="3787"/>
      <c r="AD61" s="3787"/>
      <c r="AE61" s="3787"/>
      <c r="AF61" s="3787"/>
      <c r="AG61" s="3787"/>
      <c r="AH61" s="3787"/>
      <c r="AI61" s="3692"/>
      <c r="AJ61" s="3692"/>
      <c r="AK61" s="3692"/>
    </row>
    <row r="62" ht="12" customHeight="1">
      <c r="A62" s="3791" t="s">
        <v>3302</v>
      </c>
      <c r="B62" s="3786"/>
      <c r="C62" s="3786"/>
      <c r="D62" s="3787"/>
      <c r="E62" s="3787"/>
      <c r="F62" s="3787"/>
      <c r="G62" s="3787"/>
      <c r="H62" s="3787"/>
      <c r="I62" s="3787"/>
      <c r="J62" s="3787"/>
      <c r="K62" s="3787"/>
      <c r="L62" s="3787"/>
      <c r="M62" s="3787"/>
      <c r="N62" s="3787"/>
      <c r="O62" s="3787"/>
      <c r="P62" s="3787"/>
      <c r="Q62" s="3787"/>
      <c r="R62" s="3787"/>
      <c r="S62" s="3787"/>
      <c r="T62" s="3787"/>
      <c r="U62" s="3787"/>
      <c r="V62" s="3787"/>
      <c r="W62" s="3787"/>
      <c r="X62" s="3787"/>
      <c r="Y62" s="3787"/>
      <c r="Z62" s="3787"/>
      <c r="AA62" s="3787"/>
      <c r="AB62" s="3787"/>
      <c r="AC62" s="3787"/>
      <c r="AD62" s="3787"/>
      <c r="AE62" s="3787"/>
      <c r="AF62" s="3787"/>
      <c r="AG62" s="3787"/>
      <c r="AH62" s="3787"/>
      <c r="AI62" s="3692"/>
      <c r="AJ62" s="3692"/>
      <c r="AK62" s="3692"/>
    </row>
    <row r="63" ht="12" customHeight="1">
      <c r="A63" s="3791" t="s">
        <v>3303</v>
      </c>
      <c r="B63" s="3786"/>
      <c r="C63" s="3786"/>
      <c r="D63" s="3787"/>
      <c r="E63" s="3787"/>
      <c r="F63" s="3787"/>
      <c r="G63" s="3787"/>
      <c r="H63" s="3787"/>
      <c r="I63" s="3787"/>
      <c r="J63" s="3787"/>
      <c r="K63" s="3787"/>
      <c r="L63" s="3787"/>
      <c r="M63" s="3787"/>
      <c r="N63" s="3787"/>
      <c r="O63" s="3787"/>
      <c r="P63" s="3787"/>
      <c r="Q63" s="3787"/>
      <c r="R63" s="3787"/>
      <c r="S63" s="3787"/>
      <c r="T63" s="3787"/>
      <c r="U63" s="3787"/>
      <c r="V63" s="3787"/>
      <c r="W63" s="3787"/>
      <c r="X63" s="3787"/>
      <c r="Y63" s="3787"/>
      <c r="Z63" s="3787"/>
      <c r="AA63" s="3787"/>
      <c r="AB63" s="3787"/>
      <c r="AC63" s="3787"/>
      <c r="AD63" s="3787"/>
      <c r="AE63" s="3787"/>
      <c r="AF63" s="3787"/>
      <c r="AG63" s="3787"/>
      <c r="AH63" s="3787"/>
      <c r="AI63" s="3692"/>
      <c r="AJ63" s="3692"/>
      <c r="AK63" s="3692"/>
    </row>
    <row r="64" ht="12" customHeight="1">
      <c r="A64" s="3785" t="s">
        <v>3304</v>
      </c>
      <c r="B64" s="3786"/>
      <c r="C64" s="3786"/>
      <c r="D64" s="3787"/>
      <c r="E64" s="3787"/>
      <c r="F64" s="3787"/>
      <c r="G64" s="3787"/>
      <c r="H64" s="3787"/>
      <c r="I64" s="3787"/>
      <c r="J64" s="3787"/>
      <c r="K64" s="3787"/>
      <c r="L64" s="3787"/>
      <c r="M64" s="3787"/>
      <c r="N64" s="3787"/>
      <c r="O64" s="3787"/>
      <c r="P64" s="3787"/>
      <c r="Q64" s="3787"/>
      <c r="R64" s="3787"/>
      <c r="S64" s="3787"/>
      <c r="T64" s="3787"/>
      <c r="U64" s="3787"/>
      <c r="V64" s="3787"/>
      <c r="W64" s="3787"/>
      <c r="X64" s="3787"/>
      <c r="Y64" s="3787"/>
      <c r="Z64" s="3787"/>
      <c r="AA64" s="3787"/>
      <c r="AB64" s="3787"/>
      <c r="AC64" s="3787"/>
      <c r="AD64" s="3787"/>
      <c r="AE64" s="3787"/>
      <c r="AF64" s="3787"/>
      <c r="AG64" s="3787"/>
      <c r="AH64" s="3787"/>
      <c r="AI64" s="3692"/>
      <c r="AJ64" s="3692"/>
      <c r="AK64" s="3692"/>
    </row>
    <row r="65" ht="12" customHeight="1">
      <c r="A65" s="3785" t="s">
        <v>3305</v>
      </c>
      <c r="B65" s="3786"/>
      <c r="C65" s="3786"/>
      <c r="D65" s="3787"/>
      <c r="E65" s="3787"/>
      <c r="F65" s="3787"/>
      <c r="G65" s="3787"/>
      <c r="H65" s="3787"/>
      <c r="I65" s="3787"/>
      <c r="J65" s="3787"/>
      <c r="K65" s="3787"/>
      <c r="L65" s="3787"/>
      <c r="M65" s="3787"/>
      <c r="N65" s="3787"/>
      <c r="O65" s="3787"/>
      <c r="P65" s="3787"/>
      <c r="Q65" s="3787"/>
      <c r="R65" s="3787"/>
      <c r="S65" s="3787"/>
      <c r="T65" s="3787"/>
      <c r="U65" s="3787"/>
      <c r="V65" s="3787"/>
      <c r="W65" s="3787"/>
      <c r="X65" s="3787"/>
      <c r="Y65" s="3787"/>
      <c r="Z65" s="3787"/>
      <c r="AA65" s="3787"/>
      <c r="AB65" s="3787"/>
      <c r="AC65" s="3787"/>
      <c r="AD65" s="3787"/>
      <c r="AE65" s="3787"/>
      <c r="AF65" s="3787"/>
      <c r="AG65" s="3787"/>
      <c r="AH65" s="3787"/>
      <c r="AI65" s="3692"/>
      <c r="AJ65" s="3692"/>
      <c r="AK65" s="3692"/>
    </row>
    <row r="66" ht="12" customHeight="1">
      <c r="A66" s="3785" t="s">
        <v>3306</v>
      </c>
      <c r="B66" s="3786"/>
      <c r="C66" s="3786"/>
      <c r="D66" s="3787"/>
      <c r="E66" s="3787"/>
      <c r="F66" s="3787"/>
      <c r="G66" s="3787"/>
      <c r="H66" s="3787"/>
      <c r="I66" s="3787"/>
      <c r="J66" s="3787"/>
      <c r="K66" s="3787"/>
      <c r="L66" s="3787"/>
      <c r="M66" s="3787"/>
      <c r="N66" s="3787"/>
      <c r="O66" s="3787"/>
      <c r="P66" s="3787"/>
      <c r="Q66" s="3787"/>
      <c r="R66" s="3787"/>
      <c r="S66" s="3787"/>
      <c r="T66" s="3787"/>
      <c r="U66" s="3787"/>
      <c r="V66" s="3787"/>
      <c r="W66" s="3787"/>
      <c r="X66" s="3787"/>
      <c r="Y66" s="3787"/>
      <c r="Z66" s="3787"/>
      <c r="AA66" s="3787"/>
      <c r="AB66" s="3787"/>
      <c r="AC66" s="3787"/>
      <c r="AD66" s="3787"/>
      <c r="AE66" s="3787"/>
      <c r="AF66" s="3787"/>
      <c r="AG66" s="3787"/>
      <c r="AH66" s="3787"/>
      <c r="AI66" s="3692"/>
      <c r="AJ66" s="3692"/>
      <c r="AK66" s="3692"/>
    </row>
    <row r="67" ht="12" customHeight="1">
      <c r="A67" s="3791" t="s">
        <v>3307</v>
      </c>
      <c r="B67" s="3786"/>
      <c r="C67" s="3786"/>
      <c r="D67" s="3787"/>
      <c r="E67" s="3787"/>
      <c r="F67" s="3787"/>
      <c r="G67" s="3787"/>
      <c r="H67" s="3787"/>
      <c r="I67" s="3787"/>
      <c r="J67" s="3787"/>
      <c r="K67" s="3787"/>
      <c r="L67" s="3787"/>
      <c r="M67" s="3787"/>
      <c r="N67" s="3787"/>
      <c r="O67" s="3787"/>
      <c r="P67" s="3787"/>
      <c r="Q67" s="3787"/>
      <c r="R67" s="3787"/>
      <c r="S67" s="3787"/>
      <c r="T67" s="3787"/>
      <c r="U67" s="3787"/>
      <c r="V67" s="3787"/>
      <c r="W67" s="3787"/>
      <c r="X67" s="3787"/>
      <c r="Y67" s="3787"/>
      <c r="Z67" s="3787"/>
      <c r="AA67" s="3787"/>
      <c r="AB67" s="3787"/>
      <c r="AC67" s="3787"/>
      <c r="AD67" s="3787"/>
      <c r="AE67" s="3787"/>
      <c r="AF67" s="3787"/>
      <c r="AG67" s="3787"/>
      <c r="AH67" s="3787"/>
      <c r="AI67" s="3692"/>
      <c r="AJ67" s="3692"/>
      <c r="AK67" s="3692"/>
    </row>
    <row r="68" ht="12.75" customHeight="1">
      <c r="A68" s="3785" t="s">
        <v>3308</v>
      </c>
      <c r="B68" s="3786" t="s">
        <v>174</v>
      </c>
      <c r="C68" s="3786" t="s">
        <v>174</v>
      </c>
      <c r="D68" s="3787" t="s">
        <v>174</v>
      </c>
      <c r="E68" s="3787" t="s">
        <v>174</v>
      </c>
      <c r="F68" s="3787" t="s">
        <v>174</v>
      </c>
      <c r="G68" s="3787" t="s">
        <v>174</v>
      </c>
      <c r="H68" s="3787" t="s">
        <v>174</v>
      </c>
      <c r="I68" s="3787" t="s">
        <v>174</v>
      </c>
      <c r="J68" s="3787" t="s">
        <v>174</v>
      </c>
      <c r="K68" s="3787" t="s">
        <v>174</v>
      </c>
      <c r="L68" s="3787" t="s">
        <v>174</v>
      </c>
      <c r="M68" s="3787" t="s">
        <v>174</v>
      </c>
      <c r="N68" s="3787" t="s">
        <v>174</v>
      </c>
      <c r="O68" s="3787" t="s">
        <v>174</v>
      </c>
      <c r="P68" s="3787" t="s">
        <v>174</v>
      </c>
      <c r="Q68" s="3787" t="s">
        <v>174</v>
      </c>
      <c r="R68" s="3787" t="s">
        <v>174</v>
      </c>
      <c r="S68" s="3787" t="s">
        <v>174</v>
      </c>
      <c r="T68" s="3787" t="s">
        <v>174</v>
      </c>
      <c r="U68" s="3787" t="s">
        <v>174</v>
      </c>
      <c r="V68" s="3787" t="s">
        <v>174</v>
      </c>
      <c r="W68" s="3787" t="s">
        <v>174</v>
      </c>
      <c r="X68" s="3787" t="s">
        <v>174</v>
      </c>
      <c r="Y68" s="3787" t="s">
        <v>174</v>
      </c>
      <c r="Z68" s="3787" t="s">
        <v>174</v>
      </c>
      <c r="AA68" s="3787" t="s">
        <v>174</v>
      </c>
      <c r="AB68" s="3787" t="s">
        <v>174</v>
      </c>
      <c r="AC68" s="3787" t="s">
        <v>174</v>
      </c>
      <c r="AD68" s="3787" t="s">
        <v>174</v>
      </c>
      <c r="AE68" s="3787" t="s">
        <v>174</v>
      </c>
      <c r="AF68" s="3787" t="s">
        <v>174</v>
      </c>
      <c r="AG68" s="3787" t="s">
        <v>174</v>
      </c>
      <c r="AH68" s="3787" t="s">
        <v>174</v>
      </c>
      <c r="AI68" s="3692"/>
      <c r="AJ68" s="3692"/>
      <c r="AK68" s="3692"/>
    </row>
    <row r="69" ht="12.75" customHeight="1">
      <c r="A69" s="3792" t="s">
        <v>3309</v>
      </c>
      <c r="B69" s="3793" t="s">
        <v>367</v>
      </c>
      <c r="C69" s="3793" t="s">
        <v>367</v>
      </c>
      <c r="D69" s="3794" t="s">
        <v>367</v>
      </c>
      <c r="E69" s="3794" t="s">
        <v>367</v>
      </c>
      <c r="F69" s="3794" t="s">
        <v>367</v>
      </c>
      <c r="G69" s="3794" t="s">
        <v>367</v>
      </c>
      <c r="H69" s="3794" t="s">
        <v>367</v>
      </c>
      <c r="I69" s="3794" t="s">
        <v>367</v>
      </c>
      <c r="J69" s="3794" t="s">
        <v>367</v>
      </c>
      <c r="K69" s="3794" t="s">
        <v>367</v>
      </c>
      <c r="L69" s="3794" t="s">
        <v>367</v>
      </c>
      <c r="M69" s="3794" t="s">
        <v>367</v>
      </c>
      <c r="N69" s="3794" t="s">
        <v>367</v>
      </c>
      <c r="O69" s="3794" t="s">
        <v>367</v>
      </c>
      <c r="P69" s="3794" t="s">
        <v>367</v>
      </c>
      <c r="Q69" s="3794" t="s">
        <v>367</v>
      </c>
      <c r="R69" s="3794" t="s">
        <v>367</v>
      </c>
      <c r="S69" s="3794" t="s">
        <v>367</v>
      </c>
      <c r="T69" s="3794" t="s">
        <v>367</v>
      </c>
      <c r="U69" s="3794" t="s">
        <v>367</v>
      </c>
      <c r="V69" s="3794" t="s">
        <v>367</v>
      </c>
      <c r="W69" s="3794" t="s">
        <v>367</v>
      </c>
      <c r="X69" s="3794" t="s">
        <v>367</v>
      </c>
      <c r="Y69" s="3794" t="s">
        <v>367</v>
      </c>
      <c r="Z69" s="3794" t="s">
        <v>367</v>
      </c>
      <c r="AA69" s="3794" t="s">
        <v>367</v>
      </c>
      <c r="AB69" s="3794" t="s">
        <v>367</v>
      </c>
      <c r="AC69" s="3794" t="s">
        <v>367</v>
      </c>
      <c r="AD69" s="3794" t="s">
        <v>367</v>
      </c>
      <c r="AE69" s="3794" t="s">
        <v>367</v>
      </c>
      <c r="AF69" s="3794" t="s">
        <v>367</v>
      </c>
      <c r="AG69" s="3794" t="s">
        <v>367</v>
      </c>
      <c r="AH69" s="3794" t="s">
        <v>367</v>
      </c>
      <c r="AI69" s="3692"/>
      <c r="AJ69" s="3692"/>
      <c r="AK69" s="3692"/>
    </row>
    <row r="70" ht="12.75" customHeight="1">
      <c r="A70" s="3691"/>
      <c r="B70" s="3795"/>
      <c r="C70" s="3795"/>
      <c r="D70" s="3795"/>
      <c r="E70" s="3795"/>
      <c r="F70" s="3795"/>
      <c r="G70" s="3795"/>
      <c r="H70" s="3795"/>
      <c r="I70" s="3795"/>
      <c r="J70" s="3795"/>
      <c r="K70" s="3795"/>
      <c r="L70" s="3795"/>
      <c r="M70" s="3795"/>
      <c r="N70" s="3795"/>
      <c r="O70" s="3795"/>
      <c r="P70" s="3795"/>
      <c r="Q70" s="3795"/>
      <c r="R70" s="3795"/>
      <c r="S70" s="3795"/>
      <c r="T70" s="3795"/>
      <c r="U70" s="3795"/>
      <c r="V70" s="3795"/>
      <c r="W70" s="3795"/>
      <c r="X70" s="3795"/>
      <c r="Y70" s="3795"/>
      <c r="Z70" s="3795"/>
      <c r="AA70" s="3795"/>
      <c r="AB70" s="3795"/>
      <c r="AC70" s="3795"/>
      <c r="AD70" s="3795"/>
      <c r="AE70" s="3795"/>
      <c r="AF70" s="3795"/>
      <c r="AG70" s="3795"/>
      <c r="AH70" s="3795"/>
      <c r="AI70" s="3692"/>
      <c r="AJ70" s="3692"/>
      <c r="AK70" s="3692"/>
    </row>
    <row r="71" ht="12" customHeight="1">
      <c r="A71" s="3796" t="str">
        <f>"Combined KP Net Worth / "&amp;TEXT(ROUND(_xlfn.IFERROR(B71/LoanAmount,0),2),"0.00%")&amp;" of Loan Amount"</f>
        <v>Combined KP Net Worth / 0.00% of Loan Amount</v>
      </c>
      <c r="B71" s="3797">
        <f>L32+M32+N32+O32+P32+Q32+R32</f>
        <v>0</v>
      </c>
      <c r="C71" s="3795"/>
      <c r="D71" s="3795"/>
      <c r="E71" s="3795"/>
      <c r="F71" s="3795"/>
      <c r="G71" s="3795"/>
      <c r="H71" s="3795"/>
      <c r="I71" s="3795"/>
      <c r="J71" s="3795"/>
      <c r="K71" s="3795"/>
      <c r="L71" s="3795"/>
      <c r="M71" s="3795"/>
      <c r="N71" s="3795"/>
      <c r="O71" s="3795"/>
      <c r="P71" s="3795"/>
      <c r="Q71" s="3795"/>
      <c r="R71" s="3795"/>
      <c r="S71" s="3795"/>
      <c r="T71" s="3795"/>
      <c r="U71" s="3795"/>
      <c r="V71" s="3795"/>
      <c r="W71" s="3795"/>
      <c r="X71" s="3795"/>
      <c r="Y71" s="3795"/>
      <c r="Z71" s="3795"/>
      <c r="AA71" s="3795"/>
      <c r="AB71" s="3795"/>
      <c r="AC71" s="3795"/>
      <c r="AD71" s="3795"/>
      <c r="AE71" s="3795"/>
      <c r="AF71" s="3795"/>
      <c r="AG71" s="3795"/>
      <c r="AH71" s="3795"/>
      <c r="AI71" s="3692"/>
      <c r="AJ71" s="3692"/>
      <c r="AK71" s="3692"/>
    </row>
    <row r="72" ht="12.75" customHeight="1">
      <c r="A72" s="3798" t="str">
        <f>"Combined KP Liquidity  / "&amp;TEXT(ROUND(_xlfn.IFERROR(B72/LoanAmount,0),2),"0.00%")&amp;" of Loan Amount"</f>
        <v>Combined KP Liquidity  / 0.00% of Loan Amount</v>
      </c>
      <c r="B72" s="3799">
        <f>L12+M12+N12+O12+P12+Q12+R12</f>
        <v>0</v>
      </c>
      <c r="C72" s="3800"/>
      <c r="D72" s="3800"/>
      <c r="E72" s="3800"/>
      <c r="F72" s="3800"/>
      <c r="G72" s="3800"/>
      <c r="H72" s="3800"/>
      <c r="I72" s="3800"/>
      <c r="J72" s="3800"/>
      <c r="K72" s="3800"/>
      <c r="L72" s="3800"/>
      <c r="M72" s="3800"/>
      <c r="N72" s="3800"/>
      <c r="O72" s="3800"/>
      <c r="P72" s="3800"/>
      <c r="Q72" s="3800"/>
      <c r="R72" s="3800"/>
      <c r="S72" s="3800"/>
      <c r="T72" s="3800"/>
      <c r="U72" s="3800"/>
      <c r="V72" s="3800"/>
      <c r="W72" s="3800"/>
      <c r="X72" s="3800"/>
      <c r="Y72" s="3800"/>
      <c r="Z72" s="3800"/>
      <c r="AA72" s="3800"/>
      <c r="AB72" s="3800"/>
      <c r="AC72" s="3800"/>
      <c r="AD72" s="3800"/>
      <c r="AE72" s="3800"/>
      <c r="AF72" s="3800"/>
      <c r="AG72" s="3800"/>
      <c r="AH72" s="3800"/>
      <c r="AJ72" s="3801" t="s">
        <v>3312</v>
      </c>
    </row>
    <row r="73" ht="12" customHeight="1">
      <c r="B73" s="3800"/>
      <c r="C73" s="3800"/>
      <c r="D73" s="3800"/>
      <c r="E73" s="3800"/>
      <c r="F73" s="3800"/>
      <c r="G73" s="3800"/>
      <c r="H73" s="3800"/>
      <c r="I73" s="3800"/>
      <c r="J73" s="3800"/>
      <c r="K73" s="3800"/>
      <c r="L73" s="3800"/>
      <c r="M73" s="3800"/>
      <c r="N73" s="3800"/>
      <c r="O73" s="3800"/>
      <c r="P73" s="3800"/>
      <c r="Q73" s="3800"/>
      <c r="R73" s="3800"/>
      <c r="S73" s="3800"/>
      <c r="T73" s="3800"/>
      <c r="U73" s="3800"/>
      <c r="V73" s="3800"/>
      <c r="W73" s="3800"/>
      <c r="X73" s="3800"/>
      <c r="Y73" s="3800"/>
      <c r="Z73" s="3800"/>
      <c r="AA73" s="3800"/>
      <c r="AB73" s="3800"/>
      <c r="AC73" s="3800"/>
      <c r="AD73" s="3800"/>
      <c r="AE73" s="3800"/>
      <c r="AF73" s="3800"/>
      <c r="AG73" s="3800"/>
      <c r="AH73" s="3800"/>
    </row>
    <row r="74" ht="12" customHeight="1">
      <c r="B74" s="3800"/>
      <c r="C74" s="3800"/>
      <c r="D74" s="3800"/>
      <c r="E74" s="3800"/>
      <c r="F74" s="3800"/>
      <c r="G74" s="3800"/>
      <c r="H74" s="3800"/>
      <c r="I74" s="3800"/>
      <c r="J74" s="3800"/>
      <c r="K74" s="3800"/>
      <c r="L74" s="3800"/>
      <c r="M74" s="3800"/>
      <c r="N74" s="3800"/>
      <c r="O74" s="3800"/>
      <c r="P74" s="3800"/>
      <c r="Q74" s="3800"/>
      <c r="R74" s="3800"/>
      <c r="S74" s="3800"/>
      <c r="T74" s="3800"/>
      <c r="U74" s="3800"/>
      <c r="V74" s="3800"/>
      <c r="W74" s="3800"/>
      <c r="X74" s="3800"/>
      <c r="Y74" s="3800"/>
      <c r="Z74" s="3800"/>
      <c r="AA74" s="3800"/>
      <c r="AB74" s="3800"/>
      <c r="AC74" s="3800"/>
      <c r="AD74" s="3800"/>
      <c r="AE74" s="3800"/>
      <c r="AF74" s="3800"/>
      <c r="AG74" s="3800"/>
      <c r="AH74" s="3800"/>
    </row>
    <row r="75" ht="12" customHeight="1">
      <c r="A75" s="3802"/>
      <c r="B75" s="3802"/>
      <c r="C75" s="3802"/>
      <c r="D75" s="3802"/>
      <c r="E75" s="3802"/>
      <c r="F75" s="3802"/>
      <c r="G75" s="3802"/>
      <c r="H75" s="3802"/>
      <c r="I75" s="3802"/>
      <c r="J75" s="3802"/>
      <c r="K75" s="3802"/>
      <c r="L75" s="3802"/>
      <c r="M75" s="3802"/>
      <c r="N75" s="3802"/>
      <c r="O75" s="3802"/>
      <c r="P75" s="3802"/>
      <c r="Q75" s="3802"/>
      <c r="R75" s="3802"/>
      <c r="S75" s="3802"/>
      <c r="T75" s="3802"/>
      <c r="U75" s="3803"/>
      <c r="V75" s="3803"/>
      <c r="W75" s="3803"/>
      <c r="X75" s="3803"/>
      <c r="Y75" s="3803"/>
      <c r="Z75" s="3803"/>
      <c r="AA75" s="3803"/>
      <c r="AB75" s="3803"/>
      <c r="AC75" s="3803"/>
      <c r="AD75" s="3803"/>
      <c r="AE75" s="3803"/>
      <c r="AF75" s="3803"/>
      <c r="AG75" s="3803"/>
      <c r="AH75" s="3803"/>
    </row>
    <row r="76" ht="12" customHeight="1">
      <c r="A76" s="3802"/>
      <c r="B76" s="3802"/>
      <c r="C76" s="3802"/>
      <c r="D76" s="3802"/>
      <c r="E76" s="3802"/>
      <c r="F76" s="3802"/>
      <c r="G76" s="3802"/>
      <c r="H76" s="3802"/>
      <c r="I76" s="3802"/>
      <c r="J76" s="3802"/>
      <c r="K76" s="3802"/>
      <c r="L76" s="3802"/>
      <c r="M76" s="3802"/>
      <c r="N76" s="3802"/>
      <c r="O76" s="3802"/>
      <c r="P76" s="3802"/>
      <c r="Q76" s="3802"/>
      <c r="R76" s="3802"/>
      <c r="S76" s="3802"/>
      <c r="T76" s="3802"/>
      <c r="U76" s="3803"/>
      <c r="V76" s="3803"/>
      <c r="W76" s="3803"/>
      <c r="X76" s="3803"/>
      <c r="Y76" s="3803"/>
      <c r="Z76" s="3803"/>
      <c r="AA76" s="3803"/>
      <c r="AB76" s="3803"/>
      <c r="AC76" s="3803"/>
      <c r="AD76" s="3803"/>
      <c r="AE76" s="3803"/>
      <c r="AF76" s="3803"/>
      <c r="AG76" s="3803"/>
      <c r="AH76" s="3803"/>
    </row>
    <row r="77" ht="12" customHeight="1">
      <c r="A77" s="3802" t="s">
        <v>572</v>
      </c>
      <c r="B77" s="3802"/>
      <c r="C77" s="3802"/>
      <c r="D77" s="3802"/>
      <c r="E77" s="3802"/>
      <c r="F77" s="3802"/>
      <c r="G77" s="3802"/>
      <c r="H77" s="3802"/>
      <c r="I77" s="3802"/>
      <c r="J77" s="3802"/>
      <c r="K77" s="3802"/>
      <c r="L77" s="3802"/>
      <c r="M77" s="3802"/>
      <c r="N77" s="3802"/>
      <c r="O77" s="3802"/>
      <c r="P77" s="3802"/>
      <c r="Q77" s="3802"/>
      <c r="R77" s="3802"/>
      <c r="S77" s="3802"/>
      <c r="T77" s="3802"/>
      <c r="U77" s="3804"/>
      <c r="V77" s="3804"/>
      <c r="W77" s="3804"/>
      <c r="X77" s="3804"/>
      <c r="Y77" s="3804"/>
      <c r="Z77" s="3804"/>
      <c r="AA77" s="3804"/>
      <c r="AB77" s="3804"/>
      <c r="AC77" s="3804"/>
      <c r="AD77" s="3804"/>
      <c r="AE77" s="3804"/>
      <c r="AF77" s="3804"/>
      <c r="AG77" s="3804"/>
      <c r="AH77" s="3804"/>
    </row>
    <row r="78" ht="12" customHeight="1">
      <c r="A78" s="3805" t="e">
        <f>LoanAmount</f>
        <v>#NAME?</v>
      </c>
      <c r="B78" s="3802"/>
      <c r="C78" s="3802"/>
      <c r="D78" s="3802"/>
      <c r="E78" s="3802"/>
      <c r="F78" s="3802"/>
      <c r="G78" s="3802"/>
      <c r="H78" s="3802"/>
      <c r="I78" s="3802"/>
      <c r="J78" s="3802"/>
      <c r="K78" s="3802"/>
      <c r="L78" s="3802"/>
      <c r="M78" s="3802"/>
      <c r="N78" s="3802"/>
      <c r="O78" s="3802"/>
      <c r="P78" s="3802"/>
      <c r="Q78" s="3802"/>
      <c r="R78" s="3802"/>
      <c r="S78" s="3802"/>
      <c r="T78" s="3802"/>
      <c r="U78" s="3804"/>
      <c r="V78" s="3804"/>
      <c r="W78" s="3804"/>
      <c r="X78" s="3804"/>
      <c r="Y78" s="3804"/>
      <c r="Z78" s="3804"/>
      <c r="AA78" s="3804"/>
      <c r="AB78" s="3804"/>
      <c r="AC78" s="3804"/>
      <c r="AD78" s="3804"/>
      <c r="AE78" s="3804"/>
      <c r="AF78" s="3804"/>
      <c r="AG78" s="3804"/>
      <c r="AH78" s="3804"/>
    </row>
    <row r="79" ht="12" customHeight="1">
      <c r="A79" s="3802" t="s">
        <v>3313</v>
      </c>
      <c r="B79" s="3802"/>
      <c r="C79" s="3802"/>
      <c r="D79" s="3802"/>
      <c r="E79" s="3802"/>
      <c r="F79" s="3802"/>
      <c r="G79" s="3802"/>
      <c r="H79" s="3802"/>
      <c r="I79" s="3802"/>
      <c r="J79" s="3802"/>
      <c r="K79" s="3802"/>
      <c r="L79" s="3802"/>
      <c r="M79" s="3802"/>
      <c r="N79" s="3802"/>
      <c r="O79" s="3802"/>
      <c r="P79" s="3802"/>
      <c r="Q79" s="3802"/>
      <c r="R79" s="3802"/>
      <c r="S79" s="3802"/>
      <c r="T79" s="3802"/>
      <c r="U79" s="3804"/>
      <c r="V79" s="3804"/>
      <c r="W79" s="3804"/>
      <c r="X79" s="3804"/>
      <c r="Y79" s="3804"/>
      <c r="Z79" s="3804"/>
      <c r="AA79" s="3804"/>
      <c r="AB79" s="3804"/>
      <c r="AC79" s="3804"/>
      <c r="AD79" s="3804"/>
      <c r="AE79" s="3804"/>
      <c r="AF79" s="3804"/>
      <c r="AG79" s="3804"/>
      <c r="AH79" s="3804"/>
    </row>
    <row r="80" ht="12" customHeight="1">
      <c r="A80" s="3806"/>
      <c r="B80" s="3802"/>
      <c r="C80" s="3802"/>
      <c r="D80" s="3802"/>
      <c r="E80" s="3802"/>
      <c r="F80" s="3802"/>
      <c r="G80" s="3802"/>
      <c r="H80" s="3802"/>
      <c r="I80" s="3802"/>
      <c r="J80" s="3802"/>
      <c r="K80" s="3802"/>
      <c r="L80" s="3802"/>
      <c r="M80" s="3802"/>
      <c r="N80" s="3802"/>
      <c r="O80" s="3802"/>
      <c r="P80" s="3802"/>
      <c r="Q80" s="3802"/>
      <c r="R80" s="3802"/>
      <c r="S80" s="3802"/>
      <c r="T80" s="3802"/>
      <c r="U80" s="3804"/>
      <c r="V80" s="3804"/>
      <c r="W80" s="3804"/>
      <c r="X80" s="3804"/>
      <c r="Y80" s="3804"/>
      <c r="Z80" s="3804"/>
      <c r="AA80" s="3804"/>
      <c r="AB80" s="3804"/>
      <c r="AC80" s="3804"/>
      <c r="AD80" s="3804"/>
      <c r="AE80" s="3804"/>
      <c r="AF80" s="3804"/>
      <c r="AG80" s="3804"/>
      <c r="AH80" s="3804"/>
    </row>
    <row r="81" ht="12" customHeight="1">
      <c r="A81" s="3802" t="s">
        <v>3314</v>
      </c>
      <c r="B81" s="3802"/>
      <c r="C81" s="3802"/>
      <c r="D81" s="3802"/>
      <c r="E81" s="3802"/>
      <c r="F81" s="3802"/>
      <c r="G81" s="3802"/>
      <c r="H81" s="3802"/>
      <c r="I81" s="3802"/>
      <c r="J81" s="3802"/>
      <c r="K81" s="3802"/>
      <c r="L81" s="3802"/>
      <c r="M81" s="3802"/>
      <c r="N81" s="3802"/>
      <c r="O81" s="3802"/>
      <c r="P81" s="3802"/>
      <c r="Q81" s="3802"/>
      <c r="R81" s="3802"/>
      <c r="S81" s="3802"/>
      <c r="T81" s="3802"/>
      <c r="U81" s="3804"/>
      <c r="V81" s="3804"/>
      <c r="W81" s="3804"/>
      <c r="X81" s="3804"/>
      <c r="Y81" s="3804"/>
      <c r="Z81" s="3804"/>
      <c r="AA81" s="3804"/>
      <c r="AB81" s="3804"/>
      <c r="AC81" s="3804"/>
      <c r="AD81" s="3804"/>
      <c r="AE81" s="3804"/>
      <c r="AF81" s="3804"/>
      <c r="AG81" s="3804"/>
      <c r="AH81" s="3804"/>
    </row>
    <row r="82" ht="12" customHeight="1">
      <c r="A82" s="3806"/>
      <c r="B82" s="3802"/>
      <c r="C82" s="3802"/>
      <c r="D82" s="3802"/>
      <c r="E82" s="3802"/>
      <c r="F82" s="3802"/>
      <c r="G82" s="3802"/>
      <c r="H82" s="3802"/>
      <c r="I82" s="3802"/>
      <c r="J82" s="3802"/>
      <c r="K82" s="3802"/>
      <c r="L82" s="3802"/>
      <c r="M82" s="3802"/>
      <c r="N82" s="3802"/>
      <c r="O82" s="3802"/>
      <c r="P82" s="3802"/>
      <c r="Q82" s="3802"/>
      <c r="R82" s="3802"/>
      <c r="S82" s="3802"/>
      <c r="T82" s="3802"/>
      <c r="U82" s="3804"/>
      <c r="V82" s="3804"/>
      <c r="W82" s="3804"/>
      <c r="X82" s="3804"/>
      <c r="Y82" s="3804"/>
      <c r="Z82" s="3804"/>
      <c r="AA82" s="3804"/>
      <c r="AB82" s="3804"/>
      <c r="AC82" s="3804"/>
      <c r="AD82" s="3804"/>
      <c r="AE82" s="3804"/>
      <c r="AF82" s="3804"/>
      <c r="AG82" s="3804"/>
      <c r="AH82" s="3804"/>
    </row>
  </sheetData>
  <conditionalFormatting sqref="T6:AH6">
    <cfRule type="expression" dxfId="18" priority="5" text="null">
      <formula>T76</formula>
    </cfRule>
  </conditionalFormatting>
  <conditionalFormatting sqref="T10:AH22">
    <cfRule type="expression" dxfId="59" priority="4" text="null">
      <formula>T$7="Yes"</formula>
    </cfRule>
  </conditionalFormatting>
  <conditionalFormatting sqref="T8:AH8">
    <cfRule type="expression" dxfId="59" priority="3" text="null">
      <formula>T$7="Yes"</formula>
    </cfRule>
  </conditionalFormatting>
  <conditionalFormatting sqref="T24:AH43">
    <cfRule type="expression" dxfId="59" priority="2" text="null">
      <formula>T$7="Yes"</formula>
    </cfRule>
  </conditionalFormatting>
  <conditionalFormatting sqref="T7:AH7">
    <cfRule type="expression" dxfId="60" priority="1" text="null">
      <formula>T$7="Yes"</formula>
    </cfRule>
  </conditionalFormatting>
  <dataValidations count="14">
    <dataValidation error="Must be &quot;No&quot; (cannot waive for Borrowers or Key Principals)." errorTitle="Invalid" showDropDown="1" showErrorMessage="1" showInputMessage="1" sqref="B7:S7" type="list">
      <formula1>"No"</formula1>
    </dataValidation>
    <dataValidation error="You must choose from the list." errorTitle="Invalid State" showErrorMessage="1" showInputMessage="1" sqref="B52:AH52 B49:AH49" type="list">
      <formula1>Dropdowns_ListOfStates</formula1>
    </dataValidation>
    <dataValidation allowBlank="1" prompt="This cell's location is used to warn the user if they delete rows or columns, which will likely corrupt the data in the C&amp;D Export tabs (causes #REF! errors)." promptTitle="Bottom Righthand Corner Cell" showErrorMessage="1" showInputMessage="1" sqref="AJ72"/>
    <dataValidation error="Must be &quot;No&quot; or &quot;Yes&quot;." errorTitle="Invalid" showErrorMessage="1" showInputMessage="1" sqref="T7:AH7" type="list">
      <formula1>"No,Yes"</formula1>
    </dataValidation>
    <dataValidation allowBlank="1" showErrorMessage="1" showInputMessage="1" sqref="B68:AH68" type="list">
      <formula1>"Yes,No,N/A"</formula1>
    </dataValidation>
    <dataValidation allowBlank="1" error="This model can only handle between 1 and 15 Principals" errorTitle="Woah There!" showErrorMessage="1" showInputMessage="1" sqref="B4" type="list">
      <formula1>"0,1,2,3,4,5,6,7,8,9,10,11,12,13,14,15"</formula1>
    </dataValidation>
    <dataValidation allowBlank="1" error="This model can only handle between 1 and 8 Key Principals." errorTitle="Woah There!" showErrorMessage="1" showInputMessage="1" sqref="B3" type="list">
      <formula1>"1,2,3,4,5,6,7,8"</formula1>
    </dataValidation>
    <dataValidation allowBlank="1" error="This model can only handle between 1 and 10 borrowers" errorTitle="Woah There!" showErrorMessage="1" showInputMessage="1" sqref="B2" type="list">
      <formula1>"1,2,3,4,5,6,7,8,9,10"</formula1>
    </dataValidation>
  </dataValidations>
  <hyperlinks>
    <hyperlink ref="A58" r:id="rId1" display="Date of Credit Report/Public Record Search:"/>
    <hyperlink ref="A60" r:id="rId2" display="Date of AEC?"/>
    <hyperlink ref="A61" r:id="rId3" display="Date of Google Search?"/>
    <hyperlink ref="A62" r:id="rId4" display="Date of OFAC?"/>
    <hyperlink ref="A63" r:id="rId5" display="Date of Lexis/Nexis?"/>
    <hyperlink ref="A64" r:id="rId6" display="Date of LDP (HUD):"/>
    <hyperlink ref="A65" r:id="rId7" display="Date of EPLS (HUD)"/>
    <hyperlink ref="A66" r:id="rId8" display="Date of Suspended CP (FHFA)"/>
    <hyperlink ref="A67" r:id="rId9" display="Courtlink Search"/>
  </hyperlinks>
  <printOptions verticalCentered="1"/>
  <pageMargins left="0.25" right="0.25" top="0.25" bottom="0.25" header="0.25" footer="0.25"/>
  <pageSetup useFirstPageNumber="1" fitToHeight="1" fitToWidth="1" paperSize="5" firstPageNumber="1" scale="73" pageOrder="downThenOver" orientation="landscape"/>
  <headerFooter>
    <oddHeader>&amp;L&amp;C&amp;R</oddHeader>
    <oddFooter>&amp;L&amp;C&amp;R</oddFooter>
  </headerFooter>
  <drawing r:id="rId12"/>
  <legacyDrawing r:id="rId11"/>
  <extLst>
    <ext xmlns:x14="http://schemas.microsoft.com/office/spreadsheetml/2009/9/main" uri="{CCE6A557-97BC-4b89-ADB6-D9C93CAAB3DF}">
      <x14:dataValidations xmlns:xm="http://schemas.microsoft.com/office/excel/2006/main" count="6">
        <x14:dataValidation allowBlank="1" showErrorMessage="1" showInputMessage="1" sqref="L40:S40" type="list">
          <x14:formula1>
            <xm:f>'Dropdowns (DNP)'!$FE$2:$FE$4</xm:f>
          </x14:formula1>
          <xm:sqref>L40:S40</xm:sqref>
        </x14:dataValidation>
        <x14:dataValidation allowBlank="1" showErrorMessage="1" showInputMessage="1" sqref="B47:AH47" type="list">
          <x14:formula1>
            <xm:f>'Dropdowns (DNP)'!$FC$2:$FC$11</xm:f>
          </x14:formula1>
          <xm:sqref>B47:AH47</xm:sqref>
        </x14:dataValidation>
        <x14:dataValidation allowBlank="1" showErrorMessage="1" showInputMessage="1" sqref="L5:S5" type="list">
          <x14:formula1>
            <xm:f>'Dropdowns (DNP)'!$EC$2:$EC$17</xm:f>
          </x14:formula1>
          <xm:sqref>L5:S5</xm:sqref>
        </x14:dataValidation>
        <x14:dataValidation allowBlank="1" showErrorMessage="1" showInputMessage="1" sqref="B69:AH69" type="list">
          <x14:formula1>
            <xm:f>'Dropdowns (DNP)'!$A$2:$A$4</xm:f>
          </x14:formula1>
          <xm:sqref>B69:AH69</xm:sqref>
        </x14:dataValidation>
        <x14:dataValidation allowBlank="1" showErrorMessage="1" showInputMessage="1" sqref="B46:K46" type="list">
          <x14:formula1>
            <xm:f>'Dropdowns (DNP)'!$A$3:$A$4</xm:f>
          </x14:formula1>
          <xm:sqref>B46:K46</xm:sqref>
        </x14:dataValidation>
        <x14:dataValidation allowBlank="1" showErrorMessage="1" showInputMessage="1" sqref="L45:AH46 B45:K45" type="list">
          <x14:formula1>
            <xm:f>'Dropdowns (DNP)'!$A$3:$A$5</xm:f>
          </x14:formula1>
          <xm:sqref>L45:AH46 B45:K45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9856D8A-B82D-6476-75C6-744F81588BE5}"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'Bor-KP-Prin'!L6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3341</v>
      </c>
      <c r="Y6" s="3871" t="s">
        <v>3342</v>
      </c>
      <c r="Z6" s="3865" t="s">
        <v>3343</v>
      </c>
      <c r="AA6" s="3872" t="s">
        <v>3344</v>
      </c>
      <c r="AB6" s="3873" t="s">
        <v>3345</v>
      </c>
      <c r="AC6" s="3874" t="s">
        <v>760</v>
      </c>
      <c r="AD6" s="3875">
        <v>0</v>
      </c>
      <c r="AE6" s="3876"/>
      <c r="AF6" s="3859" t="str">
        <f t="shared" si="16" ref="AF6:AF100">$N$2&amp;" Ownership Role"</f>
        <v>XXXX Ownership Role</v>
      </c>
      <c r="AG6" s="3877" t="str">
        <f t="shared" si="17"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tr">
        <f t="shared" si="15" ref="X44:AD44">X6</f>
        <v>NCF
(before Debt Service)</v>
      </c>
      <c r="Y44" s="3871" t="s">
        <v>3342</v>
      </c>
      <c r="Z44" s="3865" t="s">
        <v>3343</v>
      </c>
      <c r="AA44" s="3872" t="s">
        <v>3361</v>
      </c>
      <c r="AB44" s="3873" t="s">
        <v>3345</v>
      </c>
      <c r="AC44" s="3874" t="s">
        <v>760</v>
      </c>
      <c r="AD44" s="3880">
        <f t="shared" si="15"/>
        <v>0</v>
      </c>
      <c r="AE44" s="3876"/>
      <c r="AF44" s="3859" t="str">
        <f t="shared" si="16"/>
        <v>XXXX Ownership Role</v>
      </c>
      <c r="AG44" s="3877" t="str">
        <f t="shared" si="17"/>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8"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8"/>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8"/>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8"/>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8"/>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8"/>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8"/>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8"/>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8"/>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8"/>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8"/>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8"/>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8"/>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8"/>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8"/>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8"/>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8"/>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8"/>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8"/>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8"/>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9" ref="G66:AO122">SUM(G46:G65)</f>
        <v>0</v>
      </c>
      <c r="H66" s="3933"/>
      <c r="I66" s="3934">
        <f t="shared" si="26" ref="I66:I122">IF(G66=0,0,SUMPRODUCT(G46:G65,I46:I65)/G66)</f>
        <v>0</v>
      </c>
      <c r="J66" s="3935"/>
      <c r="K66" s="3931"/>
      <c r="L66" s="3936">
        <f t="shared" si="19"/>
        <v>0</v>
      </c>
      <c r="M66" s="3937">
        <f t="shared" si="19"/>
        <v>0</v>
      </c>
      <c r="N66" s="3938">
        <f t="shared" si="0"/>
        <v>0</v>
      </c>
      <c r="O66" s="3939">
        <f t="shared" si="19"/>
        <v>0</v>
      </c>
      <c r="P66" s="3940"/>
      <c r="Q66" s="3941"/>
      <c r="R66" s="3931"/>
      <c r="S66" s="3942"/>
      <c r="T66" s="3943"/>
      <c r="U66" s="3931"/>
      <c r="V66" s="3944"/>
      <c r="W66" s="3945"/>
      <c r="X66" s="3946">
        <f t="shared" si="19"/>
        <v>0</v>
      </c>
      <c r="Y66" s="3947">
        <f t="shared" si="1"/>
        <v>0</v>
      </c>
      <c r="Z66" s="3936">
        <f t="shared" si="19"/>
        <v>0</v>
      </c>
      <c r="AA66" s="3938" t="e">
        <f t="shared" si="2"/>
        <v>#DIV/0!</v>
      </c>
      <c r="AB66" s="3948">
        <f t="shared" si="3"/>
        <v>0</v>
      </c>
      <c r="AC66" s="3976">
        <f t="shared" si="4"/>
        <v>0</v>
      </c>
      <c r="AD66" s="3950">
        <f t="shared" si="18"/>
        <v>0</v>
      </c>
      <c r="AE66" s="3951">
        <f t="shared" si="6"/>
        <v>0</v>
      </c>
      <c r="AF66" s="3952" t="s">
        <v>3354</v>
      </c>
      <c r="AG66" s="3953"/>
      <c r="AH66" s="3937">
        <f t="shared" si="19"/>
        <v>0</v>
      </c>
      <c r="AI66" s="3937">
        <f t="shared" si="19"/>
        <v>0</v>
      </c>
      <c r="AJ66" s="3939">
        <f t="shared" si="19"/>
        <v>0</v>
      </c>
      <c r="AK66" s="3954"/>
      <c r="AL66" s="3946">
        <f t="shared" si="19"/>
        <v>0</v>
      </c>
      <c r="AM66" s="3918">
        <f t="shared" si="10"/>
        <v>0</v>
      </c>
      <c r="AN66" s="3954"/>
      <c r="AO66" s="3946">
        <f t="shared" si="19"/>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2" ref="AH67:AH123">SUM(Z46:Z65)-SUM(N46:N65)</f>
        <v>0</v>
      </c>
      <c r="AI67" s="3959">
        <f t="shared" si="23"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tr">
        <f t="shared" si="20" ref="X72:AD72">X6</f>
        <v>NCF
(before Debt Service)</v>
      </c>
      <c r="Y72" s="3871" t="s">
        <v>3342</v>
      </c>
      <c r="Z72" s="3865" t="s">
        <v>3343</v>
      </c>
      <c r="AA72" s="3872" t="s">
        <v>3361</v>
      </c>
      <c r="AB72" s="3873" t="s">
        <v>3345</v>
      </c>
      <c r="AC72" s="3874" t="s">
        <v>760</v>
      </c>
      <c r="AD72" s="3880">
        <f t="shared" si="20"/>
        <v>0</v>
      </c>
      <c r="AE72" s="3876"/>
      <c r="AF72" s="3859" t="str">
        <f t="shared" si="16"/>
        <v>XXXX Ownership Role</v>
      </c>
      <c r="AG72" s="3877" t="str">
        <f t="shared" si="17"/>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21"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21"/>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21"/>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21"/>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21"/>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21"/>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21"/>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21"/>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21"/>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21"/>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21"/>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21"/>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21"/>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21"/>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21"/>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21"/>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21"/>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21"/>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21"/>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21"/>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9"/>
        <v>0</v>
      </c>
      <c r="H94" s="3933"/>
      <c r="I94" s="3934"/>
      <c r="J94" s="3935"/>
      <c r="K94" s="3931"/>
      <c r="L94" s="3936">
        <f t="shared" si="19"/>
        <v>0</v>
      </c>
      <c r="M94" s="3937">
        <f t="shared" si="19"/>
        <v>0</v>
      </c>
      <c r="N94" s="3938">
        <f t="shared" si="0"/>
        <v>0</v>
      </c>
      <c r="O94" s="3939">
        <f t="shared" si="19"/>
        <v>0</v>
      </c>
      <c r="P94" s="3940"/>
      <c r="Q94" s="3941"/>
      <c r="R94" s="3931"/>
      <c r="S94" s="3942"/>
      <c r="T94" s="3943"/>
      <c r="U94" s="3931"/>
      <c r="V94" s="3977"/>
      <c r="W94" s="3945"/>
      <c r="X94" s="3946">
        <f t="shared" si="19"/>
        <v>0</v>
      </c>
      <c r="Y94" s="3947">
        <f t="shared" si="1"/>
        <v>0</v>
      </c>
      <c r="Z94" s="3936">
        <f t="shared" si="19"/>
        <v>0</v>
      </c>
      <c r="AA94" s="3938" t="e">
        <f t="shared" si="2"/>
        <v>#DIV/0!</v>
      </c>
      <c r="AB94" s="3948">
        <f t="shared" si="3"/>
        <v>0</v>
      </c>
      <c r="AC94" s="3976">
        <f t="shared" si="4"/>
        <v>0</v>
      </c>
      <c r="AD94" s="3950">
        <f t="shared" si="21"/>
        <v>0</v>
      </c>
      <c r="AE94" s="3951">
        <f t="shared" si="6"/>
        <v>0</v>
      </c>
      <c r="AF94" s="3952" t="s">
        <v>3354</v>
      </c>
      <c r="AG94" s="3953"/>
      <c r="AH94" s="3937">
        <f t="shared" si="19"/>
        <v>0</v>
      </c>
      <c r="AI94" s="3937">
        <f t="shared" si="19"/>
        <v>0</v>
      </c>
      <c r="AJ94" s="3939">
        <f t="shared" si="19"/>
        <v>0</v>
      </c>
      <c r="AK94" s="3954"/>
      <c r="AL94" s="3946">
        <f t="shared" si="19"/>
        <v>0</v>
      </c>
      <c r="AM94" s="3918">
        <f t="shared" si="10"/>
        <v>0</v>
      </c>
      <c r="AN94" s="3954"/>
      <c r="AO94" s="3946">
        <f t="shared" si="19"/>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2"/>
        <v>0</v>
      </c>
      <c r="AI95" s="3959">
        <f t="shared" si="23"/>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tr">
        <f t="shared" si="24" ref="X100:AD100">X6</f>
        <v>NCF
(before Debt Service)</v>
      </c>
      <c r="Y100" s="3871" t="s">
        <v>3342</v>
      </c>
      <c r="Z100" s="3865" t="s">
        <v>3343</v>
      </c>
      <c r="AA100" s="3872" t="s">
        <v>3344</v>
      </c>
      <c r="AB100" s="3873" t="s">
        <v>3345</v>
      </c>
      <c r="AC100" s="3874" t="s">
        <v>760</v>
      </c>
      <c r="AD100" s="3880">
        <f t="shared" si="24"/>
        <v>0</v>
      </c>
      <c r="AE100" s="3876"/>
      <c r="AF100" s="3859" t="str">
        <f t="shared" si="16"/>
        <v>XXXX Ownership Role</v>
      </c>
      <c r="AG100" s="3877" t="str">
        <f t="shared" si="17"/>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5"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5"/>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5"/>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5"/>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5"/>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5"/>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5"/>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5"/>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5"/>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5"/>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5"/>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5"/>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5"/>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5"/>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5"/>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5"/>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5"/>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5"/>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5"/>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5"/>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9"/>
        <v>0</v>
      </c>
      <c r="H122" s="3933"/>
      <c r="I122" s="3934">
        <f t="shared" si="26"/>
        <v>0</v>
      </c>
      <c r="J122" s="3935"/>
      <c r="K122" s="3931"/>
      <c r="L122" s="3936">
        <f t="shared" si="19"/>
        <v>0</v>
      </c>
      <c r="M122" s="3937">
        <f t="shared" si="19"/>
        <v>0</v>
      </c>
      <c r="N122" s="3938">
        <f t="shared" si="0"/>
        <v>0</v>
      </c>
      <c r="O122" s="3939">
        <f t="shared" si="19"/>
        <v>0</v>
      </c>
      <c r="P122" s="3940"/>
      <c r="Q122" s="3941"/>
      <c r="R122" s="3931"/>
      <c r="S122" s="3942"/>
      <c r="T122" s="3943"/>
      <c r="U122" s="3931"/>
      <c r="V122" s="3944"/>
      <c r="W122" s="3945"/>
      <c r="X122" s="3946">
        <f t="shared" si="19"/>
        <v>0</v>
      </c>
      <c r="Y122" s="3947">
        <f t="shared" si="1"/>
        <v>0</v>
      </c>
      <c r="Z122" s="3936">
        <f t="shared" si="19"/>
        <v>0</v>
      </c>
      <c r="AA122" s="3938" t="e">
        <f t="shared" si="2"/>
        <v>#DIV/0!</v>
      </c>
      <c r="AB122" s="3948">
        <f t="shared" si="3"/>
        <v>0</v>
      </c>
      <c r="AC122" s="3976">
        <f t="shared" si="4"/>
        <v>0</v>
      </c>
      <c r="AD122" s="3950">
        <f t="shared" si="25"/>
        <v>0</v>
      </c>
      <c r="AE122" s="3951">
        <f t="shared" si="6"/>
        <v>0</v>
      </c>
      <c r="AF122" s="3952" t="s">
        <v>3354</v>
      </c>
      <c r="AG122" s="3953"/>
      <c r="AH122" s="3937">
        <f t="shared" si="19"/>
        <v>0</v>
      </c>
      <c r="AI122" s="3937">
        <f t="shared" si="19"/>
        <v>0</v>
      </c>
      <c r="AJ122" s="3939">
        <f t="shared" si="19"/>
        <v>0</v>
      </c>
      <c r="AK122" s="3954"/>
      <c r="AL122" s="3946">
        <f t="shared" si="19"/>
        <v>0</v>
      </c>
      <c r="AM122" s="3918">
        <f t="shared" si="10"/>
        <v>0</v>
      </c>
      <c r="AN122" s="3954"/>
      <c r="AO122" s="3946">
        <f t="shared" si="19"/>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2"/>
        <v>0</v>
      </c>
      <c r="AI123" s="3959">
        <f t="shared" si="23"/>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7" ref="L126:AO127">L38+L66+L94+L122</f>
        <v>0</v>
      </c>
      <c r="M126" s="3937">
        <f t="shared" si="27"/>
        <v>0</v>
      </c>
      <c r="N126" s="3938">
        <f t="shared" si="0"/>
        <v>0</v>
      </c>
      <c r="O126" s="3939">
        <f t="shared" si="27"/>
        <v>0</v>
      </c>
      <c r="P126" s="3940"/>
      <c r="Q126" s="3941"/>
      <c r="R126" s="3931"/>
      <c r="S126" s="3942"/>
      <c r="T126" s="3943"/>
      <c r="U126" s="3931"/>
      <c r="V126" s="3977"/>
      <c r="W126" s="3977"/>
      <c r="X126" s="3946">
        <f t="shared" si="27"/>
        <v>0</v>
      </c>
      <c r="Y126" s="3947">
        <f t="shared" si="1"/>
        <v>0</v>
      </c>
      <c r="Z126" s="3936">
        <f t="shared" si="27"/>
        <v>0</v>
      </c>
      <c r="AA126" s="3938"/>
      <c r="AB126" s="3948">
        <f t="shared" si="3"/>
        <v>0</v>
      </c>
      <c r="AC126" s="3949">
        <f t="shared" si="4"/>
        <v>0</v>
      </c>
      <c r="AD126" s="3950">
        <f t="shared" si="5"/>
        <v>0</v>
      </c>
      <c r="AE126" s="3951">
        <f t="shared" si="6"/>
        <v>0</v>
      </c>
      <c r="AF126" s="3952" t="s">
        <v>3354</v>
      </c>
      <c r="AG126" s="3953"/>
      <c r="AH126" s="3937">
        <f t="shared" si="27"/>
        <v>0</v>
      </c>
      <c r="AI126" s="3937">
        <f t="shared" si="27"/>
        <v>0</v>
      </c>
      <c r="AJ126" s="3939">
        <f t="shared" si="27"/>
        <v>0</v>
      </c>
      <c r="AK126" s="3954"/>
      <c r="AL126" s="3946">
        <f t="shared" si="27"/>
        <v>0</v>
      </c>
      <c r="AM126" s="3918">
        <f t="shared" si="10"/>
        <v>0</v>
      </c>
      <c r="AN126" s="3954"/>
      <c r="AO126" s="3946">
        <f t="shared" si="27"/>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7"/>
        <v>0</v>
      </c>
      <c r="AI127" s="3937">
        <f t="shared" si="27"/>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'Bor-KP-Prin'!L15-'Bor-KP-Prin'!L25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W6:W7"/>
    <mergeCell ref="W44:W45"/>
    <mergeCell ref="W72:W73"/>
    <mergeCell ref="W100:W101"/>
    <mergeCell ref="AF123:AG123"/>
    <mergeCell ref="AF126:AG126"/>
    <mergeCell ref="AF127:AG127"/>
    <mergeCell ref="AG100:AG101"/>
    <mergeCell ref="AH6:AH7"/>
    <mergeCell ref="AF122:AG122"/>
    <mergeCell ref="X6:X7"/>
    <mergeCell ref="Y6:Y7"/>
    <mergeCell ref="X72:X73"/>
    <mergeCell ref="Y72:Y73"/>
    <mergeCell ref="Z72:Z73"/>
    <mergeCell ref="AC72:AC73"/>
    <mergeCell ref="AD99:AE99"/>
    <mergeCell ref="X43:Y43"/>
    <mergeCell ref="Z43:AC43"/>
    <mergeCell ref="X71:Y71"/>
    <mergeCell ref="Z71:AC71"/>
    <mergeCell ref="X99:Y99"/>
    <mergeCell ref="Z99:AC99"/>
    <mergeCell ref="AB44:AB45"/>
    <mergeCell ref="AI6:AI7"/>
    <mergeCell ref="AL99:AM99"/>
    <mergeCell ref="AL100:AL101"/>
    <mergeCell ref="AM100:AM101"/>
    <mergeCell ref="AJ6:AJ7"/>
    <mergeCell ref="AF100:AF101"/>
    <mergeCell ref="AJ72:AJ73"/>
    <mergeCell ref="AF6:AF7"/>
    <mergeCell ref="AO6:AO7"/>
    <mergeCell ref="AO44:AO45"/>
    <mergeCell ref="AO72:AO73"/>
    <mergeCell ref="AO100:AO101"/>
    <mergeCell ref="AI72:AI73"/>
    <mergeCell ref="AF99:AJ99"/>
    <mergeCell ref="AH100:AH101"/>
    <mergeCell ref="AI100:AI101"/>
    <mergeCell ref="AF39:AG39"/>
    <mergeCell ref="AF38:AG38"/>
    <mergeCell ref="AF66:AG66"/>
    <mergeCell ref="AF67:AG67"/>
    <mergeCell ref="AF94:AG94"/>
    <mergeCell ref="AJ100:AJ101"/>
    <mergeCell ref="AJ44:AJ45"/>
    <mergeCell ref="A5:K5"/>
    <mergeCell ref="A4:D4"/>
    <mergeCell ref="A42:D42"/>
    <mergeCell ref="A43:K43"/>
    <mergeCell ref="A70:D70"/>
    <mergeCell ref="A71:K71"/>
    <mergeCell ref="A98:D98"/>
    <mergeCell ref="A99:K99"/>
    <mergeCell ref="AG6:AG7"/>
    <mergeCell ref="AG44:AG45"/>
    <mergeCell ref="AG72:AG73"/>
    <mergeCell ref="AF95:AG95"/>
    <mergeCell ref="S72:S73"/>
    <mergeCell ref="X5:Y5"/>
    <mergeCell ref="AA6:AA7"/>
    <mergeCell ref="AA44:AA45"/>
    <mergeCell ref="AA72:AA73"/>
    <mergeCell ref="A94:B94"/>
    <mergeCell ref="L44:L45"/>
    <mergeCell ref="M44:M45"/>
    <mergeCell ref="G44:G45"/>
    <mergeCell ref="J44:J45"/>
    <mergeCell ref="N44:N45"/>
    <mergeCell ref="S44:S45"/>
    <mergeCell ref="L2:M2"/>
    <mergeCell ref="L5:V5"/>
    <mergeCell ref="L43:V43"/>
    <mergeCell ref="L71:V71"/>
    <mergeCell ref="P6:Q7"/>
    <mergeCell ref="P44:Q45"/>
    <mergeCell ref="P72:Q73"/>
    <mergeCell ref="O6:O7"/>
    <mergeCell ref="R6:R7"/>
    <mergeCell ref="U6:U7"/>
    <mergeCell ref="V6:V7"/>
    <mergeCell ref="V44:V45"/>
    <mergeCell ref="V72:V73"/>
    <mergeCell ref="L72:L73"/>
    <mergeCell ref="M72:M73"/>
    <mergeCell ref="R44:R45"/>
    <mergeCell ref="U44:U45"/>
    <mergeCell ref="O72:O73"/>
    <mergeCell ref="O44:O45"/>
    <mergeCell ref="T6:T7"/>
    <mergeCell ref="T44:T45"/>
    <mergeCell ref="AC44:AC45"/>
    <mergeCell ref="X44:X45"/>
    <mergeCell ref="Y44:Y45"/>
    <mergeCell ref="A122:B122"/>
    <mergeCell ref="A126:B126"/>
    <mergeCell ref="K6:K7"/>
    <mergeCell ref="G6:G7"/>
    <mergeCell ref="A38:B38"/>
    <mergeCell ref="A44:A45"/>
    <mergeCell ref="B44:B45"/>
    <mergeCell ref="F44:F45"/>
    <mergeCell ref="H44:H45"/>
    <mergeCell ref="I44:I45"/>
    <mergeCell ref="A66:B66"/>
    <mergeCell ref="C72:C73"/>
    <mergeCell ref="D72:D73"/>
    <mergeCell ref="E72:E73"/>
    <mergeCell ref="K72:K73"/>
    <mergeCell ref="G72:G73"/>
    <mergeCell ref="J72:J73"/>
    <mergeCell ref="C44:C45"/>
    <mergeCell ref="D44:D45"/>
    <mergeCell ref="E44:E45"/>
    <mergeCell ref="K44:K45"/>
    <mergeCell ref="A100:A101"/>
    <mergeCell ref="B100:B101"/>
    <mergeCell ref="F100:F101"/>
    <mergeCell ref="H100:H101"/>
    <mergeCell ref="I100:I101"/>
    <mergeCell ref="C100:C101"/>
    <mergeCell ref="D100:D101"/>
    <mergeCell ref="E100:E101"/>
    <mergeCell ref="K100:K101"/>
    <mergeCell ref="G100:G101"/>
    <mergeCell ref="J100:J101"/>
    <mergeCell ref="O100:O101"/>
    <mergeCell ref="M100:M101"/>
    <mergeCell ref="N100:N101"/>
    <mergeCell ref="N72:N73"/>
    <mergeCell ref="V100:V101"/>
    <mergeCell ref="R72:R73"/>
    <mergeCell ref="L100:L101"/>
    <mergeCell ref="AA100:AA101"/>
    <mergeCell ref="AC100:AC101"/>
    <mergeCell ref="AB100:AB101"/>
    <mergeCell ref="X100:X101"/>
    <mergeCell ref="Y100:Y101"/>
    <mergeCell ref="Z100:Z101"/>
    <mergeCell ref="S100:S101"/>
    <mergeCell ref="T72:T73"/>
    <mergeCell ref="T100:T101"/>
    <mergeCell ref="L99:V99"/>
    <mergeCell ref="P100:Q101"/>
    <mergeCell ref="R100:R101"/>
    <mergeCell ref="U100:U101"/>
    <mergeCell ref="AB72:AB73"/>
    <mergeCell ref="U72:U73"/>
    <mergeCell ref="A72:A73"/>
    <mergeCell ref="B72:B73"/>
    <mergeCell ref="F72:F73"/>
    <mergeCell ref="H72:H73"/>
    <mergeCell ref="I72:I73"/>
    <mergeCell ref="M6:M7"/>
    <mergeCell ref="N6:N7"/>
    <mergeCell ref="S6:S7"/>
    <mergeCell ref="A6:A7"/>
    <mergeCell ref="B6:B7"/>
    <mergeCell ref="F6:F7"/>
    <mergeCell ref="J6:J7"/>
    <mergeCell ref="C6:C7"/>
    <mergeCell ref="E6:E7"/>
    <mergeCell ref="D6:D7"/>
    <mergeCell ref="H6:H7"/>
    <mergeCell ref="I6:I7"/>
    <mergeCell ref="L6:L7"/>
    <mergeCell ref="AL5:AM5"/>
    <mergeCell ref="AM6:AM7"/>
    <mergeCell ref="AL43:AM43"/>
    <mergeCell ref="AL44:AL45"/>
    <mergeCell ref="AM44:AM45"/>
    <mergeCell ref="AL71:AM71"/>
    <mergeCell ref="AL72:AL73"/>
    <mergeCell ref="AM72:AM73"/>
    <mergeCell ref="Z44:Z45"/>
    <mergeCell ref="AF44:AF45"/>
    <mergeCell ref="AF72:AF73"/>
    <mergeCell ref="Z5:AC5"/>
    <mergeCell ref="AD5:AE5"/>
    <mergeCell ref="AD43:AE43"/>
    <mergeCell ref="AD71:AE71"/>
    <mergeCell ref="Z6:Z7"/>
    <mergeCell ref="AB6:AB7"/>
    <mergeCell ref="AC6:AC7"/>
    <mergeCell ref="AF5:AJ5"/>
    <mergeCell ref="AF43:AJ43"/>
    <mergeCell ref="AH44:AH45"/>
    <mergeCell ref="AI44:AI45"/>
    <mergeCell ref="AF71:AJ71"/>
    <mergeCell ref="AH72:AH73"/>
  </mergeCells>
  <conditionalFormatting sqref="Y8:Y38">
    <cfRule type="expression" dxfId="61" priority="5" text="null">
      <formula>AND(Y8&gt;0,Y8&lt;1.25)</formula>
    </cfRule>
  </conditionalFormatting>
  <conditionalFormatting sqref="AC8:AC38">
    <cfRule type="expression" dxfId="61" priority="4" text="null">
      <formula>AC8&gt;80%</formula>
    </cfRule>
  </conditionalFormatting>
  <conditionalFormatting sqref="T8:T17">
    <cfRule type="expression" dxfId="61" priority="3"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 - 180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V8:V37" type="list">
          <x14:formula1>
            <xm:f>'Dropdowns (DNP)'!$BH$2:$BH$4</xm:f>
          </x14:formula1>
          <xm:sqref>V8:V37</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F46:F65" type="list">
          <x14:formula1>
            <xm:f>'Dropdowns (DNP)'!$BF$6:$BF$8</xm:f>
          </x14:formula1>
          <xm:sqref>F46:F65</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8:F37" type="list">
          <x14:formula1>
            <xm:f>'Dropdowns (DNP)'!$BF$2:$BF$5</xm:f>
          </x14:formula1>
          <xm:sqref>F8:F37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102:S121 S46:S65 S74:S93 S8:S37" type="list">
          <x14:formula1>
            <xm:f>'Dropdowns (DNP)'!$C$2:$C$3</xm:f>
          </x14:formula1>
          <xm:sqref>S102:S121 S46:S65 S74:S93 S8:S37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20D7276B-5F2C-DAF8-C9C8-B7E829C6AD3D}"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'Bor-KP-Prin'!M6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3341</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tr">
        <f>X6</f>
        <v>NCF
(before Debt Service)</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tr">
        <f>X6</f>
        <v>NCF
(before Debt Service)</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tr">
        <f>X6</f>
        <v>NCF
(before Debt Service)</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'Bor-KP-Prin'!M15-'Bor-KP-Prin'!M25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 - 180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3185C724-A4A9-CC7D-C82C-873E0691B474}"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'Bor-KP-Prin'!N6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tr">
        <f>X6</f>
        <v>NCF 
(before Debt Service)</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tr">
        <f>X6</f>
        <v>NCF 
(before Debt Service)</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tr">
        <f>X6</f>
        <v>NCF 
(before Debt Service)</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'Bor-KP-Prin'!N15-'Bor-KP-Prin'!N25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 - 180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6986E5B-2FAC-F715-1227-930C7F3CEE64}"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'Bor-KP-Prin'!O6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
        <v>3373</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
        <v>3373</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
        <v>3373</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'Bor-KP-Prin'!O15-'Bor-KP-Prin'!O25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 - 180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2DA0FAED-5973-A25E-639B-90D7EC160B17}"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'Bor-KP-Prin'!P6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
        <v>3373</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
        <v>3373</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
        <v>3373</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'Bor-KP-Prin'!P15-'Bor-KP-Prin'!P25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7DE7F7D1-70A7-D0C5-DF8B-3680F48D12F3}"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'Bor-KP-Prin'!Q6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
        <v>3373</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
        <v>3373</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
        <v>3373</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'Bor-KP-Prin'!Q15-'Bor-KP-Prin'!Q25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A1B6144-DEE9-8802-7536-F3AD97E36632}"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'Bor-KP-Prin'!R6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
        <v>3373</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
        <v>3373</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
        <v>3373</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'Bor-KP-Prin'!R15-'Bor-KP-Prin'!R25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00:AF101"/>
    <mergeCell ref="AH100:AH101"/>
    <mergeCell ref="AI100:AI101"/>
    <mergeCell ref="AJ100:AJ101"/>
    <mergeCell ref="AD43:AE43"/>
    <mergeCell ref="AF43:AJ43"/>
    <mergeCell ref="AF44:AF45"/>
    <mergeCell ref="AH44:AH45"/>
    <mergeCell ref="AI44:AI45"/>
    <mergeCell ref="AJ44:AJ45"/>
    <mergeCell ref="AG44:AG45"/>
    <mergeCell ref="C72:C73"/>
    <mergeCell ref="AF122:AG122"/>
    <mergeCell ref="AL100:AL101"/>
    <mergeCell ref="AM100:AM101"/>
    <mergeCell ref="AF123:AG123"/>
    <mergeCell ref="AF126:AG126"/>
    <mergeCell ref="AF127:AG127"/>
    <mergeCell ref="AF72:AF73"/>
    <mergeCell ref="AH72:AH73"/>
    <mergeCell ref="AI72:AI73"/>
    <mergeCell ref="AJ72:AJ73"/>
    <mergeCell ref="AF94:AG94"/>
    <mergeCell ref="AF95:AG95"/>
    <mergeCell ref="AG100:AG101"/>
    <mergeCell ref="W72:W73"/>
    <mergeCell ref="W100:W101"/>
    <mergeCell ref="H100:H101"/>
    <mergeCell ref="I100:I101"/>
    <mergeCell ref="J100:J101"/>
    <mergeCell ref="K100:K101"/>
    <mergeCell ref="L100:L101"/>
    <mergeCell ref="C100:C101"/>
    <mergeCell ref="D100:D101"/>
    <mergeCell ref="E100:E101"/>
    <mergeCell ref="W44:W45"/>
    <mergeCell ref="A98:D98"/>
    <mergeCell ref="A99:K99"/>
    <mergeCell ref="L99:V99"/>
    <mergeCell ref="X99:Y99"/>
    <mergeCell ref="Z99:AC99"/>
    <mergeCell ref="AD99:AE99"/>
    <mergeCell ref="AF99:AJ99"/>
    <mergeCell ref="AF66:AG66"/>
    <mergeCell ref="AF67:AG67"/>
    <mergeCell ref="A70:D70"/>
    <mergeCell ref="A71:K71"/>
    <mergeCell ref="L71:V71"/>
    <mergeCell ref="X71:Y71"/>
    <mergeCell ref="Z71:AC71"/>
    <mergeCell ref="AD71:AE71"/>
    <mergeCell ref="AF71:AJ71"/>
    <mergeCell ref="P72:Q73"/>
    <mergeCell ref="A66:B66"/>
    <mergeCell ref="J72:J73"/>
    <mergeCell ref="K72:K73"/>
    <mergeCell ref="L72:L73"/>
    <mergeCell ref="A72:A73"/>
    <mergeCell ref="B72:B73"/>
    <mergeCell ref="Y44:Y45"/>
    <mergeCell ref="Z44:Z45"/>
    <mergeCell ref="AA44:AA45"/>
    <mergeCell ref="AB44:AB45"/>
    <mergeCell ref="AC44:AC45"/>
    <mergeCell ref="X5:Y5"/>
    <mergeCell ref="Z5:AC5"/>
    <mergeCell ref="AD5:AE5"/>
    <mergeCell ref="AF5:AJ5"/>
    <mergeCell ref="X44:X45"/>
    <mergeCell ref="P6:Q7"/>
    <mergeCell ref="AF6:AF7"/>
    <mergeCell ref="AH6:AH7"/>
    <mergeCell ref="AI6:AI7"/>
    <mergeCell ref="AJ6:AJ7"/>
    <mergeCell ref="AG6:AG7"/>
    <mergeCell ref="W6:W7"/>
    <mergeCell ref="A122:B122"/>
    <mergeCell ref="A126:B126"/>
    <mergeCell ref="Y100:Y101"/>
    <mergeCell ref="Z100:Z101"/>
    <mergeCell ref="AA100:AA101"/>
    <mergeCell ref="AB100:AB101"/>
    <mergeCell ref="AC100:AC101"/>
    <mergeCell ref="S100:S101"/>
    <mergeCell ref="T100:T101"/>
    <mergeCell ref="U100:U101"/>
    <mergeCell ref="V100:V101"/>
    <mergeCell ref="X100:X101"/>
    <mergeCell ref="M100:M101"/>
    <mergeCell ref="N100:N101"/>
    <mergeCell ref="O100:O101"/>
    <mergeCell ref="R100:R101"/>
    <mergeCell ref="G100:G101"/>
    <mergeCell ref="A100:A101"/>
    <mergeCell ref="B100:B101"/>
    <mergeCell ref="D72:D73"/>
    <mergeCell ref="E72:E73"/>
    <mergeCell ref="F72:F73"/>
    <mergeCell ref="P100:Q101"/>
    <mergeCell ref="AG72:AG73"/>
    <mergeCell ref="A94:B94"/>
    <mergeCell ref="Y72:Y73"/>
    <mergeCell ref="Z72:Z73"/>
    <mergeCell ref="AA72:AA73"/>
    <mergeCell ref="AB72:AB73"/>
    <mergeCell ref="AC72:AC73"/>
    <mergeCell ref="S72:S73"/>
    <mergeCell ref="T72:T73"/>
    <mergeCell ref="U72:U73"/>
    <mergeCell ref="V72:V73"/>
    <mergeCell ref="X72:X73"/>
    <mergeCell ref="M72:M73"/>
    <mergeCell ref="N72:N73"/>
    <mergeCell ref="O72:O73"/>
    <mergeCell ref="R72:R73"/>
    <mergeCell ref="G72:G73"/>
    <mergeCell ref="H72:H73"/>
    <mergeCell ref="F100:F101"/>
    <mergeCell ref="I72:I73"/>
    <mergeCell ref="O44:O45"/>
    <mergeCell ref="R44:R45"/>
    <mergeCell ref="G44:G45"/>
    <mergeCell ref="H44:H45"/>
    <mergeCell ref="I44:I45"/>
    <mergeCell ref="J44:J45"/>
    <mergeCell ref="K44:K45"/>
    <mergeCell ref="L44:L45"/>
    <mergeCell ref="M44:M45"/>
    <mergeCell ref="N44:N45"/>
    <mergeCell ref="P44:Q45"/>
    <mergeCell ref="A44:A45"/>
    <mergeCell ref="B44:B45"/>
    <mergeCell ref="C44:C45"/>
    <mergeCell ref="D44:D45"/>
    <mergeCell ref="E44:E45"/>
    <mergeCell ref="F44:F45"/>
    <mergeCell ref="AB6:AB7"/>
    <mergeCell ref="AC6:AC7"/>
    <mergeCell ref="S6:S7"/>
    <mergeCell ref="T6:T7"/>
    <mergeCell ref="U6:U7"/>
    <mergeCell ref="V6:V7"/>
    <mergeCell ref="X6:X7"/>
    <mergeCell ref="M6:M7"/>
    <mergeCell ref="N6:N7"/>
    <mergeCell ref="O6:O7"/>
    <mergeCell ref="A43:K43"/>
    <mergeCell ref="L43:V43"/>
    <mergeCell ref="X43:Y43"/>
    <mergeCell ref="Z43:AC43"/>
    <mergeCell ref="S44:S45"/>
    <mergeCell ref="T44:T45"/>
    <mergeCell ref="U44:U45"/>
    <mergeCell ref="V44:V45"/>
    <mergeCell ref="L2:M2"/>
    <mergeCell ref="A4:D4"/>
    <mergeCell ref="A5:K5"/>
    <mergeCell ref="L5:V5"/>
    <mergeCell ref="AF38:AG38"/>
    <mergeCell ref="AF39:AG39"/>
    <mergeCell ref="A42:D42"/>
    <mergeCell ref="R6:R7"/>
    <mergeCell ref="G6:G7"/>
    <mergeCell ref="H6:H7"/>
    <mergeCell ref="I6:I7"/>
    <mergeCell ref="J6:J7"/>
    <mergeCell ref="K6:K7"/>
    <mergeCell ref="L6:L7"/>
    <mergeCell ref="A6:A7"/>
    <mergeCell ref="B6:B7"/>
    <mergeCell ref="C6:C7"/>
    <mergeCell ref="D6:D7"/>
    <mergeCell ref="E6:E7"/>
    <mergeCell ref="F6:F7"/>
    <mergeCell ref="A38:B38"/>
    <mergeCell ref="Y6:Y7"/>
    <mergeCell ref="Z6:Z7"/>
    <mergeCell ref="AA6:AA7"/>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652C8CE-94E2-8E69-4327-42DE0896FFA7}" mc:Ignorable="x14ac xr xr2 xr3">
  <dimension ref="A1:AP131"/>
  <sheetViews>
    <sheetView topLeftCell="A1" zoomScale="70" workbookViewId="0">
      <selection activeCell="C2" sqref="C2"/>
    </sheetView>
  </sheetViews>
  <sheetFormatPr defaultRowHeight="14.497499999999997" defaultColWidth="9.57421875" customHeight="1"/>
  <cols>
    <col min="1" max="1" style="625" width="3.57421875" customWidth="1"/>
    <col min="2" max="3" style="625" width="15.57421875" customWidth="1"/>
    <col min="4" max="5" style="625" width="11.57421875" customWidth="1"/>
    <col min="6" max="6" style="625" width="12.57421875" customWidth="1"/>
    <col min="7" max="7" style="625" width="10.57421875" customWidth="1"/>
    <col min="8" max="8" style="625" width="13.57421875" customWidth="1"/>
    <col min="9" max="9" style="625" width="7.57421875" customWidth="1"/>
    <col min="10" max="10" style="625" width="9.57421875" customWidth="1"/>
    <col min="11" max="11" style="625" width="14.57421875" customWidth="1"/>
    <col min="12" max="15" style="625" width="14.00390625" customWidth="1"/>
    <col min="16" max="17" style="625" width="7.57421875" customWidth="1"/>
    <col min="18" max="18" style="625" width="14.00390625" customWidth="1"/>
    <col min="19" max="19" style="625" width="9.57421875" customWidth="1"/>
    <col min="20" max="20" style="625" width="11.57421875" customWidth="1"/>
    <col min="21" max="21" style="625" width="14.57421875" customWidth="1"/>
    <col min="22" max="22" style="625" width="11.57421875" customWidth="1"/>
    <col min="23" max="23" style="625" width="17.7109375" customWidth="1"/>
    <col min="24" max="24" style="625" width="12.57421875" customWidth="1"/>
    <col min="25" max="25" style="625" width="8.8515625" customWidth="1"/>
    <col min="26" max="26" style="625" width="13.57421875" customWidth="1"/>
    <col min="27" max="27" style="625" width="11.57421875" customWidth="1"/>
    <col min="28" max="29" style="625" width="9.57421875" customWidth="1"/>
    <col min="30" max="30" style="625" width="14.00390625" customWidth="1"/>
    <col min="31" max="31" style="625" width="11.57421875" customWidth="1"/>
    <col min="32" max="34" style="625" width="15.57421875" customWidth="1"/>
    <col min="35" max="35" style="625" width="13.57421875" customWidth="1"/>
    <col min="36" max="36" style="625" width="12.57421875" customWidth="1"/>
    <col min="38" max="38" style="625" width="15.57421875" customWidth="1"/>
    <col min="41" max="41" style="625" width="16.57421875" customWidth="1"/>
  </cols>
  <sheetData>
    <row r="1" ht="17.25" customHeight="1">
      <c r="A1" s="3809" t="s">
        <v>3315</v>
      </c>
      <c r="B1" s="3810"/>
      <c r="C1" s="3810"/>
      <c r="D1" s="3811"/>
      <c r="E1" s="3812"/>
      <c r="F1" s="3811"/>
      <c r="G1" s="3813"/>
      <c r="H1" s="3814"/>
      <c r="I1" s="3815"/>
      <c r="J1" s="3816"/>
      <c r="K1" s="3811"/>
      <c r="L1" s="3817"/>
      <c r="M1" s="3818"/>
      <c r="N1" s="3817"/>
      <c r="O1" s="3817"/>
      <c r="P1" s="3817"/>
      <c r="Q1" s="3817"/>
      <c r="R1" s="3811"/>
      <c r="S1" s="3078"/>
      <c r="T1" s="2648"/>
      <c r="U1" s="3811"/>
      <c r="V1" s="3812"/>
      <c r="W1" s="3812"/>
      <c r="X1" s="3818"/>
      <c r="Y1" s="3819"/>
      <c r="Z1" s="3817"/>
      <c r="AA1" s="3817"/>
      <c r="AB1" s="3820"/>
      <c r="AC1" s="3820"/>
      <c r="AD1" s="3820"/>
      <c r="AE1" s="3820"/>
      <c r="AF1" s="3811"/>
      <c r="AG1" s="3821"/>
      <c r="AH1" s="3818"/>
      <c r="AI1" s="3817"/>
      <c r="AJ1" s="3818"/>
      <c r="AK1" s="3078"/>
      <c r="AL1" s="3078"/>
      <c r="AM1" s="3078"/>
      <c r="AN1" s="3078"/>
      <c r="AO1" s="3078"/>
      <c r="AP1" s="3078"/>
    </row>
    <row r="2" ht="15.75" customHeight="1">
      <c r="A2" s="3183" t="s">
        <v>2420</v>
      </c>
      <c r="B2" s="3822"/>
      <c r="C2" s="3823" t="str">
        <f>PropertyName_DataPageTab</f>
        <v>XXXX</v>
      </c>
      <c r="D2" s="3824"/>
      <c r="E2" s="3825"/>
      <c r="F2" s="3811"/>
      <c r="G2" s="3813"/>
      <c r="H2" s="3814"/>
      <c r="I2" s="3815"/>
      <c r="J2" s="3816"/>
      <c r="K2" s="3824"/>
      <c r="L2" s="3826" t="s">
        <v>3316</v>
      </c>
      <c r="M2" s="3827"/>
      <c r="N2" s="3828" t="str">
        <f>'Bor-KP-Prin'!S6</f>
        <v>XXXX</v>
      </c>
      <c r="O2" s="3829"/>
      <c r="P2" s="3829"/>
      <c r="Q2" s="3830"/>
      <c r="R2" s="3811"/>
      <c r="S2" s="3078"/>
      <c r="T2" s="2648"/>
      <c r="U2" s="3811"/>
      <c r="V2" s="3812"/>
      <c r="W2" s="3812"/>
      <c r="X2" s="3818"/>
      <c r="Y2" s="3819"/>
      <c r="Z2" s="3817"/>
      <c r="AA2" s="3817"/>
      <c r="AB2" s="3820"/>
      <c r="AC2" s="3820"/>
      <c r="AD2" s="3820"/>
      <c r="AE2" s="3820"/>
      <c r="AF2" s="3811"/>
      <c r="AG2" s="3821"/>
      <c r="AH2" s="3818"/>
      <c r="AI2" s="3817"/>
      <c r="AJ2" s="3818"/>
      <c r="AK2" s="3078"/>
      <c r="AL2" s="3078"/>
      <c r="AM2" s="3078"/>
      <c r="AN2" s="3078"/>
      <c r="AO2" s="3078"/>
      <c r="AP2" s="3078"/>
    </row>
    <row r="3" ht="15.75" customHeight="1">
      <c r="A3" s="3078"/>
      <c r="B3" s="3822"/>
      <c r="C3" s="3421"/>
      <c r="D3" s="3811"/>
      <c r="E3" s="3812"/>
      <c r="F3" s="3811"/>
      <c r="G3" s="3813"/>
      <c r="H3" s="3814"/>
      <c r="I3" s="3815"/>
      <c r="J3" s="3816"/>
      <c r="K3" s="3811"/>
      <c r="L3" s="3817"/>
      <c r="M3" s="3818"/>
      <c r="N3" s="3817"/>
      <c r="O3" s="3817"/>
      <c r="P3" s="3817"/>
      <c r="Q3" s="3817"/>
      <c r="R3" s="3811"/>
      <c r="S3" s="3078"/>
      <c r="T3" s="2648"/>
      <c r="U3" s="3811"/>
      <c r="V3" s="3812"/>
      <c r="W3" s="3812"/>
      <c r="X3" s="3818"/>
      <c r="Y3" s="3819"/>
      <c r="Z3" s="3817"/>
      <c r="AA3" s="3817"/>
      <c r="AB3" s="3820"/>
      <c r="AC3" s="3820"/>
      <c r="AD3" s="3820"/>
      <c r="AE3" s="3820"/>
      <c r="AF3" s="3811"/>
      <c r="AG3" s="3821"/>
      <c r="AH3" s="3818"/>
      <c r="AI3" s="3817"/>
      <c r="AJ3" s="3818"/>
      <c r="AK3" s="3078"/>
      <c r="AL3" s="3078"/>
      <c r="AM3" s="3078"/>
      <c r="AN3" s="3078"/>
      <c r="AO3" s="3078"/>
      <c r="AP3" s="3078"/>
    </row>
    <row r="4" ht="15.75" customHeight="1">
      <c r="A4" s="3831" t="s">
        <v>202</v>
      </c>
      <c r="B4" s="3832"/>
      <c r="C4" s="3832"/>
      <c r="D4" s="3833"/>
      <c r="E4" s="3834"/>
      <c r="F4" s="3835" t="s">
        <v>3317</v>
      </c>
      <c r="G4" s="3836"/>
      <c r="H4" s="3837"/>
      <c r="I4" s="3838"/>
      <c r="J4" s="3839"/>
      <c r="K4" s="3840"/>
      <c r="L4" s="3841"/>
      <c r="M4" s="3842"/>
      <c r="N4" s="3841"/>
      <c r="O4" s="3841"/>
      <c r="P4" s="3841"/>
      <c r="Q4" s="3841"/>
      <c r="R4" s="3840"/>
      <c r="S4" s="3078"/>
      <c r="T4" s="2648"/>
      <c r="U4" s="3840"/>
      <c r="V4" s="3834"/>
      <c r="W4" s="3834"/>
      <c r="X4" s="3842"/>
      <c r="Y4" s="3843"/>
      <c r="Z4" s="3841"/>
      <c r="AA4" s="3841"/>
      <c r="AB4" s="3844"/>
      <c r="AC4" s="3844"/>
      <c r="AD4" s="3844"/>
      <c r="AE4" s="3844"/>
      <c r="AF4" s="3840"/>
      <c r="AG4" s="3845"/>
      <c r="AH4" s="3842"/>
      <c r="AI4" s="3841"/>
      <c r="AJ4" s="3842"/>
      <c r="AK4" s="3846"/>
      <c r="AL4" s="3846"/>
      <c r="AM4" s="3846"/>
      <c r="AN4" s="3846"/>
      <c r="AO4" s="3846"/>
      <c r="AP4" s="3846"/>
    </row>
    <row r="5" ht="15.75" customHeight="1">
      <c r="A5" s="3847" t="s">
        <v>3318</v>
      </c>
      <c r="B5" s="3828"/>
      <c r="C5" s="3828"/>
      <c r="D5" s="3828"/>
      <c r="E5" s="3828"/>
      <c r="F5" s="3828"/>
      <c r="G5" s="3828"/>
      <c r="H5" s="3828"/>
      <c r="I5" s="3828"/>
      <c r="J5" s="3828"/>
      <c r="K5" s="3848"/>
      <c r="L5" s="3849" t="s">
        <v>3319</v>
      </c>
      <c r="M5" s="3850"/>
      <c r="N5" s="3850"/>
      <c r="O5" s="3850"/>
      <c r="P5" s="3850"/>
      <c r="Q5" s="3850"/>
      <c r="R5" s="3850"/>
      <c r="S5" s="3850"/>
      <c r="T5" s="3850"/>
      <c r="U5" s="3850"/>
      <c r="V5" s="3851"/>
      <c r="W5" s="3850"/>
      <c r="X5" s="3852" t="s">
        <v>3320</v>
      </c>
      <c r="Y5" s="3853"/>
      <c r="Z5" s="3854" t="s">
        <v>3321</v>
      </c>
      <c r="AA5" s="3829"/>
      <c r="AB5" s="3829"/>
      <c r="AC5" s="3830"/>
      <c r="AD5" s="3852" t="s">
        <v>3322</v>
      </c>
      <c r="AE5" s="3853"/>
      <c r="AF5" s="3855" t="s">
        <v>3323</v>
      </c>
      <c r="AG5" s="3856"/>
      <c r="AH5" s="3856"/>
      <c r="AI5" s="3856"/>
      <c r="AJ5" s="3857"/>
      <c r="AK5" s="3846"/>
      <c r="AL5" s="3852" t="s">
        <v>3324</v>
      </c>
      <c r="AM5" s="3853"/>
      <c r="AN5" s="3846"/>
      <c r="AO5" s="3846"/>
      <c r="AP5" s="3846"/>
    </row>
    <row r="6" ht="15" customHeight="1">
      <c r="A6" s="3858" t="s">
        <v>3103</v>
      </c>
      <c r="B6" s="3859" t="s">
        <v>3325</v>
      </c>
      <c r="C6" s="3860" t="s">
        <v>273</v>
      </c>
      <c r="D6" s="3860" t="s">
        <v>279</v>
      </c>
      <c r="E6" s="3860" t="s">
        <v>289</v>
      </c>
      <c r="F6" s="3860" t="s">
        <v>3326</v>
      </c>
      <c r="G6" s="3861" t="s">
        <v>3327</v>
      </c>
      <c r="H6" s="3861" t="s">
        <v>660</v>
      </c>
      <c r="I6" s="3862" t="s">
        <v>3328</v>
      </c>
      <c r="J6" s="3863" t="s">
        <v>3329</v>
      </c>
      <c r="K6" s="3864" t="s">
        <v>3330</v>
      </c>
      <c r="L6" s="3865" t="s">
        <v>3331</v>
      </c>
      <c r="M6" s="3866" t="s">
        <v>3332</v>
      </c>
      <c r="N6" s="3866" t="s">
        <v>3333</v>
      </c>
      <c r="O6" s="3866" t="s">
        <v>3334</v>
      </c>
      <c r="P6" s="3867" t="s">
        <v>3335</v>
      </c>
      <c r="Q6" s="3868"/>
      <c r="R6" s="3860" t="s">
        <v>3336</v>
      </c>
      <c r="S6" s="3860" t="s">
        <v>578</v>
      </c>
      <c r="T6" s="3863" t="s">
        <v>3337</v>
      </c>
      <c r="U6" s="3860" t="s">
        <v>3338</v>
      </c>
      <c r="V6" s="3864" t="s">
        <v>3339</v>
      </c>
      <c r="W6" s="3869" t="s">
        <v>3340</v>
      </c>
      <c r="X6" s="3870" t="s">
        <v>3373</v>
      </c>
      <c r="Y6" s="3871" t="s">
        <v>3342</v>
      </c>
      <c r="Z6" s="3865" t="s">
        <v>3343</v>
      </c>
      <c r="AA6" s="3872" t="s">
        <v>3344</v>
      </c>
      <c r="AB6" s="3873" t="s">
        <v>3345</v>
      </c>
      <c r="AC6" s="3874" t="s">
        <v>760</v>
      </c>
      <c r="AD6" s="3875">
        <v>0</v>
      </c>
      <c r="AE6" s="3876"/>
      <c r="AF6" s="3859" t="str">
        <f t="shared" si="15" ref="AF6:AF100">$N$2&amp;" Ownership Role"</f>
        <v>XXXX Ownership Role</v>
      </c>
      <c r="AG6" s="3877" t="str">
        <f t="shared" si="16" ref="AG6:AG100">$N$2&amp;" Ownership Interest"</f>
        <v>XXXX Ownership Interest</v>
      </c>
      <c r="AH6" s="3872" t="s">
        <v>3348</v>
      </c>
      <c r="AI6" s="3872" t="s">
        <v>3349</v>
      </c>
      <c r="AJ6" s="3878" t="s">
        <v>3350</v>
      </c>
      <c r="AK6" s="3879"/>
      <c r="AL6" s="3880">
        <v>0.055</v>
      </c>
      <c r="AM6" s="3881" t="s">
        <v>3342</v>
      </c>
      <c r="AN6" s="3879"/>
      <c r="AO6" s="3872" t="s">
        <v>3348</v>
      </c>
      <c r="AP6" s="3879"/>
    </row>
    <row r="7" ht="44.25" customHeight="1">
      <c r="A7" s="3882"/>
      <c r="B7" s="3883"/>
      <c r="C7" s="3884"/>
      <c r="D7" s="3884"/>
      <c r="E7" s="3884"/>
      <c r="F7" s="3884"/>
      <c r="G7" s="3885"/>
      <c r="H7" s="3885"/>
      <c r="I7" s="3886"/>
      <c r="J7" s="3887"/>
      <c r="K7" s="3888"/>
      <c r="L7" s="3889"/>
      <c r="M7" s="3890"/>
      <c r="N7" s="3890"/>
      <c r="O7" s="3890"/>
      <c r="P7" s="3891"/>
      <c r="Q7" s="3892"/>
      <c r="R7" s="3884"/>
      <c r="S7" s="3884"/>
      <c r="T7" s="3887"/>
      <c r="U7" s="3884"/>
      <c r="V7" s="3888"/>
      <c r="W7" s="3893"/>
      <c r="X7" s="3894"/>
      <c r="Y7" s="3895"/>
      <c r="Z7" s="3889"/>
      <c r="AA7" s="3896"/>
      <c r="AB7" s="3897"/>
      <c r="AC7" s="3898"/>
      <c r="AD7" s="3899" t="s">
        <v>3351</v>
      </c>
      <c r="AE7" s="3899" t="s">
        <v>3352</v>
      </c>
      <c r="AF7" s="3883"/>
      <c r="AG7" s="3900"/>
      <c r="AH7" s="3896"/>
      <c r="AI7" s="3896"/>
      <c r="AJ7" s="3901"/>
      <c r="AK7" s="3879"/>
      <c r="AL7" s="3899" t="s">
        <v>3353</v>
      </c>
      <c r="AM7" s="3902"/>
      <c r="AN7" s="3879"/>
      <c r="AO7" s="3896"/>
      <c r="AP7" s="3879"/>
    </row>
    <row r="8" ht="30" customHeight="1">
      <c r="A8" s="3903">
        <v>1</v>
      </c>
      <c r="B8" s="3904"/>
      <c r="C8" s="3905"/>
      <c r="D8" s="3905"/>
      <c r="E8" s="3905"/>
      <c r="F8" s="3905"/>
      <c r="G8" s="3906"/>
      <c r="H8" s="3907"/>
      <c r="I8" s="3908"/>
      <c r="J8" s="3907"/>
      <c r="K8" s="3905"/>
      <c r="L8" s="3909"/>
      <c r="M8" s="3910"/>
      <c r="N8" s="3911">
        <f t="shared" si="0" ref="N8:N126">L8+M8</f>
        <v>0</v>
      </c>
      <c r="O8" s="3910"/>
      <c r="P8" s="3912"/>
      <c r="Q8" s="3912"/>
      <c r="R8" s="3905"/>
      <c r="S8" s="3913"/>
      <c r="T8" s="3914"/>
      <c r="U8" s="3915"/>
      <c r="V8" s="3916"/>
      <c r="W8" s="3917"/>
      <c r="X8" s="3910"/>
      <c r="Y8" s="3918">
        <f t="shared" si="1" ref="Y8:Y126">IF(X8&gt;0,X8/O8,0)</f>
        <v>0</v>
      </c>
      <c r="Z8" s="3909"/>
      <c r="AA8" s="3919">
        <f t="shared" si="2" ref="AA8:AA122">IF(G8="",0,Z8/G8)</f>
        <v>0</v>
      </c>
      <c r="AB8" s="3920">
        <f t="shared" si="3" ref="AB8:AB126">IF(X8=0,0,X8/Z8)</f>
        <v>0</v>
      </c>
      <c r="AC8" s="3921">
        <f t="shared" si="4" ref="AC8:AC126">IF(Z8&gt;0,N8/Z8,0)</f>
        <v>0</v>
      </c>
      <c r="AD8" s="3922">
        <f t="shared" si="5" ref="AD8:AD126">_xlfn.IFERROR(X8/$AD$6,0)</f>
        <v>0</v>
      </c>
      <c r="AE8" s="3923">
        <f t="shared" si="6" ref="AE8:AE126">_xlfn.IFERROR(N8/AD8,0)</f>
        <v>0</v>
      </c>
      <c r="AF8" s="3904"/>
      <c r="AG8" s="3924"/>
      <c r="AH8" s="3911">
        <f t="shared" si="7" ref="AH8:AH121">(Z8-N8)*AG8</f>
        <v>0</v>
      </c>
      <c r="AI8" s="3911">
        <f t="shared" si="8" ref="AI8:AI121">(X8-O8)*AG8</f>
        <v>0</v>
      </c>
      <c r="AJ8" s="3925"/>
      <c r="AK8" s="3926"/>
      <c r="AL8" s="3927">
        <f t="shared" si="9" ref="AL8:AL121">IF(O8="","",PMT($AL$6,30,-N8,0))</f>
      </c>
      <c r="AM8" s="3918">
        <f t="shared" si="10" ref="AM8:AM126">IF(X8&gt;0,X8/AL8,0)</f>
        <v>0</v>
      </c>
      <c r="AN8" s="3926"/>
      <c r="AO8" s="3911">
        <f t="shared" si="11" ref="AO8:AO121">(Z8-N8)*AG8</f>
        <v>0</v>
      </c>
      <c r="AP8" s="3926"/>
    </row>
    <row r="9" ht="30" customHeight="1">
      <c r="A9" s="3928">
        <f t="shared" si="12" ref="A9:A121">A8+1</f>
        <v>2</v>
      </c>
      <c r="B9" s="3904"/>
      <c r="C9" s="3905"/>
      <c r="D9" s="3905"/>
      <c r="E9" s="3905"/>
      <c r="F9" s="3905"/>
      <c r="G9" s="3906"/>
      <c r="H9" s="3907"/>
      <c r="I9" s="3908"/>
      <c r="J9" s="3907"/>
      <c r="K9" s="3905"/>
      <c r="L9" s="3909"/>
      <c r="M9" s="3910"/>
      <c r="N9" s="3911">
        <f t="shared" si="0"/>
        <v>0</v>
      </c>
      <c r="O9" s="3910"/>
      <c r="P9" s="3912"/>
      <c r="Q9" s="3912"/>
      <c r="R9" s="3905"/>
      <c r="S9" s="3913"/>
      <c r="T9" s="3914"/>
      <c r="U9" s="3915"/>
      <c r="V9" s="3916"/>
      <c r="W9" s="3917"/>
      <c r="X9" s="3910"/>
      <c r="Y9" s="3918">
        <f t="shared" si="1"/>
        <v>0</v>
      </c>
      <c r="Z9" s="3909"/>
      <c r="AA9" s="3919">
        <f t="shared" si="2"/>
        <v>0</v>
      </c>
      <c r="AB9" s="3920">
        <f t="shared" si="3"/>
        <v>0</v>
      </c>
      <c r="AC9" s="3921">
        <f t="shared" si="4"/>
        <v>0</v>
      </c>
      <c r="AD9" s="3922">
        <f t="shared" si="5"/>
        <v>0</v>
      </c>
      <c r="AE9" s="3923">
        <f t="shared" si="6"/>
        <v>0</v>
      </c>
      <c r="AF9" s="3904"/>
      <c r="AG9" s="3924"/>
      <c r="AH9" s="3911">
        <f t="shared" si="7"/>
        <v>0</v>
      </c>
      <c r="AI9" s="3911">
        <f t="shared" si="8"/>
        <v>0</v>
      </c>
      <c r="AJ9" s="3925"/>
      <c r="AK9" s="3926"/>
      <c r="AL9" s="3927">
        <f t="shared" si="9"/>
      </c>
      <c r="AM9" s="3918">
        <f t="shared" si="10"/>
        <v>0</v>
      </c>
      <c r="AN9" s="3926"/>
      <c r="AO9" s="3911">
        <f t="shared" si="11"/>
        <v>0</v>
      </c>
      <c r="AP9" s="3926"/>
    </row>
    <row r="10" ht="30" customHeight="1">
      <c r="A10" s="3928">
        <f t="shared" si="12"/>
        <v>3</v>
      </c>
      <c r="B10" s="3904"/>
      <c r="C10" s="3905"/>
      <c r="D10" s="3905"/>
      <c r="E10" s="3905"/>
      <c r="F10" s="3905"/>
      <c r="G10" s="3906"/>
      <c r="H10" s="3907"/>
      <c r="I10" s="3908"/>
      <c r="J10" s="3907"/>
      <c r="K10" s="3905"/>
      <c r="L10" s="3909"/>
      <c r="M10" s="3910"/>
      <c r="N10" s="3911">
        <f t="shared" si="0"/>
        <v>0</v>
      </c>
      <c r="O10" s="3910"/>
      <c r="P10" s="3912"/>
      <c r="Q10" s="3912"/>
      <c r="R10" s="3905"/>
      <c r="S10" s="3913"/>
      <c r="T10" s="3914"/>
      <c r="U10" s="3915"/>
      <c r="V10" s="3916"/>
      <c r="W10" s="3917"/>
      <c r="X10" s="3910"/>
      <c r="Y10" s="3918">
        <f t="shared" si="1"/>
        <v>0</v>
      </c>
      <c r="Z10" s="3909"/>
      <c r="AA10" s="3919">
        <f t="shared" si="2"/>
        <v>0</v>
      </c>
      <c r="AB10" s="3920">
        <f t="shared" si="3"/>
        <v>0</v>
      </c>
      <c r="AC10" s="3921">
        <f t="shared" si="4"/>
        <v>0</v>
      </c>
      <c r="AD10" s="3922">
        <f t="shared" si="5"/>
        <v>0</v>
      </c>
      <c r="AE10" s="3923">
        <f t="shared" si="6"/>
        <v>0</v>
      </c>
      <c r="AF10" s="3904"/>
      <c r="AG10" s="3924"/>
      <c r="AH10" s="3911">
        <f t="shared" si="7"/>
        <v>0</v>
      </c>
      <c r="AI10" s="3911">
        <f t="shared" si="8"/>
        <v>0</v>
      </c>
      <c r="AJ10" s="3925"/>
      <c r="AK10" s="3926"/>
      <c r="AL10" s="3927">
        <f t="shared" si="9"/>
      </c>
      <c r="AM10" s="3918">
        <f t="shared" si="10"/>
        <v>0</v>
      </c>
      <c r="AN10" s="3926"/>
      <c r="AO10" s="3911">
        <f t="shared" si="11"/>
        <v>0</v>
      </c>
      <c r="AP10" s="3926"/>
    </row>
    <row r="11" ht="30" customHeight="1">
      <c r="A11" s="3928">
        <f t="shared" si="12"/>
        <v>4</v>
      </c>
      <c r="B11" s="3904"/>
      <c r="C11" s="3905"/>
      <c r="D11" s="3905"/>
      <c r="E11" s="3905"/>
      <c r="F11" s="3905"/>
      <c r="G11" s="3906"/>
      <c r="H11" s="3907"/>
      <c r="I11" s="3908"/>
      <c r="J11" s="3907"/>
      <c r="K11" s="3905"/>
      <c r="L11" s="3909"/>
      <c r="M11" s="3910"/>
      <c r="N11" s="3911">
        <f t="shared" si="0"/>
        <v>0</v>
      </c>
      <c r="O11" s="3910"/>
      <c r="P11" s="3912"/>
      <c r="Q11" s="3912"/>
      <c r="R11" s="3905"/>
      <c r="S11" s="3913"/>
      <c r="T11" s="3914"/>
      <c r="U11" s="3915"/>
      <c r="V11" s="3916"/>
      <c r="W11" s="3917"/>
      <c r="X11" s="3910"/>
      <c r="Y11" s="3918">
        <f t="shared" si="1"/>
        <v>0</v>
      </c>
      <c r="Z11" s="3909"/>
      <c r="AA11" s="3919">
        <f t="shared" si="2"/>
        <v>0</v>
      </c>
      <c r="AB11" s="3920">
        <f t="shared" si="3"/>
        <v>0</v>
      </c>
      <c r="AC11" s="3921">
        <f t="shared" si="4"/>
        <v>0</v>
      </c>
      <c r="AD11" s="3922">
        <f t="shared" si="5"/>
        <v>0</v>
      </c>
      <c r="AE11" s="3923">
        <f t="shared" si="6"/>
        <v>0</v>
      </c>
      <c r="AF11" s="3904"/>
      <c r="AG11" s="3924"/>
      <c r="AH11" s="3911">
        <f t="shared" si="7"/>
        <v>0</v>
      </c>
      <c r="AI11" s="3911">
        <f t="shared" si="8"/>
        <v>0</v>
      </c>
      <c r="AJ11" s="3925"/>
      <c r="AK11" s="3926"/>
      <c r="AL11" s="3927">
        <f t="shared" si="9"/>
      </c>
      <c r="AM11" s="3918">
        <f t="shared" si="10"/>
        <v>0</v>
      </c>
      <c r="AN11" s="3926"/>
      <c r="AO11" s="3911">
        <f t="shared" si="11"/>
        <v>0</v>
      </c>
      <c r="AP11" s="3926"/>
    </row>
    <row r="12" ht="30" customHeight="1">
      <c r="A12" s="3928">
        <f t="shared" si="12"/>
        <v>5</v>
      </c>
      <c r="B12" s="3904"/>
      <c r="C12" s="3905"/>
      <c r="D12" s="3905"/>
      <c r="E12" s="3905"/>
      <c r="F12" s="3905"/>
      <c r="G12" s="3906"/>
      <c r="H12" s="3907"/>
      <c r="I12" s="3908"/>
      <c r="J12" s="3907"/>
      <c r="K12" s="3905"/>
      <c r="L12" s="3909"/>
      <c r="M12" s="3910"/>
      <c r="N12" s="3911">
        <f t="shared" si="0"/>
        <v>0</v>
      </c>
      <c r="O12" s="3910"/>
      <c r="P12" s="3912"/>
      <c r="Q12" s="3912"/>
      <c r="R12" s="3905"/>
      <c r="S12" s="3913"/>
      <c r="T12" s="3914"/>
      <c r="U12" s="3915"/>
      <c r="V12" s="3916"/>
      <c r="W12" s="3917"/>
      <c r="X12" s="3910"/>
      <c r="Y12" s="3918">
        <f t="shared" si="1"/>
        <v>0</v>
      </c>
      <c r="Z12" s="3909"/>
      <c r="AA12" s="3919">
        <f t="shared" si="2"/>
        <v>0</v>
      </c>
      <c r="AB12" s="3920">
        <f t="shared" si="3"/>
        <v>0</v>
      </c>
      <c r="AC12" s="3921">
        <f t="shared" si="4"/>
        <v>0</v>
      </c>
      <c r="AD12" s="3922">
        <f t="shared" si="5"/>
        <v>0</v>
      </c>
      <c r="AE12" s="3923">
        <f t="shared" si="6"/>
        <v>0</v>
      </c>
      <c r="AF12" s="3904"/>
      <c r="AG12" s="3924"/>
      <c r="AH12" s="3911">
        <f t="shared" si="7"/>
        <v>0</v>
      </c>
      <c r="AI12" s="3911">
        <f t="shared" si="8"/>
        <v>0</v>
      </c>
      <c r="AJ12" s="3925"/>
      <c r="AK12" s="3926"/>
      <c r="AL12" s="3927">
        <f t="shared" si="9"/>
      </c>
      <c r="AM12" s="3918">
        <f t="shared" si="10"/>
        <v>0</v>
      </c>
      <c r="AN12" s="3926"/>
      <c r="AO12" s="3911">
        <f t="shared" si="11"/>
        <v>0</v>
      </c>
      <c r="AP12" s="3926"/>
    </row>
    <row r="13" ht="30" customHeight="1">
      <c r="A13" s="3928">
        <f t="shared" si="12"/>
        <v>6</v>
      </c>
      <c r="B13" s="3904"/>
      <c r="C13" s="3905"/>
      <c r="D13" s="3905"/>
      <c r="E13" s="3905"/>
      <c r="F13" s="3905"/>
      <c r="G13" s="3906"/>
      <c r="H13" s="3907"/>
      <c r="I13" s="3908"/>
      <c r="J13" s="3907"/>
      <c r="K13" s="3905"/>
      <c r="L13" s="3909"/>
      <c r="M13" s="3910"/>
      <c r="N13" s="3911">
        <f t="shared" si="0"/>
        <v>0</v>
      </c>
      <c r="O13" s="3910"/>
      <c r="P13" s="3912"/>
      <c r="Q13" s="3912"/>
      <c r="R13" s="3905"/>
      <c r="S13" s="3913"/>
      <c r="T13" s="3914"/>
      <c r="U13" s="3915"/>
      <c r="V13" s="3916"/>
      <c r="W13" s="3917"/>
      <c r="X13" s="3910"/>
      <c r="Y13" s="3918">
        <f t="shared" si="1"/>
        <v>0</v>
      </c>
      <c r="Z13" s="3909"/>
      <c r="AA13" s="3919">
        <f t="shared" si="2"/>
        <v>0</v>
      </c>
      <c r="AB13" s="3920">
        <f t="shared" si="3"/>
        <v>0</v>
      </c>
      <c r="AC13" s="3921">
        <f t="shared" si="4"/>
        <v>0</v>
      </c>
      <c r="AD13" s="3922">
        <f t="shared" si="5"/>
        <v>0</v>
      </c>
      <c r="AE13" s="3923">
        <f t="shared" si="6"/>
        <v>0</v>
      </c>
      <c r="AF13" s="3904"/>
      <c r="AG13" s="3924"/>
      <c r="AH13" s="3911">
        <f t="shared" si="7"/>
        <v>0</v>
      </c>
      <c r="AI13" s="3911">
        <f t="shared" si="8"/>
        <v>0</v>
      </c>
      <c r="AJ13" s="3925"/>
      <c r="AK13" s="3926"/>
      <c r="AL13" s="3927">
        <f t="shared" si="9"/>
      </c>
      <c r="AM13" s="3918">
        <f t="shared" si="10"/>
        <v>0</v>
      </c>
      <c r="AN13" s="3926"/>
      <c r="AO13" s="3911">
        <f t="shared" si="11"/>
        <v>0</v>
      </c>
      <c r="AP13" s="3926"/>
    </row>
    <row r="14" ht="30" customHeight="1">
      <c r="A14" s="3928">
        <f t="shared" si="12"/>
        <v>7</v>
      </c>
      <c r="B14" s="3904"/>
      <c r="C14" s="3905"/>
      <c r="D14" s="3905"/>
      <c r="E14" s="3905"/>
      <c r="F14" s="3905"/>
      <c r="G14" s="3906"/>
      <c r="H14" s="3907"/>
      <c r="I14" s="3908"/>
      <c r="J14" s="3907"/>
      <c r="K14" s="3905"/>
      <c r="L14" s="3909"/>
      <c r="M14" s="3910"/>
      <c r="N14" s="3911">
        <f t="shared" si="0"/>
        <v>0</v>
      </c>
      <c r="O14" s="3910"/>
      <c r="P14" s="3912"/>
      <c r="Q14" s="3912"/>
      <c r="R14" s="3905"/>
      <c r="S14" s="3913"/>
      <c r="T14" s="3914"/>
      <c r="U14" s="3915"/>
      <c r="V14" s="3916"/>
      <c r="W14" s="3917"/>
      <c r="X14" s="3910"/>
      <c r="Y14" s="3918">
        <f t="shared" si="1"/>
        <v>0</v>
      </c>
      <c r="Z14" s="3909"/>
      <c r="AA14" s="3919">
        <f t="shared" si="2"/>
        <v>0</v>
      </c>
      <c r="AB14" s="3920">
        <f t="shared" si="3"/>
        <v>0</v>
      </c>
      <c r="AC14" s="3921">
        <f t="shared" si="4"/>
        <v>0</v>
      </c>
      <c r="AD14" s="3922">
        <f t="shared" si="5"/>
        <v>0</v>
      </c>
      <c r="AE14" s="3923">
        <f t="shared" si="6"/>
        <v>0</v>
      </c>
      <c r="AF14" s="3904"/>
      <c r="AG14" s="3924"/>
      <c r="AH14" s="3911">
        <f t="shared" si="7"/>
        <v>0</v>
      </c>
      <c r="AI14" s="3911">
        <f t="shared" si="8"/>
        <v>0</v>
      </c>
      <c r="AJ14" s="3925"/>
      <c r="AK14" s="3926"/>
      <c r="AL14" s="3927">
        <f t="shared" si="9"/>
      </c>
      <c r="AM14" s="3918">
        <f t="shared" si="10"/>
        <v>0</v>
      </c>
      <c r="AN14" s="3926"/>
      <c r="AO14" s="3911">
        <f t="shared" si="11"/>
        <v>0</v>
      </c>
      <c r="AP14" s="3926"/>
    </row>
    <row r="15" ht="30" customHeight="1">
      <c r="A15" s="3928">
        <f t="shared" si="12"/>
        <v>8</v>
      </c>
      <c r="B15" s="3904"/>
      <c r="C15" s="3905"/>
      <c r="D15" s="3905"/>
      <c r="E15" s="3905"/>
      <c r="F15" s="3905"/>
      <c r="G15" s="3906"/>
      <c r="H15" s="3907"/>
      <c r="I15" s="3908"/>
      <c r="J15" s="3907"/>
      <c r="K15" s="3905"/>
      <c r="L15" s="3909"/>
      <c r="M15" s="3910"/>
      <c r="N15" s="3911">
        <f t="shared" si="0"/>
        <v>0</v>
      </c>
      <c r="O15" s="3910"/>
      <c r="P15" s="3912"/>
      <c r="Q15" s="3912"/>
      <c r="R15" s="3905"/>
      <c r="S15" s="3913"/>
      <c r="T15" s="3914"/>
      <c r="U15" s="3915"/>
      <c r="V15" s="3916"/>
      <c r="W15" s="3917"/>
      <c r="X15" s="3910"/>
      <c r="Y15" s="3918">
        <f t="shared" si="1"/>
        <v>0</v>
      </c>
      <c r="Z15" s="3909"/>
      <c r="AA15" s="3919">
        <f t="shared" si="2"/>
        <v>0</v>
      </c>
      <c r="AB15" s="3920">
        <f t="shared" si="3"/>
        <v>0</v>
      </c>
      <c r="AC15" s="3921">
        <f t="shared" si="4"/>
        <v>0</v>
      </c>
      <c r="AD15" s="3922">
        <f t="shared" si="5"/>
        <v>0</v>
      </c>
      <c r="AE15" s="3923">
        <f t="shared" si="6"/>
        <v>0</v>
      </c>
      <c r="AF15" s="3904"/>
      <c r="AG15" s="3924"/>
      <c r="AH15" s="3911">
        <f t="shared" si="7"/>
        <v>0</v>
      </c>
      <c r="AI15" s="3911">
        <f t="shared" si="8"/>
        <v>0</v>
      </c>
      <c r="AJ15" s="3925"/>
      <c r="AK15" s="3926"/>
      <c r="AL15" s="3927">
        <f t="shared" si="9"/>
      </c>
      <c r="AM15" s="3918">
        <f t="shared" si="10"/>
        <v>0</v>
      </c>
      <c r="AN15" s="3926"/>
      <c r="AO15" s="3911">
        <f t="shared" si="11"/>
        <v>0</v>
      </c>
      <c r="AP15" s="3926"/>
    </row>
    <row r="16" ht="30" customHeight="1">
      <c r="A16" s="3928">
        <f t="shared" si="12"/>
        <v>9</v>
      </c>
      <c r="B16" s="3904"/>
      <c r="C16" s="3905"/>
      <c r="D16" s="3905"/>
      <c r="E16" s="3905"/>
      <c r="F16" s="3905"/>
      <c r="G16" s="3906"/>
      <c r="H16" s="3907"/>
      <c r="I16" s="3908"/>
      <c r="J16" s="3907"/>
      <c r="K16" s="3905"/>
      <c r="L16" s="3909"/>
      <c r="M16" s="3910"/>
      <c r="N16" s="3911">
        <f t="shared" si="0"/>
        <v>0</v>
      </c>
      <c r="O16" s="3910"/>
      <c r="P16" s="3912"/>
      <c r="Q16" s="3912"/>
      <c r="R16" s="3905"/>
      <c r="S16" s="3913"/>
      <c r="T16" s="3914"/>
      <c r="U16" s="3915"/>
      <c r="V16" s="3916"/>
      <c r="W16" s="3917"/>
      <c r="X16" s="3910"/>
      <c r="Y16" s="3918">
        <f t="shared" si="1"/>
        <v>0</v>
      </c>
      <c r="Z16" s="3909"/>
      <c r="AA16" s="3919">
        <f t="shared" si="2"/>
        <v>0</v>
      </c>
      <c r="AB16" s="3920">
        <f t="shared" si="3"/>
        <v>0</v>
      </c>
      <c r="AC16" s="3921">
        <f t="shared" si="4"/>
        <v>0</v>
      </c>
      <c r="AD16" s="3922">
        <f t="shared" si="5"/>
        <v>0</v>
      </c>
      <c r="AE16" s="3923">
        <f t="shared" si="6"/>
        <v>0</v>
      </c>
      <c r="AF16" s="3904"/>
      <c r="AG16" s="3924"/>
      <c r="AH16" s="3911">
        <f t="shared" si="7"/>
        <v>0</v>
      </c>
      <c r="AI16" s="3911">
        <f t="shared" si="8"/>
        <v>0</v>
      </c>
      <c r="AJ16" s="3925"/>
      <c r="AK16" s="3926"/>
      <c r="AL16" s="3927">
        <f t="shared" si="9"/>
      </c>
      <c r="AM16" s="3918">
        <f t="shared" si="10"/>
        <v>0</v>
      </c>
      <c r="AN16" s="3926"/>
      <c r="AO16" s="3911">
        <f t="shared" si="11"/>
        <v>0</v>
      </c>
      <c r="AP16" s="3926"/>
    </row>
    <row r="17" ht="30" customHeight="1">
      <c r="A17" s="3928">
        <f t="shared" si="12"/>
        <v>10</v>
      </c>
      <c r="B17" s="3904"/>
      <c r="C17" s="3905"/>
      <c r="D17" s="3905"/>
      <c r="E17" s="3905"/>
      <c r="F17" s="3905"/>
      <c r="G17" s="3906"/>
      <c r="H17" s="3907"/>
      <c r="I17" s="3908"/>
      <c r="J17" s="3907"/>
      <c r="K17" s="3905"/>
      <c r="L17" s="3909"/>
      <c r="M17" s="3910"/>
      <c r="N17" s="3911">
        <f t="shared" si="0"/>
        <v>0</v>
      </c>
      <c r="O17" s="3910"/>
      <c r="P17" s="3912"/>
      <c r="Q17" s="3912"/>
      <c r="R17" s="3905"/>
      <c r="S17" s="3913"/>
      <c r="T17" s="3914"/>
      <c r="U17" s="3915"/>
      <c r="V17" s="3916"/>
      <c r="W17" s="3917"/>
      <c r="X17" s="3910"/>
      <c r="Y17" s="3918">
        <f t="shared" si="1"/>
        <v>0</v>
      </c>
      <c r="Z17" s="3909"/>
      <c r="AA17" s="3919">
        <f t="shared" si="2"/>
        <v>0</v>
      </c>
      <c r="AB17" s="3920">
        <f t="shared" si="3"/>
        <v>0</v>
      </c>
      <c r="AC17" s="3921">
        <f t="shared" si="4"/>
        <v>0</v>
      </c>
      <c r="AD17" s="3922">
        <f t="shared" si="5"/>
        <v>0</v>
      </c>
      <c r="AE17" s="3923">
        <f t="shared" si="6"/>
        <v>0</v>
      </c>
      <c r="AF17" s="3904"/>
      <c r="AG17" s="3924"/>
      <c r="AH17" s="3911">
        <f t="shared" si="7"/>
        <v>0</v>
      </c>
      <c r="AI17" s="3911">
        <f t="shared" si="8"/>
        <v>0</v>
      </c>
      <c r="AJ17" s="3925"/>
      <c r="AK17" s="3926"/>
      <c r="AL17" s="3927">
        <f t="shared" si="9"/>
      </c>
      <c r="AM17" s="3918">
        <f t="shared" si="10"/>
        <v>0</v>
      </c>
      <c r="AN17" s="3926"/>
      <c r="AO17" s="3911">
        <f t="shared" si="11"/>
        <v>0</v>
      </c>
      <c r="AP17" s="3926"/>
    </row>
    <row r="18" ht="30" customHeight="1" hidden="1">
      <c r="A18" s="3928">
        <f t="shared" si="12"/>
        <v>11</v>
      </c>
      <c r="B18" s="3904"/>
      <c r="C18" s="3905"/>
      <c r="D18" s="3905"/>
      <c r="E18" s="3905"/>
      <c r="F18" s="3905"/>
      <c r="G18" s="3906"/>
      <c r="H18" s="3907"/>
      <c r="I18" s="3908"/>
      <c r="J18" s="3907"/>
      <c r="K18" s="3905"/>
      <c r="L18" s="3909"/>
      <c r="M18" s="3910"/>
      <c r="N18" s="3911">
        <f t="shared" si="0"/>
        <v>0</v>
      </c>
      <c r="O18" s="3910"/>
      <c r="P18" s="3912"/>
      <c r="Q18" s="3912"/>
      <c r="R18" s="3905"/>
      <c r="S18" s="3913"/>
      <c r="T18" s="3914"/>
      <c r="U18" s="3915"/>
      <c r="V18" s="3916"/>
      <c r="W18" s="3917"/>
      <c r="X18" s="3910"/>
      <c r="Y18" s="3918">
        <f t="shared" si="1"/>
        <v>0</v>
      </c>
      <c r="Z18" s="3909"/>
      <c r="AA18" s="3919">
        <f t="shared" si="2"/>
        <v>0</v>
      </c>
      <c r="AB18" s="3920">
        <f t="shared" si="3"/>
        <v>0</v>
      </c>
      <c r="AC18" s="3921">
        <f t="shared" si="4"/>
        <v>0</v>
      </c>
      <c r="AD18" s="3922">
        <f t="shared" si="5"/>
        <v>0</v>
      </c>
      <c r="AE18" s="3923">
        <f t="shared" si="6"/>
        <v>0</v>
      </c>
      <c r="AF18" s="3904"/>
      <c r="AG18" s="3924"/>
      <c r="AH18" s="3911">
        <f t="shared" si="7"/>
        <v>0</v>
      </c>
      <c r="AI18" s="3911">
        <f t="shared" si="8"/>
        <v>0</v>
      </c>
      <c r="AJ18" s="3925"/>
      <c r="AK18" s="3926"/>
      <c r="AL18" s="3909">
        <f t="shared" si="9"/>
      </c>
      <c r="AM18" s="3918">
        <f t="shared" si="10"/>
        <v>0</v>
      </c>
      <c r="AN18" s="3926"/>
      <c r="AO18" s="3911">
        <f t="shared" si="11"/>
        <v>0</v>
      </c>
      <c r="AP18" s="3926"/>
    </row>
    <row r="19" ht="30" customHeight="1" hidden="1">
      <c r="A19" s="3928">
        <f t="shared" si="12"/>
        <v>12</v>
      </c>
      <c r="B19" s="3904"/>
      <c r="C19" s="3905"/>
      <c r="D19" s="3905"/>
      <c r="E19" s="3905"/>
      <c r="F19" s="3905"/>
      <c r="G19" s="3906"/>
      <c r="H19" s="3907"/>
      <c r="I19" s="3908"/>
      <c r="J19" s="3907"/>
      <c r="K19" s="3905"/>
      <c r="L19" s="3909"/>
      <c r="M19" s="3910"/>
      <c r="N19" s="3911">
        <f t="shared" si="0"/>
        <v>0</v>
      </c>
      <c r="O19" s="3910"/>
      <c r="P19" s="3912"/>
      <c r="Q19" s="3912"/>
      <c r="R19" s="3905"/>
      <c r="S19" s="3913"/>
      <c r="T19" s="3914"/>
      <c r="U19" s="3915"/>
      <c r="V19" s="3916"/>
      <c r="W19" s="3917"/>
      <c r="X19" s="3910"/>
      <c r="Y19" s="3918">
        <f t="shared" si="1"/>
        <v>0</v>
      </c>
      <c r="Z19" s="3909"/>
      <c r="AA19" s="3919">
        <f t="shared" si="2"/>
        <v>0</v>
      </c>
      <c r="AB19" s="3920">
        <f t="shared" si="3"/>
        <v>0</v>
      </c>
      <c r="AC19" s="3921">
        <f t="shared" si="4"/>
        <v>0</v>
      </c>
      <c r="AD19" s="3922">
        <f t="shared" si="5"/>
        <v>0</v>
      </c>
      <c r="AE19" s="3923">
        <f t="shared" si="6"/>
        <v>0</v>
      </c>
      <c r="AF19" s="3904"/>
      <c r="AG19" s="3924"/>
      <c r="AH19" s="3911">
        <f t="shared" si="7"/>
        <v>0</v>
      </c>
      <c r="AI19" s="3911">
        <f t="shared" si="8"/>
        <v>0</v>
      </c>
      <c r="AJ19" s="3925"/>
      <c r="AK19" s="3926"/>
      <c r="AL19" s="3909">
        <f t="shared" si="9"/>
      </c>
      <c r="AM19" s="3918">
        <f t="shared" si="10"/>
        <v>0</v>
      </c>
      <c r="AN19" s="3926"/>
      <c r="AO19" s="3911">
        <f t="shared" si="11"/>
        <v>0</v>
      </c>
      <c r="AP19" s="3926"/>
    </row>
    <row r="20" ht="30" customHeight="1" hidden="1">
      <c r="A20" s="3928">
        <f t="shared" si="12"/>
        <v>13</v>
      </c>
      <c r="B20" s="3904"/>
      <c r="C20" s="3905"/>
      <c r="D20" s="3905"/>
      <c r="E20" s="3905"/>
      <c r="F20" s="3905"/>
      <c r="G20" s="3906"/>
      <c r="H20" s="3907"/>
      <c r="I20" s="3908"/>
      <c r="J20" s="3907"/>
      <c r="K20" s="3905"/>
      <c r="L20" s="3909"/>
      <c r="M20" s="3910"/>
      <c r="N20" s="3911">
        <f t="shared" si="0"/>
        <v>0</v>
      </c>
      <c r="O20" s="3910"/>
      <c r="P20" s="3912"/>
      <c r="Q20" s="3912"/>
      <c r="R20" s="3905"/>
      <c r="S20" s="3913"/>
      <c r="T20" s="3914"/>
      <c r="U20" s="3915"/>
      <c r="V20" s="3916"/>
      <c r="W20" s="3917"/>
      <c r="X20" s="3910"/>
      <c r="Y20" s="3918">
        <f t="shared" si="1"/>
        <v>0</v>
      </c>
      <c r="Z20" s="3909"/>
      <c r="AA20" s="3919">
        <f t="shared" si="2"/>
        <v>0</v>
      </c>
      <c r="AB20" s="3920">
        <f t="shared" si="3"/>
        <v>0</v>
      </c>
      <c r="AC20" s="3921">
        <f t="shared" si="4"/>
        <v>0</v>
      </c>
      <c r="AD20" s="3922">
        <f t="shared" si="5"/>
        <v>0</v>
      </c>
      <c r="AE20" s="3923">
        <f t="shared" si="6"/>
        <v>0</v>
      </c>
      <c r="AF20" s="3904"/>
      <c r="AG20" s="3924"/>
      <c r="AH20" s="3911">
        <f t="shared" si="7"/>
        <v>0</v>
      </c>
      <c r="AI20" s="3911">
        <f t="shared" si="8"/>
        <v>0</v>
      </c>
      <c r="AJ20" s="3925"/>
      <c r="AK20" s="3926"/>
      <c r="AL20" s="3909">
        <f t="shared" si="9"/>
      </c>
      <c r="AM20" s="3918">
        <f t="shared" si="10"/>
        <v>0</v>
      </c>
      <c r="AN20" s="3926"/>
      <c r="AO20" s="3911">
        <f t="shared" si="11"/>
        <v>0</v>
      </c>
      <c r="AP20" s="3926"/>
    </row>
    <row r="21" ht="30" customHeight="1" hidden="1">
      <c r="A21" s="3928">
        <f t="shared" si="12"/>
        <v>14</v>
      </c>
      <c r="B21" s="3904"/>
      <c r="C21" s="3905"/>
      <c r="D21" s="3905"/>
      <c r="E21" s="3905"/>
      <c r="F21" s="3905"/>
      <c r="G21" s="3906"/>
      <c r="H21" s="3907"/>
      <c r="I21" s="3908"/>
      <c r="J21" s="3907"/>
      <c r="K21" s="3905"/>
      <c r="L21" s="3909"/>
      <c r="M21" s="3910"/>
      <c r="N21" s="3911">
        <f t="shared" si="0"/>
        <v>0</v>
      </c>
      <c r="O21" s="3910"/>
      <c r="P21" s="3912"/>
      <c r="Q21" s="3912"/>
      <c r="R21" s="3905"/>
      <c r="S21" s="3913"/>
      <c r="T21" s="3914"/>
      <c r="U21" s="3915"/>
      <c r="V21" s="3916"/>
      <c r="W21" s="3917"/>
      <c r="X21" s="3910"/>
      <c r="Y21" s="3918">
        <f t="shared" si="1"/>
        <v>0</v>
      </c>
      <c r="Z21" s="3909"/>
      <c r="AA21" s="3919">
        <f t="shared" si="2"/>
        <v>0</v>
      </c>
      <c r="AB21" s="3920">
        <f t="shared" si="3"/>
        <v>0</v>
      </c>
      <c r="AC21" s="3921">
        <f t="shared" si="4"/>
        <v>0</v>
      </c>
      <c r="AD21" s="3922">
        <f t="shared" si="5"/>
        <v>0</v>
      </c>
      <c r="AE21" s="3923">
        <f t="shared" si="6"/>
        <v>0</v>
      </c>
      <c r="AF21" s="3904"/>
      <c r="AG21" s="3924"/>
      <c r="AH21" s="3911">
        <f t="shared" si="7"/>
        <v>0</v>
      </c>
      <c r="AI21" s="3911">
        <f t="shared" si="8"/>
        <v>0</v>
      </c>
      <c r="AJ21" s="3925"/>
      <c r="AK21" s="3926"/>
      <c r="AL21" s="3909">
        <f t="shared" si="9"/>
      </c>
      <c r="AM21" s="3918">
        <f t="shared" si="10"/>
        <v>0</v>
      </c>
      <c r="AN21" s="3926"/>
      <c r="AO21" s="3911">
        <f t="shared" si="11"/>
        <v>0</v>
      </c>
      <c r="AP21" s="3926"/>
    </row>
    <row r="22" ht="30" customHeight="1" hidden="1">
      <c r="A22" s="3928">
        <f t="shared" si="12"/>
        <v>15</v>
      </c>
      <c r="B22" s="3904"/>
      <c r="C22" s="3905"/>
      <c r="D22" s="3905"/>
      <c r="E22" s="3905"/>
      <c r="F22" s="3905"/>
      <c r="G22" s="3906"/>
      <c r="H22" s="3907"/>
      <c r="I22" s="3908"/>
      <c r="J22" s="3907"/>
      <c r="K22" s="3905"/>
      <c r="L22" s="3909"/>
      <c r="M22" s="3910"/>
      <c r="N22" s="3911">
        <f t="shared" si="0"/>
        <v>0</v>
      </c>
      <c r="O22" s="3910"/>
      <c r="P22" s="3912"/>
      <c r="Q22" s="3912"/>
      <c r="R22" s="3905"/>
      <c r="S22" s="3913"/>
      <c r="T22" s="3914"/>
      <c r="U22" s="3915"/>
      <c r="V22" s="3916"/>
      <c r="W22" s="3917"/>
      <c r="X22" s="3910"/>
      <c r="Y22" s="3918">
        <f t="shared" si="1"/>
        <v>0</v>
      </c>
      <c r="Z22" s="3909"/>
      <c r="AA22" s="3919">
        <f t="shared" si="2"/>
        <v>0</v>
      </c>
      <c r="AB22" s="3920">
        <f t="shared" si="3"/>
        <v>0</v>
      </c>
      <c r="AC22" s="3921">
        <f t="shared" si="4"/>
        <v>0</v>
      </c>
      <c r="AD22" s="3922">
        <f t="shared" si="5"/>
        <v>0</v>
      </c>
      <c r="AE22" s="3923">
        <f t="shared" si="6"/>
        <v>0</v>
      </c>
      <c r="AF22" s="3904"/>
      <c r="AG22" s="3924"/>
      <c r="AH22" s="3911">
        <f t="shared" si="7"/>
        <v>0</v>
      </c>
      <c r="AI22" s="3911">
        <f t="shared" si="8"/>
        <v>0</v>
      </c>
      <c r="AJ22" s="3925"/>
      <c r="AK22" s="3926"/>
      <c r="AL22" s="3909">
        <f t="shared" si="9"/>
      </c>
      <c r="AM22" s="3918">
        <f t="shared" si="10"/>
        <v>0</v>
      </c>
      <c r="AN22" s="3926"/>
      <c r="AO22" s="3911">
        <f t="shared" si="11"/>
        <v>0</v>
      </c>
      <c r="AP22" s="3926"/>
    </row>
    <row r="23" ht="30" customHeight="1" hidden="1">
      <c r="A23" s="3928">
        <f t="shared" si="12"/>
        <v>16</v>
      </c>
      <c r="B23" s="3904"/>
      <c r="C23" s="3905"/>
      <c r="D23" s="3905"/>
      <c r="E23" s="3905"/>
      <c r="F23" s="3905"/>
      <c r="G23" s="3906"/>
      <c r="H23" s="3907"/>
      <c r="I23" s="3908"/>
      <c r="J23" s="3907"/>
      <c r="K23" s="3905"/>
      <c r="L23" s="3909"/>
      <c r="M23" s="3910"/>
      <c r="N23" s="3911">
        <f t="shared" si="0"/>
        <v>0</v>
      </c>
      <c r="O23" s="3910"/>
      <c r="P23" s="3912"/>
      <c r="Q23" s="3912"/>
      <c r="R23" s="3905"/>
      <c r="S23" s="3913"/>
      <c r="T23" s="3914"/>
      <c r="U23" s="3915"/>
      <c r="V23" s="3916"/>
      <c r="W23" s="3917"/>
      <c r="X23" s="3910"/>
      <c r="Y23" s="3918">
        <f t="shared" si="1"/>
        <v>0</v>
      </c>
      <c r="Z23" s="3909"/>
      <c r="AA23" s="3919">
        <f t="shared" si="2"/>
        <v>0</v>
      </c>
      <c r="AB23" s="3920">
        <f t="shared" si="3"/>
        <v>0</v>
      </c>
      <c r="AC23" s="3921">
        <f t="shared" si="4"/>
        <v>0</v>
      </c>
      <c r="AD23" s="3922">
        <f t="shared" si="5"/>
        <v>0</v>
      </c>
      <c r="AE23" s="3923">
        <f t="shared" si="6"/>
        <v>0</v>
      </c>
      <c r="AF23" s="3904"/>
      <c r="AG23" s="3924"/>
      <c r="AH23" s="3911">
        <f t="shared" si="7"/>
        <v>0</v>
      </c>
      <c r="AI23" s="3911">
        <f t="shared" si="8"/>
        <v>0</v>
      </c>
      <c r="AJ23" s="3925"/>
      <c r="AK23" s="3926"/>
      <c r="AL23" s="3909">
        <f t="shared" si="9"/>
      </c>
      <c r="AM23" s="3918">
        <f t="shared" si="10"/>
        <v>0</v>
      </c>
      <c r="AN23" s="3926"/>
      <c r="AO23" s="3911">
        <f t="shared" si="11"/>
        <v>0</v>
      </c>
      <c r="AP23" s="3926"/>
    </row>
    <row r="24" ht="30" customHeight="1" hidden="1">
      <c r="A24" s="3928">
        <f t="shared" si="12"/>
        <v>17</v>
      </c>
      <c r="B24" s="3904"/>
      <c r="C24" s="3905"/>
      <c r="D24" s="3905"/>
      <c r="E24" s="3905"/>
      <c r="F24" s="3905"/>
      <c r="G24" s="3906"/>
      <c r="H24" s="3907"/>
      <c r="I24" s="3908"/>
      <c r="J24" s="3907"/>
      <c r="K24" s="3905"/>
      <c r="L24" s="3909"/>
      <c r="M24" s="3910"/>
      <c r="N24" s="3911">
        <f t="shared" si="0"/>
        <v>0</v>
      </c>
      <c r="O24" s="3910"/>
      <c r="P24" s="3912"/>
      <c r="Q24" s="3912"/>
      <c r="R24" s="3905"/>
      <c r="S24" s="3913"/>
      <c r="T24" s="3914"/>
      <c r="U24" s="3915"/>
      <c r="V24" s="3916"/>
      <c r="W24" s="3917"/>
      <c r="X24" s="3910"/>
      <c r="Y24" s="3918">
        <f t="shared" si="1"/>
        <v>0</v>
      </c>
      <c r="Z24" s="3909"/>
      <c r="AA24" s="3919">
        <f t="shared" si="2"/>
        <v>0</v>
      </c>
      <c r="AB24" s="3920">
        <f t="shared" si="3"/>
        <v>0</v>
      </c>
      <c r="AC24" s="3921">
        <f t="shared" si="4"/>
        <v>0</v>
      </c>
      <c r="AD24" s="3922">
        <f t="shared" si="5"/>
        <v>0</v>
      </c>
      <c r="AE24" s="3923">
        <f t="shared" si="6"/>
        <v>0</v>
      </c>
      <c r="AF24" s="3904"/>
      <c r="AG24" s="3924"/>
      <c r="AH24" s="3911">
        <f t="shared" si="7"/>
        <v>0</v>
      </c>
      <c r="AI24" s="3911">
        <f t="shared" si="8"/>
        <v>0</v>
      </c>
      <c r="AJ24" s="3925"/>
      <c r="AK24" s="3926"/>
      <c r="AL24" s="3909">
        <f t="shared" si="9"/>
      </c>
      <c r="AM24" s="3918">
        <f t="shared" si="10"/>
        <v>0</v>
      </c>
      <c r="AN24" s="3926"/>
      <c r="AO24" s="3911">
        <f t="shared" si="11"/>
        <v>0</v>
      </c>
      <c r="AP24" s="3926"/>
    </row>
    <row r="25" ht="30" customHeight="1" hidden="1">
      <c r="A25" s="3928">
        <f t="shared" si="12"/>
        <v>18</v>
      </c>
      <c r="B25" s="3904"/>
      <c r="C25" s="3905"/>
      <c r="D25" s="3905"/>
      <c r="E25" s="3905"/>
      <c r="F25" s="3905"/>
      <c r="G25" s="3906"/>
      <c r="H25" s="3907"/>
      <c r="I25" s="3908"/>
      <c r="J25" s="3907"/>
      <c r="K25" s="3905"/>
      <c r="L25" s="3909"/>
      <c r="M25" s="3910"/>
      <c r="N25" s="3911">
        <f t="shared" si="0"/>
        <v>0</v>
      </c>
      <c r="O25" s="3910"/>
      <c r="P25" s="3912"/>
      <c r="Q25" s="3912"/>
      <c r="R25" s="3905"/>
      <c r="S25" s="3913"/>
      <c r="T25" s="3914"/>
      <c r="U25" s="3915"/>
      <c r="V25" s="3916"/>
      <c r="W25" s="3917"/>
      <c r="X25" s="3910"/>
      <c r="Y25" s="3918">
        <f t="shared" si="1"/>
        <v>0</v>
      </c>
      <c r="Z25" s="3909"/>
      <c r="AA25" s="3919">
        <f t="shared" si="2"/>
        <v>0</v>
      </c>
      <c r="AB25" s="3920">
        <f t="shared" si="3"/>
        <v>0</v>
      </c>
      <c r="AC25" s="3921">
        <f t="shared" si="4"/>
        <v>0</v>
      </c>
      <c r="AD25" s="3922">
        <f t="shared" si="5"/>
        <v>0</v>
      </c>
      <c r="AE25" s="3923">
        <f t="shared" si="6"/>
        <v>0</v>
      </c>
      <c r="AF25" s="3904"/>
      <c r="AG25" s="3924"/>
      <c r="AH25" s="3911">
        <f t="shared" si="7"/>
        <v>0</v>
      </c>
      <c r="AI25" s="3911">
        <f t="shared" si="8"/>
        <v>0</v>
      </c>
      <c r="AJ25" s="3925"/>
      <c r="AK25" s="3926"/>
      <c r="AL25" s="3909">
        <f t="shared" si="9"/>
      </c>
      <c r="AM25" s="3918">
        <f t="shared" si="10"/>
        <v>0</v>
      </c>
      <c r="AN25" s="3926"/>
      <c r="AO25" s="3911">
        <f t="shared" si="11"/>
        <v>0</v>
      </c>
      <c r="AP25" s="3926"/>
    </row>
    <row r="26" ht="30" customHeight="1" hidden="1">
      <c r="A26" s="3928">
        <f t="shared" si="12"/>
        <v>19</v>
      </c>
      <c r="B26" s="3904"/>
      <c r="C26" s="3905"/>
      <c r="D26" s="3905"/>
      <c r="E26" s="3905"/>
      <c r="F26" s="3905"/>
      <c r="G26" s="3906"/>
      <c r="H26" s="3907"/>
      <c r="I26" s="3908"/>
      <c r="J26" s="3907"/>
      <c r="K26" s="3905"/>
      <c r="L26" s="3909"/>
      <c r="M26" s="3910"/>
      <c r="N26" s="3911">
        <f t="shared" si="0"/>
        <v>0</v>
      </c>
      <c r="O26" s="3910"/>
      <c r="P26" s="3912"/>
      <c r="Q26" s="3912"/>
      <c r="R26" s="3905"/>
      <c r="S26" s="3913"/>
      <c r="T26" s="3914"/>
      <c r="U26" s="3915"/>
      <c r="V26" s="3916"/>
      <c r="W26" s="3917"/>
      <c r="X26" s="3910"/>
      <c r="Y26" s="3918">
        <f t="shared" si="1"/>
        <v>0</v>
      </c>
      <c r="Z26" s="3909"/>
      <c r="AA26" s="3919">
        <f t="shared" si="2"/>
        <v>0</v>
      </c>
      <c r="AB26" s="3920">
        <f t="shared" si="3"/>
        <v>0</v>
      </c>
      <c r="AC26" s="3921">
        <f t="shared" si="4"/>
        <v>0</v>
      </c>
      <c r="AD26" s="3922">
        <f t="shared" si="5"/>
        <v>0</v>
      </c>
      <c r="AE26" s="3923">
        <f t="shared" si="6"/>
        <v>0</v>
      </c>
      <c r="AF26" s="3904"/>
      <c r="AG26" s="3924"/>
      <c r="AH26" s="3911">
        <f t="shared" si="7"/>
        <v>0</v>
      </c>
      <c r="AI26" s="3911">
        <f t="shared" si="8"/>
        <v>0</v>
      </c>
      <c r="AJ26" s="3925"/>
      <c r="AK26" s="3926"/>
      <c r="AL26" s="3909">
        <f t="shared" si="9"/>
      </c>
      <c r="AM26" s="3918">
        <f t="shared" si="10"/>
        <v>0</v>
      </c>
      <c r="AN26" s="3926"/>
      <c r="AO26" s="3911">
        <f t="shared" si="11"/>
        <v>0</v>
      </c>
      <c r="AP26" s="3926"/>
    </row>
    <row r="27" ht="30" customHeight="1" hidden="1">
      <c r="A27" s="3928">
        <f t="shared" si="12"/>
        <v>20</v>
      </c>
      <c r="B27" s="3904"/>
      <c r="C27" s="3905"/>
      <c r="D27" s="3905"/>
      <c r="E27" s="3905"/>
      <c r="F27" s="3905"/>
      <c r="G27" s="3906"/>
      <c r="H27" s="3907"/>
      <c r="I27" s="3908"/>
      <c r="J27" s="3907"/>
      <c r="K27" s="3905"/>
      <c r="L27" s="3909"/>
      <c r="M27" s="3910"/>
      <c r="N27" s="3911">
        <f t="shared" si="0"/>
        <v>0</v>
      </c>
      <c r="O27" s="3910"/>
      <c r="P27" s="3912"/>
      <c r="Q27" s="3912"/>
      <c r="R27" s="3905"/>
      <c r="S27" s="3913"/>
      <c r="T27" s="3914"/>
      <c r="U27" s="3915"/>
      <c r="V27" s="3916"/>
      <c r="W27" s="3917"/>
      <c r="X27" s="3910"/>
      <c r="Y27" s="3918">
        <f t="shared" si="1"/>
        <v>0</v>
      </c>
      <c r="Z27" s="3909"/>
      <c r="AA27" s="3919">
        <f t="shared" si="2"/>
        <v>0</v>
      </c>
      <c r="AB27" s="3920">
        <f t="shared" si="3"/>
        <v>0</v>
      </c>
      <c r="AC27" s="3921">
        <f t="shared" si="4"/>
        <v>0</v>
      </c>
      <c r="AD27" s="3922">
        <f t="shared" si="5"/>
        <v>0</v>
      </c>
      <c r="AE27" s="3923">
        <f t="shared" si="6"/>
        <v>0</v>
      </c>
      <c r="AF27" s="3904"/>
      <c r="AG27" s="3924"/>
      <c r="AH27" s="3911">
        <f t="shared" si="7"/>
        <v>0</v>
      </c>
      <c r="AI27" s="3911">
        <f t="shared" si="8"/>
        <v>0</v>
      </c>
      <c r="AJ27" s="3925"/>
      <c r="AK27" s="3926"/>
      <c r="AL27" s="3909">
        <f t="shared" si="9"/>
      </c>
      <c r="AM27" s="3918">
        <f t="shared" si="10"/>
        <v>0</v>
      </c>
      <c r="AN27" s="3926"/>
      <c r="AO27" s="3911">
        <f t="shared" si="11"/>
        <v>0</v>
      </c>
      <c r="AP27" s="3926"/>
    </row>
    <row r="28" ht="30" customHeight="1" hidden="1">
      <c r="A28" s="3928">
        <f t="shared" si="12"/>
        <v>21</v>
      </c>
      <c r="B28" s="3904"/>
      <c r="C28" s="3905"/>
      <c r="D28" s="3905"/>
      <c r="E28" s="3905"/>
      <c r="F28" s="3905"/>
      <c r="G28" s="3906"/>
      <c r="H28" s="3907"/>
      <c r="I28" s="3908"/>
      <c r="J28" s="3907"/>
      <c r="K28" s="3905"/>
      <c r="L28" s="3909"/>
      <c r="M28" s="3910"/>
      <c r="N28" s="3911">
        <f t="shared" si="0"/>
        <v>0</v>
      </c>
      <c r="O28" s="3910"/>
      <c r="P28" s="3912"/>
      <c r="Q28" s="3912"/>
      <c r="R28" s="3905"/>
      <c r="S28" s="3913"/>
      <c r="T28" s="3914"/>
      <c r="U28" s="3915"/>
      <c r="V28" s="3916"/>
      <c r="W28" s="3917"/>
      <c r="X28" s="3910"/>
      <c r="Y28" s="3918">
        <f t="shared" si="1"/>
        <v>0</v>
      </c>
      <c r="Z28" s="3909"/>
      <c r="AA28" s="3919">
        <f t="shared" si="2"/>
        <v>0</v>
      </c>
      <c r="AB28" s="3920">
        <f t="shared" si="3"/>
        <v>0</v>
      </c>
      <c r="AC28" s="3921">
        <f t="shared" si="4"/>
        <v>0</v>
      </c>
      <c r="AD28" s="3922">
        <f t="shared" si="5"/>
        <v>0</v>
      </c>
      <c r="AE28" s="3923">
        <f t="shared" si="6"/>
        <v>0</v>
      </c>
      <c r="AF28" s="3904"/>
      <c r="AG28" s="3924"/>
      <c r="AH28" s="3911">
        <f t="shared" si="7"/>
        <v>0</v>
      </c>
      <c r="AI28" s="3911">
        <f t="shared" si="8"/>
        <v>0</v>
      </c>
      <c r="AJ28" s="3925"/>
      <c r="AK28" s="3926"/>
      <c r="AL28" s="3909">
        <f t="shared" si="9"/>
      </c>
      <c r="AM28" s="3918">
        <f t="shared" si="10"/>
        <v>0</v>
      </c>
      <c r="AN28" s="3926"/>
      <c r="AO28" s="3911">
        <f t="shared" si="11"/>
        <v>0</v>
      </c>
      <c r="AP28" s="3926"/>
    </row>
    <row r="29" ht="30" customHeight="1" hidden="1">
      <c r="A29" s="3928">
        <f t="shared" si="12"/>
        <v>22</v>
      </c>
      <c r="B29" s="3904"/>
      <c r="C29" s="3905"/>
      <c r="D29" s="3905"/>
      <c r="E29" s="3905"/>
      <c r="F29" s="3905"/>
      <c r="G29" s="3906"/>
      <c r="H29" s="3907"/>
      <c r="I29" s="3908"/>
      <c r="J29" s="3907"/>
      <c r="K29" s="3905"/>
      <c r="L29" s="3909"/>
      <c r="M29" s="3910"/>
      <c r="N29" s="3911">
        <f t="shared" si="0"/>
        <v>0</v>
      </c>
      <c r="O29" s="3910"/>
      <c r="P29" s="3912"/>
      <c r="Q29" s="3912"/>
      <c r="R29" s="3905"/>
      <c r="S29" s="3913"/>
      <c r="T29" s="3914"/>
      <c r="U29" s="3915"/>
      <c r="V29" s="3916"/>
      <c r="W29" s="3917"/>
      <c r="X29" s="3910"/>
      <c r="Y29" s="3918">
        <f t="shared" si="1"/>
        <v>0</v>
      </c>
      <c r="Z29" s="3909"/>
      <c r="AA29" s="3919">
        <f t="shared" si="2"/>
        <v>0</v>
      </c>
      <c r="AB29" s="3920">
        <f t="shared" si="3"/>
        <v>0</v>
      </c>
      <c r="AC29" s="3921">
        <f t="shared" si="4"/>
        <v>0</v>
      </c>
      <c r="AD29" s="3922">
        <f t="shared" si="5"/>
        <v>0</v>
      </c>
      <c r="AE29" s="3923">
        <f t="shared" si="6"/>
        <v>0</v>
      </c>
      <c r="AF29" s="3904"/>
      <c r="AG29" s="3924"/>
      <c r="AH29" s="3911">
        <f t="shared" si="7"/>
        <v>0</v>
      </c>
      <c r="AI29" s="3911">
        <f t="shared" si="8"/>
        <v>0</v>
      </c>
      <c r="AJ29" s="3925"/>
      <c r="AK29" s="3926"/>
      <c r="AL29" s="3909">
        <f t="shared" si="9"/>
      </c>
      <c r="AM29" s="3918">
        <f t="shared" si="10"/>
        <v>0</v>
      </c>
      <c r="AN29" s="3926"/>
      <c r="AO29" s="3911">
        <f t="shared" si="11"/>
        <v>0</v>
      </c>
      <c r="AP29" s="3926"/>
    </row>
    <row r="30" ht="30" customHeight="1" hidden="1">
      <c r="A30" s="3928">
        <f t="shared" si="12"/>
        <v>23</v>
      </c>
      <c r="B30" s="3904"/>
      <c r="C30" s="3905"/>
      <c r="D30" s="3905"/>
      <c r="E30" s="3905"/>
      <c r="F30" s="3905"/>
      <c r="G30" s="3906"/>
      <c r="H30" s="3907"/>
      <c r="I30" s="3908"/>
      <c r="J30" s="3907"/>
      <c r="K30" s="3905"/>
      <c r="L30" s="3909"/>
      <c r="M30" s="3910"/>
      <c r="N30" s="3911">
        <f t="shared" si="0"/>
        <v>0</v>
      </c>
      <c r="O30" s="3910"/>
      <c r="P30" s="3912"/>
      <c r="Q30" s="3912"/>
      <c r="R30" s="3905"/>
      <c r="S30" s="3913"/>
      <c r="T30" s="3914"/>
      <c r="U30" s="3915"/>
      <c r="V30" s="3916"/>
      <c r="W30" s="3917"/>
      <c r="X30" s="3910"/>
      <c r="Y30" s="3918">
        <f t="shared" si="1"/>
        <v>0</v>
      </c>
      <c r="Z30" s="3909"/>
      <c r="AA30" s="3919">
        <f t="shared" si="2"/>
        <v>0</v>
      </c>
      <c r="AB30" s="3920">
        <f t="shared" si="3"/>
        <v>0</v>
      </c>
      <c r="AC30" s="3921">
        <f t="shared" si="4"/>
        <v>0</v>
      </c>
      <c r="AD30" s="3922">
        <f t="shared" si="5"/>
        <v>0</v>
      </c>
      <c r="AE30" s="3923">
        <f t="shared" si="6"/>
        <v>0</v>
      </c>
      <c r="AF30" s="3904"/>
      <c r="AG30" s="3924"/>
      <c r="AH30" s="3911">
        <f t="shared" si="7"/>
        <v>0</v>
      </c>
      <c r="AI30" s="3911">
        <f t="shared" si="8"/>
        <v>0</v>
      </c>
      <c r="AJ30" s="3925"/>
      <c r="AK30" s="3926"/>
      <c r="AL30" s="3909">
        <f t="shared" si="9"/>
      </c>
      <c r="AM30" s="3918">
        <f t="shared" si="10"/>
        <v>0</v>
      </c>
      <c r="AN30" s="3926"/>
      <c r="AO30" s="3911">
        <f t="shared" si="11"/>
        <v>0</v>
      </c>
      <c r="AP30" s="3926"/>
    </row>
    <row r="31" ht="30" customHeight="1" hidden="1">
      <c r="A31" s="3928">
        <f t="shared" si="12"/>
        <v>24</v>
      </c>
      <c r="B31" s="3904"/>
      <c r="C31" s="3905"/>
      <c r="D31" s="3905"/>
      <c r="E31" s="3905"/>
      <c r="F31" s="3905"/>
      <c r="G31" s="3906"/>
      <c r="H31" s="3907"/>
      <c r="I31" s="3908"/>
      <c r="J31" s="3907"/>
      <c r="K31" s="3905"/>
      <c r="L31" s="3909"/>
      <c r="M31" s="3910"/>
      <c r="N31" s="3911">
        <f t="shared" si="0"/>
        <v>0</v>
      </c>
      <c r="O31" s="3910"/>
      <c r="P31" s="3912"/>
      <c r="Q31" s="3912"/>
      <c r="R31" s="3905"/>
      <c r="S31" s="3913"/>
      <c r="T31" s="3914"/>
      <c r="U31" s="3915"/>
      <c r="V31" s="3916"/>
      <c r="W31" s="3917"/>
      <c r="X31" s="3910"/>
      <c r="Y31" s="3918">
        <f t="shared" si="1"/>
        <v>0</v>
      </c>
      <c r="Z31" s="3909"/>
      <c r="AA31" s="3919">
        <f t="shared" si="2"/>
        <v>0</v>
      </c>
      <c r="AB31" s="3920">
        <f t="shared" si="3"/>
        <v>0</v>
      </c>
      <c r="AC31" s="3921">
        <f t="shared" si="4"/>
        <v>0</v>
      </c>
      <c r="AD31" s="3922">
        <f t="shared" si="5"/>
        <v>0</v>
      </c>
      <c r="AE31" s="3923">
        <f t="shared" si="6"/>
        <v>0</v>
      </c>
      <c r="AF31" s="3904"/>
      <c r="AG31" s="3924"/>
      <c r="AH31" s="3911">
        <f t="shared" si="7"/>
        <v>0</v>
      </c>
      <c r="AI31" s="3911">
        <f t="shared" si="8"/>
        <v>0</v>
      </c>
      <c r="AJ31" s="3925"/>
      <c r="AK31" s="3926"/>
      <c r="AL31" s="3909">
        <f t="shared" si="9"/>
      </c>
      <c r="AM31" s="3918">
        <f t="shared" si="10"/>
        <v>0</v>
      </c>
      <c r="AN31" s="3926"/>
      <c r="AO31" s="3911">
        <f t="shared" si="11"/>
        <v>0</v>
      </c>
      <c r="AP31" s="3926"/>
    </row>
    <row r="32" ht="30" customHeight="1" hidden="1">
      <c r="A32" s="3928">
        <f t="shared" si="12"/>
        <v>25</v>
      </c>
      <c r="B32" s="3904"/>
      <c r="C32" s="3905"/>
      <c r="D32" s="3905"/>
      <c r="E32" s="3905"/>
      <c r="F32" s="3905"/>
      <c r="G32" s="3906"/>
      <c r="H32" s="3907"/>
      <c r="I32" s="3908"/>
      <c r="J32" s="3907"/>
      <c r="K32" s="3905"/>
      <c r="L32" s="3909"/>
      <c r="M32" s="3910"/>
      <c r="N32" s="3911">
        <f t="shared" si="0"/>
        <v>0</v>
      </c>
      <c r="O32" s="3910"/>
      <c r="P32" s="3912"/>
      <c r="Q32" s="3912"/>
      <c r="R32" s="3905"/>
      <c r="S32" s="3913"/>
      <c r="T32" s="3914"/>
      <c r="U32" s="3915"/>
      <c r="V32" s="3916"/>
      <c r="W32" s="3917"/>
      <c r="X32" s="3910"/>
      <c r="Y32" s="3918">
        <f t="shared" si="1"/>
        <v>0</v>
      </c>
      <c r="Z32" s="3909"/>
      <c r="AA32" s="3919">
        <f t="shared" si="2"/>
        <v>0</v>
      </c>
      <c r="AB32" s="3920">
        <f t="shared" si="3"/>
        <v>0</v>
      </c>
      <c r="AC32" s="3921">
        <f t="shared" si="4"/>
        <v>0</v>
      </c>
      <c r="AD32" s="3922">
        <f t="shared" si="5"/>
        <v>0</v>
      </c>
      <c r="AE32" s="3923">
        <f t="shared" si="6"/>
        <v>0</v>
      </c>
      <c r="AF32" s="3904"/>
      <c r="AG32" s="3924"/>
      <c r="AH32" s="3911">
        <f t="shared" si="7"/>
        <v>0</v>
      </c>
      <c r="AI32" s="3911">
        <f t="shared" si="8"/>
        <v>0</v>
      </c>
      <c r="AJ32" s="3925"/>
      <c r="AK32" s="3926"/>
      <c r="AL32" s="3909">
        <f t="shared" si="9"/>
      </c>
      <c r="AM32" s="3918">
        <f t="shared" si="10"/>
        <v>0</v>
      </c>
      <c r="AN32" s="3926"/>
      <c r="AO32" s="3911">
        <f t="shared" si="11"/>
        <v>0</v>
      </c>
      <c r="AP32" s="3926"/>
    </row>
    <row r="33" ht="30" customHeight="1" hidden="1">
      <c r="A33" s="3928">
        <f t="shared" si="12"/>
        <v>26</v>
      </c>
      <c r="B33" s="3904"/>
      <c r="C33" s="3905"/>
      <c r="D33" s="3905"/>
      <c r="E33" s="3905"/>
      <c r="F33" s="3905"/>
      <c r="G33" s="3906"/>
      <c r="H33" s="3907"/>
      <c r="I33" s="3908"/>
      <c r="J33" s="3907"/>
      <c r="K33" s="3905"/>
      <c r="L33" s="3909"/>
      <c r="M33" s="3910"/>
      <c r="N33" s="3911">
        <f t="shared" si="0"/>
        <v>0</v>
      </c>
      <c r="O33" s="3910"/>
      <c r="P33" s="3912"/>
      <c r="Q33" s="3912"/>
      <c r="R33" s="3905"/>
      <c r="S33" s="3913"/>
      <c r="T33" s="3914"/>
      <c r="U33" s="3915"/>
      <c r="V33" s="3916"/>
      <c r="W33" s="3917"/>
      <c r="X33" s="3910"/>
      <c r="Y33" s="3918">
        <f t="shared" si="1"/>
        <v>0</v>
      </c>
      <c r="Z33" s="3909"/>
      <c r="AA33" s="3919">
        <f t="shared" si="2"/>
        <v>0</v>
      </c>
      <c r="AB33" s="3920">
        <f t="shared" si="3"/>
        <v>0</v>
      </c>
      <c r="AC33" s="3921">
        <f t="shared" si="4"/>
        <v>0</v>
      </c>
      <c r="AD33" s="3922">
        <f t="shared" si="5"/>
        <v>0</v>
      </c>
      <c r="AE33" s="3923">
        <f t="shared" si="6"/>
        <v>0</v>
      </c>
      <c r="AF33" s="3904"/>
      <c r="AG33" s="3924"/>
      <c r="AH33" s="3911">
        <f t="shared" si="7"/>
        <v>0</v>
      </c>
      <c r="AI33" s="3911">
        <f t="shared" si="8"/>
        <v>0</v>
      </c>
      <c r="AJ33" s="3925"/>
      <c r="AK33" s="3926"/>
      <c r="AL33" s="3909">
        <f t="shared" si="9"/>
      </c>
      <c r="AM33" s="3918">
        <f t="shared" si="10"/>
        <v>0</v>
      </c>
      <c r="AN33" s="3926"/>
      <c r="AO33" s="3911">
        <f t="shared" si="11"/>
        <v>0</v>
      </c>
      <c r="AP33" s="3926"/>
    </row>
    <row r="34" ht="30" customHeight="1" hidden="1">
      <c r="A34" s="3928">
        <f t="shared" si="12"/>
        <v>27</v>
      </c>
      <c r="B34" s="3904"/>
      <c r="C34" s="3905"/>
      <c r="D34" s="3905"/>
      <c r="E34" s="3905"/>
      <c r="F34" s="3905"/>
      <c r="G34" s="3906"/>
      <c r="H34" s="3907"/>
      <c r="I34" s="3908"/>
      <c r="J34" s="3907"/>
      <c r="K34" s="3905"/>
      <c r="L34" s="3909"/>
      <c r="M34" s="3910"/>
      <c r="N34" s="3911">
        <f t="shared" si="0"/>
        <v>0</v>
      </c>
      <c r="O34" s="3910"/>
      <c r="P34" s="3912"/>
      <c r="Q34" s="3912"/>
      <c r="R34" s="3905"/>
      <c r="S34" s="3913"/>
      <c r="T34" s="3914"/>
      <c r="U34" s="3915"/>
      <c r="V34" s="3916"/>
      <c r="W34" s="3917"/>
      <c r="X34" s="3910"/>
      <c r="Y34" s="3918">
        <f t="shared" si="1"/>
        <v>0</v>
      </c>
      <c r="Z34" s="3909"/>
      <c r="AA34" s="3919">
        <f t="shared" si="2"/>
        <v>0</v>
      </c>
      <c r="AB34" s="3920">
        <f t="shared" si="3"/>
        <v>0</v>
      </c>
      <c r="AC34" s="3921">
        <f t="shared" si="4"/>
        <v>0</v>
      </c>
      <c r="AD34" s="3922">
        <f t="shared" si="5"/>
        <v>0</v>
      </c>
      <c r="AE34" s="3923">
        <f t="shared" si="6"/>
        <v>0</v>
      </c>
      <c r="AF34" s="3904"/>
      <c r="AG34" s="3924"/>
      <c r="AH34" s="3911">
        <f t="shared" si="7"/>
        <v>0</v>
      </c>
      <c r="AI34" s="3911">
        <f t="shared" si="8"/>
        <v>0</v>
      </c>
      <c r="AJ34" s="3925"/>
      <c r="AK34" s="3926"/>
      <c r="AL34" s="3909">
        <f t="shared" si="9"/>
      </c>
      <c r="AM34" s="3918">
        <f t="shared" si="10"/>
        <v>0</v>
      </c>
      <c r="AN34" s="3926"/>
      <c r="AO34" s="3911">
        <f t="shared" si="11"/>
        <v>0</v>
      </c>
      <c r="AP34" s="3926"/>
    </row>
    <row r="35" ht="30" customHeight="1" hidden="1">
      <c r="A35" s="3928">
        <f t="shared" si="12"/>
        <v>28</v>
      </c>
      <c r="B35" s="3904"/>
      <c r="C35" s="3905"/>
      <c r="D35" s="3905"/>
      <c r="E35" s="3905"/>
      <c r="F35" s="3905"/>
      <c r="G35" s="3906"/>
      <c r="H35" s="3907"/>
      <c r="I35" s="3908"/>
      <c r="J35" s="3907"/>
      <c r="K35" s="3905"/>
      <c r="L35" s="3909"/>
      <c r="M35" s="3910"/>
      <c r="N35" s="3911">
        <f t="shared" si="0"/>
        <v>0</v>
      </c>
      <c r="O35" s="3910"/>
      <c r="P35" s="3912"/>
      <c r="Q35" s="3912"/>
      <c r="R35" s="3905"/>
      <c r="S35" s="3913"/>
      <c r="T35" s="3914"/>
      <c r="U35" s="3915"/>
      <c r="V35" s="3916"/>
      <c r="W35" s="3917"/>
      <c r="X35" s="3910"/>
      <c r="Y35" s="3918">
        <f t="shared" si="1"/>
        <v>0</v>
      </c>
      <c r="Z35" s="3909"/>
      <c r="AA35" s="3919">
        <f t="shared" si="2"/>
        <v>0</v>
      </c>
      <c r="AB35" s="3920">
        <f t="shared" si="3"/>
        <v>0</v>
      </c>
      <c r="AC35" s="3921">
        <f t="shared" si="4"/>
        <v>0</v>
      </c>
      <c r="AD35" s="3922">
        <f t="shared" si="5"/>
        <v>0</v>
      </c>
      <c r="AE35" s="3923">
        <f t="shared" si="6"/>
        <v>0</v>
      </c>
      <c r="AF35" s="3904"/>
      <c r="AG35" s="3924"/>
      <c r="AH35" s="3911">
        <f t="shared" si="7"/>
        <v>0</v>
      </c>
      <c r="AI35" s="3911">
        <f t="shared" si="8"/>
        <v>0</v>
      </c>
      <c r="AJ35" s="3925"/>
      <c r="AK35" s="3926"/>
      <c r="AL35" s="3909">
        <f t="shared" si="9"/>
      </c>
      <c r="AM35" s="3918">
        <f t="shared" si="10"/>
        <v>0</v>
      </c>
      <c r="AN35" s="3926"/>
      <c r="AO35" s="3911">
        <f t="shared" si="11"/>
        <v>0</v>
      </c>
      <c r="AP35" s="3926"/>
    </row>
    <row r="36" ht="30" customHeight="1" hidden="1">
      <c r="A36" s="3928">
        <f t="shared" si="12"/>
        <v>29</v>
      </c>
      <c r="B36" s="3904"/>
      <c r="C36" s="3905"/>
      <c r="D36" s="3905"/>
      <c r="E36" s="3905"/>
      <c r="F36" s="3905"/>
      <c r="G36" s="3906"/>
      <c r="H36" s="3907"/>
      <c r="I36" s="3908"/>
      <c r="J36" s="3907"/>
      <c r="K36" s="3905"/>
      <c r="L36" s="3909"/>
      <c r="M36" s="3910"/>
      <c r="N36" s="3911">
        <f t="shared" si="0"/>
        <v>0</v>
      </c>
      <c r="O36" s="3910"/>
      <c r="P36" s="3912"/>
      <c r="Q36" s="3912"/>
      <c r="R36" s="3905"/>
      <c r="S36" s="3913"/>
      <c r="T36" s="3914"/>
      <c r="U36" s="3915"/>
      <c r="V36" s="3916"/>
      <c r="W36" s="3917"/>
      <c r="X36" s="3910"/>
      <c r="Y36" s="3918">
        <f t="shared" si="1"/>
        <v>0</v>
      </c>
      <c r="Z36" s="3909"/>
      <c r="AA36" s="3919">
        <f t="shared" si="2"/>
        <v>0</v>
      </c>
      <c r="AB36" s="3920">
        <f t="shared" si="3"/>
        <v>0</v>
      </c>
      <c r="AC36" s="3921">
        <f t="shared" si="4"/>
        <v>0</v>
      </c>
      <c r="AD36" s="3922">
        <f t="shared" si="5"/>
        <v>0</v>
      </c>
      <c r="AE36" s="3923">
        <f t="shared" si="6"/>
        <v>0</v>
      </c>
      <c r="AF36" s="3904"/>
      <c r="AG36" s="3924"/>
      <c r="AH36" s="3911">
        <f t="shared" si="7"/>
        <v>0</v>
      </c>
      <c r="AI36" s="3911">
        <f t="shared" si="8"/>
        <v>0</v>
      </c>
      <c r="AJ36" s="3925"/>
      <c r="AK36" s="3926"/>
      <c r="AL36" s="3909">
        <f t="shared" si="9"/>
      </c>
      <c r="AM36" s="3918">
        <f t="shared" si="10"/>
        <v>0</v>
      </c>
      <c r="AN36" s="3926"/>
      <c r="AO36" s="3911">
        <f t="shared" si="11"/>
        <v>0</v>
      </c>
      <c r="AP36" s="3926"/>
    </row>
    <row r="37" ht="30" customHeight="1" hidden="1">
      <c r="A37" s="3928">
        <f t="shared" si="12"/>
        <v>30</v>
      </c>
      <c r="B37" s="3904"/>
      <c r="C37" s="3905"/>
      <c r="D37" s="3905"/>
      <c r="E37" s="3905"/>
      <c r="F37" s="3905"/>
      <c r="G37" s="3906"/>
      <c r="H37" s="3907"/>
      <c r="I37" s="3908"/>
      <c r="J37" s="3907"/>
      <c r="K37" s="3905"/>
      <c r="L37" s="3909"/>
      <c r="M37" s="3910"/>
      <c r="N37" s="3911">
        <f t="shared" si="0"/>
        <v>0</v>
      </c>
      <c r="O37" s="3910"/>
      <c r="P37" s="3912"/>
      <c r="Q37" s="3912"/>
      <c r="R37" s="3905"/>
      <c r="S37" s="3913"/>
      <c r="T37" s="3914"/>
      <c r="U37" s="3915"/>
      <c r="V37" s="3916"/>
      <c r="W37" s="3917"/>
      <c r="X37" s="3910"/>
      <c r="Y37" s="3918">
        <f t="shared" si="1"/>
        <v>0</v>
      </c>
      <c r="Z37" s="3909"/>
      <c r="AA37" s="3919">
        <f t="shared" si="2"/>
        <v>0</v>
      </c>
      <c r="AB37" s="3920">
        <f t="shared" si="3"/>
        <v>0</v>
      </c>
      <c r="AC37" s="3921">
        <f t="shared" si="4"/>
        <v>0</v>
      </c>
      <c r="AD37" s="3922">
        <f t="shared" si="5"/>
        <v>0</v>
      </c>
      <c r="AE37" s="3923">
        <f t="shared" si="6"/>
        <v>0</v>
      </c>
      <c r="AF37" s="3904"/>
      <c r="AG37" s="3924"/>
      <c r="AH37" s="3911">
        <f t="shared" si="7"/>
        <v>0</v>
      </c>
      <c r="AI37" s="3911">
        <f t="shared" si="8"/>
        <v>0</v>
      </c>
      <c r="AJ37" s="3925"/>
      <c r="AK37" s="3926"/>
      <c r="AL37" s="3909">
        <f t="shared" si="9"/>
      </c>
      <c r="AM37" s="3918">
        <f t="shared" si="10"/>
        <v>0</v>
      </c>
      <c r="AN37" s="3926"/>
      <c r="AO37" s="3911">
        <f t="shared" si="11"/>
        <v>0</v>
      </c>
      <c r="AP37" s="3926"/>
    </row>
    <row r="38" ht="18" customHeight="1">
      <c r="A38" s="3929" t="s">
        <v>2443</v>
      </c>
      <c r="B38" s="3930"/>
      <c r="C38" s="3931"/>
      <c r="D38" s="3931"/>
      <c r="E38" s="3931"/>
      <c r="F38" s="3931"/>
      <c r="G38" s="3932">
        <f t="shared" si="13" ref="G38:AO38">SUM(G8:G37)</f>
        <v>0</v>
      </c>
      <c r="H38" s="3933"/>
      <c r="I38" s="3934">
        <f>IF(G38=0,0,SUMPRODUCT(G8:G37,I8:I37)/G38)</f>
        <v>0</v>
      </c>
      <c r="J38" s="3935"/>
      <c r="K38" s="3931"/>
      <c r="L38" s="3936">
        <f t="shared" si="13"/>
        <v>0</v>
      </c>
      <c r="M38" s="3937">
        <f t="shared" si="13"/>
        <v>0</v>
      </c>
      <c r="N38" s="3938">
        <f t="shared" si="0"/>
        <v>0</v>
      </c>
      <c r="O38" s="3939">
        <f t="shared" si="13"/>
        <v>0</v>
      </c>
      <c r="P38" s="3940"/>
      <c r="Q38" s="3941"/>
      <c r="R38" s="3931"/>
      <c r="S38" s="3942"/>
      <c r="T38" s="3943"/>
      <c r="U38" s="3931"/>
      <c r="V38" s="3944"/>
      <c r="W38" s="3945"/>
      <c r="X38" s="3946">
        <f t="shared" si="13"/>
        <v>0</v>
      </c>
      <c r="Y38" s="3947">
        <f t="shared" si="1"/>
        <v>0</v>
      </c>
      <c r="Z38" s="3936">
        <f t="shared" si="13"/>
        <v>0</v>
      </c>
      <c r="AA38" s="3938" t="e">
        <f t="shared" si="2"/>
        <v>#DIV/0!</v>
      </c>
      <c r="AB38" s="3948">
        <f t="shared" si="3"/>
        <v>0</v>
      </c>
      <c r="AC38" s="3949">
        <f t="shared" si="4"/>
        <v>0</v>
      </c>
      <c r="AD38" s="3950">
        <f t="shared" si="5"/>
        <v>0</v>
      </c>
      <c r="AE38" s="3951">
        <f t="shared" si="6"/>
        <v>0</v>
      </c>
      <c r="AF38" s="3952" t="s">
        <v>3354</v>
      </c>
      <c r="AG38" s="3953"/>
      <c r="AH38" s="3937">
        <f t="shared" si="13"/>
        <v>0</v>
      </c>
      <c r="AI38" s="3937">
        <f t="shared" si="13"/>
        <v>0</v>
      </c>
      <c r="AJ38" s="3939">
        <f t="shared" si="13"/>
        <v>0</v>
      </c>
      <c r="AK38" s="3954"/>
      <c r="AL38" s="3946">
        <f t="shared" si="13"/>
        <v>0</v>
      </c>
      <c r="AM38" s="3918">
        <f t="shared" si="10"/>
        <v>0</v>
      </c>
      <c r="AN38" s="3954"/>
      <c r="AO38" s="3946">
        <f t="shared" si="13"/>
        <v>0</v>
      </c>
      <c r="AP38" s="3954"/>
    </row>
    <row r="39" ht="18.75" customHeight="1">
      <c r="A39" s="3078"/>
      <c r="B39" s="3810"/>
      <c r="C39" s="3810"/>
      <c r="D39" s="3811"/>
      <c r="E39" s="3812"/>
      <c r="F39" s="3811"/>
      <c r="G39" s="3813"/>
      <c r="H39" s="3814"/>
      <c r="I39" s="3815"/>
      <c r="J39" s="3816"/>
      <c r="K39" s="3811"/>
      <c r="L39" s="3817"/>
      <c r="M39" s="3818"/>
      <c r="N39" s="3817"/>
      <c r="O39" s="3817"/>
      <c r="P39" s="3817"/>
      <c r="Q39" s="3817"/>
      <c r="R39" s="3811"/>
      <c r="S39" s="3078"/>
      <c r="T39" s="2648"/>
      <c r="U39" s="3811"/>
      <c r="V39" s="3955"/>
      <c r="W39" s="3955"/>
      <c r="X39" s="3818"/>
      <c r="Y39" s="3819"/>
      <c r="Z39" s="3817"/>
      <c r="AA39" s="3817"/>
      <c r="AB39" s="3820"/>
      <c r="AC39" s="3956"/>
      <c r="AD39" s="3956"/>
      <c r="AE39" s="3956"/>
      <c r="AF39" s="3957" t="s">
        <v>3355</v>
      </c>
      <c r="AG39" s="3958"/>
      <c r="AH39" s="3959">
        <f>SUM(Z8:Z37)-SUM(N8:N37)</f>
        <v>0</v>
      </c>
      <c r="AI39" s="3959">
        <f>SUM(X8:X37)-SUM(O8:O37)</f>
        <v>0</v>
      </c>
      <c r="AJ39" s="3818"/>
      <c r="AK39" s="3078"/>
      <c r="AL39" s="3818"/>
      <c r="AM39" s="3819"/>
      <c r="AN39" s="3078"/>
      <c r="AO39" s="3842"/>
      <c r="AP39" s="3078"/>
    </row>
    <row r="40" ht="16.5" customHeight="1">
      <c r="A40" s="3078"/>
      <c r="B40" s="3810"/>
      <c r="C40" s="3810"/>
      <c r="D40" s="3811"/>
      <c r="E40" s="3812"/>
      <c r="F40" s="3811"/>
      <c r="G40" s="3813"/>
      <c r="H40" s="3814"/>
      <c r="I40" s="3815"/>
      <c r="J40" s="3816"/>
      <c r="K40" s="3811"/>
      <c r="L40" s="3960" t="s">
        <v>3356</v>
      </c>
      <c r="M40" s="3961"/>
      <c r="N40" s="3962">
        <f t="shared" si="14" ref="N40:Z40">SUMIF($U$6:$U$37,"*W &amp; D*",N6:N37)+SUMIF($U$6:$U$37,"*W&amp;D*",N6:N37)+SUMIF($U$6:$U$37,"*Walker*",N6:N37)+SUMIF($U$6:$U$37,"WD",N6:N37)+SUMIF($U$6:$U$37,"WDLLC",N6:N37)</f>
        <v>0</v>
      </c>
      <c r="O40" s="3962">
        <f t="shared" si="14"/>
        <v>0</v>
      </c>
      <c r="P40" s="3962"/>
      <c r="Q40" s="3962"/>
      <c r="R40" s="3963"/>
      <c r="S40" s="3964"/>
      <c r="T40" s="3965"/>
      <c r="U40" s="3963"/>
      <c r="V40" s="3966"/>
      <c r="W40" s="3966"/>
      <c r="X40" s="3962">
        <f t="shared" si="14"/>
        <v>0</v>
      </c>
      <c r="Y40" s="3967">
        <f>IF(O40&gt;0,X40/O40,0)</f>
        <v>0</v>
      </c>
      <c r="Z40" s="3962">
        <f t="shared" si="14"/>
        <v>0</v>
      </c>
      <c r="AA40" s="3962"/>
      <c r="AB40" s="3968"/>
      <c r="AC40" s="3969">
        <f t="shared" si="4"/>
        <v>0</v>
      </c>
      <c r="AD40" s="3820"/>
      <c r="AE40" s="3820"/>
      <c r="AF40" s="3811"/>
      <c r="AG40" s="3821"/>
      <c r="AH40" s="3818"/>
      <c r="AI40" s="3817"/>
      <c r="AJ40" s="3818"/>
      <c r="AK40" s="3078"/>
      <c r="AL40" s="3818"/>
      <c r="AM40" s="3818"/>
      <c r="AN40" s="3818"/>
      <c r="AO40" s="3818"/>
      <c r="AP40" s="3078"/>
    </row>
    <row r="41" ht="15.75" customHeight="1">
      <c r="A41" s="3078"/>
      <c r="B41" s="3810"/>
      <c r="C41" s="3810"/>
      <c r="D41" s="3811"/>
      <c r="E41" s="3812"/>
      <c r="F41" s="3811"/>
      <c r="G41" s="3813"/>
      <c r="H41" s="3814"/>
      <c r="I41" s="3815"/>
      <c r="J41" s="3816"/>
      <c r="K41" s="3811"/>
      <c r="L41" s="3970" t="s">
        <v>3357</v>
      </c>
      <c r="M41" s="3971"/>
      <c r="N41" s="3972">
        <f>SUMIF(V8:V37,"Fannie Mae",N8:N37)</f>
        <v>0</v>
      </c>
      <c r="O41" s="3817"/>
      <c r="P41" s="3817"/>
      <c r="Q41" s="3817"/>
      <c r="R41" s="3811"/>
      <c r="S41" s="3078"/>
      <c r="T41" s="2648"/>
      <c r="U41" s="3811"/>
      <c r="V41" s="3973"/>
      <c r="W41" s="3973"/>
      <c r="X41" s="3818"/>
      <c r="Y41" s="3819"/>
      <c r="Z41" s="3817"/>
      <c r="AA41" s="3817"/>
      <c r="AB41" s="3820"/>
      <c r="AC41" s="3820"/>
      <c r="AD41" s="3820"/>
      <c r="AE41" s="3820"/>
      <c r="AF41" s="3811"/>
      <c r="AG41" s="3821"/>
      <c r="AH41" s="3818"/>
      <c r="AI41" s="3817"/>
      <c r="AJ41" s="3818"/>
      <c r="AK41" s="3078"/>
      <c r="AL41" s="3818"/>
      <c r="AM41" s="3819"/>
      <c r="AN41" s="3078"/>
      <c r="AO41" s="3818"/>
      <c r="AP41" s="3078"/>
    </row>
    <row r="42" ht="15.75" customHeight="1">
      <c r="A42" s="3831" t="s">
        <v>3358</v>
      </c>
      <c r="B42" s="3832"/>
      <c r="C42" s="3832"/>
      <c r="D42" s="3833"/>
      <c r="E42" s="3834"/>
      <c r="F42" s="3835" t="s">
        <v>3359</v>
      </c>
      <c r="G42" s="3836"/>
      <c r="H42" s="3837"/>
      <c r="I42" s="3838"/>
      <c r="J42" s="3839"/>
      <c r="K42" s="3974"/>
      <c r="L42" s="3841"/>
      <c r="M42" s="3842"/>
      <c r="N42" s="3841"/>
      <c r="O42" s="3841"/>
      <c r="P42" s="3841"/>
      <c r="Q42" s="3841"/>
      <c r="R42" s="3840"/>
      <c r="S42" s="3846"/>
      <c r="T42" s="3975"/>
      <c r="U42" s="3840"/>
      <c r="V42" s="3834"/>
      <c r="W42" s="3834"/>
      <c r="X42" s="3842"/>
      <c r="Y42" s="3843"/>
      <c r="Z42" s="3841"/>
      <c r="AA42" s="3841"/>
      <c r="AB42" s="3844"/>
      <c r="AC42" s="3844"/>
      <c r="AD42" s="3844"/>
      <c r="AE42" s="3844"/>
      <c r="AF42" s="3840"/>
      <c r="AG42" s="3845"/>
      <c r="AH42" s="3842"/>
      <c r="AI42" s="3841"/>
      <c r="AJ42" s="3842"/>
      <c r="AK42" s="3846"/>
      <c r="AL42" s="3842"/>
      <c r="AM42" s="3843"/>
      <c r="AN42" s="3846"/>
      <c r="AO42" s="3818"/>
      <c r="AP42" s="3846"/>
    </row>
    <row r="43" ht="15.75" customHeight="1">
      <c r="A43" s="3847" t="s">
        <v>3318</v>
      </c>
      <c r="B43" s="3828"/>
      <c r="C43" s="3828"/>
      <c r="D43" s="3828"/>
      <c r="E43" s="3828"/>
      <c r="F43" s="3828"/>
      <c r="G43" s="3828"/>
      <c r="H43" s="3828"/>
      <c r="I43" s="3828"/>
      <c r="J43" s="3828"/>
      <c r="K43" s="3848"/>
      <c r="L43" s="3849" t="s">
        <v>3319</v>
      </c>
      <c r="M43" s="3850"/>
      <c r="N43" s="3850"/>
      <c r="O43" s="3850"/>
      <c r="P43" s="3850"/>
      <c r="Q43" s="3850"/>
      <c r="R43" s="3850"/>
      <c r="S43" s="3850"/>
      <c r="T43" s="3850"/>
      <c r="U43" s="3850"/>
      <c r="V43" s="3851"/>
      <c r="W43" s="3850"/>
      <c r="X43" s="3852" t="s">
        <v>3320</v>
      </c>
      <c r="Y43" s="3853"/>
      <c r="Z43" s="3854" t="s">
        <v>3321</v>
      </c>
      <c r="AA43" s="3829"/>
      <c r="AB43" s="3829"/>
      <c r="AC43" s="3830"/>
      <c r="AD43" s="3852" t="s">
        <v>3322</v>
      </c>
      <c r="AE43" s="3853"/>
      <c r="AF43" s="3855" t="s">
        <v>3323</v>
      </c>
      <c r="AG43" s="3856"/>
      <c r="AH43" s="3856"/>
      <c r="AI43" s="3856"/>
      <c r="AJ43" s="3857"/>
      <c r="AK43" s="3846"/>
      <c r="AL43" s="3852" t="s">
        <v>3320</v>
      </c>
      <c r="AM43" s="3853"/>
      <c r="AN43" s="3846"/>
      <c r="AO43" s="3842"/>
      <c r="AP43" s="3846"/>
    </row>
    <row r="44" ht="15" customHeight="1">
      <c r="A44" s="3858" t="s">
        <v>3103</v>
      </c>
      <c r="B44" s="3859" t="s">
        <v>3325</v>
      </c>
      <c r="C44" s="3860" t="s">
        <v>273</v>
      </c>
      <c r="D44" s="3860" t="s">
        <v>279</v>
      </c>
      <c r="E44" s="3860" t="s">
        <v>289</v>
      </c>
      <c r="F44" s="3860" t="s">
        <v>3326</v>
      </c>
      <c r="G44" s="3861" t="s">
        <v>3360</v>
      </c>
      <c r="H44" s="3861" t="s">
        <v>660</v>
      </c>
      <c r="I44" s="3862" t="s">
        <v>3328</v>
      </c>
      <c r="J44" s="3863" t="s">
        <v>3329</v>
      </c>
      <c r="K44" s="3864" t="s">
        <v>3330</v>
      </c>
      <c r="L44" s="3865" t="s">
        <v>3331</v>
      </c>
      <c r="M44" s="3866" t="s">
        <v>3332</v>
      </c>
      <c r="N44" s="3866" t="s">
        <v>3333</v>
      </c>
      <c r="O44" s="3866" t="s">
        <v>3334</v>
      </c>
      <c r="P44" s="3867" t="s">
        <v>3335</v>
      </c>
      <c r="Q44" s="3868"/>
      <c r="R44" s="3860" t="s">
        <v>3336</v>
      </c>
      <c r="S44" s="3860" t="s">
        <v>578</v>
      </c>
      <c r="T44" s="3863" t="s">
        <v>3337</v>
      </c>
      <c r="U44" s="3860" t="s">
        <v>3338</v>
      </c>
      <c r="V44" s="3864"/>
      <c r="W44" s="3869" t="s">
        <v>3340</v>
      </c>
      <c r="X44" s="3870" t="s">
        <v>3373</v>
      </c>
      <c r="Y44" s="3871" t="s">
        <v>3342</v>
      </c>
      <c r="Z44" s="3865" t="s">
        <v>3343</v>
      </c>
      <c r="AA44" s="3872" t="s">
        <v>3361</v>
      </c>
      <c r="AB44" s="3873" t="s">
        <v>3345</v>
      </c>
      <c r="AC44" s="3874" t="s">
        <v>760</v>
      </c>
      <c r="AD44" s="3880">
        <f>_xlfn.IFERROR(AD6,0)</f>
        <v>0</v>
      </c>
      <c r="AE44" s="3876"/>
      <c r="AF44" s="3859" t="str">
        <f t="shared" si="15"/>
        <v>XXXX Ownership Role</v>
      </c>
      <c r="AG44" s="3877" t="str">
        <f t="shared" si="16"/>
        <v>XXXX Ownership Interest</v>
      </c>
      <c r="AH44" s="3872" t="s">
        <v>3348</v>
      </c>
      <c r="AI44" s="3872" t="s">
        <v>3349</v>
      </c>
      <c r="AJ44" s="3878" t="s">
        <v>3350</v>
      </c>
      <c r="AK44" s="3879"/>
      <c r="AL44" s="3870" t="s">
        <v>3353</v>
      </c>
      <c r="AM44" s="3871" t="s">
        <v>3342</v>
      </c>
      <c r="AN44" s="3879"/>
      <c r="AO44" s="3872" t="s">
        <v>3348</v>
      </c>
      <c r="AP44" s="3879"/>
    </row>
    <row r="45" ht="41.25" customHeight="1">
      <c r="A45" s="3882"/>
      <c r="B45" s="3883"/>
      <c r="C45" s="3884"/>
      <c r="D45" s="3884"/>
      <c r="E45" s="3884"/>
      <c r="F45" s="3884"/>
      <c r="G45" s="3885"/>
      <c r="H45" s="3885"/>
      <c r="I45" s="3886"/>
      <c r="J45" s="3887"/>
      <c r="K45" s="3888"/>
      <c r="L45" s="3889"/>
      <c r="M45" s="3890"/>
      <c r="N45" s="3890"/>
      <c r="O45" s="3890"/>
      <c r="P45" s="3891"/>
      <c r="Q45" s="3892"/>
      <c r="R45" s="3884"/>
      <c r="S45" s="3884"/>
      <c r="T45" s="3887"/>
      <c r="U45" s="3884"/>
      <c r="V45" s="3888"/>
      <c r="W45" s="3893"/>
      <c r="X45" s="3894"/>
      <c r="Y45" s="3895"/>
      <c r="Z45" s="3889"/>
      <c r="AA45" s="3896"/>
      <c r="AB45" s="3897"/>
      <c r="AC45" s="3898"/>
      <c r="AD45" s="3899" t="s">
        <v>3351</v>
      </c>
      <c r="AE45" s="3899" t="s">
        <v>3352</v>
      </c>
      <c r="AF45" s="3883"/>
      <c r="AG45" s="3900"/>
      <c r="AH45" s="3896"/>
      <c r="AI45" s="3896"/>
      <c r="AJ45" s="3901"/>
      <c r="AK45" s="3879"/>
      <c r="AL45" s="3894"/>
      <c r="AM45" s="3895"/>
      <c r="AN45" s="3879"/>
      <c r="AO45" s="3896"/>
      <c r="AP45" s="3879"/>
    </row>
    <row r="46" ht="30" customHeight="1">
      <c r="A46" s="3903">
        <v>1</v>
      </c>
      <c r="B46" s="3904"/>
      <c r="C46" s="3905"/>
      <c r="D46" s="3905"/>
      <c r="E46" s="3905"/>
      <c r="F46" s="3905"/>
      <c r="G46" s="3906"/>
      <c r="H46" s="3907"/>
      <c r="I46" s="3908"/>
      <c r="J46" s="3907"/>
      <c r="K46" s="3905"/>
      <c r="L46" s="3909"/>
      <c r="M46" s="3910"/>
      <c r="N46" s="3911">
        <f t="shared" si="0"/>
        <v>0</v>
      </c>
      <c r="O46" s="3910"/>
      <c r="P46" s="3912"/>
      <c r="Q46" s="3912"/>
      <c r="R46" s="3905"/>
      <c r="S46" s="3913"/>
      <c r="T46" s="3914"/>
      <c r="U46" s="3915"/>
      <c r="V46" s="3916"/>
      <c r="W46" s="3917"/>
      <c r="X46" s="3910"/>
      <c r="Y46" s="3918">
        <f t="shared" si="1"/>
        <v>0</v>
      </c>
      <c r="Z46" s="3909"/>
      <c r="AA46" s="3919">
        <f t="shared" si="2"/>
        <v>0</v>
      </c>
      <c r="AB46" s="3920">
        <f t="shared" si="3"/>
        <v>0</v>
      </c>
      <c r="AC46" s="3921">
        <f t="shared" si="4"/>
        <v>0</v>
      </c>
      <c r="AD46" s="3922">
        <f t="shared" si="17" ref="AD46:AD66">_xlfn.IFERROR(X46/$AD$44,0)</f>
        <v>0</v>
      </c>
      <c r="AE46" s="3923">
        <f t="shared" si="6"/>
        <v>0</v>
      </c>
      <c r="AF46" s="3904"/>
      <c r="AG46" s="3924"/>
      <c r="AH46" s="3911">
        <f t="shared" si="7"/>
        <v>0</v>
      </c>
      <c r="AI46" s="3911">
        <f t="shared" si="8"/>
        <v>0</v>
      </c>
      <c r="AJ46" s="3925"/>
      <c r="AK46" s="3926"/>
      <c r="AL46" s="3909">
        <f t="shared" si="9"/>
      </c>
      <c r="AM46" s="3918">
        <f t="shared" si="10"/>
        <v>0</v>
      </c>
      <c r="AN46" s="3926"/>
      <c r="AO46" s="3911">
        <f t="shared" si="11"/>
        <v>0</v>
      </c>
      <c r="AP46" s="3926"/>
    </row>
    <row r="47" ht="30" customHeight="1">
      <c r="A47" s="3928">
        <f t="shared" si="12"/>
        <v>2</v>
      </c>
      <c r="B47" s="3904"/>
      <c r="C47" s="3905"/>
      <c r="D47" s="3905"/>
      <c r="E47" s="3905"/>
      <c r="F47" s="3905"/>
      <c r="G47" s="3906"/>
      <c r="H47" s="3907"/>
      <c r="I47" s="3908"/>
      <c r="J47" s="3907"/>
      <c r="K47" s="3905"/>
      <c r="L47" s="3909"/>
      <c r="M47" s="3910"/>
      <c r="N47" s="3911">
        <f t="shared" si="0"/>
        <v>0</v>
      </c>
      <c r="O47" s="3910"/>
      <c r="P47" s="3912"/>
      <c r="Q47" s="3912"/>
      <c r="R47" s="3905"/>
      <c r="S47" s="3913"/>
      <c r="T47" s="3914"/>
      <c r="U47" s="3915"/>
      <c r="V47" s="3916"/>
      <c r="W47" s="3917"/>
      <c r="X47" s="3910"/>
      <c r="Y47" s="3918">
        <f t="shared" si="1"/>
        <v>0</v>
      </c>
      <c r="Z47" s="3909"/>
      <c r="AA47" s="3919">
        <f t="shared" si="2"/>
        <v>0</v>
      </c>
      <c r="AB47" s="3920">
        <f t="shared" si="3"/>
        <v>0</v>
      </c>
      <c r="AC47" s="3921">
        <f t="shared" si="4"/>
        <v>0</v>
      </c>
      <c r="AD47" s="3922">
        <f t="shared" si="17"/>
        <v>0</v>
      </c>
      <c r="AE47" s="3923">
        <f t="shared" si="6"/>
        <v>0</v>
      </c>
      <c r="AF47" s="3904"/>
      <c r="AG47" s="3924"/>
      <c r="AH47" s="3911">
        <f t="shared" si="7"/>
        <v>0</v>
      </c>
      <c r="AI47" s="3911">
        <f t="shared" si="8"/>
        <v>0</v>
      </c>
      <c r="AJ47" s="3925"/>
      <c r="AK47" s="3926"/>
      <c r="AL47" s="3909">
        <f t="shared" si="9"/>
      </c>
      <c r="AM47" s="3918">
        <f t="shared" si="10"/>
        <v>0</v>
      </c>
      <c r="AN47" s="3926"/>
      <c r="AO47" s="3911">
        <f t="shared" si="11"/>
        <v>0</v>
      </c>
      <c r="AP47" s="3926"/>
    </row>
    <row r="48" ht="30" customHeight="1">
      <c r="A48" s="3928">
        <f t="shared" si="12"/>
        <v>3</v>
      </c>
      <c r="B48" s="3904"/>
      <c r="C48" s="3905"/>
      <c r="D48" s="3905"/>
      <c r="E48" s="3905"/>
      <c r="F48" s="3905"/>
      <c r="G48" s="3906"/>
      <c r="H48" s="3907"/>
      <c r="I48" s="3908"/>
      <c r="J48" s="3907"/>
      <c r="K48" s="3905"/>
      <c r="L48" s="3909"/>
      <c r="M48" s="3910"/>
      <c r="N48" s="3911">
        <f t="shared" si="0"/>
        <v>0</v>
      </c>
      <c r="O48" s="3910"/>
      <c r="P48" s="3912"/>
      <c r="Q48" s="3912"/>
      <c r="R48" s="3905"/>
      <c r="S48" s="3913"/>
      <c r="T48" s="3914"/>
      <c r="U48" s="3915"/>
      <c r="V48" s="3916"/>
      <c r="W48" s="3917"/>
      <c r="X48" s="3910"/>
      <c r="Y48" s="3918">
        <f t="shared" si="1"/>
        <v>0</v>
      </c>
      <c r="Z48" s="3909"/>
      <c r="AA48" s="3919">
        <f t="shared" si="2"/>
        <v>0</v>
      </c>
      <c r="AB48" s="3920">
        <f t="shared" si="3"/>
        <v>0</v>
      </c>
      <c r="AC48" s="3921">
        <f t="shared" si="4"/>
        <v>0</v>
      </c>
      <c r="AD48" s="3922">
        <f t="shared" si="17"/>
        <v>0</v>
      </c>
      <c r="AE48" s="3923">
        <f t="shared" si="6"/>
        <v>0</v>
      </c>
      <c r="AF48" s="3904"/>
      <c r="AG48" s="3924"/>
      <c r="AH48" s="3911">
        <f t="shared" si="7"/>
        <v>0</v>
      </c>
      <c r="AI48" s="3911">
        <f t="shared" si="8"/>
        <v>0</v>
      </c>
      <c r="AJ48" s="3925"/>
      <c r="AK48" s="3926"/>
      <c r="AL48" s="3909">
        <f t="shared" si="9"/>
      </c>
      <c r="AM48" s="3918">
        <f t="shared" si="10"/>
        <v>0</v>
      </c>
      <c r="AN48" s="3926"/>
      <c r="AO48" s="3911">
        <f t="shared" si="11"/>
        <v>0</v>
      </c>
      <c r="AP48" s="3926"/>
    </row>
    <row r="49" ht="30" customHeight="1" hidden="1">
      <c r="A49" s="3928">
        <f t="shared" si="12"/>
        <v>4</v>
      </c>
      <c r="B49" s="3904"/>
      <c r="C49" s="3905"/>
      <c r="D49" s="3905"/>
      <c r="E49" s="3905"/>
      <c r="F49" s="3905"/>
      <c r="G49" s="3906"/>
      <c r="H49" s="3907"/>
      <c r="I49" s="3908"/>
      <c r="J49" s="3907"/>
      <c r="K49" s="3905"/>
      <c r="L49" s="3909"/>
      <c r="M49" s="3910"/>
      <c r="N49" s="3911">
        <f t="shared" si="0"/>
        <v>0</v>
      </c>
      <c r="O49" s="3910"/>
      <c r="P49" s="3912"/>
      <c r="Q49" s="3912"/>
      <c r="R49" s="3905"/>
      <c r="S49" s="3913"/>
      <c r="T49" s="3914"/>
      <c r="U49" s="3915"/>
      <c r="V49" s="3916"/>
      <c r="W49" s="3917"/>
      <c r="X49" s="3910"/>
      <c r="Y49" s="3918">
        <f t="shared" si="1"/>
        <v>0</v>
      </c>
      <c r="Z49" s="3909"/>
      <c r="AA49" s="3919">
        <f t="shared" si="2"/>
        <v>0</v>
      </c>
      <c r="AB49" s="3920">
        <f t="shared" si="3"/>
        <v>0</v>
      </c>
      <c r="AC49" s="3921">
        <f t="shared" si="4"/>
        <v>0</v>
      </c>
      <c r="AD49" s="3922">
        <f t="shared" si="17"/>
        <v>0</v>
      </c>
      <c r="AE49" s="3923">
        <f t="shared" si="6"/>
        <v>0</v>
      </c>
      <c r="AF49" s="3904"/>
      <c r="AG49" s="3924"/>
      <c r="AH49" s="3911">
        <f t="shared" si="7"/>
        <v>0</v>
      </c>
      <c r="AI49" s="3911">
        <f t="shared" si="8"/>
        <v>0</v>
      </c>
      <c r="AJ49" s="3925"/>
      <c r="AK49" s="3926"/>
      <c r="AL49" s="3909">
        <f t="shared" si="9"/>
      </c>
      <c r="AM49" s="3918">
        <f t="shared" si="10"/>
        <v>0</v>
      </c>
      <c r="AN49" s="3926"/>
      <c r="AO49" s="3911">
        <f t="shared" si="11"/>
        <v>0</v>
      </c>
      <c r="AP49" s="3926"/>
    </row>
    <row r="50" ht="30" customHeight="1" hidden="1">
      <c r="A50" s="3928">
        <f t="shared" si="12"/>
        <v>5</v>
      </c>
      <c r="B50" s="3904"/>
      <c r="C50" s="3905"/>
      <c r="D50" s="3905"/>
      <c r="E50" s="3905"/>
      <c r="F50" s="3905"/>
      <c r="G50" s="3906"/>
      <c r="H50" s="3907"/>
      <c r="I50" s="3908"/>
      <c r="J50" s="3907"/>
      <c r="K50" s="3905"/>
      <c r="L50" s="3909"/>
      <c r="M50" s="3910"/>
      <c r="N50" s="3911">
        <f t="shared" si="0"/>
        <v>0</v>
      </c>
      <c r="O50" s="3910"/>
      <c r="P50" s="3912"/>
      <c r="Q50" s="3912"/>
      <c r="R50" s="3905"/>
      <c r="S50" s="3913"/>
      <c r="T50" s="3914"/>
      <c r="U50" s="3915"/>
      <c r="V50" s="3916"/>
      <c r="W50" s="3917"/>
      <c r="X50" s="3910"/>
      <c r="Y50" s="3918">
        <f t="shared" si="1"/>
        <v>0</v>
      </c>
      <c r="Z50" s="3909"/>
      <c r="AA50" s="3919">
        <f t="shared" si="2"/>
        <v>0</v>
      </c>
      <c r="AB50" s="3920">
        <f t="shared" si="3"/>
        <v>0</v>
      </c>
      <c r="AC50" s="3921">
        <f t="shared" si="4"/>
        <v>0</v>
      </c>
      <c r="AD50" s="3922">
        <f t="shared" si="17"/>
        <v>0</v>
      </c>
      <c r="AE50" s="3923">
        <f t="shared" si="6"/>
        <v>0</v>
      </c>
      <c r="AF50" s="3904"/>
      <c r="AG50" s="3924"/>
      <c r="AH50" s="3911">
        <f t="shared" si="7"/>
        <v>0</v>
      </c>
      <c r="AI50" s="3911">
        <f t="shared" si="8"/>
        <v>0</v>
      </c>
      <c r="AJ50" s="3925"/>
      <c r="AK50" s="3926"/>
      <c r="AL50" s="3909">
        <f t="shared" si="9"/>
      </c>
      <c r="AM50" s="3918">
        <f t="shared" si="10"/>
        <v>0</v>
      </c>
      <c r="AN50" s="3926"/>
      <c r="AO50" s="3911">
        <f t="shared" si="11"/>
        <v>0</v>
      </c>
      <c r="AP50" s="3926"/>
    </row>
    <row r="51" ht="30" customHeight="1" hidden="1">
      <c r="A51" s="3928">
        <f t="shared" si="12"/>
        <v>6</v>
      </c>
      <c r="B51" s="3904"/>
      <c r="C51" s="3905"/>
      <c r="D51" s="3905"/>
      <c r="E51" s="3905"/>
      <c r="F51" s="3905"/>
      <c r="G51" s="3906"/>
      <c r="H51" s="3907"/>
      <c r="I51" s="3908"/>
      <c r="J51" s="3907"/>
      <c r="K51" s="3905"/>
      <c r="L51" s="3909"/>
      <c r="M51" s="3910"/>
      <c r="N51" s="3911">
        <f t="shared" si="0"/>
        <v>0</v>
      </c>
      <c r="O51" s="3910"/>
      <c r="P51" s="3912"/>
      <c r="Q51" s="3912"/>
      <c r="R51" s="3905"/>
      <c r="S51" s="3913"/>
      <c r="T51" s="3914"/>
      <c r="U51" s="3915"/>
      <c r="V51" s="3916"/>
      <c r="W51" s="3917"/>
      <c r="X51" s="3910"/>
      <c r="Y51" s="3918">
        <f t="shared" si="1"/>
        <v>0</v>
      </c>
      <c r="Z51" s="3909"/>
      <c r="AA51" s="3919">
        <f t="shared" si="2"/>
        <v>0</v>
      </c>
      <c r="AB51" s="3920">
        <f t="shared" si="3"/>
        <v>0</v>
      </c>
      <c r="AC51" s="3921">
        <f t="shared" si="4"/>
        <v>0</v>
      </c>
      <c r="AD51" s="3922">
        <f t="shared" si="17"/>
        <v>0</v>
      </c>
      <c r="AE51" s="3923">
        <f t="shared" si="6"/>
        <v>0</v>
      </c>
      <c r="AF51" s="3904"/>
      <c r="AG51" s="3924"/>
      <c r="AH51" s="3911">
        <f t="shared" si="7"/>
        <v>0</v>
      </c>
      <c r="AI51" s="3911">
        <f t="shared" si="8"/>
        <v>0</v>
      </c>
      <c r="AJ51" s="3925"/>
      <c r="AK51" s="3926"/>
      <c r="AL51" s="3909">
        <f t="shared" si="9"/>
      </c>
      <c r="AM51" s="3918">
        <f t="shared" si="10"/>
        <v>0</v>
      </c>
      <c r="AN51" s="3926"/>
      <c r="AO51" s="3911">
        <f t="shared" si="11"/>
        <v>0</v>
      </c>
      <c r="AP51" s="3926"/>
    </row>
    <row r="52" ht="30" customHeight="1" hidden="1">
      <c r="A52" s="3928">
        <f t="shared" si="12"/>
        <v>7</v>
      </c>
      <c r="B52" s="3904"/>
      <c r="C52" s="3905"/>
      <c r="D52" s="3905"/>
      <c r="E52" s="3905"/>
      <c r="F52" s="3905"/>
      <c r="G52" s="3906"/>
      <c r="H52" s="3907"/>
      <c r="I52" s="3908"/>
      <c r="J52" s="3907"/>
      <c r="K52" s="3905"/>
      <c r="L52" s="3909"/>
      <c r="M52" s="3910"/>
      <c r="N52" s="3911">
        <f t="shared" si="0"/>
        <v>0</v>
      </c>
      <c r="O52" s="3910"/>
      <c r="P52" s="3912"/>
      <c r="Q52" s="3912"/>
      <c r="R52" s="3905"/>
      <c r="S52" s="3913"/>
      <c r="T52" s="3914"/>
      <c r="U52" s="3915"/>
      <c r="V52" s="3916"/>
      <c r="W52" s="3917"/>
      <c r="X52" s="3910"/>
      <c r="Y52" s="3918">
        <f t="shared" si="1"/>
        <v>0</v>
      </c>
      <c r="Z52" s="3909"/>
      <c r="AA52" s="3919">
        <f t="shared" si="2"/>
        <v>0</v>
      </c>
      <c r="AB52" s="3920">
        <f t="shared" si="3"/>
        <v>0</v>
      </c>
      <c r="AC52" s="3921">
        <f t="shared" si="4"/>
        <v>0</v>
      </c>
      <c r="AD52" s="3922">
        <f t="shared" si="17"/>
        <v>0</v>
      </c>
      <c r="AE52" s="3923">
        <f t="shared" si="6"/>
        <v>0</v>
      </c>
      <c r="AF52" s="3904"/>
      <c r="AG52" s="3924"/>
      <c r="AH52" s="3911">
        <f t="shared" si="7"/>
        <v>0</v>
      </c>
      <c r="AI52" s="3911">
        <f t="shared" si="8"/>
        <v>0</v>
      </c>
      <c r="AJ52" s="3925"/>
      <c r="AK52" s="3926"/>
      <c r="AL52" s="3909">
        <f t="shared" si="9"/>
      </c>
      <c r="AM52" s="3918">
        <f t="shared" si="10"/>
        <v>0</v>
      </c>
      <c r="AN52" s="3926"/>
      <c r="AO52" s="3911">
        <f t="shared" si="11"/>
        <v>0</v>
      </c>
      <c r="AP52" s="3926"/>
    </row>
    <row r="53" ht="30" customHeight="1" hidden="1">
      <c r="A53" s="3928">
        <f t="shared" si="12"/>
        <v>8</v>
      </c>
      <c r="B53" s="3904"/>
      <c r="C53" s="3905"/>
      <c r="D53" s="3905"/>
      <c r="E53" s="3905"/>
      <c r="F53" s="3905"/>
      <c r="G53" s="3906"/>
      <c r="H53" s="3907"/>
      <c r="I53" s="3908"/>
      <c r="J53" s="3907"/>
      <c r="K53" s="3905"/>
      <c r="L53" s="3909"/>
      <c r="M53" s="3910"/>
      <c r="N53" s="3911">
        <f t="shared" si="0"/>
        <v>0</v>
      </c>
      <c r="O53" s="3910"/>
      <c r="P53" s="3912"/>
      <c r="Q53" s="3912"/>
      <c r="R53" s="3905"/>
      <c r="S53" s="3913"/>
      <c r="T53" s="3914"/>
      <c r="U53" s="3915"/>
      <c r="V53" s="3916"/>
      <c r="W53" s="3917"/>
      <c r="X53" s="3910"/>
      <c r="Y53" s="3918">
        <f t="shared" si="1"/>
        <v>0</v>
      </c>
      <c r="Z53" s="3909"/>
      <c r="AA53" s="3919">
        <f t="shared" si="2"/>
        <v>0</v>
      </c>
      <c r="AB53" s="3920">
        <f t="shared" si="3"/>
        <v>0</v>
      </c>
      <c r="AC53" s="3921">
        <f t="shared" si="4"/>
        <v>0</v>
      </c>
      <c r="AD53" s="3922">
        <f t="shared" si="17"/>
        <v>0</v>
      </c>
      <c r="AE53" s="3923">
        <f t="shared" si="6"/>
        <v>0</v>
      </c>
      <c r="AF53" s="3904"/>
      <c r="AG53" s="3924"/>
      <c r="AH53" s="3911">
        <f t="shared" si="7"/>
        <v>0</v>
      </c>
      <c r="AI53" s="3911">
        <f t="shared" si="8"/>
        <v>0</v>
      </c>
      <c r="AJ53" s="3925"/>
      <c r="AK53" s="3926"/>
      <c r="AL53" s="3909">
        <f t="shared" si="9"/>
      </c>
      <c r="AM53" s="3918">
        <f t="shared" si="10"/>
        <v>0</v>
      </c>
      <c r="AN53" s="3926"/>
      <c r="AO53" s="3911">
        <f t="shared" si="11"/>
        <v>0</v>
      </c>
      <c r="AP53" s="3926"/>
    </row>
    <row r="54" ht="30" customHeight="1" hidden="1">
      <c r="A54" s="3928">
        <f t="shared" si="12"/>
        <v>9</v>
      </c>
      <c r="B54" s="3904"/>
      <c r="C54" s="3905"/>
      <c r="D54" s="3905"/>
      <c r="E54" s="3905"/>
      <c r="F54" s="3905"/>
      <c r="G54" s="3906"/>
      <c r="H54" s="3907"/>
      <c r="I54" s="3908"/>
      <c r="J54" s="3907"/>
      <c r="K54" s="3905"/>
      <c r="L54" s="3909"/>
      <c r="M54" s="3910"/>
      <c r="N54" s="3911">
        <f t="shared" si="0"/>
        <v>0</v>
      </c>
      <c r="O54" s="3910"/>
      <c r="P54" s="3912"/>
      <c r="Q54" s="3912"/>
      <c r="R54" s="3905"/>
      <c r="S54" s="3913"/>
      <c r="T54" s="3914"/>
      <c r="U54" s="3915"/>
      <c r="V54" s="3916"/>
      <c r="W54" s="3917"/>
      <c r="X54" s="3910"/>
      <c r="Y54" s="3918">
        <f t="shared" si="1"/>
        <v>0</v>
      </c>
      <c r="Z54" s="3909"/>
      <c r="AA54" s="3919">
        <f t="shared" si="2"/>
        <v>0</v>
      </c>
      <c r="AB54" s="3920">
        <f t="shared" si="3"/>
        <v>0</v>
      </c>
      <c r="AC54" s="3921">
        <f t="shared" si="4"/>
        <v>0</v>
      </c>
      <c r="AD54" s="3922">
        <f t="shared" si="17"/>
        <v>0</v>
      </c>
      <c r="AE54" s="3923">
        <f t="shared" si="6"/>
        <v>0</v>
      </c>
      <c r="AF54" s="3904"/>
      <c r="AG54" s="3924"/>
      <c r="AH54" s="3911">
        <f t="shared" si="7"/>
        <v>0</v>
      </c>
      <c r="AI54" s="3911">
        <f t="shared" si="8"/>
        <v>0</v>
      </c>
      <c r="AJ54" s="3925"/>
      <c r="AK54" s="3926"/>
      <c r="AL54" s="3909">
        <f t="shared" si="9"/>
      </c>
      <c r="AM54" s="3918">
        <f t="shared" si="10"/>
        <v>0</v>
      </c>
      <c r="AN54" s="3926"/>
      <c r="AO54" s="3911">
        <f t="shared" si="11"/>
        <v>0</v>
      </c>
      <c r="AP54" s="3926"/>
    </row>
    <row r="55" ht="30" customHeight="1" hidden="1">
      <c r="A55" s="3928">
        <f t="shared" si="12"/>
        <v>10</v>
      </c>
      <c r="B55" s="3904"/>
      <c r="C55" s="3905"/>
      <c r="D55" s="3905"/>
      <c r="E55" s="3905"/>
      <c r="F55" s="3905"/>
      <c r="G55" s="3906"/>
      <c r="H55" s="3907"/>
      <c r="I55" s="3908"/>
      <c r="J55" s="3907"/>
      <c r="K55" s="3905"/>
      <c r="L55" s="3909"/>
      <c r="M55" s="3910"/>
      <c r="N55" s="3911">
        <f t="shared" si="0"/>
        <v>0</v>
      </c>
      <c r="O55" s="3910"/>
      <c r="P55" s="3912"/>
      <c r="Q55" s="3912"/>
      <c r="R55" s="3905"/>
      <c r="S55" s="3913"/>
      <c r="T55" s="3914"/>
      <c r="U55" s="3915"/>
      <c r="V55" s="3916"/>
      <c r="W55" s="3917"/>
      <c r="X55" s="3910"/>
      <c r="Y55" s="3918">
        <f t="shared" si="1"/>
        <v>0</v>
      </c>
      <c r="Z55" s="3909"/>
      <c r="AA55" s="3919">
        <f t="shared" si="2"/>
        <v>0</v>
      </c>
      <c r="AB55" s="3920">
        <f t="shared" si="3"/>
        <v>0</v>
      </c>
      <c r="AC55" s="3921">
        <f t="shared" si="4"/>
        <v>0</v>
      </c>
      <c r="AD55" s="3922">
        <f t="shared" si="17"/>
        <v>0</v>
      </c>
      <c r="AE55" s="3923">
        <f t="shared" si="6"/>
        <v>0</v>
      </c>
      <c r="AF55" s="3904"/>
      <c r="AG55" s="3924"/>
      <c r="AH55" s="3911">
        <f t="shared" si="7"/>
        <v>0</v>
      </c>
      <c r="AI55" s="3911">
        <f t="shared" si="8"/>
        <v>0</v>
      </c>
      <c r="AJ55" s="3925"/>
      <c r="AK55" s="3926"/>
      <c r="AL55" s="3909">
        <f t="shared" si="9"/>
      </c>
      <c r="AM55" s="3918">
        <f t="shared" si="10"/>
        <v>0</v>
      </c>
      <c r="AN55" s="3926"/>
      <c r="AO55" s="3911">
        <f t="shared" si="11"/>
        <v>0</v>
      </c>
      <c r="AP55" s="3926"/>
    </row>
    <row r="56" ht="30" customHeight="1" hidden="1">
      <c r="A56" s="3928">
        <f t="shared" si="12"/>
        <v>11</v>
      </c>
      <c r="B56" s="3904"/>
      <c r="C56" s="3905"/>
      <c r="D56" s="3905"/>
      <c r="E56" s="3905"/>
      <c r="F56" s="3905"/>
      <c r="G56" s="3906"/>
      <c r="H56" s="3907"/>
      <c r="I56" s="3908"/>
      <c r="J56" s="3907"/>
      <c r="K56" s="3905"/>
      <c r="L56" s="3909"/>
      <c r="M56" s="3910"/>
      <c r="N56" s="3911">
        <f t="shared" si="0"/>
        <v>0</v>
      </c>
      <c r="O56" s="3910"/>
      <c r="P56" s="3912"/>
      <c r="Q56" s="3912"/>
      <c r="R56" s="3905"/>
      <c r="S56" s="3913"/>
      <c r="T56" s="3914"/>
      <c r="U56" s="3915"/>
      <c r="V56" s="3916"/>
      <c r="W56" s="3917"/>
      <c r="X56" s="3910"/>
      <c r="Y56" s="3918">
        <f t="shared" si="1"/>
        <v>0</v>
      </c>
      <c r="Z56" s="3909"/>
      <c r="AA56" s="3919">
        <f t="shared" si="2"/>
        <v>0</v>
      </c>
      <c r="AB56" s="3920">
        <f t="shared" si="3"/>
        <v>0</v>
      </c>
      <c r="AC56" s="3921">
        <f t="shared" si="4"/>
        <v>0</v>
      </c>
      <c r="AD56" s="3922">
        <f t="shared" si="17"/>
        <v>0</v>
      </c>
      <c r="AE56" s="3923">
        <f t="shared" si="6"/>
        <v>0</v>
      </c>
      <c r="AF56" s="3904"/>
      <c r="AG56" s="3924"/>
      <c r="AH56" s="3911">
        <f t="shared" si="7"/>
        <v>0</v>
      </c>
      <c r="AI56" s="3911">
        <f t="shared" si="8"/>
        <v>0</v>
      </c>
      <c r="AJ56" s="3925"/>
      <c r="AK56" s="3926"/>
      <c r="AL56" s="3909">
        <f t="shared" si="9"/>
      </c>
      <c r="AM56" s="3918">
        <f t="shared" si="10"/>
        <v>0</v>
      </c>
      <c r="AN56" s="3926"/>
      <c r="AO56" s="3911">
        <f t="shared" si="11"/>
        <v>0</v>
      </c>
      <c r="AP56" s="3926"/>
    </row>
    <row r="57" ht="30" customHeight="1" hidden="1">
      <c r="A57" s="3928">
        <f t="shared" si="12"/>
        <v>12</v>
      </c>
      <c r="B57" s="3904"/>
      <c r="C57" s="3905"/>
      <c r="D57" s="3905"/>
      <c r="E57" s="3905"/>
      <c r="F57" s="3905"/>
      <c r="G57" s="3906"/>
      <c r="H57" s="3907"/>
      <c r="I57" s="3908"/>
      <c r="J57" s="3907"/>
      <c r="K57" s="3905"/>
      <c r="L57" s="3909"/>
      <c r="M57" s="3910"/>
      <c r="N57" s="3911">
        <f t="shared" si="0"/>
        <v>0</v>
      </c>
      <c r="O57" s="3910"/>
      <c r="P57" s="3912"/>
      <c r="Q57" s="3912"/>
      <c r="R57" s="3905"/>
      <c r="S57" s="3913"/>
      <c r="T57" s="3914"/>
      <c r="U57" s="3915"/>
      <c r="V57" s="3916"/>
      <c r="W57" s="3917"/>
      <c r="X57" s="3910"/>
      <c r="Y57" s="3918">
        <f t="shared" si="1"/>
        <v>0</v>
      </c>
      <c r="Z57" s="3909"/>
      <c r="AA57" s="3919">
        <f t="shared" si="2"/>
        <v>0</v>
      </c>
      <c r="AB57" s="3920">
        <f t="shared" si="3"/>
        <v>0</v>
      </c>
      <c r="AC57" s="3921">
        <f t="shared" si="4"/>
        <v>0</v>
      </c>
      <c r="AD57" s="3922">
        <f t="shared" si="17"/>
        <v>0</v>
      </c>
      <c r="AE57" s="3923">
        <f t="shared" si="6"/>
        <v>0</v>
      </c>
      <c r="AF57" s="3904"/>
      <c r="AG57" s="3924"/>
      <c r="AH57" s="3911">
        <f t="shared" si="7"/>
        <v>0</v>
      </c>
      <c r="AI57" s="3911">
        <f t="shared" si="8"/>
        <v>0</v>
      </c>
      <c r="AJ57" s="3925"/>
      <c r="AK57" s="3926"/>
      <c r="AL57" s="3909">
        <f t="shared" si="9"/>
      </c>
      <c r="AM57" s="3918">
        <f t="shared" si="10"/>
        <v>0</v>
      </c>
      <c r="AN57" s="3926"/>
      <c r="AO57" s="3911">
        <f t="shared" si="11"/>
        <v>0</v>
      </c>
      <c r="AP57" s="3926"/>
    </row>
    <row r="58" ht="30" customHeight="1" hidden="1">
      <c r="A58" s="3928">
        <f t="shared" si="12"/>
        <v>13</v>
      </c>
      <c r="B58" s="3904"/>
      <c r="C58" s="3905"/>
      <c r="D58" s="3905"/>
      <c r="E58" s="3905"/>
      <c r="F58" s="3905"/>
      <c r="G58" s="3906"/>
      <c r="H58" s="3907"/>
      <c r="I58" s="3908"/>
      <c r="J58" s="3907"/>
      <c r="K58" s="3905"/>
      <c r="L58" s="3909"/>
      <c r="M58" s="3910"/>
      <c r="N58" s="3911">
        <f t="shared" si="0"/>
        <v>0</v>
      </c>
      <c r="O58" s="3910"/>
      <c r="P58" s="3912"/>
      <c r="Q58" s="3912"/>
      <c r="R58" s="3905"/>
      <c r="S58" s="3913"/>
      <c r="T58" s="3914"/>
      <c r="U58" s="3915"/>
      <c r="V58" s="3916"/>
      <c r="W58" s="3917"/>
      <c r="X58" s="3910"/>
      <c r="Y58" s="3918">
        <f t="shared" si="1"/>
        <v>0</v>
      </c>
      <c r="Z58" s="3909"/>
      <c r="AA58" s="3919">
        <f t="shared" si="2"/>
        <v>0</v>
      </c>
      <c r="AB58" s="3920">
        <f t="shared" si="3"/>
        <v>0</v>
      </c>
      <c r="AC58" s="3921">
        <f t="shared" si="4"/>
        <v>0</v>
      </c>
      <c r="AD58" s="3922">
        <f t="shared" si="17"/>
        <v>0</v>
      </c>
      <c r="AE58" s="3923">
        <f t="shared" si="6"/>
        <v>0</v>
      </c>
      <c r="AF58" s="3904"/>
      <c r="AG58" s="3924"/>
      <c r="AH58" s="3911">
        <f t="shared" si="7"/>
        <v>0</v>
      </c>
      <c r="AI58" s="3911">
        <f t="shared" si="8"/>
        <v>0</v>
      </c>
      <c r="AJ58" s="3925"/>
      <c r="AK58" s="3926"/>
      <c r="AL58" s="3909">
        <f t="shared" si="9"/>
      </c>
      <c r="AM58" s="3918">
        <f t="shared" si="10"/>
        <v>0</v>
      </c>
      <c r="AN58" s="3926"/>
      <c r="AO58" s="3911">
        <f t="shared" si="11"/>
        <v>0</v>
      </c>
      <c r="AP58" s="3926"/>
    </row>
    <row r="59" ht="30" customHeight="1" hidden="1">
      <c r="A59" s="3928">
        <f t="shared" si="12"/>
        <v>14</v>
      </c>
      <c r="B59" s="3904"/>
      <c r="C59" s="3905"/>
      <c r="D59" s="3905"/>
      <c r="E59" s="3905"/>
      <c r="F59" s="3905"/>
      <c r="G59" s="3906"/>
      <c r="H59" s="3907"/>
      <c r="I59" s="3908"/>
      <c r="J59" s="3907"/>
      <c r="K59" s="3905"/>
      <c r="L59" s="3909"/>
      <c r="M59" s="3910"/>
      <c r="N59" s="3911">
        <f t="shared" si="0"/>
        <v>0</v>
      </c>
      <c r="O59" s="3910"/>
      <c r="P59" s="3912"/>
      <c r="Q59" s="3912"/>
      <c r="R59" s="3905"/>
      <c r="S59" s="3913"/>
      <c r="T59" s="3914"/>
      <c r="U59" s="3915"/>
      <c r="V59" s="3916"/>
      <c r="W59" s="3917"/>
      <c r="X59" s="3910"/>
      <c r="Y59" s="3918">
        <f t="shared" si="1"/>
        <v>0</v>
      </c>
      <c r="Z59" s="3909"/>
      <c r="AA59" s="3919">
        <f t="shared" si="2"/>
        <v>0</v>
      </c>
      <c r="AB59" s="3920">
        <f t="shared" si="3"/>
        <v>0</v>
      </c>
      <c r="AC59" s="3921">
        <f t="shared" si="4"/>
        <v>0</v>
      </c>
      <c r="AD59" s="3922">
        <f t="shared" si="17"/>
        <v>0</v>
      </c>
      <c r="AE59" s="3923">
        <f t="shared" si="6"/>
        <v>0</v>
      </c>
      <c r="AF59" s="3904"/>
      <c r="AG59" s="3924"/>
      <c r="AH59" s="3911">
        <f t="shared" si="7"/>
        <v>0</v>
      </c>
      <c r="AI59" s="3911">
        <f t="shared" si="8"/>
        <v>0</v>
      </c>
      <c r="AJ59" s="3925"/>
      <c r="AK59" s="3926"/>
      <c r="AL59" s="3909">
        <f t="shared" si="9"/>
      </c>
      <c r="AM59" s="3918">
        <f t="shared" si="10"/>
        <v>0</v>
      </c>
      <c r="AN59" s="3926"/>
      <c r="AO59" s="3911">
        <f t="shared" si="11"/>
        <v>0</v>
      </c>
      <c r="AP59" s="3926"/>
    </row>
    <row r="60" ht="30" customHeight="1" hidden="1">
      <c r="A60" s="3928">
        <f t="shared" si="12"/>
        <v>15</v>
      </c>
      <c r="B60" s="3904"/>
      <c r="C60" s="3905"/>
      <c r="D60" s="3905"/>
      <c r="E60" s="3905"/>
      <c r="F60" s="3905"/>
      <c r="G60" s="3906"/>
      <c r="H60" s="3907"/>
      <c r="I60" s="3908"/>
      <c r="J60" s="3907"/>
      <c r="K60" s="3905"/>
      <c r="L60" s="3909"/>
      <c r="M60" s="3910"/>
      <c r="N60" s="3911">
        <f t="shared" si="0"/>
        <v>0</v>
      </c>
      <c r="O60" s="3910"/>
      <c r="P60" s="3912"/>
      <c r="Q60" s="3912"/>
      <c r="R60" s="3905"/>
      <c r="S60" s="3913"/>
      <c r="T60" s="3914"/>
      <c r="U60" s="3915"/>
      <c r="V60" s="3916"/>
      <c r="W60" s="3917"/>
      <c r="X60" s="3910"/>
      <c r="Y60" s="3918">
        <f t="shared" si="1"/>
        <v>0</v>
      </c>
      <c r="Z60" s="3909"/>
      <c r="AA60" s="3919">
        <f t="shared" si="2"/>
        <v>0</v>
      </c>
      <c r="AB60" s="3920">
        <f t="shared" si="3"/>
        <v>0</v>
      </c>
      <c r="AC60" s="3921">
        <f t="shared" si="4"/>
        <v>0</v>
      </c>
      <c r="AD60" s="3922">
        <f t="shared" si="17"/>
        <v>0</v>
      </c>
      <c r="AE60" s="3923">
        <f t="shared" si="6"/>
        <v>0</v>
      </c>
      <c r="AF60" s="3904"/>
      <c r="AG60" s="3924"/>
      <c r="AH60" s="3911">
        <f t="shared" si="7"/>
        <v>0</v>
      </c>
      <c r="AI60" s="3911">
        <f t="shared" si="8"/>
        <v>0</v>
      </c>
      <c r="AJ60" s="3925"/>
      <c r="AK60" s="3926"/>
      <c r="AL60" s="3909">
        <f t="shared" si="9"/>
      </c>
      <c r="AM60" s="3918">
        <f t="shared" si="10"/>
        <v>0</v>
      </c>
      <c r="AN60" s="3926"/>
      <c r="AO60" s="3911">
        <f t="shared" si="11"/>
        <v>0</v>
      </c>
      <c r="AP60" s="3926"/>
    </row>
    <row r="61" ht="30" customHeight="1" hidden="1">
      <c r="A61" s="3928">
        <f t="shared" si="12"/>
        <v>16</v>
      </c>
      <c r="B61" s="3904"/>
      <c r="C61" s="3905"/>
      <c r="D61" s="3905"/>
      <c r="E61" s="3905"/>
      <c r="F61" s="3905"/>
      <c r="G61" s="3906"/>
      <c r="H61" s="3907"/>
      <c r="I61" s="3908"/>
      <c r="J61" s="3907"/>
      <c r="K61" s="3905"/>
      <c r="L61" s="3909"/>
      <c r="M61" s="3910"/>
      <c r="N61" s="3911">
        <f t="shared" si="0"/>
        <v>0</v>
      </c>
      <c r="O61" s="3910"/>
      <c r="P61" s="3912"/>
      <c r="Q61" s="3912"/>
      <c r="R61" s="3905"/>
      <c r="S61" s="3913"/>
      <c r="T61" s="3914"/>
      <c r="U61" s="3915"/>
      <c r="V61" s="3916"/>
      <c r="W61" s="3917"/>
      <c r="X61" s="3910"/>
      <c r="Y61" s="3918">
        <f t="shared" si="1"/>
        <v>0</v>
      </c>
      <c r="Z61" s="3909"/>
      <c r="AA61" s="3919">
        <f t="shared" si="2"/>
        <v>0</v>
      </c>
      <c r="AB61" s="3920">
        <f t="shared" si="3"/>
        <v>0</v>
      </c>
      <c r="AC61" s="3921">
        <f t="shared" si="4"/>
        <v>0</v>
      </c>
      <c r="AD61" s="3922">
        <f t="shared" si="17"/>
        <v>0</v>
      </c>
      <c r="AE61" s="3923">
        <f t="shared" si="6"/>
        <v>0</v>
      </c>
      <c r="AF61" s="3904"/>
      <c r="AG61" s="3924"/>
      <c r="AH61" s="3911">
        <f t="shared" si="7"/>
        <v>0</v>
      </c>
      <c r="AI61" s="3911">
        <f t="shared" si="8"/>
        <v>0</v>
      </c>
      <c r="AJ61" s="3925"/>
      <c r="AK61" s="3926"/>
      <c r="AL61" s="3909">
        <f t="shared" si="9"/>
      </c>
      <c r="AM61" s="3918">
        <f t="shared" si="10"/>
        <v>0</v>
      </c>
      <c r="AN61" s="3926"/>
      <c r="AO61" s="3911">
        <f t="shared" si="11"/>
        <v>0</v>
      </c>
      <c r="AP61" s="3926"/>
    </row>
    <row r="62" ht="30" customHeight="1" hidden="1">
      <c r="A62" s="3928">
        <f t="shared" si="12"/>
        <v>17</v>
      </c>
      <c r="B62" s="3904"/>
      <c r="C62" s="3905"/>
      <c r="D62" s="3905"/>
      <c r="E62" s="3905"/>
      <c r="F62" s="3905"/>
      <c r="G62" s="3906"/>
      <c r="H62" s="3907"/>
      <c r="I62" s="3908"/>
      <c r="J62" s="3907"/>
      <c r="K62" s="3905"/>
      <c r="L62" s="3909"/>
      <c r="M62" s="3910"/>
      <c r="N62" s="3911">
        <f t="shared" si="0"/>
        <v>0</v>
      </c>
      <c r="O62" s="3910"/>
      <c r="P62" s="3912"/>
      <c r="Q62" s="3912"/>
      <c r="R62" s="3905"/>
      <c r="S62" s="3913"/>
      <c r="T62" s="3914"/>
      <c r="U62" s="3915"/>
      <c r="V62" s="3916"/>
      <c r="W62" s="3917"/>
      <c r="X62" s="3910"/>
      <c r="Y62" s="3918">
        <f t="shared" si="1"/>
        <v>0</v>
      </c>
      <c r="Z62" s="3909"/>
      <c r="AA62" s="3919">
        <f t="shared" si="2"/>
        <v>0</v>
      </c>
      <c r="AB62" s="3920">
        <f t="shared" si="3"/>
        <v>0</v>
      </c>
      <c r="AC62" s="3921">
        <f t="shared" si="4"/>
        <v>0</v>
      </c>
      <c r="AD62" s="3922">
        <f t="shared" si="17"/>
        <v>0</v>
      </c>
      <c r="AE62" s="3923">
        <f t="shared" si="6"/>
        <v>0</v>
      </c>
      <c r="AF62" s="3904"/>
      <c r="AG62" s="3924"/>
      <c r="AH62" s="3911">
        <f t="shared" si="7"/>
        <v>0</v>
      </c>
      <c r="AI62" s="3911">
        <f t="shared" si="8"/>
        <v>0</v>
      </c>
      <c r="AJ62" s="3925"/>
      <c r="AK62" s="3926"/>
      <c r="AL62" s="3909">
        <f t="shared" si="9"/>
      </c>
      <c r="AM62" s="3918">
        <f t="shared" si="10"/>
        <v>0</v>
      </c>
      <c r="AN62" s="3926"/>
      <c r="AO62" s="3911">
        <f t="shared" si="11"/>
        <v>0</v>
      </c>
      <c r="AP62" s="3926"/>
    </row>
    <row r="63" ht="30" customHeight="1" hidden="1">
      <c r="A63" s="3928">
        <f t="shared" si="12"/>
        <v>18</v>
      </c>
      <c r="B63" s="3904"/>
      <c r="C63" s="3905"/>
      <c r="D63" s="3905"/>
      <c r="E63" s="3905"/>
      <c r="F63" s="3905"/>
      <c r="G63" s="3906"/>
      <c r="H63" s="3907"/>
      <c r="I63" s="3908"/>
      <c r="J63" s="3907"/>
      <c r="K63" s="3905"/>
      <c r="L63" s="3909"/>
      <c r="M63" s="3910"/>
      <c r="N63" s="3911">
        <f t="shared" si="0"/>
        <v>0</v>
      </c>
      <c r="O63" s="3910"/>
      <c r="P63" s="3912"/>
      <c r="Q63" s="3912"/>
      <c r="R63" s="3905"/>
      <c r="S63" s="3913"/>
      <c r="T63" s="3914"/>
      <c r="U63" s="3915"/>
      <c r="V63" s="3916"/>
      <c r="W63" s="3917"/>
      <c r="X63" s="3910"/>
      <c r="Y63" s="3918">
        <f t="shared" si="1"/>
        <v>0</v>
      </c>
      <c r="Z63" s="3909"/>
      <c r="AA63" s="3919">
        <f t="shared" si="2"/>
        <v>0</v>
      </c>
      <c r="AB63" s="3920">
        <f t="shared" si="3"/>
        <v>0</v>
      </c>
      <c r="AC63" s="3921">
        <f t="shared" si="4"/>
        <v>0</v>
      </c>
      <c r="AD63" s="3922">
        <f t="shared" si="17"/>
        <v>0</v>
      </c>
      <c r="AE63" s="3923">
        <f t="shared" si="6"/>
        <v>0</v>
      </c>
      <c r="AF63" s="3904"/>
      <c r="AG63" s="3924"/>
      <c r="AH63" s="3911">
        <f t="shared" si="7"/>
        <v>0</v>
      </c>
      <c r="AI63" s="3911">
        <f t="shared" si="8"/>
        <v>0</v>
      </c>
      <c r="AJ63" s="3925"/>
      <c r="AK63" s="3926"/>
      <c r="AL63" s="3909">
        <f t="shared" si="9"/>
      </c>
      <c r="AM63" s="3918">
        <f t="shared" si="10"/>
        <v>0</v>
      </c>
      <c r="AN63" s="3926"/>
      <c r="AO63" s="3911">
        <f t="shared" si="11"/>
        <v>0</v>
      </c>
      <c r="AP63" s="3926"/>
    </row>
    <row r="64" ht="30" customHeight="1" hidden="1">
      <c r="A64" s="3928">
        <f t="shared" si="12"/>
        <v>19</v>
      </c>
      <c r="B64" s="3904"/>
      <c r="C64" s="3905"/>
      <c r="D64" s="3905"/>
      <c r="E64" s="3905"/>
      <c r="F64" s="3905"/>
      <c r="G64" s="3906"/>
      <c r="H64" s="3907"/>
      <c r="I64" s="3908"/>
      <c r="J64" s="3907"/>
      <c r="K64" s="3905"/>
      <c r="L64" s="3909"/>
      <c r="M64" s="3910"/>
      <c r="N64" s="3911">
        <f t="shared" si="0"/>
        <v>0</v>
      </c>
      <c r="O64" s="3910"/>
      <c r="P64" s="3912"/>
      <c r="Q64" s="3912"/>
      <c r="R64" s="3905"/>
      <c r="S64" s="3913"/>
      <c r="T64" s="3914"/>
      <c r="U64" s="3915"/>
      <c r="V64" s="3916"/>
      <c r="W64" s="3917"/>
      <c r="X64" s="3910"/>
      <c r="Y64" s="3918">
        <f t="shared" si="1"/>
        <v>0</v>
      </c>
      <c r="Z64" s="3909"/>
      <c r="AA64" s="3919">
        <f t="shared" si="2"/>
        <v>0</v>
      </c>
      <c r="AB64" s="3920">
        <f t="shared" si="3"/>
        <v>0</v>
      </c>
      <c r="AC64" s="3921">
        <f t="shared" si="4"/>
        <v>0</v>
      </c>
      <c r="AD64" s="3922">
        <f t="shared" si="17"/>
        <v>0</v>
      </c>
      <c r="AE64" s="3923">
        <f t="shared" si="6"/>
        <v>0</v>
      </c>
      <c r="AF64" s="3904"/>
      <c r="AG64" s="3924"/>
      <c r="AH64" s="3911">
        <f t="shared" si="7"/>
        <v>0</v>
      </c>
      <c r="AI64" s="3911">
        <f t="shared" si="8"/>
        <v>0</v>
      </c>
      <c r="AJ64" s="3925"/>
      <c r="AK64" s="3926"/>
      <c r="AL64" s="3909">
        <f t="shared" si="9"/>
      </c>
      <c r="AM64" s="3918">
        <f t="shared" si="10"/>
        <v>0</v>
      </c>
      <c r="AN64" s="3926"/>
      <c r="AO64" s="3911">
        <f t="shared" si="11"/>
        <v>0</v>
      </c>
      <c r="AP64" s="3926"/>
    </row>
    <row r="65" ht="15.75" customHeight="1" hidden="1">
      <c r="A65" s="3928">
        <f t="shared" si="12"/>
        <v>20</v>
      </c>
      <c r="B65" s="3904"/>
      <c r="C65" s="3905"/>
      <c r="D65" s="3905"/>
      <c r="E65" s="3905"/>
      <c r="F65" s="3905"/>
      <c r="G65" s="3906"/>
      <c r="H65" s="3907"/>
      <c r="I65" s="3908"/>
      <c r="J65" s="3907"/>
      <c r="K65" s="3905"/>
      <c r="L65" s="3909"/>
      <c r="M65" s="3910"/>
      <c r="N65" s="3911">
        <f t="shared" si="0"/>
        <v>0</v>
      </c>
      <c r="O65" s="3910"/>
      <c r="P65" s="3912"/>
      <c r="Q65" s="3912"/>
      <c r="R65" s="3905"/>
      <c r="S65" s="3913"/>
      <c r="T65" s="3914"/>
      <c r="U65" s="3915"/>
      <c r="V65" s="3916"/>
      <c r="W65" s="3917"/>
      <c r="X65" s="3910"/>
      <c r="Y65" s="3918">
        <f t="shared" si="1"/>
        <v>0</v>
      </c>
      <c r="Z65" s="3909"/>
      <c r="AA65" s="3919">
        <f t="shared" si="2"/>
        <v>0</v>
      </c>
      <c r="AB65" s="3920">
        <f t="shared" si="3"/>
        <v>0</v>
      </c>
      <c r="AC65" s="3921">
        <f t="shared" si="4"/>
        <v>0</v>
      </c>
      <c r="AD65" s="3922">
        <f t="shared" si="17"/>
        <v>0</v>
      </c>
      <c r="AE65" s="3923">
        <f t="shared" si="6"/>
        <v>0</v>
      </c>
      <c r="AF65" s="3904"/>
      <c r="AG65" s="3924"/>
      <c r="AH65" s="3911">
        <f t="shared" si="7"/>
        <v>0</v>
      </c>
      <c r="AI65" s="3911">
        <f t="shared" si="8"/>
        <v>0</v>
      </c>
      <c r="AJ65" s="3925"/>
      <c r="AK65" s="3926"/>
      <c r="AL65" s="3909">
        <f t="shared" si="9"/>
      </c>
      <c r="AM65" s="3918">
        <f t="shared" si="10"/>
        <v>0</v>
      </c>
      <c r="AN65" s="3926"/>
      <c r="AO65" s="3911">
        <f t="shared" si="11"/>
        <v>0</v>
      </c>
      <c r="AP65" s="3926"/>
    </row>
    <row r="66" ht="18" customHeight="1">
      <c r="A66" s="3929" t="s">
        <v>2443</v>
      </c>
      <c r="B66" s="3930"/>
      <c r="C66" s="3931"/>
      <c r="D66" s="3931"/>
      <c r="E66" s="3931"/>
      <c r="F66" s="3931"/>
      <c r="G66" s="3932">
        <f t="shared" si="18" ref="G66:AO122">SUM(G46:G65)</f>
        <v>0</v>
      </c>
      <c r="H66" s="3933"/>
      <c r="I66" s="3934">
        <f t="shared" si="23" ref="I66:I122">IF(G66=0,0,SUMPRODUCT(G46:G65,I46:I65)/G66)</f>
        <v>0</v>
      </c>
      <c r="J66" s="3935"/>
      <c r="K66" s="3931"/>
      <c r="L66" s="3936">
        <f t="shared" si="18"/>
        <v>0</v>
      </c>
      <c r="M66" s="3937">
        <f t="shared" si="18"/>
        <v>0</v>
      </c>
      <c r="N66" s="3938">
        <f t="shared" si="0"/>
        <v>0</v>
      </c>
      <c r="O66" s="3939">
        <f t="shared" si="18"/>
        <v>0</v>
      </c>
      <c r="P66" s="3940"/>
      <c r="Q66" s="3941"/>
      <c r="R66" s="3931"/>
      <c r="S66" s="3942"/>
      <c r="T66" s="3943"/>
      <c r="U66" s="3931"/>
      <c r="V66" s="3944"/>
      <c r="W66" s="3945"/>
      <c r="X66" s="3946">
        <f t="shared" si="18"/>
        <v>0</v>
      </c>
      <c r="Y66" s="3947">
        <f t="shared" si="1"/>
        <v>0</v>
      </c>
      <c r="Z66" s="3936">
        <f t="shared" si="18"/>
        <v>0</v>
      </c>
      <c r="AA66" s="3938" t="e">
        <f t="shared" si="2"/>
        <v>#DIV/0!</v>
      </c>
      <c r="AB66" s="3948">
        <f t="shared" si="3"/>
        <v>0</v>
      </c>
      <c r="AC66" s="3976">
        <f t="shared" si="4"/>
        <v>0</v>
      </c>
      <c r="AD66" s="3950">
        <f t="shared" si="17"/>
        <v>0</v>
      </c>
      <c r="AE66" s="3951">
        <f t="shared" si="6"/>
        <v>0</v>
      </c>
      <c r="AF66" s="3952" t="s">
        <v>3354</v>
      </c>
      <c r="AG66" s="3953"/>
      <c r="AH66" s="3937">
        <f t="shared" si="18"/>
        <v>0</v>
      </c>
      <c r="AI66" s="3937">
        <f t="shared" si="18"/>
        <v>0</v>
      </c>
      <c r="AJ66" s="3939">
        <f t="shared" si="18"/>
        <v>0</v>
      </c>
      <c r="AK66" s="3954"/>
      <c r="AL66" s="3946">
        <f t="shared" si="18"/>
        <v>0</v>
      </c>
      <c r="AM66" s="3918">
        <f t="shared" si="10"/>
        <v>0</v>
      </c>
      <c r="AN66" s="3954"/>
      <c r="AO66" s="3946">
        <f t="shared" si="18"/>
        <v>0</v>
      </c>
      <c r="AP66" s="3954"/>
    </row>
    <row r="67" ht="18.75" customHeight="1">
      <c r="A67" s="3078"/>
      <c r="B67" s="3810"/>
      <c r="C67" s="3810"/>
      <c r="D67" s="3811"/>
      <c r="E67" s="3812"/>
      <c r="F67" s="3811"/>
      <c r="G67" s="3813"/>
      <c r="H67" s="3814"/>
      <c r="I67" s="3815"/>
      <c r="J67" s="3816"/>
      <c r="K67" s="3811"/>
      <c r="L67" s="3817"/>
      <c r="M67" s="3818"/>
      <c r="N67" s="3817"/>
      <c r="O67" s="3817"/>
      <c r="P67" s="3817"/>
      <c r="Q67" s="3817"/>
      <c r="R67" s="3811"/>
      <c r="S67" s="3078"/>
      <c r="T67" s="2648"/>
      <c r="U67" s="3811"/>
      <c r="V67" s="3955"/>
      <c r="W67" s="3955"/>
      <c r="X67" s="3818"/>
      <c r="Y67" s="3819"/>
      <c r="Z67" s="3817"/>
      <c r="AA67" s="3817"/>
      <c r="AB67" s="3820"/>
      <c r="AC67" s="3956"/>
      <c r="AD67" s="3956"/>
      <c r="AE67" s="3956"/>
      <c r="AF67" s="3957" t="s">
        <v>3355</v>
      </c>
      <c r="AG67" s="3958"/>
      <c r="AH67" s="3959">
        <f t="shared" si="20" ref="AH67:AH123">SUM(Z46:Z65)-SUM(N46:N65)</f>
        <v>0</v>
      </c>
      <c r="AI67" s="3959">
        <f t="shared" si="21" ref="AI67:AI123">SUM(X46:X65)-SUM(O46:O65)</f>
        <v>0</v>
      </c>
      <c r="AJ67" s="3818"/>
      <c r="AK67" s="3078"/>
      <c r="AL67" s="3818"/>
      <c r="AM67" s="3819"/>
      <c r="AN67" s="3078"/>
      <c r="AO67" s="3842"/>
      <c r="AP67" s="3078"/>
    </row>
    <row r="68" ht="15" customHeight="1">
      <c r="A68" s="3078"/>
      <c r="B68" s="3810"/>
      <c r="C68" s="3810"/>
      <c r="D68" s="3811"/>
      <c r="E68" s="3812"/>
      <c r="F68" s="3811"/>
      <c r="G68" s="3813"/>
      <c r="H68" s="3814"/>
      <c r="I68" s="3815"/>
      <c r="J68" s="3816"/>
      <c r="K68" s="3811"/>
      <c r="L68" s="3817"/>
      <c r="M68" s="3818"/>
      <c r="N68" s="3817"/>
      <c r="O68" s="3817"/>
      <c r="P68" s="3817"/>
      <c r="Q68" s="3817"/>
      <c r="R68" s="3811"/>
      <c r="S68" s="3078"/>
      <c r="T68" s="2648"/>
      <c r="U68" s="3811"/>
      <c r="V68" s="3812"/>
      <c r="W68" s="3812"/>
      <c r="X68" s="3818"/>
      <c r="Y68" s="3819"/>
      <c r="Z68" s="3817"/>
      <c r="AA68" s="3817"/>
      <c r="AB68" s="3820"/>
      <c r="AC68" s="3820"/>
      <c r="AD68" s="3820"/>
      <c r="AE68" s="3820"/>
      <c r="AF68" s="3811"/>
      <c r="AG68" s="3821"/>
      <c r="AH68" s="3818"/>
      <c r="AI68" s="3817"/>
      <c r="AJ68" s="3818"/>
      <c r="AK68" s="3078"/>
      <c r="AL68" s="3818"/>
      <c r="AM68" s="3819"/>
      <c r="AN68" s="3078"/>
      <c r="AO68" s="3078"/>
      <c r="AP68" s="3078"/>
    </row>
    <row r="69" ht="15.75" customHeight="1">
      <c r="A69" s="3078"/>
      <c r="B69" s="3810"/>
      <c r="C69" s="3810"/>
      <c r="D69" s="3811"/>
      <c r="E69" s="3812"/>
      <c r="F69" s="3811"/>
      <c r="G69" s="3813"/>
      <c r="H69" s="3814"/>
      <c r="I69" s="3815"/>
      <c r="J69" s="3816"/>
      <c r="K69" s="3811"/>
      <c r="L69" s="3817"/>
      <c r="M69" s="3818"/>
      <c r="N69" s="3817"/>
      <c r="O69" s="3817"/>
      <c r="P69" s="3817"/>
      <c r="Q69" s="3817"/>
      <c r="R69" s="3811"/>
      <c r="S69" s="3078"/>
      <c r="T69" s="2648"/>
      <c r="U69" s="3811"/>
      <c r="V69" s="3812"/>
      <c r="W69" s="3812"/>
      <c r="X69" s="3818"/>
      <c r="Y69" s="3819"/>
      <c r="Z69" s="3817"/>
      <c r="AA69" s="3817"/>
      <c r="AB69" s="3820"/>
      <c r="AC69" s="3820"/>
      <c r="AD69" s="3820"/>
      <c r="AE69" s="3820"/>
      <c r="AF69" s="3811"/>
      <c r="AG69" s="3821"/>
      <c r="AH69" s="3818"/>
      <c r="AI69" s="3817"/>
      <c r="AJ69" s="3818"/>
      <c r="AK69" s="3078"/>
      <c r="AL69" s="3818"/>
      <c r="AM69" s="3819"/>
      <c r="AN69" s="3078"/>
      <c r="AO69" s="3078"/>
      <c r="AP69" s="3078"/>
    </row>
    <row r="70" ht="15.75" customHeight="1">
      <c r="A70" s="3831" t="s">
        <v>3362</v>
      </c>
      <c r="B70" s="3832"/>
      <c r="C70" s="3832"/>
      <c r="D70" s="3833"/>
      <c r="E70" s="3834"/>
      <c r="F70" s="3840"/>
      <c r="G70" s="3836"/>
      <c r="H70" s="3837"/>
      <c r="I70" s="3838"/>
      <c r="J70" s="3839"/>
      <c r="K70" s="3840"/>
      <c r="L70" s="3841"/>
      <c r="M70" s="3842"/>
      <c r="N70" s="3841"/>
      <c r="O70" s="3841"/>
      <c r="P70" s="3841"/>
      <c r="Q70" s="3841"/>
      <c r="R70" s="3840"/>
      <c r="S70" s="3846"/>
      <c r="T70" s="3975"/>
      <c r="U70" s="3840"/>
      <c r="V70" s="3834"/>
      <c r="W70" s="3834"/>
      <c r="X70" s="3842"/>
      <c r="Y70" s="3843"/>
      <c r="Z70" s="3841"/>
      <c r="AA70" s="3841"/>
      <c r="AB70" s="3844"/>
      <c r="AC70" s="3844"/>
      <c r="AD70" s="3844"/>
      <c r="AE70" s="3844"/>
      <c r="AF70" s="3840"/>
      <c r="AG70" s="3845"/>
      <c r="AH70" s="3842"/>
      <c r="AI70" s="3841"/>
      <c r="AJ70" s="3842"/>
      <c r="AK70" s="3846"/>
      <c r="AL70" s="3842"/>
      <c r="AM70" s="3843"/>
      <c r="AN70" s="3846"/>
      <c r="AO70" s="3846"/>
      <c r="AP70" s="3846"/>
    </row>
    <row r="71" ht="15.75" customHeight="1">
      <c r="A71" s="3847" t="s">
        <v>3318</v>
      </c>
      <c r="B71" s="3828"/>
      <c r="C71" s="3828"/>
      <c r="D71" s="3828"/>
      <c r="E71" s="3828"/>
      <c r="F71" s="3828"/>
      <c r="G71" s="3828"/>
      <c r="H71" s="3828"/>
      <c r="I71" s="3828"/>
      <c r="J71" s="3828"/>
      <c r="K71" s="3848"/>
      <c r="L71" s="3849" t="s">
        <v>3319</v>
      </c>
      <c r="M71" s="3850"/>
      <c r="N71" s="3850"/>
      <c r="O71" s="3850"/>
      <c r="P71" s="3850"/>
      <c r="Q71" s="3850"/>
      <c r="R71" s="3850"/>
      <c r="S71" s="3850"/>
      <c r="T71" s="3850"/>
      <c r="U71" s="3850"/>
      <c r="V71" s="3851"/>
      <c r="W71" s="3850"/>
      <c r="X71" s="3852" t="s">
        <v>3320</v>
      </c>
      <c r="Y71" s="3853"/>
      <c r="Z71" s="3854" t="s">
        <v>3321</v>
      </c>
      <c r="AA71" s="3829"/>
      <c r="AB71" s="3829"/>
      <c r="AC71" s="3830"/>
      <c r="AD71" s="3852" t="s">
        <v>3322</v>
      </c>
      <c r="AE71" s="3853"/>
      <c r="AF71" s="3855" t="s">
        <v>3323</v>
      </c>
      <c r="AG71" s="3856"/>
      <c r="AH71" s="3856"/>
      <c r="AI71" s="3856"/>
      <c r="AJ71" s="3857"/>
      <c r="AK71" s="3846"/>
      <c r="AL71" s="3852" t="s">
        <v>3320</v>
      </c>
      <c r="AM71" s="3853"/>
      <c r="AN71" s="3846"/>
      <c r="AO71" s="3846"/>
      <c r="AP71" s="3846"/>
    </row>
    <row r="72" ht="15" customHeight="1">
      <c r="A72" s="3858" t="s">
        <v>3103</v>
      </c>
      <c r="B72" s="3859" t="s">
        <v>3325</v>
      </c>
      <c r="C72" s="3860" t="s">
        <v>273</v>
      </c>
      <c r="D72" s="3860" t="s">
        <v>279</v>
      </c>
      <c r="E72" s="3860" t="s">
        <v>289</v>
      </c>
      <c r="F72" s="3860" t="s">
        <v>3363</v>
      </c>
      <c r="G72" s="3861" t="s">
        <v>3364</v>
      </c>
      <c r="H72" s="3861" t="s">
        <v>3365</v>
      </c>
      <c r="I72" s="3862" t="s">
        <v>3328</v>
      </c>
      <c r="J72" s="3863" t="s">
        <v>3329</v>
      </c>
      <c r="K72" s="3864" t="s">
        <v>3330</v>
      </c>
      <c r="L72" s="3865" t="s">
        <v>3331</v>
      </c>
      <c r="M72" s="3866" t="s">
        <v>3332</v>
      </c>
      <c r="N72" s="3866" t="s">
        <v>3333</v>
      </c>
      <c r="O72" s="3866" t="s">
        <v>3334</v>
      </c>
      <c r="P72" s="3867" t="s">
        <v>3335</v>
      </c>
      <c r="Q72" s="3868"/>
      <c r="R72" s="3860" t="s">
        <v>3336</v>
      </c>
      <c r="S72" s="3860" t="s">
        <v>578</v>
      </c>
      <c r="T72" s="3863" t="s">
        <v>3337</v>
      </c>
      <c r="U72" s="3860" t="s">
        <v>3338</v>
      </c>
      <c r="V72" s="3864"/>
      <c r="W72" s="3869" t="s">
        <v>3340</v>
      </c>
      <c r="X72" s="3870" t="s">
        <v>3373</v>
      </c>
      <c r="Y72" s="3871" t="s">
        <v>3342</v>
      </c>
      <c r="Z72" s="3865" t="s">
        <v>3343</v>
      </c>
      <c r="AA72" s="3872" t="s">
        <v>3361</v>
      </c>
      <c r="AB72" s="3873" t="s">
        <v>3345</v>
      </c>
      <c r="AC72" s="3874" t="s">
        <v>760</v>
      </c>
      <c r="AD72" s="3880">
        <f>_xlfn.IFERROR(AD6,0)</f>
        <v>0</v>
      </c>
      <c r="AE72" s="3876"/>
      <c r="AF72" s="3859" t="str">
        <f t="shared" si="15"/>
        <v>XXXX Ownership Role</v>
      </c>
      <c r="AG72" s="3877" t="str">
        <f t="shared" si="16"/>
        <v>XXXX Ownership Interest</v>
      </c>
      <c r="AH72" s="3872" t="s">
        <v>3348</v>
      </c>
      <c r="AI72" s="3872" t="s">
        <v>3349</v>
      </c>
      <c r="AJ72" s="3878" t="s">
        <v>3350</v>
      </c>
      <c r="AK72" s="3879"/>
      <c r="AL72" s="3870" t="s">
        <v>3353</v>
      </c>
      <c r="AM72" s="3871" t="s">
        <v>3342</v>
      </c>
      <c r="AN72" s="3879"/>
      <c r="AO72" s="3872" t="s">
        <v>3348</v>
      </c>
      <c r="AP72" s="3879"/>
    </row>
    <row r="73" ht="41.25" customHeight="1">
      <c r="A73" s="3882"/>
      <c r="B73" s="3883"/>
      <c r="C73" s="3884"/>
      <c r="D73" s="3884"/>
      <c r="E73" s="3884"/>
      <c r="F73" s="3884"/>
      <c r="G73" s="3885"/>
      <c r="H73" s="3885"/>
      <c r="I73" s="3886"/>
      <c r="J73" s="3887"/>
      <c r="K73" s="3888"/>
      <c r="L73" s="3889"/>
      <c r="M73" s="3890"/>
      <c r="N73" s="3890"/>
      <c r="O73" s="3890"/>
      <c r="P73" s="3891"/>
      <c r="Q73" s="3892"/>
      <c r="R73" s="3884"/>
      <c r="S73" s="3884"/>
      <c r="T73" s="3887"/>
      <c r="U73" s="3884"/>
      <c r="V73" s="3888"/>
      <c r="W73" s="3893"/>
      <c r="X73" s="3894"/>
      <c r="Y73" s="3895"/>
      <c r="Z73" s="3889"/>
      <c r="AA73" s="3896"/>
      <c r="AB73" s="3897"/>
      <c r="AC73" s="3898"/>
      <c r="AD73" s="3899" t="s">
        <v>3351</v>
      </c>
      <c r="AE73" s="3899" t="s">
        <v>3352</v>
      </c>
      <c r="AF73" s="3883"/>
      <c r="AG73" s="3900"/>
      <c r="AH73" s="3896"/>
      <c r="AI73" s="3896"/>
      <c r="AJ73" s="3901"/>
      <c r="AK73" s="3879"/>
      <c r="AL73" s="3894"/>
      <c r="AM73" s="3895"/>
      <c r="AN73" s="3879"/>
      <c r="AO73" s="3896"/>
      <c r="AP73" s="3879"/>
    </row>
    <row r="74" ht="30" customHeight="1">
      <c r="A74" s="3903">
        <v>1</v>
      </c>
      <c r="B74" s="3904"/>
      <c r="C74" s="3905"/>
      <c r="D74" s="3905"/>
      <c r="E74" s="3905"/>
      <c r="F74" s="3905"/>
      <c r="G74" s="3906"/>
      <c r="H74" s="3907"/>
      <c r="I74" s="3908"/>
      <c r="J74" s="3907"/>
      <c r="K74" s="3905"/>
      <c r="L74" s="3909"/>
      <c r="M74" s="3910"/>
      <c r="N74" s="3911">
        <f t="shared" si="0"/>
        <v>0</v>
      </c>
      <c r="O74" s="3910"/>
      <c r="P74" s="3912"/>
      <c r="Q74" s="3912"/>
      <c r="R74" s="3905"/>
      <c r="S74" s="3913"/>
      <c r="T74" s="3914"/>
      <c r="U74" s="3915"/>
      <c r="V74" s="3916"/>
      <c r="W74" s="3917"/>
      <c r="X74" s="3910"/>
      <c r="Y74" s="3918">
        <f t="shared" si="1"/>
        <v>0</v>
      </c>
      <c r="Z74" s="3909"/>
      <c r="AA74" s="3919">
        <f t="shared" si="2"/>
        <v>0</v>
      </c>
      <c r="AB74" s="3920">
        <f t="shared" si="3"/>
        <v>0</v>
      </c>
      <c r="AC74" s="3921">
        <f t="shared" si="4"/>
        <v>0</v>
      </c>
      <c r="AD74" s="3922">
        <f t="shared" si="19" ref="AD74:AD94">_xlfn.IFERROR(X74/$AD$72,0)</f>
        <v>0</v>
      </c>
      <c r="AE74" s="3923">
        <f t="shared" si="6"/>
        <v>0</v>
      </c>
      <c r="AF74" s="3904"/>
      <c r="AG74" s="3924"/>
      <c r="AH74" s="3911">
        <f t="shared" si="7"/>
        <v>0</v>
      </c>
      <c r="AI74" s="3911">
        <f t="shared" si="8"/>
        <v>0</v>
      </c>
      <c r="AJ74" s="3925"/>
      <c r="AK74" s="3926"/>
      <c r="AL74" s="3909">
        <f t="shared" si="9"/>
      </c>
      <c r="AM74" s="3918">
        <f t="shared" si="10"/>
        <v>0</v>
      </c>
      <c r="AN74" s="3926"/>
      <c r="AO74" s="3911">
        <f t="shared" si="11"/>
        <v>0</v>
      </c>
      <c r="AP74" s="3926"/>
    </row>
    <row r="75" ht="30" customHeight="1">
      <c r="A75" s="3928">
        <f t="shared" si="12"/>
        <v>2</v>
      </c>
      <c r="B75" s="3904"/>
      <c r="C75" s="3905"/>
      <c r="D75" s="3905"/>
      <c r="E75" s="3905"/>
      <c r="F75" s="3905"/>
      <c r="G75" s="3906"/>
      <c r="H75" s="3907"/>
      <c r="I75" s="3908"/>
      <c r="J75" s="3907"/>
      <c r="K75" s="3905"/>
      <c r="L75" s="3909"/>
      <c r="M75" s="3910"/>
      <c r="N75" s="3911">
        <f t="shared" si="0"/>
        <v>0</v>
      </c>
      <c r="O75" s="3910"/>
      <c r="P75" s="3912"/>
      <c r="Q75" s="3912"/>
      <c r="R75" s="3905"/>
      <c r="S75" s="3913"/>
      <c r="T75" s="3914"/>
      <c r="U75" s="3915"/>
      <c r="V75" s="3916"/>
      <c r="W75" s="3917"/>
      <c r="X75" s="3910"/>
      <c r="Y75" s="3918">
        <f t="shared" si="1"/>
        <v>0</v>
      </c>
      <c r="Z75" s="3909"/>
      <c r="AA75" s="3919">
        <f t="shared" si="2"/>
        <v>0</v>
      </c>
      <c r="AB75" s="3920">
        <f t="shared" si="3"/>
        <v>0</v>
      </c>
      <c r="AC75" s="3921">
        <f t="shared" si="4"/>
        <v>0</v>
      </c>
      <c r="AD75" s="3922">
        <f t="shared" si="19"/>
        <v>0</v>
      </c>
      <c r="AE75" s="3923">
        <f t="shared" si="6"/>
        <v>0</v>
      </c>
      <c r="AF75" s="3904"/>
      <c r="AG75" s="3924"/>
      <c r="AH75" s="3911">
        <f t="shared" si="7"/>
        <v>0</v>
      </c>
      <c r="AI75" s="3911">
        <f t="shared" si="8"/>
        <v>0</v>
      </c>
      <c r="AJ75" s="3925"/>
      <c r="AK75" s="3926"/>
      <c r="AL75" s="3909">
        <f t="shared" si="9"/>
      </c>
      <c r="AM75" s="3918">
        <f t="shared" si="10"/>
        <v>0</v>
      </c>
      <c r="AN75" s="3926"/>
      <c r="AO75" s="3911">
        <f t="shared" si="11"/>
        <v>0</v>
      </c>
      <c r="AP75" s="3926"/>
    </row>
    <row r="76" ht="30" customHeight="1">
      <c r="A76" s="3928">
        <f t="shared" si="12"/>
        <v>3</v>
      </c>
      <c r="B76" s="3904"/>
      <c r="C76" s="3905"/>
      <c r="D76" s="3905"/>
      <c r="E76" s="3905"/>
      <c r="F76" s="3905"/>
      <c r="G76" s="3906"/>
      <c r="H76" s="3907"/>
      <c r="I76" s="3908"/>
      <c r="J76" s="3907"/>
      <c r="K76" s="3905"/>
      <c r="L76" s="3909"/>
      <c r="M76" s="3910"/>
      <c r="N76" s="3911">
        <f t="shared" si="0"/>
        <v>0</v>
      </c>
      <c r="O76" s="3910"/>
      <c r="P76" s="3912"/>
      <c r="Q76" s="3912"/>
      <c r="R76" s="3905"/>
      <c r="S76" s="3913"/>
      <c r="T76" s="3914"/>
      <c r="U76" s="3915"/>
      <c r="V76" s="3916"/>
      <c r="W76" s="3917"/>
      <c r="X76" s="3910"/>
      <c r="Y76" s="3918">
        <f t="shared" si="1"/>
        <v>0</v>
      </c>
      <c r="Z76" s="3909"/>
      <c r="AA76" s="3919">
        <f t="shared" si="2"/>
        <v>0</v>
      </c>
      <c r="AB76" s="3920">
        <f t="shared" si="3"/>
        <v>0</v>
      </c>
      <c r="AC76" s="3921">
        <f t="shared" si="4"/>
        <v>0</v>
      </c>
      <c r="AD76" s="3922">
        <f t="shared" si="19"/>
        <v>0</v>
      </c>
      <c r="AE76" s="3923">
        <f t="shared" si="6"/>
        <v>0</v>
      </c>
      <c r="AF76" s="3904"/>
      <c r="AG76" s="3924"/>
      <c r="AH76" s="3911">
        <f t="shared" si="7"/>
        <v>0</v>
      </c>
      <c r="AI76" s="3911">
        <f t="shared" si="8"/>
        <v>0</v>
      </c>
      <c r="AJ76" s="3925"/>
      <c r="AK76" s="3926"/>
      <c r="AL76" s="3909">
        <f t="shared" si="9"/>
      </c>
      <c r="AM76" s="3918">
        <f t="shared" si="10"/>
        <v>0</v>
      </c>
      <c r="AN76" s="3926"/>
      <c r="AO76" s="3911">
        <f t="shared" si="11"/>
        <v>0</v>
      </c>
      <c r="AP76" s="3926"/>
    </row>
    <row r="77" ht="30" customHeight="1" hidden="1">
      <c r="A77" s="3928">
        <f t="shared" si="12"/>
        <v>4</v>
      </c>
      <c r="B77" s="3904"/>
      <c r="C77" s="3905"/>
      <c r="D77" s="3905"/>
      <c r="E77" s="3905"/>
      <c r="F77" s="3905"/>
      <c r="G77" s="3906"/>
      <c r="H77" s="3907"/>
      <c r="I77" s="3908"/>
      <c r="J77" s="3907"/>
      <c r="K77" s="3905"/>
      <c r="L77" s="3909"/>
      <c r="M77" s="3910"/>
      <c r="N77" s="3911">
        <f t="shared" si="0"/>
        <v>0</v>
      </c>
      <c r="O77" s="3910"/>
      <c r="P77" s="3912"/>
      <c r="Q77" s="3912"/>
      <c r="R77" s="3905"/>
      <c r="S77" s="3913"/>
      <c r="T77" s="3914"/>
      <c r="U77" s="3915"/>
      <c r="V77" s="3916"/>
      <c r="W77" s="3917"/>
      <c r="X77" s="3910"/>
      <c r="Y77" s="3918">
        <f t="shared" si="1"/>
        <v>0</v>
      </c>
      <c r="Z77" s="3909"/>
      <c r="AA77" s="3919">
        <f t="shared" si="2"/>
        <v>0</v>
      </c>
      <c r="AB77" s="3920">
        <f t="shared" si="3"/>
        <v>0</v>
      </c>
      <c r="AC77" s="3921">
        <f t="shared" si="4"/>
        <v>0</v>
      </c>
      <c r="AD77" s="3922">
        <f t="shared" si="19"/>
        <v>0</v>
      </c>
      <c r="AE77" s="3923">
        <f t="shared" si="6"/>
        <v>0</v>
      </c>
      <c r="AF77" s="3904"/>
      <c r="AG77" s="3924"/>
      <c r="AH77" s="3911">
        <f t="shared" si="7"/>
        <v>0</v>
      </c>
      <c r="AI77" s="3911">
        <f t="shared" si="8"/>
        <v>0</v>
      </c>
      <c r="AJ77" s="3925"/>
      <c r="AK77" s="3926"/>
      <c r="AL77" s="3909">
        <f t="shared" si="9"/>
      </c>
      <c r="AM77" s="3918">
        <f t="shared" si="10"/>
        <v>0</v>
      </c>
      <c r="AN77" s="3926"/>
      <c r="AO77" s="3911">
        <f t="shared" si="11"/>
        <v>0</v>
      </c>
      <c r="AP77" s="3926"/>
    </row>
    <row r="78" ht="30" customHeight="1" hidden="1">
      <c r="A78" s="3928">
        <f t="shared" si="12"/>
        <v>5</v>
      </c>
      <c r="B78" s="3904"/>
      <c r="C78" s="3905"/>
      <c r="D78" s="3905"/>
      <c r="E78" s="3905"/>
      <c r="F78" s="3905"/>
      <c r="G78" s="3906"/>
      <c r="H78" s="3907"/>
      <c r="I78" s="3908"/>
      <c r="J78" s="3907"/>
      <c r="K78" s="3905"/>
      <c r="L78" s="3909"/>
      <c r="M78" s="3910"/>
      <c r="N78" s="3911">
        <f t="shared" si="0"/>
        <v>0</v>
      </c>
      <c r="O78" s="3910"/>
      <c r="P78" s="3912"/>
      <c r="Q78" s="3912"/>
      <c r="R78" s="3905"/>
      <c r="S78" s="3913"/>
      <c r="T78" s="3914"/>
      <c r="U78" s="3915"/>
      <c r="V78" s="3916"/>
      <c r="W78" s="3917"/>
      <c r="X78" s="3910"/>
      <c r="Y78" s="3918">
        <f t="shared" si="1"/>
        <v>0</v>
      </c>
      <c r="Z78" s="3909"/>
      <c r="AA78" s="3919">
        <f t="shared" si="2"/>
        <v>0</v>
      </c>
      <c r="AB78" s="3920">
        <f t="shared" si="3"/>
        <v>0</v>
      </c>
      <c r="AC78" s="3921">
        <f t="shared" si="4"/>
        <v>0</v>
      </c>
      <c r="AD78" s="3922">
        <f t="shared" si="19"/>
        <v>0</v>
      </c>
      <c r="AE78" s="3923">
        <f t="shared" si="6"/>
        <v>0</v>
      </c>
      <c r="AF78" s="3904"/>
      <c r="AG78" s="3924"/>
      <c r="AH78" s="3911">
        <f t="shared" si="7"/>
        <v>0</v>
      </c>
      <c r="AI78" s="3911">
        <f t="shared" si="8"/>
        <v>0</v>
      </c>
      <c r="AJ78" s="3925"/>
      <c r="AK78" s="3926"/>
      <c r="AL78" s="3909">
        <f t="shared" si="9"/>
      </c>
      <c r="AM78" s="3918">
        <f t="shared" si="10"/>
        <v>0</v>
      </c>
      <c r="AN78" s="3926"/>
      <c r="AO78" s="3911">
        <f t="shared" si="11"/>
        <v>0</v>
      </c>
      <c r="AP78" s="3926"/>
    </row>
    <row r="79" ht="30" customHeight="1" hidden="1">
      <c r="A79" s="3928">
        <f t="shared" si="12"/>
        <v>6</v>
      </c>
      <c r="B79" s="3904"/>
      <c r="C79" s="3905"/>
      <c r="D79" s="3905"/>
      <c r="E79" s="3905"/>
      <c r="F79" s="3905"/>
      <c r="G79" s="3906"/>
      <c r="H79" s="3907"/>
      <c r="I79" s="3908"/>
      <c r="J79" s="3907"/>
      <c r="K79" s="3905"/>
      <c r="L79" s="3909"/>
      <c r="M79" s="3910"/>
      <c r="N79" s="3911">
        <f t="shared" si="0"/>
        <v>0</v>
      </c>
      <c r="O79" s="3910"/>
      <c r="P79" s="3912"/>
      <c r="Q79" s="3912"/>
      <c r="R79" s="3905"/>
      <c r="S79" s="3913"/>
      <c r="T79" s="3914"/>
      <c r="U79" s="3915"/>
      <c r="V79" s="3916"/>
      <c r="W79" s="3917"/>
      <c r="X79" s="3910"/>
      <c r="Y79" s="3918">
        <f t="shared" si="1"/>
        <v>0</v>
      </c>
      <c r="Z79" s="3909"/>
      <c r="AA79" s="3919">
        <f t="shared" si="2"/>
        <v>0</v>
      </c>
      <c r="AB79" s="3920">
        <f t="shared" si="3"/>
        <v>0</v>
      </c>
      <c r="AC79" s="3921">
        <f t="shared" si="4"/>
        <v>0</v>
      </c>
      <c r="AD79" s="3922">
        <f t="shared" si="19"/>
        <v>0</v>
      </c>
      <c r="AE79" s="3923">
        <f t="shared" si="6"/>
        <v>0</v>
      </c>
      <c r="AF79" s="3904"/>
      <c r="AG79" s="3924"/>
      <c r="AH79" s="3911">
        <f t="shared" si="7"/>
        <v>0</v>
      </c>
      <c r="AI79" s="3911">
        <f t="shared" si="8"/>
        <v>0</v>
      </c>
      <c r="AJ79" s="3925"/>
      <c r="AK79" s="3926"/>
      <c r="AL79" s="3909">
        <f t="shared" si="9"/>
      </c>
      <c r="AM79" s="3918">
        <f t="shared" si="10"/>
        <v>0</v>
      </c>
      <c r="AN79" s="3926"/>
      <c r="AO79" s="3911">
        <f t="shared" si="11"/>
        <v>0</v>
      </c>
      <c r="AP79" s="3926"/>
    </row>
    <row r="80" ht="30" customHeight="1" hidden="1">
      <c r="A80" s="3928">
        <f t="shared" si="12"/>
        <v>7</v>
      </c>
      <c r="B80" s="3904"/>
      <c r="C80" s="3905"/>
      <c r="D80" s="3905"/>
      <c r="E80" s="3905"/>
      <c r="F80" s="3905"/>
      <c r="G80" s="3906"/>
      <c r="H80" s="3907"/>
      <c r="I80" s="3908"/>
      <c r="J80" s="3907"/>
      <c r="K80" s="3905"/>
      <c r="L80" s="3909"/>
      <c r="M80" s="3910"/>
      <c r="N80" s="3911">
        <f t="shared" si="0"/>
        <v>0</v>
      </c>
      <c r="O80" s="3910"/>
      <c r="P80" s="3912"/>
      <c r="Q80" s="3912"/>
      <c r="R80" s="3905"/>
      <c r="S80" s="3913"/>
      <c r="T80" s="3914"/>
      <c r="U80" s="3915"/>
      <c r="V80" s="3916"/>
      <c r="W80" s="3917"/>
      <c r="X80" s="3910"/>
      <c r="Y80" s="3918">
        <f t="shared" si="1"/>
        <v>0</v>
      </c>
      <c r="Z80" s="3909"/>
      <c r="AA80" s="3919">
        <f t="shared" si="2"/>
        <v>0</v>
      </c>
      <c r="AB80" s="3920">
        <f t="shared" si="3"/>
        <v>0</v>
      </c>
      <c r="AC80" s="3921">
        <f t="shared" si="4"/>
        <v>0</v>
      </c>
      <c r="AD80" s="3922">
        <f t="shared" si="19"/>
        <v>0</v>
      </c>
      <c r="AE80" s="3923">
        <f t="shared" si="6"/>
        <v>0</v>
      </c>
      <c r="AF80" s="3904"/>
      <c r="AG80" s="3924"/>
      <c r="AH80" s="3911">
        <f t="shared" si="7"/>
        <v>0</v>
      </c>
      <c r="AI80" s="3911">
        <f t="shared" si="8"/>
        <v>0</v>
      </c>
      <c r="AJ80" s="3925"/>
      <c r="AK80" s="3926"/>
      <c r="AL80" s="3909">
        <f t="shared" si="9"/>
      </c>
      <c r="AM80" s="3918">
        <f t="shared" si="10"/>
        <v>0</v>
      </c>
      <c r="AN80" s="3926"/>
      <c r="AO80" s="3911">
        <f t="shared" si="11"/>
        <v>0</v>
      </c>
      <c r="AP80" s="3926"/>
    </row>
    <row r="81" ht="30" customHeight="1" hidden="1">
      <c r="A81" s="3928">
        <f t="shared" si="12"/>
        <v>8</v>
      </c>
      <c r="B81" s="3904"/>
      <c r="C81" s="3905"/>
      <c r="D81" s="3905"/>
      <c r="E81" s="3905"/>
      <c r="F81" s="3905"/>
      <c r="G81" s="3906"/>
      <c r="H81" s="3907"/>
      <c r="I81" s="3908"/>
      <c r="J81" s="3907"/>
      <c r="K81" s="3905"/>
      <c r="L81" s="3909"/>
      <c r="M81" s="3910"/>
      <c r="N81" s="3911">
        <f t="shared" si="0"/>
        <v>0</v>
      </c>
      <c r="O81" s="3910"/>
      <c r="P81" s="3912"/>
      <c r="Q81" s="3912"/>
      <c r="R81" s="3905"/>
      <c r="S81" s="3913"/>
      <c r="T81" s="3914"/>
      <c r="U81" s="3915"/>
      <c r="V81" s="3916"/>
      <c r="W81" s="3917"/>
      <c r="X81" s="3910"/>
      <c r="Y81" s="3918">
        <f t="shared" si="1"/>
        <v>0</v>
      </c>
      <c r="Z81" s="3909"/>
      <c r="AA81" s="3919">
        <f t="shared" si="2"/>
        <v>0</v>
      </c>
      <c r="AB81" s="3920">
        <f t="shared" si="3"/>
        <v>0</v>
      </c>
      <c r="AC81" s="3921">
        <f t="shared" si="4"/>
        <v>0</v>
      </c>
      <c r="AD81" s="3922">
        <f t="shared" si="19"/>
        <v>0</v>
      </c>
      <c r="AE81" s="3923">
        <f t="shared" si="6"/>
        <v>0</v>
      </c>
      <c r="AF81" s="3904"/>
      <c r="AG81" s="3924"/>
      <c r="AH81" s="3911">
        <f t="shared" si="7"/>
        <v>0</v>
      </c>
      <c r="AI81" s="3911">
        <f t="shared" si="8"/>
        <v>0</v>
      </c>
      <c r="AJ81" s="3925"/>
      <c r="AK81" s="3926"/>
      <c r="AL81" s="3909">
        <f t="shared" si="9"/>
      </c>
      <c r="AM81" s="3918">
        <f t="shared" si="10"/>
        <v>0</v>
      </c>
      <c r="AN81" s="3926"/>
      <c r="AO81" s="3911">
        <f t="shared" si="11"/>
        <v>0</v>
      </c>
      <c r="AP81" s="3926"/>
    </row>
    <row r="82" ht="30" customHeight="1" hidden="1">
      <c r="A82" s="3928">
        <f t="shared" si="12"/>
        <v>9</v>
      </c>
      <c r="B82" s="3904"/>
      <c r="C82" s="3905"/>
      <c r="D82" s="3905"/>
      <c r="E82" s="3905"/>
      <c r="F82" s="3905"/>
      <c r="G82" s="3906"/>
      <c r="H82" s="3907"/>
      <c r="I82" s="3908"/>
      <c r="J82" s="3907"/>
      <c r="K82" s="3905"/>
      <c r="L82" s="3909"/>
      <c r="M82" s="3910"/>
      <c r="N82" s="3911">
        <f t="shared" si="0"/>
        <v>0</v>
      </c>
      <c r="O82" s="3910"/>
      <c r="P82" s="3912"/>
      <c r="Q82" s="3912"/>
      <c r="R82" s="3905"/>
      <c r="S82" s="3913"/>
      <c r="T82" s="3914"/>
      <c r="U82" s="3915"/>
      <c r="V82" s="3916"/>
      <c r="W82" s="3917"/>
      <c r="X82" s="3910"/>
      <c r="Y82" s="3918">
        <f t="shared" si="1"/>
        <v>0</v>
      </c>
      <c r="Z82" s="3909"/>
      <c r="AA82" s="3919">
        <f t="shared" si="2"/>
        <v>0</v>
      </c>
      <c r="AB82" s="3920">
        <f t="shared" si="3"/>
        <v>0</v>
      </c>
      <c r="AC82" s="3921">
        <f t="shared" si="4"/>
        <v>0</v>
      </c>
      <c r="AD82" s="3922">
        <f t="shared" si="19"/>
        <v>0</v>
      </c>
      <c r="AE82" s="3923">
        <f t="shared" si="6"/>
        <v>0</v>
      </c>
      <c r="AF82" s="3904"/>
      <c r="AG82" s="3924"/>
      <c r="AH82" s="3911">
        <f t="shared" si="7"/>
        <v>0</v>
      </c>
      <c r="AI82" s="3911">
        <f t="shared" si="8"/>
        <v>0</v>
      </c>
      <c r="AJ82" s="3925"/>
      <c r="AK82" s="3926"/>
      <c r="AL82" s="3909">
        <f t="shared" si="9"/>
      </c>
      <c r="AM82" s="3918">
        <f t="shared" si="10"/>
        <v>0</v>
      </c>
      <c r="AN82" s="3926"/>
      <c r="AO82" s="3911">
        <f t="shared" si="11"/>
        <v>0</v>
      </c>
      <c r="AP82" s="3926"/>
    </row>
    <row r="83" ht="30" customHeight="1" hidden="1">
      <c r="A83" s="3928">
        <f t="shared" si="12"/>
        <v>10</v>
      </c>
      <c r="B83" s="3904"/>
      <c r="C83" s="3905"/>
      <c r="D83" s="3905"/>
      <c r="E83" s="3905"/>
      <c r="F83" s="3905"/>
      <c r="G83" s="3906"/>
      <c r="H83" s="3907"/>
      <c r="I83" s="3908"/>
      <c r="J83" s="3907"/>
      <c r="K83" s="3905"/>
      <c r="L83" s="3909"/>
      <c r="M83" s="3910"/>
      <c r="N83" s="3911">
        <f t="shared" si="0"/>
        <v>0</v>
      </c>
      <c r="O83" s="3910"/>
      <c r="P83" s="3912"/>
      <c r="Q83" s="3912"/>
      <c r="R83" s="3905"/>
      <c r="S83" s="3913"/>
      <c r="T83" s="3914"/>
      <c r="U83" s="3915"/>
      <c r="V83" s="3916"/>
      <c r="W83" s="3917"/>
      <c r="X83" s="3910"/>
      <c r="Y83" s="3918">
        <f t="shared" si="1"/>
        <v>0</v>
      </c>
      <c r="Z83" s="3909"/>
      <c r="AA83" s="3919">
        <f t="shared" si="2"/>
        <v>0</v>
      </c>
      <c r="AB83" s="3920">
        <f t="shared" si="3"/>
        <v>0</v>
      </c>
      <c r="AC83" s="3921">
        <f t="shared" si="4"/>
        <v>0</v>
      </c>
      <c r="AD83" s="3922">
        <f t="shared" si="19"/>
        <v>0</v>
      </c>
      <c r="AE83" s="3923">
        <f t="shared" si="6"/>
        <v>0</v>
      </c>
      <c r="AF83" s="3904"/>
      <c r="AG83" s="3924"/>
      <c r="AH83" s="3911">
        <f t="shared" si="7"/>
        <v>0</v>
      </c>
      <c r="AI83" s="3911">
        <f t="shared" si="8"/>
        <v>0</v>
      </c>
      <c r="AJ83" s="3925"/>
      <c r="AK83" s="3926"/>
      <c r="AL83" s="3909">
        <f t="shared" si="9"/>
      </c>
      <c r="AM83" s="3918">
        <f t="shared" si="10"/>
        <v>0</v>
      </c>
      <c r="AN83" s="3926"/>
      <c r="AO83" s="3911">
        <f t="shared" si="11"/>
        <v>0</v>
      </c>
      <c r="AP83" s="3926"/>
    </row>
    <row r="84" ht="30" customHeight="1" hidden="1">
      <c r="A84" s="3928">
        <f t="shared" si="12"/>
        <v>11</v>
      </c>
      <c r="B84" s="3904"/>
      <c r="C84" s="3905"/>
      <c r="D84" s="3905"/>
      <c r="E84" s="3905"/>
      <c r="F84" s="3905"/>
      <c r="G84" s="3906"/>
      <c r="H84" s="3907"/>
      <c r="I84" s="3908"/>
      <c r="J84" s="3907"/>
      <c r="K84" s="3905"/>
      <c r="L84" s="3909"/>
      <c r="M84" s="3910"/>
      <c r="N84" s="3911">
        <f t="shared" si="0"/>
        <v>0</v>
      </c>
      <c r="O84" s="3910"/>
      <c r="P84" s="3912"/>
      <c r="Q84" s="3912"/>
      <c r="R84" s="3905"/>
      <c r="S84" s="3913"/>
      <c r="T84" s="3914"/>
      <c r="U84" s="3915"/>
      <c r="V84" s="3916"/>
      <c r="W84" s="3917"/>
      <c r="X84" s="3910"/>
      <c r="Y84" s="3918">
        <f t="shared" si="1"/>
        <v>0</v>
      </c>
      <c r="Z84" s="3909"/>
      <c r="AA84" s="3919">
        <f t="shared" si="2"/>
        <v>0</v>
      </c>
      <c r="AB84" s="3920">
        <f t="shared" si="3"/>
        <v>0</v>
      </c>
      <c r="AC84" s="3921">
        <f t="shared" si="4"/>
        <v>0</v>
      </c>
      <c r="AD84" s="3922">
        <f t="shared" si="19"/>
        <v>0</v>
      </c>
      <c r="AE84" s="3923">
        <f t="shared" si="6"/>
        <v>0</v>
      </c>
      <c r="AF84" s="3904"/>
      <c r="AG84" s="3924"/>
      <c r="AH84" s="3911">
        <f t="shared" si="7"/>
        <v>0</v>
      </c>
      <c r="AI84" s="3911">
        <f t="shared" si="8"/>
        <v>0</v>
      </c>
      <c r="AJ84" s="3925"/>
      <c r="AK84" s="3926"/>
      <c r="AL84" s="3909">
        <f t="shared" si="9"/>
      </c>
      <c r="AM84" s="3918">
        <f t="shared" si="10"/>
        <v>0</v>
      </c>
      <c r="AN84" s="3926"/>
      <c r="AO84" s="3911">
        <f t="shared" si="11"/>
        <v>0</v>
      </c>
      <c r="AP84" s="3926"/>
    </row>
    <row r="85" ht="30" customHeight="1" hidden="1">
      <c r="A85" s="3928">
        <f t="shared" si="12"/>
        <v>12</v>
      </c>
      <c r="B85" s="3904"/>
      <c r="C85" s="3905"/>
      <c r="D85" s="3905"/>
      <c r="E85" s="3905"/>
      <c r="F85" s="3905"/>
      <c r="G85" s="3906"/>
      <c r="H85" s="3907"/>
      <c r="I85" s="3908"/>
      <c r="J85" s="3907"/>
      <c r="K85" s="3905"/>
      <c r="L85" s="3909"/>
      <c r="M85" s="3910"/>
      <c r="N85" s="3911">
        <f t="shared" si="0"/>
        <v>0</v>
      </c>
      <c r="O85" s="3910"/>
      <c r="P85" s="3912"/>
      <c r="Q85" s="3912"/>
      <c r="R85" s="3905"/>
      <c r="S85" s="3913"/>
      <c r="T85" s="3914"/>
      <c r="U85" s="3915"/>
      <c r="V85" s="3916"/>
      <c r="W85" s="3917"/>
      <c r="X85" s="3910"/>
      <c r="Y85" s="3918">
        <f t="shared" si="1"/>
        <v>0</v>
      </c>
      <c r="Z85" s="3909"/>
      <c r="AA85" s="3919">
        <f t="shared" si="2"/>
        <v>0</v>
      </c>
      <c r="AB85" s="3920">
        <f t="shared" si="3"/>
        <v>0</v>
      </c>
      <c r="AC85" s="3921">
        <f t="shared" si="4"/>
        <v>0</v>
      </c>
      <c r="AD85" s="3922">
        <f t="shared" si="19"/>
        <v>0</v>
      </c>
      <c r="AE85" s="3923">
        <f t="shared" si="6"/>
        <v>0</v>
      </c>
      <c r="AF85" s="3904"/>
      <c r="AG85" s="3924"/>
      <c r="AH85" s="3911">
        <f t="shared" si="7"/>
        <v>0</v>
      </c>
      <c r="AI85" s="3911">
        <f t="shared" si="8"/>
        <v>0</v>
      </c>
      <c r="AJ85" s="3925"/>
      <c r="AK85" s="3926"/>
      <c r="AL85" s="3909">
        <f t="shared" si="9"/>
      </c>
      <c r="AM85" s="3918">
        <f t="shared" si="10"/>
        <v>0</v>
      </c>
      <c r="AN85" s="3926"/>
      <c r="AO85" s="3911">
        <f t="shared" si="11"/>
        <v>0</v>
      </c>
      <c r="AP85" s="3926"/>
    </row>
    <row r="86" ht="30" customHeight="1" hidden="1">
      <c r="A86" s="3928">
        <f t="shared" si="12"/>
        <v>13</v>
      </c>
      <c r="B86" s="3904"/>
      <c r="C86" s="3905"/>
      <c r="D86" s="3905"/>
      <c r="E86" s="3905"/>
      <c r="F86" s="3905"/>
      <c r="G86" s="3906"/>
      <c r="H86" s="3907"/>
      <c r="I86" s="3908"/>
      <c r="J86" s="3907"/>
      <c r="K86" s="3905"/>
      <c r="L86" s="3909"/>
      <c r="M86" s="3910"/>
      <c r="N86" s="3911">
        <f t="shared" si="0"/>
        <v>0</v>
      </c>
      <c r="O86" s="3910"/>
      <c r="P86" s="3912"/>
      <c r="Q86" s="3912"/>
      <c r="R86" s="3905"/>
      <c r="S86" s="3913"/>
      <c r="T86" s="3914"/>
      <c r="U86" s="3915"/>
      <c r="V86" s="3916"/>
      <c r="W86" s="3917"/>
      <c r="X86" s="3910"/>
      <c r="Y86" s="3918">
        <f t="shared" si="1"/>
        <v>0</v>
      </c>
      <c r="Z86" s="3909"/>
      <c r="AA86" s="3919">
        <f t="shared" si="2"/>
        <v>0</v>
      </c>
      <c r="AB86" s="3920">
        <f t="shared" si="3"/>
        <v>0</v>
      </c>
      <c r="AC86" s="3921">
        <f t="shared" si="4"/>
        <v>0</v>
      </c>
      <c r="AD86" s="3922">
        <f t="shared" si="19"/>
        <v>0</v>
      </c>
      <c r="AE86" s="3923">
        <f t="shared" si="6"/>
        <v>0</v>
      </c>
      <c r="AF86" s="3904"/>
      <c r="AG86" s="3924"/>
      <c r="AH86" s="3911">
        <f t="shared" si="7"/>
        <v>0</v>
      </c>
      <c r="AI86" s="3911">
        <f t="shared" si="8"/>
        <v>0</v>
      </c>
      <c r="AJ86" s="3925"/>
      <c r="AK86" s="3926"/>
      <c r="AL86" s="3909">
        <f t="shared" si="9"/>
      </c>
      <c r="AM86" s="3918">
        <f t="shared" si="10"/>
        <v>0</v>
      </c>
      <c r="AN86" s="3926"/>
      <c r="AO86" s="3911">
        <f t="shared" si="11"/>
        <v>0</v>
      </c>
      <c r="AP86" s="3926"/>
    </row>
    <row r="87" ht="30" customHeight="1" hidden="1">
      <c r="A87" s="3928">
        <f t="shared" si="12"/>
        <v>14</v>
      </c>
      <c r="B87" s="3904"/>
      <c r="C87" s="3905"/>
      <c r="D87" s="3905"/>
      <c r="E87" s="3905"/>
      <c r="F87" s="3905"/>
      <c r="G87" s="3906"/>
      <c r="H87" s="3907"/>
      <c r="I87" s="3908"/>
      <c r="J87" s="3907"/>
      <c r="K87" s="3905"/>
      <c r="L87" s="3909"/>
      <c r="M87" s="3910"/>
      <c r="N87" s="3911">
        <f t="shared" si="0"/>
        <v>0</v>
      </c>
      <c r="O87" s="3910"/>
      <c r="P87" s="3912"/>
      <c r="Q87" s="3912"/>
      <c r="R87" s="3905"/>
      <c r="S87" s="3913"/>
      <c r="T87" s="3914"/>
      <c r="U87" s="3915"/>
      <c r="V87" s="3916"/>
      <c r="W87" s="3917"/>
      <c r="X87" s="3910"/>
      <c r="Y87" s="3918">
        <f t="shared" si="1"/>
        <v>0</v>
      </c>
      <c r="Z87" s="3909"/>
      <c r="AA87" s="3919">
        <f t="shared" si="2"/>
        <v>0</v>
      </c>
      <c r="AB87" s="3920">
        <f t="shared" si="3"/>
        <v>0</v>
      </c>
      <c r="AC87" s="3921">
        <f t="shared" si="4"/>
        <v>0</v>
      </c>
      <c r="AD87" s="3922">
        <f t="shared" si="19"/>
        <v>0</v>
      </c>
      <c r="AE87" s="3923">
        <f t="shared" si="6"/>
        <v>0</v>
      </c>
      <c r="AF87" s="3904"/>
      <c r="AG87" s="3924"/>
      <c r="AH87" s="3911">
        <f t="shared" si="7"/>
        <v>0</v>
      </c>
      <c r="AI87" s="3911">
        <f t="shared" si="8"/>
        <v>0</v>
      </c>
      <c r="AJ87" s="3925"/>
      <c r="AK87" s="3926"/>
      <c r="AL87" s="3909">
        <f t="shared" si="9"/>
      </c>
      <c r="AM87" s="3918">
        <f t="shared" si="10"/>
        <v>0</v>
      </c>
      <c r="AN87" s="3926"/>
      <c r="AO87" s="3911">
        <f t="shared" si="11"/>
        <v>0</v>
      </c>
      <c r="AP87" s="3926"/>
    </row>
    <row r="88" ht="30" customHeight="1" hidden="1">
      <c r="A88" s="3928">
        <f t="shared" si="12"/>
        <v>15</v>
      </c>
      <c r="B88" s="3904"/>
      <c r="C88" s="3905"/>
      <c r="D88" s="3905"/>
      <c r="E88" s="3905"/>
      <c r="F88" s="3905"/>
      <c r="G88" s="3906"/>
      <c r="H88" s="3907"/>
      <c r="I88" s="3908"/>
      <c r="J88" s="3907"/>
      <c r="K88" s="3905"/>
      <c r="L88" s="3909"/>
      <c r="M88" s="3910"/>
      <c r="N88" s="3911">
        <f t="shared" si="0"/>
        <v>0</v>
      </c>
      <c r="O88" s="3910"/>
      <c r="P88" s="3912"/>
      <c r="Q88" s="3912"/>
      <c r="R88" s="3905"/>
      <c r="S88" s="3913"/>
      <c r="T88" s="3914"/>
      <c r="U88" s="3915"/>
      <c r="V88" s="3916"/>
      <c r="W88" s="3917"/>
      <c r="X88" s="3910"/>
      <c r="Y88" s="3918">
        <f t="shared" si="1"/>
        <v>0</v>
      </c>
      <c r="Z88" s="3909"/>
      <c r="AA88" s="3919">
        <f t="shared" si="2"/>
        <v>0</v>
      </c>
      <c r="AB88" s="3920">
        <f t="shared" si="3"/>
        <v>0</v>
      </c>
      <c r="AC88" s="3921">
        <f t="shared" si="4"/>
        <v>0</v>
      </c>
      <c r="AD88" s="3922">
        <f t="shared" si="19"/>
        <v>0</v>
      </c>
      <c r="AE88" s="3923">
        <f t="shared" si="6"/>
        <v>0</v>
      </c>
      <c r="AF88" s="3904"/>
      <c r="AG88" s="3924"/>
      <c r="AH88" s="3911">
        <f t="shared" si="7"/>
        <v>0</v>
      </c>
      <c r="AI88" s="3911">
        <f t="shared" si="8"/>
        <v>0</v>
      </c>
      <c r="AJ88" s="3925"/>
      <c r="AK88" s="3926"/>
      <c r="AL88" s="3909">
        <f t="shared" si="9"/>
      </c>
      <c r="AM88" s="3918">
        <f t="shared" si="10"/>
        <v>0</v>
      </c>
      <c r="AN88" s="3926"/>
      <c r="AO88" s="3911">
        <f t="shared" si="11"/>
        <v>0</v>
      </c>
      <c r="AP88" s="3926"/>
    </row>
    <row r="89" ht="30" customHeight="1" hidden="1">
      <c r="A89" s="3928">
        <f t="shared" si="12"/>
        <v>16</v>
      </c>
      <c r="B89" s="3904"/>
      <c r="C89" s="3905"/>
      <c r="D89" s="3905"/>
      <c r="E89" s="3905"/>
      <c r="F89" s="3905"/>
      <c r="G89" s="3906"/>
      <c r="H89" s="3907"/>
      <c r="I89" s="3908"/>
      <c r="J89" s="3907"/>
      <c r="K89" s="3905"/>
      <c r="L89" s="3909"/>
      <c r="M89" s="3910"/>
      <c r="N89" s="3911">
        <f t="shared" si="0"/>
        <v>0</v>
      </c>
      <c r="O89" s="3910"/>
      <c r="P89" s="3912"/>
      <c r="Q89" s="3912"/>
      <c r="R89" s="3905"/>
      <c r="S89" s="3913"/>
      <c r="T89" s="3914"/>
      <c r="U89" s="3915"/>
      <c r="V89" s="3916"/>
      <c r="W89" s="3917"/>
      <c r="X89" s="3910"/>
      <c r="Y89" s="3918">
        <f t="shared" si="1"/>
        <v>0</v>
      </c>
      <c r="Z89" s="3909"/>
      <c r="AA89" s="3919">
        <f t="shared" si="2"/>
        <v>0</v>
      </c>
      <c r="AB89" s="3920">
        <f t="shared" si="3"/>
        <v>0</v>
      </c>
      <c r="AC89" s="3921">
        <f t="shared" si="4"/>
        <v>0</v>
      </c>
      <c r="AD89" s="3922">
        <f t="shared" si="19"/>
        <v>0</v>
      </c>
      <c r="AE89" s="3923">
        <f t="shared" si="6"/>
        <v>0</v>
      </c>
      <c r="AF89" s="3904"/>
      <c r="AG89" s="3924"/>
      <c r="AH89" s="3911">
        <f t="shared" si="7"/>
        <v>0</v>
      </c>
      <c r="AI89" s="3911">
        <f t="shared" si="8"/>
        <v>0</v>
      </c>
      <c r="AJ89" s="3925"/>
      <c r="AK89" s="3926"/>
      <c r="AL89" s="3909">
        <f t="shared" si="9"/>
      </c>
      <c r="AM89" s="3918">
        <f t="shared" si="10"/>
        <v>0</v>
      </c>
      <c r="AN89" s="3926"/>
      <c r="AO89" s="3911">
        <f t="shared" si="11"/>
        <v>0</v>
      </c>
      <c r="AP89" s="3926"/>
    </row>
    <row r="90" ht="30" customHeight="1" hidden="1">
      <c r="A90" s="3928">
        <f t="shared" si="12"/>
        <v>17</v>
      </c>
      <c r="B90" s="3904"/>
      <c r="C90" s="3905"/>
      <c r="D90" s="3905"/>
      <c r="E90" s="3905"/>
      <c r="F90" s="3905"/>
      <c r="G90" s="3906"/>
      <c r="H90" s="3907"/>
      <c r="I90" s="3908"/>
      <c r="J90" s="3907"/>
      <c r="K90" s="3905"/>
      <c r="L90" s="3909"/>
      <c r="M90" s="3910"/>
      <c r="N90" s="3911">
        <f t="shared" si="0"/>
        <v>0</v>
      </c>
      <c r="O90" s="3910"/>
      <c r="P90" s="3912"/>
      <c r="Q90" s="3912"/>
      <c r="R90" s="3905"/>
      <c r="S90" s="3913"/>
      <c r="T90" s="3914"/>
      <c r="U90" s="3915"/>
      <c r="V90" s="3916"/>
      <c r="W90" s="3917"/>
      <c r="X90" s="3910"/>
      <c r="Y90" s="3918">
        <f t="shared" si="1"/>
        <v>0</v>
      </c>
      <c r="Z90" s="3909"/>
      <c r="AA90" s="3919">
        <f t="shared" si="2"/>
        <v>0</v>
      </c>
      <c r="AB90" s="3920">
        <f t="shared" si="3"/>
        <v>0</v>
      </c>
      <c r="AC90" s="3921">
        <f t="shared" si="4"/>
        <v>0</v>
      </c>
      <c r="AD90" s="3922">
        <f t="shared" si="19"/>
        <v>0</v>
      </c>
      <c r="AE90" s="3923">
        <f t="shared" si="6"/>
        <v>0</v>
      </c>
      <c r="AF90" s="3904"/>
      <c r="AG90" s="3924"/>
      <c r="AH90" s="3911">
        <f t="shared" si="7"/>
        <v>0</v>
      </c>
      <c r="AI90" s="3911">
        <f t="shared" si="8"/>
        <v>0</v>
      </c>
      <c r="AJ90" s="3925"/>
      <c r="AK90" s="3926"/>
      <c r="AL90" s="3909">
        <f t="shared" si="9"/>
      </c>
      <c r="AM90" s="3918">
        <f t="shared" si="10"/>
        <v>0</v>
      </c>
      <c r="AN90" s="3926"/>
      <c r="AO90" s="3911">
        <f t="shared" si="11"/>
        <v>0</v>
      </c>
      <c r="AP90" s="3926"/>
    </row>
    <row r="91" ht="30" customHeight="1" hidden="1">
      <c r="A91" s="3928">
        <f t="shared" si="12"/>
        <v>18</v>
      </c>
      <c r="B91" s="3904"/>
      <c r="C91" s="3905"/>
      <c r="D91" s="3905"/>
      <c r="E91" s="3905"/>
      <c r="F91" s="3905"/>
      <c r="G91" s="3906"/>
      <c r="H91" s="3907"/>
      <c r="I91" s="3908"/>
      <c r="J91" s="3907"/>
      <c r="K91" s="3905"/>
      <c r="L91" s="3909"/>
      <c r="M91" s="3910"/>
      <c r="N91" s="3911">
        <f t="shared" si="0"/>
        <v>0</v>
      </c>
      <c r="O91" s="3910"/>
      <c r="P91" s="3912"/>
      <c r="Q91" s="3912"/>
      <c r="R91" s="3905"/>
      <c r="S91" s="3913"/>
      <c r="T91" s="3914"/>
      <c r="U91" s="3915"/>
      <c r="V91" s="3916"/>
      <c r="W91" s="3917"/>
      <c r="X91" s="3910"/>
      <c r="Y91" s="3918">
        <f t="shared" si="1"/>
        <v>0</v>
      </c>
      <c r="Z91" s="3909"/>
      <c r="AA91" s="3919">
        <f t="shared" si="2"/>
        <v>0</v>
      </c>
      <c r="AB91" s="3920">
        <f t="shared" si="3"/>
        <v>0</v>
      </c>
      <c r="AC91" s="3921">
        <f t="shared" si="4"/>
        <v>0</v>
      </c>
      <c r="AD91" s="3922">
        <f t="shared" si="19"/>
        <v>0</v>
      </c>
      <c r="AE91" s="3923">
        <f t="shared" si="6"/>
        <v>0</v>
      </c>
      <c r="AF91" s="3904"/>
      <c r="AG91" s="3924"/>
      <c r="AH91" s="3911">
        <f t="shared" si="7"/>
        <v>0</v>
      </c>
      <c r="AI91" s="3911">
        <f t="shared" si="8"/>
        <v>0</v>
      </c>
      <c r="AJ91" s="3925"/>
      <c r="AK91" s="3926"/>
      <c r="AL91" s="3909">
        <f t="shared" si="9"/>
      </c>
      <c r="AM91" s="3918">
        <f t="shared" si="10"/>
        <v>0</v>
      </c>
      <c r="AN91" s="3926"/>
      <c r="AO91" s="3911">
        <f t="shared" si="11"/>
        <v>0</v>
      </c>
      <c r="AP91" s="3926"/>
    </row>
    <row r="92" ht="30" customHeight="1" hidden="1">
      <c r="A92" s="3928">
        <f t="shared" si="12"/>
        <v>19</v>
      </c>
      <c r="B92" s="3904"/>
      <c r="C92" s="3905"/>
      <c r="D92" s="3905"/>
      <c r="E92" s="3905"/>
      <c r="F92" s="3905"/>
      <c r="G92" s="3906"/>
      <c r="H92" s="3907"/>
      <c r="I92" s="3908"/>
      <c r="J92" s="3907"/>
      <c r="K92" s="3905"/>
      <c r="L92" s="3909"/>
      <c r="M92" s="3910"/>
      <c r="N92" s="3911">
        <f t="shared" si="0"/>
        <v>0</v>
      </c>
      <c r="O92" s="3910"/>
      <c r="P92" s="3912"/>
      <c r="Q92" s="3912"/>
      <c r="R92" s="3905"/>
      <c r="S92" s="3913"/>
      <c r="T92" s="3914"/>
      <c r="U92" s="3915"/>
      <c r="V92" s="3916"/>
      <c r="W92" s="3917"/>
      <c r="X92" s="3910"/>
      <c r="Y92" s="3918">
        <f t="shared" si="1"/>
        <v>0</v>
      </c>
      <c r="Z92" s="3909"/>
      <c r="AA92" s="3919">
        <f t="shared" si="2"/>
        <v>0</v>
      </c>
      <c r="AB92" s="3920">
        <f t="shared" si="3"/>
        <v>0</v>
      </c>
      <c r="AC92" s="3921">
        <f t="shared" si="4"/>
        <v>0</v>
      </c>
      <c r="AD92" s="3922">
        <f t="shared" si="19"/>
        <v>0</v>
      </c>
      <c r="AE92" s="3923">
        <f t="shared" si="6"/>
        <v>0</v>
      </c>
      <c r="AF92" s="3904"/>
      <c r="AG92" s="3924"/>
      <c r="AH92" s="3911">
        <f t="shared" si="7"/>
        <v>0</v>
      </c>
      <c r="AI92" s="3911">
        <f t="shared" si="8"/>
        <v>0</v>
      </c>
      <c r="AJ92" s="3925"/>
      <c r="AK92" s="3926"/>
      <c r="AL92" s="3909">
        <f t="shared" si="9"/>
      </c>
      <c r="AM92" s="3918">
        <f t="shared" si="10"/>
        <v>0</v>
      </c>
      <c r="AN92" s="3926"/>
      <c r="AO92" s="3911">
        <f t="shared" si="11"/>
        <v>0</v>
      </c>
      <c r="AP92" s="3926"/>
    </row>
    <row r="93" ht="30" customHeight="1" hidden="1">
      <c r="A93" s="3928">
        <f t="shared" si="12"/>
        <v>20</v>
      </c>
      <c r="B93" s="3904"/>
      <c r="C93" s="3905"/>
      <c r="D93" s="3905"/>
      <c r="E93" s="3905"/>
      <c r="F93" s="3905"/>
      <c r="G93" s="3906"/>
      <c r="H93" s="3907"/>
      <c r="I93" s="3908"/>
      <c r="J93" s="3907"/>
      <c r="K93" s="3905"/>
      <c r="L93" s="3909"/>
      <c r="M93" s="3910"/>
      <c r="N93" s="3911">
        <f t="shared" si="0"/>
        <v>0</v>
      </c>
      <c r="O93" s="3910"/>
      <c r="P93" s="3912"/>
      <c r="Q93" s="3912"/>
      <c r="R93" s="3905"/>
      <c r="S93" s="3913"/>
      <c r="T93" s="3914"/>
      <c r="U93" s="3915"/>
      <c r="V93" s="3916"/>
      <c r="W93" s="3917"/>
      <c r="X93" s="3910"/>
      <c r="Y93" s="3918">
        <f t="shared" si="1"/>
        <v>0</v>
      </c>
      <c r="Z93" s="3909"/>
      <c r="AA93" s="3919">
        <f t="shared" si="2"/>
        <v>0</v>
      </c>
      <c r="AB93" s="3920">
        <f t="shared" si="3"/>
        <v>0</v>
      </c>
      <c r="AC93" s="3921">
        <f t="shared" si="4"/>
        <v>0</v>
      </c>
      <c r="AD93" s="3922">
        <f t="shared" si="19"/>
        <v>0</v>
      </c>
      <c r="AE93" s="3923">
        <f t="shared" si="6"/>
        <v>0</v>
      </c>
      <c r="AF93" s="3904"/>
      <c r="AG93" s="3924"/>
      <c r="AH93" s="3911">
        <f t="shared" si="7"/>
        <v>0</v>
      </c>
      <c r="AI93" s="3911">
        <f t="shared" si="8"/>
        <v>0</v>
      </c>
      <c r="AJ93" s="3925"/>
      <c r="AK93" s="3926"/>
      <c r="AL93" s="3909">
        <f t="shared" si="9"/>
      </c>
      <c r="AM93" s="3918">
        <f t="shared" si="10"/>
        <v>0</v>
      </c>
      <c r="AN93" s="3926"/>
      <c r="AO93" s="3911">
        <f t="shared" si="11"/>
        <v>0</v>
      </c>
      <c r="AP93" s="3926"/>
    </row>
    <row r="94" ht="18" customHeight="1">
      <c r="A94" s="3929" t="s">
        <v>2443</v>
      </c>
      <c r="B94" s="3930"/>
      <c r="C94" s="3931"/>
      <c r="D94" s="3931"/>
      <c r="E94" s="3931"/>
      <c r="F94" s="3931"/>
      <c r="G94" s="3932">
        <f t="shared" si="18"/>
        <v>0</v>
      </c>
      <c r="H94" s="3933"/>
      <c r="I94" s="3934"/>
      <c r="J94" s="3935"/>
      <c r="K94" s="3931"/>
      <c r="L94" s="3936">
        <f t="shared" si="18"/>
        <v>0</v>
      </c>
      <c r="M94" s="3937">
        <f t="shared" si="18"/>
        <v>0</v>
      </c>
      <c r="N94" s="3938">
        <f t="shared" si="0"/>
        <v>0</v>
      </c>
      <c r="O94" s="3939">
        <f t="shared" si="18"/>
        <v>0</v>
      </c>
      <c r="P94" s="3940"/>
      <c r="Q94" s="3941"/>
      <c r="R94" s="3931"/>
      <c r="S94" s="3942"/>
      <c r="T94" s="3943"/>
      <c r="U94" s="3931"/>
      <c r="V94" s="3977"/>
      <c r="W94" s="3945"/>
      <c r="X94" s="3946">
        <f t="shared" si="18"/>
        <v>0</v>
      </c>
      <c r="Y94" s="3947">
        <f t="shared" si="1"/>
        <v>0</v>
      </c>
      <c r="Z94" s="3936">
        <f t="shared" si="18"/>
        <v>0</v>
      </c>
      <c r="AA94" s="3938" t="e">
        <f t="shared" si="2"/>
        <v>#DIV/0!</v>
      </c>
      <c r="AB94" s="3948">
        <f t="shared" si="3"/>
        <v>0</v>
      </c>
      <c r="AC94" s="3976">
        <f t="shared" si="4"/>
        <v>0</v>
      </c>
      <c r="AD94" s="3950">
        <f t="shared" si="19"/>
        <v>0</v>
      </c>
      <c r="AE94" s="3951">
        <f t="shared" si="6"/>
        <v>0</v>
      </c>
      <c r="AF94" s="3952" t="s">
        <v>3354</v>
      </c>
      <c r="AG94" s="3953"/>
      <c r="AH94" s="3937">
        <f t="shared" si="18"/>
        <v>0</v>
      </c>
      <c r="AI94" s="3937">
        <f t="shared" si="18"/>
        <v>0</v>
      </c>
      <c r="AJ94" s="3939">
        <f t="shared" si="18"/>
        <v>0</v>
      </c>
      <c r="AK94" s="3954"/>
      <c r="AL94" s="3946">
        <f t="shared" si="18"/>
        <v>0</v>
      </c>
      <c r="AM94" s="3918">
        <f t="shared" si="10"/>
        <v>0</v>
      </c>
      <c r="AN94" s="3954"/>
      <c r="AO94" s="3946">
        <f t="shared" si="18"/>
        <v>0</v>
      </c>
      <c r="AP94" s="3954"/>
    </row>
    <row r="95" ht="18.75" customHeight="1">
      <c r="A95" s="3078"/>
      <c r="B95" s="3810"/>
      <c r="C95" s="3810"/>
      <c r="D95" s="3811"/>
      <c r="E95" s="3812"/>
      <c r="F95" s="3811"/>
      <c r="G95" s="3813"/>
      <c r="H95" s="3814"/>
      <c r="I95" s="3815"/>
      <c r="J95" s="3816"/>
      <c r="K95" s="3811"/>
      <c r="L95" s="3817"/>
      <c r="M95" s="3818"/>
      <c r="N95" s="3817"/>
      <c r="O95" s="3817"/>
      <c r="P95" s="3817"/>
      <c r="Q95" s="3817"/>
      <c r="R95" s="3811"/>
      <c r="S95" s="3078"/>
      <c r="T95" s="2648"/>
      <c r="U95" s="3811"/>
      <c r="V95" s="3955"/>
      <c r="W95" s="3955"/>
      <c r="X95" s="3818"/>
      <c r="Y95" s="3819"/>
      <c r="Z95" s="3817"/>
      <c r="AA95" s="3817"/>
      <c r="AB95" s="3820"/>
      <c r="AC95" s="3956"/>
      <c r="AD95" s="3956"/>
      <c r="AE95" s="3956"/>
      <c r="AF95" s="3957" t="s">
        <v>3355</v>
      </c>
      <c r="AG95" s="3958"/>
      <c r="AH95" s="3959">
        <f t="shared" si="20"/>
        <v>0</v>
      </c>
      <c r="AI95" s="3959">
        <f t="shared" si="21"/>
        <v>0</v>
      </c>
      <c r="AJ95" s="3818"/>
      <c r="AK95" s="3078"/>
      <c r="AL95" s="3818"/>
      <c r="AM95" s="3819"/>
      <c r="AN95" s="3078"/>
      <c r="AO95" s="3842"/>
      <c r="AP95" s="3078"/>
    </row>
    <row r="96" ht="15" customHeight="1">
      <c r="A96" s="3078"/>
      <c r="B96" s="3810"/>
      <c r="C96" s="3810"/>
      <c r="D96" s="3811"/>
      <c r="E96" s="3812"/>
      <c r="F96" s="3811"/>
      <c r="G96" s="3813"/>
      <c r="H96" s="3814"/>
      <c r="I96" s="3815"/>
      <c r="J96" s="3816"/>
      <c r="K96" s="3811"/>
      <c r="L96" s="3817"/>
      <c r="M96" s="3818"/>
      <c r="N96" s="3817"/>
      <c r="O96" s="3817"/>
      <c r="P96" s="3817"/>
      <c r="Q96" s="3817"/>
      <c r="R96" s="3811"/>
      <c r="S96" s="3078"/>
      <c r="T96" s="2648"/>
      <c r="U96" s="3811"/>
      <c r="V96" s="3955"/>
      <c r="W96" s="3955"/>
      <c r="X96" s="3818"/>
      <c r="Y96" s="3819"/>
      <c r="Z96" s="3817"/>
      <c r="AA96" s="3817"/>
      <c r="AB96" s="3820"/>
      <c r="AC96" s="3820"/>
      <c r="AD96" s="3820"/>
      <c r="AE96" s="3820"/>
      <c r="AF96" s="3811"/>
      <c r="AG96" s="3821"/>
      <c r="AH96" s="3818"/>
      <c r="AI96" s="3817"/>
      <c r="AJ96" s="3818"/>
      <c r="AK96" s="3078"/>
      <c r="AL96" s="3818"/>
      <c r="AM96" s="3819"/>
      <c r="AN96" s="3078"/>
      <c r="AO96" s="3078"/>
      <c r="AP96" s="3078"/>
    </row>
    <row r="97" ht="15.75" customHeight="1">
      <c r="A97" s="3078"/>
      <c r="B97" s="3810"/>
      <c r="C97" s="3810"/>
      <c r="D97" s="3811"/>
      <c r="E97" s="3812"/>
      <c r="F97" s="3811"/>
      <c r="G97" s="3813"/>
      <c r="H97" s="3814"/>
      <c r="I97" s="3815"/>
      <c r="J97" s="3816"/>
      <c r="K97" s="3811"/>
      <c r="L97" s="3817"/>
      <c r="M97" s="3818"/>
      <c r="N97" s="3817"/>
      <c r="O97" s="3817"/>
      <c r="P97" s="3817"/>
      <c r="Q97" s="3817"/>
      <c r="R97" s="3811"/>
      <c r="S97" s="3078"/>
      <c r="T97" s="2648"/>
      <c r="U97" s="3811"/>
      <c r="V97" s="3973"/>
      <c r="W97" s="3973"/>
      <c r="X97" s="3818"/>
      <c r="Y97" s="3819"/>
      <c r="Z97" s="3817"/>
      <c r="AA97" s="3817"/>
      <c r="AB97" s="3820"/>
      <c r="AC97" s="3820"/>
      <c r="AD97" s="3820"/>
      <c r="AE97" s="3820"/>
      <c r="AF97" s="3811"/>
      <c r="AG97" s="3821"/>
      <c r="AH97" s="3818"/>
      <c r="AI97" s="3817"/>
      <c r="AJ97" s="3818"/>
      <c r="AK97" s="3078"/>
      <c r="AL97" s="3818"/>
      <c r="AM97" s="3819"/>
      <c r="AN97" s="3078"/>
      <c r="AO97" s="3078"/>
      <c r="AP97" s="3078"/>
    </row>
    <row r="98" ht="15.75" customHeight="1">
      <c r="A98" s="3831" t="s">
        <v>3366</v>
      </c>
      <c r="B98" s="3832"/>
      <c r="C98" s="3832"/>
      <c r="D98" s="3833"/>
      <c r="E98" s="3834"/>
      <c r="F98" s="3840"/>
      <c r="G98" s="3836"/>
      <c r="H98" s="3837"/>
      <c r="I98" s="3838"/>
      <c r="J98" s="3839"/>
      <c r="K98" s="3840"/>
      <c r="L98" s="3841"/>
      <c r="M98" s="3842"/>
      <c r="N98" s="3841"/>
      <c r="O98" s="3841"/>
      <c r="P98" s="3841"/>
      <c r="Q98" s="3841"/>
      <c r="R98" s="3840"/>
      <c r="S98" s="3846"/>
      <c r="T98" s="3975"/>
      <c r="U98" s="3840"/>
      <c r="V98" s="3834"/>
      <c r="W98" s="3834"/>
      <c r="X98" s="3842"/>
      <c r="Y98" s="3843"/>
      <c r="Z98" s="3841"/>
      <c r="AA98" s="3841"/>
      <c r="AB98" s="3844"/>
      <c r="AC98" s="3844"/>
      <c r="AD98" s="3844"/>
      <c r="AE98" s="3844"/>
      <c r="AF98" s="3840"/>
      <c r="AG98" s="3845"/>
      <c r="AH98" s="3842"/>
      <c r="AI98" s="3841"/>
      <c r="AJ98" s="3842"/>
      <c r="AK98" s="3846"/>
      <c r="AL98" s="3842"/>
      <c r="AM98" s="3843"/>
      <c r="AN98" s="3846"/>
      <c r="AO98" s="3846"/>
      <c r="AP98" s="3846"/>
    </row>
    <row r="99" ht="15.75" customHeight="1">
      <c r="A99" s="3847" t="s">
        <v>3318</v>
      </c>
      <c r="B99" s="3828"/>
      <c r="C99" s="3828"/>
      <c r="D99" s="3828"/>
      <c r="E99" s="3828"/>
      <c r="F99" s="3828"/>
      <c r="G99" s="3828"/>
      <c r="H99" s="3828"/>
      <c r="I99" s="3828"/>
      <c r="J99" s="3828"/>
      <c r="K99" s="3848"/>
      <c r="L99" s="3849" t="s">
        <v>3319</v>
      </c>
      <c r="M99" s="3850"/>
      <c r="N99" s="3850"/>
      <c r="O99" s="3850"/>
      <c r="P99" s="3850"/>
      <c r="Q99" s="3850"/>
      <c r="R99" s="3850"/>
      <c r="S99" s="3850"/>
      <c r="T99" s="3850"/>
      <c r="U99" s="3850"/>
      <c r="V99" s="3851"/>
      <c r="W99" s="3850"/>
      <c r="X99" s="3852" t="s">
        <v>3320</v>
      </c>
      <c r="Y99" s="3853"/>
      <c r="Z99" s="3854" t="s">
        <v>3321</v>
      </c>
      <c r="AA99" s="3829"/>
      <c r="AB99" s="3829"/>
      <c r="AC99" s="3830"/>
      <c r="AD99" s="3852" t="s">
        <v>3322</v>
      </c>
      <c r="AE99" s="3853"/>
      <c r="AF99" s="3855" t="s">
        <v>3323</v>
      </c>
      <c r="AG99" s="3856"/>
      <c r="AH99" s="3856"/>
      <c r="AI99" s="3856"/>
      <c r="AJ99" s="3857"/>
      <c r="AK99" s="3846"/>
      <c r="AL99" s="3852" t="s">
        <v>3320</v>
      </c>
      <c r="AM99" s="3853"/>
      <c r="AN99" s="3846"/>
      <c r="AO99" s="3846"/>
      <c r="AP99" s="3846"/>
    </row>
    <row r="100" ht="15" customHeight="1">
      <c r="A100" s="3858" t="s">
        <v>3103</v>
      </c>
      <c r="B100" s="3859" t="s">
        <v>3325</v>
      </c>
      <c r="C100" s="3860" t="s">
        <v>273</v>
      </c>
      <c r="D100" s="3860" t="s">
        <v>279</v>
      </c>
      <c r="E100" s="3860" t="s">
        <v>289</v>
      </c>
      <c r="F100" s="3860" t="s">
        <v>3326</v>
      </c>
      <c r="G100" s="3861" t="s">
        <v>3367</v>
      </c>
      <c r="H100" s="3861" t="s">
        <v>3368</v>
      </c>
      <c r="I100" s="3862" t="s">
        <v>3328</v>
      </c>
      <c r="J100" s="3863" t="s">
        <v>3329</v>
      </c>
      <c r="K100" s="3864" t="s">
        <v>3369</v>
      </c>
      <c r="L100" s="3865" t="s">
        <v>3331</v>
      </c>
      <c r="M100" s="3866" t="s">
        <v>3332</v>
      </c>
      <c r="N100" s="3866" t="s">
        <v>3333</v>
      </c>
      <c r="O100" s="3866" t="s">
        <v>3334</v>
      </c>
      <c r="P100" s="3867" t="s">
        <v>3335</v>
      </c>
      <c r="Q100" s="3868"/>
      <c r="R100" s="3860" t="s">
        <v>3336</v>
      </c>
      <c r="S100" s="3860" t="s">
        <v>578</v>
      </c>
      <c r="T100" s="3863" t="s">
        <v>3337</v>
      </c>
      <c r="U100" s="3860" t="s">
        <v>3338</v>
      </c>
      <c r="V100" s="3864"/>
      <c r="W100" s="3869" t="s">
        <v>3340</v>
      </c>
      <c r="X100" s="3870" t="s">
        <v>3373</v>
      </c>
      <c r="Y100" s="3871" t="s">
        <v>3342</v>
      </c>
      <c r="Z100" s="3865" t="s">
        <v>3343</v>
      </c>
      <c r="AA100" s="3872" t="s">
        <v>3344</v>
      </c>
      <c r="AB100" s="3873" t="s">
        <v>3345</v>
      </c>
      <c r="AC100" s="3874" t="s">
        <v>760</v>
      </c>
      <c r="AD100" s="3880">
        <f>_xlfn.IFERROR(AD6,0)</f>
        <v>0</v>
      </c>
      <c r="AE100" s="3876"/>
      <c r="AF100" s="3859" t="str">
        <f t="shared" si="15"/>
        <v>XXXX Ownership Role</v>
      </c>
      <c r="AG100" s="3877" t="str">
        <f t="shared" si="16"/>
        <v>XXXX Ownership Interest</v>
      </c>
      <c r="AH100" s="3872" t="s">
        <v>3348</v>
      </c>
      <c r="AI100" s="3872" t="s">
        <v>3349</v>
      </c>
      <c r="AJ100" s="3878" t="s">
        <v>3350</v>
      </c>
      <c r="AK100" s="3879"/>
      <c r="AL100" s="3870" t="s">
        <v>3353</v>
      </c>
      <c r="AM100" s="3871" t="s">
        <v>3342</v>
      </c>
      <c r="AN100" s="3879"/>
      <c r="AO100" s="3872" t="s">
        <v>3348</v>
      </c>
      <c r="AP100" s="3879"/>
    </row>
    <row r="101" ht="46.5" customHeight="1">
      <c r="A101" s="3882"/>
      <c r="B101" s="3883"/>
      <c r="C101" s="3884"/>
      <c r="D101" s="3884"/>
      <c r="E101" s="3884"/>
      <c r="F101" s="3884"/>
      <c r="G101" s="3885"/>
      <c r="H101" s="3885"/>
      <c r="I101" s="3886"/>
      <c r="J101" s="3887"/>
      <c r="K101" s="3888"/>
      <c r="L101" s="3889"/>
      <c r="M101" s="3890"/>
      <c r="N101" s="3890"/>
      <c r="O101" s="3890"/>
      <c r="P101" s="3891"/>
      <c r="Q101" s="3892"/>
      <c r="R101" s="3884"/>
      <c r="S101" s="3884"/>
      <c r="T101" s="3887"/>
      <c r="U101" s="3884"/>
      <c r="V101" s="3888"/>
      <c r="W101" s="3893"/>
      <c r="X101" s="3894"/>
      <c r="Y101" s="3895"/>
      <c r="Z101" s="3889"/>
      <c r="AA101" s="3896"/>
      <c r="AB101" s="3897"/>
      <c r="AC101" s="3898"/>
      <c r="AD101" s="3899" t="s">
        <v>3351</v>
      </c>
      <c r="AE101" s="3899" t="s">
        <v>3352</v>
      </c>
      <c r="AF101" s="3883"/>
      <c r="AG101" s="3900"/>
      <c r="AH101" s="3896"/>
      <c r="AI101" s="3896"/>
      <c r="AJ101" s="3901"/>
      <c r="AK101" s="3879"/>
      <c r="AL101" s="3894"/>
      <c r="AM101" s="3895"/>
      <c r="AN101" s="3879"/>
      <c r="AO101" s="3896"/>
      <c r="AP101" s="3879"/>
    </row>
    <row r="102" ht="30" customHeight="1">
      <c r="A102" s="3903">
        <v>1</v>
      </c>
      <c r="B102" s="3904"/>
      <c r="C102" s="3905"/>
      <c r="D102" s="3905"/>
      <c r="E102" s="3905"/>
      <c r="F102" s="3905"/>
      <c r="G102" s="3906"/>
      <c r="H102" s="3907"/>
      <c r="I102" s="3908"/>
      <c r="J102" s="3907"/>
      <c r="K102" s="3905"/>
      <c r="L102" s="3909"/>
      <c r="M102" s="3910"/>
      <c r="N102" s="3911">
        <f t="shared" si="0"/>
        <v>0</v>
      </c>
      <c r="O102" s="3910"/>
      <c r="P102" s="3912"/>
      <c r="Q102" s="3912"/>
      <c r="R102" s="3905"/>
      <c r="S102" s="3913"/>
      <c r="T102" s="3914"/>
      <c r="U102" s="3915"/>
      <c r="V102" s="3916"/>
      <c r="W102" s="3917"/>
      <c r="X102" s="3910"/>
      <c r="Y102" s="3918">
        <f t="shared" si="1"/>
        <v>0</v>
      </c>
      <c r="Z102" s="3909"/>
      <c r="AA102" s="3919">
        <f t="shared" si="2"/>
        <v>0</v>
      </c>
      <c r="AB102" s="3920">
        <f t="shared" si="3"/>
        <v>0</v>
      </c>
      <c r="AC102" s="3921">
        <f t="shared" si="4"/>
        <v>0</v>
      </c>
      <c r="AD102" s="3922">
        <f t="shared" si="22" ref="AD102:AD122">_xlfn.IFERROR(X102/$AD$100,0)</f>
        <v>0</v>
      </c>
      <c r="AE102" s="3923">
        <f t="shared" si="6"/>
        <v>0</v>
      </c>
      <c r="AF102" s="3904"/>
      <c r="AG102" s="3924"/>
      <c r="AH102" s="3911">
        <f t="shared" si="7"/>
        <v>0</v>
      </c>
      <c r="AI102" s="3911">
        <f t="shared" si="8"/>
        <v>0</v>
      </c>
      <c r="AJ102" s="3925"/>
      <c r="AK102" s="3926"/>
      <c r="AL102" s="3909">
        <f t="shared" si="9"/>
      </c>
      <c r="AM102" s="3918">
        <f t="shared" si="10"/>
        <v>0</v>
      </c>
      <c r="AN102" s="3926"/>
      <c r="AO102" s="3911">
        <f t="shared" si="11"/>
        <v>0</v>
      </c>
      <c r="AP102" s="3926"/>
    </row>
    <row r="103" ht="30" customHeight="1">
      <c r="A103" s="3928">
        <f t="shared" si="12"/>
        <v>2</v>
      </c>
      <c r="B103" s="3904"/>
      <c r="C103" s="3905"/>
      <c r="D103" s="3905"/>
      <c r="E103" s="3905"/>
      <c r="F103" s="3905"/>
      <c r="G103" s="3906"/>
      <c r="H103" s="3907"/>
      <c r="I103" s="3908"/>
      <c r="J103" s="3907"/>
      <c r="K103" s="3905"/>
      <c r="L103" s="3909"/>
      <c r="M103" s="3910"/>
      <c r="N103" s="3911">
        <f t="shared" si="0"/>
        <v>0</v>
      </c>
      <c r="O103" s="3910"/>
      <c r="P103" s="3912"/>
      <c r="Q103" s="3912"/>
      <c r="R103" s="3905"/>
      <c r="S103" s="3913"/>
      <c r="T103" s="3914"/>
      <c r="U103" s="3915"/>
      <c r="V103" s="3916"/>
      <c r="W103" s="3917"/>
      <c r="X103" s="3910"/>
      <c r="Y103" s="3918">
        <f t="shared" si="1"/>
        <v>0</v>
      </c>
      <c r="Z103" s="3909"/>
      <c r="AA103" s="3919">
        <f t="shared" si="2"/>
        <v>0</v>
      </c>
      <c r="AB103" s="3920">
        <f t="shared" si="3"/>
        <v>0</v>
      </c>
      <c r="AC103" s="3921">
        <f t="shared" si="4"/>
        <v>0</v>
      </c>
      <c r="AD103" s="3922">
        <f t="shared" si="22"/>
        <v>0</v>
      </c>
      <c r="AE103" s="3923">
        <f t="shared" si="6"/>
        <v>0</v>
      </c>
      <c r="AF103" s="3904"/>
      <c r="AG103" s="3924"/>
      <c r="AH103" s="3911">
        <f t="shared" si="7"/>
        <v>0</v>
      </c>
      <c r="AI103" s="3911">
        <f t="shared" si="8"/>
        <v>0</v>
      </c>
      <c r="AJ103" s="3925"/>
      <c r="AK103" s="3926"/>
      <c r="AL103" s="3909">
        <f t="shared" si="9"/>
      </c>
      <c r="AM103" s="3918">
        <f t="shared" si="10"/>
        <v>0</v>
      </c>
      <c r="AN103" s="3926"/>
      <c r="AO103" s="3911">
        <f t="shared" si="11"/>
        <v>0</v>
      </c>
      <c r="AP103" s="3926"/>
    </row>
    <row r="104" ht="30" customHeight="1">
      <c r="A104" s="3928">
        <f t="shared" si="12"/>
        <v>3</v>
      </c>
      <c r="B104" s="3904"/>
      <c r="C104" s="3905"/>
      <c r="D104" s="3905"/>
      <c r="E104" s="3905"/>
      <c r="F104" s="3905"/>
      <c r="G104" s="3906"/>
      <c r="H104" s="3907"/>
      <c r="I104" s="3908"/>
      <c r="J104" s="3907"/>
      <c r="K104" s="3905"/>
      <c r="L104" s="3909"/>
      <c r="M104" s="3910"/>
      <c r="N104" s="3911">
        <f t="shared" si="0"/>
        <v>0</v>
      </c>
      <c r="O104" s="3910"/>
      <c r="P104" s="3912"/>
      <c r="Q104" s="3912"/>
      <c r="R104" s="3905"/>
      <c r="S104" s="3913"/>
      <c r="T104" s="3914"/>
      <c r="U104" s="3915"/>
      <c r="V104" s="3916"/>
      <c r="W104" s="3917"/>
      <c r="X104" s="3910"/>
      <c r="Y104" s="3918">
        <f t="shared" si="1"/>
        <v>0</v>
      </c>
      <c r="Z104" s="3909"/>
      <c r="AA104" s="3919">
        <f t="shared" si="2"/>
        <v>0</v>
      </c>
      <c r="AB104" s="3920">
        <f t="shared" si="3"/>
        <v>0</v>
      </c>
      <c r="AC104" s="3921">
        <f t="shared" si="4"/>
        <v>0</v>
      </c>
      <c r="AD104" s="3922">
        <f t="shared" si="22"/>
        <v>0</v>
      </c>
      <c r="AE104" s="3923">
        <f t="shared" si="6"/>
        <v>0</v>
      </c>
      <c r="AF104" s="3904"/>
      <c r="AG104" s="3924"/>
      <c r="AH104" s="3911">
        <f t="shared" si="7"/>
        <v>0</v>
      </c>
      <c r="AI104" s="3911">
        <f t="shared" si="8"/>
        <v>0</v>
      </c>
      <c r="AJ104" s="3925"/>
      <c r="AK104" s="3926"/>
      <c r="AL104" s="3909">
        <f t="shared" si="9"/>
      </c>
      <c r="AM104" s="3918">
        <f t="shared" si="10"/>
        <v>0</v>
      </c>
      <c r="AN104" s="3926"/>
      <c r="AO104" s="3911">
        <f t="shared" si="11"/>
        <v>0</v>
      </c>
      <c r="AP104" s="3926"/>
    </row>
    <row r="105" ht="30" customHeight="1" hidden="1">
      <c r="A105" s="3928">
        <f t="shared" si="12"/>
        <v>4</v>
      </c>
      <c r="B105" s="3904"/>
      <c r="C105" s="3905"/>
      <c r="D105" s="3905"/>
      <c r="E105" s="3905"/>
      <c r="F105" s="3905"/>
      <c r="G105" s="3906"/>
      <c r="H105" s="3907"/>
      <c r="I105" s="3908"/>
      <c r="J105" s="3907"/>
      <c r="K105" s="3905"/>
      <c r="L105" s="3909"/>
      <c r="M105" s="3910"/>
      <c r="N105" s="3911">
        <f t="shared" si="0"/>
        <v>0</v>
      </c>
      <c r="O105" s="3910"/>
      <c r="P105" s="3912"/>
      <c r="Q105" s="3912"/>
      <c r="R105" s="3905"/>
      <c r="S105" s="3913"/>
      <c r="T105" s="3914"/>
      <c r="U105" s="3915"/>
      <c r="V105" s="3916"/>
      <c r="W105" s="3917"/>
      <c r="X105" s="3910"/>
      <c r="Y105" s="3918">
        <f t="shared" si="1"/>
        <v>0</v>
      </c>
      <c r="Z105" s="3909"/>
      <c r="AA105" s="3919">
        <f t="shared" si="2"/>
        <v>0</v>
      </c>
      <c r="AB105" s="3920">
        <f t="shared" si="3"/>
        <v>0</v>
      </c>
      <c r="AC105" s="3921">
        <f t="shared" si="4"/>
        <v>0</v>
      </c>
      <c r="AD105" s="3922">
        <f t="shared" si="22"/>
        <v>0</v>
      </c>
      <c r="AE105" s="3923">
        <f t="shared" si="6"/>
        <v>0</v>
      </c>
      <c r="AF105" s="3904"/>
      <c r="AG105" s="3924"/>
      <c r="AH105" s="3911">
        <f t="shared" si="7"/>
        <v>0</v>
      </c>
      <c r="AI105" s="3911">
        <f t="shared" si="8"/>
        <v>0</v>
      </c>
      <c r="AJ105" s="3925"/>
      <c r="AK105" s="3926"/>
      <c r="AL105" s="3909">
        <f t="shared" si="9"/>
      </c>
      <c r="AM105" s="3918">
        <f t="shared" si="10"/>
        <v>0</v>
      </c>
      <c r="AN105" s="3926"/>
      <c r="AO105" s="3911">
        <f t="shared" si="11"/>
        <v>0</v>
      </c>
      <c r="AP105" s="3926"/>
    </row>
    <row r="106" ht="30" customHeight="1" hidden="1">
      <c r="A106" s="3928">
        <f t="shared" si="12"/>
        <v>5</v>
      </c>
      <c r="B106" s="3904"/>
      <c r="C106" s="3905"/>
      <c r="D106" s="3905"/>
      <c r="E106" s="3905"/>
      <c r="F106" s="3905"/>
      <c r="G106" s="3906"/>
      <c r="H106" s="3907"/>
      <c r="I106" s="3908"/>
      <c r="J106" s="3907"/>
      <c r="K106" s="3905"/>
      <c r="L106" s="3909"/>
      <c r="M106" s="3910"/>
      <c r="N106" s="3911">
        <f t="shared" si="0"/>
        <v>0</v>
      </c>
      <c r="O106" s="3910"/>
      <c r="P106" s="3912"/>
      <c r="Q106" s="3912"/>
      <c r="R106" s="3905"/>
      <c r="S106" s="3913"/>
      <c r="T106" s="3914"/>
      <c r="U106" s="3915"/>
      <c r="V106" s="3916"/>
      <c r="W106" s="3917"/>
      <c r="X106" s="3910"/>
      <c r="Y106" s="3918">
        <f t="shared" si="1"/>
        <v>0</v>
      </c>
      <c r="Z106" s="3909"/>
      <c r="AA106" s="3919">
        <f t="shared" si="2"/>
        <v>0</v>
      </c>
      <c r="AB106" s="3920">
        <f t="shared" si="3"/>
        <v>0</v>
      </c>
      <c r="AC106" s="3921">
        <f t="shared" si="4"/>
        <v>0</v>
      </c>
      <c r="AD106" s="3922">
        <f t="shared" si="22"/>
        <v>0</v>
      </c>
      <c r="AE106" s="3923">
        <f t="shared" si="6"/>
        <v>0</v>
      </c>
      <c r="AF106" s="3904"/>
      <c r="AG106" s="3924"/>
      <c r="AH106" s="3911">
        <f t="shared" si="7"/>
        <v>0</v>
      </c>
      <c r="AI106" s="3911">
        <f t="shared" si="8"/>
        <v>0</v>
      </c>
      <c r="AJ106" s="3925"/>
      <c r="AK106" s="3926"/>
      <c r="AL106" s="3909">
        <f t="shared" si="9"/>
      </c>
      <c r="AM106" s="3918">
        <f t="shared" si="10"/>
        <v>0</v>
      </c>
      <c r="AN106" s="3926"/>
      <c r="AO106" s="3911">
        <f t="shared" si="11"/>
        <v>0</v>
      </c>
      <c r="AP106" s="3926"/>
    </row>
    <row r="107" ht="30" customHeight="1" hidden="1">
      <c r="A107" s="3928">
        <f t="shared" si="12"/>
        <v>6</v>
      </c>
      <c r="B107" s="3904"/>
      <c r="C107" s="3905"/>
      <c r="D107" s="3905"/>
      <c r="E107" s="3905"/>
      <c r="F107" s="3905"/>
      <c r="G107" s="3906"/>
      <c r="H107" s="3907"/>
      <c r="I107" s="3908"/>
      <c r="J107" s="3907"/>
      <c r="K107" s="3905"/>
      <c r="L107" s="3909"/>
      <c r="M107" s="3910"/>
      <c r="N107" s="3911">
        <f t="shared" si="0"/>
        <v>0</v>
      </c>
      <c r="O107" s="3910"/>
      <c r="P107" s="3912"/>
      <c r="Q107" s="3912"/>
      <c r="R107" s="3905"/>
      <c r="S107" s="3913"/>
      <c r="T107" s="3914"/>
      <c r="U107" s="3915"/>
      <c r="V107" s="3916"/>
      <c r="W107" s="3917"/>
      <c r="X107" s="3910"/>
      <c r="Y107" s="3918">
        <f t="shared" si="1"/>
        <v>0</v>
      </c>
      <c r="Z107" s="3909"/>
      <c r="AA107" s="3919">
        <f t="shared" si="2"/>
        <v>0</v>
      </c>
      <c r="AB107" s="3920">
        <f t="shared" si="3"/>
        <v>0</v>
      </c>
      <c r="AC107" s="3921">
        <f t="shared" si="4"/>
        <v>0</v>
      </c>
      <c r="AD107" s="3922">
        <f t="shared" si="22"/>
        <v>0</v>
      </c>
      <c r="AE107" s="3923">
        <f t="shared" si="6"/>
        <v>0</v>
      </c>
      <c r="AF107" s="3904"/>
      <c r="AG107" s="3924"/>
      <c r="AH107" s="3911">
        <f t="shared" si="7"/>
        <v>0</v>
      </c>
      <c r="AI107" s="3911">
        <f t="shared" si="8"/>
        <v>0</v>
      </c>
      <c r="AJ107" s="3925"/>
      <c r="AK107" s="3926"/>
      <c r="AL107" s="3909">
        <f t="shared" si="9"/>
      </c>
      <c r="AM107" s="3918">
        <f t="shared" si="10"/>
        <v>0</v>
      </c>
      <c r="AN107" s="3926"/>
      <c r="AO107" s="3911">
        <f t="shared" si="11"/>
        <v>0</v>
      </c>
      <c r="AP107" s="3926"/>
    </row>
    <row r="108" ht="30" customHeight="1" hidden="1">
      <c r="A108" s="3928">
        <f t="shared" si="12"/>
        <v>7</v>
      </c>
      <c r="B108" s="3904"/>
      <c r="C108" s="3905"/>
      <c r="D108" s="3905"/>
      <c r="E108" s="3905"/>
      <c r="F108" s="3905"/>
      <c r="G108" s="3906"/>
      <c r="H108" s="3907"/>
      <c r="I108" s="3908"/>
      <c r="J108" s="3907"/>
      <c r="K108" s="3905"/>
      <c r="L108" s="3909"/>
      <c r="M108" s="3910"/>
      <c r="N108" s="3911">
        <f t="shared" si="0"/>
        <v>0</v>
      </c>
      <c r="O108" s="3910"/>
      <c r="P108" s="3912"/>
      <c r="Q108" s="3912"/>
      <c r="R108" s="3905"/>
      <c r="S108" s="3913"/>
      <c r="T108" s="3914"/>
      <c r="U108" s="3915"/>
      <c r="V108" s="3916"/>
      <c r="W108" s="3917"/>
      <c r="X108" s="3910"/>
      <c r="Y108" s="3918">
        <f t="shared" si="1"/>
        <v>0</v>
      </c>
      <c r="Z108" s="3909"/>
      <c r="AA108" s="3919">
        <f t="shared" si="2"/>
        <v>0</v>
      </c>
      <c r="AB108" s="3920">
        <f t="shared" si="3"/>
        <v>0</v>
      </c>
      <c r="AC108" s="3921">
        <f t="shared" si="4"/>
        <v>0</v>
      </c>
      <c r="AD108" s="3922">
        <f t="shared" si="22"/>
        <v>0</v>
      </c>
      <c r="AE108" s="3923">
        <f t="shared" si="6"/>
        <v>0</v>
      </c>
      <c r="AF108" s="3904"/>
      <c r="AG108" s="3924"/>
      <c r="AH108" s="3911">
        <f t="shared" si="7"/>
        <v>0</v>
      </c>
      <c r="AI108" s="3911">
        <f t="shared" si="8"/>
        <v>0</v>
      </c>
      <c r="AJ108" s="3925"/>
      <c r="AK108" s="3926"/>
      <c r="AL108" s="3909">
        <f t="shared" si="9"/>
      </c>
      <c r="AM108" s="3918">
        <f t="shared" si="10"/>
        <v>0</v>
      </c>
      <c r="AN108" s="3926"/>
      <c r="AO108" s="3911">
        <f t="shared" si="11"/>
        <v>0</v>
      </c>
      <c r="AP108" s="3926"/>
    </row>
    <row r="109" ht="30" customHeight="1" hidden="1">
      <c r="A109" s="3928">
        <f t="shared" si="12"/>
        <v>8</v>
      </c>
      <c r="B109" s="3904"/>
      <c r="C109" s="3905"/>
      <c r="D109" s="3905"/>
      <c r="E109" s="3905"/>
      <c r="F109" s="3905"/>
      <c r="G109" s="3906"/>
      <c r="H109" s="3907"/>
      <c r="I109" s="3908"/>
      <c r="J109" s="3907"/>
      <c r="K109" s="3905"/>
      <c r="L109" s="3909"/>
      <c r="M109" s="3910"/>
      <c r="N109" s="3911">
        <f t="shared" si="0"/>
        <v>0</v>
      </c>
      <c r="O109" s="3910"/>
      <c r="P109" s="3912"/>
      <c r="Q109" s="3912"/>
      <c r="R109" s="3905"/>
      <c r="S109" s="3913"/>
      <c r="T109" s="3914"/>
      <c r="U109" s="3915"/>
      <c r="V109" s="3916"/>
      <c r="W109" s="3917"/>
      <c r="X109" s="3910"/>
      <c r="Y109" s="3918">
        <f t="shared" si="1"/>
        <v>0</v>
      </c>
      <c r="Z109" s="3909"/>
      <c r="AA109" s="3919">
        <f t="shared" si="2"/>
        <v>0</v>
      </c>
      <c r="AB109" s="3920">
        <f t="shared" si="3"/>
        <v>0</v>
      </c>
      <c r="AC109" s="3921">
        <f t="shared" si="4"/>
        <v>0</v>
      </c>
      <c r="AD109" s="3922">
        <f t="shared" si="22"/>
        <v>0</v>
      </c>
      <c r="AE109" s="3923">
        <f t="shared" si="6"/>
        <v>0</v>
      </c>
      <c r="AF109" s="3904"/>
      <c r="AG109" s="3924"/>
      <c r="AH109" s="3911">
        <f t="shared" si="7"/>
        <v>0</v>
      </c>
      <c r="AI109" s="3911">
        <f t="shared" si="8"/>
        <v>0</v>
      </c>
      <c r="AJ109" s="3925"/>
      <c r="AK109" s="3926"/>
      <c r="AL109" s="3909">
        <f t="shared" si="9"/>
      </c>
      <c r="AM109" s="3918">
        <f t="shared" si="10"/>
        <v>0</v>
      </c>
      <c r="AN109" s="3926"/>
      <c r="AO109" s="3911">
        <f t="shared" si="11"/>
        <v>0</v>
      </c>
      <c r="AP109" s="3926"/>
    </row>
    <row r="110" ht="30" customHeight="1" hidden="1">
      <c r="A110" s="3928">
        <f t="shared" si="12"/>
        <v>9</v>
      </c>
      <c r="B110" s="3904"/>
      <c r="C110" s="3905"/>
      <c r="D110" s="3905"/>
      <c r="E110" s="3905"/>
      <c r="F110" s="3905"/>
      <c r="G110" s="3906"/>
      <c r="H110" s="3907"/>
      <c r="I110" s="3908"/>
      <c r="J110" s="3907"/>
      <c r="K110" s="3905"/>
      <c r="L110" s="3909"/>
      <c r="M110" s="3910"/>
      <c r="N110" s="3911">
        <f t="shared" si="0"/>
        <v>0</v>
      </c>
      <c r="O110" s="3910"/>
      <c r="P110" s="3912"/>
      <c r="Q110" s="3912"/>
      <c r="R110" s="3905"/>
      <c r="S110" s="3913"/>
      <c r="T110" s="3914"/>
      <c r="U110" s="3915"/>
      <c r="V110" s="3916"/>
      <c r="W110" s="3917"/>
      <c r="X110" s="3910"/>
      <c r="Y110" s="3918">
        <f t="shared" si="1"/>
        <v>0</v>
      </c>
      <c r="Z110" s="3909"/>
      <c r="AA110" s="3919">
        <f t="shared" si="2"/>
        <v>0</v>
      </c>
      <c r="AB110" s="3920">
        <f t="shared" si="3"/>
        <v>0</v>
      </c>
      <c r="AC110" s="3921">
        <f t="shared" si="4"/>
        <v>0</v>
      </c>
      <c r="AD110" s="3922">
        <f t="shared" si="22"/>
        <v>0</v>
      </c>
      <c r="AE110" s="3923">
        <f t="shared" si="6"/>
        <v>0</v>
      </c>
      <c r="AF110" s="3904"/>
      <c r="AG110" s="3924"/>
      <c r="AH110" s="3911">
        <f t="shared" si="7"/>
        <v>0</v>
      </c>
      <c r="AI110" s="3911">
        <f t="shared" si="8"/>
        <v>0</v>
      </c>
      <c r="AJ110" s="3925"/>
      <c r="AK110" s="3926"/>
      <c r="AL110" s="3909">
        <f t="shared" si="9"/>
      </c>
      <c r="AM110" s="3918">
        <f t="shared" si="10"/>
        <v>0</v>
      </c>
      <c r="AN110" s="3926"/>
      <c r="AO110" s="3911">
        <f t="shared" si="11"/>
        <v>0</v>
      </c>
      <c r="AP110" s="3926"/>
    </row>
    <row r="111" ht="30" customHeight="1" hidden="1">
      <c r="A111" s="3928">
        <f t="shared" si="12"/>
        <v>10</v>
      </c>
      <c r="B111" s="3904"/>
      <c r="C111" s="3905"/>
      <c r="D111" s="3905"/>
      <c r="E111" s="3905"/>
      <c r="F111" s="3905"/>
      <c r="G111" s="3906"/>
      <c r="H111" s="3907"/>
      <c r="I111" s="3908"/>
      <c r="J111" s="3907"/>
      <c r="K111" s="3905"/>
      <c r="L111" s="3909"/>
      <c r="M111" s="3910"/>
      <c r="N111" s="3911">
        <f t="shared" si="0"/>
        <v>0</v>
      </c>
      <c r="O111" s="3910"/>
      <c r="P111" s="3912"/>
      <c r="Q111" s="3912"/>
      <c r="R111" s="3905"/>
      <c r="S111" s="3913"/>
      <c r="T111" s="3914"/>
      <c r="U111" s="3915"/>
      <c r="V111" s="3916"/>
      <c r="W111" s="3917"/>
      <c r="X111" s="3910"/>
      <c r="Y111" s="3918">
        <f t="shared" si="1"/>
        <v>0</v>
      </c>
      <c r="Z111" s="3909"/>
      <c r="AA111" s="3919">
        <f t="shared" si="2"/>
        <v>0</v>
      </c>
      <c r="AB111" s="3920">
        <f t="shared" si="3"/>
        <v>0</v>
      </c>
      <c r="AC111" s="3921">
        <f t="shared" si="4"/>
        <v>0</v>
      </c>
      <c r="AD111" s="3922">
        <f t="shared" si="22"/>
        <v>0</v>
      </c>
      <c r="AE111" s="3923">
        <f t="shared" si="6"/>
        <v>0</v>
      </c>
      <c r="AF111" s="3904"/>
      <c r="AG111" s="3924"/>
      <c r="AH111" s="3911">
        <f t="shared" si="7"/>
        <v>0</v>
      </c>
      <c r="AI111" s="3911">
        <f t="shared" si="8"/>
        <v>0</v>
      </c>
      <c r="AJ111" s="3925"/>
      <c r="AK111" s="3926"/>
      <c r="AL111" s="3909">
        <f t="shared" si="9"/>
      </c>
      <c r="AM111" s="3918">
        <f t="shared" si="10"/>
        <v>0</v>
      </c>
      <c r="AN111" s="3926"/>
      <c r="AO111" s="3911">
        <f t="shared" si="11"/>
        <v>0</v>
      </c>
      <c r="AP111" s="3926"/>
    </row>
    <row r="112" ht="30" customHeight="1" hidden="1">
      <c r="A112" s="3928">
        <f t="shared" si="12"/>
        <v>11</v>
      </c>
      <c r="B112" s="3904"/>
      <c r="C112" s="3905"/>
      <c r="D112" s="3905"/>
      <c r="E112" s="3905"/>
      <c r="F112" s="3905"/>
      <c r="G112" s="3906"/>
      <c r="H112" s="3907"/>
      <c r="I112" s="3908"/>
      <c r="J112" s="3907"/>
      <c r="K112" s="3905"/>
      <c r="L112" s="3909"/>
      <c r="M112" s="3910"/>
      <c r="N112" s="3911">
        <f t="shared" si="0"/>
        <v>0</v>
      </c>
      <c r="O112" s="3910"/>
      <c r="P112" s="3912"/>
      <c r="Q112" s="3912"/>
      <c r="R112" s="3905"/>
      <c r="S112" s="3913"/>
      <c r="T112" s="3914"/>
      <c r="U112" s="3915"/>
      <c r="V112" s="3916"/>
      <c r="W112" s="3917"/>
      <c r="X112" s="3910"/>
      <c r="Y112" s="3918">
        <f t="shared" si="1"/>
        <v>0</v>
      </c>
      <c r="Z112" s="3909"/>
      <c r="AA112" s="3919">
        <f t="shared" si="2"/>
        <v>0</v>
      </c>
      <c r="AB112" s="3920">
        <f t="shared" si="3"/>
        <v>0</v>
      </c>
      <c r="AC112" s="3921">
        <f t="shared" si="4"/>
        <v>0</v>
      </c>
      <c r="AD112" s="3922">
        <f t="shared" si="22"/>
        <v>0</v>
      </c>
      <c r="AE112" s="3923">
        <f t="shared" si="6"/>
        <v>0</v>
      </c>
      <c r="AF112" s="3904"/>
      <c r="AG112" s="3924"/>
      <c r="AH112" s="3911">
        <f t="shared" si="7"/>
        <v>0</v>
      </c>
      <c r="AI112" s="3911">
        <f t="shared" si="8"/>
        <v>0</v>
      </c>
      <c r="AJ112" s="3925"/>
      <c r="AK112" s="3926"/>
      <c r="AL112" s="3909">
        <f t="shared" si="9"/>
      </c>
      <c r="AM112" s="3918">
        <f t="shared" si="10"/>
        <v>0</v>
      </c>
      <c r="AN112" s="3926"/>
      <c r="AO112" s="3911">
        <f t="shared" si="11"/>
        <v>0</v>
      </c>
      <c r="AP112" s="3926"/>
    </row>
    <row r="113" ht="30" customHeight="1" hidden="1">
      <c r="A113" s="3928">
        <f t="shared" si="12"/>
        <v>12</v>
      </c>
      <c r="B113" s="3904"/>
      <c r="C113" s="3905"/>
      <c r="D113" s="3905"/>
      <c r="E113" s="3905"/>
      <c r="F113" s="3905"/>
      <c r="G113" s="3906"/>
      <c r="H113" s="3907"/>
      <c r="I113" s="3908"/>
      <c r="J113" s="3907"/>
      <c r="K113" s="3905"/>
      <c r="L113" s="3909"/>
      <c r="M113" s="3910"/>
      <c r="N113" s="3911">
        <f t="shared" si="0"/>
        <v>0</v>
      </c>
      <c r="O113" s="3910"/>
      <c r="P113" s="3912"/>
      <c r="Q113" s="3912"/>
      <c r="R113" s="3905"/>
      <c r="S113" s="3913"/>
      <c r="T113" s="3914"/>
      <c r="U113" s="3915"/>
      <c r="V113" s="3916"/>
      <c r="W113" s="3917"/>
      <c r="X113" s="3910"/>
      <c r="Y113" s="3918">
        <f t="shared" si="1"/>
        <v>0</v>
      </c>
      <c r="Z113" s="3909"/>
      <c r="AA113" s="3919">
        <f t="shared" si="2"/>
        <v>0</v>
      </c>
      <c r="AB113" s="3920">
        <f t="shared" si="3"/>
        <v>0</v>
      </c>
      <c r="AC113" s="3921">
        <f t="shared" si="4"/>
        <v>0</v>
      </c>
      <c r="AD113" s="3922">
        <f t="shared" si="22"/>
        <v>0</v>
      </c>
      <c r="AE113" s="3923">
        <f t="shared" si="6"/>
        <v>0</v>
      </c>
      <c r="AF113" s="3904"/>
      <c r="AG113" s="3924"/>
      <c r="AH113" s="3911">
        <f t="shared" si="7"/>
        <v>0</v>
      </c>
      <c r="AI113" s="3911">
        <f t="shared" si="8"/>
        <v>0</v>
      </c>
      <c r="AJ113" s="3925"/>
      <c r="AK113" s="3926"/>
      <c r="AL113" s="3909">
        <f t="shared" si="9"/>
      </c>
      <c r="AM113" s="3918">
        <f t="shared" si="10"/>
        <v>0</v>
      </c>
      <c r="AN113" s="3926"/>
      <c r="AO113" s="3911">
        <f t="shared" si="11"/>
        <v>0</v>
      </c>
      <c r="AP113" s="3926"/>
    </row>
    <row r="114" ht="30" customHeight="1" hidden="1">
      <c r="A114" s="3928">
        <f t="shared" si="12"/>
        <v>13</v>
      </c>
      <c r="B114" s="3904"/>
      <c r="C114" s="3905"/>
      <c r="D114" s="3905"/>
      <c r="E114" s="3905"/>
      <c r="F114" s="3905"/>
      <c r="G114" s="3906"/>
      <c r="H114" s="3907"/>
      <c r="I114" s="3908"/>
      <c r="J114" s="3907"/>
      <c r="K114" s="3905"/>
      <c r="L114" s="3909"/>
      <c r="M114" s="3910"/>
      <c r="N114" s="3911">
        <f t="shared" si="0"/>
        <v>0</v>
      </c>
      <c r="O114" s="3910"/>
      <c r="P114" s="3912"/>
      <c r="Q114" s="3912"/>
      <c r="R114" s="3905"/>
      <c r="S114" s="3913"/>
      <c r="T114" s="3914"/>
      <c r="U114" s="3915"/>
      <c r="V114" s="3916"/>
      <c r="W114" s="3917"/>
      <c r="X114" s="3910"/>
      <c r="Y114" s="3918">
        <f t="shared" si="1"/>
        <v>0</v>
      </c>
      <c r="Z114" s="3909"/>
      <c r="AA114" s="3919">
        <f t="shared" si="2"/>
        <v>0</v>
      </c>
      <c r="AB114" s="3920">
        <f t="shared" si="3"/>
        <v>0</v>
      </c>
      <c r="AC114" s="3921">
        <f t="shared" si="4"/>
        <v>0</v>
      </c>
      <c r="AD114" s="3922">
        <f t="shared" si="22"/>
        <v>0</v>
      </c>
      <c r="AE114" s="3923">
        <f t="shared" si="6"/>
        <v>0</v>
      </c>
      <c r="AF114" s="3904"/>
      <c r="AG114" s="3924"/>
      <c r="AH114" s="3911">
        <f t="shared" si="7"/>
        <v>0</v>
      </c>
      <c r="AI114" s="3911">
        <f t="shared" si="8"/>
        <v>0</v>
      </c>
      <c r="AJ114" s="3925"/>
      <c r="AK114" s="3926"/>
      <c r="AL114" s="3909">
        <f t="shared" si="9"/>
      </c>
      <c r="AM114" s="3918">
        <f t="shared" si="10"/>
        <v>0</v>
      </c>
      <c r="AN114" s="3926"/>
      <c r="AO114" s="3911">
        <f t="shared" si="11"/>
        <v>0</v>
      </c>
      <c r="AP114" s="3926"/>
    </row>
    <row r="115" ht="30" customHeight="1" hidden="1">
      <c r="A115" s="3928">
        <f t="shared" si="12"/>
        <v>14</v>
      </c>
      <c r="B115" s="3904"/>
      <c r="C115" s="3905"/>
      <c r="D115" s="3905"/>
      <c r="E115" s="3905"/>
      <c r="F115" s="3905"/>
      <c r="G115" s="3906"/>
      <c r="H115" s="3907"/>
      <c r="I115" s="3908"/>
      <c r="J115" s="3907"/>
      <c r="K115" s="3905"/>
      <c r="L115" s="3909"/>
      <c r="M115" s="3910"/>
      <c r="N115" s="3911">
        <f t="shared" si="0"/>
        <v>0</v>
      </c>
      <c r="O115" s="3910"/>
      <c r="P115" s="3912"/>
      <c r="Q115" s="3912"/>
      <c r="R115" s="3905"/>
      <c r="S115" s="3913"/>
      <c r="T115" s="3914"/>
      <c r="U115" s="3915"/>
      <c r="V115" s="3916"/>
      <c r="W115" s="3917"/>
      <c r="X115" s="3910"/>
      <c r="Y115" s="3918">
        <f t="shared" si="1"/>
        <v>0</v>
      </c>
      <c r="Z115" s="3909"/>
      <c r="AA115" s="3919">
        <f t="shared" si="2"/>
        <v>0</v>
      </c>
      <c r="AB115" s="3920">
        <f t="shared" si="3"/>
        <v>0</v>
      </c>
      <c r="AC115" s="3921">
        <f t="shared" si="4"/>
        <v>0</v>
      </c>
      <c r="AD115" s="3922">
        <f t="shared" si="22"/>
        <v>0</v>
      </c>
      <c r="AE115" s="3923">
        <f t="shared" si="6"/>
        <v>0</v>
      </c>
      <c r="AF115" s="3904"/>
      <c r="AG115" s="3924"/>
      <c r="AH115" s="3911">
        <f t="shared" si="7"/>
        <v>0</v>
      </c>
      <c r="AI115" s="3911">
        <f t="shared" si="8"/>
        <v>0</v>
      </c>
      <c r="AJ115" s="3925"/>
      <c r="AK115" s="3926"/>
      <c r="AL115" s="3909">
        <f t="shared" si="9"/>
      </c>
      <c r="AM115" s="3918">
        <f t="shared" si="10"/>
        <v>0</v>
      </c>
      <c r="AN115" s="3926"/>
      <c r="AO115" s="3911">
        <f t="shared" si="11"/>
        <v>0</v>
      </c>
      <c r="AP115" s="3926"/>
    </row>
    <row r="116" ht="30" customHeight="1" hidden="1">
      <c r="A116" s="3928">
        <f t="shared" si="12"/>
        <v>15</v>
      </c>
      <c r="B116" s="3904"/>
      <c r="C116" s="3905"/>
      <c r="D116" s="3905"/>
      <c r="E116" s="3905"/>
      <c r="F116" s="3905"/>
      <c r="G116" s="3906"/>
      <c r="H116" s="3907"/>
      <c r="I116" s="3908"/>
      <c r="J116" s="3907"/>
      <c r="K116" s="3905"/>
      <c r="L116" s="3909"/>
      <c r="M116" s="3910"/>
      <c r="N116" s="3911">
        <f t="shared" si="0"/>
        <v>0</v>
      </c>
      <c r="O116" s="3910"/>
      <c r="P116" s="3912"/>
      <c r="Q116" s="3912"/>
      <c r="R116" s="3905"/>
      <c r="S116" s="3913"/>
      <c r="T116" s="3914"/>
      <c r="U116" s="3915"/>
      <c r="V116" s="3916"/>
      <c r="W116" s="3917"/>
      <c r="X116" s="3910"/>
      <c r="Y116" s="3918">
        <f t="shared" si="1"/>
        <v>0</v>
      </c>
      <c r="Z116" s="3909"/>
      <c r="AA116" s="3919">
        <f t="shared" si="2"/>
        <v>0</v>
      </c>
      <c r="AB116" s="3920">
        <f t="shared" si="3"/>
        <v>0</v>
      </c>
      <c r="AC116" s="3921">
        <f t="shared" si="4"/>
        <v>0</v>
      </c>
      <c r="AD116" s="3922">
        <f t="shared" si="22"/>
        <v>0</v>
      </c>
      <c r="AE116" s="3923">
        <f t="shared" si="6"/>
        <v>0</v>
      </c>
      <c r="AF116" s="3904"/>
      <c r="AG116" s="3924"/>
      <c r="AH116" s="3911">
        <f t="shared" si="7"/>
        <v>0</v>
      </c>
      <c r="AI116" s="3911">
        <f t="shared" si="8"/>
        <v>0</v>
      </c>
      <c r="AJ116" s="3925"/>
      <c r="AK116" s="3926"/>
      <c r="AL116" s="3909">
        <f t="shared" si="9"/>
      </c>
      <c r="AM116" s="3918">
        <f t="shared" si="10"/>
        <v>0</v>
      </c>
      <c r="AN116" s="3926"/>
      <c r="AO116" s="3911">
        <f t="shared" si="11"/>
        <v>0</v>
      </c>
      <c r="AP116" s="3926"/>
    </row>
    <row r="117" ht="30" customHeight="1" hidden="1">
      <c r="A117" s="3928">
        <f t="shared" si="12"/>
        <v>16</v>
      </c>
      <c r="B117" s="3904"/>
      <c r="C117" s="3905"/>
      <c r="D117" s="3905"/>
      <c r="E117" s="3905"/>
      <c r="F117" s="3905"/>
      <c r="G117" s="3906"/>
      <c r="H117" s="3907"/>
      <c r="I117" s="3908"/>
      <c r="J117" s="3907"/>
      <c r="K117" s="3905"/>
      <c r="L117" s="3909"/>
      <c r="M117" s="3910"/>
      <c r="N117" s="3911">
        <f t="shared" si="0"/>
        <v>0</v>
      </c>
      <c r="O117" s="3910"/>
      <c r="P117" s="3912"/>
      <c r="Q117" s="3912"/>
      <c r="R117" s="3905"/>
      <c r="S117" s="3913"/>
      <c r="T117" s="3914"/>
      <c r="U117" s="3915"/>
      <c r="V117" s="3916"/>
      <c r="W117" s="3917"/>
      <c r="X117" s="3910"/>
      <c r="Y117" s="3918">
        <f t="shared" si="1"/>
        <v>0</v>
      </c>
      <c r="Z117" s="3909"/>
      <c r="AA117" s="3919">
        <f t="shared" si="2"/>
        <v>0</v>
      </c>
      <c r="AB117" s="3920">
        <f t="shared" si="3"/>
        <v>0</v>
      </c>
      <c r="AC117" s="3921">
        <f t="shared" si="4"/>
        <v>0</v>
      </c>
      <c r="AD117" s="3922">
        <f t="shared" si="22"/>
        <v>0</v>
      </c>
      <c r="AE117" s="3923">
        <f t="shared" si="6"/>
        <v>0</v>
      </c>
      <c r="AF117" s="3904"/>
      <c r="AG117" s="3924"/>
      <c r="AH117" s="3911">
        <f t="shared" si="7"/>
        <v>0</v>
      </c>
      <c r="AI117" s="3911">
        <f t="shared" si="8"/>
        <v>0</v>
      </c>
      <c r="AJ117" s="3925"/>
      <c r="AK117" s="3926"/>
      <c r="AL117" s="3909">
        <f t="shared" si="9"/>
      </c>
      <c r="AM117" s="3918">
        <f t="shared" si="10"/>
        <v>0</v>
      </c>
      <c r="AN117" s="3926"/>
      <c r="AO117" s="3911">
        <f t="shared" si="11"/>
        <v>0</v>
      </c>
      <c r="AP117" s="3926"/>
    </row>
    <row r="118" ht="30" customHeight="1" hidden="1">
      <c r="A118" s="3928">
        <f t="shared" si="12"/>
        <v>17</v>
      </c>
      <c r="B118" s="3904"/>
      <c r="C118" s="3905"/>
      <c r="D118" s="3905"/>
      <c r="E118" s="3905"/>
      <c r="F118" s="3905"/>
      <c r="G118" s="3906"/>
      <c r="H118" s="3907"/>
      <c r="I118" s="3908"/>
      <c r="J118" s="3907"/>
      <c r="K118" s="3905"/>
      <c r="L118" s="3909"/>
      <c r="M118" s="3910"/>
      <c r="N118" s="3911">
        <f t="shared" si="0"/>
        <v>0</v>
      </c>
      <c r="O118" s="3910"/>
      <c r="P118" s="3912"/>
      <c r="Q118" s="3912"/>
      <c r="R118" s="3905"/>
      <c r="S118" s="3913"/>
      <c r="T118" s="3914"/>
      <c r="U118" s="3915"/>
      <c r="V118" s="3916"/>
      <c r="W118" s="3917"/>
      <c r="X118" s="3910"/>
      <c r="Y118" s="3918">
        <f t="shared" si="1"/>
        <v>0</v>
      </c>
      <c r="Z118" s="3909"/>
      <c r="AA118" s="3919">
        <f t="shared" si="2"/>
        <v>0</v>
      </c>
      <c r="AB118" s="3920">
        <f t="shared" si="3"/>
        <v>0</v>
      </c>
      <c r="AC118" s="3921">
        <f t="shared" si="4"/>
        <v>0</v>
      </c>
      <c r="AD118" s="3922">
        <f t="shared" si="22"/>
        <v>0</v>
      </c>
      <c r="AE118" s="3923">
        <f t="shared" si="6"/>
        <v>0</v>
      </c>
      <c r="AF118" s="3904"/>
      <c r="AG118" s="3924"/>
      <c r="AH118" s="3911">
        <f t="shared" si="7"/>
        <v>0</v>
      </c>
      <c r="AI118" s="3911">
        <f t="shared" si="8"/>
        <v>0</v>
      </c>
      <c r="AJ118" s="3925"/>
      <c r="AK118" s="3926"/>
      <c r="AL118" s="3909">
        <f t="shared" si="9"/>
      </c>
      <c r="AM118" s="3918">
        <f t="shared" si="10"/>
        <v>0</v>
      </c>
      <c r="AN118" s="3926"/>
      <c r="AO118" s="3911">
        <f t="shared" si="11"/>
        <v>0</v>
      </c>
      <c r="AP118" s="3926"/>
    </row>
    <row r="119" ht="30" customHeight="1" hidden="1">
      <c r="A119" s="3928">
        <f t="shared" si="12"/>
        <v>18</v>
      </c>
      <c r="B119" s="3904"/>
      <c r="C119" s="3905"/>
      <c r="D119" s="3905"/>
      <c r="E119" s="3905"/>
      <c r="F119" s="3905"/>
      <c r="G119" s="3906"/>
      <c r="H119" s="3907"/>
      <c r="I119" s="3908"/>
      <c r="J119" s="3907"/>
      <c r="K119" s="3905"/>
      <c r="L119" s="3909"/>
      <c r="M119" s="3910"/>
      <c r="N119" s="3911">
        <f t="shared" si="0"/>
        <v>0</v>
      </c>
      <c r="O119" s="3910"/>
      <c r="P119" s="3912"/>
      <c r="Q119" s="3912"/>
      <c r="R119" s="3905"/>
      <c r="S119" s="3913"/>
      <c r="T119" s="3914"/>
      <c r="U119" s="3915"/>
      <c r="V119" s="3916"/>
      <c r="W119" s="3917"/>
      <c r="X119" s="3910"/>
      <c r="Y119" s="3918">
        <f t="shared" si="1"/>
        <v>0</v>
      </c>
      <c r="Z119" s="3909"/>
      <c r="AA119" s="3919">
        <f t="shared" si="2"/>
        <v>0</v>
      </c>
      <c r="AB119" s="3920">
        <f t="shared" si="3"/>
        <v>0</v>
      </c>
      <c r="AC119" s="3921">
        <f t="shared" si="4"/>
        <v>0</v>
      </c>
      <c r="AD119" s="3922">
        <f t="shared" si="22"/>
        <v>0</v>
      </c>
      <c r="AE119" s="3923">
        <f t="shared" si="6"/>
        <v>0</v>
      </c>
      <c r="AF119" s="3904"/>
      <c r="AG119" s="3924"/>
      <c r="AH119" s="3911">
        <f t="shared" si="7"/>
        <v>0</v>
      </c>
      <c r="AI119" s="3911">
        <f t="shared" si="8"/>
        <v>0</v>
      </c>
      <c r="AJ119" s="3925"/>
      <c r="AK119" s="3926"/>
      <c r="AL119" s="3909">
        <f t="shared" si="9"/>
      </c>
      <c r="AM119" s="3918">
        <f t="shared" si="10"/>
        <v>0</v>
      </c>
      <c r="AN119" s="3926"/>
      <c r="AO119" s="3911">
        <f t="shared" si="11"/>
        <v>0</v>
      </c>
      <c r="AP119" s="3926"/>
    </row>
    <row r="120" ht="30" customHeight="1" hidden="1">
      <c r="A120" s="3928">
        <f t="shared" si="12"/>
        <v>19</v>
      </c>
      <c r="B120" s="3904"/>
      <c r="C120" s="3905"/>
      <c r="D120" s="3905"/>
      <c r="E120" s="3905"/>
      <c r="F120" s="3905"/>
      <c r="G120" s="3906"/>
      <c r="H120" s="3907"/>
      <c r="I120" s="3908"/>
      <c r="J120" s="3907"/>
      <c r="K120" s="3905"/>
      <c r="L120" s="3909"/>
      <c r="M120" s="3910"/>
      <c r="N120" s="3911">
        <f t="shared" si="0"/>
        <v>0</v>
      </c>
      <c r="O120" s="3910"/>
      <c r="P120" s="3912"/>
      <c r="Q120" s="3912"/>
      <c r="R120" s="3905"/>
      <c r="S120" s="3913"/>
      <c r="T120" s="3914"/>
      <c r="U120" s="3915"/>
      <c r="V120" s="3916"/>
      <c r="W120" s="3917"/>
      <c r="X120" s="3910"/>
      <c r="Y120" s="3918">
        <f t="shared" si="1"/>
        <v>0</v>
      </c>
      <c r="Z120" s="3909"/>
      <c r="AA120" s="3919">
        <f t="shared" si="2"/>
        <v>0</v>
      </c>
      <c r="AB120" s="3920">
        <f t="shared" si="3"/>
        <v>0</v>
      </c>
      <c r="AC120" s="3921">
        <f t="shared" si="4"/>
        <v>0</v>
      </c>
      <c r="AD120" s="3922">
        <f t="shared" si="22"/>
        <v>0</v>
      </c>
      <c r="AE120" s="3923">
        <f t="shared" si="6"/>
        <v>0</v>
      </c>
      <c r="AF120" s="3904"/>
      <c r="AG120" s="3924"/>
      <c r="AH120" s="3911">
        <f t="shared" si="7"/>
        <v>0</v>
      </c>
      <c r="AI120" s="3911">
        <f t="shared" si="8"/>
        <v>0</v>
      </c>
      <c r="AJ120" s="3925"/>
      <c r="AK120" s="3926"/>
      <c r="AL120" s="3909">
        <f t="shared" si="9"/>
      </c>
      <c r="AM120" s="3918">
        <f t="shared" si="10"/>
        <v>0</v>
      </c>
      <c r="AN120" s="3926"/>
      <c r="AO120" s="3911">
        <f t="shared" si="11"/>
        <v>0</v>
      </c>
      <c r="AP120" s="3926"/>
    </row>
    <row r="121" ht="30" customHeight="1" hidden="1">
      <c r="A121" s="3928">
        <f t="shared" si="12"/>
        <v>20</v>
      </c>
      <c r="B121" s="3904"/>
      <c r="C121" s="3905"/>
      <c r="D121" s="3905"/>
      <c r="E121" s="3905"/>
      <c r="F121" s="3905"/>
      <c r="G121" s="3906"/>
      <c r="H121" s="3907"/>
      <c r="I121" s="3908"/>
      <c r="J121" s="3907"/>
      <c r="K121" s="3905"/>
      <c r="L121" s="3909"/>
      <c r="M121" s="3910"/>
      <c r="N121" s="3911">
        <f t="shared" si="0"/>
        <v>0</v>
      </c>
      <c r="O121" s="3910"/>
      <c r="P121" s="3912"/>
      <c r="Q121" s="3912"/>
      <c r="R121" s="3905"/>
      <c r="S121" s="3913"/>
      <c r="T121" s="3914"/>
      <c r="U121" s="3915"/>
      <c r="V121" s="3916"/>
      <c r="W121" s="3917"/>
      <c r="X121" s="3910"/>
      <c r="Y121" s="3918">
        <f t="shared" si="1"/>
        <v>0</v>
      </c>
      <c r="Z121" s="3909"/>
      <c r="AA121" s="3919">
        <f t="shared" si="2"/>
        <v>0</v>
      </c>
      <c r="AB121" s="3920">
        <f t="shared" si="3"/>
        <v>0</v>
      </c>
      <c r="AC121" s="3921">
        <f t="shared" si="4"/>
        <v>0</v>
      </c>
      <c r="AD121" s="3922">
        <f t="shared" si="22"/>
        <v>0</v>
      </c>
      <c r="AE121" s="3923">
        <f t="shared" si="6"/>
        <v>0</v>
      </c>
      <c r="AF121" s="3904"/>
      <c r="AG121" s="3924"/>
      <c r="AH121" s="3911">
        <f t="shared" si="7"/>
        <v>0</v>
      </c>
      <c r="AI121" s="3911">
        <f t="shared" si="8"/>
        <v>0</v>
      </c>
      <c r="AJ121" s="3925"/>
      <c r="AK121" s="3926"/>
      <c r="AL121" s="3909">
        <f t="shared" si="9"/>
      </c>
      <c r="AM121" s="3918">
        <f t="shared" si="10"/>
        <v>0</v>
      </c>
      <c r="AN121" s="3926"/>
      <c r="AO121" s="3911">
        <f t="shared" si="11"/>
        <v>0</v>
      </c>
      <c r="AP121" s="3926"/>
    </row>
    <row r="122" ht="18" customHeight="1">
      <c r="A122" s="3929" t="s">
        <v>2443</v>
      </c>
      <c r="B122" s="3930"/>
      <c r="C122" s="3931"/>
      <c r="D122" s="3931"/>
      <c r="E122" s="3931"/>
      <c r="F122" s="3931"/>
      <c r="G122" s="3932">
        <f t="shared" si="18"/>
        <v>0</v>
      </c>
      <c r="H122" s="3933"/>
      <c r="I122" s="3934">
        <f t="shared" si="23"/>
        <v>0</v>
      </c>
      <c r="J122" s="3935"/>
      <c r="K122" s="3931"/>
      <c r="L122" s="3936">
        <f t="shared" si="18"/>
        <v>0</v>
      </c>
      <c r="M122" s="3937">
        <f t="shared" si="18"/>
        <v>0</v>
      </c>
      <c r="N122" s="3938">
        <f t="shared" si="0"/>
        <v>0</v>
      </c>
      <c r="O122" s="3939">
        <f t="shared" si="18"/>
        <v>0</v>
      </c>
      <c r="P122" s="3940"/>
      <c r="Q122" s="3941"/>
      <c r="R122" s="3931"/>
      <c r="S122" s="3942"/>
      <c r="T122" s="3943"/>
      <c r="U122" s="3931"/>
      <c r="V122" s="3944"/>
      <c r="W122" s="3945"/>
      <c r="X122" s="3946">
        <f t="shared" si="18"/>
        <v>0</v>
      </c>
      <c r="Y122" s="3947">
        <f t="shared" si="1"/>
        <v>0</v>
      </c>
      <c r="Z122" s="3936">
        <f t="shared" si="18"/>
        <v>0</v>
      </c>
      <c r="AA122" s="3938" t="e">
        <f t="shared" si="2"/>
        <v>#DIV/0!</v>
      </c>
      <c r="AB122" s="3948">
        <f t="shared" si="3"/>
        <v>0</v>
      </c>
      <c r="AC122" s="3976">
        <f t="shared" si="4"/>
        <v>0</v>
      </c>
      <c r="AD122" s="3950">
        <f t="shared" si="22"/>
        <v>0</v>
      </c>
      <c r="AE122" s="3951">
        <f t="shared" si="6"/>
        <v>0</v>
      </c>
      <c r="AF122" s="3952" t="s">
        <v>3354</v>
      </c>
      <c r="AG122" s="3953"/>
      <c r="AH122" s="3937">
        <f t="shared" si="18"/>
        <v>0</v>
      </c>
      <c r="AI122" s="3937">
        <f t="shared" si="18"/>
        <v>0</v>
      </c>
      <c r="AJ122" s="3939">
        <f t="shared" si="18"/>
        <v>0</v>
      </c>
      <c r="AK122" s="3954"/>
      <c r="AL122" s="3946">
        <f t="shared" si="18"/>
        <v>0</v>
      </c>
      <c r="AM122" s="3918">
        <f t="shared" si="10"/>
        <v>0</v>
      </c>
      <c r="AN122" s="3954"/>
      <c r="AO122" s="3946">
        <f t="shared" si="18"/>
        <v>0</v>
      </c>
      <c r="AP122" s="3954"/>
    </row>
    <row r="123" ht="18.75" customHeight="1">
      <c r="A123" s="3078"/>
      <c r="B123" s="3810"/>
      <c r="C123" s="3810"/>
      <c r="D123" s="3811"/>
      <c r="E123" s="3812"/>
      <c r="F123" s="3811"/>
      <c r="G123" s="3813"/>
      <c r="H123" s="3814"/>
      <c r="I123" s="3815"/>
      <c r="J123" s="3816"/>
      <c r="K123" s="3811"/>
      <c r="L123" s="3817"/>
      <c r="M123" s="3818"/>
      <c r="N123" s="3817"/>
      <c r="O123" s="3817"/>
      <c r="P123" s="3817"/>
      <c r="Q123" s="3817"/>
      <c r="R123" s="3811"/>
      <c r="S123" s="3078"/>
      <c r="T123" s="2648"/>
      <c r="U123" s="3811"/>
      <c r="V123" s="3955"/>
      <c r="W123" s="3955"/>
      <c r="X123" s="3818"/>
      <c r="Y123" s="3819"/>
      <c r="Z123" s="3817"/>
      <c r="AA123" s="3817"/>
      <c r="AB123" s="3820"/>
      <c r="AC123" s="3956"/>
      <c r="AD123" s="3956"/>
      <c r="AE123" s="3956"/>
      <c r="AF123" s="3957" t="s">
        <v>3355</v>
      </c>
      <c r="AG123" s="3958"/>
      <c r="AH123" s="3959">
        <f t="shared" si="20"/>
        <v>0</v>
      </c>
      <c r="AI123" s="3959">
        <f t="shared" si="21"/>
        <v>0</v>
      </c>
      <c r="AJ123" s="3818"/>
      <c r="AK123" s="3078"/>
      <c r="AL123" s="3818"/>
      <c r="AM123" s="3819"/>
      <c r="AN123" s="3078"/>
      <c r="AO123" s="3842"/>
      <c r="AP123" s="3078"/>
    </row>
    <row r="124" ht="15" customHeight="1">
      <c r="A124" s="3078"/>
      <c r="B124" s="3810"/>
      <c r="C124" s="3810"/>
      <c r="D124" s="3811"/>
      <c r="E124" s="3812"/>
      <c r="F124" s="3811"/>
      <c r="G124" s="3813"/>
      <c r="H124" s="3814"/>
      <c r="I124" s="3815"/>
      <c r="J124" s="3816"/>
      <c r="K124" s="3811"/>
      <c r="L124" s="3817"/>
      <c r="M124" s="3818"/>
      <c r="N124" s="3817"/>
      <c r="O124" s="3817"/>
      <c r="P124" s="3817"/>
      <c r="Q124" s="3817"/>
      <c r="R124" s="3811"/>
      <c r="S124" s="3078"/>
      <c r="T124" s="2648"/>
      <c r="U124" s="3811"/>
      <c r="V124" s="3973"/>
      <c r="W124" s="3973"/>
      <c r="X124" s="3818"/>
      <c r="Y124" s="3819"/>
      <c r="Z124" s="3817"/>
      <c r="AA124" s="3817"/>
      <c r="AB124" s="3820"/>
      <c r="AC124" s="3820"/>
      <c r="AD124" s="3820"/>
      <c r="AE124" s="3820"/>
      <c r="AF124" s="3811"/>
      <c r="AG124" s="3821"/>
      <c r="AH124" s="3818"/>
      <c r="AI124" s="3817"/>
      <c r="AJ124" s="3818"/>
      <c r="AK124" s="3078"/>
      <c r="AL124" s="3818"/>
      <c r="AM124" s="3819"/>
      <c r="AN124" s="3078"/>
      <c r="AO124" s="3078"/>
      <c r="AP124" s="3078"/>
    </row>
    <row r="125" ht="15.75" customHeight="1">
      <c r="A125" s="3926"/>
      <c r="B125" s="3978"/>
      <c r="C125" s="3978"/>
      <c r="D125" s="3978"/>
      <c r="E125" s="3978"/>
      <c r="F125" s="3978"/>
      <c r="G125" s="3979"/>
      <c r="H125" s="3980"/>
      <c r="I125" s="3981"/>
      <c r="J125" s="3982"/>
      <c r="K125" s="3978"/>
      <c r="L125" s="3983"/>
      <c r="M125" s="3983"/>
      <c r="N125" s="3983"/>
      <c r="O125" s="3983"/>
      <c r="P125" s="3983"/>
      <c r="Q125" s="3983"/>
      <c r="R125" s="3978"/>
      <c r="S125" s="3926"/>
      <c r="T125" s="3984"/>
      <c r="U125" s="3978"/>
      <c r="V125" s="3978"/>
      <c r="W125" s="3978"/>
      <c r="X125" s="3983"/>
      <c r="Y125" s="3985"/>
      <c r="Z125" s="3983"/>
      <c r="AA125" s="3983"/>
      <c r="AB125" s="3986"/>
      <c r="AC125" s="3986"/>
      <c r="AD125" s="3986"/>
      <c r="AE125" s="3986"/>
      <c r="AF125" s="3978"/>
      <c r="AG125" s="3987"/>
      <c r="AH125" s="3983"/>
      <c r="AI125" s="3983"/>
      <c r="AJ125" s="3983"/>
      <c r="AK125" s="3926"/>
      <c r="AL125" s="3983"/>
      <c r="AM125" s="3985"/>
      <c r="AN125" s="3926"/>
      <c r="AO125" s="3926"/>
      <c r="AP125" s="3926"/>
    </row>
    <row r="126" ht="15.75" customHeight="1">
      <c r="A126" s="3929" t="s">
        <v>2999</v>
      </c>
      <c r="B126" s="3930"/>
      <c r="C126" s="3931"/>
      <c r="D126" s="3931"/>
      <c r="E126" s="3931"/>
      <c r="F126" s="3931"/>
      <c r="G126" s="3932"/>
      <c r="H126" s="3933"/>
      <c r="I126" s="3934">
        <f>_xlfn.LET(_xlpm.denominator,G38+G66+G94+G122,IF(_xlpm.denominator=0,0,(SUMPRODUCT(G8:G37,I8:I37)+SUMPRODUCT(G46:G65,I46:I65)+SUMPRODUCT(G74:G93,I74:I93)+SUMPRODUCT(G102:G121,I102:I121))/_xlpm.denominator))</f>
        <v>0</v>
      </c>
      <c r="J126" s="3935"/>
      <c r="K126" s="3931"/>
      <c r="L126" s="3936">
        <f t="shared" si="24" ref="L126:AO127">L38+L66+L94+L122</f>
        <v>0</v>
      </c>
      <c r="M126" s="3937">
        <f t="shared" si="24"/>
        <v>0</v>
      </c>
      <c r="N126" s="3938">
        <f t="shared" si="0"/>
        <v>0</v>
      </c>
      <c r="O126" s="3939">
        <f t="shared" si="24"/>
        <v>0</v>
      </c>
      <c r="P126" s="3940"/>
      <c r="Q126" s="3941"/>
      <c r="R126" s="3931"/>
      <c r="S126" s="3942"/>
      <c r="T126" s="3943"/>
      <c r="U126" s="3931"/>
      <c r="V126" s="3977"/>
      <c r="W126" s="3977"/>
      <c r="X126" s="3946">
        <f t="shared" si="24"/>
        <v>0</v>
      </c>
      <c r="Y126" s="3947">
        <f t="shared" si="1"/>
        <v>0</v>
      </c>
      <c r="Z126" s="3936">
        <f t="shared" si="24"/>
        <v>0</v>
      </c>
      <c r="AA126" s="3938"/>
      <c r="AB126" s="3948">
        <f t="shared" si="3"/>
        <v>0</v>
      </c>
      <c r="AC126" s="3949">
        <f t="shared" si="4"/>
        <v>0</v>
      </c>
      <c r="AD126" s="3950">
        <f t="shared" si="5"/>
        <v>0</v>
      </c>
      <c r="AE126" s="3951">
        <f t="shared" si="6"/>
        <v>0</v>
      </c>
      <c r="AF126" s="3952" t="s">
        <v>3354</v>
      </c>
      <c r="AG126" s="3953"/>
      <c r="AH126" s="3937">
        <f t="shared" si="24"/>
        <v>0</v>
      </c>
      <c r="AI126" s="3937">
        <f t="shared" si="24"/>
        <v>0</v>
      </c>
      <c r="AJ126" s="3939">
        <f t="shared" si="24"/>
        <v>0</v>
      </c>
      <c r="AK126" s="3954"/>
      <c r="AL126" s="3946">
        <f t="shared" si="24"/>
        <v>0</v>
      </c>
      <c r="AM126" s="3918">
        <f t="shared" si="10"/>
        <v>0</v>
      </c>
      <c r="AN126" s="3954"/>
      <c r="AO126" s="3946">
        <f t="shared" si="24"/>
        <v>0</v>
      </c>
      <c r="AP126" s="3954"/>
    </row>
    <row r="127" ht="15.75" customHeight="1">
      <c r="A127" s="3926"/>
      <c r="B127" s="3978"/>
      <c r="C127" s="3978"/>
      <c r="D127" s="3978"/>
      <c r="E127" s="3978"/>
      <c r="F127" s="3978"/>
      <c r="G127" s="3979"/>
      <c r="H127" s="3980"/>
      <c r="I127" s="3981"/>
      <c r="J127" s="3982"/>
      <c r="K127" s="3978"/>
      <c r="L127" s="3983"/>
      <c r="M127" s="3983"/>
      <c r="N127" s="3983"/>
      <c r="O127" s="3983"/>
      <c r="P127" s="3983"/>
      <c r="Q127" s="3983"/>
      <c r="R127" s="3978"/>
      <c r="S127" s="3926"/>
      <c r="T127" s="3984"/>
      <c r="U127" s="3978"/>
      <c r="V127" s="3988"/>
      <c r="W127" s="3988"/>
      <c r="X127" s="3983"/>
      <c r="Y127" s="3985"/>
      <c r="Z127" s="3983"/>
      <c r="AA127" s="3983"/>
      <c r="AB127" s="3986"/>
      <c r="AC127" s="3989"/>
      <c r="AD127" s="3989"/>
      <c r="AE127" s="3989"/>
      <c r="AF127" s="3952" t="s">
        <v>3355</v>
      </c>
      <c r="AG127" s="3953"/>
      <c r="AH127" s="3937">
        <f t="shared" si="24"/>
        <v>0</v>
      </c>
      <c r="AI127" s="3937">
        <f t="shared" si="24"/>
        <v>0</v>
      </c>
      <c r="AJ127" s="3983"/>
      <c r="AK127" s="3954"/>
      <c r="AL127" s="3990"/>
      <c r="AM127" s="3991"/>
      <c r="AN127" s="3954"/>
      <c r="AO127" s="3990"/>
      <c r="AP127" s="3954"/>
    </row>
    <row r="128" ht="15.75" customHeight="1">
      <c r="A128" s="3078"/>
      <c r="B128" s="3810"/>
      <c r="C128" s="3810"/>
      <c r="D128" s="3811"/>
      <c r="E128" s="3812"/>
      <c r="F128" s="3811"/>
      <c r="G128" s="3813"/>
      <c r="H128" s="3814"/>
      <c r="I128" s="3815"/>
      <c r="J128" s="3816"/>
      <c r="K128" s="3811"/>
      <c r="L128" s="3817"/>
      <c r="M128" s="3818"/>
      <c r="N128" s="3817"/>
      <c r="O128" s="3817"/>
      <c r="P128" s="3817"/>
      <c r="Q128" s="3817"/>
      <c r="R128" s="3811"/>
      <c r="S128" s="3078"/>
      <c r="T128" s="2648"/>
      <c r="U128" s="3811"/>
      <c r="V128" s="3812"/>
      <c r="W128" s="3812"/>
      <c r="X128" s="3818"/>
      <c r="Y128" s="3819"/>
      <c r="Z128" s="3817"/>
      <c r="AA128" s="3817"/>
      <c r="AB128" s="3820"/>
      <c r="AC128" s="3820"/>
      <c r="AD128" s="3820"/>
      <c r="AE128" s="3820"/>
      <c r="AF128" s="3811"/>
      <c r="AG128" s="3821"/>
      <c r="AH128" s="3818"/>
      <c r="AI128" s="3817"/>
      <c r="AJ128" s="3818"/>
      <c r="AK128" s="3078"/>
      <c r="AL128" s="3818"/>
      <c r="AM128" s="3819"/>
      <c r="AN128" s="3078"/>
      <c r="AO128" s="3078"/>
      <c r="AP128" s="3078"/>
    </row>
    <row r="129" ht="15.75" customHeight="1">
      <c r="A129" s="3078"/>
      <c r="B129" s="3810"/>
      <c r="C129" s="3810"/>
      <c r="D129" s="3811"/>
      <c r="E129" s="3812"/>
      <c r="F129" s="3811"/>
      <c r="G129" s="3813"/>
      <c r="H129" s="3814"/>
      <c r="I129" s="3815"/>
      <c r="J129" s="3816"/>
      <c r="K129" s="3811"/>
      <c r="L129" s="3817"/>
      <c r="M129" s="3818"/>
      <c r="N129" s="3817"/>
      <c r="O129" s="3817"/>
      <c r="P129" s="3817"/>
      <c r="Q129" s="3817"/>
      <c r="R129" s="3811"/>
      <c r="S129" s="3078"/>
      <c r="T129" s="2648"/>
      <c r="U129" s="3811"/>
      <c r="V129" s="3812"/>
      <c r="W129" s="3812"/>
      <c r="X129" s="3818"/>
      <c r="Y129" s="3819"/>
      <c r="Z129" s="3817"/>
      <c r="AA129" s="3817"/>
      <c r="AB129" s="3820"/>
      <c r="AC129" s="3820"/>
      <c r="AD129" s="3820"/>
      <c r="AE129" s="3820"/>
      <c r="AF129" s="3811"/>
      <c r="AG129" s="3821"/>
      <c r="AH129" s="3818"/>
      <c r="AI129" s="3817"/>
      <c r="AJ129" s="3818"/>
      <c r="AK129" s="3078"/>
      <c r="AL129" s="3078"/>
      <c r="AM129" s="3078"/>
      <c r="AN129" s="3078"/>
      <c r="AO129" s="3992">
        <f>'Bor-KP-Prin'!S15-'Bor-KP-Prin'!S25</f>
        <v>0</v>
      </c>
      <c r="AP129" s="3078" t="s">
        <v>3370</v>
      </c>
    </row>
    <row r="130" ht="15.75" customHeight="1">
      <c r="A130" s="3078"/>
      <c r="B130" s="3810"/>
      <c r="C130" s="3810"/>
      <c r="D130" s="3811"/>
      <c r="E130" s="3812"/>
      <c r="F130" s="3811"/>
      <c r="G130" s="3813"/>
      <c r="H130" s="3814"/>
      <c r="I130" s="3815"/>
      <c r="J130" s="3816"/>
      <c r="K130" s="3811"/>
      <c r="L130" s="3817"/>
      <c r="M130" s="3818"/>
      <c r="N130" s="3817"/>
      <c r="O130" s="3817"/>
      <c r="P130" s="3817"/>
      <c r="Q130" s="3817"/>
      <c r="R130" s="3811"/>
      <c r="S130" s="3078"/>
      <c r="T130" s="2648"/>
      <c r="U130" s="3811"/>
      <c r="V130" s="3812"/>
      <c r="W130" s="3812"/>
      <c r="X130" s="3818"/>
      <c r="Y130" s="3819"/>
      <c r="Z130" s="3817"/>
      <c r="AA130" s="3817"/>
      <c r="AB130" s="3820"/>
      <c r="AC130" s="3820"/>
      <c r="AD130" s="3820"/>
      <c r="AE130" s="3820"/>
      <c r="AF130" s="3811"/>
      <c r="AG130" s="3821"/>
      <c r="AH130" s="3818"/>
      <c r="AI130" s="3817"/>
      <c r="AJ130" s="3818"/>
      <c r="AK130" s="3078"/>
      <c r="AL130" s="3078"/>
      <c r="AM130" s="3078"/>
      <c r="AN130" s="3078"/>
      <c r="AO130" s="3992">
        <f>AO129-AO126</f>
        <v>0</v>
      </c>
      <c r="AP130" s="3078" t="s">
        <v>3371</v>
      </c>
    </row>
    <row r="131" ht="15" customHeight="1">
      <c r="A131" s="3078"/>
      <c r="B131" s="3810"/>
      <c r="C131" s="3810"/>
      <c r="D131" s="3811"/>
      <c r="E131" s="3812"/>
      <c r="F131" s="3811"/>
      <c r="G131" s="3813"/>
      <c r="H131" s="3814"/>
      <c r="I131" s="3815"/>
      <c r="J131" s="3816"/>
      <c r="K131" s="3811"/>
      <c r="L131" s="3817"/>
      <c r="M131" s="3818"/>
      <c r="N131" s="3817"/>
      <c r="O131" s="3817"/>
      <c r="P131" s="3817"/>
      <c r="Q131" s="3817"/>
      <c r="R131" s="3811"/>
      <c r="S131" s="3078"/>
      <c r="T131" s="2648"/>
      <c r="U131" s="3811"/>
      <c r="V131" s="3812"/>
      <c r="W131" s="3812"/>
      <c r="X131" s="3818"/>
      <c r="Y131" s="3819"/>
      <c r="Z131" s="3817"/>
      <c r="AA131" s="3817"/>
      <c r="AB131" s="3820"/>
      <c r="AC131" s="3820"/>
      <c r="AD131" s="3820"/>
      <c r="AE131" s="3820"/>
      <c r="AF131" s="3811"/>
      <c r="AG131" s="3821"/>
      <c r="AH131" s="3818"/>
      <c r="AI131" s="3817"/>
      <c r="AJ131" s="3818"/>
      <c r="AK131" s="3078"/>
      <c r="AL131" s="3078"/>
      <c r="AM131" s="3078"/>
      <c r="AN131" s="3078"/>
      <c r="AO131" s="3993" t="e">
        <f>AO130/AO126</f>
        <v>#DIV/0!</v>
      </c>
      <c r="AP131" s="3078" t="s">
        <v>3372</v>
      </c>
    </row>
  </sheetData>
  <mergeCells>
    <mergeCell ref="AO6:AO7"/>
    <mergeCell ref="AO44:AO45"/>
    <mergeCell ref="AO72:AO73"/>
    <mergeCell ref="AO100:AO101"/>
    <mergeCell ref="AF127:AG127"/>
    <mergeCell ref="AI100:AI101"/>
    <mergeCell ref="AJ100:AJ101"/>
    <mergeCell ref="A122:B122"/>
    <mergeCell ref="AF122:AG122"/>
    <mergeCell ref="AF123:AG123"/>
    <mergeCell ref="A126:B126"/>
    <mergeCell ref="AF126:AG126"/>
    <mergeCell ref="AA100:AA101"/>
    <mergeCell ref="AB100:AB101"/>
    <mergeCell ref="AC100:AC101"/>
    <mergeCell ref="AF100:AF101"/>
    <mergeCell ref="AG100:AG101"/>
    <mergeCell ref="AH100:AH101"/>
    <mergeCell ref="T100:T101"/>
    <mergeCell ref="U100:U101"/>
    <mergeCell ref="V100:V101"/>
    <mergeCell ref="X100:X101"/>
    <mergeCell ref="Y100:Y101"/>
    <mergeCell ref="Z100:Z101"/>
    <mergeCell ref="A100:A101"/>
    <mergeCell ref="B100:B101"/>
    <mergeCell ref="C100:C101"/>
    <mergeCell ref="D100:D101"/>
    <mergeCell ref="E100:E101"/>
    <mergeCell ref="F100:F101"/>
    <mergeCell ref="A99:K99"/>
    <mergeCell ref="L99:V99"/>
    <mergeCell ref="X99:Y99"/>
    <mergeCell ref="M100:M101"/>
    <mergeCell ref="N100:N101"/>
    <mergeCell ref="O100:O101"/>
    <mergeCell ref="P100:Q101"/>
    <mergeCell ref="R100:R101"/>
    <mergeCell ref="S100:S101"/>
    <mergeCell ref="G100:G101"/>
    <mergeCell ref="H100:H101"/>
    <mergeCell ref="I100:I101"/>
    <mergeCell ref="J100:J101"/>
    <mergeCell ref="K100:K101"/>
    <mergeCell ref="L100:L101"/>
    <mergeCell ref="W100:W101"/>
    <mergeCell ref="Z99:AC99"/>
    <mergeCell ref="AD99:AE99"/>
    <mergeCell ref="AF99:AJ99"/>
    <mergeCell ref="AI72:AI73"/>
    <mergeCell ref="AJ72:AJ73"/>
    <mergeCell ref="A94:B94"/>
    <mergeCell ref="AF94:AG94"/>
    <mergeCell ref="AF95:AG95"/>
    <mergeCell ref="A98:D98"/>
    <mergeCell ref="AA72:AA73"/>
    <mergeCell ref="AB72:AB73"/>
    <mergeCell ref="AC72:AC73"/>
    <mergeCell ref="AF72:AF73"/>
    <mergeCell ref="AG72:AG73"/>
    <mergeCell ref="AH72:AH73"/>
    <mergeCell ref="T72:T73"/>
    <mergeCell ref="U72:U73"/>
    <mergeCell ref="V72:V73"/>
    <mergeCell ref="X72:X73"/>
    <mergeCell ref="Y72:Y73"/>
    <mergeCell ref="Z72:Z73"/>
    <mergeCell ref="A72:A73"/>
    <mergeCell ref="B72:B73"/>
    <mergeCell ref="C72:C73"/>
    <mergeCell ref="D72:D73"/>
    <mergeCell ref="E72:E73"/>
    <mergeCell ref="F72:F73"/>
    <mergeCell ref="A71:K71"/>
    <mergeCell ref="L71:V71"/>
    <mergeCell ref="X71:Y71"/>
    <mergeCell ref="M72:M73"/>
    <mergeCell ref="N72:N73"/>
    <mergeCell ref="O72:O73"/>
    <mergeCell ref="P72:Q73"/>
    <mergeCell ref="R72:R73"/>
    <mergeCell ref="S72:S73"/>
    <mergeCell ref="G72:G73"/>
    <mergeCell ref="H72:H73"/>
    <mergeCell ref="I72:I73"/>
    <mergeCell ref="J72:J73"/>
    <mergeCell ref="K72:K73"/>
    <mergeCell ref="L72:L73"/>
    <mergeCell ref="W72:W73"/>
    <mergeCell ref="A66:B66"/>
    <mergeCell ref="AF66:AG66"/>
    <mergeCell ref="AF67:AG67"/>
    <mergeCell ref="A70:D70"/>
    <mergeCell ref="AA44:AA45"/>
    <mergeCell ref="AB44:AB45"/>
    <mergeCell ref="AC44:AC45"/>
    <mergeCell ref="AF44:AF45"/>
    <mergeCell ref="AG44:AG45"/>
    <mergeCell ref="T44:T45"/>
    <mergeCell ref="U44:U45"/>
    <mergeCell ref="V44:V45"/>
    <mergeCell ref="X44:X45"/>
    <mergeCell ref="Y44:Y45"/>
    <mergeCell ref="Z44:Z45"/>
    <mergeCell ref="M44:M45"/>
    <mergeCell ref="N44:N45"/>
    <mergeCell ref="O44:O45"/>
    <mergeCell ref="R44:R45"/>
    <mergeCell ref="A44:A45"/>
    <mergeCell ref="B44:B45"/>
    <mergeCell ref="C44:C45"/>
    <mergeCell ref="D44:D45"/>
    <mergeCell ref="E44:E45"/>
    <mergeCell ref="Z71:AC71"/>
    <mergeCell ref="AJ6:AJ7"/>
    <mergeCell ref="V6:V7"/>
    <mergeCell ref="X6:X7"/>
    <mergeCell ref="Y6:Y7"/>
    <mergeCell ref="Z6:Z7"/>
    <mergeCell ref="AA6:AA7"/>
    <mergeCell ref="AB6:AB7"/>
    <mergeCell ref="K6:K7"/>
    <mergeCell ref="L6:L7"/>
    <mergeCell ref="M6:M7"/>
    <mergeCell ref="N6:N7"/>
    <mergeCell ref="AC6:AC7"/>
    <mergeCell ref="AF6:AF7"/>
    <mergeCell ref="AG6:AG7"/>
    <mergeCell ref="AH6:AH7"/>
    <mergeCell ref="AI6:AI7"/>
    <mergeCell ref="AD71:AE71"/>
    <mergeCell ref="AF71:AJ71"/>
    <mergeCell ref="AI44:AI45"/>
    <mergeCell ref="AJ44:AJ45"/>
    <mergeCell ref="AH44:AH45"/>
    <mergeCell ref="W6:W7"/>
    <mergeCell ref="W44:W45"/>
    <mergeCell ref="F44:F45"/>
    <mergeCell ref="A38:B38"/>
    <mergeCell ref="AF38:AG38"/>
    <mergeCell ref="AF39:AG39"/>
    <mergeCell ref="A42:D42"/>
    <mergeCell ref="A43:K43"/>
    <mergeCell ref="L43:V43"/>
    <mergeCell ref="X43:Y43"/>
    <mergeCell ref="Z43:AC43"/>
    <mergeCell ref="AD43:AE43"/>
    <mergeCell ref="AF43:AJ43"/>
    <mergeCell ref="P44:Q45"/>
    <mergeCell ref="S44:S45"/>
    <mergeCell ref="G44:G45"/>
    <mergeCell ref="H44:H45"/>
    <mergeCell ref="I44:I45"/>
    <mergeCell ref="J44:J45"/>
    <mergeCell ref="K44:K45"/>
    <mergeCell ref="L44:L45"/>
    <mergeCell ref="L2:M2"/>
    <mergeCell ref="A4:D4"/>
    <mergeCell ref="A5:K5"/>
    <mergeCell ref="L5:V5"/>
    <mergeCell ref="X5:Y5"/>
    <mergeCell ref="Z5:AC5"/>
    <mergeCell ref="AD5:AE5"/>
    <mergeCell ref="AF5:AJ5"/>
    <mergeCell ref="A6:A7"/>
    <mergeCell ref="B6:B7"/>
    <mergeCell ref="C6:C7"/>
    <mergeCell ref="D6:D7"/>
    <mergeCell ref="E6:E7"/>
    <mergeCell ref="F6:F7"/>
    <mergeCell ref="G6:G7"/>
    <mergeCell ref="H6:H7"/>
    <mergeCell ref="O6:O7"/>
    <mergeCell ref="P6:Q7"/>
    <mergeCell ref="R6:R7"/>
    <mergeCell ref="S6:S7"/>
    <mergeCell ref="T6:T7"/>
    <mergeCell ref="U6:U7"/>
    <mergeCell ref="I6:I7"/>
    <mergeCell ref="J6:J7"/>
    <mergeCell ref="AL100:AL101"/>
    <mergeCell ref="AM100:AM101"/>
    <mergeCell ref="AL5:AM5"/>
    <mergeCell ref="AM6:AM7"/>
    <mergeCell ref="AL43:AM43"/>
    <mergeCell ref="AL44:AL45"/>
    <mergeCell ref="AM44:AM45"/>
    <mergeCell ref="AL71:AM71"/>
    <mergeCell ref="AL72:AL73"/>
    <mergeCell ref="AM72:AM73"/>
    <mergeCell ref="AL99:AM99"/>
  </mergeCells>
  <conditionalFormatting sqref="Y8:Y38">
    <cfRule type="expression" dxfId="61" priority="7" text="null">
      <formula>AND(Y8&gt;0,Y8&lt;1.25)</formula>
    </cfRule>
  </conditionalFormatting>
  <conditionalFormatting sqref="AC8:AC38">
    <cfRule type="expression" dxfId="61" priority="6" text="null">
      <formula>AC8&gt;80%</formula>
    </cfRule>
  </conditionalFormatting>
  <conditionalFormatting sqref="T8:T17">
    <cfRule type="expression" dxfId="61" priority="5" text="null">
      <formula>AND(LEN(T8)&gt;0,T8-IF(ISNUMBER(DataPage_RefiClosingDate),DataPage_RefiClosingDate,TODAY())&lt;365*1.5)</formula>
    </cfRule>
  </conditionalFormatting>
  <conditionalFormatting sqref="I8:I37">
    <cfRule type="expression" dxfId="61" priority="2" text="null">
      <formula>AND(G8&gt;0,I8&lt;85%)</formula>
    </cfRule>
  </conditionalFormatting>
  <conditionalFormatting sqref="I38">
    <cfRule type="expression" dxfId="61" priority="1" text="null">
      <formula>AND(G38&gt;0,I38&lt;85%)</formula>
    </cfRule>
  </conditionalFormatting>
  <dataValidations count="9">
    <dataValidation operator="greaterThan" allowBlank="1" error="Must be a valid Excel date,_x005F_x005F_x000A_not more than 180 days in the past." errorTitle="Invalid Date" showErrorMessage="1" showInputMessage="1" sqref="T8:T17" type="date">
      <formula1>TODAY()-180</formula1>
    </dataValidation>
    <dataValidation allowBlank="1" showErrorMessage="1" showInputMessage="1" sqref="W8:W37 W46:W65 W102:W121 W74:W93" type="list">
      <formula1>"Yes,No"</formula1>
    </dataValidation>
  </dataValidations>
  <printOptions horizontalCentered="1"/>
  <pageMargins left="0.25" right="0.25" top="0.25" bottom="0.25" header="0.3" footer="0.3"/>
  <pageSetup paperSize="5" useFirstPageNumber="1" firstPageNumber="1" scale="40" pageOrder="downThenOver" orientation="landscape"/>
  <headerFooter>
    <oddHeader>&amp;L&amp;C&amp;R</oddHeader>
    <oddFooter>&amp;L&amp;C&amp;R</oddFooter>
  </headerFooter>
  <extLst>
    <ext xmlns:x14="http://schemas.microsoft.com/office/spreadsheetml/2009/9/main" uri="{CCE6A557-97BC-4b89-ADB6-D9C93CAAB3DF}">
      <x14:dataValidations xmlns:xm="http://schemas.microsoft.com/office/excel/2006/main" count="7">
        <x14:dataValidation allowBlank="1" showErrorMessage="1" showInputMessage="1" sqref="R102:R121 R8:R37 R74:R93 R46:R65" type="list">
          <x14:formula1>
            <xm:f>'Dropdowns (DNP)'!$BJ$2:$BJ$4</xm:f>
          </x14:formula1>
          <xm:sqref>R102:R121 R8:R37 R74:R93 R46:R65</xm:sqref>
        </x14:dataValidation>
        <x14:dataValidation allowBlank="1" showErrorMessage="1" showInputMessage="1" sqref="F8:F37" type="list">
          <x14:formula1>
            <xm:f>'Dropdowns (DNP)'!$BF$2:$BF$5</xm:f>
          </x14:formula1>
          <xm:sqref>F8:F37</xm:sqref>
        </x14:dataValidation>
        <x14:dataValidation allowBlank="1" showErrorMessage="1" showInputMessage="1" sqref="K46:K65 K8:K37" type="list">
          <x14:formula1>
            <xm:f>'Dropdowns (DNP)'!$BD$2:$BD$3</xm:f>
          </x14:formula1>
          <xm:sqref>K46:K65 K8:K37</xm:sqref>
        </x14:dataValidation>
        <x14:dataValidation allowBlank="1" showErrorMessage="1" showInputMessage="1" sqref="F46:F65" type="list">
          <x14:formula1>
            <xm:f>'Dropdowns (DNP)'!$BF$6:$BF$8</xm:f>
          </x14:formula1>
          <xm:sqref>F46:F65</xm:sqref>
        </x14:dataValidation>
        <x14:dataValidation allowBlank="1" showErrorMessage="1" showInputMessage="1" sqref="F102:F121 F74:F93" type="list">
          <x14:formula1>
            <xm:f>'Dropdowns (DNP)'!$BF$2:$BF$8</xm:f>
          </x14:formula1>
          <xm:sqref>F102:F121 F74:F93</xm:sqref>
        </x14:dataValidation>
        <x14:dataValidation allowBlank="1" showErrorMessage="1" showInputMessage="1" sqref="V8:V37" type="list">
          <x14:formula1>
            <xm:f>'Dropdowns (DNP)'!$BH$2:$BH$4</xm:f>
          </x14:formula1>
          <xm:sqref>V8:V37</xm:sqref>
        </x14:dataValidation>
        <x14:dataValidation allowBlank="1" showErrorMessage="1" showInputMessage="1" sqref="S8:S37 S46:S65 S74:S93 S102:S121" type="list">
          <x14:formula1>
            <xm:f>'Dropdowns (DNP)'!$C$2:$C$3</xm:f>
          </x14:formula1>
          <xm:sqref>S8:S37 S46:S65 S74:S93 S102:S121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12CBA49B-4C5E-627D-1CCE-21B22F59A3A1}" mc:Ignorable="x14ac xr xr2 xr3">
  <sheetPr>
    <pageSetUpPr fitToPage="1"/>
  </sheetPr>
  <dimension ref="A1:AG67"/>
  <sheetViews>
    <sheetView topLeftCell="A1" zoomScale="80" workbookViewId="0">
      <selection activeCell="I5" sqref="I5:I9"/>
    </sheetView>
  </sheetViews>
  <sheetFormatPr defaultRowHeight="12.997499999999997" defaultColWidth="0" customHeight="1" outlineLevelCol="1"/>
  <cols>
    <col min="1" max="5" style="4004" width="9.140625" hidden="1" customWidth="1"/>
    <col min="6" max="6" style="4004" width="4.7109375" hidden="1" customWidth="1"/>
    <col min="7" max="7" style="4043" width="4.140625" customWidth="1"/>
    <col min="8" max="8" style="4045" width="17.28125" customWidth="1"/>
    <col min="9" max="9" style="4046" width="20.8515625" customWidth="1"/>
    <col min="10" max="10" style="4046" width="25.7109375" customWidth="1"/>
    <col min="11" max="11" style="4046" width="17.8515625" customWidth="1"/>
    <col min="12" max="12" style="4046" width="10.28125" customWidth="1"/>
    <col min="13" max="13" style="4046" width="11.57421875" customWidth="1"/>
    <col min="14" max="16" style="4046" width="9.140625" customWidth="1"/>
    <col min="17" max="17" style="4046" width="10.00390625" customWidth="1"/>
    <col min="18" max="18" style="4046" width="10.57421875" customWidth="1"/>
    <col min="19" max="22" style="4046" width="10.00390625" customWidth="1"/>
    <col min="23" max="26" style="4047" width="13.7109375" hidden="1" customWidth="1" outlineLevel="1"/>
    <col min="27" max="27" style="4046" width="4.140625" collapsed="1" customWidth="1"/>
    <col min="28" max="33" style="4046" width="9.140625" hidden="1" customWidth="1"/>
  </cols>
  <sheetData>
    <row r="1" ht="11.25" customHeight="1">
      <c r="H1" s="3994"/>
      <c r="I1" s="3995"/>
      <c r="J1" s="3995"/>
      <c r="L1" s="3996"/>
      <c r="M1" s="3995"/>
      <c r="N1" s="3995"/>
      <c r="O1" s="3995"/>
      <c r="P1" s="3995"/>
      <c r="Q1" s="3995"/>
      <c r="R1" s="3995"/>
      <c r="S1" s="3995"/>
      <c r="T1" s="3995"/>
      <c r="U1" s="3995"/>
      <c r="V1" s="3995"/>
      <c r="W1" s="3997"/>
      <c r="X1" s="3997"/>
      <c r="Y1" s="3997"/>
      <c r="Z1" s="3997"/>
      <c r="AA1" s="3995"/>
      <c r="AB1" s="3998"/>
      <c r="AC1" s="3998"/>
      <c r="AD1" s="3998"/>
      <c r="AE1" s="3998"/>
      <c r="AF1" s="3998"/>
      <c r="AG1" s="3998"/>
    </row>
    <row r="2" ht="15.75" customHeight="1">
      <c r="A2" s="3999" t="s">
        <v>3374</v>
      </c>
      <c r="E2" s="3999" t="s">
        <v>3375</v>
      </c>
      <c r="H2" s="4000" t="str">
        <f>PropertyName_DataPageTab&amp;" - Rent Comparable Analysis"</f>
        <v>XXXX - Rent Comparable Analysis</v>
      </c>
      <c r="I2" s="4001"/>
      <c r="J2" s="4001"/>
      <c r="K2" s="4001"/>
      <c r="L2" s="4002"/>
      <c r="M2" s="3995"/>
      <c r="N2" s="3995"/>
      <c r="O2" s="3995"/>
      <c r="P2" s="3995"/>
      <c r="Q2" s="3995"/>
      <c r="R2" s="3995"/>
      <c r="S2" s="3995"/>
      <c r="T2" s="3995"/>
      <c r="U2" s="3995"/>
      <c r="V2" s="3995"/>
      <c r="W2" s="3997" t="s">
        <v>3377</v>
      </c>
      <c r="X2" s="3997"/>
      <c r="Y2" s="3997"/>
      <c r="Z2" s="3997"/>
      <c r="AA2" s="3995"/>
      <c r="AB2" s="3998"/>
      <c r="AC2" s="3998"/>
      <c r="AD2" s="3998"/>
      <c r="AE2" s="3998"/>
      <c r="AF2" s="3998"/>
      <c r="AG2" s="3998"/>
    </row>
    <row r="3" ht="10.5" customHeight="1">
      <c r="A3" s="4003">
        <f>COUNTIF(A5:A64,TRUE)</f>
        <v>0</v>
      </c>
      <c r="E3" s="4003">
        <f>COUNTIF(E5:E64,FALSE)</f>
        <v>0</v>
      </c>
      <c r="H3" s="3994"/>
      <c r="I3" s="3995"/>
      <c r="J3" s="3995"/>
      <c r="K3" s="3995"/>
      <c r="L3" s="3995"/>
      <c r="M3" s="3995"/>
      <c r="N3" s="3995"/>
      <c r="O3" s="3995"/>
      <c r="P3" s="3995"/>
      <c r="Q3" s="3995"/>
      <c r="R3" s="3995"/>
      <c r="S3" s="3995"/>
      <c r="T3" s="3995"/>
      <c r="U3" s="3995"/>
      <c r="V3" s="3995"/>
      <c r="W3" s="3997"/>
      <c r="X3" s="3997"/>
      <c r="Y3" s="3997"/>
      <c r="Z3" s="3997"/>
      <c r="AA3" s="3995"/>
      <c r="AB3" s="3998"/>
      <c r="AC3" s="3998"/>
      <c r="AD3" s="3998"/>
      <c r="AE3" s="3998"/>
      <c r="AF3" s="3998"/>
      <c r="AG3" s="3998"/>
    </row>
    <row r="4" ht="56.25" customHeight="1">
      <c r="A4" s="4004" t="s">
        <v>3378</v>
      </c>
      <c r="B4" s="4005" t="s">
        <v>3379</v>
      </c>
      <c r="C4" s="4005" t="s">
        <v>3380</v>
      </c>
      <c r="D4" s="4005" t="s">
        <v>3381</v>
      </c>
      <c r="E4" s="4005" t="s">
        <v>3382</v>
      </c>
      <c r="F4" s="4005"/>
      <c r="H4" s="4006"/>
      <c r="I4" s="4007" t="s">
        <v>3383</v>
      </c>
      <c r="J4" s="4007" t="s">
        <v>3384</v>
      </c>
      <c r="K4" s="4007" t="s">
        <v>3385</v>
      </c>
      <c r="L4" s="4007" t="s">
        <v>3386</v>
      </c>
      <c r="M4" s="4007" t="s">
        <v>3387</v>
      </c>
      <c r="N4" s="4007" t="s">
        <v>3327</v>
      </c>
      <c r="O4" s="4007" t="s">
        <v>3388</v>
      </c>
      <c r="P4" s="4008" t="s">
        <v>660</v>
      </c>
      <c r="Q4" s="4007" t="s">
        <v>3389</v>
      </c>
      <c r="R4" s="4007" t="s">
        <v>3390</v>
      </c>
      <c r="S4" s="4007" t="s">
        <v>3391</v>
      </c>
      <c r="T4" s="4007" t="s">
        <v>3392</v>
      </c>
      <c r="U4" s="4007" t="s">
        <v>3393</v>
      </c>
      <c r="V4" s="4007" t="s">
        <v>3394</v>
      </c>
      <c r="W4" s="4009" t="s">
        <v>3395</v>
      </c>
      <c r="X4" s="4009" t="s">
        <v>3396</v>
      </c>
      <c r="Y4" s="4009" t="s">
        <v>3397</v>
      </c>
      <c r="Z4" s="4009" t="s">
        <v>3398</v>
      </c>
      <c r="AA4" s="3995"/>
      <c r="AB4" s="3998"/>
      <c r="AC4" s="3998"/>
      <c r="AD4" s="3998"/>
      <c r="AE4" s="3998"/>
      <c r="AF4" s="3998"/>
      <c r="AG4" s="3998"/>
    </row>
    <row r="5" ht="12.75" customHeight="1">
      <c r="A5" s="4003" t="b">
        <f t="shared" si="0" ref="A5:A59">COUNTA(I5:Z9)&gt;0</f>
        <v>0</v>
      </c>
      <c r="B5" s="4003" t="str">
        <f t="shared" si="1" ref="B5:B59">IF(A5,COUNTA(I5:P9)=8,"-")</f>
        <v>-</v>
      </c>
      <c r="C5" s="4003" t="str">
        <f t="shared" si="2" ref="C5:C59">IF(A5,COUNTIF(D5:D9,TRUE),"-")</f>
        <v>-</v>
      </c>
      <c r="D5" s="4003" t="str">
        <f t="shared" si="3" ref="D5:D59">IF(A5,COUNTA(Q5:V5)=6,"-")</f>
        <v>-</v>
      </c>
      <c r="E5" s="4003" t="str">
        <f t="shared" si="4" ref="E5:E59">IF(A5,AND(B5,C5&gt;0),"-")</f>
        <v>-</v>
      </c>
      <c r="H5" s="4010" t="s">
        <v>3399</v>
      </c>
      <c r="I5" s="4011"/>
      <c r="J5" s="4012"/>
      <c r="K5" s="4013"/>
      <c r="L5" s="4013"/>
      <c r="M5" s="4014"/>
      <c r="N5" s="4013"/>
      <c r="O5" s="4015"/>
      <c r="P5" s="4013"/>
      <c r="Q5" s="4016"/>
      <c r="R5" s="4016"/>
      <c r="S5" s="4017"/>
      <c r="T5" s="4017"/>
      <c r="U5" s="4018"/>
      <c r="V5" s="4018"/>
      <c r="W5" s="4019"/>
      <c r="X5" s="4019"/>
      <c r="Y5" s="4019"/>
      <c r="Z5" s="4019"/>
      <c r="AA5" s="3995"/>
      <c r="AB5" s="3998"/>
      <c r="AC5" s="3998"/>
      <c r="AD5" s="3998"/>
      <c r="AE5" s="3998"/>
      <c r="AF5" s="3998"/>
      <c r="AG5" s="3998"/>
    </row>
    <row r="6" ht="14.25" customHeight="1">
      <c r="A6" s="4020"/>
      <c r="D6" s="4003" t="str">
        <f t="shared" si="5" ref="D6:D60">IF(A5,COUNTA(Q6:V6)=6,"-")</f>
        <v>-</v>
      </c>
      <c r="H6" s="4021" t="str">
        <f t="shared" si="6" ref="H6:H60">IF(E5="-",E5,IF(E5,"Complete","Incomplete"))</f>
        <v>-</v>
      </c>
      <c r="I6" s="4022"/>
      <c r="J6" s="4023"/>
      <c r="K6" s="4024"/>
      <c r="L6" s="4024"/>
      <c r="M6" s="4025"/>
      <c r="N6" s="4024"/>
      <c r="O6" s="4026"/>
      <c r="P6" s="4024"/>
      <c r="Q6" s="4027"/>
      <c r="R6" s="4027"/>
      <c r="S6" s="4028"/>
      <c r="T6" s="4028"/>
      <c r="U6" s="4029"/>
      <c r="V6" s="4029"/>
      <c r="W6" s="4019"/>
      <c r="X6" s="4019"/>
      <c r="Y6" s="4019"/>
      <c r="Z6" s="4019"/>
      <c r="AA6" s="3995"/>
      <c r="AB6" s="3998"/>
      <c r="AC6" s="3998"/>
      <c r="AD6" s="3998"/>
      <c r="AE6" s="3998"/>
      <c r="AF6" s="3998"/>
      <c r="AG6" s="3998"/>
    </row>
    <row r="7" ht="12.75" customHeight="1">
      <c r="A7" s="4020"/>
      <c r="D7" s="4003" t="str">
        <f t="shared" si="7" ref="D7:D61">IF(A5,COUNTA(Q7:V7)=6,"-")</f>
        <v>-</v>
      </c>
      <c r="H7" s="4021"/>
      <c r="I7" s="4022"/>
      <c r="J7" s="4023"/>
      <c r="K7" s="4024"/>
      <c r="L7" s="4024"/>
      <c r="M7" s="4025"/>
      <c r="N7" s="4024"/>
      <c r="O7" s="4026"/>
      <c r="P7" s="4024"/>
      <c r="Q7" s="4027"/>
      <c r="R7" s="4027"/>
      <c r="S7" s="4028"/>
      <c r="T7" s="4028"/>
      <c r="U7" s="4029"/>
      <c r="V7" s="4029"/>
      <c r="W7" s="4019"/>
      <c r="X7" s="4019"/>
      <c r="Y7" s="4019"/>
      <c r="Z7" s="4019"/>
      <c r="AA7" s="3995"/>
      <c r="AB7" s="3998"/>
      <c r="AC7" s="3998"/>
      <c r="AD7" s="3998"/>
      <c r="AE7" s="3998"/>
      <c r="AF7" s="3998"/>
      <c r="AG7" s="3998"/>
    </row>
    <row r="8" ht="12.75" customHeight="1">
      <c r="A8" s="4020"/>
      <c r="D8" s="4003" t="str">
        <f t="shared" si="8" ref="D8:D62">IF(A5,COUNTA(Q8:V8)=6,"-")</f>
        <v>-</v>
      </c>
      <c r="H8" s="4021"/>
      <c r="I8" s="4022"/>
      <c r="J8" s="4023"/>
      <c r="K8" s="4024"/>
      <c r="L8" s="4024"/>
      <c r="M8" s="4025"/>
      <c r="N8" s="4024"/>
      <c r="O8" s="4026"/>
      <c r="P8" s="4024"/>
      <c r="Q8" s="4027"/>
      <c r="R8" s="4027"/>
      <c r="S8" s="4028"/>
      <c r="T8" s="4028"/>
      <c r="U8" s="4029"/>
      <c r="V8" s="4029"/>
      <c r="W8" s="4019"/>
      <c r="X8" s="4019"/>
      <c r="Y8" s="4019"/>
      <c r="Z8" s="4019"/>
      <c r="AA8" s="3995"/>
      <c r="AB8" s="3998"/>
      <c r="AC8" s="3998"/>
      <c r="AD8" s="3998"/>
      <c r="AE8" s="3998"/>
      <c r="AF8" s="3998"/>
      <c r="AG8" s="3998"/>
    </row>
    <row r="9" ht="12.75" customHeight="1">
      <c r="A9" s="4020"/>
      <c r="D9" s="4003" t="str">
        <f t="shared" si="9" ref="D9:D63">IF(A5,COUNTA(Q9:V9)=6,"-")</f>
        <v>-</v>
      </c>
      <c r="H9" s="4021"/>
      <c r="I9" s="4022"/>
      <c r="J9" s="4023"/>
      <c r="K9" s="4024"/>
      <c r="L9" s="4024"/>
      <c r="M9" s="4025"/>
      <c r="N9" s="4024"/>
      <c r="O9" s="4026"/>
      <c r="P9" s="4024"/>
      <c r="Q9" s="4027"/>
      <c r="R9" s="4027"/>
      <c r="S9" s="4028"/>
      <c r="T9" s="4028"/>
      <c r="U9" s="4029"/>
      <c r="V9" s="4029"/>
      <c r="W9" s="4019"/>
      <c r="X9" s="4019"/>
      <c r="Y9" s="4019"/>
      <c r="Z9" s="4019"/>
      <c r="AA9" s="3995"/>
      <c r="AB9" s="3998"/>
      <c r="AC9" s="3998"/>
      <c r="AD9" s="3998"/>
      <c r="AE9" s="3998"/>
      <c r="AF9" s="3998"/>
      <c r="AG9" s="3998"/>
    </row>
    <row r="10" ht="14.25" customHeight="1">
      <c r="H10" s="4030"/>
      <c r="I10" s="4031"/>
      <c r="J10" s="4032"/>
      <c r="K10" s="4032"/>
      <c r="L10" s="4033"/>
      <c r="M10" s="4033"/>
      <c r="N10" s="4033"/>
      <c r="O10" s="4034"/>
      <c r="P10" s="4035"/>
      <c r="Q10" s="4036"/>
      <c r="R10" s="4037"/>
      <c r="S10" s="4038"/>
      <c r="T10" s="4038"/>
      <c r="U10" s="4039"/>
      <c r="V10" s="4039"/>
      <c r="W10" s="4040"/>
      <c r="X10" s="4040"/>
      <c r="Y10" s="4040"/>
      <c r="Z10" s="4040"/>
      <c r="AA10" s="3995"/>
      <c r="AB10" s="3998"/>
      <c r="AC10" s="3998"/>
      <c r="AD10" s="3998"/>
      <c r="AE10" s="3998"/>
      <c r="AF10" s="3998"/>
      <c r="AG10" s="3998"/>
    </row>
    <row r="11" ht="12.75" customHeight="1">
      <c r="A11" s="4003" t="b">
        <f t="shared" si="0"/>
        <v>0</v>
      </c>
      <c r="B11" s="4003" t="str">
        <f t="shared" si="1"/>
        <v>-</v>
      </c>
      <c r="C11" s="4003" t="str">
        <f t="shared" si="2"/>
        <v>-</v>
      </c>
      <c r="D11" s="4003" t="str">
        <f t="shared" si="3"/>
        <v>-</v>
      </c>
      <c r="E11" s="4003" t="str">
        <f t="shared" si="4"/>
        <v>-</v>
      </c>
      <c r="H11" s="4010" t="s">
        <v>3400</v>
      </c>
      <c r="I11" s="4011"/>
      <c r="J11" s="4012"/>
      <c r="K11" s="4013"/>
      <c r="L11" s="4013"/>
      <c r="M11" s="4014"/>
      <c r="N11" s="4013"/>
      <c r="O11" s="4015"/>
      <c r="P11" s="4013"/>
      <c r="Q11" s="4016"/>
      <c r="R11" s="4016"/>
      <c r="S11" s="4017"/>
      <c r="T11" s="4017"/>
      <c r="U11" s="4018"/>
      <c r="V11" s="4018"/>
      <c r="W11" s="4019"/>
      <c r="X11" s="4019"/>
      <c r="Y11" s="4019"/>
      <c r="Z11" s="4019"/>
      <c r="AA11" s="3995"/>
      <c r="AB11" s="3998"/>
      <c r="AC11" s="3998"/>
      <c r="AD11" s="3998"/>
      <c r="AE11" s="3998"/>
      <c r="AF11" s="3998"/>
      <c r="AG11" s="3998"/>
    </row>
    <row r="12" ht="14.25" customHeight="1">
      <c r="A12" s="4020"/>
      <c r="D12" s="4003" t="str">
        <f t="shared" si="5"/>
        <v>-</v>
      </c>
      <c r="H12" s="4021" t="str">
        <f t="shared" si="6"/>
        <v>-</v>
      </c>
      <c r="I12" s="4022"/>
      <c r="J12" s="4023"/>
      <c r="K12" s="4024"/>
      <c r="L12" s="4024"/>
      <c r="M12" s="4025"/>
      <c r="N12" s="4024"/>
      <c r="O12" s="4026"/>
      <c r="P12" s="4024"/>
      <c r="Q12" s="4027"/>
      <c r="R12" s="4027"/>
      <c r="S12" s="4028"/>
      <c r="T12" s="4028"/>
      <c r="U12" s="4029"/>
      <c r="V12" s="4029"/>
      <c r="W12" s="4019"/>
      <c r="X12" s="4019"/>
      <c r="Y12" s="4019"/>
      <c r="Z12" s="4019"/>
      <c r="AA12" s="3995"/>
      <c r="AB12" s="3998"/>
      <c r="AC12" s="3998"/>
      <c r="AD12" s="3998"/>
      <c r="AE12" s="3998"/>
      <c r="AF12" s="3998"/>
      <c r="AG12" s="3998"/>
    </row>
    <row r="13" ht="12.75" customHeight="1">
      <c r="A13" s="4020"/>
      <c r="D13" s="4003" t="str">
        <f t="shared" si="7"/>
        <v>-</v>
      </c>
      <c r="H13" s="4021"/>
      <c r="I13" s="4022"/>
      <c r="J13" s="4023"/>
      <c r="K13" s="4024"/>
      <c r="L13" s="4024"/>
      <c r="M13" s="4025"/>
      <c r="N13" s="4024"/>
      <c r="O13" s="4026"/>
      <c r="P13" s="4024"/>
      <c r="Q13" s="4027"/>
      <c r="R13" s="4027"/>
      <c r="S13" s="4028"/>
      <c r="T13" s="4028"/>
      <c r="U13" s="4029"/>
      <c r="V13" s="4029"/>
      <c r="W13" s="4019"/>
      <c r="X13" s="4019"/>
      <c r="Y13" s="4019"/>
      <c r="Z13" s="4019"/>
      <c r="AA13" s="3995"/>
      <c r="AB13" s="3998"/>
      <c r="AC13" s="3998"/>
      <c r="AD13" s="3998"/>
      <c r="AE13" s="3998"/>
      <c r="AF13" s="3998"/>
      <c r="AG13" s="3998"/>
    </row>
    <row r="14" ht="12.75" customHeight="1">
      <c r="A14" s="4020"/>
      <c r="D14" s="4003" t="str">
        <f t="shared" si="8"/>
        <v>-</v>
      </c>
      <c r="H14" s="4021"/>
      <c r="I14" s="4022"/>
      <c r="J14" s="4023"/>
      <c r="K14" s="4024"/>
      <c r="L14" s="4024"/>
      <c r="M14" s="4025"/>
      <c r="N14" s="4024"/>
      <c r="O14" s="4026"/>
      <c r="P14" s="4024"/>
      <c r="Q14" s="4027"/>
      <c r="R14" s="4027"/>
      <c r="S14" s="4028"/>
      <c r="T14" s="4028"/>
      <c r="U14" s="4029"/>
      <c r="V14" s="4029"/>
      <c r="W14" s="4019"/>
      <c r="X14" s="4019"/>
      <c r="Y14" s="4019"/>
      <c r="Z14" s="4019"/>
      <c r="AA14" s="3995"/>
      <c r="AB14" s="3998"/>
      <c r="AC14" s="3998"/>
      <c r="AD14" s="3998"/>
      <c r="AE14" s="3998"/>
      <c r="AF14" s="3998"/>
      <c r="AG14" s="3998"/>
    </row>
    <row r="15" ht="12.75" customHeight="1">
      <c r="A15" s="4020"/>
      <c r="D15" s="4003" t="str">
        <f t="shared" si="9"/>
        <v>-</v>
      </c>
      <c r="H15" s="4021"/>
      <c r="I15" s="4022"/>
      <c r="J15" s="4023"/>
      <c r="K15" s="4024"/>
      <c r="L15" s="4024"/>
      <c r="M15" s="4025"/>
      <c r="N15" s="4024"/>
      <c r="O15" s="4026"/>
      <c r="P15" s="4024"/>
      <c r="Q15" s="4027"/>
      <c r="R15" s="4027"/>
      <c r="S15" s="4028"/>
      <c r="T15" s="4028"/>
      <c r="U15" s="4029"/>
      <c r="V15" s="4029"/>
      <c r="W15" s="4019"/>
      <c r="X15" s="4019"/>
      <c r="Y15" s="4019"/>
      <c r="Z15" s="4019"/>
      <c r="AA15" s="3995"/>
      <c r="AB15" s="3998"/>
      <c r="AC15" s="3998"/>
      <c r="AD15" s="3998"/>
      <c r="AE15" s="3998"/>
      <c r="AF15" s="3998"/>
      <c r="AG15" s="3998"/>
    </row>
    <row r="16" ht="13.5" customHeight="1">
      <c r="H16" s="4030"/>
      <c r="I16" s="4031"/>
      <c r="J16" s="4032"/>
      <c r="K16" s="4032"/>
      <c r="L16" s="4033"/>
      <c r="M16" s="4033"/>
      <c r="N16" s="4033"/>
      <c r="O16" s="4034"/>
      <c r="P16" s="4035"/>
      <c r="Q16" s="4036"/>
      <c r="R16" s="4037"/>
      <c r="S16" s="4038"/>
      <c r="T16" s="4038"/>
      <c r="U16" s="4039"/>
      <c r="V16" s="4039"/>
      <c r="W16" s="4040"/>
      <c r="X16" s="4040"/>
      <c r="Y16" s="4040"/>
      <c r="Z16" s="4040"/>
      <c r="AA16" s="3995"/>
      <c r="AB16" s="3998"/>
      <c r="AC16" s="3998"/>
      <c r="AD16" s="3998"/>
      <c r="AE16" s="3998"/>
      <c r="AF16" s="3998"/>
      <c r="AG16" s="3998"/>
    </row>
    <row r="17" ht="12.75" customHeight="1">
      <c r="A17" s="4003" t="b">
        <f t="shared" si="0"/>
        <v>0</v>
      </c>
      <c r="B17" s="4003" t="str">
        <f t="shared" si="1"/>
        <v>-</v>
      </c>
      <c r="C17" s="4003" t="str">
        <f t="shared" si="2"/>
        <v>-</v>
      </c>
      <c r="D17" s="4003" t="str">
        <f t="shared" si="3"/>
        <v>-</v>
      </c>
      <c r="E17" s="4003" t="str">
        <f t="shared" si="4"/>
        <v>-</v>
      </c>
      <c r="H17" s="4010" t="s">
        <v>3401</v>
      </c>
      <c r="I17" s="4011"/>
      <c r="J17" s="4012"/>
      <c r="K17" s="4013"/>
      <c r="L17" s="4013"/>
      <c r="M17" s="4014"/>
      <c r="N17" s="4013"/>
      <c r="O17" s="4015"/>
      <c r="P17" s="4013"/>
      <c r="Q17" s="4016"/>
      <c r="R17" s="4016"/>
      <c r="S17" s="4017"/>
      <c r="T17" s="4017"/>
      <c r="U17" s="4018"/>
      <c r="V17" s="4018"/>
      <c r="W17" s="4019"/>
      <c r="X17" s="4019"/>
      <c r="Y17" s="4019"/>
      <c r="Z17" s="4019"/>
      <c r="AA17" s="3995"/>
      <c r="AB17" s="3998"/>
      <c r="AC17" s="3998"/>
      <c r="AD17" s="3998"/>
      <c r="AE17" s="3998"/>
      <c r="AF17" s="3998"/>
      <c r="AG17" s="3998"/>
    </row>
    <row r="18" ht="14.25" customHeight="1">
      <c r="A18" s="4020"/>
      <c r="D18" s="4003" t="str">
        <f t="shared" si="5"/>
        <v>-</v>
      </c>
      <c r="H18" s="4021" t="str">
        <f t="shared" si="6"/>
        <v>-</v>
      </c>
      <c r="I18" s="4022"/>
      <c r="J18" s="4023"/>
      <c r="K18" s="4024"/>
      <c r="L18" s="4024"/>
      <c r="M18" s="4025"/>
      <c r="N18" s="4024"/>
      <c r="O18" s="4026"/>
      <c r="P18" s="4024"/>
      <c r="Q18" s="4027"/>
      <c r="R18" s="4027"/>
      <c r="S18" s="4028"/>
      <c r="T18" s="4028"/>
      <c r="U18" s="4029"/>
      <c r="V18" s="4029"/>
      <c r="W18" s="4019"/>
      <c r="X18" s="4019"/>
      <c r="Y18" s="4019"/>
      <c r="Z18" s="4019"/>
      <c r="AA18" s="3995"/>
      <c r="AB18" s="3998"/>
      <c r="AC18" s="3998"/>
      <c r="AD18" s="3998"/>
      <c r="AE18" s="3998"/>
      <c r="AF18" s="3998"/>
      <c r="AG18" s="3998"/>
    </row>
    <row r="19" ht="12.75" customHeight="1">
      <c r="A19" s="4020"/>
      <c r="D19" s="4003" t="str">
        <f t="shared" si="7"/>
        <v>-</v>
      </c>
      <c r="H19" s="4021"/>
      <c r="I19" s="4022"/>
      <c r="J19" s="4023"/>
      <c r="K19" s="4024"/>
      <c r="L19" s="4024"/>
      <c r="M19" s="4025"/>
      <c r="N19" s="4024"/>
      <c r="O19" s="4026"/>
      <c r="P19" s="4024"/>
      <c r="Q19" s="4027"/>
      <c r="R19" s="4027"/>
      <c r="S19" s="4028"/>
      <c r="T19" s="4028"/>
      <c r="U19" s="4029"/>
      <c r="V19" s="4029"/>
      <c r="W19" s="4019"/>
      <c r="X19" s="4019"/>
      <c r="Y19" s="4019"/>
      <c r="Z19" s="4019"/>
      <c r="AA19" s="3995"/>
      <c r="AB19" s="3998"/>
      <c r="AC19" s="3998"/>
      <c r="AD19" s="3998"/>
      <c r="AE19" s="3998"/>
      <c r="AF19" s="3998"/>
      <c r="AG19" s="3998"/>
    </row>
    <row r="20" ht="12.75" customHeight="1">
      <c r="A20" s="4020"/>
      <c r="D20" s="4003" t="str">
        <f t="shared" si="8"/>
        <v>-</v>
      </c>
      <c r="H20" s="4021"/>
      <c r="I20" s="4022"/>
      <c r="J20" s="4023"/>
      <c r="K20" s="4024"/>
      <c r="L20" s="4024"/>
      <c r="M20" s="4025"/>
      <c r="N20" s="4024"/>
      <c r="O20" s="4026"/>
      <c r="P20" s="4024"/>
      <c r="Q20" s="4027"/>
      <c r="R20" s="4027"/>
      <c r="S20" s="4028"/>
      <c r="T20" s="4028"/>
      <c r="U20" s="4029"/>
      <c r="V20" s="4029"/>
      <c r="W20" s="4019"/>
      <c r="X20" s="4019"/>
      <c r="Y20" s="4019"/>
      <c r="Z20" s="4019"/>
      <c r="AA20" s="3995"/>
      <c r="AB20" s="3998"/>
      <c r="AC20" s="3998"/>
      <c r="AD20" s="3998"/>
      <c r="AE20" s="3998"/>
      <c r="AF20" s="3998"/>
      <c r="AG20" s="3998"/>
    </row>
    <row r="21" ht="12.75" customHeight="1">
      <c r="A21" s="4020"/>
      <c r="D21" s="4003" t="str">
        <f t="shared" si="9"/>
        <v>-</v>
      </c>
      <c r="H21" s="4021"/>
      <c r="I21" s="4022"/>
      <c r="J21" s="4023"/>
      <c r="K21" s="4024"/>
      <c r="L21" s="4024"/>
      <c r="M21" s="4025"/>
      <c r="N21" s="4024"/>
      <c r="O21" s="4026"/>
      <c r="P21" s="4024"/>
      <c r="Q21" s="4027"/>
      <c r="R21" s="4027"/>
      <c r="S21" s="4028"/>
      <c r="T21" s="4028"/>
      <c r="U21" s="4029"/>
      <c r="V21" s="4029"/>
      <c r="W21" s="4019"/>
      <c r="X21" s="4019"/>
      <c r="Y21" s="4019"/>
      <c r="Z21" s="4019"/>
      <c r="AA21" s="3995"/>
      <c r="AB21" s="3998"/>
      <c r="AC21" s="3998"/>
      <c r="AD21" s="3998"/>
      <c r="AE21" s="3998"/>
      <c r="AF21" s="3998"/>
      <c r="AG21" s="3998"/>
    </row>
    <row r="22" ht="14.25" customHeight="1">
      <c r="H22" s="4030"/>
      <c r="I22" s="4031"/>
      <c r="J22" s="4032"/>
      <c r="K22" s="4032"/>
      <c r="L22" s="4033"/>
      <c r="M22" s="4033"/>
      <c r="N22" s="4033"/>
      <c r="O22" s="4034"/>
      <c r="P22" s="4035"/>
      <c r="Q22" s="4036"/>
      <c r="R22" s="4037"/>
      <c r="S22" s="4038"/>
      <c r="T22" s="4038"/>
      <c r="U22" s="4039"/>
      <c r="V22" s="4039"/>
      <c r="W22" s="4040"/>
      <c r="X22" s="4040"/>
      <c r="Y22" s="4040"/>
      <c r="Z22" s="4040"/>
      <c r="AA22" s="3995"/>
      <c r="AB22" s="3998"/>
      <c r="AC22" s="3998"/>
      <c r="AD22" s="3998"/>
      <c r="AE22" s="3998"/>
      <c r="AF22" s="3998"/>
      <c r="AG22" s="3998"/>
    </row>
    <row r="23" ht="12.75" customHeight="1">
      <c r="A23" s="4003" t="b">
        <f t="shared" si="0"/>
        <v>0</v>
      </c>
      <c r="B23" s="4003" t="str">
        <f t="shared" si="1"/>
        <v>-</v>
      </c>
      <c r="C23" s="4003" t="str">
        <f t="shared" si="2"/>
        <v>-</v>
      </c>
      <c r="D23" s="4003" t="str">
        <f t="shared" si="3"/>
        <v>-</v>
      </c>
      <c r="E23" s="4003" t="str">
        <f t="shared" si="4"/>
        <v>-</v>
      </c>
      <c r="H23" s="4010" t="s">
        <v>3402</v>
      </c>
      <c r="I23" s="4011"/>
      <c r="J23" s="4012"/>
      <c r="K23" s="4013"/>
      <c r="L23" s="4013"/>
      <c r="M23" s="4014"/>
      <c r="N23" s="4013"/>
      <c r="O23" s="4015"/>
      <c r="P23" s="4013"/>
      <c r="Q23" s="4016"/>
      <c r="R23" s="4016"/>
      <c r="S23" s="4017"/>
      <c r="T23" s="4017"/>
      <c r="U23" s="4018"/>
      <c r="V23" s="4018"/>
      <c r="W23" s="4019"/>
      <c r="X23" s="4019"/>
      <c r="Y23" s="4019"/>
      <c r="Z23" s="4019"/>
      <c r="AA23" s="3995"/>
      <c r="AB23" s="3998"/>
      <c r="AC23" s="3998"/>
      <c r="AD23" s="3998"/>
      <c r="AE23" s="3998"/>
      <c r="AF23" s="3998"/>
      <c r="AG23" s="3998"/>
    </row>
    <row r="24" ht="14.25" customHeight="1">
      <c r="A24" s="4020"/>
      <c r="D24" s="4003" t="str">
        <f t="shared" si="5"/>
        <v>-</v>
      </c>
      <c r="H24" s="4021" t="str">
        <f t="shared" si="6"/>
        <v>-</v>
      </c>
      <c r="I24" s="4022"/>
      <c r="J24" s="4023"/>
      <c r="K24" s="4024"/>
      <c r="L24" s="4024"/>
      <c r="M24" s="4025"/>
      <c r="N24" s="4024"/>
      <c r="O24" s="4026"/>
      <c r="P24" s="4024"/>
      <c r="Q24" s="4027"/>
      <c r="R24" s="4027"/>
      <c r="S24" s="4028"/>
      <c r="T24" s="4028"/>
      <c r="U24" s="4029"/>
      <c r="V24" s="4029"/>
      <c r="W24" s="4019"/>
      <c r="X24" s="4019"/>
      <c r="Y24" s="4019"/>
      <c r="Z24" s="4019"/>
      <c r="AA24" s="3995"/>
      <c r="AB24" s="3998"/>
      <c r="AC24" s="3998"/>
      <c r="AD24" s="3998"/>
      <c r="AE24" s="3998"/>
      <c r="AF24" s="3998"/>
      <c r="AG24" s="3998"/>
    </row>
    <row r="25" ht="12.75" customHeight="1">
      <c r="A25" s="4020"/>
      <c r="D25" s="4003" t="str">
        <f t="shared" si="7"/>
        <v>-</v>
      </c>
      <c r="H25" s="4021"/>
      <c r="I25" s="4022"/>
      <c r="J25" s="4023"/>
      <c r="K25" s="4024"/>
      <c r="L25" s="4024"/>
      <c r="M25" s="4025"/>
      <c r="N25" s="4024"/>
      <c r="O25" s="4026"/>
      <c r="P25" s="4024"/>
      <c r="Q25" s="4027"/>
      <c r="R25" s="4027"/>
      <c r="S25" s="4028"/>
      <c r="T25" s="4028"/>
      <c r="U25" s="4029"/>
      <c r="V25" s="4029"/>
      <c r="W25" s="4019"/>
      <c r="X25" s="4019"/>
      <c r="Y25" s="4019"/>
      <c r="Z25" s="4019"/>
      <c r="AA25" s="3995"/>
      <c r="AB25" s="3998"/>
      <c r="AC25" s="3998"/>
      <c r="AD25" s="3998"/>
      <c r="AE25" s="3998"/>
      <c r="AF25" s="3998"/>
      <c r="AG25" s="3998"/>
    </row>
    <row r="26" ht="12.75" customHeight="1">
      <c r="A26" s="4020"/>
      <c r="D26" s="4003" t="str">
        <f t="shared" si="8"/>
        <v>-</v>
      </c>
      <c r="H26" s="4021"/>
      <c r="I26" s="4022"/>
      <c r="J26" s="4023"/>
      <c r="K26" s="4024"/>
      <c r="L26" s="4024"/>
      <c r="M26" s="4025"/>
      <c r="N26" s="4024"/>
      <c r="O26" s="4026"/>
      <c r="P26" s="4024"/>
      <c r="Q26" s="4027"/>
      <c r="R26" s="4027"/>
      <c r="S26" s="4028"/>
      <c r="T26" s="4028"/>
      <c r="U26" s="4029"/>
      <c r="V26" s="4029"/>
      <c r="W26" s="4019"/>
      <c r="X26" s="4019"/>
      <c r="Y26" s="4019"/>
      <c r="Z26" s="4019"/>
      <c r="AA26" s="3995"/>
      <c r="AB26" s="3998"/>
      <c r="AC26" s="3998"/>
      <c r="AD26" s="3998"/>
      <c r="AE26" s="3998"/>
      <c r="AF26" s="3998"/>
      <c r="AG26" s="3998"/>
    </row>
    <row r="27" ht="12.75" customHeight="1">
      <c r="A27" s="4020"/>
      <c r="D27" s="4003" t="str">
        <f t="shared" si="9"/>
        <v>-</v>
      </c>
      <c r="H27" s="4021"/>
      <c r="I27" s="4022"/>
      <c r="J27" s="4023"/>
      <c r="K27" s="4024"/>
      <c r="L27" s="4024"/>
      <c r="M27" s="4025"/>
      <c r="N27" s="4024"/>
      <c r="O27" s="4026"/>
      <c r="P27" s="4024"/>
      <c r="Q27" s="4027"/>
      <c r="R27" s="4027"/>
      <c r="S27" s="4028"/>
      <c r="T27" s="4028"/>
      <c r="U27" s="4029"/>
      <c r="V27" s="4029"/>
      <c r="W27" s="4019"/>
      <c r="X27" s="4019"/>
      <c r="Y27" s="4019"/>
      <c r="Z27" s="4019"/>
      <c r="AA27" s="3995"/>
      <c r="AB27" s="3998"/>
      <c r="AC27" s="3998"/>
      <c r="AD27" s="3998"/>
      <c r="AE27" s="3998"/>
      <c r="AF27" s="3998"/>
      <c r="AG27" s="3998"/>
    </row>
    <row r="28" ht="14.25" customHeight="1">
      <c r="H28" s="4030"/>
      <c r="I28" s="4031"/>
      <c r="J28" s="4032"/>
      <c r="K28" s="4032"/>
      <c r="L28" s="4033"/>
      <c r="M28" s="4033"/>
      <c r="N28" s="4033"/>
      <c r="O28" s="4034"/>
      <c r="P28" s="4035"/>
      <c r="Q28" s="4036"/>
      <c r="R28" s="4037"/>
      <c r="S28" s="4038"/>
      <c r="T28" s="4038"/>
      <c r="U28" s="4039"/>
      <c r="V28" s="4039"/>
      <c r="W28" s="4040"/>
      <c r="X28" s="4040"/>
      <c r="Y28" s="4040"/>
      <c r="Z28" s="4040"/>
      <c r="AA28" s="3995"/>
      <c r="AB28" s="3998"/>
      <c r="AC28" s="3998"/>
      <c r="AD28" s="3998"/>
      <c r="AE28" s="3998"/>
      <c r="AF28" s="3998"/>
      <c r="AG28" s="3998"/>
    </row>
    <row r="29" ht="12.75" customHeight="1">
      <c r="A29" s="4003" t="b">
        <f t="shared" si="0"/>
        <v>0</v>
      </c>
      <c r="B29" s="4003" t="str">
        <f t="shared" si="1"/>
        <v>-</v>
      </c>
      <c r="C29" s="4003" t="str">
        <f t="shared" si="2"/>
        <v>-</v>
      </c>
      <c r="D29" s="4003" t="str">
        <f t="shared" si="3"/>
        <v>-</v>
      </c>
      <c r="E29" s="4003" t="str">
        <f t="shared" si="4"/>
        <v>-</v>
      </c>
      <c r="H29" s="4010" t="s">
        <v>3403</v>
      </c>
      <c r="I29" s="4011"/>
      <c r="J29" s="4012"/>
      <c r="K29" s="4013"/>
      <c r="L29" s="4013"/>
      <c r="M29" s="4014"/>
      <c r="N29" s="4013"/>
      <c r="O29" s="4015"/>
      <c r="P29" s="4013"/>
      <c r="Q29" s="4016"/>
      <c r="R29" s="4016"/>
      <c r="S29" s="4017"/>
      <c r="T29" s="4017"/>
      <c r="U29" s="4018"/>
      <c r="V29" s="4018"/>
      <c r="W29" s="4019"/>
      <c r="X29" s="4019"/>
      <c r="Y29" s="4019"/>
      <c r="Z29" s="4019"/>
      <c r="AA29" s="3995"/>
      <c r="AB29" s="3998"/>
      <c r="AC29" s="3998"/>
      <c r="AD29" s="3998"/>
      <c r="AE29" s="3998"/>
      <c r="AF29" s="3998"/>
      <c r="AG29" s="3998"/>
    </row>
    <row r="30" ht="14.25" customHeight="1">
      <c r="A30" s="4020"/>
      <c r="D30" s="4003" t="str">
        <f t="shared" si="5"/>
        <v>-</v>
      </c>
      <c r="H30" s="4021" t="str">
        <f t="shared" si="6"/>
        <v>-</v>
      </c>
      <c r="I30" s="4022"/>
      <c r="J30" s="4023"/>
      <c r="K30" s="4024"/>
      <c r="L30" s="4024"/>
      <c r="M30" s="4025"/>
      <c r="N30" s="4024"/>
      <c r="O30" s="4026"/>
      <c r="P30" s="4024"/>
      <c r="Q30" s="4027"/>
      <c r="R30" s="4027"/>
      <c r="S30" s="4028"/>
      <c r="T30" s="4028"/>
      <c r="U30" s="4029"/>
      <c r="V30" s="4029"/>
      <c r="W30" s="4019"/>
      <c r="X30" s="4019"/>
      <c r="Y30" s="4019"/>
      <c r="Z30" s="4019"/>
      <c r="AA30" s="3995"/>
      <c r="AB30" s="3998"/>
      <c r="AC30" s="3998"/>
      <c r="AD30" s="3998"/>
      <c r="AE30" s="3998"/>
      <c r="AF30" s="3998"/>
      <c r="AG30" s="3998"/>
    </row>
    <row r="31" ht="12.75" customHeight="1">
      <c r="A31" s="4020"/>
      <c r="D31" s="4003" t="str">
        <f t="shared" si="7"/>
        <v>-</v>
      </c>
      <c r="H31" s="4021"/>
      <c r="I31" s="4022"/>
      <c r="J31" s="4023"/>
      <c r="K31" s="4024"/>
      <c r="L31" s="4024"/>
      <c r="M31" s="4025"/>
      <c r="N31" s="4024"/>
      <c r="O31" s="4026"/>
      <c r="P31" s="4024"/>
      <c r="Q31" s="4027"/>
      <c r="R31" s="4027"/>
      <c r="S31" s="4028"/>
      <c r="T31" s="4028"/>
      <c r="U31" s="4029"/>
      <c r="V31" s="4029"/>
      <c r="W31" s="4019"/>
      <c r="X31" s="4019"/>
      <c r="Y31" s="4019"/>
      <c r="Z31" s="4019"/>
      <c r="AA31" s="3995"/>
      <c r="AB31" s="3998"/>
      <c r="AC31" s="3998"/>
      <c r="AD31" s="3998"/>
      <c r="AE31" s="3998"/>
      <c r="AF31" s="3998"/>
      <c r="AG31" s="3998"/>
    </row>
    <row r="32" ht="12.75" customHeight="1">
      <c r="A32" s="4020"/>
      <c r="D32" s="4003" t="str">
        <f t="shared" si="8"/>
        <v>-</v>
      </c>
      <c r="H32" s="4021"/>
      <c r="I32" s="4022"/>
      <c r="J32" s="4023"/>
      <c r="K32" s="4024"/>
      <c r="L32" s="4024"/>
      <c r="M32" s="4025"/>
      <c r="N32" s="4024"/>
      <c r="O32" s="4026"/>
      <c r="P32" s="4024"/>
      <c r="Q32" s="4027"/>
      <c r="R32" s="4027"/>
      <c r="S32" s="4028"/>
      <c r="T32" s="4028"/>
      <c r="U32" s="4029"/>
      <c r="V32" s="4029"/>
      <c r="W32" s="4019"/>
      <c r="X32" s="4019"/>
      <c r="Y32" s="4019"/>
      <c r="Z32" s="4019"/>
      <c r="AA32" s="3995"/>
      <c r="AB32" s="3998"/>
      <c r="AC32" s="3998"/>
      <c r="AD32" s="3998"/>
      <c r="AE32" s="3998"/>
      <c r="AF32" s="3998"/>
      <c r="AG32" s="3998"/>
    </row>
    <row r="33" ht="12.75" customHeight="1">
      <c r="A33" s="4020"/>
      <c r="D33" s="4003" t="str">
        <f t="shared" si="9"/>
        <v>-</v>
      </c>
      <c r="H33" s="4021"/>
      <c r="I33" s="4022"/>
      <c r="J33" s="4023"/>
      <c r="K33" s="4024"/>
      <c r="L33" s="4024"/>
      <c r="M33" s="4025"/>
      <c r="N33" s="4024"/>
      <c r="O33" s="4026"/>
      <c r="P33" s="4024"/>
      <c r="Q33" s="4027"/>
      <c r="R33" s="4027"/>
      <c r="S33" s="4028"/>
      <c r="T33" s="4028"/>
      <c r="U33" s="4029"/>
      <c r="V33" s="4029"/>
      <c r="W33" s="4019"/>
      <c r="X33" s="4019"/>
      <c r="Y33" s="4019"/>
      <c r="Z33" s="4019"/>
      <c r="AA33" s="3995"/>
      <c r="AB33" s="3998"/>
      <c r="AC33" s="3998"/>
      <c r="AD33" s="3998"/>
      <c r="AE33" s="3998"/>
      <c r="AF33" s="3998"/>
      <c r="AG33" s="3998"/>
    </row>
    <row r="34" ht="14.25" customHeight="1">
      <c r="H34" s="4030"/>
      <c r="I34" s="4031"/>
      <c r="J34" s="4032"/>
      <c r="K34" s="4032"/>
      <c r="L34" s="4033"/>
      <c r="M34" s="4033"/>
      <c r="N34" s="4033"/>
      <c r="O34" s="4034"/>
      <c r="P34" s="4035"/>
      <c r="Q34" s="4031"/>
      <c r="R34" s="4041"/>
      <c r="S34" s="4038"/>
      <c r="T34" s="4038"/>
      <c r="U34" s="4039"/>
      <c r="V34" s="4039"/>
      <c r="W34" s="4042"/>
      <c r="X34" s="4042"/>
      <c r="Y34" s="4042"/>
      <c r="Z34" s="4042"/>
      <c r="AA34" s="3995"/>
      <c r="AB34" s="3998"/>
      <c r="AC34" s="3998"/>
      <c r="AD34" s="3998"/>
      <c r="AE34" s="3998"/>
      <c r="AF34" s="3998"/>
      <c r="AG34" s="3998"/>
    </row>
    <row r="35" ht="12.75" customHeight="1">
      <c r="A35" s="4003" t="b">
        <f t="shared" si="0"/>
        <v>0</v>
      </c>
      <c r="B35" s="4003" t="str">
        <f t="shared" si="1"/>
        <v>-</v>
      </c>
      <c r="C35" s="4003" t="str">
        <f t="shared" si="2"/>
        <v>-</v>
      </c>
      <c r="D35" s="4003" t="str">
        <f t="shared" si="3"/>
        <v>-</v>
      </c>
      <c r="E35" s="4003" t="str">
        <f t="shared" si="4"/>
        <v>-</v>
      </c>
      <c r="H35" s="4010" t="s">
        <v>3404</v>
      </c>
      <c r="I35" s="4011"/>
      <c r="J35" s="4012"/>
      <c r="K35" s="4013"/>
      <c r="L35" s="4013"/>
      <c r="M35" s="4014"/>
      <c r="N35" s="4013"/>
      <c r="O35" s="4015"/>
      <c r="P35" s="4013"/>
      <c r="Q35" s="4016"/>
      <c r="R35" s="4016"/>
      <c r="S35" s="4017"/>
      <c r="T35" s="4017"/>
      <c r="U35" s="4018"/>
      <c r="V35" s="4018"/>
      <c r="W35" s="4019"/>
      <c r="X35" s="4019"/>
      <c r="Y35" s="4019"/>
      <c r="Z35" s="4019"/>
      <c r="AA35" s="3995"/>
      <c r="AB35" s="3998"/>
      <c r="AC35" s="3998"/>
      <c r="AD35" s="3998"/>
      <c r="AE35" s="3998"/>
      <c r="AF35" s="3998"/>
      <c r="AG35" s="3998"/>
    </row>
    <row r="36" ht="14.25" customHeight="1">
      <c r="A36" s="4020"/>
      <c r="D36" s="4003" t="str">
        <f t="shared" si="5"/>
        <v>-</v>
      </c>
      <c r="H36" s="4021" t="str">
        <f t="shared" si="6"/>
        <v>-</v>
      </c>
      <c r="I36" s="4022"/>
      <c r="J36" s="4023"/>
      <c r="K36" s="4024"/>
      <c r="L36" s="4024"/>
      <c r="M36" s="4025"/>
      <c r="N36" s="4024"/>
      <c r="O36" s="4026"/>
      <c r="P36" s="4024"/>
      <c r="Q36" s="4027"/>
      <c r="R36" s="4027"/>
      <c r="S36" s="4028"/>
      <c r="T36" s="4028"/>
      <c r="U36" s="4029"/>
      <c r="V36" s="4029"/>
      <c r="W36" s="4019"/>
      <c r="X36" s="4019"/>
      <c r="Y36" s="4019"/>
      <c r="Z36" s="4019"/>
      <c r="AA36" s="3995"/>
      <c r="AB36" s="3998"/>
      <c r="AC36" s="3998"/>
      <c r="AD36" s="3998"/>
      <c r="AE36" s="3998"/>
      <c r="AF36" s="3998"/>
      <c r="AG36" s="3998"/>
    </row>
    <row r="37" ht="12.75" customHeight="1">
      <c r="A37" s="4020"/>
      <c r="D37" s="4003" t="str">
        <f t="shared" si="7"/>
        <v>-</v>
      </c>
      <c r="H37" s="4021"/>
      <c r="I37" s="4022"/>
      <c r="J37" s="4023"/>
      <c r="K37" s="4024"/>
      <c r="L37" s="4024"/>
      <c r="M37" s="4025"/>
      <c r="N37" s="4024"/>
      <c r="O37" s="4026"/>
      <c r="P37" s="4024"/>
      <c r="Q37" s="4027"/>
      <c r="R37" s="4027"/>
      <c r="S37" s="4028"/>
      <c r="T37" s="4028"/>
      <c r="U37" s="4029"/>
      <c r="V37" s="4029"/>
      <c r="W37" s="4019"/>
      <c r="X37" s="4019"/>
      <c r="Y37" s="4019"/>
      <c r="Z37" s="4019"/>
      <c r="AA37" s="3995"/>
      <c r="AB37" s="3998"/>
      <c r="AC37" s="3998"/>
      <c r="AD37" s="3998"/>
      <c r="AE37" s="3998"/>
      <c r="AF37" s="3998"/>
      <c r="AG37" s="3998"/>
    </row>
    <row r="38" ht="12.75" customHeight="1">
      <c r="A38" s="4020"/>
      <c r="D38" s="4003" t="str">
        <f t="shared" si="8"/>
        <v>-</v>
      </c>
      <c r="H38" s="4021"/>
      <c r="I38" s="4022"/>
      <c r="J38" s="4023"/>
      <c r="K38" s="4024"/>
      <c r="L38" s="4024"/>
      <c r="M38" s="4025"/>
      <c r="N38" s="4024"/>
      <c r="O38" s="4026"/>
      <c r="P38" s="4024"/>
      <c r="Q38" s="4027"/>
      <c r="R38" s="4027"/>
      <c r="S38" s="4028"/>
      <c r="T38" s="4028"/>
      <c r="U38" s="4029"/>
      <c r="V38" s="4029"/>
      <c r="W38" s="4019"/>
      <c r="X38" s="4019"/>
      <c r="Y38" s="4019"/>
      <c r="Z38" s="4019"/>
      <c r="AA38" s="3995"/>
      <c r="AB38" s="3998"/>
      <c r="AC38" s="3998"/>
      <c r="AD38" s="3998"/>
      <c r="AE38" s="3998"/>
      <c r="AF38" s="3998"/>
      <c r="AG38" s="3998"/>
    </row>
    <row r="39" ht="12.75" customHeight="1">
      <c r="A39" s="4020"/>
      <c r="D39" s="4003" t="str">
        <f t="shared" si="9"/>
        <v>-</v>
      </c>
      <c r="H39" s="4021"/>
      <c r="I39" s="4022"/>
      <c r="J39" s="4023"/>
      <c r="K39" s="4024"/>
      <c r="L39" s="4024"/>
      <c r="M39" s="4025"/>
      <c r="N39" s="4024"/>
      <c r="O39" s="4026"/>
      <c r="P39" s="4024"/>
      <c r="Q39" s="4027"/>
      <c r="R39" s="4027"/>
      <c r="S39" s="4028"/>
      <c r="T39" s="4028"/>
      <c r="U39" s="4029"/>
      <c r="V39" s="4029"/>
      <c r="W39" s="4019"/>
      <c r="X39" s="4019"/>
      <c r="Y39" s="4019"/>
      <c r="Z39" s="4019"/>
      <c r="AA39" s="3995"/>
      <c r="AB39" s="3998"/>
      <c r="AC39" s="3998"/>
      <c r="AD39" s="3998"/>
      <c r="AE39" s="3998"/>
      <c r="AF39" s="3998"/>
      <c r="AG39" s="3998"/>
    </row>
    <row r="40" ht="14.25" customHeight="1">
      <c r="H40" s="4030"/>
      <c r="I40" s="4031"/>
      <c r="J40" s="4032"/>
      <c r="K40" s="4032"/>
      <c r="L40" s="4033"/>
      <c r="M40" s="4033"/>
      <c r="N40" s="4033"/>
      <c r="O40" s="4034"/>
      <c r="P40" s="4035"/>
      <c r="Q40" s="4031"/>
      <c r="R40" s="4041"/>
      <c r="S40" s="4038"/>
      <c r="T40" s="4038"/>
      <c r="U40" s="4039"/>
      <c r="V40" s="4039"/>
      <c r="W40" s="4042"/>
      <c r="X40" s="4042"/>
      <c r="Y40" s="4042"/>
      <c r="Z40" s="4042"/>
      <c r="AA40" s="3995"/>
      <c r="AB40" s="3998"/>
      <c r="AC40" s="3998"/>
      <c r="AD40" s="3998"/>
      <c r="AE40" s="3998"/>
      <c r="AF40" s="3998"/>
      <c r="AG40" s="3998"/>
    </row>
    <row r="41" ht="12.75" customHeight="1">
      <c r="A41" s="4003" t="b">
        <f t="shared" si="0"/>
        <v>0</v>
      </c>
      <c r="B41" s="4003" t="str">
        <f t="shared" si="1"/>
        <v>-</v>
      </c>
      <c r="C41" s="4003" t="str">
        <f t="shared" si="2"/>
        <v>-</v>
      </c>
      <c r="D41" s="4003" t="str">
        <f t="shared" si="3"/>
        <v>-</v>
      </c>
      <c r="E41" s="4003" t="str">
        <f t="shared" si="4"/>
        <v>-</v>
      </c>
      <c r="H41" s="4010" t="s">
        <v>3405</v>
      </c>
      <c r="I41" s="4011"/>
      <c r="J41" s="4012"/>
      <c r="K41" s="4013"/>
      <c r="L41" s="4013"/>
      <c r="M41" s="4014"/>
      <c r="N41" s="4013"/>
      <c r="O41" s="4015"/>
      <c r="P41" s="4013"/>
      <c r="Q41" s="4016"/>
      <c r="R41" s="4016"/>
      <c r="S41" s="4017"/>
      <c r="T41" s="4017"/>
      <c r="U41" s="4018"/>
      <c r="V41" s="4018"/>
      <c r="W41" s="4019"/>
      <c r="X41" s="4019"/>
      <c r="Y41" s="4019"/>
      <c r="Z41" s="4019"/>
      <c r="AA41" s="3995"/>
      <c r="AB41" s="3998"/>
      <c r="AC41" s="3998"/>
      <c r="AD41" s="3998"/>
      <c r="AE41" s="3998"/>
      <c r="AF41" s="3998"/>
      <c r="AG41" s="3998"/>
    </row>
    <row r="42" ht="14.25" customHeight="1">
      <c r="A42" s="4020"/>
      <c r="D42" s="4003" t="str">
        <f t="shared" si="5"/>
        <v>-</v>
      </c>
      <c r="H42" s="4021" t="str">
        <f t="shared" si="6"/>
        <v>-</v>
      </c>
      <c r="I42" s="4022"/>
      <c r="J42" s="4023"/>
      <c r="K42" s="4024"/>
      <c r="L42" s="4024"/>
      <c r="M42" s="4025"/>
      <c r="N42" s="4024"/>
      <c r="O42" s="4026"/>
      <c r="P42" s="4024"/>
      <c r="Q42" s="4027"/>
      <c r="R42" s="4027"/>
      <c r="S42" s="4028"/>
      <c r="T42" s="4028"/>
      <c r="U42" s="4029"/>
      <c r="V42" s="4029"/>
      <c r="W42" s="4019"/>
      <c r="X42" s="4019"/>
      <c r="Y42" s="4019"/>
      <c r="Z42" s="4019"/>
      <c r="AA42" s="3995"/>
      <c r="AB42" s="3998"/>
      <c r="AC42" s="3998"/>
      <c r="AD42" s="3998"/>
      <c r="AE42" s="3998"/>
      <c r="AF42" s="3998"/>
      <c r="AG42" s="3998"/>
    </row>
    <row r="43" ht="12.75" customHeight="1">
      <c r="A43" s="4020"/>
      <c r="D43" s="4003" t="str">
        <f t="shared" si="7"/>
        <v>-</v>
      </c>
      <c r="H43" s="4021"/>
      <c r="I43" s="4022"/>
      <c r="J43" s="4023"/>
      <c r="K43" s="4024"/>
      <c r="L43" s="4024"/>
      <c r="M43" s="4025"/>
      <c r="N43" s="4024"/>
      <c r="O43" s="4026"/>
      <c r="P43" s="4024"/>
      <c r="Q43" s="4027"/>
      <c r="R43" s="4027"/>
      <c r="S43" s="4028"/>
      <c r="T43" s="4028"/>
      <c r="U43" s="4029"/>
      <c r="V43" s="4029"/>
      <c r="W43" s="4019"/>
      <c r="X43" s="4019"/>
      <c r="Y43" s="4019"/>
      <c r="Z43" s="4019"/>
      <c r="AA43" s="3995"/>
      <c r="AB43" s="3998"/>
      <c r="AC43" s="3998"/>
      <c r="AD43" s="3998"/>
      <c r="AE43" s="3998"/>
      <c r="AF43" s="3998"/>
      <c r="AG43" s="3998"/>
    </row>
    <row r="44" ht="12.75" customHeight="1">
      <c r="A44" s="4020"/>
      <c r="D44" s="4003" t="str">
        <f t="shared" si="8"/>
        <v>-</v>
      </c>
      <c r="H44" s="4021"/>
      <c r="I44" s="4022"/>
      <c r="J44" s="4023"/>
      <c r="K44" s="4024"/>
      <c r="L44" s="4024"/>
      <c r="M44" s="4025"/>
      <c r="N44" s="4024"/>
      <c r="O44" s="4026"/>
      <c r="P44" s="4024"/>
      <c r="Q44" s="4027"/>
      <c r="R44" s="4027"/>
      <c r="S44" s="4028"/>
      <c r="T44" s="4028"/>
      <c r="U44" s="4029"/>
      <c r="V44" s="4029"/>
      <c r="W44" s="4019"/>
      <c r="X44" s="4019"/>
      <c r="Y44" s="4019"/>
      <c r="Z44" s="4019"/>
      <c r="AA44" s="3995"/>
      <c r="AB44" s="3998"/>
      <c r="AC44" s="3998"/>
      <c r="AD44" s="3998"/>
      <c r="AE44" s="3998"/>
      <c r="AF44" s="3998"/>
      <c r="AG44" s="3998"/>
    </row>
    <row r="45" ht="12.75" customHeight="1">
      <c r="A45" s="4020"/>
      <c r="D45" s="4003" t="str">
        <f t="shared" si="9"/>
        <v>-</v>
      </c>
      <c r="H45" s="4021"/>
      <c r="I45" s="4022"/>
      <c r="J45" s="4023"/>
      <c r="K45" s="4024"/>
      <c r="L45" s="4024"/>
      <c r="M45" s="4025"/>
      <c r="N45" s="4024"/>
      <c r="O45" s="4026"/>
      <c r="P45" s="4024"/>
      <c r="Q45" s="4027"/>
      <c r="R45" s="4027"/>
      <c r="S45" s="4028"/>
      <c r="T45" s="4028"/>
      <c r="U45" s="4029"/>
      <c r="V45" s="4029"/>
      <c r="W45" s="4019"/>
      <c r="X45" s="4019"/>
      <c r="Y45" s="4019"/>
      <c r="Z45" s="4019"/>
      <c r="AA45" s="3995"/>
      <c r="AB45" s="3998"/>
      <c r="AC45" s="3998"/>
      <c r="AD45" s="3998"/>
      <c r="AE45" s="3998"/>
      <c r="AF45" s="3998"/>
      <c r="AG45" s="3998"/>
    </row>
    <row r="46" ht="14.25" customHeight="1">
      <c r="H46" s="4030"/>
      <c r="I46" s="4031"/>
      <c r="J46" s="4032"/>
      <c r="K46" s="4032"/>
      <c r="L46" s="4033"/>
      <c r="M46" s="4033"/>
      <c r="N46" s="4033"/>
      <c r="O46" s="4034"/>
      <c r="P46" s="4035"/>
      <c r="Q46" s="4031"/>
      <c r="R46" s="4041"/>
      <c r="S46" s="4038"/>
      <c r="T46" s="4038"/>
      <c r="U46" s="4039"/>
      <c r="V46" s="4039"/>
      <c r="W46" s="4042"/>
      <c r="X46" s="4042"/>
      <c r="Y46" s="4042"/>
      <c r="Z46" s="4042"/>
      <c r="AA46" s="3995"/>
      <c r="AB46" s="3998"/>
      <c r="AC46" s="3998"/>
      <c r="AD46" s="3998"/>
      <c r="AE46" s="3998"/>
      <c r="AF46" s="3998"/>
      <c r="AG46" s="3998"/>
    </row>
    <row r="47" ht="12.75" customHeight="1">
      <c r="A47" s="4003" t="b">
        <f t="shared" si="0"/>
        <v>0</v>
      </c>
      <c r="B47" s="4003" t="str">
        <f t="shared" si="1"/>
        <v>-</v>
      </c>
      <c r="C47" s="4003" t="str">
        <f t="shared" si="2"/>
        <v>-</v>
      </c>
      <c r="D47" s="4003" t="str">
        <f t="shared" si="3"/>
        <v>-</v>
      </c>
      <c r="E47" s="4003" t="str">
        <f t="shared" si="4"/>
        <v>-</v>
      </c>
      <c r="H47" s="4010" t="s">
        <v>3406</v>
      </c>
      <c r="I47" s="4011"/>
      <c r="J47" s="4012"/>
      <c r="K47" s="4013"/>
      <c r="L47" s="4013"/>
      <c r="M47" s="4014"/>
      <c r="N47" s="4013"/>
      <c r="O47" s="4015"/>
      <c r="P47" s="4013"/>
      <c r="Q47" s="4016"/>
      <c r="R47" s="4016"/>
      <c r="S47" s="4017"/>
      <c r="T47" s="4017"/>
      <c r="U47" s="4018"/>
      <c r="V47" s="4018"/>
      <c r="W47" s="4019"/>
      <c r="X47" s="4019"/>
      <c r="Y47" s="4019"/>
      <c r="Z47" s="4019"/>
      <c r="AA47" s="3995"/>
      <c r="AB47" s="3998"/>
      <c r="AC47" s="3998"/>
      <c r="AD47" s="3998"/>
      <c r="AE47" s="3998"/>
      <c r="AF47" s="3998"/>
      <c r="AG47" s="3998"/>
    </row>
    <row r="48" ht="14.25" customHeight="1">
      <c r="A48" s="4020"/>
      <c r="D48" s="4003" t="str">
        <f t="shared" si="5"/>
        <v>-</v>
      </c>
      <c r="H48" s="4021" t="str">
        <f t="shared" si="6"/>
        <v>-</v>
      </c>
      <c r="I48" s="4022"/>
      <c r="J48" s="4023"/>
      <c r="K48" s="4024"/>
      <c r="L48" s="4024"/>
      <c r="M48" s="4025"/>
      <c r="N48" s="4024"/>
      <c r="O48" s="4026"/>
      <c r="P48" s="4024"/>
      <c r="Q48" s="4027"/>
      <c r="R48" s="4027"/>
      <c r="S48" s="4028"/>
      <c r="T48" s="4028"/>
      <c r="U48" s="4029"/>
      <c r="V48" s="4029"/>
      <c r="W48" s="4019"/>
      <c r="X48" s="4019"/>
      <c r="Y48" s="4019"/>
      <c r="Z48" s="4019"/>
      <c r="AA48" s="3995"/>
      <c r="AB48" s="3998"/>
      <c r="AC48" s="3998"/>
      <c r="AD48" s="3998"/>
      <c r="AE48" s="3998"/>
      <c r="AF48" s="3998"/>
      <c r="AG48" s="3998"/>
    </row>
    <row r="49" ht="12.75" customHeight="1">
      <c r="A49" s="4020"/>
      <c r="D49" s="4003" t="str">
        <f t="shared" si="7"/>
        <v>-</v>
      </c>
      <c r="H49" s="4021"/>
      <c r="I49" s="4022"/>
      <c r="J49" s="4023"/>
      <c r="K49" s="4024"/>
      <c r="L49" s="4024"/>
      <c r="M49" s="4025"/>
      <c r="N49" s="4024"/>
      <c r="O49" s="4026"/>
      <c r="P49" s="4024"/>
      <c r="Q49" s="4027"/>
      <c r="R49" s="4027"/>
      <c r="S49" s="4028"/>
      <c r="T49" s="4028"/>
      <c r="U49" s="4029"/>
      <c r="V49" s="4029"/>
      <c r="W49" s="4019"/>
      <c r="X49" s="4019"/>
      <c r="Y49" s="4019"/>
      <c r="Z49" s="4019"/>
      <c r="AA49" s="3995"/>
      <c r="AB49" s="3998"/>
      <c r="AC49" s="3998"/>
      <c r="AD49" s="3998"/>
      <c r="AE49" s="3998"/>
      <c r="AF49" s="3998"/>
      <c r="AG49" s="3998"/>
    </row>
    <row r="50" ht="12.75" customHeight="1">
      <c r="A50" s="4020"/>
      <c r="D50" s="4003" t="str">
        <f t="shared" si="8"/>
        <v>-</v>
      </c>
      <c r="H50" s="4021"/>
      <c r="I50" s="4022"/>
      <c r="J50" s="4023"/>
      <c r="K50" s="4024"/>
      <c r="L50" s="4024"/>
      <c r="M50" s="4025"/>
      <c r="N50" s="4024"/>
      <c r="O50" s="4026"/>
      <c r="P50" s="4024"/>
      <c r="Q50" s="4027"/>
      <c r="R50" s="4027"/>
      <c r="S50" s="4028"/>
      <c r="T50" s="4028"/>
      <c r="U50" s="4029"/>
      <c r="V50" s="4029"/>
      <c r="W50" s="4019"/>
      <c r="X50" s="4019"/>
      <c r="Y50" s="4019"/>
      <c r="Z50" s="4019"/>
      <c r="AA50" s="3995"/>
      <c r="AB50" s="3998"/>
      <c r="AC50" s="3998"/>
      <c r="AD50" s="3998"/>
      <c r="AE50" s="3998"/>
      <c r="AF50" s="3998"/>
      <c r="AG50" s="3998"/>
    </row>
    <row r="51" ht="12.75" customHeight="1">
      <c r="A51" s="4020"/>
      <c r="D51" s="4003" t="str">
        <f t="shared" si="9"/>
        <v>-</v>
      </c>
      <c r="H51" s="4021"/>
      <c r="I51" s="4022"/>
      <c r="J51" s="4023"/>
      <c r="K51" s="4024"/>
      <c r="L51" s="4024"/>
      <c r="M51" s="4025"/>
      <c r="N51" s="4024"/>
      <c r="O51" s="4026"/>
      <c r="P51" s="4024"/>
      <c r="Q51" s="4027"/>
      <c r="R51" s="4027"/>
      <c r="S51" s="4028"/>
      <c r="T51" s="4028"/>
      <c r="U51" s="4029"/>
      <c r="V51" s="4029"/>
      <c r="W51" s="4019"/>
      <c r="X51" s="4019"/>
      <c r="Y51" s="4019"/>
      <c r="Z51" s="4019"/>
      <c r="AA51" s="3995"/>
      <c r="AB51" s="3998"/>
      <c r="AC51" s="3998"/>
      <c r="AD51" s="3998"/>
      <c r="AE51" s="3998"/>
      <c r="AF51" s="3998"/>
      <c r="AG51" s="3998"/>
    </row>
    <row r="52" ht="14.25" customHeight="1">
      <c r="H52" s="4030"/>
      <c r="I52" s="4031"/>
      <c r="J52" s="4032"/>
      <c r="K52" s="4032"/>
      <c r="L52" s="4033"/>
      <c r="M52" s="4033"/>
      <c r="N52" s="4033"/>
      <c r="O52" s="4034"/>
      <c r="P52" s="4035"/>
      <c r="Q52" s="4031"/>
      <c r="R52" s="4041"/>
      <c r="S52" s="4038"/>
      <c r="T52" s="4038"/>
      <c r="U52" s="4039"/>
      <c r="V52" s="4039"/>
      <c r="W52" s="4042"/>
      <c r="X52" s="4042"/>
      <c r="Y52" s="4042"/>
      <c r="Z52" s="4042"/>
      <c r="AA52" s="3995"/>
      <c r="AB52" s="3998"/>
      <c r="AC52" s="3998"/>
      <c r="AD52" s="3998"/>
      <c r="AE52" s="3998"/>
      <c r="AF52" s="3998"/>
      <c r="AG52" s="3998"/>
    </row>
    <row r="53" ht="12.75" customHeight="1">
      <c r="A53" s="4003" t="b">
        <f t="shared" si="0"/>
        <v>0</v>
      </c>
      <c r="B53" s="4003" t="str">
        <f t="shared" si="1"/>
        <v>-</v>
      </c>
      <c r="C53" s="4003" t="str">
        <f t="shared" si="2"/>
        <v>-</v>
      </c>
      <c r="D53" s="4003" t="str">
        <f t="shared" si="3"/>
        <v>-</v>
      </c>
      <c r="E53" s="4003" t="str">
        <f t="shared" si="4"/>
        <v>-</v>
      </c>
      <c r="H53" s="4010" t="s">
        <v>3407</v>
      </c>
      <c r="I53" s="4011"/>
      <c r="J53" s="4012"/>
      <c r="K53" s="4013"/>
      <c r="L53" s="4013"/>
      <c r="M53" s="4014"/>
      <c r="N53" s="4013"/>
      <c r="O53" s="4015"/>
      <c r="P53" s="4013"/>
      <c r="Q53" s="4016"/>
      <c r="R53" s="4016"/>
      <c r="S53" s="4017"/>
      <c r="T53" s="4017"/>
      <c r="U53" s="4018"/>
      <c r="V53" s="4018"/>
      <c r="W53" s="4019"/>
      <c r="X53" s="4019"/>
      <c r="Y53" s="4019"/>
      <c r="Z53" s="4019"/>
      <c r="AA53" s="3995"/>
      <c r="AB53" s="3998"/>
      <c r="AC53" s="3998"/>
      <c r="AD53" s="3998"/>
      <c r="AE53" s="3998"/>
      <c r="AF53" s="3998"/>
      <c r="AG53" s="3998"/>
    </row>
    <row r="54" ht="14.25" customHeight="1">
      <c r="A54" s="4020"/>
      <c r="D54" s="4003" t="str">
        <f t="shared" si="5"/>
        <v>-</v>
      </c>
      <c r="H54" s="4021" t="str">
        <f t="shared" si="6"/>
        <v>-</v>
      </c>
      <c r="I54" s="4022"/>
      <c r="J54" s="4023"/>
      <c r="K54" s="4024"/>
      <c r="L54" s="4024"/>
      <c r="M54" s="4025"/>
      <c r="N54" s="4024"/>
      <c r="O54" s="4026"/>
      <c r="P54" s="4024"/>
      <c r="Q54" s="4027"/>
      <c r="R54" s="4027"/>
      <c r="S54" s="4028"/>
      <c r="T54" s="4028"/>
      <c r="U54" s="4029"/>
      <c r="V54" s="4029"/>
      <c r="W54" s="4019"/>
      <c r="X54" s="4019"/>
      <c r="Y54" s="4019"/>
      <c r="Z54" s="4019"/>
      <c r="AA54" s="3995"/>
      <c r="AB54" s="3998"/>
      <c r="AC54" s="3998"/>
      <c r="AD54" s="3998"/>
      <c r="AE54" s="3998"/>
      <c r="AF54" s="3998"/>
      <c r="AG54" s="3998"/>
    </row>
    <row r="55" ht="12.75" customHeight="1">
      <c r="A55" s="4020"/>
      <c r="D55" s="4003" t="str">
        <f t="shared" si="7"/>
        <v>-</v>
      </c>
      <c r="H55" s="4021"/>
      <c r="I55" s="4022"/>
      <c r="J55" s="4023"/>
      <c r="K55" s="4024"/>
      <c r="L55" s="4024"/>
      <c r="M55" s="4025"/>
      <c r="N55" s="4024"/>
      <c r="O55" s="4026"/>
      <c r="P55" s="4024"/>
      <c r="Q55" s="4027"/>
      <c r="R55" s="4027"/>
      <c r="S55" s="4028"/>
      <c r="T55" s="4028"/>
      <c r="U55" s="4029"/>
      <c r="V55" s="4029"/>
      <c r="W55" s="4019"/>
      <c r="X55" s="4019"/>
      <c r="Y55" s="4019"/>
      <c r="Z55" s="4019"/>
      <c r="AA55" s="3995"/>
      <c r="AB55" s="3998"/>
      <c r="AC55" s="3998"/>
      <c r="AD55" s="3998"/>
      <c r="AE55" s="3998"/>
      <c r="AF55" s="3998"/>
      <c r="AG55" s="3998"/>
    </row>
    <row r="56" ht="12.75" customHeight="1">
      <c r="A56" s="4020"/>
      <c r="D56" s="4003" t="str">
        <f t="shared" si="8"/>
        <v>-</v>
      </c>
      <c r="H56" s="4021"/>
      <c r="I56" s="4022"/>
      <c r="J56" s="4023"/>
      <c r="K56" s="4024"/>
      <c r="L56" s="4024"/>
      <c r="M56" s="4025"/>
      <c r="N56" s="4024"/>
      <c r="O56" s="4026"/>
      <c r="P56" s="4024"/>
      <c r="Q56" s="4027"/>
      <c r="R56" s="4027"/>
      <c r="S56" s="4028"/>
      <c r="T56" s="4028"/>
      <c r="U56" s="4029"/>
      <c r="V56" s="4029"/>
      <c r="W56" s="4019"/>
      <c r="X56" s="4019"/>
      <c r="Y56" s="4019"/>
      <c r="Z56" s="4019"/>
      <c r="AA56" s="3995"/>
      <c r="AB56" s="3998"/>
      <c r="AC56" s="3998"/>
      <c r="AD56" s="3998"/>
      <c r="AE56" s="3998"/>
      <c r="AF56" s="3998"/>
      <c r="AG56" s="3998"/>
    </row>
    <row r="57" ht="12.75" customHeight="1">
      <c r="A57" s="4020"/>
      <c r="D57" s="4003" t="str">
        <f t="shared" si="9"/>
        <v>-</v>
      </c>
      <c r="H57" s="4021"/>
      <c r="I57" s="4022"/>
      <c r="J57" s="4023"/>
      <c r="K57" s="4024"/>
      <c r="L57" s="4024"/>
      <c r="M57" s="4025"/>
      <c r="N57" s="4024"/>
      <c r="O57" s="4026"/>
      <c r="P57" s="4024"/>
      <c r="Q57" s="4027"/>
      <c r="R57" s="4027"/>
      <c r="S57" s="4028"/>
      <c r="T57" s="4028"/>
      <c r="U57" s="4029"/>
      <c r="V57" s="4029"/>
      <c r="W57" s="4019"/>
      <c r="X57" s="4019"/>
      <c r="Y57" s="4019"/>
      <c r="Z57" s="4019"/>
      <c r="AA57" s="3995"/>
      <c r="AB57" s="3998"/>
      <c r="AC57" s="3998"/>
      <c r="AD57" s="3998"/>
      <c r="AE57" s="3998"/>
      <c r="AF57" s="3998"/>
      <c r="AG57" s="3998"/>
    </row>
    <row r="58" ht="14.25" customHeight="1">
      <c r="H58" s="4030"/>
      <c r="I58" s="4031"/>
      <c r="J58" s="4032"/>
      <c r="K58" s="4032"/>
      <c r="L58" s="4033"/>
      <c r="M58" s="4033"/>
      <c r="N58" s="4033"/>
      <c r="O58" s="4034"/>
      <c r="P58" s="4035"/>
      <c r="Q58" s="4031"/>
      <c r="R58" s="4041"/>
      <c r="S58" s="4038"/>
      <c r="T58" s="4038"/>
      <c r="U58" s="4039"/>
      <c r="V58" s="4039"/>
      <c r="W58" s="4042"/>
      <c r="X58" s="4042"/>
      <c r="Y58" s="4042"/>
      <c r="Z58" s="4042"/>
      <c r="AA58" s="3995"/>
      <c r="AB58" s="3998"/>
      <c r="AC58" s="3998"/>
      <c r="AD58" s="3998"/>
      <c r="AE58" s="3998"/>
      <c r="AF58" s="3998"/>
      <c r="AG58" s="3998"/>
    </row>
    <row r="59" ht="12.75" customHeight="1">
      <c r="A59" s="4003" t="b">
        <f t="shared" si="0"/>
        <v>0</v>
      </c>
      <c r="B59" s="4003" t="str">
        <f t="shared" si="1"/>
        <v>-</v>
      </c>
      <c r="C59" s="4003" t="str">
        <f t="shared" si="2"/>
        <v>-</v>
      </c>
      <c r="D59" s="4003" t="str">
        <f t="shared" si="3"/>
        <v>-</v>
      </c>
      <c r="E59" s="4003" t="str">
        <f t="shared" si="4"/>
        <v>-</v>
      </c>
      <c r="H59" s="4010" t="s">
        <v>3408</v>
      </c>
      <c r="I59" s="4011"/>
      <c r="J59" s="4012"/>
      <c r="K59" s="4013"/>
      <c r="L59" s="4013"/>
      <c r="M59" s="4014"/>
      <c r="N59" s="4013"/>
      <c r="O59" s="4015"/>
      <c r="P59" s="4013"/>
      <c r="Q59" s="4016"/>
      <c r="R59" s="4016"/>
      <c r="S59" s="4017"/>
      <c r="T59" s="4017"/>
      <c r="U59" s="4018"/>
      <c r="V59" s="4018"/>
      <c r="W59" s="4019"/>
      <c r="X59" s="4019"/>
      <c r="Y59" s="4019"/>
      <c r="Z59" s="4019"/>
      <c r="AA59" s="3995"/>
      <c r="AB59" s="3998"/>
      <c r="AC59" s="3998"/>
      <c r="AD59" s="3998"/>
      <c r="AE59" s="3998"/>
      <c r="AF59" s="3998"/>
      <c r="AG59" s="3998"/>
    </row>
    <row r="60" ht="14.25" customHeight="1">
      <c r="A60" s="4020"/>
      <c r="D60" s="4003" t="str">
        <f t="shared" si="5"/>
        <v>-</v>
      </c>
      <c r="H60" s="4021" t="str">
        <f t="shared" si="6"/>
        <v>-</v>
      </c>
      <c r="I60" s="4022"/>
      <c r="J60" s="4023"/>
      <c r="K60" s="4024"/>
      <c r="L60" s="4024"/>
      <c r="M60" s="4025"/>
      <c r="N60" s="4024"/>
      <c r="O60" s="4026"/>
      <c r="P60" s="4024"/>
      <c r="Q60" s="4027"/>
      <c r="R60" s="4027"/>
      <c r="S60" s="4028"/>
      <c r="T60" s="4028"/>
      <c r="U60" s="4029"/>
      <c r="V60" s="4029"/>
      <c r="W60" s="4019"/>
      <c r="X60" s="4019"/>
      <c r="Y60" s="4019"/>
      <c r="Z60" s="4019"/>
      <c r="AA60" s="3995"/>
      <c r="AB60" s="3998"/>
      <c r="AC60" s="3998"/>
      <c r="AD60" s="3998"/>
      <c r="AE60" s="3998"/>
      <c r="AF60" s="3998"/>
      <c r="AG60" s="3998"/>
    </row>
    <row r="61" ht="12.75" customHeight="1">
      <c r="A61" s="4020"/>
      <c r="D61" s="4003" t="str">
        <f t="shared" si="7"/>
        <v>-</v>
      </c>
      <c r="H61" s="4021"/>
      <c r="I61" s="4022"/>
      <c r="J61" s="4023"/>
      <c r="K61" s="4024"/>
      <c r="L61" s="4024"/>
      <c r="M61" s="4025"/>
      <c r="N61" s="4024"/>
      <c r="O61" s="4026"/>
      <c r="P61" s="4024"/>
      <c r="Q61" s="4027"/>
      <c r="R61" s="4027"/>
      <c r="S61" s="4028"/>
      <c r="T61" s="4028"/>
      <c r="U61" s="4029"/>
      <c r="V61" s="4029"/>
      <c r="W61" s="4019"/>
      <c r="X61" s="4019"/>
      <c r="Y61" s="4019"/>
      <c r="Z61" s="4019"/>
      <c r="AA61" s="3995"/>
      <c r="AB61" s="3998"/>
      <c r="AC61" s="3998"/>
      <c r="AD61" s="3998"/>
      <c r="AE61" s="3998"/>
      <c r="AF61" s="3998"/>
      <c r="AG61" s="3998"/>
    </row>
    <row r="62" ht="12.75" customHeight="1">
      <c r="A62" s="4020"/>
      <c r="D62" s="4003" t="str">
        <f t="shared" si="8"/>
        <v>-</v>
      </c>
      <c r="H62" s="4021"/>
      <c r="I62" s="4022"/>
      <c r="J62" s="4023"/>
      <c r="K62" s="4024"/>
      <c r="L62" s="4024"/>
      <c r="M62" s="4025"/>
      <c r="N62" s="4024"/>
      <c r="O62" s="4026"/>
      <c r="P62" s="4024"/>
      <c r="Q62" s="4027"/>
      <c r="R62" s="4027"/>
      <c r="S62" s="4028"/>
      <c r="T62" s="4028"/>
      <c r="U62" s="4029"/>
      <c r="V62" s="4029"/>
      <c r="W62" s="4019"/>
      <c r="X62" s="4019"/>
      <c r="Y62" s="4019"/>
      <c r="Z62" s="4019"/>
      <c r="AA62" s="3995"/>
      <c r="AB62" s="3998"/>
      <c r="AC62" s="3998"/>
      <c r="AD62" s="3998"/>
      <c r="AE62" s="3998"/>
      <c r="AF62" s="3998"/>
      <c r="AG62" s="3998"/>
    </row>
    <row r="63" ht="12.75" customHeight="1">
      <c r="A63" s="4020"/>
      <c r="D63" s="4003" t="str">
        <f t="shared" si="9"/>
        <v>-</v>
      </c>
      <c r="H63" s="4021"/>
      <c r="I63" s="4022"/>
      <c r="J63" s="4023"/>
      <c r="K63" s="4024"/>
      <c r="L63" s="4024"/>
      <c r="M63" s="4025"/>
      <c r="N63" s="4024"/>
      <c r="O63" s="4026"/>
      <c r="P63" s="4024"/>
      <c r="Q63" s="4027"/>
      <c r="R63" s="4027"/>
      <c r="S63" s="4028"/>
      <c r="T63" s="4028"/>
      <c r="U63" s="4029"/>
      <c r="V63" s="4029"/>
      <c r="W63" s="4019"/>
      <c r="X63" s="4019"/>
      <c r="Y63" s="4019"/>
      <c r="Z63" s="4019"/>
      <c r="AA63" s="3995"/>
      <c r="AB63" s="3998"/>
      <c r="AC63" s="3998"/>
      <c r="AD63" s="3998"/>
      <c r="AE63" s="3998"/>
      <c r="AF63" s="3998"/>
      <c r="AG63" s="3998"/>
    </row>
    <row r="64" ht="14.25" customHeight="1">
      <c r="H64" s="4030"/>
      <c r="I64" s="4031"/>
      <c r="J64" s="4032"/>
      <c r="K64" s="4032"/>
      <c r="L64" s="4033"/>
      <c r="M64" s="4033"/>
      <c r="N64" s="4033"/>
      <c r="O64" s="4034"/>
      <c r="P64" s="4035"/>
      <c r="Q64" s="4031"/>
      <c r="R64" s="4041"/>
      <c r="S64" s="4038"/>
      <c r="T64" s="4038"/>
      <c r="U64" s="4039"/>
      <c r="V64" s="4039"/>
      <c r="W64" s="4042"/>
      <c r="X64" s="4042"/>
      <c r="Y64" s="4042"/>
      <c r="Z64" s="4042"/>
      <c r="AA64" s="3995"/>
      <c r="AB64" s="3998"/>
      <c r="AC64" s="3998"/>
      <c r="AD64" s="3998"/>
      <c r="AE64" s="3998"/>
      <c r="AF64" s="3998"/>
      <c r="AG64" s="3998"/>
    </row>
    <row r="65" ht="14.25" customHeight="1" s="4043" customFormat="1">
      <c r="A65" s="4004"/>
      <c r="B65" s="4004"/>
      <c r="C65" s="4004"/>
      <c r="D65" s="4004"/>
      <c r="E65" s="4004"/>
      <c r="F65" s="4004"/>
      <c r="H65" s="4003"/>
      <c r="W65" s="4044"/>
      <c r="X65" s="4044"/>
      <c r="Y65" s="4044"/>
      <c r="Z65" s="4044"/>
    </row>
    <row r="66" ht="12.75" customHeight="1" s="4043" customFormat="1">
      <c r="A66" s="4004"/>
      <c r="B66" s="4004"/>
      <c r="C66" s="4004"/>
      <c r="D66" s="4004"/>
      <c r="E66" s="4004"/>
      <c r="F66" s="4004"/>
      <c r="H66" s="4003"/>
      <c r="W66" s="4044"/>
      <c r="X66" s="4044"/>
      <c r="Y66" s="4044"/>
      <c r="Z66" s="4044"/>
    </row>
    <row r="67" ht="12.75" customHeight="1" s="4043" customFormat="1" hidden="1">
      <c r="A67" s="4004"/>
      <c r="B67" s="4004"/>
      <c r="C67" s="4004"/>
      <c r="D67" s="4004"/>
      <c r="E67" s="4004"/>
      <c r="F67" s="4004"/>
      <c r="H67" s="4003"/>
      <c r="W67" s="4044"/>
      <c r="X67" s="4044"/>
      <c r="Y67" s="4044"/>
      <c r="Z67" s="4044"/>
    </row>
  </sheetData>
  <mergeCells>
    <mergeCell ref="L52:O52"/>
    <mergeCell ref="P41:P45"/>
    <mergeCell ref="L46:O46"/>
    <mergeCell ref="I47:I51"/>
    <mergeCell ref="J47:J51"/>
    <mergeCell ref="K47:K51"/>
    <mergeCell ref="L47:L51"/>
    <mergeCell ref="M47:M51"/>
    <mergeCell ref="N47:N51"/>
    <mergeCell ref="O47:O51"/>
    <mergeCell ref="P47:P51"/>
    <mergeCell ref="L40:O40"/>
    <mergeCell ref="I41:I45"/>
    <mergeCell ref="J41:J45"/>
    <mergeCell ref="K41:K45"/>
    <mergeCell ref="L41:L45"/>
    <mergeCell ref="M41:M45"/>
    <mergeCell ref="N41:N45"/>
    <mergeCell ref="O41:O45"/>
    <mergeCell ref="L35:L39"/>
    <mergeCell ref="M35:M39"/>
    <mergeCell ref="N35:N39"/>
    <mergeCell ref="O35:O39"/>
    <mergeCell ref="P35:P39"/>
    <mergeCell ref="N53:N57"/>
    <mergeCell ref="O53:O57"/>
    <mergeCell ref="P53:P57"/>
    <mergeCell ref="L58:O58"/>
    <mergeCell ref="I29:I33"/>
    <mergeCell ref="J29:J33"/>
    <mergeCell ref="K29:K33"/>
    <mergeCell ref="L29:L33"/>
    <mergeCell ref="M29:M33"/>
    <mergeCell ref="N29:N33"/>
    <mergeCell ref="O29:O33"/>
    <mergeCell ref="P29:P33"/>
    <mergeCell ref="L34:O34"/>
    <mergeCell ref="I35:I39"/>
    <mergeCell ref="J35:J39"/>
    <mergeCell ref="K35:K39"/>
    <mergeCell ref="O5:O9"/>
    <mergeCell ref="P5:P9"/>
    <mergeCell ref="L10:O10"/>
    <mergeCell ref="I11:I15"/>
    <mergeCell ref="J11:J15"/>
    <mergeCell ref="K11:K15"/>
    <mergeCell ref="L11:L15"/>
    <mergeCell ref="M11:M15"/>
    <mergeCell ref="N11:N15"/>
    <mergeCell ref="O11:O15"/>
    <mergeCell ref="I5:I9"/>
    <mergeCell ref="J5:J9"/>
    <mergeCell ref="K5:K9"/>
    <mergeCell ref="L5:L9"/>
    <mergeCell ref="M5:M9"/>
    <mergeCell ref="N5:N9"/>
    <mergeCell ref="P11:P15"/>
    <mergeCell ref="L16:O16"/>
    <mergeCell ref="I17:I21"/>
    <mergeCell ref="J17:J21"/>
    <mergeCell ref="K17:K21"/>
    <mergeCell ref="L17:L21"/>
    <mergeCell ref="M17:M21"/>
    <mergeCell ref="N17:N21"/>
    <mergeCell ref="O17:O21"/>
    <mergeCell ref="P17:P21"/>
    <mergeCell ref="L22:O22"/>
    <mergeCell ref="I23:I27"/>
    <mergeCell ref="J23:J27"/>
    <mergeCell ref="K23:K27"/>
    <mergeCell ref="L23:L27"/>
    <mergeCell ref="M23:M27"/>
    <mergeCell ref="N23:N27"/>
    <mergeCell ref="O23:O27"/>
    <mergeCell ref="L64:O64"/>
    <mergeCell ref="P23:P27"/>
    <mergeCell ref="L28:O28"/>
    <mergeCell ref="I59:I63"/>
    <mergeCell ref="J59:J63"/>
    <mergeCell ref="K59:K63"/>
    <mergeCell ref="L59:L63"/>
    <mergeCell ref="M59:M63"/>
    <mergeCell ref="N59:N63"/>
    <mergeCell ref="O59:O63"/>
    <mergeCell ref="P59:P63"/>
    <mergeCell ref="I53:I57"/>
    <mergeCell ref="J53:J57"/>
    <mergeCell ref="K53:K57"/>
    <mergeCell ref="L53:L57"/>
    <mergeCell ref="M53:M57"/>
  </mergeCells>
  <conditionalFormatting sqref="H6">
    <cfRule type="cellIs" dxfId="62" priority="22" operator="equal" text="null">
      <formula>"Incomplete"</formula>
    </cfRule>
  </conditionalFormatting>
  <conditionalFormatting sqref="H6">
    <cfRule type="cellIs" dxfId="63" priority="24" operator="equal" text="null">
      <formula>"Complete"</formula>
    </cfRule>
  </conditionalFormatting>
  <conditionalFormatting sqref="H12">
    <cfRule type="cellIs" dxfId="62" priority="18" operator="equal" text="null">
      <formula>"Incomplete"</formula>
    </cfRule>
  </conditionalFormatting>
  <conditionalFormatting sqref="H12">
    <cfRule type="cellIs" dxfId="63" priority="19" operator="equal" text="null">
      <formula>"Complete"</formula>
    </cfRule>
  </conditionalFormatting>
  <conditionalFormatting sqref="H18">
    <cfRule type="cellIs" dxfId="62" priority="16" operator="equal" text="null">
      <formula>"Incomplete"</formula>
    </cfRule>
  </conditionalFormatting>
  <conditionalFormatting sqref="H18">
    <cfRule type="cellIs" dxfId="63" priority="17" operator="equal" text="null">
      <formula>"Complete"</formula>
    </cfRule>
  </conditionalFormatting>
  <conditionalFormatting sqref="H24">
    <cfRule type="cellIs" dxfId="62" priority="14" operator="equal" text="null">
      <formula>"Incomplete"</formula>
    </cfRule>
  </conditionalFormatting>
  <conditionalFormatting sqref="H24">
    <cfRule type="cellIs" dxfId="63" priority="15" operator="equal" text="null">
      <formula>"Complete"</formula>
    </cfRule>
  </conditionalFormatting>
  <conditionalFormatting sqref="H30">
    <cfRule type="cellIs" dxfId="62" priority="12" operator="equal" text="null">
      <formula>"Incomplete"</formula>
    </cfRule>
  </conditionalFormatting>
  <conditionalFormatting sqref="H30">
    <cfRule type="cellIs" dxfId="63" priority="13" operator="equal" text="null">
      <formula>"Complete"</formula>
    </cfRule>
  </conditionalFormatting>
  <conditionalFormatting sqref="H36">
    <cfRule type="cellIs" dxfId="62" priority="10" operator="equal" text="null">
      <formula>"Incomplete"</formula>
    </cfRule>
  </conditionalFormatting>
  <conditionalFormatting sqref="H36">
    <cfRule type="cellIs" dxfId="63" priority="11" operator="equal" text="null">
      <formula>"Complete"</formula>
    </cfRule>
  </conditionalFormatting>
  <conditionalFormatting sqref="H42">
    <cfRule type="cellIs" dxfId="62" priority="8" operator="equal" text="null">
      <formula>"Incomplete"</formula>
    </cfRule>
  </conditionalFormatting>
  <conditionalFormatting sqref="H42">
    <cfRule type="cellIs" dxfId="63" priority="9" operator="equal" text="null">
      <formula>"Complete"</formula>
    </cfRule>
  </conditionalFormatting>
  <conditionalFormatting sqref="H48">
    <cfRule type="cellIs" dxfId="62" priority="6" operator="equal" text="null">
      <formula>"Incomplete"</formula>
    </cfRule>
  </conditionalFormatting>
  <conditionalFormatting sqref="H48">
    <cfRule type="cellIs" dxfId="63" priority="7" operator="equal" text="null">
      <formula>"Complete"</formula>
    </cfRule>
  </conditionalFormatting>
  <conditionalFormatting sqref="H54">
    <cfRule type="cellIs" dxfId="62" priority="4" operator="equal" text="null">
      <formula>"Incomplete"</formula>
    </cfRule>
  </conditionalFormatting>
  <conditionalFormatting sqref="H54">
    <cfRule type="cellIs" dxfId="63" priority="5" operator="equal" text="null">
      <formula>"Complete"</formula>
    </cfRule>
  </conditionalFormatting>
  <conditionalFormatting sqref="H60">
    <cfRule type="cellIs" dxfId="62" priority="2" operator="equal" text="null">
      <formula>"Incomplete"</formula>
    </cfRule>
  </conditionalFormatting>
  <conditionalFormatting sqref="H60">
    <cfRule type="cellIs" dxfId="63" priority="3" operator="equal" text="null">
      <formula>"Complete"</formula>
    </cfRule>
  </conditionalFormatting>
  <conditionalFormatting sqref="R5:R64">
    <cfRule type="containsText" dxfId="64" priority="1" operator="containsText" text=".">
      <formula>NOT(ISERROR(SEARCH(".",R5)))</formula>
    </cfRule>
  </conditionalFormatting>
  <dataValidations count="11">
    <dataValidation allowBlank="1" error="Zip Code must be five digits (only), with leading zeroes for some East Coast zip codes." errorTitle="Invalid Zip Code" showErrorMessage="1" showInputMessage="1" sqref="M11:M15 M5:M9 M59:M63 M53:M57 M41:M45 M35:M39 M29:M33 M23:M27 M17:M21" type="custom">
      <formula1>AND(LEN(B1048534)=5,VALUE(B1048534)&gt;1000)</formula1>
    </dataValidation>
    <dataValidation allowBlank="1" error="Must be a 4-digit whole number,_x005F_x005F_x000A_not before 1900, and_x005F_x005F_x000A_not in the future." errorTitle="Invalid Year Built" showErrorMessage="1" showInputMessage="1" sqref="P5:P9 P11:P15 P17:P21 P23:P27 P29:P33 P35:P39 P41:P45 P47:P51 P53:P57 P59:P63" type="whole">
      <formula1>1900</formula1>
      <formula2>YEAR(TODAY())</formula2>
    </dataValidation>
    <dataValidation allowBlank="1" error="Must be a valid percentage, between 0 and 100%." errorTitle="Invalid %Occupancy" showErrorMessage="1" showInputMessage="1" sqref="O5:O9 O11:O15 O17:O21 O23:O27 O29:O33 O35:O39 O41:O45 O47:O51 O53:O57 O59:O63" type="decimal">
      <formula1>0</formula1>
      <formula2>1</formula2>
    </dataValidation>
    <dataValidation allowBlank="1" error="Zip Code must be five digits (only), with leading zeroes for some East Coast zip codes." errorTitle="Invalid Zip Code" showErrorMessage="1" showInputMessage="1" sqref="M47:M51" type="custom">
      <formula1>AND(LEN(E1048576)=5,VALUE(E1048576)&gt;1000)</formula1>
    </dataValidation>
    <dataValidation allowBlank="1" error="Must select from the list." errorTitle="Invalid State" showErrorMessage="1" showInputMessage="1" sqref="L5:L9 L11:L15 L17:L21 L23:L27 L29:L33 L35:L39 L41:L45 L47:L51 L53:L57 L59:L63" type="list">
      <formula1>Dropdowns_ListOfStates</formula1>
    </dataValidation>
    <dataValidation operator="greaterThanOrEqual" allowBlank="1" error="Must be a whole number,_x005F_x005F_x000A_not smaller than 1._x005F_x005F_x000A_" errorTitle="Invalid # of Units" showErrorMessage="1" showInputMessage="1" sqref="N5:N9 N11:N15 N17:N21 N23:N27 N29:N33 N35:N39 N41:N45 N47:N51 N53:N57 N59:N63" type="whole">
      <formula1>1</formula1>
    </dataValidation>
    <dataValidation allowBlank="1" error="Must be either full or half baths, between 0 and 4." errorTitle="Invalid #of Baths" showErrorMessage="1" showInputMessage="1" sqref="R5:R64" type="list">
      <formula1>"0,0.5,1,1.5,2,2.5,3,3.5,4"</formula1>
    </dataValidation>
    <dataValidation operator="greaterThanOrEqual" allowBlank="1" error="Must be whole number, and _x005F_x005F_x000A_not less than Minimum Rent per Unit." errorTitle="Invalid Maximum Rent per Unit" showErrorMessage="1" showInputMessage="1" sqref="V5:V64" type="whole">
      <formula1>U5</formula1>
    </dataValidation>
    <dataValidation operator="greaterThanOrEqual" allowBlank="1" error="Must be a whole number,_x005F_x005F_x000A_not less than zero." errorTitle="Invalid Minimum Rent Per Unit" showErrorMessage="1" showInputMessage="1" sqref="U5:U64" type="whole">
      <formula1>0</formula1>
    </dataValidation>
    <dataValidation operator="greaterThanOrEqual" allowBlank="1" error="Must be a whole number. _x005F_x005F_x000A_Use '0' for Studio._x005F_x005F_x000A_Use '4' for larger units." errorTitle="Invalid # of Bedrooms" showErrorMessage="1" sqref="Q5:Q65" type="whole">
      <formula1>0</formula1>
    </dataValidation>
    <dataValidation operator="greaterThan" allowBlank="1" showErrorMessage="1" showInputMessage="1" sqref="S41:T45 S29:T33 S35:T39 S53:T57 S17:T21 S23:T27 S11:T15 S59:T63 S5:T9 S47:T51" type="whole">
      <formula1>0</formula1>
    </dataValidation>
  </dataValidations>
  <printOptions/>
  <pageMargins left="0.2" right="0.2" top="0.75" bottom="0.75" header="0.3" footer="0.3"/>
  <pageSetup useFirstPageNumber="1" fitToHeight="-1" fitToWidth="1" paperSize="1" firstPageNumber="1" scale="70" pageOrder="downThenOver" orientation="landscape"/>
  <headerFooter>
    <oddHeader>&amp;L&amp;C&amp;R</oddHeader>
    <oddFooter>&amp;L&amp;C&amp;R</oddFooter>
  </headerFooter>
  <colBreaks count="1" manualBreakCount="1">
    <brk id="23" man="1" max="16384"/>
  </colBreaks>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1B528C8B-0237-007B-BDC4-C73FC3EF19D2}" mc:Ignorable="x14ac xr xr2 xr3">
  <sheetPr>
    <pageSetUpPr fitToPage="1"/>
  </sheetPr>
  <dimension ref="A1:AA48"/>
  <sheetViews>
    <sheetView topLeftCell="A5" zoomScale="80" workbookViewId="0">
      <selection activeCell="G11" sqref="G11"/>
    </sheetView>
  </sheetViews>
  <sheetFormatPr defaultRowHeight="12.997499999999997" defaultColWidth="0" customHeight="1"/>
  <cols>
    <col min="1" max="1" style="4048" width="4.28125" hidden="1" customWidth="1"/>
    <col min="2" max="2" style="4048" width="12.57421875" hidden="1" customWidth="1"/>
    <col min="3" max="3" style="4048" width="11.7109375" hidden="1" customWidth="1"/>
    <col min="4" max="4" style="4048" width="5.28125" hidden="1" customWidth="1"/>
    <col min="5" max="5" style="4043" width="3.57421875" customWidth="1"/>
    <col min="6" max="6" style="4046" width="20.8515625" customWidth="1"/>
    <col min="7" max="16" style="4046" width="23.57421875" customWidth="1"/>
    <col min="17" max="17" style="4046" width="3.57421875" customWidth="1"/>
    <col min="18" max="27" style="4046" width="0" hidden="1"/>
  </cols>
  <sheetData>
    <row r="1" ht="12.75" customHeight="1" hidden="1">
      <c r="E1" s="4048"/>
      <c r="F1" s="4048"/>
      <c r="G1" s="4048"/>
      <c r="H1" s="4048"/>
      <c r="I1" s="4048"/>
      <c r="J1" s="4048"/>
      <c r="K1" s="4048"/>
      <c r="L1" s="4048"/>
      <c r="M1" s="4048"/>
      <c r="N1" s="4048"/>
      <c r="O1" s="4048"/>
      <c r="P1" s="4048"/>
      <c r="Q1" s="4048"/>
    </row>
    <row r="2" ht="12.75" customHeight="1" hidden="1">
      <c r="B2" s="4049" t="s">
        <v>3409</v>
      </c>
      <c r="C2" s="4003">
        <f>COUNTIF(G2:P2,TRUE)</f>
        <v>0</v>
      </c>
      <c r="E2" s="4048"/>
      <c r="F2" s="4048" t="s">
        <v>3378</v>
      </c>
      <c r="G2" s="4048" cm="1" t="b">
        <f t="array" ref="G2">COUNTA(G11:G26)-SUMPRODUCT(--_xlfn.ISFORMULA(G11:G26))&gt;0</f>
        <v>0</v>
      </c>
      <c r="H2" s="4048" cm="1" t="b">
        <f t="array" ref="H2">COUNTA(H11:H26)-SUMPRODUCT(--_xlfn.ISFORMULA(H11:H26))&gt;0</f>
        <v>0</v>
      </c>
      <c r="I2" s="4048" cm="1" t="b">
        <f t="array" ref="I2">COUNTA(I11:I26)-SUMPRODUCT(--_xlfn.ISFORMULA(I11:I26))&gt;0</f>
        <v>0</v>
      </c>
      <c r="J2" s="4048" cm="1" t="b">
        <f t="array" ref="J2">COUNTA(J11:J26)-SUMPRODUCT(--_xlfn.ISFORMULA(J11:J26))&gt;0</f>
        <v>0</v>
      </c>
      <c r="K2" s="4048" cm="1" t="b">
        <f t="array" ref="K2">COUNTA(K11:K26)-SUMPRODUCT(--_xlfn.ISFORMULA(K11:K26))&gt;0</f>
        <v>0</v>
      </c>
      <c r="L2" s="4048" cm="1" t="b">
        <f t="array" ref="L2">COUNTA(L11:L26)-SUMPRODUCT(--_xlfn.ISFORMULA(L11:L26))&gt;0</f>
        <v>0</v>
      </c>
      <c r="M2" s="4048" cm="1" t="b">
        <f t="array" ref="M2">COUNTA(M11:M26)-SUMPRODUCT(--_xlfn.ISFORMULA(M11:M26))&gt;0</f>
        <v>0</v>
      </c>
      <c r="N2" s="4048" cm="1" t="b">
        <f t="array" ref="N2">COUNTA(N11:N26)-SUMPRODUCT(--_xlfn.ISFORMULA(N11:N26))&gt;0</f>
        <v>0</v>
      </c>
      <c r="O2" s="4048" cm="1" t="b">
        <f t="array" ref="O2">COUNTA(O11:O26)-SUMPRODUCT(--_xlfn.ISFORMULA(O11:O26))&gt;0</f>
        <v>0</v>
      </c>
      <c r="P2" s="4048" cm="1" t="b">
        <f t="array" ref="P2">COUNTA(P11:P26)-SUMPRODUCT(--_xlfn.ISFORMULA(P11:P26))&gt;0</f>
        <v>0</v>
      </c>
      <c r="Q2" s="4048"/>
    </row>
    <row r="3" ht="12.75" customHeight="1" hidden="1">
      <c r="B3" s="4049" t="s">
        <v>3410</v>
      </c>
      <c r="C3" s="4003">
        <f>COUNTIF(G3:P3,FALSE)</f>
        <v>0</v>
      </c>
      <c r="E3" s="4048"/>
      <c r="F3" s="4048" t="s">
        <v>3411</v>
      </c>
      <c r="G3" s="4004" t="str">
        <f t="shared" si="0" ref="G3:P3">IF(G2,COUNTA(G11:G26)=16,"-")</f>
        <v>-</v>
      </c>
      <c r="H3" s="4004" t="str">
        <f t="shared" si="0"/>
        <v>-</v>
      </c>
      <c r="I3" s="4004" t="str">
        <f t="shared" si="0"/>
        <v>-</v>
      </c>
      <c r="J3" s="4004" t="str">
        <f t="shared" si="0"/>
        <v>-</v>
      </c>
      <c r="K3" s="4004" t="str">
        <f t="shared" si="0"/>
        <v>-</v>
      </c>
      <c r="L3" s="4004" t="str">
        <f t="shared" si="0"/>
        <v>-</v>
      </c>
      <c r="M3" s="4004" t="str">
        <f t="shared" si="0"/>
        <v>-</v>
      </c>
      <c r="N3" s="4004" t="str">
        <f t="shared" si="0"/>
        <v>-</v>
      </c>
      <c r="O3" s="4004" t="str">
        <f t="shared" si="0"/>
        <v>-</v>
      </c>
      <c r="P3" s="4004" t="str">
        <f t="shared" si="0"/>
        <v>-</v>
      </c>
      <c r="Q3" s="4048"/>
    </row>
    <row r="4" ht="12.75" customHeight="1" hidden="1">
      <c r="E4" s="4048"/>
      <c r="F4" s="4048"/>
      <c r="G4" s="4048"/>
      <c r="H4" s="4048"/>
      <c r="I4" s="4048"/>
      <c r="J4" s="4048"/>
      <c r="K4" s="4048"/>
      <c r="L4" s="4048"/>
      <c r="M4" s="4048"/>
      <c r="N4" s="4048"/>
      <c r="O4" s="4048"/>
      <c r="P4" s="4048"/>
      <c r="Q4" s="4048"/>
    </row>
    <row r="5" ht="12.75" customHeight="1">
      <c r="F5" s="4043"/>
      <c r="G5" s="4043"/>
      <c r="H5" s="4043"/>
      <c r="I5" s="4043"/>
      <c r="J5" s="4043"/>
      <c r="K5" s="4043"/>
      <c r="L5" s="4043"/>
      <c r="M5" s="4043"/>
      <c r="N5" s="4043"/>
      <c r="O5" s="4043"/>
      <c r="P5" s="4043"/>
      <c r="Q5" s="4043"/>
    </row>
    <row r="6" ht="17.25" customHeight="1">
      <c r="F6" s="3995"/>
      <c r="G6" s="4050"/>
      <c r="H6" s="3996" t="s">
        <v>3412</v>
      </c>
      <c r="I6" s="4050"/>
      <c r="J6" s="4050"/>
      <c r="K6" s="3995"/>
      <c r="L6" s="3995"/>
      <c r="M6" s="3995"/>
      <c r="N6" s="3995"/>
      <c r="O6" s="3995"/>
      <c r="P6" s="3995"/>
      <c r="Q6" s="3995"/>
      <c r="R6" s="3998"/>
      <c r="S6" s="3998"/>
      <c r="T6" s="3998"/>
      <c r="U6" s="3998"/>
      <c r="V6" s="3998"/>
      <c r="W6" s="3998"/>
      <c r="X6" s="3998"/>
      <c r="Y6" s="3998"/>
      <c r="Z6" s="3998"/>
      <c r="AA6" s="3998"/>
    </row>
    <row r="7" ht="15.75" customHeight="1">
      <c r="F7" s="3995"/>
      <c r="G7" s="4050"/>
      <c r="H7" s="3996"/>
      <c r="I7" s="4050"/>
      <c r="J7" s="4050"/>
      <c r="K7" s="3995"/>
      <c r="L7" s="3995"/>
      <c r="M7" s="3995"/>
      <c r="N7" s="3995"/>
      <c r="O7" s="3995"/>
      <c r="P7" s="3995"/>
      <c r="Q7" s="3995"/>
      <c r="R7" s="3998"/>
      <c r="S7" s="3998"/>
      <c r="T7" s="3998"/>
      <c r="U7" s="3998"/>
      <c r="V7" s="3998"/>
      <c r="W7" s="3998"/>
      <c r="X7" s="3998"/>
      <c r="Y7" s="3998"/>
      <c r="Z7" s="3998"/>
      <c r="AA7" s="3998"/>
    </row>
    <row r="8" ht="15.75" customHeight="1">
      <c r="F8" s="3995"/>
      <c r="G8" s="3996"/>
      <c r="H8" s="3996"/>
      <c r="I8" s="4050"/>
      <c r="J8" s="4050"/>
      <c r="K8" s="3995"/>
      <c r="L8" s="3995"/>
      <c r="M8" s="3995"/>
      <c r="N8" s="3995"/>
      <c r="O8" s="3995"/>
      <c r="P8" s="3995"/>
      <c r="Q8" s="3995"/>
      <c r="R8" s="3998"/>
      <c r="S8" s="3998"/>
      <c r="T8" s="3998"/>
      <c r="U8" s="3998"/>
      <c r="V8" s="3998"/>
      <c r="W8" s="3998"/>
      <c r="X8" s="3998"/>
      <c r="Y8" s="3998"/>
      <c r="Z8" s="3998"/>
      <c r="AA8" s="3998"/>
    </row>
    <row r="9" ht="12.75" customHeight="1">
      <c r="F9" s="3995"/>
      <c r="G9" s="3995"/>
      <c r="H9" s="3995"/>
      <c r="I9" s="3995"/>
      <c r="J9" s="3995"/>
      <c r="K9" s="3995"/>
      <c r="L9" s="3995"/>
      <c r="M9" s="3995"/>
      <c r="N9" s="3995"/>
      <c r="O9" s="3995"/>
      <c r="P9" s="3995"/>
      <c r="Q9" s="3995"/>
      <c r="R9" s="3998"/>
      <c r="S9" s="3998"/>
      <c r="T9" s="3998"/>
      <c r="U9" s="3998"/>
      <c r="V9" s="3998"/>
      <c r="W9" s="3998"/>
      <c r="X9" s="3998"/>
      <c r="Y9" s="3998"/>
      <c r="Z9" s="3998"/>
      <c r="AA9" s="3998"/>
    </row>
    <row r="10" ht="12.75" customHeight="1">
      <c r="F10" s="4051"/>
      <c r="G10" s="4052" t="s">
        <v>3399</v>
      </c>
      <c r="H10" s="4052" t="s">
        <v>3400</v>
      </c>
      <c r="I10" s="4052" t="s">
        <v>3401</v>
      </c>
      <c r="J10" s="4052" t="s">
        <v>3402</v>
      </c>
      <c r="K10" s="4052" t="s">
        <v>3403</v>
      </c>
      <c r="L10" s="4053" t="s">
        <v>3404</v>
      </c>
      <c r="M10" s="4053" t="s">
        <v>3405</v>
      </c>
      <c r="N10" s="4053" t="s">
        <v>3406</v>
      </c>
      <c r="O10" s="4053" t="s">
        <v>3407</v>
      </c>
      <c r="P10" s="4053" t="s">
        <v>3408</v>
      </c>
      <c r="Q10" s="3995"/>
      <c r="R10" s="3998"/>
      <c r="S10" s="3998"/>
      <c r="T10" s="3998"/>
      <c r="U10" s="3998"/>
      <c r="V10" s="3998"/>
      <c r="W10" s="3998"/>
      <c r="X10" s="3998"/>
      <c r="Y10" s="3998"/>
      <c r="Z10" s="3998"/>
      <c r="AA10" s="3998"/>
    </row>
    <row r="11" ht="15.75" customHeight="1" s="4054" customFormat="1">
      <c r="A11" s="4055"/>
      <c r="B11" s="4055"/>
      <c r="C11" s="4055"/>
      <c r="D11" s="4055"/>
      <c r="E11" s="4056"/>
      <c r="F11" s="4057" t="s">
        <v>3413</v>
      </c>
      <c r="G11" s="4058"/>
      <c r="H11" s="4058"/>
      <c r="I11" s="4058"/>
      <c r="J11" s="4058"/>
      <c r="K11" s="4058"/>
      <c r="L11" s="4058"/>
      <c r="M11" s="4058"/>
      <c r="N11" s="4058"/>
      <c r="O11" s="4058"/>
      <c r="P11" s="4058"/>
      <c r="Q11" s="4059"/>
      <c r="R11" s="4060"/>
      <c r="S11" s="4060"/>
      <c r="T11" s="4060"/>
      <c r="U11" s="4060"/>
      <c r="V11" s="4060"/>
      <c r="W11" s="4060"/>
      <c r="X11" s="4060"/>
      <c r="Y11" s="4060"/>
      <c r="Z11" s="4060"/>
      <c r="AA11" s="4060"/>
    </row>
    <row r="12" ht="25.5" customHeight="1" s="4061" customFormat="1">
      <c r="A12" s="4062"/>
      <c r="B12" s="4062"/>
      <c r="C12" s="4062"/>
      <c r="D12" s="4062"/>
      <c r="E12" s="4063"/>
      <c r="F12" s="4064" t="s">
        <v>265</v>
      </c>
      <c r="G12" s="4065"/>
      <c r="H12" s="4065"/>
      <c r="I12" s="4065"/>
      <c r="J12" s="4065"/>
      <c r="K12" s="4065"/>
      <c r="L12" s="4065"/>
      <c r="M12" s="4065"/>
      <c r="N12" s="4065"/>
      <c r="O12" s="4065"/>
      <c r="P12" s="4065"/>
      <c r="Q12" s="4066"/>
      <c r="R12" s="4067"/>
      <c r="S12" s="4067"/>
      <c r="T12" s="4067"/>
      <c r="U12" s="4067"/>
      <c r="V12" s="4067"/>
      <c r="W12" s="4067"/>
      <c r="X12" s="4067"/>
      <c r="Y12" s="4067"/>
      <c r="Z12" s="4067"/>
      <c r="AA12" s="4067"/>
    </row>
    <row r="13" ht="38.25" customHeight="1" s="4061" customFormat="1">
      <c r="A13" s="4062"/>
      <c r="B13" s="4062"/>
      <c r="C13" s="4062"/>
      <c r="D13" s="4062"/>
      <c r="E13" s="4063"/>
      <c r="F13" s="4064" t="s">
        <v>3384</v>
      </c>
      <c r="G13" s="4065"/>
      <c r="H13" s="4065"/>
      <c r="I13" s="4065"/>
      <c r="J13" s="4065"/>
      <c r="K13" s="4065"/>
      <c r="L13" s="4068"/>
      <c r="M13" s="4068"/>
      <c r="N13" s="4068"/>
      <c r="O13" s="4068"/>
      <c r="P13" s="4068"/>
      <c r="Q13" s="4066"/>
      <c r="R13" s="4067"/>
      <c r="S13" s="4067"/>
      <c r="T13" s="4067"/>
      <c r="U13" s="4067"/>
      <c r="V13" s="4067"/>
      <c r="W13" s="4067"/>
      <c r="X13" s="4067"/>
      <c r="Y13" s="4067"/>
      <c r="Z13" s="4067"/>
      <c r="AA13" s="4067"/>
    </row>
    <row r="14" ht="15" customHeight="1">
      <c r="E14" s="4069"/>
      <c r="F14" s="4070" t="s">
        <v>3385</v>
      </c>
      <c r="G14" s="4071"/>
      <c r="H14" s="4071"/>
      <c r="I14" s="4071"/>
      <c r="J14" s="4071"/>
      <c r="K14" s="4071"/>
      <c r="L14" s="4071"/>
      <c r="M14" s="4071"/>
      <c r="N14" s="4071"/>
      <c r="O14" s="4071"/>
      <c r="P14" s="4071"/>
      <c r="Q14" s="3995"/>
      <c r="R14" s="3998"/>
      <c r="S14" s="3998"/>
      <c r="T14" s="3998"/>
      <c r="U14" s="3998"/>
      <c r="V14" s="3998"/>
      <c r="W14" s="3998"/>
      <c r="X14" s="3998"/>
      <c r="Y14" s="3998"/>
      <c r="Z14" s="3998"/>
      <c r="AA14" s="3998"/>
    </row>
    <row r="15" ht="15" customHeight="1">
      <c r="E15" s="4069"/>
      <c r="F15" s="4070" t="s">
        <v>3386</v>
      </c>
      <c r="G15" s="4071"/>
      <c r="H15" s="4071"/>
      <c r="I15" s="4071"/>
      <c r="J15" s="4071"/>
      <c r="K15" s="4071"/>
      <c r="L15" s="4071"/>
      <c r="M15" s="4071"/>
      <c r="N15" s="4071"/>
      <c r="O15" s="4071"/>
      <c r="P15" s="4071"/>
      <c r="Q15" s="3995"/>
      <c r="R15" s="3998"/>
      <c r="S15" s="3998"/>
      <c r="T15" s="3998"/>
      <c r="U15" s="3998"/>
      <c r="V15" s="3998"/>
      <c r="W15" s="3998"/>
      <c r="X15" s="3998"/>
      <c r="Y15" s="3998"/>
      <c r="Z15" s="3998"/>
      <c r="AA15" s="3998"/>
    </row>
    <row r="16" ht="15" customHeight="1">
      <c r="E16" s="4069"/>
      <c r="F16" s="4070" t="s">
        <v>3387</v>
      </c>
      <c r="G16" s="4072"/>
      <c r="H16" s="4072"/>
      <c r="I16" s="4072"/>
      <c r="J16" s="4072"/>
      <c r="K16" s="4072"/>
      <c r="L16" s="4073"/>
      <c r="M16" s="4073"/>
      <c r="N16" s="4073"/>
      <c r="O16" s="4073"/>
      <c r="P16" s="4073"/>
      <c r="Q16" s="4074"/>
      <c r="R16" s="4075"/>
      <c r="S16" s="4075"/>
      <c r="T16" s="4075"/>
      <c r="U16" s="4075"/>
      <c r="V16" s="4075"/>
      <c r="W16" s="4075"/>
      <c r="X16" s="4075"/>
      <c r="Y16" s="4075"/>
      <c r="Z16" s="4075"/>
      <c r="AA16" s="4075"/>
    </row>
    <row r="17" ht="15" customHeight="1">
      <c r="E17" s="4069"/>
      <c r="F17" s="4070" t="s">
        <v>660</v>
      </c>
      <c r="G17" s="4076"/>
      <c r="H17" s="4076"/>
      <c r="I17" s="4076"/>
      <c r="J17" s="4076"/>
      <c r="K17" s="4076"/>
      <c r="L17" s="4076"/>
      <c r="M17" s="4076"/>
      <c r="N17" s="4076"/>
      <c r="O17" s="4076"/>
      <c r="P17" s="4076"/>
      <c r="Q17" s="3995"/>
      <c r="R17" s="3998"/>
      <c r="S17" s="3998"/>
      <c r="T17" s="3998"/>
      <c r="U17" s="3998"/>
      <c r="V17" s="3998"/>
      <c r="W17" s="3998"/>
      <c r="X17" s="3998"/>
      <c r="Y17" s="3998"/>
      <c r="Z17" s="3998"/>
      <c r="AA17" s="3998"/>
    </row>
    <row r="18" ht="15" customHeight="1">
      <c r="E18" s="4069"/>
      <c r="F18" s="4070" t="s">
        <v>223</v>
      </c>
      <c r="G18" s="4076"/>
      <c r="H18" s="4076"/>
      <c r="I18" s="4076"/>
      <c r="J18" s="4076"/>
      <c r="K18" s="4076"/>
      <c r="L18" s="4076"/>
      <c r="M18" s="4076"/>
      <c r="N18" s="4076"/>
      <c r="O18" s="4076"/>
      <c r="P18" s="4076"/>
      <c r="Q18" s="3995"/>
      <c r="R18" s="3998"/>
      <c r="S18" s="3998"/>
      <c r="T18" s="3998"/>
      <c r="U18" s="3998"/>
      <c r="V18" s="3998"/>
      <c r="W18" s="3998"/>
      <c r="X18" s="3998"/>
      <c r="Y18" s="3998"/>
      <c r="Z18" s="3998"/>
      <c r="AA18" s="3998"/>
    </row>
    <row r="19" ht="15" customHeight="1">
      <c r="E19" s="4069"/>
      <c r="F19" s="4070" t="s">
        <v>3196</v>
      </c>
      <c r="G19" s="4077"/>
      <c r="H19" s="4077"/>
      <c r="I19" s="4077"/>
      <c r="J19" s="4077"/>
      <c r="K19" s="4077"/>
      <c r="L19" s="4077"/>
      <c r="M19" s="4077"/>
      <c r="N19" s="4077"/>
      <c r="O19" s="4077"/>
      <c r="P19" s="4077"/>
      <c r="Q19" s="3995"/>
      <c r="R19" s="3998"/>
      <c r="S19" s="3998"/>
      <c r="T19" s="3998"/>
      <c r="U19" s="3998"/>
      <c r="V19" s="3998"/>
      <c r="W19" s="3998"/>
      <c r="X19" s="3998"/>
      <c r="Y19" s="3998"/>
      <c r="Z19" s="3998"/>
      <c r="AA19" s="3998"/>
    </row>
    <row r="20" ht="15" customHeight="1">
      <c r="E20" s="4069"/>
      <c r="F20" s="4070" t="s">
        <v>3414</v>
      </c>
      <c r="G20" s="4078">
        <f t="shared" si="1" ref="G20:P20">IF(AND(G19&gt;0,G18&gt;0),ROUND(G19/G18,0),"")</f>
      </c>
      <c r="H20" s="4078">
        <f t="shared" si="1"/>
      </c>
      <c r="I20" s="4078">
        <f t="shared" si="1"/>
      </c>
      <c r="J20" s="4078">
        <f t="shared" si="1"/>
      </c>
      <c r="K20" s="4078">
        <f t="shared" si="1"/>
      </c>
      <c r="L20" s="4078">
        <f t="shared" si="1"/>
      </c>
      <c r="M20" s="4078">
        <f t="shared" si="1"/>
      </c>
      <c r="N20" s="4078">
        <f t="shared" si="1"/>
      </c>
      <c r="O20" s="4078">
        <f t="shared" si="1"/>
      </c>
      <c r="P20" s="4078">
        <f t="shared" si="1"/>
      </c>
      <c r="Q20" s="3995"/>
      <c r="R20" s="3998"/>
      <c r="S20" s="3998"/>
      <c r="T20" s="3998"/>
      <c r="U20" s="3998"/>
      <c r="V20" s="3998"/>
      <c r="W20" s="3998"/>
      <c r="X20" s="3998"/>
      <c r="Y20" s="3998"/>
      <c r="Z20" s="3998"/>
      <c r="AA20" s="3998"/>
    </row>
    <row r="21" ht="15" customHeight="1">
      <c r="E21" s="4069"/>
      <c r="F21" s="4070" t="s">
        <v>3415</v>
      </c>
      <c r="G21" s="4079"/>
      <c r="H21" s="4079"/>
      <c r="I21" s="4079"/>
      <c r="J21" s="4079"/>
      <c r="K21" s="4079"/>
      <c r="L21" s="4079"/>
      <c r="M21" s="4079"/>
      <c r="N21" s="4079"/>
      <c r="O21" s="4079"/>
      <c r="P21" s="4079"/>
      <c r="Q21" s="3995"/>
      <c r="R21" s="3998"/>
      <c r="S21" s="3998"/>
      <c r="T21" s="3998"/>
      <c r="U21" s="3998"/>
      <c r="V21" s="3998"/>
      <c r="W21" s="3998"/>
      <c r="X21" s="3998"/>
      <c r="Y21" s="3998"/>
      <c r="Z21" s="3998"/>
      <c r="AA21" s="3998"/>
    </row>
    <row r="22" ht="15" customHeight="1">
      <c r="E22" s="4069"/>
      <c r="F22" s="4070" t="s">
        <v>3416</v>
      </c>
      <c r="G22" s="4078">
        <f t="shared" si="2" ref="G22:P22">IF(AND(G21&gt;0,G19&gt;0),ROUND(G21/G19,2),"")</f>
      </c>
      <c r="H22" s="4078">
        <f t="shared" si="2"/>
      </c>
      <c r="I22" s="4078">
        <f t="shared" si="2"/>
      </c>
      <c r="J22" s="4078">
        <f t="shared" si="2"/>
      </c>
      <c r="K22" s="4078">
        <f t="shared" si="2"/>
      </c>
      <c r="L22" s="4078">
        <f t="shared" si="2"/>
      </c>
      <c r="M22" s="4078">
        <f t="shared" si="2"/>
      </c>
      <c r="N22" s="4078">
        <f t="shared" si="2"/>
      </c>
      <c r="O22" s="4078">
        <f t="shared" si="2"/>
      </c>
      <c r="P22" s="4078">
        <f t="shared" si="2"/>
      </c>
      <c r="Q22" s="3995"/>
      <c r="R22" s="3998"/>
      <c r="S22" s="3998"/>
      <c r="T22" s="3998"/>
      <c r="U22" s="3998"/>
      <c r="V22" s="3998"/>
      <c r="W22" s="3998"/>
      <c r="X22" s="3998"/>
      <c r="Y22" s="3998"/>
      <c r="Z22" s="3998"/>
      <c r="AA22" s="3998"/>
    </row>
    <row r="23" ht="15" customHeight="1">
      <c r="E23" s="4069"/>
      <c r="F23" s="4070" t="s">
        <v>3417</v>
      </c>
      <c r="G23" s="4078">
        <f t="shared" si="3" ref="G23:P23">IF(AND(G21&gt;0,G18&gt;0),ROUND(G21/G18,0),"")</f>
      </c>
      <c r="H23" s="4078">
        <f t="shared" si="3"/>
      </c>
      <c r="I23" s="4078">
        <f t="shared" si="3"/>
      </c>
      <c r="J23" s="4078">
        <f t="shared" si="3"/>
      </c>
      <c r="K23" s="4078">
        <f t="shared" si="3"/>
      </c>
      <c r="L23" s="4078">
        <f t="shared" si="3"/>
      </c>
      <c r="M23" s="4078">
        <f t="shared" si="3"/>
      </c>
      <c r="N23" s="4078">
        <f t="shared" si="3"/>
      </c>
      <c r="O23" s="4078">
        <f t="shared" si="3"/>
      </c>
      <c r="P23" s="4078">
        <f t="shared" si="3"/>
      </c>
      <c r="Q23" s="3995"/>
      <c r="R23" s="3998"/>
      <c r="S23" s="3998"/>
      <c r="T23" s="3998"/>
      <c r="U23" s="3998"/>
      <c r="V23" s="3998"/>
      <c r="W23" s="3998"/>
      <c r="X23" s="3998"/>
      <c r="Y23" s="3998"/>
      <c r="Z23" s="3998"/>
      <c r="AA23" s="3998"/>
    </row>
    <row r="24" ht="15" customHeight="1">
      <c r="E24" s="4069"/>
      <c r="F24" s="4070" t="s">
        <v>3418</v>
      </c>
      <c r="G24" s="4079"/>
      <c r="H24" s="4079"/>
      <c r="I24" s="4079"/>
      <c r="J24" s="4079"/>
      <c r="K24" s="4079"/>
      <c r="L24" s="4079"/>
      <c r="M24" s="4079"/>
      <c r="N24" s="4079"/>
      <c r="O24" s="4079"/>
      <c r="P24" s="4079"/>
      <c r="Q24" s="3995"/>
      <c r="R24" s="3998"/>
      <c r="S24" s="3998"/>
      <c r="T24" s="3998"/>
      <c r="U24" s="3998"/>
      <c r="V24" s="3998"/>
      <c r="W24" s="3998"/>
      <c r="X24" s="3998"/>
      <c r="Y24" s="3998"/>
      <c r="Z24" s="3998"/>
      <c r="AA24" s="3998"/>
    </row>
    <row r="25" ht="15" customHeight="1">
      <c r="E25" s="4069"/>
      <c r="F25" s="4070" t="s">
        <v>3345</v>
      </c>
      <c r="G25" s="4080"/>
      <c r="H25" s="4080"/>
      <c r="I25" s="4080"/>
      <c r="J25" s="4080"/>
      <c r="K25" s="4080"/>
      <c r="L25" s="4080"/>
      <c r="M25" s="4080"/>
      <c r="N25" s="4080"/>
      <c r="O25" s="4080"/>
      <c r="P25" s="4080"/>
      <c r="Q25" s="3995"/>
      <c r="R25" s="3998"/>
      <c r="S25" s="3998"/>
      <c r="T25" s="3998"/>
      <c r="U25" s="3998"/>
      <c r="V25" s="3998"/>
      <c r="W25" s="3998"/>
      <c r="X25" s="3998"/>
      <c r="Y25" s="3998"/>
      <c r="Z25" s="3998"/>
      <c r="AA25" s="3998"/>
    </row>
    <row r="26" ht="15" customHeight="1">
      <c r="E26" s="4069"/>
      <c r="F26" s="4070" t="s">
        <v>3419</v>
      </c>
      <c r="G26" s="4081"/>
      <c r="H26" s="4081"/>
      <c r="I26" s="4081"/>
      <c r="J26" s="4081"/>
      <c r="K26" s="4081"/>
      <c r="L26" s="4082"/>
      <c r="M26" s="4082"/>
      <c r="N26" s="4082"/>
      <c r="O26" s="4082"/>
      <c r="P26" s="4082"/>
      <c r="Q26" s="3995"/>
      <c r="R26" s="3998"/>
      <c r="S26" s="3998"/>
      <c r="T26" s="3998"/>
      <c r="U26" s="3998"/>
      <c r="V26" s="3998"/>
      <c r="W26" s="3998"/>
      <c r="X26" s="3998"/>
      <c r="Y26" s="3998"/>
      <c r="Z26" s="3998"/>
      <c r="AA26" s="3998"/>
    </row>
    <row r="27" ht="13.5" customHeight="1" s="4083" customFormat="1">
      <c r="A27" s="4084"/>
      <c r="B27" s="4084"/>
      <c r="C27" s="4084"/>
      <c r="D27" s="4084"/>
      <c r="E27" s="4085"/>
      <c r="F27" s="4001"/>
      <c r="G27" s="4086" t="str">
        <f t="shared" si="4" ref="G27:P27">IF(G3="-",G3,IF(G3,"Complete","Incomplete"))</f>
        <v>-</v>
      </c>
      <c r="H27" s="4086" t="str">
        <f t="shared" si="4"/>
        <v>-</v>
      </c>
      <c r="I27" s="4086" t="str">
        <f t="shared" si="4"/>
        <v>-</v>
      </c>
      <c r="J27" s="4086" t="str">
        <f t="shared" si="4"/>
        <v>-</v>
      </c>
      <c r="K27" s="4086" t="str">
        <f t="shared" si="4"/>
        <v>-</v>
      </c>
      <c r="L27" s="4086" t="str">
        <f t="shared" si="4"/>
        <v>-</v>
      </c>
      <c r="M27" s="4086" t="str">
        <f t="shared" si="4"/>
        <v>-</v>
      </c>
      <c r="N27" s="4086" t="str">
        <f t="shared" si="4"/>
        <v>-</v>
      </c>
      <c r="O27" s="4086" t="str">
        <f t="shared" si="4"/>
        <v>-</v>
      </c>
      <c r="P27" s="4086" t="str">
        <f t="shared" si="4"/>
        <v>-</v>
      </c>
      <c r="Q27" s="4001"/>
      <c r="R27" s="4087"/>
      <c r="S27" s="4087"/>
      <c r="T27" s="4087"/>
      <c r="U27" s="4087"/>
      <c r="V27" s="4087"/>
      <c r="W27" s="4087"/>
      <c r="X27" s="4087"/>
      <c r="Y27" s="4087"/>
      <c r="Z27" s="4087"/>
      <c r="AA27" s="4087"/>
    </row>
    <row r="28" ht="12.75" customHeight="1">
      <c r="F28" s="3995"/>
      <c r="G28" s="3995"/>
      <c r="H28" s="3995"/>
      <c r="I28" s="3995"/>
      <c r="J28" s="3995"/>
      <c r="K28" s="3995"/>
      <c r="L28" s="3995"/>
      <c r="M28" s="3995"/>
      <c r="N28" s="3995"/>
      <c r="O28" s="3995"/>
      <c r="P28" s="3995"/>
      <c r="Q28" s="3995"/>
      <c r="R28" s="3998"/>
      <c r="S28" s="3998"/>
      <c r="T28" s="3998"/>
      <c r="U28" s="3998"/>
      <c r="V28" s="3998"/>
      <c r="W28" s="3998"/>
      <c r="X28" s="3998"/>
      <c r="Y28" s="3998"/>
      <c r="Z28" s="3998"/>
      <c r="AA28" s="3998"/>
    </row>
    <row r="29" ht="12.75" customHeight="1" hidden="1">
      <c r="F29" s="3998"/>
      <c r="G29" s="3998"/>
      <c r="H29" s="3998"/>
      <c r="I29" s="3998"/>
      <c r="J29" s="3998"/>
      <c r="K29" s="3998"/>
      <c r="L29" s="3998"/>
      <c r="M29" s="3998"/>
      <c r="N29" s="3998"/>
      <c r="O29" s="3998"/>
      <c r="P29" s="3998"/>
      <c r="Q29" s="3998"/>
      <c r="R29" s="3998"/>
      <c r="S29" s="3998"/>
      <c r="T29" s="3998"/>
      <c r="U29" s="3998"/>
      <c r="V29" s="3998"/>
      <c r="W29" s="3998"/>
      <c r="X29" s="3998"/>
      <c r="Y29" s="3998"/>
      <c r="Z29" s="3998"/>
      <c r="AA29" s="3998"/>
    </row>
    <row r="30" ht="12.75" customHeight="1" hidden="1">
      <c r="F30" s="3998"/>
      <c r="G30" s="3998"/>
      <c r="H30" s="3998"/>
      <c r="I30" s="3998"/>
      <c r="J30" s="3998"/>
      <c r="K30" s="3998"/>
      <c r="L30" s="3998"/>
      <c r="M30" s="3998"/>
      <c r="N30" s="3998"/>
      <c r="O30" s="3998"/>
      <c r="P30" s="3998"/>
      <c r="Q30" s="3998"/>
      <c r="R30" s="3998"/>
      <c r="S30" s="3998"/>
      <c r="T30" s="3998"/>
      <c r="U30" s="3998"/>
      <c r="V30" s="3998"/>
      <c r="W30" s="3998"/>
      <c r="X30" s="3998"/>
      <c r="Y30" s="3998"/>
      <c r="Z30" s="3998"/>
      <c r="AA30" s="3998"/>
    </row>
    <row r="31" ht="12.75" customHeight="1" hidden="1">
      <c r="F31" s="3998"/>
      <c r="G31" s="3998"/>
      <c r="H31" s="3998"/>
      <c r="I31" s="3998"/>
      <c r="J31" s="3998"/>
      <c r="K31" s="3998"/>
      <c r="L31" s="3998"/>
      <c r="M31" s="3998"/>
      <c r="N31" s="3998"/>
      <c r="O31" s="3998"/>
      <c r="P31" s="3998"/>
      <c r="Q31" s="3998"/>
      <c r="R31" s="3998"/>
      <c r="S31" s="3998"/>
      <c r="T31" s="3998"/>
      <c r="U31" s="3998"/>
      <c r="V31" s="3998"/>
      <c r="W31" s="3998"/>
      <c r="X31" s="3998"/>
      <c r="Y31" s="3998"/>
      <c r="Z31" s="3998"/>
      <c r="AA31" s="3998"/>
    </row>
    <row r="32" ht="12.75" customHeight="1" hidden="1">
      <c r="F32" s="3998"/>
      <c r="G32" s="3998"/>
      <c r="H32" s="3998"/>
      <c r="I32" s="3998"/>
      <c r="J32" s="3998"/>
      <c r="K32" s="3998"/>
      <c r="L32" s="3998"/>
      <c r="M32" s="3998"/>
      <c r="N32" s="3998"/>
      <c r="O32" s="3998"/>
      <c r="P32" s="3998"/>
      <c r="Q32" s="3998"/>
      <c r="R32" s="3998"/>
      <c r="S32" s="3998"/>
      <c r="T32" s="3998"/>
      <c r="U32" s="3998"/>
      <c r="V32" s="3998"/>
      <c r="W32" s="3998"/>
      <c r="X32" s="3998"/>
      <c r="Y32" s="3998"/>
      <c r="Z32" s="3998"/>
      <c r="AA32" s="3998"/>
    </row>
    <row r="33" ht="12.75" customHeight="1" hidden="1">
      <c r="F33" s="3998"/>
      <c r="G33" s="3998"/>
      <c r="H33" s="3998"/>
      <c r="I33" s="3998"/>
      <c r="J33" s="3998"/>
      <c r="K33" s="3998"/>
      <c r="L33" s="3998"/>
      <c r="M33" s="3998"/>
      <c r="N33" s="3998"/>
      <c r="O33" s="3998"/>
      <c r="P33" s="3998"/>
      <c r="Q33" s="3998"/>
      <c r="R33" s="3998"/>
      <c r="S33" s="3998"/>
      <c r="T33" s="3998"/>
      <c r="U33" s="3998"/>
      <c r="V33" s="3998"/>
      <c r="W33" s="3998"/>
      <c r="X33" s="3998"/>
      <c r="Y33" s="3998"/>
      <c r="Z33" s="3998"/>
      <c r="AA33" s="3998"/>
    </row>
    <row r="34" ht="12.75" customHeight="1" hidden="1">
      <c r="F34" s="3998"/>
      <c r="G34" s="3998"/>
      <c r="H34" s="3998"/>
      <c r="I34" s="3998"/>
      <c r="J34" s="3998"/>
      <c r="K34" s="3998"/>
      <c r="L34" s="3998"/>
      <c r="M34" s="3998"/>
      <c r="N34" s="3998"/>
      <c r="O34" s="3998"/>
      <c r="P34" s="3998"/>
      <c r="Q34" s="3998"/>
      <c r="R34" s="3998"/>
      <c r="S34" s="3998"/>
      <c r="T34" s="3998"/>
      <c r="U34" s="3998"/>
      <c r="V34" s="3998"/>
      <c r="W34" s="3998"/>
      <c r="X34" s="3998"/>
      <c r="Y34" s="3998"/>
      <c r="Z34" s="3998"/>
      <c r="AA34" s="3998"/>
    </row>
    <row r="35" ht="12.75" customHeight="1" hidden="1">
      <c r="F35" s="3998"/>
      <c r="G35" s="3998"/>
      <c r="H35" s="3998"/>
      <c r="I35" s="3998"/>
      <c r="J35" s="3998"/>
      <c r="K35" s="3998"/>
      <c r="L35" s="3998"/>
      <c r="M35" s="3998"/>
      <c r="N35" s="3998"/>
      <c r="O35" s="3998"/>
      <c r="P35" s="3998"/>
      <c r="Q35" s="3998"/>
      <c r="R35" s="3998"/>
      <c r="S35" s="3998"/>
      <c r="T35" s="3998"/>
      <c r="U35" s="3998"/>
      <c r="V35" s="3998"/>
      <c r="W35" s="3998"/>
      <c r="X35" s="3998"/>
      <c r="Y35" s="3998"/>
      <c r="Z35" s="3998"/>
      <c r="AA35" s="3998"/>
    </row>
    <row r="36" ht="12.75" customHeight="1" hidden="1">
      <c r="F36" s="3998"/>
      <c r="G36" s="3998"/>
      <c r="H36" s="3998"/>
      <c r="I36" s="3998"/>
      <c r="J36" s="3998"/>
      <c r="K36" s="3998"/>
      <c r="L36" s="3998"/>
      <c r="M36" s="3998"/>
      <c r="N36" s="3998"/>
      <c r="O36" s="3998"/>
      <c r="P36" s="3998"/>
      <c r="Q36" s="3998"/>
      <c r="R36" s="3998"/>
      <c r="S36" s="3998"/>
      <c r="T36" s="3998"/>
      <c r="U36" s="3998"/>
      <c r="V36" s="3998"/>
      <c r="W36" s="3998"/>
      <c r="X36" s="3998"/>
      <c r="Y36" s="3998"/>
      <c r="Z36" s="3998"/>
      <c r="AA36" s="3998"/>
    </row>
    <row r="37" ht="12.75" customHeight="1" hidden="1">
      <c r="F37" s="3998"/>
      <c r="G37" s="3998"/>
      <c r="H37" s="3998"/>
      <c r="I37" s="3998"/>
      <c r="J37" s="3998"/>
      <c r="K37" s="3998"/>
      <c r="L37" s="3998"/>
      <c r="M37" s="3998"/>
      <c r="N37" s="3998"/>
      <c r="O37" s="3998"/>
      <c r="P37" s="3998"/>
      <c r="Q37" s="3998"/>
      <c r="R37" s="3998"/>
      <c r="S37" s="3998"/>
      <c r="T37" s="3998"/>
      <c r="U37" s="3998"/>
      <c r="V37" s="3998"/>
      <c r="W37" s="3998"/>
      <c r="X37" s="3998"/>
      <c r="Y37" s="3998"/>
      <c r="Z37" s="3998"/>
      <c r="AA37" s="3998"/>
    </row>
    <row r="38" ht="12.75" customHeight="1" hidden="1">
      <c r="F38" s="3998"/>
      <c r="G38" s="3998"/>
      <c r="H38" s="3998"/>
      <c r="I38" s="3998"/>
      <c r="J38" s="3998"/>
      <c r="K38" s="3998"/>
      <c r="L38" s="3998"/>
      <c r="M38" s="3998"/>
      <c r="N38" s="3998"/>
      <c r="O38" s="3998"/>
      <c r="P38" s="3998"/>
      <c r="Q38" s="3998"/>
      <c r="R38" s="3998"/>
      <c r="S38" s="3998"/>
      <c r="T38" s="3998"/>
      <c r="U38" s="3998"/>
      <c r="V38" s="3998"/>
      <c r="W38" s="3998"/>
      <c r="X38" s="3998"/>
      <c r="Y38" s="3998"/>
      <c r="Z38" s="3998"/>
      <c r="AA38" s="3998"/>
    </row>
    <row r="39" ht="12.75" customHeight="1" hidden="1">
      <c r="F39" s="3998"/>
      <c r="G39" s="3998"/>
      <c r="H39" s="3998"/>
      <c r="I39" s="3998"/>
      <c r="J39" s="3998"/>
      <c r="K39" s="3998"/>
      <c r="L39" s="3998"/>
      <c r="M39" s="3998"/>
      <c r="N39" s="3998"/>
      <c r="O39" s="3998"/>
      <c r="P39" s="3998"/>
      <c r="Q39" s="3998"/>
      <c r="R39" s="3998"/>
      <c r="S39" s="3998"/>
      <c r="T39" s="3998"/>
      <c r="U39" s="3998"/>
      <c r="V39" s="3998"/>
      <c r="W39" s="3998"/>
      <c r="X39" s="3998"/>
      <c r="Y39" s="3998"/>
      <c r="Z39" s="3998"/>
      <c r="AA39" s="3998"/>
    </row>
    <row r="40" ht="12.75" customHeight="1" hidden="1">
      <c r="F40" s="3998"/>
      <c r="G40" s="3998"/>
      <c r="H40" s="3998"/>
      <c r="I40" s="3998"/>
      <c r="J40" s="3998"/>
      <c r="K40" s="3998"/>
      <c r="L40" s="3998"/>
      <c r="M40" s="3998"/>
      <c r="N40" s="3998"/>
      <c r="O40" s="3998"/>
      <c r="P40" s="3998"/>
      <c r="Q40" s="3998"/>
      <c r="R40" s="3998"/>
      <c r="S40" s="3998"/>
      <c r="T40" s="3998"/>
      <c r="U40" s="3998"/>
      <c r="V40" s="3998"/>
      <c r="W40" s="3998"/>
      <c r="X40" s="3998"/>
      <c r="Y40" s="3998"/>
      <c r="Z40" s="3998"/>
      <c r="AA40" s="3998"/>
    </row>
    <row r="41" ht="12.75" customHeight="1" hidden="1">
      <c r="F41" s="3998"/>
      <c r="G41" s="3998"/>
      <c r="H41" s="3998"/>
      <c r="I41" s="3998"/>
      <c r="J41" s="3998"/>
      <c r="K41" s="3998"/>
      <c r="L41" s="3998"/>
      <c r="M41" s="3998"/>
      <c r="N41" s="3998"/>
      <c r="O41" s="3998"/>
      <c r="P41" s="3998"/>
      <c r="Q41" s="3998"/>
      <c r="R41" s="3998"/>
      <c r="S41" s="3998"/>
      <c r="T41" s="3998"/>
      <c r="U41" s="3998"/>
      <c r="V41" s="3998"/>
      <c r="W41" s="3998"/>
      <c r="X41" s="3998"/>
      <c r="Y41" s="3998"/>
      <c r="Z41" s="3998"/>
      <c r="AA41" s="3998"/>
    </row>
    <row r="42" ht="12.75" customHeight="1" hidden="1">
      <c r="F42" s="3998"/>
      <c r="G42" s="3998"/>
      <c r="H42" s="3998"/>
      <c r="I42" s="3998"/>
      <c r="J42" s="3998"/>
      <c r="K42" s="3998"/>
      <c r="L42" s="3998"/>
      <c r="M42" s="3998"/>
      <c r="N42" s="3998"/>
      <c r="O42" s="3998"/>
      <c r="P42" s="3998"/>
      <c r="Q42" s="3998"/>
      <c r="R42" s="3998"/>
      <c r="S42" s="3998"/>
      <c r="T42" s="3998"/>
      <c r="U42" s="3998"/>
      <c r="V42" s="3998"/>
      <c r="W42" s="3998"/>
      <c r="X42" s="3998"/>
      <c r="Y42" s="3998"/>
      <c r="Z42" s="3998"/>
      <c r="AA42" s="3998"/>
    </row>
    <row r="43" ht="12.75" customHeight="1" hidden="1">
      <c r="F43" s="3998"/>
      <c r="G43" s="3998"/>
      <c r="H43" s="3998"/>
      <c r="I43" s="3998"/>
      <c r="J43" s="3998"/>
      <c r="K43" s="3998"/>
      <c r="L43" s="3998"/>
      <c r="M43" s="3998"/>
      <c r="N43" s="3998"/>
      <c r="O43" s="3998"/>
      <c r="P43" s="3998"/>
      <c r="Q43" s="3998"/>
      <c r="R43" s="3998"/>
      <c r="S43" s="3998"/>
      <c r="T43" s="3998"/>
      <c r="U43" s="3998"/>
      <c r="V43" s="3998"/>
      <c r="W43" s="3998"/>
      <c r="X43" s="3998"/>
      <c r="Y43" s="3998"/>
      <c r="Z43" s="3998"/>
      <c r="AA43" s="3998"/>
    </row>
    <row r="44" ht="12.75" customHeight="1" hidden="1">
      <c r="F44" s="3998"/>
      <c r="G44" s="3998"/>
      <c r="H44" s="3998"/>
      <c r="I44" s="3998"/>
      <c r="J44" s="3998"/>
      <c r="K44" s="3998"/>
      <c r="L44" s="3998"/>
      <c r="M44" s="3998"/>
      <c r="N44" s="3998"/>
      <c r="O44" s="3998"/>
      <c r="P44" s="3998"/>
      <c r="Q44" s="3998"/>
      <c r="R44" s="3998"/>
      <c r="S44" s="3998"/>
      <c r="T44" s="3998"/>
      <c r="U44" s="3998"/>
      <c r="V44" s="3998"/>
      <c r="W44" s="3998"/>
      <c r="X44" s="3998"/>
      <c r="Y44" s="3998"/>
      <c r="Z44" s="3998"/>
      <c r="AA44" s="3998"/>
    </row>
    <row r="45" ht="12.75" customHeight="1" hidden="1">
      <c r="F45" s="3998"/>
      <c r="G45" s="3998"/>
      <c r="H45" s="3998"/>
      <c r="I45" s="3998"/>
      <c r="J45" s="3998"/>
      <c r="K45" s="3998"/>
      <c r="L45" s="3998"/>
      <c r="M45" s="3998"/>
      <c r="N45" s="3998"/>
      <c r="O45" s="3998"/>
      <c r="P45" s="3998"/>
      <c r="Q45" s="3998"/>
      <c r="R45" s="3998"/>
      <c r="S45" s="3998"/>
      <c r="T45" s="3998"/>
      <c r="U45" s="3998"/>
      <c r="V45" s="3998"/>
      <c r="W45" s="3998"/>
      <c r="X45" s="3998"/>
      <c r="Y45" s="3998"/>
      <c r="Z45" s="3998"/>
      <c r="AA45" s="3998"/>
    </row>
    <row r="46" ht="12.75" customHeight="1" hidden="1">
      <c r="F46" s="3998"/>
      <c r="G46" s="3998"/>
      <c r="H46" s="3998"/>
      <c r="I46" s="3998"/>
      <c r="J46" s="3998"/>
      <c r="K46" s="3998"/>
      <c r="L46" s="3998"/>
      <c r="M46" s="3998"/>
      <c r="N46" s="3998"/>
      <c r="O46" s="3998"/>
      <c r="P46" s="3998"/>
      <c r="Q46" s="3998"/>
      <c r="R46" s="3998"/>
      <c r="S46" s="3998"/>
      <c r="T46" s="3998"/>
      <c r="U46" s="3998"/>
      <c r="V46" s="3998"/>
      <c r="W46" s="3998"/>
      <c r="X46" s="3998"/>
      <c r="Y46" s="3998"/>
      <c r="Z46" s="3998"/>
      <c r="AA46" s="3998"/>
    </row>
    <row r="47" ht="12.75" customHeight="1" hidden="1">
      <c r="F47" s="3998"/>
      <c r="G47" s="3998"/>
      <c r="H47" s="3998"/>
      <c r="I47" s="3998"/>
      <c r="J47" s="3998"/>
      <c r="K47" s="3998"/>
      <c r="L47" s="3998"/>
      <c r="M47" s="3998"/>
      <c r="N47" s="3998"/>
      <c r="O47" s="3998"/>
      <c r="P47" s="3998"/>
      <c r="Q47" s="3998"/>
      <c r="R47" s="3998"/>
      <c r="S47" s="3998"/>
      <c r="T47" s="3998"/>
      <c r="U47" s="3998"/>
      <c r="V47" s="3998"/>
      <c r="W47" s="3998"/>
      <c r="X47" s="3998"/>
      <c r="Y47" s="3998"/>
      <c r="Z47" s="3998"/>
      <c r="AA47" s="3998"/>
    </row>
    <row r="48" ht="12.75" customHeight="1" hidden="1">
      <c r="F48" s="3998"/>
      <c r="G48" s="3998"/>
      <c r="H48" s="3998"/>
      <c r="I48" s="3998"/>
      <c r="J48" s="3998"/>
      <c r="K48" s="3998"/>
      <c r="L48" s="3998"/>
      <c r="M48" s="3998"/>
      <c r="N48" s="3998"/>
      <c r="O48" s="3998"/>
      <c r="P48" s="3998"/>
      <c r="Q48" s="3998"/>
      <c r="R48" s="3998"/>
      <c r="S48" s="3998"/>
      <c r="T48" s="3998"/>
      <c r="U48" s="3998"/>
      <c r="V48" s="3998"/>
      <c r="W48" s="3998"/>
      <c r="X48" s="3998"/>
      <c r="Y48" s="3998"/>
      <c r="Z48" s="3998"/>
      <c r="AA48" s="3998"/>
    </row>
  </sheetData>
  <conditionalFormatting sqref="G27:P27">
    <cfRule type="cellIs" dxfId="65" priority="1" operator="equal" text="null">
      <formula>"Complete"</formula>
    </cfRule>
  </conditionalFormatting>
  <conditionalFormatting sqref="G27:P27">
    <cfRule type="cellIs" dxfId="58" priority="2" operator="equal" text="null">
      <formula>"Incomplete"</formula>
    </cfRule>
  </conditionalFormatting>
  <dataValidations count="11">
    <dataValidation allowBlank="1" error="Must be a 4-digit whole number, not before 1900, and_x005F_x005F_x000A_not in the future." errorTitle="Invalid Year" showErrorMessage="1" showInputMessage="1" sqref="G17" type="whole">
      <formula1>1900</formula1>
      <formula2>YEAR(TODAY())</formula2>
    </dataValidation>
    <dataValidation allowBlank="1" error="Must be a valid Excel date,_x005F_x005F_x000A_not before 1/1/1900, _x005F_x005F_x000A_and not in the future." errorTitle="Invalid Date of Sale" showErrorMessage="1" showInputMessage="1" sqref="G11:P11" type="date">
      <formula1>1</formula1>
      <formula2>TODAY()+60</formula2>
    </dataValidation>
    <dataValidation allowBlank="1" error="Must be a four-digit whole number, not in the future, and not before 1900." errorTitle="Invalid Year" showErrorMessage="1" showInputMessage="1" sqref="H17:P17" type="whole">
      <formula1>1900</formula1>
      <formula2>YEAR(TODAY())</formula2>
    </dataValidation>
    <dataValidation allowBlank="1" error="Must be a whole number,_x005F_x005F_x000A_not less than five(5),_x005F_x005F_x000A_and less than 10,000." errorTitle="Invalid Number of Units" showErrorMessage="1" showInputMessage="1" sqref="G18:P18" type="whole">
      <formula1>5</formula1>
      <formula2>9999</formula2>
    </dataValidation>
    <dataValidation operator="greaterThan" allowBlank="1" error="Must be a whole number,_x005F_x005F_x000A_greater than zero." errorTitle="Invalid Square Footage" showErrorMessage="1" showInputMessage="1" sqref="G19:P19" type="whole">
      <formula1>0</formula1>
    </dataValidation>
    <dataValidation operator="greaterThan" allowBlank="1" error="Must be a whole number,_x005F_x005F_x000A_greater than 0." errorTitle="Invalid Sale Price" showErrorMessage="1" showInputMessage="1" sqref="G21:P21" type="whole">
      <formula1>1</formula1>
    </dataValidation>
    <dataValidation operator="greaterThan" allowBlank="1" showErrorMessage="1" showInputMessage="1" sqref="G24:P24" type="whole">
      <formula1>0</formula1>
    </dataValidation>
    <dataValidation allowBlank="1" error="Must be a valid percentage,_x005F_x005F_x000A_between 0 and 20%" errorTitle="Invalid Cap Rate Percentage" showErrorMessage="1" showInputMessage="1" sqref="G25:P25" type="decimal">
      <formula1>0</formula1>
      <formula2>0.2</formula2>
    </dataValidation>
    <dataValidation allowBlank="1" error="You must select from the list." errorTitle="Invalid 2-Letter State" showErrorMessage="1" showInputMessage="1" sqref="G15:P15" type="list">
      <formula1>Dropdowns_ListOfStates</formula1>
    </dataValidation>
    <dataValidation allowBlank="1" showErrorMessage="1" showInputMessage="1" sqref="G26:P26" type="list">
      <formula1>"Similar,Inferior,Superior"</formula1>
    </dataValidation>
    <dataValidation allowBlank="1" error="Zip Code must be five digits (only), with leading zeroes for some East Coast zip codes." errorTitle="Invalid Zip Code" showErrorMessage="1" showInputMessage="1" sqref="G16:P16" type="custom">
      <formula1>AND(LEN(G16)=5,VALUE(G16)&gt;1000)</formula1>
    </dataValidation>
  </dataValidations>
  <printOptions/>
  <pageMargins left="0.2" right="0.15" top="0.75" bottom="0.75" header="0.3" footer="0.3"/>
  <pageSetup useFirstPageNumber="1" fitToHeight="-1" fitToWidth="1" paperSize="5" firstPageNumber="1" scale="62" pageOrder="downThenOver" orientation="landscape"/>
  <headerFooter>
    <oddHeader>&amp;L&amp;C&amp;R</oddHeader>
    <oddFooter>&amp;L&amp;C&amp;R</oddFooter>
  </headerFooter>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B15150D-835C-566E-111E-C5350436E32C}" mc:Ignorable="x14ac xr xr2 xr3">
  <sheetPr>
    <pageSetUpPr fitToPage="1"/>
  </sheetPr>
  <dimension ref="A1:AB108"/>
  <sheetViews>
    <sheetView topLeftCell="A1" workbookViewId="0">
      <selection activeCell="A1" sqref="A1"/>
    </sheetView>
  </sheetViews>
  <sheetFormatPr defaultRowHeight="15" defaultColWidth="9.57421875" customHeight="1"/>
  <cols>
    <col min="1" max="1" style="625" width="36.57421875" customWidth="1"/>
    <col min="2" max="2" style="625" width="18.57421875" customWidth="1"/>
    <col min="3" max="3" style="625" width="5.57421875" customWidth="1"/>
    <col min="4" max="4" style="625" width="17.00390625" customWidth="1"/>
    <col min="5" max="5" style="625" width="11.00390625" customWidth="1"/>
    <col min="6" max="6" style="625" width="9.57421875" customWidth="1"/>
    <col min="19" max="19" style="625" width="15.57421875" customWidth="1"/>
  </cols>
  <sheetData>
    <row r="1" ht="15" customHeight="1">
      <c r="A1" s="3846" t="s">
        <v>3420</v>
      </c>
      <c r="B1" s="3078"/>
      <c r="C1" s="3078"/>
      <c r="D1" s="3078"/>
      <c r="E1" s="3078"/>
      <c r="F1" s="3078"/>
      <c r="G1" s="4088" t="s">
        <v>3421</v>
      </c>
      <c r="H1" s="3165"/>
      <c r="I1" s="3187"/>
      <c r="J1" s="4089" t="s">
        <v>188</v>
      </c>
      <c r="K1" s="3183"/>
      <c r="L1" s="3183"/>
      <c r="M1" s="3183"/>
      <c r="N1" s="3183"/>
      <c r="O1" s="4090" t="s">
        <v>3422</v>
      </c>
      <c r="P1" s="4091" t="s">
        <v>3423</v>
      </c>
      <c r="Q1" s="3078"/>
      <c r="R1" s="3078"/>
      <c r="S1" s="4092">
        <f t="shared" si="0" ref="S1:S2">NOW()</f>
        <v>45201.47613553241</v>
      </c>
      <c r="T1" s="3078"/>
      <c r="U1" s="3078"/>
      <c r="V1" s="3078"/>
      <c r="W1" s="3078"/>
      <c r="X1" s="3078"/>
      <c r="Y1" s="3078"/>
      <c r="Z1" s="3078"/>
      <c r="AA1" s="3078"/>
      <c r="AB1" s="3078"/>
    </row>
    <row r="2" ht="15" customHeight="1">
      <c r="A2" s="3187"/>
      <c r="B2" s="3078"/>
      <c r="C2" s="3078"/>
      <c r="D2" s="3078"/>
      <c r="E2" s="3078"/>
      <c r="F2" s="3078"/>
      <c r="G2" s="4088" t="s">
        <v>3424</v>
      </c>
      <c r="H2" s="3165"/>
      <c r="I2" s="3187"/>
      <c r="J2" s="4093" t="s">
        <v>363</v>
      </c>
      <c r="K2" s="3183"/>
      <c r="L2" s="3183"/>
      <c r="M2" s="3183"/>
      <c r="N2" s="2651"/>
      <c r="O2" s="4090" t="s">
        <v>3425</v>
      </c>
      <c r="P2" s="4089" t="s">
        <v>269</v>
      </c>
      <c r="Q2" s="3078"/>
      <c r="R2" s="3078"/>
      <c r="S2" s="4094">
        <f t="shared" si="0"/>
        <v>45201.47613553241</v>
      </c>
      <c r="T2" s="3078"/>
      <c r="U2" s="3078"/>
      <c r="V2" s="3078"/>
      <c r="W2" s="3078"/>
      <c r="X2" s="3078"/>
      <c r="Y2" s="3078"/>
      <c r="Z2" s="3078"/>
      <c r="AA2" s="3078"/>
      <c r="AB2" s="3078"/>
    </row>
    <row r="3" ht="15" customHeight="1">
      <c r="A3" s="3078" t="s">
        <v>2420</v>
      </c>
      <c r="B3" s="3078" t="str">
        <f>PropertyName_DataPageTab</f>
        <v>XXXX</v>
      </c>
      <c r="C3" s="3078"/>
      <c r="D3" s="3078"/>
      <c r="E3" s="3078"/>
      <c r="F3" s="3078"/>
      <c r="G3" s="2650" t="s">
        <v>2114</v>
      </c>
      <c r="H3" s="3183"/>
      <c r="I3" s="4095"/>
      <c r="J3" s="4096">
        <f>TotalUnits</f>
        <v>85</v>
      </c>
      <c r="K3" s="3183"/>
      <c r="L3" s="3183"/>
      <c r="M3" s="3183"/>
      <c r="N3" s="2651"/>
      <c r="O3" s="4090"/>
      <c r="P3" s="4089"/>
      <c r="Q3" s="3078"/>
      <c r="R3" s="3078"/>
      <c r="S3" s="3078"/>
      <c r="T3" s="3078"/>
      <c r="U3" s="3078"/>
      <c r="V3" s="3078"/>
      <c r="W3" s="3078"/>
      <c r="X3" s="3078"/>
      <c r="Y3" s="3078"/>
      <c r="Z3" s="3078"/>
      <c r="AA3" s="3078"/>
      <c r="AB3" s="3078"/>
    </row>
    <row r="4" ht="15" customHeight="1">
      <c r="A4" s="3078"/>
      <c r="B4" s="3078"/>
      <c r="C4" s="3078"/>
      <c r="D4" s="3078"/>
      <c r="E4" s="3078"/>
      <c r="F4" s="3078"/>
      <c r="G4" s="2650" t="s">
        <v>668</v>
      </c>
      <c r="H4" s="3078"/>
      <c r="I4" s="4095"/>
      <c r="J4" s="4096" t="str">
        <f>YearBuilt_DataPageTab</f>
        <v>XXXX</v>
      </c>
      <c r="K4" s="3078"/>
      <c r="L4" s="3078"/>
      <c r="M4" s="3078"/>
      <c r="N4" s="3078"/>
      <c r="O4" s="4090" t="s">
        <v>3426</v>
      </c>
      <c r="P4" s="4097" t="e">
        <f>ROUNDUP(IF(Term&gt;10,10,Term),0)</f>
        <v>#NAME?</v>
      </c>
      <c r="Q4" s="3078"/>
      <c r="R4" s="3078"/>
      <c r="S4" s="3078"/>
      <c r="T4" s="3078"/>
      <c r="U4" s="3078"/>
      <c r="V4" s="3078"/>
      <c r="W4" s="3078"/>
      <c r="X4" s="3078"/>
      <c r="Y4" s="3078"/>
      <c r="Z4" s="3078"/>
      <c r="AA4" s="3078"/>
      <c r="AB4" s="3078"/>
    </row>
    <row r="5" ht="15" customHeight="1">
      <c r="A5" s="3078"/>
      <c r="B5" s="3078"/>
      <c r="C5" s="3078"/>
      <c r="D5" s="3078"/>
      <c r="E5" s="3078"/>
      <c r="F5" s="3078"/>
      <c r="G5" s="3078"/>
      <c r="H5" s="3078"/>
      <c r="I5" s="3078"/>
      <c r="J5" s="3078"/>
      <c r="K5" s="3078"/>
      <c r="L5" s="3078"/>
      <c r="M5" s="3078"/>
      <c r="N5" s="3078"/>
      <c r="O5" s="3078"/>
      <c r="P5" s="3078"/>
      <c r="Q5" s="3078"/>
      <c r="R5" s="3078"/>
      <c r="S5" s="3078"/>
      <c r="T5" s="3078"/>
      <c r="U5" s="3078"/>
      <c r="V5" s="3078"/>
      <c r="W5" s="3078"/>
      <c r="X5" s="3078"/>
      <c r="Y5" s="3078"/>
      <c r="Z5" s="3078"/>
      <c r="AA5" s="3078"/>
      <c r="AB5" s="3078"/>
    </row>
    <row r="6" ht="15" customHeight="1">
      <c r="A6" s="4098"/>
      <c r="B6" s="4099"/>
      <c r="C6" s="4099"/>
      <c r="D6" s="4100" t="s">
        <v>3427</v>
      </c>
      <c r="E6" s="4101" t="s">
        <v>3428</v>
      </c>
      <c r="F6" s="4102" t="s">
        <v>3429</v>
      </c>
      <c r="G6" s="4103" t="s">
        <v>3430</v>
      </c>
      <c r="H6" s="4103" t="s">
        <v>3430</v>
      </c>
      <c r="I6" s="4103" t="s">
        <v>3430</v>
      </c>
      <c r="J6" s="4103" t="s">
        <v>3430</v>
      </c>
      <c r="K6" s="4103" t="s">
        <v>3430</v>
      </c>
      <c r="L6" s="4103" t="s">
        <v>3430</v>
      </c>
      <c r="M6" s="4103" t="s">
        <v>3430</v>
      </c>
      <c r="N6" s="4103" t="s">
        <v>3430</v>
      </c>
      <c r="O6" s="4103" t="s">
        <v>3430</v>
      </c>
      <c r="P6" s="4103" t="s">
        <v>3430</v>
      </c>
      <c r="Q6" s="4103" t="s">
        <v>3430</v>
      </c>
      <c r="R6" s="4103" t="s">
        <v>3430</v>
      </c>
      <c r="S6" s="4101" t="e">
        <f>(P4+2)&amp;" YR"</f>
        <v>#NAME?</v>
      </c>
      <c r="T6" s="4104"/>
      <c r="U6" s="3078"/>
      <c r="V6" s="3078"/>
      <c r="W6" s="3078"/>
      <c r="X6" s="3078"/>
      <c r="Y6" s="3078"/>
      <c r="Z6" s="3078"/>
      <c r="AA6" s="3078"/>
      <c r="AB6" s="3078"/>
    </row>
    <row r="7" ht="15" customHeight="1">
      <c r="A7" s="4105" t="s">
        <v>3431</v>
      </c>
      <c r="B7" s="4106"/>
      <c r="C7" s="4106"/>
      <c r="D7" s="4107" t="s">
        <v>3432</v>
      </c>
      <c r="E7" s="4108" t="s">
        <v>3433</v>
      </c>
      <c r="F7" s="4109" t="s">
        <v>3434</v>
      </c>
      <c r="G7" s="4110">
        <v>1</v>
      </c>
      <c r="H7" s="4110">
        <f t="shared" si="1" ref="H7:R7">G7+1</f>
        <v>2</v>
      </c>
      <c r="I7" s="4110">
        <f t="shared" si="1"/>
        <v>3</v>
      </c>
      <c r="J7" s="4110">
        <f t="shared" si="1"/>
        <v>4</v>
      </c>
      <c r="K7" s="4110">
        <f t="shared" si="1"/>
        <v>5</v>
      </c>
      <c r="L7" s="4110">
        <f t="shared" si="1"/>
        <v>6</v>
      </c>
      <c r="M7" s="4110">
        <f t="shared" si="1"/>
        <v>7</v>
      </c>
      <c r="N7" s="4110">
        <f t="shared" si="1"/>
        <v>8</v>
      </c>
      <c r="O7" s="4110">
        <f t="shared" si="1"/>
        <v>9</v>
      </c>
      <c r="P7" s="4110">
        <f t="shared" si="1"/>
        <v>10</v>
      </c>
      <c r="Q7" s="4110">
        <f t="shared" si="1"/>
        <v>11</v>
      </c>
      <c r="R7" s="4110">
        <f t="shared" si="1"/>
        <v>12</v>
      </c>
      <c r="S7" s="4111" t="s">
        <v>2999</v>
      </c>
      <c r="T7" s="4104"/>
      <c r="U7" s="2649"/>
      <c r="V7" s="2649"/>
      <c r="W7" s="3078"/>
      <c r="X7" s="3078"/>
      <c r="Y7" s="3078"/>
      <c r="Z7" s="3078"/>
      <c r="AA7" s="3078"/>
      <c r="AB7" s="3078"/>
    </row>
    <row r="8" ht="15" customHeight="1">
      <c r="A8" s="4112" t="s">
        <v>3435</v>
      </c>
      <c r="B8" s="2649"/>
      <c r="C8" s="2649"/>
      <c r="D8" s="4113"/>
      <c r="E8" s="4114"/>
      <c r="F8" s="4115">
        <v>0.03</v>
      </c>
      <c r="G8" s="4116">
        <v>1</v>
      </c>
      <c r="H8" s="4116">
        <f t="shared" si="2" ref="H8:R8">G8*(1+$F$8)</f>
        <v>1.03</v>
      </c>
      <c r="I8" s="4116">
        <f t="shared" si="2"/>
        <v>1.0609</v>
      </c>
      <c r="J8" s="4116">
        <f t="shared" si="2"/>
        <v>1.092727</v>
      </c>
      <c r="K8" s="4116">
        <f t="shared" si="2"/>
        <v>1.1255088100000001</v>
      </c>
      <c r="L8" s="4116">
        <f t="shared" si="2"/>
        <v>1.1592740743</v>
      </c>
      <c r="M8" s="4116">
        <f t="shared" si="2"/>
        <v>1.1940522965290001</v>
      </c>
      <c r="N8" s="4116">
        <f t="shared" si="2"/>
        <v>1.2298738654248702</v>
      </c>
      <c r="O8" s="4116">
        <f t="shared" si="2"/>
        <v>1.2667700813876164</v>
      </c>
      <c r="P8" s="4116">
        <f t="shared" si="2"/>
        <v>1.304773183829245</v>
      </c>
      <c r="Q8" s="4116">
        <f t="shared" si="2"/>
        <v>1.3439163793441222</v>
      </c>
      <c r="R8" s="4116">
        <f t="shared" si="2"/>
        <v>1.384233870724446</v>
      </c>
      <c r="S8" s="4112"/>
      <c r="T8" s="2649"/>
      <c r="U8" s="2649"/>
      <c r="V8" s="2649"/>
      <c r="W8" s="3078"/>
      <c r="X8" s="3078"/>
      <c r="Y8" s="3078"/>
      <c r="Z8" s="3078"/>
      <c r="AA8" s="3078"/>
      <c r="AB8" s="3078"/>
    </row>
    <row r="9" ht="15" customHeight="1">
      <c r="A9" s="4112" t="s">
        <v>3436</v>
      </c>
      <c r="B9" s="2649"/>
      <c r="C9" s="2649"/>
      <c r="D9" s="4117"/>
      <c r="E9" s="4118"/>
      <c r="F9" s="4119"/>
      <c r="G9" s="4120">
        <v>0.025</v>
      </c>
      <c r="H9" s="4120">
        <v>0.025</v>
      </c>
      <c r="I9" s="4120">
        <v>0.025</v>
      </c>
      <c r="J9" s="4120">
        <v>0.025</v>
      </c>
      <c r="K9" s="4120">
        <v>0.025</v>
      </c>
      <c r="L9" s="4120">
        <v>0.025</v>
      </c>
      <c r="M9" s="4120">
        <v>0.025</v>
      </c>
      <c r="N9" s="4120">
        <v>0.025</v>
      </c>
      <c r="O9" s="4120">
        <v>0.025</v>
      </c>
      <c r="P9" s="4120">
        <v>0.025</v>
      </c>
      <c r="Q9" s="4120">
        <v>0.025</v>
      </c>
      <c r="R9" s="4120">
        <v>0.025</v>
      </c>
      <c r="S9" s="4112"/>
      <c r="T9" s="2649"/>
      <c r="U9" s="2649"/>
      <c r="V9" s="2649"/>
      <c r="W9" s="3078"/>
      <c r="X9" s="3078"/>
      <c r="Y9" s="3078"/>
      <c r="Z9" s="3078"/>
      <c r="AA9" s="3078"/>
      <c r="AB9" s="3078"/>
    </row>
    <row r="10" ht="15" customHeight="1">
      <c r="A10" s="2649"/>
      <c r="B10" s="2649"/>
      <c r="C10" s="2649"/>
      <c r="D10" s="2649"/>
      <c r="E10" s="2649"/>
      <c r="F10" s="2649"/>
      <c r="G10" s="3205"/>
      <c r="H10" s="3205"/>
      <c r="I10" s="3205"/>
      <c r="J10" s="3205"/>
      <c r="K10" s="3205"/>
      <c r="L10" s="3205"/>
      <c r="M10" s="3205"/>
      <c r="N10" s="3205"/>
      <c r="O10" s="3205"/>
      <c r="P10" s="3205"/>
      <c r="Q10" s="3205"/>
      <c r="R10" s="3205"/>
      <c r="S10" s="2649"/>
      <c r="T10" s="2649"/>
      <c r="U10" s="2649"/>
      <c r="V10" s="2649"/>
      <c r="W10" s="3078"/>
      <c r="X10" s="3078"/>
      <c r="Y10" s="3078"/>
      <c r="Z10" s="3078"/>
      <c r="AA10" s="3078"/>
      <c r="AB10" s="3078"/>
    </row>
    <row r="11" ht="15" customHeight="1">
      <c r="A11" s="4121" t="s">
        <v>3437</v>
      </c>
      <c r="B11" s="2649"/>
      <c r="C11" s="2649"/>
      <c r="D11" s="4122" t="s">
        <v>3438</v>
      </c>
      <c r="E11" s="4114"/>
      <c r="F11" s="4114"/>
      <c r="G11" s="4123">
        <v>0</v>
      </c>
      <c r="H11" s="4123">
        <v>0</v>
      </c>
      <c r="I11" s="4123">
        <v>0</v>
      </c>
      <c r="J11" s="4123">
        <v>0</v>
      </c>
      <c r="K11" s="4123">
        <v>0</v>
      </c>
      <c r="L11" s="4123">
        <v>0</v>
      </c>
      <c r="M11" s="4123">
        <v>0</v>
      </c>
      <c r="N11" s="4123">
        <v>0</v>
      </c>
      <c r="O11" s="4123">
        <v>0</v>
      </c>
      <c r="P11" s="4123">
        <v>0</v>
      </c>
      <c r="Q11" s="4123">
        <v>0</v>
      </c>
      <c r="R11" s="4123">
        <v>0</v>
      </c>
      <c r="S11" s="4124" t="e">
        <f t="shared" si="3" ref="S11:S37">IF(COLUMN(S11)-COLUMN(F11)-2&gt;=$P$4,SUM(G11:INDIRECT(ADDRESS(ROW(F11),COLUMN(F11)+$P$4+2))),SUM(G11:INDIRECT(ADDRESS(ROW(F11),COLUMN(S11)-1))))</f>
        <v>#NAME?</v>
      </c>
      <c r="T11" s="2649"/>
      <c r="U11" s="2649"/>
      <c r="V11" s="4125"/>
      <c r="W11" s="3078"/>
      <c r="X11" s="3078"/>
      <c r="Y11" s="3078"/>
      <c r="Z11" s="3078"/>
      <c r="AA11" s="3078"/>
      <c r="AB11" s="3078"/>
    </row>
    <row r="12" ht="15" customHeight="1">
      <c r="A12" s="4121" t="s">
        <v>3439</v>
      </c>
      <c r="B12" s="2649"/>
      <c r="C12" s="2649"/>
      <c r="D12" s="4126" t="s">
        <v>3438</v>
      </c>
      <c r="E12" s="4127"/>
      <c r="F12" s="4127"/>
      <c r="G12" s="4123">
        <v>0</v>
      </c>
      <c r="H12" s="4123">
        <v>0</v>
      </c>
      <c r="I12" s="4123">
        <v>0</v>
      </c>
      <c r="J12" s="4123">
        <v>0</v>
      </c>
      <c r="K12" s="4123">
        <v>0</v>
      </c>
      <c r="L12" s="4123">
        <v>0</v>
      </c>
      <c r="M12" s="4123">
        <v>0</v>
      </c>
      <c r="N12" s="4123">
        <v>0</v>
      </c>
      <c r="O12" s="4123">
        <v>0</v>
      </c>
      <c r="P12" s="4123">
        <v>0</v>
      </c>
      <c r="Q12" s="4123">
        <v>0</v>
      </c>
      <c r="R12" s="4123">
        <v>0</v>
      </c>
      <c r="S12" s="4124" t="e">
        <f t="shared" si="3"/>
        <v>#NAME?</v>
      </c>
      <c r="T12" s="2649"/>
      <c r="U12" s="2649"/>
      <c r="V12" s="2649"/>
      <c r="W12" s="3078"/>
      <c r="X12" s="3078"/>
      <c r="Y12" s="3078"/>
      <c r="Z12" s="3078"/>
      <c r="AA12" s="3078"/>
      <c r="AB12" s="3078"/>
    </row>
    <row r="13" ht="15" customHeight="1">
      <c r="A13" s="4121" t="s">
        <v>3440</v>
      </c>
      <c r="B13" s="2649"/>
      <c r="C13" s="2649"/>
      <c r="D13" s="4126" t="s">
        <v>3438</v>
      </c>
      <c r="E13" s="4127"/>
      <c r="F13" s="4127"/>
      <c r="G13" s="4123">
        <v>0</v>
      </c>
      <c r="H13" s="4123">
        <v>0</v>
      </c>
      <c r="I13" s="4123">
        <v>0</v>
      </c>
      <c r="J13" s="4123">
        <v>0</v>
      </c>
      <c r="K13" s="4123">
        <v>0</v>
      </c>
      <c r="L13" s="4123">
        <v>0</v>
      </c>
      <c r="M13" s="4123">
        <v>0</v>
      </c>
      <c r="N13" s="4123">
        <v>0</v>
      </c>
      <c r="O13" s="4123">
        <v>0</v>
      </c>
      <c r="P13" s="4123">
        <v>0</v>
      </c>
      <c r="Q13" s="4123">
        <v>0</v>
      </c>
      <c r="R13" s="4123">
        <v>0</v>
      </c>
      <c r="S13" s="4124" t="e">
        <f t="shared" si="3"/>
        <v>#NAME?</v>
      </c>
      <c r="T13" s="2649"/>
      <c r="U13" s="2649"/>
      <c r="V13" s="2649"/>
      <c r="W13" s="3078"/>
      <c r="X13" s="3078"/>
      <c r="Y13" s="3078"/>
      <c r="Z13" s="3078"/>
      <c r="AA13" s="3078"/>
      <c r="AB13" s="3078"/>
    </row>
    <row r="14" ht="15" customHeight="1">
      <c r="A14" s="4121" t="s">
        <v>3441</v>
      </c>
      <c r="B14" s="2649"/>
      <c r="C14" s="2649"/>
      <c r="D14" s="4126" t="s">
        <v>3438</v>
      </c>
      <c r="E14" s="4127"/>
      <c r="F14" s="4127"/>
      <c r="G14" s="4123">
        <v>0</v>
      </c>
      <c r="H14" s="4123">
        <v>0</v>
      </c>
      <c r="I14" s="4123">
        <v>0</v>
      </c>
      <c r="J14" s="4123">
        <v>0</v>
      </c>
      <c r="K14" s="4123">
        <v>0</v>
      </c>
      <c r="L14" s="4123">
        <v>0</v>
      </c>
      <c r="M14" s="4123">
        <v>0</v>
      </c>
      <c r="N14" s="4123">
        <v>0</v>
      </c>
      <c r="O14" s="4123">
        <v>0</v>
      </c>
      <c r="P14" s="4123">
        <v>0</v>
      </c>
      <c r="Q14" s="4123">
        <v>0</v>
      </c>
      <c r="R14" s="4123">
        <v>0</v>
      </c>
      <c r="S14" s="4124" t="e">
        <f t="shared" si="3"/>
        <v>#NAME?</v>
      </c>
      <c r="T14" s="2649"/>
      <c r="U14" s="2649"/>
      <c r="V14" s="2649"/>
      <c r="W14" s="3078"/>
      <c r="X14" s="3078"/>
      <c r="Y14" s="3078"/>
      <c r="Z14" s="3078"/>
      <c r="AA14" s="3078"/>
      <c r="AB14" s="3078"/>
    </row>
    <row r="15" ht="15" customHeight="1">
      <c r="A15" s="4121" t="s">
        <v>3442</v>
      </c>
      <c r="B15" s="2649"/>
      <c r="C15" s="2649"/>
      <c r="D15" s="4126" t="s">
        <v>3438</v>
      </c>
      <c r="E15" s="4127"/>
      <c r="F15" s="4127"/>
      <c r="G15" s="4123">
        <v>0</v>
      </c>
      <c r="H15" s="4123">
        <v>0</v>
      </c>
      <c r="I15" s="4123">
        <v>0</v>
      </c>
      <c r="J15" s="4123">
        <v>0</v>
      </c>
      <c r="K15" s="4123">
        <v>0</v>
      </c>
      <c r="L15" s="4123">
        <v>0</v>
      </c>
      <c r="M15" s="4123">
        <v>0</v>
      </c>
      <c r="N15" s="4123">
        <v>0</v>
      </c>
      <c r="O15" s="4123">
        <v>0</v>
      </c>
      <c r="P15" s="4123">
        <v>0</v>
      </c>
      <c r="Q15" s="4123">
        <v>0</v>
      </c>
      <c r="R15" s="4123">
        <v>0</v>
      </c>
      <c r="S15" s="4124" t="e">
        <f t="shared" si="3"/>
        <v>#NAME?</v>
      </c>
      <c r="T15" s="2649"/>
      <c r="U15" s="2649"/>
      <c r="V15" s="2649"/>
      <c r="W15" s="3078"/>
      <c r="X15" s="3078"/>
      <c r="Y15" s="3078"/>
      <c r="Z15" s="3078"/>
      <c r="AA15" s="3078"/>
      <c r="AB15" s="3078"/>
    </row>
    <row r="16" ht="15" customHeight="1">
      <c r="A16" s="4121" t="s">
        <v>3443</v>
      </c>
      <c r="B16" s="2649"/>
      <c r="C16" s="2649"/>
      <c r="D16" s="4126" t="s">
        <v>3438</v>
      </c>
      <c r="E16" s="4127"/>
      <c r="F16" s="4127"/>
      <c r="G16" s="4123">
        <v>0</v>
      </c>
      <c r="H16" s="4123">
        <v>0</v>
      </c>
      <c r="I16" s="4123">
        <v>0</v>
      </c>
      <c r="J16" s="4123">
        <v>0</v>
      </c>
      <c r="K16" s="4123">
        <v>0</v>
      </c>
      <c r="L16" s="4123">
        <v>0</v>
      </c>
      <c r="M16" s="4123">
        <v>0</v>
      </c>
      <c r="N16" s="4123">
        <v>0</v>
      </c>
      <c r="O16" s="4123">
        <v>0</v>
      </c>
      <c r="P16" s="4123">
        <v>0</v>
      </c>
      <c r="Q16" s="4123">
        <v>0</v>
      </c>
      <c r="R16" s="4123">
        <v>0</v>
      </c>
      <c r="S16" s="4124" t="e">
        <f t="shared" si="3"/>
        <v>#NAME?</v>
      </c>
      <c r="T16" s="2649"/>
      <c r="U16" s="2649"/>
      <c r="V16" s="2649"/>
      <c r="W16" s="3078"/>
      <c r="X16" s="3078"/>
      <c r="Y16" s="3078"/>
      <c r="Z16" s="3078"/>
      <c r="AA16" s="3078"/>
      <c r="AB16" s="3078"/>
    </row>
    <row r="17" ht="15" customHeight="1">
      <c r="A17" s="4121" t="s">
        <v>3444</v>
      </c>
      <c r="B17" s="2649"/>
      <c r="C17" s="2649"/>
      <c r="D17" s="4126" t="s">
        <v>3438</v>
      </c>
      <c r="E17" s="4127"/>
      <c r="F17" s="4127"/>
      <c r="G17" s="4123">
        <v>0</v>
      </c>
      <c r="H17" s="4123">
        <v>0</v>
      </c>
      <c r="I17" s="4123">
        <v>0</v>
      </c>
      <c r="J17" s="4123">
        <v>0</v>
      </c>
      <c r="K17" s="4123">
        <v>0</v>
      </c>
      <c r="L17" s="4123">
        <v>0</v>
      </c>
      <c r="M17" s="4123">
        <v>0</v>
      </c>
      <c r="N17" s="4123">
        <v>0</v>
      </c>
      <c r="O17" s="4123">
        <v>0</v>
      </c>
      <c r="P17" s="4123">
        <v>0</v>
      </c>
      <c r="Q17" s="4123">
        <v>0</v>
      </c>
      <c r="R17" s="4123">
        <v>0</v>
      </c>
      <c r="S17" s="4124" t="e">
        <f t="shared" si="3"/>
        <v>#NAME?</v>
      </c>
      <c r="T17" s="2649"/>
      <c r="U17" s="2649"/>
      <c r="V17" s="2649"/>
      <c r="W17" s="3078"/>
      <c r="X17" s="3078"/>
      <c r="Y17" s="3078"/>
      <c r="Z17" s="3078"/>
      <c r="AA17" s="3078"/>
      <c r="AB17" s="3078"/>
    </row>
    <row r="18" ht="15" customHeight="1">
      <c r="A18" s="4121" t="s">
        <v>3445</v>
      </c>
      <c r="B18" s="2649"/>
      <c r="C18" s="2649"/>
      <c r="D18" s="4126" t="s">
        <v>3438</v>
      </c>
      <c r="E18" s="4127"/>
      <c r="F18" s="4127"/>
      <c r="G18" s="4123">
        <v>0</v>
      </c>
      <c r="H18" s="4123">
        <v>0</v>
      </c>
      <c r="I18" s="4123">
        <v>0</v>
      </c>
      <c r="J18" s="4123">
        <v>0</v>
      </c>
      <c r="K18" s="4123">
        <v>0</v>
      </c>
      <c r="L18" s="4123">
        <v>0</v>
      </c>
      <c r="M18" s="4123">
        <v>0</v>
      </c>
      <c r="N18" s="4123">
        <v>0</v>
      </c>
      <c r="O18" s="4123">
        <v>0</v>
      </c>
      <c r="P18" s="4123">
        <v>0</v>
      </c>
      <c r="Q18" s="4123">
        <v>0</v>
      </c>
      <c r="R18" s="4123">
        <v>0</v>
      </c>
      <c r="S18" s="4124" t="e">
        <f t="shared" si="3"/>
        <v>#NAME?</v>
      </c>
      <c r="T18" s="2649"/>
      <c r="U18" s="2649"/>
      <c r="V18" s="2649"/>
      <c r="W18" s="3078"/>
      <c r="X18" s="3078"/>
      <c r="Y18" s="3078"/>
      <c r="Z18" s="3078"/>
      <c r="AA18" s="3078"/>
      <c r="AB18" s="3078"/>
    </row>
    <row r="19" ht="15" customHeight="1">
      <c r="A19" s="4121" t="s">
        <v>3446</v>
      </c>
      <c r="B19" s="2649"/>
      <c r="C19" s="2649"/>
      <c r="D19" s="4126" t="s">
        <v>3438</v>
      </c>
      <c r="E19" s="4127"/>
      <c r="F19" s="4127"/>
      <c r="G19" s="4123">
        <v>0</v>
      </c>
      <c r="H19" s="4123">
        <v>0</v>
      </c>
      <c r="I19" s="4123">
        <v>0</v>
      </c>
      <c r="J19" s="4123">
        <v>0</v>
      </c>
      <c r="K19" s="4123">
        <v>0</v>
      </c>
      <c r="L19" s="4123">
        <v>0</v>
      </c>
      <c r="M19" s="4123">
        <v>0</v>
      </c>
      <c r="N19" s="4123">
        <v>0</v>
      </c>
      <c r="O19" s="4123">
        <v>0</v>
      </c>
      <c r="P19" s="4123">
        <v>0</v>
      </c>
      <c r="Q19" s="4123">
        <v>0</v>
      </c>
      <c r="R19" s="4123">
        <v>0</v>
      </c>
      <c r="S19" s="4124" t="e">
        <f t="shared" si="3"/>
        <v>#NAME?</v>
      </c>
      <c r="T19" s="2649"/>
      <c r="U19" s="2649"/>
      <c r="V19" s="2649"/>
      <c r="W19" s="3078"/>
      <c r="X19" s="3078"/>
      <c r="Y19" s="3078"/>
      <c r="Z19" s="3078"/>
      <c r="AA19" s="3078"/>
      <c r="AB19" s="3078"/>
    </row>
    <row r="20" ht="15" customHeight="1">
      <c r="A20" s="4121" t="s">
        <v>3447</v>
      </c>
      <c r="B20" s="2649"/>
      <c r="C20" s="2649"/>
      <c r="D20" s="4126" t="s">
        <v>3438</v>
      </c>
      <c r="E20" s="4127"/>
      <c r="F20" s="4127"/>
      <c r="G20" s="4123">
        <v>0</v>
      </c>
      <c r="H20" s="4123">
        <v>0</v>
      </c>
      <c r="I20" s="4123">
        <v>0</v>
      </c>
      <c r="J20" s="4123">
        <v>0</v>
      </c>
      <c r="K20" s="4123">
        <v>0</v>
      </c>
      <c r="L20" s="4123">
        <v>0</v>
      </c>
      <c r="M20" s="4123">
        <v>0</v>
      </c>
      <c r="N20" s="4123">
        <v>0</v>
      </c>
      <c r="O20" s="4123">
        <v>0</v>
      </c>
      <c r="P20" s="4123">
        <v>0</v>
      </c>
      <c r="Q20" s="4123">
        <v>0</v>
      </c>
      <c r="R20" s="4123">
        <v>0</v>
      </c>
      <c r="S20" s="4124" t="e">
        <f t="shared" si="3"/>
        <v>#NAME?</v>
      </c>
      <c r="T20" s="2649"/>
      <c r="U20" s="2649"/>
      <c r="V20" s="2649"/>
      <c r="W20" s="3078"/>
      <c r="X20" s="3078"/>
      <c r="Y20" s="3078"/>
      <c r="Z20" s="3078"/>
      <c r="AA20" s="3078"/>
      <c r="AB20" s="3078"/>
    </row>
    <row r="21" ht="15" customHeight="1">
      <c r="A21" s="4121" t="s">
        <v>3448</v>
      </c>
      <c r="B21" s="2649"/>
      <c r="C21" s="2649"/>
      <c r="D21" s="4126" t="s">
        <v>3438</v>
      </c>
      <c r="E21" s="4127"/>
      <c r="F21" s="4127"/>
      <c r="G21" s="4123">
        <v>0</v>
      </c>
      <c r="H21" s="4123">
        <v>0</v>
      </c>
      <c r="I21" s="4123">
        <v>0</v>
      </c>
      <c r="J21" s="4123">
        <v>0</v>
      </c>
      <c r="K21" s="4123">
        <v>0</v>
      </c>
      <c r="L21" s="4123">
        <v>0</v>
      </c>
      <c r="M21" s="4123">
        <v>0</v>
      </c>
      <c r="N21" s="4123">
        <v>0</v>
      </c>
      <c r="O21" s="4123">
        <v>0</v>
      </c>
      <c r="P21" s="4123">
        <v>0</v>
      </c>
      <c r="Q21" s="4123">
        <v>0</v>
      </c>
      <c r="R21" s="4123">
        <v>0</v>
      </c>
      <c r="S21" s="4124" t="e">
        <f t="shared" si="3"/>
        <v>#NAME?</v>
      </c>
      <c r="T21" s="2649"/>
      <c r="U21" s="2649"/>
      <c r="V21" s="2649"/>
      <c r="W21" s="3078"/>
      <c r="X21" s="3078"/>
      <c r="Y21" s="3078"/>
      <c r="Z21" s="3078"/>
      <c r="AA21" s="3078"/>
      <c r="AB21" s="3078"/>
    </row>
    <row r="22" ht="15" customHeight="1">
      <c r="A22" s="4121" t="s">
        <v>3449</v>
      </c>
      <c r="B22" s="2649"/>
      <c r="C22" s="2649"/>
      <c r="D22" s="4126" t="s">
        <v>3438</v>
      </c>
      <c r="E22" s="4127"/>
      <c r="F22" s="4127"/>
      <c r="G22" s="4123">
        <v>0</v>
      </c>
      <c r="H22" s="4123">
        <v>0</v>
      </c>
      <c r="I22" s="4123">
        <v>0</v>
      </c>
      <c r="J22" s="4123">
        <v>0</v>
      </c>
      <c r="K22" s="4123">
        <v>0</v>
      </c>
      <c r="L22" s="4123">
        <v>0</v>
      </c>
      <c r="M22" s="4123">
        <v>0</v>
      </c>
      <c r="N22" s="4123">
        <v>0</v>
      </c>
      <c r="O22" s="4123">
        <v>0</v>
      </c>
      <c r="P22" s="4123">
        <v>0</v>
      </c>
      <c r="Q22" s="4123">
        <v>0</v>
      </c>
      <c r="R22" s="4123">
        <v>0</v>
      </c>
      <c r="S22" s="4124" t="e">
        <f t="shared" si="3"/>
        <v>#NAME?</v>
      </c>
      <c r="T22" s="2649"/>
      <c r="U22" s="2649"/>
      <c r="V22" s="2649"/>
      <c r="W22" s="3078"/>
      <c r="X22" s="3078"/>
      <c r="Y22" s="3078"/>
      <c r="Z22" s="3078"/>
      <c r="AA22" s="3078"/>
      <c r="AB22" s="3078"/>
    </row>
    <row r="23" ht="15" customHeight="1">
      <c r="A23" s="4121" t="s">
        <v>3450</v>
      </c>
      <c r="B23" s="2649"/>
      <c r="C23" s="2649"/>
      <c r="D23" s="4126" t="s">
        <v>3438</v>
      </c>
      <c r="E23" s="4127"/>
      <c r="F23" s="4127"/>
      <c r="G23" s="4123">
        <v>0</v>
      </c>
      <c r="H23" s="4123">
        <v>0</v>
      </c>
      <c r="I23" s="4123">
        <v>0</v>
      </c>
      <c r="J23" s="4123">
        <v>0</v>
      </c>
      <c r="K23" s="4123">
        <v>0</v>
      </c>
      <c r="L23" s="4123">
        <v>0</v>
      </c>
      <c r="M23" s="4123">
        <v>0</v>
      </c>
      <c r="N23" s="4123">
        <v>0</v>
      </c>
      <c r="O23" s="4123">
        <v>0</v>
      </c>
      <c r="P23" s="4123">
        <v>0</v>
      </c>
      <c r="Q23" s="4123">
        <v>0</v>
      </c>
      <c r="R23" s="4123">
        <v>0</v>
      </c>
      <c r="S23" s="4124" t="e">
        <f t="shared" si="3"/>
        <v>#NAME?</v>
      </c>
      <c r="T23" s="2649"/>
      <c r="U23" s="2649"/>
      <c r="V23" s="2649"/>
      <c r="W23" s="3078"/>
      <c r="X23" s="3078"/>
      <c r="Y23" s="3078"/>
      <c r="Z23" s="3078"/>
      <c r="AA23" s="3078"/>
      <c r="AB23" s="3078"/>
    </row>
    <row r="24" ht="15" customHeight="1">
      <c r="A24" s="4121" t="s">
        <v>3451</v>
      </c>
      <c r="B24" s="2649"/>
      <c r="C24" s="2649"/>
      <c r="D24" s="4126"/>
      <c r="E24" s="4127"/>
      <c r="F24" s="4127"/>
      <c r="G24" s="4123">
        <v>0</v>
      </c>
      <c r="H24" s="4123">
        <v>0</v>
      </c>
      <c r="I24" s="4123">
        <v>0</v>
      </c>
      <c r="J24" s="4123">
        <v>0</v>
      </c>
      <c r="K24" s="4123">
        <v>0</v>
      </c>
      <c r="L24" s="4123">
        <v>0</v>
      </c>
      <c r="M24" s="4123">
        <v>0</v>
      </c>
      <c r="N24" s="4123">
        <v>0</v>
      </c>
      <c r="O24" s="4123">
        <v>0</v>
      </c>
      <c r="P24" s="4123">
        <v>0</v>
      </c>
      <c r="Q24" s="4123">
        <v>0</v>
      </c>
      <c r="R24" s="4123">
        <v>0</v>
      </c>
      <c r="S24" s="4124" t="e">
        <f t="shared" si="3"/>
        <v>#NAME?</v>
      </c>
      <c r="T24" s="2649"/>
      <c r="U24" s="2649"/>
      <c r="V24" s="2649"/>
      <c r="W24" s="3078"/>
      <c r="X24" s="3078"/>
      <c r="Y24" s="3078"/>
      <c r="Z24" s="3078"/>
      <c r="AA24" s="3078"/>
      <c r="AB24" s="3078"/>
    </row>
    <row r="25" ht="15" customHeight="1">
      <c r="A25" s="4121" t="s">
        <v>3452</v>
      </c>
      <c r="B25" s="2649"/>
      <c r="C25" s="2649"/>
      <c r="D25" s="4126"/>
      <c r="E25" s="4127"/>
      <c r="F25" s="4127"/>
      <c r="G25" s="4123">
        <v>0</v>
      </c>
      <c r="H25" s="4123">
        <v>0</v>
      </c>
      <c r="I25" s="4123">
        <v>0</v>
      </c>
      <c r="J25" s="4123">
        <v>0</v>
      </c>
      <c r="K25" s="4123">
        <v>0</v>
      </c>
      <c r="L25" s="4123">
        <v>0</v>
      </c>
      <c r="M25" s="4123">
        <v>0</v>
      </c>
      <c r="N25" s="4123">
        <v>0</v>
      </c>
      <c r="O25" s="4123">
        <v>0</v>
      </c>
      <c r="P25" s="4123">
        <v>0</v>
      </c>
      <c r="Q25" s="4123">
        <v>0</v>
      </c>
      <c r="R25" s="4123">
        <v>0</v>
      </c>
      <c r="S25" s="4124" t="e">
        <f t="shared" si="3"/>
        <v>#NAME?</v>
      </c>
      <c r="T25" s="2649"/>
      <c r="U25" s="2649"/>
      <c r="V25" s="2649"/>
      <c r="W25" s="3078"/>
      <c r="X25" s="3078"/>
      <c r="Y25" s="3078"/>
      <c r="Z25" s="3078"/>
      <c r="AA25" s="3078"/>
      <c r="AB25" s="3078"/>
    </row>
    <row r="26" ht="15" customHeight="1">
      <c r="A26" s="4121" t="s">
        <v>236</v>
      </c>
      <c r="B26" s="2649"/>
      <c r="C26" s="2649"/>
      <c r="D26" s="4126"/>
      <c r="E26" s="4127"/>
      <c r="F26" s="4127"/>
      <c r="G26" s="4123">
        <v>0</v>
      </c>
      <c r="H26" s="4123">
        <v>0</v>
      </c>
      <c r="I26" s="4123">
        <v>0</v>
      </c>
      <c r="J26" s="4123">
        <v>0</v>
      </c>
      <c r="K26" s="4123">
        <v>0</v>
      </c>
      <c r="L26" s="4123">
        <v>0</v>
      </c>
      <c r="M26" s="4123">
        <v>0</v>
      </c>
      <c r="N26" s="4123">
        <v>0</v>
      </c>
      <c r="O26" s="4123">
        <v>0</v>
      </c>
      <c r="P26" s="4123">
        <v>0</v>
      </c>
      <c r="Q26" s="4123">
        <v>0</v>
      </c>
      <c r="R26" s="4123">
        <v>0</v>
      </c>
      <c r="S26" s="4124" t="e">
        <f t="shared" si="3"/>
        <v>#NAME?</v>
      </c>
      <c r="T26" s="2649"/>
      <c r="U26" s="2649"/>
      <c r="V26" s="2649"/>
      <c r="W26" s="3078"/>
      <c r="X26" s="3078"/>
      <c r="Y26" s="3078"/>
      <c r="Z26" s="3078"/>
      <c r="AA26" s="3078"/>
      <c r="AB26" s="3078"/>
    </row>
    <row r="27" ht="15" customHeight="1">
      <c r="A27" s="4121" t="s">
        <v>236</v>
      </c>
      <c r="B27" s="2649"/>
      <c r="C27" s="2649"/>
      <c r="D27" s="4126"/>
      <c r="E27" s="4127"/>
      <c r="F27" s="4127"/>
      <c r="G27" s="4123">
        <v>0</v>
      </c>
      <c r="H27" s="4123">
        <v>0</v>
      </c>
      <c r="I27" s="4123">
        <v>0</v>
      </c>
      <c r="J27" s="4123">
        <v>0</v>
      </c>
      <c r="K27" s="4123">
        <v>0</v>
      </c>
      <c r="L27" s="4123">
        <v>0</v>
      </c>
      <c r="M27" s="4123">
        <v>0</v>
      </c>
      <c r="N27" s="4123">
        <v>0</v>
      </c>
      <c r="O27" s="4123">
        <v>0</v>
      </c>
      <c r="P27" s="4123">
        <v>0</v>
      </c>
      <c r="Q27" s="4123">
        <v>0</v>
      </c>
      <c r="R27" s="4123">
        <v>0</v>
      </c>
      <c r="S27" s="4124" t="e">
        <f t="shared" si="3"/>
        <v>#NAME?</v>
      </c>
      <c r="T27" s="2649"/>
      <c r="U27" s="2649"/>
      <c r="V27" s="2649"/>
      <c r="W27" s="3078"/>
      <c r="X27" s="3078"/>
      <c r="Y27" s="3078"/>
      <c r="Z27" s="3078"/>
      <c r="AA27" s="3078"/>
      <c r="AB27" s="3078"/>
    </row>
    <row r="28" ht="15" customHeight="1">
      <c r="A28" s="4121" t="s">
        <v>236</v>
      </c>
      <c r="B28" s="2649"/>
      <c r="C28" s="2649"/>
      <c r="D28" s="4126"/>
      <c r="E28" s="4127"/>
      <c r="F28" s="4127"/>
      <c r="G28" s="4123">
        <v>0</v>
      </c>
      <c r="H28" s="4123">
        <v>0</v>
      </c>
      <c r="I28" s="4123">
        <v>0</v>
      </c>
      <c r="J28" s="4123">
        <v>0</v>
      </c>
      <c r="K28" s="4123">
        <v>0</v>
      </c>
      <c r="L28" s="4123">
        <v>0</v>
      </c>
      <c r="M28" s="4123">
        <v>0</v>
      </c>
      <c r="N28" s="4123">
        <v>0</v>
      </c>
      <c r="O28" s="4123">
        <v>0</v>
      </c>
      <c r="P28" s="4123">
        <v>0</v>
      </c>
      <c r="Q28" s="4123">
        <v>0</v>
      </c>
      <c r="R28" s="4123">
        <v>0</v>
      </c>
      <c r="S28" s="4124" t="e">
        <f t="shared" si="3"/>
        <v>#NAME?</v>
      </c>
      <c r="T28" s="2649"/>
      <c r="U28" s="2649"/>
      <c r="V28" s="2649"/>
      <c r="W28" s="3078"/>
      <c r="X28" s="3078"/>
      <c r="Y28" s="3078"/>
      <c r="Z28" s="3078"/>
      <c r="AA28" s="3078"/>
      <c r="AB28" s="3078"/>
    </row>
    <row r="29" ht="15" customHeight="1">
      <c r="A29" s="4121" t="s">
        <v>236</v>
      </c>
      <c r="B29" s="2649"/>
      <c r="C29" s="2649"/>
      <c r="D29" s="4126"/>
      <c r="E29" s="4127"/>
      <c r="F29" s="4127"/>
      <c r="G29" s="4123">
        <v>0</v>
      </c>
      <c r="H29" s="4123">
        <v>0</v>
      </c>
      <c r="I29" s="4123">
        <v>0</v>
      </c>
      <c r="J29" s="4123">
        <v>0</v>
      </c>
      <c r="K29" s="4123">
        <v>0</v>
      </c>
      <c r="L29" s="4123">
        <v>0</v>
      </c>
      <c r="M29" s="4123">
        <v>0</v>
      </c>
      <c r="N29" s="4123">
        <v>0</v>
      </c>
      <c r="O29" s="4123">
        <v>0</v>
      </c>
      <c r="P29" s="4123">
        <v>0</v>
      </c>
      <c r="Q29" s="4123">
        <v>0</v>
      </c>
      <c r="R29" s="4123">
        <v>0</v>
      </c>
      <c r="S29" s="4124" t="e">
        <f t="shared" si="3"/>
        <v>#NAME?</v>
      </c>
      <c r="T29" s="2649"/>
      <c r="U29" s="2649"/>
      <c r="V29" s="2649"/>
      <c r="W29" s="3078"/>
      <c r="X29" s="3078"/>
      <c r="Y29" s="3078"/>
      <c r="Z29" s="3078"/>
      <c r="AA29" s="3078"/>
      <c r="AB29" s="3078"/>
    </row>
    <row r="30" ht="15" customHeight="1">
      <c r="A30" s="4121" t="s">
        <v>236</v>
      </c>
      <c r="B30" s="2649"/>
      <c r="C30" s="2649"/>
      <c r="D30" s="4126"/>
      <c r="E30" s="4127"/>
      <c r="F30" s="4127"/>
      <c r="G30" s="4123">
        <v>0</v>
      </c>
      <c r="H30" s="4123">
        <v>0</v>
      </c>
      <c r="I30" s="4123">
        <v>0</v>
      </c>
      <c r="J30" s="4123">
        <v>0</v>
      </c>
      <c r="K30" s="4123">
        <v>0</v>
      </c>
      <c r="L30" s="4123">
        <v>0</v>
      </c>
      <c r="M30" s="4123">
        <v>0</v>
      </c>
      <c r="N30" s="4123">
        <v>0</v>
      </c>
      <c r="O30" s="4123">
        <v>0</v>
      </c>
      <c r="P30" s="4123">
        <v>0</v>
      </c>
      <c r="Q30" s="4123">
        <v>0</v>
      </c>
      <c r="R30" s="4123">
        <v>0</v>
      </c>
      <c r="S30" s="4124" t="e">
        <f t="shared" si="3"/>
        <v>#NAME?</v>
      </c>
      <c r="T30" s="2649"/>
      <c r="U30" s="2649"/>
      <c r="V30" s="2649"/>
      <c r="W30" s="3078"/>
      <c r="X30" s="3078"/>
      <c r="Y30" s="3078"/>
      <c r="Z30" s="3078"/>
      <c r="AA30" s="3078"/>
      <c r="AB30" s="3078"/>
    </row>
    <row r="31" ht="15" customHeight="1">
      <c r="A31" s="4121" t="s">
        <v>236</v>
      </c>
      <c r="B31" s="2649"/>
      <c r="C31" s="2649"/>
      <c r="D31" s="4126"/>
      <c r="E31" s="4127"/>
      <c r="F31" s="4127"/>
      <c r="G31" s="4123">
        <v>0</v>
      </c>
      <c r="H31" s="4123">
        <v>0</v>
      </c>
      <c r="I31" s="4123">
        <v>0</v>
      </c>
      <c r="J31" s="4123">
        <v>0</v>
      </c>
      <c r="K31" s="4123">
        <v>0</v>
      </c>
      <c r="L31" s="4123">
        <v>0</v>
      </c>
      <c r="M31" s="4123">
        <v>0</v>
      </c>
      <c r="N31" s="4123">
        <v>0</v>
      </c>
      <c r="O31" s="4123">
        <v>0</v>
      </c>
      <c r="P31" s="4123">
        <v>0</v>
      </c>
      <c r="Q31" s="4123">
        <v>0</v>
      </c>
      <c r="R31" s="4123">
        <v>0</v>
      </c>
      <c r="S31" s="4124" t="e">
        <f t="shared" si="3"/>
        <v>#NAME?</v>
      </c>
      <c r="T31" s="2649"/>
      <c r="U31" s="2649"/>
      <c r="V31" s="2649"/>
      <c r="W31" s="3078"/>
      <c r="X31" s="3078"/>
      <c r="Y31" s="3078"/>
      <c r="Z31" s="3078"/>
      <c r="AA31" s="3078"/>
      <c r="AB31" s="3078"/>
    </row>
    <row r="32" ht="15" customHeight="1">
      <c r="A32" s="4121" t="s">
        <v>236</v>
      </c>
      <c r="B32" s="2649"/>
      <c r="C32" s="2649"/>
      <c r="D32" s="4126"/>
      <c r="E32" s="4127"/>
      <c r="F32" s="4127"/>
      <c r="G32" s="4123">
        <v>0</v>
      </c>
      <c r="H32" s="4123">
        <v>0</v>
      </c>
      <c r="I32" s="4123">
        <v>0</v>
      </c>
      <c r="J32" s="4123">
        <v>0</v>
      </c>
      <c r="K32" s="4123">
        <v>0</v>
      </c>
      <c r="L32" s="4123">
        <v>0</v>
      </c>
      <c r="M32" s="4123">
        <v>0</v>
      </c>
      <c r="N32" s="4123">
        <v>0</v>
      </c>
      <c r="O32" s="4123">
        <v>0</v>
      </c>
      <c r="P32" s="4123">
        <v>0</v>
      </c>
      <c r="Q32" s="4123">
        <v>0</v>
      </c>
      <c r="R32" s="4123">
        <v>0</v>
      </c>
      <c r="S32" s="4124" t="e">
        <f t="shared" si="3"/>
        <v>#NAME?</v>
      </c>
      <c r="T32" s="2649"/>
      <c r="U32" s="2649"/>
      <c r="V32" s="2649"/>
      <c r="W32" s="3078"/>
      <c r="X32" s="3078"/>
      <c r="Y32" s="3078"/>
      <c r="Z32" s="3078"/>
      <c r="AA32" s="3078"/>
      <c r="AB32" s="3078"/>
    </row>
    <row r="33" ht="15" customHeight="1">
      <c r="A33" s="4121" t="s">
        <v>236</v>
      </c>
      <c r="B33" s="2649"/>
      <c r="C33" s="2649"/>
      <c r="D33" s="4126"/>
      <c r="E33" s="4127"/>
      <c r="F33" s="4127"/>
      <c r="G33" s="4123">
        <v>0</v>
      </c>
      <c r="H33" s="4123">
        <v>0</v>
      </c>
      <c r="I33" s="4123">
        <v>0</v>
      </c>
      <c r="J33" s="4123">
        <v>0</v>
      </c>
      <c r="K33" s="4123">
        <v>0</v>
      </c>
      <c r="L33" s="4123">
        <v>0</v>
      </c>
      <c r="M33" s="4123">
        <v>0</v>
      </c>
      <c r="N33" s="4123">
        <v>0</v>
      </c>
      <c r="O33" s="4123">
        <v>0</v>
      </c>
      <c r="P33" s="4123">
        <v>0</v>
      </c>
      <c r="Q33" s="4123">
        <v>0</v>
      </c>
      <c r="R33" s="4123">
        <v>0</v>
      </c>
      <c r="S33" s="4124" t="e">
        <f t="shared" si="3"/>
        <v>#NAME?</v>
      </c>
      <c r="T33" s="2649"/>
      <c r="U33" s="2649"/>
      <c r="V33" s="2649"/>
      <c r="W33" s="3078"/>
      <c r="X33" s="3078"/>
      <c r="Y33" s="3078"/>
      <c r="Z33" s="3078"/>
      <c r="AA33" s="3078"/>
      <c r="AB33" s="3078"/>
    </row>
    <row r="34" ht="15" customHeight="1">
      <c r="A34" s="4121" t="s">
        <v>236</v>
      </c>
      <c r="B34" s="2649"/>
      <c r="C34" s="2649"/>
      <c r="D34" s="4126"/>
      <c r="E34" s="4127"/>
      <c r="F34" s="4127"/>
      <c r="G34" s="4123">
        <v>0</v>
      </c>
      <c r="H34" s="4123">
        <v>0</v>
      </c>
      <c r="I34" s="4123">
        <v>0</v>
      </c>
      <c r="J34" s="4123">
        <v>0</v>
      </c>
      <c r="K34" s="4123">
        <v>0</v>
      </c>
      <c r="L34" s="4123">
        <v>0</v>
      </c>
      <c r="M34" s="4123">
        <v>0</v>
      </c>
      <c r="N34" s="4123">
        <v>0</v>
      </c>
      <c r="O34" s="4123">
        <v>0</v>
      </c>
      <c r="P34" s="4123">
        <v>0</v>
      </c>
      <c r="Q34" s="4123">
        <v>0</v>
      </c>
      <c r="R34" s="4123">
        <v>0</v>
      </c>
      <c r="S34" s="4124" t="e">
        <f t="shared" si="3"/>
        <v>#NAME?</v>
      </c>
      <c r="T34" s="2649"/>
      <c r="U34" s="2649"/>
      <c r="V34" s="2649"/>
      <c r="W34" s="3078"/>
      <c r="X34" s="3078"/>
      <c r="Y34" s="3078"/>
      <c r="Z34" s="3078"/>
      <c r="AA34" s="3078"/>
      <c r="AB34" s="3078"/>
    </row>
    <row r="35" ht="15" customHeight="1">
      <c r="A35" s="4121" t="s">
        <v>236</v>
      </c>
      <c r="B35" s="2649"/>
      <c r="C35" s="2649"/>
      <c r="D35" s="4126"/>
      <c r="E35" s="4127"/>
      <c r="F35" s="4127"/>
      <c r="G35" s="4123">
        <v>0</v>
      </c>
      <c r="H35" s="4123">
        <v>0</v>
      </c>
      <c r="I35" s="4123">
        <v>0</v>
      </c>
      <c r="J35" s="4123">
        <v>0</v>
      </c>
      <c r="K35" s="4123">
        <v>0</v>
      </c>
      <c r="L35" s="4123">
        <v>0</v>
      </c>
      <c r="M35" s="4123">
        <v>0</v>
      </c>
      <c r="N35" s="4123">
        <v>0</v>
      </c>
      <c r="O35" s="4123">
        <v>0</v>
      </c>
      <c r="P35" s="4123">
        <v>0</v>
      </c>
      <c r="Q35" s="4123">
        <v>0</v>
      </c>
      <c r="R35" s="4123">
        <v>0</v>
      </c>
      <c r="S35" s="4124" t="e">
        <f t="shared" si="3"/>
        <v>#NAME?</v>
      </c>
      <c r="T35" s="2649"/>
      <c r="U35" s="2649"/>
      <c r="V35" s="2649"/>
      <c r="W35" s="3078"/>
      <c r="X35" s="3078"/>
      <c r="Y35" s="3078"/>
      <c r="Z35" s="3078"/>
      <c r="AA35" s="3078"/>
      <c r="AB35" s="3078"/>
    </row>
    <row r="36" ht="15" customHeight="1">
      <c r="A36" s="4121" t="s">
        <v>236</v>
      </c>
      <c r="B36" s="2649"/>
      <c r="C36" s="2649"/>
      <c r="D36" s="4126" t="s">
        <v>3438</v>
      </c>
      <c r="E36" s="4127"/>
      <c r="F36" s="4127"/>
      <c r="G36" s="4123">
        <v>0</v>
      </c>
      <c r="H36" s="4123">
        <v>0</v>
      </c>
      <c r="I36" s="4123">
        <v>0</v>
      </c>
      <c r="J36" s="4123">
        <v>0</v>
      </c>
      <c r="K36" s="4123">
        <v>0</v>
      </c>
      <c r="L36" s="4123">
        <v>0</v>
      </c>
      <c r="M36" s="4123">
        <v>0</v>
      </c>
      <c r="N36" s="4123">
        <v>0</v>
      </c>
      <c r="O36" s="4123">
        <v>0</v>
      </c>
      <c r="P36" s="4123">
        <v>0</v>
      </c>
      <c r="Q36" s="4123">
        <v>0</v>
      </c>
      <c r="R36" s="4123">
        <v>0</v>
      </c>
      <c r="S36" s="4124" t="e">
        <f t="shared" si="3"/>
        <v>#NAME?</v>
      </c>
      <c r="T36" s="2649"/>
      <c r="U36" s="2649"/>
      <c r="V36" s="2649"/>
      <c r="W36" s="3078"/>
      <c r="X36" s="3078"/>
      <c r="Y36" s="3078"/>
      <c r="Z36" s="3078"/>
      <c r="AA36" s="3078"/>
      <c r="AB36" s="3078"/>
    </row>
    <row r="37" ht="15" customHeight="1">
      <c r="A37" s="4121" t="s">
        <v>236</v>
      </c>
      <c r="B37" s="2649"/>
      <c r="C37" s="2649"/>
      <c r="D37" s="4126" t="s">
        <v>3438</v>
      </c>
      <c r="E37" s="4127"/>
      <c r="F37" s="4127"/>
      <c r="G37" s="4123">
        <v>0</v>
      </c>
      <c r="H37" s="4123">
        <v>0</v>
      </c>
      <c r="I37" s="4123">
        <v>0</v>
      </c>
      <c r="J37" s="4123">
        <v>0</v>
      </c>
      <c r="K37" s="4123">
        <v>0</v>
      </c>
      <c r="L37" s="4123">
        <v>0</v>
      </c>
      <c r="M37" s="4123">
        <v>0</v>
      </c>
      <c r="N37" s="4123">
        <v>0</v>
      </c>
      <c r="O37" s="4123">
        <v>0</v>
      </c>
      <c r="P37" s="4123">
        <v>0</v>
      </c>
      <c r="Q37" s="4123">
        <v>0</v>
      </c>
      <c r="R37" s="4123">
        <v>0</v>
      </c>
      <c r="S37" s="4124" t="e">
        <f t="shared" si="3"/>
        <v>#NAME?</v>
      </c>
      <c r="T37" s="2649"/>
      <c r="U37" s="2649"/>
      <c r="V37" s="2649"/>
      <c r="W37" s="3078"/>
      <c r="X37" s="3078"/>
      <c r="Y37" s="3078"/>
      <c r="Z37" s="3078"/>
      <c r="AA37" s="3078"/>
      <c r="AB37" s="3078"/>
    </row>
    <row r="38" ht="15" customHeight="1">
      <c r="A38" s="4128" t="s">
        <v>3453</v>
      </c>
      <c r="B38" s="2649"/>
      <c r="C38" s="2649"/>
      <c r="D38" s="4129"/>
      <c r="E38" s="4130"/>
      <c r="F38" s="4131"/>
      <c r="G38" s="4132"/>
      <c r="H38" s="4132"/>
      <c r="I38" s="4132"/>
      <c r="J38" s="4132"/>
      <c r="K38" s="4132"/>
      <c r="L38" s="4132"/>
      <c r="M38" s="4132"/>
      <c r="N38" s="4132"/>
      <c r="O38" s="4132"/>
      <c r="P38" s="4132"/>
      <c r="Q38" s="4132"/>
      <c r="R38" s="4132"/>
      <c r="S38" s="4132"/>
      <c r="T38" s="2649"/>
      <c r="U38" s="2649"/>
      <c r="V38" s="2649"/>
      <c r="W38" s="3078"/>
      <c r="X38" s="3078"/>
      <c r="Y38" s="3078"/>
      <c r="Z38" s="3078"/>
      <c r="AA38" s="3078"/>
      <c r="AB38" s="3078"/>
    </row>
    <row r="39" ht="15" customHeight="1">
      <c r="A39" s="4133"/>
      <c r="B39" s="2649"/>
      <c r="C39" s="2649"/>
      <c r="D39" s="4134"/>
      <c r="E39" s="4135"/>
      <c r="F39" s="4136"/>
      <c r="G39" s="4137">
        <f t="shared" si="4" ref="G39:R39">SUM(G11:G37)</f>
        <v>0</v>
      </c>
      <c r="H39" s="4137">
        <f t="shared" si="4"/>
        <v>0</v>
      </c>
      <c r="I39" s="4137">
        <f t="shared" si="4"/>
        <v>0</v>
      </c>
      <c r="J39" s="4137">
        <f t="shared" si="4"/>
        <v>0</v>
      </c>
      <c r="K39" s="4137">
        <f t="shared" si="4"/>
        <v>0</v>
      </c>
      <c r="L39" s="4137">
        <f t="shared" si="4"/>
        <v>0</v>
      </c>
      <c r="M39" s="4137">
        <f t="shared" si="4"/>
        <v>0</v>
      </c>
      <c r="N39" s="4137">
        <f t="shared" si="4"/>
        <v>0</v>
      </c>
      <c r="O39" s="4137">
        <f t="shared" si="4"/>
        <v>0</v>
      </c>
      <c r="P39" s="4137">
        <f t="shared" si="4"/>
        <v>0</v>
      </c>
      <c r="Q39" s="4137">
        <f t="shared" si="4"/>
        <v>0</v>
      </c>
      <c r="R39" s="4137">
        <f t="shared" si="4"/>
        <v>0</v>
      </c>
      <c r="S39" s="4138" t="e">
        <f>SUM(G39:INDIRECT(ADDRESS(ROW(F39),COLUMN(F39)+P4+2)))</f>
        <v>#NAME?</v>
      </c>
      <c r="T39" s="2649"/>
      <c r="U39" s="2649"/>
      <c r="V39" s="2649"/>
      <c r="W39" s="3078"/>
      <c r="X39" s="3078"/>
      <c r="Y39" s="3078"/>
      <c r="Z39" s="3078"/>
      <c r="AA39" s="3078"/>
      <c r="AB39" s="3078"/>
    </row>
    <row r="40" ht="15" customHeight="1">
      <c r="A40" s="4139"/>
      <c r="B40" s="4140"/>
      <c r="C40" s="2649"/>
      <c r="D40" s="4141"/>
      <c r="E40" s="4142"/>
      <c r="F40" s="3409"/>
      <c r="G40" s="4137">
        <f t="shared" si="5" ref="G40:R40">G39*G8</f>
        <v>0</v>
      </c>
      <c r="H40" s="4137">
        <f t="shared" si="5"/>
        <v>0</v>
      </c>
      <c r="I40" s="4137">
        <f t="shared" si="5"/>
        <v>0</v>
      </c>
      <c r="J40" s="4137">
        <f t="shared" si="5"/>
        <v>0</v>
      </c>
      <c r="K40" s="4137">
        <f t="shared" si="5"/>
        <v>0</v>
      </c>
      <c r="L40" s="4137">
        <f t="shared" si="5"/>
        <v>0</v>
      </c>
      <c r="M40" s="4137">
        <f t="shared" si="5"/>
        <v>0</v>
      </c>
      <c r="N40" s="4137">
        <f t="shared" si="5"/>
        <v>0</v>
      </c>
      <c r="O40" s="4137">
        <f t="shared" si="5"/>
        <v>0</v>
      </c>
      <c r="P40" s="4137">
        <f t="shared" si="5"/>
        <v>0</v>
      </c>
      <c r="Q40" s="4137">
        <f t="shared" si="5"/>
        <v>0</v>
      </c>
      <c r="R40" s="4137">
        <f t="shared" si="5"/>
        <v>0</v>
      </c>
      <c r="S40" s="4138" t="e">
        <f>SUM(G40:INDIRECT(ADDRESS(ROW(F40),COLUMN(F40)+P4+2)))</f>
        <v>#NAME?</v>
      </c>
      <c r="T40" s="2649"/>
      <c r="U40" s="2649"/>
      <c r="V40" s="2649"/>
      <c r="W40" s="3078"/>
      <c r="X40" s="3078"/>
      <c r="Y40" s="3078"/>
      <c r="Z40" s="3078"/>
      <c r="AA40" s="3078"/>
      <c r="AB40" s="3078"/>
    </row>
    <row r="41" ht="15" customHeight="1">
      <c r="A41" s="4132"/>
      <c r="B41" s="2649"/>
      <c r="C41" s="2649"/>
      <c r="D41" s="4132"/>
      <c r="E41" s="4132"/>
      <c r="F41" s="4132"/>
      <c r="G41" s="4132"/>
      <c r="H41" s="4132"/>
      <c r="I41" s="4132"/>
      <c r="J41" s="4132"/>
      <c r="K41" s="4132"/>
      <c r="L41" s="4132"/>
      <c r="M41" s="4132"/>
      <c r="N41" s="4132"/>
      <c r="O41" s="4132"/>
      <c r="P41" s="4132"/>
      <c r="Q41" s="4132"/>
      <c r="R41" s="4132"/>
      <c r="S41" s="4132"/>
      <c r="T41" s="2649"/>
      <c r="U41" s="2649"/>
      <c r="V41" s="2649"/>
      <c r="W41" s="3078"/>
      <c r="X41" s="3078"/>
      <c r="Y41" s="3078"/>
      <c r="Z41" s="3078"/>
      <c r="AA41" s="3078"/>
      <c r="AB41" s="3078"/>
    </row>
    <row r="42" ht="15" customHeight="1">
      <c r="A42" s="4112" t="s">
        <v>3454</v>
      </c>
      <c r="B42" s="2649"/>
      <c r="C42" s="2649"/>
      <c r="D42" s="4112"/>
      <c r="E42" s="4143">
        <v>0</v>
      </c>
      <c r="F42" s="4112"/>
      <c r="G42" s="4112"/>
      <c r="H42" s="4112"/>
      <c r="I42" s="4112"/>
      <c r="J42" s="4112"/>
      <c r="K42" s="4112"/>
      <c r="L42" s="4112"/>
      <c r="M42" s="4112"/>
      <c r="N42" s="4112"/>
      <c r="O42" s="4112"/>
      <c r="P42" s="4112"/>
      <c r="Q42" s="4112"/>
      <c r="R42" s="4112"/>
      <c r="S42" s="4112"/>
      <c r="T42" s="2649"/>
      <c r="U42" s="2649"/>
      <c r="V42" s="2649"/>
      <c r="W42" s="3078"/>
      <c r="X42" s="3078"/>
      <c r="Y42" s="3078"/>
      <c r="Z42" s="3078"/>
      <c r="AA42" s="3078"/>
      <c r="AB42" s="3078"/>
    </row>
    <row r="43" ht="15" customHeight="1">
      <c r="A43" s="4132"/>
      <c r="B43" s="2649"/>
      <c r="C43" s="2649"/>
      <c r="D43" s="4132"/>
      <c r="E43" s="4132"/>
      <c r="F43" s="4132"/>
      <c r="G43" s="4144"/>
      <c r="H43" s="4144"/>
      <c r="I43" s="4144"/>
      <c r="J43" s="4144"/>
      <c r="K43" s="4144"/>
      <c r="L43" s="4144"/>
      <c r="M43" s="4144"/>
      <c r="N43" s="4144"/>
      <c r="O43" s="4144"/>
      <c r="P43" s="4144"/>
      <c r="Q43" s="4144"/>
      <c r="R43" s="4144"/>
      <c r="S43" s="4144"/>
      <c r="T43" s="2649"/>
      <c r="U43" s="2649"/>
      <c r="V43" s="2649"/>
      <c r="W43" s="3078"/>
      <c r="X43" s="3078"/>
      <c r="Y43" s="3078"/>
      <c r="Z43" s="3078"/>
      <c r="AA43" s="3078"/>
      <c r="AB43" s="3078"/>
    </row>
    <row r="44" ht="15" customHeight="1">
      <c r="A44" s="4112" t="s">
        <v>3455</v>
      </c>
      <c r="B44" s="2649"/>
      <c r="C44" s="2649"/>
      <c r="D44" s="4145" t="s">
        <v>3456</v>
      </c>
      <c r="E44" s="4146">
        <v>0</v>
      </c>
      <c r="F44" s="4147"/>
      <c r="G44" s="4137" t="e">
        <f>MAX(E44,F81)</f>
        <v>#NAME?</v>
      </c>
      <c r="H44" s="4137" t="e">
        <f t="shared" si="6" ref="H44:R44">G44</f>
        <v>#NAME?</v>
      </c>
      <c r="I44" s="4137" t="e">
        <f t="shared" si="6"/>
        <v>#NAME?</v>
      </c>
      <c r="J44" s="4137" t="e">
        <f t="shared" si="6"/>
        <v>#NAME?</v>
      </c>
      <c r="K44" s="4137" t="e">
        <f t="shared" si="6"/>
        <v>#NAME?</v>
      </c>
      <c r="L44" s="4137" t="e">
        <f t="shared" si="6"/>
        <v>#NAME?</v>
      </c>
      <c r="M44" s="4137" t="e">
        <f t="shared" si="6"/>
        <v>#NAME?</v>
      </c>
      <c r="N44" s="4137" t="e">
        <f t="shared" si="6"/>
        <v>#NAME?</v>
      </c>
      <c r="O44" s="4137" t="e">
        <f t="shared" si="6"/>
        <v>#NAME?</v>
      </c>
      <c r="P44" s="4137" t="e">
        <f t="shared" si="6"/>
        <v>#NAME?</v>
      </c>
      <c r="Q44" s="4137" t="e">
        <f t="shared" si="6"/>
        <v>#NAME?</v>
      </c>
      <c r="R44" s="4137" t="e">
        <f t="shared" si="6"/>
        <v>#NAME?</v>
      </c>
      <c r="S44" s="4134" t="e">
        <f>AVERAGE(G44:INDIRECT(ADDRESS(ROW(F44),COLUMN(F44)+P4+2)))</f>
        <v>#NAME?</v>
      </c>
      <c r="T44" s="2649"/>
      <c r="U44" s="2649"/>
      <c r="V44" s="2649"/>
      <c r="W44" s="3078"/>
      <c r="X44" s="3078"/>
      <c r="Y44" s="3078"/>
      <c r="Z44" s="3078"/>
      <c r="AA44" s="3078"/>
      <c r="AB44" s="3078"/>
    </row>
    <row r="45" ht="15" customHeight="1">
      <c r="A45" s="4132"/>
      <c r="B45" s="2649"/>
      <c r="C45" s="2649"/>
      <c r="D45" s="4132"/>
      <c r="E45" s="4132"/>
      <c r="F45" s="4132"/>
      <c r="G45" s="4131"/>
      <c r="H45" s="4131"/>
      <c r="I45" s="4131"/>
      <c r="J45" s="4131"/>
      <c r="K45" s="4131"/>
      <c r="L45" s="4131"/>
      <c r="M45" s="4131"/>
      <c r="N45" s="4131"/>
      <c r="O45" s="4131"/>
      <c r="P45" s="4131"/>
      <c r="Q45" s="4131"/>
      <c r="R45" s="4131"/>
      <c r="S45" s="4131"/>
      <c r="T45" s="2649"/>
      <c r="U45" s="2649"/>
      <c r="V45" s="2649"/>
      <c r="W45" s="3078"/>
      <c r="X45" s="3078"/>
      <c r="Y45" s="3078"/>
      <c r="Z45" s="3078"/>
      <c r="AA45" s="3078"/>
      <c r="AB45" s="3078"/>
    </row>
    <row r="46" ht="15" customHeight="1">
      <c r="A46" s="4112" t="s">
        <v>3457</v>
      </c>
      <c r="B46" s="2649"/>
      <c r="C46" s="2649"/>
      <c r="D46" s="3486" t="s">
        <v>3458</v>
      </c>
      <c r="E46" s="4148" t="e">
        <f>G44</f>
        <v>#NAME?</v>
      </c>
      <c r="F46" s="4112"/>
      <c r="G46" s="4148" t="e">
        <f t="shared" si="7" ref="G46:R46">G44*$J$3</f>
        <v>#NAME?</v>
      </c>
      <c r="H46" s="4148" t="e">
        <f t="shared" si="7"/>
        <v>#NAME?</v>
      </c>
      <c r="I46" s="4148" t="e">
        <f t="shared" si="7"/>
        <v>#NAME?</v>
      </c>
      <c r="J46" s="4148" t="e">
        <f t="shared" si="7"/>
        <v>#NAME?</v>
      </c>
      <c r="K46" s="4148" t="e">
        <f t="shared" si="7"/>
        <v>#NAME?</v>
      </c>
      <c r="L46" s="4148" t="e">
        <f t="shared" si="7"/>
        <v>#NAME?</v>
      </c>
      <c r="M46" s="4148" t="e">
        <f t="shared" si="7"/>
        <v>#NAME?</v>
      </c>
      <c r="N46" s="4148" t="e">
        <f t="shared" si="7"/>
        <v>#NAME?</v>
      </c>
      <c r="O46" s="4148" t="e">
        <f t="shared" si="7"/>
        <v>#NAME?</v>
      </c>
      <c r="P46" s="4148" t="e">
        <f t="shared" si="7"/>
        <v>#NAME?</v>
      </c>
      <c r="Q46" s="4148" t="e">
        <f t="shared" si="7"/>
        <v>#NAME?</v>
      </c>
      <c r="R46" s="4148" t="e">
        <f t="shared" si="7"/>
        <v>#NAME?</v>
      </c>
      <c r="S46" s="4138" t="e">
        <f>SUM(G46:INDIRECT(ADDRESS(ROW(F46),COLUMN(F46)+P4+2)))</f>
        <v>#NAME?</v>
      </c>
      <c r="T46" s="2649"/>
      <c r="U46" s="2649"/>
      <c r="V46" s="2649"/>
      <c r="W46" s="3078"/>
      <c r="X46" s="3078"/>
      <c r="Y46" s="3078"/>
      <c r="Z46" s="3078"/>
      <c r="AA46" s="3078"/>
      <c r="AB46" s="3078"/>
    </row>
    <row r="47" ht="15" customHeight="1">
      <c r="A47" s="4132"/>
      <c r="B47" s="2649"/>
      <c r="C47" s="2649"/>
      <c r="D47" s="4149"/>
      <c r="E47" s="4150"/>
      <c r="F47" s="4132"/>
      <c r="G47" s="4131"/>
      <c r="H47" s="4131"/>
      <c r="I47" s="4131"/>
      <c r="J47" s="4131"/>
      <c r="K47" s="4131"/>
      <c r="L47" s="4131"/>
      <c r="M47" s="4131"/>
      <c r="N47" s="4131"/>
      <c r="O47" s="4131"/>
      <c r="P47" s="4131"/>
      <c r="Q47" s="4131"/>
      <c r="R47" s="4131"/>
      <c r="S47" s="4131"/>
      <c r="T47" s="2649"/>
      <c r="U47" s="2649"/>
      <c r="V47" s="2649"/>
      <c r="W47" s="3078"/>
      <c r="X47" s="3078"/>
      <c r="Y47" s="3078"/>
      <c r="Z47" s="3078"/>
      <c r="AA47" s="3078"/>
      <c r="AB47" s="3078"/>
    </row>
    <row r="48" ht="15" customHeight="1">
      <c r="A48" s="4112" t="s">
        <v>3459</v>
      </c>
      <c r="B48" s="2649"/>
      <c r="C48" s="2649"/>
      <c r="D48" s="3486" t="s">
        <v>3460</v>
      </c>
      <c r="E48" s="4148" t="e">
        <f>F94</f>
        <v>#NAME?</v>
      </c>
      <c r="F48" s="4112"/>
      <c r="G48" s="4148">
        <v>0</v>
      </c>
      <c r="H48" s="4148" t="e">
        <f t="shared" si="8" ref="H48:R48">G50*G9</f>
        <v>#NAME?</v>
      </c>
      <c r="I48" s="4148" t="e">
        <f t="shared" si="8"/>
        <v>#NAME?</v>
      </c>
      <c r="J48" s="4148" t="e">
        <f t="shared" si="8"/>
        <v>#NAME?</v>
      </c>
      <c r="K48" s="4148" t="e">
        <f t="shared" si="8"/>
        <v>#NAME?</v>
      </c>
      <c r="L48" s="4148" t="e">
        <f t="shared" si="8"/>
        <v>#NAME?</v>
      </c>
      <c r="M48" s="4148" t="e">
        <f t="shared" si="8"/>
        <v>#NAME?</v>
      </c>
      <c r="N48" s="4148" t="e">
        <f t="shared" si="8"/>
        <v>#NAME?</v>
      </c>
      <c r="O48" s="4148" t="e">
        <f t="shared" si="8"/>
        <v>#NAME?</v>
      </c>
      <c r="P48" s="4148" t="e">
        <f t="shared" si="8"/>
        <v>#NAME?</v>
      </c>
      <c r="Q48" s="4148" t="e">
        <f t="shared" si="8"/>
        <v>#NAME?</v>
      </c>
      <c r="R48" s="4148" t="e">
        <f t="shared" si="8"/>
        <v>#NAME?</v>
      </c>
      <c r="S48" s="4148"/>
      <c r="T48" s="2649"/>
      <c r="U48" s="2649"/>
      <c r="V48" s="2649"/>
      <c r="W48" s="3078"/>
      <c r="X48" s="3078"/>
      <c r="Y48" s="3078"/>
      <c r="Z48" s="3078"/>
      <c r="AA48" s="3078"/>
      <c r="AB48" s="3078"/>
    </row>
    <row r="49" ht="15" customHeight="1">
      <c r="A49" s="4132"/>
      <c r="B49" s="2649"/>
      <c r="C49" s="2649"/>
      <c r="D49" s="4132"/>
      <c r="E49" s="4132"/>
      <c r="F49" s="4132"/>
      <c r="G49" s="4131"/>
      <c r="H49" s="4131"/>
      <c r="I49" s="4131"/>
      <c r="J49" s="4131"/>
      <c r="K49" s="4131"/>
      <c r="L49" s="4131"/>
      <c r="M49" s="4131"/>
      <c r="N49" s="4131"/>
      <c r="O49" s="4131"/>
      <c r="P49" s="4131"/>
      <c r="Q49" s="4131"/>
      <c r="R49" s="4131"/>
      <c r="S49" s="4131"/>
      <c r="T49" s="2649"/>
      <c r="U49" s="2649"/>
      <c r="V49" s="2649"/>
      <c r="W49" s="3078"/>
      <c r="X49" s="3078"/>
      <c r="Y49" s="3078"/>
      <c r="Z49" s="3078"/>
      <c r="AA49" s="3078"/>
      <c r="AB49" s="3078"/>
    </row>
    <row r="50" ht="15" customHeight="1">
      <c r="A50" s="4112" t="s">
        <v>3461</v>
      </c>
      <c r="B50" s="2649"/>
      <c r="C50" s="2649"/>
      <c r="D50" s="4145" t="s">
        <v>3462</v>
      </c>
      <c r="E50" s="4151"/>
      <c r="F50" s="4152" t="s">
        <v>451</v>
      </c>
      <c r="G50" s="4148" t="e">
        <f>E42+G46-G40</f>
        <v>#NAME?</v>
      </c>
      <c r="H50" s="4148" t="e">
        <f t="shared" si="9" ref="H50:R50">G50+H46-H40+H48</f>
        <v>#NAME?</v>
      </c>
      <c r="I50" s="4148" t="e">
        <f t="shared" si="9"/>
        <v>#NAME?</v>
      </c>
      <c r="J50" s="4148" t="e">
        <f t="shared" si="9"/>
        <v>#NAME?</v>
      </c>
      <c r="K50" s="4148" t="e">
        <f t="shared" si="9"/>
        <v>#NAME?</v>
      </c>
      <c r="L50" s="4148" t="e">
        <f t="shared" si="9"/>
        <v>#NAME?</v>
      </c>
      <c r="M50" s="4148" t="e">
        <f t="shared" si="9"/>
        <v>#NAME?</v>
      </c>
      <c r="N50" s="4148" t="e">
        <f t="shared" si="9"/>
        <v>#NAME?</v>
      </c>
      <c r="O50" s="4148" t="e">
        <f t="shared" si="9"/>
        <v>#NAME?</v>
      </c>
      <c r="P50" s="4148" t="e">
        <f t="shared" si="9"/>
        <v>#NAME?</v>
      </c>
      <c r="Q50" s="4148" t="e">
        <f t="shared" si="9"/>
        <v>#NAME?</v>
      </c>
      <c r="R50" s="4148" t="e">
        <f t="shared" si="9"/>
        <v>#NAME?</v>
      </c>
      <c r="S50" s="4148"/>
      <c r="T50" s="2649"/>
      <c r="U50" s="2649"/>
      <c r="V50" s="2649"/>
      <c r="W50" s="3078"/>
      <c r="X50" s="3078"/>
      <c r="Y50" s="3078"/>
      <c r="Z50" s="3078"/>
      <c r="AA50" s="3078"/>
      <c r="AB50" s="3078"/>
    </row>
    <row r="51" ht="15" customHeight="1">
      <c r="A51" s="4132"/>
      <c r="B51" s="2649"/>
      <c r="C51" s="2649"/>
      <c r="D51" s="4132"/>
      <c r="E51" s="4132"/>
      <c r="F51" s="4132"/>
      <c r="G51" s="4131"/>
      <c r="H51" s="4131"/>
      <c r="I51" s="4131"/>
      <c r="J51" s="4131"/>
      <c r="K51" s="4131"/>
      <c r="L51" s="4131"/>
      <c r="M51" s="4131"/>
      <c r="N51" s="4131"/>
      <c r="O51" s="4131"/>
      <c r="P51" s="4131"/>
      <c r="Q51" s="4131"/>
      <c r="R51" s="4131"/>
      <c r="S51" s="4131"/>
      <c r="T51" s="2649"/>
      <c r="U51" s="2649"/>
      <c r="V51" s="2649"/>
      <c r="W51" s="3078"/>
      <c r="X51" s="3078"/>
      <c r="Y51" s="3078"/>
      <c r="Z51" s="3078"/>
      <c r="AA51" s="3078"/>
      <c r="AB51" s="3078"/>
    </row>
    <row r="52" ht="44.25" customHeight="1">
      <c r="A52" s="4153" t="s">
        <v>3463</v>
      </c>
      <c r="B52" s="4154" t="s">
        <v>3464</v>
      </c>
      <c r="C52" s="2649"/>
      <c r="D52" s="4155" t="s">
        <v>3465</v>
      </c>
      <c r="E52" s="4156" t="s">
        <v>3466</v>
      </c>
      <c r="F52" s="4156" t="s">
        <v>3467</v>
      </c>
      <c r="G52" s="4157"/>
      <c r="H52" s="4157"/>
      <c r="I52" s="4157"/>
      <c r="J52" s="4157"/>
      <c r="K52" s="4157"/>
      <c r="L52" s="4157"/>
      <c r="M52" s="4157"/>
      <c r="N52" s="4157"/>
      <c r="O52" s="4157"/>
      <c r="P52" s="4157"/>
      <c r="Q52" s="4157"/>
      <c r="R52" s="4157"/>
      <c r="S52" s="4157"/>
      <c r="T52" s="4158"/>
      <c r="U52" s="2649"/>
      <c r="V52" s="2649"/>
      <c r="W52" s="3078"/>
      <c r="X52" s="3078"/>
      <c r="Y52" s="3078"/>
      <c r="Z52" s="3078"/>
      <c r="AA52" s="3078"/>
      <c r="AB52" s="3078"/>
    </row>
    <row r="53" ht="15.75" customHeight="1">
      <c r="A53" s="4159" t="s">
        <v>3468</v>
      </c>
      <c r="B53" s="4160"/>
      <c r="C53" s="4160"/>
      <c r="D53" s="4160"/>
      <c r="E53" s="4160"/>
      <c r="F53" s="4161"/>
      <c r="G53" s="4162"/>
      <c r="H53" s="4162"/>
      <c r="I53" s="4162"/>
      <c r="J53" s="4162"/>
      <c r="K53" s="4162"/>
      <c r="L53" s="4162"/>
      <c r="M53" s="4162"/>
      <c r="N53" s="4162"/>
      <c r="O53" s="4162"/>
      <c r="P53" s="4162"/>
      <c r="Q53" s="4162"/>
      <c r="R53" s="4162"/>
      <c r="S53" s="4162"/>
      <c r="T53" s="2649"/>
      <c r="U53" s="2649"/>
      <c r="V53" s="2649"/>
      <c r="W53" s="3078"/>
      <c r="X53" s="3078"/>
      <c r="Y53" s="3078"/>
      <c r="Z53" s="3078"/>
      <c r="AA53" s="3078"/>
      <c r="AB53" s="3078"/>
    </row>
    <row r="54" ht="15" customHeight="1">
      <c r="A54" s="4163" t="s">
        <v>3469</v>
      </c>
      <c r="B54" s="4164"/>
      <c r="C54" s="4165">
        <f t="shared" si="10" ref="C54:C75">IF(OR(B54="Prior to Rate Lock",B54="Prior to Closing",B54="Completed",ISBLANK(B54)),0,_xlfn.NUMBERVALUE(LEFT(B54,2)))</f>
        <v>0</v>
      </c>
      <c r="D54" s="4166">
        <v>0</v>
      </c>
      <c r="E54" s="4167">
        <v>1.25</v>
      </c>
      <c r="F54" s="4168">
        <f t="shared" si="11" ref="F54:F75">D54*E54</f>
        <v>0</v>
      </c>
      <c r="G54" s="2649"/>
      <c r="H54" s="2649"/>
      <c r="I54" s="2649"/>
      <c r="J54" s="2649"/>
      <c r="K54" s="2649"/>
      <c r="L54" s="2649"/>
      <c r="M54" s="2649"/>
      <c r="N54" s="2649"/>
      <c r="O54" s="2649"/>
      <c r="P54" s="2649"/>
      <c r="Q54" s="2649"/>
      <c r="R54" s="2649"/>
      <c r="S54" s="2649"/>
      <c r="T54" s="2649"/>
      <c r="U54" s="2649"/>
      <c r="V54" s="2649"/>
      <c r="W54" s="3078"/>
      <c r="X54" s="3078"/>
      <c r="Y54" s="3078"/>
      <c r="Z54" s="3078"/>
      <c r="AA54" s="3078"/>
      <c r="AB54" s="3078"/>
    </row>
    <row r="55" ht="15" customHeight="1">
      <c r="A55" s="4169" t="s">
        <v>3469</v>
      </c>
      <c r="B55" s="4170"/>
      <c r="C55" s="4165">
        <f t="shared" si="10"/>
        <v>0</v>
      </c>
      <c r="D55" s="4137">
        <v>0</v>
      </c>
      <c r="E55" s="4171">
        <v>1.25</v>
      </c>
      <c r="F55" s="4172">
        <f t="shared" si="11"/>
        <v>0</v>
      </c>
      <c r="G55" s="2649"/>
      <c r="H55" s="2649"/>
      <c r="I55" s="2649"/>
      <c r="J55" s="2649"/>
      <c r="K55" s="2649"/>
      <c r="L55" s="2649"/>
      <c r="M55" s="2649"/>
      <c r="N55" s="2649"/>
      <c r="O55" s="2649"/>
      <c r="P55" s="2649"/>
      <c r="Q55" s="2649"/>
      <c r="R55" s="2649"/>
      <c r="S55" s="2649"/>
      <c r="T55" s="2649"/>
      <c r="U55" s="2649"/>
      <c r="V55" s="2649"/>
      <c r="W55" s="3078"/>
      <c r="X55" s="3078"/>
      <c r="Y55" s="3078"/>
      <c r="Z55" s="3078"/>
      <c r="AA55" s="3078"/>
      <c r="AB55" s="3078"/>
    </row>
    <row r="56" ht="15" customHeight="1">
      <c r="A56" s="4169" t="s">
        <v>3469</v>
      </c>
      <c r="B56" s="4170"/>
      <c r="C56" s="4165">
        <f t="shared" si="10"/>
        <v>0</v>
      </c>
      <c r="D56" s="4137">
        <v>0</v>
      </c>
      <c r="E56" s="4171">
        <v>1.25</v>
      </c>
      <c r="F56" s="4172">
        <f t="shared" si="11"/>
        <v>0</v>
      </c>
      <c r="G56" s="2649"/>
      <c r="H56" s="2649"/>
      <c r="I56" s="2649"/>
      <c r="J56" s="2649"/>
      <c r="K56" s="2649"/>
      <c r="L56" s="2649"/>
      <c r="M56" s="2649"/>
      <c r="N56" s="2649"/>
      <c r="O56" s="2649"/>
      <c r="P56" s="2649"/>
      <c r="Q56" s="2649"/>
      <c r="R56" s="2649"/>
      <c r="S56" s="2649"/>
      <c r="T56" s="2649"/>
      <c r="U56" s="2649"/>
      <c r="V56" s="2649"/>
      <c r="W56" s="3078"/>
      <c r="X56" s="3078"/>
      <c r="Y56" s="3078"/>
      <c r="Z56" s="3078"/>
      <c r="AA56" s="3078"/>
      <c r="AB56" s="3078"/>
    </row>
    <row r="57" ht="15.75" customHeight="1">
      <c r="A57" s="4173" t="s">
        <v>3469</v>
      </c>
      <c r="B57" s="4174"/>
      <c r="C57" s="4165">
        <f t="shared" si="10"/>
        <v>0</v>
      </c>
      <c r="D57" s="4175">
        <v>0</v>
      </c>
      <c r="E57" s="4176">
        <v>1.25</v>
      </c>
      <c r="F57" s="4177">
        <f t="shared" si="11"/>
        <v>0</v>
      </c>
      <c r="G57" s="2649"/>
      <c r="H57" s="2649"/>
      <c r="I57" s="2649"/>
      <c r="J57" s="2649"/>
      <c r="K57" s="2649"/>
      <c r="L57" s="2649"/>
      <c r="M57" s="2649"/>
      <c r="N57" s="2649"/>
      <c r="O57" s="2649"/>
      <c r="P57" s="2649"/>
      <c r="Q57" s="2649"/>
      <c r="R57" s="2649"/>
      <c r="S57" s="2649"/>
      <c r="T57" s="2649"/>
      <c r="U57" s="2649"/>
      <c r="V57" s="2649"/>
      <c r="W57" s="3078"/>
      <c r="X57" s="3078"/>
      <c r="Y57" s="3078"/>
      <c r="Z57" s="3078"/>
      <c r="AA57" s="3078"/>
      <c r="AB57" s="3078"/>
    </row>
    <row r="58" ht="15.75" customHeight="1">
      <c r="A58" s="4178" t="s">
        <v>2443</v>
      </c>
      <c r="B58" s="4179"/>
      <c r="C58" s="4179"/>
      <c r="D58" s="4180">
        <f t="shared" si="12" ref="D58:F70">SUM(D54:D57)</f>
        <v>0</v>
      </c>
      <c r="E58" s="4181">
        <f t="shared" si="13" ref="E58:E78">IF(F58=0,0,F58/D58)</f>
        <v>0</v>
      </c>
      <c r="F58" s="4182">
        <f t="shared" si="12"/>
        <v>0</v>
      </c>
      <c r="G58" s="2649"/>
      <c r="H58" s="2649"/>
      <c r="I58" s="2649"/>
      <c r="J58" s="2649"/>
      <c r="K58" s="2649"/>
      <c r="L58" s="2649"/>
      <c r="M58" s="2649"/>
      <c r="N58" s="2649"/>
      <c r="O58" s="2649"/>
      <c r="P58" s="2649"/>
      <c r="Q58" s="2649"/>
      <c r="R58" s="2649"/>
      <c r="S58" s="2649"/>
      <c r="T58" s="2649"/>
      <c r="U58" s="2649"/>
      <c r="V58" s="2649"/>
      <c r="W58" s="3078"/>
      <c r="X58" s="3078"/>
      <c r="Y58" s="3078"/>
      <c r="Z58" s="3078"/>
      <c r="AA58" s="3078"/>
      <c r="AB58" s="3078"/>
    </row>
    <row r="59" ht="15.75" customHeight="1">
      <c r="A59" s="4159" t="s">
        <v>3470</v>
      </c>
      <c r="B59" s="4160"/>
      <c r="C59" s="4160"/>
      <c r="D59" s="4160"/>
      <c r="E59" s="4160"/>
      <c r="F59" s="4161"/>
      <c r="G59" s="2649"/>
      <c r="H59" s="2649"/>
      <c r="I59" s="2649"/>
      <c r="J59" s="2649"/>
      <c r="K59" s="2649"/>
      <c r="L59" s="2649"/>
      <c r="M59" s="2649"/>
      <c r="N59" s="2649"/>
      <c r="O59" s="2649"/>
      <c r="P59" s="2649"/>
      <c r="Q59" s="2649"/>
      <c r="R59" s="2649"/>
      <c r="S59" s="2649"/>
      <c r="T59" s="2649"/>
      <c r="U59" s="2649"/>
      <c r="V59" s="2649"/>
      <c r="W59" s="3078"/>
      <c r="X59" s="3078"/>
      <c r="Y59" s="3078"/>
      <c r="Z59" s="3078"/>
      <c r="AA59" s="3078"/>
      <c r="AB59" s="3078"/>
    </row>
    <row r="60" ht="15" customHeight="1">
      <c r="A60" s="4163" t="s">
        <v>3469</v>
      </c>
      <c r="B60" s="4164"/>
      <c r="C60" s="4165">
        <f t="shared" si="10"/>
        <v>0</v>
      </c>
      <c r="D60" s="4166">
        <v>0</v>
      </c>
      <c r="E60" s="4167">
        <v>1.25</v>
      </c>
      <c r="F60" s="4168">
        <f t="shared" si="11"/>
        <v>0</v>
      </c>
      <c r="G60" s="2649"/>
      <c r="H60" s="2649"/>
      <c r="I60" s="2649"/>
      <c r="J60" s="2649"/>
      <c r="K60" s="2649"/>
      <c r="L60" s="2649"/>
      <c r="M60" s="2649"/>
      <c r="N60" s="2649"/>
      <c r="O60" s="2649"/>
      <c r="P60" s="2649"/>
      <c r="Q60" s="2649"/>
      <c r="R60" s="2649"/>
      <c r="S60" s="2649"/>
      <c r="T60" s="2649"/>
      <c r="U60" s="2649"/>
      <c r="V60" s="2649"/>
      <c r="W60" s="3078"/>
      <c r="X60" s="3078"/>
      <c r="Y60" s="3078"/>
      <c r="Z60" s="3078"/>
      <c r="AA60" s="3078"/>
      <c r="AB60" s="3078"/>
    </row>
    <row r="61" ht="15" customHeight="1">
      <c r="A61" s="4169" t="s">
        <v>3469</v>
      </c>
      <c r="B61" s="4170"/>
      <c r="C61" s="4165">
        <f t="shared" si="10"/>
        <v>0</v>
      </c>
      <c r="D61" s="4166">
        <v>0</v>
      </c>
      <c r="E61" s="4167">
        <v>1.25</v>
      </c>
      <c r="F61" s="4168">
        <f t="shared" si="11"/>
        <v>0</v>
      </c>
      <c r="G61" s="2649"/>
      <c r="H61" s="2649"/>
      <c r="I61" s="2649"/>
      <c r="J61" s="2649"/>
      <c r="K61" s="2649"/>
      <c r="L61" s="2649"/>
      <c r="M61" s="2649"/>
      <c r="N61" s="2649"/>
      <c r="O61" s="2649"/>
      <c r="P61" s="2649"/>
      <c r="Q61" s="2649"/>
      <c r="R61" s="2649"/>
      <c r="S61" s="2649"/>
      <c r="T61" s="2649"/>
      <c r="U61" s="2649"/>
      <c r="V61" s="2649"/>
      <c r="W61" s="3078"/>
      <c r="X61" s="3078"/>
      <c r="Y61" s="3078"/>
      <c r="Z61" s="3078"/>
      <c r="AA61" s="3078"/>
      <c r="AB61" s="3078"/>
    </row>
    <row r="62" ht="15" customHeight="1">
      <c r="A62" s="4169" t="s">
        <v>3469</v>
      </c>
      <c r="B62" s="4170"/>
      <c r="C62" s="4165">
        <f t="shared" si="10"/>
        <v>0</v>
      </c>
      <c r="D62" s="4166">
        <v>0</v>
      </c>
      <c r="E62" s="4167">
        <v>1.25</v>
      </c>
      <c r="F62" s="4168">
        <f t="shared" si="11"/>
        <v>0</v>
      </c>
      <c r="G62" s="2649"/>
      <c r="H62" s="2649"/>
      <c r="I62" s="2649"/>
      <c r="J62" s="2649"/>
      <c r="K62" s="2649"/>
      <c r="L62" s="2649"/>
      <c r="M62" s="2649"/>
      <c r="N62" s="2649"/>
      <c r="O62" s="2649"/>
      <c r="P62" s="2649"/>
      <c r="Q62" s="2649"/>
      <c r="R62" s="2649"/>
      <c r="S62" s="2649"/>
      <c r="T62" s="2649"/>
      <c r="U62" s="2649"/>
      <c r="V62" s="2649"/>
      <c r="W62" s="3078"/>
      <c r="X62" s="3078"/>
      <c r="Y62" s="3078"/>
      <c r="Z62" s="3078"/>
      <c r="AA62" s="3078"/>
      <c r="AB62" s="3078"/>
    </row>
    <row r="63" ht="15.75" customHeight="1">
      <c r="A63" s="4173" t="s">
        <v>3469</v>
      </c>
      <c r="B63" s="4174"/>
      <c r="C63" s="4165">
        <f t="shared" si="10"/>
        <v>0</v>
      </c>
      <c r="D63" s="4166">
        <v>0</v>
      </c>
      <c r="E63" s="4167">
        <v>1.25</v>
      </c>
      <c r="F63" s="4168">
        <f t="shared" si="11"/>
        <v>0</v>
      </c>
      <c r="G63" s="2649"/>
      <c r="H63" s="2649"/>
      <c r="I63" s="2649"/>
      <c r="J63" s="2649"/>
      <c r="K63" s="2649"/>
      <c r="L63" s="2649"/>
      <c r="M63" s="2649"/>
      <c r="N63" s="2649"/>
      <c r="O63" s="2649"/>
      <c r="P63" s="2649"/>
      <c r="Q63" s="2649"/>
      <c r="R63" s="2649"/>
      <c r="S63" s="2649"/>
      <c r="T63" s="2649"/>
      <c r="U63" s="2649"/>
      <c r="V63" s="2649"/>
      <c r="W63" s="3078"/>
      <c r="X63" s="3078"/>
      <c r="Y63" s="3078"/>
      <c r="Z63" s="3078"/>
      <c r="AA63" s="3078"/>
      <c r="AB63" s="3078"/>
    </row>
    <row r="64" ht="15.75" customHeight="1">
      <c r="A64" s="4178" t="s">
        <v>2443</v>
      </c>
      <c r="B64" s="4179"/>
      <c r="C64" s="4179"/>
      <c r="D64" s="4180">
        <f t="shared" si="12"/>
        <v>0</v>
      </c>
      <c r="E64" s="4181">
        <f t="shared" si="13"/>
        <v>0</v>
      </c>
      <c r="F64" s="4182">
        <f t="shared" si="12"/>
        <v>0</v>
      </c>
      <c r="G64" s="2649"/>
      <c r="H64" s="2649"/>
      <c r="I64" s="2649"/>
      <c r="J64" s="2649"/>
      <c r="K64" s="2649"/>
      <c r="L64" s="2649"/>
      <c r="M64" s="2649"/>
      <c r="N64" s="2649"/>
      <c r="O64" s="2649"/>
      <c r="P64" s="2649"/>
      <c r="Q64" s="2649"/>
      <c r="R64" s="2649"/>
      <c r="S64" s="2649"/>
      <c r="T64" s="2649"/>
      <c r="U64" s="2649"/>
      <c r="V64" s="2649"/>
      <c r="W64" s="3078"/>
      <c r="X64" s="3078"/>
      <c r="Y64" s="3078"/>
      <c r="Z64" s="3078"/>
      <c r="AA64" s="3078"/>
      <c r="AB64" s="3078"/>
    </row>
    <row r="65" ht="15.75" customHeight="1">
      <c r="A65" s="4159" t="s">
        <v>3471</v>
      </c>
      <c r="B65" s="4160"/>
      <c r="C65" s="4160"/>
      <c r="D65" s="4160"/>
      <c r="E65" s="4160"/>
      <c r="F65" s="4161"/>
      <c r="G65" s="2649"/>
      <c r="H65" s="2649"/>
      <c r="I65" s="2649"/>
      <c r="J65" s="2649"/>
      <c r="K65" s="2649"/>
      <c r="L65" s="2649"/>
      <c r="M65" s="2649"/>
      <c r="N65" s="2649"/>
      <c r="O65" s="2649"/>
      <c r="P65" s="2649"/>
      <c r="Q65" s="2649"/>
      <c r="R65" s="2649"/>
      <c r="S65" s="2649"/>
      <c r="T65" s="2649"/>
      <c r="U65" s="2649"/>
      <c r="V65" s="2649"/>
      <c r="W65" s="3078"/>
      <c r="X65" s="3078"/>
      <c r="Y65" s="3078"/>
      <c r="Z65" s="3078"/>
      <c r="AA65" s="3078"/>
      <c r="AB65" s="3078"/>
    </row>
    <row r="66" ht="15" customHeight="1">
      <c r="A66" s="4163" t="s">
        <v>3469</v>
      </c>
      <c r="B66" s="4170"/>
      <c r="C66" s="4165">
        <f t="shared" si="10"/>
        <v>0</v>
      </c>
      <c r="D66" s="4137">
        <v>0</v>
      </c>
      <c r="E66" s="4167">
        <v>1.25</v>
      </c>
      <c r="F66" s="4168">
        <f t="shared" si="11"/>
        <v>0</v>
      </c>
      <c r="G66" s="2649"/>
      <c r="H66" s="2649"/>
      <c r="I66" s="2649"/>
      <c r="J66" s="2649"/>
      <c r="K66" s="2649"/>
      <c r="L66" s="2649"/>
      <c r="M66" s="2649"/>
      <c r="N66" s="2649"/>
      <c r="O66" s="2649"/>
      <c r="P66" s="2649"/>
      <c r="Q66" s="2649"/>
      <c r="R66" s="2649"/>
      <c r="S66" s="2649"/>
      <c r="T66" s="2649"/>
      <c r="U66" s="2649"/>
      <c r="V66" s="2649"/>
      <c r="W66" s="3078"/>
      <c r="X66" s="3078"/>
      <c r="Y66" s="3078"/>
      <c r="Z66" s="3078"/>
      <c r="AA66" s="3078"/>
      <c r="AB66" s="3078"/>
    </row>
    <row r="67" ht="15" customHeight="1">
      <c r="A67" s="4169" t="s">
        <v>3469</v>
      </c>
      <c r="B67" s="4170"/>
      <c r="C67" s="4165">
        <f t="shared" si="10"/>
        <v>0</v>
      </c>
      <c r="D67" s="4137">
        <v>0</v>
      </c>
      <c r="E67" s="4167">
        <v>1.25</v>
      </c>
      <c r="F67" s="4168">
        <f t="shared" si="11"/>
        <v>0</v>
      </c>
      <c r="G67" s="2649"/>
      <c r="H67" s="2649"/>
      <c r="I67" s="2649"/>
      <c r="J67" s="2649"/>
      <c r="K67" s="2649"/>
      <c r="L67" s="2649"/>
      <c r="M67" s="2649"/>
      <c r="N67" s="2649"/>
      <c r="O67" s="2649"/>
      <c r="P67" s="2649"/>
      <c r="Q67" s="2649"/>
      <c r="R67" s="2649"/>
      <c r="S67" s="2649"/>
      <c r="T67" s="2649"/>
      <c r="U67" s="2649"/>
      <c r="V67" s="2649"/>
      <c r="W67" s="3078"/>
      <c r="X67" s="3078"/>
      <c r="Y67" s="3078"/>
      <c r="Z67" s="3078"/>
      <c r="AA67" s="3078"/>
      <c r="AB67" s="3078"/>
    </row>
    <row r="68" ht="15" customHeight="1">
      <c r="A68" s="4169" t="s">
        <v>3469</v>
      </c>
      <c r="B68" s="4170"/>
      <c r="C68" s="4165">
        <f t="shared" si="10"/>
        <v>0</v>
      </c>
      <c r="D68" s="4137">
        <v>0</v>
      </c>
      <c r="E68" s="4167">
        <v>1.25</v>
      </c>
      <c r="F68" s="4168">
        <f t="shared" si="11"/>
        <v>0</v>
      </c>
      <c r="G68" s="2649"/>
      <c r="H68" s="2649"/>
      <c r="I68" s="2649"/>
      <c r="J68" s="2649"/>
      <c r="K68" s="2649"/>
      <c r="L68" s="2649"/>
      <c r="M68" s="2649"/>
      <c r="N68" s="2649"/>
      <c r="O68" s="2649"/>
      <c r="P68" s="2649"/>
      <c r="Q68" s="2649"/>
      <c r="R68" s="2649"/>
      <c r="S68" s="2649"/>
      <c r="T68" s="2649"/>
      <c r="U68" s="2649"/>
      <c r="V68" s="2649"/>
      <c r="W68" s="3078"/>
      <c r="X68" s="3078"/>
      <c r="Y68" s="3078"/>
      <c r="Z68" s="3078"/>
      <c r="AA68" s="3078"/>
      <c r="AB68" s="3078"/>
    </row>
    <row r="69" ht="15.75" customHeight="1">
      <c r="A69" s="4173" t="s">
        <v>3469</v>
      </c>
      <c r="B69" s="4170"/>
      <c r="C69" s="4165">
        <f t="shared" si="10"/>
        <v>0</v>
      </c>
      <c r="D69" s="4137">
        <v>0</v>
      </c>
      <c r="E69" s="4167">
        <v>1.25</v>
      </c>
      <c r="F69" s="4168">
        <f t="shared" si="11"/>
        <v>0</v>
      </c>
      <c r="G69" s="2649"/>
      <c r="H69" s="2649"/>
      <c r="I69" s="2649"/>
      <c r="J69" s="2649"/>
      <c r="K69" s="2649"/>
      <c r="L69" s="2649"/>
      <c r="M69" s="2649"/>
      <c r="N69" s="2649"/>
      <c r="O69" s="2649"/>
      <c r="P69" s="2649"/>
      <c r="Q69" s="2649"/>
      <c r="R69" s="2649"/>
      <c r="S69" s="2649"/>
      <c r="T69" s="2649"/>
      <c r="U69" s="2649"/>
      <c r="V69" s="2649"/>
      <c r="W69" s="3078"/>
      <c r="X69" s="3078"/>
      <c r="Y69" s="3078"/>
      <c r="Z69" s="3078"/>
      <c r="AA69" s="3078"/>
      <c r="AB69" s="3078"/>
    </row>
    <row r="70" ht="15.75" customHeight="1">
      <c r="A70" s="4178" t="s">
        <v>2443</v>
      </c>
      <c r="B70" s="4179"/>
      <c r="C70" s="4179"/>
      <c r="D70" s="4180">
        <f t="shared" si="12"/>
        <v>0</v>
      </c>
      <c r="E70" s="4181">
        <f t="shared" si="13"/>
        <v>0</v>
      </c>
      <c r="F70" s="4182">
        <f t="shared" si="12"/>
        <v>0</v>
      </c>
      <c r="G70" s="2649"/>
      <c r="H70" s="2649"/>
      <c r="I70" s="2649"/>
      <c r="J70" s="2649"/>
      <c r="K70" s="2649"/>
      <c r="L70" s="2649"/>
      <c r="M70" s="2649"/>
      <c r="N70" s="2649"/>
      <c r="O70" s="2649"/>
      <c r="P70" s="2649"/>
      <c r="Q70" s="2649"/>
      <c r="R70" s="2649"/>
      <c r="S70" s="2649"/>
      <c r="T70" s="2649"/>
      <c r="U70" s="2649"/>
      <c r="V70" s="2649"/>
      <c r="W70" s="3078"/>
      <c r="X70" s="3078"/>
      <c r="Y70" s="3078"/>
      <c r="Z70" s="3078"/>
      <c r="AA70" s="3078"/>
      <c r="AB70" s="3078"/>
    </row>
    <row r="71" ht="15.75" customHeight="1">
      <c r="A71" s="4159" t="s">
        <v>1358</v>
      </c>
      <c r="B71" s="4160"/>
      <c r="C71" s="4160"/>
      <c r="D71" s="4160"/>
      <c r="E71" s="4160"/>
      <c r="F71" s="4161"/>
      <c r="G71" s="2649"/>
      <c r="H71" s="2649"/>
      <c r="I71" s="2649"/>
      <c r="J71" s="2649"/>
      <c r="K71" s="2649"/>
      <c r="L71" s="2649"/>
      <c r="M71" s="2649"/>
      <c r="N71" s="2649"/>
      <c r="O71" s="2649"/>
      <c r="P71" s="2649"/>
      <c r="Q71" s="2649"/>
      <c r="R71" s="2649"/>
      <c r="S71" s="2649"/>
      <c r="T71" s="2649"/>
      <c r="U71" s="2649"/>
      <c r="V71" s="2649"/>
      <c r="W71" s="3078"/>
      <c r="X71" s="3078"/>
      <c r="Y71" s="3078"/>
      <c r="Z71" s="3078"/>
      <c r="AA71" s="3078"/>
      <c r="AB71" s="3078"/>
    </row>
    <row r="72" ht="15.75" customHeight="1">
      <c r="A72" s="4163" t="s">
        <v>3469</v>
      </c>
      <c r="B72" s="4170"/>
      <c r="C72" s="4165">
        <f t="shared" si="10"/>
        <v>0</v>
      </c>
      <c r="D72" s="4137">
        <v>0</v>
      </c>
      <c r="E72" s="4167">
        <v>1.25</v>
      </c>
      <c r="F72" s="4168">
        <f t="shared" si="11"/>
        <v>0</v>
      </c>
      <c r="G72" s="2649"/>
      <c r="H72" s="2649"/>
      <c r="I72" s="2649"/>
      <c r="J72" s="2649"/>
      <c r="K72" s="2649"/>
      <c r="L72" s="2649"/>
      <c r="M72" s="2649"/>
      <c r="N72" s="2649"/>
      <c r="O72" s="2649"/>
      <c r="P72" s="2649"/>
      <c r="Q72" s="2649"/>
      <c r="R72" s="2649"/>
      <c r="S72" s="2649"/>
      <c r="T72" s="2649"/>
      <c r="U72" s="2649"/>
      <c r="V72" s="2649"/>
      <c r="W72" s="3078"/>
      <c r="X72" s="3078"/>
      <c r="Y72" s="3078"/>
      <c r="Z72" s="3078"/>
      <c r="AA72" s="3078"/>
      <c r="AB72" s="3078"/>
    </row>
    <row r="73" ht="15.75" customHeight="1">
      <c r="A73" s="4159" t="s">
        <v>3472</v>
      </c>
      <c r="B73" s="4160"/>
      <c r="C73" s="4160"/>
      <c r="D73" s="4160"/>
      <c r="E73" s="4160"/>
      <c r="F73" s="4161"/>
      <c r="G73" s="2649"/>
      <c r="H73" s="2649"/>
      <c r="I73" s="2649"/>
      <c r="J73" s="2649"/>
      <c r="K73" s="2649"/>
      <c r="L73" s="2649"/>
      <c r="M73" s="2649"/>
      <c r="N73" s="2649"/>
      <c r="O73" s="2649"/>
      <c r="P73" s="2649"/>
      <c r="Q73" s="2649"/>
      <c r="R73" s="2649"/>
      <c r="S73" s="2649"/>
      <c r="T73" s="2649"/>
      <c r="U73" s="2649"/>
      <c r="V73" s="2649"/>
      <c r="W73" s="3078"/>
      <c r="X73" s="3078"/>
      <c r="Y73" s="3078"/>
      <c r="Z73" s="3078"/>
      <c r="AA73" s="3078"/>
      <c r="AB73" s="3078"/>
    </row>
    <row r="74" ht="15" customHeight="1">
      <c r="A74" s="4163" t="s">
        <v>3469</v>
      </c>
      <c r="B74" s="4170"/>
      <c r="C74" s="4165">
        <f t="shared" si="10"/>
        <v>0</v>
      </c>
      <c r="D74" s="4137">
        <v>0</v>
      </c>
      <c r="E74" s="4167">
        <v>1</v>
      </c>
      <c r="F74" s="4168">
        <f t="shared" si="11"/>
        <v>0</v>
      </c>
      <c r="G74" s="2649"/>
      <c r="H74" s="2649"/>
      <c r="I74" s="2649"/>
      <c r="J74" s="2649"/>
      <c r="K74" s="2649"/>
      <c r="L74" s="2649"/>
      <c r="M74" s="2649"/>
      <c r="N74" s="2649"/>
      <c r="O74" s="2649"/>
      <c r="P74" s="2649"/>
      <c r="Q74" s="2649"/>
      <c r="R74" s="2649"/>
      <c r="S74" s="2649"/>
      <c r="T74" s="2649"/>
      <c r="U74" s="2649"/>
      <c r="V74" s="2649"/>
      <c r="W74" s="3078"/>
      <c r="X74" s="3078"/>
      <c r="Y74" s="3078"/>
      <c r="Z74" s="3078"/>
      <c r="AA74" s="3078"/>
      <c r="AB74" s="3078"/>
    </row>
    <row r="75" ht="15.75" customHeight="1">
      <c r="A75" s="4163" t="s">
        <v>3469</v>
      </c>
      <c r="B75" s="4170"/>
      <c r="C75" s="4165">
        <f t="shared" si="10"/>
        <v>0</v>
      </c>
      <c r="D75" s="4137">
        <v>0</v>
      </c>
      <c r="E75" s="4167">
        <v>1</v>
      </c>
      <c r="F75" s="4168">
        <f t="shared" si="11"/>
        <v>0</v>
      </c>
      <c r="G75" s="2649"/>
      <c r="H75" s="2649"/>
      <c r="I75" s="2649"/>
      <c r="J75" s="2649"/>
      <c r="K75" s="2649"/>
      <c r="L75" s="2649"/>
      <c r="M75" s="2649"/>
      <c r="N75" s="2649"/>
      <c r="O75" s="2649"/>
      <c r="P75" s="2649"/>
      <c r="Q75" s="2649"/>
      <c r="R75" s="2649"/>
      <c r="S75" s="2649"/>
      <c r="T75" s="2649"/>
      <c r="U75" s="2649"/>
      <c r="V75" s="2649"/>
      <c r="W75" s="3078"/>
      <c r="X75" s="3078"/>
      <c r="Y75" s="3078"/>
      <c r="Z75" s="3078"/>
      <c r="AA75" s="3078"/>
      <c r="AB75" s="3078"/>
    </row>
    <row r="76" ht="15.75" customHeight="1">
      <c r="A76" s="4178" t="s">
        <v>2443</v>
      </c>
      <c r="B76" s="4179"/>
      <c r="C76" s="4179"/>
      <c r="D76" s="4180">
        <f t="shared" si="14" ref="D76:F76">SUM(D74:D75)</f>
        <v>0</v>
      </c>
      <c r="E76" s="4181">
        <f t="shared" si="13"/>
        <v>0</v>
      </c>
      <c r="F76" s="4182">
        <f t="shared" si="14"/>
        <v>0</v>
      </c>
      <c r="G76" s="2649"/>
      <c r="H76" s="2649"/>
      <c r="I76" s="2649"/>
      <c r="J76" s="2649"/>
      <c r="K76" s="2649"/>
      <c r="L76" s="2649"/>
      <c r="M76" s="2649"/>
      <c r="N76" s="2649"/>
      <c r="O76" s="2649"/>
      <c r="P76" s="2649"/>
      <c r="Q76" s="2649"/>
      <c r="R76" s="2649"/>
      <c r="S76" s="2649"/>
      <c r="T76" s="2649"/>
      <c r="U76" s="2649"/>
      <c r="V76" s="2649"/>
      <c r="W76" s="3078"/>
      <c r="X76" s="3078"/>
      <c r="Y76" s="3078"/>
      <c r="Z76" s="3078"/>
      <c r="AA76" s="3078"/>
      <c r="AB76" s="3078"/>
    </row>
    <row r="77" ht="15.75" customHeight="1">
      <c r="A77" s="4183"/>
      <c r="B77" s="4184"/>
      <c r="C77" s="4184"/>
      <c r="D77" s="4185"/>
      <c r="E77" s="4186"/>
      <c r="F77" s="4187"/>
      <c r="G77" s="2649"/>
      <c r="H77" s="2649"/>
      <c r="I77" s="2649"/>
      <c r="J77" s="2649"/>
      <c r="K77" s="2649"/>
      <c r="L77" s="2649"/>
      <c r="M77" s="2649"/>
      <c r="N77" s="2649"/>
      <c r="O77" s="2649"/>
      <c r="P77" s="2649"/>
      <c r="Q77" s="2649"/>
      <c r="R77" s="2649"/>
      <c r="S77" s="2649"/>
      <c r="T77" s="2649"/>
      <c r="U77" s="2649"/>
      <c r="V77" s="2649"/>
      <c r="W77" s="3078"/>
      <c r="X77" s="3078"/>
      <c r="Y77" s="3078"/>
      <c r="Z77" s="3078"/>
      <c r="AA77" s="3078"/>
      <c r="AB77" s="3078"/>
    </row>
    <row r="78" ht="15.75" customHeight="1">
      <c r="A78" s="4188" t="s">
        <v>3473</v>
      </c>
      <c r="B78" s="4189"/>
      <c r="C78" s="4189"/>
      <c r="D78" s="4180">
        <f t="shared" si="15" ref="D78:F78">D58+D64+D70+D73+D76</f>
        <v>0</v>
      </c>
      <c r="E78" s="4181">
        <f t="shared" si="13"/>
        <v>0</v>
      </c>
      <c r="F78" s="4182">
        <f t="shared" si="15"/>
        <v>0</v>
      </c>
      <c r="G78" s="4190"/>
      <c r="H78" s="4190"/>
      <c r="I78" s="4190"/>
      <c r="J78" s="4190"/>
      <c r="K78" s="4190"/>
      <c r="L78" s="4190"/>
      <c r="M78" s="4190"/>
      <c r="N78" s="4190"/>
      <c r="O78" s="4190"/>
      <c r="P78" s="4190"/>
      <c r="Q78" s="4190"/>
      <c r="R78" s="4190"/>
      <c r="S78" s="4190"/>
      <c r="T78" s="2649"/>
      <c r="U78" s="2649"/>
      <c r="V78" s="2649"/>
      <c r="W78" s="3078"/>
      <c r="X78" s="3078"/>
      <c r="Y78" s="3078"/>
      <c r="Z78" s="3078"/>
      <c r="AA78" s="3078"/>
      <c r="AB78" s="3078"/>
    </row>
    <row r="79" ht="15" customHeight="1">
      <c r="A79" s="2651"/>
      <c r="B79" s="2650"/>
      <c r="C79" s="2649"/>
      <c r="D79" s="4191" t="s">
        <v>3474</v>
      </c>
      <c r="E79" s="4192"/>
      <c r="F79" s="4193" t="s">
        <v>451</v>
      </c>
      <c r="G79" s="4194"/>
      <c r="H79" s="4190"/>
      <c r="I79" s="4190"/>
      <c r="J79" s="4190"/>
      <c r="K79" s="4190"/>
      <c r="L79" s="4190"/>
      <c r="M79" s="4190"/>
      <c r="N79" s="4190"/>
      <c r="O79" s="4190"/>
      <c r="P79" s="4190"/>
      <c r="Q79" s="4190"/>
      <c r="R79" s="4190"/>
      <c r="S79" s="4195"/>
      <c r="T79" s="2649"/>
      <c r="U79" s="2649"/>
      <c r="V79" s="2649"/>
      <c r="W79" s="3078"/>
      <c r="X79" s="3078"/>
      <c r="Y79" s="3078"/>
      <c r="Z79" s="3078"/>
      <c r="AA79" s="3078"/>
      <c r="AB79" s="3078"/>
    </row>
    <row r="80" ht="15" customHeight="1">
      <c r="A80" s="2649"/>
      <c r="B80" s="2649"/>
      <c r="C80" s="2649"/>
      <c r="D80" s="2649"/>
      <c r="E80" s="2649"/>
      <c r="F80" s="2649"/>
      <c r="G80" s="4196"/>
      <c r="H80" s="4196"/>
      <c r="I80" s="4196"/>
      <c r="J80" s="4196"/>
      <c r="K80" s="4196"/>
      <c r="L80" s="4196"/>
      <c r="M80" s="4196"/>
      <c r="N80" s="4196"/>
      <c r="O80" s="4196"/>
      <c r="P80" s="4196"/>
      <c r="Q80" s="4196"/>
      <c r="R80" s="4196"/>
      <c r="S80" s="4196"/>
      <c r="T80" s="2649"/>
      <c r="U80" s="2649"/>
      <c r="V80" s="2649"/>
      <c r="W80" s="3078"/>
      <c r="X80" s="3078"/>
      <c r="Y80" s="3078"/>
      <c r="Z80" s="3078"/>
      <c r="AA80" s="3078"/>
      <c r="AB80" s="3078"/>
    </row>
    <row r="81" ht="15" customHeight="1">
      <c r="A81" s="2649"/>
      <c r="D81" s="3185" t="s">
        <v>3475</v>
      </c>
      <c r="E81" s="3185"/>
      <c r="F81" s="2769" t="e">
        <f>G85</f>
        <v>#NAME?</v>
      </c>
      <c r="G81" s="2649"/>
      <c r="H81" s="2649"/>
      <c r="I81" s="2649"/>
      <c r="J81" s="2649"/>
      <c r="K81" s="2649"/>
      <c r="L81" s="2649"/>
      <c r="M81" s="2649"/>
      <c r="N81" s="2649"/>
      <c r="O81" s="2649"/>
      <c r="P81" s="2649"/>
      <c r="Q81" s="2649"/>
      <c r="R81" s="2649"/>
      <c r="S81" s="2649"/>
      <c r="T81" s="2649"/>
      <c r="U81" s="2649"/>
      <c r="V81" s="2649"/>
      <c r="W81" s="3078"/>
      <c r="X81" s="3078"/>
      <c r="Y81" s="3078"/>
      <c r="Z81" s="3078"/>
      <c r="AA81" s="3078"/>
      <c r="AB81" s="3078"/>
    </row>
    <row r="82" ht="15" customHeight="1">
      <c r="A82" s="3078"/>
      <c r="B82" s="3078"/>
      <c r="C82" s="3078"/>
      <c r="D82" s="3078"/>
      <c r="E82" s="3078"/>
      <c r="F82" s="3078"/>
      <c r="G82" s="3078"/>
      <c r="H82" s="3078"/>
      <c r="I82" s="3078"/>
      <c r="J82" s="3078"/>
      <c r="K82" s="3078"/>
      <c r="L82" s="3078"/>
      <c r="M82" s="3078"/>
      <c r="N82" s="3078"/>
      <c r="O82" s="3078"/>
      <c r="P82" s="3078"/>
      <c r="Q82" s="3078"/>
      <c r="R82" s="3078"/>
      <c r="S82" s="3078"/>
      <c r="T82" s="3078"/>
      <c r="U82" s="3078"/>
      <c r="V82" s="3078"/>
      <c r="W82" s="3078"/>
      <c r="X82" s="3078"/>
      <c r="Y82" s="3078"/>
      <c r="Z82" s="3078"/>
      <c r="AA82" s="3078"/>
      <c r="AB82" s="3078"/>
    </row>
    <row r="83" ht="15" customHeight="1">
      <c r="A83" s="3078"/>
      <c r="B83" s="3078"/>
      <c r="C83" s="3078"/>
      <c r="D83" s="3078"/>
      <c r="E83" s="3078"/>
      <c r="F83" s="3078"/>
      <c r="G83" s="3078"/>
      <c r="H83" s="3078"/>
      <c r="I83" s="3078"/>
      <c r="J83" s="3078"/>
      <c r="K83" s="3078"/>
      <c r="L83" s="3078"/>
      <c r="M83" s="3078"/>
      <c r="N83" s="3078"/>
      <c r="O83" s="3078"/>
      <c r="P83" s="3078"/>
      <c r="Q83" s="3078"/>
      <c r="R83" s="3078"/>
      <c r="S83" s="3078"/>
      <c r="T83" s="3078"/>
      <c r="U83" s="3078"/>
      <c r="V83" s="3078"/>
      <c r="W83" s="3078"/>
      <c r="X83" s="3078"/>
      <c r="Y83" s="3078"/>
      <c r="Z83" s="3078"/>
      <c r="AA83" s="3078"/>
      <c r="AB83" s="3078"/>
    </row>
    <row r="84" ht="15" customHeight="1">
      <c r="A84" s="3078"/>
      <c r="B84" s="3078"/>
      <c r="C84" s="3078"/>
      <c r="D84" s="3078"/>
      <c r="E84" s="3078"/>
      <c r="F84" s="3078"/>
      <c r="G84" s="3078">
        <f t="shared" si="16" ref="G84:R84">(G8*SUMPRODUCT($G40:INDIRECT(ADDRESS(ROW($G40),6+G7)),1/$G8:INDIRECT(ADDRESS(ROW($G8),6+G7)))-$E42*G8)/(SUM($G8:INDIRECT(ADDRESS(ROW($G8),6+G7)))*$J3)</f>
        <v>0</v>
      </c>
      <c r="H84" s="3078">
        <f t="shared" si="16"/>
        <v>0</v>
      </c>
      <c r="I84" s="3078">
        <f t="shared" si="16"/>
        <v>0</v>
      </c>
      <c r="J84" s="3078">
        <f t="shared" si="16"/>
        <v>0</v>
      </c>
      <c r="K84" s="3078">
        <f t="shared" si="16"/>
        <v>0</v>
      </c>
      <c r="L84" s="3078">
        <f t="shared" si="16"/>
        <v>0</v>
      </c>
      <c r="M84" s="3078">
        <f t="shared" si="16"/>
        <v>0</v>
      </c>
      <c r="N84" s="3078">
        <f t="shared" si="16"/>
        <v>0</v>
      </c>
      <c r="O84" s="3078">
        <f t="shared" si="16"/>
        <v>0</v>
      </c>
      <c r="P84" s="3078">
        <f t="shared" si="16"/>
        <v>0</v>
      </c>
      <c r="Q84" s="3078">
        <f t="shared" si="16"/>
        <v>0</v>
      </c>
      <c r="R84" s="3078">
        <f t="shared" si="16"/>
        <v>0</v>
      </c>
      <c r="S84" s="3078"/>
      <c r="T84" s="3078"/>
      <c r="U84" s="3078"/>
      <c r="V84" s="3078"/>
      <c r="W84" s="3078"/>
      <c r="X84" s="3078"/>
      <c r="Y84" s="3078"/>
      <c r="Z84" s="3078"/>
      <c r="AA84" s="3078"/>
      <c r="AB84" s="3078"/>
    </row>
    <row r="85" ht="15" customHeight="1">
      <c r="A85" s="3078"/>
      <c r="B85" s="3078"/>
      <c r="C85" s="3078"/>
      <c r="D85" s="3078"/>
      <c r="E85" s="3078"/>
      <c r="F85" s="3078" t="s">
        <v>3476</v>
      </c>
      <c r="G85" s="4197" t="e">
        <f>CEILING(MAX(G84,INDIRECT(ADDRESS(ROW(F84),COLUMN(F84)+P4)&amp;":"&amp;ADDRESS(ROW(F84),COLUMN(F84)+P4+2)),INDIRECT(ADDRESS(ROW(H85),COLUMN(H85))&amp;":"&amp;ADDRESS(ROW(H85),COLUMN(H85)+P4-IF(P4&gt;=3,3,0)))),1)</f>
        <v>#NAME?</v>
      </c>
      <c r="H85" s="3078">
        <f t="shared" si="17" ref="H85:P98">MIN(G84:H84)</f>
        <v>0</v>
      </c>
      <c r="I85" s="3078">
        <f t="shared" si="17"/>
        <v>0</v>
      </c>
      <c r="J85" s="3078">
        <f t="shared" si="17"/>
        <v>0</v>
      </c>
      <c r="K85" s="3078">
        <f t="shared" si="17"/>
        <v>0</v>
      </c>
      <c r="L85" s="3078">
        <f t="shared" si="17"/>
        <v>0</v>
      </c>
      <c r="M85" s="3078">
        <f t="shared" si="17"/>
        <v>0</v>
      </c>
      <c r="N85" s="3078">
        <f t="shared" si="17"/>
        <v>0</v>
      </c>
      <c r="O85" s="3078">
        <f t="shared" si="17"/>
        <v>0</v>
      </c>
      <c r="P85" s="3078">
        <f t="shared" si="17"/>
        <v>0</v>
      </c>
      <c r="Q85" s="3078"/>
      <c r="R85" s="3078"/>
      <c r="S85" s="3078"/>
      <c r="T85" s="3078"/>
      <c r="U85" s="3078"/>
      <c r="V85" s="3078"/>
      <c r="W85" s="3078"/>
      <c r="X85" s="3078"/>
      <c r="Y85" s="3078"/>
      <c r="Z85" s="3078"/>
      <c r="AA85" s="3078"/>
      <c r="AB85" s="3078"/>
    </row>
    <row r="86" ht="15" customHeight="1">
      <c r="A86" s="3078"/>
      <c r="B86" s="3078"/>
      <c r="C86" s="3078"/>
      <c r="D86" s="3078"/>
      <c r="E86" s="3078"/>
      <c r="F86" s="3078"/>
      <c r="G86" s="2649"/>
      <c r="H86" s="2649"/>
      <c r="I86" s="2649"/>
      <c r="J86" s="2649"/>
      <c r="K86" s="2649"/>
      <c r="L86" s="3078"/>
      <c r="M86" s="3078"/>
      <c r="N86" s="3078"/>
      <c r="O86" s="3078"/>
      <c r="P86" s="3078"/>
      <c r="Q86" s="3078"/>
      <c r="R86" s="3078"/>
      <c r="S86" s="3078"/>
      <c r="T86" s="3078"/>
      <c r="U86" s="3078"/>
      <c r="V86" s="3078"/>
      <c r="W86" s="3078"/>
      <c r="X86" s="3078"/>
      <c r="Y86" s="3078"/>
      <c r="Z86" s="3078"/>
      <c r="AA86" s="3078"/>
      <c r="AB86" s="3078"/>
    </row>
    <row r="87" ht="15" customHeight="1">
      <c r="A87" s="3078"/>
      <c r="B87" s="3078"/>
      <c r="C87" s="3078"/>
      <c r="D87" s="3078"/>
      <c r="E87" s="3078"/>
      <c r="F87" s="3078"/>
      <c r="G87" s="2649"/>
      <c r="H87" s="2649"/>
      <c r="I87" s="2649"/>
      <c r="J87" s="2649"/>
      <c r="K87" s="2649"/>
      <c r="L87" s="3078"/>
      <c r="M87" s="3078"/>
      <c r="N87" s="3078"/>
      <c r="O87" s="3078"/>
      <c r="P87" s="3078"/>
      <c r="Q87" s="3078"/>
      <c r="R87" s="3078"/>
      <c r="S87" s="3078"/>
      <c r="T87" s="3078"/>
      <c r="U87" s="3078"/>
      <c r="V87" s="3078"/>
      <c r="W87" s="3078"/>
      <c r="X87" s="3078"/>
      <c r="Y87" s="3078"/>
      <c r="Z87" s="3078"/>
      <c r="AA87" s="3078"/>
      <c r="AB87" s="3078"/>
    </row>
    <row r="88" ht="15" customHeight="1">
      <c r="A88" s="3078"/>
      <c r="B88" s="3078"/>
      <c r="C88" s="3078"/>
      <c r="D88" s="3078"/>
      <c r="E88" s="3078"/>
      <c r="F88" s="3078"/>
      <c r="G88" s="2649"/>
      <c r="H88" s="4198"/>
      <c r="I88" s="4198"/>
      <c r="J88" s="4198"/>
      <c r="K88" s="4198"/>
      <c r="L88" s="3078"/>
      <c r="M88" s="3078"/>
      <c r="N88" s="3078"/>
      <c r="O88" s="3078"/>
      <c r="P88" s="3078"/>
      <c r="Q88" s="3078"/>
      <c r="R88" s="3078"/>
      <c r="S88" s="3078"/>
      <c r="T88" s="3078"/>
      <c r="U88" s="3078"/>
      <c r="V88" s="3078"/>
      <c r="W88" s="3078"/>
      <c r="X88" s="3078"/>
      <c r="Y88" s="3078"/>
      <c r="Z88" s="3078"/>
      <c r="AA88" s="3078"/>
      <c r="AB88" s="3078"/>
    </row>
    <row r="89" ht="15" customHeight="1">
      <c r="A89" s="3078"/>
      <c r="B89" s="3078"/>
      <c r="C89" s="3078"/>
      <c r="D89" s="3078"/>
      <c r="E89" s="3078"/>
      <c r="F89" s="3078"/>
      <c r="G89" s="2649"/>
      <c r="H89" s="4198"/>
      <c r="I89" s="4198"/>
      <c r="J89" s="4198"/>
      <c r="K89" s="4198"/>
      <c r="L89" s="3078"/>
      <c r="M89" s="3078"/>
      <c r="N89" s="3078"/>
      <c r="O89" s="3078"/>
      <c r="P89" s="3078"/>
      <c r="Q89" s="3078"/>
      <c r="R89" s="3078"/>
      <c r="S89" s="3078"/>
      <c r="T89" s="3078"/>
      <c r="U89" s="3078"/>
      <c r="V89" s="3078"/>
      <c r="W89" s="3078"/>
      <c r="X89" s="3078"/>
      <c r="Y89" s="3078"/>
      <c r="Z89" s="3078"/>
      <c r="AA89" s="3078"/>
      <c r="AB89" s="3078"/>
    </row>
    <row r="90" ht="15" customHeight="1">
      <c r="A90" s="3078"/>
      <c r="B90" s="3078"/>
      <c r="C90" s="3078"/>
      <c r="D90" s="3078"/>
      <c r="E90" s="3078"/>
      <c r="F90" s="3078"/>
      <c r="G90" s="2649"/>
      <c r="H90" s="4198"/>
      <c r="I90" s="4198"/>
      <c r="J90" s="4198"/>
      <c r="K90" s="4198"/>
      <c r="L90" s="3078"/>
      <c r="M90" s="3078"/>
      <c r="N90" s="3078"/>
      <c r="O90" s="3078"/>
      <c r="P90" s="3078"/>
      <c r="Q90" s="3078"/>
      <c r="R90" s="3078"/>
      <c r="S90" s="3078"/>
      <c r="T90" s="3078"/>
      <c r="U90" s="3078"/>
      <c r="V90" s="3078"/>
      <c r="W90" s="3078"/>
      <c r="X90" s="3078"/>
      <c r="Y90" s="3078"/>
      <c r="Z90" s="3078"/>
      <c r="AA90" s="3078"/>
      <c r="AB90" s="3078"/>
    </row>
    <row r="91" ht="15" customHeight="1">
      <c r="A91" s="3078"/>
      <c r="B91" s="3078"/>
      <c r="C91" s="3078"/>
      <c r="D91" s="3078"/>
      <c r="E91" s="3078"/>
      <c r="F91" s="3078"/>
      <c r="G91" s="3078"/>
      <c r="H91" s="3078"/>
      <c r="I91" s="3078"/>
      <c r="J91" s="3078"/>
      <c r="K91" s="3078"/>
      <c r="L91" s="3078"/>
      <c r="M91" s="3078"/>
      <c r="N91" s="3078"/>
      <c r="O91" s="3078"/>
      <c r="P91" s="3078"/>
      <c r="Q91" s="3078"/>
      <c r="R91" s="3078"/>
      <c r="S91" s="3078"/>
      <c r="T91" s="3078"/>
      <c r="U91" s="3078"/>
      <c r="V91" s="3078"/>
      <c r="W91" s="3078"/>
      <c r="X91" s="3078"/>
      <c r="Y91" s="3078"/>
      <c r="Z91" s="3078"/>
      <c r="AA91" s="3078"/>
      <c r="AB91" s="3078"/>
    </row>
    <row r="92" ht="15" customHeight="1">
      <c r="A92" s="3078"/>
      <c r="B92" s="3078"/>
      <c r="C92" s="3078"/>
      <c r="D92" s="3078"/>
      <c r="E92" s="3078"/>
      <c r="F92" s="3078"/>
      <c r="G92" s="3078"/>
      <c r="H92" s="3078"/>
      <c r="I92" s="3078"/>
      <c r="J92" s="3078"/>
      <c r="K92" s="3078"/>
      <c r="L92" s="3078"/>
      <c r="M92" s="3078"/>
      <c r="N92" s="3078"/>
      <c r="O92" s="3078"/>
      <c r="P92" s="3078"/>
      <c r="Q92" s="3078"/>
      <c r="R92" s="3078"/>
      <c r="S92" s="3078"/>
      <c r="T92" s="3078"/>
      <c r="U92" s="3078"/>
      <c r="V92" s="3078"/>
      <c r="W92" s="3078"/>
      <c r="X92" s="3078"/>
      <c r="Y92" s="3078"/>
      <c r="Z92" s="3078"/>
      <c r="AA92" s="3078"/>
      <c r="AB92" s="3078"/>
    </row>
    <row r="93" ht="15" customHeight="1">
      <c r="A93" s="3078"/>
      <c r="B93" s="3078"/>
      <c r="C93" s="3078"/>
      <c r="D93" s="3078"/>
      <c r="E93" s="3078"/>
      <c r="F93" s="4199"/>
      <c r="G93" s="4200"/>
      <c r="H93" s="3078"/>
      <c r="I93" s="3078"/>
      <c r="J93" s="3078"/>
      <c r="K93" s="3078"/>
      <c r="L93" s="3078"/>
      <c r="M93" s="3078"/>
      <c r="N93" s="3078"/>
      <c r="O93" s="3078"/>
      <c r="P93" s="3078"/>
      <c r="Q93" s="3078"/>
      <c r="R93" s="3078"/>
      <c r="S93" s="3078"/>
      <c r="T93" s="3078"/>
      <c r="U93" s="3078"/>
      <c r="V93" s="3078"/>
      <c r="W93" s="3078"/>
      <c r="X93" s="3078"/>
      <c r="Y93" s="3078"/>
      <c r="Z93" s="3078"/>
      <c r="AA93" s="3078"/>
      <c r="AB93" s="3078"/>
    </row>
    <row r="94" ht="15" customHeight="1">
      <c r="A94" s="3078"/>
      <c r="B94" s="3078"/>
      <c r="C94" s="3078"/>
      <c r="D94" s="3185" t="s">
        <v>3475</v>
      </c>
      <c r="E94" s="3185"/>
      <c r="F94" s="2769" t="e">
        <f>MAX(E44,G98)</f>
        <v>#NAME?</v>
      </c>
      <c r="G94" s="4201"/>
      <c r="H94" s="4201"/>
      <c r="I94" s="4201"/>
      <c r="J94" s="4201"/>
      <c r="K94" s="4201"/>
      <c r="L94" s="4201"/>
      <c r="M94" s="4201"/>
      <c r="N94" s="4201"/>
      <c r="O94" s="4201"/>
      <c r="P94" s="4201"/>
      <c r="Q94" s="4201"/>
      <c r="R94" s="4201"/>
      <c r="S94" s="3078"/>
      <c r="T94" s="3078"/>
      <c r="U94" s="3078"/>
      <c r="V94" s="3078"/>
      <c r="W94" s="3078"/>
      <c r="X94" s="3078"/>
      <c r="Y94" s="3078"/>
      <c r="Z94" s="3078"/>
      <c r="AA94" s="3078"/>
      <c r="AB94" s="3078"/>
    </row>
    <row r="95" ht="15" customHeight="1">
      <c r="A95" s="3078"/>
      <c r="B95" s="3078"/>
      <c r="C95" s="3078"/>
      <c r="D95" s="3078"/>
      <c r="E95" s="3078"/>
      <c r="F95" s="3078"/>
      <c r="G95" s="3078"/>
      <c r="H95" s="3078"/>
      <c r="I95" s="3078"/>
      <c r="J95" s="3078"/>
      <c r="K95" s="3078"/>
      <c r="L95" s="3078"/>
      <c r="M95" s="3078"/>
      <c r="N95" s="3078"/>
      <c r="O95" s="3078"/>
      <c r="P95" s="3078"/>
      <c r="Q95" s="3078"/>
      <c r="R95" s="3078"/>
      <c r="S95" s="3078"/>
      <c r="T95" s="3078"/>
      <c r="U95" s="3078"/>
      <c r="V95" s="3078"/>
      <c r="W95" s="3078"/>
      <c r="X95" s="3078"/>
      <c r="Y95" s="3078"/>
      <c r="Z95" s="3078"/>
      <c r="AA95" s="3078"/>
      <c r="AB95" s="3078"/>
    </row>
    <row r="96" ht="15" customHeight="1">
      <c r="A96" s="3078"/>
      <c r="B96" s="3078"/>
      <c r="C96" s="3078"/>
      <c r="D96" s="3078"/>
      <c r="E96" s="3078"/>
      <c r="F96" s="3078"/>
      <c r="G96" s="3078"/>
      <c r="H96" s="3078"/>
      <c r="I96" s="3078"/>
      <c r="J96" s="3078"/>
      <c r="K96" s="3078"/>
      <c r="L96" s="3078"/>
      <c r="M96" s="3078"/>
      <c r="N96" s="3078"/>
      <c r="O96" s="3078"/>
      <c r="P96" s="3078"/>
      <c r="Q96" s="3078"/>
      <c r="R96" s="3078"/>
      <c r="S96" s="3078"/>
      <c r="T96" s="3078"/>
      <c r="U96" s="3078"/>
      <c r="V96" s="3078"/>
      <c r="W96" s="3078"/>
      <c r="X96" s="3078"/>
      <c r="Y96" s="3078"/>
      <c r="Z96" s="3078"/>
      <c r="AA96" s="3078"/>
      <c r="AB96" s="3078"/>
    </row>
    <row r="97" ht="15" customHeight="1">
      <c r="A97" s="3078"/>
      <c r="B97" s="3078"/>
      <c r="C97" s="3078"/>
      <c r="D97" s="3078"/>
      <c r="E97" s="3078"/>
      <c r="F97" s="3078"/>
      <c r="G97" s="3078">
        <f t="shared" si="18" ref="G97:R97">(G8*SUMPRODUCT($G40:INDIRECT(ADDRESS(ROW($G40),6+G7)),1/$G8:INDIRECT(ADDRESS(ROW($G8),6+G7))))/(SUM($G8:INDIRECT(ADDRESS(ROW($G8),6+G7)))*$J3)</f>
        <v>0</v>
      </c>
      <c r="H97" s="3078">
        <f t="shared" si="18"/>
        <v>0</v>
      </c>
      <c r="I97" s="3078">
        <f t="shared" si="18"/>
        <v>0</v>
      </c>
      <c r="J97" s="3078">
        <f t="shared" si="18"/>
        <v>0</v>
      </c>
      <c r="K97" s="3078">
        <f t="shared" si="18"/>
        <v>0</v>
      </c>
      <c r="L97" s="3078">
        <f t="shared" si="18"/>
        <v>0</v>
      </c>
      <c r="M97" s="3078">
        <f t="shared" si="18"/>
        <v>0</v>
      </c>
      <c r="N97" s="3078">
        <f t="shared" si="18"/>
        <v>0</v>
      </c>
      <c r="O97" s="3078">
        <f t="shared" si="18"/>
        <v>0</v>
      </c>
      <c r="P97" s="3078">
        <f t="shared" si="18"/>
        <v>0</v>
      </c>
      <c r="Q97" s="3078">
        <f t="shared" si="18"/>
        <v>0</v>
      </c>
      <c r="R97" s="3078">
        <f t="shared" si="18"/>
        <v>0</v>
      </c>
      <c r="S97" s="3078"/>
      <c r="T97" s="3078"/>
      <c r="U97" s="3078"/>
      <c r="V97" s="3078"/>
      <c r="W97" s="3078"/>
      <c r="X97" s="3078"/>
      <c r="Y97" s="3078"/>
      <c r="Z97" s="3078"/>
      <c r="AA97" s="3078"/>
      <c r="AB97" s="3078"/>
    </row>
    <row r="98" ht="15" customHeight="1">
      <c r="A98" s="3078"/>
      <c r="B98" s="3078"/>
      <c r="C98" s="3078"/>
      <c r="D98" s="3078"/>
      <c r="E98" s="3078"/>
      <c r="F98" s="3078"/>
      <c r="G98" s="4197" t="e">
        <f>CEILING(MAX(G97,INDIRECT(ADDRESS(ROW(F97),COLUMN(F97)+P4)&amp;":"&amp;ADDRESS(ROW(F97),COLUMN(F97)+P4+2)),INDIRECT(ADDRESS(ROW(H98),COLUMN(H98))&amp;":"&amp;ADDRESS(ROW(H98),COLUMN(H98)+P4-IF(P4&gt;=3,3,0)))),1)</f>
        <v>#NAME?</v>
      </c>
      <c r="H98" s="3078">
        <f t="shared" si="17"/>
        <v>0</v>
      </c>
      <c r="I98" s="3078">
        <f t="shared" si="17"/>
        <v>0</v>
      </c>
      <c r="J98" s="3078">
        <f t="shared" si="17"/>
        <v>0</v>
      </c>
      <c r="K98" s="3078">
        <f t="shared" si="17"/>
        <v>0</v>
      </c>
      <c r="L98" s="3078">
        <f t="shared" si="17"/>
        <v>0</v>
      </c>
      <c r="M98" s="3078">
        <f t="shared" si="17"/>
        <v>0</v>
      </c>
      <c r="N98" s="3078">
        <f t="shared" si="17"/>
        <v>0</v>
      </c>
      <c r="O98" s="3078">
        <f t="shared" si="17"/>
        <v>0</v>
      </c>
      <c r="P98" s="3078">
        <f t="shared" si="17"/>
        <v>0</v>
      </c>
      <c r="Q98" s="3078"/>
      <c r="R98" s="3078"/>
      <c r="S98" s="3078"/>
      <c r="T98" s="3078"/>
      <c r="U98" s="3078"/>
      <c r="V98" s="3078"/>
      <c r="W98" s="3078"/>
      <c r="X98" s="3078"/>
      <c r="Y98" s="3078"/>
      <c r="Z98" s="3078"/>
      <c r="AA98" s="3078"/>
      <c r="AB98" s="3078"/>
    </row>
    <row r="101" ht="15" customHeight="1">
      <c r="E101" s="625" t="s">
        <v>3477</v>
      </c>
    </row>
    <row r="102" ht="15" customHeight="1">
      <c r="E102" s="625" t="s">
        <v>3478</v>
      </c>
    </row>
    <row r="103" ht="15" customHeight="1">
      <c r="E103" s="625" t="s">
        <v>3479</v>
      </c>
    </row>
    <row r="104" ht="15" customHeight="1">
      <c r="E104" s="625" t="s">
        <v>3480</v>
      </c>
    </row>
    <row r="105" ht="15" customHeight="1">
      <c r="E105" s="625" t="s">
        <v>3481</v>
      </c>
    </row>
    <row r="106" ht="15" customHeight="1">
      <c r="E106" s="625" t="s">
        <v>3482</v>
      </c>
    </row>
    <row r="107" ht="15" customHeight="1">
      <c r="E107" s="625" t="s">
        <v>3483</v>
      </c>
    </row>
    <row r="108" ht="15" customHeight="1">
      <c r="E108" s="625" t="s">
        <v>3484</v>
      </c>
    </row>
  </sheetData>
  <mergeCells>
    <mergeCell ref="D81:E81"/>
    <mergeCell ref="D79:E79"/>
    <mergeCell ref="D94:E94"/>
    <mergeCell ref="D50:E50"/>
    <mergeCell ref="A53:F53"/>
    <mergeCell ref="A59:F59"/>
    <mergeCell ref="A65:F65"/>
    <mergeCell ref="A71:F71"/>
    <mergeCell ref="A73:F73"/>
  </mergeCells>
  <dataValidations count="3">
    <dataValidation allowBlank="1" showErrorMessage="1" showInputMessage="1" sqref="B74:B75 B54:B57 B60:B63 B66:B69 B72" type="list">
      <formula1>"Prior to Rate Lock,Prior to Closing,1 Month,2 Months,3 Months,6 Months,12 Months,Completed"</formula1>
    </dataValidation>
  </dataValidations>
  <printOptions horizontalCentered="1"/>
  <pageMargins left="0.25" right="0.25" top="0.25" bottom="0.25" header="0.3" footer="0.3"/>
  <pageSetup useFirstPageNumber="1" fitToHeight="1" fitToWidth="1" paperSize="5" firstPageNumber="1" scale="48" pageOrder="downThenOver" orientation="landscape"/>
  <headerFooter>
    <oddHeader>&amp;L&amp;C&amp;R</oddHeader>
    <oddFooter>&amp;L&amp;C&amp;R</oddFooter>
  </headerFooter>
  <drawing r:id="rId3"/>
  <legacyDrawing r:id="rId2"/>
  <extLst>
    <ext xmlns:x14="http://schemas.microsoft.com/office/spreadsheetml/2009/9/main" uri="{CCE6A557-97BC-4b89-ADB6-D9C93CAAB3DF}">
      <x14:dataValidations xmlns:xm="http://schemas.microsoft.com/office/excel/2006/main" count="2">
        <x14:dataValidation allowBlank="1" showErrorMessage="1" showInputMessage="1" sqref="F79" type="list">
          <x14:formula1>
            <xm:f>'Dropdowns (DNP)'!$A$2:$A$5</xm:f>
          </x14:formula1>
          <xm:sqref>F79</xm:sqref>
        </x14:dataValidation>
        <x14:dataValidation allowBlank="1" showErrorMessage="1" showInputMessage="1" sqref="F50" type="list">
          <x14:formula1>
            <xm:f>'Dropdowns (DNP)'!$A$2:$A$4</xm:f>
          </x14:formula1>
          <xm:sqref>F50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25E9D6C3-6A01-732F-8D81-4AA3573BE09F}" mc:Ignorable="x14ac xr xr2 xr3">
  <dimension ref="A1:XFC104"/>
  <sheetViews>
    <sheetView topLeftCell="A1" workbookViewId="0">
      <selection activeCell="A1" sqref="A1"/>
    </sheetView>
  </sheetViews>
  <sheetFormatPr defaultRowHeight="12.997499999999997" defaultColWidth="0" customHeight="1"/>
  <cols>
    <col min="1" max="1" style="4248" width="4.00390625" customWidth="1"/>
    <col min="2" max="28" style="4248" width="2.28125" customWidth="1"/>
    <col min="29" max="29" style="4248" width="2.57421875" customWidth="1"/>
    <col min="30" max="55" style="4248" width="2.28125" customWidth="1"/>
    <col min="56" max="56" style="4248" width="4.57421875" customWidth="1"/>
    <col min="57" max="98" style="4248" width="2.28125" hidden="1" customWidth="1"/>
    <col min="99" max="16383" style="4248" width="9.140625" hidden="1" customWidth="1"/>
  </cols>
  <sheetData>
    <row r="1" ht="33.75" customHeight="1"/>
    <row r="2" ht="12.75" customHeight="1">
      <c r="B2" s="4202" t="s">
        <v>3485</v>
      </c>
      <c r="BC2" s="4203" t="str">
        <f>"Version "&amp;"5.1"&amp;" | Last Revised "&amp;FormMonth&amp;"/"&amp;FormYear</f>
        <v>Version 5.1 | Last Revised 11/2020</v>
      </c>
    </row>
    <row r="3" ht="15" customHeight="1">
      <c r="C3" s="4204" t="s">
        <v>3487</v>
      </c>
      <c r="H3" s="4205" t="str">
        <f t="shared" si="0" ref="H3:H8">IF(PropertyName_DataPageTab="","",PropertyName_DataPageTab)</f>
        <v>XXXX</v>
      </c>
      <c r="I3" s="4205"/>
      <c r="J3" s="4205"/>
      <c r="K3" s="4205"/>
      <c r="L3" s="4205"/>
      <c r="M3" s="4205"/>
      <c r="N3" s="4205"/>
      <c r="O3" s="4205"/>
      <c r="P3" s="4205"/>
      <c r="Q3" s="4205"/>
      <c r="R3" s="4205"/>
      <c r="S3" s="4205"/>
      <c r="T3" s="4205"/>
      <c r="U3" s="4205"/>
      <c r="V3" s="4205"/>
      <c r="W3" s="4205"/>
      <c r="X3" s="4205"/>
      <c r="Y3" s="4205"/>
      <c r="Z3" s="4205"/>
      <c r="AA3" s="4205"/>
      <c r="AD3" s="4206" t="s">
        <v>3488</v>
      </c>
      <c r="AI3" s="4205" t="str">
        <f>Lender_Name</f>
        <v>Walker &amp; Dunlop, LLC</v>
      </c>
      <c r="AJ3" s="4205"/>
      <c r="AK3" s="4205"/>
      <c r="AL3" s="4205"/>
      <c r="AM3" s="4205"/>
      <c r="AN3" s="4205"/>
      <c r="AO3" s="4205"/>
      <c r="AP3" s="4205"/>
      <c r="AQ3" s="4205"/>
      <c r="AR3" s="4205"/>
      <c r="AS3" s="4205"/>
      <c r="AT3" s="4205"/>
      <c r="AU3" s="4205"/>
      <c r="AV3" s="4205"/>
      <c r="AW3" s="4205"/>
      <c r="AX3" s="4205"/>
      <c r="AY3" s="4205"/>
      <c r="AZ3" s="4205"/>
      <c r="BA3" s="4205"/>
      <c r="BB3" s="4205"/>
    </row>
    <row r="4" ht="12" customHeight="1">
      <c r="C4" s="4204" t="s">
        <v>3489</v>
      </c>
      <c r="O4" s="4207"/>
      <c r="P4" s="4207"/>
      <c r="Q4" s="4207"/>
      <c r="R4" s="4207"/>
      <c r="S4" s="4207"/>
      <c r="T4" s="4207"/>
      <c r="BE4" s="4206"/>
    </row>
    <row r="5" ht="12" customHeight="1">
      <c r="C5" s="4204" t="s">
        <v>3490</v>
      </c>
      <c r="D5" s="4208"/>
      <c r="E5" s="4208"/>
      <c r="F5" s="4208"/>
      <c r="G5" s="4208"/>
      <c r="H5" s="4208"/>
      <c r="I5" s="4208"/>
      <c r="J5" s="4208"/>
      <c r="K5" s="4208"/>
      <c r="L5" s="4208"/>
      <c r="M5" s="4208"/>
      <c r="N5" s="4208"/>
      <c r="O5" s="4209"/>
      <c r="P5" s="4209"/>
      <c r="Q5" s="4209"/>
      <c r="R5" s="4209"/>
      <c r="S5" s="4209"/>
      <c r="T5" s="4209"/>
      <c r="U5" s="4210"/>
      <c r="BF5" s="4202"/>
    </row>
    <row r="6" ht="12" customHeight="1">
      <c r="AB6" s="4210"/>
    </row>
    <row r="7" ht="12" customHeight="1">
      <c r="AB7" s="4211"/>
    </row>
    <row r="8" ht="12" customHeight="1">
      <c r="C8" s="4212"/>
      <c r="G8" s="4213" t="s">
        <v>2420</v>
      </c>
      <c r="H8" s="4214" t="str">
        <f t="shared" si="0"/>
        <v>XXXX</v>
      </c>
      <c r="I8" s="4214"/>
      <c r="J8" s="4214"/>
      <c r="K8" s="4214"/>
      <c r="L8" s="4214"/>
      <c r="M8" s="4214"/>
      <c r="N8" s="4214"/>
      <c r="O8" s="4214"/>
      <c r="P8" s="4214"/>
      <c r="Q8" s="4214"/>
      <c r="R8" s="4214"/>
      <c r="S8" s="4214"/>
      <c r="T8" s="4214"/>
      <c r="U8" s="4214"/>
      <c r="V8" s="4214"/>
      <c r="W8" s="4214"/>
      <c r="X8" s="4214"/>
      <c r="Y8" s="4214"/>
      <c r="Z8" s="4214"/>
      <c r="AA8" s="4214"/>
      <c r="AB8" s="4210"/>
      <c r="AL8" s="4213" t="s">
        <v>3491</v>
      </c>
      <c r="AM8" s="4215" t="str">
        <f>'Data Page'!E43</f>
        <v>Refinance</v>
      </c>
      <c r="AN8" s="4215"/>
      <c r="AO8" s="4215"/>
      <c r="AP8" s="4215"/>
      <c r="AQ8" s="4215"/>
      <c r="AR8" s="4215"/>
      <c r="AS8" s="4215"/>
      <c r="AT8" s="4215"/>
      <c r="AU8" s="4215"/>
      <c r="AV8" s="4215"/>
      <c r="AW8" s="4215"/>
      <c r="AX8" s="4215"/>
      <c r="AY8" s="4215"/>
      <c r="AZ8" s="4215"/>
      <c r="BA8" s="4215"/>
      <c r="BB8" s="4215"/>
    </row>
    <row r="9" ht="12" customHeight="1">
      <c r="G9" s="4213" t="s">
        <v>405</v>
      </c>
      <c r="H9" s="4216" t="str">
        <f>IF(Property_Type="","",Property_Type)</f>
        <v>Multifamily</v>
      </c>
      <c r="I9" s="4216"/>
      <c r="J9" s="4216"/>
      <c r="K9" s="4216"/>
      <c r="L9" s="4216"/>
      <c r="M9" s="4216"/>
      <c r="N9" s="4216"/>
      <c r="O9" s="4216"/>
      <c r="P9" s="4217" t="s">
        <v>662</v>
      </c>
      <c r="U9" s="4216" t="str">
        <f>IF(Building_Type="","",Building_Type)</f>
        <v>Select</v>
      </c>
      <c r="V9" s="4216"/>
      <c r="W9" s="4216"/>
      <c r="X9" s="4216"/>
      <c r="Y9" s="4216"/>
      <c r="Z9" s="4216"/>
      <c r="AA9" s="4216"/>
      <c r="AL9" s="4213" t="s">
        <v>3492</v>
      </c>
      <c r="AM9" s="4218" t="e">
        <f>IF(ApplicationLoan=0,0.01,ApplicationLoan)</f>
        <v>#NAME?</v>
      </c>
      <c r="AN9" s="4218"/>
      <c r="AO9" s="4218"/>
      <c r="AP9" s="4218"/>
      <c r="AQ9" s="4218"/>
      <c r="AR9" s="4218"/>
      <c r="AS9" s="4218"/>
    </row>
    <row r="10" ht="12" customHeight="1">
      <c r="G10" s="4213" t="s">
        <v>668</v>
      </c>
      <c r="H10" s="4216">
        <f>IF(YearBuilt_DataPageTab="XXXX",1800,YearBuilt_DataPageTab)</f>
        <v>1800</v>
      </c>
      <c r="I10" s="4216"/>
      <c r="J10" s="4216"/>
      <c r="T10" s="4219" t="s">
        <v>3493</v>
      </c>
      <c r="U10" s="4220">
        <f>IF(NumOfBldg_DataPageTab="",1,NumOfBldg_DataPageTab)</f>
        <v>24</v>
      </c>
      <c r="V10" s="4220"/>
      <c r="AL10" s="4213" t="s">
        <v>3494</v>
      </c>
      <c r="AM10" s="4221"/>
      <c r="AN10" s="4221"/>
      <c r="AO10" s="4221"/>
      <c r="AP10" s="4221"/>
      <c r="AQ10" s="4221"/>
      <c r="AR10" s="4221"/>
      <c r="AS10" s="4221"/>
      <c r="AW10" s="4213" t="s">
        <v>3495</v>
      </c>
      <c r="AX10" s="4222"/>
      <c r="AY10" s="4222"/>
      <c r="AZ10" s="4222"/>
      <c r="BA10" s="4222"/>
      <c r="BB10" s="4222"/>
    </row>
    <row r="11" ht="12" customHeight="1">
      <c r="BE11" s="4206"/>
    </row>
    <row r="12" ht="12" customHeight="1">
      <c r="E12" s="4223" t="s">
        <v>3496</v>
      </c>
      <c r="F12" s="4224"/>
      <c r="G12" s="4224"/>
      <c r="H12" s="4224"/>
      <c r="I12" s="4224"/>
      <c r="J12" s="4224"/>
      <c r="K12" s="4225"/>
      <c r="L12" s="4226">
        <v>1</v>
      </c>
      <c r="M12" s="4227"/>
      <c r="N12" s="4226">
        <v>2</v>
      </c>
      <c r="O12" s="4227"/>
      <c r="P12" s="4226">
        <v>3</v>
      </c>
      <c r="Q12" s="4227"/>
      <c r="R12" s="4226">
        <v>4</v>
      </c>
      <c r="S12" s="4227"/>
      <c r="T12" s="4226">
        <v>5</v>
      </c>
      <c r="U12" s="4227"/>
      <c r="V12" s="4226">
        <v>6</v>
      </c>
      <c r="W12" s="4227"/>
      <c r="X12" s="4226">
        <v>7</v>
      </c>
      <c r="Y12" s="4227"/>
      <c r="AK12" s="4212"/>
      <c r="AL12" s="4213" t="s">
        <v>3497</v>
      </c>
      <c r="AM12" s="4228"/>
      <c r="AN12" s="4228"/>
      <c r="AU12" s="4213" t="s">
        <v>3498</v>
      </c>
      <c r="AV12" s="4228"/>
      <c r="AW12" s="4228"/>
    </row>
    <row r="13" ht="12" customHeight="1">
      <c r="E13" s="4223" t="s">
        <v>3499</v>
      </c>
      <c r="F13" s="4224"/>
      <c r="G13" s="4224"/>
      <c r="H13" s="4224"/>
      <c r="I13" s="4224"/>
      <c r="J13" s="4224"/>
      <c r="K13" s="4225"/>
      <c r="L13" s="4229"/>
      <c r="M13" s="4230"/>
      <c r="N13" s="4229"/>
      <c r="O13" s="4230"/>
      <c r="P13" s="4229"/>
      <c r="Q13" s="4230"/>
      <c r="R13" s="4229"/>
      <c r="S13" s="4230"/>
      <c r="T13" s="4229"/>
      <c r="U13" s="4230"/>
      <c r="V13" s="4229"/>
      <c r="W13" s="4230"/>
      <c r="X13" s="4229"/>
      <c r="Y13" s="4230"/>
      <c r="AI13" s="4231"/>
      <c r="AK13" s="4212"/>
      <c r="AL13" s="4213" t="s">
        <v>3500</v>
      </c>
      <c r="AM13" s="4220"/>
      <c r="AN13" s="4220"/>
      <c r="AU13" s="4213" t="s">
        <v>3501</v>
      </c>
      <c r="AV13" s="4232"/>
      <c r="AW13" s="4232"/>
      <c r="AX13" s="4232"/>
      <c r="AY13" s="4232"/>
    </row>
    <row r="14" ht="12" customHeight="1">
      <c r="E14" s="4223" t="s">
        <v>3502</v>
      </c>
      <c r="F14" s="4224"/>
      <c r="G14" s="4224"/>
      <c r="H14" s="4224"/>
      <c r="I14" s="4224"/>
      <c r="J14" s="4224"/>
      <c r="K14" s="4225"/>
      <c r="L14" s="4233"/>
      <c r="M14" s="4234"/>
      <c r="N14" s="4229"/>
      <c r="O14" s="4230"/>
      <c r="P14" s="4229"/>
      <c r="Q14" s="4230"/>
      <c r="R14" s="4229"/>
      <c r="S14" s="4230"/>
      <c r="T14" s="4229"/>
      <c r="U14" s="4230"/>
      <c r="V14" s="4229"/>
      <c r="W14" s="4230"/>
      <c r="X14" s="4229"/>
      <c r="Y14" s="4230"/>
    </row>
    <row r="15" ht="12" customHeight="1">
      <c r="AN15" s="4213" t="s">
        <v>3503</v>
      </c>
      <c r="AO15" s="4235" t="e">
        <f>IF(Interest_Rate_Type="Fixed",Treasury\Index,SARMLibor)*100</f>
        <v>#NAME?</v>
      </c>
      <c r="AP15" s="4235"/>
      <c r="AQ15" s="4235"/>
    </row>
    <row r="16" ht="12" customHeight="1">
      <c r="N16" s="4213" t="s">
        <v>3504</v>
      </c>
      <c r="O16" s="4236">
        <f>TotalUnits</f>
        <v>85</v>
      </c>
      <c r="P16" s="4236"/>
      <c r="Q16" s="4236"/>
      <c r="R16" s="4236"/>
      <c r="S16" s="4236"/>
      <c r="AB16" s="4202"/>
      <c r="AN16" s="4213" t="s">
        <v>3505</v>
      </c>
      <c r="AO16" s="4237" t="e">
        <f>IF(Interest_Rate_Type="Fixed",InvestorSpread+GuarantyFee+ServicingFee,SARMInvestorSpread+SARMGuarantyFee+SARMServicingFee)*100</f>
        <v>#NAME?</v>
      </c>
      <c r="AP16" s="4237"/>
      <c r="AQ16" s="4237"/>
    </row>
    <row r="17" ht="12" customHeight="1">
      <c r="N17" s="4213" t="s">
        <v>3506</v>
      </c>
      <c r="O17" s="4238">
        <f>NRA</f>
        <v>84991</v>
      </c>
      <c r="P17" s="4238"/>
      <c r="Q17" s="4238"/>
      <c r="R17" s="4238"/>
      <c r="S17" s="4238"/>
      <c r="T17" s="4212" t="s">
        <v>3507</v>
      </c>
      <c r="AB17" s="4210"/>
      <c r="AN17" s="4213" t="s">
        <v>3508</v>
      </c>
      <c r="AO17" s="4239">
        <v>0</v>
      </c>
      <c r="AP17" s="4239"/>
      <c r="AQ17" s="4239"/>
      <c r="AR17" s="4240" t="s">
        <v>3509</v>
      </c>
    </row>
    <row r="18" ht="12" customHeight="1">
      <c r="AB18" s="4210"/>
      <c r="AN18" s="4213" t="s">
        <v>3510</v>
      </c>
      <c r="AO18" s="4237" t="e">
        <f>IF(Interest_Rate_Type="Fixed",FloorRate,SARMStressRate)*100</f>
        <v>#NAME?</v>
      </c>
      <c r="AP18" s="4237"/>
      <c r="AQ18" s="4237"/>
      <c r="AR18" s="4240" t="s">
        <v>3511</v>
      </c>
    </row>
    <row r="19" ht="12" customHeight="1">
      <c r="J19" s="4213" t="s">
        <v>3512</v>
      </c>
      <c r="K19" s="4241"/>
      <c r="L19" s="4241"/>
      <c r="W19" s="4213" t="s">
        <v>3513</v>
      </c>
      <c r="X19" s="4241"/>
      <c r="Y19" s="4241"/>
      <c r="AB19" s="4210"/>
      <c r="AN19" s="4213" t="s">
        <v>3514</v>
      </c>
      <c r="AO19" s="4242"/>
      <c r="AP19" s="4242"/>
      <c r="AQ19" s="4242"/>
    </row>
    <row r="20" ht="12" customHeight="1">
      <c r="J20" s="4213" t="s">
        <v>3515</v>
      </c>
      <c r="K20" s="4216"/>
      <c r="L20" s="4216"/>
      <c r="W20" s="4213" t="s">
        <v>3516</v>
      </c>
      <c r="X20" s="4216"/>
      <c r="Y20" s="4216"/>
      <c r="AS20" s="4243"/>
      <c r="AT20" s="4243"/>
      <c r="BE20" s="4206"/>
    </row>
    <row r="21" ht="12" customHeight="1">
      <c r="J21" s="4213" t="s">
        <v>3517</v>
      </c>
      <c r="K21" s="4216"/>
      <c r="L21" s="4216"/>
      <c r="W21" s="4213" t="s">
        <v>3518</v>
      </c>
      <c r="X21" s="4216"/>
      <c r="Y21" s="4216"/>
    </row>
    <row r="22" ht="12" customHeight="1">
      <c r="J22" s="4213" t="s">
        <v>3519</v>
      </c>
      <c r="K22" s="4244"/>
      <c r="L22" s="4244"/>
      <c r="W22" s="4213" t="s">
        <v>3520</v>
      </c>
      <c r="X22" s="4216"/>
      <c r="Y22" s="4216"/>
    </row>
    <row r="23" ht="12" customHeight="1">
      <c r="D23" s="4245" t="s">
        <v>3521</v>
      </c>
      <c r="E23" s="4245"/>
      <c r="F23" s="4245"/>
      <c r="G23" s="4245"/>
      <c r="H23" s="4245"/>
      <c r="I23" s="4245"/>
      <c r="J23" s="4245"/>
      <c r="K23" s="4245"/>
      <c r="L23" s="4245"/>
      <c r="M23" s="4245"/>
      <c r="AB23" s="4211"/>
      <c r="AM23" s="4213" t="s">
        <v>3522</v>
      </c>
      <c r="AN23" s="4246">
        <f>YEAR(TODAY())</f>
        <v>2023</v>
      </c>
      <c r="AO23" s="4246"/>
      <c r="AP23" s="4246"/>
      <c r="AW23" s="4213" t="s">
        <v>3523</v>
      </c>
      <c r="AX23" s="4247">
        <f>ROUND((1-SOps_UW_PhyVac_Pcnt)*100,1)</f>
        <v>88</v>
      </c>
      <c r="AY23" s="4247"/>
      <c r="AZ23" s="4247"/>
      <c r="BA23" s="4248" t="s">
        <v>3137</v>
      </c>
    </row>
    <row r="24" ht="12" customHeight="1">
      <c r="AM24" s="4213" t="s">
        <v>2497</v>
      </c>
      <c r="AN24" s="4237">
        <f>UW_Cap*100</f>
        <v>5</v>
      </c>
      <c r="AO24" s="4237"/>
      <c r="AP24" s="4237"/>
      <c r="AQ24" s="4248" t="s">
        <v>3137</v>
      </c>
      <c r="AW24" s="4213" t="s">
        <v>3524</v>
      </c>
      <c r="AX24" s="4249">
        <f>ROUND((1-SOps_UW_Econ_Vac)*100,1)</f>
        <v>85.2</v>
      </c>
      <c r="AY24" s="4249"/>
      <c r="AZ24" s="4249"/>
      <c r="BA24" s="4210" t="s">
        <v>3137</v>
      </c>
    </row>
    <row r="25" ht="12" customHeight="1"/>
    <row r="26" ht="12" customHeight="1">
      <c r="C26" s="4204" t="s">
        <v>3525</v>
      </c>
      <c r="L26" s="4205"/>
      <c r="M26" s="4205"/>
      <c r="N26" s="4205"/>
      <c r="O26" s="4205"/>
      <c r="P26" s="4205"/>
      <c r="Q26" s="4205"/>
      <c r="R26" s="4205"/>
      <c r="S26" s="4205"/>
      <c r="T26" s="4205"/>
      <c r="U26" s="4205"/>
      <c r="V26" s="4205"/>
      <c r="W26" s="4205"/>
      <c r="X26" s="4205"/>
      <c r="Y26" s="4205"/>
      <c r="Z26" s="4205"/>
      <c r="AA26" s="4205"/>
      <c r="AJ26" s="4212"/>
      <c r="AK26" s="4213" t="s">
        <v>3526</v>
      </c>
      <c r="AL26" s="4250">
        <f>IF(UW_Value=0,0.01,UW_Value)</f>
        <v>-34419044.199999996</v>
      </c>
      <c r="AM26" s="4250"/>
      <c r="AN26" s="4250"/>
      <c r="AO26" s="4250"/>
      <c r="AP26" s="4250"/>
      <c r="AQ26" s="4250"/>
      <c r="AR26" s="4250"/>
      <c r="AS26" s="4206" t="s">
        <v>3527</v>
      </c>
      <c r="AV26" s="4212"/>
      <c r="AW26" s="4251">
        <f>IF(ISTEXT(Appraisal_Date),TODAY(),Appraisal_Date)</f>
        <v>45201</v>
      </c>
      <c r="AX26" s="4251"/>
      <c r="AY26" s="4251"/>
      <c r="AZ26" s="4251"/>
      <c r="BA26" s="4251"/>
    </row>
    <row r="27" ht="12" customHeight="1">
      <c r="C27" s="4204" t="s">
        <v>3528</v>
      </c>
      <c r="J27" s="4214"/>
      <c r="K27" s="4214"/>
      <c r="L27" s="4214"/>
      <c r="M27" s="4214"/>
      <c r="N27" s="4214"/>
      <c r="O27" s="4214"/>
      <c r="P27" s="4214"/>
      <c r="Q27" s="4214"/>
      <c r="R27" s="4214"/>
      <c r="S27" s="4214"/>
      <c r="T27" s="4214"/>
      <c r="U27" s="4214"/>
      <c r="V27" s="4214"/>
      <c r="W27" s="4214"/>
      <c r="X27" s="4214"/>
      <c r="Y27" s="4214"/>
      <c r="Z27" s="4214"/>
      <c r="AA27" s="4214"/>
      <c r="AJ27" s="4212"/>
      <c r="AK27" s="4213" t="s">
        <v>2504</v>
      </c>
      <c r="AL27" s="4252">
        <f>IF(LTV*100=0,0.01,LTV*100)</f>
        <v>0.01</v>
      </c>
      <c r="AM27" s="4252"/>
      <c r="AN27" s="4252"/>
      <c r="AO27" s="4212" t="s">
        <v>3137</v>
      </c>
      <c r="AV27" s="4213" t="s">
        <v>3529</v>
      </c>
      <c r="AW27" s="4253"/>
      <c r="AX27" s="4253"/>
      <c r="AY27" s="4253"/>
      <c r="AZ27" s="4212" t="s">
        <v>3137</v>
      </c>
    </row>
    <row r="28" ht="12" customHeight="1">
      <c r="C28" s="4204" t="s">
        <v>3530</v>
      </c>
      <c r="K28" s="4254"/>
      <c r="L28" s="4254"/>
      <c r="M28" s="4254"/>
      <c r="N28" s="4212" t="s">
        <v>3531</v>
      </c>
      <c r="P28" s="4255" t="s">
        <v>3532</v>
      </c>
      <c r="Q28" s="4255"/>
      <c r="R28" s="4255"/>
      <c r="S28" s="4255"/>
      <c r="T28" s="4255"/>
      <c r="U28" s="4255"/>
      <c r="V28" s="4255"/>
      <c r="W28" s="4255"/>
      <c r="X28" s="4255"/>
      <c r="Y28" s="4255"/>
      <c r="Z28" s="4255"/>
      <c r="AA28" s="4255"/>
      <c r="AL28" s="4256" t="s">
        <v>3533</v>
      </c>
      <c r="AV28" s="4256" t="s">
        <v>3534</v>
      </c>
    </row>
    <row r="29" ht="12" customHeight="1">
      <c r="P29" s="4257"/>
      <c r="Q29" s="4257"/>
      <c r="R29" s="4257"/>
      <c r="S29" s="4257"/>
      <c r="T29" s="4257"/>
      <c r="U29" s="4257"/>
      <c r="V29" s="4257"/>
      <c r="W29" s="4257"/>
      <c r="X29" s="4257"/>
      <c r="Y29" s="4257"/>
      <c r="Z29" s="4257"/>
      <c r="AA29" s="4257"/>
    </row>
    <row r="30" ht="12" customHeight="1">
      <c r="C30" s="4204" t="s">
        <v>3535</v>
      </c>
      <c r="O30" s="4206"/>
      <c r="U30" s="4258" t="s">
        <v>3536</v>
      </c>
      <c r="AH30" s="4213" t="s">
        <v>3537</v>
      </c>
      <c r="AI30" s="4250">
        <f>IF(SOps_UnderwrittenEGI=0,0.01,SOps_UnderwrittenEGI)</f>
        <v>1109838</v>
      </c>
      <c r="AJ30" s="4250"/>
      <c r="AK30" s="4250"/>
      <c r="AL30" s="4250"/>
      <c r="AM30" s="4250"/>
      <c r="AT30" s="4213" t="s">
        <v>3538</v>
      </c>
      <c r="AU30" s="4250">
        <f>IF('Summary OPS'!AU50=0,0.01,'Summary OPS'!AU50)</f>
        <v>2809540.21</v>
      </c>
      <c r="AV30" s="4250"/>
      <c r="AW30" s="4250"/>
      <c r="AX30" s="4250"/>
      <c r="AY30" s="4250"/>
    </row>
    <row r="31" ht="12" customHeight="1">
      <c r="F31" s="4204" t="s">
        <v>3539</v>
      </c>
      <c r="O31" s="4206"/>
      <c r="X31" s="4247"/>
      <c r="Y31" s="4247"/>
      <c r="Z31" s="4247"/>
      <c r="AA31" s="4248" t="s">
        <v>3137</v>
      </c>
      <c r="AH31" s="4213" t="s">
        <v>3540</v>
      </c>
      <c r="AI31" s="4250">
        <f>IF(SOps_UnderwrittenNCF=0,0.01,SOps_UnderwrittenNCF)</f>
        <v>-1720952.21</v>
      </c>
      <c r="AJ31" s="4250"/>
      <c r="AK31" s="4250"/>
      <c r="AL31" s="4250"/>
      <c r="AM31" s="4250"/>
      <c r="AT31" s="4213" t="s">
        <v>3541</v>
      </c>
      <c r="AU31" s="4221"/>
      <c r="AV31" s="4221"/>
      <c r="AW31" s="4221"/>
      <c r="AX31" s="4221"/>
      <c r="AY31" s="4221"/>
    </row>
    <row r="32" ht="12" customHeight="1">
      <c r="F32" s="4204" t="s">
        <v>3542</v>
      </c>
      <c r="X32" s="4249"/>
      <c r="Y32" s="4249"/>
      <c r="Z32" s="4249"/>
      <c r="AA32" s="4248" t="s">
        <v>3137</v>
      </c>
    </row>
    <row r="33" ht="12" customHeight="1">
      <c r="F33" s="4204" t="s">
        <v>3543</v>
      </c>
      <c r="J33" s="4259"/>
      <c r="K33" s="4259"/>
      <c r="L33" s="4259"/>
      <c r="X33" s="4249"/>
      <c r="Y33" s="4249"/>
      <c r="Z33" s="4249"/>
      <c r="AA33" s="4248" t="s">
        <v>3137</v>
      </c>
      <c r="AN33" s="4213" t="s">
        <v>3544</v>
      </c>
      <c r="AO33" s="4260" t="e">
        <f>IF(Interest_Rate_Type="Fixed",Requested_Floor_UW_DSCR,Variable_Requested_Stress_UW_DSCR)</f>
        <v>#NAME?</v>
      </c>
      <c r="AP33" s="4260"/>
      <c r="AQ33" s="4260"/>
    </row>
    <row r="34" ht="12" customHeight="1">
      <c r="C34" s="4204" t="s">
        <v>3545</v>
      </c>
      <c r="X34" s="4261">
        <f>IF(AND(MAH_UNDR_80="",MAH_UNDR_60="",MAH_UNDR_50=""),"",SUM(MAH_UNDR_80,MAH_UNDR_60,MAH_UNDR_50))</f>
      </c>
      <c r="Y34" s="4261"/>
      <c r="Z34" s="4261"/>
      <c r="AA34" s="4248" t="s">
        <v>3137</v>
      </c>
      <c r="AN34" s="4213" t="s">
        <v>3546</v>
      </c>
      <c r="AO34" s="4242" cm="1">
        <f t="array" ref="AO34">_xlfn.IFERROR(IF(Interest_Rate_Type="Fixed",IF(FloorRate&gt;NoteRate,Floor_UW_DSCR,Actual_UW_DSCR),UW_NCF/(SARMStressConstant*LN_AMT)),0.01)</f>
        <v>0.01</v>
      </c>
      <c r="AP34" s="4242"/>
      <c r="AQ34" s="4242"/>
      <c r="AY34" s="4262"/>
      <c r="BC34" s="4263"/>
    </row>
    <row r="35" ht="12" customHeight="1">
      <c r="AD35" s="4263"/>
      <c r="AE35" s="4263"/>
      <c r="AF35" s="4263"/>
      <c r="AN35" s="4213" t="s">
        <v>3547</v>
      </c>
      <c r="AO35" s="4264">
        <f>'Data Page'!J56</f>
        <v>0</v>
      </c>
      <c r="AP35" s="4264"/>
      <c r="AQ35" s="4264"/>
      <c r="BC35" s="4263"/>
    </row>
    <row r="36" ht="12" customHeight="1">
      <c r="AD36" s="4263"/>
      <c r="AE36" s="4263"/>
      <c r="AF36" s="4263"/>
      <c r="AN36" s="4213" t="s">
        <v>3548</v>
      </c>
      <c r="AO36" s="4242" cm="1">
        <f t="array" ref="AO36">_xlfn.IFERROR(IF(Interest_Rate_Type="Fixed",IF(IO_TRM=LN_TRM,IO_UW_DSCR,Actual_UW_DSCR),IF(IO_TRM=LN_TRM,UW_NCF/(SARMStressRate*LN_AMT),UW_NCF/((SARMStressRate*LN_AMT)+(FixedPrinPayment*12)))),0)</f>
        <v>0</v>
      </c>
      <c r="AP36" s="4242"/>
      <c r="AQ36" s="4242"/>
    </row>
    <row r="37" ht="12" customHeight="1">
      <c r="O37" s="4213" t="s">
        <v>3549</v>
      </c>
      <c r="P37" s="4265">
        <v>0</v>
      </c>
      <c r="Q37" s="4265"/>
      <c r="R37" s="4265"/>
      <c r="S37" s="4265"/>
      <c r="T37" s="4265"/>
      <c r="U37" s="4265"/>
      <c r="V37" s="4265"/>
      <c r="AN37" s="4213" t="s">
        <v>3550</v>
      </c>
      <c r="AO37" s="4252"/>
      <c r="AP37" s="4252"/>
      <c r="AQ37" s="4252"/>
      <c r="AR37" s="4248" t="s">
        <v>3551</v>
      </c>
    </row>
    <row r="38" ht="12" customHeight="1">
      <c r="Z38" s="4219"/>
      <c r="AA38" s="4259"/>
      <c r="AB38" s="4259"/>
      <c r="AC38" s="4259"/>
      <c r="AD38" s="4259"/>
    </row>
    <row r="39" ht="12" customHeight="1"/>
    <row r="40" ht="12" customHeight="1">
      <c r="C40" s="4206" t="s">
        <v>3552</v>
      </c>
    </row>
    <row r="41" ht="12" customHeight="1">
      <c r="C41" s="4266"/>
      <c r="D41" s="4267"/>
      <c r="E41" s="4267"/>
      <c r="F41" s="4267"/>
      <c r="G41" s="4267"/>
      <c r="H41" s="4267"/>
      <c r="I41" s="4267"/>
      <c r="J41" s="4267"/>
      <c r="K41" s="4267"/>
      <c r="L41" s="4267"/>
      <c r="M41" s="4267"/>
      <c r="N41" s="4267"/>
      <c r="O41" s="4267"/>
      <c r="P41" s="4267"/>
      <c r="Q41" s="4267"/>
      <c r="R41" s="4267"/>
      <c r="S41" s="4267"/>
      <c r="T41" s="4267"/>
      <c r="U41" s="4267"/>
      <c r="V41" s="4267"/>
      <c r="W41" s="4267"/>
      <c r="X41" s="4267"/>
      <c r="Y41" s="4267"/>
      <c r="Z41" s="4267"/>
      <c r="AA41" s="4267"/>
      <c r="AB41" s="4267"/>
      <c r="AC41" s="4267"/>
      <c r="AD41" s="4267"/>
      <c r="AE41" s="4267"/>
      <c r="AF41" s="4267"/>
      <c r="AG41" s="4267"/>
      <c r="AH41" s="4267"/>
      <c r="AI41" s="4267"/>
      <c r="AJ41" s="4267"/>
      <c r="AK41" s="4267"/>
      <c r="AL41" s="4267"/>
      <c r="AM41" s="4267"/>
      <c r="AN41" s="4267"/>
      <c r="AO41" s="4267"/>
      <c r="AP41" s="4267"/>
      <c r="AQ41" s="4267"/>
      <c r="AR41" s="4267"/>
      <c r="AS41" s="4267"/>
      <c r="AT41" s="4267"/>
      <c r="AU41" s="4267"/>
      <c r="AV41" s="4267"/>
      <c r="AW41" s="4267"/>
      <c r="AX41" s="4267"/>
      <c r="AY41" s="4267"/>
      <c r="AZ41" s="4267"/>
      <c r="BA41" s="4267"/>
      <c r="BB41" s="4268"/>
    </row>
    <row r="42" ht="12" customHeight="1">
      <c r="C42" s="4269"/>
      <c r="D42" s="4270"/>
      <c r="E42" s="4270"/>
      <c r="F42" s="4270"/>
      <c r="G42" s="4270"/>
      <c r="H42" s="4270"/>
      <c r="I42" s="4270"/>
      <c r="J42" s="4270"/>
      <c r="K42" s="4270"/>
      <c r="L42" s="4270"/>
      <c r="M42" s="4270"/>
      <c r="N42" s="4270"/>
      <c r="O42" s="4270"/>
      <c r="P42" s="4270"/>
      <c r="Q42" s="4270"/>
      <c r="R42" s="4270"/>
      <c r="S42" s="4270"/>
      <c r="T42" s="4270"/>
      <c r="U42" s="4270"/>
      <c r="V42" s="4270"/>
      <c r="W42" s="4270"/>
      <c r="X42" s="4270"/>
      <c r="Y42" s="4270"/>
      <c r="Z42" s="4270"/>
      <c r="AA42" s="4270"/>
      <c r="AB42" s="4270"/>
      <c r="AC42" s="4270"/>
      <c r="AD42" s="4270"/>
      <c r="AE42" s="4270"/>
      <c r="AF42" s="4270"/>
      <c r="AG42" s="4270"/>
      <c r="AH42" s="4270"/>
      <c r="AI42" s="4270"/>
      <c r="AJ42" s="4270"/>
      <c r="AK42" s="4270"/>
      <c r="AL42" s="4270"/>
      <c r="AM42" s="4270"/>
      <c r="AN42" s="4270"/>
      <c r="AO42" s="4270"/>
      <c r="AP42" s="4270"/>
      <c r="AQ42" s="4270"/>
      <c r="AR42" s="4270"/>
      <c r="AS42" s="4270"/>
      <c r="AT42" s="4270"/>
      <c r="AU42" s="4270"/>
      <c r="AV42" s="4270"/>
      <c r="AW42" s="4270"/>
      <c r="AX42" s="4270"/>
      <c r="AY42" s="4270"/>
      <c r="AZ42" s="4270"/>
      <c r="BA42" s="4270"/>
      <c r="BB42" s="4271"/>
    </row>
    <row r="43" ht="12" customHeight="1">
      <c r="C43" s="4269"/>
      <c r="D43" s="4270"/>
      <c r="E43" s="4270"/>
      <c r="F43" s="4270"/>
      <c r="G43" s="4270"/>
      <c r="H43" s="4270"/>
      <c r="I43" s="4270"/>
      <c r="J43" s="4270"/>
      <c r="K43" s="4270"/>
      <c r="L43" s="4270"/>
      <c r="M43" s="4270"/>
      <c r="N43" s="4270"/>
      <c r="O43" s="4270"/>
      <c r="P43" s="4270"/>
      <c r="Q43" s="4270"/>
      <c r="R43" s="4270"/>
      <c r="S43" s="4270"/>
      <c r="T43" s="4270"/>
      <c r="U43" s="4270"/>
      <c r="V43" s="4270"/>
      <c r="W43" s="4270"/>
      <c r="X43" s="4270"/>
      <c r="Y43" s="4270"/>
      <c r="Z43" s="4270"/>
      <c r="AA43" s="4270"/>
      <c r="AB43" s="4270"/>
      <c r="AC43" s="4270"/>
      <c r="AD43" s="4270"/>
      <c r="AE43" s="4270"/>
      <c r="AF43" s="4270"/>
      <c r="AG43" s="4270"/>
      <c r="AH43" s="4270"/>
      <c r="AI43" s="4270"/>
      <c r="AJ43" s="4270"/>
      <c r="AK43" s="4270"/>
      <c r="AL43" s="4270"/>
      <c r="AM43" s="4270"/>
      <c r="AN43" s="4270"/>
      <c r="AO43" s="4270"/>
      <c r="AP43" s="4270"/>
      <c r="AQ43" s="4270"/>
      <c r="AR43" s="4270"/>
      <c r="AS43" s="4270"/>
      <c r="AT43" s="4270"/>
      <c r="AU43" s="4270"/>
      <c r="AV43" s="4270"/>
      <c r="AW43" s="4270"/>
      <c r="AX43" s="4270"/>
      <c r="AY43" s="4270"/>
      <c r="AZ43" s="4270"/>
      <c r="BA43" s="4270"/>
      <c r="BB43" s="4271"/>
    </row>
    <row r="44" ht="12" customHeight="1">
      <c r="C44" s="4269"/>
      <c r="D44" s="4270"/>
      <c r="E44" s="4270"/>
      <c r="F44" s="4270"/>
      <c r="G44" s="4270"/>
      <c r="H44" s="4270"/>
      <c r="I44" s="4270"/>
      <c r="J44" s="4270"/>
      <c r="K44" s="4270"/>
      <c r="L44" s="4270"/>
      <c r="M44" s="4270"/>
      <c r="N44" s="4270"/>
      <c r="O44" s="4270"/>
      <c r="P44" s="4270"/>
      <c r="Q44" s="4270"/>
      <c r="R44" s="4270"/>
      <c r="S44" s="4270"/>
      <c r="T44" s="4270"/>
      <c r="U44" s="4270"/>
      <c r="V44" s="4270"/>
      <c r="W44" s="4270"/>
      <c r="X44" s="4270"/>
      <c r="Y44" s="4270"/>
      <c r="Z44" s="4270"/>
      <c r="AA44" s="4270"/>
      <c r="AB44" s="4270"/>
      <c r="AC44" s="4270"/>
      <c r="AD44" s="4270"/>
      <c r="AE44" s="4270"/>
      <c r="AF44" s="4270"/>
      <c r="AG44" s="4270"/>
      <c r="AH44" s="4270"/>
      <c r="AI44" s="4270"/>
      <c r="AJ44" s="4270"/>
      <c r="AK44" s="4270"/>
      <c r="AL44" s="4270"/>
      <c r="AM44" s="4270"/>
      <c r="AN44" s="4270"/>
      <c r="AO44" s="4270"/>
      <c r="AP44" s="4270"/>
      <c r="AQ44" s="4270"/>
      <c r="AR44" s="4270"/>
      <c r="AS44" s="4270"/>
      <c r="AT44" s="4270"/>
      <c r="AU44" s="4270"/>
      <c r="AV44" s="4270"/>
      <c r="AW44" s="4270"/>
      <c r="AX44" s="4270"/>
      <c r="AY44" s="4270"/>
      <c r="AZ44" s="4270"/>
      <c r="BA44" s="4270"/>
      <c r="BB44" s="4271"/>
    </row>
    <row r="45" ht="12" customHeight="1">
      <c r="C45" s="4272"/>
      <c r="D45" s="4273"/>
      <c r="E45" s="4273"/>
      <c r="F45" s="4273"/>
      <c r="G45" s="4273"/>
      <c r="H45" s="4273"/>
      <c r="I45" s="4273"/>
      <c r="J45" s="4273"/>
      <c r="K45" s="4273"/>
      <c r="L45" s="4273"/>
      <c r="M45" s="4273"/>
      <c r="N45" s="4273"/>
      <c r="O45" s="4273"/>
      <c r="P45" s="4273"/>
      <c r="Q45" s="4273"/>
      <c r="R45" s="4273"/>
      <c r="S45" s="4273"/>
      <c r="T45" s="4273"/>
      <c r="U45" s="4273"/>
      <c r="V45" s="4273"/>
      <c r="W45" s="4273"/>
      <c r="X45" s="4273"/>
      <c r="Y45" s="4273"/>
      <c r="Z45" s="4273"/>
      <c r="AA45" s="4273"/>
      <c r="AB45" s="4273"/>
      <c r="AC45" s="4273"/>
      <c r="AD45" s="4273"/>
      <c r="AE45" s="4273"/>
      <c r="AF45" s="4273"/>
      <c r="AG45" s="4273"/>
      <c r="AH45" s="4273"/>
      <c r="AI45" s="4273"/>
      <c r="AJ45" s="4273"/>
      <c r="AK45" s="4273"/>
      <c r="AL45" s="4273"/>
      <c r="AM45" s="4273"/>
      <c r="AN45" s="4273"/>
      <c r="AO45" s="4273"/>
      <c r="AP45" s="4273"/>
      <c r="AQ45" s="4273"/>
      <c r="AR45" s="4273"/>
      <c r="AS45" s="4273"/>
      <c r="AT45" s="4273"/>
      <c r="AU45" s="4273"/>
      <c r="AV45" s="4273"/>
      <c r="AW45" s="4273"/>
      <c r="AX45" s="4273"/>
      <c r="AY45" s="4273"/>
      <c r="AZ45" s="4273"/>
      <c r="BA45" s="4273"/>
      <c r="BB45" s="4274"/>
    </row>
    <row r="46" ht="12" customHeight="1"/>
    <row r="47" ht="12" customHeight="1">
      <c r="C47" s="4205"/>
      <c r="D47" s="4205"/>
      <c r="E47" s="4205"/>
      <c r="F47" s="4205"/>
      <c r="G47" s="4205"/>
      <c r="H47" s="4205"/>
      <c r="I47" s="4205"/>
      <c r="J47" s="4205"/>
      <c r="K47" s="4205"/>
      <c r="L47" s="4205"/>
      <c r="M47" s="4205"/>
      <c r="N47" s="4205"/>
      <c r="O47" s="4205"/>
      <c r="P47" s="4205"/>
      <c r="Q47" s="4205"/>
      <c r="S47" s="4275"/>
      <c r="T47" s="4275"/>
      <c r="U47" s="4275"/>
      <c r="V47" s="4275"/>
      <c r="W47" s="4275"/>
      <c r="AC47" s="4205"/>
      <c r="AD47" s="4205"/>
      <c r="AE47" s="4205"/>
      <c r="AF47" s="4205"/>
      <c r="AG47" s="4205"/>
      <c r="AH47" s="4205"/>
      <c r="AI47" s="4205"/>
      <c r="AJ47" s="4205"/>
      <c r="AK47" s="4205"/>
      <c r="AL47" s="4205"/>
      <c r="AM47" s="4205"/>
      <c r="AN47" s="4205"/>
      <c r="AO47" s="4205"/>
      <c r="AP47" s="4205"/>
      <c r="AQ47" s="4205"/>
      <c r="AS47" s="4275"/>
      <c r="AT47" s="4275"/>
      <c r="AU47" s="4275"/>
      <c r="AV47" s="4275"/>
      <c r="AW47" s="4275"/>
    </row>
    <row r="48" ht="12" customHeight="1">
      <c r="C48" s="4206" t="s">
        <v>217</v>
      </c>
      <c r="S48" s="4206" t="s">
        <v>509</v>
      </c>
      <c r="AC48" s="4206" t="s">
        <v>3553</v>
      </c>
      <c r="AS48" s="4206" t="s">
        <v>509</v>
      </c>
    </row>
    <row r="49" ht="12" customHeight="1"/>
    <row r="50" ht="12" customHeight="1">
      <c r="B50" s="4248" t="s">
        <v>3554</v>
      </c>
      <c r="Y50" s="4248" t="s">
        <v>3555</v>
      </c>
      <c r="BB50" s="4231"/>
      <c r="BC50" s="4231" t="str">
        <f>"©"&amp;FormYear&amp;" Fannie Mae"</f>
        <v>©2020 Fannie Mae</v>
      </c>
    </row>
    <row r="51" ht="12" customHeight="1">
      <c r="B51" s="4248" t="s">
        <v>3557</v>
      </c>
      <c r="Y51" s="4276"/>
      <c r="Z51" s="4208"/>
      <c r="AA51" s="4208"/>
      <c r="AB51" s="4208"/>
    </row>
    <row r="52" ht="12" customHeight="1"/>
    <row r="53" ht="12" customHeight="1" hidden="1"/>
    <row r="54" ht="12" customHeight="1" hidden="1"/>
    <row r="55" ht="12" customHeight="1" hidden="1"/>
    <row r="56" ht="12" customHeight="1" hidden="1"/>
    <row r="57" ht="12" customHeight="1" hidden="1"/>
    <row r="58" ht="12" customHeight="1" hidden="1"/>
    <row r="59" ht="12" customHeight="1" hidden="1"/>
    <row r="60" ht="12" customHeight="1" hidden="1"/>
    <row r="61" ht="12" customHeight="1" hidden="1"/>
    <row r="62" ht="12" customHeight="1" hidden="1"/>
    <row r="63" ht="12" customHeight="1" hidden="1">
      <c r="AP63" s="4277"/>
      <c r="AU63" s="4240"/>
      <c r="AZ63" s="4240"/>
      <c r="BA63" s="4240"/>
      <c r="BB63" s="4240"/>
      <c r="BC63" s="4212"/>
    </row>
    <row r="64" ht="12" customHeight="1" hidden="1">
      <c r="AU64" s="4240"/>
      <c r="AZ64" s="4240"/>
      <c r="BA64" s="4240"/>
      <c r="BB64" s="4240"/>
      <c r="BC64" s="4212"/>
    </row>
    <row r="65" ht="12" customHeight="1" hidden="1">
      <c r="AU65" s="4240"/>
      <c r="AZ65" s="4240"/>
      <c r="BA65" s="4240"/>
      <c r="BB65" s="4240"/>
      <c r="BC65" s="4212"/>
    </row>
    <row r="66" ht="12" customHeight="1" hidden="1">
      <c r="Q66" s="4240"/>
      <c r="AH66" s="4263"/>
      <c r="AI66" s="4263"/>
      <c r="AJ66" s="4263"/>
      <c r="AK66" s="4263"/>
      <c r="AP66" s="4240"/>
      <c r="BK66" s="4231"/>
    </row>
    <row r="67" ht="12" customHeight="1" hidden="1"/>
    <row r="68" ht="12" customHeight="1" hidden="1">
      <c r="AA68" s="4219"/>
      <c r="AB68" s="4278"/>
      <c r="BI68" s="4206"/>
      <c r="BT68" s="4206"/>
    </row>
    <row r="69" ht="12" customHeight="1" hidden="1">
      <c r="AA69" s="4219"/>
      <c r="AB69" s="4278"/>
      <c r="AR69" s="4211"/>
      <c r="BI69" s="4206"/>
      <c r="BT69" s="4206"/>
    </row>
    <row r="70" ht="12" customHeight="1" hidden="1">
      <c r="AA70" s="4219"/>
      <c r="AB70" s="4278"/>
      <c r="AR70" s="4211"/>
      <c r="BI70" s="4206"/>
      <c r="BT70" s="4206"/>
    </row>
    <row r="71" ht="12" customHeight="1" hidden="1">
      <c r="BI71" s="4206"/>
      <c r="BT71" s="4206"/>
    </row>
    <row r="72" ht="12" customHeight="1" hidden="1"/>
    <row r="73" ht="12" customHeight="1" hidden="1"/>
    <row r="74" ht="12" customHeight="1" hidden="1"/>
    <row r="75" ht="12" customHeight="1" hidden="1">
      <c r="P75" s="4219"/>
      <c r="Q75" s="4278"/>
      <c r="T75" s="4240"/>
    </row>
    <row r="76" ht="12" customHeight="1" hidden="1"/>
    <row r="77" ht="12" customHeight="1" hidden="1"/>
    <row r="78" ht="12" customHeight="1" hidden="1"/>
    <row r="79" ht="12" customHeight="1" hidden="1"/>
    <row r="80" ht="12" customHeight="1" hidden="1"/>
    <row r="81" ht="12" customHeight="1" hidden="1"/>
    <row r="82" ht="12" customHeight="1" hidden="1"/>
    <row r="83" ht="12" customHeight="1" hidden="1"/>
    <row r="84" ht="12" customHeight="1" hidden="1"/>
    <row r="85" ht="12" customHeight="1" hidden="1"/>
    <row r="86" ht="12" customHeight="1" hidden="1"/>
    <row r="87" ht="12" customHeight="1" hidden="1"/>
    <row r="88" ht="12" customHeight="1" hidden="1"/>
    <row r="89" ht="12" customHeight="1" hidden="1"/>
    <row r="90" ht="12" customHeight="1" hidden="1"/>
    <row r="91" ht="12" customHeight="1" hidden="1"/>
    <row r="92" ht="12" customHeight="1" hidden="1"/>
    <row r="93" ht="12" customHeight="1" hidden="1"/>
    <row r="94" ht="12" customHeight="1" hidden="1"/>
    <row r="95" ht="12" customHeight="1" hidden="1"/>
    <row r="96" ht="12" customHeight="1" hidden="1"/>
    <row r="97" ht="12" customHeight="1" hidden="1"/>
    <row r="98" ht="12" customHeight="1" hidden="1"/>
    <row r="99" ht="12" customHeight="1" hidden="1"/>
    <row r="100" ht="12" customHeight="1" hidden="1"/>
    <row r="101" ht="12" customHeight="1" hidden="1"/>
    <row r="102" ht="12" customHeight="1" hidden="1"/>
    <row r="103" ht="12" customHeight="1" hidden="1"/>
    <row r="104" ht="12" customHeight="1" hidden="1"/>
  </sheetData>
  <mergeCells>
    <mergeCell ref="H3:AA3"/>
    <mergeCell ref="AI3:BB3"/>
    <mergeCell ref="AV12:AW12"/>
    <mergeCell ref="AM12:AN12"/>
    <mergeCell ref="AN23:AP23"/>
    <mergeCell ref="AM13:AN13"/>
    <mergeCell ref="AO17:AQ17"/>
    <mergeCell ref="AM10:AS10"/>
    <mergeCell ref="O4:T4"/>
    <mergeCell ref="K22:L22"/>
    <mergeCell ref="T12:U12"/>
    <mergeCell ref="X12:Y12"/>
    <mergeCell ref="H9:O9"/>
    <mergeCell ref="L13:M13"/>
    <mergeCell ref="P12:Q12"/>
    <mergeCell ref="R12:S12"/>
    <mergeCell ref="AO36:AQ36"/>
    <mergeCell ref="X34:Z34"/>
    <mergeCell ref="P37:V37"/>
    <mergeCell ref="K28:M28"/>
    <mergeCell ref="V14:W14"/>
    <mergeCell ref="D23:M23"/>
    <mergeCell ref="L14:M14"/>
    <mergeCell ref="T14:U14"/>
    <mergeCell ref="K20:L20"/>
    <mergeCell ref="R14:S14"/>
    <mergeCell ref="X32:Z32"/>
    <mergeCell ref="X33:Z33"/>
    <mergeCell ref="L26:AA26"/>
    <mergeCell ref="X20:Y20"/>
    <mergeCell ref="X21:Y21"/>
    <mergeCell ref="X14:Y14"/>
    <mergeCell ref="AS47:AW47"/>
    <mergeCell ref="O5:T5"/>
    <mergeCell ref="AM8:BB8"/>
    <mergeCell ref="AM9:AS9"/>
    <mergeCell ref="X19:Y19"/>
    <mergeCell ref="P14:Q14"/>
    <mergeCell ref="C41:BB45"/>
    <mergeCell ref="X22:Y22"/>
    <mergeCell ref="AO37:AQ37"/>
    <mergeCell ref="AO34:AQ34"/>
    <mergeCell ref="C47:Q47"/>
    <mergeCell ref="S47:W47"/>
    <mergeCell ref="AN24:AP24"/>
    <mergeCell ref="AC47:AQ47"/>
    <mergeCell ref="U9:AA9"/>
    <mergeCell ref="V12:W12"/>
    <mergeCell ref="L12:M12"/>
    <mergeCell ref="AX23:AZ23"/>
    <mergeCell ref="P28:AA29"/>
    <mergeCell ref="O16:S16"/>
    <mergeCell ref="O17:S17"/>
    <mergeCell ref="AV13:AY13"/>
    <mergeCell ref="AX10:BB10"/>
    <mergeCell ref="AO19:AQ19"/>
    <mergeCell ref="AO16:AQ16"/>
    <mergeCell ref="AO15:AQ15"/>
    <mergeCell ref="AO18:AQ18"/>
    <mergeCell ref="AU31:AY31"/>
    <mergeCell ref="AI30:AM30"/>
    <mergeCell ref="AI31:AM31"/>
    <mergeCell ref="J27:AA27"/>
    <mergeCell ref="AX24:AZ24"/>
    <mergeCell ref="AL26:AR26"/>
    <mergeCell ref="AL27:AN27"/>
    <mergeCell ref="AW27:AY27"/>
    <mergeCell ref="AW26:BA26"/>
    <mergeCell ref="AU30:AY30"/>
    <mergeCell ref="H8:AA8"/>
    <mergeCell ref="AO33:AQ33"/>
    <mergeCell ref="AO35:AQ35"/>
    <mergeCell ref="X13:Y13"/>
    <mergeCell ref="N13:O13"/>
    <mergeCell ref="V13:W13"/>
    <mergeCell ref="T13:U13"/>
    <mergeCell ref="P13:Q13"/>
    <mergeCell ref="R13:S13"/>
    <mergeCell ref="K19:L19"/>
    <mergeCell ref="X31:Z31"/>
    <mergeCell ref="H10:J10"/>
    <mergeCell ref="N12:O12"/>
    <mergeCell ref="N14:O14"/>
    <mergeCell ref="K21:L21"/>
    <mergeCell ref="U10:V10"/>
  </mergeCells>
  <conditionalFormatting sqref="J27">
    <cfRule type="expression" dxfId="66" priority="14" stopIfTrue="1" text="null">
      <formula>AND(MAH_TYP="Other",OTR_MAH_TYP="")</formula>
    </cfRule>
  </conditionalFormatting>
  <conditionalFormatting sqref="C27">
    <cfRule type="expression" dxfId="67" priority="15" stopIfTrue="1" text="null">
      <formula>AND(MAH_TYP="Other",OTR_MAH_TYP="")</formula>
    </cfRule>
  </conditionalFormatting>
  <conditionalFormatting sqref="C28">
    <cfRule type="expression" dxfId="67" priority="13" stopIfTrue="1" text="null">
      <formula>AND(OR(MAH_TYP="Proj Based HAP (incl. Sec. 8)",MAH_TYP="Both LIHTC &amp; Proj Based HAP"),HAP_REM_TRM="")</formula>
    </cfRule>
  </conditionalFormatting>
  <conditionalFormatting sqref="K28">
    <cfRule type="expression" dxfId="68" priority="12" stopIfTrue="1" text="null">
      <formula>AND(OR(MAH_TYP="Proj Based HAP (incl. Sec. 8)",MAH_TYP="Both LIHTC &amp; Proj Based HAP"),HAP_REM_TRM="")</formula>
    </cfRule>
  </conditionalFormatting>
  <conditionalFormatting sqref="H10:J10">
    <cfRule type="cellIs" dxfId="12" priority="11" operator="equal" text="null">
      <formula>1800</formula>
    </cfRule>
  </conditionalFormatting>
  <conditionalFormatting sqref="H3:AA3">
    <cfRule type="cellIs" dxfId="12" priority="10" operator="equal" text="null">
      <formula>"XXXX"</formula>
    </cfRule>
  </conditionalFormatting>
  <conditionalFormatting sqref="AM9:AS9">
    <cfRule type="cellIs" dxfId="12" priority="9" operator="equal" text="null">
      <formula>0.01</formula>
    </cfRule>
  </conditionalFormatting>
  <conditionalFormatting sqref="AL26:AR26">
    <cfRule type="cellIs" dxfId="12" priority="8" operator="equal" text="null">
      <formula>0.01</formula>
    </cfRule>
  </conditionalFormatting>
  <conditionalFormatting sqref="AL27:AN27">
    <cfRule type="cellIs" dxfId="12" priority="7" operator="equal" text="null">
      <formula>0.01</formula>
    </cfRule>
  </conditionalFormatting>
  <conditionalFormatting sqref="AI30:AM31">
    <cfRule type="cellIs" dxfId="12" priority="6" operator="equal" text="null">
      <formula>0.01</formula>
    </cfRule>
  </conditionalFormatting>
  <conditionalFormatting sqref="AU30:AY30">
    <cfRule type="cellIs" dxfId="12" priority="5" operator="equal" text="null">
      <formula>0.01</formula>
    </cfRule>
  </conditionalFormatting>
  <conditionalFormatting sqref="AO35:AQ35">
    <cfRule type="cellIs" dxfId="12" priority="4" operator="equal" text="null">
      <formula>0.01</formula>
    </cfRule>
  </conditionalFormatting>
  <conditionalFormatting sqref="AO34:AQ37">
    <cfRule type="cellIs" dxfId="12" priority="3" operator="equal" text="null">
      <formula>0</formula>
    </cfRule>
  </conditionalFormatting>
  <conditionalFormatting sqref="AO19:AQ19">
    <cfRule type="cellIs" dxfId="12" priority="2" operator="equal" text="null">
      <formula>0</formula>
    </cfRule>
  </conditionalFormatting>
  <conditionalFormatting sqref="O4:T4">
    <cfRule type="expression" dxfId="69" priority="1" text="null">
      <formula>LEN(TRIM(O4))=0</formula>
    </cfRule>
  </conditionalFormatting>
  <dataValidations count="27">
    <dataValidation allowBlank="1" showErrorMessage="1" showInputMessage="1" sqref="AM13 X19:X22 K19:K22" type="list">
      <formula1>YesNo</formula1>
    </dataValidation>
    <dataValidation operator="greaterThan" allowBlank="1" error="Must be a number greater than 0." showErrorMessage="1" showInputMessage="1" sqref="AL26 AU30 AX10 AM9:AM10 AI30:AI31" type="decimal">
      <formula1>0</formula1>
    </dataValidation>
    <dataValidation allowBlank="1" error="Percentage must be between 0% and 100%." showErrorMessage="1" showInputMessage="1" sqref="AX23:AX24" type="decimal">
      <formula1>0</formula1>
      <formula2>100</formula2>
    </dataValidation>
    <dataValidation operator="greaterThanOrEqual" allowBlank="1" error="Must be a number greater than or equal to 0." showErrorMessage="1" showInputMessage="1" sqref="AU31 P37" type="decimal">
      <formula1>0</formula1>
    </dataValidation>
    <dataValidation operator="lessThanOrEqual" allowBlank="1" error="Date cannot be in the future." showErrorMessage="1" showInputMessage="1" sqref="AW26 S47 AS47" type="date">
      <formula1>TODAY()</formula1>
    </dataValidation>
    <dataValidation allowBlank="1" prompt="Comments over 1,040 characters in length may not fully display on the form; however, they will be captured when the form is electronically submitted. " showErrorMessage="1" showInputMessage="1" sqref="C41"/>
    <dataValidation allowBlank="1" error="DSCR value must be greater than or equal to 0 and less than 100." showErrorMessage="1" showInputMessage="1" sqref="AO33 AO37" type="decimal">
      <formula1>0</formula1>
      <formula2>99.99</formula2>
    </dataValidation>
    <dataValidation operator="greaterThan" allowBlank="1" error="Must be a whole number greater than 0." showErrorMessage="1" showInputMessage="1" sqref="AV12 K28" type="whole">
      <formula1>0</formula1>
    </dataValidation>
    <dataValidation operator="greaterThanOrEqual" allowBlank="1" error="Must be a whole number greater than or equal to 0." showErrorMessage="1" showInputMessage="1" sqref="O17" type="whole">
      <formula1>0</formula1>
    </dataValidation>
    <dataValidation allowBlank="1" showErrorMessage="1" showInputMessage="1" sqref="AM12" type="list">
      <formula1>Tiers</formula1>
    </dataValidation>
    <dataValidation allowBlank="1" error="Must be greater than 0 and less than or equal to 100." showErrorMessage="1" showInputMessage="1" sqref="AL27 AW27" type="decimal">
      <formula1>0.01</formula1>
      <formula2>100</formula2>
    </dataValidation>
    <dataValidation operator="greaterThan" allowBlank="1" error="Rate must be greater than 0." showErrorMessage="1" showInputMessage="1" sqref="AN24" type="decimal">
      <formula1>0</formula1>
    </dataValidation>
    <dataValidation error="Must be a whole number greater than 0 and equal to the sum of the Phase Constructed Units (if populated)." errorStyle="warning" showErrorMessage="1" showInputMessage="1" sqref="O16" type="whole">
      <formula1>IF(SUM(PHS1_UNTS,PHS2_UNTS,PHS3_UNTS,PHS4_UNTS,PHS5_UNTS,PHS6_UNTS,PHS7_UNTS)&gt;0,SUM(PHS1_UNTS,PHS2_UNTS,PHS3_UNTS,PHS4_UNTS,PHS5_UNTS,PHS6_UNTS,PHS7_UNTS),0)</formula1>
      <formula2>IF(SUM(PHS1_UNTS,PHS2_UNTS,PHS3_UNTS,PHS4_UNTS,PHS5_UNTS,PHS6_UNTS,PHS7_UNTS)&gt;0,SUM(PHS1_UNTS,PHS2_UNTS,PHS3_UNTS,PHS4_UNTS,PHS5_UNTS,PHS6_UNTS,PHS7_UNTS),1000000)</formula2>
    </dataValidation>
    <dataValidation operator="greaterThan" allowBlank="1" error="Must Be A Whole Number" showErrorMessage="1" sqref="U10 L14 N14 P14 R14 T14 V14 X14" type="whole">
      <formula1>0</formula1>
    </dataValidation>
    <dataValidation allowBlank="1" error="Value not within range." showErrorMessage="1" showInputMessage="1" sqref="H10 L13 N13 P13 R13 T13 V13 X13" type="whole">
      <formula1>1800</formula1>
      <formula2>YEAR(TODAY())+5</formula2>
    </dataValidation>
    <dataValidation allowBlank="1" showErrorMessage="1" showInputMessage="1" sqref="U9" type="list">
      <formula1>BuildingTypes</formula1>
    </dataValidation>
    <dataValidation allowBlank="1" showErrorMessage="1" showInputMessage="1" sqref="H9" type="list">
      <formula1>PropertyTypes</formula1>
    </dataValidation>
    <dataValidation allowBlank="1" showErrorMessage="1" showInputMessage="1" sqref="L26:AA26" type="list">
      <formula1>MAHTypes</formula1>
    </dataValidation>
    <dataValidation allowBlank="1" showErrorMessage="1" showInputMessage="1" sqref="AM8" type="list">
      <formula1>BorrowerLoanPurposes</formula1>
    </dataValidation>
    <dataValidation operator="equal" allowBlank="1" error="Funding/Pool Number should be 6 digits." errorStyle="warning" showErrorMessage="1" showInputMessage="1" sqref="O5" type="textLength">
      <formula1>6</formula1>
    </dataValidation>
    <dataValidation allowBlank="1" error="Must be a whole number 6-digits in length." showErrorMessage="1" showInputMessage="1" sqref="O4" type="custom">
      <formula1>AND(LEN(CMT_NBR)=6,ISNUMBER(CMT_NBR),LEN(MOD(CMT_NBR,1))=1)</formula1>
    </dataValidation>
    <dataValidation allowBlank="1" error="Total Percentage of Units with Income or Rent Restrictions cannot exceed 100%_x005F_x005F_x000A_" showErrorMessage="1" showInputMessage="1" sqref="X33" type="decimal">
      <formula1>0</formula1>
      <formula2>100-SUM(MAH_UNDR_80,MAH_UNDR_60)</formula2>
    </dataValidation>
    <dataValidation allowBlank="1" error="Total Percentage of Units with Income or Rent Restrictions cannot exceed 100%" showErrorMessage="1" showInputMessage="1" sqref="X32" type="decimal">
      <formula1>0</formula1>
      <formula2>100-SUM(MAH_UNDR_80,MAH_UNDR_50)</formula2>
    </dataValidation>
    <dataValidation allowBlank="1" error="Total Percentage of Units with Income or Rent Restrictions cannot exceed 100%" showErrorMessage="1" showInputMessage="1" sqref="X31" type="decimal">
      <formula1>0</formula1>
      <formula2>100-SUM(MAH_UNDR_60,MAH_UNDR_50)</formula2>
    </dataValidation>
    <dataValidation allowBlank="1" error="Total Percentage of Units with Income or Rent Restrictions cannot exceed 100%" showErrorMessage="1" showInputMessage="1" sqref="X34" type="decimal">
      <formula1>0</formula1>
      <formula2>100</formula2>
    </dataValidation>
    <dataValidation allowBlank="1" error="Must be current year plus or minus 1." showErrorMessage="1" showInputMessage="1" sqref="AN23" type="whole">
      <formula1>YEAR(TODAY())-1</formula1>
      <formula2>YEAR(TODAY())+1</formula2>
    </dataValidation>
    <dataValidation allowBlank="1" error="Must be greater than or equal to 0 and less than or equal to 25." showErrorMessage="1" showInputMessage="1" sqref="AO15:AO18" type="decimal">
      <formula1>0</formula1>
      <formula2>25</formula2>
    </dataValidation>
  </dataValidations>
  <printOptions horizontalCentered="1"/>
  <pageMargins left="0.5" right="0.5" top="0.75" bottom="0.75" header="0.3" footer="0.3"/>
  <pageSetup paperSize="1" useFirstPageNumber="1" firstPageNumber="1" scale="77" pageOrder="downThenOver" orientation="portrait"/>
  <headerFooter>
    <oddFooter>&amp;L&amp;"Source Sans Pro,Regular"&amp;8© 2020 Fannie Mae. Trademarks of Fannie Mae&amp;"Arial,Regular"&amp;10.&amp;C&amp;"Source Sans Pro,Bold"&amp;8Form 4662&amp;"Arial,Regular"&amp;10 -&amp;"Source Sans Pro,Regular"&amp;8 Febuary 2020&amp;RPage &amp;P of &amp;N</oddFooter>
  </headerFooter>
  <drawing r:id="rId3"/>
  <legacyDrawing r:id="rId2"/>
  <mc:AlternateContent xmlns:mc="http://schemas.openxmlformats.org/markup-compatibility/2006">
    <mc:Choice Requires="x14">
      <controls>
        <mc:AlternateContent xmlns:mc="http://schemas.openxmlformats.org/markup-compatibility/2006">
          <mc:Choice Requires="x14">
            <control shapeId="1198084" name="button_ExportForm4662" r:id="rId4">
              <controlPr defaultSize="0" autoPict="0" print="0">
                <anchor moveWithCells="1" sizeWithCells="1">
                  <from>
                    <xdr:col>45</xdr:col>
                    <xdr:colOff>63532</xdr:colOff>
                    <xdr:row>0</xdr:row>
                    <xdr:rowOff>50768</xdr:rowOff>
                  </from>
                  <to>
                    <xdr:col>54</xdr:col>
                    <xdr:colOff>88868</xdr:colOff>
                    <xdr:row>0</xdr:row>
                    <xdr:rowOff>241268</xdr:rowOff>
                  </to>
                </anchor>
              </controlPr>
            </control>
          </mc:Choice>
        </mc:AlternateContent>
      </controls>
    </mc:Choice>
  </mc:AlternateContent>
  <extLst/>
</worksheet>
</file>

<file path=xl/worksheets/sheet39.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E2FC9853-A386-A08E-F49D-32F0D5A6FAFA}" mc:Ignorable="x14ac xr xr2 xr3">
  <sheetPr>
    <pageSetUpPr fitToPage="1"/>
  </sheetPr>
  <dimension ref="A1:AL400"/>
  <sheetViews>
    <sheetView topLeftCell="A1" zoomScale="80" workbookViewId="0">
      <selection activeCell="E12" sqref="E12"/>
    </sheetView>
  </sheetViews>
  <sheetFormatPr defaultRowHeight="14.497499999999997" defaultColWidth="9.57421875" customHeight="1"/>
  <cols>
    <col min="1" max="1" style="625" width="1.8515625" customWidth="1"/>
    <col min="2" max="2" style="625" width="7.57421875" customWidth="1"/>
    <col min="3" max="3" style="625" width="1.57421875" customWidth="1"/>
    <col min="4" max="4" style="625" width="38.140625" customWidth="1"/>
    <col min="5" max="5" style="625" width="20.00390625" customWidth="1"/>
    <col min="6" max="6" style="625" width="12.57421875" customWidth="1"/>
    <col min="7" max="7" style="625" width="14.57421875" customWidth="1"/>
    <col min="8" max="8" style="625" width="2.57421875" customWidth="1"/>
    <col min="9" max="9" style="625" width="1.57421875" customWidth="1"/>
    <col min="10" max="10" style="625" width="35.7109375" customWidth="1"/>
    <col min="11" max="11" style="625" width="17.57421875" customWidth="1"/>
    <col min="12" max="12" style="625" width="13.00390625" customWidth="1"/>
    <col min="13" max="13" style="625" width="16.57421875" customWidth="1"/>
    <col min="14" max="14" style="625" width="1.57421875" customWidth="1"/>
    <col min="15" max="15" style="625" width="25.57421875" customWidth="1"/>
    <col min="16" max="16" style="625" width="11.00390625" customWidth="1"/>
    <col min="17" max="21" style="625" width="5.57421875" customWidth="1"/>
    <col min="22" max="24" style="625" width="2.57421875" customWidth="1"/>
    <col min="25" max="25" style="625" width="24.57421875" customWidth="1"/>
    <col min="26" max="26" style="625" width="15.00390625" customWidth="1"/>
    <col min="27" max="27" style="625" width="31.57421875" customWidth="1"/>
    <col min="28" max="28" style="625" width="2.57421875" customWidth="1"/>
    <col min="29" max="29" style="625" width="31.57421875" customWidth="1"/>
    <col min="30" max="30" style="625" width="23.00390625" customWidth="1"/>
    <col min="31" max="32" style="625" width="1.57421875" customWidth="1"/>
    <col min="33" max="33" style="625" width="18.57421875" customWidth="1"/>
    <col min="34" max="34" style="625" width="16.57421875" customWidth="1"/>
    <col min="35" max="35" style="625" width="24.57421875" customWidth="1"/>
    <col min="36" max="36" style="625" width="21.57421875" customWidth="1"/>
    <col min="37" max="37" style="625" width="23.57421875" customWidth="1"/>
    <col min="38" max="38" style="625" width="21.57421875" customWidth="1"/>
  </cols>
  <sheetData>
    <row r="1" ht="15" customHeight="1">
      <c r="A1" s="6"/>
      <c r="B1" s="6"/>
      <c r="C1" s="6"/>
      <c r="D1" s="6"/>
      <c r="E1" s="6"/>
      <c r="F1" s="6"/>
      <c r="G1" s="6"/>
      <c r="H1" s="6"/>
      <c r="I1" s="6"/>
      <c r="J1" s="6"/>
      <c r="K1" s="6"/>
      <c r="L1" s="6"/>
      <c r="M1" s="6"/>
      <c r="N1" s="6"/>
      <c r="O1" s="6"/>
      <c r="P1" s="6"/>
      <c r="Q1" s="4279"/>
      <c r="R1" s="6"/>
      <c r="S1" s="6"/>
      <c r="T1" s="6"/>
      <c r="U1" s="6"/>
      <c r="V1" s="6"/>
      <c r="W1" s="6"/>
      <c r="X1" s="6"/>
      <c r="Y1" s="1408"/>
      <c r="Z1" s="1408"/>
      <c r="AA1" s="1408"/>
      <c r="AB1" s="1408"/>
      <c r="AC1" s="1408"/>
      <c r="AD1" s="1408"/>
      <c r="AE1" s="1408"/>
      <c r="AF1" s="1408"/>
      <c r="AG1" s="6"/>
      <c r="AH1" s="6"/>
      <c r="AI1" s="6"/>
      <c r="AJ1" s="6"/>
      <c r="AK1" s="6"/>
      <c r="AL1" s="6"/>
    </row>
    <row r="2" ht="27" customHeight="1">
      <c r="A2" s="6"/>
      <c r="B2" s="4280" t="s">
        <v>3558</v>
      </c>
      <c r="C2" s="4281"/>
      <c r="D2" s="4281"/>
      <c r="E2" s="4281"/>
      <c r="F2" s="4281"/>
      <c r="G2" s="4281"/>
      <c r="H2" s="4281"/>
      <c r="I2" s="4281"/>
      <c r="J2" s="4281"/>
      <c r="K2" s="4281"/>
      <c r="L2" s="4281"/>
      <c r="M2" s="4281"/>
      <c r="N2" s="6"/>
      <c r="O2" s="6"/>
      <c r="P2" s="6"/>
      <c r="Q2" s="4279"/>
      <c r="R2" s="6"/>
      <c r="S2" s="6"/>
      <c r="T2" s="6"/>
      <c r="U2" s="6"/>
      <c r="V2" s="6"/>
      <c r="W2" s="6"/>
      <c r="X2" s="4282"/>
      <c r="Y2" s="4283" t="s">
        <v>3559</v>
      </c>
      <c r="Z2" s="4284"/>
      <c r="AA2" s="4285" t="e">
        <f>AA38</f>
        <v>#NAME?</v>
      </c>
      <c r="AB2" s="4286"/>
      <c r="AC2" s="4286"/>
      <c r="AD2" s="4286"/>
      <c r="AE2" s="4286"/>
      <c r="AF2" s="4286"/>
      <c r="AG2" s="4287"/>
      <c r="AH2" s="4287"/>
      <c r="AI2" s="642"/>
      <c r="AJ2" s="642"/>
      <c r="AK2" s="642"/>
      <c r="AL2" s="642"/>
    </row>
    <row r="3" ht="12.75" customHeight="1">
      <c r="A3" s="6"/>
      <c r="B3" s="6"/>
      <c r="C3" s="6"/>
      <c r="D3" s="6"/>
      <c r="E3" s="6"/>
      <c r="F3" s="6"/>
      <c r="G3" s="6"/>
      <c r="H3" s="6"/>
      <c r="I3" s="6"/>
      <c r="J3" s="6"/>
      <c r="K3" s="6"/>
      <c r="L3" s="6"/>
      <c r="M3" s="6"/>
      <c r="N3" s="6"/>
      <c r="O3" s="6"/>
      <c r="P3" s="6"/>
      <c r="Q3" s="4279"/>
      <c r="R3" s="6"/>
      <c r="S3" s="6"/>
      <c r="T3" s="6"/>
      <c r="U3" s="6"/>
      <c r="V3" s="6"/>
      <c r="W3" s="6"/>
      <c r="X3" s="4282"/>
      <c r="Y3" s="4288"/>
      <c r="Z3" s="4288"/>
      <c r="AA3" s="4288"/>
      <c r="AB3" s="4288"/>
      <c r="AC3" s="4288"/>
      <c r="AD3" s="4288"/>
      <c r="AE3" s="4288"/>
      <c r="AF3" s="4288"/>
      <c r="AG3" s="4287"/>
      <c r="AH3" s="4287"/>
      <c r="AI3" s="4287"/>
      <c r="AJ3" s="631"/>
      <c r="AK3" s="631"/>
      <c r="AL3" s="631"/>
    </row>
    <row r="4" ht="15.75" customHeight="1">
      <c r="A4" s="6"/>
      <c r="B4" s="4289" t="s">
        <v>3560</v>
      </c>
      <c r="C4" s="6"/>
      <c r="D4" s="6"/>
      <c r="E4" s="6"/>
      <c r="F4" s="6"/>
      <c r="G4" s="6"/>
      <c r="H4" s="6"/>
      <c r="I4" s="4290" t="s">
        <v>3561</v>
      </c>
      <c r="J4" s="4291"/>
      <c r="K4" s="27"/>
      <c r="L4" s="27"/>
      <c r="M4" s="4292"/>
      <c r="N4" s="6"/>
      <c r="O4" s="6"/>
      <c r="P4" s="6"/>
      <c r="Q4" s="4279"/>
      <c r="R4" s="6"/>
      <c r="S4" s="6"/>
      <c r="T4" s="6"/>
      <c r="U4" s="6"/>
      <c r="V4" s="6"/>
      <c r="W4" s="6"/>
      <c r="X4" s="4282"/>
      <c r="Y4" s="6"/>
      <c r="Z4" s="6"/>
      <c r="AA4" s="6"/>
      <c r="AB4" s="6"/>
      <c r="AC4" s="6"/>
      <c r="AD4" s="6"/>
      <c r="AE4" s="6"/>
      <c r="AF4" s="6"/>
      <c r="AG4" s="6"/>
      <c r="AH4" s="6"/>
      <c r="AI4" s="6"/>
      <c r="AJ4" s="6"/>
      <c r="AK4" s="6"/>
      <c r="AL4" s="6"/>
    </row>
    <row r="5" ht="21.75" customHeight="1">
      <c r="A5" s="6"/>
      <c r="B5" s="4293" t="s">
        <v>2420</v>
      </c>
      <c r="C5" s="4282"/>
      <c r="D5" s="4282"/>
      <c r="E5" s="4294" t="str">
        <f>PropertyName_DataPageTab</f>
        <v>XXXX</v>
      </c>
      <c r="F5" s="4294"/>
      <c r="G5" s="4294"/>
      <c r="H5" s="6"/>
      <c r="I5" s="4282" t="s">
        <v>3562</v>
      </c>
      <c r="J5" s="4295"/>
      <c r="K5" s="4296">
        <f>10000%+((PremiumPerc_Broker+PremiumPerc_Lender)*100)</f>
        <v>100</v>
      </c>
      <c r="L5" s="4296"/>
      <c r="M5" s="4296"/>
      <c r="N5" s="6"/>
      <c r="O5" s="6"/>
      <c r="P5" s="6"/>
      <c r="Q5" s="4279"/>
      <c r="R5" s="6"/>
      <c r="S5" s="6"/>
      <c r="T5" s="6"/>
      <c r="U5" s="6"/>
      <c r="V5" s="6"/>
      <c r="W5" s="6"/>
      <c r="X5" s="4282"/>
      <c r="Y5" s="4297" t="s">
        <v>3563</v>
      </c>
      <c r="Z5" s="4298"/>
      <c r="AA5" s="4299" t="e">
        <f>IF(Is_SARM,AD8,AA8)</f>
        <v>#NAME?</v>
      </c>
      <c r="AB5" s="4300"/>
      <c r="AC5" s="4300"/>
      <c r="AD5" s="4300"/>
      <c r="AE5" s="4300"/>
      <c r="AF5" s="4300"/>
      <c r="AG5" s="4287"/>
      <c r="AH5" s="4287"/>
      <c r="AI5" s="4301"/>
      <c r="AJ5" s="896"/>
      <c r="AK5" s="896"/>
      <c r="AL5" s="896"/>
    </row>
    <row r="6" ht="19.5" customHeight="1">
      <c r="A6" s="6"/>
      <c r="B6" s="4293" t="s">
        <v>2278</v>
      </c>
      <c r="C6" s="4282"/>
      <c r="D6" s="4282"/>
      <c r="E6" s="4302">
        <f>Address_DataPageTab</f>
      </c>
      <c r="F6" s="4302"/>
      <c r="G6" s="4302"/>
      <c r="H6" s="6"/>
      <c r="I6" s="4303" t="s">
        <v>3564</v>
      </c>
      <c r="J6" s="27"/>
      <c r="K6" s="4304" t="s">
        <v>367</v>
      </c>
      <c r="L6" s="4304"/>
      <c r="M6" s="4304"/>
      <c r="N6" s="6"/>
      <c r="O6" s="6"/>
      <c r="P6" s="6"/>
      <c r="Q6" s="4279"/>
      <c r="R6" s="6"/>
      <c r="S6" s="6"/>
      <c r="T6" s="6"/>
      <c r="U6" s="6"/>
      <c r="V6" s="6"/>
      <c r="W6" s="6"/>
      <c r="X6" s="4282"/>
      <c r="Y6" s="4288"/>
      <c r="Z6" s="4305"/>
      <c r="AA6" s="4288"/>
      <c r="AB6" s="4288"/>
      <c r="AC6" s="4306"/>
      <c r="AD6" s="4288"/>
      <c r="AE6" s="4288"/>
      <c r="AF6" s="4288"/>
      <c r="AG6" s="4287"/>
      <c r="AH6" s="4287"/>
      <c r="AI6" s="4301"/>
      <c r="AJ6" s="896"/>
      <c r="AK6" s="896"/>
      <c r="AL6" s="896"/>
    </row>
    <row r="7" ht="19.5" customHeight="1">
      <c r="A7" s="4282"/>
      <c r="B7" s="4293"/>
      <c r="C7" s="4282"/>
      <c r="D7" s="4282"/>
      <c r="E7" s="4302" t="str">
        <f>City_DataPageTab&amp;", "&amp;State_DataPageTab&amp;", "&amp;ZipCode_DataPageTab</f>
        <v>City, XX, XXXXX</v>
      </c>
      <c r="F7" s="4302"/>
      <c r="G7" s="4302"/>
      <c r="H7" s="4282"/>
      <c r="I7" s="4293" t="s">
        <v>3566</v>
      </c>
      <c r="J7" s="27"/>
      <c r="K7" s="4307">
        <f>IF(Is_SARM,AD14,AD13)</f>
        <v>0</v>
      </c>
      <c r="L7" s="4308"/>
      <c r="M7" s="4308"/>
      <c r="N7" s="4282"/>
      <c r="O7" s="4282"/>
      <c r="P7" s="4282"/>
      <c r="Q7" s="4309"/>
      <c r="R7" s="4282"/>
      <c r="S7" s="4282"/>
      <c r="T7" s="4282"/>
      <c r="U7" s="4282"/>
      <c r="V7" s="4282"/>
      <c r="W7" s="4282"/>
      <c r="X7" s="4282"/>
      <c r="Y7" s="4310" t="s">
        <v>3567</v>
      </c>
      <c r="Z7" s="4311"/>
      <c r="AA7" s="4312">
        <f>F11</f>
        <v>0</v>
      </c>
      <c r="AB7" s="4313"/>
      <c r="AC7" s="4314"/>
      <c r="AD7" s="4313"/>
      <c r="AE7" s="4313"/>
      <c r="AF7" s="4313"/>
      <c r="AG7" s="4287"/>
      <c r="AH7" s="4287"/>
      <c r="AI7" s="4301"/>
      <c r="AJ7" s="896"/>
      <c r="AK7" s="896"/>
      <c r="AL7" s="896"/>
    </row>
    <row r="8" ht="19.5" customHeight="1">
      <c r="A8" s="4282"/>
      <c r="B8" s="4293" t="s">
        <v>3568</v>
      </c>
      <c r="C8" s="4282"/>
      <c r="D8" s="4282"/>
      <c r="E8" s="4315" t="str">
        <f>County_DataPageTab</f>
        <v>County not found</v>
      </c>
      <c r="F8" s="4316"/>
      <c r="G8" s="4316"/>
      <c r="H8" s="4282"/>
      <c r="I8" s="4303"/>
      <c r="J8" s="4317"/>
      <c r="K8" s="4318"/>
      <c r="L8" s="4318"/>
      <c r="M8" s="4318"/>
      <c r="N8" s="4293"/>
      <c r="O8" s="4282"/>
      <c r="P8" s="4282"/>
      <c r="Q8" s="4309"/>
      <c r="R8" s="4282"/>
      <c r="S8" s="4282"/>
      <c r="T8" s="4282"/>
      <c r="U8" s="4282"/>
      <c r="V8" s="4282"/>
      <c r="W8" s="4282"/>
      <c r="X8" s="4282"/>
      <c r="Y8" s="4319" t="s">
        <v>3569</v>
      </c>
      <c r="Z8" s="4311"/>
      <c r="AA8" s="4320" t="e">
        <f>NoteRate</f>
        <v>#NAME?</v>
      </c>
      <c r="AB8" s="4321"/>
      <c r="AC8" s="4322" t="s">
        <v>3570</v>
      </c>
      <c r="AD8" s="4323">
        <f>SARMPayRate</f>
        <v>0</v>
      </c>
      <c r="AE8" s="4321"/>
      <c r="AF8" s="4321"/>
      <c r="AG8" s="4313"/>
      <c r="AH8" s="4313"/>
      <c r="AI8" s="4313"/>
      <c r="AJ8" s="4313"/>
      <c r="AK8" s="4313"/>
      <c r="AL8" s="4313"/>
    </row>
    <row r="9" ht="19.5" customHeight="1">
      <c r="A9" s="4282"/>
      <c r="B9" s="6"/>
      <c r="C9" s="6"/>
      <c r="D9" s="6"/>
      <c r="E9" s="6"/>
      <c r="F9" s="6"/>
      <c r="G9" s="6"/>
      <c r="H9" s="4282"/>
      <c r="I9" s="6"/>
      <c r="J9" s="6"/>
      <c r="K9" s="6"/>
      <c r="L9" s="6"/>
      <c r="M9" s="6"/>
      <c r="N9" s="4282"/>
      <c r="O9" s="4282"/>
      <c r="P9" s="4282"/>
      <c r="Q9" s="4309"/>
      <c r="R9" s="4282"/>
      <c r="S9" s="4282"/>
      <c r="T9" s="4282"/>
      <c r="U9" s="4282"/>
      <c r="V9" s="4282"/>
      <c r="W9" s="4282"/>
      <c r="X9" s="4282"/>
      <c r="Y9" s="4324" t="s">
        <v>3571</v>
      </c>
      <c r="Z9" s="4325"/>
      <c r="AA9" s="4326" t="e">
        <f t="shared" si="0" ref="AA9:AD11">(PMT(AA8/12,$E$17,-1))*12</f>
        <v>#NAME?</v>
      </c>
      <c r="AB9" s="4300"/>
      <c r="AC9" s="4322" t="s">
        <v>3572</v>
      </c>
      <c r="AD9" s="4326" t="e">
        <f t="shared" si="0"/>
        <v>#NAME?</v>
      </c>
      <c r="AE9" s="4300"/>
      <c r="AF9" s="4300"/>
      <c r="AG9" s="4313"/>
      <c r="AH9" s="4313"/>
      <c r="AI9" s="4327" t="s">
        <v>3573</v>
      </c>
      <c r="AJ9" s="4328"/>
      <c r="AK9" s="4327" t="s">
        <v>3574</v>
      </c>
      <c r="AL9" s="4328"/>
    </row>
    <row r="10" ht="19.5" customHeight="1">
      <c r="A10" s="4282"/>
      <c r="B10" s="4289" t="s">
        <v>3575</v>
      </c>
      <c r="C10" s="4282"/>
      <c r="D10" s="4282"/>
      <c r="E10" s="4303"/>
      <c r="F10" s="4303"/>
      <c r="G10" s="4303"/>
      <c r="H10" s="4282"/>
      <c r="I10" s="4290" t="s">
        <v>3576</v>
      </c>
      <c r="J10" s="4293"/>
      <c r="K10" s="4318"/>
      <c r="L10" s="4318"/>
      <c r="M10" s="4318"/>
      <c r="N10" s="4282"/>
      <c r="O10" s="4282"/>
      <c r="P10" s="4282"/>
      <c r="Q10" s="4309"/>
      <c r="R10" s="4282"/>
      <c r="S10" s="4282"/>
      <c r="T10" s="4282"/>
      <c r="U10" s="4282"/>
      <c r="V10" s="4282"/>
      <c r="W10" s="4282"/>
      <c r="X10" s="4282"/>
      <c r="Y10" s="4324" t="s">
        <v>3577</v>
      </c>
      <c r="Z10" s="4325"/>
      <c r="AA10" s="4323" t="e">
        <f>FloorRate</f>
        <v>#NAME?</v>
      </c>
      <c r="AB10" s="4313"/>
      <c r="AC10" s="4322" t="s">
        <v>3578</v>
      </c>
      <c r="AD10" s="4323">
        <f>SARMStressRate</f>
        <v>0</v>
      </c>
      <c r="AE10" s="4329"/>
      <c r="AF10" s="4329"/>
      <c r="AG10" s="4313"/>
      <c r="AH10" s="4330"/>
      <c r="AI10" s="4331" t="s">
        <v>3579</v>
      </c>
      <c r="AJ10" s="4332" t="e">
        <f>'Data Page'!AB14</f>
        <v>#NAME?</v>
      </c>
      <c r="AK10" s="4331" t="s">
        <v>3580</v>
      </c>
      <c r="AL10" s="4333" t="s">
        <v>174</v>
      </c>
    </row>
    <row r="11" ht="19.5" customHeight="1">
      <c r="A11" s="4282"/>
      <c r="B11" s="27" t="s">
        <v>3581</v>
      </c>
      <c r="C11" s="4282"/>
      <c r="D11" s="4282"/>
      <c r="E11" s="4334" t="e">
        <f>AA2</f>
        <v>#NAME?</v>
      </c>
      <c r="F11" s="4335">
        <f>DataPage_MaxApprovedLoanAmount</f>
        <v>0</v>
      </c>
      <c r="G11" s="4335"/>
      <c r="H11" s="4282"/>
      <c r="I11" s="4303" t="s">
        <v>3582</v>
      </c>
      <c r="J11" s="4303"/>
      <c r="K11" s="4336" t="s">
        <v>3583</v>
      </c>
      <c r="L11" s="4336"/>
      <c r="M11" s="4336"/>
      <c r="N11" s="4282"/>
      <c r="O11" s="4282"/>
      <c r="P11" s="4282"/>
      <c r="Q11" s="4309"/>
      <c r="R11" s="4282"/>
      <c r="S11" s="4282"/>
      <c r="T11" s="4282"/>
      <c r="U11" s="4282"/>
      <c r="V11" s="4282"/>
      <c r="W11" s="4282"/>
      <c r="X11" s="4282"/>
      <c r="Y11" s="4319" t="s">
        <v>3584</v>
      </c>
      <c r="Z11" s="4311"/>
      <c r="AA11" s="4337" t="e">
        <f t="shared" si="0"/>
        <v>#NAME?</v>
      </c>
      <c r="AB11" s="4313"/>
      <c r="AC11" s="4322" t="s">
        <v>3585</v>
      </c>
      <c r="AD11" s="4337" t="e">
        <f t="shared" si="0"/>
        <v>#NAME?</v>
      </c>
      <c r="AE11" s="4321"/>
      <c r="AF11" s="4321"/>
      <c r="AG11" s="4313"/>
      <c r="AH11" s="4330"/>
      <c r="AI11" s="4338"/>
      <c r="AJ11" s="4339"/>
      <c r="AK11" s="4338"/>
      <c r="AL11" s="4339"/>
    </row>
    <row r="12" ht="19.5" customHeight="1">
      <c r="A12" s="4282"/>
      <c r="B12" s="4303" t="s">
        <v>3586</v>
      </c>
      <c r="C12" s="4303"/>
      <c r="D12" s="4303"/>
      <c r="E12" s="4340" t="s">
        <v>384</v>
      </c>
      <c r="F12" s="4341"/>
      <c r="G12" s="4341"/>
      <c r="H12" s="4282"/>
      <c r="I12" s="4303" t="s">
        <v>3587</v>
      </c>
      <c r="J12" s="4303"/>
      <c r="K12" s="4342" t="s">
        <v>3583</v>
      </c>
      <c r="L12" s="4342"/>
      <c r="M12" s="4342"/>
      <c r="N12" s="4282"/>
      <c r="O12" s="4282"/>
      <c r="P12" s="4282"/>
      <c r="Q12" s="4309"/>
      <c r="R12" s="4282"/>
      <c r="S12" s="4282"/>
      <c r="T12" s="4282"/>
      <c r="U12" s="4282"/>
      <c r="V12" s="4282"/>
      <c r="W12" s="4282"/>
      <c r="X12" s="4282"/>
      <c r="Y12" s="4343"/>
      <c r="Z12" s="4343"/>
      <c r="AA12" s="4344"/>
      <c r="AB12" s="4345"/>
      <c r="AC12" s="4346"/>
      <c r="AD12" s="4345"/>
      <c r="AE12" s="4345"/>
      <c r="AF12" s="4345"/>
      <c r="AG12" s="4347"/>
      <c r="AH12" s="4347"/>
      <c r="AI12" s="4348" t="s">
        <v>3588</v>
      </c>
      <c r="AJ12" s="4349" t="e">
        <f>'Data Page'!AB9</f>
        <v>#NAME?</v>
      </c>
      <c r="AK12" s="4348" t="s">
        <v>3589</v>
      </c>
      <c r="AL12" s="4350" t="s">
        <v>174</v>
      </c>
    </row>
    <row r="13" ht="19.5" customHeight="1">
      <c r="A13" s="4282"/>
      <c r="B13" s="4303" t="s">
        <v>3590</v>
      </c>
      <c r="C13" s="4282"/>
      <c r="D13" s="4282"/>
      <c r="E13" s="4351" t="s">
        <v>3591</v>
      </c>
      <c r="F13" s="4351"/>
      <c r="G13" s="4351"/>
      <c r="H13" s="4282"/>
      <c r="I13" s="4303" t="s">
        <v>392</v>
      </c>
      <c r="J13" s="4352"/>
      <c r="K13" s="4340" t="s">
        <v>393</v>
      </c>
      <c r="L13" s="4351"/>
      <c r="M13" s="4340"/>
      <c r="N13" s="4282"/>
      <c r="O13" s="4282"/>
      <c r="P13" s="4282"/>
      <c r="Q13" s="4309"/>
      <c r="R13" s="4282"/>
      <c r="S13" s="4282"/>
      <c r="T13" s="4282"/>
      <c r="U13" s="4282"/>
      <c r="V13" s="4282"/>
      <c r="W13" s="4282"/>
      <c r="X13" s="4282"/>
      <c r="Y13" s="4353" t="str">
        <f>IF('SBL Quotes'!AN32="Supplemental","Remaining UW NCF","Underwritten NCF")</f>
        <v>Underwritten NCF</v>
      </c>
      <c r="Z13" s="4354"/>
      <c r="AA13" s="4355">
        <f>SOps_UnderwrittenNCF</f>
        <v>-1720952.21</v>
      </c>
      <c r="AB13" s="4345"/>
      <c r="AC13" s="4356" t="s">
        <v>3592</v>
      </c>
      <c r="AD13" s="4357">
        <f>'Data Page'!E70</f>
        <v>0</v>
      </c>
      <c r="AE13" s="4345"/>
      <c r="AF13" s="4345"/>
      <c r="AG13" s="4347"/>
      <c r="AH13" s="4347"/>
      <c r="AI13" s="4358"/>
      <c r="AJ13" s="4359"/>
      <c r="AK13" s="4358"/>
      <c r="AL13" s="4359"/>
    </row>
    <row r="14" ht="19.5" customHeight="1">
      <c r="A14" s="4282"/>
      <c r="B14" s="4293" t="s">
        <v>3593</v>
      </c>
      <c r="C14" s="4282"/>
      <c r="D14" s="4282"/>
      <c r="E14" s="4360" t="e">
        <f>Term*12</f>
        <v>#NAME?</v>
      </c>
      <c r="F14" s="4361"/>
      <c r="G14" s="4316"/>
      <c r="H14" s="4282"/>
      <c r="I14" s="4303" t="s">
        <v>3594</v>
      </c>
      <c r="J14" s="4293"/>
      <c r="K14" s="4362">
        <v>0.05</v>
      </c>
      <c r="L14" s="4362">
        <v>0.05</v>
      </c>
      <c r="M14" s="4363"/>
      <c r="N14" s="4282"/>
      <c r="O14" s="4282"/>
      <c r="P14" s="4282"/>
      <c r="Q14" s="4309"/>
      <c r="R14" s="4282"/>
      <c r="S14" s="4282"/>
      <c r="T14" s="4282"/>
      <c r="U14" s="4282"/>
      <c r="V14" s="4282"/>
      <c r="W14" s="4282"/>
      <c r="X14" s="4282"/>
      <c r="Y14" s="4364"/>
      <c r="Z14" s="4365"/>
      <c r="AA14" s="4366"/>
      <c r="AB14" s="4345"/>
      <c r="AC14" s="4356" t="s">
        <v>3595</v>
      </c>
      <c r="AD14" s="4357" t="s">
        <v>174</v>
      </c>
      <c r="AE14" s="4345"/>
      <c r="AF14" s="4345"/>
      <c r="AG14" s="4313"/>
      <c r="AH14" s="4313"/>
      <c r="AI14" s="4313"/>
      <c r="AJ14" s="4313"/>
      <c r="AK14" s="4367"/>
      <c r="AL14" s="4313"/>
    </row>
    <row r="15" ht="19.5" customHeight="1">
      <c r="A15" s="4282"/>
      <c r="B15" s="4303" t="s">
        <v>3596</v>
      </c>
      <c r="C15" s="4282"/>
      <c r="D15" s="4282"/>
      <c r="E15" s="4368" t="s">
        <v>188</v>
      </c>
      <c r="F15" s="4368"/>
      <c r="G15" s="4368"/>
      <c r="H15" s="4282"/>
      <c r="I15" s="4303" t="s">
        <v>3597</v>
      </c>
      <c r="J15" s="4293"/>
      <c r="K15" s="4340" t="s">
        <v>3598</v>
      </c>
      <c r="L15" s="4369"/>
      <c r="M15" s="4370"/>
      <c r="N15" s="4282"/>
      <c r="O15" s="4282"/>
      <c r="P15" s="4282"/>
      <c r="Q15" s="4309"/>
      <c r="R15" s="4282"/>
      <c r="S15" s="4282"/>
      <c r="T15" s="4282"/>
      <c r="U15" s="4282"/>
      <c r="V15" s="4282"/>
      <c r="W15" s="4282"/>
      <c r="X15" s="4282"/>
      <c r="Y15" s="4371"/>
      <c r="Z15" s="4371"/>
      <c r="AA15" s="4372"/>
      <c r="AB15" s="4373"/>
      <c r="AC15" s="4374"/>
      <c r="AD15" s="4373"/>
      <c r="AE15" s="4373"/>
      <c r="AF15" s="4373"/>
      <c r="AG15" s="4313"/>
      <c r="AH15" s="4313"/>
      <c r="AI15" s="4314"/>
      <c r="AJ15" s="4313"/>
      <c r="AK15" s="642"/>
      <c r="AL15" s="4313"/>
    </row>
    <row r="16" ht="19.5" customHeight="1">
      <c r="A16" s="4282"/>
      <c r="B16" s="4293" t="s">
        <v>3599</v>
      </c>
      <c r="C16" s="4282"/>
      <c r="D16" s="4282"/>
      <c r="E16" s="4360" t="e">
        <f>(InterestOnly*12)</f>
        <v>#NAME?</v>
      </c>
      <c r="F16" s="4361"/>
      <c r="G16" s="4316"/>
      <c r="H16" s="4282"/>
      <c r="I16" s="4303" t="s">
        <v>3600</v>
      </c>
      <c r="J16" s="626"/>
      <c r="K16" s="4375">
        <v>1</v>
      </c>
      <c r="L16" s="4376"/>
      <c r="M16" s="4370"/>
      <c r="N16" s="4282"/>
      <c r="O16" s="4282"/>
      <c r="P16" s="4282"/>
      <c r="Q16" s="4309"/>
      <c r="R16" s="4282"/>
      <c r="S16" s="4282"/>
      <c r="T16" s="4282"/>
      <c r="U16" s="4282"/>
      <c r="V16" s="4282"/>
      <c r="W16" s="4282"/>
      <c r="X16" s="4282"/>
      <c r="Y16" s="4319" t="s">
        <v>3601</v>
      </c>
      <c r="Z16" s="4311"/>
      <c r="AA16" s="4377" t="e">
        <f>Requested_Actual_UW_DSCR</f>
        <v>#NAME?</v>
      </c>
      <c r="AB16" s="4373"/>
      <c r="AC16" s="4378" t="s">
        <v>3602</v>
      </c>
      <c r="AD16" s="4379" t="s">
        <v>174</v>
      </c>
      <c r="AE16" s="4373"/>
      <c r="AF16" s="4373"/>
      <c r="AG16" s="4313"/>
      <c r="AH16" s="4313"/>
      <c r="AI16" s="4314"/>
      <c r="AJ16" s="4313"/>
      <c r="AK16" s="4380"/>
      <c r="AL16" s="4313"/>
    </row>
    <row r="17" ht="19.5" customHeight="1">
      <c r="A17" s="6"/>
      <c r="B17" s="4293" t="s">
        <v>3603</v>
      </c>
      <c r="C17" s="4282"/>
      <c r="D17" s="4282"/>
      <c r="E17" s="4360" t="e">
        <f>(Amort*12)</f>
        <v>#NAME?</v>
      </c>
      <c r="F17" s="4381" t="e">
        <f>IF(E16=E14,"Full IO:  No Amort","")</f>
        <v>#NAME?</v>
      </c>
      <c r="G17" s="4316"/>
      <c r="H17" s="4282"/>
      <c r="I17" s="4303" t="s">
        <v>3604</v>
      </c>
      <c r="J17" s="4293"/>
      <c r="K17" s="4382">
        <v>1</v>
      </c>
      <c r="L17" s="4383"/>
      <c r="M17" s="4384"/>
      <c r="N17" s="6"/>
      <c r="O17" s="6"/>
      <c r="P17" s="6"/>
      <c r="Q17" s="4279"/>
      <c r="R17" s="6"/>
      <c r="S17" s="6"/>
      <c r="T17" s="6"/>
      <c r="U17" s="6"/>
      <c r="V17" s="6"/>
      <c r="W17" s="6"/>
      <c r="X17" s="6"/>
      <c r="Y17" s="4385"/>
      <c r="Z17" s="4386"/>
      <c r="AA17" s="4387"/>
      <c r="AB17" s="4373"/>
      <c r="AC17" s="4388"/>
      <c r="AD17" s="4387"/>
      <c r="AE17" s="4373"/>
      <c r="AF17" s="4373"/>
      <c r="AG17" s="4313"/>
      <c r="AH17" s="4313"/>
      <c r="AI17" s="4314"/>
      <c r="AJ17" s="4313"/>
      <c r="AK17" s="4380"/>
      <c r="AL17" s="4313"/>
    </row>
    <row r="18" ht="19.5" customHeight="1">
      <c r="A18" s="6"/>
      <c r="B18" s="4293" t="s">
        <v>3605</v>
      </c>
      <c r="C18" s="4303"/>
      <c r="D18" s="4303"/>
      <c r="E18" s="4302" t="str">
        <f>Interest_Calc</f>
        <v>Actual/360</v>
      </c>
      <c r="F18" s="4361"/>
      <c r="G18" s="4316"/>
      <c r="H18" s="4282"/>
      <c r="I18" s="4303" t="s">
        <v>3606</v>
      </c>
      <c r="J18" s="4293"/>
      <c r="K18" s="4389" t="s">
        <v>269</v>
      </c>
      <c r="L18" s="4390"/>
      <c r="M18" s="4391"/>
      <c r="N18" s="6"/>
      <c r="O18" s="6"/>
      <c r="P18" s="6"/>
      <c r="Q18" s="4279"/>
      <c r="R18" s="6"/>
      <c r="S18" s="6"/>
      <c r="T18" s="6"/>
      <c r="U18" s="6"/>
      <c r="V18" s="6"/>
      <c r="W18" s="6"/>
      <c r="X18" s="6"/>
      <c r="Y18" s="4319" t="s">
        <v>3607</v>
      </c>
      <c r="Z18" s="4311"/>
      <c r="AA18" s="4377" t="e">
        <f>Requested_Floor_UW_DSCR</f>
        <v>#NAME?</v>
      </c>
      <c r="AB18" s="4373"/>
      <c r="AC18" s="4378" t="s">
        <v>3608</v>
      </c>
      <c r="AD18" s="4379" t="s">
        <v>174</v>
      </c>
      <c r="AE18" s="4373"/>
      <c r="AF18" s="4373"/>
      <c r="AG18" s="4313"/>
      <c r="AH18" s="4313"/>
      <c r="AI18" s="4392"/>
      <c r="AJ18" s="4392"/>
      <c r="AK18" s="4392"/>
      <c r="AL18" s="4392"/>
    </row>
    <row r="19" ht="19.5" customHeight="1">
      <c r="A19" s="6"/>
      <c r="B19" s="4303" t="s">
        <v>3609</v>
      </c>
      <c r="C19" s="4282"/>
      <c r="D19" s="4282"/>
      <c r="E19" s="4393">
        <v>0</v>
      </c>
      <c r="F19" s="4361"/>
      <c r="G19" s="4316"/>
      <c r="H19" s="4282"/>
      <c r="I19" s="4303" t="s">
        <v>2307</v>
      </c>
      <c r="J19" s="4293"/>
      <c r="K19" s="4394" t="e">
        <f>L19*E11</f>
        <v>#NAME?</v>
      </c>
      <c r="L19" s="4383">
        <v>0.02</v>
      </c>
      <c r="M19" s="4369" t="s">
        <v>3610</v>
      </c>
      <c r="N19" s="6"/>
      <c r="O19" s="6"/>
      <c r="P19" s="6"/>
      <c r="Q19" s="4279"/>
      <c r="R19" s="6"/>
      <c r="S19" s="6"/>
      <c r="T19" s="6"/>
      <c r="U19" s="6"/>
      <c r="V19" s="6"/>
      <c r="W19" s="6"/>
      <c r="X19" s="6"/>
      <c r="Y19" s="4385"/>
      <c r="Z19" s="4386"/>
      <c r="AA19" s="4387"/>
      <c r="AB19" s="4373"/>
      <c r="AC19" s="4388"/>
      <c r="AD19" s="4387"/>
      <c r="AE19" s="4347"/>
      <c r="AF19" s="4347"/>
      <c r="AG19" s="4347"/>
      <c r="AH19" s="4347"/>
      <c r="AI19" s="642"/>
      <c r="AJ19" s="642"/>
      <c r="AK19" s="642"/>
      <c r="AL19" s="642"/>
    </row>
    <row r="20" ht="19.5" customHeight="1">
      <c r="A20" s="6"/>
      <c r="B20" s="4293"/>
      <c r="C20" s="4282"/>
      <c r="D20" s="4282"/>
      <c r="E20" s="4303"/>
      <c r="F20" s="4303"/>
      <c r="G20" s="6"/>
      <c r="H20" s="4282"/>
      <c r="I20" s="4303"/>
      <c r="J20" s="4303"/>
      <c r="K20" s="4395"/>
      <c r="L20" s="4395"/>
      <c r="M20" s="4395"/>
      <c r="N20" s="6"/>
      <c r="O20" s="6"/>
      <c r="P20" s="6"/>
      <c r="Q20" s="4279"/>
      <c r="R20" s="6"/>
      <c r="S20" s="6"/>
      <c r="T20" s="6"/>
      <c r="U20" s="6"/>
      <c r="V20" s="6"/>
      <c r="W20" s="6"/>
      <c r="X20" s="6"/>
      <c r="Y20" s="4396"/>
      <c r="Z20" s="4396"/>
      <c r="AA20" s="4396"/>
      <c r="AB20" s="4347"/>
      <c r="AC20" s="4347"/>
      <c r="AD20" s="4347"/>
      <c r="AE20" s="4347"/>
      <c r="AF20" s="4347"/>
      <c r="AG20" s="4397"/>
      <c r="AH20" s="4397"/>
      <c r="AI20" s="4398" t="s">
        <v>1353</v>
      </c>
      <c r="AJ20" s="4399"/>
      <c r="AK20" s="4398" t="s">
        <v>983</v>
      </c>
      <c r="AL20" s="4399"/>
    </row>
    <row r="21" ht="19.5" customHeight="1">
      <c r="A21" s="6"/>
      <c r="B21" s="4289" t="s">
        <v>176</v>
      </c>
      <c r="C21" s="4282"/>
      <c r="D21" s="4282"/>
      <c r="E21" s="4303"/>
      <c r="F21" s="4303"/>
      <c r="G21" s="4303"/>
      <c r="H21" s="4282"/>
      <c r="I21" s="4290" t="s">
        <v>3576</v>
      </c>
      <c r="J21" s="4293"/>
      <c r="K21" s="4400"/>
      <c r="L21" s="4400"/>
      <c r="M21" s="4400"/>
      <c r="N21" s="6"/>
      <c r="O21" s="6"/>
      <c r="P21" s="6"/>
      <c r="Q21" s="4279"/>
      <c r="R21" s="6"/>
      <c r="S21" s="6"/>
      <c r="T21" s="6"/>
      <c r="U21" s="6"/>
      <c r="V21" s="6"/>
      <c r="W21" s="6"/>
      <c r="X21" s="6"/>
      <c r="Y21" s="4401" t="str">
        <f>IF(Interest_Rate_Type="Fixed","Note Rate","Pay Rate (Variable)")</f>
        <v>Note Rate</v>
      </c>
      <c r="Z21" s="4401" t="s">
        <v>3611</v>
      </c>
      <c r="AA21" s="4401" t="s">
        <v>572</v>
      </c>
      <c r="AB21" s="4402"/>
      <c r="AC21" s="4402"/>
      <c r="AD21" s="4402"/>
      <c r="AE21" s="4402"/>
      <c r="AF21" s="4402"/>
      <c r="AG21" s="4403" t="s">
        <v>3612</v>
      </c>
      <c r="AH21" s="4403" t="s">
        <v>760</v>
      </c>
      <c r="AI21" s="4404" t="s">
        <v>3613</v>
      </c>
      <c r="AJ21" s="4405" t="s">
        <v>3614</v>
      </c>
      <c r="AK21" s="4404" t="s">
        <v>3615</v>
      </c>
      <c r="AL21" s="4405" t="s">
        <v>3616</v>
      </c>
    </row>
    <row r="22" ht="19.5" customHeight="1">
      <c r="A22" s="6"/>
      <c r="B22" s="4303" t="s">
        <v>405</v>
      </c>
      <c r="C22" s="4303"/>
      <c r="D22" s="4303"/>
      <c r="E22" s="4389" t="s">
        <v>3617</v>
      </c>
      <c r="F22" s="4341"/>
      <c r="G22" s="4341"/>
      <c r="H22" s="4282"/>
      <c r="I22" s="4293" t="s">
        <v>3618</v>
      </c>
      <c r="J22" s="4303"/>
      <c r="K22" s="4406" t="e">
        <f>Requested_Tier</f>
        <v>#NAME?</v>
      </c>
      <c r="L22" s="4389" t="s">
        <v>269</v>
      </c>
      <c r="M22" s="4407"/>
      <c r="N22" s="6"/>
      <c r="O22" s="6"/>
      <c r="P22" s="6"/>
      <c r="Q22" s="4279"/>
      <c r="R22" s="6"/>
      <c r="S22" s="6"/>
      <c r="T22" s="6"/>
      <c r="U22" s="6"/>
      <c r="V22" s="6"/>
      <c r="W22" s="6"/>
      <c r="X22" s="6"/>
      <c r="Y22" s="4408"/>
      <c r="Z22" s="4408"/>
      <c r="AA22" s="4408"/>
      <c r="AB22" s="4402"/>
      <c r="AC22" s="4402"/>
      <c r="AD22" s="4402"/>
      <c r="AE22" s="4402"/>
      <c r="AF22" s="4402"/>
      <c r="AG22" s="4409"/>
      <c r="AH22" s="4409"/>
      <c r="AI22" s="4410"/>
      <c r="AJ22" s="4411"/>
      <c r="AK22" s="4410"/>
      <c r="AL22" s="4411"/>
    </row>
    <row r="23" ht="19.5" customHeight="1">
      <c r="A23" s="6"/>
      <c r="B23" s="4303" t="s">
        <v>3619</v>
      </c>
      <c r="C23" s="6"/>
      <c r="D23" s="4282"/>
      <c r="E23" s="4412" t="s">
        <v>188</v>
      </c>
      <c r="F23" s="4413"/>
      <c r="G23" s="4413"/>
      <c r="H23" s="6"/>
      <c r="I23" s="4293" t="s">
        <v>3620</v>
      </c>
      <c r="J23" s="4282"/>
      <c r="K23" s="4414" t="e">
        <f>IF(Is_Fixed,GuarantyFee,SARMGuarantyFee)</f>
        <v>#NAME?</v>
      </c>
      <c r="L23" s="4415"/>
      <c r="M23" s="4361"/>
      <c r="N23" s="6"/>
      <c r="O23" s="6"/>
      <c r="P23" s="6"/>
      <c r="Q23" s="4279"/>
      <c r="R23" s="6"/>
      <c r="S23" s="6"/>
      <c r="T23" s="6"/>
      <c r="U23" s="6"/>
      <c r="V23" s="6"/>
      <c r="W23" s="6"/>
      <c r="X23" s="6"/>
      <c r="Y23" s="4416" t="e">
        <f t="shared" si="1" ref="Y23:Y37">Y24+0.0001</f>
        <v>#NAME?</v>
      </c>
      <c r="Z23" s="4417" t="e">
        <f t="shared" si="2" ref="Z23:Z53">(PMT(Y23/12,$E$17,-1))*12</f>
        <v>#NAME?</v>
      </c>
      <c r="AA23" s="4418" t="e">
        <f t="shared" si="3" ref="AA23:AA53">MIN(AG23:AL23)</f>
        <v>#NAME?</v>
      </c>
      <c r="AB23" s="4313"/>
      <c r="AC23" s="4313"/>
      <c r="AD23" s="4313"/>
      <c r="AE23" s="4313"/>
      <c r="AF23" s="4313"/>
      <c r="AG23" s="4419">
        <f>TradeSheet_MaxApprovedLoanAmount</f>
        <v>0</v>
      </c>
      <c r="AH23" s="4419">
        <f>UW_Value*Requested_LTV</f>
        <v>-25814283.15</v>
      </c>
      <c r="AI23" s="4420" t="e">
        <f t="shared" si="5" ref="AI23:AI53">IF(Is_SARM,ROUNDDOWN(IF($E$13="First",$AA$13/$AA$9/$AA$16,$AJ$10/$AA$9),-3),ROUNDDOWN(IF($E$13="First",$AA$13/Z23/$AA$16,$AJ$10/Z23),-3))</f>
        <v>#NAME?</v>
      </c>
      <c r="AJ23" s="4421" t="e">
        <f>IF(OR($K$22=3,$K$22=4),"N/A",ROUNDDOWN(IF($E$13="First",$AA$13/$AA$11/$AA$18,$AJ$12/$AA$11),-3))</f>
        <v>#NAME?</v>
      </c>
      <c r="AK23" s="4420" t="str">
        <f t="shared" si="6" ref="AK23:AK53">IF(Is_SARM,ROUNDDOWN(IF($E$13="First",$AA$13/Z23/$AD$16,$AL$10/Z23),-3),"N/A")</f>
        <v>N/A</v>
      </c>
      <c r="AL23" s="4422" t="str">
        <f>IF(Is_SARM,ROUNDDOWN(IF($E$13="First",$AA$13/$AD$11/$AD$18,$AL$12/$AD$11),-3),"N/A")</f>
        <v>N/A</v>
      </c>
    </row>
    <row r="24" ht="19.5" customHeight="1">
      <c r="A24" s="6"/>
      <c r="B24" s="4303" t="s">
        <v>3621</v>
      </c>
      <c r="C24" s="4423"/>
      <c r="D24" s="4303"/>
      <c r="E24" s="4424" t="s">
        <v>388</v>
      </c>
      <c r="F24" s="4413"/>
      <c r="G24" s="4413"/>
      <c r="H24" s="6"/>
      <c r="I24" s="4293" t="s">
        <v>3622</v>
      </c>
      <c r="J24" s="4282"/>
      <c r="K24" s="4414" t="e">
        <f>IF(Is_Fixed,ServicingFee,SARMServicingFee)</f>
        <v>#NAME?</v>
      </c>
      <c r="L24" s="4415"/>
      <c r="M24" s="4361"/>
      <c r="N24" s="6"/>
      <c r="O24" s="6"/>
      <c r="P24" s="6"/>
      <c r="Q24" s="4279"/>
      <c r="R24" s="6"/>
      <c r="S24" s="6"/>
      <c r="T24" s="6"/>
      <c r="U24" s="6"/>
      <c r="V24" s="6"/>
      <c r="W24" s="6"/>
      <c r="X24" s="6"/>
      <c r="Y24" s="4416" t="e">
        <f t="shared" si="1"/>
        <v>#NAME?</v>
      </c>
      <c r="Z24" s="4417" t="e">
        <f t="shared" si="2"/>
        <v>#NAME?</v>
      </c>
      <c r="AA24" s="4418" t="e">
        <f t="shared" si="3"/>
        <v>#NAME?</v>
      </c>
      <c r="AB24" s="4313"/>
      <c r="AC24" s="4313"/>
      <c r="AD24" s="4313"/>
      <c r="AE24" s="4313"/>
      <c r="AF24" s="4313"/>
      <c r="AG24" s="4425">
        <f t="shared" si="4" ref="AG24:AH53">AG$23</f>
        <v>0</v>
      </c>
      <c r="AH24" s="4425">
        <f t="shared" si="4"/>
        <v>-25814283.15</v>
      </c>
      <c r="AI24" s="4426" t="e">
        <f t="shared" si="5"/>
        <v>#NAME?</v>
      </c>
      <c r="AJ24" s="4332" t="e">
        <f t="shared" si="7" ref="AJ24:AJ53">$AJ$23</f>
        <v>#NAME?</v>
      </c>
      <c r="AK24" s="4426" t="str">
        <f t="shared" si="6"/>
        <v>N/A</v>
      </c>
      <c r="AL24" s="4427" t="str">
        <f t="shared" si="8" ref="AL24:AL53">$AL$23</f>
        <v>N/A</v>
      </c>
    </row>
    <row r="25" ht="19.5" customHeight="1">
      <c r="A25" s="6"/>
      <c r="B25" s="4423" t="s">
        <v>3623</v>
      </c>
      <c r="C25" s="4423"/>
      <c r="D25" s="4303"/>
      <c r="E25" s="4428">
        <f>TotalUnits</f>
        <v>85</v>
      </c>
      <c r="F25" s="4429">
        <v>1</v>
      </c>
      <c r="G25" s="4430"/>
      <c r="H25" s="6"/>
      <c r="I25" s="4293" t="s">
        <v>3624</v>
      </c>
      <c r="J25" s="6"/>
      <c r="K25" s="4431" t="e">
        <f>+K23+K24</f>
        <v>#NAME?</v>
      </c>
      <c r="L25" s="4415"/>
      <c r="M25" s="4361"/>
      <c r="N25" s="6"/>
      <c r="O25" s="6"/>
      <c r="P25" s="6"/>
      <c r="Q25" s="4279"/>
      <c r="R25" s="6"/>
      <c r="S25" s="6"/>
      <c r="T25" s="6"/>
      <c r="U25" s="6"/>
      <c r="V25" s="6"/>
      <c r="W25" s="6"/>
      <c r="X25" s="6"/>
      <c r="Y25" s="4416" t="e">
        <f t="shared" si="1"/>
        <v>#NAME?</v>
      </c>
      <c r="Z25" s="4417" t="e">
        <f t="shared" si="2"/>
        <v>#NAME?</v>
      </c>
      <c r="AA25" s="4418" t="e">
        <f t="shared" si="3"/>
        <v>#NAME?</v>
      </c>
      <c r="AB25" s="4313"/>
      <c r="AC25" s="4313"/>
      <c r="AD25" s="4313"/>
      <c r="AE25" s="4313"/>
      <c r="AF25" s="4313"/>
      <c r="AG25" s="4425">
        <f t="shared" si="4"/>
        <v>0</v>
      </c>
      <c r="AH25" s="4425">
        <f t="shared" si="4"/>
        <v>-25814283.15</v>
      </c>
      <c r="AI25" s="4426" t="e">
        <f t="shared" si="5"/>
        <v>#NAME?</v>
      </c>
      <c r="AJ25" s="4332" t="e">
        <f t="shared" si="7"/>
        <v>#NAME?</v>
      </c>
      <c r="AK25" s="4426" t="str">
        <f t="shared" si="6"/>
        <v>N/A</v>
      </c>
      <c r="AL25" s="4427" t="str">
        <f t="shared" si="8"/>
        <v>N/A</v>
      </c>
    </row>
    <row r="26" ht="19.5" customHeight="1">
      <c r="A26" s="6"/>
      <c r="B26" s="4293" t="s">
        <v>2955</v>
      </c>
      <c r="C26" s="6"/>
      <c r="D26" s="4282"/>
      <c r="E26" s="4432" cm="1">
        <f t="array" ref="E26">_xlfn.LET(_xlpm.is_near_stabilized_property,B174="Yes",_xlpm.rent_roll_physical_occupancy,'Rent Roll'!D137,IF(_xlpm.is_near_stabilized_property,1-Sops_UW_PhyVac_Perc,_xlpm.rent_roll_physical_occupancy))</f>
        <v>0.9504950495049505</v>
      </c>
      <c r="F26" s="4433"/>
      <c r="G26" s="4433"/>
      <c r="H26" s="6"/>
      <c r="I26" s="4293" t="s">
        <v>3625</v>
      </c>
      <c r="J26" s="6"/>
      <c r="K26" s="4434">
        <f>SOps_UnderwrittenNCF</f>
        <v>-1720952.21</v>
      </c>
      <c r="L26" s="4407"/>
      <c r="M26" s="4361"/>
      <c r="N26" s="6"/>
      <c r="O26" s="6"/>
      <c r="P26" s="6"/>
      <c r="Q26" s="4279"/>
      <c r="R26" s="6"/>
      <c r="S26" s="6"/>
      <c r="T26" s="6"/>
      <c r="U26" s="6"/>
      <c r="V26" s="6"/>
      <c r="W26" s="6"/>
      <c r="X26" s="6"/>
      <c r="Y26" s="4416" t="e">
        <f t="shared" si="1"/>
        <v>#NAME?</v>
      </c>
      <c r="Z26" s="4417" t="e">
        <f t="shared" si="2"/>
        <v>#NAME?</v>
      </c>
      <c r="AA26" s="4418" t="e">
        <f t="shared" si="3"/>
        <v>#NAME?</v>
      </c>
      <c r="AB26" s="4313"/>
      <c r="AC26" s="4313"/>
      <c r="AD26" s="4313"/>
      <c r="AE26" s="4313"/>
      <c r="AF26" s="4313"/>
      <c r="AG26" s="4425">
        <f t="shared" si="4"/>
        <v>0</v>
      </c>
      <c r="AH26" s="4425">
        <f t="shared" si="4"/>
        <v>-25814283.15</v>
      </c>
      <c r="AI26" s="4426" t="e">
        <f t="shared" si="5"/>
        <v>#NAME?</v>
      </c>
      <c r="AJ26" s="4332" t="e">
        <f t="shared" si="7"/>
        <v>#NAME?</v>
      </c>
      <c r="AK26" s="4426" t="str">
        <f t="shared" si="6"/>
        <v>N/A</v>
      </c>
      <c r="AL26" s="4427" t="str">
        <f t="shared" si="8"/>
        <v>N/A</v>
      </c>
    </row>
    <row r="27" ht="19.5" customHeight="1">
      <c r="A27" s="6"/>
      <c r="B27" s="4293" t="s">
        <v>3626</v>
      </c>
      <c r="C27" s="6"/>
      <c r="D27" s="4282"/>
      <c r="E27" s="4302" t="str">
        <f>YearBuilt_DataPageTab</f>
        <v>XXXX</v>
      </c>
      <c r="F27" s="4435" t="s">
        <v>188</v>
      </c>
      <c r="G27" s="4361"/>
      <c r="H27" s="6"/>
      <c r="I27" s="4293" t="s">
        <v>3627</v>
      </c>
      <c r="J27" s="6"/>
      <c r="K27" s="4436" cm="1" t="e">
        <f t="array" ref="K27">IF(Is_Fixed,Tier_Min_Actual_UW_DSCR,Variable_Min_Pay_UW_DSCR)</f>
        <v>#NAME?</v>
      </c>
      <c r="L27" s="4437"/>
      <c r="M27" s="4361"/>
      <c r="N27" s="6"/>
      <c r="O27" s="6"/>
      <c r="P27" s="6"/>
      <c r="Q27" s="4279"/>
      <c r="R27" s="6"/>
      <c r="S27" s="6"/>
      <c r="T27" s="6"/>
      <c r="U27" s="6"/>
      <c r="V27" s="6"/>
      <c r="W27" s="6"/>
      <c r="X27" s="6"/>
      <c r="Y27" s="4416" t="e">
        <f t="shared" si="1"/>
        <v>#NAME?</v>
      </c>
      <c r="Z27" s="4417" t="e">
        <f t="shared" si="2"/>
        <v>#NAME?</v>
      </c>
      <c r="AA27" s="4418" t="e">
        <f t="shared" si="3"/>
        <v>#NAME?</v>
      </c>
      <c r="AB27" s="4313"/>
      <c r="AC27" s="4313"/>
      <c r="AD27" s="4313"/>
      <c r="AE27" s="4313"/>
      <c r="AF27" s="4313"/>
      <c r="AG27" s="4425">
        <f t="shared" si="4"/>
        <v>0</v>
      </c>
      <c r="AH27" s="4425">
        <f t="shared" si="4"/>
        <v>-25814283.15</v>
      </c>
      <c r="AI27" s="4426" t="e">
        <f t="shared" si="5"/>
        <v>#NAME?</v>
      </c>
      <c r="AJ27" s="4332" t="e">
        <f t="shared" si="7"/>
        <v>#NAME?</v>
      </c>
      <c r="AK27" s="4426" t="str">
        <f t="shared" si="6"/>
        <v>N/A</v>
      </c>
      <c r="AL27" s="4427" t="str">
        <f t="shared" si="8"/>
        <v>N/A</v>
      </c>
    </row>
    <row r="28" ht="19.5" customHeight="1">
      <c r="A28" s="6"/>
      <c r="B28" s="4438" t="s">
        <v>3628</v>
      </c>
      <c r="C28" s="4423"/>
      <c r="D28" s="4303"/>
      <c r="E28" s="4439" t="s">
        <v>864</v>
      </c>
      <c r="F28" s="4440"/>
      <c r="G28" s="4440"/>
      <c r="H28" s="6"/>
      <c r="I28" s="4293" t="s">
        <v>3629</v>
      </c>
      <c r="J28" s="4282"/>
      <c r="K28" s="4436">
        <f>IF(Interest_Rate_Type="Fixed",Actual_UW_DSCR,"Manual Entry")</f>
        <v>0</v>
      </c>
      <c r="L28" s="4436" t="e">
        <f>IF(InterestOnly&gt;0,IF(Interest_Rate_Type="Fixed",IO_UW_DSCR,"Manual Entry"),"N/A")</f>
        <v>#NAME?</v>
      </c>
      <c r="M28" s="4361"/>
      <c r="N28" s="6"/>
      <c r="O28" s="6"/>
      <c r="P28" s="6"/>
      <c r="Q28" s="4279"/>
      <c r="R28" s="6"/>
      <c r="S28" s="6"/>
      <c r="T28" s="6"/>
      <c r="U28" s="6"/>
      <c r="V28" s="6"/>
      <c r="W28" s="6"/>
      <c r="X28" s="6"/>
      <c r="Y28" s="4416" t="e">
        <f t="shared" si="1"/>
        <v>#NAME?</v>
      </c>
      <c r="Z28" s="4417" t="e">
        <f t="shared" si="2"/>
        <v>#NAME?</v>
      </c>
      <c r="AA28" s="4418" t="e">
        <f t="shared" si="3"/>
        <v>#NAME?</v>
      </c>
      <c r="AB28" s="4313"/>
      <c r="AC28" s="4313"/>
      <c r="AD28" s="4313"/>
      <c r="AE28" s="4313"/>
      <c r="AF28" s="4313"/>
      <c r="AG28" s="4425">
        <f t="shared" si="4"/>
        <v>0</v>
      </c>
      <c r="AH28" s="4425">
        <f t="shared" si="4"/>
        <v>-25814283.15</v>
      </c>
      <c r="AI28" s="4426" t="e">
        <f t="shared" si="5"/>
        <v>#NAME?</v>
      </c>
      <c r="AJ28" s="4332" t="e">
        <f t="shared" si="7"/>
        <v>#NAME?</v>
      </c>
      <c r="AK28" s="4426" t="str">
        <f t="shared" si="6"/>
        <v>N/A</v>
      </c>
      <c r="AL28" s="4427" t="str">
        <f t="shared" si="8"/>
        <v>N/A</v>
      </c>
    </row>
    <row r="29" ht="19.5" customHeight="1">
      <c r="A29" s="6"/>
      <c r="B29" s="4303" t="s">
        <v>3630</v>
      </c>
      <c r="C29" s="4423"/>
      <c r="D29" s="4303"/>
      <c r="E29" s="4441" t="s">
        <v>174</v>
      </c>
      <c r="F29" s="4442"/>
      <c r="G29" s="4442"/>
      <c r="H29" s="6"/>
      <c r="I29" s="4293" t="s">
        <v>3631</v>
      </c>
      <c r="J29" s="6"/>
      <c r="K29" s="4434">
        <f>UW_Value</f>
        <v>-34419044.199999996</v>
      </c>
      <c r="L29" s="4407"/>
      <c r="M29" s="4361"/>
      <c r="N29" s="6"/>
      <c r="O29" s="6"/>
      <c r="P29" s="6"/>
      <c r="Q29" s="4279"/>
      <c r="R29" s="6"/>
      <c r="S29" s="6"/>
      <c r="T29" s="6"/>
      <c r="U29" s="6"/>
      <c r="V29" s="6"/>
      <c r="W29" s="6"/>
      <c r="X29" s="6"/>
      <c r="Y29" s="4416" t="e">
        <f t="shared" si="1"/>
        <v>#NAME?</v>
      </c>
      <c r="Z29" s="4417" t="e">
        <f t="shared" si="2"/>
        <v>#NAME?</v>
      </c>
      <c r="AA29" s="4418" t="e">
        <f t="shared" si="3"/>
        <v>#NAME?</v>
      </c>
      <c r="AB29" s="4313"/>
      <c r="AC29" s="4313"/>
      <c r="AD29" s="4313"/>
      <c r="AE29" s="4313"/>
      <c r="AF29" s="4313"/>
      <c r="AG29" s="4425">
        <f t="shared" si="4"/>
        <v>0</v>
      </c>
      <c r="AH29" s="4425">
        <f t="shared" si="4"/>
        <v>-25814283.15</v>
      </c>
      <c r="AI29" s="4426" t="e">
        <f t="shared" si="5"/>
        <v>#NAME?</v>
      </c>
      <c r="AJ29" s="4332" t="e">
        <f t="shared" si="7"/>
        <v>#NAME?</v>
      </c>
      <c r="AK29" s="4426" t="str">
        <f t="shared" si="6"/>
        <v>N/A</v>
      </c>
      <c r="AL29" s="4427" t="str">
        <f t="shared" si="8"/>
        <v>N/A</v>
      </c>
    </row>
    <row r="30" ht="19.5" customHeight="1">
      <c r="A30" s="6"/>
      <c r="B30" s="4293" t="s">
        <v>3632</v>
      </c>
      <c r="C30" s="6"/>
      <c r="D30" s="4282"/>
      <c r="E30" s="4443" t="s">
        <v>2186</v>
      </c>
      <c r="F30" s="4443"/>
      <c r="G30" s="4443"/>
      <c r="H30" s="6"/>
      <c r="I30" s="4303" t="s">
        <v>3633</v>
      </c>
      <c r="J30" s="6"/>
      <c r="K30" s="4444" t="s">
        <v>3634</v>
      </c>
      <c r="L30" s="4437"/>
      <c r="M30" s="4361"/>
      <c r="N30" s="6"/>
      <c r="O30" s="6"/>
      <c r="P30" s="6"/>
      <c r="Q30" s="4279"/>
      <c r="R30" s="6"/>
      <c r="S30" s="6"/>
      <c r="T30" s="6"/>
      <c r="U30" s="6"/>
      <c r="V30" s="6"/>
      <c r="W30" s="6"/>
      <c r="X30" s="6"/>
      <c r="Y30" s="4416" t="e">
        <f t="shared" si="1"/>
        <v>#NAME?</v>
      </c>
      <c r="Z30" s="4417" t="e">
        <f t="shared" si="2"/>
        <v>#NAME?</v>
      </c>
      <c r="AA30" s="4418" t="e">
        <f t="shared" si="3"/>
        <v>#NAME?</v>
      </c>
      <c r="AB30" s="4313"/>
      <c r="AC30" s="4313"/>
      <c r="AD30" s="4313"/>
      <c r="AE30" s="4313"/>
      <c r="AF30" s="4313"/>
      <c r="AG30" s="4425">
        <f t="shared" si="4"/>
        <v>0</v>
      </c>
      <c r="AH30" s="4425">
        <f t="shared" si="4"/>
        <v>-25814283.15</v>
      </c>
      <c r="AI30" s="4426" t="e">
        <f t="shared" si="5"/>
        <v>#NAME?</v>
      </c>
      <c r="AJ30" s="4332" t="e">
        <f t="shared" si="7"/>
        <v>#NAME?</v>
      </c>
      <c r="AK30" s="4426" t="str">
        <f t="shared" si="6"/>
        <v>N/A</v>
      </c>
      <c r="AL30" s="4427" t="str">
        <f t="shared" si="8"/>
        <v>N/A</v>
      </c>
    </row>
    <row r="31" ht="19.5" customHeight="1">
      <c r="A31" s="6"/>
      <c r="B31" s="4303" t="s">
        <v>3512</v>
      </c>
      <c r="C31" s="27"/>
      <c r="D31" s="4293"/>
      <c r="E31" s="4424" t="s">
        <v>451</v>
      </c>
      <c r="F31" s="4445"/>
      <c r="G31" s="4445"/>
      <c r="H31" s="6"/>
      <c r="I31" s="4293" t="s">
        <v>2141</v>
      </c>
      <c r="J31" s="4282"/>
      <c r="K31" s="4446">
        <f>Requested_LTV</f>
        <v>0.75</v>
      </c>
      <c r="L31" s="4446"/>
      <c r="M31" s="4361"/>
      <c r="N31" s="6"/>
      <c r="O31" s="6"/>
      <c r="P31" s="6"/>
      <c r="Q31" s="4279"/>
      <c r="R31" s="6"/>
      <c r="S31" s="6"/>
      <c r="T31" s="6"/>
      <c r="U31" s="6"/>
      <c r="V31" s="6"/>
      <c r="W31" s="6"/>
      <c r="X31" s="6"/>
      <c r="Y31" s="4416" t="e">
        <f t="shared" si="1"/>
        <v>#NAME?</v>
      </c>
      <c r="Z31" s="4417" t="e">
        <f t="shared" si="2"/>
        <v>#NAME?</v>
      </c>
      <c r="AA31" s="4418" t="e">
        <f t="shared" si="3"/>
        <v>#NAME?</v>
      </c>
      <c r="AB31" s="4313"/>
      <c r="AC31" s="4313"/>
      <c r="AD31" s="4313"/>
      <c r="AE31" s="4313"/>
      <c r="AF31" s="4313"/>
      <c r="AG31" s="4425">
        <f t="shared" si="4"/>
        <v>0</v>
      </c>
      <c r="AH31" s="4425">
        <f t="shared" si="4"/>
        <v>-25814283.15</v>
      </c>
      <c r="AI31" s="4426" t="e">
        <f t="shared" si="5"/>
        <v>#NAME?</v>
      </c>
      <c r="AJ31" s="4332" t="e">
        <f t="shared" si="7"/>
        <v>#NAME?</v>
      </c>
      <c r="AK31" s="4426" t="str">
        <f t="shared" si="6"/>
        <v>N/A</v>
      </c>
      <c r="AL31" s="4427" t="str">
        <f t="shared" si="8"/>
        <v>N/A</v>
      </c>
    </row>
    <row r="32" ht="19.5" customHeight="1">
      <c r="A32" s="6"/>
      <c r="B32" s="4303" t="s">
        <v>3525</v>
      </c>
      <c r="C32" s="27"/>
      <c r="D32" s="4293"/>
      <c r="E32" s="4351" t="s">
        <v>174</v>
      </c>
      <c r="F32" s="4447"/>
      <c r="G32" s="4447"/>
      <c r="H32" s="6"/>
      <c r="I32" s="4293" t="s">
        <v>3635</v>
      </c>
      <c r="J32" s="6"/>
      <c r="K32" s="4446">
        <f>LTV</f>
        <v>0</v>
      </c>
      <c r="L32" s="4437"/>
      <c r="M32" s="4361"/>
      <c r="N32" s="6"/>
      <c r="O32" s="6"/>
      <c r="P32" s="6"/>
      <c r="Q32" s="4279"/>
      <c r="R32" s="6"/>
      <c r="S32" s="6"/>
      <c r="T32" s="6"/>
      <c r="U32" s="6"/>
      <c r="V32" s="6"/>
      <c r="W32" s="6"/>
      <c r="X32" s="6"/>
      <c r="Y32" s="4416" t="e">
        <f t="shared" si="1"/>
        <v>#NAME?</v>
      </c>
      <c r="Z32" s="4417" t="e">
        <f t="shared" si="2"/>
        <v>#NAME?</v>
      </c>
      <c r="AA32" s="4418" t="e">
        <f t="shared" si="3"/>
        <v>#NAME?</v>
      </c>
      <c r="AB32" s="4313"/>
      <c r="AC32" s="4313"/>
      <c r="AD32" s="4313"/>
      <c r="AE32" s="4313"/>
      <c r="AF32" s="4313"/>
      <c r="AG32" s="4425">
        <f t="shared" si="4"/>
        <v>0</v>
      </c>
      <c r="AH32" s="4425">
        <f t="shared" si="4"/>
        <v>-25814283.15</v>
      </c>
      <c r="AI32" s="4426" t="e">
        <f t="shared" si="5"/>
        <v>#NAME?</v>
      </c>
      <c r="AJ32" s="4332" t="e">
        <f t="shared" si="7"/>
        <v>#NAME?</v>
      </c>
      <c r="AK32" s="4426" t="str">
        <f t="shared" si="6"/>
        <v>N/A</v>
      </c>
      <c r="AL32" s="4427" t="str">
        <f t="shared" si="8"/>
        <v>N/A</v>
      </c>
    </row>
    <row r="33" ht="19.5" customHeight="1">
      <c r="A33" s="6"/>
      <c r="B33" s="4448"/>
      <c r="C33" s="6"/>
      <c r="D33" s="4282"/>
      <c r="E33" s="4449"/>
      <c r="F33" s="4450"/>
      <c r="G33" s="4450"/>
      <c r="H33" s="6"/>
      <c r="I33" s="4303" t="s">
        <v>3636</v>
      </c>
      <c r="J33" s="4423"/>
      <c r="K33" s="4451">
        <v>0</v>
      </c>
      <c r="L33" s="4452"/>
      <c r="M33" s="4407"/>
      <c r="N33" s="6"/>
      <c r="O33" s="6"/>
      <c r="P33" s="6"/>
      <c r="Q33" s="4279"/>
      <c r="R33" s="6"/>
      <c r="S33" s="6"/>
      <c r="T33" s="6"/>
      <c r="U33" s="6"/>
      <c r="V33" s="6"/>
      <c r="W33" s="6"/>
      <c r="X33" s="6"/>
      <c r="Y33" s="4416" t="e">
        <f t="shared" si="1"/>
        <v>#NAME?</v>
      </c>
      <c r="Z33" s="4417" t="e">
        <f t="shared" si="2"/>
        <v>#NAME?</v>
      </c>
      <c r="AA33" s="4418" t="e">
        <f t="shared" si="3"/>
        <v>#NAME?</v>
      </c>
      <c r="AB33" s="4313"/>
      <c r="AC33" s="4313"/>
      <c r="AD33" s="4313"/>
      <c r="AE33" s="4313"/>
      <c r="AF33" s="4313"/>
      <c r="AG33" s="4425">
        <f t="shared" si="4"/>
        <v>0</v>
      </c>
      <c r="AH33" s="4425">
        <f t="shared" si="4"/>
        <v>-25814283.15</v>
      </c>
      <c r="AI33" s="4426" t="e">
        <f t="shared" si="5"/>
        <v>#NAME?</v>
      </c>
      <c r="AJ33" s="4332" t="e">
        <f t="shared" si="7"/>
        <v>#NAME?</v>
      </c>
      <c r="AK33" s="4426" t="str">
        <f t="shared" si="6"/>
        <v>N/A</v>
      </c>
      <c r="AL33" s="4427" t="str">
        <f t="shared" si="8"/>
        <v>N/A</v>
      </c>
    </row>
    <row r="34" ht="19.5" customHeight="1">
      <c r="A34" s="6"/>
      <c r="B34" s="4289" t="s">
        <v>3637</v>
      </c>
      <c r="C34" s="6"/>
      <c r="D34" s="4282"/>
      <c r="E34" s="4453" t="s">
        <v>3638</v>
      </c>
      <c r="F34" s="4454"/>
      <c r="G34" s="4455" t="s">
        <v>3639</v>
      </c>
      <c r="H34" s="6"/>
      <c r="I34" s="4303" t="s">
        <v>3640</v>
      </c>
      <c r="J34" s="4423"/>
      <c r="K34" s="4456">
        <v>0</v>
      </c>
      <c r="L34" s="4457" t="s">
        <v>188</v>
      </c>
      <c r="M34" s="4407"/>
      <c r="O34" s="6"/>
      <c r="P34" s="6"/>
      <c r="Q34" s="4279"/>
      <c r="R34" s="6"/>
      <c r="S34" s="6"/>
      <c r="T34" s="6"/>
      <c r="U34" s="6"/>
      <c r="V34" s="6"/>
      <c r="W34" s="6"/>
      <c r="X34" s="6"/>
      <c r="Y34" s="4416" t="e">
        <f t="shared" si="1"/>
        <v>#NAME?</v>
      </c>
      <c r="Z34" s="4417" t="e">
        <f t="shared" si="2"/>
        <v>#NAME?</v>
      </c>
      <c r="AA34" s="4418" t="e">
        <f t="shared" si="3"/>
        <v>#NAME?</v>
      </c>
      <c r="AB34" s="4313"/>
      <c r="AC34" s="4313"/>
      <c r="AD34" s="4313"/>
      <c r="AE34" s="4313"/>
      <c r="AF34" s="4313"/>
      <c r="AG34" s="4425">
        <f t="shared" si="4"/>
        <v>0</v>
      </c>
      <c r="AH34" s="4425">
        <f t="shared" si="4"/>
        <v>-25814283.15</v>
      </c>
      <c r="AI34" s="4426" t="e">
        <f t="shared" si="5"/>
        <v>#NAME?</v>
      </c>
      <c r="AJ34" s="4332" t="e">
        <f t="shared" si="7"/>
        <v>#NAME?</v>
      </c>
      <c r="AK34" s="4426" t="str">
        <f t="shared" si="6"/>
        <v>N/A</v>
      </c>
      <c r="AL34" s="4427" t="str">
        <f t="shared" si="8"/>
        <v>N/A</v>
      </c>
    </row>
    <row r="35" ht="19.5" customHeight="1">
      <c r="A35" s="6"/>
      <c r="B35" s="6" t="s">
        <v>3641</v>
      </c>
      <c r="C35" s="6"/>
      <c r="D35" s="6"/>
      <c r="E35" s="4458">
        <v>0</v>
      </c>
      <c r="F35" s="6"/>
      <c r="G35" s="4458">
        <f>DataPage_PcntOfUnits_LTE_50PcntOfAMI</f>
        <v>0</v>
      </c>
      <c r="H35" s="6"/>
      <c r="I35" s="4303" t="s">
        <v>3642</v>
      </c>
      <c r="J35" s="6"/>
      <c r="K35" s="4351">
        <v>0</v>
      </c>
      <c r="L35" s="4459">
        <v>0</v>
      </c>
      <c r="M35" s="4460"/>
      <c r="O35" s="6"/>
      <c r="P35" s="6"/>
      <c r="Q35" s="4279"/>
      <c r="R35" s="6"/>
      <c r="S35" s="6"/>
      <c r="T35" s="6"/>
      <c r="U35" s="6"/>
      <c r="V35" s="6"/>
      <c r="W35" s="6"/>
      <c r="X35" s="6"/>
      <c r="Y35" s="4416" t="e">
        <f t="shared" si="1"/>
        <v>#NAME?</v>
      </c>
      <c r="Z35" s="4417" t="e">
        <f t="shared" si="2"/>
        <v>#NAME?</v>
      </c>
      <c r="AA35" s="4418" t="e">
        <f t="shared" si="3"/>
        <v>#NAME?</v>
      </c>
      <c r="AB35" s="4313"/>
      <c r="AC35" s="4313"/>
      <c r="AD35" s="4313"/>
      <c r="AE35" s="4313"/>
      <c r="AF35" s="4313"/>
      <c r="AG35" s="4425">
        <f t="shared" si="4"/>
        <v>0</v>
      </c>
      <c r="AH35" s="4425">
        <f t="shared" si="4"/>
        <v>-25814283.15</v>
      </c>
      <c r="AI35" s="4426" t="e">
        <f t="shared" si="5"/>
        <v>#NAME?</v>
      </c>
      <c r="AJ35" s="4332" t="e">
        <f t="shared" si="7"/>
        <v>#NAME?</v>
      </c>
      <c r="AK35" s="4426" t="str">
        <f t="shared" si="6"/>
        <v>N/A</v>
      </c>
      <c r="AL35" s="4427" t="str">
        <f t="shared" si="8"/>
        <v>N/A</v>
      </c>
    </row>
    <row r="36" ht="19.5" customHeight="1">
      <c r="A36" s="6"/>
      <c r="B36" s="6" t="s">
        <v>3643</v>
      </c>
      <c r="C36" s="6"/>
      <c r="D36" s="6"/>
      <c r="E36" s="4458">
        <v>0</v>
      </c>
      <c r="F36" s="6"/>
      <c r="G36" s="4458">
        <f>DataPage_PcntOfUnits_LTE_60PcntOfAMI-DataPage_PcntOfUnits_LTE_50PcntOfAMI</f>
        <v>0</v>
      </c>
      <c r="H36" s="6"/>
      <c r="I36" s="6"/>
      <c r="J36" s="6"/>
      <c r="K36" s="6"/>
      <c r="L36" s="6"/>
      <c r="M36" s="6"/>
      <c r="O36" s="6"/>
      <c r="P36" s="6"/>
      <c r="Q36" s="4279"/>
      <c r="R36" s="6"/>
      <c r="S36" s="6"/>
      <c r="T36" s="6"/>
      <c r="U36" s="6"/>
      <c r="V36" s="6"/>
      <c r="W36" s="6"/>
      <c r="X36" s="6"/>
      <c r="Y36" s="4416" t="e">
        <f t="shared" si="1"/>
        <v>#NAME?</v>
      </c>
      <c r="Z36" s="4417" t="e">
        <f t="shared" si="2"/>
        <v>#NAME?</v>
      </c>
      <c r="AA36" s="4418" t="e">
        <f t="shared" si="3"/>
        <v>#NAME?</v>
      </c>
      <c r="AB36" s="4313"/>
      <c r="AC36" s="4313"/>
      <c r="AD36" s="4313"/>
      <c r="AE36" s="4313"/>
      <c r="AF36" s="4313"/>
      <c r="AG36" s="4425">
        <f t="shared" si="4"/>
        <v>0</v>
      </c>
      <c r="AH36" s="4425">
        <f t="shared" si="4"/>
        <v>-25814283.15</v>
      </c>
      <c r="AI36" s="4426" t="e">
        <f t="shared" si="5"/>
        <v>#NAME?</v>
      </c>
      <c r="AJ36" s="4332" t="e">
        <f t="shared" si="7"/>
        <v>#NAME?</v>
      </c>
      <c r="AK36" s="4426" t="str">
        <f t="shared" si="6"/>
        <v>N/A</v>
      </c>
      <c r="AL36" s="4427" t="str">
        <f t="shared" si="8"/>
        <v>N/A</v>
      </c>
    </row>
    <row r="37" ht="19.5" customHeight="1">
      <c r="A37" s="6"/>
      <c r="B37" s="6" t="s">
        <v>3644</v>
      </c>
      <c r="C37" s="6"/>
      <c r="D37" s="6"/>
      <c r="E37" s="4458">
        <v>0</v>
      </c>
      <c r="F37" s="6"/>
      <c r="G37" s="4458">
        <f>DataPage_PcntOfUnits_LTE_80PcntOfAMI-DataPage_PcntOfUnits_LTE_60PcntOfAMI</f>
        <v>0</v>
      </c>
      <c r="H37" s="6"/>
      <c r="I37" s="6"/>
      <c r="J37" s="6"/>
      <c r="K37" s="6"/>
      <c r="L37" s="6"/>
      <c r="M37" s="6"/>
      <c r="O37" s="6"/>
      <c r="P37" s="6"/>
      <c r="Q37" s="4279"/>
      <c r="R37" s="6"/>
      <c r="S37" s="6"/>
      <c r="T37" s="6"/>
      <c r="U37" s="6"/>
      <c r="V37" s="6"/>
      <c r="W37" s="6"/>
      <c r="X37" s="6"/>
      <c r="Y37" s="4416" t="e">
        <f t="shared" si="1"/>
        <v>#NAME?</v>
      </c>
      <c r="Z37" s="4417" t="e">
        <f t="shared" si="2"/>
        <v>#NAME?</v>
      </c>
      <c r="AA37" s="4418" t="e">
        <f t="shared" si="3"/>
        <v>#NAME?</v>
      </c>
      <c r="AB37" s="4313"/>
      <c r="AC37" s="4313"/>
      <c r="AD37" s="4313"/>
      <c r="AE37" s="4313"/>
      <c r="AF37" s="4313"/>
      <c r="AG37" s="4425">
        <f t="shared" si="4"/>
        <v>0</v>
      </c>
      <c r="AH37" s="4425">
        <f t="shared" si="4"/>
        <v>-25814283.15</v>
      </c>
      <c r="AI37" s="4426" t="e">
        <f t="shared" si="5"/>
        <v>#NAME?</v>
      </c>
      <c r="AJ37" s="4332" t="e">
        <f t="shared" si="7"/>
        <v>#NAME?</v>
      </c>
      <c r="AK37" s="4426" t="str">
        <f t="shared" si="6"/>
        <v>N/A</v>
      </c>
      <c r="AL37" s="4427" t="str">
        <f t="shared" si="8"/>
        <v>N/A</v>
      </c>
    </row>
    <row r="38" ht="19.5" customHeight="1">
      <c r="A38" s="6"/>
      <c r="B38" s="6" t="s">
        <v>3645</v>
      </c>
      <c r="C38" s="6"/>
      <c r="D38" s="6"/>
      <c r="E38" s="4458">
        <v>0</v>
      </c>
      <c r="F38" s="6"/>
      <c r="G38" s="4458">
        <f>DataPage_PcntOfUnits_LTE_100PcntOfAMI-DataPage_PcntOfUnits_LTE_80PcntOfAMI</f>
        <v>0</v>
      </c>
      <c r="H38" s="6"/>
      <c r="I38" s="6"/>
      <c r="J38" s="6"/>
      <c r="K38" s="6"/>
      <c r="L38" s="6"/>
      <c r="M38" s="6"/>
      <c r="O38" s="6"/>
      <c r="P38" s="6"/>
      <c r="Q38" s="4279"/>
      <c r="R38" s="6"/>
      <c r="S38" s="6"/>
      <c r="T38" s="6"/>
      <c r="U38" s="6"/>
      <c r="V38" s="6"/>
      <c r="W38" s="6"/>
      <c r="X38" s="6"/>
      <c r="Y38" s="4461" t="e">
        <f>AA5</f>
        <v>#NAME?</v>
      </c>
      <c r="Z38" s="4462" t="e">
        <f t="shared" si="2"/>
        <v>#NAME?</v>
      </c>
      <c r="AA38" s="4463" t="e">
        <f t="shared" si="3"/>
        <v>#NAME?</v>
      </c>
      <c r="AB38" s="4313"/>
      <c r="AC38" s="4313"/>
      <c r="AD38" s="4313"/>
      <c r="AE38" s="4313"/>
      <c r="AF38" s="4313"/>
      <c r="AG38" s="4464">
        <f t="shared" si="4"/>
        <v>0</v>
      </c>
      <c r="AH38" s="4464">
        <f t="shared" si="4"/>
        <v>-25814283.15</v>
      </c>
      <c r="AI38" s="4465" t="e">
        <f t="shared" si="5"/>
        <v>#NAME?</v>
      </c>
      <c r="AJ38" s="4466" t="e">
        <f t="shared" si="7"/>
        <v>#NAME?</v>
      </c>
      <c r="AK38" s="4465" t="str">
        <f t="shared" si="6"/>
        <v>N/A</v>
      </c>
      <c r="AL38" s="4467" t="str">
        <f t="shared" si="8"/>
        <v>N/A</v>
      </c>
    </row>
    <row r="39" ht="19.5" customHeight="1">
      <c r="A39" s="6"/>
      <c r="B39" s="6" t="s">
        <v>3646</v>
      </c>
      <c r="C39" s="6"/>
      <c r="D39" s="6"/>
      <c r="E39" s="4458">
        <v>0</v>
      </c>
      <c r="F39" s="6"/>
      <c r="G39" s="4458">
        <f>DataPage_PcntOfUnits_LTE_120PcntOfAMI-DataPage_PcntOfUnits_LTE_100PcntOfAMI</f>
        <v>0</v>
      </c>
      <c r="H39" s="6"/>
      <c r="I39" s="6"/>
      <c r="J39" s="6"/>
      <c r="K39" s="6"/>
      <c r="L39" s="6"/>
      <c r="M39" s="6"/>
      <c r="O39" s="6"/>
      <c r="P39" s="6"/>
      <c r="Q39" s="4279"/>
      <c r="R39" s="6"/>
      <c r="S39" s="6"/>
      <c r="T39" s="6"/>
      <c r="U39" s="6"/>
      <c r="V39" s="6"/>
      <c r="W39" s="6"/>
      <c r="X39" s="6"/>
      <c r="Y39" s="4416" t="e">
        <f t="shared" si="9" ref="Y39:Y53">Y38-0.0001</f>
        <v>#NAME?</v>
      </c>
      <c r="Z39" s="4468" t="e">
        <f t="shared" si="2"/>
        <v>#NAME?</v>
      </c>
      <c r="AA39" s="4469" t="e">
        <f t="shared" si="3"/>
        <v>#NAME?</v>
      </c>
      <c r="AB39" s="4313"/>
      <c r="AC39" s="4313"/>
      <c r="AD39" s="4313"/>
      <c r="AE39" s="4313"/>
      <c r="AF39" s="4313"/>
      <c r="AG39" s="4425">
        <f t="shared" si="4"/>
        <v>0</v>
      </c>
      <c r="AH39" s="4425">
        <f t="shared" si="4"/>
        <v>-25814283.15</v>
      </c>
      <c r="AI39" s="4426" t="e">
        <f t="shared" si="5"/>
        <v>#NAME?</v>
      </c>
      <c r="AJ39" s="4332" t="e">
        <f t="shared" si="7"/>
        <v>#NAME?</v>
      </c>
      <c r="AK39" s="4426" t="str">
        <f t="shared" si="6"/>
        <v>N/A</v>
      </c>
      <c r="AL39" s="4427" t="str">
        <f t="shared" si="8"/>
        <v>N/A</v>
      </c>
    </row>
    <row r="40" ht="19.5" customHeight="1">
      <c r="A40" s="6"/>
      <c r="B40" s="6" t="s">
        <v>3647</v>
      </c>
      <c r="C40" s="6"/>
      <c r="D40" s="6"/>
      <c r="E40" s="4458">
        <v>0</v>
      </c>
      <c r="F40" s="6"/>
      <c r="G40" s="4458">
        <f>100%-DataPage_PcntOfUnits_LTE_120PcntOfAMI</f>
        <v>1</v>
      </c>
      <c r="H40" s="6" t="s">
        <v>3648</v>
      </c>
      <c r="I40" s="6"/>
      <c r="J40" s="6"/>
      <c r="K40" s="6"/>
      <c r="L40" s="6"/>
      <c r="M40" s="6"/>
      <c r="O40" s="6"/>
      <c r="P40" s="6"/>
      <c r="Q40" s="4279"/>
      <c r="R40" s="6"/>
      <c r="S40" s="6"/>
      <c r="T40" s="6"/>
      <c r="U40" s="6"/>
      <c r="V40" s="6"/>
      <c r="W40" s="6"/>
      <c r="X40" s="6"/>
      <c r="Y40" s="4416" t="e">
        <f t="shared" si="9"/>
        <v>#NAME?</v>
      </c>
      <c r="Z40" s="4468" t="e">
        <f t="shared" si="2"/>
        <v>#NAME?</v>
      </c>
      <c r="AA40" s="4469" t="e">
        <f t="shared" si="3"/>
        <v>#NAME?</v>
      </c>
      <c r="AB40" s="4313"/>
      <c r="AC40" s="4313"/>
      <c r="AD40" s="4313"/>
      <c r="AE40" s="4313"/>
      <c r="AF40" s="4313"/>
      <c r="AG40" s="4425">
        <f t="shared" si="4"/>
        <v>0</v>
      </c>
      <c r="AH40" s="4425">
        <f t="shared" si="4"/>
        <v>-25814283.15</v>
      </c>
      <c r="AI40" s="4426" t="e">
        <f t="shared" si="5"/>
        <v>#NAME?</v>
      </c>
      <c r="AJ40" s="4332" t="e">
        <f t="shared" si="7"/>
        <v>#NAME?</v>
      </c>
      <c r="AK40" s="4426" t="str">
        <f t="shared" si="6"/>
        <v>N/A</v>
      </c>
      <c r="AL40" s="4427" t="str">
        <f t="shared" si="8"/>
        <v>N/A</v>
      </c>
    </row>
    <row r="41" ht="19.5" customHeight="1">
      <c r="A41" s="6"/>
      <c r="B41" s="4448"/>
      <c r="C41" s="6"/>
      <c r="D41" s="4282"/>
      <c r="E41" s="4449"/>
      <c r="F41" s="4450"/>
      <c r="G41" s="4450"/>
      <c r="H41" s="6"/>
      <c r="I41" s="6"/>
      <c r="J41" s="6"/>
      <c r="K41" s="6"/>
      <c r="L41" s="6"/>
      <c r="M41" s="6"/>
      <c r="N41" s="6"/>
      <c r="O41" s="6"/>
      <c r="P41" s="6"/>
      <c r="Q41" s="4279"/>
      <c r="R41" s="6"/>
      <c r="S41" s="6"/>
      <c r="T41" s="6"/>
      <c r="U41" s="6"/>
      <c r="V41" s="6"/>
      <c r="W41" s="6"/>
      <c r="X41" s="6"/>
      <c r="Y41" s="4416" t="e">
        <f t="shared" si="9"/>
        <v>#NAME?</v>
      </c>
      <c r="Z41" s="4417" t="e">
        <f t="shared" si="2"/>
        <v>#NAME?</v>
      </c>
      <c r="AA41" s="4418" t="e">
        <f t="shared" si="3"/>
        <v>#NAME?</v>
      </c>
      <c r="AB41" s="4313"/>
      <c r="AC41" s="4313"/>
      <c r="AD41" s="4313"/>
      <c r="AE41" s="4313"/>
      <c r="AF41" s="4313"/>
      <c r="AG41" s="4425">
        <f t="shared" si="4"/>
        <v>0</v>
      </c>
      <c r="AH41" s="4425">
        <f t="shared" si="4"/>
        <v>-25814283.15</v>
      </c>
      <c r="AI41" s="4426" t="e">
        <f t="shared" si="5"/>
        <v>#NAME?</v>
      </c>
      <c r="AJ41" s="4332" t="e">
        <f t="shared" si="7"/>
        <v>#NAME?</v>
      </c>
      <c r="AK41" s="4426" t="str">
        <f t="shared" si="6"/>
        <v>N/A</v>
      </c>
      <c r="AL41" s="4427" t="str">
        <f t="shared" si="8"/>
        <v>N/A</v>
      </c>
    </row>
    <row r="42" ht="19.5" customHeight="1">
      <c r="A42" s="6"/>
      <c r="B42" s="4289" t="s">
        <v>3649</v>
      </c>
      <c r="C42" s="6"/>
      <c r="D42" s="4282"/>
      <c r="E42" s="4449"/>
      <c r="F42" s="4470"/>
      <c r="G42" s="4470"/>
      <c r="H42" s="6"/>
      <c r="I42" s="4471"/>
      <c r="J42" s="4471"/>
      <c r="K42" s="4472"/>
      <c r="L42" s="4472"/>
      <c r="M42" s="6"/>
      <c r="N42" s="6"/>
      <c r="O42" s="6"/>
      <c r="P42" s="6"/>
      <c r="Q42" s="4279"/>
      <c r="R42" s="6"/>
      <c r="S42" s="6"/>
      <c r="T42" s="6"/>
      <c r="U42" s="6"/>
      <c r="V42" s="6"/>
      <c r="W42" s="6"/>
      <c r="X42" s="6"/>
      <c r="Y42" s="4416" t="e">
        <f t="shared" si="9"/>
        <v>#NAME?</v>
      </c>
      <c r="Z42" s="4417" t="e">
        <f t="shared" si="2"/>
        <v>#NAME?</v>
      </c>
      <c r="AA42" s="4418" t="e">
        <f t="shared" si="3"/>
        <v>#NAME?</v>
      </c>
      <c r="AB42" s="4313"/>
      <c r="AC42" s="4313"/>
      <c r="AD42" s="4313"/>
      <c r="AE42" s="4313"/>
      <c r="AF42" s="4313"/>
      <c r="AG42" s="4425">
        <f t="shared" si="4"/>
        <v>0</v>
      </c>
      <c r="AH42" s="4425">
        <f t="shared" si="4"/>
        <v>-25814283.15</v>
      </c>
      <c r="AI42" s="4426" t="e">
        <f t="shared" si="5"/>
        <v>#NAME?</v>
      </c>
      <c r="AJ42" s="4332" t="e">
        <f t="shared" si="7"/>
        <v>#NAME?</v>
      </c>
      <c r="AK42" s="4426" t="str">
        <f t="shared" si="6"/>
        <v>N/A</v>
      </c>
      <c r="AL42" s="4427" t="str">
        <f t="shared" si="8"/>
        <v>N/A</v>
      </c>
    </row>
    <row r="43" ht="19.5" customHeight="1">
      <c r="A43" s="6"/>
      <c r="B43" s="4293" t="s">
        <v>3650</v>
      </c>
      <c r="C43" s="6"/>
      <c r="D43" s="4282"/>
      <c r="E43" s="4473" t="str">
        <f>IF(Is_Fixed,"N/A",E12)</f>
        <v>N/A</v>
      </c>
      <c r="F43" s="4430"/>
      <c r="G43" s="4430"/>
      <c r="H43" s="4423"/>
      <c r="I43" s="4303" t="s">
        <v>3651</v>
      </c>
      <c r="J43" s="4474"/>
      <c r="K43" s="4475" t="str">
        <f>IF(Is_ARM,6%,"N/A")</f>
        <v>N/A</v>
      </c>
      <c r="L43" s="4476"/>
      <c r="M43" s="4407"/>
      <c r="N43" s="6"/>
      <c r="O43" s="6"/>
      <c r="P43" s="6"/>
      <c r="Q43" s="4279"/>
      <c r="R43" s="6"/>
      <c r="S43" s="6"/>
      <c r="T43" s="6"/>
      <c r="U43" s="6"/>
      <c r="V43" s="6"/>
      <c r="W43" s="6"/>
      <c r="X43" s="6"/>
      <c r="Y43" s="4416" t="e">
        <f t="shared" si="9"/>
        <v>#NAME?</v>
      </c>
      <c r="Z43" s="4417" t="e">
        <f t="shared" si="2"/>
        <v>#NAME?</v>
      </c>
      <c r="AA43" s="4418" t="e">
        <f t="shared" si="3"/>
        <v>#NAME?</v>
      </c>
      <c r="AB43" s="4313"/>
      <c r="AC43" s="4313"/>
      <c r="AD43" s="4313"/>
      <c r="AE43" s="4313"/>
      <c r="AF43" s="4313"/>
      <c r="AG43" s="4425">
        <f t="shared" si="4"/>
        <v>0</v>
      </c>
      <c r="AH43" s="4425">
        <f t="shared" si="4"/>
        <v>-25814283.15</v>
      </c>
      <c r="AI43" s="4426" t="e">
        <f t="shared" si="5"/>
        <v>#NAME?</v>
      </c>
      <c r="AJ43" s="4332" t="e">
        <f t="shared" si="7"/>
        <v>#NAME?</v>
      </c>
      <c r="AK43" s="4426" t="str">
        <f t="shared" si="6"/>
        <v>N/A</v>
      </c>
      <c r="AL43" s="4427" t="str">
        <f t="shared" si="8"/>
        <v>N/A</v>
      </c>
    </row>
    <row r="44" ht="19.5" customHeight="1">
      <c r="A44" s="6"/>
      <c r="B44" s="4293" t="s">
        <v>3652</v>
      </c>
      <c r="C44" s="27"/>
      <c r="D44" s="4293"/>
      <c r="E44" s="4341" t="str">
        <f>IF(Is_ARM,"Yes","No")</f>
        <v>No</v>
      </c>
      <c r="F44" s="4477"/>
      <c r="G44" s="4477"/>
      <c r="H44" s="4423"/>
      <c r="I44" s="4478" t="s">
        <v>3653</v>
      </c>
      <c r="J44" s="6"/>
      <c r="K44" s="4479">
        <v>0</v>
      </c>
      <c r="L44" s="1302"/>
      <c r="M44" s="1302"/>
      <c r="N44" s="6"/>
      <c r="O44" s="6"/>
      <c r="P44" s="6"/>
      <c r="Q44" s="4279"/>
      <c r="R44" s="6"/>
      <c r="S44" s="6"/>
      <c r="T44" s="6"/>
      <c r="U44" s="6"/>
      <c r="V44" s="6"/>
      <c r="W44" s="6"/>
      <c r="X44" s="6"/>
      <c r="Y44" s="4416" t="e">
        <f t="shared" si="9"/>
        <v>#NAME?</v>
      </c>
      <c r="Z44" s="4417" t="e">
        <f t="shared" si="2"/>
        <v>#NAME?</v>
      </c>
      <c r="AA44" s="4418" t="e">
        <f t="shared" si="3"/>
        <v>#NAME?</v>
      </c>
      <c r="AB44" s="4313"/>
      <c r="AC44" s="4313"/>
      <c r="AD44" s="4313"/>
      <c r="AE44" s="4313"/>
      <c r="AF44" s="4313"/>
      <c r="AG44" s="4425">
        <f t="shared" si="4"/>
        <v>0</v>
      </c>
      <c r="AH44" s="4425">
        <f t="shared" si="4"/>
        <v>-25814283.15</v>
      </c>
      <c r="AI44" s="4426" t="e">
        <f t="shared" si="5"/>
        <v>#NAME?</v>
      </c>
      <c r="AJ44" s="4332" t="e">
        <f t="shared" si="7"/>
        <v>#NAME?</v>
      </c>
      <c r="AK44" s="4426" t="str">
        <f t="shared" si="6"/>
        <v>N/A</v>
      </c>
      <c r="AL44" s="4427" t="str">
        <f t="shared" si="8"/>
        <v>N/A</v>
      </c>
    </row>
    <row r="45" ht="19.5" customHeight="1">
      <c r="A45" s="6"/>
      <c r="B45" s="4293" t="s">
        <v>3654</v>
      </c>
      <c r="C45" s="27"/>
      <c r="D45" s="4293"/>
      <c r="E45" s="4480" t="str">
        <f>IF(Is_Fixed,"N/A",12)</f>
        <v>N/A</v>
      </c>
      <c r="F45" s="4477"/>
      <c r="G45" s="4477"/>
      <c r="H45" s="4423"/>
      <c r="I45" s="4303" t="s">
        <v>3655</v>
      </c>
      <c r="K45" s="4475" t="str">
        <f>IF(Is_ARM,1%,"N/A")</f>
        <v>N/A</v>
      </c>
      <c r="L45" s="4476"/>
      <c r="M45" s="4407"/>
      <c r="N45" s="6"/>
      <c r="O45" s="6"/>
      <c r="P45" s="6"/>
      <c r="Q45" s="4279"/>
      <c r="R45" s="6"/>
      <c r="S45" s="6"/>
      <c r="T45" s="6"/>
      <c r="U45" s="6"/>
      <c r="V45" s="6"/>
      <c r="W45" s="6"/>
      <c r="X45" s="6"/>
      <c r="Y45" s="4416" t="e">
        <f t="shared" si="9"/>
        <v>#NAME?</v>
      </c>
      <c r="Z45" s="4417" t="e">
        <f t="shared" si="2"/>
        <v>#NAME?</v>
      </c>
      <c r="AA45" s="4418" t="e">
        <f t="shared" si="3"/>
        <v>#NAME?</v>
      </c>
      <c r="AB45" s="4313"/>
      <c r="AC45" s="4313"/>
      <c r="AD45" s="4313"/>
      <c r="AE45" s="4313"/>
      <c r="AF45" s="4313"/>
      <c r="AG45" s="4425">
        <f t="shared" si="4"/>
        <v>0</v>
      </c>
      <c r="AH45" s="4425">
        <f t="shared" si="4"/>
        <v>-25814283.15</v>
      </c>
      <c r="AI45" s="4426" t="e">
        <f t="shared" si="5"/>
        <v>#NAME?</v>
      </c>
      <c r="AJ45" s="4332" t="e">
        <f t="shared" si="7"/>
        <v>#NAME?</v>
      </c>
      <c r="AK45" s="4426" t="str">
        <f t="shared" si="6"/>
        <v>N/A</v>
      </c>
      <c r="AL45" s="4427" t="str">
        <f t="shared" si="8"/>
        <v>N/A</v>
      </c>
    </row>
    <row r="46" ht="19.5" customHeight="1">
      <c r="A46" s="6"/>
      <c r="B46" s="4293" t="s">
        <v>3656</v>
      </c>
      <c r="C46" s="27"/>
      <c r="D46" s="27"/>
      <c r="E46" s="4481" cm="1" t="str">
        <f t="array" ref="E46">_xlfn.IFS(Is_Fixed,"N/A",Is_SARM,1,TRUE,15)</f>
        <v>N/A</v>
      </c>
      <c r="F46" s="1302"/>
      <c r="G46" s="1302"/>
      <c r="H46" s="4423"/>
      <c r="I46" s="4474" t="s">
        <v>3657</v>
      </c>
      <c r="J46" s="4474"/>
      <c r="K46" s="4482" t="str">
        <f>IF(Is_Fixed,"N/A",FixedPrinPayment)</f>
        <v>N/A</v>
      </c>
      <c r="L46" s="4476"/>
      <c r="M46" s="9"/>
      <c r="N46" s="6"/>
      <c r="O46" s="6"/>
      <c r="P46" s="6"/>
      <c r="Q46" s="4279"/>
      <c r="R46" s="6"/>
      <c r="S46" s="6"/>
      <c r="T46" s="6"/>
      <c r="U46" s="6"/>
      <c r="V46" s="6"/>
      <c r="W46" s="6"/>
      <c r="X46" s="6"/>
      <c r="Y46" s="4416" t="e">
        <f t="shared" si="9"/>
        <v>#NAME?</v>
      </c>
      <c r="Z46" s="4417" t="e">
        <f t="shared" si="2"/>
        <v>#NAME?</v>
      </c>
      <c r="AA46" s="4418" t="e">
        <f t="shared" si="3"/>
        <v>#NAME?</v>
      </c>
      <c r="AB46" s="4313"/>
      <c r="AC46" s="4313"/>
      <c r="AD46" s="4313"/>
      <c r="AE46" s="4313"/>
      <c r="AF46" s="4313"/>
      <c r="AG46" s="4425">
        <f t="shared" si="4"/>
        <v>0</v>
      </c>
      <c r="AH46" s="4425">
        <f t="shared" si="4"/>
        <v>-25814283.15</v>
      </c>
      <c r="AI46" s="4426" t="e">
        <f t="shared" si="5"/>
        <v>#NAME?</v>
      </c>
      <c r="AJ46" s="4332" t="e">
        <f t="shared" si="7"/>
        <v>#NAME?</v>
      </c>
      <c r="AK46" s="4426" t="str">
        <f t="shared" si="6"/>
        <v>N/A</v>
      </c>
      <c r="AL46" s="4427" t="str">
        <f t="shared" si="8"/>
        <v>N/A</v>
      </c>
    </row>
    <row r="47" ht="19.5" customHeight="1">
      <c r="A47" s="6"/>
      <c r="B47" s="4293" t="s">
        <v>3658</v>
      </c>
      <c r="C47" s="27"/>
      <c r="D47" s="27"/>
      <c r="E47" s="4480" t="str">
        <f>IF(Is_Fixed,"N/A",1)</f>
        <v>N/A</v>
      </c>
      <c r="F47" s="1302"/>
      <c r="G47" s="1302"/>
      <c r="H47" s="6"/>
      <c r="I47" s="4303" t="s">
        <v>3659</v>
      </c>
      <c r="J47" s="6"/>
      <c r="K47" s="4483" t="str">
        <f>IF(Is_Fixed,"N/A",0.41%)</f>
        <v>N/A</v>
      </c>
      <c r="L47" s="4476"/>
      <c r="M47" s="9"/>
      <c r="N47" s="6"/>
      <c r="O47" s="6"/>
      <c r="P47" s="6"/>
      <c r="Q47" s="4279"/>
      <c r="R47" s="6"/>
      <c r="S47" s="6"/>
      <c r="T47" s="6"/>
      <c r="U47" s="6"/>
      <c r="V47" s="6"/>
      <c r="W47" s="6"/>
      <c r="X47" s="6"/>
      <c r="Y47" s="4416" t="e">
        <f t="shared" si="9"/>
        <v>#NAME?</v>
      </c>
      <c r="Z47" s="4417" t="e">
        <f t="shared" si="2"/>
        <v>#NAME?</v>
      </c>
      <c r="AA47" s="4418" t="e">
        <f t="shared" si="3"/>
        <v>#NAME?</v>
      </c>
      <c r="AB47" s="4313"/>
      <c r="AC47" s="4313"/>
      <c r="AD47" s="4313"/>
      <c r="AE47" s="4313"/>
      <c r="AF47" s="4313"/>
      <c r="AG47" s="4425">
        <f t="shared" si="4"/>
        <v>0</v>
      </c>
      <c r="AH47" s="4425">
        <f t="shared" si="4"/>
        <v>-25814283.15</v>
      </c>
      <c r="AI47" s="4426" t="e">
        <f t="shared" si="5"/>
        <v>#NAME?</v>
      </c>
      <c r="AJ47" s="4332" t="e">
        <f t="shared" si="7"/>
        <v>#NAME?</v>
      </c>
      <c r="AK47" s="4426" t="str">
        <f t="shared" si="6"/>
        <v>N/A</v>
      </c>
      <c r="AL47" s="4427" t="str">
        <f t="shared" si="8"/>
        <v>N/A</v>
      </c>
    </row>
    <row r="48" ht="19.5" customHeight="1">
      <c r="A48" s="6"/>
      <c r="B48" s="4293"/>
      <c r="C48" s="6"/>
      <c r="D48" s="4282"/>
      <c r="E48" s="4449"/>
      <c r="F48" s="4449"/>
      <c r="G48" s="4449"/>
      <c r="H48" s="6"/>
      <c r="I48" s="4474"/>
      <c r="J48" s="4474"/>
      <c r="K48" s="4484"/>
      <c r="L48" s="4472"/>
      <c r="M48" s="625"/>
      <c r="N48" s="6"/>
      <c r="O48" s="6"/>
      <c r="P48" s="6"/>
      <c r="Q48" s="6"/>
      <c r="R48" s="6"/>
      <c r="S48" s="6"/>
      <c r="T48" s="6"/>
      <c r="U48" s="6"/>
      <c r="V48" s="6"/>
      <c r="W48" s="6"/>
      <c r="X48" s="6"/>
      <c r="Y48" s="4416" t="e">
        <f t="shared" si="9"/>
        <v>#NAME?</v>
      </c>
      <c r="Z48" s="4417" t="e">
        <f t="shared" si="2"/>
        <v>#NAME?</v>
      </c>
      <c r="AA48" s="4418" t="e">
        <f t="shared" si="3"/>
        <v>#NAME?</v>
      </c>
      <c r="AB48" s="4313"/>
      <c r="AC48" s="4313"/>
      <c r="AD48" s="4313"/>
      <c r="AE48" s="4313"/>
      <c r="AF48" s="4313"/>
      <c r="AG48" s="4425">
        <f t="shared" si="4"/>
        <v>0</v>
      </c>
      <c r="AH48" s="4425">
        <f t="shared" si="4"/>
        <v>-25814283.15</v>
      </c>
      <c r="AI48" s="4426" t="e">
        <f t="shared" si="5"/>
        <v>#NAME?</v>
      </c>
      <c r="AJ48" s="4332" t="e">
        <f t="shared" si="7"/>
        <v>#NAME?</v>
      </c>
      <c r="AK48" s="4426" t="str">
        <f t="shared" si="6"/>
        <v>N/A</v>
      </c>
      <c r="AL48" s="4427" t="str">
        <f t="shared" si="8"/>
        <v>N/A</v>
      </c>
    </row>
    <row r="49" ht="19.5" customHeight="1">
      <c r="A49" s="6"/>
      <c r="B49" s="4485" t="s">
        <v>3660</v>
      </c>
      <c r="C49" s="6"/>
      <c r="D49" s="6"/>
      <c r="E49" s="4486" t="s">
        <v>864</v>
      </c>
      <c r="F49" s="4487"/>
      <c r="G49" s="4487"/>
      <c r="H49" s="4487"/>
      <c r="I49" s="4487"/>
      <c r="J49" s="4487"/>
      <c r="K49" s="4487"/>
      <c r="L49" s="4487"/>
      <c r="M49" s="4488"/>
      <c r="N49" s="6"/>
      <c r="O49" s="6"/>
      <c r="P49" s="6"/>
      <c r="Q49" s="6"/>
      <c r="R49" s="6"/>
      <c r="S49" s="6"/>
      <c r="T49" s="6"/>
      <c r="U49" s="6"/>
      <c r="V49" s="6"/>
      <c r="W49" s="6"/>
      <c r="X49" s="6"/>
      <c r="Y49" s="4416" t="e">
        <f t="shared" si="9"/>
        <v>#NAME?</v>
      </c>
      <c r="Z49" s="4417" t="e">
        <f t="shared" si="2"/>
        <v>#NAME?</v>
      </c>
      <c r="AA49" s="4418" t="e">
        <f t="shared" si="3"/>
        <v>#NAME?</v>
      </c>
      <c r="AB49" s="4313"/>
      <c r="AC49" s="4313"/>
      <c r="AD49" s="4313"/>
      <c r="AE49" s="4313"/>
      <c r="AF49" s="4313"/>
      <c r="AG49" s="4425">
        <f t="shared" si="4"/>
        <v>0</v>
      </c>
      <c r="AH49" s="4425">
        <f t="shared" si="4"/>
        <v>-25814283.15</v>
      </c>
      <c r="AI49" s="4426" t="e">
        <f t="shared" si="5"/>
        <v>#NAME?</v>
      </c>
      <c r="AJ49" s="4332" t="e">
        <f t="shared" si="7"/>
        <v>#NAME?</v>
      </c>
      <c r="AK49" s="4426" t="str">
        <f t="shared" si="6"/>
        <v>N/A</v>
      </c>
      <c r="AL49" s="4427" t="str">
        <f t="shared" si="8"/>
        <v>N/A</v>
      </c>
    </row>
    <row r="50" ht="19.5" customHeight="1">
      <c r="A50" s="6"/>
      <c r="B50" s="4489" t="str">
        <f>IF(Q99&gt;0,"Please list Security Disclosures"," ")</f>
        <v> </v>
      </c>
      <c r="C50" s="6"/>
      <c r="D50" s="6"/>
      <c r="E50" s="4490"/>
      <c r="F50" s="4491"/>
      <c r="G50" s="4491"/>
      <c r="H50" s="4491"/>
      <c r="I50" s="4491"/>
      <c r="J50" s="4491"/>
      <c r="K50" s="4491"/>
      <c r="L50" s="4491"/>
      <c r="M50" s="4492"/>
      <c r="N50" s="6"/>
      <c r="O50" s="6"/>
      <c r="P50" s="6"/>
      <c r="Q50" s="4279"/>
      <c r="R50" s="6"/>
      <c r="S50" s="6"/>
      <c r="T50" s="6"/>
      <c r="U50" s="6"/>
      <c r="V50" s="6"/>
      <c r="W50" s="6"/>
      <c r="X50" s="6"/>
      <c r="Y50" s="4416" t="e">
        <f t="shared" si="9"/>
        <v>#NAME?</v>
      </c>
      <c r="Z50" s="4417" t="e">
        <f t="shared" si="2"/>
        <v>#NAME?</v>
      </c>
      <c r="AA50" s="4418" t="e">
        <f t="shared" si="3"/>
        <v>#NAME?</v>
      </c>
      <c r="AB50" s="4493"/>
      <c r="AC50" s="4493"/>
      <c r="AD50" s="4493"/>
      <c r="AE50" s="4493"/>
      <c r="AF50" s="4493"/>
      <c r="AG50" s="4425">
        <f t="shared" si="4"/>
        <v>0</v>
      </c>
      <c r="AH50" s="4425">
        <f t="shared" si="4"/>
        <v>-25814283.15</v>
      </c>
      <c r="AI50" s="4426" t="e">
        <f t="shared" si="5"/>
        <v>#NAME?</v>
      </c>
      <c r="AJ50" s="4332" t="e">
        <f t="shared" si="7"/>
        <v>#NAME?</v>
      </c>
      <c r="AK50" s="4426" t="str">
        <f t="shared" si="6"/>
        <v>N/A</v>
      </c>
      <c r="AL50" s="4427" t="str">
        <f t="shared" si="8"/>
        <v>N/A</v>
      </c>
    </row>
    <row r="51" ht="19.5" customHeight="1">
      <c r="A51" s="6"/>
      <c r="B51" s="4489"/>
      <c r="C51" s="6"/>
      <c r="D51" s="6"/>
      <c r="E51" s="4490"/>
      <c r="F51" s="4491"/>
      <c r="G51" s="4491"/>
      <c r="H51" s="4491"/>
      <c r="I51" s="4491"/>
      <c r="J51" s="4491"/>
      <c r="K51" s="4491"/>
      <c r="L51" s="4491"/>
      <c r="M51" s="4492"/>
      <c r="N51" s="6"/>
      <c r="O51" s="6"/>
      <c r="P51" s="6"/>
      <c r="Q51" s="4279"/>
      <c r="R51" s="6"/>
      <c r="S51" s="6"/>
      <c r="T51" s="6"/>
      <c r="U51" s="6"/>
      <c r="V51" s="6"/>
      <c r="W51" s="6"/>
      <c r="X51" s="6"/>
      <c r="Y51" s="4416" t="e">
        <f t="shared" si="9"/>
        <v>#NAME?</v>
      </c>
      <c r="Z51" s="4417" t="e">
        <f t="shared" si="2"/>
        <v>#NAME?</v>
      </c>
      <c r="AA51" s="4418" t="e">
        <f t="shared" si="3"/>
        <v>#NAME?</v>
      </c>
      <c r="AB51" s="4494"/>
      <c r="AC51" s="4494"/>
      <c r="AD51" s="4494"/>
      <c r="AE51" s="4494"/>
      <c r="AF51" s="4494"/>
      <c r="AG51" s="4425">
        <f t="shared" si="4"/>
        <v>0</v>
      </c>
      <c r="AH51" s="4425">
        <f t="shared" si="4"/>
        <v>-25814283.15</v>
      </c>
      <c r="AI51" s="4426" t="e">
        <f t="shared" si="5"/>
        <v>#NAME?</v>
      </c>
      <c r="AJ51" s="4332" t="e">
        <f t="shared" si="7"/>
        <v>#NAME?</v>
      </c>
      <c r="AK51" s="4426" t="str">
        <f t="shared" si="6"/>
        <v>N/A</v>
      </c>
      <c r="AL51" s="4427" t="str">
        <f t="shared" si="8"/>
        <v>N/A</v>
      </c>
    </row>
    <row r="52" ht="19.5" customHeight="1">
      <c r="A52" s="6"/>
      <c r="B52" s="4495"/>
      <c r="C52" s="6"/>
      <c r="D52" s="6"/>
      <c r="E52" s="4490"/>
      <c r="F52" s="4491"/>
      <c r="G52" s="4491"/>
      <c r="H52" s="4491"/>
      <c r="I52" s="4491"/>
      <c r="J52" s="4491"/>
      <c r="K52" s="4491"/>
      <c r="L52" s="4491"/>
      <c r="M52" s="4492"/>
      <c r="N52" s="6"/>
      <c r="O52" s="6"/>
      <c r="P52" s="6"/>
      <c r="Q52" s="4279"/>
      <c r="R52" s="6"/>
      <c r="S52" s="6"/>
      <c r="T52" s="6"/>
      <c r="U52" s="6"/>
      <c r="V52" s="6"/>
      <c r="W52" s="6"/>
      <c r="X52" s="6"/>
      <c r="Y52" s="4416" t="e">
        <f t="shared" si="9"/>
        <v>#NAME?</v>
      </c>
      <c r="Z52" s="4417" t="e">
        <f t="shared" si="2"/>
        <v>#NAME?</v>
      </c>
      <c r="AA52" s="4418" t="e">
        <f t="shared" si="3"/>
        <v>#NAME?</v>
      </c>
      <c r="AB52" s="4494"/>
      <c r="AC52" s="4494"/>
      <c r="AD52" s="4494"/>
      <c r="AE52" s="4494"/>
      <c r="AF52" s="4494"/>
      <c r="AG52" s="4425">
        <f t="shared" si="4"/>
        <v>0</v>
      </c>
      <c r="AH52" s="4425">
        <f t="shared" si="4"/>
        <v>-25814283.15</v>
      </c>
      <c r="AI52" s="4426" t="e">
        <f t="shared" si="5"/>
        <v>#NAME?</v>
      </c>
      <c r="AJ52" s="4332" t="e">
        <f t="shared" si="7"/>
        <v>#NAME?</v>
      </c>
      <c r="AK52" s="4426" t="str">
        <f t="shared" si="6"/>
        <v>N/A</v>
      </c>
      <c r="AL52" s="4427" t="str">
        <f t="shared" si="8"/>
        <v>N/A</v>
      </c>
    </row>
    <row r="53" ht="19.5" customHeight="1">
      <c r="A53" s="6"/>
      <c r="B53" s="4495"/>
      <c r="C53" s="6"/>
      <c r="D53" s="6"/>
      <c r="E53" s="4496"/>
      <c r="F53" s="4497"/>
      <c r="G53" s="4497"/>
      <c r="H53" s="4497"/>
      <c r="I53" s="4497"/>
      <c r="J53" s="4497"/>
      <c r="K53" s="4497"/>
      <c r="L53" s="4497"/>
      <c r="M53" s="4498"/>
      <c r="N53" s="6"/>
      <c r="O53" s="6"/>
      <c r="P53" s="6"/>
      <c r="Q53" s="4279"/>
      <c r="R53" s="6"/>
      <c r="S53" s="6"/>
      <c r="T53" s="6"/>
      <c r="U53" s="6"/>
      <c r="V53" s="6"/>
      <c r="W53" s="6"/>
      <c r="X53" s="6"/>
      <c r="Y53" s="4499" t="e">
        <f t="shared" si="9"/>
        <v>#NAME?</v>
      </c>
      <c r="Z53" s="4500" t="e">
        <f t="shared" si="2"/>
        <v>#NAME?</v>
      </c>
      <c r="AA53" s="4501" t="e">
        <f t="shared" si="3"/>
        <v>#NAME?</v>
      </c>
      <c r="AB53" s="4494"/>
      <c r="AC53" s="4494"/>
      <c r="AD53" s="4494"/>
      <c r="AE53" s="4494"/>
      <c r="AF53" s="4494"/>
      <c r="AG53" s="4502">
        <f t="shared" si="4"/>
        <v>0</v>
      </c>
      <c r="AH53" s="4502">
        <f t="shared" si="4"/>
        <v>-25814283.15</v>
      </c>
      <c r="AI53" s="4503" t="e">
        <f t="shared" si="5"/>
        <v>#NAME?</v>
      </c>
      <c r="AJ53" s="4504" t="e">
        <f t="shared" si="7"/>
        <v>#NAME?</v>
      </c>
      <c r="AK53" s="4503" t="str">
        <f t="shared" si="6"/>
        <v>N/A</v>
      </c>
      <c r="AL53" s="4505" t="str">
        <f t="shared" si="8"/>
        <v>N/A</v>
      </c>
    </row>
    <row r="54" ht="19.5" customHeight="1">
      <c r="A54" s="6"/>
      <c r="B54" s="4293"/>
      <c r="C54" s="6"/>
      <c r="D54" s="4282"/>
      <c r="E54" s="4449"/>
      <c r="F54" s="4449"/>
      <c r="G54" s="4449"/>
      <c r="H54" s="6"/>
      <c r="I54" s="4282"/>
      <c r="J54" s="6"/>
      <c r="K54" s="4282"/>
      <c r="L54" s="4282"/>
      <c r="M54" s="4282"/>
      <c r="N54" s="6"/>
      <c r="O54" s="6"/>
      <c r="P54" s="6"/>
      <c r="Q54" s="4279"/>
      <c r="R54" s="6"/>
      <c r="S54" s="6"/>
      <c r="T54" s="6"/>
      <c r="U54" s="6"/>
      <c r="V54" s="6"/>
      <c r="W54" s="6"/>
      <c r="X54" s="6"/>
      <c r="Y54" s="4506"/>
      <c r="Z54" s="4507"/>
      <c r="AA54" s="4508"/>
      <c r="AB54" s="1408"/>
      <c r="AC54" s="1408"/>
      <c r="AD54" s="1408"/>
      <c r="AE54" s="1408"/>
      <c r="AF54" s="1408"/>
      <c r="AG54" s="4509"/>
      <c r="AH54" s="4509"/>
      <c r="AI54" s="4509"/>
      <c r="AJ54" s="4509"/>
      <c r="AK54" s="4509"/>
      <c r="AL54" s="4509"/>
    </row>
    <row r="55" ht="19.5" customHeight="1">
      <c r="A55" s="6"/>
      <c r="B55" s="4485" t="s">
        <v>1873</v>
      </c>
      <c r="C55" s="6"/>
      <c r="D55" s="6"/>
      <c r="E55" s="4486" t="s">
        <v>864</v>
      </c>
      <c r="F55" s="4487"/>
      <c r="G55" s="4487"/>
      <c r="H55" s="4487"/>
      <c r="I55" s="4487"/>
      <c r="J55" s="4487"/>
      <c r="K55" s="4487"/>
      <c r="L55" s="4487"/>
      <c r="M55" s="4488"/>
      <c r="N55" s="6"/>
      <c r="O55" s="6"/>
      <c r="P55" s="6"/>
      <c r="Q55" s="4279"/>
      <c r="R55" s="6"/>
      <c r="S55" s="6"/>
      <c r="T55" s="6"/>
      <c r="U55" s="6"/>
      <c r="V55" s="6"/>
      <c r="W55" s="6"/>
      <c r="X55" s="6"/>
      <c r="Y55" s="4506"/>
      <c r="Z55" s="4507"/>
      <c r="AA55" s="4508"/>
      <c r="AB55" s="1408"/>
      <c r="AC55" s="1408"/>
      <c r="AD55" s="1408"/>
      <c r="AE55" s="1408"/>
      <c r="AF55" s="1408"/>
      <c r="AG55" s="4509"/>
      <c r="AH55" s="4509"/>
      <c r="AI55" s="4509"/>
      <c r="AJ55" s="4509"/>
      <c r="AK55" s="4509"/>
      <c r="AL55" s="4509"/>
    </row>
    <row r="56" ht="19.5" customHeight="1">
      <c r="A56" s="6"/>
      <c r="B56" s="4489" t="str">
        <f>+IF(K15="Yes","Please list Affordable details"," ")</f>
        <v> </v>
      </c>
      <c r="C56" s="6"/>
      <c r="D56" s="6"/>
      <c r="E56" s="4490"/>
      <c r="F56" s="4491"/>
      <c r="G56" s="4491"/>
      <c r="H56" s="4491"/>
      <c r="I56" s="4491"/>
      <c r="J56" s="4491"/>
      <c r="K56" s="4491"/>
      <c r="L56" s="4491"/>
      <c r="M56" s="4492"/>
      <c r="N56" s="6"/>
      <c r="O56" s="6"/>
      <c r="P56" s="6"/>
      <c r="Q56" s="4279"/>
      <c r="R56" s="6"/>
      <c r="S56" s="6"/>
      <c r="T56" s="6"/>
      <c r="U56" s="6"/>
      <c r="V56" s="6"/>
      <c r="W56" s="6"/>
      <c r="X56" s="6"/>
      <c r="Y56" s="4506"/>
      <c r="Z56" s="4507"/>
      <c r="AA56" s="4508"/>
      <c r="AB56" s="1408"/>
      <c r="AC56" s="1408"/>
      <c r="AD56" s="1408"/>
      <c r="AE56" s="1408"/>
      <c r="AF56" s="1408"/>
      <c r="AG56" s="4509"/>
      <c r="AH56" s="4509"/>
      <c r="AI56" s="4509"/>
      <c r="AJ56" s="4509"/>
      <c r="AK56" s="4509"/>
      <c r="AL56" s="4509"/>
    </row>
    <row r="57" ht="19.5" customHeight="1">
      <c r="A57" s="6"/>
      <c r="B57" s="4489" t="str">
        <f>IF(Is_SARM,"Please list SARM details"," ")</f>
        <v> </v>
      </c>
      <c r="C57" s="6"/>
      <c r="D57" s="6"/>
      <c r="E57" s="4490"/>
      <c r="F57" s="4491"/>
      <c r="G57" s="4491"/>
      <c r="H57" s="4491"/>
      <c r="I57" s="4491"/>
      <c r="J57" s="4491"/>
      <c r="K57" s="4491"/>
      <c r="L57" s="4491"/>
      <c r="M57" s="4492"/>
      <c r="N57" s="6"/>
      <c r="O57" s="6"/>
      <c r="P57" s="6"/>
      <c r="Q57" s="4279"/>
      <c r="R57" s="6"/>
      <c r="S57" s="6"/>
      <c r="T57" s="6"/>
      <c r="U57" s="6"/>
      <c r="V57" s="6"/>
      <c r="W57" s="6"/>
      <c r="X57" s="6"/>
      <c r="Y57" s="4506"/>
      <c r="Z57" s="4507"/>
      <c r="AA57" s="4508"/>
      <c r="AB57" s="1408"/>
      <c r="AC57" s="1408"/>
      <c r="AD57" s="1408"/>
      <c r="AE57" s="1408"/>
      <c r="AF57" s="1408"/>
      <c r="AG57" s="4509"/>
      <c r="AH57" s="4509"/>
      <c r="AI57" s="4509"/>
      <c r="AJ57" s="4509"/>
      <c r="AK57" s="4509"/>
      <c r="AL57" s="4509"/>
    </row>
    <row r="58" ht="19.5" customHeight="1">
      <c r="A58" s="6"/>
      <c r="B58" s="6"/>
      <c r="C58" s="6"/>
      <c r="D58" s="4282"/>
      <c r="E58" s="4496"/>
      <c r="F58" s="4497"/>
      <c r="G58" s="4497"/>
      <c r="H58" s="4497"/>
      <c r="I58" s="4497"/>
      <c r="J58" s="4497"/>
      <c r="K58" s="4497"/>
      <c r="L58" s="4497"/>
      <c r="M58" s="4498"/>
      <c r="N58" s="6"/>
      <c r="O58" s="6"/>
      <c r="P58" s="6"/>
      <c r="Q58" s="4279"/>
      <c r="R58" s="6"/>
      <c r="S58" s="6"/>
      <c r="T58" s="6"/>
      <c r="U58" s="6"/>
      <c r="V58" s="6"/>
      <c r="W58" s="6"/>
      <c r="X58" s="6"/>
      <c r="Y58" s="4506"/>
      <c r="Z58" s="4507"/>
      <c r="AA58" s="4508"/>
      <c r="AB58" s="1408"/>
      <c r="AC58" s="1408"/>
      <c r="AD58" s="1408"/>
      <c r="AE58" s="1408"/>
      <c r="AF58" s="1408"/>
      <c r="AG58" s="4509"/>
      <c r="AH58" s="4509"/>
      <c r="AI58" s="4509"/>
      <c r="AJ58" s="4509"/>
      <c r="AK58" s="4509"/>
      <c r="AL58" s="4509"/>
    </row>
    <row r="59" ht="19.5" customHeight="1">
      <c r="A59" s="6"/>
      <c r="B59" s="4510"/>
      <c r="C59" s="4511"/>
      <c r="D59" s="4511"/>
      <c r="E59" s="4511"/>
      <c r="F59" s="4511"/>
      <c r="G59" s="4511"/>
      <c r="H59" s="4511"/>
      <c r="I59" s="4511"/>
      <c r="J59" s="4511"/>
      <c r="K59" s="4511"/>
      <c r="L59" s="4511"/>
      <c r="M59" s="4511"/>
      <c r="N59" s="6"/>
      <c r="O59" s="6"/>
      <c r="P59" s="6"/>
      <c r="Q59" s="4279"/>
      <c r="R59" s="6"/>
      <c r="S59" s="6"/>
      <c r="T59" s="6"/>
      <c r="U59" s="6"/>
      <c r="V59" s="6"/>
      <c r="W59" s="6"/>
      <c r="X59" s="6"/>
      <c r="Y59" s="4506"/>
      <c r="Z59" s="4507"/>
      <c r="AA59" s="4508"/>
      <c r="AB59" s="1408"/>
      <c r="AC59" s="1408"/>
      <c r="AD59" s="1408"/>
      <c r="AE59" s="1408"/>
      <c r="AF59" s="1408"/>
      <c r="AG59" s="4509"/>
      <c r="AH59" s="4509"/>
      <c r="AI59" s="4509"/>
      <c r="AJ59" s="4509"/>
      <c r="AK59" s="4509"/>
      <c r="AL59" s="4509"/>
    </row>
    <row r="60" ht="19.5" customHeight="1">
      <c r="A60" s="6"/>
      <c r="B60" s="4289" t="s">
        <v>3661</v>
      </c>
      <c r="C60" s="6"/>
      <c r="D60" s="6"/>
      <c r="E60" s="6"/>
      <c r="F60" s="6"/>
      <c r="G60" s="6"/>
      <c r="H60" s="6"/>
      <c r="I60" s="6"/>
      <c r="J60" s="6"/>
      <c r="K60" s="6"/>
      <c r="L60" s="6"/>
      <c r="M60" s="6"/>
      <c r="N60" s="6"/>
      <c r="O60" s="6"/>
      <c r="P60" s="6"/>
      <c r="Q60" s="4279"/>
      <c r="R60" s="6"/>
      <c r="S60" s="6"/>
      <c r="T60" s="6"/>
      <c r="U60" s="6"/>
      <c r="V60" s="6"/>
      <c r="W60" s="6"/>
      <c r="X60" s="6"/>
      <c r="Y60" s="4506"/>
      <c r="Z60" s="4507"/>
      <c r="AA60" s="4508"/>
      <c r="AB60" s="1408"/>
      <c r="AC60" s="1408"/>
      <c r="AD60" s="1408"/>
      <c r="AE60" s="1408"/>
      <c r="AF60" s="1408"/>
      <c r="AG60" s="4509"/>
      <c r="AH60" s="4509"/>
      <c r="AI60" s="4509"/>
      <c r="AJ60" s="4509"/>
      <c r="AK60" s="4509"/>
      <c r="AL60" s="4509"/>
    </row>
    <row r="61" ht="19.5" customHeight="1">
      <c r="A61" s="6"/>
      <c r="B61" s="4282" t="s">
        <v>3662</v>
      </c>
      <c r="C61" s="6"/>
      <c r="D61" s="6"/>
      <c r="E61" s="4512"/>
      <c r="F61" s="4512"/>
      <c r="G61" s="4512"/>
      <c r="H61" s="4282"/>
      <c r="I61" s="4282"/>
      <c r="J61" s="4282" t="s">
        <v>3663</v>
      </c>
      <c r="K61" s="4512"/>
      <c r="L61" s="4512"/>
      <c r="M61" s="4512"/>
      <c r="N61" s="6"/>
      <c r="O61" s="6"/>
      <c r="P61" s="6"/>
      <c r="Q61" s="4279"/>
      <c r="R61" s="6"/>
      <c r="S61" s="6"/>
      <c r="T61" s="6"/>
      <c r="U61" s="6"/>
      <c r="V61" s="6"/>
      <c r="W61" s="6"/>
      <c r="X61" s="6"/>
      <c r="Y61" s="1408"/>
      <c r="Z61" s="1408"/>
      <c r="AA61" s="1408"/>
      <c r="AB61" s="1408"/>
      <c r="AC61" s="1408"/>
      <c r="AD61" s="1408"/>
      <c r="AE61" s="1408"/>
      <c r="AF61" s="1408"/>
      <c r="AG61" s="6"/>
      <c r="AH61" s="6"/>
      <c r="AI61" s="6"/>
      <c r="AJ61" s="6"/>
      <c r="AK61" s="6"/>
      <c r="AL61" s="6"/>
    </row>
    <row r="62" ht="19.5" customHeight="1">
      <c r="A62" s="6"/>
      <c r="B62" s="4513" t="s">
        <v>3664</v>
      </c>
      <c r="C62" s="4423"/>
      <c r="D62" s="4423"/>
      <c r="E62" s="4514" t="s">
        <v>451</v>
      </c>
      <c r="F62" s="4515"/>
      <c r="G62" s="4514" t="s">
        <v>451</v>
      </c>
      <c r="H62" s="6"/>
      <c r="I62" s="6"/>
      <c r="J62" s="6"/>
      <c r="K62" s="6"/>
      <c r="L62" s="6"/>
      <c r="M62" s="6"/>
      <c r="N62" s="6"/>
      <c r="O62" s="6"/>
      <c r="P62" s="6"/>
      <c r="Q62" s="4279"/>
      <c r="R62" s="6"/>
      <c r="S62" s="6"/>
      <c r="T62" s="6"/>
      <c r="U62" s="6"/>
      <c r="V62" s="6"/>
      <c r="W62" s="6"/>
      <c r="X62" s="6"/>
      <c r="Y62" s="1408"/>
      <c r="Z62" s="1408"/>
      <c r="AA62" s="1408"/>
      <c r="AB62" s="1408"/>
      <c r="AC62" s="1408"/>
      <c r="AD62" s="1408"/>
      <c r="AE62" s="1408"/>
      <c r="AF62" s="1408"/>
      <c r="AG62" s="6"/>
      <c r="AH62" s="6"/>
      <c r="AI62" s="6"/>
      <c r="AJ62" s="6"/>
      <c r="AK62" s="6"/>
      <c r="AL62" s="6"/>
    </row>
    <row r="63" ht="19.5" customHeight="1">
      <c r="A63" s="6"/>
      <c r="B63" s="4516"/>
      <c r="C63" s="4423"/>
      <c r="D63" s="4423"/>
      <c r="E63" s="4423"/>
      <c r="F63" s="4423"/>
      <c r="G63" s="4423"/>
      <c r="H63" s="4423"/>
      <c r="I63" s="6"/>
      <c r="J63" s="6"/>
      <c r="K63" s="6"/>
      <c r="L63" s="6"/>
      <c r="M63" s="6"/>
      <c r="N63" s="6"/>
      <c r="O63" s="6"/>
      <c r="P63" s="6"/>
      <c r="Q63" s="4279"/>
      <c r="R63" s="6"/>
      <c r="S63" s="6"/>
      <c r="T63" s="6"/>
      <c r="U63" s="6"/>
      <c r="V63" s="6"/>
      <c r="W63" s="6"/>
      <c r="X63" s="6"/>
      <c r="Y63" s="1408"/>
      <c r="Z63" s="1408"/>
      <c r="AA63" s="1408"/>
      <c r="AB63" s="1408"/>
      <c r="AC63" s="1408"/>
      <c r="AD63" s="1408"/>
      <c r="AE63" s="1408"/>
      <c r="AF63" s="1408"/>
      <c r="AG63" s="6"/>
      <c r="AH63" s="6"/>
      <c r="AI63" s="6"/>
      <c r="AJ63" s="6"/>
      <c r="AK63" s="6"/>
      <c r="AL63" s="6"/>
    </row>
    <row r="64" ht="19.5" customHeight="1">
      <c r="A64" s="6"/>
      <c r="B64" s="4282" t="s">
        <v>3665</v>
      </c>
      <c r="C64" s="6"/>
      <c r="D64" s="6"/>
      <c r="E64" s="4512"/>
      <c r="F64" s="4512"/>
      <c r="G64" s="4512"/>
      <c r="H64" s="4282"/>
      <c r="I64" s="4282"/>
      <c r="J64" s="4282" t="s">
        <v>3666</v>
      </c>
      <c r="K64" s="4512"/>
      <c r="L64" s="4512"/>
      <c r="M64" s="4512"/>
      <c r="N64" s="6"/>
      <c r="O64" s="6"/>
      <c r="P64" s="6"/>
      <c r="Q64" s="4279"/>
      <c r="R64" s="6"/>
      <c r="S64" s="6"/>
      <c r="T64" s="6"/>
      <c r="U64" s="6"/>
      <c r="V64" s="6"/>
      <c r="W64" s="6"/>
      <c r="X64" s="6"/>
      <c r="Y64" s="1408"/>
      <c r="Z64" s="1408"/>
      <c r="AA64" s="1408"/>
      <c r="AB64" s="1408"/>
      <c r="AC64" s="1408"/>
      <c r="AD64" s="1408"/>
      <c r="AE64" s="1408"/>
      <c r="AF64" s="1408"/>
      <c r="AG64" s="6"/>
      <c r="AH64" s="6"/>
      <c r="AI64" s="6"/>
      <c r="AJ64" s="6"/>
      <c r="AK64" s="6"/>
      <c r="AL64" s="6"/>
    </row>
    <row r="65" ht="19.5" customHeight="1">
      <c r="A65" s="6"/>
      <c r="B65" s="4511"/>
      <c r="C65" s="4511"/>
      <c r="D65" s="4511"/>
      <c r="E65" s="4511"/>
      <c r="F65" s="4511"/>
      <c r="G65" s="4511"/>
      <c r="H65" s="4511"/>
      <c r="I65" s="4511"/>
      <c r="J65" s="4511"/>
      <c r="K65" s="4511"/>
      <c r="L65" s="4511"/>
      <c r="M65" s="4511"/>
      <c r="N65" s="6"/>
      <c r="O65" s="6"/>
      <c r="P65" s="6"/>
      <c r="Q65" s="4279"/>
      <c r="R65" s="6"/>
      <c r="S65" s="6"/>
      <c r="T65" s="6"/>
      <c r="U65" s="6"/>
      <c r="V65" s="6"/>
      <c r="W65" s="6"/>
      <c r="X65" s="6"/>
      <c r="Y65" s="1408"/>
      <c r="Z65" s="1408"/>
      <c r="AA65" s="1408"/>
      <c r="AB65" s="1408"/>
      <c r="AC65" s="1408"/>
      <c r="AD65" s="1408"/>
      <c r="AE65" s="1408"/>
      <c r="AF65" s="1408"/>
      <c r="AG65" s="6"/>
      <c r="AH65" s="6"/>
      <c r="AI65" s="6"/>
      <c r="AJ65" s="6"/>
      <c r="AK65" s="6"/>
      <c r="AL65" s="6"/>
    </row>
    <row r="66" ht="19.5" customHeight="1">
      <c r="A66" s="6"/>
      <c r="B66" s="4289" t="s">
        <v>3667</v>
      </c>
      <c r="C66" s="6"/>
      <c r="D66" s="6"/>
      <c r="E66" s="6"/>
      <c r="F66" s="6"/>
      <c r="G66" s="6"/>
      <c r="H66" s="6"/>
      <c r="I66" s="6"/>
      <c r="J66" s="6"/>
      <c r="K66" s="6"/>
      <c r="L66" s="6"/>
      <c r="M66" s="6"/>
      <c r="N66" s="6"/>
      <c r="O66" s="6"/>
      <c r="P66" s="6"/>
      <c r="Q66" s="4279"/>
      <c r="R66" s="6"/>
      <c r="S66" s="6"/>
      <c r="T66" s="6"/>
      <c r="U66" s="6"/>
      <c r="V66" s="6"/>
      <c r="W66" s="6"/>
      <c r="X66" s="6"/>
      <c r="Y66" s="1408"/>
      <c r="Z66" s="1408"/>
      <c r="AA66" s="1408"/>
      <c r="AB66" s="1408"/>
      <c r="AC66" s="1408"/>
      <c r="AD66" s="1408"/>
      <c r="AE66" s="1408"/>
      <c r="AF66" s="1408"/>
      <c r="AG66" s="6"/>
      <c r="AH66" s="6"/>
      <c r="AI66" s="6"/>
      <c r="AJ66" s="6"/>
      <c r="AK66" s="6"/>
      <c r="AL66" s="6"/>
    </row>
    <row r="67" ht="19.5" customHeight="1">
      <c r="A67" s="6"/>
      <c r="B67" s="4282" t="s">
        <v>3503</v>
      </c>
      <c r="C67" s="6"/>
      <c r="D67" s="6"/>
      <c r="E67" s="4512"/>
      <c r="F67" s="4512"/>
      <c r="G67" s="4512"/>
      <c r="H67" s="4282"/>
      <c r="I67" s="4282"/>
      <c r="J67" s="4282" t="s">
        <v>3668</v>
      </c>
      <c r="K67" s="4512"/>
      <c r="L67" s="4512"/>
      <c r="M67" s="4512"/>
      <c r="N67" s="6"/>
      <c r="O67" s="6"/>
      <c r="P67" s="6"/>
      <c r="Q67" s="4279"/>
      <c r="R67" s="6"/>
      <c r="S67" s="6"/>
      <c r="T67" s="6"/>
      <c r="U67" s="6"/>
      <c r="V67" s="6"/>
      <c r="W67" s="6"/>
      <c r="X67" s="6"/>
      <c r="Y67" s="1408"/>
      <c r="Z67" s="1408"/>
      <c r="AA67" s="1408"/>
      <c r="AB67" s="1408"/>
      <c r="AC67" s="1408"/>
      <c r="AD67" s="1408"/>
      <c r="AE67" s="1408"/>
      <c r="AF67" s="1408"/>
      <c r="AG67" s="6"/>
      <c r="AH67" s="6"/>
      <c r="AI67" s="6"/>
      <c r="AJ67" s="6"/>
      <c r="AK67" s="6"/>
      <c r="AL67" s="6"/>
    </row>
    <row r="68" ht="19.5" customHeight="1">
      <c r="A68" s="6"/>
      <c r="B68" s="4282"/>
      <c r="C68" s="6"/>
      <c r="D68" s="6"/>
      <c r="E68" s="4517"/>
      <c r="F68" s="4517"/>
      <c r="G68" s="4518"/>
      <c r="H68" s="4282"/>
      <c r="I68" s="4282"/>
      <c r="J68" s="4282"/>
      <c r="K68" s="4517"/>
      <c r="L68" s="4517"/>
      <c r="M68" s="4518"/>
      <c r="N68" s="6"/>
      <c r="O68" s="6"/>
      <c r="P68" s="6"/>
      <c r="Q68" s="4279"/>
      <c r="R68" s="6"/>
      <c r="S68" s="6"/>
      <c r="T68" s="6"/>
      <c r="U68" s="6"/>
      <c r="V68" s="6"/>
      <c r="W68" s="6"/>
      <c r="X68" s="6"/>
      <c r="Y68" s="1408"/>
      <c r="Z68" s="1408"/>
      <c r="AA68" s="1408"/>
      <c r="AB68" s="1408"/>
      <c r="AC68" s="1408"/>
      <c r="AD68" s="1408"/>
      <c r="AE68" s="1408"/>
      <c r="AF68" s="1408"/>
      <c r="AG68" s="6"/>
      <c r="AH68" s="6"/>
      <c r="AI68" s="6"/>
      <c r="AJ68" s="6"/>
      <c r="AK68" s="6"/>
      <c r="AL68" s="6"/>
    </row>
    <row r="69" ht="19.5" customHeight="1">
      <c r="A69" s="6"/>
      <c r="B69" s="4282" t="s">
        <v>3669</v>
      </c>
      <c r="C69" s="6"/>
      <c r="D69" s="6"/>
      <c r="E69" s="4512"/>
      <c r="F69" s="4512"/>
      <c r="G69" s="4512"/>
      <c r="H69" s="4282"/>
      <c r="I69" s="4282"/>
      <c r="J69" s="4282" t="s">
        <v>3670</v>
      </c>
      <c r="K69" s="4512"/>
      <c r="L69" s="4512"/>
      <c r="M69" s="4512"/>
      <c r="N69" s="6"/>
      <c r="O69" s="6"/>
      <c r="P69" s="6"/>
      <c r="Q69" s="4279"/>
      <c r="R69" s="6"/>
      <c r="S69" s="6"/>
      <c r="T69" s="6"/>
      <c r="U69" s="6"/>
      <c r="V69" s="6"/>
      <c r="W69" s="6"/>
      <c r="X69" s="6"/>
      <c r="Y69" s="1408"/>
      <c r="Z69" s="1408"/>
      <c r="AA69" s="1408"/>
      <c r="AB69" s="1408"/>
      <c r="AC69" s="1408"/>
      <c r="AD69" s="1408"/>
      <c r="AE69" s="1408"/>
      <c r="AF69" s="1408"/>
      <c r="AG69" s="6"/>
      <c r="AH69" s="6"/>
      <c r="AI69" s="6"/>
      <c r="AJ69" s="6"/>
      <c r="AK69" s="6"/>
      <c r="AL69" s="6"/>
    </row>
    <row r="70" ht="19.5" customHeight="1">
      <c r="A70" s="6"/>
      <c r="B70" s="4282"/>
      <c r="C70" s="6"/>
      <c r="D70" s="6"/>
      <c r="E70" s="829"/>
      <c r="F70" s="829"/>
      <c r="G70" s="829"/>
      <c r="H70" s="4282"/>
      <c r="I70" s="4282"/>
      <c r="J70" s="4282"/>
      <c r="K70" s="4517"/>
      <c r="L70" s="4517"/>
      <c r="M70" s="4518"/>
      <c r="N70" s="6"/>
      <c r="O70" s="6"/>
      <c r="P70" s="6"/>
      <c r="Q70" s="4279"/>
      <c r="R70" s="6"/>
      <c r="S70" s="6"/>
      <c r="T70" s="6"/>
      <c r="U70" s="6"/>
      <c r="V70" s="6"/>
      <c r="W70" s="6"/>
      <c r="X70" s="6"/>
      <c r="Y70" s="1408"/>
      <c r="Z70" s="1408"/>
      <c r="AA70" s="1408"/>
      <c r="AB70" s="1408"/>
      <c r="AC70" s="1408"/>
      <c r="AD70" s="1408"/>
      <c r="AE70" s="1408"/>
      <c r="AF70" s="1408"/>
      <c r="AG70" s="6"/>
      <c r="AH70" s="6"/>
      <c r="AI70" s="6"/>
      <c r="AJ70" s="6"/>
      <c r="AK70" s="6"/>
      <c r="AL70" s="6"/>
    </row>
    <row r="71" ht="19.5" customHeight="1">
      <c r="A71" s="6"/>
      <c r="B71" s="4282" t="s">
        <v>3671</v>
      </c>
      <c r="C71" s="6"/>
      <c r="D71" s="6"/>
      <c r="E71" s="4512"/>
      <c r="F71" s="4512"/>
      <c r="G71" s="4512"/>
      <c r="H71" s="4282"/>
      <c r="I71" s="4282"/>
      <c r="J71" s="4282" t="s">
        <v>3672</v>
      </c>
      <c r="K71" s="4512"/>
      <c r="L71" s="4512"/>
      <c r="M71" s="4512"/>
      <c r="N71" s="6"/>
      <c r="O71" s="6"/>
      <c r="P71" s="6"/>
      <c r="Q71" s="4279"/>
      <c r="R71" s="6"/>
      <c r="S71" s="6"/>
      <c r="T71" s="6"/>
      <c r="U71" s="6"/>
      <c r="V71" s="6"/>
      <c r="W71" s="6"/>
      <c r="X71" s="6"/>
      <c r="Y71" s="1408"/>
      <c r="Z71" s="1408"/>
      <c r="AA71" s="1408"/>
      <c r="AB71" s="1408"/>
      <c r="AC71" s="1408"/>
      <c r="AD71" s="1408"/>
      <c r="AE71" s="1408"/>
      <c r="AF71" s="1408"/>
      <c r="AG71" s="6"/>
      <c r="AH71" s="6"/>
      <c r="AI71" s="6"/>
      <c r="AJ71" s="6"/>
      <c r="AK71" s="6"/>
      <c r="AL71" s="6"/>
    </row>
    <row r="72" ht="19.5" customHeight="1">
      <c r="A72" s="6"/>
      <c r="B72" s="4282"/>
      <c r="C72" s="6"/>
      <c r="D72" s="6"/>
      <c r="E72" s="829"/>
      <c r="F72" s="829"/>
      <c r="G72" s="829"/>
      <c r="H72" s="4282"/>
      <c r="I72" s="4282"/>
      <c r="J72" s="4282"/>
      <c r="K72" s="4518"/>
      <c r="L72" s="4518"/>
      <c r="M72" s="4518"/>
      <c r="N72" s="6"/>
      <c r="O72" s="6"/>
      <c r="P72" s="6"/>
      <c r="Q72" s="4279"/>
      <c r="R72" s="6"/>
      <c r="S72" s="6"/>
      <c r="T72" s="6"/>
      <c r="U72" s="6"/>
      <c r="V72" s="6"/>
      <c r="W72" s="6"/>
      <c r="X72" s="6"/>
      <c r="Y72" s="1408"/>
      <c r="Z72" s="1408"/>
      <c r="AA72" s="1408"/>
      <c r="AB72" s="1408"/>
      <c r="AC72" s="1408"/>
      <c r="AD72" s="1408"/>
      <c r="AE72" s="1408"/>
      <c r="AF72" s="1408"/>
      <c r="AG72" s="6"/>
      <c r="AH72" s="6"/>
      <c r="AI72" s="6"/>
      <c r="AJ72" s="6"/>
      <c r="AK72" s="6"/>
      <c r="AL72" s="6"/>
    </row>
    <row r="73" ht="19.5" customHeight="1">
      <c r="A73" s="6"/>
      <c r="B73" s="4282" t="s">
        <v>3673</v>
      </c>
      <c r="C73" s="6"/>
      <c r="D73" s="6"/>
      <c r="E73" s="4512"/>
      <c r="F73" s="4512"/>
      <c r="G73" s="4512"/>
      <c r="H73" s="4282"/>
      <c r="I73" s="4282"/>
      <c r="J73" s="4282" t="s">
        <v>3674</v>
      </c>
      <c r="K73" s="4512"/>
      <c r="L73" s="4512"/>
      <c r="M73" s="4512"/>
      <c r="N73" s="6"/>
      <c r="O73" s="6"/>
      <c r="P73" s="6"/>
      <c r="Q73" s="4279"/>
      <c r="R73" s="6"/>
      <c r="S73" s="6"/>
      <c r="T73" s="6"/>
      <c r="U73" s="6"/>
      <c r="V73" s="6"/>
      <c r="W73" s="6"/>
      <c r="X73" s="6"/>
      <c r="Y73" s="1408"/>
      <c r="Z73" s="1408"/>
      <c r="AA73" s="1408"/>
      <c r="AB73" s="1408"/>
      <c r="AC73" s="1408"/>
      <c r="AD73" s="1408"/>
      <c r="AE73" s="1408"/>
      <c r="AF73" s="1408"/>
      <c r="AG73" s="6"/>
      <c r="AH73" s="6"/>
      <c r="AI73" s="6"/>
      <c r="AJ73" s="6"/>
      <c r="AK73" s="6"/>
      <c r="AL73" s="6"/>
    </row>
    <row r="74" ht="19.5" customHeight="1">
      <c r="A74" s="6"/>
      <c r="B74" s="4282"/>
      <c r="C74" s="6"/>
      <c r="D74" s="6"/>
      <c r="E74" s="4282"/>
      <c r="F74" s="4282"/>
      <c r="G74" s="4282"/>
      <c r="H74" s="4282"/>
      <c r="I74" s="4282"/>
      <c r="J74" s="6"/>
      <c r="K74" s="6"/>
      <c r="L74" s="6"/>
      <c r="M74" s="6"/>
      <c r="N74" s="6"/>
      <c r="O74" s="6"/>
      <c r="P74" s="6"/>
      <c r="Q74" s="4279"/>
      <c r="R74" s="6"/>
      <c r="S74" s="6"/>
      <c r="T74" s="6"/>
      <c r="U74" s="6"/>
      <c r="V74" s="6"/>
      <c r="W74" s="6"/>
      <c r="X74" s="6"/>
      <c r="Y74" s="1408"/>
      <c r="Z74" s="1408"/>
      <c r="AA74" s="1408"/>
      <c r="AB74" s="1408"/>
      <c r="AC74" s="1408"/>
      <c r="AD74" s="1408"/>
      <c r="AE74" s="1408"/>
      <c r="AF74" s="1408"/>
      <c r="AG74" s="6"/>
      <c r="AH74" s="6"/>
      <c r="AI74" s="6"/>
      <c r="AJ74" s="6"/>
      <c r="AK74" s="6"/>
      <c r="AL74" s="6"/>
    </row>
    <row r="75" ht="34.5" customHeight="1">
      <c r="A75" s="6"/>
      <c r="B75" s="4519" t="s">
        <v>3675</v>
      </c>
      <c r="C75" s="6"/>
      <c r="D75" s="6"/>
      <c r="E75" s="4512"/>
      <c r="F75" s="4512"/>
      <c r="G75" s="4512"/>
      <c r="H75" s="4282"/>
      <c r="I75" s="4282"/>
      <c r="J75" s="4282"/>
      <c r="K75" s="4294"/>
      <c r="L75" s="4294"/>
      <c r="M75" s="4520"/>
      <c r="N75" s="6"/>
      <c r="O75" s="6"/>
      <c r="P75" s="6"/>
      <c r="Q75" s="4279"/>
      <c r="R75" s="6"/>
      <c r="S75" s="6"/>
      <c r="T75" s="6"/>
      <c r="U75" s="6"/>
      <c r="V75" s="6"/>
      <c r="W75" s="6"/>
      <c r="X75" s="6"/>
      <c r="Y75" s="1408"/>
      <c r="Z75" s="1408"/>
      <c r="AA75" s="1408"/>
      <c r="AB75" s="1408"/>
      <c r="AC75" s="1408"/>
      <c r="AD75" s="1408"/>
      <c r="AE75" s="1408"/>
      <c r="AF75" s="1408"/>
      <c r="AG75" s="6"/>
      <c r="AH75" s="6"/>
      <c r="AI75" s="6"/>
      <c r="AJ75" s="6"/>
      <c r="AK75" s="6"/>
      <c r="AL75" s="6"/>
    </row>
    <row r="76" ht="19.5" customHeight="1">
      <c r="A76" s="6"/>
      <c r="B76" s="4282"/>
      <c r="C76" s="6"/>
      <c r="D76" s="4282"/>
      <c r="E76" s="4519" t="s">
        <v>3676</v>
      </c>
      <c r="F76" s="4519"/>
      <c r="G76" s="4519"/>
      <c r="H76" s="4519"/>
      <c r="I76" s="4519"/>
      <c r="J76" s="4519"/>
      <c r="K76" s="4519" t="s">
        <v>509</v>
      </c>
      <c r="L76" s="4519"/>
      <c r="M76" s="4519" t="s">
        <v>3677</v>
      </c>
      <c r="N76" s="6"/>
      <c r="O76" s="6"/>
      <c r="P76" s="6"/>
      <c r="Q76" s="4279"/>
      <c r="R76" s="6"/>
      <c r="S76" s="6"/>
      <c r="T76" s="6"/>
      <c r="U76" s="6"/>
      <c r="V76" s="6"/>
      <c r="W76" s="6"/>
      <c r="X76" s="6"/>
      <c r="Y76" s="1408"/>
      <c r="Z76" s="1408"/>
      <c r="AA76" s="1408"/>
      <c r="AB76" s="1408"/>
      <c r="AC76" s="1408"/>
      <c r="AD76" s="1408"/>
      <c r="AE76" s="1408"/>
      <c r="AF76" s="1408"/>
      <c r="AG76" s="6"/>
      <c r="AH76" s="6"/>
      <c r="AI76" s="6"/>
      <c r="AJ76" s="6"/>
      <c r="AK76" s="6"/>
      <c r="AL76" s="6"/>
    </row>
    <row r="77" ht="15.75" customHeight="1">
      <c r="A77" s="6"/>
      <c r="B77" s="4282"/>
      <c r="C77" s="6"/>
      <c r="D77" s="4282"/>
      <c r="E77" s="4519"/>
      <c r="F77" s="4519"/>
      <c r="G77" s="4519"/>
      <c r="H77" s="4519"/>
      <c r="I77" s="4519"/>
      <c r="J77" s="4519"/>
      <c r="K77" s="4519"/>
      <c r="L77" s="4519"/>
      <c r="M77" s="4519"/>
      <c r="N77" s="6"/>
      <c r="O77" s="6"/>
      <c r="P77" s="6"/>
      <c r="Q77" s="4279"/>
      <c r="R77" s="6"/>
      <c r="S77" s="6"/>
      <c r="T77" s="6"/>
      <c r="U77" s="6"/>
      <c r="V77" s="6"/>
      <c r="W77" s="6"/>
      <c r="X77" s="6"/>
      <c r="Y77" s="1408"/>
      <c r="Z77" s="1408"/>
      <c r="AA77" s="1408"/>
      <c r="AB77" s="1408"/>
      <c r="AC77" s="1408"/>
      <c r="AD77" s="1408"/>
      <c r="AE77" s="1408"/>
      <c r="AF77" s="1408"/>
      <c r="AG77" s="6"/>
      <c r="AH77" s="6"/>
      <c r="AI77" s="6"/>
      <c r="AJ77" s="6"/>
      <c r="AK77" s="6"/>
      <c r="AL77" s="6"/>
    </row>
    <row r="78" ht="24.75" customHeight="1">
      <c r="A78" s="6"/>
      <c r="B78" s="4282"/>
      <c r="C78" s="6"/>
      <c r="D78" s="4282"/>
      <c r="E78" s="4519"/>
      <c r="F78" s="4519"/>
      <c r="G78" s="4519"/>
      <c r="H78" s="4519"/>
      <c r="I78" s="4519"/>
      <c r="J78" s="4519"/>
      <c r="K78" s="4519"/>
      <c r="L78" s="4519"/>
      <c r="M78" s="4521"/>
      <c r="N78" s="6"/>
      <c r="O78" s="6"/>
      <c r="P78" s="4282"/>
      <c r="Q78" s="4309"/>
      <c r="R78" s="4282"/>
      <c r="S78" s="4282"/>
      <c r="T78" s="4282"/>
      <c r="U78" s="4282"/>
      <c r="V78" s="4282"/>
      <c r="W78" s="6"/>
      <c r="X78" s="6"/>
      <c r="Y78" s="1408"/>
      <c r="Z78" s="1408"/>
      <c r="AA78" s="1408"/>
      <c r="AB78" s="1408"/>
      <c r="AC78" s="1408"/>
      <c r="AD78" s="1408"/>
      <c r="AE78" s="1408"/>
      <c r="AF78" s="1408"/>
      <c r="AG78" s="6"/>
      <c r="AH78" s="6"/>
      <c r="AI78" s="6"/>
      <c r="AJ78" s="6"/>
      <c r="AK78" s="6"/>
      <c r="AL78" s="6"/>
    </row>
    <row r="79" ht="4.5" customHeight="1">
      <c r="A79" s="6"/>
      <c r="B79" s="1365"/>
      <c r="C79" s="1365"/>
      <c r="D79" s="4522"/>
      <c r="E79" s="4522"/>
      <c r="F79" s="4522"/>
      <c r="G79" s="4522"/>
      <c r="H79" s="4522"/>
      <c r="I79" s="4522"/>
      <c r="J79" s="4522"/>
      <c r="K79" s="4522"/>
      <c r="L79" s="4522"/>
      <c r="M79" s="4522"/>
      <c r="N79" s="6"/>
      <c r="O79" s="6"/>
      <c r="P79" s="4282"/>
      <c r="Q79" s="4309"/>
      <c r="R79" s="4282"/>
      <c r="S79" s="4282"/>
      <c r="T79" s="4282"/>
      <c r="U79" s="4282"/>
      <c r="V79" s="4282"/>
      <c r="W79" s="6"/>
      <c r="X79" s="6"/>
      <c r="Y79" s="1408"/>
      <c r="Z79" s="1408"/>
      <c r="AA79" s="1408"/>
      <c r="AB79" s="1408"/>
      <c r="AC79" s="1408"/>
      <c r="AD79" s="1408"/>
      <c r="AE79" s="1408"/>
      <c r="AF79" s="1408"/>
      <c r="AG79" s="6"/>
      <c r="AH79" s="6"/>
      <c r="AI79" s="6"/>
      <c r="AJ79" s="6"/>
      <c r="AK79" s="6"/>
      <c r="AL79" s="6"/>
    </row>
    <row r="80" ht="17.25" customHeight="1">
      <c r="A80" s="6"/>
      <c r="B80" s="4523"/>
      <c r="C80" s="4523"/>
      <c r="D80" s="4524"/>
      <c r="E80" s="4524"/>
      <c r="F80" s="4524"/>
      <c r="G80" s="4524"/>
      <c r="H80" s="4524"/>
      <c r="I80" s="4524"/>
      <c r="J80" s="4524"/>
      <c r="K80" s="4524"/>
      <c r="L80" s="4524"/>
      <c r="M80" s="4524"/>
      <c r="N80" s="6"/>
      <c r="O80" s="6"/>
      <c r="P80" s="4282"/>
      <c r="R80" s="4282"/>
      <c r="S80" s="4282"/>
      <c r="T80" s="4282"/>
      <c r="U80" s="4282"/>
      <c r="V80" s="4282"/>
      <c r="W80" s="6"/>
      <c r="X80" s="6"/>
      <c r="Y80" s="1408"/>
      <c r="Z80" s="1408"/>
      <c r="AA80" s="1408"/>
      <c r="AB80" s="1408"/>
      <c r="AC80" s="1408"/>
      <c r="AD80" s="1408"/>
      <c r="AE80" s="1408"/>
      <c r="AF80" s="1408"/>
      <c r="AG80" s="6"/>
      <c r="AH80" s="6"/>
      <c r="AI80" s="6"/>
      <c r="AJ80" s="6"/>
      <c r="AK80" s="6"/>
      <c r="AL80" s="6"/>
    </row>
    <row r="81" ht="15.75" customHeight="1">
      <c r="A81" s="6"/>
      <c r="B81" s="6"/>
      <c r="C81" s="6"/>
      <c r="D81" s="6"/>
      <c r="E81" s="6"/>
      <c r="F81" s="6"/>
      <c r="G81" s="6"/>
      <c r="H81" s="6"/>
      <c r="I81" s="6"/>
      <c r="J81" s="6"/>
      <c r="K81" s="6"/>
      <c r="L81" s="6"/>
      <c r="M81" s="6"/>
      <c r="N81" s="6"/>
      <c r="O81" s="6"/>
      <c r="P81" s="4282"/>
      <c r="Q81" s="4309"/>
      <c r="R81" s="4282"/>
      <c r="S81" s="4282"/>
      <c r="T81" s="4282"/>
      <c r="U81" s="4282"/>
      <c r="V81" s="4282"/>
      <c r="W81" s="6"/>
      <c r="X81" s="6"/>
      <c r="Y81" s="1408"/>
      <c r="Z81" s="1408"/>
      <c r="AA81" s="1408"/>
      <c r="AB81" s="1408"/>
      <c r="AC81" s="1408"/>
      <c r="AD81" s="1408"/>
      <c r="AE81" s="1408"/>
      <c r="AF81" s="1408"/>
      <c r="AG81" s="6"/>
      <c r="AH81" s="6"/>
      <c r="AI81" s="6"/>
      <c r="AJ81" s="6"/>
      <c r="AK81" s="6"/>
      <c r="AL81" s="6"/>
    </row>
    <row r="82" ht="17.25" customHeight="1">
      <c r="A82" s="6"/>
      <c r="B82" s="4525" t="s">
        <v>3678</v>
      </c>
      <c r="C82" s="6"/>
      <c r="D82" s="6"/>
      <c r="E82" s="6"/>
      <c r="F82" s="6"/>
      <c r="G82" s="6"/>
      <c r="H82" s="6"/>
      <c r="I82" s="6"/>
      <c r="J82" s="6"/>
      <c r="K82" s="6"/>
      <c r="L82" s="6"/>
      <c r="M82" s="6"/>
      <c r="N82" s="6"/>
      <c r="O82" s="6"/>
      <c r="P82" s="4282"/>
      <c r="Q82" s="4309"/>
      <c r="R82" s="4282"/>
      <c r="S82" s="4282"/>
      <c r="T82" s="4282"/>
      <c r="U82" s="4282"/>
      <c r="V82" s="4282"/>
      <c r="W82" s="6"/>
      <c r="X82" s="6"/>
      <c r="Y82" s="1408"/>
      <c r="Z82" s="1408"/>
      <c r="AA82" s="1408"/>
      <c r="AB82" s="1408"/>
      <c r="AC82" s="1408"/>
      <c r="AD82" s="1408"/>
      <c r="AE82" s="1408"/>
      <c r="AF82" s="1408"/>
      <c r="AG82" s="6"/>
      <c r="AH82" s="6"/>
      <c r="AI82" s="6"/>
      <c r="AJ82" s="6"/>
      <c r="AK82" s="6"/>
      <c r="AL82" s="6"/>
    </row>
    <row r="83" ht="15.75" customHeight="1">
      <c r="A83" s="6"/>
      <c r="B83" s="4526" t="s">
        <v>3679</v>
      </c>
      <c r="C83" s="6"/>
      <c r="D83" s="6"/>
      <c r="E83" s="6"/>
      <c r="F83" s="6"/>
      <c r="G83" s="6"/>
      <c r="H83" s="6"/>
      <c r="I83" s="6"/>
      <c r="J83" s="4526" t="s">
        <v>3680</v>
      </c>
      <c r="K83" s="6"/>
      <c r="L83" s="6"/>
      <c r="M83" s="6"/>
      <c r="N83" s="6"/>
      <c r="O83" s="6"/>
      <c r="P83" s="4282"/>
      <c r="Q83" s="4309"/>
      <c r="R83" s="4282"/>
      <c r="S83" s="4282"/>
      <c r="T83" s="4282"/>
      <c r="U83" s="4282"/>
      <c r="V83" s="4282"/>
      <c r="W83" s="6"/>
      <c r="X83" s="6"/>
      <c r="Y83" s="1408"/>
      <c r="Z83" s="1408"/>
      <c r="AA83" s="1408"/>
      <c r="AB83" s="1408"/>
      <c r="AC83" s="1408"/>
      <c r="AD83" s="1408"/>
      <c r="AE83" s="1408"/>
      <c r="AF83" s="1408"/>
      <c r="AG83" s="6"/>
      <c r="AH83" s="6"/>
      <c r="AI83" s="6"/>
      <c r="AJ83" s="6"/>
      <c r="AK83" s="6"/>
      <c r="AL83" s="6"/>
    </row>
    <row r="84" ht="15.75" customHeight="1">
      <c r="A84" s="4282"/>
      <c r="B84" s="6" t="s">
        <v>3681</v>
      </c>
      <c r="C84" s="4282"/>
      <c r="D84" s="4282"/>
      <c r="E84" s="6"/>
      <c r="F84" s="6"/>
      <c r="G84" s="6"/>
      <c r="H84" s="6"/>
      <c r="I84" s="6"/>
      <c r="J84" s="6" t="s">
        <v>3682</v>
      </c>
      <c r="K84" s="6"/>
      <c r="L84" s="6"/>
      <c r="M84" s="6"/>
      <c r="N84" s="4282"/>
      <c r="O84" s="4282"/>
      <c r="P84" s="4282"/>
      <c r="Q84" s="4309"/>
      <c r="R84" s="4282"/>
      <c r="S84" s="4282"/>
      <c r="T84" s="4282"/>
      <c r="U84" s="4282"/>
      <c r="V84" s="4282"/>
      <c r="W84" s="4282"/>
      <c r="X84" s="4282"/>
      <c r="Y84" s="4527"/>
      <c r="Z84" s="4527"/>
      <c r="AA84" s="4527"/>
      <c r="AB84" s="4527"/>
      <c r="AC84" s="4527"/>
      <c r="AD84" s="4527"/>
      <c r="AE84" s="4527"/>
      <c r="AF84" s="4527"/>
      <c r="AG84" s="4282"/>
      <c r="AH84" s="4282"/>
      <c r="AI84" s="4282"/>
      <c r="AJ84" s="4282"/>
      <c r="AK84" s="4282"/>
      <c r="AL84" s="4282"/>
    </row>
    <row r="85" ht="15.75" customHeight="1">
      <c r="A85" s="4282"/>
      <c r="B85" s="6" t="s">
        <v>3683</v>
      </c>
      <c r="C85" s="4282"/>
      <c r="D85" s="4282"/>
      <c r="E85" s="6"/>
      <c r="F85" s="6"/>
      <c r="G85" s="6"/>
      <c r="H85" s="6"/>
      <c r="I85" s="6"/>
      <c r="J85" s="6" t="s">
        <v>3684</v>
      </c>
      <c r="K85" s="6"/>
      <c r="L85" s="6"/>
      <c r="M85" s="6"/>
      <c r="N85" s="4282"/>
      <c r="O85" s="4282"/>
      <c r="P85" s="6"/>
      <c r="Q85" s="4279"/>
      <c r="R85" s="6"/>
      <c r="S85" s="6"/>
      <c r="T85" s="6"/>
      <c r="U85" s="6"/>
      <c r="V85" s="6"/>
      <c r="W85" s="4282"/>
      <c r="X85" s="4282"/>
      <c r="Y85" s="4527"/>
      <c r="Z85" s="4527"/>
      <c r="AA85" s="4527"/>
      <c r="AB85" s="4527"/>
      <c r="AC85" s="4527"/>
      <c r="AD85" s="4527"/>
      <c r="AE85" s="4527"/>
      <c r="AF85" s="4527"/>
      <c r="AG85" s="4282"/>
      <c r="AH85" s="4282"/>
      <c r="AI85" s="4282"/>
      <c r="AJ85" s="4282"/>
      <c r="AK85" s="4282"/>
      <c r="AL85" s="4282"/>
    </row>
    <row r="86" ht="15.75" customHeight="1">
      <c r="A86" s="4282"/>
      <c r="B86" s="6" t="s">
        <v>3685</v>
      </c>
      <c r="C86" s="4282"/>
      <c r="D86" s="4282"/>
      <c r="E86" s="6"/>
      <c r="F86" s="6"/>
      <c r="G86" s="6"/>
      <c r="H86" s="6"/>
      <c r="I86" s="6"/>
      <c r="J86" s="6" t="s">
        <v>3686</v>
      </c>
      <c r="K86" s="6"/>
      <c r="L86" s="6"/>
      <c r="M86" s="6"/>
      <c r="N86" s="4282"/>
      <c r="O86" s="4282"/>
      <c r="P86" s="6"/>
      <c r="Q86" s="4279"/>
      <c r="R86" s="6"/>
      <c r="S86" s="6"/>
      <c r="T86" s="6"/>
      <c r="U86" s="6"/>
      <c r="V86" s="6"/>
      <c r="W86" s="4282"/>
      <c r="X86" s="4282"/>
      <c r="Y86" s="4527"/>
      <c r="Z86" s="4527"/>
      <c r="AA86" s="4527"/>
      <c r="AB86" s="4527"/>
      <c r="AC86" s="4527"/>
      <c r="AD86" s="4527"/>
      <c r="AE86" s="4527"/>
      <c r="AF86" s="4527"/>
      <c r="AG86" s="4282"/>
      <c r="AH86" s="4282"/>
      <c r="AI86" s="4282"/>
      <c r="AJ86" s="4282"/>
      <c r="AK86" s="4282"/>
      <c r="AL86" s="4282"/>
    </row>
    <row r="87" ht="15.75" customHeight="1">
      <c r="A87" s="4282"/>
      <c r="B87" s="6" t="s">
        <v>3687</v>
      </c>
      <c r="C87" s="4282"/>
      <c r="D87" s="4282"/>
      <c r="E87" s="6"/>
      <c r="F87" s="6"/>
      <c r="G87" s="6"/>
      <c r="H87" s="6"/>
      <c r="I87" s="6"/>
      <c r="J87" s="6" t="s">
        <v>3688</v>
      </c>
      <c r="K87" s="6"/>
      <c r="L87" s="6"/>
      <c r="M87" s="6"/>
      <c r="N87" s="4282"/>
      <c r="O87" s="4282"/>
      <c r="P87" s="6"/>
      <c r="R87" s="6"/>
      <c r="S87" s="6"/>
      <c r="T87" s="866"/>
      <c r="U87" s="866"/>
      <c r="V87" s="866"/>
      <c r="W87" s="4282"/>
      <c r="X87" s="4282"/>
      <c r="Y87" s="4527"/>
      <c r="Z87" s="4527"/>
      <c r="AA87" s="4527"/>
      <c r="AB87" s="4527"/>
      <c r="AC87" s="4527"/>
      <c r="AD87" s="4527"/>
      <c r="AE87" s="4527"/>
      <c r="AF87" s="4527"/>
      <c r="AG87" s="4282"/>
      <c r="AH87" s="4282"/>
      <c r="AI87" s="4282"/>
      <c r="AJ87" s="4282"/>
      <c r="AK87" s="4282"/>
      <c r="AL87" s="4282"/>
    </row>
    <row r="88" ht="15.75" customHeight="1">
      <c r="A88" s="4282"/>
      <c r="B88" s="6" t="s">
        <v>3689</v>
      </c>
      <c r="C88" s="6"/>
      <c r="D88" s="4282"/>
      <c r="E88" s="6"/>
      <c r="F88" s="6"/>
      <c r="G88" s="6"/>
      <c r="H88" s="6"/>
      <c r="I88" s="6"/>
      <c r="J88" s="6"/>
      <c r="K88" s="6"/>
      <c r="L88" s="6"/>
      <c r="M88" s="6"/>
      <c r="N88" s="4282"/>
      <c r="O88" s="4282"/>
      <c r="P88" s="6"/>
      <c r="Q88" s="4528"/>
      <c r="R88" s="6"/>
      <c r="S88" s="6"/>
      <c r="T88" s="866"/>
      <c r="U88" s="866"/>
      <c r="V88" s="866"/>
      <c r="W88" s="4282"/>
      <c r="X88" s="4282"/>
      <c r="Y88" s="4527"/>
      <c r="Z88" s="4527"/>
      <c r="AA88" s="4527"/>
      <c r="AB88" s="4527"/>
      <c r="AC88" s="4527"/>
      <c r="AD88" s="4527"/>
      <c r="AE88" s="4527"/>
      <c r="AF88" s="4527"/>
      <c r="AG88" s="4282"/>
      <c r="AH88" s="4282"/>
      <c r="AI88" s="4282"/>
      <c r="AJ88" s="4282"/>
      <c r="AK88" s="4282"/>
      <c r="AL88" s="4282"/>
    </row>
    <row r="89" ht="15.75" customHeight="1">
      <c r="A89" s="4282"/>
      <c r="B89" s="6" t="s">
        <v>3690</v>
      </c>
      <c r="C89" s="4282"/>
      <c r="D89" s="4282"/>
      <c r="E89" s="6"/>
      <c r="F89" s="6"/>
      <c r="G89" s="6"/>
      <c r="H89" s="6"/>
      <c r="I89" s="6"/>
      <c r="J89" s="4526" t="s">
        <v>3691</v>
      </c>
      <c r="K89" s="6"/>
      <c r="L89" s="6"/>
      <c r="M89" s="6"/>
      <c r="N89" s="4282"/>
      <c r="O89" s="4282"/>
      <c r="P89" s="6"/>
      <c r="Q89" s="6"/>
      <c r="R89" s="6"/>
      <c r="S89" s="6"/>
      <c r="T89" s="866"/>
      <c r="U89" s="866"/>
      <c r="V89" s="866"/>
      <c r="W89" s="4282"/>
      <c r="X89" s="4282"/>
      <c r="Y89" s="4527"/>
      <c r="Z89" s="4527"/>
      <c r="AA89" s="4527"/>
      <c r="AB89" s="4527"/>
      <c r="AC89" s="4527"/>
      <c r="AD89" s="4527"/>
      <c r="AE89" s="4527"/>
      <c r="AF89" s="4527"/>
      <c r="AG89" s="4282"/>
      <c r="AH89" s="4282"/>
      <c r="AI89" s="4282"/>
      <c r="AJ89" s="4282"/>
      <c r="AK89" s="4282"/>
      <c r="AL89" s="4282"/>
    </row>
    <row r="90" ht="15.75" customHeight="1">
      <c r="A90" s="4282"/>
      <c r="B90" s="6" t="s">
        <v>3692</v>
      </c>
      <c r="C90" s="4282"/>
      <c r="D90" s="4282"/>
      <c r="E90" s="6"/>
      <c r="F90" s="6"/>
      <c r="G90" s="6"/>
      <c r="H90" s="6"/>
      <c r="I90" s="6"/>
      <c r="J90" s="6" t="s">
        <v>3693</v>
      </c>
      <c r="K90" s="6"/>
      <c r="L90" s="6"/>
      <c r="M90" s="6"/>
      <c r="N90" s="4282"/>
      <c r="O90" s="4282"/>
      <c r="P90" s="6"/>
      <c r="Q90" s="6"/>
      <c r="R90" s="6"/>
      <c r="S90" s="6"/>
      <c r="T90" s="866"/>
      <c r="U90" s="866"/>
      <c r="V90" s="866"/>
      <c r="W90" s="4282"/>
      <c r="X90" s="4282"/>
      <c r="Y90" s="4527"/>
      <c r="Z90" s="4527"/>
      <c r="AA90" s="4527"/>
      <c r="AB90" s="4527"/>
      <c r="AC90" s="4527"/>
      <c r="AD90" s="4527"/>
      <c r="AE90" s="4527"/>
      <c r="AF90" s="4527"/>
      <c r="AG90" s="4282"/>
      <c r="AH90" s="4282"/>
      <c r="AI90" s="4282"/>
      <c r="AJ90" s="4282"/>
      <c r="AK90" s="4282"/>
      <c r="AL90" s="4282"/>
    </row>
    <row r="91" ht="15" customHeight="1">
      <c r="A91" s="6"/>
      <c r="B91" s="9"/>
      <c r="C91" s="9"/>
      <c r="D91" s="9"/>
      <c r="E91" s="9"/>
      <c r="F91" s="9"/>
      <c r="G91" s="9"/>
      <c r="H91" s="9"/>
      <c r="I91" s="9"/>
      <c r="J91" s="9"/>
      <c r="K91" s="9"/>
      <c r="L91" s="9"/>
      <c r="M91" s="9"/>
      <c r="N91" s="6"/>
      <c r="O91" s="6"/>
      <c r="P91" s="6"/>
      <c r="Q91" s="4529">
        <f>SUM(Q92:Q192)</f>
        <v>0</v>
      </c>
      <c r="R91" s="6"/>
      <c r="S91" s="6"/>
      <c r="T91" s="866"/>
      <c r="U91" s="866"/>
      <c r="V91" s="866"/>
      <c r="W91" s="6"/>
      <c r="X91" s="6"/>
      <c r="Y91" s="1408"/>
      <c r="Z91" s="1408"/>
      <c r="AA91" s="1408"/>
      <c r="AB91" s="1408"/>
      <c r="AC91" s="1408"/>
      <c r="AD91" s="1408"/>
      <c r="AE91" s="1408"/>
      <c r="AF91" s="1408"/>
      <c r="AG91" s="6"/>
      <c r="AH91" s="6"/>
      <c r="AI91" s="6"/>
      <c r="AJ91" s="6"/>
      <c r="AK91" s="6"/>
      <c r="AL91" s="6"/>
    </row>
    <row r="92" ht="15" customHeight="1">
      <c r="A92" s="6"/>
      <c r="B92" s="6"/>
      <c r="C92" s="6"/>
      <c r="D92" s="6"/>
      <c r="E92" s="6"/>
      <c r="F92" s="6"/>
      <c r="G92" s="6"/>
      <c r="H92" s="6"/>
      <c r="I92" s="6"/>
      <c r="J92" s="6"/>
      <c r="K92" s="6"/>
      <c r="L92" s="6"/>
      <c r="M92" s="6"/>
      <c r="N92" s="6"/>
      <c r="O92" s="6"/>
      <c r="P92" s="6"/>
      <c r="Q92" s="6"/>
      <c r="R92" s="6"/>
      <c r="S92" s="6"/>
      <c r="T92" s="866"/>
      <c r="U92" s="866"/>
      <c r="V92" s="866"/>
      <c r="W92" s="6"/>
      <c r="X92" s="6"/>
      <c r="Y92" s="1408"/>
      <c r="Z92" s="1408"/>
      <c r="AA92" s="1408"/>
      <c r="AB92" s="1408"/>
      <c r="AC92" s="1408"/>
      <c r="AD92" s="1408"/>
      <c r="AE92" s="1408"/>
      <c r="AF92" s="1408"/>
      <c r="AG92" s="6"/>
      <c r="AH92" s="6"/>
      <c r="AI92" s="6"/>
      <c r="AJ92" s="6"/>
      <c r="AK92" s="6"/>
      <c r="AL92" s="6"/>
    </row>
    <row r="93" ht="21" customHeight="1" s="696" customFormat="1">
      <c r="A93" s="4530"/>
      <c r="B93" s="4531" t="s">
        <v>3694</v>
      </c>
      <c r="C93" s="631"/>
      <c r="D93" s="631"/>
      <c r="E93" s="4532"/>
      <c r="F93" s="4532"/>
      <c r="G93" s="4532"/>
      <c r="H93" s="631"/>
      <c r="I93" s="631"/>
      <c r="J93" s="631"/>
      <c r="K93" s="631"/>
      <c r="L93" s="631"/>
      <c r="M93" s="631"/>
      <c r="N93" s="631"/>
      <c r="O93" s="631"/>
      <c r="P93" s="631"/>
      <c r="Q93" s="4533"/>
      <c r="R93" s="631"/>
      <c r="S93" s="631"/>
      <c r="T93" s="4530"/>
      <c r="U93" s="4530"/>
      <c r="V93" s="4530"/>
      <c r="W93" s="4530"/>
      <c r="X93" s="4530"/>
      <c r="Y93" s="4534"/>
      <c r="Z93" s="4534"/>
      <c r="AA93" s="4534"/>
      <c r="AB93" s="4534"/>
      <c r="AC93" s="4534"/>
      <c r="AD93" s="4534"/>
      <c r="AE93" s="4534"/>
      <c r="AF93" s="4534"/>
      <c r="AG93" s="4530"/>
      <c r="AH93" s="4530"/>
      <c r="AI93" s="4530"/>
      <c r="AJ93" s="4530"/>
      <c r="AK93" s="4530"/>
      <c r="AL93" s="4530"/>
    </row>
    <row r="94" ht="5.25" customHeight="1">
      <c r="A94" s="866"/>
      <c r="B94" s="4535"/>
      <c r="C94" s="4535"/>
      <c r="D94" s="4536"/>
      <c r="E94" s="4536"/>
      <c r="F94" s="4536"/>
      <c r="G94" s="4537"/>
      <c r="H94" s="4535"/>
      <c r="I94" s="4535"/>
      <c r="J94" s="4535"/>
      <c r="K94" s="4535"/>
      <c r="L94" s="4535"/>
      <c r="M94" s="4535"/>
      <c r="N94" s="4535"/>
      <c r="O94" s="4535"/>
      <c r="P94" s="4535"/>
      <c r="Q94" s="4533"/>
      <c r="R94" s="4535"/>
      <c r="S94" s="4535"/>
      <c r="T94" s="866"/>
      <c r="U94" s="866"/>
      <c r="V94" s="866"/>
      <c r="W94" s="866"/>
      <c r="X94" s="866"/>
      <c r="Y94" s="4538"/>
      <c r="Z94" s="4538"/>
      <c r="AA94" s="4538"/>
      <c r="AB94" s="4538"/>
      <c r="AC94" s="4538"/>
      <c r="AD94" s="4538"/>
      <c r="AE94" s="4538"/>
      <c r="AF94" s="4538"/>
      <c r="AG94" s="866"/>
      <c r="AH94" s="866"/>
      <c r="AI94" s="866"/>
      <c r="AJ94" s="866"/>
      <c r="AK94" s="866"/>
      <c r="AL94" s="866"/>
    </row>
    <row r="95" ht="78.75" customHeight="1">
      <c r="A95" s="4438"/>
      <c r="B95" s="4539" t="s">
        <v>451</v>
      </c>
      <c r="C95" s="4535"/>
      <c r="D95" s="4540" t="s">
        <v>3695</v>
      </c>
      <c r="E95" s="4540"/>
      <c r="F95" s="4540"/>
      <c r="G95" s="4540"/>
      <c r="H95" s="4540"/>
      <c r="I95" s="4540"/>
      <c r="J95" s="4540"/>
      <c r="K95" s="4540"/>
      <c r="L95" s="4540"/>
      <c r="M95" s="4540"/>
      <c r="N95" s="4535"/>
      <c r="O95" s="4535"/>
      <c r="P95" s="4535"/>
      <c r="Q95" s="4541">
        <f t="shared" si="10" ref="Q95:Q190">+IF(B95="Yes",1,0)</f>
        <v>0</v>
      </c>
      <c r="R95" s="4535"/>
      <c r="S95" s="4535"/>
      <c r="T95" s="866"/>
      <c r="U95" s="866"/>
      <c r="V95" s="866"/>
      <c r="W95" s="866"/>
      <c r="X95" s="866"/>
      <c r="Y95" s="4535"/>
      <c r="Z95" s="4538"/>
      <c r="AA95" s="4538"/>
      <c r="AB95" s="4538"/>
      <c r="AC95" s="4538"/>
      <c r="AD95" s="4538"/>
      <c r="AE95" s="4538"/>
      <c r="AF95" s="4538"/>
      <c r="AG95" s="866"/>
      <c r="AH95" s="866"/>
      <c r="AI95" s="866"/>
      <c r="AJ95" s="866"/>
      <c r="AK95" s="866"/>
      <c r="AL95" s="866"/>
    </row>
    <row r="96" ht="5.25" customHeight="1">
      <c r="A96" s="4438"/>
      <c r="B96" s="4542"/>
      <c r="C96" s="4535"/>
      <c r="D96" s="4540"/>
      <c r="E96" s="4543"/>
      <c r="F96" s="4543"/>
      <c r="G96" s="4535"/>
      <c r="H96" s="4535"/>
      <c r="I96" s="4535"/>
      <c r="J96" s="4535"/>
      <c r="K96" s="4535"/>
      <c r="L96" s="4535"/>
      <c r="M96" s="4535"/>
      <c r="N96" s="4535"/>
      <c r="O96" s="4535"/>
      <c r="P96" s="4535"/>
      <c r="Q96" s="4541"/>
      <c r="R96" s="4535"/>
      <c r="S96" s="4535"/>
      <c r="T96" s="866"/>
      <c r="U96" s="866"/>
      <c r="V96" s="866"/>
      <c r="W96" s="866"/>
      <c r="X96" s="866"/>
      <c r="Y96" s="4538"/>
      <c r="Z96" s="4538"/>
      <c r="AA96" s="4538"/>
      <c r="AB96" s="4538"/>
      <c r="AC96" s="4538"/>
      <c r="AD96" s="4538"/>
      <c r="AE96" s="4538"/>
      <c r="AF96" s="4538"/>
      <c r="AG96" s="866"/>
      <c r="AH96" s="866"/>
      <c r="AI96" s="866"/>
      <c r="AJ96" s="866"/>
      <c r="AK96" s="866"/>
      <c r="AL96" s="866"/>
    </row>
    <row r="97" ht="110.25" customHeight="1">
      <c r="A97" s="4438"/>
      <c r="B97" s="4539" t="s">
        <v>451</v>
      </c>
      <c r="C97" s="4535"/>
      <c r="D97" s="4540" t="s">
        <v>3696</v>
      </c>
      <c r="E97" s="4540"/>
      <c r="F97" s="4540"/>
      <c r="G97" s="4540"/>
      <c r="H97" s="4540"/>
      <c r="I97" s="4540"/>
      <c r="J97" s="4540"/>
      <c r="K97" s="4540"/>
      <c r="L97" s="4540"/>
      <c r="M97" s="4540"/>
      <c r="N97" s="4535"/>
      <c r="O97" s="4535"/>
      <c r="P97" s="4535"/>
      <c r="Q97" s="4541">
        <f t="shared" si="10"/>
        <v>0</v>
      </c>
      <c r="R97" s="4535"/>
      <c r="S97" s="4535"/>
      <c r="T97" s="866"/>
      <c r="U97" s="866"/>
      <c r="V97" s="866"/>
      <c r="W97" s="866"/>
      <c r="X97" s="866"/>
      <c r="Y97" s="4538"/>
      <c r="Z97" s="4538"/>
      <c r="AA97" s="4538"/>
      <c r="AB97" s="4538"/>
      <c r="AC97" s="4538"/>
      <c r="AD97" s="4538"/>
      <c r="AE97" s="4538"/>
      <c r="AF97" s="4538"/>
      <c r="AG97" s="866"/>
      <c r="AH97" s="866"/>
      <c r="AI97" s="866"/>
      <c r="AJ97" s="866"/>
      <c r="AK97" s="866"/>
      <c r="AL97" s="866"/>
    </row>
    <row r="98" ht="5.25" customHeight="1">
      <c r="A98" s="4438"/>
      <c r="B98" s="4542"/>
      <c r="C98" s="4535"/>
      <c r="D98" s="4544"/>
      <c r="E98" s="4545"/>
      <c r="F98" s="4545"/>
      <c r="G98" s="4546"/>
      <c r="H98" s="4546"/>
      <c r="I98" s="4546"/>
      <c r="J98" s="4546"/>
      <c r="K98" s="4546"/>
      <c r="L98" s="4546"/>
      <c r="M98" s="4546"/>
      <c r="N98" s="4535"/>
      <c r="O98" s="4535"/>
      <c r="P98" s="4535"/>
      <c r="Q98" s="4541"/>
      <c r="R98" s="4535"/>
      <c r="S98" s="4535"/>
      <c r="T98" s="866"/>
      <c r="U98" s="866"/>
      <c r="V98" s="866"/>
      <c r="W98" s="866"/>
      <c r="X98" s="866"/>
      <c r="Y98" s="4538"/>
      <c r="Z98" s="4538"/>
      <c r="AA98" s="4538"/>
      <c r="AB98" s="4538"/>
      <c r="AC98" s="4538"/>
      <c r="AD98" s="4538"/>
      <c r="AE98" s="4538"/>
      <c r="AF98" s="4538"/>
      <c r="AG98" s="866"/>
      <c r="AH98" s="866"/>
      <c r="AI98" s="866"/>
      <c r="AJ98" s="866"/>
      <c r="AK98" s="866"/>
      <c r="AL98" s="866"/>
    </row>
    <row r="99" ht="70.5" customHeight="1">
      <c r="A99" s="4438"/>
      <c r="B99" s="4539" t="s">
        <v>451</v>
      </c>
      <c r="C99" s="4535"/>
      <c r="D99" s="4540" t="s">
        <v>3697</v>
      </c>
      <c r="E99" s="4540"/>
      <c r="F99" s="4540"/>
      <c r="G99" s="4540"/>
      <c r="H99" s="4540"/>
      <c r="I99" s="4540"/>
      <c r="J99" s="4540"/>
      <c r="K99" s="4540"/>
      <c r="L99" s="4540"/>
      <c r="M99" s="4540"/>
      <c r="N99" s="4535"/>
      <c r="O99" s="4535"/>
      <c r="P99" s="4535"/>
      <c r="Q99" s="4541">
        <f t="shared" si="10"/>
        <v>0</v>
      </c>
      <c r="R99" s="4535"/>
      <c r="S99" s="4547"/>
      <c r="T99" s="866"/>
      <c r="U99" s="866"/>
      <c r="V99" s="866"/>
      <c r="W99" s="866"/>
      <c r="X99" s="866"/>
      <c r="Y99" s="4548"/>
      <c r="Z99" s="4538"/>
      <c r="AA99" s="4538"/>
      <c r="AB99" s="4538"/>
      <c r="AC99" s="4538"/>
      <c r="AD99" s="4538"/>
      <c r="AE99" s="4538"/>
      <c r="AF99" s="4538"/>
      <c r="AG99" s="866"/>
      <c r="AH99" s="866"/>
      <c r="AI99" s="866"/>
      <c r="AJ99" s="866"/>
      <c r="AK99" s="866"/>
      <c r="AL99" s="866"/>
    </row>
    <row r="100" ht="13.5" customHeight="1">
      <c r="A100" s="4438"/>
      <c r="B100" s="4549"/>
      <c r="C100" s="4535"/>
      <c r="D100" s="4550" t="s">
        <v>3698</v>
      </c>
      <c r="E100" s="4550"/>
      <c r="F100" s="4550"/>
      <c r="G100" s="4550"/>
      <c r="H100" s="4550"/>
      <c r="I100" s="4550"/>
      <c r="J100" s="4550"/>
      <c r="K100" s="4550"/>
      <c r="L100" s="4550"/>
      <c r="M100" s="4550"/>
      <c r="N100" s="4535"/>
      <c r="O100" s="4551"/>
      <c r="P100" s="4535"/>
      <c r="Q100" s="4541"/>
      <c r="R100" s="4535"/>
      <c r="S100" s="4535"/>
      <c r="T100" s="866"/>
      <c r="U100" s="866"/>
      <c r="V100" s="866"/>
      <c r="W100" s="866"/>
      <c r="X100" s="866"/>
      <c r="Y100" s="4552"/>
      <c r="Z100" s="4538"/>
      <c r="AA100" s="4538"/>
      <c r="AB100" s="4538"/>
      <c r="AC100" s="4538"/>
      <c r="AD100" s="4538"/>
      <c r="AE100" s="4538"/>
      <c r="AF100" s="4538"/>
      <c r="AG100" s="866"/>
      <c r="AH100" s="866"/>
      <c r="AI100" s="866"/>
      <c r="AJ100" s="866"/>
      <c r="AK100" s="866"/>
      <c r="AL100" s="866"/>
    </row>
    <row r="101" ht="45.75" customHeight="1" hidden="1">
      <c r="A101" s="4438"/>
      <c r="B101" s="4549"/>
      <c r="C101" s="4535"/>
      <c r="D101" s="4553"/>
      <c r="E101" s="4553"/>
      <c r="F101" s="4553"/>
      <c r="G101" s="4553"/>
      <c r="H101" s="4553"/>
      <c r="I101" s="4553"/>
      <c r="J101" s="4553"/>
      <c r="K101" s="4553"/>
      <c r="L101" s="4553"/>
      <c r="M101" s="4553"/>
      <c r="N101" s="4535"/>
      <c r="O101" s="4535"/>
      <c r="P101" s="4535"/>
      <c r="Q101" s="4541">
        <f t="shared" si="10"/>
        <v>0</v>
      </c>
      <c r="R101" s="4535"/>
      <c r="S101" s="4535"/>
      <c r="T101" s="866"/>
      <c r="U101" s="866"/>
      <c r="V101" s="866"/>
      <c r="W101" s="866"/>
      <c r="X101" s="866"/>
      <c r="Y101" s="4538"/>
      <c r="Z101" s="4538"/>
      <c r="AA101" s="4538"/>
      <c r="AB101" s="4538"/>
      <c r="AC101" s="4538"/>
      <c r="AD101" s="4538"/>
      <c r="AE101" s="4538"/>
      <c r="AF101" s="4538"/>
      <c r="AG101" s="866"/>
      <c r="AH101" s="866"/>
      <c r="AI101" s="866"/>
      <c r="AJ101" s="866"/>
      <c r="AK101" s="866"/>
      <c r="AL101" s="866"/>
    </row>
    <row r="102" ht="5.25" customHeight="1" hidden="1">
      <c r="A102" s="4438"/>
      <c r="B102" s="4549"/>
      <c r="C102" s="4535"/>
      <c r="D102" s="4544"/>
      <c r="E102" s="4545"/>
      <c r="F102" s="4545"/>
      <c r="G102" s="4546"/>
      <c r="H102" s="4546"/>
      <c r="I102" s="4546"/>
      <c r="J102" s="4546"/>
      <c r="K102" s="4546"/>
      <c r="L102" s="4546"/>
      <c r="M102" s="4546"/>
      <c r="N102" s="4535"/>
      <c r="O102" s="4535"/>
      <c r="P102" s="4535"/>
      <c r="Q102" s="4541"/>
      <c r="R102" s="4535"/>
      <c r="S102" s="4535"/>
      <c r="T102" s="866"/>
      <c r="U102" s="866"/>
      <c r="V102" s="866"/>
      <c r="W102" s="866"/>
      <c r="X102" s="866"/>
      <c r="Y102" s="4538"/>
      <c r="Z102" s="4538"/>
      <c r="AA102" s="4538"/>
      <c r="AB102" s="4538"/>
      <c r="AC102" s="4538"/>
      <c r="AD102" s="4538"/>
      <c r="AE102" s="4538"/>
      <c r="AF102" s="4538"/>
      <c r="AG102" s="866"/>
      <c r="AH102" s="866"/>
      <c r="AI102" s="866"/>
      <c r="AJ102" s="866"/>
      <c r="AK102" s="866"/>
      <c r="AL102" s="866"/>
    </row>
    <row r="103" ht="45.75" customHeight="1" hidden="1">
      <c r="A103" s="4438"/>
      <c r="B103" s="4549"/>
      <c r="C103" s="4535"/>
      <c r="D103" s="4553"/>
      <c r="E103" s="4553"/>
      <c r="F103" s="4553"/>
      <c r="G103" s="4553"/>
      <c r="H103" s="4553"/>
      <c r="I103" s="4553"/>
      <c r="J103" s="4553"/>
      <c r="K103" s="4553"/>
      <c r="L103" s="4553"/>
      <c r="M103" s="4553"/>
      <c r="N103" s="4535"/>
      <c r="O103" s="4535"/>
      <c r="P103" s="4535"/>
      <c r="Q103" s="4541">
        <f t="shared" si="10"/>
        <v>0</v>
      </c>
      <c r="R103" s="4535"/>
      <c r="S103" s="4535"/>
      <c r="T103" s="866"/>
      <c r="U103" s="866"/>
      <c r="V103" s="866"/>
      <c r="W103" s="866"/>
      <c r="X103" s="866"/>
      <c r="Y103" s="4538"/>
      <c r="Z103" s="4538"/>
      <c r="AA103" s="4538"/>
      <c r="AB103" s="4538"/>
      <c r="AC103" s="4538"/>
      <c r="AD103" s="4538"/>
      <c r="AE103" s="4538"/>
      <c r="AF103" s="4538"/>
      <c r="AG103" s="866"/>
      <c r="AH103" s="866"/>
      <c r="AI103" s="866"/>
      <c r="AJ103" s="866"/>
      <c r="AK103" s="866"/>
      <c r="AL103" s="866"/>
    </row>
    <row r="104" ht="5.25" customHeight="1" hidden="1">
      <c r="A104" s="4438"/>
      <c r="B104" s="4549"/>
      <c r="C104" s="4535"/>
      <c r="D104" s="4544"/>
      <c r="E104" s="4545"/>
      <c r="F104" s="4545"/>
      <c r="G104" s="4546"/>
      <c r="H104" s="4546"/>
      <c r="I104" s="4546"/>
      <c r="J104" s="4546"/>
      <c r="K104" s="4546"/>
      <c r="L104" s="4546"/>
      <c r="M104" s="4546"/>
      <c r="N104" s="4535"/>
      <c r="O104" s="4535"/>
      <c r="P104" s="4535"/>
      <c r="Q104" s="4541"/>
      <c r="R104" s="4535"/>
      <c r="S104" s="4535"/>
      <c r="T104" s="866"/>
      <c r="U104" s="866"/>
      <c r="V104" s="866"/>
      <c r="W104" s="866"/>
      <c r="X104" s="866"/>
      <c r="Y104" s="4538"/>
      <c r="Z104" s="4538"/>
      <c r="AA104" s="4538"/>
      <c r="AB104" s="4538"/>
      <c r="AC104" s="4538"/>
      <c r="AD104" s="4538"/>
      <c r="AE104" s="4538"/>
      <c r="AF104" s="4538"/>
      <c r="AG104" s="866"/>
      <c r="AH104" s="866"/>
      <c r="AI104" s="866"/>
      <c r="AJ104" s="866"/>
      <c r="AK104" s="866"/>
      <c r="AL104" s="866"/>
    </row>
    <row r="105" ht="45.75" customHeight="1" hidden="1">
      <c r="A105" s="4438"/>
      <c r="B105" s="4549"/>
      <c r="C105" s="4535"/>
      <c r="D105" s="4553"/>
      <c r="E105" s="4553"/>
      <c r="F105" s="4553"/>
      <c r="G105" s="4553"/>
      <c r="H105" s="4553"/>
      <c r="I105" s="4553"/>
      <c r="J105" s="4553"/>
      <c r="K105" s="4553"/>
      <c r="L105" s="4553"/>
      <c r="M105" s="4553"/>
      <c r="N105" s="4535"/>
      <c r="O105" s="4535"/>
      <c r="P105" s="4535"/>
      <c r="Q105" s="4541">
        <f t="shared" si="10"/>
        <v>0</v>
      </c>
      <c r="R105" s="4535"/>
      <c r="S105" s="4535"/>
      <c r="T105" s="866"/>
      <c r="U105" s="866"/>
      <c r="V105" s="866"/>
      <c r="W105" s="866"/>
      <c r="X105" s="866"/>
      <c r="Y105" s="4538"/>
      <c r="Z105" s="4538"/>
      <c r="AA105" s="4538"/>
      <c r="AB105" s="4538"/>
      <c r="AC105" s="4538"/>
      <c r="AD105" s="4538"/>
      <c r="AE105" s="4538"/>
      <c r="AF105" s="4538"/>
      <c r="AG105" s="866"/>
      <c r="AH105" s="866"/>
      <c r="AI105" s="866"/>
      <c r="AJ105" s="866"/>
      <c r="AK105" s="866"/>
      <c r="AL105" s="866"/>
    </row>
    <row r="106" ht="5.25" customHeight="1" hidden="1">
      <c r="A106" s="4438"/>
      <c r="B106" s="4549"/>
      <c r="C106" s="4535"/>
      <c r="D106" s="4544"/>
      <c r="E106" s="4545"/>
      <c r="F106" s="4545"/>
      <c r="G106" s="4546"/>
      <c r="H106" s="4546"/>
      <c r="I106" s="4546"/>
      <c r="J106" s="4546"/>
      <c r="K106" s="4546"/>
      <c r="L106" s="4546"/>
      <c r="M106" s="4546"/>
      <c r="N106" s="4535"/>
      <c r="O106" s="4535"/>
      <c r="P106" s="4535"/>
      <c r="Q106" s="4541"/>
      <c r="R106" s="4535"/>
      <c r="S106" s="4535"/>
      <c r="T106" s="866"/>
      <c r="U106" s="866"/>
      <c r="V106" s="866"/>
      <c r="W106" s="866"/>
      <c r="X106" s="866"/>
      <c r="Y106" s="4538"/>
      <c r="Z106" s="4538"/>
      <c r="AA106" s="4538"/>
      <c r="AB106" s="4538"/>
      <c r="AC106" s="4538"/>
      <c r="AD106" s="4538"/>
      <c r="AE106" s="4538"/>
      <c r="AF106" s="4538"/>
      <c r="AG106" s="866"/>
      <c r="AH106" s="866"/>
      <c r="AI106" s="866"/>
      <c r="AJ106" s="866"/>
      <c r="AK106" s="866"/>
      <c r="AL106" s="866"/>
    </row>
    <row r="107" ht="45.75" customHeight="1" hidden="1">
      <c r="A107" s="4438"/>
      <c r="B107" s="4549"/>
      <c r="C107" s="4535"/>
      <c r="D107" s="4553"/>
      <c r="E107" s="4553"/>
      <c r="F107" s="4553"/>
      <c r="G107" s="4553"/>
      <c r="H107" s="4553"/>
      <c r="I107" s="4553"/>
      <c r="J107" s="4553"/>
      <c r="K107" s="4553"/>
      <c r="L107" s="4553"/>
      <c r="M107" s="4553"/>
      <c r="N107" s="4535"/>
      <c r="O107" s="4535"/>
      <c r="P107" s="4535"/>
      <c r="Q107" s="4541">
        <f t="shared" si="10"/>
        <v>0</v>
      </c>
      <c r="R107" s="4535"/>
      <c r="S107" s="4535"/>
      <c r="T107" s="866"/>
      <c r="U107" s="866"/>
      <c r="V107" s="866"/>
      <c r="W107" s="866"/>
      <c r="X107" s="866"/>
      <c r="Y107" s="4538"/>
      <c r="Z107" s="4538"/>
      <c r="AA107" s="4538"/>
      <c r="AB107" s="4538"/>
      <c r="AC107" s="4538"/>
      <c r="AD107" s="4538"/>
      <c r="AE107" s="4538"/>
      <c r="AF107" s="4538"/>
      <c r="AG107" s="866"/>
      <c r="AH107" s="866"/>
      <c r="AI107" s="866"/>
      <c r="AJ107" s="866"/>
      <c r="AK107" s="866"/>
      <c r="AL107" s="866"/>
    </row>
    <row r="108" ht="5.25" customHeight="1" hidden="1">
      <c r="A108" s="4438"/>
      <c r="B108" s="4549"/>
      <c r="C108" s="4535"/>
      <c r="D108" s="4544"/>
      <c r="E108" s="4545"/>
      <c r="F108" s="4545"/>
      <c r="G108" s="4546"/>
      <c r="H108" s="4546"/>
      <c r="I108" s="4546"/>
      <c r="J108" s="4546"/>
      <c r="K108" s="4546"/>
      <c r="L108" s="4546"/>
      <c r="M108" s="4546"/>
      <c r="N108" s="4535"/>
      <c r="O108" s="4535"/>
      <c r="P108" s="4535"/>
      <c r="Q108" s="4541"/>
      <c r="R108" s="4535"/>
      <c r="S108" s="4535"/>
      <c r="T108" s="866"/>
      <c r="U108" s="866"/>
      <c r="V108" s="866"/>
      <c r="W108" s="866"/>
      <c r="X108" s="866"/>
      <c r="Y108" s="4538"/>
      <c r="Z108" s="4538"/>
      <c r="AA108" s="4538"/>
      <c r="AB108" s="4538"/>
      <c r="AC108" s="4538"/>
      <c r="AD108" s="4538"/>
      <c r="AE108" s="4538"/>
      <c r="AF108" s="4538"/>
      <c r="AG108" s="866"/>
      <c r="AH108" s="866"/>
      <c r="AI108" s="866"/>
      <c r="AJ108" s="866"/>
      <c r="AK108" s="866"/>
      <c r="AL108" s="866"/>
    </row>
    <row r="109" ht="45.75" customHeight="1" hidden="1">
      <c r="A109" s="4438"/>
      <c r="B109" s="4549"/>
      <c r="C109" s="4535"/>
      <c r="D109" s="4553"/>
      <c r="E109" s="4553"/>
      <c r="F109" s="4553"/>
      <c r="G109" s="4553"/>
      <c r="H109" s="4553"/>
      <c r="I109" s="4553"/>
      <c r="J109" s="4553"/>
      <c r="K109" s="4553"/>
      <c r="L109" s="4553"/>
      <c r="M109" s="4553"/>
      <c r="N109" s="4535"/>
      <c r="O109" s="4535"/>
      <c r="P109" s="4535"/>
      <c r="Q109" s="4541">
        <f t="shared" si="10"/>
        <v>0</v>
      </c>
      <c r="R109" s="4535"/>
      <c r="S109" s="4535"/>
      <c r="T109" s="866"/>
      <c r="U109" s="866"/>
      <c r="V109" s="866"/>
      <c r="W109" s="866"/>
      <c r="X109" s="866"/>
      <c r="Y109" s="4538"/>
      <c r="Z109" s="4538"/>
      <c r="AA109" s="4538"/>
      <c r="AB109" s="4538"/>
      <c r="AC109" s="4538"/>
      <c r="AD109" s="4538"/>
      <c r="AE109" s="4538"/>
      <c r="AF109" s="4538"/>
      <c r="AG109" s="866"/>
      <c r="AH109" s="866"/>
      <c r="AI109" s="866"/>
      <c r="AJ109" s="866"/>
      <c r="AK109" s="866"/>
      <c r="AL109" s="866"/>
    </row>
    <row r="110" ht="5.25" customHeight="1">
      <c r="A110" s="4438"/>
      <c r="B110" s="4549"/>
      <c r="C110" s="4535"/>
      <c r="D110" s="4544"/>
      <c r="E110" s="4545"/>
      <c r="F110" s="4545"/>
      <c r="G110" s="4546"/>
      <c r="H110" s="4546"/>
      <c r="I110" s="4546"/>
      <c r="J110" s="4546"/>
      <c r="K110" s="4546"/>
      <c r="L110" s="4546"/>
      <c r="M110" s="4546"/>
      <c r="N110" s="4535"/>
      <c r="O110" s="4535"/>
      <c r="P110" s="4535"/>
      <c r="Q110" s="4541"/>
      <c r="R110" s="4535"/>
      <c r="S110" s="4535"/>
      <c r="T110" s="866"/>
      <c r="U110" s="866"/>
      <c r="V110" s="866"/>
      <c r="W110" s="866"/>
      <c r="X110" s="866"/>
      <c r="Y110" s="4538"/>
      <c r="Z110" s="4538"/>
      <c r="AA110" s="4538"/>
      <c r="AB110" s="4538"/>
      <c r="AC110" s="4538"/>
      <c r="AD110" s="4538"/>
      <c r="AE110" s="4538"/>
      <c r="AF110" s="4538"/>
      <c r="AG110" s="866"/>
      <c r="AH110" s="866"/>
      <c r="AI110" s="866"/>
      <c r="AJ110" s="866"/>
      <c r="AK110" s="866"/>
      <c r="AL110" s="866"/>
    </row>
    <row r="111" ht="42.75" customHeight="1">
      <c r="A111" s="4438"/>
      <c r="B111" s="4539" t="s">
        <v>451</v>
      </c>
      <c r="C111" s="4535"/>
      <c r="D111" s="4540" t="s">
        <v>3699</v>
      </c>
      <c r="E111" s="4540"/>
      <c r="F111" s="4540"/>
      <c r="G111" s="4540"/>
      <c r="H111" s="4540"/>
      <c r="I111" s="4540"/>
      <c r="J111" s="4540"/>
      <c r="K111" s="4540"/>
      <c r="L111" s="4540"/>
      <c r="M111" s="4540"/>
      <c r="N111" s="4535"/>
      <c r="O111" s="4535"/>
      <c r="P111" s="4535"/>
      <c r="Q111" s="4541">
        <f t="shared" si="10"/>
        <v>0</v>
      </c>
      <c r="R111" s="4535"/>
      <c r="S111" s="4535"/>
      <c r="T111" s="866"/>
      <c r="U111" s="866"/>
      <c r="V111" s="866"/>
      <c r="W111" s="866"/>
      <c r="X111" s="866"/>
      <c r="Y111" s="4538"/>
      <c r="Z111" s="4538"/>
      <c r="AA111" s="4538"/>
      <c r="AB111" s="4538"/>
      <c r="AC111" s="4538"/>
      <c r="AD111" s="4538"/>
      <c r="AE111" s="4538"/>
      <c r="AF111" s="4538"/>
      <c r="AG111" s="866"/>
      <c r="AH111" s="866"/>
      <c r="AI111" s="866"/>
      <c r="AJ111" s="866"/>
      <c r="AK111" s="866"/>
      <c r="AL111" s="866"/>
    </row>
    <row r="112" ht="18.75" customHeight="1" hidden="1">
      <c r="A112" s="4438"/>
      <c r="B112" s="4554"/>
      <c r="C112" s="4535"/>
      <c r="D112" s="4540"/>
      <c r="E112" s="4543"/>
      <c r="F112" s="4543"/>
      <c r="G112" s="4535"/>
      <c r="H112" s="4535"/>
      <c r="I112" s="4535"/>
      <c r="J112" s="4535"/>
      <c r="K112" s="4535"/>
      <c r="L112" s="4535"/>
      <c r="M112" s="4535"/>
      <c r="N112" s="4535"/>
      <c r="O112" s="4535"/>
      <c r="P112" s="4535"/>
      <c r="Q112" s="4541"/>
      <c r="R112" s="4535"/>
      <c r="S112" s="4535"/>
      <c r="T112" s="866"/>
      <c r="U112" s="866"/>
      <c r="V112" s="866"/>
      <c r="W112" s="866"/>
      <c r="X112" s="866"/>
      <c r="Y112" s="4538"/>
      <c r="Z112" s="4538"/>
      <c r="AA112" s="4538"/>
      <c r="AB112" s="4538"/>
      <c r="AC112" s="4538"/>
      <c r="AD112" s="4538"/>
      <c r="AE112" s="4538"/>
      <c r="AF112" s="4538"/>
      <c r="AG112" s="866"/>
      <c r="AH112" s="866"/>
      <c r="AI112" s="866"/>
      <c r="AJ112" s="866"/>
      <c r="AK112" s="866"/>
      <c r="AL112" s="866"/>
    </row>
    <row r="113" ht="5.25" customHeight="1">
      <c r="A113" s="4438"/>
      <c r="B113" s="4555"/>
      <c r="C113" s="4555"/>
      <c r="D113" s="4555"/>
      <c r="E113" s="4555"/>
      <c r="F113" s="4555"/>
      <c r="G113" s="4555"/>
      <c r="H113" s="4555"/>
      <c r="I113" s="4555"/>
      <c r="J113" s="4555"/>
      <c r="K113" s="4555"/>
      <c r="L113" s="4555"/>
      <c r="M113" s="4555"/>
      <c r="N113" s="4535"/>
      <c r="O113" s="4535"/>
      <c r="P113" s="4535"/>
      <c r="Q113" s="4541"/>
      <c r="R113" s="4535"/>
      <c r="S113" s="4535"/>
      <c r="T113" s="866"/>
      <c r="U113" s="866"/>
      <c r="V113" s="866"/>
      <c r="W113" s="866"/>
      <c r="X113" s="866"/>
      <c r="Y113" s="4538"/>
      <c r="Z113" s="4538"/>
      <c r="AA113" s="4538"/>
      <c r="AB113" s="4538"/>
      <c r="AC113" s="4538"/>
      <c r="AD113" s="4538"/>
      <c r="AE113" s="4538"/>
      <c r="AF113" s="4538"/>
      <c r="AG113" s="866"/>
      <c r="AH113" s="866"/>
      <c r="AI113" s="866"/>
      <c r="AJ113" s="866"/>
      <c r="AK113" s="866"/>
      <c r="AL113" s="866"/>
    </row>
    <row r="114" ht="67.5" customHeight="1">
      <c r="A114" s="4438"/>
      <c r="B114" s="4539" t="s">
        <v>451</v>
      </c>
      <c r="C114" s="4535"/>
      <c r="D114" s="4540" t="s">
        <v>3700</v>
      </c>
      <c r="E114" s="4540"/>
      <c r="F114" s="4540"/>
      <c r="G114" s="4540"/>
      <c r="H114" s="4540"/>
      <c r="I114" s="4540"/>
      <c r="J114" s="4540"/>
      <c r="K114" s="4540"/>
      <c r="L114" s="4540"/>
      <c r="M114" s="4540"/>
      <c r="N114" s="4535"/>
      <c r="O114" s="4535"/>
      <c r="P114" s="4535"/>
      <c r="Q114" s="4541">
        <f t="shared" si="10"/>
        <v>0</v>
      </c>
      <c r="R114" s="4535"/>
      <c r="S114" s="4535"/>
      <c r="T114" s="866"/>
      <c r="U114" s="866"/>
      <c r="V114" s="866"/>
      <c r="W114" s="866"/>
      <c r="X114" s="866"/>
      <c r="Y114" s="4538"/>
      <c r="Z114" s="4538"/>
      <c r="AA114" s="4538"/>
      <c r="AB114" s="4538"/>
      <c r="AC114" s="4538"/>
      <c r="AD114" s="4538"/>
      <c r="AE114" s="4538"/>
      <c r="AF114" s="4538"/>
      <c r="AG114" s="866"/>
      <c r="AH114" s="866"/>
      <c r="AI114" s="866"/>
      <c r="AJ114" s="866"/>
      <c r="AK114" s="866"/>
      <c r="AL114" s="866"/>
    </row>
    <row r="115" ht="5.25" customHeight="1">
      <c r="A115" s="4438"/>
      <c r="B115" s="4542"/>
      <c r="C115" s="4535"/>
      <c r="D115" s="4544"/>
      <c r="E115" s="4545"/>
      <c r="F115" s="4545"/>
      <c r="G115" s="4546"/>
      <c r="H115" s="4546"/>
      <c r="I115" s="4546"/>
      <c r="J115" s="4546"/>
      <c r="K115" s="4546"/>
      <c r="L115" s="4546"/>
      <c r="M115" s="4546"/>
      <c r="N115" s="4535"/>
      <c r="O115" s="4535"/>
      <c r="P115" s="4535"/>
      <c r="Q115" s="4541"/>
      <c r="R115" s="4535"/>
      <c r="S115" s="4535"/>
      <c r="T115" s="866"/>
      <c r="U115" s="866"/>
      <c r="V115" s="866"/>
      <c r="W115" s="866"/>
      <c r="X115" s="866"/>
      <c r="Y115" s="4538"/>
      <c r="Z115" s="4538"/>
      <c r="AA115" s="4538"/>
      <c r="AB115" s="4538"/>
      <c r="AC115" s="4538"/>
      <c r="AD115" s="4538"/>
      <c r="AE115" s="4538"/>
      <c r="AF115" s="4538"/>
      <c r="AG115" s="866"/>
      <c r="AH115" s="866"/>
      <c r="AI115" s="866"/>
      <c r="AJ115" s="866"/>
      <c r="AK115" s="866"/>
      <c r="AL115" s="866"/>
    </row>
    <row r="116" ht="114.75" customHeight="1">
      <c r="A116" s="4438"/>
      <c r="B116" s="4539" t="s">
        <v>451</v>
      </c>
      <c r="C116" s="4535"/>
      <c r="D116" s="4540" t="s">
        <v>3701</v>
      </c>
      <c r="E116" s="4540"/>
      <c r="F116" s="4540"/>
      <c r="G116" s="4540"/>
      <c r="H116" s="4540"/>
      <c r="I116" s="4540"/>
      <c r="J116" s="4540"/>
      <c r="K116" s="4540"/>
      <c r="L116" s="4540"/>
      <c r="M116" s="4540"/>
      <c r="N116" s="4535"/>
      <c r="O116" s="4535"/>
      <c r="P116" s="4535"/>
      <c r="Q116" s="4541">
        <f t="shared" si="10"/>
        <v>0</v>
      </c>
      <c r="R116" s="4535"/>
      <c r="S116" s="4535"/>
      <c r="T116" s="866"/>
      <c r="U116" s="866"/>
      <c r="V116" s="866"/>
      <c r="W116" s="866"/>
      <c r="X116" s="866"/>
      <c r="Y116" s="4538"/>
      <c r="Z116" s="4538"/>
      <c r="AA116" s="4538"/>
      <c r="AB116" s="4538"/>
      <c r="AC116" s="4538"/>
      <c r="AD116" s="4538"/>
      <c r="AE116" s="4538"/>
      <c r="AF116" s="4538"/>
      <c r="AG116" s="866"/>
      <c r="AH116" s="866"/>
      <c r="AI116" s="866"/>
      <c r="AJ116" s="866"/>
      <c r="AK116" s="866"/>
      <c r="AL116" s="866"/>
    </row>
    <row r="117" ht="5.25" customHeight="1">
      <c r="A117" s="4438"/>
      <c r="B117" s="4554"/>
      <c r="C117" s="4535"/>
      <c r="D117" s="4544"/>
      <c r="E117" s="4545"/>
      <c r="F117" s="4545"/>
      <c r="G117" s="4546"/>
      <c r="H117" s="4546"/>
      <c r="I117" s="4546"/>
      <c r="J117" s="4546"/>
      <c r="K117" s="4546"/>
      <c r="L117" s="4546"/>
      <c r="M117" s="4546"/>
      <c r="N117" s="4535"/>
      <c r="O117" s="4535"/>
      <c r="P117" s="4535"/>
      <c r="Q117" s="4541"/>
      <c r="R117" s="4535"/>
      <c r="S117" s="4535"/>
      <c r="T117" s="866"/>
      <c r="U117" s="866"/>
      <c r="V117" s="866"/>
      <c r="W117" s="866"/>
      <c r="X117" s="866"/>
      <c r="Y117" s="4538"/>
      <c r="Z117" s="4538"/>
      <c r="AA117" s="4538"/>
      <c r="AB117" s="4538"/>
      <c r="AC117" s="4538"/>
      <c r="AD117" s="4538"/>
      <c r="AE117" s="4538"/>
      <c r="AF117" s="4538"/>
      <c r="AG117" s="866"/>
      <c r="AH117" s="866"/>
      <c r="AI117" s="866"/>
      <c r="AJ117" s="866"/>
      <c r="AK117" s="866"/>
      <c r="AL117" s="866"/>
    </row>
    <row r="118" ht="21" customHeight="1" s="696" customFormat="1">
      <c r="A118" s="4556"/>
      <c r="B118" s="4531" t="s">
        <v>3702</v>
      </c>
      <c r="C118" s="631"/>
      <c r="D118" s="631"/>
      <c r="E118" s="4532"/>
      <c r="F118" s="4532"/>
      <c r="G118" s="4532"/>
      <c r="H118" s="631"/>
      <c r="I118" s="631"/>
      <c r="J118" s="631"/>
      <c r="K118" s="631"/>
      <c r="L118" s="631"/>
      <c r="M118" s="631"/>
      <c r="N118" s="631"/>
      <c r="O118" s="631"/>
      <c r="P118" s="631"/>
      <c r="Q118" s="4541"/>
      <c r="R118" s="631"/>
      <c r="S118" s="631"/>
      <c r="T118" s="4530"/>
      <c r="U118" s="4530"/>
      <c r="V118" s="4530"/>
      <c r="W118" s="4530"/>
      <c r="X118" s="4530"/>
      <c r="Y118" s="4534"/>
      <c r="Z118" s="4534"/>
      <c r="AA118" s="4534"/>
      <c r="AB118" s="4534"/>
      <c r="AC118" s="4534"/>
      <c r="AD118" s="4534"/>
      <c r="AE118" s="4534"/>
      <c r="AF118" s="4534"/>
      <c r="AG118" s="4530"/>
      <c r="AH118" s="4530"/>
      <c r="AI118" s="4530"/>
      <c r="AJ118" s="4530"/>
      <c r="AK118" s="4530"/>
      <c r="AL118" s="4530"/>
    </row>
    <row r="119" ht="5.25" customHeight="1">
      <c r="A119" s="4438"/>
      <c r="B119" s="4557"/>
      <c r="C119" s="4535"/>
      <c r="D119" s="4544"/>
      <c r="E119" s="4545"/>
      <c r="F119" s="4545"/>
      <c r="G119" s="4546"/>
      <c r="H119" s="4546"/>
      <c r="I119" s="4546"/>
      <c r="J119" s="4546"/>
      <c r="K119" s="4546"/>
      <c r="L119" s="4546"/>
      <c r="M119" s="4546"/>
      <c r="N119" s="4535"/>
      <c r="O119" s="4535"/>
      <c r="P119" s="4535"/>
      <c r="Q119" s="4541"/>
      <c r="R119" s="4535"/>
      <c r="S119" s="4535"/>
      <c r="T119" s="866"/>
      <c r="U119" s="866"/>
      <c r="V119" s="866"/>
      <c r="W119" s="866"/>
      <c r="X119" s="866"/>
      <c r="Y119" s="4538"/>
      <c r="Z119" s="4538"/>
      <c r="AA119" s="4538"/>
      <c r="AB119" s="4538"/>
      <c r="AC119" s="4538"/>
      <c r="AD119" s="4538"/>
      <c r="AE119" s="4538"/>
      <c r="AF119" s="4538"/>
      <c r="AG119" s="866"/>
      <c r="AH119" s="866"/>
      <c r="AI119" s="866"/>
      <c r="AJ119" s="866"/>
      <c r="AK119" s="866"/>
      <c r="AL119" s="866"/>
    </row>
    <row r="120" ht="45.75" customHeight="1">
      <c r="A120" s="4438"/>
      <c r="B120" s="4539" t="s">
        <v>451</v>
      </c>
      <c r="C120" s="4535"/>
      <c r="D120" s="4540" t="s">
        <v>3703</v>
      </c>
      <c r="E120" s="4540"/>
      <c r="F120" s="4540"/>
      <c r="G120" s="4540"/>
      <c r="H120" s="4540"/>
      <c r="I120" s="4540"/>
      <c r="J120" s="4540"/>
      <c r="K120" s="4540"/>
      <c r="L120" s="4540"/>
      <c r="M120" s="4540"/>
      <c r="N120" s="4535"/>
      <c r="O120" s="4535"/>
      <c r="P120" s="4535"/>
      <c r="Q120" s="4541">
        <f t="shared" si="10"/>
        <v>0</v>
      </c>
      <c r="R120" s="4535"/>
      <c r="S120" s="4535"/>
      <c r="T120" s="866"/>
      <c r="U120" s="866"/>
      <c r="V120" s="866"/>
      <c r="W120" s="866"/>
      <c r="X120" s="866"/>
      <c r="Y120" s="4538"/>
      <c r="Z120" s="4538"/>
      <c r="AA120" s="4538"/>
      <c r="AB120" s="4538"/>
      <c r="AC120" s="4538"/>
      <c r="AD120" s="4538"/>
      <c r="AE120" s="4538"/>
      <c r="AF120" s="4538"/>
      <c r="AG120" s="866"/>
      <c r="AH120" s="866"/>
      <c r="AI120" s="866"/>
      <c r="AJ120" s="866"/>
      <c r="AK120" s="866"/>
      <c r="AL120" s="866"/>
    </row>
    <row r="121" ht="5.25" customHeight="1">
      <c r="A121" s="4438"/>
      <c r="B121" s="4542"/>
      <c r="C121" s="4535"/>
      <c r="D121" s="4544"/>
      <c r="E121" s="4545"/>
      <c r="F121" s="4545"/>
      <c r="G121" s="4546"/>
      <c r="H121" s="4546"/>
      <c r="I121" s="4546"/>
      <c r="J121" s="4546"/>
      <c r="K121" s="4546"/>
      <c r="L121" s="4546"/>
      <c r="M121" s="4546"/>
      <c r="N121" s="4535"/>
      <c r="O121" s="4535"/>
      <c r="P121" s="4535"/>
      <c r="Q121" s="4541"/>
      <c r="R121" s="4535"/>
      <c r="S121" s="4535"/>
      <c r="T121" s="866"/>
      <c r="U121" s="866"/>
      <c r="V121" s="866"/>
      <c r="W121" s="866"/>
      <c r="X121" s="866"/>
      <c r="Y121" s="4538"/>
      <c r="Z121" s="4538"/>
      <c r="AA121" s="4538"/>
      <c r="AB121" s="4538"/>
      <c r="AC121" s="4538"/>
      <c r="AD121" s="4538"/>
      <c r="AE121" s="4538"/>
      <c r="AF121" s="4538"/>
      <c r="AG121" s="866"/>
      <c r="AH121" s="866"/>
      <c r="AI121" s="866"/>
      <c r="AJ121" s="866"/>
      <c r="AK121" s="866"/>
      <c r="AL121" s="866"/>
    </row>
    <row r="122" ht="45.75" customHeight="1">
      <c r="A122" s="4438"/>
      <c r="B122" s="4539" t="s">
        <v>451</v>
      </c>
      <c r="C122" s="4535"/>
      <c r="D122" s="4540" t="s">
        <v>3704</v>
      </c>
      <c r="E122" s="4540"/>
      <c r="F122" s="4540"/>
      <c r="G122" s="4540"/>
      <c r="H122" s="4540"/>
      <c r="I122" s="4540"/>
      <c r="J122" s="4540"/>
      <c r="K122" s="4540"/>
      <c r="L122" s="4540"/>
      <c r="M122" s="4540"/>
      <c r="N122" s="4535"/>
      <c r="O122" s="4535"/>
      <c r="P122" s="4535"/>
      <c r="Q122" s="4541">
        <f t="shared" si="10"/>
        <v>0</v>
      </c>
      <c r="R122" s="4535"/>
      <c r="S122" s="4535"/>
      <c r="T122" s="866"/>
      <c r="U122" s="866"/>
      <c r="V122" s="866"/>
      <c r="W122" s="866"/>
      <c r="X122" s="866"/>
      <c r="Y122" s="4538"/>
      <c r="Z122" s="4538"/>
      <c r="AA122" s="4538"/>
      <c r="AB122" s="4538"/>
      <c r="AC122" s="4538"/>
      <c r="AD122" s="4538"/>
      <c r="AE122" s="4538"/>
      <c r="AF122" s="4538"/>
      <c r="AG122" s="866"/>
      <c r="AH122" s="866"/>
      <c r="AI122" s="866"/>
      <c r="AJ122" s="866"/>
      <c r="AK122" s="866"/>
      <c r="AL122" s="866"/>
    </row>
    <row r="123" ht="5.25" customHeight="1">
      <c r="A123" s="4438"/>
      <c r="B123" s="4554"/>
      <c r="C123" s="4535"/>
      <c r="D123" s="4544"/>
      <c r="E123" s="4545"/>
      <c r="F123" s="4545"/>
      <c r="G123" s="4546"/>
      <c r="H123" s="4546"/>
      <c r="I123" s="4546"/>
      <c r="J123" s="4546"/>
      <c r="K123" s="4546"/>
      <c r="L123" s="4546"/>
      <c r="M123" s="4546"/>
      <c r="N123" s="4535"/>
      <c r="O123" s="4535"/>
      <c r="P123" s="4535"/>
      <c r="Q123" s="4541"/>
      <c r="R123" s="4535"/>
      <c r="S123" s="4535"/>
      <c r="T123" s="866"/>
      <c r="U123" s="866"/>
      <c r="V123" s="866"/>
      <c r="W123" s="866"/>
      <c r="X123" s="866"/>
      <c r="Y123" s="4538"/>
      <c r="Z123" s="4538"/>
      <c r="AA123" s="4538"/>
      <c r="AB123" s="4538"/>
      <c r="AC123" s="4538"/>
      <c r="AD123" s="4538"/>
      <c r="AE123" s="4538"/>
      <c r="AF123" s="4538"/>
      <c r="AG123" s="866"/>
      <c r="AH123" s="866"/>
      <c r="AI123" s="866"/>
      <c r="AJ123" s="866"/>
      <c r="AK123" s="866"/>
      <c r="AL123" s="866"/>
    </row>
    <row r="124" ht="21" customHeight="1" s="696" customFormat="1">
      <c r="A124" s="4556"/>
      <c r="B124" s="4531" t="s">
        <v>3705</v>
      </c>
      <c r="C124" s="631"/>
      <c r="D124" s="631"/>
      <c r="E124" s="4532"/>
      <c r="F124" s="4532"/>
      <c r="G124" s="4532"/>
      <c r="H124" s="631"/>
      <c r="I124" s="631"/>
      <c r="J124" s="631"/>
      <c r="K124" s="631"/>
      <c r="L124" s="631"/>
      <c r="M124" s="631"/>
      <c r="N124" s="631"/>
      <c r="O124" s="631"/>
      <c r="P124" s="631"/>
      <c r="Q124" s="4541"/>
      <c r="R124" s="631"/>
      <c r="S124" s="631"/>
      <c r="T124" s="4530"/>
      <c r="U124" s="4530"/>
      <c r="V124" s="4530"/>
      <c r="W124" s="4530"/>
      <c r="X124" s="4530"/>
      <c r="Y124" s="4534"/>
      <c r="Z124" s="4534"/>
      <c r="AA124" s="4534"/>
      <c r="AB124" s="4534"/>
      <c r="AC124" s="4534"/>
      <c r="AD124" s="4534"/>
      <c r="AE124" s="4534"/>
      <c r="AF124" s="4534"/>
      <c r="AG124" s="4530"/>
      <c r="AH124" s="4530"/>
      <c r="AI124" s="4530"/>
      <c r="AJ124" s="4530"/>
      <c r="AK124" s="4530"/>
      <c r="AL124" s="4530"/>
    </row>
    <row r="125" ht="6" customHeight="1">
      <c r="A125" s="4438"/>
      <c r="B125" s="4557"/>
      <c r="C125" s="4535"/>
      <c r="D125" s="4544"/>
      <c r="E125" s="4545"/>
      <c r="F125" s="4545"/>
      <c r="G125" s="4546"/>
      <c r="H125" s="4546"/>
      <c r="I125" s="4546"/>
      <c r="J125" s="4546"/>
      <c r="K125" s="4546"/>
      <c r="L125" s="4546"/>
      <c r="M125" s="4546"/>
      <c r="N125" s="4535"/>
      <c r="O125" s="4535"/>
      <c r="P125" s="4535"/>
      <c r="Q125" s="4541"/>
      <c r="R125" s="4535"/>
      <c r="S125" s="4535"/>
      <c r="T125" s="866"/>
      <c r="U125" s="866"/>
      <c r="V125" s="866"/>
      <c r="W125" s="866"/>
      <c r="X125" s="866"/>
      <c r="Y125" s="4538"/>
      <c r="Z125" s="4538"/>
      <c r="AA125" s="4538"/>
      <c r="AB125" s="4538"/>
      <c r="AC125" s="4538"/>
      <c r="AD125" s="4538"/>
      <c r="AE125" s="4538"/>
      <c r="AF125" s="4538"/>
      <c r="AG125" s="866"/>
      <c r="AH125" s="866"/>
      <c r="AI125" s="866"/>
      <c r="AJ125" s="866"/>
      <c r="AK125" s="866"/>
      <c r="AL125" s="866"/>
    </row>
    <row r="126" ht="81" customHeight="1">
      <c r="A126" s="4438"/>
      <c r="B126" s="4539" t="s">
        <v>451</v>
      </c>
      <c r="C126" s="4535"/>
      <c r="D126" s="4540" t="s">
        <v>3706</v>
      </c>
      <c r="E126" s="4540"/>
      <c r="F126" s="4540"/>
      <c r="G126" s="4540"/>
      <c r="H126" s="4540"/>
      <c r="I126" s="4540"/>
      <c r="J126" s="4540"/>
      <c r="K126" s="4540"/>
      <c r="L126" s="4540"/>
      <c r="M126" s="4540"/>
      <c r="N126" s="4535"/>
      <c r="O126" s="4535"/>
      <c r="P126" s="4535"/>
      <c r="Q126" s="4541">
        <f t="shared" si="10"/>
        <v>0</v>
      </c>
      <c r="R126" s="4535"/>
      <c r="S126" s="4535"/>
      <c r="T126" s="866"/>
      <c r="U126" s="866"/>
      <c r="V126" s="866"/>
      <c r="W126" s="866"/>
      <c r="X126" s="866"/>
      <c r="Y126" s="4538"/>
      <c r="Z126" s="4538"/>
      <c r="AA126" s="4538"/>
      <c r="AB126" s="4538"/>
      <c r="AC126" s="4538"/>
      <c r="AD126" s="4538"/>
      <c r="AE126" s="4538"/>
      <c r="AF126" s="4538"/>
      <c r="AG126" s="866"/>
      <c r="AH126" s="866"/>
      <c r="AI126" s="866"/>
      <c r="AJ126" s="866"/>
      <c r="AK126" s="866"/>
      <c r="AL126" s="866"/>
    </row>
    <row r="127" ht="6" customHeight="1">
      <c r="A127" s="4438"/>
      <c r="B127" s="4542"/>
      <c r="C127" s="4535"/>
      <c r="D127" s="4540"/>
      <c r="E127" s="4543"/>
      <c r="F127" s="4543"/>
      <c r="G127" s="4535"/>
      <c r="H127" s="4535"/>
      <c r="I127" s="4535"/>
      <c r="J127" s="4535"/>
      <c r="K127" s="4535"/>
      <c r="L127" s="4535"/>
      <c r="M127" s="4535"/>
      <c r="N127" s="4535"/>
      <c r="O127" s="4535"/>
      <c r="P127" s="4535"/>
      <c r="Q127" s="4541"/>
      <c r="R127" s="4535"/>
      <c r="S127" s="4535"/>
      <c r="T127" s="866"/>
      <c r="U127" s="866"/>
      <c r="V127" s="866"/>
      <c r="W127" s="866"/>
      <c r="X127" s="866"/>
      <c r="Y127" s="4538"/>
      <c r="Z127" s="4538"/>
      <c r="AA127" s="4538"/>
      <c r="AB127" s="4538"/>
      <c r="AC127" s="4538"/>
      <c r="AD127" s="4538"/>
      <c r="AE127" s="4538"/>
      <c r="AF127" s="4538"/>
      <c r="AG127" s="866"/>
      <c r="AH127" s="866"/>
      <c r="AI127" s="866"/>
      <c r="AJ127" s="866"/>
      <c r="AK127" s="866"/>
      <c r="AL127" s="866"/>
    </row>
    <row r="128" ht="17.25" customHeight="1">
      <c r="A128" s="4438"/>
      <c r="B128" s="4539" t="s">
        <v>451</v>
      </c>
      <c r="C128" s="4535"/>
      <c r="D128" s="4540" t="s">
        <v>3707</v>
      </c>
      <c r="E128" s="4540"/>
      <c r="F128" s="4540"/>
      <c r="G128" s="4540"/>
      <c r="H128" s="4540"/>
      <c r="I128" s="4540"/>
      <c r="J128" s="4540"/>
      <c r="K128" s="4540"/>
      <c r="L128" s="4540"/>
      <c r="M128" s="4540"/>
      <c r="N128" s="4535"/>
      <c r="O128" s="4535"/>
      <c r="P128" s="4535"/>
      <c r="Q128" s="4541">
        <f t="shared" si="10"/>
        <v>0</v>
      </c>
      <c r="R128" s="4535"/>
      <c r="S128" s="4535"/>
      <c r="T128" s="866"/>
      <c r="U128" s="866"/>
      <c r="V128" s="866"/>
      <c r="W128" s="866"/>
      <c r="X128" s="866"/>
      <c r="Y128" s="4538"/>
      <c r="Z128" s="4538"/>
      <c r="AA128" s="4538"/>
      <c r="AB128" s="4538"/>
      <c r="AC128" s="4538"/>
      <c r="AD128" s="4538"/>
      <c r="AE128" s="4538"/>
      <c r="AF128" s="4538"/>
      <c r="AG128" s="866"/>
      <c r="AH128" s="866"/>
      <c r="AI128" s="866"/>
      <c r="AJ128" s="866"/>
      <c r="AK128" s="866"/>
      <c r="AL128" s="866"/>
    </row>
    <row r="129" ht="15" customHeight="1" hidden="1">
      <c r="A129" s="4438"/>
      <c r="B129" s="4423"/>
      <c r="C129" s="4535"/>
      <c r="D129" s="4540"/>
      <c r="E129" s="4540"/>
      <c r="F129" s="4540"/>
      <c r="G129" s="4540"/>
      <c r="H129" s="4540"/>
      <c r="I129" s="4540"/>
      <c r="J129" s="4540"/>
      <c r="K129" s="4540"/>
      <c r="L129" s="4540"/>
      <c r="M129" s="4540"/>
      <c r="N129" s="4535"/>
      <c r="O129" s="4535"/>
      <c r="P129" s="4535"/>
      <c r="Q129" s="4541"/>
      <c r="R129" s="4535"/>
      <c r="S129" s="4535"/>
      <c r="T129" s="866"/>
      <c r="U129" s="866"/>
      <c r="V129" s="866"/>
      <c r="W129" s="866"/>
      <c r="X129" s="866"/>
      <c r="Y129" s="4558"/>
      <c r="Z129" s="4558"/>
      <c r="AA129" s="4558"/>
      <c r="AB129" s="4558"/>
      <c r="AC129" s="4558"/>
      <c r="AD129" s="4558"/>
      <c r="AE129" s="4558"/>
      <c r="AF129" s="4558"/>
      <c r="AG129" s="866"/>
      <c r="AH129" s="866"/>
      <c r="AI129" s="866"/>
      <c r="AJ129" s="866"/>
      <c r="AK129" s="866"/>
      <c r="AL129" s="866"/>
    </row>
    <row r="130" ht="6" customHeight="1">
      <c r="A130" s="4438"/>
      <c r="B130" s="4559"/>
      <c r="C130" s="4535"/>
      <c r="D130" s="4537"/>
      <c r="E130" s="4537"/>
      <c r="F130" s="4537"/>
      <c r="G130" s="613"/>
      <c r="H130" s="613"/>
      <c r="I130" s="613"/>
      <c r="J130" s="613"/>
      <c r="K130" s="613"/>
      <c r="L130" s="613"/>
      <c r="M130" s="613"/>
      <c r="N130" s="4535"/>
      <c r="O130" s="4535"/>
      <c r="P130" s="4535"/>
      <c r="Q130" s="4541"/>
      <c r="R130" s="4535"/>
      <c r="S130" s="4535"/>
      <c r="T130" s="866"/>
      <c r="U130" s="866"/>
      <c r="V130" s="866"/>
      <c r="W130" s="866"/>
      <c r="X130" s="866"/>
      <c r="Y130" s="4558"/>
      <c r="Z130" s="4558"/>
      <c r="AA130" s="4558"/>
      <c r="AB130" s="4558"/>
      <c r="AC130" s="4558"/>
      <c r="AD130" s="4558"/>
      <c r="AE130" s="4558"/>
      <c r="AF130" s="4558"/>
      <c r="AG130" s="866"/>
      <c r="AH130" s="866"/>
      <c r="AI130" s="866"/>
      <c r="AJ130" s="866"/>
      <c r="AK130" s="866"/>
      <c r="AL130" s="866"/>
    </row>
    <row r="131" ht="17.25" customHeight="1">
      <c r="A131" s="4438"/>
      <c r="B131" s="4539" t="s">
        <v>451</v>
      </c>
      <c r="C131" s="4535"/>
      <c r="D131" s="4540" t="s">
        <v>3708</v>
      </c>
      <c r="E131" s="4540"/>
      <c r="F131" s="4540"/>
      <c r="G131" s="4540"/>
      <c r="H131" s="4540"/>
      <c r="I131" s="4540"/>
      <c r="J131" s="4540"/>
      <c r="K131" s="4540"/>
      <c r="L131" s="4540"/>
      <c r="M131" s="4540"/>
      <c r="N131" s="4535"/>
      <c r="O131" s="4535"/>
      <c r="P131" s="4535"/>
      <c r="Q131" s="4541">
        <f t="shared" si="10"/>
        <v>0</v>
      </c>
      <c r="R131" s="4535"/>
      <c r="S131" s="4535"/>
      <c r="T131" s="866"/>
      <c r="U131" s="866"/>
      <c r="V131" s="866"/>
      <c r="W131" s="866"/>
      <c r="X131" s="866"/>
      <c r="Y131" s="4538"/>
      <c r="Z131" s="4538"/>
      <c r="AA131" s="4538"/>
      <c r="AB131" s="4538"/>
      <c r="AC131" s="4538"/>
      <c r="AD131" s="4538"/>
      <c r="AE131" s="4538"/>
      <c r="AF131" s="4538"/>
      <c r="AG131" s="866"/>
      <c r="AH131" s="866"/>
      <c r="AI131" s="866"/>
      <c r="AJ131" s="866"/>
      <c r="AK131" s="866"/>
      <c r="AL131" s="866"/>
    </row>
    <row r="132" ht="6" customHeight="1">
      <c r="A132" s="4438"/>
      <c r="B132" s="4559"/>
      <c r="C132" s="4535"/>
      <c r="D132" s="4537"/>
      <c r="E132" s="4537"/>
      <c r="F132" s="4537"/>
      <c r="G132" s="613"/>
      <c r="H132" s="613"/>
      <c r="I132" s="613"/>
      <c r="J132" s="613"/>
      <c r="K132" s="613"/>
      <c r="L132" s="613"/>
      <c r="M132" s="613"/>
      <c r="N132" s="4535"/>
      <c r="O132" s="4535"/>
      <c r="P132" s="4535"/>
      <c r="Q132" s="4541"/>
      <c r="R132" s="4535"/>
      <c r="S132" s="4535"/>
      <c r="T132" s="866"/>
      <c r="U132" s="866"/>
      <c r="V132" s="866"/>
      <c r="W132" s="866"/>
      <c r="X132" s="866"/>
      <c r="Y132" s="4538"/>
      <c r="Z132" s="4538"/>
      <c r="AA132" s="4538"/>
      <c r="AB132" s="4538"/>
      <c r="AC132" s="4538"/>
      <c r="AD132" s="4538"/>
      <c r="AE132" s="4538"/>
      <c r="AF132" s="4538"/>
      <c r="AG132" s="866"/>
      <c r="AH132" s="866"/>
      <c r="AI132" s="866"/>
      <c r="AJ132" s="866"/>
      <c r="AK132" s="866"/>
      <c r="AL132" s="866"/>
    </row>
    <row r="133" ht="83.25" customHeight="1">
      <c r="A133" s="4438"/>
      <c r="B133" s="4539" t="s">
        <v>451</v>
      </c>
      <c r="C133" s="4535"/>
      <c r="D133" s="4540" t="s">
        <v>3709</v>
      </c>
      <c r="E133" s="4540"/>
      <c r="F133" s="4540"/>
      <c r="G133" s="4540"/>
      <c r="H133" s="4540"/>
      <c r="I133" s="4540"/>
      <c r="J133" s="4540"/>
      <c r="K133" s="4540"/>
      <c r="L133" s="4540"/>
      <c r="M133" s="4540"/>
      <c r="N133" s="4535"/>
      <c r="O133" s="4535"/>
      <c r="P133" s="4535"/>
      <c r="Q133" s="4541">
        <f t="shared" si="10"/>
        <v>0</v>
      </c>
      <c r="R133" s="4535"/>
      <c r="S133" s="4535"/>
      <c r="T133" s="866"/>
      <c r="U133" s="866"/>
      <c r="V133" s="866"/>
      <c r="W133" s="866"/>
      <c r="X133" s="866"/>
      <c r="Y133" s="4538"/>
      <c r="Z133" s="4538"/>
      <c r="AA133" s="4538"/>
      <c r="AB133" s="4538"/>
      <c r="AC133" s="4538"/>
      <c r="AD133" s="4538"/>
      <c r="AE133" s="4538"/>
      <c r="AF133" s="4538"/>
      <c r="AG133" s="866"/>
      <c r="AH133" s="866"/>
      <c r="AI133" s="866"/>
      <c r="AJ133" s="866"/>
      <c r="AK133" s="866"/>
      <c r="AL133" s="866"/>
    </row>
    <row r="134" ht="6" customHeight="1">
      <c r="A134" s="4438"/>
      <c r="B134" s="4542"/>
      <c r="C134" s="4535"/>
      <c r="D134" s="4540"/>
      <c r="E134" s="4560"/>
      <c r="F134" s="4560"/>
      <c r="G134" s="613"/>
      <c r="H134" s="613"/>
      <c r="I134" s="613"/>
      <c r="J134" s="613"/>
      <c r="K134" s="613"/>
      <c r="L134" s="613"/>
      <c r="M134" s="613"/>
      <c r="N134" s="4535"/>
      <c r="O134" s="4535"/>
      <c r="P134" s="4535"/>
      <c r="Q134" s="4541"/>
      <c r="R134" s="4535"/>
      <c r="S134" s="4535"/>
      <c r="T134" s="866"/>
      <c r="U134" s="866"/>
      <c r="V134" s="866"/>
      <c r="W134" s="866"/>
      <c r="X134" s="866"/>
      <c r="Y134" s="4538"/>
      <c r="Z134" s="4538"/>
      <c r="AA134" s="4538"/>
      <c r="AB134" s="4538"/>
      <c r="AC134" s="4538"/>
      <c r="AD134" s="4538"/>
      <c r="AE134" s="4538"/>
      <c r="AF134" s="4538"/>
      <c r="AG134" s="866"/>
      <c r="AH134" s="866"/>
      <c r="AI134" s="866"/>
      <c r="AJ134" s="866"/>
      <c r="AK134" s="866"/>
      <c r="AL134" s="866"/>
    </row>
    <row r="135" ht="114" customHeight="1">
      <c r="A135" s="4438"/>
      <c r="B135" s="4539" t="s">
        <v>451</v>
      </c>
      <c r="C135" s="4535"/>
      <c r="D135" s="4540" t="s">
        <v>3710</v>
      </c>
      <c r="E135" s="4540"/>
      <c r="F135" s="4540"/>
      <c r="G135" s="4540"/>
      <c r="H135" s="4540"/>
      <c r="I135" s="4540"/>
      <c r="J135" s="4540"/>
      <c r="K135" s="4540"/>
      <c r="L135" s="4540"/>
      <c r="M135" s="4540"/>
      <c r="N135" s="4535"/>
      <c r="O135" s="4535"/>
      <c r="P135" s="4535"/>
      <c r="Q135" s="4541">
        <f t="shared" si="10"/>
        <v>0</v>
      </c>
      <c r="R135" s="4535"/>
      <c r="S135" s="4535"/>
      <c r="T135" s="866"/>
      <c r="U135" s="866"/>
      <c r="V135" s="866"/>
      <c r="W135" s="866"/>
      <c r="X135" s="866"/>
      <c r="Y135" s="4538"/>
      <c r="Z135" s="4538"/>
      <c r="AA135" s="4538"/>
      <c r="AB135" s="4538"/>
      <c r="AC135" s="4538"/>
      <c r="AD135" s="4538"/>
      <c r="AE135" s="4538"/>
      <c r="AF135" s="4538"/>
      <c r="AG135" s="866"/>
      <c r="AH135" s="866"/>
      <c r="AI135" s="866"/>
      <c r="AJ135" s="866"/>
      <c r="AK135" s="866"/>
      <c r="AL135" s="866"/>
    </row>
    <row r="136" ht="15" customHeight="1" hidden="1">
      <c r="A136" s="4438"/>
      <c r="B136" s="4423"/>
      <c r="C136" s="4535"/>
      <c r="D136" s="4540"/>
      <c r="E136" s="4540"/>
      <c r="F136" s="4540"/>
      <c r="G136" s="4540"/>
      <c r="H136" s="4540"/>
      <c r="I136" s="4540"/>
      <c r="J136" s="4540"/>
      <c r="K136" s="4540"/>
      <c r="L136" s="4540"/>
      <c r="M136" s="4540"/>
      <c r="N136" s="4535"/>
      <c r="O136" s="4535"/>
      <c r="P136" s="4535"/>
      <c r="Q136" s="4541"/>
      <c r="R136" s="4535"/>
      <c r="S136" s="4535"/>
      <c r="T136" s="866"/>
      <c r="U136" s="866"/>
      <c r="V136" s="866"/>
      <c r="W136" s="866"/>
      <c r="X136" s="866"/>
      <c r="Y136" s="4558"/>
      <c r="Z136" s="4558"/>
      <c r="AA136" s="4558"/>
      <c r="AB136" s="4558"/>
      <c r="AC136" s="4558"/>
      <c r="AD136" s="4558"/>
      <c r="AE136" s="4558"/>
      <c r="AF136" s="4558"/>
      <c r="AG136" s="866"/>
      <c r="AH136" s="866"/>
      <c r="AI136" s="866"/>
      <c r="AJ136" s="866"/>
      <c r="AK136" s="866"/>
      <c r="AL136" s="866"/>
    </row>
    <row r="137" ht="6" customHeight="1">
      <c r="A137" s="4438"/>
      <c r="B137" s="4559"/>
      <c r="C137" s="4535"/>
      <c r="D137" s="4537"/>
      <c r="E137" s="4537"/>
      <c r="F137" s="4537"/>
      <c r="G137" s="613"/>
      <c r="H137" s="613"/>
      <c r="I137" s="613"/>
      <c r="J137" s="613"/>
      <c r="K137" s="613"/>
      <c r="L137" s="613"/>
      <c r="M137" s="613"/>
      <c r="N137" s="4535"/>
      <c r="O137" s="4535"/>
      <c r="P137" s="4535"/>
      <c r="Q137" s="4541"/>
      <c r="R137" s="4535"/>
      <c r="S137" s="4535"/>
      <c r="T137" s="866"/>
      <c r="U137" s="866"/>
      <c r="V137" s="866"/>
      <c r="W137" s="866"/>
      <c r="X137" s="866"/>
      <c r="Y137" s="4558"/>
      <c r="Z137" s="4558"/>
      <c r="AA137" s="4558"/>
      <c r="AB137" s="4558"/>
      <c r="AC137" s="4558"/>
      <c r="AD137" s="4558"/>
      <c r="AE137" s="4558"/>
      <c r="AF137" s="4558"/>
      <c r="AG137" s="866"/>
      <c r="AH137" s="866"/>
      <c r="AI137" s="866"/>
      <c r="AJ137" s="866"/>
      <c r="AK137" s="866"/>
      <c r="AL137" s="866"/>
    </row>
    <row r="138" ht="52.5" customHeight="1">
      <c r="A138" s="4438"/>
      <c r="B138" s="4539" t="s">
        <v>451</v>
      </c>
      <c r="C138" s="4535"/>
      <c r="D138" s="4540" t="s">
        <v>3711</v>
      </c>
      <c r="E138" s="4540"/>
      <c r="F138" s="4540"/>
      <c r="G138" s="4540"/>
      <c r="H138" s="4540"/>
      <c r="I138" s="4540"/>
      <c r="J138" s="4540"/>
      <c r="K138" s="4540"/>
      <c r="L138" s="4540"/>
      <c r="M138" s="4540"/>
      <c r="N138" s="4535"/>
      <c r="O138" s="4535"/>
      <c r="P138" s="4535"/>
      <c r="Q138" s="4541">
        <f t="shared" si="10"/>
        <v>0</v>
      </c>
      <c r="R138" s="4535"/>
      <c r="S138" s="4535"/>
      <c r="T138" s="866"/>
      <c r="U138" s="866"/>
      <c r="V138" s="866"/>
      <c r="W138" s="866"/>
      <c r="X138" s="866"/>
      <c r="Y138" s="4538"/>
      <c r="Z138" s="4538"/>
      <c r="AA138" s="4538"/>
      <c r="AB138" s="4538"/>
      <c r="AC138" s="4538"/>
      <c r="AD138" s="4538"/>
      <c r="AE138" s="4538"/>
      <c r="AF138" s="4538"/>
      <c r="AG138" s="866"/>
      <c r="AH138" s="866"/>
      <c r="AI138" s="866"/>
      <c r="AJ138" s="866"/>
      <c r="AK138" s="866"/>
      <c r="AL138" s="866"/>
    </row>
    <row r="139" ht="6" customHeight="1">
      <c r="A139" s="4438"/>
      <c r="B139" s="4559"/>
      <c r="C139" s="4535"/>
      <c r="D139" s="4561"/>
      <c r="E139" s="4537"/>
      <c r="F139" s="4537"/>
      <c r="G139" s="613"/>
      <c r="H139" s="613"/>
      <c r="I139" s="613"/>
      <c r="J139" s="613"/>
      <c r="K139" s="613"/>
      <c r="L139" s="613"/>
      <c r="M139" s="613"/>
      <c r="N139" s="4535"/>
      <c r="O139" s="4535"/>
      <c r="P139" s="4535"/>
      <c r="Q139" s="4541"/>
      <c r="R139" s="4535"/>
      <c r="S139" s="4535"/>
      <c r="T139" s="866"/>
      <c r="U139" s="866"/>
      <c r="V139" s="866"/>
      <c r="W139" s="866"/>
      <c r="X139" s="866"/>
      <c r="Y139" s="4538"/>
      <c r="Z139" s="4538"/>
      <c r="AA139" s="4538"/>
      <c r="AB139" s="4538"/>
      <c r="AC139" s="4538"/>
      <c r="AD139" s="4538"/>
      <c r="AE139" s="4538"/>
      <c r="AF139" s="4538"/>
      <c r="AG139" s="866"/>
      <c r="AH139" s="866"/>
      <c r="AI139" s="866"/>
      <c r="AJ139" s="866"/>
      <c r="AK139" s="866"/>
      <c r="AL139" s="866"/>
    </row>
    <row r="140" ht="37.5" customHeight="1">
      <c r="A140" s="4438"/>
      <c r="B140" s="4539" t="s">
        <v>451</v>
      </c>
      <c r="C140" s="4535"/>
      <c r="D140" s="4540" t="s">
        <v>3712</v>
      </c>
      <c r="E140" s="4540"/>
      <c r="F140" s="4540"/>
      <c r="G140" s="4540"/>
      <c r="H140" s="4540"/>
      <c r="I140" s="4540"/>
      <c r="J140" s="4540"/>
      <c r="K140" s="4540"/>
      <c r="L140" s="4540"/>
      <c r="M140" s="4540"/>
      <c r="N140" s="4535"/>
      <c r="O140" s="4535"/>
      <c r="P140" s="4535"/>
      <c r="Q140" s="4541">
        <f t="shared" si="10"/>
        <v>0</v>
      </c>
      <c r="R140" s="4535"/>
      <c r="S140" s="4535"/>
      <c r="T140" s="866"/>
      <c r="U140" s="866"/>
      <c r="V140" s="866"/>
      <c r="W140" s="866"/>
      <c r="X140" s="866"/>
      <c r="Y140" s="4538"/>
      <c r="Z140" s="4538"/>
      <c r="AA140" s="4538"/>
      <c r="AB140" s="4538"/>
      <c r="AC140" s="4538"/>
      <c r="AD140" s="4538"/>
      <c r="AE140" s="4538"/>
      <c r="AF140" s="4538"/>
      <c r="AG140" s="866"/>
      <c r="AH140" s="866"/>
      <c r="AI140" s="866"/>
      <c r="AJ140" s="866"/>
      <c r="AK140" s="866"/>
      <c r="AL140" s="866"/>
    </row>
    <row r="141" ht="6" customHeight="1">
      <c r="A141" s="4438"/>
      <c r="B141" s="4559"/>
      <c r="C141" s="4535"/>
      <c r="D141" s="4537"/>
      <c r="E141" s="4537"/>
      <c r="F141" s="4537"/>
      <c r="G141" s="613"/>
      <c r="H141" s="613"/>
      <c r="I141" s="613"/>
      <c r="J141" s="613"/>
      <c r="K141" s="613"/>
      <c r="L141" s="613"/>
      <c r="M141" s="613"/>
      <c r="N141" s="4535"/>
      <c r="O141" s="4535"/>
      <c r="P141" s="4535"/>
      <c r="Q141" s="4541"/>
      <c r="R141" s="4535"/>
      <c r="S141" s="4535"/>
      <c r="T141" s="866"/>
      <c r="U141" s="866"/>
      <c r="V141" s="866"/>
      <c r="W141" s="866"/>
      <c r="X141" s="866"/>
      <c r="Y141" s="4538"/>
      <c r="Z141" s="4538"/>
      <c r="AA141" s="4538"/>
      <c r="AB141" s="4538"/>
      <c r="AC141" s="4538"/>
      <c r="AD141" s="4538"/>
      <c r="AE141" s="4538"/>
      <c r="AF141" s="4538"/>
      <c r="AG141" s="866"/>
      <c r="AH141" s="866"/>
      <c r="AI141" s="866"/>
      <c r="AJ141" s="866"/>
      <c r="AK141" s="866"/>
      <c r="AL141" s="866"/>
    </row>
    <row r="142" ht="68.25" customHeight="1">
      <c r="A142" s="4438"/>
      <c r="B142" s="4539" t="s">
        <v>451</v>
      </c>
      <c r="C142" s="4535"/>
      <c r="D142" s="4540" t="s">
        <v>3713</v>
      </c>
      <c r="E142" s="4540"/>
      <c r="F142" s="4540"/>
      <c r="G142" s="4540"/>
      <c r="H142" s="4540"/>
      <c r="I142" s="4540"/>
      <c r="J142" s="4540"/>
      <c r="K142" s="4540"/>
      <c r="L142" s="4540"/>
      <c r="M142" s="4540"/>
      <c r="N142" s="4535"/>
      <c r="O142" s="4535"/>
      <c r="P142" s="4535"/>
      <c r="Q142" s="4541">
        <f t="shared" si="10"/>
        <v>0</v>
      </c>
      <c r="R142" s="4535"/>
      <c r="S142" s="4535"/>
      <c r="T142" s="866"/>
      <c r="U142" s="866"/>
      <c r="V142" s="866"/>
      <c r="W142" s="866"/>
      <c r="X142" s="866"/>
      <c r="Y142" s="4538"/>
      <c r="Z142" s="4538"/>
      <c r="AA142" s="4538"/>
      <c r="AB142" s="4538"/>
      <c r="AC142" s="4538"/>
      <c r="AD142" s="4538"/>
      <c r="AE142" s="4538"/>
      <c r="AF142" s="4538"/>
      <c r="AG142" s="866"/>
      <c r="AH142" s="866"/>
      <c r="AI142" s="866"/>
      <c r="AJ142" s="866"/>
      <c r="AK142" s="866"/>
      <c r="AL142" s="866"/>
    </row>
    <row r="143" ht="6" customHeight="1">
      <c r="A143" s="4438"/>
      <c r="B143" s="4559"/>
      <c r="C143" s="4535"/>
      <c r="D143" s="4537"/>
      <c r="E143" s="4537"/>
      <c r="F143" s="4537"/>
      <c r="G143" s="613"/>
      <c r="H143" s="613"/>
      <c r="I143" s="613"/>
      <c r="J143" s="613"/>
      <c r="K143" s="613"/>
      <c r="L143" s="613"/>
      <c r="M143" s="613"/>
      <c r="N143" s="4535"/>
      <c r="O143" s="4535"/>
      <c r="P143" s="4535"/>
      <c r="Q143" s="4541"/>
      <c r="R143" s="4535"/>
      <c r="S143" s="4535"/>
      <c r="T143" s="866"/>
      <c r="U143" s="866"/>
      <c r="V143" s="866"/>
      <c r="W143" s="866"/>
      <c r="X143" s="866"/>
      <c r="Y143" s="4538"/>
      <c r="Z143" s="4538"/>
      <c r="AA143" s="4538"/>
      <c r="AB143" s="4538"/>
      <c r="AC143" s="4538"/>
      <c r="AD143" s="4538"/>
      <c r="AE143" s="4538"/>
      <c r="AF143" s="4538"/>
      <c r="AG143" s="866"/>
      <c r="AH143" s="866"/>
      <c r="AI143" s="866"/>
      <c r="AJ143" s="866"/>
      <c r="AK143" s="866"/>
      <c r="AL143" s="866"/>
    </row>
    <row r="144" ht="39" customHeight="1">
      <c r="A144" s="4438"/>
      <c r="B144" s="4539" t="s">
        <v>451</v>
      </c>
      <c r="C144" s="4535"/>
      <c r="D144" s="4540" t="s">
        <v>3714</v>
      </c>
      <c r="E144" s="4562"/>
      <c r="F144" s="4562"/>
      <c r="G144" s="4562"/>
      <c r="H144" s="4562"/>
      <c r="I144" s="4562"/>
      <c r="J144" s="4562"/>
      <c r="K144" s="4562"/>
      <c r="L144" s="4562"/>
      <c r="M144" s="4562"/>
      <c r="N144" s="4535"/>
      <c r="O144" s="4535"/>
      <c r="P144" s="4535"/>
      <c r="Q144" s="4541">
        <f t="shared" si="10"/>
        <v>0</v>
      </c>
      <c r="R144" s="4535"/>
      <c r="S144" s="4535"/>
      <c r="T144" s="866"/>
      <c r="U144" s="866"/>
      <c r="V144" s="866"/>
      <c r="W144" s="866"/>
      <c r="X144" s="866"/>
      <c r="Y144" s="4538"/>
      <c r="Z144" s="4538"/>
      <c r="AA144" s="4538"/>
      <c r="AB144" s="4538"/>
      <c r="AC144" s="4538"/>
      <c r="AD144" s="4538"/>
      <c r="AE144" s="4538"/>
      <c r="AF144" s="4538"/>
      <c r="AG144" s="866"/>
      <c r="AH144" s="866"/>
      <c r="AI144" s="866"/>
      <c r="AJ144" s="866"/>
      <c r="AK144" s="866"/>
      <c r="AL144" s="866"/>
    </row>
    <row r="145" ht="6" customHeight="1">
      <c r="A145" s="4438"/>
      <c r="B145" s="4559"/>
      <c r="C145" s="4535"/>
      <c r="D145" s="4537"/>
      <c r="E145" s="4537"/>
      <c r="F145" s="4537"/>
      <c r="G145" s="613"/>
      <c r="H145" s="613"/>
      <c r="I145" s="613"/>
      <c r="J145" s="613"/>
      <c r="K145" s="613"/>
      <c r="L145" s="613"/>
      <c r="M145" s="613"/>
      <c r="N145" s="4535"/>
      <c r="O145" s="4535"/>
      <c r="P145" s="4535"/>
      <c r="Q145" s="4541"/>
      <c r="R145" s="4535"/>
      <c r="S145" s="4535"/>
      <c r="T145" s="866"/>
      <c r="U145" s="866"/>
      <c r="V145" s="866"/>
      <c r="W145" s="866"/>
      <c r="X145" s="866"/>
      <c r="Y145" s="4538"/>
      <c r="Z145" s="4538"/>
      <c r="AA145" s="4538"/>
      <c r="AB145" s="4538"/>
      <c r="AC145" s="4538"/>
      <c r="AD145" s="4538"/>
      <c r="AE145" s="4538"/>
      <c r="AF145" s="4538"/>
      <c r="AG145" s="866"/>
      <c r="AH145" s="866"/>
      <c r="AI145" s="866"/>
      <c r="AJ145" s="866"/>
      <c r="AK145" s="866"/>
      <c r="AL145" s="866"/>
    </row>
    <row r="146" ht="24" customHeight="1">
      <c r="A146" s="4438"/>
      <c r="B146" s="4539" t="s">
        <v>451</v>
      </c>
      <c r="C146" s="4535"/>
      <c r="D146" s="4540" t="s">
        <v>3715</v>
      </c>
      <c r="E146" s="4562"/>
      <c r="F146" s="4562"/>
      <c r="G146" s="4562"/>
      <c r="H146" s="4562"/>
      <c r="I146" s="4562"/>
      <c r="J146" s="4562"/>
      <c r="K146" s="4562"/>
      <c r="L146" s="4562"/>
      <c r="M146" s="4562"/>
      <c r="N146" s="4535"/>
      <c r="O146" s="4535"/>
      <c r="P146" s="4535"/>
      <c r="Q146" s="4541">
        <f t="shared" si="10"/>
        <v>0</v>
      </c>
      <c r="R146" s="4535"/>
      <c r="S146" s="4535"/>
      <c r="T146" s="866"/>
      <c r="U146" s="866"/>
      <c r="V146" s="866"/>
      <c r="W146" s="866"/>
      <c r="X146" s="866"/>
      <c r="Y146" s="4538"/>
      <c r="Z146" s="4538"/>
      <c r="AA146" s="4538"/>
      <c r="AB146" s="4538"/>
      <c r="AC146" s="4538"/>
      <c r="AD146" s="4538"/>
      <c r="AE146" s="4538"/>
      <c r="AF146" s="4538"/>
      <c r="AG146" s="866"/>
      <c r="AH146" s="866"/>
      <c r="AI146" s="866"/>
      <c r="AJ146" s="866"/>
      <c r="AK146" s="866"/>
      <c r="AL146" s="866"/>
    </row>
    <row r="147" ht="6" customHeight="1">
      <c r="A147" s="4438"/>
      <c r="B147" s="4542"/>
      <c r="C147" s="4535"/>
      <c r="D147" s="4540"/>
      <c r="E147" s="4560"/>
      <c r="F147" s="4560"/>
      <c r="G147" s="613"/>
      <c r="H147" s="613"/>
      <c r="I147" s="613"/>
      <c r="J147" s="613"/>
      <c r="K147" s="613"/>
      <c r="L147" s="613"/>
      <c r="M147" s="613"/>
      <c r="N147" s="4535"/>
      <c r="O147" s="4535"/>
      <c r="P147" s="4535"/>
      <c r="Q147" s="4541"/>
      <c r="R147" s="4535"/>
      <c r="S147" s="4535"/>
      <c r="T147" s="866"/>
      <c r="U147" s="866"/>
      <c r="V147" s="866"/>
      <c r="W147" s="866"/>
      <c r="X147" s="866"/>
      <c r="Y147" s="4538"/>
      <c r="Z147" s="4538"/>
      <c r="AA147" s="4538"/>
      <c r="AB147" s="4538"/>
      <c r="AC147" s="4538"/>
      <c r="AD147" s="4538"/>
      <c r="AE147" s="4538"/>
      <c r="AF147" s="4538"/>
      <c r="AG147" s="866"/>
      <c r="AH147" s="866"/>
      <c r="AI147" s="866"/>
      <c r="AJ147" s="866"/>
      <c r="AK147" s="866"/>
      <c r="AL147" s="866"/>
    </row>
    <row r="148" ht="39" customHeight="1">
      <c r="A148" s="4438"/>
      <c r="B148" s="4539" t="s">
        <v>451</v>
      </c>
      <c r="C148" s="4535"/>
      <c r="D148" s="4540" t="s">
        <v>3716</v>
      </c>
      <c r="E148" s="4562"/>
      <c r="F148" s="4562"/>
      <c r="G148" s="4562"/>
      <c r="H148" s="4562"/>
      <c r="I148" s="4562"/>
      <c r="J148" s="4562"/>
      <c r="K148" s="4562"/>
      <c r="L148" s="4562"/>
      <c r="M148" s="4562"/>
      <c r="N148" s="4535"/>
      <c r="O148" s="4535"/>
      <c r="P148" s="4535"/>
      <c r="Q148" s="4541">
        <f t="shared" si="10"/>
        <v>0</v>
      </c>
      <c r="R148" s="4535"/>
      <c r="S148" s="4535"/>
      <c r="T148" s="866"/>
      <c r="U148" s="866"/>
      <c r="V148" s="866"/>
      <c r="W148" s="866"/>
      <c r="X148" s="866"/>
      <c r="Y148" s="4538"/>
      <c r="Z148" s="4538"/>
      <c r="AA148" s="4538"/>
      <c r="AB148" s="4538"/>
      <c r="AC148" s="4538"/>
      <c r="AD148" s="4538"/>
      <c r="AE148" s="4538"/>
      <c r="AF148" s="4538"/>
      <c r="AG148" s="866"/>
      <c r="AH148" s="866"/>
      <c r="AI148" s="866"/>
      <c r="AJ148" s="866"/>
      <c r="AK148" s="866"/>
      <c r="AL148" s="866"/>
    </row>
    <row r="149" ht="6" customHeight="1">
      <c r="A149" s="4438"/>
      <c r="B149" s="4554"/>
      <c r="C149" s="4535"/>
      <c r="D149" s="4540"/>
      <c r="E149" s="4540"/>
      <c r="F149" s="4540"/>
      <c r="G149" s="4540"/>
      <c r="H149" s="4540"/>
      <c r="I149" s="4540"/>
      <c r="J149" s="4540"/>
      <c r="K149" s="4540"/>
      <c r="L149" s="4540"/>
      <c r="M149" s="4540"/>
      <c r="N149" s="4535"/>
      <c r="O149" s="4535"/>
      <c r="P149" s="4535"/>
      <c r="Q149" s="4541"/>
      <c r="R149" s="4535"/>
      <c r="S149" s="4535"/>
      <c r="T149" s="866"/>
      <c r="U149" s="866"/>
      <c r="V149" s="866"/>
      <c r="W149" s="866"/>
      <c r="X149" s="866"/>
      <c r="Y149" s="4538"/>
      <c r="Z149" s="4538"/>
      <c r="AA149" s="4538"/>
      <c r="AB149" s="4538"/>
      <c r="AC149" s="4538"/>
      <c r="AD149" s="4538"/>
      <c r="AE149" s="4538"/>
      <c r="AF149" s="4538"/>
      <c r="AG149" s="866"/>
      <c r="AH149" s="866"/>
      <c r="AI149" s="866"/>
      <c r="AJ149" s="866"/>
      <c r="AK149" s="866"/>
      <c r="AL149" s="866"/>
    </row>
    <row r="150" ht="37.5" customHeight="1">
      <c r="A150" s="4438"/>
      <c r="B150" s="4539" t="s">
        <v>451</v>
      </c>
      <c r="C150" s="4535"/>
      <c r="D150" s="4540" t="s">
        <v>3717</v>
      </c>
      <c r="E150" s="4562"/>
      <c r="F150" s="4562"/>
      <c r="G150" s="4562"/>
      <c r="H150" s="4562"/>
      <c r="I150" s="4562"/>
      <c r="J150" s="4562"/>
      <c r="K150" s="4562"/>
      <c r="L150" s="4562"/>
      <c r="M150" s="4562"/>
      <c r="N150" s="4535"/>
      <c r="O150" s="4535"/>
      <c r="P150" s="4535"/>
      <c r="Q150" s="4541">
        <f t="shared" si="10"/>
        <v>0</v>
      </c>
      <c r="R150" s="4535"/>
      <c r="S150" s="4535"/>
      <c r="T150" s="866"/>
      <c r="U150" s="866"/>
      <c r="V150" s="866"/>
      <c r="W150" s="866"/>
      <c r="X150" s="866"/>
      <c r="Y150" s="4538"/>
      <c r="Z150" s="4538"/>
      <c r="AA150" s="4538"/>
      <c r="AB150" s="4538"/>
      <c r="AC150" s="4538"/>
      <c r="AD150" s="4538"/>
      <c r="AE150" s="4538"/>
      <c r="AF150" s="4538"/>
      <c r="AG150" s="866"/>
      <c r="AH150" s="866"/>
      <c r="AI150" s="866"/>
      <c r="AJ150" s="866"/>
      <c r="AK150" s="866"/>
      <c r="AL150" s="866"/>
    </row>
    <row r="151" ht="6" customHeight="1">
      <c r="A151" s="4438"/>
      <c r="B151" s="4554"/>
      <c r="C151" s="4535"/>
      <c r="D151" s="4540"/>
      <c r="E151" s="4560"/>
      <c r="F151" s="4560"/>
      <c r="G151" s="613"/>
      <c r="H151" s="613"/>
      <c r="I151" s="613"/>
      <c r="J151" s="613"/>
      <c r="K151" s="613"/>
      <c r="L151" s="613"/>
      <c r="M151" s="613"/>
      <c r="N151" s="4535"/>
      <c r="O151" s="4535"/>
      <c r="P151" s="4535"/>
      <c r="Q151" s="4541"/>
      <c r="R151" s="4535"/>
      <c r="S151" s="4535"/>
      <c r="T151" s="866"/>
      <c r="U151" s="866"/>
      <c r="V151" s="866"/>
      <c r="W151" s="866"/>
      <c r="X151" s="866"/>
      <c r="Y151" s="4538"/>
      <c r="Z151" s="4538"/>
      <c r="AA151" s="4538"/>
      <c r="AB151" s="4538"/>
      <c r="AC151" s="4538"/>
      <c r="AD151" s="4538"/>
      <c r="AE151" s="4538"/>
      <c r="AF151" s="4538"/>
      <c r="AG151" s="866"/>
      <c r="AH151" s="866"/>
      <c r="AI151" s="866"/>
      <c r="AJ151" s="866"/>
      <c r="AK151" s="866"/>
      <c r="AL151" s="866"/>
    </row>
    <row r="152" ht="37.5" customHeight="1">
      <c r="A152" s="4438"/>
      <c r="B152" s="4539" t="s">
        <v>451</v>
      </c>
      <c r="C152" s="4535"/>
      <c r="D152" s="4540" t="s">
        <v>3718</v>
      </c>
      <c r="E152" s="4562"/>
      <c r="F152" s="4562"/>
      <c r="G152" s="4562"/>
      <c r="H152" s="4562"/>
      <c r="I152" s="4562"/>
      <c r="J152" s="4562"/>
      <c r="K152" s="4562"/>
      <c r="L152" s="4562"/>
      <c r="M152" s="4562"/>
      <c r="N152" s="4535"/>
      <c r="O152" s="4535"/>
      <c r="P152" s="4535"/>
      <c r="Q152" s="4541">
        <f t="shared" si="10"/>
        <v>0</v>
      </c>
      <c r="R152" s="4535"/>
      <c r="S152" s="4535"/>
      <c r="T152" s="866"/>
      <c r="U152" s="866"/>
      <c r="V152" s="866"/>
      <c r="W152" s="866"/>
      <c r="X152" s="866"/>
      <c r="Y152" s="4538"/>
      <c r="Z152" s="4538"/>
      <c r="AA152" s="4538"/>
      <c r="AB152" s="4538"/>
      <c r="AC152" s="4538"/>
      <c r="AD152" s="4538"/>
      <c r="AE152" s="4538"/>
      <c r="AF152" s="4538"/>
      <c r="AG152" s="866"/>
      <c r="AH152" s="866"/>
      <c r="AI152" s="866"/>
      <c r="AJ152" s="866"/>
      <c r="AK152" s="866"/>
      <c r="AL152" s="866"/>
    </row>
    <row r="153" ht="6" customHeight="1">
      <c r="A153" s="4438"/>
      <c r="B153" s="4554"/>
      <c r="C153" s="4535"/>
      <c r="D153" s="4540"/>
      <c r="E153" s="4560"/>
      <c r="F153" s="4560"/>
      <c r="G153" s="613"/>
      <c r="H153" s="613"/>
      <c r="I153" s="613"/>
      <c r="J153" s="613"/>
      <c r="K153" s="613"/>
      <c r="L153" s="613"/>
      <c r="M153" s="613"/>
      <c r="N153" s="4535"/>
      <c r="O153" s="4535"/>
      <c r="P153" s="4535"/>
      <c r="Q153" s="4541"/>
      <c r="R153" s="4535"/>
      <c r="S153" s="4535"/>
      <c r="T153" s="866"/>
      <c r="U153" s="866"/>
      <c r="V153" s="866"/>
      <c r="W153" s="866"/>
      <c r="X153" s="866"/>
      <c r="Y153" s="4538"/>
      <c r="Z153" s="4538"/>
      <c r="AA153" s="4538"/>
      <c r="AB153" s="4538"/>
      <c r="AC153" s="4538"/>
      <c r="AD153" s="4538"/>
      <c r="AE153" s="4538"/>
      <c r="AF153" s="4538"/>
      <c r="AG153" s="866"/>
      <c r="AH153" s="866"/>
      <c r="AI153" s="866"/>
      <c r="AJ153" s="866"/>
      <c r="AK153" s="866"/>
      <c r="AL153" s="866"/>
    </row>
    <row r="154" ht="125.25" customHeight="1">
      <c r="A154" s="4438"/>
      <c r="B154" s="4539" t="s">
        <v>451</v>
      </c>
      <c r="C154" s="4535"/>
      <c r="D154" s="4540" t="s">
        <v>3719</v>
      </c>
      <c r="E154" s="4562"/>
      <c r="F154" s="4562"/>
      <c r="G154" s="4562"/>
      <c r="H154" s="4562"/>
      <c r="I154" s="4562"/>
      <c r="J154" s="4562"/>
      <c r="K154" s="4562"/>
      <c r="L154" s="4562"/>
      <c r="M154" s="4562"/>
      <c r="N154" s="4535"/>
      <c r="O154" s="4535"/>
      <c r="P154" s="4535"/>
      <c r="Q154" s="4541">
        <f t="shared" si="10"/>
        <v>0</v>
      </c>
      <c r="R154" s="4535"/>
      <c r="S154" s="4535"/>
      <c r="T154" s="866"/>
      <c r="U154" s="866"/>
      <c r="V154" s="866"/>
      <c r="W154" s="866"/>
      <c r="X154" s="866"/>
      <c r="Y154" s="4538"/>
      <c r="Z154" s="4538"/>
      <c r="AA154" s="4538"/>
      <c r="AB154" s="4538"/>
      <c r="AC154" s="4538"/>
      <c r="AD154" s="4538"/>
      <c r="AE154" s="4538"/>
      <c r="AF154" s="4538"/>
      <c r="AG154" s="866"/>
      <c r="AH154" s="866"/>
      <c r="AI154" s="866"/>
      <c r="AJ154" s="866"/>
      <c r="AK154" s="866"/>
      <c r="AL154" s="866"/>
    </row>
    <row r="155" ht="6" customHeight="1">
      <c r="A155" s="4438"/>
      <c r="B155" s="4542"/>
      <c r="C155" s="4535"/>
      <c r="D155" s="4540"/>
      <c r="E155" s="4560"/>
      <c r="F155" s="4560"/>
      <c r="G155" s="613"/>
      <c r="H155" s="613"/>
      <c r="I155" s="613"/>
      <c r="J155" s="613"/>
      <c r="K155" s="613"/>
      <c r="L155" s="613"/>
      <c r="M155" s="613"/>
      <c r="N155" s="4535"/>
      <c r="O155" s="4535"/>
      <c r="P155" s="4535"/>
      <c r="Q155" s="4541"/>
      <c r="R155" s="4535"/>
      <c r="S155" s="4535"/>
      <c r="T155" s="866"/>
      <c r="U155" s="866"/>
      <c r="V155" s="866"/>
      <c r="W155" s="866"/>
      <c r="X155" s="866"/>
      <c r="Y155" s="4538"/>
      <c r="Z155" s="4538"/>
      <c r="AA155" s="4538"/>
      <c r="AB155" s="4538"/>
      <c r="AC155" s="4538"/>
      <c r="AD155" s="4538"/>
      <c r="AE155" s="4538"/>
      <c r="AF155" s="4538"/>
      <c r="AG155" s="866"/>
      <c r="AH155" s="866"/>
      <c r="AI155" s="866"/>
      <c r="AJ155" s="866"/>
      <c r="AK155" s="866"/>
      <c r="AL155" s="866"/>
    </row>
    <row r="156" ht="92.25" customHeight="1">
      <c r="A156" s="4438"/>
      <c r="B156" s="4539" t="s">
        <v>451</v>
      </c>
      <c r="C156" s="4535"/>
      <c r="D156" s="4540" t="s">
        <v>3720</v>
      </c>
      <c r="E156" s="4562"/>
      <c r="F156" s="4562"/>
      <c r="G156" s="4562"/>
      <c r="H156" s="4562"/>
      <c r="I156" s="4562"/>
      <c r="J156" s="4562"/>
      <c r="K156" s="4562"/>
      <c r="L156" s="4562"/>
      <c r="M156" s="4562"/>
      <c r="N156" s="4535"/>
      <c r="O156" s="4535"/>
      <c r="P156" s="4535"/>
      <c r="Q156" s="4541">
        <f t="shared" si="10"/>
        <v>0</v>
      </c>
      <c r="R156" s="4535"/>
      <c r="S156" s="4535"/>
      <c r="T156" s="866"/>
      <c r="U156" s="866"/>
      <c r="V156" s="866"/>
      <c r="W156" s="866"/>
      <c r="X156" s="866"/>
      <c r="Y156" s="4538"/>
      <c r="Z156" s="4538"/>
      <c r="AA156" s="4538"/>
      <c r="AB156" s="4538"/>
      <c r="AC156" s="4538"/>
      <c r="AD156" s="4538"/>
      <c r="AE156" s="4538"/>
      <c r="AF156" s="4538"/>
      <c r="AG156" s="866"/>
      <c r="AH156" s="866"/>
      <c r="AI156" s="866"/>
      <c r="AJ156" s="866"/>
      <c r="AK156" s="866"/>
      <c r="AL156" s="866"/>
    </row>
    <row r="157" ht="6" customHeight="1">
      <c r="A157" s="4438"/>
      <c r="B157" s="4554"/>
      <c r="C157" s="4535"/>
      <c r="D157" s="4540"/>
      <c r="E157" s="4560"/>
      <c r="F157" s="4560"/>
      <c r="G157" s="613"/>
      <c r="H157" s="613"/>
      <c r="I157" s="613"/>
      <c r="J157" s="613"/>
      <c r="K157" s="613"/>
      <c r="L157" s="613"/>
      <c r="M157" s="613"/>
      <c r="N157" s="4535"/>
      <c r="O157" s="4535"/>
      <c r="P157" s="4535"/>
      <c r="Q157" s="4541"/>
      <c r="R157" s="4535"/>
      <c r="S157" s="4535"/>
      <c r="T157" s="866"/>
      <c r="U157" s="866"/>
      <c r="V157" s="866"/>
      <c r="W157" s="866"/>
      <c r="X157" s="866"/>
      <c r="Y157" s="4538"/>
      <c r="Z157" s="4538"/>
      <c r="AA157" s="4538"/>
      <c r="AB157" s="4538"/>
      <c r="AC157" s="4538"/>
      <c r="AD157" s="4538"/>
      <c r="AE157" s="4538"/>
      <c r="AF157" s="4538"/>
      <c r="AG157" s="866"/>
      <c r="AH157" s="866"/>
      <c r="AI157" s="866"/>
      <c r="AJ157" s="866"/>
      <c r="AK157" s="866"/>
      <c r="AL157" s="866"/>
    </row>
    <row r="158" ht="21" customHeight="1" s="696" customFormat="1">
      <c r="A158" s="4556"/>
      <c r="B158" s="4531" t="s">
        <v>3721</v>
      </c>
      <c r="C158" s="631"/>
      <c r="D158" s="631"/>
      <c r="E158" s="4532"/>
      <c r="F158" s="4532"/>
      <c r="G158" s="4532"/>
      <c r="H158" s="631"/>
      <c r="I158" s="631"/>
      <c r="J158" s="631"/>
      <c r="K158" s="631"/>
      <c r="L158" s="631"/>
      <c r="M158" s="631"/>
      <c r="N158" s="631"/>
      <c r="O158" s="631"/>
      <c r="P158" s="631"/>
      <c r="Q158" s="4541"/>
      <c r="R158" s="631"/>
      <c r="S158" s="631"/>
      <c r="T158" s="4530"/>
      <c r="U158" s="4530"/>
      <c r="V158" s="4530"/>
      <c r="W158" s="4530"/>
      <c r="X158" s="4530"/>
      <c r="Y158" s="4534"/>
      <c r="Z158" s="4534"/>
      <c r="AA158" s="4534"/>
      <c r="AB158" s="4534"/>
      <c r="AC158" s="4534"/>
      <c r="AD158" s="4534"/>
      <c r="AE158" s="4534"/>
      <c r="AF158" s="4534"/>
      <c r="AG158" s="4530"/>
      <c r="AH158" s="4530"/>
      <c r="AI158" s="4530"/>
      <c r="AJ158" s="4530"/>
      <c r="AK158" s="4530"/>
      <c r="AL158" s="4530"/>
    </row>
    <row r="159" ht="5.25" customHeight="1">
      <c r="A159" s="4438"/>
      <c r="B159" s="4549"/>
      <c r="C159" s="4535"/>
      <c r="D159" s="4540"/>
      <c r="E159" s="4560"/>
      <c r="F159" s="4560"/>
      <c r="G159" s="613"/>
      <c r="H159" s="613"/>
      <c r="I159" s="613"/>
      <c r="J159" s="613"/>
      <c r="K159" s="613"/>
      <c r="L159" s="613"/>
      <c r="M159" s="613"/>
      <c r="N159" s="4535"/>
      <c r="O159" s="4535"/>
      <c r="P159" s="4535"/>
      <c r="Q159" s="4541"/>
      <c r="R159" s="4535"/>
      <c r="S159" s="4535"/>
      <c r="T159" s="866"/>
      <c r="U159" s="866"/>
      <c r="V159" s="866"/>
      <c r="W159" s="866"/>
      <c r="X159" s="866"/>
      <c r="Y159" s="4538"/>
      <c r="Z159" s="4538"/>
      <c r="AA159" s="4538"/>
      <c r="AB159" s="4538"/>
      <c r="AC159" s="4538"/>
      <c r="AD159" s="4538"/>
      <c r="AE159" s="4538"/>
      <c r="AF159" s="4538"/>
      <c r="AG159" s="866"/>
      <c r="AH159" s="866"/>
      <c r="AI159" s="866"/>
      <c r="AJ159" s="866"/>
      <c r="AK159" s="866"/>
      <c r="AL159" s="866"/>
    </row>
    <row r="160" ht="139.5" customHeight="1">
      <c r="A160" s="4438"/>
      <c r="B160" s="4539" t="s">
        <v>451</v>
      </c>
      <c r="C160" s="4535"/>
      <c r="D160" s="4540" t="s">
        <v>3722</v>
      </c>
      <c r="E160" s="4540"/>
      <c r="F160" s="4540"/>
      <c r="G160" s="4540"/>
      <c r="H160" s="4540"/>
      <c r="I160" s="4540"/>
      <c r="J160" s="4540"/>
      <c r="K160" s="4540"/>
      <c r="L160" s="4540"/>
      <c r="M160" s="4540"/>
      <c r="N160" s="4535"/>
      <c r="O160" s="4535"/>
      <c r="P160" s="4535"/>
      <c r="Q160" s="4541">
        <f t="shared" si="10"/>
        <v>0</v>
      </c>
      <c r="R160" s="4535"/>
      <c r="S160" s="4535"/>
      <c r="T160" s="866"/>
      <c r="U160" s="866"/>
      <c r="V160" s="866"/>
      <c r="W160" s="866"/>
      <c r="X160" s="866"/>
      <c r="Y160" s="4538"/>
      <c r="Z160" s="4538"/>
      <c r="AA160" s="4538"/>
      <c r="AB160" s="4538"/>
      <c r="AC160" s="4538"/>
      <c r="AD160" s="4538"/>
      <c r="AE160" s="4538"/>
      <c r="AF160" s="4538"/>
      <c r="AG160" s="866"/>
      <c r="AH160" s="866"/>
      <c r="AI160" s="866"/>
      <c r="AJ160" s="866"/>
      <c r="AK160" s="866"/>
      <c r="AL160" s="866"/>
    </row>
    <row r="161" ht="5.25" customHeight="1">
      <c r="A161" s="4438"/>
      <c r="B161" s="4542"/>
      <c r="C161" s="4535"/>
      <c r="D161" s="4540"/>
      <c r="E161" s="4560"/>
      <c r="F161" s="4560"/>
      <c r="G161" s="613"/>
      <c r="H161" s="613"/>
      <c r="I161" s="613"/>
      <c r="J161" s="613"/>
      <c r="K161" s="613"/>
      <c r="L161" s="613"/>
      <c r="M161" s="613"/>
      <c r="N161" s="4535"/>
      <c r="O161" s="4535"/>
      <c r="P161" s="4535"/>
      <c r="Q161" s="4541"/>
      <c r="R161" s="4535"/>
      <c r="S161" s="4535"/>
      <c r="T161" s="866"/>
      <c r="U161" s="866"/>
      <c r="V161" s="866"/>
      <c r="W161" s="866"/>
      <c r="X161" s="866"/>
      <c r="Y161" s="4538"/>
      <c r="Z161" s="4538"/>
      <c r="AA161" s="4538"/>
      <c r="AB161" s="4538"/>
      <c r="AC161" s="4538"/>
      <c r="AD161" s="4538"/>
      <c r="AE161" s="4538"/>
      <c r="AF161" s="4538"/>
      <c r="AG161" s="866"/>
      <c r="AH161" s="866"/>
      <c r="AI161" s="866"/>
      <c r="AJ161" s="866"/>
      <c r="AK161" s="866"/>
      <c r="AL161" s="866"/>
    </row>
    <row r="162" ht="141.75" customHeight="1">
      <c r="A162" s="4438"/>
      <c r="B162" s="4539" t="s">
        <v>451</v>
      </c>
      <c r="C162" s="4535"/>
      <c r="D162" s="4540" t="s">
        <v>3723</v>
      </c>
      <c r="E162" s="4562"/>
      <c r="F162" s="4562"/>
      <c r="G162" s="4562"/>
      <c r="H162" s="4562"/>
      <c r="I162" s="4562"/>
      <c r="J162" s="4562"/>
      <c r="K162" s="4562"/>
      <c r="L162" s="4562"/>
      <c r="M162" s="4562"/>
      <c r="N162" s="4535"/>
      <c r="O162" s="4535"/>
      <c r="P162" s="4535"/>
      <c r="Q162" s="4541">
        <f t="shared" si="10"/>
        <v>0</v>
      </c>
      <c r="R162" s="4535"/>
      <c r="S162" s="4535"/>
      <c r="T162" s="866"/>
      <c r="U162" s="866"/>
      <c r="V162" s="866"/>
      <c r="W162" s="866"/>
      <c r="X162" s="866"/>
      <c r="Y162" s="4538"/>
      <c r="Z162" s="4538"/>
      <c r="AA162" s="4538"/>
      <c r="AB162" s="4538"/>
      <c r="AC162" s="4538"/>
      <c r="AD162" s="4538"/>
      <c r="AE162" s="4538"/>
      <c r="AF162" s="4538"/>
      <c r="AG162" s="866"/>
      <c r="AH162" s="866"/>
      <c r="AI162" s="866"/>
      <c r="AJ162" s="866"/>
      <c r="AK162" s="866"/>
      <c r="AL162" s="866"/>
    </row>
    <row r="163" ht="5.25" customHeight="1">
      <c r="A163" s="4438"/>
      <c r="B163" s="4542"/>
      <c r="C163" s="4535"/>
      <c r="D163" s="4540"/>
      <c r="E163" s="4560"/>
      <c r="F163" s="4560"/>
      <c r="G163" s="613"/>
      <c r="H163" s="613"/>
      <c r="I163" s="613"/>
      <c r="J163" s="613"/>
      <c r="K163" s="613"/>
      <c r="L163" s="613"/>
      <c r="M163" s="613"/>
      <c r="N163" s="4535"/>
      <c r="O163" s="4535"/>
      <c r="P163" s="4535"/>
      <c r="Q163" s="4541"/>
      <c r="R163" s="4535"/>
      <c r="S163" s="4535"/>
      <c r="T163" s="866"/>
      <c r="U163" s="866"/>
      <c r="V163" s="866"/>
      <c r="W163" s="866"/>
      <c r="X163" s="866"/>
      <c r="Y163" s="4538"/>
      <c r="Z163" s="4538"/>
      <c r="AA163" s="4538"/>
      <c r="AB163" s="4538"/>
      <c r="AC163" s="4538"/>
      <c r="AD163" s="4538"/>
      <c r="AE163" s="4538"/>
      <c r="AF163" s="4538"/>
      <c r="AG163" s="866"/>
      <c r="AH163" s="866"/>
      <c r="AI163" s="866"/>
      <c r="AJ163" s="866"/>
      <c r="AK163" s="866"/>
      <c r="AL163" s="866"/>
    </row>
    <row r="164" ht="50.25" customHeight="1">
      <c r="A164" s="4438"/>
      <c r="B164" s="4539" t="s">
        <v>451</v>
      </c>
      <c r="C164" s="4535"/>
      <c r="D164" s="4540" t="s">
        <v>3724</v>
      </c>
      <c r="E164" s="4562"/>
      <c r="F164" s="4562"/>
      <c r="G164" s="4562"/>
      <c r="H164" s="4562"/>
      <c r="I164" s="4562"/>
      <c r="J164" s="4562"/>
      <c r="K164" s="4562"/>
      <c r="L164" s="4562"/>
      <c r="M164" s="4562"/>
      <c r="N164" s="4535"/>
      <c r="O164" s="4535"/>
      <c r="P164" s="4535"/>
      <c r="Q164" s="4541">
        <f t="shared" si="10"/>
        <v>0</v>
      </c>
      <c r="R164" s="4535"/>
      <c r="S164" s="4535"/>
      <c r="T164" s="866"/>
      <c r="U164" s="866"/>
      <c r="V164" s="866"/>
      <c r="W164" s="866"/>
      <c r="X164" s="866"/>
      <c r="Y164" s="4538"/>
      <c r="Z164" s="4538"/>
      <c r="AA164" s="4538"/>
      <c r="AB164" s="4538"/>
      <c r="AC164" s="4538"/>
      <c r="AD164" s="4538"/>
      <c r="AE164" s="4538"/>
      <c r="AF164" s="4538"/>
      <c r="AG164" s="866"/>
      <c r="AH164" s="866"/>
      <c r="AI164" s="866"/>
      <c r="AJ164" s="866"/>
      <c r="AK164" s="866"/>
      <c r="AL164" s="866"/>
    </row>
    <row r="165" ht="5.25" customHeight="1">
      <c r="A165" s="4438"/>
      <c r="B165" s="4542"/>
      <c r="C165" s="4535"/>
      <c r="D165" s="4540"/>
      <c r="E165" s="4560"/>
      <c r="F165" s="4560"/>
      <c r="G165" s="613"/>
      <c r="H165" s="613"/>
      <c r="I165" s="613"/>
      <c r="J165" s="613"/>
      <c r="K165" s="613"/>
      <c r="L165" s="613"/>
      <c r="M165" s="613"/>
      <c r="N165" s="4535"/>
      <c r="O165" s="4535"/>
      <c r="P165" s="4535"/>
      <c r="Q165" s="4541"/>
      <c r="R165" s="4535"/>
      <c r="S165" s="4535"/>
      <c r="T165" s="866"/>
      <c r="U165" s="866"/>
      <c r="V165" s="866"/>
      <c r="W165" s="866"/>
      <c r="X165" s="866"/>
      <c r="Y165" s="4538"/>
      <c r="Z165" s="4538"/>
      <c r="AA165" s="4538"/>
      <c r="AB165" s="4538"/>
      <c r="AC165" s="4538"/>
      <c r="AD165" s="4538"/>
      <c r="AE165" s="4538"/>
      <c r="AF165" s="4538"/>
      <c r="AG165" s="866"/>
      <c r="AH165" s="866"/>
      <c r="AI165" s="866"/>
      <c r="AJ165" s="866"/>
      <c r="AK165" s="866"/>
      <c r="AL165" s="866"/>
    </row>
    <row r="166" ht="36" customHeight="1">
      <c r="A166" s="4438"/>
      <c r="B166" s="4539" t="s">
        <v>451</v>
      </c>
      <c r="C166" s="4535"/>
      <c r="D166" s="4540" t="s">
        <v>3725</v>
      </c>
      <c r="E166" s="4562"/>
      <c r="F166" s="4562"/>
      <c r="G166" s="4562"/>
      <c r="H166" s="4562"/>
      <c r="I166" s="4562"/>
      <c r="J166" s="4562"/>
      <c r="K166" s="4562"/>
      <c r="L166" s="4562"/>
      <c r="M166" s="4562"/>
      <c r="N166" s="4535"/>
      <c r="O166" s="4535"/>
      <c r="P166" s="4535"/>
      <c r="Q166" s="4541">
        <f t="shared" si="10"/>
        <v>0</v>
      </c>
      <c r="R166" s="4535"/>
      <c r="S166" s="4535"/>
      <c r="T166" s="866"/>
      <c r="U166" s="866"/>
      <c r="V166" s="866"/>
      <c r="W166" s="866"/>
      <c r="X166" s="866"/>
      <c r="Y166" s="4538"/>
      <c r="Z166" s="4538"/>
      <c r="AA166" s="4538"/>
      <c r="AB166" s="4538"/>
      <c r="AC166" s="4538"/>
      <c r="AD166" s="4538"/>
      <c r="AE166" s="4538"/>
      <c r="AF166" s="4538"/>
      <c r="AG166" s="866"/>
      <c r="AH166" s="866"/>
      <c r="AI166" s="866"/>
      <c r="AJ166" s="866"/>
      <c r="AK166" s="866"/>
      <c r="AL166" s="866"/>
    </row>
    <row r="167" ht="5.25" customHeight="1">
      <c r="A167" s="4438"/>
      <c r="B167" s="4423"/>
      <c r="C167" s="4535"/>
      <c r="D167" s="4540"/>
      <c r="E167" s="4540"/>
      <c r="F167" s="4540"/>
      <c r="G167" s="4540"/>
      <c r="H167" s="4540"/>
      <c r="I167" s="4540"/>
      <c r="J167" s="4540"/>
      <c r="K167" s="4540"/>
      <c r="L167" s="4540"/>
      <c r="M167" s="4540"/>
      <c r="N167" s="4535"/>
      <c r="O167" s="4535"/>
      <c r="P167" s="4535"/>
      <c r="Q167" s="4541"/>
      <c r="R167" s="4535"/>
      <c r="S167" s="4535"/>
      <c r="T167" s="866"/>
      <c r="U167" s="866"/>
      <c r="V167" s="866"/>
      <c r="W167" s="866"/>
      <c r="X167" s="866"/>
      <c r="Y167" s="4558"/>
      <c r="Z167" s="4558"/>
      <c r="AA167" s="4558"/>
      <c r="AB167" s="4558"/>
      <c r="AC167" s="4558"/>
      <c r="AD167" s="4558"/>
      <c r="AE167" s="4558"/>
      <c r="AF167" s="4558"/>
      <c r="AG167" s="866"/>
      <c r="AH167" s="866"/>
      <c r="AI167" s="866"/>
      <c r="AJ167" s="866"/>
      <c r="AK167" s="866"/>
      <c r="AL167" s="866"/>
    </row>
    <row r="168" ht="32.25" customHeight="1">
      <c r="A168" s="4438"/>
      <c r="B168" s="4539" t="s">
        <v>451</v>
      </c>
      <c r="C168" s="4535"/>
      <c r="D168" s="4540" t="s">
        <v>3726</v>
      </c>
      <c r="E168" s="4562"/>
      <c r="F168" s="4562"/>
      <c r="G168" s="4562"/>
      <c r="H168" s="4562"/>
      <c r="I168" s="4562"/>
      <c r="J168" s="4562"/>
      <c r="K168" s="4562"/>
      <c r="L168" s="4562"/>
      <c r="M168" s="4562"/>
      <c r="N168" s="4535"/>
      <c r="O168" s="4535"/>
      <c r="P168" s="4535"/>
      <c r="Q168" s="4541">
        <f t="shared" si="10"/>
        <v>0</v>
      </c>
      <c r="R168" s="4535"/>
      <c r="S168" s="4535"/>
      <c r="T168" s="866"/>
      <c r="U168" s="866"/>
      <c r="V168" s="866"/>
      <c r="W168" s="866"/>
      <c r="X168" s="866"/>
      <c r="Y168" s="4558"/>
      <c r="Z168" s="4558"/>
      <c r="AA168" s="4558"/>
      <c r="AB168" s="4558"/>
      <c r="AC168" s="4558"/>
      <c r="AD168" s="4558"/>
      <c r="AE168" s="4558"/>
      <c r="AF168" s="4558"/>
      <c r="AG168" s="866"/>
      <c r="AH168" s="866"/>
      <c r="AI168" s="866"/>
      <c r="AJ168" s="866"/>
      <c r="AK168" s="866"/>
      <c r="AL168" s="866"/>
    </row>
    <row r="169" ht="5.25" customHeight="1">
      <c r="A169" s="4438"/>
      <c r="B169" s="4559"/>
      <c r="C169" s="4535"/>
      <c r="D169" s="4537"/>
      <c r="E169" s="4537"/>
      <c r="F169" s="4537"/>
      <c r="G169" s="613"/>
      <c r="H169" s="613"/>
      <c r="I169" s="613"/>
      <c r="J169" s="613"/>
      <c r="K169" s="613"/>
      <c r="L169" s="613"/>
      <c r="M169" s="613"/>
      <c r="N169" s="4535"/>
      <c r="O169" s="4535"/>
      <c r="P169" s="4535"/>
      <c r="Q169" s="4541"/>
      <c r="R169" s="4535"/>
      <c r="S169" s="4535"/>
      <c r="T169" s="866"/>
      <c r="U169" s="866"/>
      <c r="V169" s="866"/>
      <c r="W169" s="866"/>
      <c r="X169" s="866"/>
      <c r="Y169" s="4538"/>
      <c r="Z169" s="4538"/>
      <c r="AA169" s="4538"/>
      <c r="AB169" s="4538"/>
      <c r="AC169" s="4538"/>
      <c r="AD169" s="4538"/>
      <c r="AE169" s="4538"/>
      <c r="AF169" s="4538"/>
      <c r="AG169" s="866"/>
      <c r="AH169" s="866"/>
      <c r="AI169" s="866"/>
      <c r="AJ169" s="866"/>
      <c r="AK169" s="866"/>
      <c r="AL169" s="866"/>
    </row>
    <row r="170" ht="36.75" customHeight="1">
      <c r="A170" s="4438"/>
      <c r="B170" s="4539" t="s">
        <v>451</v>
      </c>
      <c r="C170" s="4535"/>
      <c r="D170" s="4540" t="s">
        <v>3727</v>
      </c>
      <c r="E170" s="4540"/>
      <c r="F170" s="4540"/>
      <c r="G170" s="4540"/>
      <c r="H170" s="4540"/>
      <c r="I170" s="4540"/>
      <c r="J170" s="4540"/>
      <c r="K170" s="4540"/>
      <c r="L170" s="4540"/>
      <c r="M170" s="4540"/>
      <c r="N170" s="4535"/>
      <c r="O170" s="4535"/>
      <c r="P170" s="4535"/>
      <c r="Q170" s="4541">
        <f t="shared" si="10"/>
        <v>0</v>
      </c>
      <c r="R170" s="4535"/>
      <c r="S170" s="4535"/>
      <c r="T170" s="866"/>
      <c r="U170" s="866"/>
      <c r="V170" s="866"/>
      <c r="W170" s="866"/>
      <c r="X170" s="866"/>
      <c r="Y170" s="4538"/>
      <c r="Z170" s="4538"/>
      <c r="AA170" s="4538"/>
      <c r="AB170" s="4538"/>
      <c r="AC170" s="4538"/>
      <c r="AD170" s="4538"/>
      <c r="AE170" s="4538"/>
      <c r="AF170" s="4538"/>
      <c r="AG170" s="866"/>
      <c r="AH170" s="866"/>
      <c r="AI170" s="866"/>
      <c r="AJ170" s="866"/>
      <c r="AK170" s="866"/>
      <c r="AL170" s="866"/>
    </row>
    <row r="171" ht="5.25" customHeight="1">
      <c r="A171" s="4438"/>
      <c r="B171" s="4559"/>
      <c r="C171" s="4535"/>
      <c r="D171" s="4537"/>
      <c r="E171" s="4537"/>
      <c r="F171" s="4537"/>
      <c r="G171" s="613"/>
      <c r="H171" s="613"/>
      <c r="I171" s="613"/>
      <c r="J171" s="613"/>
      <c r="K171" s="613"/>
      <c r="L171" s="613"/>
      <c r="M171" s="613"/>
      <c r="N171" s="4535"/>
      <c r="O171" s="4535"/>
      <c r="P171" s="4535"/>
      <c r="Q171" s="4541"/>
      <c r="R171" s="4535"/>
      <c r="S171" s="4535"/>
      <c r="T171" s="866"/>
      <c r="U171" s="866"/>
      <c r="V171" s="866"/>
      <c r="W171" s="866"/>
      <c r="X171" s="866"/>
      <c r="Y171" s="4538"/>
      <c r="Z171" s="4538"/>
      <c r="AA171" s="4538"/>
      <c r="AB171" s="4538"/>
      <c r="AC171" s="4538"/>
      <c r="AD171" s="4538"/>
      <c r="AE171" s="4538"/>
      <c r="AF171" s="4538"/>
      <c r="AG171" s="866"/>
      <c r="AH171" s="866"/>
      <c r="AI171" s="866"/>
      <c r="AJ171" s="866"/>
      <c r="AK171" s="866"/>
      <c r="AL171" s="866"/>
    </row>
    <row r="172" ht="20.25" customHeight="1">
      <c r="A172" s="4438"/>
      <c r="B172" s="4539" t="s">
        <v>451</v>
      </c>
      <c r="C172" s="4535"/>
      <c r="D172" s="4540" t="s">
        <v>3728</v>
      </c>
      <c r="E172" s="4540"/>
      <c r="F172" s="4540"/>
      <c r="G172" s="4540"/>
      <c r="H172" s="4540"/>
      <c r="I172" s="4540"/>
      <c r="J172" s="4540"/>
      <c r="K172" s="4540"/>
      <c r="L172" s="4540"/>
      <c r="M172" s="4540"/>
      <c r="N172" s="4535"/>
      <c r="O172" s="4535"/>
      <c r="P172" s="4535"/>
      <c r="Q172" s="4541">
        <f t="shared" si="10"/>
        <v>0</v>
      </c>
      <c r="R172" s="4535"/>
      <c r="S172" s="4535"/>
      <c r="T172" s="866"/>
      <c r="U172" s="866"/>
      <c r="V172" s="866"/>
      <c r="W172" s="866"/>
      <c r="X172" s="866"/>
      <c r="Y172" s="4538"/>
      <c r="Z172" s="4538"/>
      <c r="AA172" s="4538"/>
      <c r="AB172" s="4538"/>
      <c r="AC172" s="4538"/>
      <c r="AD172" s="4538"/>
      <c r="AE172" s="4538"/>
      <c r="AF172" s="4538"/>
      <c r="AG172" s="866"/>
      <c r="AH172" s="866"/>
      <c r="AI172" s="866"/>
      <c r="AJ172" s="866"/>
      <c r="AK172" s="866"/>
      <c r="AL172" s="866"/>
    </row>
    <row r="173" ht="5.25" customHeight="1">
      <c r="A173" s="4438"/>
      <c r="B173" s="4559"/>
      <c r="C173" s="4535"/>
      <c r="D173" s="4537"/>
      <c r="E173" s="4537"/>
      <c r="F173" s="4537"/>
      <c r="G173" s="613"/>
      <c r="H173" s="613"/>
      <c r="I173" s="613"/>
      <c r="J173" s="613"/>
      <c r="K173" s="613"/>
      <c r="L173" s="613"/>
      <c r="M173" s="613"/>
      <c r="N173" s="4535"/>
      <c r="O173" s="4535"/>
      <c r="P173" s="4535"/>
      <c r="Q173" s="4541"/>
      <c r="R173" s="4535"/>
      <c r="S173" s="4535"/>
      <c r="T173" s="866"/>
      <c r="U173" s="866"/>
      <c r="V173" s="866"/>
      <c r="W173" s="866"/>
      <c r="X173" s="866"/>
      <c r="Y173" s="4538"/>
      <c r="Z173" s="4538"/>
      <c r="AA173" s="4538"/>
      <c r="AB173" s="4538"/>
      <c r="AC173" s="4538"/>
      <c r="AD173" s="4538"/>
      <c r="AE173" s="4538"/>
      <c r="AF173" s="4538"/>
      <c r="AG173" s="866"/>
      <c r="AH173" s="866"/>
      <c r="AI173" s="866"/>
      <c r="AJ173" s="866"/>
      <c r="AK173" s="866"/>
      <c r="AL173" s="866"/>
    </row>
    <row r="174" ht="62.25" customHeight="1">
      <c r="A174" s="4438"/>
      <c r="B174" s="4539" t="s">
        <v>451</v>
      </c>
      <c r="C174" s="4535"/>
      <c r="D174" s="4563" t="s">
        <v>3729</v>
      </c>
      <c r="E174" s="4540"/>
      <c r="F174" s="4540"/>
      <c r="G174" s="4540"/>
      <c r="H174" s="4540"/>
      <c r="I174" s="4540"/>
      <c r="J174" s="4540"/>
      <c r="K174" s="4540"/>
      <c r="L174" s="4540"/>
      <c r="M174" s="4540"/>
      <c r="N174" s="4535"/>
      <c r="O174" s="4535"/>
      <c r="P174" s="4535"/>
      <c r="Q174" s="4541">
        <f t="shared" si="10"/>
        <v>0</v>
      </c>
      <c r="R174" s="4535"/>
      <c r="S174" s="4535"/>
      <c r="T174" s="866"/>
      <c r="U174" s="866"/>
      <c r="V174" s="866"/>
      <c r="W174" s="866"/>
      <c r="X174" s="866"/>
      <c r="Y174" s="4538"/>
      <c r="Z174" s="4538"/>
      <c r="AA174" s="4538"/>
      <c r="AB174" s="4538"/>
      <c r="AC174" s="4538"/>
      <c r="AD174" s="4538"/>
      <c r="AE174" s="4538"/>
      <c r="AF174" s="4538"/>
      <c r="AG174" s="866"/>
      <c r="AH174" s="866"/>
      <c r="AI174" s="866"/>
      <c r="AJ174" s="866"/>
      <c r="AK174" s="866"/>
      <c r="AL174" s="866"/>
    </row>
    <row r="175" ht="5.25" customHeight="1">
      <c r="A175" s="4438"/>
      <c r="B175" s="4559"/>
      <c r="C175" s="4535"/>
      <c r="D175" s="4537"/>
      <c r="E175" s="4537"/>
      <c r="F175" s="4537"/>
      <c r="G175" s="613"/>
      <c r="H175" s="613"/>
      <c r="I175" s="613"/>
      <c r="J175" s="613"/>
      <c r="K175" s="613"/>
      <c r="L175" s="613"/>
      <c r="M175" s="613"/>
      <c r="N175" s="4535"/>
      <c r="O175" s="4535"/>
      <c r="P175" s="4535"/>
      <c r="Q175" s="4541"/>
      <c r="R175" s="4535"/>
      <c r="S175" s="4535"/>
      <c r="T175" s="866"/>
      <c r="U175" s="866"/>
      <c r="V175" s="866"/>
      <c r="W175" s="866"/>
      <c r="X175" s="866"/>
      <c r="Y175" s="4538"/>
      <c r="Z175" s="4538"/>
      <c r="AA175" s="4538"/>
      <c r="AB175" s="4538"/>
      <c r="AC175" s="4538"/>
      <c r="AD175" s="4538"/>
      <c r="AE175" s="4538"/>
      <c r="AF175" s="4538"/>
      <c r="AG175" s="866"/>
      <c r="AH175" s="866"/>
      <c r="AI175" s="866"/>
      <c r="AJ175" s="866"/>
      <c r="AK175" s="866"/>
      <c r="AL175" s="866"/>
    </row>
    <row r="176" ht="61.5" customHeight="1">
      <c r="A176" s="4438"/>
      <c r="B176" s="4539" t="s">
        <v>451</v>
      </c>
      <c r="C176" s="4535"/>
      <c r="D176" s="4540" t="s">
        <v>3730</v>
      </c>
      <c r="E176" s="4562"/>
      <c r="F176" s="4562"/>
      <c r="G176" s="4562"/>
      <c r="H176" s="4562"/>
      <c r="I176" s="4562"/>
      <c r="J176" s="4562"/>
      <c r="K176" s="4562"/>
      <c r="L176" s="4562"/>
      <c r="M176" s="4562"/>
      <c r="N176" s="4535"/>
      <c r="O176" s="4535"/>
      <c r="P176" s="4535"/>
      <c r="Q176" s="4541">
        <f t="shared" si="10"/>
        <v>0</v>
      </c>
      <c r="R176" s="4535"/>
      <c r="S176" s="4535"/>
      <c r="T176" s="866"/>
      <c r="U176" s="866"/>
      <c r="V176" s="866"/>
      <c r="W176" s="866"/>
      <c r="X176" s="866"/>
      <c r="Y176" s="4538"/>
      <c r="Z176" s="4538"/>
      <c r="AA176" s="4538"/>
      <c r="AB176" s="4538"/>
      <c r="AC176" s="4538"/>
      <c r="AD176" s="4538"/>
      <c r="AE176" s="4538"/>
      <c r="AF176" s="4538"/>
      <c r="AG176" s="866"/>
      <c r="AH176" s="866"/>
      <c r="AI176" s="866"/>
      <c r="AJ176" s="866"/>
      <c r="AK176" s="866"/>
      <c r="AL176" s="866"/>
    </row>
    <row r="177" ht="5.25" customHeight="1">
      <c r="A177" s="4438"/>
      <c r="B177" s="4559"/>
      <c r="C177" s="4535"/>
      <c r="D177" s="4537"/>
      <c r="E177" s="4537"/>
      <c r="F177" s="4537"/>
      <c r="G177" s="613"/>
      <c r="H177" s="613"/>
      <c r="I177" s="613"/>
      <c r="J177" s="613"/>
      <c r="K177" s="613"/>
      <c r="L177" s="613"/>
      <c r="M177" s="613"/>
      <c r="N177" s="4535"/>
      <c r="O177" s="4535"/>
      <c r="P177" s="4535"/>
      <c r="Q177" s="4541"/>
      <c r="R177" s="4535"/>
      <c r="S177" s="4535"/>
      <c r="T177" s="866"/>
      <c r="U177" s="866"/>
      <c r="V177" s="866"/>
      <c r="W177" s="866"/>
      <c r="X177" s="866"/>
      <c r="Y177" s="4538"/>
      <c r="Z177" s="4538"/>
      <c r="AA177" s="4538"/>
      <c r="AB177" s="4538"/>
      <c r="AC177" s="4538"/>
      <c r="AD177" s="4538"/>
      <c r="AE177" s="4538"/>
      <c r="AF177" s="4538"/>
      <c r="AG177" s="866"/>
      <c r="AH177" s="866"/>
      <c r="AI177" s="866"/>
      <c r="AJ177" s="866"/>
      <c r="AK177" s="866"/>
      <c r="AL177" s="866"/>
    </row>
    <row r="178" ht="20.25" customHeight="1">
      <c r="A178" s="4438"/>
      <c r="B178" s="4539" t="s">
        <v>451</v>
      </c>
      <c r="C178" s="4535"/>
      <c r="D178" s="4540" t="s">
        <v>3731</v>
      </c>
      <c r="E178" s="4562"/>
      <c r="F178" s="4562"/>
      <c r="G178" s="4562"/>
      <c r="H178" s="4562"/>
      <c r="I178" s="4562"/>
      <c r="J178" s="4562"/>
      <c r="K178" s="4562"/>
      <c r="L178" s="4562"/>
      <c r="M178" s="4562"/>
      <c r="N178" s="4535"/>
      <c r="O178" s="4535"/>
      <c r="P178" s="4535"/>
      <c r="Q178" s="4541">
        <f t="shared" si="10"/>
        <v>0</v>
      </c>
      <c r="R178" s="4535"/>
      <c r="S178" s="4535"/>
      <c r="T178" s="866"/>
      <c r="U178" s="866"/>
      <c r="V178" s="866"/>
      <c r="W178" s="866"/>
      <c r="X178" s="866"/>
      <c r="Y178" s="4538"/>
      <c r="Z178" s="4538"/>
      <c r="AA178" s="4538"/>
      <c r="AB178" s="4538"/>
      <c r="AC178" s="4538"/>
      <c r="AD178" s="4538"/>
      <c r="AE178" s="4538"/>
      <c r="AF178" s="4538"/>
      <c r="AG178" s="866"/>
      <c r="AH178" s="866"/>
      <c r="AI178" s="866"/>
      <c r="AJ178" s="866"/>
      <c r="AK178" s="866"/>
      <c r="AL178" s="866"/>
    </row>
    <row r="179" ht="5.25" customHeight="1">
      <c r="A179" s="4438"/>
      <c r="B179" s="4559"/>
      <c r="C179" s="4535"/>
      <c r="D179" s="4537"/>
      <c r="E179" s="4537"/>
      <c r="F179" s="4537"/>
      <c r="G179" s="613"/>
      <c r="H179" s="613"/>
      <c r="I179" s="613"/>
      <c r="J179" s="613"/>
      <c r="K179" s="613"/>
      <c r="L179" s="613"/>
      <c r="M179" s="613"/>
      <c r="N179" s="4535"/>
      <c r="O179" s="4535"/>
      <c r="P179" s="4535"/>
      <c r="Q179" s="4541"/>
      <c r="R179" s="4535"/>
      <c r="S179" s="4535"/>
      <c r="T179" s="866"/>
      <c r="U179" s="866"/>
      <c r="V179" s="866"/>
      <c r="W179" s="866"/>
      <c r="X179" s="866"/>
      <c r="Y179" s="4538"/>
      <c r="Z179" s="4538"/>
      <c r="AA179" s="4538"/>
      <c r="AB179" s="4538"/>
      <c r="AC179" s="4538"/>
      <c r="AD179" s="4538"/>
      <c r="AE179" s="4538"/>
      <c r="AF179" s="4538"/>
      <c r="AG179" s="866"/>
      <c r="AH179" s="866"/>
      <c r="AI179" s="866"/>
      <c r="AJ179" s="866"/>
      <c r="AK179" s="866"/>
      <c r="AL179" s="866"/>
    </row>
    <row r="180" ht="168.75" customHeight="1">
      <c r="A180" s="4438"/>
      <c r="B180" s="4539" t="s">
        <v>451</v>
      </c>
      <c r="C180" s="4535"/>
      <c r="D180" s="4540" t="s">
        <v>3732</v>
      </c>
      <c r="E180" s="4540"/>
      <c r="F180" s="4540"/>
      <c r="G180" s="4540"/>
      <c r="H180" s="4540"/>
      <c r="I180" s="4540"/>
      <c r="J180" s="4540"/>
      <c r="K180" s="4540"/>
      <c r="L180" s="4540"/>
      <c r="M180" s="4540"/>
      <c r="N180" s="4535"/>
      <c r="O180" s="4535"/>
      <c r="P180" s="4535"/>
      <c r="Q180" s="4541">
        <f t="shared" si="10"/>
        <v>0</v>
      </c>
      <c r="R180" s="4535"/>
      <c r="S180" s="4535"/>
      <c r="T180" s="866"/>
      <c r="U180" s="866"/>
      <c r="V180" s="866"/>
      <c r="W180" s="866"/>
      <c r="X180" s="866"/>
      <c r="Y180" s="4538"/>
      <c r="Z180" s="4538"/>
      <c r="AA180" s="4538"/>
      <c r="AB180" s="4538"/>
      <c r="AC180" s="4538"/>
      <c r="AD180" s="4538"/>
      <c r="AE180" s="4538"/>
      <c r="AF180" s="4538"/>
      <c r="AG180" s="866"/>
      <c r="AH180" s="866"/>
      <c r="AI180" s="866"/>
      <c r="AJ180" s="866"/>
      <c r="AK180" s="866"/>
      <c r="AL180" s="866"/>
    </row>
    <row r="181" ht="5.25" customHeight="1">
      <c r="A181" s="4438"/>
      <c r="B181" s="4542"/>
      <c r="C181" s="4535"/>
      <c r="D181" s="4540"/>
      <c r="E181" s="4560"/>
      <c r="F181" s="4560"/>
      <c r="G181" s="613"/>
      <c r="H181" s="613"/>
      <c r="I181" s="613"/>
      <c r="J181" s="613"/>
      <c r="K181" s="613"/>
      <c r="L181" s="613"/>
      <c r="M181" s="613"/>
      <c r="N181" s="4535"/>
      <c r="O181" s="4535"/>
      <c r="P181" s="6"/>
      <c r="Q181" s="4541"/>
      <c r="R181" s="6"/>
      <c r="S181" s="6"/>
      <c r="T181" s="6"/>
      <c r="U181" s="6"/>
      <c r="V181" s="6"/>
      <c r="W181" s="866"/>
      <c r="X181" s="866"/>
      <c r="Y181" s="4538"/>
      <c r="Z181" s="4538"/>
      <c r="AA181" s="4538"/>
      <c r="AB181" s="4538"/>
      <c r="AC181" s="4538"/>
      <c r="AD181" s="4538"/>
      <c r="AE181" s="4538"/>
      <c r="AF181" s="4538"/>
      <c r="AG181" s="866"/>
      <c r="AH181" s="866"/>
      <c r="AI181" s="866"/>
      <c r="AJ181" s="866"/>
      <c r="AK181" s="866"/>
      <c r="AL181" s="866"/>
    </row>
    <row r="182" ht="36" customHeight="1">
      <c r="A182" s="4438"/>
      <c r="B182" s="4539" t="s">
        <v>451</v>
      </c>
      <c r="C182" s="4535"/>
      <c r="D182" s="4540" t="s">
        <v>3733</v>
      </c>
      <c r="E182" s="4540"/>
      <c r="F182" s="4540"/>
      <c r="G182" s="4540"/>
      <c r="H182" s="4540"/>
      <c r="I182" s="4540"/>
      <c r="J182" s="4540"/>
      <c r="K182" s="4540"/>
      <c r="L182" s="4540"/>
      <c r="M182" s="4540"/>
      <c r="N182" s="4535"/>
      <c r="O182" s="4535"/>
      <c r="P182" s="6"/>
      <c r="Q182" s="4541">
        <f t="shared" si="10"/>
        <v>0</v>
      </c>
      <c r="R182" s="6"/>
      <c r="S182" s="6"/>
      <c r="T182" s="6"/>
      <c r="U182" s="6"/>
      <c r="V182" s="6"/>
      <c r="W182" s="866"/>
      <c r="X182" s="866"/>
      <c r="Y182" s="4538"/>
      <c r="Z182" s="4538"/>
      <c r="AA182" s="4538"/>
      <c r="AB182" s="4538"/>
      <c r="AC182" s="4538"/>
      <c r="AD182" s="4538"/>
      <c r="AE182" s="4538"/>
      <c r="AF182" s="4538"/>
      <c r="AG182" s="866"/>
      <c r="AH182" s="866"/>
      <c r="AI182" s="866"/>
      <c r="AJ182" s="866"/>
      <c r="AK182" s="866"/>
      <c r="AL182" s="866"/>
    </row>
    <row r="183" ht="5.25" customHeight="1">
      <c r="A183" s="4438"/>
      <c r="B183" s="4554"/>
      <c r="C183" s="4535"/>
      <c r="D183" s="4540"/>
      <c r="E183" s="4560"/>
      <c r="F183" s="4560"/>
      <c r="G183" s="613"/>
      <c r="H183" s="613"/>
      <c r="I183" s="613"/>
      <c r="J183" s="613"/>
      <c r="K183" s="613"/>
      <c r="L183" s="613"/>
      <c r="M183" s="613"/>
      <c r="N183" s="4535"/>
      <c r="O183" s="4535"/>
      <c r="P183" s="6"/>
      <c r="Q183" s="4541"/>
      <c r="R183" s="6"/>
      <c r="S183" s="6"/>
      <c r="T183" s="6"/>
      <c r="U183" s="6"/>
      <c r="V183" s="6"/>
      <c r="W183" s="866"/>
      <c r="X183" s="866"/>
      <c r="Y183" s="4538"/>
      <c r="Z183" s="4538"/>
      <c r="AA183" s="4538"/>
      <c r="AB183" s="4538"/>
      <c r="AC183" s="4538"/>
      <c r="AD183" s="4538"/>
      <c r="AE183" s="4538"/>
      <c r="AF183" s="4538"/>
      <c r="AG183" s="866"/>
      <c r="AH183" s="866"/>
      <c r="AI183" s="866"/>
      <c r="AJ183" s="866"/>
      <c r="AK183" s="866"/>
      <c r="AL183" s="866"/>
    </row>
    <row r="184" ht="21" customHeight="1" s="696" customFormat="1">
      <c r="A184" s="4556"/>
      <c r="B184" s="4531" t="s">
        <v>3734</v>
      </c>
      <c r="C184" s="631"/>
      <c r="D184" s="631"/>
      <c r="E184" s="4532"/>
      <c r="F184" s="4532"/>
      <c r="G184" s="4532"/>
      <c r="H184" s="631"/>
      <c r="I184" s="631"/>
      <c r="J184" s="631"/>
      <c r="K184" s="631"/>
      <c r="L184" s="631"/>
      <c r="M184" s="631"/>
      <c r="N184" s="631"/>
      <c r="O184" s="631"/>
      <c r="P184" s="631"/>
      <c r="Q184" s="4541"/>
      <c r="R184" s="631"/>
      <c r="S184" s="631"/>
      <c r="T184" s="4530"/>
      <c r="U184" s="4530"/>
      <c r="V184" s="4530"/>
      <c r="W184" s="4530"/>
      <c r="X184" s="4530"/>
      <c r="Y184" s="4534"/>
      <c r="Z184" s="4534"/>
      <c r="AA184" s="4534"/>
      <c r="AB184" s="4534"/>
      <c r="AC184" s="4534"/>
      <c r="AD184" s="4534"/>
      <c r="AE184" s="4534"/>
      <c r="AF184" s="4534"/>
      <c r="AG184" s="4530"/>
      <c r="AH184" s="4530"/>
      <c r="AI184" s="4530"/>
      <c r="AJ184" s="4530"/>
      <c r="AK184" s="4530"/>
      <c r="AL184" s="4530"/>
    </row>
    <row r="185" ht="5.25" customHeight="1">
      <c r="A185" s="4438"/>
      <c r="B185" s="4557"/>
      <c r="C185" s="4535"/>
      <c r="D185" s="4540"/>
      <c r="E185" s="4560"/>
      <c r="F185" s="4560"/>
      <c r="G185" s="613"/>
      <c r="H185" s="613"/>
      <c r="I185" s="613"/>
      <c r="J185" s="613"/>
      <c r="K185" s="613"/>
      <c r="L185" s="613"/>
      <c r="M185" s="613"/>
      <c r="N185" s="4535"/>
      <c r="O185" s="4535"/>
      <c r="P185" s="6"/>
      <c r="Q185" s="4541"/>
      <c r="R185" s="6"/>
      <c r="S185" s="6"/>
      <c r="T185" s="6"/>
      <c r="U185" s="6"/>
      <c r="V185" s="6"/>
      <c r="W185" s="866"/>
      <c r="X185" s="866"/>
      <c r="Y185" s="4538"/>
      <c r="Z185" s="4538"/>
      <c r="AA185" s="4538"/>
      <c r="AB185" s="4538"/>
      <c r="AC185" s="4538"/>
      <c r="AD185" s="4538"/>
      <c r="AE185" s="4538"/>
      <c r="AF185" s="4538"/>
      <c r="AG185" s="866"/>
      <c r="AH185" s="866"/>
      <c r="AI185" s="866"/>
      <c r="AJ185" s="866"/>
      <c r="AK185" s="866"/>
      <c r="AL185" s="866"/>
    </row>
    <row r="186" ht="167.25" customHeight="1">
      <c r="A186" s="4438"/>
      <c r="B186" s="4539" t="s">
        <v>451</v>
      </c>
      <c r="C186" s="4535"/>
      <c r="D186" s="4540" t="s">
        <v>3735</v>
      </c>
      <c r="E186" s="4540"/>
      <c r="F186" s="4540"/>
      <c r="G186" s="4540"/>
      <c r="H186" s="4540"/>
      <c r="I186" s="4540"/>
      <c r="J186" s="4540"/>
      <c r="K186" s="4540"/>
      <c r="L186" s="4540"/>
      <c r="M186" s="4540"/>
      <c r="N186" s="4535"/>
      <c r="O186" s="4535"/>
      <c r="P186" s="6"/>
      <c r="Q186" s="4541">
        <f t="shared" si="10"/>
        <v>0</v>
      </c>
      <c r="R186" s="6"/>
      <c r="S186" s="6"/>
      <c r="T186" s="6"/>
      <c r="U186" s="6"/>
      <c r="V186" s="6"/>
      <c r="W186" s="866"/>
      <c r="X186" s="866"/>
      <c r="Y186" s="4538"/>
      <c r="Z186" s="4538"/>
      <c r="AA186" s="4538"/>
      <c r="AB186" s="4538"/>
      <c r="AC186" s="4538"/>
      <c r="AD186" s="4538"/>
      <c r="AE186" s="4538"/>
      <c r="AF186" s="4538"/>
      <c r="AG186" s="866"/>
      <c r="AH186" s="866"/>
      <c r="AI186" s="866"/>
      <c r="AJ186" s="866"/>
      <c r="AK186" s="866"/>
      <c r="AL186" s="866"/>
    </row>
    <row r="187" ht="5.25" customHeight="1" hidden="1">
      <c r="A187" s="4438"/>
      <c r="B187" s="4542"/>
      <c r="C187" s="4535"/>
      <c r="D187" s="4540"/>
      <c r="E187" s="4560"/>
      <c r="F187" s="4560"/>
      <c r="G187" s="613"/>
      <c r="H187" s="613"/>
      <c r="I187" s="613"/>
      <c r="J187" s="613"/>
      <c r="K187" s="613"/>
      <c r="L187" s="613"/>
      <c r="M187" s="613"/>
      <c r="N187" s="4535"/>
      <c r="O187" s="4535"/>
      <c r="P187" s="6"/>
      <c r="Q187" s="4541"/>
      <c r="R187" s="6"/>
      <c r="S187" s="6"/>
      <c r="T187" s="6"/>
      <c r="U187" s="6"/>
      <c r="V187" s="6"/>
      <c r="W187" s="866"/>
      <c r="X187" s="866"/>
      <c r="Y187" s="4538"/>
      <c r="Z187" s="4538"/>
      <c r="AA187" s="4538"/>
      <c r="AB187" s="4538"/>
      <c r="AC187" s="4538"/>
      <c r="AD187" s="4538"/>
      <c r="AE187" s="4538"/>
      <c r="AF187" s="4538"/>
      <c r="AG187" s="866"/>
      <c r="AH187" s="866"/>
      <c r="AI187" s="866"/>
      <c r="AJ187" s="866"/>
      <c r="AK187" s="866"/>
      <c r="AL187" s="866"/>
    </row>
    <row r="188" ht="140.25" customHeight="1" hidden="1">
      <c r="A188" s="4438"/>
      <c r="B188" s="4539" t="s">
        <v>451</v>
      </c>
      <c r="C188" s="4535"/>
      <c r="D188" s="4540"/>
      <c r="E188" s="4540"/>
      <c r="F188" s="4540"/>
      <c r="G188" s="4540"/>
      <c r="H188" s="4540"/>
      <c r="I188" s="4540"/>
      <c r="J188" s="4540"/>
      <c r="K188" s="4540"/>
      <c r="L188" s="4540"/>
      <c r="M188" s="4540"/>
      <c r="N188" s="4535"/>
      <c r="O188" s="4535"/>
      <c r="P188" s="6"/>
      <c r="Q188" s="4541">
        <f t="shared" si="10"/>
        <v>0</v>
      </c>
      <c r="R188" s="6"/>
      <c r="S188" s="6"/>
      <c r="T188" s="6"/>
      <c r="U188" s="6"/>
      <c r="V188" s="6"/>
      <c r="W188" s="866"/>
      <c r="X188" s="866"/>
      <c r="Y188" s="4538"/>
      <c r="Z188" s="4538"/>
      <c r="AA188" s="4538"/>
      <c r="AB188" s="4538"/>
      <c r="AC188" s="4538"/>
      <c r="AD188" s="4538"/>
      <c r="AE188" s="4538"/>
      <c r="AF188" s="4538"/>
      <c r="AG188" s="866"/>
      <c r="AH188" s="866"/>
      <c r="AI188" s="866"/>
      <c r="AJ188" s="866"/>
      <c r="AK188" s="866"/>
      <c r="AL188" s="866"/>
    </row>
    <row r="189" ht="5.25" customHeight="1" hidden="1">
      <c r="A189" s="4438"/>
      <c r="B189" s="4542"/>
      <c r="C189" s="4535"/>
      <c r="D189" s="4540"/>
      <c r="E189" s="4560"/>
      <c r="F189" s="4560"/>
      <c r="G189" s="613"/>
      <c r="H189" s="613"/>
      <c r="I189" s="613"/>
      <c r="J189" s="613"/>
      <c r="K189" s="613"/>
      <c r="L189" s="613"/>
      <c r="M189" s="613"/>
      <c r="N189" s="4535"/>
      <c r="O189" s="4535"/>
      <c r="P189" s="6"/>
      <c r="Q189" s="4541"/>
      <c r="R189" s="6"/>
      <c r="S189" s="6"/>
      <c r="T189" s="6"/>
      <c r="U189" s="6"/>
      <c r="V189" s="6"/>
      <c r="W189" s="866"/>
      <c r="X189" s="866"/>
      <c r="Y189" s="4538"/>
      <c r="Z189" s="4538"/>
      <c r="AA189" s="4538"/>
      <c r="AB189" s="4538"/>
      <c r="AC189" s="4538"/>
      <c r="AD189" s="4538"/>
      <c r="AE189" s="4538"/>
      <c r="AF189" s="4538"/>
      <c r="AG189" s="866"/>
      <c r="AH189" s="866"/>
      <c r="AI189" s="866"/>
      <c r="AJ189" s="866"/>
      <c r="AK189" s="866"/>
      <c r="AL189" s="866"/>
    </row>
    <row r="190" ht="30" customHeight="1" hidden="1">
      <c r="A190" s="4438"/>
      <c r="B190" s="4539" t="s">
        <v>451</v>
      </c>
      <c r="C190" s="4535"/>
      <c r="D190" s="4540"/>
      <c r="E190" s="4540"/>
      <c r="F190" s="4540"/>
      <c r="G190" s="4540"/>
      <c r="H190" s="4540"/>
      <c r="I190" s="4540"/>
      <c r="J190" s="4540"/>
      <c r="K190" s="4540"/>
      <c r="L190" s="4540"/>
      <c r="M190" s="4540"/>
      <c r="N190" s="4535"/>
      <c r="O190" s="4535"/>
      <c r="P190" s="6"/>
      <c r="Q190" s="4541">
        <f t="shared" si="10"/>
        <v>0</v>
      </c>
      <c r="R190" s="6"/>
      <c r="S190" s="6"/>
      <c r="T190" s="6"/>
      <c r="U190" s="6"/>
      <c r="V190" s="6"/>
      <c r="W190" s="866"/>
      <c r="X190" s="866"/>
      <c r="Y190" s="4538"/>
      <c r="Z190" s="4538"/>
      <c r="AA190" s="4538"/>
      <c r="AB190" s="4538"/>
      <c r="AC190" s="4538"/>
      <c r="AD190" s="4538"/>
      <c r="AE190" s="4538"/>
      <c r="AF190" s="4538"/>
      <c r="AG190" s="866"/>
      <c r="AH190" s="866"/>
      <c r="AI190" s="866"/>
      <c r="AJ190" s="866"/>
      <c r="AK190" s="866"/>
      <c r="AL190" s="866"/>
    </row>
    <row r="191" ht="5.25" customHeight="1" hidden="1">
      <c r="A191" s="4438"/>
      <c r="B191" s="4549"/>
      <c r="C191" s="4535"/>
      <c r="D191" s="4540"/>
      <c r="E191" s="4540"/>
      <c r="F191" s="4540"/>
      <c r="G191" s="4540"/>
      <c r="H191" s="4540"/>
      <c r="I191" s="4540"/>
      <c r="J191" s="4540"/>
      <c r="K191" s="4540"/>
      <c r="L191" s="4540"/>
      <c r="M191" s="4540"/>
      <c r="N191" s="4535"/>
      <c r="O191" s="4535"/>
      <c r="P191" s="6"/>
      <c r="Q191" s="4541"/>
      <c r="R191" s="6"/>
      <c r="S191" s="6"/>
      <c r="T191" s="6"/>
      <c r="U191" s="6"/>
      <c r="V191" s="6"/>
      <c r="W191" s="866"/>
      <c r="X191" s="866"/>
      <c r="Y191" s="4558"/>
      <c r="Z191" s="4558"/>
      <c r="AA191" s="4558"/>
      <c r="AB191" s="4558"/>
      <c r="AC191" s="4558"/>
      <c r="AD191" s="4558"/>
      <c r="AE191" s="4558"/>
      <c r="AF191" s="4558"/>
      <c r="AG191" s="866"/>
      <c r="AH191" s="866"/>
      <c r="AI191" s="866"/>
      <c r="AJ191" s="866"/>
      <c r="AK191" s="866"/>
      <c r="AL191" s="866"/>
    </row>
    <row r="192" ht="35.25" customHeight="1">
      <c r="A192" s="6"/>
      <c r="B192" s="1365"/>
      <c r="C192" s="1365"/>
      <c r="D192" s="1365"/>
      <c r="E192" s="1365"/>
      <c r="F192" s="1365"/>
      <c r="G192" s="1365"/>
      <c r="H192" s="1365"/>
      <c r="I192" s="1365"/>
      <c r="J192" s="1365"/>
      <c r="K192" s="1365"/>
      <c r="L192" s="1365"/>
      <c r="M192" s="1365"/>
      <c r="N192" s="6"/>
      <c r="O192" s="6"/>
      <c r="P192" s="6"/>
      <c r="Q192" s="4541"/>
      <c r="R192" s="6"/>
      <c r="S192" s="6"/>
      <c r="T192" s="6"/>
      <c r="U192" s="6"/>
      <c r="V192" s="6"/>
      <c r="W192" s="6"/>
      <c r="X192" s="6"/>
      <c r="Y192" s="4564"/>
      <c r="Z192" s="4564"/>
      <c r="AA192" s="4564"/>
      <c r="AB192" s="4564"/>
      <c r="AC192" s="4564"/>
      <c r="AD192" s="4564"/>
      <c r="AE192" s="4564"/>
      <c r="AF192" s="4564"/>
      <c r="AG192" s="6"/>
      <c r="AH192" s="6"/>
      <c r="AI192" s="6"/>
      <c r="AJ192" s="6"/>
      <c r="AK192" s="6"/>
      <c r="AL192" s="6"/>
    </row>
    <row r="193" ht="15" customHeight="1">
      <c r="A193" s="6"/>
      <c r="B193" s="6"/>
      <c r="C193" s="6"/>
      <c r="D193" s="6"/>
      <c r="E193" s="6"/>
      <c r="F193" s="6"/>
      <c r="G193" s="6"/>
      <c r="H193" s="6"/>
      <c r="I193" s="6"/>
      <c r="J193" s="6"/>
      <c r="K193" s="6"/>
      <c r="L193" s="6"/>
      <c r="M193" s="6"/>
      <c r="N193" s="6"/>
      <c r="O193" s="6"/>
      <c r="P193" s="6"/>
      <c r="Q193" s="4279"/>
      <c r="R193" s="6"/>
      <c r="S193" s="6"/>
      <c r="T193" s="6"/>
      <c r="U193" s="6"/>
      <c r="V193" s="6"/>
      <c r="W193" s="6"/>
      <c r="X193" s="6"/>
      <c r="Y193" s="1408"/>
      <c r="Z193" s="1408"/>
      <c r="AA193" s="1408"/>
      <c r="AB193" s="1408"/>
      <c r="AC193" s="1408"/>
      <c r="AD193" s="1408"/>
      <c r="AE193" s="1408"/>
      <c r="AF193" s="1408"/>
      <c r="AG193" s="6"/>
      <c r="AH193" s="6"/>
      <c r="AI193" s="6"/>
      <c r="AJ193" s="6"/>
      <c r="AK193" s="6"/>
      <c r="AL193" s="6"/>
    </row>
    <row r="194" ht="15" customHeight="1">
      <c r="A194" s="6"/>
      <c r="B194" s="4565" t="s">
        <v>3736</v>
      </c>
      <c r="C194" s="6"/>
      <c r="D194" s="6"/>
      <c r="E194" s="6"/>
      <c r="F194" s="6"/>
      <c r="G194" s="6"/>
      <c r="H194" s="6"/>
      <c r="I194" s="6"/>
      <c r="J194" s="6"/>
      <c r="K194" s="6"/>
      <c r="L194" s="6"/>
      <c r="M194" s="6"/>
      <c r="N194" s="6"/>
      <c r="O194" s="6"/>
      <c r="P194" s="6"/>
      <c r="Q194" s="4279"/>
      <c r="R194" s="6"/>
      <c r="S194" s="6"/>
      <c r="T194" s="6"/>
      <c r="U194" s="6"/>
      <c r="V194" s="6"/>
      <c r="W194" s="6"/>
      <c r="X194" s="6"/>
      <c r="Y194" s="1408"/>
      <c r="Z194" s="1408"/>
      <c r="AA194" s="1408"/>
      <c r="AB194" s="1408"/>
      <c r="AC194" s="1408"/>
      <c r="AD194" s="1408"/>
      <c r="AE194" s="1408"/>
      <c r="AF194" s="1408"/>
      <c r="AG194" s="6"/>
      <c r="AH194" s="6"/>
      <c r="AI194" s="6"/>
      <c r="AJ194" s="6"/>
      <c r="AK194" s="6"/>
      <c r="AL194" s="6"/>
    </row>
    <row r="195" ht="15" customHeight="1">
      <c r="A195" s="6"/>
      <c r="B195" s="6"/>
      <c r="C195" s="6"/>
      <c r="D195" s="6"/>
      <c r="E195" s="6"/>
      <c r="F195" s="6"/>
      <c r="G195" s="6"/>
      <c r="H195" s="6"/>
      <c r="I195" s="6"/>
      <c r="J195" s="6"/>
      <c r="K195" s="6"/>
      <c r="L195" s="6"/>
      <c r="M195" s="6"/>
      <c r="N195" s="6"/>
      <c r="O195" s="6"/>
      <c r="P195" s="6"/>
      <c r="Q195" s="4279"/>
      <c r="R195" s="6"/>
      <c r="S195" s="6"/>
      <c r="T195" s="6"/>
      <c r="U195" s="6"/>
      <c r="V195" s="6"/>
      <c r="W195" s="6"/>
      <c r="X195" s="6"/>
      <c r="Y195" s="1408"/>
      <c r="Z195" s="1408"/>
      <c r="AA195" s="1408"/>
      <c r="AB195" s="1408"/>
      <c r="AC195" s="1408"/>
      <c r="AD195" s="1408"/>
      <c r="AE195" s="1408"/>
      <c r="AF195" s="1408"/>
      <c r="AG195" s="6"/>
      <c r="AH195" s="6"/>
      <c r="AI195" s="6"/>
      <c r="AJ195" s="6"/>
      <c r="AK195" s="6"/>
      <c r="AL195" s="6"/>
    </row>
    <row r="196" ht="15" customHeight="1">
      <c r="A196" s="6"/>
      <c r="B196" s="4526" t="s">
        <v>3586</v>
      </c>
      <c r="C196" s="6"/>
      <c r="D196" s="6"/>
      <c r="E196" s="6"/>
      <c r="F196" s="6"/>
      <c r="G196" s="1653"/>
      <c r="H196" s="6"/>
      <c r="I196" s="6"/>
      <c r="J196" s="6"/>
      <c r="K196" s="6"/>
      <c r="L196" s="6"/>
      <c r="M196" s="6"/>
      <c r="N196" s="6"/>
      <c r="O196" s="6"/>
      <c r="P196" s="6"/>
      <c r="Q196" s="4279"/>
      <c r="R196" s="6"/>
      <c r="S196" s="6"/>
      <c r="T196" s="6"/>
      <c r="U196" s="6"/>
      <c r="V196" s="6"/>
      <c r="W196" s="6"/>
      <c r="X196" s="6"/>
      <c r="Y196" s="1408"/>
      <c r="Z196" s="1408"/>
      <c r="AA196" s="1408"/>
      <c r="AB196" s="1408"/>
      <c r="AC196" s="1408"/>
      <c r="AD196" s="1408"/>
      <c r="AE196" s="1408"/>
      <c r="AF196" s="1408"/>
      <c r="AG196" s="6"/>
      <c r="AH196" s="6"/>
      <c r="AI196" s="6"/>
      <c r="AJ196" s="6"/>
      <c r="AK196" s="6"/>
      <c r="AL196" s="6"/>
    </row>
    <row r="197" ht="15" customHeight="1">
      <c r="A197" s="6"/>
      <c r="B197" s="6" t="s">
        <v>384</v>
      </c>
      <c r="C197" s="6"/>
      <c r="D197" s="6"/>
      <c r="E197" s="4566" t="s">
        <v>3737</v>
      </c>
      <c r="F197" s="4423" t="b">
        <f>E12="Fixed"</f>
        <v>1</v>
      </c>
      <c r="G197" s="6"/>
      <c r="H197" s="6"/>
      <c r="I197" s="6"/>
      <c r="J197" s="6"/>
      <c r="K197" s="6"/>
      <c r="L197" s="6"/>
      <c r="M197" s="6"/>
      <c r="N197" s="6"/>
      <c r="O197" s="6"/>
      <c r="P197" s="6"/>
      <c r="Q197" s="4279"/>
      <c r="R197" s="6"/>
      <c r="S197" s="6"/>
      <c r="T197" s="6"/>
      <c r="U197" s="6"/>
      <c r="V197" s="6"/>
      <c r="W197" s="6"/>
      <c r="X197" s="6"/>
      <c r="Y197" s="1408"/>
      <c r="Z197" s="1408"/>
      <c r="AA197" s="1408"/>
      <c r="AB197" s="1408"/>
      <c r="AC197" s="1408"/>
      <c r="AD197" s="1408"/>
      <c r="AE197" s="1408"/>
      <c r="AF197" s="1408"/>
      <c r="AG197" s="6"/>
      <c r="AH197" s="6"/>
      <c r="AI197" s="6"/>
      <c r="AJ197" s="6"/>
      <c r="AK197" s="6"/>
      <c r="AL197" s="6"/>
    </row>
    <row r="198" ht="15" customHeight="1">
      <c r="A198" s="6"/>
      <c r="B198" s="6" t="s">
        <v>3738</v>
      </c>
      <c r="C198" s="6"/>
      <c r="D198" s="6"/>
      <c r="E198" s="4566" t="s">
        <v>3739</v>
      </c>
      <c r="F198" s="4423" t="b">
        <f>E12="SARM Loan"</f>
        <v>0</v>
      </c>
      <c r="G198" s="6"/>
      <c r="H198" s="6"/>
      <c r="I198" s="6"/>
      <c r="J198" s="6"/>
      <c r="K198" s="6"/>
      <c r="L198" s="6"/>
      <c r="M198" s="6"/>
      <c r="N198" s="6"/>
      <c r="O198" s="6"/>
      <c r="P198" s="6"/>
      <c r="Q198" s="4279"/>
      <c r="R198" s="6"/>
      <c r="S198" s="6"/>
      <c r="T198" s="6"/>
      <c r="U198" s="6"/>
      <c r="V198" s="6"/>
      <c r="W198" s="6"/>
      <c r="X198" s="6"/>
      <c r="Y198" s="1408"/>
      <c r="Z198" s="1408"/>
      <c r="AA198" s="1408"/>
      <c r="AB198" s="1408"/>
      <c r="AC198" s="1408"/>
      <c r="AD198" s="1408"/>
      <c r="AE198" s="1408"/>
      <c r="AF198" s="1408"/>
      <c r="AG198" s="6"/>
      <c r="AH198" s="6"/>
      <c r="AI198" s="6"/>
      <c r="AJ198" s="6"/>
      <c r="AK198" s="6"/>
      <c r="AL198" s="6"/>
    </row>
    <row r="199" ht="15" customHeight="1">
      <c r="A199" s="6"/>
      <c r="B199" s="6" t="s">
        <v>3740</v>
      </c>
      <c r="C199" s="6"/>
      <c r="D199" s="6"/>
      <c r="E199" s="4566" t="s">
        <v>3741</v>
      </c>
      <c r="F199" s="4423" t="b">
        <f>AND(E12&lt;&gt;"Fixed",E12&lt;&gt;"Other",E12&lt;&gt;"Hybrid ARM Loan")</f>
        <v>0</v>
      </c>
      <c r="G199" s="6"/>
      <c r="H199" s="6"/>
      <c r="I199" s="6"/>
      <c r="J199" s="6"/>
      <c r="K199" s="6"/>
      <c r="L199" s="6"/>
      <c r="M199" s="6"/>
      <c r="N199" s="6"/>
      <c r="O199" s="6"/>
      <c r="P199" s="6"/>
      <c r="Q199" s="4279"/>
      <c r="R199" s="6"/>
      <c r="S199" s="6"/>
      <c r="T199" s="6"/>
      <c r="U199" s="6"/>
      <c r="V199" s="6"/>
      <c r="W199" s="6"/>
      <c r="X199" s="6"/>
      <c r="Y199" s="1408"/>
      <c r="Z199" s="1408"/>
      <c r="AA199" s="1408"/>
      <c r="AB199" s="1408"/>
      <c r="AC199" s="1408"/>
      <c r="AD199" s="1408"/>
      <c r="AE199" s="1408"/>
      <c r="AF199" s="1408"/>
      <c r="AG199" s="6"/>
      <c r="AH199" s="6"/>
      <c r="AI199" s="6"/>
      <c r="AJ199" s="6"/>
      <c r="AK199" s="6"/>
      <c r="AL199" s="6"/>
    </row>
    <row r="200" ht="15" customHeight="1">
      <c r="A200" s="6"/>
      <c r="B200" s="6" t="s">
        <v>3742</v>
      </c>
      <c r="C200" s="6"/>
      <c r="D200" s="6"/>
      <c r="E200" s="6"/>
      <c r="F200" s="6"/>
      <c r="G200" s="6"/>
      <c r="H200" s="6"/>
      <c r="I200" s="6"/>
      <c r="J200" s="6"/>
      <c r="K200" s="6"/>
      <c r="L200" s="6"/>
      <c r="M200" s="6"/>
      <c r="N200" s="6"/>
      <c r="O200" s="6"/>
      <c r="P200" s="6"/>
      <c r="Q200" s="4279"/>
      <c r="R200" s="6"/>
      <c r="S200" s="6"/>
      <c r="T200" s="6"/>
      <c r="U200" s="6"/>
      <c r="V200" s="6"/>
      <c r="W200" s="6"/>
      <c r="X200" s="6"/>
      <c r="Y200" s="1408"/>
      <c r="Z200" s="1408"/>
      <c r="AA200" s="1408"/>
      <c r="AB200" s="1408"/>
      <c r="AC200" s="1408"/>
      <c r="AD200" s="1408"/>
      <c r="AE200" s="1408"/>
      <c r="AF200" s="1408"/>
      <c r="AG200" s="6"/>
      <c r="AH200" s="6"/>
      <c r="AI200" s="6"/>
      <c r="AJ200" s="6"/>
      <c r="AK200" s="6"/>
      <c r="AL200" s="6"/>
    </row>
    <row r="201" ht="15" customHeight="1">
      <c r="A201" s="6"/>
      <c r="B201" s="6" t="s">
        <v>3743</v>
      </c>
      <c r="C201" s="6"/>
      <c r="D201" s="6"/>
      <c r="E201" s="6"/>
      <c r="F201" s="6"/>
      <c r="G201" s="6"/>
      <c r="H201" s="6"/>
      <c r="I201" s="6"/>
      <c r="J201" s="6"/>
      <c r="K201" s="6"/>
      <c r="L201" s="6"/>
      <c r="M201" s="6"/>
      <c r="N201" s="6"/>
      <c r="O201" s="6"/>
      <c r="P201" s="6"/>
      <c r="Q201" s="4279"/>
      <c r="R201" s="6"/>
      <c r="S201" s="6"/>
      <c r="T201" s="6"/>
      <c r="U201" s="6"/>
      <c r="V201" s="6"/>
      <c r="W201" s="6"/>
      <c r="X201" s="6"/>
      <c r="Y201" s="1408"/>
      <c r="Z201" s="1408"/>
      <c r="AA201" s="1408"/>
      <c r="AB201" s="1408"/>
      <c r="AC201" s="1408"/>
      <c r="AD201" s="1408"/>
      <c r="AE201" s="1408"/>
      <c r="AF201" s="1408"/>
      <c r="AG201" s="6"/>
      <c r="AH201" s="6"/>
      <c r="AI201" s="6"/>
      <c r="AJ201" s="6"/>
      <c r="AK201" s="6"/>
      <c r="AL201" s="6"/>
    </row>
    <row r="202" ht="15" customHeight="1">
      <c r="A202" s="6"/>
      <c r="B202" s="6" t="s">
        <v>3744</v>
      </c>
      <c r="C202" s="6"/>
      <c r="D202" s="6"/>
      <c r="E202" s="6"/>
      <c r="F202" s="6"/>
      <c r="G202" s="6"/>
      <c r="H202" s="6"/>
      <c r="I202" s="6"/>
      <c r="J202" s="6"/>
      <c r="K202" s="6"/>
      <c r="L202" s="6"/>
      <c r="M202" s="6"/>
      <c r="N202" s="6"/>
      <c r="O202" s="6"/>
      <c r="P202" s="6"/>
      <c r="Q202" s="4279"/>
      <c r="R202" s="6"/>
      <c r="S202" s="6"/>
      <c r="T202" s="6"/>
      <c r="U202" s="6"/>
      <c r="V202" s="6"/>
      <c r="W202" s="6"/>
      <c r="X202" s="6"/>
      <c r="Y202" s="1408"/>
      <c r="Z202" s="1408"/>
      <c r="AA202" s="1408"/>
      <c r="AB202" s="1408"/>
      <c r="AC202" s="1408"/>
      <c r="AD202" s="1408"/>
      <c r="AE202" s="1408"/>
      <c r="AF202" s="1408"/>
      <c r="AG202" s="6"/>
      <c r="AH202" s="6"/>
      <c r="AI202" s="6"/>
      <c r="AJ202" s="6"/>
      <c r="AK202" s="6"/>
      <c r="AL202" s="6"/>
    </row>
    <row r="203" ht="15" customHeight="1">
      <c r="A203" s="6"/>
      <c r="B203" s="6" t="s">
        <v>236</v>
      </c>
      <c r="C203" s="6"/>
      <c r="D203" s="6"/>
      <c r="E203" s="6"/>
      <c r="F203" s="6"/>
      <c r="G203" s="6"/>
      <c r="H203" s="6"/>
      <c r="I203" s="6"/>
      <c r="J203" s="6"/>
      <c r="K203" s="6"/>
      <c r="L203" s="6"/>
      <c r="M203" s="6"/>
      <c r="N203" s="6"/>
      <c r="O203" s="6"/>
      <c r="P203" s="6"/>
      <c r="Q203" s="4279"/>
      <c r="R203" s="6"/>
      <c r="S203" s="6"/>
      <c r="T203" s="6"/>
      <c r="U203" s="6"/>
      <c r="V203" s="6"/>
      <c r="W203" s="6"/>
      <c r="X203" s="6"/>
      <c r="Y203" s="1408"/>
      <c r="Z203" s="1408"/>
      <c r="AA203" s="1408"/>
      <c r="AB203" s="1408"/>
      <c r="AC203" s="1408"/>
      <c r="AD203" s="1408"/>
      <c r="AE203" s="1408"/>
      <c r="AF203" s="1408"/>
      <c r="AG203" s="6"/>
      <c r="AH203" s="6"/>
      <c r="AI203" s="6"/>
      <c r="AJ203" s="6"/>
      <c r="AK203" s="6"/>
      <c r="AL203" s="6"/>
    </row>
    <row r="204" ht="15" customHeight="1">
      <c r="A204" s="6"/>
      <c r="B204" s="6"/>
      <c r="C204" s="6"/>
      <c r="D204" s="6"/>
      <c r="E204" s="6"/>
      <c r="F204" s="6"/>
      <c r="G204" s="6"/>
      <c r="H204" s="6"/>
      <c r="I204" s="6"/>
      <c r="J204" s="6"/>
      <c r="K204" s="6"/>
      <c r="L204" s="6"/>
      <c r="M204" s="6"/>
      <c r="N204" s="6"/>
      <c r="O204" s="6"/>
      <c r="P204" s="6"/>
      <c r="Q204" s="4279"/>
      <c r="R204" s="6"/>
      <c r="S204" s="6"/>
      <c r="T204" s="6"/>
      <c r="U204" s="6"/>
      <c r="V204" s="6"/>
      <c r="W204" s="6"/>
      <c r="X204" s="6"/>
      <c r="Y204" s="1408"/>
      <c r="Z204" s="1408"/>
      <c r="AA204" s="1408"/>
      <c r="AB204" s="1408"/>
      <c r="AC204" s="1408"/>
      <c r="AD204" s="1408"/>
      <c r="AE204" s="1408"/>
      <c r="AF204" s="1408"/>
      <c r="AG204" s="6"/>
      <c r="AH204" s="6"/>
      <c r="AI204" s="6"/>
      <c r="AJ204" s="6"/>
      <c r="AK204" s="6"/>
      <c r="AL204" s="6"/>
    </row>
    <row r="205" ht="15" customHeight="1">
      <c r="A205" s="6"/>
      <c r="B205" s="4526" t="s">
        <v>3590</v>
      </c>
      <c r="C205" s="6"/>
      <c r="D205" s="6"/>
      <c r="E205" s="6"/>
      <c r="F205" s="6"/>
      <c r="G205" s="6"/>
      <c r="H205" s="6"/>
      <c r="I205" s="6"/>
      <c r="J205" s="6"/>
      <c r="K205" s="6"/>
      <c r="L205" s="6"/>
      <c r="M205" s="6"/>
      <c r="N205" s="6"/>
      <c r="O205" s="6"/>
      <c r="P205" s="6"/>
      <c r="Q205" s="4279"/>
      <c r="R205" s="6"/>
      <c r="S205" s="6"/>
      <c r="T205" s="6"/>
      <c r="U205" s="6"/>
      <c r="V205" s="6"/>
      <c r="W205" s="6"/>
      <c r="X205" s="6"/>
      <c r="Y205" s="1408"/>
      <c r="Z205" s="1408"/>
      <c r="AA205" s="1408"/>
      <c r="AB205" s="1408"/>
      <c r="AC205" s="1408"/>
      <c r="AD205" s="1408"/>
      <c r="AE205" s="1408"/>
      <c r="AF205" s="1408"/>
      <c r="AG205" s="6"/>
      <c r="AH205" s="6"/>
      <c r="AI205" s="6"/>
      <c r="AJ205" s="6"/>
      <c r="AK205" s="6"/>
      <c r="AL205" s="6"/>
    </row>
    <row r="206" ht="15" customHeight="1">
      <c r="A206" s="6"/>
      <c r="B206" s="6" t="s">
        <v>3591</v>
      </c>
      <c r="C206" s="6"/>
      <c r="D206" s="6"/>
      <c r="E206" s="6"/>
      <c r="F206" s="6"/>
      <c r="G206" s="6"/>
      <c r="H206" s="6"/>
      <c r="I206" s="6"/>
      <c r="J206" s="6"/>
      <c r="K206" s="6"/>
      <c r="L206" s="6"/>
      <c r="M206" s="6"/>
      <c r="N206" s="6"/>
      <c r="O206" s="6"/>
      <c r="P206" s="6"/>
      <c r="Q206" s="4279"/>
      <c r="R206" s="6"/>
      <c r="S206" s="6"/>
      <c r="T206" s="6"/>
      <c r="U206" s="6"/>
      <c r="V206" s="6"/>
      <c r="W206" s="6"/>
      <c r="X206" s="6"/>
      <c r="Y206" s="1408"/>
      <c r="Z206" s="1408"/>
      <c r="AA206" s="1408"/>
      <c r="AB206" s="1408"/>
      <c r="AC206" s="1408"/>
      <c r="AD206" s="1408"/>
      <c r="AE206" s="1408"/>
      <c r="AF206" s="1408"/>
      <c r="AG206" s="6"/>
      <c r="AH206" s="6"/>
      <c r="AI206" s="6"/>
      <c r="AJ206" s="6"/>
      <c r="AK206" s="6"/>
      <c r="AL206" s="6"/>
    </row>
    <row r="207" ht="15" customHeight="1">
      <c r="A207" s="6"/>
      <c r="B207" s="6" t="s">
        <v>3745</v>
      </c>
      <c r="C207" s="6"/>
      <c r="D207" s="6"/>
      <c r="E207" s="6"/>
      <c r="F207" s="6"/>
      <c r="G207" s="6"/>
      <c r="H207" s="6"/>
      <c r="I207" s="6"/>
      <c r="J207" s="6"/>
      <c r="K207" s="6"/>
      <c r="L207" s="6"/>
      <c r="M207" s="6"/>
      <c r="N207" s="6"/>
      <c r="O207" s="6"/>
      <c r="P207" s="6"/>
      <c r="Q207" s="4279"/>
      <c r="R207" s="6"/>
      <c r="S207" s="6"/>
      <c r="T207" s="6"/>
      <c r="U207" s="6"/>
      <c r="V207" s="6"/>
      <c r="W207" s="6"/>
      <c r="X207" s="6"/>
      <c r="Y207" s="1408"/>
      <c r="Z207" s="1408"/>
      <c r="AA207" s="1408"/>
      <c r="AB207" s="1408"/>
      <c r="AC207" s="1408"/>
      <c r="AD207" s="1408"/>
      <c r="AE207" s="1408"/>
      <c r="AF207" s="1408"/>
      <c r="AG207" s="6"/>
      <c r="AH207" s="6"/>
      <c r="AI207" s="6"/>
      <c r="AJ207" s="6"/>
      <c r="AK207" s="6"/>
      <c r="AL207" s="6"/>
    </row>
    <row r="208" ht="15" customHeight="1">
      <c r="A208" s="6"/>
      <c r="B208" s="6" t="s">
        <v>3746</v>
      </c>
      <c r="C208" s="6"/>
      <c r="D208" s="6"/>
      <c r="E208" s="6"/>
      <c r="F208" s="6"/>
      <c r="G208" s="6"/>
      <c r="H208" s="6"/>
      <c r="I208" s="6"/>
      <c r="J208" s="6"/>
      <c r="K208" s="6"/>
      <c r="L208" s="6"/>
      <c r="M208" s="6"/>
      <c r="N208" s="6"/>
      <c r="O208" s="6"/>
      <c r="P208" s="6"/>
      <c r="Q208" s="4279"/>
      <c r="R208" s="6"/>
      <c r="S208" s="6"/>
      <c r="T208" s="6"/>
      <c r="U208" s="6"/>
      <c r="V208" s="6"/>
      <c r="W208" s="6"/>
      <c r="X208" s="6"/>
      <c r="Y208" s="1408"/>
      <c r="Z208" s="1408"/>
      <c r="AA208" s="1408"/>
      <c r="AB208" s="1408"/>
      <c r="AC208" s="1408"/>
      <c r="AD208" s="1408"/>
      <c r="AE208" s="1408"/>
      <c r="AF208" s="1408"/>
      <c r="AG208" s="6"/>
      <c r="AH208" s="6"/>
      <c r="AI208" s="6"/>
      <c r="AJ208" s="6"/>
      <c r="AK208" s="6"/>
      <c r="AL208" s="6"/>
    </row>
    <row r="209" ht="15" customHeight="1">
      <c r="A209" s="6"/>
      <c r="B209" s="6" t="s">
        <v>3747</v>
      </c>
      <c r="C209" s="6"/>
      <c r="D209" s="6"/>
      <c r="E209" s="6"/>
      <c r="F209" s="6"/>
      <c r="G209" s="6"/>
      <c r="H209" s="6"/>
      <c r="I209" s="6"/>
      <c r="J209" s="6"/>
      <c r="K209" s="6"/>
      <c r="L209" s="6"/>
      <c r="M209" s="6"/>
      <c r="N209" s="6"/>
      <c r="O209" s="6"/>
      <c r="P209" s="6"/>
      <c r="Q209" s="4279"/>
      <c r="R209" s="6"/>
      <c r="S209" s="6"/>
      <c r="T209" s="6"/>
      <c r="U209" s="6"/>
      <c r="V209" s="6"/>
      <c r="W209" s="6"/>
      <c r="X209" s="6"/>
      <c r="Y209" s="1408"/>
      <c r="Z209" s="1408"/>
      <c r="AA209" s="1408"/>
      <c r="AB209" s="1408"/>
      <c r="AC209" s="1408"/>
      <c r="AD209" s="1408"/>
      <c r="AE209" s="1408"/>
      <c r="AF209" s="1408"/>
      <c r="AG209" s="6"/>
      <c r="AH209" s="6"/>
      <c r="AI209" s="6"/>
      <c r="AJ209" s="6"/>
      <c r="AK209" s="6"/>
      <c r="AL209" s="6"/>
    </row>
    <row r="210" ht="15" customHeight="1">
      <c r="A210" s="6"/>
      <c r="B210" s="6" t="s">
        <v>3748</v>
      </c>
      <c r="C210" s="6"/>
      <c r="D210" s="6"/>
      <c r="E210" s="6"/>
      <c r="F210" s="6"/>
      <c r="G210" s="6"/>
      <c r="H210" s="6"/>
      <c r="I210" s="6"/>
      <c r="J210" s="6"/>
      <c r="K210" s="6"/>
      <c r="L210" s="6"/>
      <c r="M210" s="6"/>
      <c r="N210" s="6"/>
      <c r="O210" s="6"/>
      <c r="P210" s="6"/>
      <c r="Q210" s="4279"/>
      <c r="R210" s="6"/>
      <c r="S210" s="6"/>
      <c r="T210" s="6"/>
      <c r="U210" s="6"/>
      <c r="V210" s="6"/>
      <c r="W210" s="6"/>
      <c r="X210" s="6"/>
      <c r="Y210" s="1408"/>
      <c r="Z210" s="1408"/>
      <c r="AA210" s="1408"/>
      <c r="AB210" s="1408"/>
      <c r="AC210" s="1408"/>
      <c r="AD210" s="1408"/>
      <c r="AE210" s="1408"/>
      <c r="AF210" s="1408"/>
      <c r="AG210" s="6"/>
      <c r="AH210" s="6"/>
      <c r="AI210" s="6"/>
      <c r="AJ210" s="6"/>
      <c r="AK210" s="6"/>
      <c r="AL210" s="6"/>
    </row>
    <row r="211" ht="15" customHeight="1">
      <c r="A211" s="6"/>
      <c r="B211" s="6"/>
      <c r="C211" s="6"/>
      <c r="D211" s="6"/>
      <c r="E211" s="6"/>
      <c r="F211" s="6"/>
      <c r="G211" s="6"/>
      <c r="H211" s="6"/>
      <c r="I211" s="6"/>
      <c r="J211" s="6"/>
      <c r="K211" s="6"/>
      <c r="L211" s="6"/>
      <c r="M211" s="6"/>
      <c r="N211" s="6"/>
      <c r="O211" s="6"/>
      <c r="P211" s="6"/>
      <c r="Q211" s="4279"/>
      <c r="R211" s="6"/>
      <c r="S211" s="6"/>
      <c r="T211" s="6"/>
      <c r="U211" s="6"/>
      <c r="V211" s="6"/>
      <c r="W211" s="6"/>
      <c r="X211" s="6"/>
      <c r="Y211" s="1408"/>
      <c r="Z211" s="1408"/>
      <c r="AA211" s="1408"/>
      <c r="AB211" s="1408"/>
      <c r="AC211" s="1408"/>
      <c r="AD211" s="1408"/>
      <c r="AE211" s="1408"/>
      <c r="AF211" s="1408"/>
      <c r="AG211" s="6"/>
      <c r="AH211" s="6"/>
      <c r="AI211" s="6"/>
      <c r="AJ211" s="6"/>
      <c r="AK211" s="6"/>
      <c r="AL211" s="6"/>
    </row>
    <row r="212" ht="15" customHeight="1">
      <c r="A212" s="6"/>
      <c r="B212" s="4526" t="s">
        <v>3749</v>
      </c>
      <c r="C212" s="6"/>
      <c r="D212" s="6"/>
      <c r="E212" s="6"/>
      <c r="F212" s="6"/>
      <c r="G212" s="6"/>
      <c r="H212" s="6"/>
      <c r="I212" s="6"/>
      <c r="J212" s="6"/>
      <c r="K212" s="6"/>
      <c r="L212" s="6"/>
      <c r="M212" s="6"/>
      <c r="N212" s="6"/>
      <c r="O212" s="6"/>
      <c r="P212" s="6"/>
      <c r="Q212" s="4279"/>
      <c r="R212" s="6"/>
      <c r="S212" s="6"/>
      <c r="T212" s="6"/>
      <c r="U212" s="6"/>
      <c r="V212" s="6"/>
      <c r="W212" s="6"/>
      <c r="X212" s="6"/>
      <c r="Y212" s="1408"/>
      <c r="Z212" s="1408"/>
      <c r="AA212" s="1408"/>
      <c r="AB212" s="1408"/>
      <c r="AC212" s="1408"/>
      <c r="AD212" s="1408"/>
      <c r="AE212" s="1408"/>
      <c r="AF212" s="1408"/>
      <c r="AG212" s="6"/>
      <c r="AH212" s="6"/>
      <c r="AI212" s="6"/>
      <c r="AJ212" s="6"/>
      <c r="AK212" s="6"/>
      <c r="AL212" s="6"/>
    </row>
    <row r="213" ht="15" customHeight="1">
      <c r="A213" s="6"/>
      <c r="B213" s="6" t="s">
        <v>395</v>
      </c>
      <c r="C213" s="6"/>
      <c r="D213" s="6"/>
      <c r="E213" s="6"/>
      <c r="F213" s="6"/>
      <c r="G213" s="6"/>
      <c r="H213" s="6"/>
      <c r="I213" s="6"/>
      <c r="J213" s="6"/>
      <c r="K213" s="6"/>
      <c r="L213" s="6"/>
      <c r="M213" s="6"/>
      <c r="N213" s="6"/>
      <c r="O213" s="6"/>
      <c r="P213" s="6"/>
      <c r="Q213" s="4279"/>
      <c r="R213" s="6"/>
      <c r="S213" s="6"/>
      <c r="T213" s="6"/>
      <c r="U213" s="6"/>
      <c r="V213" s="6"/>
      <c r="W213" s="6"/>
      <c r="X213" s="6"/>
      <c r="Y213" s="1408"/>
      <c r="Z213" s="1408"/>
      <c r="AA213" s="1408"/>
      <c r="AB213" s="1408"/>
      <c r="AC213" s="1408"/>
      <c r="AD213" s="1408"/>
      <c r="AE213" s="1408"/>
      <c r="AF213" s="1408"/>
      <c r="AG213" s="6"/>
      <c r="AH213" s="6"/>
      <c r="AI213" s="6"/>
      <c r="AJ213" s="6"/>
      <c r="AK213" s="6"/>
      <c r="AL213" s="6"/>
    </row>
    <row r="214" ht="15" customHeight="1">
      <c r="A214" s="6"/>
      <c r="B214" s="6" t="s">
        <v>3750</v>
      </c>
      <c r="C214" s="6"/>
      <c r="D214" s="6"/>
      <c r="E214" s="6"/>
      <c r="F214" s="6"/>
      <c r="G214" s="6"/>
      <c r="H214" s="6"/>
      <c r="I214" s="6"/>
      <c r="J214" s="6"/>
      <c r="K214" s="6"/>
      <c r="L214" s="6"/>
      <c r="M214" s="6"/>
      <c r="N214" s="6"/>
      <c r="O214" s="6"/>
      <c r="P214" s="6"/>
      <c r="Q214" s="4279"/>
      <c r="R214" s="6"/>
      <c r="S214" s="6"/>
      <c r="T214" s="6"/>
      <c r="U214" s="6"/>
      <c r="V214" s="6"/>
      <c r="W214" s="6"/>
      <c r="X214" s="6"/>
      <c r="Y214" s="1408"/>
      <c r="Z214" s="1408"/>
      <c r="AA214" s="1408"/>
      <c r="AB214" s="1408"/>
      <c r="AC214" s="1408"/>
      <c r="AD214" s="1408"/>
      <c r="AE214" s="1408"/>
      <c r="AF214" s="1408"/>
      <c r="AG214" s="6"/>
      <c r="AH214" s="6"/>
      <c r="AI214" s="6"/>
      <c r="AJ214" s="6"/>
      <c r="AK214" s="6"/>
      <c r="AL214" s="6"/>
    </row>
    <row r="215" ht="15" customHeight="1">
      <c r="A215" s="6"/>
      <c r="B215" s="6" t="s">
        <v>3751</v>
      </c>
      <c r="C215" s="6"/>
      <c r="D215" s="6"/>
      <c r="E215" s="6"/>
      <c r="F215" s="6"/>
      <c r="G215" s="6"/>
      <c r="H215" s="6"/>
      <c r="I215" s="6"/>
      <c r="J215" s="6"/>
      <c r="K215" s="6"/>
      <c r="L215" s="6"/>
      <c r="M215" s="6"/>
      <c r="N215" s="6"/>
      <c r="O215" s="6"/>
      <c r="P215" s="6"/>
      <c r="Q215" s="4279"/>
      <c r="R215" s="6"/>
      <c r="S215" s="6"/>
      <c r="T215" s="6"/>
      <c r="U215" s="6"/>
      <c r="V215" s="6"/>
      <c r="W215" s="6"/>
      <c r="X215" s="6"/>
      <c r="Y215" s="1408"/>
      <c r="Z215" s="1408"/>
      <c r="AA215" s="1408"/>
      <c r="AB215" s="1408"/>
      <c r="AC215" s="1408"/>
      <c r="AD215" s="1408"/>
      <c r="AE215" s="1408"/>
      <c r="AF215" s="1408"/>
      <c r="AG215" s="6"/>
      <c r="AH215" s="6"/>
      <c r="AI215" s="6"/>
      <c r="AJ215" s="6"/>
      <c r="AK215" s="6"/>
      <c r="AL215" s="6"/>
    </row>
    <row r="216" ht="15" customHeight="1">
      <c r="A216" s="6"/>
      <c r="B216" s="6" t="s">
        <v>3752</v>
      </c>
      <c r="C216" s="6"/>
      <c r="D216" s="6"/>
      <c r="E216" s="6"/>
      <c r="F216" s="6"/>
      <c r="G216" s="6"/>
      <c r="H216" s="6"/>
      <c r="I216" s="6"/>
      <c r="J216" s="6"/>
      <c r="K216" s="6"/>
      <c r="L216" s="6"/>
      <c r="M216" s="6"/>
      <c r="N216" s="6"/>
      <c r="O216" s="6"/>
      <c r="P216" s="6"/>
      <c r="Q216" s="4279"/>
      <c r="R216" s="6"/>
      <c r="S216" s="6"/>
      <c r="T216" s="6"/>
      <c r="U216" s="6"/>
      <c r="V216" s="6"/>
      <c r="W216" s="6"/>
      <c r="X216" s="6"/>
      <c r="Y216" s="1408"/>
      <c r="Z216" s="1408"/>
      <c r="AA216" s="1408"/>
      <c r="AB216" s="1408"/>
      <c r="AC216" s="1408"/>
      <c r="AD216" s="1408"/>
      <c r="AE216" s="1408"/>
      <c r="AF216" s="1408"/>
      <c r="AG216" s="6"/>
      <c r="AH216" s="6"/>
      <c r="AI216" s="6"/>
      <c r="AJ216" s="6"/>
      <c r="AK216" s="6"/>
      <c r="AL216" s="6"/>
    </row>
    <row r="217" ht="15" customHeight="1">
      <c r="A217" s="6"/>
      <c r="B217" s="6" t="s">
        <v>3753</v>
      </c>
      <c r="C217" s="6"/>
      <c r="D217" s="6"/>
      <c r="E217" s="6"/>
      <c r="F217" s="6"/>
      <c r="G217" s="6"/>
      <c r="H217" s="6"/>
      <c r="I217" s="6"/>
      <c r="J217" s="6"/>
      <c r="K217" s="6"/>
      <c r="L217" s="6"/>
      <c r="M217" s="6"/>
      <c r="N217" s="6"/>
      <c r="O217" s="6"/>
      <c r="P217" s="6"/>
      <c r="Q217" s="4279"/>
      <c r="R217" s="6"/>
      <c r="S217" s="6"/>
      <c r="T217" s="6"/>
      <c r="U217" s="6"/>
      <c r="V217" s="6"/>
      <c r="W217" s="6"/>
      <c r="X217" s="6"/>
      <c r="Y217" s="1408"/>
      <c r="Z217" s="1408"/>
      <c r="AA217" s="1408"/>
      <c r="AB217" s="1408"/>
      <c r="AC217" s="1408"/>
      <c r="AD217" s="1408"/>
      <c r="AE217" s="1408"/>
      <c r="AF217" s="1408"/>
      <c r="AG217" s="6"/>
      <c r="AH217" s="6"/>
      <c r="AI217" s="6"/>
      <c r="AJ217" s="6"/>
      <c r="AK217" s="6"/>
      <c r="AL217" s="6"/>
    </row>
    <row r="218" ht="15" customHeight="1">
      <c r="A218" s="6"/>
      <c r="B218" s="6" t="s">
        <v>3754</v>
      </c>
      <c r="C218" s="6"/>
      <c r="D218" s="6"/>
      <c r="E218" s="6"/>
      <c r="F218" s="6"/>
      <c r="G218" s="6"/>
      <c r="H218" s="6"/>
      <c r="I218" s="6"/>
      <c r="J218" s="6"/>
      <c r="K218" s="6"/>
      <c r="L218" s="6"/>
      <c r="M218" s="6"/>
      <c r="N218" s="6"/>
      <c r="O218" s="6"/>
      <c r="P218" s="6"/>
      <c r="Q218" s="4279"/>
      <c r="R218" s="6"/>
      <c r="S218" s="6"/>
      <c r="T218" s="6"/>
      <c r="U218" s="6"/>
      <c r="V218" s="6"/>
      <c r="W218" s="6"/>
      <c r="X218" s="6"/>
      <c r="Y218" s="1408"/>
      <c r="Z218" s="1408"/>
      <c r="AA218" s="1408"/>
      <c r="AB218" s="1408"/>
      <c r="AC218" s="1408"/>
      <c r="AD218" s="1408"/>
      <c r="AE218" s="1408"/>
      <c r="AF218" s="1408"/>
      <c r="AG218" s="6"/>
      <c r="AH218" s="6"/>
      <c r="AI218" s="6"/>
      <c r="AJ218" s="6"/>
      <c r="AK218" s="6"/>
      <c r="AL218" s="6"/>
    </row>
    <row r="219" ht="15" customHeight="1">
      <c r="A219" s="6"/>
      <c r="B219" s="6" t="s">
        <v>3755</v>
      </c>
      <c r="C219" s="6"/>
      <c r="D219" s="6"/>
      <c r="E219" s="6"/>
      <c r="F219" s="6"/>
      <c r="G219" s="6"/>
      <c r="H219" s="6"/>
      <c r="I219" s="6"/>
      <c r="J219" s="6"/>
      <c r="K219" s="6"/>
      <c r="L219" s="6"/>
      <c r="M219" s="6"/>
      <c r="N219" s="6"/>
      <c r="O219" s="6"/>
      <c r="P219" s="6"/>
      <c r="Q219" s="4279"/>
      <c r="R219" s="6"/>
      <c r="S219" s="6"/>
      <c r="T219" s="6"/>
      <c r="U219" s="6"/>
      <c r="V219" s="6"/>
      <c r="W219" s="6"/>
      <c r="X219" s="6"/>
      <c r="Y219" s="1408"/>
      <c r="Z219" s="1408"/>
      <c r="AA219" s="1408"/>
      <c r="AB219" s="1408"/>
      <c r="AC219" s="1408"/>
      <c r="AD219" s="1408"/>
      <c r="AE219" s="1408"/>
      <c r="AF219" s="1408"/>
      <c r="AG219" s="6"/>
      <c r="AH219" s="6"/>
      <c r="AI219" s="6"/>
      <c r="AJ219" s="6"/>
      <c r="AK219" s="6"/>
      <c r="AL219" s="6"/>
    </row>
    <row r="220" ht="15" customHeight="1">
      <c r="A220" s="6"/>
      <c r="B220" s="6" t="s">
        <v>3756</v>
      </c>
      <c r="C220" s="6"/>
      <c r="D220" s="6"/>
      <c r="E220" s="6"/>
      <c r="F220" s="6"/>
      <c r="G220" s="6"/>
      <c r="H220" s="6"/>
      <c r="I220" s="6"/>
      <c r="J220" s="6"/>
      <c r="K220" s="6"/>
      <c r="L220" s="6"/>
      <c r="M220" s="6"/>
      <c r="N220" s="6"/>
      <c r="O220" s="6"/>
      <c r="P220" s="6"/>
      <c r="Q220" s="4279"/>
      <c r="R220" s="6"/>
      <c r="S220" s="6"/>
      <c r="T220" s="6"/>
      <c r="U220" s="6"/>
      <c r="V220" s="6"/>
      <c r="W220" s="6"/>
      <c r="X220" s="6"/>
      <c r="Y220" s="1408"/>
      <c r="Z220" s="1408"/>
      <c r="AA220" s="1408"/>
      <c r="AB220" s="1408"/>
      <c r="AC220" s="1408"/>
      <c r="AD220" s="1408"/>
      <c r="AE220" s="1408"/>
      <c r="AF220" s="1408"/>
      <c r="AG220" s="6"/>
      <c r="AH220" s="6"/>
      <c r="AI220" s="6"/>
      <c r="AJ220" s="6"/>
      <c r="AK220" s="6"/>
      <c r="AL220" s="6"/>
    </row>
    <row r="221" ht="15" customHeight="1">
      <c r="A221" s="6"/>
      <c r="B221" s="6"/>
      <c r="C221" s="6"/>
      <c r="D221" s="6"/>
      <c r="E221" s="6"/>
      <c r="F221" s="6"/>
      <c r="G221" s="6"/>
      <c r="H221" s="6"/>
      <c r="I221" s="6"/>
      <c r="J221" s="6"/>
      <c r="K221" s="6"/>
      <c r="L221" s="6"/>
      <c r="M221" s="6"/>
      <c r="N221" s="6"/>
      <c r="O221" s="6"/>
      <c r="P221" s="6"/>
      <c r="Q221" s="4279"/>
      <c r="R221" s="6"/>
      <c r="S221" s="6"/>
      <c r="T221" s="6"/>
      <c r="U221" s="6"/>
      <c r="V221" s="6"/>
      <c r="W221" s="6"/>
      <c r="X221" s="6"/>
      <c r="Y221" s="1408"/>
      <c r="Z221" s="1408"/>
      <c r="AA221" s="1408"/>
      <c r="AB221" s="1408"/>
      <c r="AC221" s="1408"/>
      <c r="AD221" s="1408"/>
      <c r="AE221" s="1408"/>
      <c r="AF221" s="1408"/>
      <c r="AG221" s="6"/>
      <c r="AH221" s="6"/>
      <c r="AI221" s="6"/>
      <c r="AJ221" s="6"/>
      <c r="AK221" s="6"/>
      <c r="AL221" s="6"/>
    </row>
    <row r="222" ht="15" customHeight="1">
      <c r="A222" s="6"/>
      <c r="B222" s="4526" t="s">
        <v>3605</v>
      </c>
      <c r="C222" s="6"/>
      <c r="D222" s="6"/>
      <c r="E222" s="6"/>
      <c r="F222" s="6"/>
      <c r="G222" s="6"/>
      <c r="H222" s="6"/>
      <c r="I222" s="6"/>
      <c r="J222" s="6"/>
      <c r="K222" s="6"/>
      <c r="L222" s="6"/>
      <c r="M222" s="6"/>
      <c r="N222" s="6"/>
      <c r="O222" s="6"/>
      <c r="P222" s="6"/>
      <c r="Q222" s="4279"/>
      <c r="R222" s="6"/>
      <c r="S222" s="6"/>
      <c r="T222" s="6"/>
      <c r="U222" s="6"/>
      <c r="V222" s="6"/>
      <c r="W222" s="6"/>
      <c r="X222" s="6"/>
      <c r="Y222" s="1408"/>
      <c r="Z222" s="1408"/>
      <c r="AA222" s="1408"/>
      <c r="AB222" s="1408"/>
      <c r="AC222" s="1408"/>
      <c r="AD222" s="1408"/>
      <c r="AE222" s="1408"/>
      <c r="AF222" s="1408"/>
      <c r="AG222" s="6"/>
      <c r="AH222" s="6"/>
      <c r="AI222" s="6"/>
      <c r="AJ222" s="6"/>
      <c r="AK222" s="6"/>
      <c r="AL222" s="6"/>
    </row>
    <row r="223" ht="15" customHeight="1">
      <c r="A223" s="6"/>
      <c r="B223" s="6" t="s">
        <v>293</v>
      </c>
      <c r="C223" s="6"/>
      <c r="D223" s="6"/>
      <c r="E223" s="6"/>
      <c r="F223" s="6"/>
      <c r="G223" s="6"/>
      <c r="H223" s="6"/>
      <c r="I223" s="6"/>
      <c r="J223" s="6"/>
      <c r="K223" s="6"/>
      <c r="L223" s="6"/>
      <c r="M223" s="6"/>
      <c r="N223" s="6"/>
      <c r="O223" s="6"/>
      <c r="P223" s="6"/>
      <c r="Q223" s="4279"/>
      <c r="R223" s="6"/>
      <c r="S223" s="6"/>
      <c r="T223" s="6"/>
      <c r="U223" s="6"/>
      <c r="V223" s="6"/>
      <c r="W223" s="6"/>
      <c r="X223" s="6"/>
      <c r="Y223" s="1408"/>
      <c r="Z223" s="1408"/>
      <c r="AA223" s="1408"/>
      <c r="AB223" s="1408"/>
      <c r="AC223" s="1408"/>
      <c r="AD223" s="1408"/>
      <c r="AE223" s="1408"/>
      <c r="AF223" s="1408"/>
      <c r="AG223" s="6"/>
      <c r="AH223" s="6"/>
      <c r="AI223" s="6"/>
      <c r="AJ223" s="6"/>
      <c r="AK223" s="6"/>
      <c r="AL223" s="6"/>
    </row>
    <row r="224" ht="15" customHeight="1">
      <c r="A224" s="6"/>
      <c r="B224" s="6" t="s">
        <v>294</v>
      </c>
      <c r="C224" s="6"/>
      <c r="D224" s="6"/>
      <c r="E224" s="6"/>
      <c r="F224" s="6"/>
      <c r="G224" s="6"/>
      <c r="H224" s="6"/>
      <c r="I224" s="6"/>
      <c r="J224" s="6"/>
      <c r="K224" s="6"/>
      <c r="L224" s="6"/>
      <c r="M224" s="6"/>
      <c r="N224" s="6"/>
      <c r="O224" s="6"/>
      <c r="P224" s="6"/>
      <c r="Q224" s="4279"/>
      <c r="R224" s="6"/>
      <c r="S224" s="6"/>
      <c r="T224" s="6"/>
      <c r="U224" s="6"/>
      <c r="V224" s="6"/>
      <c r="W224" s="6"/>
      <c r="X224" s="6"/>
      <c r="Y224" s="1408"/>
      <c r="Z224" s="1408"/>
      <c r="AA224" s="1408"/>
      <c r="AB224" s="1408"/>
      <c r="AC224" s="1408"/>
      <c r="AD224" s="1408"/>
      <c r="AE224" s="1408"/>
      <c r="AF224" s="1408"/>
      <c r="AG224" s="6"/>
      <c r="AH224" s="6"/>
      <c r="AI224" s="6"/>
      <c r="AJ224" s="6"/>
      <c r="AK224" s="6"/>
      <c r="AL224" s="6"/>
    </row>
    <row r="225" ht="15" customHeight="1">
      <c r="A225" s="6"/>
      <c r="B225" s="6"/>
      <c r="C225" s="6"/>
      <c r="D225" s="6"/>
      <c r="E225" s="6"/>
      <c r="F225" s="6"/>
      <c r="G225" s="6"/>
      <c r="H225" s="6"/>
      <c r="I225" s="6"/>
      <c r="J225" s="6"/>
      <c r="K225" s="6"/>
      <c r="L225" s="6"/>
      <c r="M225" s="6"/>
      <c r="N225" s="6"/>
      <c r="O225" s="6"/>
      <c r="P225" s="6"/>
      <c r="Q225" s="4279"/>
      <c r="R225" s="6"/>
      <c r="S225" s="6"/>
      <c r="T225" s="6"/>
      <c r="U225" s="6"/>
      <c r="V225" s="6"/>
      <c r="W225" s="6"/>
      <c r="X225" s="6"/>
      <c r="Y225" s="1408"/>
      <c r="Z225" s="1408"/>
      <c r="AA225" s="1408"/>
      <c r="AB225" s="1408"/>
      <c r="AC225" s="1408"/>
      <c r="AD225" s="1408"/>
      <c r="AE225" s="1408"/>
      <c r="AF225" s="1408"/>
      <c r="AG225" s="6"/>
      <c r="AH225" s="6"/>
      <c r="AI225" s="6"/>
      <c r="AJ225" s="6"/>
      <c r="AK225" s="6"/>
      <c r="AL225" s="6"/>
    </row>
    <row r="226" ht="15" customHeight="1">
      <c r="A226" s="6"/>
      <c r="B226" s="4526" t="s">
        <v>3757</v>
      </c>
      <c r="C226" s="6"/>
      <c r="D226" s="6"/>
      <c r="E226" s="6"/>
      <c r="F226" s="6"/>
      <c r="G226" s="6"/>
      <c r="H226" s="6"/>
      <c r="I226" s="6"/>
      <c r="J226" s="6"/>
      <c r="K226" s="6"/>
      <c r="L226" s="6"/>
      <c r="M226" s="6"/>
      <c r="N226" s="6"/>
      <c r="O226" s="6"/>
      <c r="P226" s="6"/>
      <c r="Q226" s="4279"/>
      <c r="R226" s="6"/>
      <c r="S226" s="6"/>
      <c r="T226" s="6"/>
      <c r="U226" s="6"/>
      <c r="V226" s="6"/>
      <c r="W226" s="6"/>
      <c r="X226" s="6"/>
      <c r="Y226" s="1408"/>
      <c r="Z226" s="1408"/>
      <c r="AA226" s="1408"/>
      <c r="AB226" s="1408"/>
      <c r="AC226" s="1408"/>
      <c r="AD226" s="1408"/>
      <c r="AE226" s="1408"/>
      <c r="AF226" s="1408"/>
      <c r="AG226" s="6"/>
      <c r="AH226" s="6"/>
      <c r="AI226" s="6"/>
      <c r="AJ226" s="6"/>
      <c r="AK226" s="6"/>
      <c r="AL226" s="6"/>
    </row>
    <row r="227" ht="15" customHeight="1">
      <c r="A227" s="6"/>
      <c r="B227" s="613">
        <v>2</v>
      </c>
      <c r="C227" s="6"/>
      <c r="D227" s="6"/>
      <c r="E227" s="6"/>
      <c r="F227" s="6"/>
      <c r="G227" s="6"/>
      <c r="H227" s="6"/>
      <c r="I227" s="6"/>
      <c r="J227" s="6"/>
      <c r="K227" s="6"/>
      <c r="L227" s="6"/>
      <c r="M227" s="6"/>
      <c r="N227" s="6"/>
      <c r="O227" s="6"/>
      <c r="P227" s="6"/>
      <c r="Q227" s="4279"/>
      <c r="R227" s="6"/>
      <c r="S227" s="6"/>
      <c r="T227" s="6"/>
      <c r="U227" s="6"/>
      <c r="V227" s="6"/>
      <c r="W227" s="6"/>
      <c r="X227" s="6"/>
      <c r="Y227" s="1408"/>
      <c r="Z227" s="1408"/>
      <c r="AA227" s="1408"/>
      <c r="AB227" s="1408"/>
      <c r="AC227" s="1408"/>
      <c r="AD227" s="1408"/>
      <c r="AE227" s="1408"/>
      <c r="AF227" s="1408"/>
      <c r="AG227" s="6"/>
      <c r="AH227" s="6"/>
      <c r="AI227" s="6"/>
      <c r="AJ227" s="6"/>
      <c r="AK227" s="6"/>
      <c r="AL227" s="6"/>
    </row>
    <row r="228" ht="15" customHeight="1">
      <c r="A228" s="6"/>
      <c r="B228" s="613">
        <v>3</v>
      </c>
      <c r="C228" s="6"/>
      <c r="D228" s="6"/>
      <c r="E228" s="6"/>
      <c r="F228" s="6"/>
      <c r="G228" s="6"/>
      <c r="H228" s="6"/>
      <c r="I228" s="6"/>
      <c r="J228" s="6"/>
      <c r="K228" s="6"/>
      <c r="L228" s="6"/>
      <c r="M228" s="6"/>
      <c r="N228" s="6"/>
      <c r="O228" s="6"/>
      <c r="P228" s="6"/>
      <c r="Q228" s="4279"/>
      <c r="R228" s="6"/>
      <c r="S228" s="6"/>
      <c r="T228" s="6"/>
      <c r="U228" s="6"/>
      <c r="V228" s="6"/>
      <c r="W228" s="6"/>
      <c r="X228" s="6"/>
      <c r="Y228" s="1408"/>
      <c r="Z228" s="1408"/>
      <c r="AA228" s="1408"/>
      <c r="AB228" s="1408"/>
      <c r="AC228" s="1408"/>
      <c r="AD228" s="1408"/>
      <c r="AE228" s="1408"/>
      <c r="AF228" s="1408"/>
      <c r="AG228" s="6"/>
      <c r="AH228" s="6"/>
      <c r="AI228" s="6"/>
      <c r="AJ228" s="6"/>
      <c r="AK228" s="6"/>
      <c r="AL228" s="6"/>
    </row>
    <row r="229" ht="15" customHeight="1">
      <c r="A229" s="6"/>
      <c r="B229" s="613">
        <v>4</v>
      </c>
      <c r="C229" s="6"/>
      <c r="D229" s="6"/>
      <c r="E229" s="6"/>
      <c r="F229" s="6"/>
      <c r="G229" s="6"/>
      <c r="H229" s="6"/>
      <c r="I229" s="6"/>
      <c r="J229" s="6"/>
      <c r="K229" s="6"/>
      <c r="L229" s="6"/>
      <c r="M229" s="6"/>
      <c r="N229" s="6"/>
      <c r="O229" s="6"/>
      <c r="P229" s="6"/>
      <c r="Q229" s="4279"/>
      <c r="R229" s="6"/>
      <c r="S229" s="6"/>
      <c r="T229" s="6"/>
      <c r="U229" s="6"/>
      <c r="V229" s="6"/>
      <c r="W229" s="6"/>
      <c r="X229" s="6"/>
      <c r="Y229" s="1408"/>
      <c r="Z229" s="1408"/>
      <c r="AA229" s="1408"/>
      <c r="AB229" s="1408"/>
      <c r="AC229" s="1408"/>
      <c r="AD229" s="1408"/>
      <c r="AE229" s="1408"/>
      <c r="AF229" s="1408"/>
      <c r="AG229" s="6"/>
      <c r="AH229" s="6"/>
      <c r="AI229" s="6"/>
      <c r="AJ229" s="6"/>
      <c r="AK229" s="6"/>
      <c r="AL229" s="6"/>
    </row>
    <row r="230" ht="15" customHeight="1">
      <c r="A230" s="6"/>
      <c r="B230" s="6"/>
      <c r="C230" s="6"/>
      <c r="D230" s="6"/>
      <c r="E230" s="6"/>
      <c r="F230" s="6"/>
      <c r="G230" s="6"/>
      <c r="H230" s="6"/>
      <c r="I230" s="6"/>
      <c r="J230" s="6"/>
      <c r="K230" s="6"/>
      <c r="L230" s="6"/>
      <c r="M230" s="6"/>
      <c r="N230" s="6"/>
      <c r="O230" s="6"/>
      <c r="P230" s="6"/>
      <c r="Q230" s="4279"/>
      <c r="R230" s="6"/>
      <c r="S230" s="6"/>
      <c r="T230" s="6"/>
      <c r="U230" s="6"/>
      <c r="V230" s="6"/>
      <c r="W230" s="6"/>
      <c r="X230" s="6"/>
      <c r="Y230" s="1408"/>
      <c r="Z230" s="1408"/>
      <c r="AA230" s="1408"/>
      <c r="AB230" s="1408"/>
      <c r="AC230" s="1408"/>
      <c r="AD230" s="1408"/>
      <c r="AE230" s="1408"/>
      <c r="AF230" s="1408"/>
      <c r="AG230" s="6"/>
      <c r="AH230" s="6"/>
      <c r="AI230" s="6"/>
      <c r="AJ230" s="6"/>
      <c r="AK230" s="6"/>
      <c r="AL230" s="6"/>
    </row>
    <row r="231" ht="15" customHeight="1">
      <c r="A231" s="6"/>
      <c r="B231" s="4526" t="s">
        <v>3758</v>
      </c>
      <c r="C231" s="6"/>
      <c r="D231" s="6"/>
      <c r="E231" s="6"/>
      <c r="F231" s="6"/>
      <c r="G231" s="6"/>
      <c r="H231" s="6"/>
      <c r="I231" s="6"/>
      <c r="J231" s="6"/>
      <c r="K231" s="6"/>
      <c r="L231" s="6"/>
      <c r="M231" s="6"/>
      <c r="N231" s="6"/>
      <c r="O231" s="6"/>
      <c r="P231" s="6"/>
      <c r="Q231" s="4279"/>
      <c r="R231" s="6"/>
      <c r="S231" s="6"/>
      <c r="T231" s="6"/>
      <c r="U231" s="6"/>
      <c r="V231" s="6"/>
      <c r="W231" s="6"/>
      <c r="X231" s="6"/>
      <c r="Y231" s="1408"/>
      <c r="Z231" s="1408"/>
      <c r="AA231" s="1408"/>
      <c r="AB231" s="1408"/>
      <c r="AC231" s="1408"/>
      <c r="AD231" s="1408"/>
      <c r="AE231" s="1408"/>
      <c r="AF231" s="1408"/>
      <c r="AG231" s="6"/>
      <c r="AH231" s="6"/>
      <c r="AI231" s="6"/>
      <c r="AJ231" s="6"/>
      <c r="AK231" s="6"/>
      <c r="AL231" s="6"/>
    </row>
    <row r="232" ht="15" customHeight="1">
      <c r="A232" s="6"/>
      <c r="B232" s="6" t="s">
        <v>269</v>
      </c>
      <c r="C232" s="6"/>
      <c r="D232" s="6"/>
      <c r="E232" s="6"/>
      <c r="F232" s="6"/>
      <c r="G232" s="6"/>
      <c r="H232" s="6"/>
      <c r="I232" s="6"/>
      <c r="J232" s="6"/>
      <c r="K232" s="6"/>
      <c r="L232" s="6"/>
      <c r="M232" s="6"/>
      <c r="N232" s="6"/>
      <c r="O232" s="6"/>
      <c r="P232" s="6"/>
      <c r="Q232" s="4279"/>
      <c r="R232" s="6"/>
      <c r="S232" s="6"/>
      <c r="T232" s="6"/>
      <c r="U232" s="6"/>
      <c r="V232" s="6"/>
      <c r="W232" s="6"/>
      <c r="X232" s="6"/>
      <c r="Y232" s="1408"/>
      <c r="Z232" s="1408"/>
      <c r="AA232" s="1408"/>
      <c r="AB232" s="1408"/>
      <c r="AC232" s="1408"/>
      <c r="AD232" s="1408"/>
      <c r="AE232" s="1408"/>
      <c r="AF232" s="1408"/>
      <c r="AG232" s="6"/>
      <c r="AH232" s="6"/>
      <c r="AI232" s="6"/>
      <c r="AJ232" s="6"/>
      <c r="AK232" s="6"/>
      <c r="AL232" s="6"/>
    </row>
    <row r="233" ht="15" customHeight="1">
      <c r="A233" s="6"/>
      <c r="B233" s="6" t="s">
        <v>451</v>
      </c>
      <c r="C233" s="6"/>
      <c r="D233" s="6"/>
      <c r="E233" s="6"/>
      <c r="F233" s="6"/>
      <c r="G233" s="6"/>
      <c r="H233" s="6"/>
      <c r="I233" s="6"/>
      <c r="J233" s="6"/>
      <c r="K233" s="6"/>
      <c r="L233" s="6"/>
      <c r="M233" s="6"/>
      <c r="N233" s="6"/>
      <c r="O233" s="6"/>
      <c r="P233" s="6"/>
      <c r="Q233" s="4279"/>
      <c r="R233" s="6"/>
      <c r="S233" s="6"/>
      <c r="T233" s="6"/>
      <c r="U233" s="6"/>
      <c r="V233" s="6"/>
      <c r="W233" s="6"/>
      <c r="X233" s="6"/>
      <c r="Y233" s="1408"/>
      <c r="Z233" s="1408"/>
      <c r="AA233" s="1408"/>
      <c r="AB233" s="1408"/>
      <c r="AC233" s="1408"/>
      <c r="AD233" s="1408"/>
      <c r="AE233" s="1408"/>
      <c r="AF233" s="1408"/>
      <c r="AG233" s="6"/>
      <c r="AH233" s="6"/>
      <c r="AI233" s="6"/>
      <c r="AJ233" s="6"/>
      <c r="AK233" s="6"/>
      <c r="AL233" s="6"/>
    </row>
    <row r="234" ht="15" customHeight="1">
      <c r="A234" s="6"/>
      <c r="B234" s="6"/>
      <c r="C234" s="6"/>
      <c r="D234" s="6"/>
      <c r="E234" s="6"/>
      <c r="F234" s="6"/>
      <c r="G234" s="6"/>
      <c r="H234" s="6"/>
      <c r="I234" s="6"/>
      <c r="J234" s="6"/>
      <c r="K234" s="6"/>
      <c r="L234" s="6"/>
      <c r="M234" s="6"/>
      <c r="N234" s="6"/>
      <c r="O234" s="6"/>
      <c r="P234" s="6"/>
      <c r="Q234" s="4279"/>
      <c r="R234" s="6"/>
      <c r="S234" s="6"/>
      <c r="T234" s="6"/>
      <c r="U234" s="6"/>
      <c r="V234" s="6"/>
      <c r="W234" s="6"/>
      <c r="X234" s="6"/>
      <c r="Y234" s="1408"/>
      <c r="Z234" s="1408"/>
      <c r="AA234" s="1408"/>
      <c r="AB234" s="1408"/>
      <c r="AC234" s="1408"/>
      <c r="AD234" s="1408"/>
      <c r="AE234" s="1408"/>
      <c r="AF234" s="1408"/>
      <c r="AG234" s="6"/>
      <c r="AH234" s="6"/>
      <c r="AI234" s="6"/>
      <c r="AJ234" s="6"/>
      <c r="AK234" s="6"/>
      <c r="AL234" s="6"/>
    </row>
    <row r="235" ht="15" customHeight="1">
      <c r="A235" s="6"/>
      <c r="B235" s="4526" t="s">
        <v>3759</v>
      </c>
      <c r="C235" s="6"/>
      <c r="D235" s="6"/>
      <c r="E235" s="6"/>
      <c r="F235" s="6"/>
      <c r="G235" s="6"/>
      <c r="H235" s="6"/>
      <c r="I235" s="6"/>
      <c r="J235" s="6"/>
      <c r="K235" s="6"/>
      <c r="L235" s="6"/>
      <c r="M235" s="6"/>
      <c r="N235" s="6"/>
      <c r="O235" s="6"/>
      <c r="P235" s="6"/>
      <c r="Q235" s="4279"/>
      <c r="R235" s="6"/>
      <c r="S235" s="6"/>
      <c r="T235" s="6"/>
      <c r="U235" s="6"/>
      <c r="V235" s="6"/>
      <c r="W235" s="6"/>
      <c r="X235" s="6"/>
      <c r="Y235" s="1408"/>
      <c r="Z235" s="1408"/>
      <c r="AA235" s="1408"/>
      <c r="AB235" s="1408"/>
      <c r="AC235" s="1408"/>
      <c r="AD235" s="1408"/>
      <c r="AE235" s="1408"/>
      <c r="AF235" s="1408"/>
      <c r="AG235" s="6"/>
      <c r="AH235" s="6"/>
      <c r="AI235" s="6"/>
      <c r="AJ235" s="6"/>
      <c r="AK235" s="6"/>
      <c r="AL235" s="6"/>
    </row>
    <row r="236" ht="15" customHeight="1">
      <c r="A236" s="6"/>
      <c r="B236" s="6" t="s">
        <v>393</v>
      </c>
      <c r="C236" s="6"/>
      <c r="D236" s="6"/>
      <c r="E236" s="6"/>
      <c r="F236" s="6"/>
      <c r="G236" s="6"/>
      <c r="H236" s="6"/>
      <c r="I236" s="6"/>
      <c r="J236" s="6"/>
      <c r="K236" s="6"/>
      <c r="L236" s="6"/>
      <c r="M236" s="6"/>
      <c r="N236" s="6"/>
      <c r="O236" s="6"/>
      <c r="P236" s="6"/>
      <c r="Q236" s="4279"/>
      <c r="R236" s="6"/>
      <c r="S236" s="6"/>
      <c r="T236" s="6"/>
      <c r="U236" s="6"/>
      <c r="V236" s="6"/>
      <c r="W236" s="6"/>
      <c r="X236" s="6"/>
      <c r="Y236" s="1408"/>
      <c r="Z236" s="1408"/>
      <c r="AA236" s="1408"/>
      <c r="AB236" s="1408"/>
      <c r="AC236" s="1408"/>
      <c r="AD236" s="1408"/>
      <c r="AE236" s="1408"/>
      <c r="AF236" s="1408"/>
      <c r="AG236" s="6"/>
      <c r="AH236" s="6"/>
      <c r="AI236" s="6"/>
      <c r="AJ236" s="6"/>
      <c r="AK236" s="6"/>
      <c r="AL236" s="6"/>
    </row>
    <row r="237" ht="15" customHeight="1">
      <c r="A237" s="6"/>
      <c r="B237" s="6" t="s">
        <v>3760</v>
      </c>
      <c r="C237" s="6"/>
      <c r="D237" s="6"/>
      <c r="E237" s="6"/>
      <c r="F237" s="6"/>
      <c r="G237" s="6"/>
      <c r="H237" s="6"/>
      <c r="I237" s="6"/>
      <c r="J237" s="6"/>
      <c r="K237" s="6"/>
      <c r="L237" s="6"/>
      <c r="M237" s="6"/>
      <c r="N237" s="6"/>
      <c r="O237" s="6"/>
      <c r="P237" s="6"/>
      <c r="Q237" s="4279"/>
      <c r="R237" s="6"/>
      <c r="S237" s="6"/>
      <c r="T237" s="6"/>
      <c r="U237" s="6"/>
      <c r="V237" s="6"/>
      <c r="W237" s="6"/>
      <c r="X237" s="6"/>
      <c r="Y237" s="1408"/>
      <c r="Z237" s="1408"/>
      <c r="AA237" s="1408"/>
      <c r="AB237" s="1408"/>
      <c r="AC237" s="1408"/>
      <c r="AD237" s="1408"/>
      <c r="AE237" s="1408"/>
      <c r="AF237" s="1408"/>
      <c r="AG237" s="6"/>
      <c r="AH237" s="6"/>
      <c r="AI237" s="6"/>
      <c r="AJ237" s="6"/>
      <c r="AK237" s="6"/>
      <c r="AL237" s="6"/>
    </row>
    <row r="238" ht="15" customHeight="1">
      <c r="A238" s="6"/>
      <c r="B238" s="6" t="s">
        <v>3761</v>
      </c>
      <c r="C238" s="6"/>
      <c r="D238" s="6"/>
      <c r="E238" s="6"/>
      <c r="F238" s="6"/>
      <c r="G238" s="6"/>
      <c r="H238" s="6"/>
      <c r="I238" s="6"/>
      <c r="J238" s="6"/>
      <c r="K238" s="6"/>
      <c r="L238" s="6"/>
      <c r="M238" s="6"/>
      <c r="N238" s="6"/>
      <c r="O238" s="6"/>
      <c r="P238" s="6"/>
      <c r="Q238" s="4279"/>
      <c r="R238" s="6"/>
      <c r="S238" s="6"/>
      <c r="T238" s="6"/>
      <c r="U238" s="6"/>
      <c r="V238" s="6"/>
      <c r="W238" s="6"/>
      <c r="X238" s="6"/>
      <c r="Y238" s="1408"/>
      <c r="Z238" s="1408"/>
      <c r="AA238" s="1408"/>
      <c r="AB238" s="1408"/>
      <c r="AC238" s="1408"/>
      <c r="AD238" s="1408"/>
      <c r="AE238" s="1408"/>
      <c r="AF238" s="1408"/>
      <c r="AG238" s="6"/>
      <c r="AH238" s="6"/>
      <c r="AI238" s="6"/>
      <c r="AJ238" s="6"/>
      <c r="AK238" s="6"/>
      <c r="AL238" s="6"/>
    </row>
    <row r="239" ht="15" customHeight="1">
      <c r="A239" s="6"/>
      <c r="B239" s="6" t="s">
        <v>3762</v>
      </c>
      <c r="C239" s="6"/>
      <c r="D239" s="6"/>
      <c r="E239" s="6"/>
      <c r="F239" s="6"/>
      <c r="G239" s="6"/>
      <c r="H239" s="6"/>
      <c r="I239" s="6"/>
      <c r="J239" s="6"/>
      <c r="K239" s="6"/>
      <c r="L239" s="6"/>
      <c r="M239" s="6"/>
      <c r="N239" s="6"/>
      <c r="O239" s="6"/>
      <c r="P239" s="6"/>
      <c r="Q239" s="4279"/>
      <c r="R239" s="6"/>
      <c r="S239" s="6"/>
      <c r="T239" s="6"/>
      <c r="U239" s="6"/>
      <c r="V239" s="6"/>
      <c r="W239" s="6"/>
      <c r="X239" s="6"/>
      <c r="Y239" s="1408"/>
      <c r="Z239" s="1408"/>
      <c r="AA239" s="1408"/>
      <c r="AB239" s="1408"/>
      <c r="AC239" s="1408"/>
      <c r="AD239" s="1408"/>
      <c r="AE239" s="1408"/>
      <c r="AF239" s="1408"/>
      <c r="AG239" s="6"/>
      <c r="AH239" s="6"/>
      <c r="AI239" s="6"/>
      <c r="AJ239" s="6"/>
      <c r="AK239" s="6"/>
      <c r="AL239" s="6"/>
    </row>
    <row r="240" ht="15" customHeight="1">
      <c r="A240" s="6"/>
      <c r="B240" s="6" t="s">
        <v>3763</v>
      </c>
      <c r="C240" s="6"/>
      <c r="D240" s="6"/>
      <c r="E240" s="6"/>
      <c r="F240" s="6"/>
      <c r="G240" s="6"/>
      <c r="H240" s="6"/>
      <c r="I240" s="6"/>
      <c r="J240" s="6"/>
      <c r="K240" s="6"/>
      <c r="L240" s="6"/>
      <c r="M240" s="6"/>
      <c r="N240" s="6"/>
      <c r="O240" s="6"/>
      <c r="P240" s="6"/>
      <c r="Q240" s="4279"/>
      <c r="R240" s="6"/>
      <c r="S240" s="6"/>
      <c r="T240" s="6"/>
      <c r="U240" s="6"/>
      <c r="V240" s="6"/>
      <c r="W240" s="6"/>
      <c r="X240" s="6"/>
      <c r="Y240" s="1408"/>
      <c r="Z240" s="1408"/>
      <c r="AA240" s="1408"/>
      <c r="AB240" s="1408"/>
      <c r="AC240" s="1408"/>
      <c r="AD240" s="1408"/>
      <c r="AE240" s="1408"/>
      <c r="AF240" s="1408"/>
      <c r="AG240" s="6"/>
      <c r="AH240" s="6"/>
      <c r="AI240" s="6"/>
      <c r="AJ240" s="6"/>
      <c r="AK240" s="6"/>
      <c r="AL240" s="6"/>
    </row>
    <row r="241" ht="15" customHeight="1">
      <c r="A241" s="6"/>
      <c r="B241" s="6" t="s">
        <v>3764</v>
      </c>
      <c r="C241" s="6"/>
      <c r="D241" s="6"/>
      <c r="E241" s="6"/>
      <c r="F241" s="6"/>
      <c r="G241" s="6"/>
      <c r="H241" s="6"/>
      <c r="I241" s="6"/>
      <c r="J241" s="6"/>
      <c r="K241" s="6"/>
      <c r="L241" s="6"/>
      <c r="M241" s="6"/>
      <c r="N241" s="6"/>
      <c r="O241" s="6"/>
      <c r="P241" s="6"/>
      <c r="Q241" s="4279"/>
      <c r="R241" s="6"/>
      <c r="S241" s="6"/>
      <c r="T241" s="6"/>
      <c r="U241" s="6"/>
      <c r="V241" s="6"/>
      <c r="W241" s="6"/>
      <c r="X241" s="6"/>
      <c r="Y241" s="1408"/>
      <c r="Z241" s="1408"/>
      <c r="AA241" s="1408"/>
      <c r="AB241" s="1408"/>
      <c r="AC241" s="1408"/>
      <c r="AD241" s="1408"/>
      <c r="AE241" s="1408"/>
      <c r="AF241" s="1408"/>
      <c r="AG241" s="6"/>
      <c r="AH241" s="6"/>
      <c r="AI241" s="6"/>
      <c r="AJ241" s="6"/>
      <c r="AK241" s="6"/>
      <c r="AL241" s="6"/>
    </row>
    <row r="242" ht="15" customHeight="1">
      <c r="A242" s="6"/>
      <c r="B242" s="6" t="s">
        <v>3765</v>
      </c>
      <c r="C242" s="6"/>
      <c r="D242" s="6"/>
      <c r="E242" s="6"/>
      <c r="F242" s="6"/>
      <c r="G242" s="6"/>
      <c r="H242" s="6"/>
      <c r="I242" s="6"/>
      <c r="J242" s="6"/>
      <c r="K242" s="6"/>
      <c r="L242" s="6"/>
      <c r="M242" s="6"/>
      <c r="N242" s="6"/>
      <c r="O242" s="6"/>
      <c r="P242" s="6"/>
      <c r="Q242" s="4279"/>
      <c r="R242" s="6"/>
      <c r="S242" s="6"/>
      <c r="T242" s="6"/>
      <c r="U242" s="6"/>
      <c r="V242" s="6"/>
      <c r="W242" s="6"/>
      <c r="X242" s="6"/>
      <c r="Y242" s="1408"/>
      <c r="Z242" s="1408"/>
      <c r="AA242" s="1408"/>
      <c r="AB242" s="1408"/>
      <c r="AC242" s="1408"/>
      <c r="AD242" s="1408"/>
      <c r="AE242" s="1408"/>
      <c r="AF242" s="1408"/>
      <c r="AG242" s="6"/>
      <c r="AH242" s="6"/>
      <c r="AI242" s="6"/>
      <c r="AJ242" s="6"/>
      <c r="AK242" s="6"/>
      <c r="AL242" s="6"/>
    </row>
    <row r="243" ht="15" customHeight="1">
      <c r="A243" s="6"/>
      <c r="B243" s="6"/>
      <c r="C243" s="6"/>
      <c r="D243" s="6"/>
      <c r="E243" s="6"/>
      <c r="F243" s="6"/>
      <c r="G243" s="6"/>
      <c r="H243" s="6"/>
      <c r="I243" s="6"/>
      <c r="J243" s="6"/>
      <c r="K243" s="6"/>
      <c r="L243" s="6"/>
      <c r="M243" s="6"/>
      <c r="N243" s="6"/>
      <c r="O243" s="6"/>
      <c r="P243" s="6"/>
      <c r="Q243" s="4279"/>
      <c r="R243" s="6"/>
      <c r="S243" s="6"/>
      <c r="T243" s="6"/>
      <c r="U243" s="6"/>
      <c r="V243" s="6"/>
      <c r="W243" s="6"/>
      <c r="X243" s="6"/>
      <c r="Y243" s="1408"/>
      <c r="Z243" s="1408"/>
      <c r="AA243" s="1408"/>
      <c r="AB243" s="1408"/>
      <c r="AC243" s="1408"/>
      <c r="AD243" s="1408"/>
      <c r="AE243" s="1408"/>
      <c r="AF243" s="1408"/>
      <c r="AG243" s="6"/>
      <c r="AH243" s="6"/>
      <c r="AI243" s="6"/>
      <c r="AJ243" s="6"/>
      <c r="AK243" s="6"/>
      <c r="AL243" s="6"/>
    </row>
    <row r="244" ht="15" customHeight="1">
      <c r="A244" s="6"/>
      <c r="B244" s="4526" t="s">
        <v>405</v>
      </c>
      <c r="C244" s="6"/>
      <c r="D244" s="6"/>
      <c r="E244" s="6"/>
      <c r="F244" s="6"/>
      <c r="G244" s="6"/>
      <c r="H244" s="6"/>
      <c r="I244" s="6"/>
      <c r="J244" s="6"/>
      <c r="K244" s="6"/>
      <c r="L244" s="6"/>
      <c r="M244" s="6"/>
      <c r="N244" s="6"/>
      <c r="O244" s="6"/>
      <c r="P244" s="6"/>
      <c r="Q244" s="4279"/>
      <c r="R244" s="6"/>
      <c r="S244" s="6"/>
      <c r="T244" s="6"/>
      <c r="U244" s="6"/>
      <c r="V244" s="6"/>
      <c r="W244" s="6"/>
      <c r="X244" s="6"/>
      <c r="Y244" s="1408"/>
      <c r="Z244" s="1408"/>
      <c r="AA244" s="1408"/>
      <c r="AB244" s="1408"/>
      <c r="AC244" s="1408"/>
      <c r="AD244" s="1408"/>
      <c r="AE244" s="1408"/>
      <c r="AF244" s="1408"/>
      <c r="AG244" s="6"/>
      <c r="AH244" s="6"/>
      <c r="AI244" s="6"/>
      <c r="AJ244" s="6"/>
      <c r="AK244" s="6"/>
      <c r="AL244" s="6"/>
    </row>
    <row r="245" ht="15" customHeight="1">
      <c r="A245" s="6"/>
      <c r="B245" s="6" t="s">
        <v>202</v>
      </c>
      <c r="C245" s="6"/>
      <c r="D245" s="6"/>
      <c r="E245" s="4567"/>
      <c r="F245" s="4567"/>
      <c r="G245" s="6"/>
      <c r="H245" s="6"/>
      <c r="I245" s="6"/>
      <c r="J245" s="6"/>
      <c r="K245" s="6"/>
      <c r="L245" s="6"/>
      <c r="M245" s="6"/>
      <c r="N245" s="6"/>
      <c r="O245" s="6"/>
      <c r="P245" s="6"/>
      <c r="Q245" s="4279"/>
      <c r="R245" s="6"/>
      <c r="S245" s="6"/>
      <c r="T245" s="6"/>
      <c r="U245" s="6"/>
      <c r="V245" s="6"/>
      <c r="W245" s="6"/>
      <c r="X245" s="6"/>
      <c r="Y245" s="1408"/>
      <c r="Z245" s="1408"/>
      <c r="AA245" s="1408"/>
      <c r="AB245" s="1408"/>
      <c r="AC245" s="1408"/>
      <c r="AD245" s="1408"/>
      <c r="AE245" s="1408"/>
      <c r="AF245" s="1408"/>
      <c r="AG245" s="6"/>
      <c r="AH245" s="6"/>
      <c r="AI245" s="6"/>
      <c r="AJ245" s="6"/>
      <c r="AK245" s="6"/>
      <c r="AL245" s="6"/>
    </row>
    <row r="246" ht="15" customHeight="1">
      <c r="A246" s="6"/>
      <c r="B246" s="6" t="s">
        <v>3766</v>
      </c>
      <c r="C246" s="6"/>
      <c r="D246" s="6"/>
      <c r="E246" s="6"/>
      <c r="F246" s="6"/>
      <c r="G246" s="6"/>
      <c r="H246" s="6"/>
      <c r="I246" s="6"/>
      <c r="J246" s="6"/>
      <c r="K246" s="6"/>
      <c r="L246" s="6"/>
      <c r="M246" s="6"/>
      <c r="N246" s="6"/>
      <c r="O246" s="6"/>
      <c r="P246" s="6"/>
      <c r="Q246" s="4279"/>
      <c r="R246" s="6"/>
      <c r="S246" s="6"/>
      <c r="T246" s="6"/>
      <c r="U246" s="6"/>
      <c r="V246" s="6"/>
      <c r="W246" s="6"/>
      <c r="X246" s="6"/>
      <c r="Y246" s="1408"/>
      <c r="Z246" s="1408"/>
      <c r="AA246" s="1408"/>
      <c r="AB246" s="1408"/>
      <c r="AC246" s="1408"/>
      <c r="AD246" s="1408"/>
      <c r="AE246" s="1408"/>
      <c r="AF246" s="1408"/>
      <c r="AG246" s="6"/>
      <c r="AH246" s="6"/>
      <c r="AI246" s="6"/>
      <c r="AJ246" s="6"/>
      <c r="AK246" s="6"/>
      <c r="AL246" s="6"/>
    </row>
    <row r="247" ht="15" customHeight="1">
      <c r="A247" s="6"/>
      <c r="B247" s="6" t="s">
        <v>3767</v>
      </c>
      <c r="C247" s="6"/>
      <c r="D247" s="6"/>
      <c r="E247" s="4567"/>
      <c r="F247" s="4567"/>
      <c r="G247" s="6"/>
      <c r="H247" s="6"/>
      <c r="I247" s="6"/>
      <c r="J247" s="6"/>
      <c r="K247" s="6"/>
      <c r="L247" s="6"/>
      <c r="M247" s="6"/>
      <c r="N247" s="6"/>
      <c r="O247" s="6"/>
      <c r="P247" s="6"/>
      <c r="Q247" s="4279"/>
      <c r="R247" s="6"/>
      <c r="S247" s="6"/>
      <c r="T247" s="6"/>
      <c r="U247" s="6"/>
      <c r="V247" s="6"/>
      <c r="W247" s="6"/>
      <c r="X247" s="6"/>
      <c r="Y247" s="1408"/>
      <c r="Z247" s="1408"/>
      <c r="AA247" s="1408"/>
      <c r="AB247" s="1408"/>
      <c r="AC247" s="1408"/>
      <c r="AD247" s="1408"/>
      <c r="AE247" s="1408"/>
      <c r="AF247" s="1408"/>
      <c r="AG247" s="6"/>
      <c r="AH247" s="6"/>
      <c r="AI247" s="6"/>
      <c r="AJ247" s="6"/>
      <c r="AK247" s="6"/>
      <c r="AL247" s="6"/>
    </row>
    <row r="248" ht="15" customHeight="1">
      <c r="A248" s="6"/>
      <c r="B248" s="6" t="s">
        <v>3768</v>
      </c>
      <c r="C248" s="6"/>
      <c r="D248" s="6"/>
      <c r="E248" s="4567"/>
      <c r="F248" s="4567"/>
      <c r="G248" s="6"/>
      <c r="H248" s="6"/>
      <c r="I248" s="6"/>
      <c r="J248" s="6"/>
      <c r="K248" s="6"/>
      <c r="L248" s="6"/>
      <c r="M248" s="6"/>
      <c r="N248" s="6"/>
      <c r="O248" s="6"/>
      <c r="P248" s="6"/>
      <c r="Q248" s="4279"/>
      <c r="R248" s="6"/>
      <c r="S248" s="6"/>
      <c r="T248" s="6"/>
      <c r="U248" s="6"/>
      <c r="V248" s="6"/>
      <c r="W248" s="6"/>
      <c r="X248" s="6"/>
      <c r="Y248" s="1408"/>
      <c r="Z248" s="1408"/>
      <c r="AA248" s="1408"/>
      <c r="AB248" s="1408"/>
      <c r="AC248" s="1408"/>
      <c r="AD248" s="1408"/>
      <c r="AE248" s="1408"/>
      <c r="AF248" s="1408"/>
      <c r="AG248" s="6"/>
      <c r="AH248" s="6"/>
      <c r="AI248" s="6"/>
      <c r="AJ248" s="6"/>
      <c r="AK248" s="6"/>
      <c r="AL248" s="6"/>
    </row>
    <row r="249" ht="15" customHeight="1">
      <c r="A249" s="6"/>
      <c r="B249" s="6" t="s">
        <v>3769</v>
      </c>
      <c r="C249" s="6"/>
      <c r="D249" s="6"/>
      <c r="E249" s="4567"/>
      <c r="F249" s="4567"/>
      <c r="G249" s="6"/>
      <c r="H249" s="6"/>
      <c r="I249" s="6"/>
      <c r="J249" s="6"/>
      <c r="K249" s="6"/>
      <c r="L249" s="6"/>
      <c r="M249" s="6"/>
      <c r="N249" s="6"/>
      <c r="O249" s="6"/>
      <c r="P249" s="6"/>
      <c r="Q249" s="4279"/>
      <c r="R249" s="6"/>
      <c r="S249" s="6"/>
      <c r="T249" s="6"/>
      <c r="U249" s="6"/>
      <c r="V249" s="6"/>
      <c r="W249" s="6"/>
      <c r="X249" s="6"/>
      <c r="Y249" s="1408"/>
      <c r="Z249" s="1408"/>
      <c r="AA249" s="1408"/>
      <c r="AB249" s="1408"/>
      <c r="AC249" s="1408"/>
      <c r="AD249" s="1408"/>
      <c r="AE249" s="1408"/>
      <c r="AF249" s="1408"/>
      <c r="AG249" s="6"/>
      <c r="AH249" s="6"/>
      <c r="AI249" s="6"/>
      <c r="AJ249" s="6"/>
      <c r="AK249" s="6"/>
      <c r="AL249" s="6"/>
    </row>
    <row r="250" ht="15" customHeight="1">
      <c r="A250" s="6"/>
      <c r="B250" s="6" t="s">
        <v>3770</v>
      </c>
      <c r="C250" s="6"/>
      <c r="D250" s="6"/>
      <c r="E250" s="6"/>
      <c r="F250" s="6"/>
      <c r="G250" s="6"/>
      <c r="H250" s="6"/>
      <c r="I250" s="6"/>
      <c r="J250" s="6"/>
      <c r="K250" s="6"/>
      <c r="L250" s="6"/>
      <c r="M250" s="6"/>
      <c r="N250" s="6"/>
      <c r="O250" s="6"/>
      <c r="P250" s="6"/>
      <c r="Q250" s="4279"/>
      <c r="R250" s="6"/>
      <c r="S250" s="6"/>
      <c r="T250" s="6"/>
      <c r="U250" s="6"/>
      <c r="V250" s="6"/>
      <c r="W250" s="6"/>
      <c r="X250" s="6"/>
      <c r="Y250" s="1408"/>
      <c r="Z250" s="1408"/>
      <c r="AA250" s="1408"/>
      <c r="AB250" s="1408"/>
      <c r="AC250" s="1408"/>
      <c r="AD250" s="1408"/>
      <c r="AE250" s="1408"/>
      <c r="AF250" s="1408"/>
      <c r="AG250" s="6"/>
      <c r="AH250" s="6"/>
      <c r="AI250" s="6"/>
      <c r="AJ250" s="6"/>
      <c r="AK250" s="6"/>
      <c r="AL250" s="6"/>
    </row>
    <row r="251" ht="15" customHeight="1">
      <c r="A251" s="6"/>
      <c r="B251" s="6" t="s">
        <v>236</v>
      </c>
      <c r="C251" s="6"/>
      <c r="D251" s="6"/>
      <c r="E251" s="6"/>
      <c r="F251" s="6"/>
      <c r="G251" s="6"/>
      <c r="H251" s="6"/>
      <c r="I251" s="6"/>
      <c r="J251" s="6"/>
      <c r="K251" s="6"/>
      <c r="L251" s="6"/>
      <c r="M251" s="6"/>
      <c r="N251" s="6"/>
      <c r="O251" s="6"/>
      <c r="P251" s="6"/>
      <c r="Q251" s="4279"/>
      <c r="R251" s="6"/>
      <c r="S251" s="6"/>
      <c r="T251" s="6"/>
      <c r="U251" s="6"/>
      <c r="V251" s="6"/>
      <c r="W251" s="6"/>
      <c r="X251" s="6"/>
      <c r="Y251" s="1408"/>
      <c r="Z251" s="1408"/>
      <c r="AA251" s="1408"/>
      <c r="AB251" s="1408"/>
      <c r="AC251" s="1408"/>
      <c r="AD251" s="1408"/>
      <c r="AE251" s="1408"/>
      <c r="AF251" s="1408"/>
      <c r="AG251" s="6"/>
      <c r="AH251" s="6"/>
      <c r="AI251" s="6"/>
      <c r="AJ251" s="6"/>
      <c r="AK251" s="6"/>
      <c r="AL251" s="6"/>
    </row>
    <row r="252" ht="15" customHeight="1">
      <c r="A252" s="6"/>
      <c r="B252" s="6"/>
      <c r="C252" s="6"/>
      <c r="D252" s="6"/>
      <c r="E252" s="6"/>
      <c r="F252" s="6"/>
      <c r="G252" s="6"/>
      <c r="H252" s="6"/>
      <c r="I252" s="6"/>
      <c r="J252" s="6"/>
      <c r="K252" s="6"/>
      <c r="L252" s="6"/>
      <c r="M252" s="6"/>
      <c r="N252" s="6"/>
      <c r="O252" s="6"/>
      <c r="P252" s="6"/>
      <c r="Q252" s="4279"/>
      <c r="R252" s="6"/>
      <c r="S252" s="6"/>
      <c r="T252" s="6"/>
      <c r="U252" s="6"/>
      <c r="V252" s="6"/>
      <c r="W252" s="6"/>
      <c r="X252" s="6"/>
      <c r="Y252" s="1408"/>
      <c r="Z252" s="1408"/>
      <c r="AA252" s="1408"/>
      <c r="AB252" s="1408"/>
      <c r="AC252" s="1408"/>
      <c r="AD252" s="1408"/>
      <c r="AE252" s="1408"/>
      <c r="AF252" s="1408"/>
      <c r="AG252" s="6"/>
      <c r="AH252" s="6"/>
      <c r="AI252" s="6"/>
      <c r="AJ252" s="6"/>
      <c r="AK252" s="6"/>
      <c r="AL252" s="6"/>
    </row>
    <row r="253" ht="15" customHeight="1">
      <c r="A253" s="6"/>
      <c r="B253" s="4526" t="s">
        <v>3621</v>
      </c>
      <c r="C253" s="6"/>
      <c r="D253" s="6"/>
      <c r="E253" s="6"/>
      <c r="F253" s="6"/>
      <c r="G253" s="6"/>
      <c r="H253" s="6"/>
      <c r="I253" s="6"/>
      <c r="J253" s="6"/>
      <c r="K253" s="6"/>
      <c r="L253" s="6"/>
      <c r="M253" s="6"/>
      <c r="N253" s="6"/>
      <c r="O253" s="6"/>
      <c r="P253" s="6"/>
      <c r="Q253" s="4279"/>
      <c r="R253" s="6"/>
      <c r="S253" s="6"/>
      <c r="T253" s="6"/>
      <c r="U253" s="6"/>
      <c r="V253" s="6"/>
      <c r="W253" s="6"/>
      <c r="X253" s="6"/>
      <c r="Y253" s="1408"/>
      <c r="Z253" s="1408"/>
      <c r="AA253" s="1408"/>
      <c r="AB253" s="1408"/>
      <c r="AC253" s="1408"/>
      <c r="AD253" s="1408"/>
      <c r="AE253" s="1408"/>
      <c r="AF253" s="1408"/>
      <c r="AG253" s="6"/>
      <c r="AH253" s="6"/>
      <c r="AI253" s="6"/>
      <c r="AJ253" s="6"/>
      <c r="AK253" s="6"/>
      <c r="AL253" s="6"/>
    </row>
    <row r="254" ht="15" customHeight="1">
      <c r="A254" s="6"/>
      <c r="B254" s="6" t="s">
        <v>388</v>
      </c>
      <c r="C254" s="6"/>
      <c r="D254" s="6"/>
      <c r="E254" s="6"/>
      <c r="F254" s="6"/>
      <c r="G254" s="6"/>
      <c r="H254" s="6"/>
      <c r="I254" s="6"/>
      <c r="J254" s="6"/>
      <c r="K254" s="6"/>
      <c r="L254" s="6"/>
      <c r="M254" s="6"/>
      <c r="N254" s="6"/>
      <c r="O254" s="6"/>
      <c r="P254" s="6"/>
      <c r="Q254" s="4279"/>
      <c r="R254" s="6"/>
      <c r="S254" s="6"/>
      <c r="T254" s="6"/>
      <c r="U254" s="6"/>
      <c r="V254" s="6"/>
      <c r="W254" s="6"/>
      <c r="X254" s="6"/>
      <c r="Y254" s="1408"/>
      <c r="Z254" s="1408"/>
      <c r="AA254" s="1408"/>
      <c r="AB254" s="1408"/>
      <c r="AC254" s="1408"/>
      <c r="AD254" s="1408"/>
      <c r="AE254" s="1408"/>
      <c r="AF254" s="1408"/>
      <c r="AG254" s="6"/>
      <c r="AH254" s="6"/>
      <c r="AI254" s="6"/>
      <c r="AJ254" s="6"/>
      <c r="AK254" s="6"/>
      <c r="AL254" s="6"/>
    </row>
    <row r="255" ht="15" customHeight="1">
      <c r="A255" s="6"/>
      <c r="B255" s="6" t="s">
        <v>3771</v>
      </c>
      <c r="C255" s="6"/>
      <c r="D255" s="6"/>
      <c r="E255" s="6"/>
      <c r="F255" s="6"/>
      <c r="G255" s="6"/>
      <c r="H255" s="6"/>
      <c r="I255" s="6"/>
      <c r="J255" s="6"/>
      <c r="K255" s="6"/>
      <c r="L255" s="6"/>
      <c r="M255" s="6"/>
      <c r="N255" s="6"/>
      <c r="O255" s="6"/>
      <c r="P255" s="6"/>
      <c r="Q255" s="4279"/>
      <c r="R255" s="6"/>
      <c r="S255" s="6"/>
      <c r="T255" s="6"/>
      <c r="U255" s="6"/>
      <c r="V255" s="6"/>
      <c r="W255" s="6"/>
      <c r="X255" s="6"/>
      <c r="Y255" s="1408"/>
      <c r="Z255" s="1408"/>
      <c r="AA255" s="1408"/>
      <c r="AB255" s="1408"/>
      <c r="AC255" s="1408"/>
      <c r="AD255" s="1408"/>
      <c r="AE255" s="1408"/>
      <c r="AF255" s="1408"/>
      <c r="AG255" s="6"/>
      <c r="AH255" s="6"/>
      <c r="AI255" s="6"/>
      <c r="AJ255" s="6"/>
      <c r="AK255" s="6"/>
      <c r="AL255" s="6"/>
    </row>
    <row r="256" ht="15" customHeight="1">
      <c r="A256" s="6"/>
      <c r="B256" s="6" t="s">
        <v>3772</v>
      </c>
      <c r="C256" s="6"/>
      <c r="D256" s="6"/>
      <c r="E256" s="6"/>
      <c r="F256" s="6"/>
      <c r="G256" s="6"/>
      <c r="H256" s="6"/>
      <c r="I256" s="6"/>
      <c r="J256" s="6"/>
      <c r="K256" s="6"/>
      <c r="L256" s="6"/>
      <c r="M256" s="6"/>
      <c r="N256" s="6"/>
      <c r="O256" s="6"/>
      <c r="P256" s="6"/>
      <c r="Q256" s="4279"/>
      <c r="R256" s="6"/>
      <c r="S256" s="6"/>
      <c r="T256" s="6"/>
      <c r="U256" s="6"/>
      <c r="V256" s="6"/>
      <c r="W256" s="6"/>
      <c r="X256" s="6"/>
      <c r="Y256" s="1408"/>
      <c r="Z256" s="1408"/>
      <c r="AA256" s="1408"/>
      <c r="AB256" s="1408"/>
      <c r="AC256" s="1408"/>
      <c r="AD256" s="1408"/>
      <c r="AE256" s="1408"/>
      <c r="AF256" s="1408"/>
      <c r="AG256" s="6"/>
      <c r="AH256" s="6"/>
      <c r="AI256" s="6"/>
      <c r="AJ256" s="6"/>
      <c r="AK256" s="6"/>
      <c r="AL256" s="6"/>
    </row>
    <row r="257" ht="15" customHeight="1">
      <c r="A257" s="6"/>
      <c r="B257" s="6" t="s">
        <v>2392</v>
      </c>
      <c r="C257" s="6"/>
      <c r="D257" s="6"/>
      <c r="E257" s="6"/>
      <c r="F257" s="6"/>
      <c r="G257" s="6"/>
      <c r="H257" s="6"/>
      <c r="I257" s="6"/>
      <c r="J257" s="6"/>
      <c r="K257" s="6"/>
      <c r="L257" s="6"/>
      <c r="M257" s="6"/>
      <c r="N257" s="6"/>
      <c r="O257" s="6"/>
      <c r="P257" s="6"/>
      <c r="Q257" s="4279"/>
      <c r="R257" s="6"/>
      <c r="S257" s="6"/>
      <c r="T257" s="6"/>
      <c r="U257" s="6"/>
      <c r="V257" s="6"/>
      <c r="W257" s="6"/>
      <c r="X257" s="6"/>
      <c r="Y257" s="1408"/>
      <c r="Z257" s="1408"/>
      <c r="AA257" s="1408"/>
      <c r="AB257" s="1408"/>
      <c r="AC257" s="1408"/>
      <c r="AD257" s="1408"/>
      <c r="AE257" s="1408"/>
      <c r="AF257" s="1408"/>
      <c r="AG257" s="6"/>
      <c r="AH257" s="6"/>
      <c r="AI257" s="6"/>
      <c r="AJ257" s="6"/>
      <c r="AK257" s="6"/>
      <c r="AL257" s="6"/>
    </row>
    <row r="258" ht="15" customHeight="1">
      <c r="A258" s="6"/>
      <c r="B258" s="6"/>
      <c r="C258" s="6"/>
      <c r="D258" s="6"/>
      <c r="E258" s="6"/>
      <c r="F258" s="6"/>
      <c r="G258" s="6"/>
      <c r="H258" s="6"/>
      <c r="I258" s="6"/>
      <c r="J258" s="6"/>
      <c r="K258" s="6"/>
      <c r="L258" s="6"/>
      <c r="M258" s="6"/>
      <c r="N258" s="6"/>
      <c r="O258" s="6"/>
      <c r="P258" s="6"/>
      <c r="Q258" s="4279"/>
      <c r="R258" s="6"/>
      <c r="S258" s="6"/>
      <c r="T258" s="6"/>
      <c r="U258" s="6"/>
      <c r="V258" s="6"/>
      <c r="W258" s="6"/>
      <c r="X258" s="6"/>
      <c r="Y258" s="1408"/>
      <c r="Z258" s="1408"/>
      <c r="AA258" s="1408"/>
      <c r="AB258" s="1408"/>
      <c r="AC258" s="1408"/>
      <c r="AD258" s="1408"/>
      <c r="AE258" s="1408"/>
      <c r="AF258" s="1408"/>
      <c r="AG258" s="6"/>
      <c r="AH258" s="6"/>
      <c r="AI258" s="6"/>
      <c r="AJ258" s="6"/>
      <c r="AK258" s="6"/>
      <c r="AL258" s="6"/>
    </row>
    <row r="259" ht="15" customHeight="1">
      <c r="A259" s="6"/>
      <c r="B259" s="4526" t="s">
        <v>662</v>
      </c>
      <c r="C259" s="6"/>
      <c r="D259" s="6"/>
      <c r="E259" s="6"/>
      <c r="F259" s="6"/>
      <c r="G259" s="6"/>
      <c r="H259" s="6"/>
      <c r="I259" s="6"/>
      <c r="J259" s="6"/>
      <c r="K259" s="6"/>
      <c r="L259" s="6"/>
      <c r="M259" s="6"/>
      <c r="N259" s="6"/>
      <c r="O259" s="6"/>
      <c r="P259" s="6"/>
      <c r="Q259" s="4279"/>
      <c r="R259" s="6"/>
      <c r="S259" s="6"/>
      <c r="T259" s="6"/>
      <c r="U259" s="6"/>
      <c r="V259" s="6"/>
      <c r="W259" s="6"/>
      <c r="X259" s="6"/>
      <c r="Y259" s="1408"/>
      <c r="Z259" s="1408"/>
      <c r="AA259" s="1408"/>
      <c r="AB259" s="1408"/>
      <c r="AC259" s="1408"/>
      <c r="AD259" s="1408"/>
      <c r="AE259" s="1408"/>
      <c r="AF259" s="1408"/>
      <c r="AG259" s="6"/>
      <c r="AH259" s="6"/>
      <c r="AI259" s="6"/>
      <c r="AJ259" s="6"/>
      <c r="AK259" s="6"/>
      <c r="AL259" s="6"/>
    </row>
    <row r="260" ht="15" customHeight="1">
      <c r="A260" s="6"/>
      <c r="B260" s="6" t="s">
        <v>3773</v>
      </c>
      <c r="C260" s="6"/>
      <c r="D260" s="6"/>
      <c r="E260" s="6"/>
      <c r="F260" s="6"/>
      <c r="G260" s="6"/>
      <c r="H260" s="6"/>
      <c r="I260" s="6"/>
      <c r="J260" s="6"/>
      <c r="K260" s="6"/>
      <c r="L260" s="6"/>
      <c r="M260" s="6"/>
      <c r="N260" s="6"/>
      <c r="O260" s="6"/>
      <c r="P260" s="6"/>
      <c r="Q260" s="4279"/>
      <c r="R260" s="6"/>
      <c r="S260" s="6"/>
      <c r="T260" s="6"/>
      <c r="U260" s="6"/>
      <c r="V260" s="6"/>
      <c r="W260" s="6"/>
      <c r="X260" s="6"/>
      <c r="Y260" s="1408"/>
      <c r="Z260" s="1408"/>
      <c r="AA260" s="1408"/>
      <c r="AB260" s="1408"/>
      <c r="AC260" s="1408"/>
      <c r="AD260" s="1408"/>
      <c r="AE260" s="1408"/>
      <c r="AF260" s="1408"/>
      <c r="AG260" s="6"/>
      <c r="AH260" s="6"/>
      <c r="AI260" s="6"/>
      <c r="AJ260" s="6"/>
      <c r="AK260" s="6"/>
      <c r="AL260" s="6"/>
    </row>
    <row r="261" ht="15" customHeight="1">
      <c r="A261" s="6"/>
      <c r="B261" s="6" t="s">
        <v>3774</v>
      </c>
      <c r="C261" s="6"/>
      <c r="D261" s="6"/>
      <c r="E261" s="6"/>
      <c r="F261" s="6"/>
      <c r="G261" s="6"/>
      <c r="H261" s="6"/>
      <c r="I261" s="6"/>
      <c r="J261" s="6"/>
      <c r="K261" s="6"/>
      <c r="L261" s="6"/>
      <c r="M261" s="6"/>
      <c r="N261" s="6"/>
      <c r="O261" s="6"/>
      <c r="P261" s="6"/>
      <c r="Q261" s="4279"/>
      <c r="R261" s="6"/>
      <c r="S261" s="6"/>
      <c r="T261" s="6"/>
      <c r="U261" s="6"/>
      <c r="V261" s="6"/>
      <c r="W261" s="6"/>
      <c r="X261" s="6"/>
      <c r="Y261" s="1408"/>
      <c r="Z261" s="1408"/>
      <c r="AA261" s="1408"/>
      <c r="AB261" s="1408"/>
      <c r="AC261" s="1408"/>
      <c r="AD261" s="1408"/>
      <c r="AE261" s="1408"/>
      <c r="AF261" s="1408"/>
      <c r="AG261" s="6"/>
      <c r="AH261" s="6"/>
      <c r="AI261" s="6"/>
      <c r="AJ261" s="6"/>
      <c r="AK261" s="6"/>
      <c r="AL261" s="6"/>
    </row>
    <row r="262" ht="15" customHeight="1">
      <c r="A262" s="6"/>
      <c r="B262" s="6" t="s">
        <v>3775</v>
      </c>
      <c r="C262" s="6"/>
      <c r="D262" s="6"/>
      <c r="E262" s="6"/>
      <c r="F262" s="6"/>
      <c r="G262" s="6"/>
      <c r="H262" s="6"/>
      <c r="I262" s="6"/>
      <c r="J262" s="6"/>
      <c r="K262" s="6"/>
      <c r="L262" s="6"/>
      <c r="M262" s="6"/>
      <c r="N262" s="6"/>
      <c r="O262" s="6"/>
      <c r="P262" s="6"/>
      <c r="Q262" s="4279"/>
      <c r="R262" s="6"/>
      <c r="S262" s="6"/>
      <c r="T262" s="6"/>
      <c r="U262" s="6"/>
      <c r="V262" s="6"/>
      <c r="W262" s="6"/>
      <c r="X262" s="6"/>
      <c r="Y262" s="1408"/>
      <c r="Z262" s="1408"/>
      <c r="AA262" s="1408"/>
      <c r="AB262" s="1408"/>
      <c r="AC262" s="1408"/>
      <c r="AD262" s="1408"/>
      <c r="AE262" s="1408"/>
      <c r="AF262" s="1408"/>
      <c r="AG262" s="6"/>
      <c r="AH262" s="6"/>
      <c r="AI262" s="6"/>
      <c r="AJ262" s="6"/>
      <c r="AK262" s="6"/>
      <c r="AL262" s="6"/>
    </row>
    <row r="263" ht="15" customHeight="1">
      <c r="A263" s="6"/>
      <c r="B263" s="6" t="s">
        <v>3776</v>
      </c>
      <c r="C263" s="6"/>
      <c r="D263" s="6"/>
      <c r="E263" s="6"/>
      <c r="F263" s="6"/>
      <c r="G263" s="6"/>
      <c r="H263" s="6"/>
      <c r="I263" s="6"/>
      <c r="J263" s="6"/>
      <c r="K263" s="6"/>
      <c r="L263" s="6"/>
      <c r="M263" s="6"/>
      <c r="N263" s="6"/>
      <c r="O263" s="6"/>
      <c r="P263" s="6"/>
      <c r="Q263" s="4279"/>
      <c r="R263" s="6"/>
      <c r="S263" s="6"/>
      <c r="T263" s="6"/>
      <c r="U263" s="6"/>
      <c r="V263" s="6"/>
      <c r="W263" s="6"/>
      <c r="X263" s="6"/>
      <c r="Y263" s="1408"/>
      <c r="Z263" s="1408"/>
      <c r="AA263" s="1408"/>
      <c r="AB263" s="1408"/>
      <c r="AC263" s="1408"/>
      <c r="AD263" s="1408"/>
      <c r="AE263" s="1408"/>
      <c r="AF263" s="1408"/>
      <c r="AG263" s="6"/>
      <c r="AH263" s="6"/>
      <c r="AI263" s="6"/>
      <c r="AJ263" s="6"/>
      <c r="AK263" s="6"/>
      <c r="AL263" s="6"/>
    </row>
    <row r="264" ht="15" customHeight="1">
      <c r="A264" s="6"/>
      <c r="B264" s="6" t="s">
        <v>236</v>
      </c>
      <c r="C264" s="6"/>
      <c r="D264" s="6"/>
      <c r="E264" s="6"/>
      <c r="F264" s="6"/>
      <c r="G264" s="6"/>
      <c r="H264" s="6"/>
      <c r="I264" s="6"/>
      <c r="J264" s="6"/>
      <c r="K264" s="6"/>
      <c r="L264" s="6"/>
      <c r="M264" s="6"/>
      <c r="N264" s="6"/>
      <c r="O264" s="6"/>
      <c r="P264" s="6"/>
      <c r="Q264" s="4279"/>
      <c r="R264" s="6"/>
      <c r="S264" s="6"/>
      <c r="T264" s="6"/>
      <c r="U264" s="6"/>
      <c r="V264" s="6"/>
      <c r="W264" s="6"/>
      <c r="X264" s="6"/>
      <c r="Y264" s="1408"/>
      <c r="Z264" s="1408"/>
      <c r="AA264" s="1408"/>
      <c r="AB264" s="1408"/>
      <c r="AC264" s="1408"/>
      <c r="AD264" s="1408"/>
      <c r="AE264" s="1408"/>
      <c r="AF264" s="1408"/>
      <c r="AG264" s="6"/>
      <c r="AH264" s="6"/>
      <c r="AI264" s="6"/>
      <c r="AJ264" s="6"/>
      <c r="AK264" s="6"/>
      <c r="AL264" s="6"/>
    </row>
    <row r="265" ht="15" customHeight="1">
      <c r="A265" s="6"/>
      <c r="B265" s="6"/>
      <c r="C265" s="6"/>
      <c r="D265" s="6"/>
      <c r="E265" s="6"/>
      <c r="F265" s="6"/>
      <c r="G265" s="6"/>
      <c r="H265" s="6"/>
      <c r="I265" s="6"/>
      <c r="J265" s="6"/>
      <c r="K265" s="6"/>
      <c r="L265" s="6"/>
      <c r="M265" s="6"/>
      <c r="N265" s="6"/>
      <c r="O265" s="6"/>
      <c r="P265" s="6"/>
      <c r="Q265" s="4279"/>
      <c r="R265" s="6"/>
      <c r="S265" s="6"/>
      <c r="T265" s="6"/>
      <c r="U265" s="6"/>
      <c r="V265" s="6"/>
      <c r="W265" s="6"/>
      <c r="X265" s="6"/>
      <c r="Y265" s="1408"/>
      <c r="Z265" s="1408"/>
      <c r="AA265" s="1408"/>
      <c r="AB265" s="1408"/>
      <c r="AC265" s="1408"/>
      <c r="AD265" s="1408"/>
      <c r="AE265" s="1408"/>
      <c r="AF265" s="1408"/>
      <c r="AG265" s="6"/>
      <c r="AH265" s="6"/>
      <c r="AI265" s="6"/>
      <c r="AJ265" s="6"/>
      <c r="AK265" s="6"/>
      <c r="AL265" s="6"/>
    </row>
    <row r="266" ht="15" customHeight="1">
      <c r="A266" s="6"/>
      <c r="B266" s="4526" t="s">
        <v>3777</v>
      </c>
      <c r="C266" s="6"/>
      <c r="D266" s="6"/>
      <c r="E266" s="6"/>
      <c r="F266" s="6"/>
      <c r="G266" s="6"/>
      <c r="H266" s="6"/>
      <c r="I266" s="6"/>
      <c r="J266" s="6"/>
      <c r="K266" s="6"/>
      <c r="L266" s="6"/>
      <c r="M266" s="6"/>
      <c r="N266" s="6"/>
      <c r="O266" s="6"/>
      <c r="P266" s="6"/>
      <c r="Q266" s="4279"/>
      <c r="R266" s="6"/>
      <c r="S266" s="6"/>
      <c r="T266" s="6"/>
      <c r="U266" s="6"/>
      <c r="V266" s="6"/>
      <c r="W266" s="6"/>
      <c r="X266" s="6"/>
      <c r="Y266" s="1408"/>
      <c r="Z266" s="1408"/>
      <c r="AA266" s="1408"/>
      <c r="AB266" s="1408"/>
      <c r="AC266" s="1408"/>
      <c r="AD266" s="1408"/>
      <c r="AE266" s="1408"/>
      <c r="AF266" s="1408"/>
      <c r="AG266" s="6"/>
      <c r="AH266" s="6"/>
      <c r="AI266" s="6"/>
      <c r="AJ266" s="6"/>
      <c r="AK266" s="6"/>
      <c r="AL266" s="6"/>
    </row>
    <row r="267" ht="15" customHeight="1">
      <c r="A267" s="6"/>
      <c r="B267" s="6" t="s">
        <v>269</v>
      </c>
      <c r="C267" s="6"/>
      <c r="D267" s="6"/>
      <c r="E267" s="6"/>
      <c r="F267" s="6"/>
      <c r="G267" s="6"/>
      <c r="H267" s="6"/>
      <c r="I267" s="6"/>
      <c r="J267" s="6"/>
      <c r="K267" s="6"/>
      <c r="L267" s="6"/>
      <c r="M267" s="6"/>
      <c r="N267" s="6"/>
      <c r="O267" s="6"/>
      <c r="P267" s="6"/>
      <c r="Q267" s="4279"/>
      <c r="R267" s="6"/>
      <c r="S267" s="6"/>
      <c r="T267" s="6"/>
      <c r="U267" s="6"/>
      <c r="V267" s="6"/>
      <c r="W267" s="6"/>
      <c r="X267" s="6"/>
      <c r="Y267" s="1408"/>
      <c r="Z267" s="1408"/>
      <c r="AA267" s="1408"/>
      <c r="AB267" s="1408"/>
      <c r="AC267" s="1408"/>
      <c r="AD267" s="1408"/>
      <c r="AE267" s="1408"/>
      <c r="AF267" s="1408"/>
      <c r="AG267" s="6"/>
      <c r="AH267" s="6"/>
      <c r="AI267" s="6"/>
      <c r="AJ267" s="6"/>
      <c r="AK267" s="6"/>
      <c r="AL267" s="6"/>
    </row>
    <row r="268" ht="15" customHeight="1">
      <c r="A268" s="6"/>
      <c r="B268" s="6" t="s">
        <v>451</v>
      </c>
      <c r="C268" s="6"/>
      <c r="D268" s="6"/>
      <c r="E268" s="6"/>
      <c r="F268" s="6"/>
      <c r="G268" s="6"/>
      <c r="H268" s="6"/>
      <c r="I268" s="6"/>
      <c r="J268" s="6"/>
      <c r="K268" s="6"/>
      <c r="L268" s="6"/>
      <c r="M268" s="6"/>
      <c r="N268" s="6"/>
      <c r="O268" s="6"/>
      <c r="P268" s="6"/>
      <c r="Q268" s="4279"/>
      <c r="R268" s="6"/>
      <c r="S268" s="6"/>
      <c r="T268" s="6"/>
      <c r="U268" s="6"/>
      <c r="V268" s="6"/>
      <c r="W268" s="6"/>
      <c r="X268" s="6"/>
      <c r="Y268" s="1408"/>
      <c r="Z268" s="1408"/>
      <c r="AA268" s="1408"/>
      <c r="AB268" s="1408"/>
      <c r="AC268" s="1408"/>
      <c r="AD268" s="1408"/>
      <c r="AE268" s="1408"/>
      <c r="AF268" s="1408"/>
      <c r="AG268" s="6"/>
      <c r="AH268" s="6"/>
      <c r="AI268" s="6"/>
      <c r="AJ268" s="6"/>
      <c r="AK268" s="6"/>
      <c r="AL268" s="6"/>
    </row>
    <row r="269" ht="15" customHeight="1">
      <c r="A269" s="6"/>
      <c r="B269" s="6"/>
      <c r="C269" s="6"/>
      <c r="D269" s="6"/>
      <c r="E269" s="6"/>
      <c r="F269" s="6"/>
      <c r="G269" s="6"/>
      <c r="H269" s="6"/>
      <c r="I269" s="6"/>
      <c r="J269" s="6"/>
      <c r="K269" s="6"/>
      <c r="L269" s="6"/>
      <c r="M269" s="6"/>
      <c r="N269" s="6"/>
      <c r="O269" s="6"/>
      <c r="P269" s="6"/>
      <c r="Q269" s="4279"/>
      <c r="R269" s="6"/>
      <c r="S269" s="6"/>
      <c r="T269" s="6"/>
      <c r="U269" s="6"/>
      <c r="V269" s="6"/>
      <c r="W269" s="6"/>
      <c r="X269" s="6"/>
      <c r="Y269" s="1408"/>
      <c r="Z269" s="1408"/>
      <c r="AA269" s="1408"/>
      <c r="AB269" s="1408"/>
      <c r="AC269" s="1408"/>
      <c r="AD269" s="1408"/>
      <c r="AE269" s="1408"/>
      <c r="AF269" s="1408"/>
      <c r="AG269" s="6"/>
      <c r="AH269" s="6"/>
      <c r="AI269" s="6"/>
      <c r="AJ269" s="6"/>
      <c r="AK269" s="6"/>
      <c r="AL269" s="6"/>
    </row>
    <row r="270" ht="15" customHeight="1">
      <c r="A270" s="6"/>
      <c r="B270" s="4526" t="s">
        <v>3778</v>
      </c>
      <c r="C270" s="6"/>
      <c r="D270" s="6"/>
      <c r="E270" s="6"/>
      <c r="F270" s="6"/>
      <c r="G270" s="6"/>
      <c r="H270" s="6"/>
      <c r="I270" s="6"/>
      <c r="J270" s="6"/>
      <c r="K270" s="6"/>
      <c r="L270" s="6"/>
      <c r="M270" s="6"/>
      <c r="N270" s="6"/>
      <c r="O270" s="6"/>
      <c r="P270" s="6"/>
      <c r="Q270" s="4279"/>
      <c r="R270" s="6"/>
      <c r="S270" s="6"/>
      <c r="T270" s="6"/>
      <c r="U270" s="6"/>
      <c r="V270" s="6"/>
      <c r="W270" s="6"/>
      <c r="X270" s="6"/>
      <c r="Y270" s="1408"/>
      <c r="Z270" s="1408"/>
      <c r="AA270" s="1408"/>
      <c r="AB270" s="1408"/>
      <c r="AC270" s="1408"/>
      <c r="AD270" s="1408"/>
      <c r="AE270" s="1408"/>
      <c r="AF270" s="1408"/>
      <c r="AG270" s="6"/>
      <c r="AH270" s="6"/>
      <c r="AI270" s="6"/>
      <c r="AJ270" s="6"/>
      <c r="AK270" s="6"/>
      <c r="AL270" s="6"/>
    </row>
    <row r="271" ht="15" customHeight="1">
      <c r="A271" s="6"/>
      <c r="B271" s="6" t="s">
        <v>174</v>
      </c>
      <c r="C271" s="6"/>
      <c r="D271" s="6"/>
      <c r="E271" s="6"/>
      <c r="F271" s="6"/>
      <c r="G271" s="6"/>
      <c r="H271" s="6"/>
      <c r="I271" s="6"/>
      <c r="J271" s="6"/>
      <c r="K271" s="6"/>
      <c r="L271" s="6"/>
      <c r="M271" s="6"/>
      <c r="N271" s="6"/>
      <c r="O271" s="6"/>
      <c r="P271" s="6"/>
      <c r="Q271" s="4279"/>
      <c r="R271" s="6"/>
      <c r="S271" s="6"/>
      <c r="T271" s="6"/>
      <c r="U271" s="6"/>
      <c r="V271" s="6"/>
      <c r="W271" s="6"/>
      <c r="X271" s="6"/>
      <c r="Y271" s="1408"/>
      <c r="Z271" s="1408"/>
      <c r="AA271" s="1408"/>
      <c r="AB271" s="1408"/>
      <c r="AC271" s="1408"/>
      <c r="AD271" s="1408"/>
      <c r="AE271" s="1408"/>
      <c r="AF271" s="1408"/>
      <c r="AG271" s="6"/>
      <c r="AH271" s="6"/>
      <c r="AI271" s="6"/>
      <c r="AJ271" s="6"/>
      <c r="AK271" s="6"/>
      <c r="AL271" s="6"/>
    </row>
    <row r="272" ht="15" customHeight="1">
      <c r="A272" s="6"/>
      <c r="B272" s="6" t="s">
        <v>3779</v>
      </c>
      <c r="C272" s="6"/>
      <c r="D272" s="6"/>
      <c r="E272" s="6"/>
      <c r="F272" s="6"/>
      <c r="G272" s="6"/>
      <c r="H272" s="6"/>
      <c r="I272" s="6"/>
      <c r="J272" s="6"/>
      <c r="K272" s="6"/>
      <c r="L272" s="6"/>
      <c r="M272" s="6"/>
      <c r="N272" s="6"/>
      <c r="O272" s="6"/>
      <c r="P272" s="6"/>
      <c r="Q272" s="4279"/>
      <c r="R272" s="6"/>
      <c r="S272" s="6"/>
      <c r="T272" s="6"/>
      <c r="U272" s="6"/>
      <c r="V272" s="6"/>
      <c r="W272" s="6"/>
      <c r="X272" s="6"/>
      <c r="Y272" s="1408"/>
      <c r="Z272" s="1408"/>
      <c r="AA272" s="1408"/>
      <c r="AB272" s="1408"/>
      <c r="AC272" s="1408"/>
      <c r="AD272" s="1408"/>
      <c r="AE272" s="1408"/>
      <c r="AF272" s="1408"/>
      <c r="AG272" s="6"/>
      <c r="AH272" s="6"/>
      <c r="AI272" s="6"/>
      <c r="AJ272" s="6"/>
      <c r="AK272" s="6"/>
      <c r="AL272" s="6"/>
    </row>
    <row r="273" ht="15" customHeight="1">
      <c r="A273" s="6"/>
      <c r="B273" s="6" t="s">
        <v>3780</v>
      </c>
      <c r="C273" s="6"/>
      <c r="D273" s="6"/>
      <c r="E273" s="6"/>
      <c r="F273" s="6"/>
      <c r="G273" s="6"/>
      <c r="H273" s="6"/>
      <c r="I273" s="6"/>
      <c r="J273" s="6"/>
      <c r="K273" s="6"/>
      <c r="L273" s="6"/>
      <c r="M273" s="6"/>
      <c r="N273" s="6"/>
      <c r="O273" s="6"/>
      <c r="P273" s="6"/>
      <c r="Q273" s="4279"/>
      <c r="R273" s="6"/>
      <c r="S273" s="6"/>
      <c r="T273" s="6"/>
      <c r="U273" s="6"/>
      <c r="V273" s="6"/>
      <c r="W273" s="6"/>
      <c r="X273" s="6"/>
      <c r="Y273" s="1408"/>
      <c r="Z273" s="1408"/>
      <c r="AA273" s="1408"/>
      <c r="AB273" s="1408"/>
      <c r="AC273" s="1408"/>
      <c r="AD273" s="1408"/>
      <c r="AE273" s="1408"/>
      <c r="AF273" s="1408"/>
      <c r="AG273" s="6"/>
      <c r="AH273" s="6"/>
      <c r="AI273" s="6"/>
      <c r="AJ273" s="6"/>
      <c r="AK273" s="6"/>
      <c r="AL273" s="6"/>
    </row>
    <row r="274" ht="15" customHeight="1">
      <c r="A274" s="6"/>
      <c r="B274" s="6" t="s">
        <v>3781</v>
      </c>
      <c r="C274" s="6"/>
      <c r="D274" s="6"/>
      <c r="E274" s="6"/>
      <c r="F274" s="6"/>
      <c r="G274" s="6"/>
      <c r="H274" s="6"/>
      <c r="I274" s="6"/>
      <c r="J274" s="6"/>
      <c r="K274" s="6"/>
      <c r="L274" s="6"/>
      <c r="M274" s="6"/>
      <c r="N274" s="6"/>
      <c r="O274" s="6"/>
      <c r="P274" s="6"/>
      <c r="Q274" s="4279"/>
      <c r="R274" s="6"/>
      <c r="S274" s="6"/>
      <c r="T274" s="6"/>
      <c r="U274" s="6"/>
      <c r="V274" s="6"/>
      <c r="W274" s="6"/>
      <c r="X274" s="6"/>
      <c r="Y274" s="1408"/>
      <c r="Z274" s="1408"/>
      <c r="AA274" s="1408"/>
      <c r="AB274" s="1408"/>
      <c r="AC274" s="1408"/>
      <c r="AD274" s="1408"/>
      <c r="AE274" s="1408"/>
      <c r="AF274" s="1408"/>
      <c r="AG274" s="6"/>
      <c r="AH274" s="6"/>
      <c r="AI274" s="6"/>
      <c r="AJ274" s="6"/>
      <c r="AK274" s="6"/>
      <c r="AL274" s="6"/>
    </row>
    <row r="275" ht="15" customHeight="1">
      <c r="A275" s="6"/>
      <c r="B275" s="6" t="s">
        <v>3782</v>
      </c>
      <c r="C275" s="6"/>
      <c r="D275" s="6"/>
      <c r="E275" s="6"/>
      <c r="F275" s="6"/>
      <c r="G275" s="6"/>
      <c r="H275" s="6"/>
      <c r="I275" s="6"/>
      <c r="J275" s="6"/>
      <c r="K275" s="6"/>
      <c r="L275" s="6"/>
      <c r="M275" s="6"/>
      <c r="N275" s="6"/>
      <c r="O275" s="6"/>
      <c r="P275" s="6"/>
      <c r="Q275" s="4279"/>
      <c r="R275" s="6"/>
      <c r="S275" s="6"/>
      <c r="T275" s="6"/>
      <c r="U275" s="6"/>
      <c r="V275" s="6"/>
      <c r="W275" s="6"/>
      <c r="X275" s="6"/>
      <c r="Y275" s="1408"/>
      <c r="Z275" s="1408"/>
      <c r="AA275" s="1408"/>
      <c r="AB275" s="1408"/>
      <c r="AC275" s="1408"/>
      <c r="AD275" s="1408"/>
      <c r="AE275" s="1408"/>
      <c r="AF275" s="1408"/>
      <c r="AG275" s="6"/>
      <c r="AH275" s="6"/>
      <c r="AI275" s="6"/>
      <c r="AJ275" s="6"/>
      <c r="AK275" s="6"/>
      <c r="AL275" s="6"/>
    </row>
    <row r="276" ht="15" customHeight="1">
      <c r="A276" s="6"/>
      <c r="B276" s="6" t="s">
        <v>3783</v>
      </c>
      <c r="C276" s="6"/>
      <c r="D276" s="6"/>
      <c r="E276" s="6"/>
      <c r="F276" s="6"/>
      <c r="G276" s="6"/>
      <c r="H276" s="6"/>
      <c r="I276" s="6"/>
      <c r="J276" s="6"/>
      <c r="K276" s="6"/>
      <c r="L276" s="6"/>
      <c r="M276" s="6"/>
      <c r="N276" s="6"/>
      <c r="O276" s="6"/>
      <c r="P276" s="6"/>
      <c r="Q276" s="4279"/>
      <c r="R276" s="6"/>
      <c r="S276" s="6"/>
      <c r="T276" s="6"/>
      <c r="U276" s="6"/>
      <c r="V276" s="6"/>
      <c r="W276" s="6"/>
      <c r="X276" s="6"/>
      <c r="Y276" s="1408"/>
      <c r="Z276" s="1408"/>
      <c r="AA276" s="1408"/>
      <c r="AB276" s="1408"/>
      <c r="AC276" s="1408"/>
      <c r="AD276" s="1408"/>
      <c r="AE276" s="1408"/>
      <c r="AF276" s="1408"/>
      <c r="AG276" s="6"/>
      <c r="AH276" s="6"/>
      <c r="AI276" s="6"/>
      <c r="AJ276" s="6"/>
      <c r="AK276" s="6"/>
      <c r="AL276" s="6"/>
    </row>
    <row r="277" ht="15" customHeight="1">
      <c r="A277" s="6"/>
      <c r="B277" s="6" t="s">
        <v>3784</v>
      </c>
      <c r="C277" s="6"/>
      <c r="D277" s="6"/>
      <c r="E277" s="6"/>
      <c r="F277" s="6"/>
      <c r="G277" s="6"/>
      <c r="H277" s="6"/>
      <c r="I277" s="6"/>
      <c r="J277" s="6"/>
      <c r="K277" s="6"/>
      <c r="L277" s="6"/>
      <c r="M277" s="6"/>
      <c r="N277" s="6"/>
      <c r="O277" s="6"/>
      <c r="P277" s="6"/>
      <c r="Q277" s="4279"/>
      <c r="R277" s="6"/>
      <c r="S277" s="6"/>
      <c r="T277" s="6"/>
      <c r="U277" s="6"/>
      <c r="V277" s="6"/>
      <c r="W277" s="6"/>
      <c r="X277" s="6"/>
      <c r="Y277" s="1408"/>
      <c r="Z277" s="1408"/>
      <c r="AA277" s="1408"/>
      <c r="AB277" s="1408"/>
      <c r="AC277" s="1408"/>
      <c r="AD277" s="1408"/>
      <c r="AE277" s="1408"/>
      <c r="AF277" s="1408"/>
      <c r="AG277" s="6"/>
      <c r="AH277" s="6"/>
      <c r="AI277" s="6"/>
      <c r="AJ277" s="6"/>
      <c r="AK277" s="6"/>
      <c r="AL277" s="6"/>
    </row>
    <row r="278" ht="15" customHeight="1">
      <c r="A278" s="6"/>
      <c r="B278" s="6" t="s">
        <v>3785</v>
      </c>
      <c r="C278" s="6"/>
      <c r="D278" s="6"/>
      <c r="E278" s="6"/>
      <c r="F278" s="6"/>
      <c r="G278" s="6"/>
      <c r="H278" s="6"/>
      <c r="I278" s="6"/>
      <c r="J278" s="6"/>
      <c r="K278" s="6"/>
      <c r="L278" s="6"/>
      <c r="M278" s="6"/>
      <c r="N278" s="6"/>
      <c r="O278" s="6"/>
      <c r="P278" s="6"/>
      <c r="Q278" s="4279"/>
      <c r="R278" s="6"/>
      <c r="S278" s="6"/>
      <c r="T278" s="6"/>
      <c r="U278" s="6"/>
      <c r="V278" s="6"/>
      <c r="W278" s="6"/>
      <c r="X278" s="6"/>
      <c r="Y278" s="1408"/>
      <c r="Z278" s="1408"/>
      <c r="AA278" s="1408"/>
      <c r="AB278" s="1408"/>
      <c r="AC278" s="1408"/>
      <c r="AD278" s="1408"/>
      <c r="AE278" s="1408"/>
      <c r="AF278" s="1408"/>
      <c r="AG278" s="6"/>
      <c r="AH278" s="6"/>
      <c r="AI278" s="6"/>
      <c r="AJ278" s="6"/>
      <c r="AK278" s="6"/>
      <c r="AL278" s="6"/>
    </row>
    <row r="279" ht="15" customHeight="1">
      <c r="A279" s="6"/>
      <c r="B279" s="6" t="s">
        <v>3786</v>
      </c>
      <c r="C279" s="6"/>
      <c r="D279" s="6"/>
      <c r="E279" s="6"/>
      <c r="F279" s="6"/>
      <c r="G279" s="6"/>
      <c r="H279" s="6"/>
      <c r="I279" s="6"/>
      <c r="J279" s="6"/>
      <c r="K279" s="6"/>
      <c r="L279" s="6"/>
      <c r="M279" s="6"/>
      <c r="N279" s="6"/>
      <c r="O279" s="6"/>
      <c r="P279" s="6"/>
      <c r="Q279" s="4279"/>
      <c r="R279" s="6"/>
      <c r="S279" s="6"/>
      <c r="T279" s="6"/>
      <c r="U279" s="6"/>
      <c r="V279" s="6"/>
      <c r="W279" s="6"/>
      <c r="X279" s="6"/>
      <c r="Y279" s="1408"/>
      <c r="Z279" s="1408"/>
      <c r="AA279" s="1408"/>
      <c r="AB279" s="1408"/>
      <c r="AC279" s="1408"/>
      <c r="AD279" s="1408"/>
      <c r="AE279" s="1408"/>
      <c r="AF279" s="1408"/>
      <c r="AG279" s="6"/>
      <c r="AH279" s="6"/>
      <c r="AI279" s="6"/>
      <c r="AJ279" s="6"/>
      <c r="AK279" s="6"/>
      <c r="AL279" s="6"/>
    </row>
    <row r="280" ht="15" customHeight="1">
      <c r="A280" s="6"/>
      <c r="B280" s="6"/>
      <c r="C280" s="6"/>
      <c r="D280" s="6"/>
      <c r="E280" s="6"/>
      <c r="F280" s="6"/>
      <c r="G280" s="6"/>
      <c r="H280" s="6"/>
      <c r="I280" s="6"/>
      <c r="J280" s="6"/>
      <c r="K280" s="6"/>
      <c r="L280" s="6"/>
      <c r="M280" s="6"/>
      <c r="N280" s="6"/>
      <c r="O280" s="6"/>
      <c r="P280" s="6"/>
      <c r="Q280" s="4279"/>
      <c r="R280" s="6"/>
      <c r="S280" s="6"/>
      <c r="T280" s="6"/>
      <c r="U280" s="6"/>
      <c r="V280" s="6"/>
      <c r="W280" s="6"/>
      <c r="X280" s="6"/>
      <c r="Y280" s="1408"/>
      <c r="Z280" s="1408"/>
      <c r="AA280" s="1408"/>
      <c r="AB280" s="1408"/>
      <c r="AC280" s="1408"/>
      <c r="AD280" s="1408"/>
      <c r="AE280" s="1408"/>
      <c r="AF280" s="1408"/>
      <c r="AG280" s="6"/>
      <c r="AH280" s="6"/>
      <c r="AI280" s="6"/>
      <c r="AJ280" s="6"/>
      <c r="AK280" s="6"/>
      <c r="AL280" s="6"/>
    </row>
    <row r="281" ht="15" customHeight="1">
      <c r="A281" s="6"/>
      <c r="B281" s="4526" t="s">
        <v>3787</v>
      </c>
      <c r="C281" s="6"/>
      <c r="D281" s="6"/>
      <c r="E281" s="6"/>
      <c r="F281" s="6"/>
      <c r="G281" s="6"/>
      <c r="H281" s="6"/>
      <c r="I281" s="6"/>
      <c r="J281" s="6"/>
      <c r="K281" s="6"/>
      <c r="L281" s="6"/>
      <c r="M281" s="6"/>
      <c r="N281" s="6"/>
      <c r="O281" s="6"/>
      <c r="P281" s="6"/>
      <c r="Q281" s="4279"/>
      <c r="R281" s="6"/>
      <c r="S281" s="6"/>
      <c r="T281" s="6"/>
      <c r="U281" s="6"/>
      <c r="V281" s="6"/>
      <c r="W281" s="6"/>
      <c r="X281" s="6"/>
      <c r="Y281" s="1408"/>
      <c r="Z281" s="1408"/>
      <c r="AA281" s="1408"/>
      <c r="AB281" s="1408"/>
      <c r="AC281" s="1408"/>
      <c r="AD281" s="1408"/>
      <c r="AE281" s="1408"/>
      <c r="AF281" s="1408"/>
      <c r="AG281" s="6"/>
      <c r="AH281" s="6"/>
      <c r="AI281" s="6"/>
      <c r="AJ281" s="6"/>
      <c r="AK281" s="6"/>
      <c r="AL281" s="6"/>
    </row>
    <row r="282" ht="15" customHeight="1">
      <c r="A282" s="6"/>
      <c r="B282" s="6" t="s">
        <v>3788</v>
      </c>
      <c r="C282" s="6"/>
      <c r="D282" s="6"/>
      <c r="E282" s="6"/>
      <c r="F282" s="6"/>
      <c r="G282" s="6"/>
      <c r="H282" s="6"/>
      <c r="I282" s="6"/>
      <c r="J282" s="6"/>
      <c r="K282" s="6"/>
      <c r="L282" s="6"/>
      <c r="M282" s="6"/>
      <c r="N282" s="6"/>
      <c r="O282" s="6"/>
      <c r="P282" s="6"/>
      <c r="Q282" s="4279"/>
      <c r="R282" s="6"/>
      <c r="S282" s="6"/>
      <c r="T282" s="6"/>
      <c r="U282" s="6"/>
      <c r="V282" s="6"/>
      <c r="W282" s="6"/>
      <c r="X282" s="6"/>
      <c r="Y282" s="1408"/>
      <c r="Z282" s="1408"/>
      <c r="AA282" s="1408"/>
      <c r="AB282" s="1408"/>
      <c r="AC282" s="1408"/>
      <c r="AD282" s="1408"/>
      <c r="AE282" s="1408"/>
      <c r="AF282" s="1408"/>
      <c r="AG282" s="6"/>
      <c r="AH282" s="6"/>
      <c r="AI282" s="6"/>
      <c r="AJ282" s="6"/>
      <c r="AK282" s="6"/>
      <c r="AL282" s="6"/>
    </row>
    <row r="283" ht="15" customHeight="1">
      <c r="A283" s="6"/>
      <c r="B283" s="6" t="s">
        <v>3789</v>
      </c>
      <c r="C283" s="6"/>
      <c r="D283" s="6"/>
      <c r="E283" s="6"/>
      <c r="F283" s="6"/>
      <c r="G283" s="6"/>
      <c r="H283" s="6"/>
      <c r="I283" s="6"/>
      <c r="J283" s="6"/>
      <c r="K283" s="6"/>
      <c r="L283" s="6"/>
      <c r="M283" s="6"/>
      <c r="N283" s="6"/>
      <c r="O283" s="6"/>
      <c r="P283" s="6"/>
      <c r="Q283" s="4279"/>
      <c r="R283" s="6"/>
      <c r="S283" s="6"/>
      <c r="T283" s="6"/>
      <c r="U283" s="6"/>
      <c r="V283" s="6"/>
      <c r="W283" s="6"/>
      <c r="X283" s="6"/>
      <c r="Y283" s="1408"/>
      <c r="Z283" s="1408"/>
      <c r="AA283" s="1408"/>
      <c r="AB283" s="1408"/>
      <c r="AC283" s="1408"/>
      <c r="AD283" s="1408"/>
      <c r="AE283" s="1408"/>
      <c r="AF283" s="1408"/>
      <c r="AG283" s="6"/>
      <c r="AH283" s="6"/>
      <c r="AI283" s="6"/>
      <c r="AJ283" s="6"/>
      <c r="AK283" s="6"/>
      <c r="AL283" s="6"/>
    </row>
    <row r="284" ht="15" customHeight="1">
      <c r="A284" s="6"/>
      <c r="B284" s="6"/>
      <c r="C284" s="6"/>
      <c r="D284" s="6"/>
      <c r="E284" s="6"/>
      <c r="F284" s="6"/>
      <c r="G284" s="6"/>
      <c r="H284" s="6"/>
      <c r="I284" s="6"/>
      <c r="J284" s="6"/>
      <c r="K284" s="6"/>
      <c r="L284" s="6"/>
      <c r="M284" s="6"/>
      <c r="N284" s="6"/>
      <c r="O284" s="6"/>
      <c r="P284" s="6"/>
      <c r="Q284" s="4279"/>
      <c r="R284" s="6"/>
      <c r="S284" s="6"/>
      <c r="T284" s="6"/>
      <c r="U284" s="6"/>
      <c r="V284" s="6"/>
      <c r="W284" s="6"/>
      <c r="X284" s="6"/>
      <c r="Y284" s="1408"/>
      <c r="Z284" s="1408"/>
      <c r="AA284" s="1408"/>
      <c r="AB284" s="1408"/>
      <c r="AC284" s="1408"/>
      <c r="AD284" s="1408"/>
      <c r="AE284" s="1408"/>
      <c r="AF284" s="1408"/>
      <c r="AG284" s="6"/>
      <c r="AH284" s="6"/>
      <c r="AI284" s="6"/>
      <c r="AJ284" s="6"/>
      <c r="AK284" s="6"/>
      <c r="AL284" s="6"/>
    </row>
    <row r="285" ht="15" customHeight="1">
      <c r="A285" s="6"/>
      <c r="B285" s="4526" t="s">
        <v>3790</v>
      </c>
      <c r="C285" s="6"/>
      <c r="D285" s="6"/>
      <c r="E285" s="6"/>
      <c r="F285" s="6"/>
      <c r="G285" s="6"/>
      <c r="H285" s="6"/>
      <c r="I285" s="6"/>
      <c r="J285" s="6"/>
      <c r="K285" s="6"/>
      <c r="L285" s="6"/>
      <c r="M285" s="6"/>
      <c r="N285" s="6"/>
      <c r="O285" s="6"/>
      <c r="P285" s="6"/>
      <c r="Q285" s="4279"/>
      <c r="R285" s="6"/>
      <c r="S285" s="6"/>
      <c r="T285" s="6"/>
      <c r="U285" s="6"/>
      <c r="V285" s="6"/>
      <c r="W285" s="6"/>
      <c r="X285" s="6"/>
      <c r="Y285" s="1408"/>
      <c r="Z285" s="1408"/>
      <c r="AA285" s="1408"/>
      <c r="AB285" s="1408"/>
      <c r="AC285" s="1408"/>
      <c r="AD285" s="1408"/>
      <c r="AE285" s="1408"/>
      <c r="AF285" s="1408"/>
      <c r="AG285" s="6"/>
      <c r="AH285" s="6"/>
      <c r="AI285" s="6"/>
      <c r="AJ285" s="6"/>
      <c r="AK285" s="6"/>
      <c r="AL285" s="6"/>
    </row>
    <row r="286" ht="15" customHeight="1">
      <c r="A286" s="6"/>
      <c r="B286" s="6" t="s">
        <v>269</v>
      </c>
      <c r="C286" s="6"/>
      <c r="D286" s="6"/>
      <c r="E286" s="6"/>
      <c r="F286" s="6"/>
      <c r="G286" s="6"/>
      <c r="H286" s="6"/>
      <c r="I286" s="6"/>
      <c r="J286" s="6"/>
      <c r="K286" s="6"/>
      <c r="L286" s="6"/>
      <c r="M286" s="6"/>
      <c r="N286" s="6"/>
      <c r="O286" s="6"/>
      <c r="P286" s="6"/>
      <c r="Q286" s="4279"/>
      <c r="R286" s="6"/>
      <c r="S286" s="6"/>
      <c r="T286" s="6"/>
      <c r="U286" s="6"/>
      <c r="V286" s="6"/>
      <c r="W286" s="6"/>
      <c r="X286" s="6"/>
      <c r="Y286" s="1408"/>
      <c r="Z286" s="1408"/>
      <c r="AA286" s="1408"/>
      <c r="AB286" s="1408"/>
      <c r="AC286" s="1408"/>
      <c r="AD286" s="1408"/>
      <c r="AE286" s="1408"/>
      <c r="AF286" s="1408"/>
      <c r="AG286" s="6"/>
      <c r="AH286" s="6"/>
      <c r="AI286" s="6"/>
      <c r="AJ286" s="6"/>
      <c r="AK286" s="6"/>
      <c r="AL286" s="6"/>
    </row>
    <row r="287" ht="15" customHeight="1">
      <c r="A287" s="6"/>
      <c r="B287" s="6" t="s">
        <v>451</v>
      </c>
      <c r="C287" s="6"/>
      <c r="D287" s="6"/>
      <c r="E287" s="6"/>
      <c r="F287" s="6"/>
      <c r="G287" s="6"/>
      <c r="H287" s="6"/>
      <c r="I287" s="6"/>
      <c r="J287" s="6"/>
      <c r="K287" s="6"/>
      <c r="L287" s="6"/>
      <c r="M287" s="6"/>
      <c r="N287" s="6"/>
      <c r="O287" s="6"/>
      <c r="P287" s="6"/>
      <c r="Q287" s="4279"/>
      <c r="R287" s="6"/>
      <c r="S287" s="6"/>
      <c r="T287" s="6"/>
      <c r="U287" s="6"/>
      <c r="V287" s="6"/>
      <c r="W287" s="6"/>
      <c r="X287" s="6"/>
      <c r="Y287" s="1408"/>
      <c r="Z287" s="1408"/>
      <c r="AA287" s="1408"/>
      <c r="AB287" s="1408"/>
      <c r="AC287" s="1408"/>
      <c r="AD287" s="1408"/>
      <c r="AE287" s="1408"/>
      <c r="AF287" s="1408"/>
      <c r="AG287" s="6"/>
      <c r="AH287" s="6"/>
      <c r="AI287" s="6"/>
      <c r="AJ287" s="6"/>
      <c r="AK287" s="6"/>
      <c r="AL287" s="6"/>
    </row>
    <row r="288" ht="15" customHeight="1">
      <c r="A288" s="6"/>
      <c r="B288" s="6"/>
      <c r="C288" s="6"/>
      <c r="D288" s="6"/>
      <c r="E288" s="6"/>
      <c r="F288" s="6"/>
      <c r="G288" s="6"/>
      <c r="H288" s="6"/>
      <c r="I288" s="6"/>
      <c r="J288" s="6"/>
      <c r="K288" s="6"/>
      <c r="L288" s="6"/>
      <c r="M288" s="6"/>
      <c r="N288" s="6"/>
      <c r="O288" s="6"/>
      <c r="P288" s="6"/>
      <c r="Q288" s="4279"/>
      <c r="R288" s="6"/>
      <c r="S288" s="6"/>
      <c r="T288" s="6"/>
      <c r="U288" s="6"/>
      <c r="V288" s="6"/>
      <c r="W288" s="6"/>
      <c r="X288" s="6"/>
      <c r="Y288" s="1408"/>
      <c r="Z288" s="1408"/>
      <c r="AA288" s="1408"/>
      <c r="AB288" s="1408"/>
      <c r="AC288" s="1408"/>
      <c r="AD288" s="1408"/>
      <c r="AE288" s="1408"/>
      <c r="AF288" s="1408"/>
      <c r="AG288" s="6"/>
      <c r="AH288" s="6"/>
      <c r="AI288" s="6"/>
      <c r="AJ288" s="6"/>
      <c r="AK288" s="6"/>
      <c r="AL288" s="6"/>
    </row>
    <row r="289" ht="15" customHeight="1">
      <c r="A289" s="6"/>
      <c r="B289" s="4526" t="s">
        <v>2307</v>
      </c>
      <c r="C289" s="6"/>
      <c r="D289" s="6"/>
      <c r="E289" s="6"/>
      <c r="F289" s="6"/>
      <c r="G289" s="6"/>
      <c r="H289" s="6"/>
      <c r="I289" s="6"/>
      <c r="J289" s="6"/>
      <c r="K289" s="6"/>
      <c r="L289" s="6"/>
      <c r="M289" s="6"/>
      <c r="N289" s="6"/>
      <c r="O289" s="6"/>
      <c r="P289" s="6"/>
      <c r="Q289" s="4279"/>
      <c r="R289" s="6"/>
      <c r="S289" s="6"/>
      <c r="T289" s="6"/>
      <c r="U289" s="6"/>
      <c r="V289" s="6"/>
      <c r="W289" s="6"/>
      <c r="X289" s="6"/>
      <c r="Y289" s="1408"/>
      <c r="Z289" s="1408"/>
      <c r="AA289" s="1408"/>
      <c r="AB289" s="1408"/>
      <c r="AC289" s="1408"/>
      <c r="AD289" s="1408"/>
      <c r="AE289" s="1408"/>
      <c r="AF289" s="1408"/>
      <c r="AG289" s="6"/>
      <c r="AH289" s="6"/>
      <c r="AI289" s="6"/>
      <c r="AJ289" s="6"/>
      <c r="AK289" s="6"/>
      <c r="AL289" s="6"/>
    </row>
    <row r="290" ht="15" customHeight="1">
      <c r="A290" s="6"/>
      <c r="B290" s="6" t="s">
        <v>3791</v>
      </c>
      <c r="C290" s="6"/>
      <c r="D290" s="6"/>
      <c r="E290" s="6"/>
      <c r="F290" s="6"/>
      <c r="G290" s="6"/>
      <c r="H290" s="6"/>
      <c r="I290" s="6"/>
      <c r="J290" s="6"/>
      <c r="K290" s="6"/>
      <c r="L290" s="6"/>
      <c r="M290" s="6"/>
      <c r="N290" s="6"/>
      <c r="O290" s="6"/>
      <c r="P290" s="6"/>
      <c r="Q290" s="4279"/>
      <c r="R290" s="6"/>
      <c r="S290" s="6"/>
      <c r="T290" s="6"/>
      <c r="U290" s="6"/>
      <c r="V290" s="6"/>
      <c r="W290" s="6"/>
      <c r="X290" s="6"/>
      <c r="Y290" s="1408"/>
      <c r="Z290" s="1408"/>
      <c r="AA290" s="1408"/>
      <c r="AB290" s="1408"/>
      <c r="AC290" s="1408"/>
      <c r="AD290" s="1408"/>
      <c r="AE290" s="1408"/>
      <c r="AF290" s="1408"/>
      <c r="AG290" s="6"/>
      <c r="AH290" s="6"/>
      <c r="AI290" s="6"/>
      <c r="AJ290" s="6"/>
      <c r="AK290" s="6"/>
      <c r="AL290" s="6"/>
    </row>
    <row r="291" ht="15" customHeight="1">
      <c r="A291" s="6"/>
      <c r="B291" s="6" t="s">
        <v>3610</v>
      </c>
      <c r="C291" s="6"/>
      <c r="D291" s="6"/>
      <c r="E291" s="6"/>
      <c r="F291" s="6"/>
      <c r="G291" s="6"/>
      <c r="H291" s="6"/>
      <c r="I291" s="6"/>
      <c r="J291" s="6"/>
      <c r="K291" s="6"/>
      <c r="L291" s="6"/>
      <c r="M291" s="6"/>
      <c r="N291" s="6"/>
      <c r="O291" s="6"/>
      <c r="P291" s="6"/>
      <c r="Q291" s="4279"/>
      <c r="R291" s="6"/>
      <c r="S291" s="6"/>
      <c r="T291" s="6"/>
      <c r="U291" s="6"/>
      <c r="V291" s="6"/>
      <c r="W291" s="6"/>
      <c r="X291" s="6"/>
      <c r="Y291" s="1408"/>
      <c r="Z291" s="1408"/>
      <c r="AA291" s="1408"/>
      <c r="AB291" s="1408"/>
      <c r="AC291" s="1408"/>
      <c r="AD291" s="1408"/>
      <c r="AE291" s="1408"/>
      <c r="AF291" s="1408"/>
      <c r="AG291" s="6"/>
      <c r="AH291" s="6"/>
      <c r="AI291" s="6"/>
      <c r="AJ291" s="6"/>
      <c r="AK291" s="6"/>
      <c r="AL291" s="6"/>
    </row>
    <row r="292" ht="15" customHeight="1">
      <c r="A292" s="6"/>
      <c r="B292" s="6"/>
      <c r="C292" s="6"/>
      <c r="D292" s="6"/>
      <c r="E292" s="6"/>
      <c r="F292" s="6"/>
      <c r="G292" s="6"/>
      <c r="H292" s="6"/>
      <c r="I292" s="6"/>
      <c r="J292" s="6"/>
      <c r="K292" s="6"/>
      <c r="L292" s="6"/>
      <c r="M292" s="6"/>
      <c r="N292" s="6"/>
      <c r="O292" s="6"/>
      <c r="P292" s="6"/>
      <c r="Q292" s="4279"/>
      <c r="R292" s="6"/>
      <c r="S292" s="6"/>
      <c r="T292" s="6"/>
      <c r="U292" s="6"/>
      <c r="V292" s="6"/>
      <c r="W292" s="6"/>
      <c r="X292" s="6"/>
      <c r="Y292" s="1408"/>
      <c r="Z292" s="1408"/>
      <c r="AA292" s="1408"/>
      <c r="AB292" s="1408"/>
      <c r="AC292" s="1408"/>
      <c r="AD292" s="1408"/>
      <c r="AE292" s="1408"/>
      <c r="AF292" s="1408"/>
      <c r="AG292" s="6"/>
      <c r="AH292" s="6"/>
      <c r="AI292" s="6"/>
      <c r="AJ292" s="6"/>
      <c r="AK292" s="6"/>
      <c r="AL292" s="6"/>
    </row>
    <row r="293" ht="15" customHeight="1">
      <c r="A293" s="6"/>
      <c r="B293" s="4526" t="s">
        <v>3792</v>
      </c>
      <c r="C293" s="6"/>
      <c r="D293" s="6"/>
      <c r="E293" s="6"/>
      <c r="F293" s="6"/>
      <c r="G293" s="6"/>
      <c r="H293" s="6"/>
      <c r="I293" s="6"/>
      <c r="J293" s="6"/>
      <c r="K293" s="6"/>
      <c r="L293" s="6"/>
      <c r="M293" s="6"/>
      <c r="N293" s="6"/>
      <c r="O293" s="6"/>
      <c r="P293" s="6"/>
      <c r="Q293" s="4279"/>
      <c r="R293" s="6"/>
      <c r="S293" s="6"/>
      <c r="T293" s="6"/>
      <c r="U293" s="6"/>
      <c r="V293" s="6"/>
      <c r="W293" s="6"/>
      <c r="X293" s="6"/>
      <c r="Y293" s="1408"/>
      <c r="Z293" s="1408"/>
      <c r="AA293" s="1408"/>
      <c r="AB293" s="1408"/>
      <c r="AC293" s="1408"/>
      <c r="AD293" s="1408"/>
      <c r="AE293" s="1408"/>
      <c r="AF293" s="1408"/>
      <c r="AG293" s="6"/>
      <c r="AH293" s="6"/>
      <c r="AI293" s="6"/>
      <c r="AJ293" s="6"/>
      <c r="AK293" s="6"/>
      <c r="AL293" s="6"/>
    </row>
    <row r="294" ht="15" customHeight="1">
      <c r="A294" s="6"/>
      <c r="B294" s="6" t="s">
        <v>269</v>
      </c>
      <c r="C294" s="6"/>
      <c r="D294" s="6"/>
      <c r="E294" s="6"/>
      <c r="F294" s="6"/>
      <c r="G294" s="6"/>
      <c r="H294" s="6"/>
      <c r="I294" s="6"/>
      <c r="J294" s="6"/>
      <c r="K294" s="6"/>
      <c r="L294" s="6"/>
      <c r="M294" s="6"/>
      <c r="N294" s="6"/>
      <c r="O294" s="6"/>
      <c r="P294" s="6"/>
      <c r="Q294" s="4279"/>
      <c r="R294" s="6"/>
      <c r="S294" s="6"/>
      <c r="T294" s="6"/>
      <c r="U294" s="6"/>
      <c r="V294" s="6"/>
      <c r="W294" s="6"/>
      <c r="X294" s="6"/>
      <c r="Y294" s="1408"/>
      <c r="Z294" s="1408"/>
      <c r="AA294" s="1408"/>
      <c r="AB294" s="1408"/>
      <c r="AC294" s="1408"/>
      <c r="AD294" s="1408"/>
      <c r="AE294" s="1408"/>
      <c r="AF294" s="1408"/>
      <c r="AG294" s="6"/>
      <c r="AH294" s="6"/>
      <c r="AI294" s="6"/>
      <c r="AJ294" s="6"/>
      <c r="AK294" s="6"/>
      <c r="AL294" s="6"/>
    </row>
    <row r="295" ht="15" customHeight="1">
      <c r="A295" s="6"/>
      <c r="B295" s="6" t="s">
        <v>451</v>
      </c>
      <c r="C295" s="6"/>
      <c r="D295" s="6"/>
      <c r="E295" s="6"/>
      <c r="F295" s="6"/>
      <c r="G295" s="6"/>
      <c r="H295" s="6"/>
      <c r="I295" s="6"/>
      <c r="J295" s="6"/>
      <c r="K295" s="6"/>
      <c r="L295" s="6"/>
      <c r="M295" s="6"/>
      <c r="N295" s="6"/>
      <c r="O295" s="6"/>
      <c r="P295" s="6"/>
      <c r="Q295" s="4279"/>
      <c r="R295" s="6"/>
      <c r="S295" s="6"/>
      <c r="T295" s="6"/>
      <c r="U295" s="6"/>
      <c r="V295" s="6"/>
      <c r="W295" s="6"/>
      <c r="X295" s="6"/>
      <c r="Y295" s="1408"/>
      <c r="Z295" s="1408"/>
      <c r="AA295" s="1408"/>
      <c r="AB295" s="1408"/>
      <c r="AC295" s="1408"/>
      <c r="AD295" s="1408"/>
      <c r="AE295" s="1408"/>
      <c r="AF295" s="1408"/>
      <c r="AG295" s="6"/>
      <c r="AH295" s="6"/>
      <c r="AI295" s="6"/>
      <c r="AJ295" s="6"/>
      <c r="AK295" s="6"/>
      <c r="AL295" s="6"/>
    </row>
    <row r="296" ht="15" customHeight="1">
      <c r="A296" s="6"/>
      <c r="B296" s="6"/>
      <c r="C296" s="6"/>
      <c r="D296" s="6"/>
      <c r="E296" s="6"/>
      <c r="F296" s="6"/>
      <c r="G296" s="6"/>
      <c r="H296" s="6"/>
      <c r="I296" s="6"/>
      <c r="J296" s="6"/>
      <c r="K296" s="6"/>
      <c r="L296" s="6"/>
      <c r="M296" s="6"/>
      <c r="N296" s="6"/>
      <c r="O296" s="6"/>
      <c r="P296" s="6"/>
      <c r="Q296" s="4279"/>
      <c r="R296" s="6"/>
      <c r="S296" s="6"/>
      <c r="T296" s="6"/>
      <c r="U296" s="6"/>
      <c r="V296" s="6"/>
      <c r="W296" s="6"/>
      <c r="X296" s="6"/>
      <c r="Y296" s="1408"/>
      <c r="Z296" s="1408"/>
      <c r="AA296" s="1408"/>
      <c r="AB296" s="1408"/>
      <c r="AC296" s="1408"/>
      <c r="AD296" s="1408"/>
      <c r="AE296" s="1408"/>
      <c r="AF296" s="1408"/>
      <c r="AG296" s="6"/>
      <c r="AH296" s="6"/>
      <c r="AI296" s="6"/>
      <c r="AJ296" s="6"/>
      <c r="AK296" s="6"/>
      <c r="AL296" s="6"/>
    </row>
    <row r="297" ht="15" customHeight="1">
      <c r="A297" s="6"/>
      <c r="B297" s="4526" t="s">
        <v>3793</v>
      </c>
      <c r="C297" s="6"/>
      <c r="D297" s="6"/>
      <c r="E297" s="6"/>
      <c r="F297" s="6"/>
      <c r="G297" s="6"/>
      <c r="H297" s="6"/>
      <c r="I297" s="6"/>
      <c r="J297" s="6"/>
      <c r="K297" s="6"/>
      <c r="L297" s="6"/>
      <c r="M297" s="6"/>
      <c r="N297" s="6"/>
      <c r="O297" s="6"/>
      <c r="P297" s="6"/>
      <c r="Q297" s="4279"/>
      <c r="R297" s="6"/>
      <c r="S297" s="6"/>
      <c r="T297" s="6"/>
      <c r="U297" s="6"/>
      <c r="V297" s="6"/>
      <c r="W297" s="6"/>
      <c r="X297" s="6"/>
      <c r="Y297" s="1408"/>
      <c r="Z297" s="1408"/>
      <c r="AA297" s="1408"/>
      <c r="AB297" s="1408"/>
      <c r="AC297" s="1408"/>
      <c r="AD297" s="1408"/>
      <c r="AE297" s="1408"/>
      <c r="AF297" s="1408"/>
      <c r="AG297" s="6"/>
      <c r="AH297" s="6"/>
      <c r="AI297" s="6"/>
      <c r="AJ297" s="6"/>
      <c r="AK297" s="6"/>
      <c r="AL297" s="6"/>
    </row>
    <row r="298" ht="15" customHeight="1">
      <c r="A298" s="6"/>
      <c r="B298" s="6" t="s">
        <v>393</v>
      </c>
      <c r="C298" s="6"/>
      <c r="D298" s="6"/>
      <c r="E298" s="6"/>
      <c r="F298" s="6"/>
      <c r="G298" s="6"/>
      <c r="H298" s="6"/>
      <c r="I298" s="6"/>
      <c r="J298" s="6"/>
      <c r="K298" s="6"/>
      <c r="L298" s="6"/>
      <c r="M298" s="6"/>
      <c r="N298" s="6"/>
      <c r="O298" s="6"/>
      <c r="P298" s="6"/>
      <c r="Q298" s="4279"/>
      <c r="R298" s="6"/>
      <c r="S298" s="6"/>
      <c r="T298" s="6"/>
      <c r="U298" s="6"/>
      <c r="V298" s="6"/>
      <c r="W298" s="6"/>
      <c r="X298" s="6"/>
      <c r="Y298" s="1408"/>
      <c r="Z298" s="1408"/>
      <c r="AA298" s="1408"/>
      <c r="AB298" s="1408"/>
      <c r="AC298" s="1408"/>
      <c r="AD298" s="1408"/>
      <c r="AE298" s="1408"/>
      <c r="AF298" s="1408"/>
      <c r="AG298" s="6"/>
      <c r="AH298" s="6"/>
      <c r="AI298" s="6"/>
      <c r="AJ298" s="6"/>
      <c r="AK298" s="6"/>
      <c r="AL298" s="6"/>
    </row>
    <row r="299" ht="15" customHeight="1">
      <c r="A299" s="6"/>
      <c r="B299" s="6" t="s">
        <v>3794</v>
      </c>
      <c r="C299" s="6"/>
      <c r="D299" s="6"/>
      <c r="E299" s="6"/>
      <c r="F299" s="6"/>
      <c r="G299" s="6"/>
      <c r="H299" s="6"/>
      <c r="I299" s="6"/>
      <c r="J299" s="6"/>
      <c r="K299" s="6"/>
      <c r="L299" s="6"/>
      <c r="M299" s="6"/>
      <c r="N299" s="6"/>
      <c r="O299" s="6"/>
      <c r="P299" s="6"/>
      <c r="Q299" s="4279"/>
      <c r="R299" s="6"/>
      <c r="S299" s="6"/>
      <c r="T299" s="6"/>
      <c r="U299" s="6"/>
      <c r="V299" s="6"/>
      <c r="W299" s="6"/>
      <c r="X299" s="6"/>
      <c r="Y299" s="1408"/>
      <c r="Z299" s="1408"/>
      <c r="AA299" s="1408"/>
      <c r="AB299" s="1408"/>
      <c r="AC299" s="1408"/>
      <c r="AD299" s="1408"/>
      <c r="AE299" s="1408"/>
      <c r="AF299" s="1408"/>
      <c r="AG299" s="6"/>
      <c r="AH299" s="6"/>
      <c r="AI299" s="6"/>
      <c r="AJ299" s="6"/>
      <c r="AK299" s="6"/>
      <c r="AL299" s="6"/>
    </row>
    <row r="300" ht="15" customHeight="1">
      <c r="A300" s="6"/>
      <c r="B300" s="6"/>
      <c r="C300" s="6"/>
      <c r="D300" s="6"/>
      <c r="E300" s="6"/>
      <c r="F300" s="6"/>
      <c r="G300" s="6"/>
      <c r="H300" s="6"/>
      <c r="I300" s="6"/>
      <c r="J300" s="6"/>
      <c r="K300" s="6"/>
      <c r="L300" s="6"/>
      <c r="M300" s="6"/>
      <c r="N300" s="6"/>
      <c r="O300" s="6"/>
      <c r="P300" s="6"/>
      <c r="Q300" s="4279"/>
      <c r="R300" s="6"/>
      <c r="S300" s="6"/>
      <c r="T300" s="6"/>
      <c r="U300" s="6"/>
      <c r="V300" s="6"/>
      <c r="W300" s="6"/>
      <c r="X300" s="6"/>
      <c r="Y300" s="1408"/>
      <c r="Z300" s="1408"/>
      <c r="AA300" s="1408"/>
      <c r="AB300" s="1408"/>
      <c r="AC300" s="1408"/>
      <c r="AD300" s="1408"/>
      <c r="AE300" s="1408"/>
      <c r="AF300" s="1408"/>
      <c r="AG300" s="6"/>
      <c r="AH300" s="6"/>
      <c r="AI300" s="6"/>
      <c r="AJ300" s="6"/>
      <c r="AK300" s="6"/>
      <c r="AL300" s="6"/>
    </row>
    <row r="301" ht="15" customHeight="1">
      <c r="A301" s="6"/>
      <c r="B301" s="4526" t="s">
        <v>3795</v>
      </c>
      <c r="C301" s="6"/>
      <c r="D301" s="6"/>
      <c r="E301" s="6"/>
      <c r="F301" s="6"/>
      <c r="G301" s="6"/>
      <c r="H301" s="6"/>
      <c r="I301" s="6"/>
      <c r="J301" s="6"/>
      <c r="K301" s="6"/>
      <c r="L301" s="6"/>
      <c r="M301" s="6"/>
      <c r="N301" s="6"/>
      <c r="O301" s="6"/>
      <c r="P301" s="6"/>
      <c r="Q301" s="4279"/>
      <c r="R301" s="6"/>
      <c r="S301" s="6"/>
      <c r="T301" s="6"/>
      <c r="U301" s="6"/>
      <c r="V301" s="6"/>
      <c r="W301" s="6"/>
      <c r="X301" s="6"/>
      <c r="Y301" s="1408"/>
      <c r="Z301" s="1408"/>
      <c r="AA301" s="1408"/>
      <c r="AB301" s="1408"/>
      <c r="AC301" s="1408"/>
      <c r="AD301" s="1408"/>
      <c r="AE301" s="1408"/>
      <c r="AF301" s="1408"/>
      <c r="AG301" s="6"/>
      <c r="AH301" s="6"/>
      <c r="AI301" s="6"/>
      <c r="AJ301" s="6"/>
      <c r="AK301" s="6"/>
      <c r="AL301" s="6"/>
    </row>
    <row r="302" ht="15" customHeight="1">
      <c r="A302" s="6"/>
      <c r="B302" s="6" t="s">
        <v>269</v>
      </c>
      <c r="C302" s="6"/>
      <c r="D302" s="6"/>
      <c r="E302" s="6"/>
      <c r="F302" s="6"/>
      <c r="G302" s="6"/>
      <c r="H302" s="6"/>
      <c r="I302" s="6"/>
      <c r="J302" s="6"/>
      <c r="K302" s="6"/>
      <c r="L302" s="6"/>
      <c r="M302" s="6"/>
      <c r="N302" s="6"/>
      <c r="O302" s="6"/>
      <c r="P302" s="6"/>
      <c r="Q302" s="6"/>
      <c r="R302" s="6"/>
      <c r="S302" s="6"/>
      <c r="T302" s="6"/>
      <c r="U302" s="6"/>
      <c r="V302" s="6"/>
      <c r="W302" s="6"/>
      <c r="X302" s="6"/>
      <c r="Y302" s="1408"/>
      <c r="Z302" s="1408"/>
      <c r="AA302" s="1408"/>
      <c r="AB302" s="1408"/>
      <c r="AC302" s="1408"/>
      <c r="AD302" s="1408"/>
      <c r="AE302" s="1408"/>
      <c r="AF302" s="1408"/>
      <c r="AG302" s="6"/>
      <c r="AH302" s="6"/>
      <c r="AI302" s="6"/>
      <c r="AJ302" s="6"/>
      <c r="AK302" s="6"/>
      <c r="AL302" s="6"/>
    </row>
    <row r="303" ht="15" customHeight="1">
      <c r="A303" s="6"/>
      <c r="B303" s="6" t="s">
        <v>451</v>
      </c>
      <c r="C303" s="6"/>
      <c r="D303" s="6"/>
      <c r="E303" s="6"/>
      <c r="F303" s="6"/>
      <c r="G303" s="6"/>
      <c r="H303" s="6"/>
      <c r="I303" s="6"/>
      <c r="J303" s="6"/>
      <c r="K303" s="6"/>
      <c r="L303" s="6"/>
      <c r="M303" s="6"/>
      <c r="N303" s="6"/>
      <c r="O303" s="6"/>
      <c r="P303" s="6"/>
      <c r="Q303" s="6"/>
      <c r="R303" s="6"/>
      <c r="S303" s="6"/>
      <c r="T303" s="6"/>
      <c r="U303" s="6"/>
      <c r="V303" s="6"/>
      <c r="W303" s="6"/>
      <c r="X303" s="6"/>
      <c r="Y303" s="1408"/>
      <c r="Z303" s="1408"/>
      <c r="AA303" s="1408"/>
      <c r="AB303" s="1408"/>
      <c r="AC303" s="1408"/>
      <c r="AD303" s="1408"/>
      <c r="AE303" s="1408"/>
      <c r="AF303" s="1408"/>
      <c r="AG303" s="6"/>
      <c r="AH303" s="6"/>
      <c r="AI303" s="6"/>
      <c r="AJ303" s="6"/>
      <c r="AK303" s="6"/>
      <c r="AL303" s="6"/>
    </row>
    <row r="304" ht="1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1408"/>
      <c r="Z304" s="1408"/>
      <c r="AA304" s="1408"/>
      <c r="AB304" s="1408"/>
      <c r="AC304" s="1408"/>
      <c r="AD304" s="1408"/>
      <c r="AE304" s="1408"/>
      <c r="AF304" s="1408"/>
      <c r="AG304" s="6"/>
      <c r="AH304" s="6"/>
      <c r="AI304" s="6"/>
      <c r="AJ304" s="6"/>
      <c r="AK304" s="6"/>
      <c r="AL304" s="6"/>
    </row>
    <row r="305" ht="15" customHeight="1">
      <c r="A305" s="6"/>
      <c r="B305" s="4526" t="s">
        <v>3796</v>
      </c>
      <c r="C305" s="6"/>
      <c r="D305" s="6"/>
      <c r="E305" s="6"/>
      <c r="F305" s="6"/>
      <c r="G305" s="6"/>
      <c r="H305" s="6"/>
      <c r="I305" s="6"/>
      <c r="J305" s="6"/>
      <c r="K305" s="6"/>
      <c r="L305" s="6"/>
      <c r="M305" s="6"/>
      <c r="N305" s="6"/>
      <c r="O305" s="6"/>
      <c r="P305" s="6"/>
      <c r="Q305" s="6"/>
      <c r="R305" s="6"/>
      <c r="S305" s="6"/>
      <c r="T305" s="6"/>
      <c r="U305" s="6"/>
      <c r="V305" s="6"/>
      <c r="W305" s="6"/>
      <c r="X305" s="6"/>
      <c r="Y305" s="1408"/>
      <c r="Z305" s="1408"/>
      <c r="AA305" s="1408"/>
      <c r="AB305" s="1408"/>
      <c r="AC305" s="1408"/>
      <c r="AD305" s="1408"/>
      <c r="AE305" s="1408"/>
      <c r="AF305" s="1408"/>
      <c r="AG305" s="6"/>
      <c r="AH305" s="6"/>
      <c r="AI305" s="6"/>
      <c r="AJ305" s="6"/>
      <c r="AK305" s="6"/>
      <c r="AL305" s="6"/>
    </row>
    <row r="306" ht="15" customHeight="1">
      <c r="A306" s="6"/>
      <c r="B306" s="6" t="s">
        <v>269</v>
      </c>
      <c r="C306" s="6"/>
      <c r="D306" s="6"/>
      <c r="E306" s="6"/>
      <c r="F306" s="6"/>
      <c r="G306" s="6"/>
      <c r="H306" s="6"/>
      <c r="I306" s="6"/>
      <c r="J306" s="6"/>
      <c r="K306" s="6"/>
      <c r="L306" s="6"/>
      <c r="M306" s="6"/>
      <c r="N306" s="6"/>
      <c r="O306" s="6"/>
      <c r="P306" s="6"/>
      <c r="Q306" s="6"/>
      <c r="R306" s="6"/>
      <c r="S306" s="6"/>
      <c r="T306" s="6"/>
      <c r="U306" s="6"/>
      <c r="V306" s="6"/>
      <c r="W306" s="6"/>
      <c r="X306" s="6"/>
      <c r="Y306" s="1408"/>
      <c r="Z306" s="1408"/>
      <c r="AA306" s="1408"/>
      <c r="AB306" s="1408"/>
      <c r="AC306" s="1408"/>
      <c r="AD306" s="1408"/>
      <c r="AE306" s="1408"/>
      <c r="AF306" s="1408"/>
      <c r="AG306" s="6"/>
      <c r="AH306" s="6"/>
      <c r="AI306" s="6"/>
      <c r="AJ306" s="6"/>
      <c r="AK306" s="6"/>
      <c r="AL306" s="6"/>
    </row>
    <row r="307" ht="15" customHeight="1">
      <c r="A307" s="6"/>
      <c r="B307" s="6" t="s">
        <v>451</v>
      </c>
      <c r="C307" s="6"/>
      <c r="D307" s="6"/>
      <c r="E307" s="6"/>
      <c r="F307" s="6"/>
      <c r="G307" s="6"/>
      <c r="H307" s="6"/>
      <c r="I307" s="6"/>
      <c r="J307" s="6"/>
      <c r="K307" s="6"/>
      <c r="L307" s="6"/>
      <c r="M307" s="6"/>
      <c r="N307" s="6"/>
      <c r="O307" s="6"/>
      <c r="P307" s="6"/>
      <c r="Q307" s="6"/>
      <c r="R307" s="6"/>
      <c r="S307" s="6"/>
      <c r="T307" s="6"/>
      <c r="U307" s="6"/>
      <c r="V307" s="6"/>
      <c r="W307" s="6"/>
      <c r="X307" s="6"/>
      <c r="Y307" s="1408"/>
      <c r="Z307" s="1408"/>
      <c r="AA307" s="1408"/>
      <c r="AB307" s="1408"/>
      <c r="AC307" s="1408"/>
      <c r="AD307" s="1408"/>
      <c r="AE307" s="1408"/>
      <c r="AF307" s="1408"/>
      <c r="AG307" s="6"/>
      <c r="AH307" s="6"/>
      <c r="AI307" s="6"/>
      <c r="AJ307" s="6"/>
      <c r="AK307" s="6"/>
      <c r="AL307" s="6"/>
    </row>
    <row r="308" ht="1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1408"/>
      <c r="Z308" s="1408"/>
      <c r="AA308" s="1408"/>
      <c r="AB308" s="1408"/>
      <c r="AC308" s="1408"/>
      <c r="AD308" s="1408"/>
      <c r="AE308" s="1408"/>
      <c r="AF308" s="1408"/>
      <c r="AG308" s="6"/>
      <c r="AH308" s="6"/>
      <c r="AI308" s="6"/>
      <c r="AJ308" s="6"/>
      <c r="AK308" s="6"/>
      <c r="AL308" s="6"/>
    </row>
    <row r="309" ht="15" customHeight="1">
      <c r="A309" s="6"/>
      <c r="B309" s="4526" t="s">
        <v>3797</v>
      </c>
      <c r="C309" s="6"/>
      <c r="D309" s="6"/>
      <c r="E309" s="6"/>
      <c r="F309" s="6"/>
      <c r="G309" s="6"/>
      <c r="H309" s="6"/>
      <c r="I309" s="6"/>
      <c r="J309" s="6"/>
      <c r="K309" s="6"/>
      <c r="L309" s="6"/>
      <c r="M309" s="6"/>
      <c r="N309" s="6"/>
      <c r="O309" s="6"/>
      <c r="P309" s="6"/>
      <c r="Q309" s="6"/>
      <c r="R309" s="6"/>
      <c r="S309" s="6"/>
      <c r="T309" s="6"/>
      <c r="U309" s="6"/>
      <c r="V309" s="6"/>
      <c r="W309" s="6"/>
      <c r="X309" s="6"/>
      <c r="Y309" s="1408"/>
      <c r="Z309" s="1408"/>
      <c r="AA309" s="1408"/>
      <c r="AB309" s="1408"/>
      <c r="AC309" s="1408"/>
      <c r="AD309" s="1408"/>
      <c r="AE309" s="1408"/>
      <c r="AF309" s="1408"/>
      <c r="AG309" s="6"/>
      <c r="AH309" s="6"/>
      <c r="AI309" s="6"/>
      <c r="AJ309" s="6"/>
      <c r="AK309" s="6"/>
      <c r="AL309" s="6"/>
    </row>
    <row r="310" ht="15" customHeight="1">
      <c r="A310" s="6"/>
      <c r="B310" s="6" t="s">
        <v>174</v>
      </c>
      <c r="C310" s="6"/>
      <c r="D310" s="6"/>
      <c r="E310" s="6"/>
      <c r="F310" s="6"/>
      <c r="G310" s="6"/>
      <c r="H310" s="6"/>
      <c r="I310" s="6"/>
      <c r="J310" s="6"/>
      <c r="K310" s="6"/>
      <c r="L310" s="6"/>
      <c r="M310" s="6"/>
      <c r="N310" s="6"/>
      <c r="O310" s="6"/>
      <c r="P310" s="6"/>
      <c r="Q310" s="6"/>
      <c r="R310" s="6"/>
      <c r="S310" s="6"/>
      <c r="T310" s="6"/>
      <c r="U310" s="6"/>
      <c r="V310" s="6"/>
      <c r="W310" s="6"/>
      <c r="X310" s="6"/>
      <c r="Y310" s="1408"/>
      <c r="Z310" s="1408"/>
      <c r="AA310" s="1408"/>
      <c r="AB310" s="1408"/>
      <c r="AC310" s="1408"/>
      <c r="AD310" s="1408"/>
      <c r="AE310" s="1408"/>
      <c r="AF310" s="1408"/>
      <c r="AG310" s="6"/>
      <c r="AH310" s="6"/>
      <c r="AI310" s="6"/>
      <c r="AJ310" s="6"/>
      <c r="AK310" s="6"/>
      <c r="AL310" s="6"/>
    </row>
    <row r="311" ht="15" customHeight="1">
      <c r="A311" s="6"/>
      <c r="B311" s="6" t="s">
        <v>3472</v>
      </c>
      <c r="C311" s="6"/>
      <c r="D311" s="6"/>
      <c r="E311" s="6"/>
      <c r="F311" s="6"/>
      <c r="G311" s="6"/>
      <c r="H311" s="6"/>
      <c r="I311" s="6"/>
      <c r="J311" s="6"/>
      <c r="K311" s="6"/>
      <c r="L311" s="6"/>
      <c r="M311" s="6"/>
      <c r="N311" s="6"/>
      <c r="O311" s="6"/>
      <c r="P311" s="6"/>
      <c r="Q311" s="6"/>
      <c r="R311" s="6"/>
      <c r="S311" s="6"/>
      <c r="T311" s="6"/>
      <c r="U311" s="6"/>
      <c r="V311" s="6"/>
      <c r="W311" s="6"/>
      <c r="X311" s="6"/>
      <c r="Y311" s="1408"/>
      <c r="Z311" s="1408"/>
      <c r="AA311" s="1408"/>
      <c r="AB311" s="1408"/>
      <c r="AC311" s="1408"/>
      <c r="AD311" s="1408"/>
      <c r="AE311" s="1408"/>
      <c r="AF311" s="1408"/>
      <c r="AG311" s="6"/>
      <c r="AH311" s="6"/>
      <c r="AI311" s="6"/>
      <c r="AJ311" s="6"/>
      <c r="AK311" s="6"/>
      <c r="AL311" s="6"/>
    </row>
    <row r="312" ht="15" customHeight="1">
      <c r="A312" s="6"/>
      <c r="B312" s="6" t="s">
        <v>3798</v>
      </c>
      <c r="C312" s="6"/>
      <c r="D312" s="6"/>
      <c r="E312" s="6"/>
      <c r="F312" s="6"/>
      <c r="G312" s="6"/>
      <c r="H312" s="6"/>
      <c r="I312" s="6"/>
      <c r="J312" s="6"/>
      <c r="K312" s="6"/>
      <c r="L312" s="6"/>
      <c r="M312" s="6"/>
      <c r="N312" s="6"/>
      <c r="O312" s="6"/>
      <c r="P312" s="6"/>
      <c r="Q312" s="6"/>
      <c r="R312" s="6"/>
      <c r="S312" s="6"/>
      <c r="T312" s="6"/>
      <c r="U312" s="6"/>
      <c r="V312" s="6"/>
      <c r="W312" s="6"/>
      <c r="X312" s="6"/>
      <c r="Y312" s="1408"/>
      <c r="Z312" s="1408"/>
      <c r="AA312" s="1408"/>
      <c r="AB312" s="1408"/>
      <c r="AC312" s="1408"/>
      <c r="AD312" s="1408"/>
      <c r="AE312" s="1408"/>
      <c r="AF312" s="1408"/>
      <c r="AG312" s="6"/>
      <c r="AH312" s="6"/>
      <c r="AI312" s="6"/>
      <c r="AJ312" s="6"/>
      <c r="AK312" s="6"/>
      <c r="AL312" s="6"/>
    </row>
    <row r="313" ht="1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1408"/>
      <c r="Z313" s="1408"/>
      <c r="AA313" s="1408"/>
      <c r="AB313" s="1408"/>
      <c r="AC313" s="1408"/>
      <c r="AD313" s="1408"/>
      <c r="AE313" s="1408"/>
      <c r="AF313" s="1408"/>
      <c r="AG313" s="6"/>
      <c r="AH313" s="6"/>
      <c r="AI313" s="6"/>
      <c r="AJ313" s="6"/>
      <c r="AK313" s="6"/>
      <c r="AL313" s="6"/>
    </row>
    <row r="314" ht="15" customHeight="1">
      <c r="A314" s="6"/>
      <c r="B314" s="6" t="s">
        <v>3799</v>
      </c>
      <c r="C314" s="6"/>
      <c r="D314" s="6"/>
      <c r="E314" s="6"/>
      <c r="F314" s="6"/>
      <c r="G314" s="6"/>
      <c r="H314" s="6"/>
      <c r="I314" s="6"/>
      <c r="J314" s="6"/>
      <c r="K314" s="6"/>
      <c r="L314" s="6"/>
      <c r="M314" s="6"/>
      <c r="N314" s="6"/>
      <c r="O314" s="6"/>
      <c r="P314" s="6"/>
      <c r="Q314" s="6"/>
      <c r="R314" s="6"/>
      <c r="S314" s="6"/>
      <c r="T314" s="6"/>
      <c r="U314" s="6"/>
      <c r="V314" s="6"/>
      <c r="W314" s="6"/>
      <c r="X314" s="6"/>
      <c r="Y314" s="1408"/>
      <c r="Z314" s="1408"/>
      <c r="AA314" s="1408"/>
      <c r="AB314" s="1408"/>
      <c r="AC314" s="1408"/>
      <c r="AD314" s="1408"/>
      <c r="AE314" s="1408"/>
      <c r="AF314" s="1408"/>
      <c r="AG314" s="6"/>
      <c r="AH314" s="6"/>
      <c r="AI314" s="6"/>
      <c r="AJ314" s="6"/>
      <c r="AK314" s="6"/>
      <c r="AL314" s="6"/>
    </row>
    <row r="315" ht="15" customHeight="1">
      <c r="A315" s="6"/>
      <c r="B315" s="6" t="s">
        <v>3800</v>
      </c>
      <c r="C315" s="6"/>
      <c r="D315" s="6"/>
      <c r="E315" s="6"/>
      <c r="F315" s="6"/>
      <c r="G315" s="6"/>
      <c r="H315" s="6"/>
      <c r="I315" s="6"/>
      <c r="J315" s="6"/>
      <c r="K315" s="6"/>
      <c r="L315" s="6"/>
      <c r="M315" s="6"/>
      <c r="N315" s="6"/>
      <c r="O315" s="6"/>
      <c r="P315" s="6"/>
      <c r="Q315" s="6"/>
      <c r="R315" s="6"/>
      <c r="S315" s="6"/>
      <c r="T315" s="6"/>
      <c r="U315" s="6"/>
      <c r="V315" s="6"/>
      <c r="W315" s="6"/>
      <c r="X315" s="6"/>
      <c r="Y315" s="1408"/>
      <c r="Z315" s="1408"/>
      <c r="AA315" s="1408"/>
      <c r="AB315" s="1408"/>
      <c r="AC315" s="1408"/>
      <c r="AD315" s="1408"/>
      <c r="AE315" s="1408"/>
      <c r="AF315" s="1408"/>
      <c r="AG315" s="6"/>
      <c r="AH315" s="6"/>
      <c r="AI315" s="6"/>
      <c r="AJ315" s="6"/>
      <c r="AK315" s="6"/>
      <c r="AL315" s="6"/>
    </row>
    <row r="316" ht="1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1408"/>
      <c r="Z316" s="1408"/>
      <c r="AA316" s="1408"/>
      <c r="AB316" s="1408"/>
      <c r="AC316" s="1408"/>
      <c r="AD316" s="1408"/>
      <c r="AE316" s="1408"/>
      <c r="AF316" s="1408"/>
      <c r="AG316" s="6"/>
      <c r="AH316" s="6"/>
      <c r="AI316" s="6"/>
      <c r="AJ316" s="6"/>
      <c r="AK316" s="6"/>
      <c r="AL316" s="6"/>
    </row>
    <row r="317" ht="1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1408"/>
      <c r="Z317" s="1408"/>
      <c r="AA317" s="1408"/>
      <c r="AB317" s="1408"/>
      <c r="AC317" s="1408"/>
      <c r="AD317" s="1408"/>
      <c r="AE317" s="1408"/>
      <c r="AF317" s="1408"/>
      <c r="AG317" s="6"/>
      <c r="AH317" s="6"/>
      <c r="AI317" s="6"/>
      <c r="AJ317" s="6"/>
      <c r="AK317" s="6"/>
      <c r="AL317" s="6"/>
    </row>
    <row r="318" ht="15" customHeight="1">
      <c r="A318" s="6"/>
      <c r="B318" s="4526" t="s">
        <v>2389</v>
      </c>
      <c r="C318" s="6"/>
      <c r="D318" s="6"/>
      <c r="E318" s="6"/>
      <c r="F318" s="6"/>
      <c r="G318" s="6"/>
      <c r="H318" s="6"/>
      <c r="I318" s="6"/>
      <c r="J318" s="6"/>
      <c r="K318" s="6"/>
      <c r="L318" s="6"/>
      <c r="M318" s="6"/>
      <c r="N318" s="6"/>
      <c r="O318" s="6"/>
      <c r="P318" s="6"/>
      <c r="Q318" s="6"/>
      <c r="R318" s="6"/>
      <c r="S318" s="6"/>
      <c r="T318" s="6"/>
      <c r="U318" s="6"/>
      <c r="V318" s="6"/>
      <c r="W318" s="6"/>
      <c r="X318" s="6"/>
      <c r="Y318" s="1408"/>
      <c r="Z318" s="1408"/>
      <c r="AA318" s="1408"/>
      <c r="AB318" s="1408"/>
      <c r="AC318" s="1408"/>
      <c r="AD318" s="1408"/>
      <c r="AE318" s="1408"/>
      <c r="AF318" s="1408"/>
      <c r="AG318" s="6"/>
      <c r="AH318" s="6"/>
      <c r="AI318" s="6"/>
      <c r="AJ318" s="6"/>
      <c r="AK318" s="6"/>
      <c r="AL318" s="6"/>
    </row>
    <row r="319" ht="15" customHeight="1">
      <c r="A319" s="6"/>
      <c r="B319" s="6" t="s">
        <v>3801</v>
      </c>
      <c r="C319" s="6"/>
      <c r="D319" s="6"/>
      <c r="E319" s="6"/>
      <c r="F319" s="6"/>
      <c r="G319" s="6"/>
      <c r="H319" s="6"/>
      <c r="I319" s="6"/>
      <c r="J319" s="6"/>
      <c r="K319" s="6"/>
      <c r="L319" s="6"/>
      <c r="M319" s="6"/>
      <c r="N319" s="6"/>
      <c r="O319" s="6"/>
      <c r="P319" s="6"/>
      <c r="Q319" s="6"/>
      <c r="R319" s="6"/>
      <c r="S319" s="6"/>
      <c r="T319" s="6"/>
      <c r="U319" s="6"/>
      <c r="V319" s="6"/>
      <c r="W319" s="6"/>
      <c r="X319" s="6"/>
      <c r="Y319" s="1408"/>
      <c r="Z319" s="1408"/>
      <c r="AA319" s="1408"/>
      <c r="AB319" s="1408"/>
      <c r="AC319" s="1408"/>
      <c r="AD319" s="1408"/>
      <c r="AE319" s="1408"/>
      <c r="AF319" s="1408"/>
      <c r="AG319" s="6"/>
      <c r="AH319" s="6"/>
      <c r="AI319" s="6"/>
      <c r="AJ319" s="6"/>
      <c r="AK319" s="6"/>
      <c r="AL319" s="6"/>
    </row>
    <row r="320" ht="15" customHeight="1">
      <c r="A320" s="6"/>
      <c r="B320" s="6" t="s">
        <v>3802</v>
      </c>
      <c r="C320" s="6"/>
      <c r="D320" s="6"/>
      <c r="E320" s="6"/>
      <c r="F320" s="6"/>
      <c r="G320" s="6"/>
      <c r="H320" s="6"/>
      <c r="I320" s="6"/>
      <c r="J320" s="6"/>
      <c r="K320" s="6"/>
      <c r="L320" s="6"/>
      <c r="M320" s="6"/>
      <c r="N320" s="6"/>
      <c r="O320" s="6"/>
      <c r="P320" s="6"/>
      <c r="Q320" s="6"/>
      <c r="R320" s="6"/>
      <c r="S320" s="6"/>
      <c r="T320" s="6"/>
      <c r="U320" s="6"/>
      <c r="V320" s="6"/>
      <c r="W320" s="6"/>
      <c r="X320" s="6"/>
      <c r="Y320" s="1408"/>
      <c r="Z320" s="1408"/>
      <c r="AA320" s="1408"/>
      <c r="AB320" s="1408"/>
      <c r="AC320" s="1408"/>
      <c r="AD320" s="1408"/>
      <c r="AE320" s="1408"/>
      <c r="AF320" s="1408"/>
      <c r="AG320" s="6"/>
      <c r="AH320" s="6"/>
      <c r="AI320" s="6"/>
      <c r="AJ320" s="6"/>
      <c r="AK320" s="6"/>
      <c r="AL320" s="6"/>
    </row>
    <row r="321" ht="15" customHeight="1">
      <c r="A321" s="6"/>
      <c r="B321" s="6" t="s">
        <v>3803</v>
      </c>
      <c r="C321" s="6"/>
      <c r="D321" s="6"/>
      <c r="E321" s="6"/>
      <c r="F321" s="6"/>
      <c r="G321" s="6"/>
      <c r="H321" s="6"/>
      <c r="I321" s="6"/>
      <c r="J321" s="6"/>
      <c r="K321" s="6"/>
      <c r="L321" s="6"/>
      <c r="M321" s="6"/>
      <c r="N321" s="6"/>
      <c r="O321" s="6"/>
      <c r="P321" s="6"/>
      <c r="Q321" s="6"/>
      <c r="R321" s="6"/>
      <c r="S321" s="6"/>
      <c r="T321" s="6"/>
      <c r="U321" s="6"/>
      <c r="V321" s="6"/>
      <c r="W321" s="6"/>
      <c r="X321" s="6"/>
      <c r="Y321" s="1408"/>
      <c r="Z321" s="1408"/>
      <c r="AA321" s="1408"/>
      <c r="AB321" s="1408"/>
      <c r="AC321" s="1408"/>
      <c r="AD321" s="1408"/>
      <c r="AE321" s="1408"/>
      <c r="AF321" s="1408"/>
      <c r="AG321" s="6"/>
      <c r="AH321" s="6"/>
      <c r="AI321" s="6"/>
      <c r="AJ321" s="6"/>
      <c r="AK321" s="6"/>
      <c r="AL321" s="6"/>
    </row>
    <row r="322" ht="15" customHeight="1">
      <c r="A322" s="6"/>
      <c r="B322" s="6" t="s">
        <v>3804</v>
      </c>
      <c r="C322" s="6"/>
      <c r="D322" s="6"/>
      <c r="E322" s="6"/>
      <c r="F322" s="6"/>
      <c r="G322" s="6"/>
      <c r="H322" s="6"/>
      <c r="I322" s="6"/>
      <c r="J322" s="6"/>
      <c r="K322" s="6"/>
      <c r="L322" s="6"/>
      <c r="M322" s="6"/>
      <c r="N322" s="6"/>
      <c r="O322" s="6"/>
      <c r="P322" s="6"/>
      <c r="Q322" s="6"/>
      <c r="R322" s="6"/>
      <c r="S322" s="6"/>
      <c r="T322" s="6"/>
      <c r="U322" s="6"/>
      <c r="V322" s="6"/>
      <c r="W322" s="6"/>
      <c r="X322" s="6"/>
      <c r="Y322" s="1408"/>
      <c r="Z322" s="1408"/>
      <c r="AA322" s="1408"/>
      <c r="AB322" s="1408"/>
      <c r="AC322" s="1408"/>
      <c r="AD322" s="1408"/>
      <c r="AE322" s="1408"/>
      <c r="AF322" s="1408"/>
      <c r="AG322" s="6"/>
      <c r="AH322" s="6"/>
      <c r="AI322" s="6"/>
      <c r="AJ322" s="6"/>
      <c r="AK322" s="6"/>
      <c r="AL322" s="6"/>
    </row>
    <row r="323" ht="15" customHeight="1">
      <c r="A323" s="6"/>
      <c r="B323" s="6" t="s">
        <v>3805</v>
      </c>
      <c r="C323" s="6"/>
      <c r="D323" s="6"/>
      <c r="E323" s="6"/>
      <c r="F323" s="6"/>
      <c r="G323" s="6"/>
      <c r="H323" s="6"/>
      <c r="I323" s="6"/>
      <c r="J323" s="6"/>
      <c r="K323" s="6"/>
      <c r="L323" s="6"/>
      <c r="M323" s="6"/>
      <c r="N323" s="6"/>
      <c r="O323" s="6"/>
      <c r="P323" s="6"/>
      <c r="Q323" s="6"/>
      <c r="R323" s="6"/>
      <c r="S323" s="6"/>
      <c r="T323" s="6"/>
      <c r="U323" s="6"/>
      <c r="V323" s="6"/>
      <c r="W323" s="6"/>
      <c r="X323" s="6"/>
      <c r="Y323" s="1408"/>
      <c r="Z323" s="1408"/>
      <c r="AA323" s="1408"/>
      <c r="AB323" s="1408"/>
      <c r="AC323" s="1408"/>
      <c r="AD323" s="1408"/>
      <c r="AE323" s="1408"/>
      <c r="AF323" s="1408"/>
      <c r="AG323" s="6"/>
      <c r="AH323" s="6"/>
      <c r="AI323" s="6"/>
      <c r="AJ323" s="6"/>
      <c r="AK323" s="6"/>
      <c r="AL323" s="6"/>
    </row>
    <row r="324" ht="1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1408"/>
      <c r="Z324" s="1408"/>
      <c r="AA324" s="1408"/>
      <c r="AB324" s="1408"/>
      <c r="AC324" s="1408"/>
      <c r="AD324" s="1408"/>
      <c r="AE324" s="1408"/>
      <c r="AF324" s="1408"/>
      <c r="AG324" s="6"/>
      <c r="AH324" s="6"/>
      <c r="AI324" s="6"/>
      <c r="AJ324" s="6"/>
      <c r="AK324" s="6"/>
      <c r="AL324" s="6"/>
    </row>
    <row r="325" ht="15" customHeight="1">
      <c r="A325" s="6"/>
      <c r="B325" s="4526" t="s">
        <v>392</v>
      </c>
      <c r="C325" s="6"/>
      <c r="D325" s="6"/>
      <c r="E325" s="6"/>
      <c r="F325" s="6"/>
      <c r="G325" s="6"/>
      <c r="H325" s="6"/>
      <c r="I325" s="6"/>
      <c r="J325" s="6"/>
      <c r="K325" s="6"/>
      <c r="L325" s="6"/>
      <c r="M325" s="6"/>
      <c r="N325" s="6"/>
      <c r="O325" s="6"/>
      <c r="P325" s="6"/>
      <c r="Q325" s="6"/>
      <c r="R325" s="6"/>
      <c r="S325" s="6"/>
      <c r="T325" s="6"/>
      <c r="U325" s="6"/>
      <c r="V325" s="6"/>
      <c r="W325" s="6"/>
      <c r="X325" s="6"/>
      <c r="Y325" s="1408"/>
      <c r="Z325" s="1408"/>
      <c r="AA325" s="1408"/>
      <c r="AB325" s="1408"/>
      <c r="AC325" s="1408"/>
      <c r="AD325" s="1408"/>
      <c r="AE325" s="1408"/>
      <c r="AF325" s="1408"/>
      <c r="AG325" s="6"/>
      <c r="AH325" s="6"/>
      <c r="AI325" s="6"/>
      <c r="AJ325" s="6"/>
      <c r="AK325" s="6"/>
      <c r="AL325" s="6"/>
    </row>
    <row r="326" ht="15" customHeight="1">
      <c r="A326" s="6"/>
      <c r="B326" s="6" t="s">
        <v>393</v>
      </c>
      <c r="C326" s="6"/>
      <c r="D326" s="6"/>
      <c r="E326" s="6"/>
      <c r="F326" s="6"/>
      <c r="G326" s="6"/>
      <c r="H326" s="6"/>
      <c r="I326" s="6"/>
      <c r="J326" s="6"/>
      <c r="K326" s="6"/>
      <c r="L326" s="6"/>
      <c r="M326" s="6"/>
      <c r="N326" s="6"/>
      <c r="O326" s="6"/>
      <c r="P326" s="6"/>
      <c r="Q326" s="6"/>
      <c r="R326" s="6"/>
      <c r="S326" s="6"/>
      <c r="T326" s="6"/>
      <c r="U326" s="6"/>
      <c r="V326" s="6"/>
      <c r="W326" s="6"/>
      <c r="X326" s="6"/>
      <c r="Y326" s="1408"/>
      <c r="Z326" s="1408"/>
      <c r="AA326" s="1408"/>
      <c r="AB326" s="1408"/>
      <c r="AC326" s="1408"/>
      <c r="AD326" s="1408"/>
      <c r="AE326" s="1408"/>
      <c r="AF326" s="1408"/>
      <c r="AG326" s="6"/>
      <c r="AH326" s="6"/>
      <c r="AI326" s="6"/>
      <c r="AJ326" s="6"/>
      <c r="AK326" s="6"/>
      <c r="AL326" s="6"/>
    </row>
    <row r="327" ht="15" customHeight="1">
      <c r="A327" s="6"/>
      <c r="B327" s="6" t="s">
        <v>3806</v>
      </c>
      <c r="C327" s="6"/>
      <c r="D327" s="6"/>
      <c r="E327" s="6"/>
      <c r="F327" s="6"/>
      <c r="G327" s="6"/>
      <c r="H327" s="6"/>
      <c r="I327" s="6"/>
      <c r="J327" s="6"/>
      <c r="K327" s="6"/>
      <c r="L327" s="6"/>
      <c r="M327" s="6"/>
      <c r="N327" s="6"/>
      <c r="O327" s="6"/>
      <c r="P327" s="6"/>
      <c r="Q327" s="6"/>
      <c r="R327" s="6"/>
      <c r="S327" s="6"/>
      <c r="T327" s="6"/>
      <c r="U327" s="6"/>
      <c r="V327" s="6"/>
      <c r="W327" s="6"/>
      <c r="X327" s="6"/>
      <c r="Y327" s="1408"/>
      <c r="Z327" s="1408"/>
      <c r="AA327" s="1408"/>
      <c r="AB327" s="1408"/>
      <c r="AC327" s="1408"/>
      <c r="AD327" s="1408"/>
      <c r="AE327" s="1408"/>
      <c r="AF327" s="1408"/>
      <c r="AG327" s="6"/>
      <c r="AH327" s="6"/>
      <c r="AI327" s="6"/>
      <c r="AJ327" s="6"/>
      <c r="AK327" s="6"/>
      <c r="AL327" s="6"/>
    </row>
    <row r="328" ht="15" customHeight="1">
      <c r="A328" s="6"/>
      <c r="B328" s="6" t="s">
        <v>3807</v>
      </c>
      <c r="C328" s="6"/>
      <c r="D328" s="6"/>
      <c r="E328" s="6"/>
      <c r="F328" s="6"/>
      <c r="G328" s="6"/>
      <c r="H328" s="6"/>
      <c r="I328" s="6"/>
      <c r="J328" s="6"/>
      <c r="K328" s="6"/>
      <c r="L328" s="6"/>
      <c r="M328" s="6"/>
      <c r="N328" s="6"/>
      <c r="O328" s="6"/>
      <c r="P328" s="6"/>
      <c r="Q328" s="6"/>
      <c r="R328" s="6"/>
      <c r="S328" s="6"/>
      <c r="T328" s="6"/>
      <c r="U328" s="6"/>
      <c r="V328" s="6"/>
      <c r="W328" s="6"/>
      <c r="X328" s="6"/>
      <c r="Y328" s="1408"/>
      <c r="Z328" s="1408"/>
      <c r="AA328" s="1408"/>
      <c r="AB328" s="1408"/>
      <c r="AC328" s="1408"/>
      <c r="AD328" s="1408"/>
      <c r="AE328" s="1408"/>
      <c r="AF328" s="1408"/>
      <c r="AG328" s="6"/>
      <c r="AH328" s="6"/>
      <c r="AI328" s="6"/>
      <c r="AJ328" s="6"/>
      <c r="AK328" s="6"/>
      <c r="AL328" s="6"/>
    </row>
    <row r="329" ht="1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1408"/>
      <c r="Z329" s="1408"/>
      <c r="AA329" s="1408"/>
      <c r="AB329" s="1408"/>
      <c r="AC329" s="1408"/>
      <c r="AD329" s="1408"/>
      <c r="AE329" s="1408"/>
      <c r="AF329" s="1408"/>
      <c r="AG329" s="6"/>
      <c r="AH329" s="6"/>
      <c r="AI329" s="6"/>
      <c r="AJ329" s="6"/>
      <c r="AK329" s="6"/>
      <c r="AL329" s="6"/>
    </row>
    <row r="330" ht="1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1408"/>
      <c r="Z330" s="1408"/>
      <c r="AA330" s="1408"/>
      <c r="AB330" s="1408"/>
      <c r="AC330" s="1408"/>
      <c r="AD330" s="1408"/>
      <c r="AE330" s="1408"/>
      <c r="AF330" s="1408"/>
      <c r="AG330" s="6"/>
      <c r="AH330" s="6"/>
      <c r="AI330" s="6"/>
      <c r="AJ330" s="6"/>
      <c r="AK330" s="6"/>
      <c r="AL330" s="6"/>
    </row>
    <row r="331" ht="15" customHeight="1">
      <c r="A331" s="6"/>
      <c r="B331" s="4526" t="s">
        <v>3808</v>
      </c>
      <c r="C331" s="6"/>
      <c r="D331" s="6"/>
      <c r="E331" s="6"/>
      <c r="F331" s="6"/>
      <c r="G331" s="6"/>
      <c r="H331" s="6"/>
      <c r="I331" s="6"/>
      <c r="J331" s="6"/>
      <c r="K331" s="6"/>
      <c r="L331" s="6"/>
      <c r="M331" s="6"/>
      <c r="N331" s="6"/>
      <c r="O331" s="6"/>
      <c r="P331" s="6"/>
      <c r="Q331" s="6"/>
      <c r="R331" s="6"/>
      <c r="S331" s="6"/>
      <c r="T331" s="6"/>
      <c r="U331" s="6"/>
      <c r="V331" s="6"/>
      <c r="W331" s="6"/>
      <c r="X331" s="6"/>
      <c r="Y331" s="1408"/>
      <c r="Z331" s="1408"/>
      <c r="AA331" s="1408"/>
      <c r="AB331" s="1408"/>
      <c r="AC331" s="1408"/>
      <c r="AD331" s="1408"/>
      <c r="AE331" s="1408"/>
      <c r="AF331" s="1408"/>
      <c r="AG331" s="6"/>
      <c r="AH331" s="6"/>
      <c r="AI331" s="6"/>
      <c r="AJ331" s="6"/>
      <c r="AK331" s="6"/>
      <c r="AL331" s="6"/>
    </row>
    <row r="332" ht="1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1408"/>
      <c r="Z332" s="1408"/>
      <c r="AA332" s="1408"/>
      <c r="AB332" s="1408"/>
      <c r="AC332" s="1408"/>
      <c r="AD332" s="1408"/>
      <c r="AE332" s="1408"/>
      <c r="AF332" s="1408"/>
      <c r="AG332" s="6"/>
      <c r="AH332" s="6"/>
      <c r="AI332" s="6"/>
      <c r="AJ332" s="6"/>
      <c r="AK332" s="6"/>
      <c r="AL332" s="6"/>
    </row>
    <row r="333" ht="15" customHeight="1">
      <c r="A333" s="6"/>
      <c r="B333" s="6" t="s">
        <v>3809</v>
      </c>
      <c r="C333" s="6"/>
      <c r="D333" s="6"/>
      <c r="E333" s="6" t="s">
        <v>3810</v>
      </c>
      <c r="F333" s="6"/>
      <c r="G333" s="6"/>
      <c r="H333" s="6"/>
      <c r="I333" s="6"/>
      <c r="J333" s="6"/>
      <c r="K333" s="6"/>
      <c r="L333" s="6"/>
      <c r="M333" s="6"/>
      <c r="N333" s="6"/>
      <c r="O333" s="6"/>
      <c r="P333" s="6"/>
      <c r="Q333" s="6"/>
      <c r="R333" s="6"/>
      <c r="S333" s="6"/>
      <c r="T333" s="6"/>
      <c r="U333" s="6"/>
      <c r="V333" s="6"/>
      <c r="W333" s="6"/>
      <c r="X333" s="6"/>
      <c r="Y333" s="1408"/>
      <c r="Z333" s="1408"/>
      <c r="AA333" s="1408"/>
      <c r="AB333" s="1408"/>
      <c r="AC333" s="1408"/>
      <c r="AD333" s="1408"/>
      <c r="AE333" s="1408"/>
      <c r="AF333" s="1408"/>
      <c r="AG333" s="6"/>
      <c r="AH333" s="6"/>
      <c r="AI333" s="6"/>
      <c r="AJ333" s="6"/>
      <c r="AK333" s="6"/>
      <c r="AL333" s="6"/>
    </row>
    <row r="334" ht="15" customHeight="1">
      <c r="A334" s="6"/>
      <c r="B334" s="6" t="s">
        <v>3811</v>
      </c>
      <c r="C334" s="6"/>
      <c r="D334" s="6"/>
      <c r="E334" s="6" t="s">
        <v>3812</v>
      </c>
      <c r="F334" s="6"/>
      <c r="G334" s="6"/>
      <c r="H334" s="6"/>
      <c r="I334" s="6"/>
      <c r="J334" s="6"/>
      <c r="K334" s="6"/>
      <c r="L334" s="6"/>
      <c r="M334" s="6"/>
      <c r="N334" s="6"/>
      <c r="O334" s="6"/>
      <c r="P334" s="6"/>
      <c r="Q334" s="6"/>
      <c r="R334" s="6"/>
      <c r="S334" s="6"/>
      <c r="T334" s="6"/>
      <c r="U334" s="6"/>
      <c r="V334" s="6"/>
      <c r="W334" s="6"/>
      <c r="X334" s="6"/>
      <c r="Y334" s="1408"/>
      <c r="Z334" s="1408"/>
      <c r="AA334" s="1408"/>
      <c r="AB334" s="1408"/>
      <c r="AC334" s="1408"/>
      <c r="AD334" s="1408"/>
      <c r="AE334" s="1408"/>
      <c r="AF334" s="1408"/>
      <c r="AG334" s="6"/>
      <c r="AH334" s="6"/>
      <c r="AI334" s="6"/>
      <c r="AJ334" s="6"/>
      <c r="AK334" s="6"/>
      <c r="AL334" s="6"/>
    </row>
    <row r="335" ht="15" customHeight="1">
      <c r="A335" s="6"/>
      <c r="B335" s="6" t="s">
        <v>3813</v>
      </c>
      <c r="C335" s="6"/>
      <c r="D335" s="6"/>
      <c r="E335" s="6" t="s">
        <v>3814</v>
      </c>
      <c r="F335" s="6"/>
      <c r="G335" s="6"/>
      <c r="H335" s="6"/>
      <c r="I335" s="6"/>
      <c r="J335" s="6"/>
      <c r="K335" s="6"/>
      <c r="L335" s="6"/>
      <c r="M335" s="6"/>
      <c r="N335" s="6"/>
      <c r="O335" s="6"/>
      <c r="P335" s="6"/>
      <c r="Q335" s="6"/>
      <c r="R335" s="6"/>
      <c r="S335" s="6"/>
      <c r="T335" s="6"/>
      <c r="U335" s="6"/>
      <c r="V335" s="6"/>
      <c r="W335" s="6"/>
      <c r="X335" s="6"/>
      <c r="Y335" s="1408"/>
      <c r="Z335" s="1408"/>
      <c r="AA335" s="1408"/>
      <c r="AB335" s="1408"/>
      <c r="AC335" s="1408"/>
      <c r="AD335" s="1408"/>
      <c r="AE335" s="1408"/>
      <c r="AF335" s="1408"/>
      <c r="AG335" s="6"/>
      <c r="AH335" s="6"/>
      <c r="AI335" s="6"/>
      <c r="AJ335" s="6"/>
      <c r="AK335" s="6"/>
      <c r="AL335" s="6"/>
    </row>
    <row r="336" ht="15" customHeight="1">
      <c r="A336" s="6"/>
      <c r="B336" s="6" t="s">
        <v>3815</v>
      </c>
      <c r="C336" s="6"/>
      <c r="D336" s="6"/>
      <c r="E336" s="6" t="s">
        <v>3816</v>
      </c>
      <c r="F336" s="6"/>
      <c r="G336" s="6"/>
      <c r="H336" s="6"/>
      <c r="I336" s="6"/>
      <c r="J336" s="6"/>
      <c r="K336" s="6"/>
      <c r="L336" s="6"/>
      <c r="M336" s="6"/>
      <c r="N336" s="6"/>
      <c r="O336" s="6"/>
      <c r="P336" s="6"/>
      <c r="Q336" s="6"/>
      <c r="R336" s="6"/>
      <c r="S336" s="6"/>
      <c r="T336" s="6"/>
      <c r="U336" s="6"/>
      <c r="V336" s="6"/>
      <c r="W336" s="6"/>
      <c r="X336" s="6"/>
      <c r="Y336" s="1408"/>
      <c r="Z336" s="1408"/>
      <c r="AA336" s="1408"/>
      <c r="AB336" s="1408"/>
      <c r="AC336" s="1408"/>
      <c r="AD336" s="1408"/>
      <c r="AE336" s="1408"/>
      <c r="AF336" s="1408"/>
      <c r="AG336" s="6"/>
      <c r="AH336" s="6"/>
      <c r="AI336" s="6"/>
      <c r="AJ336" s="6"/>
      <c r="AK336" s="6"/>
      <c r="AL336" s="6"/>
    </row>
    <row r="337" ht="15" customHeight="1">
      <c r="A337" s="6"/>
      <c r="B337" s="6" t="s">
        <v>3817</v>
      </c>
      <c r="C337" s="6"/>
      <c r="D337" s="6"/>
      <c r="E337" s="6" t="s">
        <v>3818</v>
      </c>
      <c r="F337" s="6"/>
      <c r="G337" s="6"/>
      <c r="H337" s="6"/>
      <c r="I337" s="6"/>
      <c r="J337" s="6"/>
      <c r="K337" s="6"/>
      <c r="L337" s="6"/>
      <c r="M337" s="6"/>
      <c r="N337" s="6"/>
      <c r="O337" s="6"/>
      <c r="P337" s="6"/>
      <c r="Q337" s="6"/>
      <c r="R337" s="6"/>
      <c r="S337" s="6"/>
      <c r="T337" s="6"/>
      <c r="U337" s="6"/>
      <c r="V337" s="6"/>
      <c r="W337" s="6"/>
      <c r="X337" s="6"/>
      <c r="Y337" s="1408"/>
      <c r="Z337" s="1408"/>
      <c r="AA337" s="1408"/>
      <c r="AB337" s="1408"/>
      <c r="AC337" s="1408"/>
      <c r="AD337" s="1408"/>
      <c r="AE337" s="1408"/>
      <c r="AF337" s="1408"/>
      <c r="AG337" s="6"/>
      <c r="AH337" s="6"/>
      <c r="AI337" s="6"/>
      <c r="AJ337" s="6"/>
      <c r="AK337" s="6"/>
      <c r="AL337" s="6"/>
    </row>
    <row r="338" ht="15" customHeight="1">
      <c r="A338" s="6"/>
      <c r="B338" s="6" t="s">
        <v>3819</v>
      </c>
      <c r="C338" s="6"/>
      <c r="D338" s="6"/>
      <c r="E338" s="6" t="s">
        <v>3820</v>
      </c>
      <c r="F338" s="6"/>
      <c r="G338" s="6"/>
      <c r="H338" s="6"/>
      <c r="I338" s="6"/>
      <c r="J338" s="6"/>
      <c r="K338" s="6"/>
      <c r="L338" s="6"/>
      <c r="M338" s="6"/>
      <c r="N338" s="6"/>
      <c r="O338" s="6"/>
      <c r="P338" s="6"/>
      <c r="Q338" s="6"/>
      <c r="R338" s="6"/>
      <c r="S338" s="6"/>
      <c r="T338" s="6"/>
      <c r="U338" s="6"/>
      <c r="V338" s="6"/>
      <c r="W338" s="6"/>
      <c r="X338" s="6"/>
      <c r="Y338" s="1408"/>
      <c r="Z338" s="1408"/>
      <c r="AA338" s="1408"/>
      <c r="AB338" s="1408"/>
      <c r="AC338" s="1408"/>
      <c r="AD338" s="1408"/>
      <c r="AE338" s="1408"/>
      <c r="AF338" s="1408"/>
      <c r="AG338" s="6"/>
      <c r="AH338" s="6"/>
      <c r="AI338" s="6"/>
      <c r="AJ338" s="6"/>
      <c r="AK338" s="6"/>
      <c r="AL338" s="6"/>
    </row>
    <row r="339" ht="15" customHeight="1">
      <c r="A339" s="6"/>
      <c r="B339" s="6" t="s">
        <v>3821</v>
      </c>
      <c r="C339" s="6"/>
      <c r="D339" s="6"/>
      <c r="E339" s="6" t="s">
        <v>3822</v>
      </c>
      <c r="F339" s="6"/>
      <c r="G339" s="6"/>
      <c r="H339" s="6"/>
      <c r="I339" s="6"/>
      <c r="J339" s="6"/>
      <c r="K339" s="6"/>
      <c r="L339" s="6"/>
      <c r="M339" s="6"/>
      <c r="N339" s="6"/>
      <c r="O339" s="6"/>
      <c r="P339" s="6"/>
      <c r="Q339" s="6"/>
      <c r="R339" s="6"/>
      <c r="S339" s="6"/>
      <c r="T339" s="6"/>
      <c r="U339" s="6"/>
      <c r="V339" s="6"/>
      <c r="W339" s="6"/>
      <c r="X339" s="6"/>
      <c r="Y339" s="1408"/>
      <c r="Z339" s="1408"/>
      <c r="AA339" s="1408"/>
      <c r="AB339" s="1408"/>
      <c r="AC339" s="1408"/>
      <c r="AD339" s="1408"/>
      <c r="AE339" s="1408"/>
      <c r="AF339" s="1408"/>
      <c r="AG339" s="6"/>
      <c r="AH339" s="6"/>
      <c r="AI339" s="6"/>
      <c r="AJ339" s="6"/>
      <c r="AK339" s="6"/>
      <c r="AL339" s="6"/>
    </row>
    <row r="340" ht="15" customHeight="1">
      <c r="A340" s="6"/>
      <c r="B340" s="6" t="s">
        <v>3823</v>
      </c>
      <c r="C340" s="6"/>
      <c r="D340" s="6"/>
      <c r="E340" s="6" t="s">
        <v>3824</v>
      </c>
      <c r="F340" s="6"/>
      <c r="G340" s="6"/>
      <c r="H340" s="6"/>
      <c r="I340" s="6"/>
      <c r="J340" s="6"/>
      <c r="K340" s="6"/>
      <c r="L340" s="6"/>
      <c r="M340" s="6"/>
      <c r="N340" s="6"/>
      <c r="O340" s="6"/>
      <c r="P340" s="6"/>
      <c r="Q340" s="6"/>
      <c r="R340" s="6"/>
      <c r="S340" s="6"/>
      <c r="T340" s="6"/>
      <c r="U340" s="6"/>
      <c r="V340" s="6"/>
      <c r="W340" s="6"/>
      <c r="X340" s="6"/>
      <c r="Y340" s="1408"/>
      <c r="Z340" s="1408"/>
      <c r="AA340" s="1408"/>
      <c r="AB340" s="1408"/>
      <c r="AC340" s="1408"/>
      <c r="AD340" s="1408"/>
      <c r="AE340" s="1408"/>
      <c r="AF340" s="1408"/>
      <c r="AG340" s="6"/>
      <c r="AH340" s="6"/>
      <c r="AI340" s="6"/>
      <c r="AJ340" s="6"/>
      <c r="AK340" s="6"/>
      <c r="AL340" s="6"/>
    </row>
    <row r="341" ht="15" customHeight="1">
      <c r="A341" s="6"/>
      <c r="B341" s="6" t="s">
        <v>3825</v>
      </c>
      <c r="C341" s="6"/>
      <c r="D341" s="6"/>
      <c r="E341" s="6" t="s">
        <v>3826</v>
      </c>
      <c r="F341" s="6"/>
      <c r="G341" s="6"/>
      <c r="H341" s="6"/>
      <c r="I341" s="6"/>
      <c r="J341" s="6"/>
      <c r="K341" s="6"/>
      <c r="L341" s="6"/>
      <c r="M341" s="6"/>
      <c r="N341" s="6"/>
      <c r="O341" s="6"/>
      <c r="P341" s="6"/>
      <c r="Q341" s="6"/>
      <c r="R341" s="6"/>
      <c r="S341" s="6"/>
      <c r="T341" s="6"/>
      <c r="U341" s="6"/>
      <c r="V341" s="6"/>
      <c r="W341" s="6"/>
      <c r="X341" s="6"/>
      <c r="Y341" s="1408"/>
      <c r="Z341" s="1408"/>
      <c r="AA341" s="1408"/>
      <c r="AB341" s="1408"/>
      <c r="AC341" s="1408"/>
      <c r="AD341" s="1408"/>
      <c r="AE341" s="1408"/>
      <c r="AF341" s="1408"/>
      <c r="AG341" s="6"/>
      <c r="AH341" s="6"/>
      <c r="AI341" s="6"/>
      <c r="AJ341" s="6"/>
      <c r="AK341" s="6"/>
      <c r="AL341" s="6"/>
    </row>
    <row r="342" ht="15" customHeight="1">
      <c r="A342" s="6"/>
      <c r="B342" s="6" t="s">
        <v>3827</v>
      </c>
      <c r="C342" s="6"/>
      <c r="D342" s="6"/>
      <c r="E342" s="6" t="s">
        <v>3828</v>
      </c>
      <c r="F342" s="6"/>
      <c r="G342" s="6"/>
      <c r="H342" s="6"/>
      <c r="I342" s="6"/>
      <c r="J342" s="6"/>
      <c r="K342" s="6"/>
      <c r="L342" s="6"/>
      <c r="M342" s="6"/>
      <c r="N342" s="6"/>
      <c r="O342" s="6"/>
      <c r="P342" s="6"/>
      <c r="Q342" s="6"/>
      <c r="R342" s="6"/>
      <c r="S342" s="6"/>
      <c r="T342" s="6"/>
      <c r="U342" s="6"/>
      <c r="V342" s="6"/>
      <c r="W342" s="6"/>
      <c r="X342" s="6"/>
      <c r="Y342" s="1408"/>
      <c r="Z342" s="1408"/>
      <c r="AA342" s="1408"/>
      <c r="AB342" s="1408"/>
      <c r="AC342" s="1408"/>
      <c r="AD342" s="1408"/>
      <c r="AE342" s="1408"/>
      <c r="AF342" s="1408"/>
      <c r="AG342" s="6"/>
      <c r="AH342" s="6"/>
      <c r="AI342" s="6"/>
      <c r="AJ342" s="6"/>
      <c r="AK342" s="6"/>
      <c r="AL342" s="6"/>
    </row>
    <row r="343" ht="15" customHeight="1">
      <c r="A343" s="6"/>
      <c r="B343" s="6" t="s">
        <v>3829</v>
      </c>
      <c r="C343" s="6"/>
      <c r="D343" s="6"/>
      <c r="E343" s="6" t="s">
        <v>3830</v>
      </c>
      <c r="F343" s="6"/>
      <c r="G343" s="6"/>
      <c r="H343" s="6"/>
      <c r="I343" s="6"/>
      <c r="J343" s="6"/>
      <c r="K343" s="6"/>
      <c r="L343" s="6"/>
      <c r="M343" s="6"/>
      <c r="N343" s="6"/>
      <c r="O343" s="6"/>
      <c r="P343" s="6"/>
      <c r="Q343" s="6"/>
      <c r="R343" s="6"/>
      <c r="S343" s="6"/>
      <c r="T343" s="6"/>
      <c r="U343" s="6"/>
      <c r="V343" s="6"/>
      <c r="W343" s="6"/>
      <c r="X343" s="6"/>
      <c r="Y343" s="1408"/>
      <c r="Z343" s="1408"/>
      <c r="AA343" s="1408"/>
      <c r="AB343" s="1408"/>
      <c r="AC343" s="1408"/>
      <c r="AD343" s="1408"/>
      <c r="AE343" s="1408"/>
      <c r="AF343" s="1408"/>
      <c r="AG343" s="6"/>
      <c r="AH343" s="6"/>
      <c r="AI343" s="6"/>
      <c r="AJ343" s="6"/>
      <c r="AK343" s="6"/>
      <c r="AL343" s="6"/>
    </row>
    <row r="344" ht="15" customHeight="1">
      <c r="A344" s="6"/>
      <c r="B344" s="6" t="s">
        <v>3831</v>
      </c>
      <c r="C344" s="6"/>
      <c r="D344" s="6"/>
      <c r="E344" s="6" t="s">
        <v>3832</v>
      </c>
      <c r="F344" s="6"/>
      <c r="G344" s="6"/>
      <c r="H344" s="6"/>
      <c r="I344" s="6"/>
      <c r="J344" s="6"/>
      <c r="K344" s="6"/>
      <c r="L344" s="6"/>
      <c r="M344" s="6"/>
      <c r="N344" s="6"/>
      <c r="O344" s="6"/>
      <c r="P344" s="6"/>
      <c r="Q344" s="6"/>
      <c r="R344" s="6"/>
      <c r="S344" s="6"/>
      <c r="T344" s="6"/>
      <c r="U344" s="6"/>
      <c r="V344" s="6"/>
      <c r="W344" s="6"/>
      <c r="X344" s="6"/>
      <c r="Y344" s="1408"/>
      <c r="Z344" s="1408"/>
      <c r="AA344" s="1408"/>
      <c r="AB344" s="1408"/>
      <c r="AC344" s="1408"/>
      <c r="AD344" s="1408"/>
      <c r="AE344" s="1408"/>
      <c r="AF344" s="1408"/>
      <c r="AG344" s="6"/>
      <c r="AH344" s="6"/>
      <c r="AI344" s="6"/>
      <c r="AJ344" s="6"/>
      <c r="AK344" s="6"/>
      <c r="AL344" s="6"/>
    </row>
    <row r="345" ht="15" customHeight="1">
      <c r="A345" s="6"/>
      <c r="B345" s="6" t="s">
        <v>3833</v>
      </c>
      <c r="C345" s="6"/>
      <c r="D345" s="6"/>
      <c r="E345" s="6" t="s">
        <v>3834</v>
      </c>
      <c r="F345" s="6"/>
      <c r="G345" s="6"/>
      <c r="H345" s="6"/>
      <c r="I345" s="6"/>
      <c r="J345" s="6"/>
      <c r="K345" s="6"/>
      <c r="L345" s="6"/>
      <c r="M345" s="6"/>
      <c r="N345" s="6"/>
      <c r="O345" s="6"/>
      <c r="P345" s="6"/>
      <c r="Q345" s="6"/>
      <c r="R345" s="6"/>
      <c r="S345" s="6"/>
      <c r="T345" s="6"/>
      <c r="U345" s="6"/>
      <c r="V345" s="6"/>
      <c r="W345" s="6"/>
      <c r="X345" s="6"/>
      <c r="Y345" s="1408"/>
      <c r="Z345" s="1408"/>
      <c r="AA345" s="1408"/>
      <c r="AB345" s="1408"/>
      <c r="AC345" s="1408"/>
      <c r="AD345" s="1408"/>
      <c r="AE345" s="1408"/>
      <c r="AF345" s="1408"/>
      <c r="AG345" s="6"/>
      <c r="AH345" s="6"/>
      <c r="AI345" s="6"/>
      <c r="AJ345" s="6"/>
      <c r="AK345" s="6"/>
      <c r="AL345" s="6"/>
    </row>
    <row r="346" ht="15" customHeight="1">
      <c r="A346" s="6"/>
      <c r="B346" s="6" t="s">
        <v>3835</v>
      </c>
      <c r="C346" s="6"/>
      <c r="D346" s="6"/>
      <c r="E346" s="6" t="s">
        <v>3836</v>
      </c>
      <c r="F346" s="6"/>
      <c r="G346" s="6"/>
      <c r="H346" s="6"/>
      <c r="I346" s="6"/>
      <c r="J346" s="6"/>
      <c r="K346" s="6"/>
      <c r="L346" s="6"/>
      <c r="M346" s="6"/>
      <c r="N346" s="6"/>
      <c r="O346" s="6"/>
      <c r="P346" s="6"/>
      <c r="Q346" s="6"/>
      <c r="R346" s="6"/>
      <c r="S346" s="6"/>
      <c r="T346" s="6"/>
      <c r="U346" s="6"/>
      <c r="V346" s="6"/>
      <c r="W346" s="6"/>
      <c r="X346" s="6"/>
      <c r="Y346" s="1408"/>
      <c r="Z346" s="1408"/>
      <c r="AA346" s="1408"/>
      <c r="AB346" s="1408"/>
      <c r="AC346" s="1408"/>
      <c r="AD346" s="1408"/>
      <c r="AE346" s="1408"/>
      <c r="AF346" s="1408"/>
      <c r="AG346" s="6"/>
      <c r="AH346" s="6"/>
      <c r="AI346" s="6"/>
      <c r="AJ346" s="6"/>
      <c r="AK346" s="6"/>
      <c r="AL346" s="6"/>
    </row>
    <row r="347" ht="15" customHeight="1">
      <c r="A347" s="6"/>
      <c r="B347" s="6" t="s">
        <v>3837</v>
      </c>
      <c r="C347" s="6"/>
      <c r="D347" s="6"/>
      <c r="E347" s="6" t="s">
        <v>3838</v>
      </c>
      <c r="F347" s="6"/>
      <c r="G347" s="6"/>
      <c r="H347" s="6"/>
      <c r="I347" s="6"/>
      <c r="J347" s="6"/>
      <c r="K347" s="6"/>
      <c r="L347" s="6"/>
      <c r="M347" s="6"/>
      <c r="N347" s="6"/>
      <c r="O347" s="6"/>
      <c r="P347" s="6"/>
      <c r="Q347" s="6"/>
      <c r="R347" s="6"/>
      <c r="S347" s="6"/>
      <c r="T347" s="6"/>
      <c r="U347" s="6"/>
      <c r="V347" s="6"/>
      <c r="W347" s="6"/>
      <c r="X347" s="6"/>
      <c r="Y347" s="1408"/>
      <c r="Z347" s="1408"/>
      <c r="AA347" s="1408"/>
      <c r="AB347" s="1408"/>
      <c r="AC347" s="1408"/>
      <c r="AD347" s="1408"/>
      <c r="AE347" s="1408"/>
      <c r="AF347" s="1408"/>
      <c r="AG347" s="6"/>
      <c r="AH347" s="6"/>
      <c r="AI347" s="6"/>
      <c r="AJ347" s="6"/>
      <c r="AK347" s="6"/>
      <c r="AL347" s="6"/>
    </row>
    <row r="348" ht="15" customHeight="1">
      <c r="A348" s="6"/>
      <c r="B348" s="6" t="s">
        <v>3839</v>
      </c>
      <c r="C348" s="6"/>
      <c r="D348" s="6"/>
      <c r="E348" s="6" t="s">
        <v>3840</v>
      </c>
      <c r="F348" s="6"/>
      <c r="G348" s="6"/>
      <c r="H348" s="6"/>
      <c r="I348" s="6"/>
      <c r="J348" s="6"/>
      <c r="K348" s="6"/>
      <c r="L348" s="6"/>
      <c r="M348" s="6"/>
      <c r="N348" s="6"/>
      <c r="O348" s="6"/>
      <c r="P348" s="6"/>
      <c r="Q348" s="6"/>
      <c r="R348" s="6"/>
      <c r="S348" s="6"/>
      <c r="T348" s="6"/>
      <c r="U348" s="6"/>
      <c r="V348" s="6"/>
      <c r="W348" s="6"/>
      <c r="X348" s="6"/>
      <c r="Y348" s="1408"/>
      <c r="Z348" s="1408"/>
      <c r="AA348" s="1408"/>
      <c r="AB348" s="1408"/>
      <c r="AC348" s="1408"/>
      <c r="AD348" s="1408"/>
      <c r="AE348" s="1408"/>
      <c r="AF348" s="1408"/>
      <c r="AG348" s="6"/>
      <c r="AH348" s="6"/>
      <c r="AI348" s="6"/>
      <c r="AJ348" s="6"/>
      <c r="AK348" s="6"/>
      <c r="AL348" s="6"/>
    </row>
    <row r="349" ht="15" customHeight="1">
      <c r="A349" s="6"/>
      <c r="B349" s="6" t="s">
        <v>3841</v>
      </c>
      <c r="C349" s="6"/>
      <c r="D349" s="6"/>
      <c r="E349" s="6" t="s">
        <v>3842</v>
      </c>
      <c r="F349" s="6"/>
      <c r="G349" s="6"/>
      <c r="H349" s="6"/>
      <c r="I349" s="6"/>
      <c r="J349" s="6"/>
      <c r="K349" s="6"/>
      <c r="L349" s="6"/>
      <c r="M349" s="6"/>
      <c r="N349" s="6"/>
      <c r="O349" s="6"/>
      <c r="P349" s="6"/>
      <c r="Q349" s="6"/>
      <c r="R349" s="6"/>
      <c r="S349" s="6"/>
      <c r="T349" s="6"/>
      <c r="U349" s="6"/>
      <c r="V349" s="6"/>
      <c r="W349" s="6"/>
      <c r="X349" s="6"/>
      <c r="Y349" s="1408"/>
      <c r="Z349" s="1408"/>
      <c r="AA349" s="1408"/>
      <c r="AB349" s="1408"/>
      <c r="AC349" s="1408"/>
      <c r="AD349" s="1408"/>
      <c r="AE349" s="1408"/>
      <c r="AF349" s="1408"/>
      <c r="AG349" s="6"/>
      <c r="AH349" s="6"/>
      <c r="AI349" s="6"/>
      <c r="AJ349" s="6"/>
      <c r="AK349" s="6"/>
      <c r="AL349" s="6"/>
    </row>
    <row r="350" ht="15" customHeight="1">
      <c r="A350" s="6"/>
      <c r="B350" s="6" t="s">
        <v>3843</v>
      </c>
      <c r="C350" s="6"/>
      <c r="D350" s="6"/>
      <c r="E350" s="6" t="s">
        <v>3844</v>
      </c>
      <c r="F350" s="6"/>
      <c r="G350" s="6"/>
      <c r="H350" s="6"/>
      <c r="I350" s="6"/>
      <c r="J350" s="6"/>
      <c r="K350" s="6"/>
      <c r="L350" s="6"/>
      <c r="M350" s="6"/>
      <c r="N350" s="6"/>
      <c r="O350" s="6"/>
      <c r="P350" s="6"/>
      <c r="Q350" s="6"/>
      <c r="R350" s="6"/>
      <c r="S350" s="6"/>
      <c r="T350" s="6"/>
      <c r="U350" s="6"/>
      <c r="V350" s="6"/>
      <c r="W350" s="6"/>
      <c r="X350" s="6"/>
      <c r="Y350" s="1408"/>
      <c r="Z350" s="1408"/>
      <c r="AA350" s="1408"/>
      <c r="AB350" s="1408"/>
      <c r="AC350" s="1408"/>
      <c r="AD350" s="1408"/>
      <c r="AE350" s="1408"/>
      <c r="AF350" s="1408"/>
      <c r="AG350" s="6"/>
      <c r="AH350" s="6"/>
      <c r="AI350" s="6"/>
      <c r="AJ350" s="6"/>
      <c r="AK350" s="6"/>
      <c r="AL350" s="6"/>
    </row>
    <row r="351" ht="15" customHeight="1">
      <c r="A351" s="6"/>
      <c r="B351" s="6" t="s">
        <v>3845</v>
      </c>
      <c r="C351" s="6"/>
      <c r="D351" s="6"/>
      <c r="E351" s="6" t="s">
        <v>3846</v>
      </c>
      <c r="F351" s="6"/>
      <c r="G351" s="6"/>
      <c r="H351" s="6"/>
      <c r="I351" s="6"/>
      <c r="J351" s="6"/>
      <c r="K351" s="6"/>
      <c r="L351" s="6"/>
      <c r="M351" s="6"/>
      <c r="N351" s="6"/>
      <c r="O351" s="6"/>
      <c r="P351" s="6"/>
      <c r="Q351" s="6"/>
      <c r="R351" s="6"/>
      <c r="S351" s="6"/>
      <c r="T351" s="6"/>
      <c r="U351" s="6"/>
      <c r="V351" s="6"/>
      <c r="W351" s="6"/>
      <c r="X351" s="6"/>
      <c r="Y351" s="1408"/>
      <c r="Z351" s="1408"/>
      <c r="AA351" s="1408"/>
      <c r="AB351" s="1408"/>
      <c r="AC351" s="1408"/>
      <c r="AD351" s="1408"/>
      <c r="AE351" s="1408"/>
      <c r="AF351" s="1408"/>
      <c r="AG351" s="6"/>
      <c r="AH351" s="6"/>
      <c r="AI351" s="6"/>
      <c r="AJ351" s="6"/>
      <c r="AK351" s="6"/>
      <c r="AL351" s="6"/>
    </row>
    <row r="352" ht="15" customHeight="1">
      <c r="A352" s="6"/>
      <c r="B352" s="6" t="s">
        <v>3847</v>
      </c>
      <c r="C352" s="6"/>
      <c r="D352" s="6"/>
      <c r="E352" s="6" t="s">
        <v>3848</v>
      </c>
      <c r="F352" s="6"/>
      <c r="G352" s="6"/>
      <c r="H352" s="6"/>
      <c r="I352" s="6"/>
      <c r="J352" s="6"/>
      <c r="K352" s="6"/>
      <c r="L352" s="6"/>
      <c r="M352" s="6"/>
      <c r="N352" s="6"/>
      <c r="O352" s="6"/>
      <c r="P352" s="6"/>
      <c r="Q352" s="6"/>
      <c r="R352" s="6"/>
      <c r="S352" s="6"/>
      <c r="T352" s="6"/>
      <c r="U352" s="6"/>
      <c r="V352" s="6"/>
      <c r="W352" s="6"/>
      <c r="X352" s="6"/>
      <c r="Y352" s="1408"/>
      <c r="Z352" s="1408"/>
      <c r="AA352" s="1408"/>
      <c r="AB352" s="1408"/>
      <c r="AC352" s="1408"/>
      <c r="AD352" s="1408"/>
      <c r="AE352" s="1408"/>
      <c r="AF352" s="1408"/>
      <c r="AG352" s="6"/>
      <c r="AH352" s="6"/>
      <c r="AI352" s="6"/>
      <c r="AJ352" s="6"/>
      <c r="AK352" s="6"/>
      <c r="AL352" s="6"/>
    </row>
    <row r="353" ht="15" customHeight="1">
      <c r="A353" s="6"/>
      <c r="B353" s="6" t="s">
        <v>3849</v>
      </c>
      <c r="C353" s="6"/>
      <c r="D353" s="6"/>
      <c r="E353" s="6" t="s">
        <v>3850</v>
      </c>
      <c r="F353" s="6"/>
      <c r="G353" s="6"/>
      <c r="H353" s="6"/>
      <c r="I353" s="6"/>
      <c r="J353" s="6"/>
      <c r="K353" s="6"/>
      <c r="L353" s="6"/>
      <c r="M353" s="6"/>
      <c r="N353" s="6"/>
      <c r="O353" s="6"/>
      <c r="P353" s="6"/>
      <c r="Q353" s="6"/>
      <c r="R353" s="6"/>
      <c r="S353" s="6"/>
      <c r="T353" s="6"/>
      <c r="U353" s="6"/>
      <c r="V353" s="6"/>
      <c r="W353" s="6"/>
      <c r="X353" s="6"/>
      <c r="Y353" s="1408"/>
      <c r="Z353" s="1408"/>
      <c r="AA353" s="1408"/>
      <c r="AB353" s="1408"/>
      <c r="AC353" s="1408"/>
      <c r="AD353" s="1408"/>
      <c r="AE353" s="1408"/>
      <c r="AF353" s="1408"/>
      <c r="AG353" s="6"/>
      <c r="AH353" s="6"/>
      <c r="AI353" s="6"/>
      <c r="AJ353" s="6"/>
      <c r="AK353" s="6"/>
      <c r="AL353" s="6"/>
    </row>
    <row r="354" ht="15" customHeight="1">
      <c r="A354" s="6"/>
      <c r="B354" s="6" t="s">
        <v>3851</v>
      </c>
      <c r="C354" s="6"/>
      <c r="D354" s="6"/>
      <c r="E354" s="6" t="s">
        <v>3852</v>
      </c>
      <c r="F354" s="6"/>
      <c r="G354" s="6"/>
      <c r="H354" s="6"/>
      <c r="I354" s="6"/>
      <c r="J354" s="6"/>
      <c r="K354" s="6"/>
      <c r="L354" s="6"/>
      <c r="M354" s="6"/>
      <c r="N354" s="6"/>
      <c r="O354" s="6"/>
      <c r="P354" s="6"/>
      <c r="Q354" s="6"/>
      <c r="R354" s="6"/>
      <c r="S354" s="6"/>
      <c r="T354" s="6"/>
      <c r="U354" s="6"/>
      <c r="V354" s="6"/>
      <c r="W354" s="6"/>
      <c r="X354" s="6"/>
      <c r="Y354" s="1408"/>
      <c r="Z354" s="1408"/>
      <c r="AA354" s="1408"/>
      <c r="AB354" s="1408"/>
      <c r="AC354" s="1408"/>
      <c r="AD354" s="1408"/>
      <c r="AE354" s="1408"/>
      <c r="AF354" s="1408"/>
      <c r="AG354" s="6"/>
      <c r="AH354" s="6"/>
      <c r="AI354" s="6"/>
      <c r="AJ354" s="6"/>
      <c r="AK354" s="6"/>
      <c r="AL354" s="6"/>
    </row>
    <row r="355" ht="15" customHeight="1">
      <c r="A355" s="6"/>
      <c r="B355" s="6" t="s">
        <v>3853</v>
      </c>
      <c r="C355" s="6"/>
      <c r="D355" s="6"/>
      <c r="E355" s="6" t="s">
        <v>3854</v>
      </c>
      <c r="F355" s="6"/>
      <c r="G355" s="6"/>
      <c r="H355" s="6"/>
      <c r="I355" s="6"/>
      <c r="J355" s="6"/>
      <c r="K355" s="6"/>
      <c r="L355" s="6"/>
      <c r="M355" s="6"/>
      <c r="N355" s="6"/>
      <c r="O355" s="6"/>
      <c r="P355" s="6"/>
      <c r="Q355" s="6"/>
      <c r="R355" s="6"/>
      <c r="S355" s="6"/>
      <c r="T355" s="6"/>
      <c r="U355" s="6"/>
      <c r="V355" s="6"/>
      <c r="W355" s="6"/>
      <c r="X355" s="6"/>
      <c r="Y355" s="1408"/>
      <c r="Z355" s="1408"/>
      <c r="AA355" s="1408"/>
      <c r="AB355" s="1408"/>
      <c r="AC355" s="1408"/>
      <c r="AD355" s="1408"/>
      <c r="AE355" s="1408"/>
      <c r="AF355" s="1408"/>
      <c r="AG355" s="6"/>
      <c r="AH355" s="6"/>
      <c r="AI355" s="6"/>
      <c r="AJ355" s="6"/>
      <c r="AK355" s="6"/>
      <c r="AL355" s="6"/>
    </row>
    <row r="356" ht="15" customHeight="1">
      <c r="A356" s="6"/>
      <c r="B356" s="6" t="s">
        <v>3855</v>
      </c>
      <c r="C356" s="6"/>
      <c r="D356" s="6"/>
      <c r="E356" s="6" t="s">
        <v>3856</v>
      </c>
      <c r="F356" s="6"/>
      <c r="G356" s="6"/>
      <c r="H356" s="6"/>
      <c r="I356" s="6"/>
      <c r="J356" s="6"/>
      <c r="K356" s="6"/>
      <c r="L356" s="6"/>
      <c r="M356" s="6"/>
      <c r="N356" s="6"/>
      <c r="O356" s="6"/>
      <c r="P356" s="6"/>
      <c r="Q356" s="6"/>
      <c r="R356" s="6"/>
      <c r="S356" s="6"/>
      <c r="T356" s="6"/>
      <c r="U356" s="6"/>
      <c r="V356" s="6"/>
      <c r="W356" s="6"/>
      <c r="X356" s="6"/>
      <c r="Y356" s="1408"/>
      <c r="Z356" s="1408"/>
      <c r="AA356" s="1408"/>
      <c r="AB356" s="1408"/>
      <c r="AC356" s="1408"/>
      <c r="AD356" s="1408"/>
      <c r="AE356" s="1408"/>
      <c r="AF356" s="1408"/>
      <c r="AG356" s="6"/>
      <c r="AH356" s="6"/>
      <c r="AI356" s="6"/>
      <c r="AJ356" s="6"/>
      <c r="AK356" s="6"/>
      <c r="AL356" s="6"/>
    </row>
    <row r="357" ht="15" customHeight="1">
      <c r="A357" s="6"/>
      <c r="B357" s="6" t="s">
        <v>3857</v>
      </c>
      <c r="C357" s="6"/>
      <c r="D357" s="6"/>
      <c r="E357" s="6" t="s">
        <v>3858</v>
      </c>
      <c r="F357" s="6"/>
      <c r="G357" s="6"/>
      <c r="H357" s="6"/>
      <c r="I357" s="6"/>
      <c r="J357" s="6"/>
      <c r="K357" s="6"/>
      <c r="L357" s="6"/>
      <c r="M357" s="6"/>
      <c r="N357" s="6"/>
      <c r="O357" s="6"/>
      <c r="P357" s="6"/>
      <c r="Q357" s="6"/>
      <c r="R357" s="6"/>
      <c r="S357" s="6"/>
      <c r="T357" s="6"/>
      <c r="U357" s="6"/>
      <c r="V357" s="6"/>
      <c r="W357" s="6"/>
      <c r="X357" s="6"/>
      <c r="Y357" s="1408"/>
      <c r="Z357" s="1408"/>
      <c r="AA357" s="1408"/>
      <c r="AB357" s="1408"/>
      <c r="AC357" s="1408"/>
      <c r="AD357" s="1408"/>
      <c r="AE357" s="1408"/>
      <c r="AF357" s="1408"/>
      <c r="AG357" s="6"/>
      <c r="AH357" s="6"/>
      <c r="AI357" s="6"/>
      <c r="AJ357" s="6"/>
      <c r="AK357" s="6"/>
      <c r="AL357" s="6"/>
    </row>
    <row r="358" ht="15" customHeight="1">
      <c r="A358" s="6"/>
      <c r="B358" s="6" t="s">
        <v>3859</v>
      </c>
      <c r="C358" s="6"/>
      <c r="D358" s="6"/>
      <c r="E358" s="6" t="s">
        <v>3860</v>
      </c>
      <c r="F358" s="6"/>
      <c r="G358" s="6"/>
      <c r="H358" s="6"/>
      <c r="I358" s="6"/>
      <c r="J358" s="6"/>
      <c r="K358" s="6"/>
      <c r="L358" s="6"/>
      <c r="M358" s="6"/>
      <c r="N358" s="6"/>
      <c r="O358" s="6"/>
      <c r="P358" s="6"/>
      <c r="Q358" s="6"/>
      <c r="R358" s="6"/>
      <c r="S358" s="6"/>
      <c r="T358" s="6"/>
      <c r="U358" s="6"/>
      <c r="V358" s="6"/>
      <c r="W358" s="6"/>
      <c r="X358" s="6"/>
      <c r="Y358" s="1408"/>
      <c r="Z358" s="1408"/>
      <c r="AA358" s="1408"/>
      <c r="AB358" s="1408"/>
      <c r="AC358" s="1408"/>
      <c r="AD358" s="1408"/>
      <c r="AE358" s="1408"/>
      <c r="AF358" s="1408"/>
      <c r="AG358" s="6"/>
      <c r="AH358" s="6"/>
      <c r="AI358" s="6"/>
      <c r="AJ358" s="6"/>
      <c r="AK358" s="6"/>
      <c r="AL358" s="6"/>
    </row>
    <row r="359" ht="15" customHeight="1">
      <c r="A359" s="6"/>
      <c r="B359" s="6" t="s">
        <v>3861</v>
      </c>
      <c r="C359" s="6"/>
      <c r="D359" s="6"/>
      <c r="E359" s="6" t="s">
        <v>3862</v>
      </c>
      <c r="F359" s="6"/>
      <c r="G359" s="6"/>
      <c r="H359" s="6"/>
      <c r="I359" s="6"/>
      <c r="J359" s="6"/>
      <c r="K359" s="6"/>
      <c r="L359" s="6"/>
      <c r="M359" s="6"/>
      <c r="N359" s="6"/>
      <c r="O359" s="6"/>
      <c r="P359" s="6"/>
      <c r="Q359" s="6"/>
      <c r="R359" s="6"/>
      <c r="S359" s="6"/>
      <c r="T359" s="6"/>
      <c r="U359" s="6"/>
      <c r="V359" s="6"/>
      <c r="W359" s="6"/>
      <c r="X359" s="6"/>
      <c r="Y359" s="1408"/>
      <c r="Z359" s="1408"/>
      <c r="AA359" s="1408"/>
      <c r="AB359" s="1408"/>
      <c r="AC359" s="1408"/>
      <c r="AD359" s="1408"/>
      <c r="AE359" s="1408"/>
      <c r="AF359" s="1408"/>
      <c r="AG359" s="6"/>
      <c r="AH359" s="6"/>
      <c r="AI359" s="6"/>
      <c r="AJ359" s="6"/>
      <c r="AK359" s="6"/>
      <c r="AL359" s="6"/>
    </row>
    <row r="360" ht="15" customHeight="1">
      <c r="A360" s="6"/>
      <c r="B360" s="6" t="s">
        <v>3863</v>
      </c>
      <c r="C360" s="6"/>
      <c r="D360" s="6"/>
      <c r="E360" s="6" t="s">
        <v>3864</v>
      </c>
      <c r="F360" s="6"/>
      <c r="G360" s="6"/>
      <c r="H360" s="6"/>
      <c r="I360" s="6"/>
      <c r="J360" s="6"/>
      <c r="K360" s="6"/>
      <c r="L360" s="6"/>
      <c r="M360" s="6"/>
      <c r="N360" s="6"/>
      <c r="O360" s="6"/>
      <c r="P360" s="6"/>
      <c r="Q360" s="6"/>
      <c r="R360" s="6"/>
      <c r="S360" s="6"/>
      <c r="T360" s="6"/>
      <c r="U360" s="6"/>
      <c r="V360" s="6"/>
      <c r="W360" s="6"/>
      <c r="X360" s="6"/>
      <c r="Y360" s="1408"/>
      <c r="Z360" s="1408"/>
      <c r="AA360" s="1408"/>
      <c r="AB360" s="1408"/>
      <c r="AC360" s="1408"/>
      <c r="AD360" s="1408"/>
      <c r="AE360" s="1408"/>
      <c r="AF360" s="1408"/>
      <c r="AG360" s="6"/>
      <c r="AH360" s="6"/>
      <c r="AI360" s="6"/>
      <c r="AJ360" s="6"/>
      <c r="AK360" s="6"/>
      <c r="AL360" s="6"/>
    </row>
    <row r="361" ht="15" customHeight="1">
      <c r="A361" s="6"/>
      <c r="B361" s="6" t="s">
        <v>3865</v>
      </c>
      <c r="C361" s="6"/>
      <c r="D361" s="6"/>
      <c r="E361" s="6" t="s">
        <v>3866</v>
      </c>
      <c r="F361" s="6"/>
      <c r="G361" s="6"/>
      <c r="H361" s="6"/>
      <c r="I361" s="6"/>
      <c r="J361" s="6"/>
      <c r="K361" s="6"/>
      <c r="L361" s="6"/>
      <c r="M361" s="6"/>
      <c r="N361" s="6"/>
      <c r="O361" s="6"/>
      <c r="P361" s="6"/>
      <c r="Q361" s="6"/>
      <c r="R361" s="6"/>
      <c r="S361" s="6"/>
      <c r="T361" s="6"/>
      <c r="U361" s="6"/>
      <c r="V361" s="6"/>
      <c r="W361" s="6"/>
      <c r="X361" s="6"/>
      <c r="Y361" s="1408"/>
      <c r="Z361" s="1408"/>
      <c r="AA361" s="1408"/>
      <c r="AB361" s="1408"/>
      <c r="AC361" s="1408"/>
      <c r="AD361" s="1408"/>
      <c r="AE361" s="1408"/>
      <c r="AF361" s="1408"/>
      <c r="AG361" s="6"/>
      <c r="AH361" s="6"/>
      <c r="AI361" s="6"/>
      <c r="AJ361" s="6"/>
      <c r="AK361" s="6"/>
      <c r="AL361" s="6"/>
    </row>
    <row r="362" ht="15" customHeight="1">
      <c r="A362" s="6"/>
      <c r="B362" s="6" t="s">
        <v>3867</v>
      </c>
      <c r="C362" s="6"/>
      <c r="D362" s="6"/>
      <c r="E362" s="6" t="s">
        <v>3868</v>
      </c>
      <c r="F362" s="6"/>
      <c r="G362" s="6"/>
      <c r="H362" s="6"/>
      <c r="I362" s="6"/>
      <c r="J362" s="6"/>
      <c r="K362" s="6"/>
      <c r="L362" s="6"/>
      <c r="M362" s="6"/>
      <c r="N362" s="6"/>
      <c r="O362" s="6"/>
      <c r="P362" s="6"/>
      <c r="Q362" s="6"/>
      <c r="R362" s="6"/>
      <c r="S362" s="6"/>
      <c r="T362" s="6"/>
      <c r="U362" s="6"/>
      <c r="V362" s="6"/>
      <c r="W362" s="6"/>
      <c r="X362" s="6"/>
      <c r="Y362" s="1408"/>
      <c r="Z362" s="1408"/>
      <c r="AA362" s="1408"/>
      <c r="AB362" s="1408"/>
      <c r="AC362" s="1408"/>
      <c r="AD362" s="1408"/>
      <c r="AE362" s="1408"/>
      <c r="AF362" s="1408"/>
      <c r="AG362" s="6"/>
      <c r="AH362" s="6"/>
      <c r="AI362" s="6"/>
      <c r="AJ362" s="6"/>
      <c r="AK362" s="6"/>
      <c r="AL362" s="6"/>
    </row>
    <row r="363" ht="15" customHeight="1">
      <c r="A363" s="6"/>
      <c r="B363" s="6" t="s">
        <v>3869</v>
      </c>
      <c r="C363" s="6"/>
      <c r="D363" s="6"/>
      <c r="E363" s="6" t="s">
        <v>3870</v>
      </c>
      <c r="F363" s="6"/>
      <c r="G363" s="6"/>
      <c r="H363" s="6"/>
      <c r="I363" s="6"/>
      <c r="J363" s="6"/>
      <c r="K363" s="6"/>
      <c r="L363" s="6"/>
      <c r="M363" s="6"/>
      <c r="N363" s="6"/>
      <c r="O363" s="6"/>
      <c r="P363" s="6"/>
      <c r="Q363" s="6"/>
      <c r="R363" s="6"/>
      <c r="S363" s="6"/>
      <c r="T363" s="6"/>
      <c r="U363" s="6"/>
      <c r="V363" s="6"/>
      <c r="W363" s="6"/>
      <c r="X363" s="6"/>
      <c r="Y363" s="1408"/>
      <c r="Z363" s="1408"/>
      <c r="AA363" s="1408"/>
      <c r="AB363" s="1408"/>
      <c r="AC363" s="1408"/>
      <c r="AD363" s="1408"/>
      <c r="AE363" s="1408"/>
      <c r="AF363" s="1408"/>
      <c r="AG363" s="6"/>
      <c r="AH363" s="6"/>
      <c r="AI363" s="6"/>
      <c r="AJ363" s="6"/>
      <c r="AK363" s="6"/>
      <c r="AL363" s="6"/>
    </row>
    <row r="364" ht="15" customHeight="1">
      <c r="A364" s="6"/>
      <c r="B364" s="6" t="s">
        <v>3871</v>
      </c>
      <c r="C364" s="6"/>
      <c r="D364" s="6"/>
      <c r="E364" s="6" t="s">
        <v>3872</v>
      </c>
      <c r="F364" s="6"/>
      <c r="G364" s="6"/>
      <c r="H364" s="6"/>
      <c r="I364" s="6"/>
      <c r="J364" s="6"/>
      <c r="K364" s="6"/>
      <c r="L364" s="6"/>
      <c r="M364" s="6"/>
      <c r="N364" s="6"/>
      <c r="O364" s="6"/>
      <c r="P364" s="6"/>
      <c r="Q364" s="6"/>
      <c r="R364" s="6"/>
      <c r="S364" s="6"/>
      <c r="T364" s="6"/>
      <c r="U364" s="6"/>
      <c r="V364" s="6"/>
      <c r="W364" s="6"/>
      <c r="X364" s="6"/>
      <c r="Y364" s="1408"/>
      <c r="Z364" s="1408"/>
      <c r="AA364" s="1408"/>
      <c r="AB364" s="1408"/>
      <c r="AC364" s="1408"/>
      <c r="AD364" s="1408"/>
      <c r="AE364" s="1408"/>
      <c r="AF364" s="1408"/>
      <c r="AG364" s="6"/>
      <c r="AH364" s="6"/>
      <c r="AI364" s="6"/>
      <c r="AJ364" s="6"/>
      <c r="AK364" s="6"/>
      <c r="AL364" s="6"/>
    </row>
    <row r="365" ht="15" customHeight="1">
      <c r="A365" s="6"/>
      <c r="B365" s="6" t="s">
        <v>3873</v>
      </c>
      <c r="C365" s="6"/>
      <c r="D365" s="6"/>
      <c r="E365" s="6" t="s">
        <v>3874</v>
      </c>
      <c r="F365" s="6"/>
      <c r="G365" s="6"/>
      <c r="H365" s="6"/>
      <c r="I365" s="6"/>
      <c r="J365" s="6"/>
      <c r="K365" s="6"/>
      <c r="L365" s="6"/>
      <c r="M365" s="6"/>
      <c r="N365" s="6"/>
      <c r="O365" s="6"/>
      <c r="P365" s="6"/>
      <c r="Q365" s="6"/>
      <c r="R365" s="6"/>
      <c r="S365" s="6"/>
      <c r="T365" s="6"/>
      <c r="U365" s="6"/>
      <c r="V365" s="6"/>
      <c r="W365" s="6"/>
      <c r="X365" s="6"/>
      <c r="Y365" s="1408"/>
      <c r="Z365" s="1408"/>
      <c r="AA365" s="1408"/>
      <c r="AB365" s="1408"/>
      <c r="AC365" s="1408"/>
      <c r="AD365" s="1408"/>
      <c r="AE365" s="1408"/>
      <c r="AF365" s="1408"/>
      <c r="AG365" s="6"/>
      <c r="AH365" s="6"/>
      <c r="AI365" s="6"/>
      <c r="AJ365" s="6"/>
      <c r="AK365" s="6"/>
      <c r="AL365" s="6"/>
    </row>
    <row r="366" ht="1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1408"/>
      <c r="Z366" s="1408"/>
      <c r="AA366" s="1408"/>
      <c r="AB366" s="1408"/>
      <c r="AC366" s="1408"/>
      <c r="AD366" s="1408"/>
      <c r="AE366" s="1408"/>
      <c r="AF366" s="1408"/>
      <c r="AG366" s="6"/>
      <c r="AH366" s="6"/>
      <c r="AI366" s="6"/>
      <c r="AJ366" s="6"/>
      <c r="AK366" s="6"/>
      <c r="AL366" s="6"/>
    </row>
    <row r="367" ht="15" customHeight="1">
      <c r="A367" s="6"/>
      <c r="B367" s="6" t="s">
        <v>3875</v>
      </c>
      <c r="C367" s="6"/>
      <c r="D367" s="6"/>
      <c r="E367" s="6" t="s">
        <v>3876</v>
      </c>
      <c r="F367" s="6"/>
      <c r="G367" s="6"/>
      <c r="H367" s="6"/>
      <c r="I367" s="6"/>
      <c r="J367" s="6"/>
      <c r="K367" s="6"/>
      <c r="L367" s="6"/>
      <c r="M367" s="6"/>
      <c r="N367" s="6"/>
      <c r="O367" s="6"/>
      <c r="P367" s="6"/>
      <c r="Q367" s="6"/>
      <c r="R367" s="6"/>
      <c r="S367" s="6"/>
      <c r="T367" s="6"/>
      <c r="U367" s="6"/>
      <c r="V367" s="6"/>
      <c r="W367" s="6"/>
      <c r="X367" s="6"/>
      <c r="Y367" s="1408"/>
      <c r="Z367" s="1408"/>
      <c r="AA367" s="1408"/>
      <c r="AB367" s="1408"/>
      <c r="AC367" s="1408"/>
      <c r="AD367" s="1408"/>
      <c r="AE367" s="1408"/>
      <c r="AF367" s="1408"/>
      <c r="AG367" s="6"/>
      <c r="AH367" s="6"/>
      <c r="AI367" s="6"/>
      <c r="AJ367" s="6"/>
      <c r="AK367" s="6"/>
      <c r="AL367" s="6"/>
    </row>
    <row r="368" ht="15" customHeight="1">
      <c r="A368" s="6"/>
      <c r="B368" s="6" t="s">
        <v>3877</v>
      </c>
      <c r="C368" s="6"/>
      <c r="D368" s="6"/>
      <c r="E368" s="6" t="s">
        <v>3878</v>
      </c>
      <c r="F368" s="6"/>
      <c r="G368" s="6"/>
      <c r="H368" s="6"/>
      <c r="I368" s="6"/>
      <c r="J368" s="6"/>
      <c r="K368" s="6"/>
      <c r="L368" s="6"/>
      <c r="M368" s="6"/>
      <c r="N368" s="6"/>
      <c r="O368" s="6"/>
      <c r="P368" s="6"/>
      <c r="Q368" s="6"/>
      <c r="R368" s="6"/>
      <c r="S368" s="6"/>
      <c r="T368" s="6"/>
      <c r="U368" s="6"/>
      <c r="V368" s="6"/>
      <c r="W368" s="6"/>
      <c r="X368" s="6"/>
      <c r="Y368" s="1408"/>
      <c r="Z368" s="1408"/>
      <c r="AA368" s="1408"/>
      <c r="AB368" s="1408"/>
      <c r="AC368" s="1408"/>
      <c r="AD368" s="1408"/>
      <c r="AE368" s="1408"/>
      <c r="AF368" s="1408"/>
      <c r="AG368" s="6"/>
      <c r="AH368" s="6"/>
      <c r="AI368" s="6"/>
      <c r="AJ368" s="6"/>
      <c r="AK368" s="6"/>
      <c r="AL368" s="6"/>
    </row>
    <row r="369" ht="15" customHeight="1">
      <c r="A369" s="6"/>
      <c r="B369" s="6" t="s">
        <v>3879</v>
      </c>
      <c r="C369" s="6"/>
      <c r="D369" s="6"/>
      <c r="E369" s="6" t="s">
        <v>3880</v>
      </c>
      <c r="F369" s="6"/>
      <c r="G369" s="6"/>
      <c r="H369" s="6"/>
      <c r="I369" s="6"/>
      <c r="J369" s="6"/>
      <c r="K369" s="6"/>
      <c r="L369" s="6"/>
      <c r="M369" s="6"/>
      <c r="N369" s="6"/>
      <c r="O369" s="6"/>
      <c r="P369" s="6"/>
      <c r="Q369" s="6"/>
      <c r="R369" s="6"/>
      <c r="S369" s="6"/>
      <c r="T369" s="6"/>
      <c r="U369" s="6"/>
      <c r="V369" s="6"/>
      <c r="W369" s="6"/>
      <c r="X369" s="6"/>
      <c r="Y369" s="1408"/>
      <c r="Z369" s="1408"/>
      <c r="AA369" s="1408"/>
      <c r="AB369" s="1408"/>
      <c r="AC369" s="1408"/>
      <c r="AD369" s="1408"/>
      <c r="AE369" s="1408"/>
      <c r="AF369" s="1408"/>
      <c r="AG369" s="6"/>
      <c r="AH369" s="6"/>
      <c r="AI369" s="6"/>
      <c r="AJ369" s="6"/>
      <c r="AK369" s="6"/>
      <c r="AL369" s="6"/>
    </row>
    <row r="370" ht="15" customHeight="1">
      <c r="A370" s="6"/>
      <c r="B370" s="6" t="s">
        <v>3881</v>
      </c>
      <c r="C370" s="6"/>
      <c r="D370" s="6"/>
      <c r="E370" s="6" t="s">
        <v>3882</v>
      </c>
      <c r="F370" s="6"/>
      <c r="G370" s="6"/>
      <c r="H370" s="6"/>
      <c r="I370" s="6"/>
      <c r="J370" s="6"/>
      <c r="K370" s="6"/>
      <c r="L370" s="6"/>
      <c r="M370" s="6"/>
      <c r="N370" s="6"/>
      <c r="O370" s="6"/>
      <c r="P370" s="6"/>
      <c r="Q370" s="6"/>
      <c r="R370" s="6"/>
      <c r="S370" s="6"/>
      <c r="T370" s="6"/>
      <c r="U370" s="6"/>
      <c r="V370" s="6"/>
      <c r="W370" s="6"/>
      <c r="X370" s="6"/>
      <c r="Y370" s="1408"/>
      <c r="Z370" s="1408"/>
      <c r="AA370" s="1408"/>
      <c r="AB370" s="1408"/>
      <c r="AC370" s="1408"/>
      <c r="AD370" s="1408"/>
      <c r="AE370" s="1408"/>
      <c r="AF370" s="1408"/>
      <c r="AG370" s="6"/>
      <c r="AH370" s="6"/>
      <c r="AI370" s="6"/>
      <c r="AJ370" s="6"/>
      <c r="AK370" s="6"/>
      <c r="AL370" s="6"/>
    </row>
    <row r="371" ht="15" customHeight="1">
      <c r="A371" s="6"/>
      <c r="B371" s="6" t="s">
        <v>3883</v>
      </c>
      <c r="C371" s="6"/>
      <c r="D371" s="6"/>
      <c r="E371" s="6" t="s">
        <v>3884</v>
      </c>
      <c r="F371" s="6"/>
      <c r="G371" s="6"/>
      <c r="H371" s="6"/>
      <c r="I371" s="6"/>
      <c r="J371" s="6"/>
      <c r="K371" s="6"/>
      <c r="L371" s="6"/>
      <c r="M371" s="6"/>
      <c r="N371" s="6"/>
      <c r="O371" s="6"/>
      <c r="P371" s="6"/>
      <c r="Q371" s="6"/>
      <c r="R371" s="6"/>
      <c r="S371" s="6"/>
      <c r="T371" s="6"/>
      <c r="U371" s="6"/>
      <c r="V371" s="6"/>
      <c r="W371" s="6"/>
      <c r="X371" s="6"/>
      <c r="Y371" s="1408"/>
      <c r="Z371" s="1408"/>
      <c r="AA371" s="1408"/>
      <c r="AB371" s="1408"/>
      <c r="AC371" s="1408"/>
      <c r="AD371" s="1408"/>
      <c r="AE371" s="1408"/>
      <c r="AF371" s="1408"/>
      <c r="AG371" s="6"/>
      <c r="AH371" s="6"/>
      <c r="AI371" s="6"/>
      <c r="AJ371" s="6"/>
      <c r="AK371" s="6"/>
      <c r="AL371" s="6"/>
    </row>
    <row r="372" ht="15" customHeight="1">
      <c r="A372" s="6"/>
      <c r="B372" s="6" t="s">
        <v>3885</v>
      </c>
      <c r="C372" s="6"/>
      <c r="D372" s="6"/>
      <c r="E372" s="6" t="s">
        <v>3886</v>
      </c>
      <c r="F372" s="6"/>
      <c r="G372" s="6"/>
      <c r="H372" s="6"/>
      <c r="I372" s="6"/>
      <c r="J372" s="6"/>
      <c r="K372" s="6"/>
      <c r="L372" s="6"/>
      <c r="M372" s="6"/>
      <c r="N372" s="6"/>
      <c r="O372" s="6"/>
      <c r="P372" s="6"/>
      <c r="Q372" s="6"/>
      <c r="R372" s="6"/>
      <c r="S372" s="6"/>
      <c r="T372" s="6"/>
      <c r="U372" s="6"/>
      <c r="V372" s="6"/>
      <c r="W372" s="6"/>
      <c r="X372" s="6"/>
      <c r="Y372" s="1408"/>
      <c r="Z372" s="1408"/>
      <c r="AA372" s="1408"/>
      <c r="AB372" s="1408"/>
      <c r="AC372" s="1408"/>
      <c r="AD372" s="1408"/>
      <c r="AE372" s="1408"/>
      <c r="AF372" s="1408"/>
      <c r="AG372" s="6"/>
      <c r="AH372" s="6"/>
      <c r="AI372" s="6"/>
      <c r="AJ372" s="6"/>
      <c r="AK372" s="6"/>
      <c r="AL372" s="6"/>
    </row>
    <row r="373" ht="15" customHeight="1">
      <c r="A373" s="6"/>
      <c r="B373" s="6" t="s">
        <v>3887</v>
      </c>
      <c r="C373" s="6"/>
      <c r="D373" s="6"/>
      <c r="E373" s="6" t="s">
        <v>3888</v>
      </c>
      <c r="F373" s="6"/>
      <c r="G373" s="6"/>
      <c r="H373" s="6"/>
      <c r="I373" s="6"/>
      <c r="J373" s="6"/>
      <c r="K373" s="6"/>
      <c r="L373" s="6"/>
      <c r="M373" s="6"/>
      <c r="N373" s="6"/>
      <c r="O373" s="6"/>
      <c r="P373" s="6"/>
      <c r="Q373" s="6"/>
      <c r="R373" s="6"/>
      <c r="S373" s="6"/>
      <c r="T373" s="6"/>
      <c r="U373" s="6"/>
      <c r="V373" s="6"/>
      <c r="W373" s="6"/>
      <c r="X373" s="6"/>
      <c r="Y373" s="1408"/>
      <c r="Z373" s="1408"/>
      <c r="AA373" s="1408"/>
      <c r="AB373" s="1408"/>
      <c r="AC373" s="1408"/>
      <c r="AD373" s="1408"/>
      <c r="AE373" s="1408"/>
      <c r="AF373" s="1408"/>
      <c r="AG373" s="6"/>
      <c r="AH373" s="6"/>
      <c r="AI373" s="6"/>
      <c r="AJ373" s="6"/>
      <c r="AK373" s="6"/>
      <c r="AL373" s="6"/>
    </row>
    <row r="374" ht="1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1408"/>
      <c r="Z374" s="1408"/>
      <c r="AA374" s="1408"/>
      <c r="AB374" s="1408"/>
      <c r="AC374" s="1408"/>
      <c r="AD374" s="1408"/>
      <c r="AE374" s="1408"/>
      <c r="AF374" s="1408"/>
      <c r="AG374" s="6"/>
      <c r="AH374" s="6"/>
      <c r="AI374" s="6"/>
      <c r="AJ374" s="6"/>
      <c r="AK374" s="6"/>
      <c r="AL374" s="6"/>
    </row>
    <row r="375" ht="15" customHeight="1">
      <c r="A375" s="6"/>
      <c r="B375" s="6" t="s">
        <v>901</v>
      </c>
      <c r="C375" s="6"/>
      <c r="D375" s="6"/>
      <c r="E375" s="6" t="s">
        <v>3889</v>
      </c>
      <c r="F375" s="6"/>
      <c r="G375" s="6"/>
      <c r="H375" s="6"/>
      <c r="I375" s="6"/>
      <c r="J375" s="6"/>
      <c r="K375" s="6"/>
      <c r="L375" s="6"/>
      <c r="M375" s="6"/>
      <c r="N375" s="6"/>
      <c r="O375" s="6"/>
      <c r="P375" s="6"/>
      <c r="Q375" s="6"/>
      <c r="R375" s="6"/>
      <c r="S375" s="6"/>
      <c r="T375" s="6"/>
      <c r="U375" s="6"/>
      <c r="V375" s="6"/>
      <c r="W375" s="6"/>
      <c r="X375" s="6"/>
      <c r="Y375" s="1408"/>
      <c r="Z375" s="1408"/>
      <c r="AA375" s="1408"/>
      <c r="AB375" s="1408"/>
      <c r="AC375" s="1408"/>
      <c r="AD375" s="1408"/>
      <c r="AE375" s="1408"/>
      <c r="AF375" s="1408"/>
      <c r="AG375" s="6"/>
      <c r="AH375" s="6"/>
      <c r="AI375" s="6"/>
      <c r="AJ375" s="6"/>
      <c r="AK375" s="6"/>
      <c r="AL375" s="6"/>
    </row>
    <row r="376" ht="15" customHeight="1">
      <c r="A376" s="6"/>
      <c r="B376" s="6" t="s">
        <v>3890</v>
      </c>
      <c r="C376" s="6"/>
      <c r="D376" s="6"/>
      <c r="E376" s="6" t="s">
        <v>3891</v>
      </c>
      <c r="F376" s="6"/>
      <c r="G376" s="6"/>
      <c r="H376" s="6"/>
      <c r="I376" s="6"/>
      <c r="J376" s="6"/>
      <c r="K376" s="6"/>
      <c r="L376" s="6"/>
      <c r="M376" s="6"/>
      <c r="N376" s="6"/>
      <c r="O376" s="6"/>
      <c r="P376" s="6"/>
      <c r="Q376" s="6"/>
      <c r="R376" s="6"/>
      <c r="S376" s="6"/>
      <c r="T376" s="6"/>
      <c r="U376" s="6"/>
      <c r="V376" s="6"/>
      <c r="W376" s="6"/>
      <c r="X376" s="6"/>
      <c r="Y376" s="1408"/>
      <c r="Z376" s="1408"/>
      <c r="AA376" s="1408"/>
      <c r="AB376" s="1408"/>
      <c r="AC376" s="1408"/>
      <c r="AD376" s="1408"/>
      <c r="AE376" s="1408"/>
      <c r="AF376" s="1408"/>
      <c r="AG376" s="6"/>
      <c r="AH376" s="6"/>
      <c r="AI376" s="6"/>
      <c r="AJ376" s="6"/>
      <c r="AK376" s="6"/>
      <c r="AL376" s="6"/>
    </row>
    <row r="377" ht="15" customHeight="1">
      <c r="A377" s="6"/>
      <c r="B377" s="6" t="s">
        <v>3892</v>
      </c>
      <c r="C377" s="6"/>
      <c r="D377" s="6"/>
      <c r="E377" s="6" t="s">
        <v>3889</v>
      </c>
      <c r="F377" s="6"/>
      <c r="G377" s="6"/>
      <c r="H377" s="6"/>
      <c r="I377" s="6"/>
      <c r="J377" s="6"/>
      <c r="K377" s="6"/>
      <c r="L377" s="6"/>
      <c r="M377" s="6"/>
      <c r="N377" s="6"/>
      <c r="O377" s="6"/>
      <c r="W377" s="6"/>
      <c r="X377" s="6"/>
      <c r="Y377" s="1408"/>
      <c r="Z377" s="1408"/>
      <c r="AA377" s="1408"/>
      <c r="AB377" s="1408"/>
      <c r="AC377" s="1408"/>
      <c r="AD377" s="1408"/>
      <c r="AE377" s="1408"/>
      <c r="AF377" s="1408"/>
      <c r="AG377" s="6"/>
      <c r="AH377" s="6"/>
      <c r="AI377" s="6"/>
      <c r="AJ377" s="6"/>
      <c r="AK377" s="6"/>
      <c r="AL377" s="6"/>
    </row>
    <row r="378" ht="15" customHeight="1">
      <c r="A378" s="6"/>
      <c r="B378" s="6" t="s">
        <v>3893</v>
      </c>
      <c r="C378" s="6"/>
      <c r="D378" s="6"/>
      <c r="E378" s="6" t="s">
        <v>3894</v>
      </c>
      <c r="F378" s="6"/>
      <c r="G378" s="6"/>
      <c r="H378" s="6"/>
      <c r="I378" s="6"/>
      <c r="J378" s="6"/>
      <c r="K378" s="6"/>
      <c r="L378" s="6"/>
      <c r="M378" s="6"/>
      <c r="N378" s="6"/>
      <c r="O378" s="6"/>
      <c r="W378" s="6"/>
      <c r="X378" s="6"/>
      <c r="Y378" s="1408"/>
      <c r="Z378" s="1408"/>
      <c r="AA378" s="1408"/>
      <c r="AB378" s="1408"/>
      <c r="AC378" s="1408"/>
      <c r="AD378" s="1408"/>
      <c r="AE378" s="1408"/>
      <c r="AF378" s="1408"/>
      <c r="AG378" s="6"/>
      <c r="AH378" s="6"/>
      <c r="AI378" s="6"/>
      <c r="AJ378" s="6"/>
      <c r="AK378" s="6"/>
      <c r="AL378" s="6"/>
    </row>
    <row r="379" ht="15" customHeight="1">
      <c r="A379" s="6"/>
      <c r="B379" s="6" t="s">
        <v>3895</v>
      </c>
      <c r="C379" s="6"/>
      <c r="D379" s="6"/>
      <c r="E379" s="6" t="s">
        <v>3896</v>
      </c>
      <c r="F379" s="6"/>
      <c r="G379" s="6"/>
      <c r="H379" s="6"/>
      <c r="I379" s="6"/>
      <c r="J379" s="6"/>
      <c r="K379" s="6"/>
      <c r="L379" s="6"/>
      <c r="M379" s="6"/>
      <c r="N379" s="6"/>
      <c r="O379" s="6"/>
      <c r="W379" s="6"/>
      <c r="X379" s="6"/>
      <c r="Y379" s="1408"/>
      <c r="Z379" s="1408"/>
      <c r="AA379" s="1408"/>
      <c r="AB379" s="1408"/>
      <c r="AC379" s="1408"/>
      <c r="AD379" s="1408"/>
      <c r="AE379" s="1408"/>
      <c r="AF379" s="1408"/>
      <c r="AG379" s="6"/>
      <c r="AH379" s="6"/>
      <c r="AI379" s="6"/>
      <c r="AJ379" s="6"/>
      <c r="AK379" s="6"/>
      <c r="AL379" s="6"/>
    </row>
    <row r="380" ht="15" customHeight="1">
      <c r="A380" s="6"/>
      <c r="B380" s="6" t="s">
        <v>3897</v>
      </c>
      <c r="C380" s="6"/>
      <c r="D380" s="6"/>
      <c r="E380" s="6" t="s">
        <v>3898</v>
      </c>
      <c r="F380" s="6"/>
      <c r="G380" s="6"/>
      <c r="H380" s="6"/>
      <c r="I380" s="6"/>
      <c r="J380" s="6"/>
      <c r="K380" s="6"/>
      <c r="L380" s="6"/>
      <c r="M380" s="6"/>
      <c r="N380" s="6"/>
      <c r="O380" s="6"/>
      <c r="W380" s="6"/>
      <c r="X380" s="6"/>
      <c r="Y380" s="1408"/>
      <c r="Z380" s="1408"/>
      <c r="AA380" s="1408"/>
      <c r="AB380" s="1408"/>
      <c r="AC380" s="1408"/>
      <c r="AD380" s="1408"/>
      <c r="AE380" s="1408"/>
      <c r="AF380" s="1408"/>
      <c r="AG380" s="6"/>
      <c r="AH380" s="6"/>
      <c r="AI380" s="6"/>
      <c r="AJ380" s="6"/>
      <c r="AK380" s="6"/>
      <c r="AL380" s="6"/>
    </row>
    <row r="381" ht="15" customHeight="1">
      <c r="A381" s="6"/>
      <c r="B381" s="6" t="s">
        <v>3899</v>
      </c>
      <c r="C381" s="6"/>
      <c r="D381" s="6"/>
      <c r="E381" s="6" t="s">
        <v>3900</v>
      </c>
      <c r="F381" s="6"/>
      <c r="G381" s="6"/>
      <c r="H381" s="6"/>
      <c r="I381" s="6"/>
      <c r="J381" s="6"/>
      <c r="K381" s="6"/>
      <c r="L381" s="6"/>
      <c r="M381" s="6"/>
      <c r="N381" s="6"/>
      <c r="O381" s="6"/>
      <c r="W381" s="6"/>
      <c r="X381" s="6"/>
      <c r="Y381" s="1408"/>
      <c r="Z381" s="1408"/>
      <c r="AA381" s="1408"/>
      <c r="AB381" s="1408"/>
      <c r="AC381" s="1408"/>
      <c r="AD381" s="1408"/>
      <c r="AE381" s="1408"/>
      <c r="AF381" s="1408"/>
      <c r="AG381" s="6"/>
      <c r="AH381" s="6"/>
      <c r="AI381" s="6"/>
      <c r="AJ381" s="6"/>
      <c r="AK381" s="6"/>
      <c r="AL381" s="6"/>
    </row>
    <row r="382" ht="15" customHeight="1">
      <c r="A382" s="6"/>
      <c r="B382" s="6" t="s">
        <v>236</v>
      </c>
      <c r="C382" s="6"/>
      <c r="D382" s="6"/>
      <c r="E382" s="6" t="s">
        <v>236</v>
      </c>
      <c r="F382" s="6"/>
      <c r="G382" s="6"/>
      <c r="H382" s="6"/>
      <c r="I382" s="6"/>
      <c r="J382" s="6"/>
      <c r="K382" s="6"/>
      <c r="L382" s="6"/>
      <c r="M382" s="6"/>
      <c r="N382" s="6"/>
      <c r="O382" s="6"/>
      <c r="W382" s="6"/>
      <c r="X382" s="6"/>
      <c r="Y382" s="1408"/>
      <c r="Z382" s="1408"/>
      <c r="AA382" s="1408"/>
      <c r="AB382" s="1408"/>
      <c r="AC382" s="1408"/>
      <c r="AD382" s="1408"/>
      <c r="AE382" s="1408"/>
      <c r="AF382" s="1408"/>
      <c r="AG382" s="6"/>
      <c r="AH382" s="6"/>
      <c r="AI382" s="6"/>
      <c r="AJ382" s="6"/>
      <c r="AK382" s="6"/>
      <c r="AL382" s="6"/>
    </row>
    <row r="383" ht="15" customHeight="1">
      <c r="A383" s="6"/>
      <c r="B383" s="6"/>
      <c r="C383" s="6"/>
      <c r="D383" s="6"/>
      <c r="E383" s="6"/>
      <c r="F383" s="6"/>
      <c r="G383" s="6"/>
      <c r="H383" s="6"/>
      <c r="I383" s="6"/>
      <c r="J383" s="6"/>
      <c r="K383" s="6"/>
      <c r="L383" s="6"/>
      <c r="M383" s="6"/>
      <c r="N383" s="6"/>
      <c r="O383" s="6"/>
      <c r="W383" s="6"/>
      <c r="X383" s="6"/>
      <c r="Y383" s="1408"/>
      <c r="Z383" s="1408"/>
      <c r="AA383" s="1408"/>
      <c r="AB383" s="1408"/>
      <c r="AC383" s="1408"/>
      <c r="AD383" s="1408"/>
      <c r="AE383" s="1408"/>
      <c r="AF383" s="1408"/>
      <c r="AG383" s="6"/>
      <c r="AH383" s="6"/>
      <c r="AI383" s="6"/>
      <c r="AJ383" s="6"/>
      <c r="AK383" s="6"/>
      <c r="AL383" s="6"/>
    </row>
    <row r="384" ht="15" customHeight="1">
      <c r="A384" s="6"/>
      <c r="B384" s="4526" t="s">
        <v>3901</v>
      </c>
      <c r="C384" s="6"/>
      <c r="D384" s="6"/>
      <c r="E384" s="6"/>
      <c r="F384" s="6"/>
      <c r="G384" s="6"/>
      <c r="H384" s="6"/>
      <c r="I384" s="6"/>
      <c r="J384" s="6"/>
      <c r="K384" s="6"/>
      <c r="L384" s="6"/>
      <c r="M384" s="6"/>
      <c r="N384" s="6"/>
      <c r="O384" s="6"/>
      <c r="W384" s="6"/>
      <c r="X384" s="6"/>
      <c r="Y384" s="1408"/>
      <c r="Z384" s="1408"/>
      <c r="AA384" s="1408"/>
      <c r="AB384" s="1408"/>
      <c r="AC384" s="1408"/>
      <c r="AD384" s="1408"/>
      <c r="AE384" s="1408"/>
      <c r="AF384" s="1408"/>
      <c r="AG384" s="6"/>
      <c r="AH384" s="6"/>
      <c r="AI384" s="6"/>
      <c r="AJ384" s="6"/>
      <c r="AK384" s="6"/>
      <c r="AL384" s="6"/>
    </row>
    <row r="385" ht="15" customHeight="1">
      <c r="A385" s="6"/>
      <c r="B385" s="6" t="s">
        <v>3634</v>
      </c>
      <c r="C385" s="6"/>
      <c r="D385" s="6"/>
      <c r="E385" s="6"/>
      <c r="F385" s="6"/>
      <c r="G385" s="6"/>
      <c r="H385" s="6"/>
      <c r="I385" s="6"/>
      <c r="J385" s="6"/>
      <c r="K385" s="6"/>
      <c r="L385" s="6"/>
      <c r="M385" s="6"/>
      <c r="N385" s="6"/>
      <c r="O385" s="6"/>
      <c r="W385" s="6"/>
      <c r="X385" s="6"/>
      <c r="Y385" s="1408"/>
      <c r="Z385" s="1408"/>
      <c r="AA385" s="1408"/>
      <c r="AB385" s="1408"/>
      <c r="AC385" s="1408"/>
      <c r="AD385" s="1408"/>
      <c r="AE385" s="1408"/>
      <c r="AF385" s="1408"/>
      <c r="AG385" s="6"/>
      <c r="AH385" s="6"/>
      <c r="AI385" s="6"/>
      <c r="AJ385" s="6"/>
      <c r="AK385" s="6"/>
      <c r="AL385" s="6"/>
    </row>
    <row r="386" ht="15" customHeight="1">
      <c r="A386" s="6"/>
      <c r="B386" s="6" t="s">
        <v>3902</v>
      </c>
      <c r="C386" s="6"/>
      <c r="D386" s="6"/>
      <c r="E386" s="6"/>
      <c r="F386" s="6"/>
      <c r="G386" s="6"/>
      <c r="H386" s="6"/>
      <c r="I386" s="6"/>
      <c r="J386" s="6"/>
      <c r="K386" s="6"/>
      <c r="L386" s="6"/>
      <c r="M386" s="6"/>
      <c r="N386" s="6"/>
      <c r="O386" s="6"/>
      <c r="W386" s="6"/>
      <c r="X386" s="6"/>
      <c r="Y386" s="1408"/>
      <c r="Z386" s="1408"/>
      <c r="AA386" s="1408"/>
      <c r="AB386" s="1408"/>
      <c r="AC386" s="1408"/>
      <c r="AD386" s="1408"/>
      <c r="AE386" s="1408"/>
      <c r="AF386" s="1408"/>
      <c r="AG386" s="6"/>
      <c r="AH386" s="6"/>
      <c r="AI386" s="6"/>
      <c r="AJ386" s="6"/>
      <c r="AK386" s="6"/>
      <c r="AL386" s="6"/>
    </row>
    <row r="387" ht="15" customHeight="1">
      <c r="A387" s="6"/>
      <c r="B387" s="6"/>
      <c r="C387" s="6"/>
      <c r="D387" s="6"/>
      <c r="E387" s="6"/>
      <c r="F387" s="6"/>
      <c r="G387" s="6"/>
      <c r="H387" s="6"/>
      <c r="I387" s="6"/>
      <c r="J387" s="6"/>
      <c r="K387" s="6"/>
      <c r="L387" s="6"/>
      <c r="M387" s="6"/>
      <c r="N387" s="6"/>
      <c r="O387" s="6"/>
      <c r="W387" s="6"/>
      <c r="X387" s="6"/>
      <c r="Y387" s="1408"/>
      <c r="Z387" s="1408"/>
      <c r="AA387" s="1408"/>
      <c r="AB387" s="1408"/>
      <c r="AC387" s="1408"/>
      <c r="AD387" s="1408"/>
      <c r="AE387" s="1408"/>
      <c r="AF387" s="1408"/>
      <c r="AG387" s="6"/>
      <c r="AH387" s="6"/>
      <c r="AI387" s="6"/>
      <c r="AJ387" s="6"/>
      <c r="AK387" s="6"/>
      <c r="AL387" s="6"/>
    </row>
    <row r="388" ht="15" customHeight="1">
      <c r="A388" s="6"/>
      <c r="B388" s="4526" t="s">
        <v>3903</v>
      </c>
      <c r="C388" s="6"/>
      <c r="D388" s="6"/>
      <c r="E388" s="6"/>
      <c r="F388" s="6"/>
      <c r="G388" s="6"/>
      <c r="H388" s="6"/>
      <c r="I388" s="6"/>
      <c r="J388" s="6"/>
      <c r="K388" s="6"/>
      <c r="L388" s="6"/>
      <c r="M388" s="6"/>
      <c r="N388" s="6"/>
      <c r="O388" s="6"/>
      <c r="W388" s="6"/>
      <c r="X388" s="6"/>
      <c r="Y388" s="1408"/>
      <c r="Z388" s="1408"/>
      <c r="AA388" s="1408"/>
      <c r="AB388" s="1408"/>
      <c r="AC388" s="1408"/>
      <c r="AD388" s="1408"/>
      <c r="AE388" s="1408"/>
      <c r="AF388" s="1408"/>
      <c r="AG388" s="6"/>
      <c r="AH388" s="6"/>
      <c r="AI388" s="6"/>
      <c r="AJ388" s="6"/>
      <c r="AK388" s="6"/>
      <c r="AL388" s="6"/>
    </row>
    <row r="389" ht="15" customHeight="1">
      <c r="A389" s="6"/>
      <c r="B389" s="6" t="s">
        <v>864</v>
      </c>
      <c r="C389" s="6"/>
      <c r="D389" s="6"/>
      <c r="E389" s="6"/>
      <c r="F389" s="6"/>
      <c r="G389" s="6"/>
      <c r="H389" s="6"/>
      <c r="I389" s="6"/>
      <c r="J389" s="6"/>
      <c r="K389" s="6"/>
      <c r="L389" s="6"/>
      <c r="M389" s="6"/>
      <c r="N389" s="6"/>
      <c r="O389" s="6"/>
      <c r="W389" s="6"/>
      <c r="X389" s="6"/>
      <c r="Y389" s="1408"/>
      <c r="Z389" s="1408"/>
      <c r="AA389" s="1408"/>
      <c r="AB389" s="1408"/>
      <c r="AC389" s="1408"/>
      <c r="AD389" s="1408"/>
      <c r="AE389" s="1408"/>
      <c r="AF389" s="1408"/>
      <c r="AG389" s="6"/>
      <c r="AH389" s="6"/>
      <c r="AI389" s="6"/>
      <c r="AJ389" s="6"/>
      <c r="AK389" s="6"/>
      <c r="AL389" s="6"/>
    </row>
    <row r="390" ht="15" customHeight="1">
      <c r="A390" s="6"/>
      <c r="B390" s="6" t="s">
        <v>3904</v>
      </c>
      <c r="C390" s="6"/>
      <c r="D390" s="6"/>
      <c r="E390" s="6"/>
      <c r="F390" s="6"/>
      <c r="G390" s="6"/>
      <c r="H390" s="6"/>
      <c r="I390" s="6"/>
      <c r="J390" s="6"/>
      <c r="K390" s="6"/>
      <c r="L390" s="6"/>
      <c r="M390" s="6"/>
      <c r="N390" s="6"/>
      <c r="O390" s="6"/>
      <c r="W390" s="6"/>
      <c r="X390" s="6"/>
      <c r="Y390" s="1408"/>
      <c r="Z390" s="1408"/>
      <c r="AA390" s="1408"/>
      <c r="AB390" s="1408"/>
      <c r="AC390" s="1408"/>
      <c r="AD390" s="1408"/>
      <c r="AE390" s="1408"/>
      <c r="AF390" s="1408"/>
      <c r="AG390" s="6"/>
      <c r="AH390" s="6"/>
      <c r="AI390" s="6"/>
      <c r="AJ390" s="6"/>
      <c r="AK390" s="6"/>
      <c r="AL390" s="6"/>
    </row>
    <row r="391" ht="15" customHeight="1">
      <c r="A391" s="6"/>
      <c r="B391" s="6" t="s">
        <v>3905</v>
      </c>
      <c r="C391" s="6"/>
      <c r="D391" s="6"/>
      <c r="E391" s="6"/>
      <c r="F391" s="6"/>
      <c r="G391" s="6"/>
      <c r="H391" s="6"/>
      <c r="I391" s="6"/>
      <c r="J391" s="6"/>
      <c r="K391" s="6"/>
      <c r="L391" s="6"/>
      <c r="M391" s="6"/>
      <c r="N391" s="6"/>
      <c r="O391" s="6"/>
      <c r="W391" s="6"/>
      <c r="X391" s="6"/>
      <c r="Y391" s="1408"/>
      <c r="Z391" s="1408"/>
      <c r="AA391" s="1408"/>
      <c r="AB391" s="1408"/>
      <c r="AC391" s="1408"/>
      <c r="AD391" s="1408"/>
      <c r="AE391" s="1408"/>
      <c r="AF391" s="1408"/>
      <c r="AG391" s="6"/>
      <c r="AH391" s="6"/>
      <c r="AI391" s="6"/>
      <c r="AJ391" s="6"/>
      <c r="AK391" s="6"/>
      <c r="AL391" s="6"/>
    </row>
    <row r="392" ht="15" customHeight="1">
      <c r="A392" s="6"/>
      <c r="B392" s="6" t="s">
        <v>3906</v>
      </c>
      <c r="C392" s="6"/>
      <c r="D392" s="6"/>
      <c r="E392" s="6"/>
      <c r="F392" s="6"/>
      <c r="G392" s="6"/>
      <c r="H392" s="6"/>
      <c r="I392" s="6"/>
      <c r="J392" s="6"/>
      <c r="K392" s="6"/>
      <c r="L392" s="6"/>
      <c r="M392" s="6"/>
      <c r="N392" s="6"/>
      <c r="O392" s="6"/>
      <c r="W392" s="6"/>
      <c r="X392" s="6"/>
      <c r="Y392" s="1408"/>
      <c r="Z392" s="1408"/>
      <c r="AA392" s="1408"/>
      <c r="AB392" s="1408"/>
      <c r="AC392" s="1408"/>
      <c r="AD392" s="1408"/>
      <c r="AE392" s="1408"/>
      <c r="AF392" s="1408"/>
      <c r="AG392" s="6"/>
      <c r="AH392" s="6"/>
      <c r="AI392" s="6"/>
      <c r="AJ392" s="6"/>
      <c r="AK392" s="6"/>
      <c r="AL392" s="6"/>
    </row>
    <row r="393" ht="15" customHeight="1">
      <c r="A393" s="6"/>
      <c r="B393" s="6" t="s">
        <v>3907</v>
      </c>
      <c r="C393" s="6"/>
      <c r="D393" s="6"/>
      <c r="E393" s="6"/>
      <c r="F393" s="6"/>
      <c r="G393" s="6"/>
      <c r="H393" s="6"/>
      <c r="I393" s="6"/>
      <c r="J393" s="6"/>
      <c r="K393" s="6"/>
      <c r="L393" s="6"/>
      <c r="M393" s="6"/>
      <c r="N393" s="6"/>
      <c r="O393" s="6"/>
      <c r="W393" s="6"/>
      <c r="X393" s="6"/>
      <c r="Y393" s="1408"/>
      <c r="Z393" s="1408"/>
      <c r="AA393" s="1408"/>
      <c r="AB393" s="1408"/>
      <c r="AC393" s="1408"/>
      <c r="AD393" s="1408"/>
      <c r="AE393" s="1408"/>
      <c r="AF393" s="1408"/>
      <c r="AG393" s="6"/>
      <c r="AH393" s="6"/>
      <c r="AI393" s="6"/>
      <c r="AJ393" s="6"/>
      <c r="AK393" s="6"/>
      <c r="AL393" s="6"/>
    </row>
    <row r="394" ht="15" customHeight="1">
      <c r="A394" s="6"/>
      <c r="B394" s="6"/>
      <c r="C394" s="6"/>
      <c r="D394" s="6"/>
      <c r="E394" s="6"/>
      <c r="F394" s="6"/>
      <c r="G394" s="6"/>
      <c r="H394" s="6"/>
      <c r="I394" s="6"/>
      <c r="J394" s="6"/>
      <c r="K394" s="6"/>
      <c r="L394" s="6"/>
      <c r="M394" s="6"/>
      <c r="N394" s="6"/>
      <c r="O394" s="6"/>
      <c r="W394" s="6"/>
      <c r="X394" s="6"/>
      <c r="Y394" s="1408"/>
      <c r="Z394" s="1408"/>
      <c r="AA394" s="1408"/>
      <c r="AB394" s="1408"/>
      <c r="AC394" s="1408"/>
      <c r="AD394" s="1408"/>
      <c r="AE394" s="1408"/>
      <c r="AF394" s="1408"/>
      <c r="AG394" s="6"/>
      <c r="AH394" s="6"/>
      <c r="AI394" s="6"/>
      <c r="AJ394" s="6"/>
      <c r="AK394" s="6"/>
      <c r="AL394" s="6"/>
    </row>
    <row r="395" ht="15" customHeight="1">
      <c r="A395" s="6"/>
      <c r="B395" s="6"/>
      <c r="C395" s="6"/>
      <c r="D395" s="6"/>
      <c r="E395" s="6"/>
      <c r="F395" s="6"/>
      <c r="G395" s="6"/>
      <c r="H395" s="6"/>
      <c r="I395" s="6"/>
      <c r="J395" s="6"/>
      <c r="K395" s="6"/>
      <c r="L395" s="6"/>
      <c r="M395" s="6"/>
      <c r="N395" s="6"/>
      <c r="O395" s="6"/>
      <c r="W395" s="6"/>
      <c r="X395" s="6"/>
      <c r="Y395" s="1408"/>
      <c r="Z395" s="1408"/>
      <c r="AA395" s="1408"/>
      <c r="AB395" s="1408"/>
      <c r="AC395" s="1408"/>
      <c r="AD395" s="1408"/>
      <c r="AE395" s="1408"/>
      <c r="AF395" s="1408"/>
      <c r="AG395" s="6"/>
      <c r="AH395" s="6"/>
      <c r="AI395" s="6"/>
      <c r="AJ395" s="6"/>
      <c r="AK395" s="6"/>
      <c r="AL395" s="6"/>
    </row>
    <row r="396" ht="15" customHeight="1">
      <c r="A396" s="6"/>
      <c r="B396" s="6"/>
      <c r="C396" s="6"/>
      <c r="D396" s="6"/>
      <c r="E396" s="6"/>
      <c r="F396" s="6"/>
      <c r="G396" s="6"/>
      <c r="H396" s="6"/>
      <c r="I396" s="6"/>
      <c r="J396" s="6"/>
      <c r="K396" s="6"/>
      <c r="L396" s="6"/>
      <c r="M396" s="6"/>
      <c r="N396" s="6"/>
      <c r="O396" s="6"/>
      <c r="W396" s="6"/>
      <c r="X396" s="6"/>
      <c r="Y396" s="1408"/>
      <c r="Z396" s="1408"/>
      <c r="AA396" s="1408"/>
      <c r="AB396" s="1408"/>
      <c r="AC396" s="1408"/>
      <c r="AD396" s="1408"/>
      <c r="AE396" s="1408"/>
      <c r="AF396" s="1408"/>
      <c r="AG396" s="6"/>
      <c r="AH396" s="6"/>
      <c r="AI396" s="6"/>
      <c r="AJ396" s="6"/>
      <c r="AK396" s="6"/>
      <c r="AL396" s="6"/>
    </row>
    <row r="397" ht="15" customHeight="1">
      <c r="A397" s="6"/>
      <c r="B397" s="6"/>
      <c r="C397" s="6"/>
      <c r="D397" s="6"/>
      <c r="E397" s="6"/>
      <c r="F397" s="6"/>
      <c r="G397" s="6"/>
      <c r="H397" s="6"/>
      <c r="I397" s="6"/>
      <c r="J397" s="6"/>
      <c r="K397" s="6"/>
      <c r="L397" s="6"/>
      <c r="M397" s="6"/>
      <c r="N397" s="6"/>
      <c r="O397" s="6"/>
      <c r="W397" s="6"/>
      <c r="X397" s="6"/>
      <c r="Y397" s="1408"/>
      <c r="Z397" s="1408"/>
      <c r="AA397" s="1408"/>
      <c r="AB397" s="1408"/>
      <c r="AC397" s="1408"/>
      <c r="AD397" s="1408"/>
      <c r="AE397" s="1408"/>
      <c r="AF397" s="1408"/>
      <c r="AG397" s="6"/>
      <c r="AH397" s="6"/>
      <c r="AI397" s="6"/>
      <c r="AJ397" s="6"/>
      <c r="AK397" s="6"/>
      <c r="AL397" s="6"/>
    </row>
    <row r="398" ht="15" customHeight="1">
      <c r="A398" s="6"/>
      <c r="B398" s="6"/>
      <c r="C398" s="6"/>
      <c r="D398" s="6"/>
      <c r="E398" s="6"/>
      <c r="F398" s="6"/>
      <c r="G398" s="6"/>
      <c r="H398" s="6"/>
      <c r="I398" s="6"/>
      <c r="J398" s="6"/>
      <c r="K398" s="6"/>
      <c r="L398" s="6"/>
      <c r="M398" s="6"/>
      <c r="N398" s="6"/>
      <c r="O398" s="6"/>
      <c r="W398" s="6"/>
      <c r="X398" s="6"/>
      <c r="Y398" s="1408"/>
      <c r="Z398" s="1408"/>
      <c r="AA398" s="1408"/>
      <c r="AB398" s="1408"/>
      <c r="AC398" s="1408"/>
      <c r="AD398" s="1408"/>
      <c r="AE398" s="1408"/>
      <c r="AF398" s="1408"/>
      <c r="AG398" s="6"/>
      <c r="AH398" s="6"/>
      <c r="AI398" s="6"/>
      <c r="AJ398" s="6"/>
      <c r="AK398" s="6"/>
      <c r="AL398" s="6"/>
    </row>
    <row r="399" ht="15" customHeight="1">
      <c r="A399" s="6"/>
      <c r="B399" s="6"/>
      <c r="C399" s="6"/>
      <c r="D399" s="6"/>
      <c r="E399" s="6"/>
      <c r="F399" s="6"/>
      <c r="G399" s="6"/>
      <c r="H399" s="6"/>
      <c r="I399" s="6"/>
      <c r="J399" s="6"/>
      <c r="K399" s="6"/>
      <c r="L399" s="6"/>
      <c r="M399" s="6"/>
      <c r="N399" s="6"/>
      <c r="O399" s="6"/>
      <c r="W399" s="6"/>
      <c r="X399" s="6"/>
      <c r="Y399" s="1408"/>
      <c r="Z399" s="1408"/>
      <c r="AA399" s="1408"/>
      <c r="AB399" s="1408"/>
      <c r="AC399" s="1408"/>
      <c r="AD399" s="1408"/>
      <c r="AE399" s="1408"/>
      <c r="AF399" s="1408"/>
      <c r="AG399" s="6"/>
      <c r="AH399" s="6"/>
      <c r="AI399" s="6"/>
      <c r="AJ399" s="6"/>
      <c r="AK399" s="6"/>
      <c r="AL399" s="6"/>
    </row>
    <row r="400" ht="15" customHeight="1">
      <c r="A400" s="6"/>
      <c r="B400" s="6"/>
      <c r="C400" s="6"/>
      <c r="D400" s="6"/>
      <c r="E400" s="6"/>
      <c r="F400" s="6"/>
      <c r="G400" s="6"/>
      <c r="H400" s="6"/>
      <c r="I400" s="6"/>
      <c r="J400" s="6"/>
      <c r="K400" s="6"/>
      <c r="L400" s="6"/>
      <c r="M400" s="6"/>
      <c r="N400" s="6"/>
      <c r="O400" s="6"/>
      <c r="W400" s="6"/>
      <c r="X400" s="6"/>
      <c r="Y400" s="1408"/>
      <c r="Z400" s="1408"/>
      <c r="AA400" s="1408"/>
      <c r="AB400" s="1408"/>
      <c r="AC400" s="1408"/>
      <c r="AD400" s="1408"/>
      <c r="AE400" s="1408"/>
      <c r="AF400" s="1408"/>
      <c r="AG400" s="6"/>
      <c r="AH400" s="6"/>
      <c r="AI400" s="6"/>
      <c r="AJ400" s="6"/>
      <c r="AK400" s="6"/>
      <c r="AL400" s="6"/>
    </row>
  </sheetData>
  <mergeCells>
    <mergeCell ref="E49:M53"/>
    <mergeCell ref="E55:M58"/>
    <mergeCell ref="E13:G13"/>
    <mergeCell ref="E15:G15"/>
    <mergeCell ref="K12:M12"/>
    <mergeCell ref="D190:M190"/>
    <mergeCell ref="D95:M95"/>
    <mergeCell ref="D97:M97"/>
    <mergeCell ref="D103:M103"/>
    <mergeCell ref="D105:M105"/>
    <mergeCell ref="D107:M107"/>
    <mergeCell ref="D109:M109"/>
    <mergeCell ref="D111:M111"/>
    <mergeCell ref="D120:M120"/>
    <mergeCell ref="D122:M122"/>
    <mergeCell ref="D176:M176"/>
    <mergeCell ref="D178:M178"/>
    <mergeCell ref="D180:M180"/>
    <mergeCell ref="D182:M182"/>
    <mergeCell ref="D186:M186"/>
    <mergeCell ref="D168:M168"/>
    <mergeCell ref="D188:M188"/>
    <mergeCell ref="D156:M156"/>
    <mergeCell ref="D160:M160"/>
    <mergeCell ref="D162:M162"/>
    <mergeCell ref="D164:M164"/>
    <mergeCell ref="D166:M166"/>
    <mergeCell ref="D152:M152"/>
    <mergeCell ref="D154:M154"/>
    <mergeCell ref="D170:M170"/>
    <mergeCell ref="D172:M172"/>
    <mergeCell ref="D174:M174"/>
    <mergeCell ref="D114:M114"/>
    <mergeCell ref="D138:M138"/>
    <mergeCell ref="D140:M140"/>
    <mergeCell ref="D148:M148"/>
    <mergeCell ref="D150:M150"/>
    <mergeCell ref="D135:M135"/>
    <mergeCell ref="D131:M131"/>
    <mergeCell ref="D133:M133"/>
    <mergeCell ref="D116:M116"/>
    <mergeCell ref="D126:M126"/>
    <mergeCell ref="D128:M128"/>
    <mergeCell ref="Y2:Z2"/>
    <mergeCell ref="Y5:Z5"/>
    <mergeCell ref="K6:M6"/>
    <mergeCell ref="E7:G7"/>
    <mergeCell ref="D146:M146"/>
    <mergeCell ref="D142:M142"/>
    <mergeCell ref="D144:M144"/>
    <mergeCell ref="E73:G73"/>
    <mergeCell ref="E75:G75"/>
    <mergeCell ref="K61:M61"/>
    <mergeCell ref="K64:M64"/>
    <mergeCell ref="K67:M67"/>
    <mergeCell ref="D99:M99"/>
    <mergeCell ref="D100:M100"/>
    <mergeCell ref="D101:M101"/>
    <mergeCell ref="B113:M113"/>
    <mergeCell ref="K69:M69"/>
    <mergeCell ref="K71:M71"/>
    <mergeCell ref="K73:M73"/>
    <mergeCell ref="K75:L75"/>
    <mergeCell ref="E61:G61"/>
    <mergeCell ref="E64:G64"/>
    <mergeCell ref="E67:G67"/>
    <mergeCell ref="E69:G69"/>
    <mergeCell ref="E71:G71"/>
    <mergeCell ref="F11:G11"/>
    <mergeCell ref="AG21:AG22"/>
    <mergeCell ref="AH21:AH22"/>
    <mergeCell ref="AI21:AI22"/>
    <mergeCell ref="AJ21:AJ22"/>
    <mergeCell ref="K11:M11"/>
    <mergeCell ref="AK21:AK22"/>
    <mergeCell ref="AL21:AL22"/>
    <mergeCell ref="AI9:AJ9"/>
    <mergeCell ref="AK9:AL9"/>
    <mergeCell ref="AI20:AJ20"/>
    <mergeCell ref="AK20:AL20"/>
  </mergeCells>
  <conditionalFormatting sqref="K48:M48">
    <cfRule type="expression" dxfId="70" priority="392" text="null">
      <formula>$E$43="N/A"</formula>
    </cfRule>
  </conditionalFormatting>
  <conditionalFormatting sqref="B95:B96 B139 B169 B115 B112 B127 B134 B141 B143 B161 B145:B148 B151 B153 B157 B130 B132">
    <cfRule type="cellIs" dxfId="58" priority="116" operator="equal" text="null">
      <formula>"yes"</formula>
    </cfRule>
  </conditionalFormatting>
  <conditionalFormatting sqref="B95:B96 B139 B169 B115 B112 B127 B134 B141 B143 B161 B145:B148 B151 B153 B157 B130 B132">
    <cfRule type="expression" dxfId="71" priority="119" text="null">
      <formula>"Yes"</formula>
    </cfRule>
  </conditionalFormatting>
  <conditionalFormatting sqref="B95">
    <cfRule type="cellIs" dxfId="12" priority="118" operator="equal" text="null">
      <formula>"yes"</formula>
    </cfRule>
  </conditionalFormatting>
  <conditionalFormatting sqref="B95:B96 B139 B169 B115 B112 B127 B134 B141 B143 B161 B145:B148 B151 B153 B157 B130 B132">
    <cfRule type="cellIs" dxfId="72" priority="117" operator="equal" text="null">
      <formula>"yes"</formula>
    </cfRule>
  </conditionalFormatting>
  <conditionalFormatting sqref="B137">
    <cfRule type="cellIs" dxfId="72" priority="115" operator="equal" text="null">
      <formula>"yes"</formula>
    </cfRule>
  </conditionalFormatting>
  <conditionalFormatting sqref="B114">
    <cfRule type="cellIs" dxfId="12" priority="114" operator="equal" text="null">
      <formula>"yes"</formula>
    </cfRule>
  </conditionalFormatting>
  <conditionalFormatting sqref="B114">
    <cfRule type="cellIs" dxfId="72" priority="113" operator="equal" text="null">
      <formula>"yes"</formula>
    </cfRule>
  </conditionalFormatting>
  <conditionalFormatting sqref="B97">
    <cfRule type="cellIs" dxfId="72" priority="112" operator="equal" text="null">
      <formula>"yes"</formula>
    </cfRule>
  </conditionalFormatting>
  <conditionalFormatting sqref="B126">
    <cfRule type="cellIs" dxfId="72" priority="111" operator="equal" text="null">
      <formula>"yes"</formula>
    </cfRule>
  </conditionalFormatting>
  <conditionalFormatting sqref="B133">
    <cfRule type="cellIs" dxfId="72" priority="110" operator="equal" text="null">
      <formula>"yes"</formula>
    </cfRule>
  </conditionalFormatting>
  <conditionalFormatting sqref="B140">
    <cfRule type="cellIs" dxfId="72" priority="109" operator="equal" text="null">
      <formula>"yes"</formula>
    </cfRule>
  </conditionalFormatting>
  <conditionalFormatting sqref="B142">
    <cfRule type="cellIs" dxfId="72" priority="107" operator="equal" text="null">
      <formula>"yes"</formula>
    </cfRule>
  </conditionalFormatting>
  <conditionalFormatting sqref="B144">
    <cfRule type="cellIs" dxfId="72" priority="106" operator="equal" text="null">
      <formula>"yes"</formula>
    </cfRule>
  </conditionalFormatting>
  <conditionalFormatting sqref="B160">
    <cfRule type="cellIs" dxfId="72" priority="105" operator="equal" text="null">
      <formula>"yes"</formula>
    </cfRule>
  </conditionalFormatting>
  <conditionalFormatting sqref="B122">
    <cfRule type="cellIs" dxfId="12" priority="104" operator="equal" text="null">
      <formula>"yes"</formula>
    </cfRule>
  </conditionalFormatting>
  <conditionalFormatting sqref="B122">
    <cfRule type="cellIs" dxfId="72" priority="103" operator="equal" text="null">
      <formula>"yes"</formula>
    </cfRule>
  </conditionalFormatting>
  <conditionalFormatting sqref="B117">
    <cfRule type="cellIs" dxfId="58" priority="100" operator="equal" text="null">
      <formula>"yes"</formula>
    </cfRule>
  </conditionalFormatting>
  <conditionalFormatting sqref="B117">
    <cfRule type="expression" dxfId="71" priority="102" text="null">
      <formula>"Yes"</formula>
    </cfRule>
  </conditionalFormatting>
  <conditionalFormatting sqref="B117">
    <cfRule type="cellIs" dxfId="72" priority="101" operator="equal" text="null">
      <formula>"yes"</formula>
    </cfRule>
  </conditionalFormatting>
  <conditionalFormatting sqref="B116">
    <cfRule type="cellIs" dxfId="12" priority="99" operator="equal" text="null">
      <formula>"yes"</formula>
    </cfRule>
  </conditionalFormatting>
  <conditionalFormatting sqref="B116">
    <cfRule type="cellIs" dxfId="72" priority="98" operator="equal" text="null">
      <formula>"yes"</formula>
    </cfRule>
  </conditionalFormatting>
  <conditionalFormatting sqref="B121">
    <cfRule type="cellIs" dxfId="58" priority="95" operator="equal" text="null">
      <formula>"yes"</formula>
    </cfRule>
  </conditionalFormatting>
  <conditionalFormatting sqref="B121">
    <cfRule type="expression" dxfId="71" priority="97" text="null">
      <formula>"Yes"</formula>
    </cfRule>
  </conditionalFormatting>
  <conditionalFormatting sqref="B121">
    <cfRule type="cellIs" dxfId="72" priority="96" operator="equal" text="null">
      <formula>"yes"</formula>
    </cfRule>
  </conditionalFormatting>
  <conditionalFormatting sqref="B120">
    <cfRule type="cellIs" dxfId="12" priority="94" operator="equal" text="null">
      <formula>"yes"</formula>
    </cfRule>
  </conditionalFormatting>
  <conditionalFormatting sqref="B120">
    <cfRule type="cellIs" dxfId="72" priority="93" operator="equal" text="null">
      <formula>"yes"</formula>
    </cfRule>
  </conditionalFormatting>
  <conditionalFormatting sqref="B119">
    <cfRule type="cellIs" dxfId="58" priority="90" operator="equal" text="null">
      <formula>"yes"</formula>
    </cfRule>
  </conditionalFormatting>
  <conditionalFormatting sqref="B119">
    <cfRule type="expression" dxfId="71" priority="92" text="null">
      <formula>"Yes"</formula>
    </cfRule>
  </conditionalFormatting>
  <conditionalFormatting sqref="B119">
    <cfRule type="cellIs" dxfId="72" priority="91" operator="equal" text="null">
      <formula>"yes"</formula>
    </cfRule>
  </conditionalFormatting>
  <conditionalFormatting sqref="B163">
    <cfRule type="cellIs" dxfId="58" priority="87" operator="equal" text="null">
      <formula>"yes"</formula>
    </cfRule>
  </conditionalFormatting>
  <conditionalFormatting sqref="B163">
    <cfRule type="expression" dxfId="71" priority="89" text="null">
      <formula>"Yes"</formula>
    </cfRule>
  </conditionalFormatting>
  <conditionalFormatting sqref="B163">
    <cfRule type="cellIs" dxfId="72" priority="88" operator="equal" text="null">
      <formula>"yes"</formula>
    </cfRule>
  </conditionalFormatting>
  <conditionalFormatting sqref="B162">
    <cfRule type="cellIs" dxfId="72" priority="86" operator="equal" text="null">
      <formula>"yes"</formula>
    </cfRule>
  </conditionalFormatting>
  <conditionalFormatting sqref="B165">
    <cfRule type="cellIs" dxfId="58" priority="83" operator="equal" text="null">
      <formula>"yes"</formula>
    </cfRule>
  </conditionalFormatting>
  <conditionalFormatting sqref="B165">
    <cfRule type="expression" dxfId="71" priority="85" text="null">
      <formula>"Yes"</formula>
    </cfRule>
  </conditionalFormatting>
  <conditionalFormatting sqref="B165">
    <cfRule type="cellIs" dxfId="72" priority="84" operator="equal" text="null">
      <formula>"yes"</formula>
    </cfRule>
  </conditionalFormatting>
  <conditionalFormatting sqref="B164">
    <cfRule type="cellIs" dxfId="72" priority="82" operator="equal" text="null">
      <formula>"yes"</formula>
    </cfRule>
  </conditionalFormatting>
  <conditionalFormatting sqref="B149:B150">
    <cfRule type="cellIs" dxfId="58" priority="79" operator="equal" text="null">
      <formula>"yes"</formula>
    </cfRule>
  </conditionalFormatting>
  <conditionalFormatting sqref="B149:B150">
    <cfRule type="expression" dxfId="71" priority="81" text="null">
      <formula>"Yes"</formula>
    </cfRule>
  </conditionalFormatting>
  <conditionalFormatting sqref="B149:B150">
    <cfRule type="cellIs" dxfId="72" priority="80" operator="equal" text="null">
      <formula>"yes"</formula>
    </cfRule>
  </conditionalFormatting>
  <conditionalFormatting sqref="B171 B175 B177 B183 B173 B179:B181 B185">
    <cfRule type="cellIs" dxfId="58" priority="76" operator="equal" text="null">
      <formula>"yes"</formula>
    </cfRule>
  </conditionalFormatting>
  <conditionalFormatting sqref="B171 B175 B177 B183 B173 B179:B181 B185">
    <cfRule type="expression" dxfId="71" priority="78" text="null">
      <formula>"Yes"</formula>
    </cfRule>
  </conditionalFormatting>
  <conditionalFormatting sqref="B171 B175 B177 B183 B173 B179:B181 B185">
    <cfRule type="cellIs" dxfId="72" priority="77" operator="equal" text="null">
      <formula>"yes"</formula>
    </cfRule>
  </conditionalFormatting>
  <conditionalFormatting sqref="B170">
    <cfRule type="cellIs" dxfId="72" priority="75" operator="equal" text="null">
      <formula>"yes"</formula>
    </cfRule>
  </conditionalFormatting>
  <conditionalFormatting sqref="B174">
    <cfRule type="cellIs" dxfId="72" priority="74" operator="equal" text="null">
      <formula>"yes"</formula>
    </cfRule>
  </conditionalFormatting>
  <conditionalFormatting sqref="B176">
    <cfRule type="cellIs" dxfId="72" priority="73" operator="equal" text="null">
      <formula>"yes"</formula>
    </cfRule>
  </conditionalFormatting>
  <conditionalFormatting sqref="B182">
    <cfRule type="cellIs" dxfId="72" priority="72" operator="equal" text="null">
      <formula>"yes"</formula>
    </cfRule>
  </conditionalFormatting>
  <conditionalFormatting sqref="B186">
    <cfRule type="cellIs" dxfId="72" priority="71" operator="equal" text="null">
      <formula>"yes"</formula>
    </cfRule>
  </conditionalFormatting>
  <conditionalFormatting sqref="B172">
    <cfRule type="cellIs" dxfId="72" priority="70" operator="equal" text="null">
      <formula>"yes"</formula>
    </cfRule>
  </conditionalFormatting>
  <conditionalFormatting sqref="B178">
    <cfRule type="cellIs" dxfId="72" priority="69" operator="equal" text="null">
      <formula>"yes"</formula>
    </cfRule>
  </conditionalFormatting>
  <conditionalFormatting sqref="B187 B189">
    <cfRule type="cellIs" dxfId="58" priority="66" operator="equal" text="null">
      <formula>"yes"</formula>
    </cfRule>
  </conditionalFormatting>
  <conditionalFormatting sqref="B187 B189">
    <cfRule type="expression" dxfId="71" priority="68" text="null">
      <formula>"Yes"</formula>
    </cfRule>
  </conditionalFormatting>
  <conditionalFormatting sqref="B187 B189">
    <cfRule type="cellIs" dxfId="72" priority="67" operator="equal" text="null">
      <formula>"yes"</formula>
    </cfRule>
  </conditionalFormatting>
  <conditionalFormatting sqref="B191">
    <cfRule type="cellIs" dxfId="72" priority="65" operator="equal" text="null">
      <formula>"yes"</formula>
    </cfRule>
  </conditionalFormatting>
  <conditionalFormatting sqref="B188">
    <cfRule type="cellIs" dxfId="72" priority="64" operator="equal" text="null">
      <formula>"yes"</formula>
    </cfRule>
  </conditionalFormatting>
  <conditionalFormatting sqref="B152">
    <cfRule type="cellIs" dxfId="58" priority="61" operator="equal" text="null">
      <formula>"yes"</formula>
    </cfRule>
  </conditionalFormatting>
  <conditionalFormatting sqref="B152">
    <cfRule type="expression" dxfId="71" priority="63" text="null">
      <formula>"Yes"</formula>
    </cfRule>
  </conditionalFormatting>
  <conditionalFormatting sqref="B152">
    <cfRule type="cellIs" dxfId="72" priority="62" operator="equal" text="null">
      <formula>"yes"</formula>
    </cfRule>
  </conditionalFormatting>
  <conditionalFormatting sqref="B154">
    <cfRule type="cellIs" dxfId="58" priority="58" operator="equal" text="null">
      <formula>"yes"</formula>
    </cfRule>
  </conditionalFormatting>
  <conditionalFormatting sqref="B154">
    <cfRule type="expression" dxfId="71" priority="60" text="null">
      <formula>"Yes"</formula>
    </cfRule>
  </conditionalFormatting>
  <conditionalFormatting sqref="B154">
    <cfRule type="cellIs" dxfId="72" priority="59" operator="equal" text="null">
      <formula>"yes"</formula>
    </cfRule>
  </conditionalFormatting>
  <conditionalFormatting sqref="B110">
    <cfRule type="cellIs" dxfId="58" priority="55" operator="equal" text="null">
      <formula>"yes"</formula>
    </cfRule>
  </conditionalFormatting>
  <conditionalFormatting sqref="B110">
    <cfRule type="expression" dxfId="71" priority="57" text="null">
      <formula>"Yes"</formula>
    </cfRule>
  </conditionalFormatting>
  <conditionalFormatting sqref="B110">
    <cfRule type="cellIs" dxfId="72" priority="56" operator="equal" text="null">
      <formula>"yes"</formula>
    </cfRule>
  </conditionalFormatting>
  <conditionalFormatting sqref="B108">
    <cfRule type="cellIs" dxfId="58" priority="52" operator="equal" text="null">
      <formula>"yes"</formula>
    </cfRule>
  </conditionalFormatting>
  <conditionalFormatting sqref="B108">
    <cfRule type="expression" dxfId="71" priority="54" text="null">
      <formula>"Yes"</formula>
    </cfRule>
  </conditionalFormatting>
  <conditionalFormatting sqref="B108">
    <cfRule type="cellIs" dxfId="72" priority="53" operator="equal" text="null">
      <formula>"yes"</formula>
    </cfRule>
  </conditionalFormatting>
  <conditionalFormatting sqref="B109">
    <cfRule type="cellIs" dxfId="12" priority="51" operator="equal" text="null">
      <formula>"yes"</formula>
    </cfRule>
  </conditionalFormatting>
  <conditionalFormatting sqref="B109">
    <cfRule type="cellIs" dxfId="72" priority="50" operator="equal" text="null">
      <formula>"yes"</formula>
    </cfRule>
  </conditionalFormatting>
  <conditionalFormatting sqref="B106">
    <cfRule type="cellIs" dxfId="58" priority="47" operator="equal" text="null">
      <formula>"yes"</formula>
    </cfRule>
  </conditionalFormatting>
  <conditionalFormatting sqref="B106">
    <cfRule type="expression" dxfId="71" priority="49" text="null">
      <formula>"Yes"</formula>
    </cfRule>
  </conditionalFormatting>
  <conditionalFormatting sqref="B106">
    <cfRule type="cellIs" dxfId="72" priority="48" operator="equal" text="null">
      <formula>"yes"</formula>
    </cfRule>
  </conditionalFormatting>
  <conditionalFormatting sqref="B107">
    <cfRule type="cellIs" dxfId="12" priority="46" operator="equal" text="null">
      <formula>"yes"</formula>
    </cfRule>
  </conditionalFormatting>
  <conditionalFormatting sqref="B107">
    <cfRule type="cellIs" dxfId="72" priority="45" operator="equal" text="null">
      <formula>"yes"</formula>
    </cfRule>
  </conditionalFormatting>
  <conditionalFormatting sqref="B104">
    <cfRule type="cellIs" dxfId="58" priority="42" operator="equal" text="null">
      <formula>"yes"</formula>
    </cfRule>
  </conditionalFormatting>
  <conditionalFormatting sqref="B104">
    <cfRule type="expression" dxfId="71" priority="44" text="null">
      <formula>"Yes"</formula>
    </cfRule>
  </conditionalFormatting>
  <conditionalFormatting sqref="B104">
    <cfRule type="cellIs" dxfId="72" priority="43" operator="equal" text="null">
      <formula>"yes"</formula>
    </cfRule>
  </conditionalFormatting>
  <conditionalFormatting sqref="B105">
    <cfRule type="cellIs" dxfId="12" priority="41" operator="equal" text="null">
      <formula>"yes"</formula>
    </cfRule>
  </conditionalFormatting>
  <conditionalFormatting sqref="B105">
    <cfRule type="cellIs" dxfId="72" priority="40" operator="equal" text="null">
      <formula>"yes"</formula>
    </cfRule>
  </conditionalFormatting>
  <conditionalFormatting sqref="B102">
    <cfRule type="cellIs" dxfId="58" priority="37" operator="equal" text="null">
      <formula>"yes"</formula>
    </cfRule>
  </conditionalFormatting>
  <conditionalFormatting sqref="B102">
    <cfRule type="expression" dxfId="71" priority="39" text="null">
      <formula>"Yes"</formula>
    </cfRule>
  </conditionalFormatting>
  <conditionalFormatting sqref="B102">
    <cfRule type="cellIs" dxfId="72" priority="38" operator="equal" text="null">
      <formula>"yes"</formula>
    </cfRule>
  </conditionalFormatting>
  <conditionalFormatting sqref="B103">
    <cfRule type="cellIs" dxfId="12" priority="36" operator="equal" text="null">
      <formula>"yes"</formula>
    </cfRule>
  </conditionalFormatting>
  <conditionalFormatting sqref="B103">
    <cfRule type="cellIs" dxfId="72" priority="35" operator="equal" text="null">
      <formula>"yes"</formula>
    </cfRule>
  </conditionalFormatting>
  <conditionalFormatting sqref="B98 B100">
    <cfRule type="cellIs" dxfId="58" priority="32" operator="equal" text="null">
      <formula>"yes"</formula>
    </cfRule>
  </conditionalFormatting>
  <conditionalFormatting sqref="B98 B100">
    <cfRule type="expression" dxfId="71" priority="34" text="null">
      <formula>"Yes"</formula>
    </cfRule>
  </conditionalFormatting>
  <conditionalFormatting sqref="B98 B100">
    <cfRule type="cellIs" dxfId="72" priority="33" operator="equal" text="null">
      <formula>"yes"</formula>
    </cfRule>
  </conditionalFormatting>
  <conditionalFormatting sqref="B101">
    <cfRule type="cellIs" dxfId="12" priority="31" operator="equal" text="null">
      <formula>"yes"</formula>
    </cfRule>
  </conditionalFormatting>
  <conditionalFormatting sqref="B101">
    <cfRule type="cellIs" dxfId="72" priority="30" operator="equal" text="null">
      <formula>"yes"</formula>
    </cfRule>
  </conditionalFormatting>
  <conditionalFormatting sqref="B123">
    <cfRule type="cellIs" dxfId="58" priority="27" operator="equal" text="null">
      <formula>"yes"</formula>
    </cfRule>
  </conditionalFormatting>
  <conditionalFormatting sqref="B123">
    <cfRule type="expression" dxfId="71" priority="29" text="null">
      <formula>"Yes"</formula>
    </cfRule>
  </conditionalFormatting>
  <conditionalFormatting sqref="B123">
    <cfRule type="cellIs" dxfId="72" priority="28" operator="equal" text="null">
      <formula>"yes"</formula>
    </cfRule>
  </conditionalFormatting>
  <conditionalFormatting sqref="B125">
    <cfRule type="cellIs" dxfId="58" priority="24" operator="equal" text="null">
      <formula>"yes"</formula>
    </cfRule>
  </conditionalFormatting>
  <conditionalFormatting sqref="B125">
    <cfRule type="expression" dxfId="71" priority="26" text="null">
      <formula>"Yes"</formula>
    </cfRule>
  </conditionalFormatting>
  <conditionalFormatting sqref="B125">
    <cfRule type="cellIs" dxfId="72" priority="25" operator="equal" text="null">
      <formula>"yes"</formula>
    </cfRule>
  </conditionalFormatting>
  <conditionalFormatting sqref="B128">
    <cfRule type="cellIs" dxfId="72" priority="23" operator="equal" text="null">
      <formula>"yes"</formula>
    </cfRule>
  </conditionalFormatting>
  <conditionalFormatting sqref="B131">
    <cfRule type="cellIs" dxfId="72" priority="22" operator="equal" text="null">
      <formula>"yes"</formula>
    </cfRule>
  </conditionalFormatting>
  <conditionalFormatting sqref="B135">
    <cfRule type="cellIs" dxfId="72" priority="21" operator="equal" text="null">
      <formula>"yes"</formula>
    </cfRule>
  </conditionalFormatting>
  <conditionalFormatting sqref="B138">
    <cfRule type="cellIs" dxfId="72" priority="20" operator="equal" text="null">
      <formula>"yes"</formula>
    </cfRule>
  </conditionalFormatting>
  <conditionalFormatting sqref="B155">
    <cfRule type="cellIs" dxfId="58" priority="17" operator="equal" text="null">
      <formula>"yes"</formula>
    </cfRule>
  </conditionalFormatting>
  <conditionalFormatting sqref="B155">
    <cfRule type="expression" dxfId="71" priority="19" text="null">
      <formula>"Yes"</formula>
    </cfRule>
  </conditionalFormatting>
  <conditionalFormatting sqref="B155">
    <cfRule type="cellIs" dxfId="72" priority="18" operator="equal" text="null">
      <formula>"yes"</formula>
    </cfRule>
  </conditionalFormatting>
  <conditionalFormatting sqref="B156">
    <cfRule type="cellIs" dxfId="72" priority="16" operator="equal" text="null">
      <formula>"yes"</formula>
    </cfRule>
  </conditionalFormatting>
  <conditionalFormatting sqref="B159">
    <cfRule type="cellIs" dxfId="58" priority="13" operator="equal" text="null">
      <formula>"yes"</formula>
    </cfRule>
  </conditionalFormatting>
  <conditionalFormatting sqref="B159">
    <cfRule type="expression" dxfId="71" priority="15" text="null">
      <formula>"Yes"</formula>
    </cfRule>
  </conditionalFormatting>
  <conditionalFormatting sqref="B159">
    <cfRule type="cellIs" dxfId="72" priority="14" operator="equal" text="null">
      <formula>"yes"</formula>
    </cfRule>
  </conditionalFormatting>
  <conditionalFormatting sqref="B166">
    <cfRule type="cellIs" dxfId="72" priority="12" operator="equal" text="null">
      <formula>"yes"</formula>
    </cfRule>
  </conditionalFormatting>
  <conditionalFormatting sqref="B168">
    <cfRule type="cellIs" dxfId="72" priority="11" operator="equal" text="null">
      <formula>"yes"</formula>
    </cfRule>
  </conditionalFormatting>
  <conditionalFormatting sqref="B190">
    <cfRule type="cellIs" dxfId="72" priority="10" operator="equal" text="null">
      <formula>"yes"</formula>
    </cfRule>
  </conditionalFormatting>
  <conditionalFormatting sqref="B99">
    <cfRule type="cellIs" dxfId="72" priority="9" operator="equal" text="null">
      <formula>"yes"</formula>
    </cfRule>
  </conditionalFormatting>
  <conditionalFormatting sqref="B111">
    <cfRule type="cellIs" dxfId="72" priority="8" operator="equal" text="null">
      <formula>"yes"</formula>
    </cfRule>
  </conditionalFormatting>
  <conditionalFormatting sqref="L43:M43 L45:M47">
    <cfRule type="expression" dxfId="70" priority="5" text="null">
      <formula>$E$43="N/A"</formula>
    </cfRule>
  </conditionalFormatting>
  <conditionalFormatting sqref="B44:B47">
    <cfRule type="expression" dxfId="3" priority="4" text="null">
      <formula>$E$43="N/A"</formula>
    </cfRule>
  </conditionalFormatting>
  <conditionalFormatting sqref="B30:G30">
    <cfRule type="expression" dxfId="11" priority="1116" text="null">
      <formula>$E$29="Green Certification"</formula>
    </cfRule>
  </conditionalFormatting>
  <conditionalFormatting sqref="E44:G45 K43 E46:E47 K45:K47">
    <cfRule type="expression" dxfId="70" priority="2" text="null">
      <formula>$E$43="N/A"</formula>
    </cfRule>
  </conditionalFormatting>
  <conditionalFormatting sqref="I43 I47 I45">
    <cfRule type="expression" dxfId="3" priority="1" text="null">
      <formula>$E$43="N/A"</formula>
    </cfRule>
  </conditionalFormatting>
  <dataValidations count="22">
    <dataValidation allowBlank="1" prompt="If the pulldown list is updated, confirm the logic is changed to match in the blue cells (Column F) for &quot;Is_Fixed&quot;, &quot;Is_SARM&quot;, and &quot;Is_ARM&quot;." promptTitle="Interest Rate  - pulldown change" showErrorMessage="1" showInputMessage="1" sqref="B196:F203"/>
    <dataValidation allowBlank="1" showErrorMessage="1" showInputMessage="1" sqref="K30" type="list">
      <formula1>$B$385:$B$386</formula1>
    </dataValidation>
    <dataValidation allowBlank="1" showErrorMessage="1" showInputMessage="1" sqref="E28" type="list">
      <formula1>$B$389:$B$393</formula1>
    </dataValidation>
    <dataValidation allowBlank="1" error="Must be greater than 1900, and not in the future." errorTitle="Invalid Year" showErrorMessage="1" showInputMessage="1" sqref="F27" type="whole">
      <formula1>1901</formula1>
      <formula2>YEAR(TODAY())+1</formula2>
    </dataValidation>
    <dataValidation allowBlank="1" showErrorMessage="1" showInputMessage="1" sqref="E31" type="list">
      <formula1>"No, Yes"</formula1>
    </dataValidation>
    <dataValidation allowBlank="1" showErrorMessage="1" showInputMessage="1" sqref="E32" type="list">
      <formula1>$B$271:$B$279</formula1>
    </dataValidation>
    <dataValidation allowBlank="1" error="Must be a percentage,_x005F_x005F_x000A_between 0 and 100%" errorTitle="Invalid Percentage" showErrorMessage="1" showInputMessage="1" sqref="E34 G34"/>
    <dataValidation operator="greaterThanOrEqual" allowBlank="1" error="Must be a number_x005F_x005F_x000A_between 0 and 100%." errorTitle="Invalid Percentage" showErrorMessage="1" showInputMessage="1" sqref="G35:G40 E35:E40" type="decimal">
      <formula1>0</formula1>
    </dataValidation>
    <dataValidation allowBlank="1" showErrorMessage="1" showInputMessage="1" sqref="E22" type="list">
      <formula1>$B$245:$B$251</formula1>
    </dataValidation>
    <dataValidation allowBlank="1" error="Must be a percentage,_x005F_x005F_x000A_between 0 and 100%" errorTitle="Invalid Percentage" showErrorMessage="1" showInputMessage="1" sqref="F34" type="decimal">
      <formula1>0</formula1>
      <formula2>1</formula2>
    </dataValidation>
    <dataValidation allowBlank="1" showErrorMessage="1" showInputMessage="1" sqref="E15" type="list">
      <formula1>$E$333:$E$382</formula1>
    </dataValidation>
    <dataValidation allowBlank="1" showErrorMessage="1" showInputMessage="1" sqref="E29" type="list">
      <formula1>$B$310:$B$312</formula1>
    </dataValidation>
    <dataValidation allowBlank="1" showErrorMessage="1" showInputMessage="1" sqref="K13" type="list">
      <formula1>$B$326:$B$328</formula1>
    </dataValidation>
    <dataValidation allowBlank="1" showErrorMessage="1" showInputMessage="1" sqref="M19" type="list">
      <formula1>$B$290:$B$291</formula1>
    </dataValidation>
    <dataValidation allowBlank="1" showErrorMessage="1" showInputMessage="1" sqref="K15" type="list">
      <formula1>$B$319:$B$323</formula1>
    </dataValidation>
    <dataValidation allowBlank="1" showErrorMessage="1" showInputMessage="1" sqref="K18 B188 L22 B122:B123 B148:B150 B190:B191 B95 B97 B99 B101 B103 B105 B107 B109 B111 B114 B116 B120 B126 B128 B131 B133 B135 B138 B140 B142 B144 B146 B152 B154 B156 B160 B162 B164 B166 B168 B170 B172 B174 B176 B178 B180 B182 B186 E44" type="list">
      <formula1>"Yes, No"</formula1>
    </dataValidation>
    <dataValidation allowBlank="1" showErrorMessage="1" showInputMessage="1" sqref="E13" type="list">
      <formula1>$B$206:$B$210</formula1>
    </dataValidation>
    <dataValidation allowBlank="1" showErrorMessage="1" showInputMessage="1" sqref="E12" type="list">
      <formula1>$B$197:$B$203</formula1>
    </dataValidation>
    <dataValidation allowBlank="1" showErrorMessage="1" showInputMessage="1" sqref="E62" type="list">
      <formula1>$B$302:$B$303</formula1>
    </dataValidation>
    <dataValidation allowBlank="1" showErrorMessage="1" showInputMessage="1" sqref="G62" type="list">
      <formula1>$B$306:$B$307</formula1>
    </dataValidation>
    <dataValidation allowBlank="1" showErrorMessage="1" showInputMessage="1" sqref="E24" type="list">
      <formula1>$B$254:$B$257</formula1>
    </dataValidation>
  </dataValidations>
  <hyperlinks>
    <hyperlink ref="D100:M100" r:id="rId1" display="     Job Aid: Data Guidance for Cross-Defaulted and Cross-Collateralized Mortgage Loans"/>
  </hyperlinks>
  <printOptions horizontalCentered="1"/>
  <pageMargins left="0.25" right="0.25" top="0.25" bottom="0.25" header="0.3" footer="0.3"/>
  <pageSetup useFirstPageNumber="1" fitToHeight="1" fitToWidth="1" paperSize="1" firstPageNumber="1" scale="57" pageOrder="downThenOver" orientation="portrait"/>
  <headerFooter>
    <oddHeader>&amp;L&amp;C&amp;R</oddHeader>
    <oddFooter>&amp;L&amp;C&amp;R</oddFooter>
  </headerFooter>
  <drawing r:id="rId4"/>
  <legacyDrawing r:id="rId3"/>
  <mc:AlternateContent xmlns:mc="http://schemas.openxmlformats.org/markup-compatibility/2006">
    <mc:Choice Requires="x14">
      <controls>
        <mc:AlternateContent xmlns:mc="http://schemas.openxmlformats.org/markup-compatibility/2006">
          <mc:Choice Requires="x14">
            <control shapeId="809714" name="button_SendToTraders" r:id="rId5">
              <controlPr defaultSize="0" autoPict="0" print="0">
                <anchor moveWithCells="1" sizeWithCells="1">
                  <from>
                    <xdr:col>14</xdr:col>
                    <xdr:colOff>177832</xdr:colOff>
                    <xdr:row>1</xdr:row>
                    <xdr:rowOff>114300</xdr:rowOff>
                  </from>
                  <to>
                    <xdr:col>14</xdr:col>
                    <xdr:colOff>1625632</xdr:colOff>
                    <xdr:row>5</xdr:row>
                    <xdr:rowOff>25432</xdr:rowOff>
                  </to>
                </anchor>
              </controlPr>
            </control>
          </mc:Choice>
        </mc:AlternateContent>
        <mc:AlternateContent xmlns:mc="http://schemas.openxmlformats.org/markup-compatibility/2006">
          <mc:Choice Requires="x14">
            <control shapeId="809723" name="button_SendToSalesForce" r:id="rId6">
              <controlPr defaultSize="0" autoPict="0" print="0">
                <anchor moveWithCells="1" sizeWithCells="1">
                  <from>
                    <xdr:col>16</xdr:col>
                    <xdr:colOff>12668</xdr:colOff>
                    <xdr:row>1</xdr:row>
                    <xdr:rowOff>114300</xdr:rowOff>
                  </from>
                  <to>
                    <xdr:col>20</xdr:col>
                    <xdr:colOff>88868</xdr:colOff>
                    <xdr:row>5</xdr:row>
                    <xdr:rowOff>25432</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allowBlank="1" showErrorMessage="1" showInputMessage="1" sqref="K6" type="list">
          <x14:formula1>
            <xm:f>'Dropdowns (DNP)'!$A$2:$A$4</xm:f>
          </x14:formula1>
          <xm:sqref>K6</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74DADB8E-D1D2-FF22-153E-D33710CF2D98}" mc:Ignorable="x14ac xr xr2 xr3">
  <dimension ref="A1:Y30"/>
  <sheetViews>
    <sheetView topLeftCell="A1" workbookViewId="0">
      <selection activeCell="A1" sqref="A1"/>
    </sheetView>
  </sheetViews>
  <sheetFormatPr defaultRowHeight="15" defaultColWidth="8.8515625" customHeight="1"/>
  <cols>
    <col min="1" max="1" style="625" width="24.28125" customWidth="1"/>
    <col min="2" max="2" style="625" width="10.57421875" customWidth="1"/>
    <col min="3" max="3" style="625" width="10.7109375" customWidth="1"/>
    <col min="23" max="23" style="6" width="23.140625" customWidth="1"/>
    <col min="24" max="24" style="6" width="12.00390625" customWidth="1"/>
    <col min="25" max="25" style="6" width="8.8515625" customWidth="1"/>
  </cols>
  <sheetData>
    <row r="1" ht="15" customHeight="1">
      <c r="A1" s="4568" t="s">
        <v>3908</v>
      </c>
      <c r="B1" s="4569">
        <v>0</v>
      </c>
      <c r="C1" s="6"/>
      <c r="D1" s="651"/>
      <c r="E1" s="651"/>
      <c r="F1" s="6"/>
      <c r="G1" s="6"/>
      <c r="H1" s="6"/>
      <c r="I1" s="6"/>
      <c r="J1" s="6"/>
      <c r="K1" s="6"/>
      <c r="L1" s="6"/>
      <c r="M1" s="6"/>
      <c r="N1" s="6"/>
      <c r="O1" s="6"/>
      <c r="P1" s="6"/>
      <c r="Q1" s="6"/>
      <c r="R1" s="6"/>
      <c r="S1" s="6"/>
      <c r="T1" s="6"/>
      <c r="U1" s="6"/>
      <c r="V1" s="6"/>
    </row>
    <row r="2" ht="15.75" customHeight="1">
      <c r="A2" s="4570" t="s">
        <v>3909</v>
      </c>
      <c r="B2" s="4571">
        <v>0</v>
      </c>
      <c r="C2" s="6"/>
      <c r="E2" s="4572"/>
      <c r="F2" s="4572"/>
      <c r="G2" s="4572"/>
      <c r="H2" s="4572"/>
      <c r="I2" s="4572"/>
      <c r="J2" s="4572"/>
      <c r="K2" s="4572"/>
      <c r="L2" s="4572"/>
      <c r="M2" s="4572"/>
      <c r="N2" s="4572"/>
      <c r="O2" s="4572"/>
      <c r="P2" s="4572"/>
      <c r="Q2" s="4572"/>
      <c r="R2" s="4572"/>
      <c r="S2" s="4572"/>
      <c r="T2" s="6"/>
      <c r="U2" s="6"/>
      <c r="V2" s="6"/>
    </row>
    <row r="3" ht="35.25" customHeight="1">
      <c r="A3" s="4573" t="s">
        <v>3910</v>
      </c>
      <c r="B3" s="4574">
        <v>0</v>
      </c>
      <c r="C3" s="6"/>
      <c r="D3" s="4572"/>
      <c r="E3" s="4572"/>
      <c r="F3" s="4572"/>
      <c r="G3" s="4572"/>
      <c r="H3" s="4572"/>
      <c r="I3" s="4572"/>
      <c r="J3" s="4572"/>
      <c r="K3" s="4572"/>
      <c r="L3" s="4572" t="s">
        <v>3911</v>
      </c>
      <c r="M3" s="4572"/>
      <c r="N3" s="4572"/>
      <c r="O3" s="4572"/>
      <c r="P3" s="4572"/>
      <c r="Q3" s="4572"/>
      <c r="R3" s="4572"/>
      <c r="S3" s="4572"/>
      <c r="T3" s="6"/>
      <c r="U3" s="6"/>
      <c r="V3" s="6"/>
      <c r="W3" s="1476" t="s">
        <v>3912</v>
      </c>
      <c r="X3" s="4575"/>
    </row>
    <row r="4" ht="15" customHeight="1">
      <c r="A4" s="6"/>
      <c r="B4" s="6"/>
      <c r="C4" s="6"/>
      <c r="D4" s="651"/>
      <c r="E4" s="651"/>
      <c r="F4" s="6"/>
      <c r="G4" s="6"/>
      <c r="H4" s="6"/>
      <c r="I4" s="6"/>
      <c r="J4" s="6"/>
      <c r="K4" s="6"/>
      <c r="L4" s="6"/>
      <c r="M4" s="6"/>
      <c r="N4" s="6"/>
      <c r="O4" s="6"/>
      <c r="P4" s="6"/>
      <c r="Q4" s="6"/>
      <c r="R4" s="6"/>
      <c r="S4" s="6"/>
      <c r="T4" s="6"/>
      <c r="U4" s="6"/>
      <c r="V4" s="6"/>
      <c r="W4" s="1336" t="s">
        <v>3913</v>
      </c>
      <c r="X4" s="4576">
        <v>1</v>
      </c>
    </row>
    <row r="5" ht="17.25" customHeight="1">
      <c r="A5" s="6"/>
      <c r="B5" s="6"/>
      <c r="C5" s="6"/>
      <c r="D5" s="4577" t="s">
        <v>384</v>
      </c>
      <c r="E5" s="4577" t="s">
        <v>3914</v>
      </c>
      <c r="F5" s="4577" t="s">
        <v>3915</v>
      </c>
      <c r="G5" s="6"/>
      <c r="H5" s="6"/>
      <c r="I5" s="6"/>
      <c r="J5" s="1380" t="s">
        <v>384</v>
      </c>
      <c r="K5" s="1380"/>
      <c r="L5" s="1380" t="s">
        <v>3914</v>
      </c>
      <c r="M5" s="1380"/>
      <c r="N5" s="1380" t="s">
        <v>3915</v>
      </c>
      <c r="O5" s="1380"/>
      <c r="P5" s="6"/>
      <c r="Q5" s="6"/>
      <c r="R5" s="6"/>
      <c r="S5" s="1380"/>
      <c r="T5" s="1380"/>
      <c r="U5" s="1"/>
      <c r="V5" s="6"/>
      <c r="W5" s="1336" t="s">
        <v>3916</v>
      </c>
      <c r="X5" s="4578">
        <v>0</v>
      </c>
    </row>
    <row r="6" ht="15" customHeight="1">
      <c r="A6" s="4579" t="s">
        <v>3917</v>
      </c>
      <c r="B6" s="4580" t="s">
        <v>293</v>
      </c>
      <c r="C6" s="4581" t="s">
        <v>413</v>
      </c>
      <c r="D6" s="4582">
        <f>_xlfn.IFERROR(SOps_UnderwrittenNCF/(IF('SBL Quotes'!AN32="Supplemental",FirstDebtService_IfSupp+SecondDebtService_IfSupp+ThirdDebtService_IfSupp)+AmortizingDebtService),0)</f>
        <v>0</v>
      </c>
      <c r="E6" s="4582" t="e">
        <f>SOps_UnderwrittenNCF/(IF('SBL Quotes'!AN32="Supplemental",FirstDebtService_IfSupp+SecondDebtService_IfSupp+ThirdDebtService_IfSupp)+(LoanAmount*SARMPayConstant))</f>
        <v>#NAME?</v>
      </c>
      <c r="F6" s="4583" t="e">
        <f>SOps_UnderwrittenNCF/(IF('SBL Quotes'!AN32="Supplemental",FirstDebtService_IfSupp+SecondDebtService_IfSupp+ThirdDebtService_IfSupp)+(LoanAmount*SARMPayRate*365/360)+(FixedPrinPayment*12))</f>
        <v>#NAME?</v>
      </c>
      <c r="G6" s="6"/>
      <c r="H6" s="4584" t="str">
        <f t="shared" si="0" ref="H6:H24">A6</f>
        <v>UW NCF DSCR</v>
      </c>
      <c r="I6" s="4585"/>
      <c r="J6" s="4586" t="e">
        <f>IF(AND(Interest_Rate_Type="Fixed",Interest_Calc="Actual/360"),IF(InterestOnly=Term,'C&amp;D Data Inputs'!D8,IF(InterestOnly=0,'C&amp;D Data Inputs'!D6,'C&amp;D Data Inputs'!D7)),IF(AND(Interest_Rate_Type="Fixed",Interest_Calc="30/360"),IF(InterestOnly=Term,'C&amp;D Data Inputs'!D11,IF(InterestOnly=0,'C&amp;D Data Inputs'!D9,'C&amp;D Data Inputs'!D10))))</f>
        <v>#NAME?</v>
      </c>
      <c r="K6" s="4587"/>
      <c r="L6" s="4586" t="b">
        <f>IF(AND(Interest_Rate_Type="Variable: ARM 7-6",Interest_Calc="Actual/360"),IF(InterestOnly=Term,'C&amp;D Data Inputs'!E8,IF(InterestOnly=0,'C&amp;D Data Inputs'!E6,'C&amp;D Data Inputs'!E7)),IF(AND(Interest_Rate_Type="Variable: ARM 7-6",Interest_Calc="30/360"),IF(InterestOnly=Term,'C&amp;D Data Inputs'!E11,IF(InterestOnly=0,'C&amp;D Data Inputs'!E9,'C&amp;D Data Inputs'!E10))))</f>
        <v>0</v>
      </c>
      <c r="M6" s="4587"/>
      <c r="N6" s="4586" t="b">
        <f>IF(AND(Interest_Rate_Type="Variable: SARM",Interest_Calc="Actual/360"),IF(InterestOnly=Term,'C&amp;D Data Inputs'!F8,IF(InterestOnly=0,'C&amp;D Data Inputs'!F6,'C&amp;D Data Inputs'!F7)),IF(AND(Interest_Rate_Type="Variable: SARM",Interest_Calc="30/360"),IF(InterestOnly=Term,'C&amp;D Data Inputs'!F11,IF(InterestOnly=0,'C&amp;D Data Inputs'!F9,'C&amp;D Data Inputs'!F10))))</f>
        <v>0</v>
      </c>
      <c r="O6" s="4588"/>
      <c r="P6" s="6"/>
      <c r="Q6" s="4589" t="str">
        <f t="shared" si="1" ref="Q6:Q24">A6</f>
        <v>UW NCF DSCR</v>
      </c>
      <c r="R6" s="4590"/>
      <c r="S6" s="4586" t="e">
        <f t="shared" si="2" ref="S6:S24">IF(Interest_Rate_Type="Fixed",J6,IF(Interest_Rate_Type="Variable: ARM 7-6",L6,IF(Interest_Rate_Type="Variable: SARM",N6)))</f>
        <v>#NAME?</v>
      </c>
      <c r="T6" s="4588"/>
      <c r="U6" s="651"/>
      <c r="V6" s="6"/>
      <c r="W6" s="1336" t="s">
        <v>3918</v>
      </c>
      <c r="X6" s="4591">
        <v>0</v>
      </c>
    </row>
    <row r="7" ht="15" customHeight="1">
      <c r="A7" s="4592"/>
      <c r="B7" s="4593"/>
      <c r="C7" s="4594" t="s">
        <v>3919</v>
      </c>
      <c r="D7" s="1163" t="e">
        <f>SOps_UnderwrittenNCF/(IF('SBL Quotes'!AN32="Supplemental",FirstDebtService_IfSupp+SecondDebtService_IfSupp+ThirdDebtService_IfSupp)+AmortizingDebtService)</f>
        <v>#NAME?</v>
      </c>
      <c r="E7" s="1163" t="e">
        <f>SOps_UnderwrittenNCF/(IF('SBL Quotes'!AN32="Supplemental",FirstDebtService_IfSupp+SecondDebtService_IfSupp+ThirdDebtService_IfSupp)+(LoanAmount*SARMPayConstant))</f>
        <v>#NAME?</v>
      </c>
      <c r="F7" s="4595" t="e">
        <f>SOps_UnderwrittenNCF/(IF('SBL Quotes'!AN32="Supplemental",FirstDebtService_IfSupp+SecondDebtService_IfSupp+ThirdDebtService_IfSupp)+(LoanAmount*SARMPayRate*365/360)+(FixedPrinPayment*12))</f>
        <v>#NAME?</v>
      </c>
      <c r="G7" s="6"/>
      <c r="H7" s="4596"/>
      <c r="I7" s="4597"/>
      <c r="J7" s="4598"/>
      <c r="K7" s="4599"/>
      <c r="L7" s="4598"/>
      <c r="M7" s="4599"/>
      <c r="N7" s="4598"/>
      <c r="O7" s="4600"/>
      <c r="P7" s="6"/>
      <c r="Q7" s="4601"/>
      <c r="R7" s="4602"/>
      <c r="S7" s="4598"/>
      <c r="T7" s="4600"/>
      <c r="U7" s="651"/>
      <c r="V7" s="6"/>
      <c r="W7" s="1336" t="s">
        <v>3920</v>
      </c>
      <c r="X7" s="4591">
        <v>0</v>
      </c>
    </row>
    <row r="8" ht="15.75" customHeight="1">
      <c r="A8" s="4592"/>
      <c r="B8" s="4603"/>
      <c r="C8" s="4604" t="s">
        <v>3921</v>
      </c>
      <c r="D8" s="4605" t="e">
        <f>SOps_UnderwrittenNCF/(IF('SBL Quotes'!AN32="Supplemental",FirstDebtService_IfSupp+SecondDebtService_IfSupp+ThirdDebtService_IfSupp)+(LoanAmount*(NoteRate*365/360)))</f>
        <v>#NAME?</v>
      </c>
      <c r="E8" s="4605" t="e">
        <f>SOps_UnderwrittenNCF/(IF('SBL Quotes'!AN32="Supplemental",FirstDebtService_IfSupp+SecondDebtService_IfSupp+ThirdDebtService_IfSupp)+(LoanAmount*SARMPayRate*365/360))</f>
        <v>#NAME?</v>
      </c>
      <c r="F8" s="4606" t="e">
        <f>SOps_UnderwrittenNCF/(IF('SBL Quotes'!AN32="Supplemental",FirstDebtService_IfSupp+SecondDebtService_IfSupp+ThirdDebtService_IfSupp)+(LoanAmount*SARMPayRate*365/360))</f>
        <v>#NAME?</v>
      </c>
      <c r="G8" s="6"/>
      <c r="H8" s="4596"/>
      <c r="I8" s="4597"/>
      <c r="J8" s="4598"/>
      <c r="K8" s="4599"/>
      <c r="L8" s="4598"/>
      <c r="M8" s="4599"/>
      <c r="N8" s="4598"/>
      <c r="O8" s="4600"/>
      <c r="P8" s="6"/>
      <c r="Q8" s="4601"/>
      <c r="R8" s="4602"/>
      <c r="S8" s="4598"/>
      <c r="T8" s="4600"/>
      <c r="U8" s="651"/>
      <c r="V8" s="6"/>
      <c r="W8" s="1336" t="s">
        <v>3922</v>
      </c>
      <c r="X8" s="4578">
        <v>0</v>
      </c>
    </row>
    <row r="9" ht="15" customHeight="1">
      <c r="A9" s="4592"/>
      <c r="B9" s="4580" t="s">
        <v>294</v>
      </c>
      <c r="C9" s="4581" t="s">
        <v>413</v>
      </c>
      <c r="D9" s="4582" t="e">
        <f>SOps_UnderwrittenNCF/(IF('SBL Quotes'!AN32="Supplemental",FirstDebtService_IfSupp+SecondDebtService_IfSupp+ThirdDebtService_IfSupp)+AmortizingDebtService)</f>
        <v>#NAME?</v>
      </c>
      <c r="E9" s="4582" t="e">
        <f>SOps_UnderwrittenNCF/(IF('SBL Quotes'!AN32="Supplemental",FirstDebtService_IfSupp+SecondDebtService_IfSupp+ThirdDebtService_IfSupp)+(LoanAmount*SARMPayConstant))</f>
        <v>#NAME?</v>
      </c>
      <c r="F9" s="4583" t="e">
        <f>SOps_UnderwrittenNCF/(IF('SBL Quotes'!AN32="Supplemental",FirstDebtService_IfSupp+SecondDebtService_IfSupp+ThirdDebtService_IfSupp)+(LoanAmount*SARMPayRate)+(FixedPrinPayment*12))</f>
        <v>#NAME?</v>
      </c>
      <c r="G9" s="6"/>
      <c r="H9" s="4596"/>
      <c r="I9" s="4597"/>
      <c r="J9" s="4598"/>
      <c r="K9" s="4599"/>
      <c r="L9" s="4598"/>
      <c r="M9" s="4599"/>
      <c r="N9" s="4598"/>
      <c r="O9" s="4600"/>
      <c r="P9" s="6"/>
      <c r="Q9" s="4601"/>
      <c r="R9" s="4602"/>
      <c r="S9" s="4598"/>
      <c r="T9" s="4600"/>
      <c r="U9" s="651"/>
      <c r="V9" s="6"/>
      <c r="W9" s="1336" t="s">
        <v>3923</v>
      </c>
      <c r="X9" s="4578">
        <v>0</v>
      </c>
    </row>
    <row r="10" ht="15" customHeight="1">
      <c r="A10" s="4592"/>
      <c r="B10" s="4593"/>
      <c r="C10" s="4594" t="s">
        <v>3919</v>
      </c>
      <c r="D10" s="1163" t="e">
        <f>SOps_UnderwrittenNCF/(IF('SBL Quotes'!AN32="Supplemental",FirstDebtService_IfSupp+SecondDebtService_IfSupp+ThirdDebtService_IfSupp)+AmortizingDebtService)</f>
        <v>#NAME?</v>
      </c>
      <c r="E10" s="1163" t="e">
        <f>SOps_UnderwrittenNCF/(IF('SBL Quotes'!AN32="Supplemental",FirstDebtService_IfSupp+SecondDebtService_IfSupp+ThirdDebtService_IfSupp)+(LoanAmount*SARMPayConstant))</f>
        <v>#NAME?</v>
      </c>
      <c r="F10" s="4595" t="e">
        <f>SOps_UnderwrittenNCF/(IF('SBL Quotes'!AN32="Supplemental",FirstDebtService_IfSupp+SecondDebtService_IfSupp+ThirdDebtService_IfSupp)+(LoanAmount*SARMPayRate)+(FixedPrinPayment*12))</f>
        <v>#NAME?</v>
      </c>
      <c r="G10" s="6"/>
      <c r="H10" s="4596"/>
      <c r="I10" s="4597"/>
      <c r="J10" s="4598"/>
      <c r="K10" s="4599"/>
      <c r="L10" s="4598"/>
      <c r="M10" s="4599"/>
      <c r="N10" s="4598"/>
      <c r="O10" s="4600"/>
      <c r="P10" s="6"/>
      <c r="Q10" s="4601"/>
      <c r="R10" s="4602"/>
      <c r="S10" s="4598"/>
      <c r="T10" s="4600"/>
      <c r="U10" s="651"/>
      <c r="V10" s="6"/>
      <c r="W10" s="1336" t="s">
        <v>3924</v>
      </c>
      <c r="X10" s="4578">
        <v>0</v>
      </c>
    </row>
    <row r="11" ht="15.75" customHeight="1">
      <c r="A11" s="4607"/>
      <c r="B11" s="4603"/>
      <c r="C11" s="4604" t="s">
        <v>3921</v>
      </c>
      <c r="D11" s="4605" t="e">
        <f>SOps_UnderwrittenNCF/(IF('SBL Quotes'!AN32="Supplemental",FirstDebtService_IfSupp+SecondDebtService_IfSupp+ThirdDebtService_IfSupp)+(LoanAmount*NoteRate))</f>
        <v>#NAME?</v>
      </c>
      <c r="E11" s="4605" t="e">
        <f>SOps_UnderwrittenNCF/(IF('SBL Quotes'!AN32="Supplemental",FirstDebtService_IfSupp+SecondDebtService_IfSupp+ThirdDebtService_IfSupp)+(LoanAmount*SARMPayRate))</f>
        <v>#NAME?</v>
      </c>
      <c r="F11" s="4606" t="e">
        <f>SOps_UnderwrittenNCF/(IF('SBL Quotes'!AN32="Supplemental",FirstDebtService_IfSupp+SecondDebtService_IfSupp+ThirdDebtService_IfSupp)+(LoanAmount*SARMPayRate))</f>
        <v>#NAME?</v>
      </c>
      <c r="G11" s="6"/>
      <c r="H11" s="4608"/>
      <c r="I11" s="4609"/>
      <c r="J11" s="4610"/>
      <c r="K11" s="4611"/>
      <c r="L11" s="4610"/>
      <c r="M11" s="4611"/>
      <c r="N11" s="4610"/>
      <c r="O11" s="4612"/>
      <c r="P11" s="6"/>
      <c r="Q11" s="4613"/>
      <c r="R11" s="4614"/>
      <c r="S11" s="4610"/>
      <c r="T11" s="4612"/>
      <c r="U11" s="651"/>
      <c r="V11" s="6"/>
      <c r="W11" s="1336" t="s">
        <v>3925</v>
      </c>
      <c r="X11" s="4578">
        <v>0</v>
      </c>
    </row>
    <row r="12" ht="15" customHeight="1">
      <c r="A12" s="4579" t="s">
        <v>3926</v>
      </c>
      <c r="B12" s="4580" t="s">
        <v>293</v>
      </c>
      <c r="C12" s="4581" t="s">
        <v>413</v>
      </c>
      <c r="D12" s="4581" t="s">
        <v>174</v>
      </c>
      <c r="E12" s="4581" t="s">
        <v>174</v>
      </c>
      <c r="F12" s="4615" t="s">
        <v>174</v>
      </c>
      <c r="G12" s="6"/>
      <c r="H12" s="4616" t="str">
        <f t="shared" si="0"/>
        <v>UW NCF DSCR IO</v>
      </c>
      <c r="I12" s="4617"/>
      <c r="J12" s="4618" t="e">
        <f>IF(AND(Interest_Rate_Type="Fixed",Interest_Calc="Actual/360"),IF(InterestOnly=Term,'C&amp;D Data Inputs'!D14,IF(InterestOnly=0,'C&amp;D Data Inputs'!D12,'C&amp;D Data Inputs'!D13)),IF(AND(Interest_Rate_Type="Fixed",Interest_Calc="30/360"),IF(InterestOnly=Term,'C&amp;D Data Inputs'!D17,IF(InterestOnly=0,'C&amp;D Data Inputs'!D15,'C&amp;D Data Inputs'!D16))))</f>
        <v>#NAME?</v>
      </c>
      <c r="K12" s="4619"/>
      <c r="L12" s="4618" t="b">
        <f>IF(AND(Interest_Rate_Type="Variable: ARM 7-6",Interest_Calc="Actual/360"),IF(InterestOnly=Term,'C&amp;D Data Inputs'!E14,IF(InterestOnly=0,'C&amp;D Data Inputs'!E12,'C&amp;D Data Inputs'!E13)),IF(AND(Interest_Rate_Type="Variable: ARM 7-6",Interest_Calc="30/360"),IF(InterestOnly=Term,'C&amp;D Data Inputs'!E17,IF(InterestOnly=0,'C&amp;D Data Inputs'!E15,'C&amp;D Data Inputs'!E16))))</f>
        <v>0</v>
      </c>
      <c r="M12" s="4619"/>
      <c r="N12" s="4618" t="b">
        <f>IF(AND(Interest_Rate_Type="Variable: SARM",Interest_Calc="Actual/360"),IF(InterestOnly=Term,'C&amp;D Data Inputs'!F14,IF(InterestOnly=0,'C&amp;D Data Inputs'!F12,'C&amp;D Data Inputs'!F13)),IF(AND(Interest_Rate_Type="Variable: SARM",Interest_Calc="30/360"),IF(InterestOnly=Term,'C&amp;D Data Inputs'!F17,IF(InterestOnly=0,'C&amp;D Data Inputs'!F15,'C&amp;D Data Inputs'!F16))))</f>
        <v>0</v>
      </c>
      <c r="O12" s="4620"/>
      <c r="P12" s="6"/>
      <c r="Q12" s="4621" t="str">
        <f t="shared" si="1"/>
        <v>UW NCF DSCR IO</v>
      </c>
      <c r="R12" s="4622"/>
      <c r="S12" s="4618" t="e">
        <f t="shared" si="2"/>
        <v>#NAME?</v>
      </c>
      <c r="T12" s="4620"/>
      <c r="U12" s="651"/>
      <c r="V12" s="6"/>
      <c r="W12" s="1336" t="s">
        <v>3927</v>
      </c>
      <c r="X12" s="4578">
        <v>0</v>
      </c>
    </row>
    <row r="13" ht="15" customHeight="1">
      <c r="A13" s="4592"/>
      <c r="B13" s="4593"/>
      <c r="C13" s="4594" t="s">
        <v>3919</v>
      </c>
      <c r="D13" s="1163" t="e">
        <f>SOps_UnderwrittenNCF/(IF('SBL Quotes'!AN32="Supplemental",FirstDebtService_IfSupp+SecondDebtService_IfSupp+ThirdDebtService_IfSupp)+(LoanAmount*(NoteRate*365/360)))</f>
        <v>#NAME?</v>
      </c>
      <c r="E13" s="1163" t="e">
        <f>SOps_UnderwrittenNCF/(IF('SBL Quotes'!AN32="Supplemental",FirstDebtService_IfSupp+SecondDebtService_IfSupp+ThirdDebtService_IfSupp)+(LoanAmount*SARMPayRate*365/360))</f>
        <v>#NAME?</v>
      </c>
      <c r="F13" s="4595" t="e">
        <f>SOps_UnderwrittenNCF/(IF('SBL Quotes'!AN32="Supplemental",FirstDebtService_IfSupp+SecondDebtService_IfSupp+ThirdDebtService_IfSupp)+(LoanAmount*SARMPayRate*365/360))</f>
        <v>#NAME?</v>
      </c>
      <c r="G13" s="6"/>
      <c r="H13" s="4596"/>
      <c r="I13" s="4597"/>
      <c r="J13" s="4598"/>
      <c r="K13" s="4599"/>
      <c r="L13" s="4598"/>
      <c r="M13" s="4599"/>
      <c r="N13" s="4598"/>
      <c r="O13" s="4600"/>
      <c r="P13" s="6"/>
      <c r="Q13" s="4601"/>
      <c r="R13" s="4602"/>
      <c r="S13" s="4598"/>
      <c r="T13" s="4600"/>
      <c r="U13" s="651"/>
      <c r="V13" s="6"/>
      <c r="W13" s="1336" t="s">
        <v>3928</v>
      </c>
      <c r="X13" s="4578">
        <v>0</v>
      </c>
    </row>
    <row r="14" ht="15.75" customHeight="1">
      <c r="A14" s="4592"/>
      <c r="B14" s="4603"/>
      <c r="C14" s="4604" t="s">
        <v>3921</v>
      </c>
      <c r="D14" s="4605" t="e">
        <f>SOps_UnderwrittenNCF/(IF('SBL Quotes'!AN32="Supplemental",FirstDebtService_IfSupp+SecondDebtService_IfSupp+ThirdDebtService_IfSupp)+(LoanAmount*(NoteRate*365/360)))</f>
        <v>#NAME?</v>
      </c>
      <c r="E14" s="4605" t="e">
        <f>SOps_UnderwrittenNCF/(IF('SBL Quotes'!AN32="Supplemental",FirstDebtService_IfSupp+SecondDebtService_IfSupp+ThirdDebtService_IfSupp)+(LoanAmount*SARMPayRate*365/360))</f>
        <v>#NAME?</v>
      </c>
      <c r="F14" s="4606" t="e">
        <f>SOps_UnderwrittenNCF/(IF('SBL Quotes'!AN32="Supplemental",FirstDebtService_IfSupp+SecondDebtService_IfSupp+ThirdDebtService_IfSupp)+(LoanAmount*SARMPayRate*365/360))</f>
        <v>#NAME?</v>
      </c>
      <c r="G14" s="6"/>
      <c r="H14" s="4596"/>
      <c r="I14" s="4597"/>
      <c r="J14" s="4598"/>
      <c r="K14" s="4599"/>
      <c r="L14" s="4598"/>
      <c r="M14" s="4599"/>
      <c r="N14" s="4598"/>
      <c r="O14" s="4600"/>
      <c r="P14" s="6"/>
      <c r="Q14" s="4601"/>
      <c r="R14" s="4602"/>
      <c r="S14" s="4598"/>
      <c r="T14" s="4600"/>
      <c r="U14" s="651"/>
      <c r="V14" s="6"/>
      <c r="W14" s="839"/>
      <c r="X14" s="884"/>
    </row>
    <row r="15" ht="15" customHeight="1">
      <c r="A15" s="4592"/>
      <c r="B15" s="4580" t="s">
        <v>294</v>
      </c>
      <c r="C15" s="4581" t="s">
        <v>413</v>
      </c>
      <c r="D15" s="4581" t="s">
        <v>174</v>
      </c>
      <c r="E15" s="4581" t="s">
        <v>174</v>
      </c>
      <c r="F15" s="4615" t="s">
        <v>174</v>
      </c>
      <c r="G15" s="6"/>
      <c r="H15" s="4596"/>
      <c r="I15" s="4597"/>
      <c r="J15" s="4598"/>
      <c r="K15" s="4599"/>
      <c r="L15" s="4598"/>
      <c r="M15" s="4599"/>
      <c r="N15" s="4598"/>
      <c r="O15" s="4600"/>
      <c r="P15" s="6"/>
      <c r="Q15" s="4601"/>
      <c r="R15" s="4602"/>
      <c r="S15" s="4598"/>
      <c r="T15" s="4600"/>
      <c r="U15" s="651"/>
      <c r="V15" s="6"/>
    </row>
    <row r="16" ht="15" customHeight="1">
      <c r="A16" s="4592"/>
      <c r="B16" s="4593"/>
      <c r="C16" s="4594" t="s">
        <v>3919</v>
      </c>
      <c r="D16" s="1163" t="e">
        <f>SOps_UnderwrittenNCF/(IF('SBL Quotes'!AN32="Supplemental",FirstDebtService_IfSupp+SecondDebtService_IfSupp+ThirdDebtService_IfSupp)+(LoanAmount*NoteRate))</f>
        <v>#NAME?</v>
      </c>
      <c r="E16" s="1163" t="e">
        <f>SOps_UnderwrittenNCF/(IF('SBL Quotes'!AN32="Supplemental",FirstDebtService_IfSupp+SecondDebtService_IfSupp+ThirdDebtService_IfSupp)+(LoanAmount*SARMPayRate))</f>
        <v>#NAME?</v>
      </c>
      <c r="F16" s="4595" t="e">
        <f>SOps_UnderwrittenNCF/(IF('SBL Quotes'!AN32="Supplemental",FirstDebtService_IfSupp+SecondDebtService_IfSupp+ThirdDebtService_IfSupp)+(LoanAmount*SARMPayRate))</f>
        <v>#NAME?</v>
      </c>
      <c r="G16" s="6"/>
      <c r="H16" s="4596"/>
      <c r="I16" s="4597"/>
      <c r="J16" s="4598"/>
      <c r="K16" s="4599"/>
      <c r="L16" s="4598"/>
      <c r="M16" s="4599"/>
      <c r="N16" s="4598"/>
      <c r="O16" s="4600"/>
      <c r="P16" s="6"/>
      <c r="Q16" s="4601"/>
      <c r="R16" s="4602"/>
      <c r="S16" s="4598"/>
      <c r="T16" s="4600"/>
      <c r="U16" s="651"/>
      <c r="V16" s="6"/>
    </row>
    <row r="17" ht="15.75" customHeight="1">
      <c r="A17" s="4607"/>
      <c r="B17" s="4603"/>
      <c r="C17" s="4604" t="s">
        <v>3921</v>
      </c>
      <c r="D17" s="4605" t="e">
        <f>SOps_UnderwrittenNCF/(IF('SBL Quotes'!AN32="Supplemental",FirstDebtService_IfSupp+SecondDebtService_IfSupp+ThirdDebtService_IfSupp)+(LoanAmount*NoteRate))</f>
        <v>#NAME?</v>
      </c>
      <c r="E17" s="4605" t="e">
        <f>SOps_UnderwrittenNCF/(IF('SBL Quotes'!AN32="Supplemental",FirstDebtService_IfSupp+SecondDebtService_IfSupp+ThirdDebtService_IfSupp)+(LoanAmount*SARMPayRate))</f>
        <v>#NAME?</v>
      </c>
      <c r="F17" s="4606" t="e">
        <f>SOps_UnderwrittenNCF/(IF('SBL Quotes'!AN32="Supplemental",FirstDebtService_IfSupp+SecondDebtService_IfSupp+ThirdDebtService_IfSupp)+(LoanAmount*SARMPayRate))</f>
        <v>#NAME?</v>
      </c>
      <c r="G17" s="6"/>
      <c r="H17" s="4608"/>
      <c r="I17" s="4609"/>
      <c r="J17" s="4610"/>
      <c r="K17" s="4611"/>
      <c r="L17" s="4610"/>
      <c r="M17" s="4611"/>
      <c r="N17" s="4610"/>
      <c r="O17" s="4612"/>
      <c r="P17" s="6"/>
      <c r="Q17" s="4613"/>
      <c r="R17" s="4614"/>
      <c r="S17" s="4610"/>
      <c r="T17" s="4612"/>
      <c r="U17" s="651"/>
      <c r="V17" s="6"/>
    </row>
    <row r="18" ht="15" customHeight="1">
      <c r="A18" s="4579" t="s">
        <v>3929</v>
      </c>
      <c r="B18" s="4580" t="s">
        <v>293</v>
      </c>
      <c r="C18" s="4581" t="s">
        <v>413</v>
      </c>
      <c r="D18" s="4582" t="e">
        <f>SOps_UnderwrittenNCF/(IF('SBL Quotes'!AN32="Supplemental",FirstDebtService_IfSupp+SecondDebtService_IfSupp+ThirdDebtService_IfSupp)+(AmortizingDebtService+SUM(B1+B2)))</f>
        <v>#NAME?</v>
      </c>
      <c r="E18" s="4582" t="e">
        <f>SOps_UnderwrittenNCF/(IF('SBL Quotes'!AN32="Supplemental",FirstDebtService_IfSupp+SecondDebtService_IfSupp+ThirdDebtService_IfSupp)+(LoanAmount*SARMPayConstant)+SUM(B1:B2))</f>
        <v>#NAME?</v>
      </c>
      <c r="F18" s="4583" t="e">
        <f>SOps_UnderwrittenNCF/(IF('SBL Quotes'!AN32="Supplemental",FirstDebtService_IfSupp+SecondDebtService_IfSupp+ThirdDebtService_IfSupp)+(LoanAmount*SARMPayRate*365/360)+(FixedPrinPayment*12)+SUM(B1:B2))</f>
        <v>#NAME?</v>
      </c>
      <c r="G18" s="6"/>
      <c r="H18" s="4616" t="str">
        <f t="shared" si="0"/>
        <v>UW NCF DSCR ALL IN</v>
      </c>
      <c r="I18" s="4617"/>
      <c r="J18" s="4618" t="e">
        <f>IF(AND(Interest_Rate_Type="Fixed",Interest_Calc="Actual/360"),IF(InterestOnly=Term,'C&amp;D Data Inputs'!D20,IF(InterestOnly=0,'C&amp;D Data Inputs'!D18,'C&amp;D Data Inputs'!D19)),IF(AND(Interest_Rate_Type="Fixed",Interest_Calc="30/360"),IF(InterestOnly=Term,'C&amp;D Data Inputs'!D23,IF(InterestOnly=0,'C&amp;D Data Inputs'!D21,'C&amp;D Data Inputs'!D22))))</f>
        <v>#NAME?</v>
      </c>
      <c r="K18" s="4619"/>
      <c r="L18" s="4618" t="b">
        <f>IF(AND(Interest_Rate_Type="Variable: ARM 7-6",Interest_Calc="Actual/360"),IF(InterestOnly=Term,'C&amp;D Data Inputs'!E20,IF(InterestOnly=0,'C&amp;D Data Inputs'!E18,'C&amp;D Data Inputs'!E19)),IF(AND(Interest_Rate_Type="Variable: ARM 7-6",Interest_Calc="30/360"),IF(InterestOnly=Term,'C&amp;D Data Inputs'!E23,IF(InterestOnly=0,'C&amp;D Data Inputs'!E21,'C&amp;D Data Inputs'!E22))))</f>
        <v>0</v>
      </c>
      <c r="M18" s="4619"/>
      <c r="N18" s="4618" t="b">
        <f>IF(AND(Interest_Rate_Type="Variable: SARM",Interest_Calc="Actual/360"),IF(InterestOnly=Term,'C&amp;D Data Inputs'!F20,IF(InterestOnly=0,'C&amp;D Data Inputs'!F18,'C&amp;D Data Inputs'!F19)),IF(AND(Interest_Rate_Type="Variable: SARM",Interest_Calc="30/360"),IF(InterestOnly=Term,'C&amp;D Data Inputs'!F23,IF(InterestOnly=0,'C&amp;D Data Inputs'!F21,'C&amp;D Data Inputs'!F22))))</f>
        <v>0</v>
      </c>
      <c r="O18" s="4620"/>
      <c r="P18" s="6"/>
      <c r="Q18" s="4621" t="str">
        <f t="shared" si="1"/>
        <v>UW NCF DSCR ALL IN</v>
      </c>
      <c r="R18" s="4622"/>
      <c r="S18" s="4618" t="e">
        <f t="shared" si="2"/>
        <v>#NAME?</v>
      </c>
      <c r="T18" s="4620"/>
      <c r="U18" s="651"/>
      <c r="V18" s="6"/>
    </row>
    <row r="19" ht="15" customHeight="1">
      <c r="A19" s="4592"/>
      <c r="B19" s="4593"/>
      <c r="C19" s="4594" t="s">
        <v>3919</v>
      </c>
      <c r="D19" s="1163" t="e">
        <f>SOps_UnderwrittenNCF/(IF('SBL Quotes'!AN32="Supplemental",FirstDebtService_IfSupp+SecondDebtService_IfSupp+ThirdDebtService_IfSupp)+(LoanAmount*NoteConstant)+SUM(B1:B2))</f>
        <v>#NAME?</v>
      </c>
      <c r="E19" s="1163" t="e">
        <f>SOps_UnderwrittenNCF/(IF('SBL Quotes'!AN32="Supplemental",FirstDebtService_IfSupp+SecondDebtService_IfSupp+ThirdDebtService_IfSupp)+(LoanAmount*SARMPayConstant)+SUM(B1:B2))</f>
        <v>#NAME?</v>
      </c>
      <c r="F19" s="4595" t="e">
        <f>SOps_UnderwrittenNCF/(IF('SBL Quotes'!AN32="Supplemental",FirstDebtService_IfSupp+SecondDebtService_IfSupp+ThirdDebtService_IfSupp)+(LoanAmount*SARMPayRate*365/360)+(FixedPrinPayment*12)+SUM(B1:B2))</f>
        <v>#NAME?</v>
      </c>
      <c r="G19" s="6"/>
      <c r="H19" s="4596"/>
      <c r="I19" s="4597"/>
      <c r="J19" s="4598"/>
      <c r="K19" s="4599"/>
      <c r="L19" s="4598"/>
      <c r="M19" s="4599"/>
      <c r="N19" s="4598"/>
      <c r="O19" s="4600"/>
      <c r="P19" s="6"/>
      <c r="Q19" s="4601"/>
      <c r="R19" s="4602"/>
      <c r="S19" s="4598"/>
      <c r="T19" s="4600"/>
      <c r="U19" s="651"/>
      <c r="V19" s="6"/>
    </row>
    <row r="20" ht="15.75" customHeight="1">
      <c r="A20" s="4592"/>
      <c r="B20" s="4603"/>
      <c r="C20" s="4604" t="s">
        <v>3921</v>
      </c>
      <c r="D20" s="4605" t="e">
        <f>SOps_UnderwrittenNCF/(IF('SBL Quotes'!AN32="Supplemental",FirstDebtService_IfSupp+SecondDebtService_IfSupp+ThirdDebtService_IfSupp)+(LoanAmount*(NoteConstant*365/360))+SUM(B1:B2))</f>
        <v>#NAME?</v>
      </c>
      <c r="E20" s="4605" t="e">
        <f>SOps_UnderwrittenNCF/(IF('SBL Quotes'!AN32="Supplemental",FirstDebtService_IfSupp+SecondDebtService_IfSupp+ThirdDebtService_IfSupp)+(LoanAmount*SARMPayRate*365/360)+SUM(B1:B2))</f>
        <v>#NAME?</v>
      </c>
      <c r="F20" s="4606" t="e">
        <f>SOps_UnderwrittenNCF/(IF('SBL Quotes'!AN32="Supplemental",FirstDebtService_IfSupp+SecondDebtService_IfSupp+ThirdDebtService_IfSupp)+(LoanAmount*SARMPayRate*365/360)+SUM(B1:B2))</f>
        <v>#NAME?</v>
      </c>
      <c r="G20" s="6"/>
      <c r="H20" s="4596"/>
      <c r="I20" s="4597"/>
      <c r="J20" s="4598"/>
      <c r="K20" s="4599"/>
      <c r="L20" s="4598"/>
      <c r="M20" s="4599"/>
      <c r="N20" s="4598"/>
      <c r="O20" s="4600"/>
      <c r="P20" s="6"/>
      <c r="Q20" s="4601"/>
      <c r="R20" s="4602"/>
      <c r="S20" s="4598"/>
      <c r="T20" s="4600"/>
      <c r="U20" s="651"/>
      <c r="V20" s="6"/>
    </row>
    <row r="21" ht="15" customHeight="1">
      <c r="A21" s="4592"/>
      <c r="B21" s="4580" t="s">
        <v>294</v>
      </c>
      <c r="C21" s="4581" t="s">
        <v>413</v>
      </c>
      <c r="D21" s="4582" t="e">
        <f>SOps_UnderwrittenNCF/(IF('SBL Quotes'!AN32="Supplemental",FirstDebtService_IfSupp+SecondDebtService_IfSupp+ThirdDebtService_IfSupp)+(AmortizingDebtService+SUM(B1+B2)))</f>
        <v>#NAME?</v>
      </c>
      <c r="E21" s="4582" t="e">
        <f>SOps_UnderwrittenNCF/(IF('SBL Quotes'!AN32="Supplemental",FirstDebtService_IfSupp+SecondDebtService_IfSupp+ThirdDebtService_IfSupp)+(LoanAmount*SARMPayConstant)+SUM(B1:B2))</f>
        <v>#NAME?</v>
      </c>
      <c r="F21" s="4583" t="e">
        <f>SOps_UnderwrittenNCF/(IF('SBL Quotes'!AN32="Supplemental",FirstDebtService_IfSupp+SecondDebtService_IfSupp+ThirdDebtService_IfSupp)+(LoanAmount*SARMPayRate)+(FixedPrinPayment*12)+SUM(B1:B2))</f>
        <v>#NAME?</v>
      </c>
      <c r="G21" s="6"/>
      <c r="H21" s="4596"/>
      <c r="I21" s="4597"/>
      <c r="J21" s="4598"/>
      <c r="K21" s="4599"/>
      <c r="L21" s="4598"/>
      <c r="M21" s="4599"/>
      <c r="N21" s="4598"/>
      <c r="O21" s="4600"/>
      <c r="P21" s="6"/>
      <c r="Q21" s="4601"/>
      <c r="R21" s="4602"/>
      <c r="S21" s="4598"/>
      <c r="T21" s="4600"/>
      <c r="U21" s="651"/>
      <c r="V21" s="6"/>
    </row>
    <row r="22" ht="15" customHeight="1">
      <c r="A22" s="4592"/>
      <c r="B22" s="4593"/>
      <c r="C22" s="4594" t="s">
        <v>3919</v>
      </c>
      <c r="D22" s="1163" t="e">
        <f>SOps_UnderwrittenNCF/(IF('SBL Quotes'!AN32="Supplemental",FirstDebtService_IfSupp+SecondDebtService_IfSupp+ThirdDebtService_IfSupp)+(LoanAmount*NoteConstant)+SUM(B1:B2))</f>
        <v>#NAME?</v>
      </c>
      <c r="E22" s="1163" t="e">
        <f>SOps_UnderwrittenNCF/(IF('SBL Quotes'!AN32="Supplemental",FirstDebtService_IfSupp+SecondDebtService_IfSupp+ThirdDebtService_IfSupp)+(LoanAmount*SARMPayConstant)+SUM(B1:B2))</f>
        <v>#NAME?</v>
      </c>
      <c r="F22" s="4595" t="e">
        <f>SOps_UnderwrittenNCF/(IF('SBL Quotes'!AN32="Supplemental",FirstDebtService_IfSupp+SecondDebtService_IfSupp+ThirdDebtService_IfSupp)+(LoanAmount*SARMPayRate)+(FixedPrinPayment*12)+SUM(B1:B2))</f>
        <v>#NAME?</v>
      </c>
      <c r="G22" s="6"/>
      <c r="H22" s="4596"/>
      <c r="I22" s="4597"/>
      <c r="J22" s="4598"/>
      <c r="K22" s="4599"/>
      <c r="L22" s="4598"/>
      <c r="M22" s="4599"/>
      <c r="N22" s="4598"/>
      <c r="O22" s="4600"/>
      <c r="P22" s="6"/>
      <c r="Q22" s="4601"/>
      <c r="R22" s="4602"/>
      <c r="S22" s="4598"/>
      <c r="T22" s="4600"/>
      <c r="U22" s="651"/>
      <c r="V22" s="6"/>
    </row>
    <row r="23" ht="15.75" customHeight="1">
      <c r="A23" s="4607"/>
      <c r="B23" s="4603"/>
      <c r="C23" s="4604" t="s">
        <v>3921</v>
      </c>
      <c r="D23" s="4605" t="e">
        <f>SOps_UnderwrittenNCF/(IF('SBL Quotes'!AN32="Supplemental",FirstDebtService_IfSupp+SecondDebtService_IfSupp+ThirdDebtService_IfSupp)+(LoanAmount*NoteConstant)+SUM(B1:B2))</f>
        <v>#NAME?</v>
      </c>
      <c r="E23" s="4605" t="e">
        <f>SOps_UnderwrittenNCF/(IF('SBL Quotes'!AN32="Supplemental",FirstDebtService_IfSupp+SecondDebtService_IfSupp+ThirdDebtService_IfSupp)+(LoanAmount*SARMPayRate)+SUM(B1:B2))</f>
        <v>#NAME?</v>
      </c>
      <c r="F23" s="4606" t="e">
        <f>SOps_UnderwrittenNCF/(IF('SBL Quotes'!AN32="Supplemental",FirstDebtService_IfSupp+SecondDebtService_IfSupp+ThirdDebtService_IfSupp)+(LoanAmount*SARMPayRate)+SUM(B1:B2))</f>
        <v>#NAME?</v>
      </c>
      <c r="G23" s="6"/>
      <c r="H23" s="4608"/>
      <c r="I23" s="4609"/>
      <c r="J23" s="4610"/>
      <c r="K23" s="4611"/>
      <c r="L23" s="4610"/>
      <c r="M23" s="4611"/>
      <c r="N23" s="4610"/>
      <c r="O23" s="4612"/>
      <c r="P23" s="6"/>
      <c r="Q23" s="4613"/>
      <c r="R23" s="4614"/>
      <c r="S23" s="4610"/>
      <c r="T23" s="4612"/>
      <c r="U23" s="651"/>
      <c r="V23" s="6"/>
    </row>
    <row r="24" ht="15" customHeight="1">
      <c r="A24" s="4579" t="s">
        <v>3930</v>
      </c>
      <c r="B24" s="4580" t="s">
        <v>293</v>
      </c>
      <c r="C24" s="4581" t="s">
        <v>413</v>
      </c>
      <c r="D24" s="4581"/>
      <c r="E24" s="4582" t="e">
        <f>SOps_UnderwrittenNCF/(IF('SBL Quotes'!AN32="Supplemental",FirstDebtService_IfSupp+SecondDebtService_IfSupp+ThirdDebtService_IfSupp)+(LoanAmount*SARMStressConstant))</f>
        <v>#NAME?</v>
      </c>
      <c r="F24" s="4583" t="e">
        <f>SOps_UnderwrittenNCF/(IF('SBL Quotes'!AN32="Supplemental",FirstDebtService_IfSupp+SecondDebtService_IfSupp+ThirdDebtService_IfSupp)+(LoanAmount*((B3+SARMInvestorSpread+SARMGuarantyFee+SARMServicingFee)*365/360))+(FixedPrinPayment*12))</f>
        <v>#NAME?</v>
      </c>
      <c r="G24" s="6"/>
      <c r="H24" s="4616" t="str">
        <f t="shared" si="0"/>
        <v>UW NCF DSCR at Cap</v>
      </c>
      <c r="I24" s="4617"/>
      <c r="J24" s="4618" t="e">
        <f>IF(AND(Interest_Rate_Type="Fixed",Interest_Calc="Actual/360"),IF(InterestOnly=Term,'C&amp;D Data Inputs'!D26,IF(InterestOnly=0,'C&amp;D Data Inputs'!D24,'C&amp;D Data Inputs'!D25)),IF(AND(Interest_Rate_Type="Fixed",Interest_Calc="30/360"),IF(InterestOnly=Term,'C&amp;D Data Inputs'!D29,IF(InterestOnly=0,'C&amp;D Data Inputs'!D27,'C&amp;D Data Inputs'!D28))))</f>
        <v>#NAME?</v>
      </c>
      <c r="K24" s="4619"/>
      <c r="L24" s="4618" t="b">
        <f>IF(AND(Interest_Rate_Type="Variable: ARM 7-6",Interest_Calc="Actual/360"),IF(InterestOnly=Term,'C&amp;D Data Inputs'!E26,IF(InterestOnly=0,'C&amp;D Data Inputs'!E24,'C&amp;D Data Inputs'!E25)),IF(AND(Interest_Rate_Type="Variable: ARM 7-6",Interest_Calc="30/360"),IF(InterestOnly=Term,'C&amp;D Data Inputs'!E29,IF(InterestOnly=0,'C&amp;D Data Inputs'!E27,'C&amp;D Data Inputs'!E28))))</f>
        <v>0</v>
      </c>
      <c r="M24" s="4619"/>
      <c r="N24" s="4618" t="b">
        <f>IF(AND(Interest_Rate_Type="Variable: SARM",Interest_Calc="Actual/360"),IF(InterestOnly=Term,'C&amp;D Data Inputs'!F26,IF(InterestOnly=0,'C&amp;D Data Inputs'!F24,'C&amp;D Data Inputs'!F25)),IF(AND(Interest_Rate_Type="Variable: SARM",Interest_Calc="30/360"),IF(InterestOnly=Term,'C&amp;D Data Inputs'!F29,IF(InterestOnly=0,'C&amp;D Data Inputs'!F27,'C&amp;D Data Inputs'!F28))))</f>
        <v>0</v>
      </c>
      <c r="O24" s="4620"/>
      <c r="P24" s="6"/>
      <c r="Q24" s="4621" t="str">
        <f t="shared" si="1"/>
        <v>UW NCF DSCR at Cap</v>
      </c>
      <c r="R24" s="4622"/>
      <c r="S24" s="4618" t="e">
        <f t="shared" si="2"/>
        <v>#NAME?</v>
      </c>
      <c r="T24" s="4620"/>
      <c r="U24" s="651"/>
      <c r="V24" s="6"/>
    </row>
    <row r="25" ht="15" customHeight="1">
      <c r="A25" s="4592"/>
      <c r="B25" s="4593"/>
      <c r="C25" s="4594" t="s">
        <v>3919</v>
      </c>
      <c r="D25" s="4594"/>
      <c r="E25" s="1163" t="e">
        <f>SOps_UnderwrittenNCF/(IF('SBL Quotes'!AN32="Supplemental",FirstDebtService_IfSupp+SecondDebtService_IfSupp+ThirdDebtService_IfSupp)+(LoanAmount*SARMStressConstant))</f>
        <v>#NAME?</v>
      </c>
      <c r="F25" s="4595" t="e">
        <f>SOps_UnderwrittenNCF/(IF('SBL Quotes'!AN32="Supplemental",FirstDebtService_IfSupp+SecondDebtService_IfSupp+ThirdDebtService_IfSupp)+(LoanAmount*((B3+SARMInvestorSpread+SARMGuarantyFee+SARMServicingFee)*365/360)))</f>
        <v>#NAME?</v>
      </c>
      <c r="G25" s="6"/>
      <c r="H25" s="4596"/>
      <c r="I25" s="4597"/>
      <c r="J25" s="4598"/>
      <c r="K25" s="4599"/>
      <c r="L25" s="4598"/>
      <c r="M25" s="4599"/>
      <c r="N25" s="4598"/>
      <c r="O25" s="4600"/>
      <c r="P25" s="6"/>
      <c r="Q25" s="4601"/>
      <c r="R25" s="4602"/>
      <c r="S25" s="4598"/>
      <c r="T25" s="4600"/>
      <c r="U25" s="651"/>
      <c r="V25" s="6"/>
    </row>
    <row r="26" ht="15.75" customHeight="1">
      <c r="A26" s="4592"/>
      <c r="B26" s="4603"/>
      <c r="C26" s="4604" t="s">
        <v>3921</v>
      </c>
      <c r="D26" s="4604"/>
      <c r="E26" s="4605" t="e">
        <f>SOps_UnderwrittenNCF/(IF('SBL Quotes'!AN32="Supplemental",FirstDebtService_IfSupp+SecondDebtService_IfSupp+ThirdDebtService_IfSupp)+(LoanAmount*SARMStressRate*365/360))</f>
        <v>#NAME?</v>
      </c>
      <c r="F26" s="4606" t="e">
        <f>SOps_UnderwrittenNCF/(IF('SBL Quotes'!AN32="Supplemental",FirstDebtService_IfSupp+SecondDebtService_IfSupp+ThirdDebtService_IfSupp)+(LoanAmount*((B3+SARMInvestorSpread+SARMGuarantyFee+SARMServicingFee)*365/360)))</f>
        <v>#NAME?</v>
      </c>
      <c r="G26" s="6"/>
      <c r="H26" s="4596"/>
      <c r="I26" s="4597"/>
      <c r="J26" s="4598"/>
      <c r="K26" s="4599"/>
      <c r="L26" s="4598"/>
      <c r="M26" s="4599"/>
      <c r="N26" s="4598"/>
      <c r="O26" s="4600"/>
      <c r="P26" s="6"/>
      <c r="Q26" s="4601"/>
      <c r="R26" s="4602"/>
      <c r="S26" s="4598"/>
      <c r="T26" s="4600"/>
      <c r="U26" s="651"/>
      <c r="V26" s="6"/>
    </row>
    <row r="27" ht="15" customHeight="1">
      <c r="A27" s="4592"/>
      <c r="B27" s="4580" t="s">
        <v>294</v>
      </c>
      <c r="C27" s="4581" t="s">
        <v>413</v>
      </c>
      <c r="D27" s="4581"/>
      <c r="E27" s="4582" t="e">
        <f>SOps_UnderwrittenNCF/(IF('SBL Quotes'!AN32="Supplemental",FirstDebtService_IfSupp+SecondDebtService_IfSupp+ThirdDebtService_IfSupp)+(LoanAmount*SARMStressConstant))</f>
        <v>#NAME?</v>
      </c>
      <c r="F27" s="4583" t="e">
        <f>SOps_UnderwrittenNCF/(IF('SBL Quotes'!AN32="Supplemental",FirstDebtService_IfSupp+SecondDebtService_IfSupp+ThirdDebtService_IfSupp)+(LoanAmount*(B3+SARMInvestorSpread+SARMGuarantyFee+SARMServicingFee))+(FixedPrinPayment*12))</f>
        <v>#NAME?</v>
      </c>
      <c r="G27" s="6"/>
      <c r="H27" s="4596"/>
      <c r="I27" s="4597"/>
      <c r="J27" s="4598"/>
      <c r="K27" s="4599"/>
      <c r="L27" s="4598"/>
      <c r="M27" s="4599"/>
      <c r="N27" s="4598"/>
      <c r="O27" s="4600"/>
      <c r="P27" s="6"/>
      <c r="Q27" s="4601"/>
      <c r="R27" s="4602"/>
      <c r="S27" s="4598"/>
      <c r="T27" s="4600"/>
      <c r="U27" s="651"/>
      <c r="V27" s="6"/>
    </row>
    <row r="28" ht="15" customHeight="1">
      <c r="A28" s="4592"/>
      <c r="B28" s="4593"/>
      <c r="C28" s="4594" t="s">
        <v>3919</v>
      </c>
      <c r="D28" s="4594"/>
      <c r="E28" s="1163" t="e">
        <f>SOps_UnderwrittenNCF/(IF('SBL Quotes'!AN32="Supplemental",FirstDebtService_IfSupp+SecondDebtService_IfSupp+ThirdDebtService_IfSupp)+(LoanAmount*SARMStressConstant))</f>
        <v>#NAME?</v>
      </c>
      <c r="F28" s="4595" t="e">
        <f>SOps_UnderwrittenNCF/(IF('SBL Quotes'!AN32="Supplemental",FirstDebtService_IfSupp+SecondDebtService_IfSupp+ThirdDebtService_IfSupp)+(LoanAmount*(B3+SARMInvestorSpread+SARMGuarantyFee+SARMServicingFee)))</f>
        <v>#NAME?</v>
      </c>
      <c r="G28" s="6"/>
      <c r="H28" s="4596"/>
      <c r="I28" s="4597"/>
      <c r="J28" s="4598"/>
      <c r="K28" s="4599"/>
      <c r="L28" s="4598"/>
      <c r="M28" s="4599"/>
      <c r="N28" s="4598"/>
      <c r="O28" s="4600"/>
      <c r="P28" s="6"/>
      <c r="Q28" s="4601"/>
      <c r="R28" s="4602"/>
      <c r="S28" s="4598"/>
      <c r="T28" s="4600"/>
      <c r="U28" s="651"/>
      <c r="V28" s="6"/>
    </row>
    <row r="29" ht="15.75" customHeight="1">
      <c r="A29" s="4607"/>
      <c r="B29" s="4603"/>
      <c r="C29" s="4604" t="s">
        <v>3921</v>
      </c>
      <c r="D29" s="4604"/>
      <c r="E29" s="4605" t="e">
        <f>SOps_UnderwrittenNCF/(IF('SBL Quotes'!AN32="Supplemental",FirstDebtService_IfSupp+SecondDebtService_IfSupp+ThirdDebtService_IfSupp)+(LoanAmount*SARMStressRate))</f>
        <v>#NAME?</v>
      </c>
      <c r="F29" s="4606" t="e">
        <f>SOps_UnderwrittenNCF/(IF('SBL Quotes'!AN32="Supplemental",FirstDebtService_IfSupp+SecondDebtService_IfSupp+ThirdDebtService_IfSupp)+(LoanAmount*(B3+SARMInvestorSpread+SARMGuarantyFee+SARMServicingFee)))</f>
        <v>#NAME?</v>
      </c>
      <c r="G29" s="6"/>
      <c r="H29" s="4623"/>
      <c r="I29" s="4624"/>
      <c r="J29" s="4625"/>
      <c r="K29" s="4626"/>
      <c r="L29" s="4625"/>
      <c r="M29" s="4626"/>
      <c r="N29" s="4625"/>
      <c r="O29" s="4627"/>
      <c r="P29" s="6"/>
      <c r="Q29" s="4628"/>
      <c r="R29" s="4629"/>
      <c r="S29" s="4625"/>
      <c r="T29" s="4627"/>
      <c r="U29" s="651"/>
      <c r="V29" s="6"/>
    </row>
    <row r="30" ht="15" customHeight="1">
      <c r="A30" s="6"/>
      <c r="B30" s="6"/>
      <c r="C30" s="6"/>
      <c r="D30" s="6"/>
      <c r="E30" s="6"/>
      <c r="F30" s="6"/>
      <c r="G30" s="6"/>
      <c r="H30" s="6"/>
      <c r="I30" s="6"/>
      <c r="J30" s="6"/>
      <c r="K30" s="6"/>
      <c r="L30" s="6"/>
      <c r="M30" s="6"/>
      <c r="N30" s="6"/>
      <c r="O30" s="6"/>
      <c r="P30" s="6"/>
      <c r="Q30" s="6"/>
      <c r="R30" s="6"/>
      <c r="S30" s="6"/>
      <c r="T30" s="6"/>
      <c r="U30" s="6"/>
      <c r="V30" s="6"/>
    </row>
  </sheetData>
  <mergeCells>
    <mergeCell ref="J5:K5"/>
    <mergeCell ref="L5:M5"/>
    <mergeCell ref="B6:B8"/>
    <mergeCell ref="B9:B11"/>
    <mergeCell ref="A12:A17"/>
    <mergeCell ref="B12:B14"/>
    <mergeCell ref="L6:M11"/>
    <mergeCell ref="L12:M17"/>
    <mergeCell ref="J6:K11"/>
    <mergeCell ref="J12:K17"/>
    <mergeCell ref="H6:I11"/>
    <mergeCell ref="H12:I17"/>
    <mergeCell ref="B15:B17"/>
    <mergeCell ref="A6:A11"/>
    <mergeCell ref="L24:M29"/>
    <mergeCell ref="N24:O29"/>
    <mergeCell ref="A18:A23"/>
    <mergeCell ref="B18:B20"/>
    <mergeCell ref="Q18:R23"/>
    <mergeCell ref="B21:B23"/>
    <mergeCell ref="L18:M23"/>
    <mergeCell ref="N18:O23"/>
    <mergeCell ref="A24:A29"/>
    <mergeCell ref="B24:B26"/>
    <mergeCell ref="B27:B29"/>
    <mergeCell ref="J18:K23"/>
    <mergeCell ref="J24:K29"/>
    <mergeCell ref="H18:I23"/>
    <mergeCell ref="H24:I29"/>
    <mergeCell ref="N5:O5"/>
    <mergeCell ref="S5:T5"/>
    <mergeCell ref="Q12:R17"/>
    <mergeCell ref="S12:T17"/>
    <mergeCell ref="Q24:R29"/>
    <mergeCell ref="S24:T29"/>
    <mergeCell ref="S18:T23"/>
    <mergeCell ref="Q6:R11"/>
    <mergeCell ref="S6:T11"/>
    <mergeCell ref="N6:O11"/>
    <mergeCell ref="N12:O17"/>
  </mergeCells>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41.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19EC9122-8609-D649-C08C-4E47442FD1C1}" mc:Ignorable="x14ac xr xr2 xr3">
  <dimension ref="A1:AC77"/>
  <sheetViews>
    <sheetView topLeftCell="A1" workbookViewId="0">
      <selection activeCell="A1" sqref="A1"/>
    </sheetView>
  </sheetViews>
  <sheetFormatPr defaultRowHeight="14.002500000000003" defaultColWidth="9.140625" customHeight="1"/>
  <cols>
    <col min="1" max="1" style="4645" width="7.57421875" customWidth="1"/>
    <col min="2" max="2" style="4645" width="20.57421875" customWidth="1"/>
    <col min="3" max="3" style="4645" width="55.7109375" customWidth="1"/>
    <col min="4" max="4" style="4645" width="17.28125" customWidth="1"/>
    <col min="5" max="5" style="4645" width="19.00390625" customWidth="1"/>
    <col min="6" max="6" style="4645" width="9.00390625" customWidth="1"/>
    <col min="7" max="7" style="4645" width="10.140625" customWidth="1"/>
    <col min="8" max="8" style="4645" width="39.57421875" customWidth="1"/>
    <col min="9" max="9" style="4645" width="8.8515625" customWidth="1"/>
    <col min="10" max="10" style="4645" width="14.140625" customWidth="1"/>
    <col min="11" max="11" style="4645" width="35.57421875" customWidth="1"/>
    <col min="12" max="12" style="4645" width="136.57421875" customWidth="1"/>
    <col min="13" max="13" style="4646" width="33.57421875" customWidth="1"/>
    <col min="14" max="14" style="4645" width="15.57421875" customWidth="1"/>
    <col min="15" max="15" style="4645" width="7.00390625" customWidth="1"/>
    <col min="16" max="16" style="4645" width="6.28125" customWidth="1"/>
    <col min="17" max="17" style="4645" width="24.57421875" customWidth="1"/>
    <col min="18" max="18" style="4645" width="64.140625" customWidth="1"/>
    <col min="19" max="19" style="4645" width="11.8515625" customWidth="1"/>
    <col min="20" max="20" style="4645" width="5.8515625" customWidth="1"/>
    <col min="21" max="22" style="4645" width="9.140625" customWidth="1"/>
    <col min="23" max="23" style="4645" width="5.8515625" customWidth="1"/>
    <col min="24" max="29" style="4645" width="9.140625" customWidth="1"/>
  </cols>
  <sheetData>
    <row r="1" ht="34.5" customHeight="1">
      <c r="A1" s="4630" t="s">
        <v>3931</v>
      </c>
      <c r="B1" s="4630" t="s">
        <v>3932</v>
      </c>
      <c r="C1" s="4630" t="s">
        <v>3933</v>
      </c>
      <c r="D1" s="4630" t="s">
        <v>3934</v>
      </c>
      <c r="E1" s="4630" t="s">
        <v>3935</v>
      </c>
      <c r="F1" s="4630" t="s">
        <v>3936</v>
      </c>
      <c r="G1" s="4630" t="s">
        <v>3937</v>
      </c>
      <c r="H1" s="4630" t="s">
        <v>3938</v>
      </c>
      <c r="I1" s="4630" t="s">
        <v>3939</v>
      </c>
      <c r="J1" s="4630" t="s">
        <v>3940</v>
      </c>
      <c r="K1" s="4630" t="s">
        <v>3941</v>
      </c>
      <c r="L1" s="4630" t="s">
        <v>3942</v>
      </c>
      <c r="M1" s="4631" t="s">
        <v>3943</v>
      </c>
      <c r="N1" s="4632" t="s">
        <v>3944</v>
      </c>
      <c r="O1" s="4632" t="s">
        <v>3945</v>
      </c>
      <c r="P1" s="4632" t="s">
        <v>3946</v>
      </c>
      <c r="Q1" s="4633" t="s">
        <v>3947</v>
      </c>
      <c r="R1" s="4633" t="s">
        <v>3948</v>
      </c>
      <c r="S1" s="4633" t="s">
        <v>3949</v>
      </c>
    </row>
    <row r="2" ht="14.25" customHeight="1">
      <c r="A2" s="4634">
        <v>1</v>
      </c>
      <c r="B2" s="4634" t="s">
        <v>3950</v>
      </c>
      <c r="C2" s="4634" t="s">
        <v>504</v>
      </c>
      <c r="D2" s="4634" t="s">
        <v>3951</v>
      </c>
      <c r="E2" s="4634" t="str">
        <f t="shared" si="0" ref="E2:E77">GetA1</f>
        <v>'Form 4662'!$H$3</v>
      </c>
      <c r="F2" s="4634" t="str">
        <f t="shared" si="1" ref="F2:F77">GetR1C1</f>
        <v>R3C8</v>
      </c>
      <c r="G2" s="4634" t="s">
        <v>3954</v>
      </c>
      <c r="H2" s="4634" t="s">
        <v>3954</v>
      </c>
      <c r="I2" s="4634" t="b">
        <v>0</v>
      </c>
      <c r="J2" s="4634">
        <v>0</v>
      </c>
      <c r="K2" s="4634" t="s">
        <v>571</v>
      </c>
      <c r="L2" s="4634"/>
      <c r="M2" s="4635" t="str">
        <f>DL_NM</f>
        <v>XXXX</v>
      </c>
      <c r="N2" s="4636"/>
      <c r="O2" s="4636"/>
      <c r="P2" s="4636"/>
      <c r="Q2" s="4637">
        <f t="shared" si="2" ref="Q2:Q77">IF(OR($N2="",$O2="",$P2=""),"","="&amp;ADDRESS($P2,COLUMN(INDIRECT($O2&amp;":"&amp;$O2)),1,TRUE,$N2))</f>
      </c>
      <c r="R2" s="4636"/>
      <c r="S2" s="4637"/>
      <c r="U2" s="4638"/>
    </row>
    <row r="3" ht="14.25" customHeight="1">
      <c r="A3" s="4634">
        <v>2</v>
      </c>
      <c r="B3" s="4634" t="s">
        <v>3950</v>
      </c>
      <c r="C3" s="4634" t="s">
        <v>3955</v>
      </c>
      <c r="D3" s="4634" t="s">
        <v>3956</v>
      </c>
      <c r="E3" s="4634" t="str">
        <f t="shared" si="0"/>
        <v>'Form 4662'!$O$4</v>
      </c>
      <c r="F3" s="4634" t="str">
        <f t="shared" si="1"/>
        <v>R4C15</v>
      </c>
      <c r="G3" s="4634" t="s">
        <v>3959</v>
      </c>
      <c r="H3" s="4634" t="s">
        <v>3960</v>
      </c>
      <c r="I3" s="4634" t="b">
        <v>1</v>
      </c>
      <c r="J3" s="4634">
        <v>7</v>
      </c>
      <c r="K3" s="4634" t="s">
        <v>3961</v>
      </c>
      <c r="L3" s="4634" t="s">
        <v>3962</v>
      </c>
      <c r="M3" s="4639">
        <f>CMT_NBR</f>
        <v>0</v>
      </c>
      <c r="N3" s="4636"/>
      <c r="O3" s="4636"/>
      <c r="P3" s="4636"/>
      <c r="Q3" s="4637">
        <f t="shared" si="2"/>
      </c>
      <c r="R3" s="4636"/>
      <c r="S3" s="4637"/>
    </row>
    <row r="4" ht="14.25" customHeight="1">
      <c r="A4" s="4634">
        <v>4</v>
      </c>
      <c r="B4" s="4634" t="s">
        <v>3950</v>
      </c>
      <c r="C4" s="4634" t="s">
        <v>3963</v>
      </c>
      <c r="D4" s="4634" t="s">
        <v>3964</v>
      </c>
      <c r="E4" s="4634" t="str">
        <f t="shared" si="0"/>
        <v>'Form 4662'!$O$5</v>
      </c>
      <c r="F4" s="4634" t="str">
        <f t="shared" si="1"/>
        <v>R5C15</v>
      </c>
      <c r="G4" s="4634" t="s">
        <v>3954</v>
      </c>
      <c r="H4" s="4634" t="s">
        <v>3954</v>
      </c>
      <c r="I4" s="4634" t="b">
        <v>1</v>
      </c>
      <c r="J4" s="4634">
        <v>6</v>
      </c>
      <c r="K4" s="4634" t="s">
        <v>3967</v>
      </c>
      <c r="L4" s="4634" t="s">
        <v>3968</v>
      </c>
      <c r="M4" s="4635">
        <f>PL_NBR</f>
        <v>0</v>
      </c>
      <c r="N4" s="4636"/>
      <c r="O4" s="4636"/>
      <c r="P4" s="4636"/>
      <c r="Q4" s="4637">
        <f t="shared" si="2"/>
      </c>
      <c r="R4" s="4636"/>
      <c r="S4" s="4637"/>
    </row>
    <row r="5" ht="14.25" customHeight="1">
      <c r="A5" s="4634">
        <v>12</v>
      </c>
      <c r="B5" s="4634" t="s">
        <v>1870</v>
      </c>
      <c r="C5" s="4634" t="s">
        <v>185</v>
      </c>
      <c r="D5" s="4634" t="s">
        <v>3969</v>
      </c>
      <c r="E5" s="4634" t="str">
        <f t="shared" si="0"/>
        <v>'Form 4662'!$AI$3</v>
      </c>
      <c r="F5" s="4634" t="str">
        <f t="shared" si="1"/>
        <v>R3C35</v>
      </c>
      <c r="G5" s="4634" t="s">
        <v>3954</v>
      </c>
      <c r="H5" s="4634" t="s">
        <v>3954</v>
      </c>
      <c r="I5" s="4634" t="b">
        <v>0</v>
      </c>
      <c r="J5" s="4634">
        <v>0</v>
      </c>
      <c r="K5" s="4634" t="s">
        <v>571</v>
      </c>
      <c r="L5" s="4634"/>
      <c r="M5" s="4635" t="str">
        <f>LNDR_NM</f>
        <v>Walker &amp; Dunlop, LLC</v>
      </c>
      <c r="N5" s="4636"/>
      <c r="O5" s="4636"/>
      <c r="P5" s="4636"/>
      <c r="Q5" s="4637">
        <f t="shared" si="2"/>
      </c>
      <c r="R5" s="4636"/>
      <c r="S5" s="4637"/>
    </row>
    <row r="6" ht="14.25" customHeight="1">
      <c r="A6" s="4634">
        <v>24</v>
      </c>
      <c r="B6" s="4634" t="s">
        <v>2003</v>
      </c>
      <c r="C6" s="4634" t="s">
        <v>265</v>
      </c>
      <c r="D6" s="4634" t="s">
        <v>3972</v>
      </c>
      <c r="E6" s="4634" t="str">
        <f t="shared" si="0"/>
        <v>'Form 4662'!$H$8</v>
      </c>
      <c r="F6" s="4634" t="str">
        <f t="shared" si="1"/>
        <v>R8C8</v>
      </c>
      <c r="G6" s="4634" t="s">
        <v>3954</v>
      </c>
      <c r="H6" s="4634" t="s">
        <v>3954</v>
      </c>
      <c r="I6" s="4634" t="b">
        <v>0</v>
      </c>
      <c r="J6" s="4634">
        <v>0</v>
      </c>
      <c r="K6" s="4634" t="s">
        <v>571</v>
      </c>
      <c r="L6" s="4634"/>
      <c r="M6" s="4635" t="str">
        <f>PROP_NM</f>
        <v>XXXX</v>
      </c>
      <c r="N6" s="4636"/>
      <c r="O6" s="4636"/>
      <c r="P6" s="4636"/>
      <c r="Q6" s="4637">
        <f t="shared" si="2"/>
      </c>
      <c r="R6" s="4636"/>
      <c r="S6" s="4637"/>
    </row>
    <row r="7" ht="14.25" customHeight="1">
      <c r="A7" s="4634">
        <v>31</v>
      </c>
      <c r="B7" s="4634" t="s">
        <v>2003</v>
      </c>
      <c r="C7" s="4634" t="s">
        <v>201</v>
      </c>
      <c r="D7" s="4634" t="s">
        <v>3975</v>
      </c>
      <c r="E7" s="4634" t="str">
        <f t="shared" si="0"/>
        <v>'Form 4662'!$H$9</v>
      </c>
      <c r="F7" s="4634" t="str">
        <f t="shared" si="1"/>
        <v>R9C8</v>
      </c>
      <c r="G7" s="4634" t="s">
        <v>3954</v>
      </c>
      <c r="H7" s="4634" t="s">
        <v>3954</v>
      </c>
      <c r="I7" s="4634" t="b">
        <v>1</v>
      </c>
      <c r="J7" s="4634">
        <v>3</v>
      </c>
      <c r="K7" s="4634" t="s">
        <v>3978</v>
      </c>
      <c r="L7" s="4634" t="s">
        <v>3979</v>
      </c>
      <c r="M7" s="4635" t="str">
        <f>PROP_TYP</f>
        <v>Multifamily</v>
      </c>
      <c r="N7" s="4636"/>
      <c r="O7" s="4636"/>
      <c r="P7" s="4636"/>
      <c r="Q7" s="4637">
        <f t="shared" si="2"/>
      </c>
      <c r="R7" s="4636"/>
      <c r="S7" s="4637"/>
    </row>
    <row r="8" ht="14.25" customHeight="1">
      <c r="A8" s="4634">
        <v>32</v>
      </c>
      <c r="B8" s="4634" t="s">
        <v>2003</v>
      </c>
      <c r="C8" s="4634" t="s">
        <v>208</v>
      </c>
      <c r="D8" s="4634" t="s">
        <v>3980</v>
      </c>
      <c r="E8" s="4634" t="str">
        <f t="shared" si="0"/>
        <v>'Form 4662'!$U$9</v>
      </c>
      <c r="F8" s="4634" t="str">
        <f t="shared" si="1"/>
        <v>R9C21</v>
      </c>
      <c r="G8" s="4634" t="s">
        <v>3954</v>
      </c>
      <c r="H8" s="4634" t="s">
        <v>3954</v>
      </c>
      <c r="I8" s="4634" t="b">
        <v>1</v>
      </c>
      <c r="J8" s="4634">
        <v>3</v>
      </c>
      <c r="K8" s="4634" t="s">
        <v>3978</v>
      </c>
      <c r="L8" s="4634" t="s">
        <v>3983</v>
      </c>
      <c r="M8" s="4635" t="str">
        <f>BLDG_TYP</f>
        <v>Select</v>
      </c>
      <c r="N8" s="4636"/>
      <c r="O8" s="4636"/>
      <c r="P8" s="4636"/>
      <c r="Q8" s="4637">
        <f t="shared" si="2"/>
      </c>
      <c r="R8" s="4636"/>
      <c r="S8" s="4637"/>
    </row>
    <row r="9" ht="14.25" customHeight="1">
      <c r="A9" s="4634">
        <v>33</v>
      </c>
      <c r="B9" s="4634" t="s">
        <v>2003</v>
      </c>
      <c r="C9" s="4634" t="s">
        <v>3984</v>
      </c>
      <c r="D9" s="4634" t="s">
        <v>3985</v>
      </c>
      <c r="E9" s="4634" t="str">
        <f t="shared" si="0"/>
        <v>'Form 4662'!$U$10</v>
      </c>
      <c r="F9" s="4634" t="str">
        <f t="shared" si="1"/>
        <v>R10C21</v>
      </c>
      <c r="G9" s="4634" t="s">
        <v>3959</v>
      </c>
      <c r="H9" s="4634" t="s">
        <v>3954</v>
      </c>
      <c r="I9" s="4634" t="b">
        <v>1</v>
      </c>
      <c r="J9" s="4634">
        <v>1</v>
      </c>
      <c r="K9" s="4634" t="s">
        <v>3988</v>
      </c>
      <c r="L9" s="4634" t="s">
        <v>3989</v>
      </c>
      <c r="M9" s="4635">
        <f>BLDG_CNT</f>
        <v>24</v>
      </c>
      <c r="N9" s="4636"/>
      <c r="O9" s="4636"/>
      <c r="P9" s="4636"/>
      <c r="Q9" s="4637">
        <f t="shared" si="2"/>
      </c>
      <c r="R9" s="4636"/>
      <c r="S9" s="4637"/>
    </row>
    <row r="10" ht="14.25" customHeight="1">
      <c r="A10" s="4634">
        <v>34</v>
      </c>
      <c r="B10" s="4634" t="s">
        <v>2003</v>
      </c>
      <c r="C10" s="4634" t="s">
        <v>3990</v>
      </c>
      <c r="D10" s="4634" t="s">
        <v>3991</v>
      </c>
      <c r="E10" s="4634" t="str">
        <f t="shared" si="0"/>
        <v>'Form 4662'!$O$17</v>
      </c>
      <c r="F10" s="4634" t="str">
        <f t="shared" si="1"/>
        <v>R17C15</v>
      </c>
      <c r="G10" s="4634" t="s">
        <v>3959</v>
      </c>
      <c r="H10" s="4634" t="s">
        <v>3960</v>
      </c>
      <c r="I10" s="4634" t="b">
        <v>1</v>
      </c>
      <c r="J10" s="4634">
        <v>1</v>
      </c>
      <c r="K10" s="4634" t="s">
        <v>3988</v>
      </c>
      <c r="L10" s="4634" t="s">
        <v>3989</v>
      </c>
      <c r="M10" s="4639">
        <f>RES_AREA</f>
        <v>84991</v>
      </c>
      <c r="N10" s="4636"/>
      <c r="O10" s="4636"/>
      <c r="P10" s="4636"/>
      <c r="Q10" s="4637">
        <f t="shared" si="2"/>
      </c>
      <c r="R10" s="4636"/>
      <c r="S10" s="4637"/>
    </row>
    <row r="11" ht="14.25" customHeight="1">
      <c r="A11" s="4634">
        <v>35</v>
      </c>
      <c r="B11" s="4634" t="s">
        <v>2003</v>
      </c>
      <c r="C11" s="4634" t="s">
        <v>3994</v>
      </c>
      <c r="D11" s="4634" t="s">
        <v>3995</v>
      </c>
      <c r="E11" s="4634" t="str">
        <f t="shared" si="0"/>
        <v>'Form 4662'!$O$16</v>
      </c>
      <c r="F11" s="4634" t="str">
        <f t="shared" si="1"/>
        <v>R16C15</v>
      </c>
      <c r="G11" s="4634" t="s">
        <v>3959</v>
      </c>
      <c r="H11" s="4634" t="s">
        <v>3960</v>
      </c>
      <c r="I11" s="4634" t="b">
        <v>1</v>
      </c>
      <c r="J11" s="4634">
        <v>1</v>
      </c>
      <c r="K11" s="4634" t="s">
        <v>3988</v>
      </c>
      <c r="L11" s="4634" t="s">
        <v>3998</v>
      </c>
      <c r="M11" s="4639">
        <f>RES_UNTS</f>
        <v>85</v>
      </c>
      <c r="N11" s="4636"/>
      <c r="O11" s="4636"/>
      <c r="P11" s="4636"/>
      <c r="Q11" s="4637">
        <f t="shared" si="2"/>
      </c>
      <c r="R11" s="4636"/>
      <c r="S11" s="4637"/>
    </row>
    <row r="12" ht="14.25" customHeight="1">
      <c r="A12" s="4634">
        <v>36</v>
      </c>
      <c r="B12" s="4634" t="s">
        <v>2003</v>
      </c>
      <c r="C12" s="4634" t="s">
        <v>3520</v>
      </c>
      <c r="D12" s="4634" t="s">
        <v>3999</v>
      </c>
      <c r="E12" s="4634" t="str">
        <f t="shared" si="0"/>
        <v>'Form 4662'!$X$22</v>
      </c>
      <c r="F12" s="4634" t="str">
        <f t="shared" si="1"/>
        <v>R22C24</v>
      </c>
      <c r="G12" s="4634" t="s">
        <v>4002</v>
      </c>
      <c r="H12" s="4634" t="s">
        <v>3954</v>
      </c>
      <c r="I12" s="4634" t="b">
        <v>1</v>
      </c>
      <c r="J12" s="4634">
        <v>3</v>
      </c>
      <c r="K12" s="4634" t="s">
        <v>3978</v>
      </c>
      <c r="L12" s="4634" t="s">
        <v>4003</v>
      </c>
      <c r="M12" s="4635">
        <f>UTIL_INCL</f>
        <v>0</v>
      </c>
      <c r="N12" s="4636"/>
      <c r="O12" s="4636"/>
      <c r="P12" s="4636"/>
      <c r="Q12" s="4637">
        <f t="shared" si="2"/>
      </c>
      <c r="R12" s="4636"/>
      <c r="S12" s="4637"/>
    </row>
    <row r="13" ht="14.25" customHeight="1">
      <c r="A13" s="4634">
        <v>37</v>
      </c>
      <c r="B13" s="4634" t="s">
        <v>2003</v>
      </c>
      <c r="C13" s="4634" t="s">
        <v>660</v>
      </c>
      <c r="D13" s="4634" t="s">
        <v>4004</v>
      </c>
      <c r="E13" s="4634" t="str">
        <f t="shared" si="0"/>
        <v>'Form 4662'!$H$10</v>
      </c>
      <c r="F13" s="4634" t="str">
        <f t="shared" si="1"/>
        <v>R10C8</v>
      </c>
      <c r="G13" s="4634" t="s">
        <v>3959</v>
      </c>
      <c r="H13" s="4634" t="s">
        <v>3954</v>
      </c>
      <c r="I13" s="4634" t="b">
        <v>1</v>
      </c>
      <c r="J13" s="4634">
        <v>1</v>
      </c>
      <c r="K13" s="4634" t="s">
        <v>3988</v>
      </c>
      <c r="L13" s="4634" t="s">
        <v>4007</v>
      </c>
      <c r="M13" s="4635">
        <f>YR_BLT</f>
        <v>1800</v>
      </c>
      <c r="N13" s="4636"/>
      <c r="O13" s="4636"/>
      <c r="P13" s="4636"/>
      <c r="Q13" s="4637">
        <f t="shared" si="2"/>
      </c>
      <c r="R13" s="4636"/>
      <c r="S13" s="4637"/>
    </row>
    <row r="14" ht="14.25" customHeight="1">
      <c r="A14" s="4634">
        <v>38</v>
      </c>
      <c r="B14" s="4634" t="s">
        <v>2003</v>
      </c>
      <c r="C14" s="4634" t="s">
        <v>4008</v>
      </c>
      <c r="D14" s="4634" t="s">
        <v>4009</v>
      </c>
      <c r="E14" s="4634" t="str">
        <f t="shared" si="0"/>
        <v>'Form 4662'!$L$13</v>
      </c>
      <c r="F14" s="4634" t="str">
        <f t="shared" si="1"/>
        <v>R13C12</v>
      </c>
      <c r="G14" s="4634" t="s">
        <v>3959</v>
      </c>
      <c r="H14" s="4634" t="s">
        <v>3954</v>
      </c>
      <c r="I14" s="4634" t="b">
        <v>1</v>
      </c>
      <c r="J14" s="4634">
        <v>1</v>
      </c>
      <c r="K14" s="4634" t="s">
        <v>3988</v>
      </c>
      <c r="L14" s="4634" t="s">
        <v>4007</v>
      </c>
      <c r="M14" s="4635">
        <f>PHS1_YR</f>
        <v>0</v>
      </c>
      <c r="N14" s="4636"/>
      <c r="O14" s="4636"/>
      <c r="P14" s="4636"/>
      <c r="Q14" s="4637">
        <f t="shared" si="2"/>
      </c>
      <c r="R14" s="4636"/>
      <c r="S14" s="4637"/>
    </row>
    <row r="15" ht="14.25" customHeight="1">
      <c r="A15" s="4634">
        <v>39</v>
      </c>
      <c r="B15" s="4634" t="s">
        <v>2003</v>
      </c>
      <c r="C15" s="4634" t="s">
        <v>4012</v>
      </c>
      <c r="D15" s="4634" t="s">
        <v>4013</v>
      </c>
      <c r="E15" s="4634" t="str">
        <f t="shared" si="0"/>
        <v>'Form 4662'!$L$14</v>
      </c>
      <c r="F15" s="4634" t="str">
        <f t="shared" si="1"/>
        <v>R14C12</v>
      </c>
      <c r="G15" s="4634" t="s">
        <v>3959</v>
      </c>
      <c r="H15" s="4634" t="s">
        <v>3960</v>
      </c>
      <c r="I15" s="4634" t="b">
        <v>1</v>
      </c>
      <c r="J15" s="4634">
        <v>1</v>
      </c>
      <c r="K15" s="4634" t="s">
        <v>3988</v>
      </c>
      <c r="L15" s="4634" t="s">
        <v>3989</v>
      </c>
      <c r="M15" s="4639">
        <f>PHS1_UNTS</f>
        <v>0</v>
      </c>
      <c r="N15" s="4636"/>
      <c r="O15" s="4636"/>
      <c r="P15" s="4636"/>
      <c r="Q15" s="4637">
        <f t="shared" si="2"/>
      </c>
      <c r="R15" s="4636"/>
      <c r="S15" s="4637"/>
    </row>
    <row r="16" ht="14.25" customHeight="1">
      <c r="A16" s="4634">
        <v>40</v>
      </c>
      <c r="B16" s="4634" t="s">
        <v>2003</v>
      </c>
      <c r="C16" s="4634" t="s">
        <v>4016</v>
      </c>
      <c r="D16" s="4634" t="s">
        <v>4017</v>
      </c>
      <c r="E16" s="4634" t="str">
        <f t="shared" si="0"/>
        <v>'Form 4662'!$N$13</v>
      </c>
      <c r="F16" s="4634" t="str">
        <f t="shared" si="1"/>
        <v>R13C14</v>
      </c>
      <c r="G16" s="4634" t="s">
        <v>3959</v>
      </c>
      <c r="H16" s="4634" t="s">
        <v>3954</v>
      </c>
      <c r="I16" s="4634" t="b">
        <v>1</v>
      </c>
      <c r="J16" s="4634">
        <v>1</v>
      </c>
      <c r="K16" s="4634" t="s">
        <v>3988</v>
      </c>
      <c r="L16" s="4634" t="s">
        <v>4007</v>
      </c>
      <c r="M16" s="4635">
        <f>PHS2_YR</f>
        <v>0</v>
      </c>
      <c r="N16" s="4636"/>
      <c r="O16" s="4636"/>
      <c r="P16" s="4636"/>
      <c r="Q16" s="4637">
        <f t="shared" si="2"/>
      </c>
      <c r="R16" s="4636"/>
      <c r="S16" s="4637"/>
    </row>
    <row r="17" ht="14.25" customHeight="1">
      <c r="A17" s="4634">
        <v>41</v>
      </c>
      <c r="B17" s="4634" t="s">
        <v>2003</v>
      </c>
      <c r="C17" s="4634" t="s">
        <v>4020</v>
      </c>
      <c r="D17" s="4634" t="s">
        <v>4021</v>
      </c>
      <c r="E17" s="4634" t="str">
        <f t="shared" si="0"/>
        <v>'Form 4662'!$N$14</v>
      </c>
      <c r="F17" s="4634" t="str">
        <f t="shared" si="1"/>
        <v>R14C14</v>
      </c>
      <c r="G17" s="4634" t="s">
        <v>3959</v>
      </c>
      <c r="H17" s="4634" t="s">
        <v>3954</v>
      </c>
      <c r="I17" s="4634" t="b">
        <v>1</v>
      </c>
      <c r="J17" s="4634">
        <v>1</v>
      </c>
      <c r="K17" s="4634" t="s">
        <v>3988</v>
      </c>
      <c r="L17" s="4634" t="s">
        <v>3989</v>
      </c>
      <c r="M17" s="4635">
        <f>PHS2_UNTS</f>
        <v>0</v>
      </c>
      <c r="N17" s="4636"/>
      <c r="O17" s="4636"/>
      <c r="P17" s="4636"/>
      <c r="Q17" s="4637">
        <f t="shared" si="2"/>
      </c>
      <c r="R17" s="4636"/>
      <c r="S17" s="4637"/>
    </row>
    <row r="18" ht="14.25" customHeight="1">
      <c r="A18" s="4634">
        <v>42</v>
      </c>
      <c r="B18" s="4634" t="s">
        <v>2003</v>
      </c>
      <c r="C18" s="4634" t="s">
        <v>4024</v>
      </c>
      <c r="D18" s="4634" t="s">
        <v>4025</v>
      </c>
      <c r="E18" s="4634" t="str">
        <f t="shared" si="0"/>
        <v>'Form 4662'!$P$13</v>
      </c>
      <c r="F18" s="4634" t="str">
        <f t="shared" si="1"/>
        <v>R13C16</v>
      </c>
      <c r="G18" s="4634" t="s">
        <v>3959</v>
      </c>
      <c r="H18" s="4634" t="s">
        <v>3954</v>
      </c>
      <c r="I18" s="4634" t="b">
        <v>1</v>
      </c>
      <c r="J18" s="4634">
        <v>1</v>
      </c>
      <c r="K18" s="4634" t="s">
        <v>3988</v>
      </c>
      <c r="L18" s="4634" t="s">
        <v>4007</v>
      </c>
      <c r="M18" s="4635">
        <f>PHS3_YR</f>
        <v>0</v>
      </c>
      <c r="N18" s="4636"/>
      <c r="O18" s="4636"/>
      <c r="P18" s="4636"/>
      <c r="Q18" s="4637">
        <f t="shared" si="2"/>
      </c>
      <c r="R18" s="4636"/>
      <c r="S18" s="4637"/>
    </row>
    <row r="19" ht="14.25" customHeight="1">
      <c r="A19" s="4634">
        <v>43</v>
      </c>
      <c r="B19" s="4634" t="s">
        <v>2003</v>
      </c>
      <c r="C19" s="4634" t="s">
        <v>4028</v>
      </c>
      <c r="D19" s="4634" t="s">
        <v>4029</v>
      </c>
      <c r="E19" s="4634" t="str">
        <f t="shared" si="0"/>
        <v>'Form 4662'!$P$14</v>
      </c>
      <c r="F19" s="4634" t="str">
        <f t="shared" si="1"/>
        <v>R14C16</v>
      </c>
      <c r="G19" s="4634" t="s">
        <v>3959</v>
      </c>
      <c r="H19" s="4634" t="s">
        <v>3954</v>
      </c>
      <c r="I19" s="4634" t="b">
        <v>1</v>
      </c>
      <c r="J19" s="4634">
        <v>1</v>
      </c>
      <c r="K19" s="4634" t="s">
        <v>3988</v>
      </c>
      <c r="L19" s="4634" t="s">
        <v>3989</v>
      </c>
      <c r="M19" s="4635">
        <f>PHS3_UNTS</f>
        <v>0</v>
      </c>
      <c r="N19" s="4636"/>
      <c r="O19" s="4636"/>
      <c r="P19" s="4636"/>
      <c r="Q19" s="4637">
        <f t="shared" si="2"/>
      </c>
      <c r="R19" s="4636"/>
      <c r="S19" s="4637"/>
    </row>
    <row r="20" ht="14.25" customHeight="1">
      <c r="A20" s="4634">
        <v>44</v>
      </c>
      <c r="B20" s="4634" t="s">
        <v>2003</v>
      </c>
      <c r="C20" s="4634" t="s">
        <v>4032</v>
      </c>
      <c r="D20" s="4634" t="s">
        <v>4033</v>
      </c>
      <c r="E20" s="4634" t="str">
        <f t="shared" si="0"/>
        <v>'Form 4662'!$R$13</v>
      </c>
      <c r="F20" s="4634" t="str">
        <f t="shared" si="1"/>
        <v>R13C18</v>
      </c>
      <c r="G20" s="4634" t="s">
        <v>3959</v>
      </c>
      <c r="H20" s="4634" t="s">
        <v>3954</v>
      </c>
      <c r="I20" s="4634" t="b">
        <v>1</v>
      </c>
      <c r="J20" s="4634">
        <v>1</v>
      </c>
      <c r="K20" s="4634" t="s">
        <v>3988</v>
      </c>
      <c r="L20" s="4634" t="s">
        <v>4007</v>
      </c>
      <c r="M20" s="4635">
        <f>PHS4_YR</f>
        <v>0</v>
      </c>
      <c r="N20" s="4636"/>
      <c r="O20" s="4636"/>
      <c r="P20" s="4636"/>
      <c r="Q20" s="4637">
        <f t="shared" si="2"/>
      </c>
      <c r="R20" s="4636"/>
      <c r="S20" s="4637"/>
    </row>
    <row r="21" ht="14.25" customHeight="1">
      <c r="A21" s="4634">
        <v>45</v>
      </c>
      <c r="B21" s="4634" t="s">
        <v>2003</v>
      </c>
      <c r="C21" s="4634" t="s">
        <v>4036</v>
      </c>
      <c r="D21" s="4634" t="s">
        <v>4037</v>
      </c>
      <c r="E21" s="4634" t="str">
        <f t="shared" si="0"/>
        <v>'Form 4662'!$R$14</v>
      </c>
      <c r="F21" s="4634" t="str">
        <f t="shared" si="1"/>
        <v>R14C18</v>
      </c>
      <c r="G21" s="4634" t="s">
        <v>3959</v>
      </c>
      <c r="H21" s="4634" t="s">
        <v>3954</v>
      </c>
      <c r="I21" s="4634" t="b">
        <v>1</v>
      </c>
      <c r="J21" s="4634">
        <v>1</v>
      </c>
      <c r="K21" s="4634" t="s">
        <v>3988</v>
      </c>
      <c r="L21" s="4634" t="s">
        <v>3989</v>
      </c>
      <c r="M21" s="4635">
        <f>PHS4_UNTS</f>
        <v>0</v>
      </c>
      <c r="N21" s="4636"/>
      <c r="O21" s="4636"/>
      <c r="P21" s="4636"/>
      <c r="Q21" s="4637">
        <f t="shared" si="2"/>
      </c>
      <c r="R21" s="4636"/>
      <c r="S21" s="4637"/>
    </row>
    <row r="22" ht="14.25" customHeight="1">
      <c r="A22" s="4634">
        <v>46</v>
      </c>
      <c r="B22" s="4634" t="s">
        <v>2003</v>
      </c>
      <c r="C22" s="4634" t="s">
        <v>4040</v>
      </c>
      <c r="D22" s="4634" t="s">
        <v>4041</v>
      </c>
      <c r="E22" s="4634" t="str">
        <f t="shared" si="0"/>
        <v>'Form 4662'!$T$13</v>
      </c>
      <c r="F22" s="4634" t="str">
        <f t="shared" si="1"/>
        <v>R13C20</v>
      </c>
      <c r="G22" s="4634" t="s">
        <v>3959</v>
      </c>
      <c r="H22" s="4634" t="s">
        <v>3954</v>
      </c>
      <c r="I22" s="4634" t="b">
        <v>1</v>
      </c>
      <c r="J22" s="4634">
        <v>1</v>
      </c>
      <c r="K22" s="4634" t="s">
        <v>3988</v>
      </c>
      <c r="L22" s="4634" t="s">
        <v>4007</v>
      </c>
      <c r="M22" s="4635">
        <f>PHS5_YR</f>
        <v>0</v>
      </c>
      <c r="N22" s="4636"/>
      <c r="O22" s="4636"/>
      <c r="P22" s="4636"/>
      <c r="Q22" s="4637">
        <f t="shared" si="2"/>
      </c>
      <c r="R22" s="4636"/>
      <c r="S22" s="4637"/>
    </row>
    <row r="23" ht="14.25" customHeight="1">
      <c r="A23" s="4634">
        <v>47</v>
      </c>
      <c r="B23" s="4634" t="s">
        <v>2003</v>
      </c>
      <c r="C23" s="4634" t="s">
        <v>4044</v>
      </c>
      <c r="D23" s="4634" t="s">
        <v>4045</v>
      </c>
      <c r="E23" s="4634" t="str">
        <f t="shared" si="0"/>
        <v>'Form 4662'!$T$14</v>
      </c>
      <c r="F23" s="4634" t="str">
        <f t="shared" si="1"/>
        <v>R14C20</v>
      </c>
      <c r="G23" s="4634" t="s">
        <v>3959</v>
      </c>
      <c r="H23" s="4634" t="s">
        <v>3954</v>
      </c>
      <c r="I23" s="4634" t="b">
        <v>1</v>
      </c>
      <c r="J23" s="4634">
        <v>1</v>
      </c>
      <c r="K23" s="4634" t="s">
        <v>3988</v>
      </c>
      <c r="L23" s="4634" t="s">
        <v>3989</v>
      </c>
      <c r="M23" s="4635">
        <f>PHS5_UNTS</f>
        <v>0</v>
      </c>
      <c r="N23" s="4636"/>
      <c r="O23" s="4636"/>
      <c r="P23" s="4636"/>
      <c r="Q23" s="4637">
        <f t="shared" si="2"/>
      </c>
      <c r="R23" s="4636"/>
      <c r="S23" s="4637"/>
    </row>
    <row r="24" ht="14.25" customHeight="1">
      <c r="A24" s="4634">
        <v>48</v>
      </c>
      <c r="B24" s="4634" t="s">
        <v>2003</v>
      </c>
      <c r="C24" s="4634" t="s">
        <v>4048</v>
      </c>
      <c r="D24" s="4634" t="s">
        <v>4049</v>
      </c>
      <c r="E24" s="4634" t="str">
        <f t="shared" si="0"/>
        <v>'Form 4662'!$V$13</v>
      </c>
      <c r="F24" s="4634" t="str">
        <f t="shared" si="1"/>
        <v>R13C22</v>
      </c>
      <c r="G24" s="4634" t="s">
        <v>3959</v>
      </c>
      <c r="H24" s="4634" t="s">
        <v>3954</v>
      </c>
      <c r="I24" s="4634" t="b">
        <v>1</v>
      </c>
      <c r="J24" s="4634">
        <v>1</v>
      </c>
      <c r="K24" s="4634" t="s">
        <v>3988</v>
      </c>
      <c r="L24" s="4634" t="s">
        <v>4007</v>
      </c>
      <c r="M24" s="4635">
        <f>PHS6_YR</f>
        <v>0</v>
      </c>
      <c r="N24" s="4636"/>
      <c r="O24" s="4636"/>
      <c r="P24" s="4636"/>
      <c r="Q24" s="4637">
        <f t="shared" si="2"/>
      </c>
      <c r="R24" s="4636"/>
      <c r="S24" s="4637"/>
    </row>
    <row r="25" ht="14.25" customHeight="1">
      <c r="A25" s="4634">
        <v>49</v>
      </c>
      <c r="B25" s="4634" t="s">
        <v>2003</v>
      </c>
      <c r="C25" s="4634" t="s">
        <v>4052</v>
      </c>
      <c r="D25" s="4634" t="s">
        <v>4053</v>
      </c>
      <c r="E25" s="4634" t="str">
        <f t="shared" si="0"/>
        <v>'Form 4662'!$V$14</v>
      </c>
      <c r="F25" s="4634" t="str">
        <f t="shared" si="1"/>
        <v>R14C22</v>
      </c>
      <c r="G25" s="4634" t="s">
        <v>3959</v>
      </c>
      <c r="H25" s="4634" t="s">
        <v>3954</v>
      </c>
      <c r="I25" s="4634" t="b">
        <v>1</v>
      </c>
      <c r="J25" s="4634">
        <v>1</v>
      </c>
      <c r="K25" s="4634" t="s">
        <v>3988</v>
      </c>
      <c r="L25" s="4634" t="s">
        <v>3989</v>
      </c>
      <c r="M25" s="4635">
        <f>PHS6_UNTS</f>
        <v>0</v>
      </c>
      <c r="N25" s="4636"/>
      <c r="O25" s="4636"/>
      <c r="P25" s="4636"/>
      <c r="Q25" s="4637">
        <f t="shared" si="2"/>
      </c>
      <c r="R25" s="4636"/>
      <c r="S25" s="4637"/>
    </row>
    <row r="26" ht="14.25" customHeight="1">
      <c r="A26" s="4634">
        <v>50</v>
      </c>
      <c r="B26" s="4634" t="s">
        <v>2003</v>
      </c>
      <c r="C26" s="4634" t="s">
        <v>4056</v>
      </c>
      <c r="D26" s="4634" t="s">
        <v>4057</v>
      </c>
      <c r="E26" s="4634" t="str">
        <f t="shared" si="0"/>
        <v>'Form 4662'!$X$13</v>
      </c>
      <c r="F26" s="4634" t="str">
        <f t="shared" si="1"/>
        <v>R13C24</v>
      </c>
      <c r="G26" s="4634" t="s">
        <v>3959</v>
      </c>
      <c r="H26" s="4634" t="s">
        <v>3954</v>
      </c>
      <c r="I26" s="4634" t="b">
        <v>1</v>
      </c>
      <c r="J26" s="4634">
        <v>1</v>
      </c>
      <c r="K26" s="4634" t="s">
        <v>3988</v>
      </c>
      <c r="L26" s="4634" t="s">
        <v>4007</v>
      </c>
      <c r="M26" s="4635">
        <f>PHS7_YR</f>
        <v>0</v>
      </c>
      <c r="N26" s="4636"/>
      <c r="O26" s="4636"/>
      <c r="P26" s="4636"/>
      <c r="Q26" s="4637">
        <f t="shared" si="2"/>
      </c>
      <c r="R26" s="4636"/>
      <c r="S26" s="4637"/>
    </row>
    <row r="27" ht="14.25" customHeight="1">
      <c r="A27" s="4634">
        <v>51</v>
      </c>
      <c r="B27" s="4634" t="s">
        <v>2003</v>
      </c>
      <c r="C27" s="4634" t="s">
        <v>4060</v>
      </c>
      <c r="D27" s="4634" t="s">
        <v>4061</v>
      </c>
      <c r="E27" s="4634" t="str">
        <f t="shared" si="0"/>
        <v>'Form 4662'!$X$14</v>
      </c>
      <c r="F27" s="4634" t="str">
        <f t="shared" si="1"/>
        <v>R14C24</v>
      </c>
      <c r="G27" s="4634" t="s">
        <v>3959</v>
      </c>
      <c r="H27" s="4634" t="s">
        <v>3954</v>
      </c>
      <c r="I27" s="4634" t="b">
        <v>1</v>
      </c>
      <c r="J27" s="4634">
        <v>1</v>
      </c>
      <c r="K27" s="4634" t="s">
        <v>3988</v>
      </c>
      <c r="L27" s="4634" t="s">
        <v>3989</v>
      </c>
      <c r="M27" s="4635">
        <f>PHS7_UNTS</f>
        <v>0</v>
      </c>
      <c r="N27" s="4636"/>
      <c r="O27" s="4636"/>
      <c r="P27" s="4636"/>
      <c r="Q27" s="4637">
        <f t="shared" si="2"/>
      </c>
      <c r="R27" s="4636"/>
      <c r="S27" s="4637"/>
    </row>
    <row r="28" ht="14.25" customHeight="1">
      <c r="A28" s="4634">
        <v>56</v>
      </c>
      <c r="B28" s="4634" t="s">
        <v>4064</v>
      </c>
      <c r="C28" s="4634" t="s">
        <v>4065</v>
      </c>
      <c r="D28" s="4634" t="s">
        <v>4066</v>
      </c>
      <c r="E28" s="4634" t="str">
        <f t="shared" si="0"/>
        <v>'Form 4662'!$AM$8</v>
      </c>
      <c r="F28" s="4634" t="str">
        <f t="shared" si="1"/>
        <v>R8C39</v>
      </c>
      <c r="G28" s="4634" t="s">
        <v>3954</v>
      </c>
      <c r="H28" s="4634" t="s">
        <v>3954</v>
      </c>
      <c r="I28" s="4634" t="b">
        <v>1</v>
      </c>
      <c r="J28" s="4634">
        <v>3</v>
      </c>
      <c r="K28" s="4634" t="s">
        <v>3978</v>
      </c>
      <c r="L28" s="4634" t="s">
        <v>4069</v>
      </c>
      <c r="M28" s="4635" t="str">
        <f>LN_PRPS</f>
        <v>Refinance</v>
      </c>
      <c r="N28" s="4636"/>
      <c r="O28" s="4636"/>
      <c r="P28" s="4636"/>
      <c r="Q28" s="4637">
        <f t="shared" si="2"/>
      </c>
      <c r="R28" s="4636"/>
      <c r="S28" s="4637"/>
    </row>
    <row r="29" ht="14.25" customHeight="1">
      <c r="A29" s="4634">
        <v>57</v>
      </c>
      <c r="B29" s="4634" t="s">
        <v>4064</v>
      </c>
      <c r="C29" s="4634" t="s">
        <v>462</v>
      </c>
      <c r="D29" s="4634" t="s">
        <v>4070</v>
      </c>
      <c r="E29" s="4634" t="str">
        <f t="shared" si="0"/>
        <v>'Form 4662'!$AM$9</v>
      </c>
      <c r="F29" s="4634" t="str">
        <f t="shared" si="1"/>
        <v>R9C39</v>
      </c>
      <c r="G29" s="4634" t="s">
        <v>4073</v>
      </c>
      <c r="H29" s="4634" t="s">
        <v>4074</v>
      </c>
      <c r="I29" s="4634" t="b">
        <v>1</v>
      </c>
      <c r="J29" s="4634">
        <v>2</v>
      </c>
      <c r="K29" s="4634" t="s">
        <v>4075</v>
      </c>
      <c r="L29" s="4634" t="s">
        <v>4076</v>
      </c>
      <c r="M29" s="4640" t="e">
        <f>APP_LN_AMT</f>
        <v>#NAME?</v>
      </c>
      <c r="N29" s="4636"/>
      <c r="O29" s="4636"/>
      <c r="P29" s="4636"/>
      <c r="Q29" s="4637">
        <f t="shared" si="2"/>
      </c>
      <c r="R29" s="4636"/>
      <c r="S29" s="4637"/>
    </row>
    <row r="30" ht="14.25" customHeight="1">
      <c r="A30" s="4634">
        <v>64</v>
      </c>
      <c r="B30" s="4634" t="s">
        <v>4064</v>
      </c>
      <c r="C30" s="4634" t="s">
        <v>445</v>
      </c>
      <c r="D30" s="4634" t="s">
        <v>4077</v>
      </c>
      <c r="E30" s="4634" t="str">
        <f t="shared" si="0"/>
        <v>'Form 4662'!$AM$12</v>
      </c>
      <c r="F30" s="4634" t="str">
        <f t="shared" si="1"/>
        <v>R12C39</v>
      </c>
      <c r="G30" s="4634" t="s">
        <v>3959</v>
      </c>
      <c r="H30" s="4634" t="s">
        <v>3954</v>
      </c>
      <c r="I30" s="4634" t="b">
        <v>1</v>
      </c>
      <c r="J30" s="4634">
        <v>3</v>
      </c>
      <c r="K30" s="4634" t="s">
        <v>3978</v>
      </c>
      <c r="L30" s="4634" t="s">
        <v>4080</v>
      </c>
      <c r="M30" s="4635">
        <f>TIER</f>
        <v>0</v>
      </c>
      <c r="N30" s="4636"/>
      <c r="O30" s="4636"/>
      <c r="P30" s="4636"/>
      <c r="Q30" s="4637">
        <f t="shared" si="2"/>
      </c>
      <c r="R30" s="4636"/>
      <c r="S30" s="4637"/>
    </row>
    <row r="31" ht="14.25" customHeight="1">
      <c r="A31" s="4634">
        <v>65</v>
      </c>
      <c r="B31" s="4634" t="s">
        <v>4064</v>
      </c>
      <c r="C31" s="4634" t="s">
        <v>3500</v>
      </c>
      <c r="D31" s="4634" t="s">
        <v>4081</v>
      </c>
      <c r="E31" s="4634" t="str">
        <f t="shared" si="0"/>
        <v>'Form 4662'!$AM$13</v>
      </c>
      <c r="F31" s="4634" t="str">
        <f t="shared" si="1"/>
        <v>R13C39</v>
      </c>
      <c r="G31" s="4634" t="s">
        <v>4002</v>
      </c>
      <c r="H31" s="4634" t="s">
        <v>3954</v>
      </c>
      <c r="I31" s="4634" t="b">
        <v>1</v>
      </c>
      <c r="J31" s="4634">
        <v>3</v>
      </c>
      <c r="K31" s="4634" t="s">
        <v>3978</v>
      </c>
      <c r="L31" s="4634" t="s">
        <v>4003</v>
      </c>
      <c r="M31" s="4635">
        <f>TIER_DRP</f>
        <v>0</v>
      </c>
      <c r="N31" s="4636"/>
      <c r="O31" s="4636"/>
      <c r="P31" s="4636"/>
      <c r="Q31" s="4637">
        <f t="shared" si="2"/>
      </c>
      <c r="R31" s="4636"/>
      <c r="S31" s="4637"/>
    </row>
    <row r="32" ht="14.25" customHeight="1">
      <c r="A32" s="4634">
        <v>68</v>
      </c>
      <c r="B32" s="4634" t="s">
        <v>4064</v>
      </c>
      <c r="C32" s="4634" t="s">
        <v>4084</v>
      </c>
      <c r="D32" s="4634" t="s">
        <v>4085</v>
      </c>
      <c r="E32" s="4634" t="str">
        <f t="shared" si="0"/>
        <v>'Form 4662'!$AV$12</v>
      </c>
      <c r="F32" s="4634" t="str">
        <f t="shared" si="1"/>
        <v>R12C48</v>
      </c>
      <c r="G32" s="4634" t="s">
        <v>3959</v>
      </c>
      <c r="H32" s="4634" t="s">
        <v>3954</v>
      </c>
      <c r="I32" s="4634" t="b">
        <v>1</v>
      </c>
      <c r="J32" s="4634">
        <v>1</v>
      </c>
      <c r="K32" s="4634" t="s">
        <v>3988</v>
      </c>
      <c r="L32" s="4634" t="s">
        <v>3989</v>
      </c>
      <c r="M32" s="4635">
        <f>LCK_TRM</f>
        <v>0</v>
      </c>
      <c r="N32" s="4636"/>
      <c r="O32" s="4636"/>
      <c r="P32" s="4636"/>
      <c r="Q32" s="4637">
        <f t="shared" si="2"/>
      </c>
      <c r="R32" s="4636"/>
      <c r="S32" s="4637"/>
    </row>
    <row r="33" ht="14.25" customHeight="1">
      <c r="A33" s="4634">
        <v>69</v>
      </c>
      <c r="B33" s="4634" t="s">
        <v>4064</v>
      </c>
      <c r="C33" s="4634" t="s">
        <v>4088</v>
      </c>
      <c r="D33" s="4634" t="s">
        <v>4089</v>
      </c>
      <c r="E33" s="4634" t="str">
        <f t="shared" si="0"/>
        <v>'Form 4662'!$AV$13</v>
      </c>
      <c r="F33" s="4634" t="str">
        <f t="shared" si="1"/>
        <v>R13C48</v>
      </c>
      <c r="G33" s="4634" t="s">
        <v>509</v>
      </c>
      <c r="H33" s="4634" t="s">
        <v>4092</v>
      </c>
      <c r="I33" s="4634" t="b">
        <v>0</v>
      </c>
      <c r="J33" s="4634">
        <v>0</v>
      </c>
      <c r="K33" s="4634" t="s">
        <v>571</v>
      </c>
      <c r="L33" s="4634"/>
      <c r="M33" s="4641">
        <f>LCK_EXP_DT</f>
        <v>0</v>
      </c>
      <c r="N33" s="4636"/>
      <c r="O33" s="4636"/>
      <c r="P33" s="4636"/>
      <c r="Q33" s="4637">
        <f t="shared" si="2"/>
      </c>
      <c r="R33" s="4636"/>
      <c r="S33" s="4637"/>
    </row>
    <row r="34" ht="14.25" customHeight="1">
      <c r="A34" s="4634">
        <v>70</v>
      </c>
      <c r="B34" s="4634" t="s">
        <v>4064</v>
      </c>
      <c r="C34" s="4634" t="s">
        <v>1363</v>
      </c>
      <c r="D34" s="4634" t="s">
        <v>4093</v>
      </c>
      <c r="E34" s="4634" t="str">
        <f t="shared" si="0"/>
        <v>'Form 4662'!$AO$15</v>
      </c>
      <c r="F34" s="4634" t="str">
        <f t="shared" si="1"/>
        <v>R15C41</v>
      </c>
      <c r="G34" s="4634" t="s">
        <v>3959</v>
      </c>
      <c r="H34" s="4634" t="s">
        <v>4096</v>
      </c>
      <c r="I34" s="4634" t="b">
        <v>1</v>
      </c>
      <c r="J34" s="4634">
        <v>2</v>
      </c>
      <c r="K34" s="4634" t="s">
        <v>4075</v>
      </c>
      <c r="L34" s="4634" t="s">
        <v>4097</v>
      </c>
      <c r="M34" s="4642" t="e">
        <f>TRSY_RT</f>
        <v>#NAME?</v>
      </c>
      <c r="N34" s="4636"/>
      <c r="O34" s="4636"/>
      <c r="P34" s="4636"/>
      <c r="Q34" s="4637">
        <f t="shared" si="2"/>
      </c>
      <c r="R34" s="4636"/>
      <c r="S34" s="4637"/>
    </row>
    <row r="35" ht="14.25" customHeight="1">
      <c r="A35" s="4634">
        <v>71</v>
      </c>
      <c r="B35" s="4634" t="s">
        <v>4064</v>
      </c>
      <c r="C35" s="4634" t="s">
        <v>4098</v>
      </c>
      <c r="D35" s="4634" t="s">
        <v>4099</v>
      </c>
      <c r="E35" s="4634" t="str">
        <f t="shared" si="0"/>
        <v>'Form 4662'!$AO$16</v>
      </c>
      <c r="F35" s="4634" t="str">
        <f t="shared" si="1"/>
        <v>R16C41</v>
      </c>
      <c r="G35" s="4634" t="s">
        <v>3959</v>
      </c>
      <c r="H35" s="4634" t="s">
        <v>4096</v>
      </c>
      <c r="I35" s="4634" t="b">
        <v>1</v>
      </c>
      <c r="J35" s="4634">
        <v>2</v>
      </c>
      <c r="K35" s="4634" t="s">
        <v>4075</v>
      </c>
      <c r="L35" s="4634" t="s">
        <v>4097</v>
      </c>
      <c r="M35" s="4642" t="e">
        <f>GRS_SPRD</f>
        <v>#NAME?</v>
      </c>
      <c r="N35" s="4636"/>
      <c r="O35" s="4636"/>
      <c r="P35" s="4636"/>
      <c r="Q35" s="4637">
        <f t="shared" si="2"/>
      </c>
      <c r="R35" s="4636"/>
      <c r="S35" s="4637"/>
    </row>
    <row r="36" ht="14.25" customHeight="1">
      <c r="A36" s="4634">
        <v>75</v>
      </c>
      <c r="B36" s="4634" t="s">
        <v>4064</v>
      </c>
      <c r="C36" s="4634" t="s">
        <v>4102</v>
      </c>
      <c r="D36" s="4634" t="s">
        <v>4103</v>
      </c>
      <c r="E36" s="4634" t="str">
        <f t="shared" si="0"/>
        <v>'Form 4662'!$AO$18</v>
      </c>
      <c r="F36" s="4634" t="str">
        <f t="shared" si="1"/>
        <v>R18C41</v>
      </c>
      <c r="G36" s="4634" t="s">
        <v>3959</v>
      </c>
      <c r="H36" s="4634" t="s">
        <v>4096</v>
      </c>
      <c r="I36" s="4634" t="b">
        <v>1</v>
      </c>
      <c r="J36" s="4634">
        <v>2</v>
      </c>
      <c r="K36" s="4634" t="s">
        <v>4075</v>
      </c>
      <c r="L36" s="4634" t="s">
        <v>4097</v>
      </c>
      <c r="M36" s="4642" t="e">
        <f>UW_FLR_RT</f>
        <v>#NAME?</v>
      </c>
      <c r="N36" s="4636"/>
      <c r="O36" s="4636"/>
      <c r="P36" s="4636"/>
      <c r="Q36" s="4637">
        <f t="shared" si="2"/>
      </c>
      <c r="R36" s="4636"/>
      <c r="S36" s="4637"/>
    </row>
    <row r="37" ht="14.25" customHeight="1">
      <c r="A37" s="4634">
        <v>76</v>
      </c>
      <c r="B37" s="4634" t="s">
        <v>4064</v>
      </c>
      <c r="C37" s="4634" t="s">
        <v>4106</v>
      </c>
      <c r="D37" s="4634" t="s">
        <v>4107</v>
      </c>
      <c r="E37" s="4634" t="str">
        <f t="shared" si="0"/>
        <v>'Form 4662'!$AO$19</v>
      </c>
      <c r="F37" s="4634" t="str">
        <f t="shared" si="1"/>
        <v>R19C41</v>
      </c>
      <c r="G37" s="4634" t="s">
        <v>3959</v>
      </c>
      <c r="H37" s="4634" t="s">
        <v>4096</v>
      </c>
      <c r="I37" s="4634" t="b">
        <v>0</v>
      </c>
      <c r="J37" s="4634">
        <v>0</v>
      </c>
      <c r="K37" s="4634" t="s">
        <v>571</v>
      </c>
      <c r="L37" s="4634"/>
      <c r="M37" s="4642">
        <f>UW_RT</f>
        <v>0</v>
      </c>
      <c r="N37" s="4636"/>
      <c r="O37" s="4636"/>
      <c r="P37" s="4636"/>
      <c r="Q37" s="4637">
        <f t="shared" si="2"/>
      </c>
      <c r="R37" s="4636"/>
      <c r="S37" s="4637"/>
    </row>
    <row r="38" ht="14.25" customHeight="1">
      <c r="A38" s="4634">
        <v>79</v>
      </c>
      <c r="B38" s="4634" t="s">
        <v>1059</v>
      </c>
      <c r="C38" s="4634" t="s">
        <v>3125</v>
      </c>
      <c r="D38" s="4634" t="s">
        <v>4110</v>
      </c>
      <c r="E38" s="4634" t="str">
        <f t="shared" si="0"/>
        <v>'Form 4662'!$AI$31</v>
      </c>
      <c r="F38" s="4634" t="str">
        <f t="shared" si="1"/>
        <v>R31C35</v>
      </c>
      <c r="G38" s="4634" t="s">
        <v>4073</v>
      </c>
      <c r="H38" s="4634" t="s">
        <v>4074</v>
      </c>
      <c r="I38" s="4634" t="b">
        <v>1</v>
      </c>
      <c r="J38" s="4634">
        <v>2</v>
      </c>
      <c r="K38" s="4634" t="s">
        <v>4075</v>
      </c>
      <c r="L38" s="4634" t="s">
        <v>4076</v>
      </c>
      <c r="M38" s="4640">
        <f>UW_NCF</f>
        <v>-1720952.21</v>
      </c>
      <c r="N38" s="4636"/>
      <c r="O38" s="4636"/>
      <c r="P38" s="4636"/>
      <c r="Q38" s="4637">
        <f t="shared" si="2"/>
      </c>
      <c r="R38" s="4636"/>
      <c r="S38" s="4637"/>
    </row>
    <row r="39" ht="14.25" customHeight="1">
      <c r="A39" s="4634">
        <v>80</v>
      </c>
      <c r="B39" s="4634" t="s">
        <v>1059</v>
      </c>
      <c r="C39" s="4634" t="s">
        <v>4113</v>
      </c>
      <c r="D39" s="4634" t="s">
        <v>4114</v>
      </c>
      <c r="E39" s="4634" t="str">
        <f t="shared" si="0"/>
        <v>'Form 4662'!$AU$31</v>
      </c>
      <c r="F39" s="4634" t="str">
        <f t="shared" si="1"/>
        <v>R31C47</v>
      </c>
      <c r="G39" s="4634" t="s">
        <v>4073</v>
      </c>
      <c r="H39" s="4634" t="s">
        <v>4074</v>
      </c>
      <c r="I39" s="4634" t="b">
        <v>1</v>
      </c>
      <c r="J39" s="4634">
        <v>2</v>
      </c>
      <c r="K39" s="4634" t="s">
        <v>4075</v>
      </c>
      <c r="L39" s="4634" t="s">
        <v>4117</v>
      </c>
      <c r="M39" s="4640">
        <f>COOP_NCF</f>
        <v>0</v>
      </c>
      <c r="N39" s="4636"/>
      <c r="O39" s="4636"/>
      <c r="P39" s="4636"/>
      <c r="Q39" s="4637">
        <f t="shared" si="2"/>
      </c>
      <c r="R39" s="4636"/>
      <c r="S39" s="4637"/>
    </row>
    <row r="40" ht="14.25" customHeight="1">
      <c r="A40" s="4634">
        <v>82</v>
      </c>
      <c r="B40" s="4634" t="s">
        <v>1059</v>
      </c>
      <c r="C40" s="4634" t="s">
        <v>4118</v>
      </c>
      <c r="D40" s="4634" t="s">
        <v>4119</v>
      </c>
      <c r="E40" s="4634" t="str">
        <f t="shared" si="0"/>
        <v>'Form 4662'!$AI$30</v>
      </c>
      <c r="F40" s="4634" t="str">
        <f t="shared" si="1"/>
        <v>R30C35</v>
      </c>
      <c r="G40" s="4634" t="s">
        <v>4073</v>
      </c>
      <c r="H40" s="4634" t="s">
        <v>4074</v>
      </c>
      <c r="I40" s="4634" t="b">
        <v>1</v>
      </c>
      <c r="J40" s="4634">
        <v>2</v>
      </c>
      <c r="K40" s="4634" t="s">
        <v>4075</v>
      </c>
      <c r="L40" s="4634" t="s">
        <v>4076</v>
      </c>
      <c r="M40" s="4640">
        <f>UW_EGI</f>
        <v>1109838</v>
      </c>
      <c r="N40" s="4636"/>
      <c r="O40" s="4636"/>
      <c r="P40" s="4636"/>
      <c r="Q40" s="4637">
        <f t="shared" si="2"/>
      </c>
      <c r="R40" s="4636"/>
      <c r="S40" s="4637"/>
    </row>
    <row r="41" ht="14.25" customHeight="1">
      <c r="A41" s="4634">
        <v>84</v>
      </c>
      <c r="B41" s="4634" t="s">
        <v>1059</v>
      </c>
      <c r="C41" s="4634" t="s">
        <v>4122</v>
      </c>
      <c r="D41" s="4634" t="s">
        <v>4123</v>
      </c>
      <c r="E41" s="4634" t="str">
        <f t="shared" si="0"/>
        <v>'Form 4662'!$AU$30</v>
      </c>
      <c r="F41" s="4634" t="str">
        <f t="shared" si="1"/>
        <v>R30C47</v>
      </c>
      <c r="G41" s="4634" t="s">
        <v>4073</v>
      </c>
      <c r="H41" s="4634" t="s">
        <v>4074</v>
      </c>
      <c r="I41" s="4634" t="b">
        <v>1</v>
      </c>
      <c r="J41" s="4634">
        <v>2</v>
      </c>
      <c r="K41" s="4634" t="s">
        <v>4075</v>
      </c>
      <c r="L41" s="4634" t="s">
        <v>4076</v>
      </c>
      <c r="M41" s="4640">
        <f>UW_TOE</f>
        <v>2809540.21</v>
      </c>
      <c r="N41" s="4636"/>
      <c r="O41" s="4636"/>
      <c r="P41" s="4636"/>
      <c r="Q41" s="4637">
        <f t="shared" si="2"/>
      </c>
      <c r="R41" s="4636"/>
      <c r="S41" s="4637"/>
    </row>
    <row r="42" ht="14.25" customHeight="1">
      <c r="A42" s="4634">
        <v>88</v>
      </c>
      <c r="B42" s="4634" t="s">
        <v>1059</v>
      </c>
      <c r="C42" s="4634" t="s">
        <v>4126</v>
      </c>
      <c r="D42" s="4634" t="s">
        <v>4127</v>
      </c>
      <c r="E42" s="4634" t="str">
        <f t="shared" si="0"/>
        <v>'Form 4662'!$AX$23</v>
      </c>
      <c r="F42" s="4634" t="str">
        <f t="shared" si="1"/>
        <v>R23C50</v>
      </c>
      <c r="G42" s="4634" t="s">
        <v>3959</v>
      </c>
      <c r="H42" s="4634" t="s">
        <v>4130</v>
      </c>
      <c r="I42" s="4634" t="b">
        <v>1</v>
      </c>
      <c r="J42" s="4634">
        <v>2</v>
      </c>
      <c r="K42" s="4634" t="s">
        <v>4075</v>
      </c>
      <c r="L42" s="4634" t="s">
        <v>4131</v>
      </c>
      <c r="M42" s="4643">
        <f>UW_PHYS_OCC</f>
        <v>88</v>
      </c>
      <c r="N42" s="4636"/>
      <c r="O42" s="4636"/>
      <c r="P42" s="4636"/>
      <c r="Q42" s="4637">
        <f t="shared" si="2"/>
      </c>
      <c r="R42" s="4636"/>
      <c r="S42" s="4637"/>
    </row>
    <row r="43" ht="14.25" customHeight="1">
      <c r="A43" s="4634">
        <v>89</v>
      </c>
      <c r="B43" s="4634" t="s">
        <v>1059</v>
      </c>
      <c r="C43" s="4634" t="s">
        <v>4132</v>
      </c>
      <c r="D43" s="4634" t="s">
        <v>4133</v>
      </c>
      <c r="E43" s="4634" t="str">
        <f t="shared" si="0"/>
        <v>'Form 4662'!$AX$24</v>
      </c>
      <c r="F43" s="4634" t="str">
        <f t="shared" si="1"/>
        <v>R24C50</v>
      </c>
      <c r="G43" s="4634" t="s">
        <v>3959</v>
      </c>
      <c r="H43" s="4634" t="s">
        <v>4130</v>
      </c>
      <c r="I43" s="4634" t="b">
        <v>1</v>
      </c>
      <c r="J43" s="4634">
        <v>2</v>
      </c>
      <c r="K43" s="4634" t="s">
        <v>4075</v>
      </c>
      <c r="L43" s="4634" t="s">
        <v>4131</v>
      </c>
      <c r="M43" s="4643">
        <f>UW_ECON_OCC</f>
        <v>85.2</v>
      </c>
      <c r="N43" s="4636"/>
      <c r="O43" s="4636"/>
      <c r="P43" s="4636"/>
      <c r="Q43" s="4637">
        <f t="shared" si="2"/>
      </c>
      <c r="R43" s="4636"/>
      <c r="S43" s="4637"/>
    </row>
    <row r="44" ht="14.25" customHeight="1">
      <c r="A44" s="4634">
        <v>90</v>
      </c>
      <c r="B44" s="4634" t="s">
        <v>1059</v>
      </c>
      <c r="C44" s="4634" t="s">
        <v>4136</v>
      </c>
      <c r="D44" s="4634" t="s">
        <v>4137</v>
      </c>
      <c r="E44" s="4634" t="str">
        <f t="shared" si="0"/>
        <v>'Form 4662'!$AO$33</v>
      </c>
      <c r="F44" s="4634" t="str">
        <f t="shared" si="1"/>
        <v>R33C41</v>
      </c>
      <c r="G44" s="4634" t="s">
        <v>3959</v>
      </c>
      <c r="H44" s="4634" t="s">
        <v>4140</v>
      </c>
      <c r="I44" s="4634" t="b">
        <v>1</v>
      </c>
      <c r="J44" s="4634">
        <v>2</v>
      </c>
      <c r="K44" s="4634" t="s">
        <v>4075</v>
      </c>
      <c r="L44" s="4634" t="s">
        <v>4141</v>
      </c>
      <c r="M44" s="4644" t="e">
        <f>MIN_HRDL_DSCR</f>
        <v>#NAME?</v>
      </c>
      <c r="N44" s="4636"/>
      <c r="O44" s="4636"/>
      <c r="P44" s="4636"/>
      <c r="Q44" s="4637">
        <f t="shared" si="2"/>
      </c>
      <c r="R44" s="4636"/>
      <c r="S44" s="4637"/>
    </row>
    <row r="45" ht="14.25" customHeight="1">
      <c r="A45" s="4634">
        <v>91</v>
      </c>
      <c r="B45" s="4634" t="s">
        <v>1059</v>
      </c>
      <c r="C45" s="4634" t="s">
        <v>1373</v>
      </c>
      <c r="D45" s="4634" t="s">
        <v>4142</v>
      </c>
      <c r="E45" s="4634" t="str">
        <f t="shared" si="0"/>
        <v>'Form 4662'!$AO$35</v>
      </c>
      <c r="F45" s="4634" t="str">
        <f t="shared" si="1"/>
        <v>R35C41</v>
      </c>
      <c r="G45" s="4634" t="s">
        <v>3959</v>
      </c>
      <c r="H45" s="4634" t="s">
        <v>4140</v>
      </c>
      <c r="I45" s="4634" t="b">
        <v>1</v>
      </c>
      <c r="J45" s="4634">
        <v>2</v>
      </c>
      <c r="K45" s="4634" t="s">
        <v>4075</v>
      </c>
      <c r="L45" s="4634" t="s">
        <v>4145</v>
      </c>
      <c r="M45" s="4644">
        <f>ACTL_DSCR</f>
        <v>0</v>
      </c>
      <c r="N45" s="4636"/>
      <c r="O45" s="4636"/>
      <c r="P45" s="4636"/>
      <c r="Q45" s="4637">
        <f t="shared" si="2"/>
      </c>
      <c r="R45" s="4636"/>
      <c r="S45" s="4637"/>
    </row>
    <row r="46" ht="14.25" customHeight="1">
      <c r="A46" s="4634">
        <v>92</v>
      </c>
      <c r="B46" s="4634" t="s">
        <v>1059</v>
      </c>
      <c r="C46" s="4634" t="s">
        <v>4146</v>
      </c>
      <c r="D46" s="4634" t="s">
        <v>4147</v>
      </c>
      <c r="E46" s="4634" t="str">
        <f t="shared" si="0"/>
        <v>'Form 4662'!$AO$36</v>
      </c>
      <c r="F46" s="4634" t="str">
        <f t="shared" si="1"/>
        <v>R36C41</v>
      </c>
      <c r="G46" s="4634" t="s">
        <v>3959</v>
      </c>
      <c r="H46" s="4634" t="s">
        <v>4140</v>
      </c>
      <c r="I46" s="4634" t="b">
        <v>1</v>
      </c>
      <c r="J46" s="4634">
        <v>2</v>
      </c>
      <c r="K46" s="4634" t="s">
        <v>4075</v>
      </c>
      <c r="L46" s="4634" t="s">
        <v>4145</v>
      </c>
      <c r="M46" s="4644">
        <f>MAX_PMT_DSCR</f>
        <v>0</v>
      </c>
      <c r="N46" s="4636"/>
      <c r="O46" s="4636"/>
      <c r="P46" s="4636"/>
      <c r="Q46" s="4637">
        <f t="shared" si="2"/>
      </c>
      <c r="R46" s="4636"/>
      <c r="S46" s="4637"/>
    </row>
    <row r="47" ht="14.25" customHeight="1">
      <c r="A47" s="4634">
        <v>93</v>
      </c>
      <c r="B47" s="4634" t="s">
        <v>1059</v>
      </c>
      <c r="C47" s="4634" t="s">
        <v>4150</v>
      </c>
      <c r="D47" s="4634" t="s">
        <v>4151</v>
      </c>
      <c r="E47" s="4634" t="str">
        <f t="shared" si="0"/>
        <v>'Form 4662'!$AO$34</v>
      </c>
      <c r="F47" s="4634" t="str">
        <f t="shared" si="1"/>
        <v>R34C41</v>
      </c>
      <c r="G47" s="4634" t="s">
        <v>3959</v>
      </c>
      <c r="H47" s="4634" t="s">
        <v>4140</v>
      </c>
      <c r="I47" s="4634" t="b">
        <v>1</v>
      </c>
      <c r="J47" s="4634">
        <v>2</v>
      </c>
      <c r="K47" s="4634" t="s">
        <v>4075</v>
      </c>
      <c r="L47" s="4634" t="s">
        <v>4145</v>
      </c>
      <c r="M47" s="4644">
        <f>UW_DSCR</f>
        <v>0.01</v>
      </c>
      <c r="N47" s="4636"/>
      <c r="O47" s="4636"/>
      <c r="P47" s="4636"/>
      <c r="Q47" s="4637">
        <f t="shared" si="2"/>
      </c>
      <c r="R47" s="4636"/>
      <c r="S47" s="4637"/>
    </row>
    <row r="48" ht="14.25" customHeight="1">
      <c r="A48" s="4634">
        <v>95</v>
      </c>
      <c r="B48" s="4634" t="s">
        <v>1059</v>
      </c>
      <c r="C48" s="4634" t="s">
        <v>4154</v>
      </c>
      <c r="D48" s="4634" t="s">
        <v>4155</v>
      </c>
      <c r="E48" s="4634" t="str">
        <f t="shared" si="0"/>
        <v>'Form 4662'!$AO$37</v>
      </c>
      <c r="F48" s="4634" t="str">
        <f t="shared" si="1"/>
        <v>R37C41</v>
      </c>
      <c r="G48" s="4634" t="s">
        <v>3959</v>
      </c>
      <c r="H48" s="4634" t="s">
        <v>4140</v>
      </c>
      <c r="I48" s="4634" t="b">
        <v>1</v>
      </c>
      <c r="J48" s="4634">
        <v>2</v>
      </c>
      <c r="K48" s="4634" t="s">
        <v>4075</v>
      </c>
      <c r="L48" s="4634" t="s">
        <v>4141</v>
      </c>
      <c r="M48" s="4644">
        <f>MEZZ_DSCR</f>
        <v>0</v>
      </c>
      <c r="N48" s="4636"/>
      <c r="O48" s="4636"/>
      <c r="P48" s="4636"/>
      <c r="Q48" s="4637">
        <f t="shared" si="2"/>
      </c>
      <c r="R48" s="4636"/>
      <c r="S48" s="4637"/>
    </row>
    <row r="49" ht="14.25" customHeight="1">
      <c r="A49" s="4634">
        <v>96</v>
      </c>
      <c r="B49" s="4634" t="s">
        <v>1059</v>
      </c>
      <c r="C49" s="4634" t="s">
        <v>4158</v>
      </c>
      <c r="D49" s="4634" t="s">
        <v>4159</v>
      </c>
      <c r="E49" s="4634" t="str">
        <f t="shared" si="0"/>
        <v>'Form 4662'!$AN$24</v>
      </c>
      <c r="F49" s="4634" t="str">
        <f t="shared" si="1"/>
        <v>R24C40</v>
      </c>
      <c r="G49" s="4634" t="s">
        <v>3959</v>
      </c>
      <c r="H49" s="4634" t="s">
        <v>4096</v>
      </c>
      <c r="I49" s="4634" t="b">
        <v>1</v>
      </c>
      <c r="J49" s="4634">
        <v>2</v>
      </c>
      <c r="K49" s="4634" t="s">
        <v>4075</v>
      </c>
      <c r="L49" s="4634" t="s">
        <v>4076</v>
      </c>
      <c r="M49" s="4642">
        <f>UW_CAP_RT</f>
        <v>5</v>
      </c>
      <c r="N49" s="4636"/>
      <c r="O49" s="4636"/>
      <c r="P49" s="4636"/>
      <c r="Q49" s="4637">
        <f t="shared" si="2"/>
      </c>
      <c r="R49" s="4636"/>
      <c r="S49" s="4637"/>
    </row>
    <row r="50" ht="14.25" customHeight="1">
      <c r="A50" s="4634">
        <v>101</v>
      </c>
      <c r="B50" s="4634" t="s">
        <v>1059</v>
      </c>
      <c r="C50" s="4634" t="s">
        <v>4162</v>
      </c>
      <c r="D50" s="4634" t="s">
        <v>4163</v>
      </c>
      <c r="E50" s="4634" t="str">
        <f t="shared" si="0"/>
        <v>'Form 4662'!$AL$26</v>
      </c>
      <c r="F50" s="4634" t="str">
        <f t="shared" si="1"/>
        <v>R26C38</v>
      </c>
      <c r="G50" s="4634" t="s">
        <v>4073</v>
      </c>
      <c r="H50" s="4634" t="s">
        <v>4074</v>
      </c>
      <c r="I50" s="4634" t="b">
        <v>1</v>
      </c>
      <c r="J50" s="4634">
        <v>2</v>
      </c>
      <c r="K50" s="4634" t="s">
        <v>4075</v>
      </c>
      <c r="L50" s="4634" t="s">
        <v>4076</v>
      </c>
      <c r="M50" s="4640">
        <f>UW_PROP_VAL</f>
        <v>-34419044.199999996</v>
      </c>
      <c r="N50" s="4636"/>
      <c r="O50" s="4636"/>
      <c r="P50" s="4636"/>
      <c r="Q50" s="4637">
        <f t="shared" si="2"/>
      </c>
      <c r="R50" s="4636"/>
      <c r="S50" s="4637"/>
    </row>
    <row r="51" ht="14.25" customHeight="1">
      <c r="A51" s="4634">
        <v>103</v>
      </c>
      <c r="B51" s="4634" t="s">
        <v>1059</v>
      </c>
      <c r="C51" s="4634" t="s">
        <v>449</v>
      </c>
      <c r="D51" s="4634" t="s">
        <v>4166</v>
      </c>
      <c r="E51" s="4634" t="str">
        <f t="shared" si="0"/>
        <v>'Form 4662'!$AL$27</v>
      </c>
      <c r="F51" s="4634" t="str">
        <f t="shared" si="1"/>
        <v>R27C38</v>
      </c>
      <c r="G51" s="4634" t="s">
        <v>3959</v>
      </c>
      <c r="H51" s="4634" t="s">
        <v>4130</v>
      </c>
      <c r="I51" s="4634" t="b">
        <v>1</v>
      </c>
      <c r="J51" s="4634">
        <v>2</v>
      </c>
      <c r="K51" s="4634" t="s">
        <v>4075</v>
      </c>
      <c r="L51" s="4634" t="s">
        <v>4169</v>
      </c>
      <c r="M51" s="4643">
        <f>UW_LTV</f>
        <v>0.01</v>
      </c>
      <c r="N51" s="4636"/>
      <c r="O51" s="4636"/>
      <c r="P51" s="4636"/>
      <c r="Q51" s="4637">
        <f t="shared" si="2"/>
      </c>
      <c r="R51" s="4636"/>
      <c r="S51" s="4637"/>
    </row>
    <row r="52" ht="14.25" customHeight="1">
      <c r="A52" s="4634">
        <v>126</v>
      </c>
      <c r="B52" s="4634" t="s">
        <v>4170</v>
      </c>
      <c r="C52" s="4634" t="s">
        <v>4171</v>
      </c>
      <c r="D52" s="4634" t="s">
        <v>4172</v>
      </c>
      <c r="E52" s="4634" t="str">
        <f t="shared" si="0"/>
        <v>'Form 4662'!$X$34</v>
      </c>
      <c r="F52" s="4634" t="str">
        <f t="shared" si="1"/>
        <v>R34C24</v>
      </c>
      <c r="G52" s="4634" t="s">
        <v>3959</v>
      </c>
      <c r="H52" s="4634" t="s">
        <v>4140</v>
      </c>
      <c r="I52" s="4634" t="b">
        <v>1</v>
      </c>
      <c r="J52" s="4634">
        <v>2</v>
      </c>
      <c r="K52" s="4634" t="s">
        <v>4075</v>
      </c>
      <c r="L52" s="4634" t="s">
        <v>4131</v>
      </c>
      <c r="M52" s="4644">
        <f>MAH_UNTS</f>
      </c>
      <c r="N52" s="4636"/>
      <c r="O52" s="4636"/>
      <c r="P52" s="4636"/>
      <c r="Q52" s="4637">
        <f t="shared" si="2"/>
      </c>
      <c r="R52" s="4636" t="s">
        <v>4175</v>
      </c>
      <c r="S52" s="4637" t="s">
        <v>4176</v>
      </c>
    </row>
    <row r="53" ht="14.25" customHeight="1">
      <c r="A53" s="4634">
        <v>127</v>
      </c>
      <c r="B53" s="4634" t="s">
        <v>4170</v>
      </c>
      <c r="C53" s="4634" t="s">
        <v>3778</v>
      </c>
      <c r="D53" s="4634" t="s">
        <v>4177</v>
      </c>
      <c r="E53" s="4634" t="str">
        <f t="shared" si="0"/>
        <v>'Form 4662'!$L$26</v>
      </c>
      <c r="F53" s="4634" t="str">
        <f t="shared" si="1"/>
        <v>R26C12</v>
      </c>
      <c r="G53" s="4634" t="s">
        <v>3954</v>
      </c>
      <c r="H53" s="4634" t="s">
        <v>3954</v>
      </c>
      <c r="I53" s="4634" t="b">
        <v>1</v>
      </c>
      <c r="J53" s="4634">
        <v>3</v>
      </c>
      <c r="K53" s="4634" t="s">
        <v>3978</v>
      </c>
      <c r="L53" s="4634" t="s">
        <v>4180</v>
      </c>
      <c r="M53" s="4635">
        <f>MAH_TYP</f>
        <v>0</v>
      </c>
      <c r="N53" s="4636"/>
      <c r="O53" s="4636"/>
      <c r="P53" s="4636"/>
      <c r="Q53" s="4637">
        <f t="shared" si="2"/>
      </c>
      <c r="R53" s="4636"/>
      <c r="S53" s="4637"/>
    </row>
    <row r="54" ht="14.25" customHeight="1">
      <c r="A54" s="4634">
        <v>128</v>
      </c>
      <c r="B54" s="4634" t="s">
        <v>4170</v>
      </c>
      <c r="C54" s="4634" t="s">
        <v>4181</v>
      </c>
      <c r="D54" s="4634" t="s">
        <v>4182</v>
      </c>
      <c r="E54" s="4634" t="str">
        <f t="shared" si="0"/>
        <v>'Form 4662'!$J$27</v>
      </c>
      <c r="F54" s="4634" t="str">
        <f t="shared" si="1"/>
        <v>R27C10</v>
      </c>
      <c r="G54" s="4634" t="s">
        <v>3954</v>
      </c>
      <c r="H54" s="4634" t="s">
        <v>3954</v>
      </c>
      <c r="I54" s="4634" t="b">
        <v>0</v>
      </c>
      <c r="J54" s="4634">
        <v>0</v>
      </c>
      <c r="K54" s="4634" t="s">
        <v>571</v>
      </c>
      <c r="L54" s="4634"/>
      <c r="M54" s="4635">
        <f>OTR_MAH_TYP</f>
        <v>0</v>
      </c>
      <c r="N54" s="4636"/>
      <c r="O54" s="4636"/>
      <c r="P54" s="4636"/>
      <c r="Q54" s="4637">
        <f t="shared" si="2"/>
      </c>
      <c r="R54" s="4636"/>
      <c r="S54" s="4637"/>
    </row>
    <row r="55" ht="14.25" customHeight="1">
      <c r="A55" s="4634">
        <v>129</v>
      </c>
      <c r="B55" s="4634" t="s">
        <v>4170</v>
      </c>
      <c r="C55" s="4634" t="s">
        <v>4185</v>
      </c>
      <c r="D55" s="4634" t="s">
        <v>4186</v>
      </c>
      <c r="E55" s="4634" t="str">
        <f t="shared" si="0"/>
        <v>'Form 4662'!$X$31</v>
      </c>
      <c r="F55" s="4634" t="str">
        <f t="shared" si="1"/>
        <v>R31C24</v>
      </c>
      <c r="G55" s="4634" t="s">
        <v>3959</v>
      </c>
      <c r="H55" s="4634" t="s">
        <v>4130</v>
      </c>
      <c r="I55" s="4634" t="b">
        <v>1</v>
      </c>
      <c r="J55" s="4634">
        <v>2</v>
      </c>
      <c r="K55" s="4634" t="s">
        <v>4075</v>
      </c>
      <c r="L55" s="4634" t="s">
        <v>4131</v>
      </c>
      <c r="M55" s="4643">
        <f>MAH_UNDR_80</f>
        <v>0</v>
      </c>
      <c r="N55" s="4636"/>
      <c r="O55" s="4636"/>
      <c r="P55" s="4636"/>
      <c r="Q55" s="4637">
        <f t="shared" si="2"/>
      </c>
      <c r="R55" s="4636"/>
      <c r="S55" s="4637"/>
    </row>
    <row r="56" ht="14.25" customHeight="1">
      <c r="A56" s="4634">
        <v>130</v>
      </c>
      <c r="B56" s="4634" t="s">
        <v>4170</v>
      </c>
      <c r="C56" s="4634" t="s">
        <v>4189</v>
      </c>
      <c r="D56" s="4634" t="s">
        <v>4190</v>
      </c>
      <c r="E56" s="4634" t="str">
        <f t="shared" si="0"/>
        <v>'Form 4662'!$X$32</v>
      </c>
      <c r="F56" s="4634" t="str">
        <f t="shared" si="1"/>
        <v>R32C24</v>
      </c>
      <c r="G56" s="4634" t="s">
        <v>3959</v>
      </c>
      <c r="H56" s="4634" t="s">
        <v>4130</v>
      </c>
      <c r="I56" s="4634" t="b">
        <v>1</v>
      </c>
      <c r="J56" s="4634">
        <v>2</v>
      </c>
      <c r="K56" s="4634" t="s">
        <v>4075</v>
      </c>
      <c r="L56" s="4634" t="s">
        <v>4131</v>
      </c>
      <c r="M56" s="4643">
        <f>MAH_UNDR_60</f>
        <v>0</v>
      </c>
      <c r="N56" s="4636"/>
      <c r="O56" s="4636"/>
      <c r="P56" s="4636"/>
      <c r="Q56" s="4637">
        <f t="shared" si="2"/>
      </c>
      <c r="R56" s="4636"/>
      <c r="S56" s="4637"/>
    </row>
    <row r="57" ht="14.25" customHeight="1">
      <c r="A57" s="4634">
        <v>131</v>
      </c>
      <c r="B57" s="4634" t="s">
        <v>4170</v>
      </c>
      <c r="C57" s="4634" t="s">
        <v>4193</v>
      </c>
      <c r="D57" s="4634" t="s">
        <v>4194</v>
      </c>
      <c r="E57" s="4634" t="str">
        <f t="shared" si="0"/>
        <v>'Form 4662'!$X$33</v>
      </c>
      <c r="F57" s="4634" t="str">
        <f t="shared" si="1"/>
        <v>R33C24</v>
      </c>
      <c r="G57" s="4634" t="s">
        <v>3959</v>
      </c>
      <c r="H57" s="4634" t="s">
        <v>4130</v>
      </c>
      <c r="I57" s="4634" t="b">
        <v>1</v>
      </c>
      <c r="J57" s="4634">
        <v>2</v>
      </c>
      <c r="K57" s="4634" t="s">
        <v>4075</v>
      </c>
      <c r="L57" s="4634" t="s">
        <v>4131</v>
      </c>
      <c r="M57" s="4643">
        <f>MAH_UNDR_50</f>
        <v>0</v>
      </c>
      <c r="N57" s="4636"/>
      <c r="O57" s="4636"/>
      <c r="P57" s="4636"/>
      <c r="Q57" s="4637">
        <f t="shared" si="2"/>
      </c>
      <c r="R57" s="4636"/>
      <c r="S57" s="4637"/>
    </row>
    <row r="58" ht="14.25" customHeight="1">
      <c r="A58" s="4634">
        <v>132</v>
      </c>
      <c r="B58" s="4634" t="s">
        <v>4197</v>
      </c>
      <c r="C58" s="4634" t="s">
        <v>4198</v>
      </c>
      <c r="D58" s="4634" t="s">
        <v>4199</v>
      </c>
      <c r="E58" s="4634" t="str">
        <f t="shared" si="0"/>
        <v>'Form 4662'!$P$37</v>
      </c>
      <c r="F58" s="4634" t="str">
        <f t="shared" si="1"/>
        <v>R37C16</v>
      </c>
      <c r="G58" s="4634" t="s">
        <v>4073</v>
      </c>
      <c r="H58" s="4634" t="s">
        <v>4074</v>
      </c>
      <c r="I58" s="4634" t="b">
        <v>1</v>
      </c>
      <c r="J58" s="4634">
        <v>2</v>
      </c>
      <c r="K58" s="4634" t="s">
        <v>4075</v>
      </c>
      <c r="L58" s="4634" t="s">
        <v>4117</v>
      </c>
      <c r="M58" s="4640">
        <f>RPR_TOT</f>
        <v>0</v>
      </c>
      <c r="N58" s="4636"/>
      <c r="O58" s="4636"/>
      <c r="P58" s="4636"/>
      <c r="Q58" s="4637">
        <f t="shared" si="2"/>
      </c>
      <c r="R58" s="4636"/>
      <c r="S58" s="4637"/>
    </row>
    <row r="59" ht="14.25" customHeight="1">
      <c r="A59" s="4634">
        <v>140</v>
      </c>
      <c r="B59" s="4634" t="s">
        <v>2003</v>
      </c>
      <c r="C59" s="4634" t="s">
        <v>3517</v>
      </c>
      <c r="D59" s="4634" t="s">
        <v>4202</v>
      </c>
      <c r="E59" s="4634" t="str">
        <f t="shared" si="0"/>
        <v>'Form 4662'!$K$21</v>
      </c>
      <c r="F59" s="4634" t="str">
        <f t="shared" si="1"/>
        <v>R21C11</v>
      </c>
      <c r="G59" s="4634" t="s">
        <v>4002</v>
      </c>
      <c r="H59" s="4634" t="s">
        <v>3954</v>
      </c>
      <c r="I59" s="4634" t="b">
        <v>1</v>
      </c>
      <c r="J59" s="4634">
        <v>3</v>
      </c>
      <c r="K59" s="4634" t="s">
        <v>3978</v>
      </c>
      <c r="L59" s="4634" t="s">
        <v>4003</v>
      </c>
      <c r="M59" s="4635">
        <f>SZ_ZN</f>
        <v>0</v>
      </c>
      <c r="N59" s="4636"/>
      <c r="O59" s="4636"/>
      <c r="P59" s="4636"/>
      <c r="Q59" s="4637">
        <f t="shared" si="2"/>
      </c>
      <c r="R59" s="4636"/>
      <c r="S59" s="4637"/>
    </row>
    <row r="60" ht="14.25" customHeight="1">
      <c r="A60" s="4634">
        <v>141</v>
      </c>
      <c r="B60" s="4634" t="s">
        <v>2003</v>
      </c>
      <c r="C60" s="4634" t="s">
        <v>4205</v>
      </c>
      <c r="D60" s="4634" t="s">
        <v>4206</v>
      </c>
      <c r="E60" s="4634" t="str">
        <f t="shared" si="0"/>
        <v>'Form 4662'!$K$20</v>
      </c>
      <c r="F60" s="4634" t="str">
        <f t="shared" si="1"/>
        <v>R20C11</v>
      </c>
      <c r="G60" s="4634" t="s">
        <v>4002</v>
      </c>
      <c r="H60" s="4634" t="s">
        <v>3954</v>
      </c>
      <c r="I60" s="4634" t="b">
        <v>1</v>
      </c>
      <c r="J60" s="4634">
        <v>3</v>
      </c>
      <c r="K60" s="4634" t="s">
        <v>3978</v>
      </c>
      <c r="L60" s="4634" t="s">
        <v>4003</v>
      </c>
      <c r="M60" s="4635">
        <f>TRSM_INS</f>
        <v>0</v>
      </c>
      <c r="N60" s="4636"/>
      <c r="O60" s="4636"/>
      <c r="P60" s="4636"/>
      <c r="Q60" s="4637">
        <f t="shared" si="2"/>
      </c>
      <c r="R60" s="4636"/>
      <c r="S60" s="4637"/>
    </row>
    <row r="61" ht="14.25" customHeight="1">
      <c r="A61" s="4634">
        <v>142</v>
      </c>
      <c r="B61" s="4634" t="s">
        <v>2003</v>
      </c>
      <c r="C61" s="4634" t="s">
        <v>3513</v>
      </c>
      <c r="D61" s="4634" t="s">
        <v>4209</v>
      </c>
      <c r="E61" s="4634" t="str">
        <f t="shared" si="0"/>
        <v>'Form 4662'!$X$19</v>
      </c>
      <c r="F61" s="4634" t="str">
        <f t="shared" si="1"/>
        <v>R19C24</v>
      </c>
      <c r="G61" s="4634" t="s">
        <v>4002</v>
      </c>
      <c r="H61" s="4634" t="s">
        <v>3954</v>
      </c>
      <c r="I61" s="4634" t="b">
        <v>1</v>
      </c>
      <c r="J61" s="4634">
        <v>3</v>
      </c>
      <c r="K61" s="4634" t="s">
        <v>3978</v>
      </c>
      <c r="L61" s="4634" t="s">
        <v>4003</v>
      </c>
      <c r="M61" s="4635">
        <f>TX_ESCRW</f>
        <v>0</v>
      </c>
      <c r="N61" s="4636"/>
      <c r="O61" s="4636"/>
      <c r="P61" s="4636"/>
      <c r="Q61" s="4637">
        <f t="shared" si="2"/>
      </c>
      <c r="R61" s="4636"/>
      <c r="S61" s="4637"/>
    </row>
    <row r="62" ht="14.25" customHeight="1">
      <c r="A62" s="4634">
        <v>143</v>
      </c>
      <c r="B62" s="4634" t="s">
        <v>2003</v>
      </c>
      <c r="C62" s="4634" t="s">
        <v>3516</v>
      </c>
      <c r="D62" s="4634" t="s">
        <v>4212</v>
      </c>
      <c r="E62" s="4634" t="str">
        <f t="shared" si="0"/>
        <v>'Form 4662'!$X$20</v>
      </c>
      <c r="F62" s="4634" t="str">
        <f t="shared" si="1"/>
        <v>R20C24</v>
      </c>
      <c r="G62" s="4634" t="s">
        <v>4002</v>
      </c>
      <c r="H62" s="4634" t="s">
        <v>3954</v>
      </c>
      <c r="I62" s="4634" t="b">
        <v>1</v>
      </c>
      <c r="J62" s="4634">
        <v>3</v>
      </c>
      <c r="K62" s="4634" t="s">
        <v>3978</v>
      </c>
      <c r="L62" s="4634" t="s">
        <v>4003</v>
      </c>
      <c r="M62" s="4635">
        <f>INS_ESCRW</f>
        <v>0</v>
      </c>
      <c r="N62" s="4636"/>
      <c r="O62" s="4636"/>
      <c r="P62" s="4636"/>
      <c r="Q62" s="4637">
        <f t="shared" si="2"/>
      </c>
      <c r="R62" s="4636"/>
      <c r="S62" s="4637"/>
    </row>
    <row r="63" ht="14.25" customHeight="1">
      <c r="A63" s="4634">
        <v>144</v>
      </c>
      <c r="B63" s="4634" t="s">
        <v>2003</v>
      </c>
      <c r="C63" s="4634" t="s">
        <v>3518</v>
      </c>
      <c r="D63" s="4634" t="s">
        <v>4215</v>
      </c>
      <c r="E63" s="4634" t="str">
        <f t="shared" si="0"/>
        <v>'Form 4662'!$X$21</v>
      </c>
      <c r="F63" s="4634" t="str">
        <f t="shared" si="1"/>
        <v>R21C24</v>
      </c>
      <c r="G63" s="4634" t="s">
        <v>4002</v>
      </c>
      <c r="H63" s="4634" t="s">
        <v>3954</v>
      </c>
      <c r="I63" s="4634" t="b">
        <v>1</v>
      </c>
      <c r="J63" s="4634">
        <v>3</v>
      </c>
      <c r="K63" s="4634" t="s">
        <v>3978</v>
      </c>
      <c r="L63" s="4634" t="s">
        <v>4003</v>
      </c>
      <c r="M63" s="4635">
        <f>OTR_ESCRW</f>
        <v>0</v>
      </c>
      <c r="N63" s="4636"/>
      <c r="O63" s="4636"/>
      <c r="P63" s="4636"/>
      <c r="Q63" s="4637">
        <f t="shared" si="2"/>
      </c>
      <c r="R63" s="4636"/>
      <c r="S63" s="4637"/>
    </row>
    <row r="64" ht="14.25" customHeight="1">
      <c r="A64" s="4634">
        <v>161</v>
      </c>
      <c r="B64" s="4634" t="s">
        <v>4218</v>
      </c>
      <c r="C64" s="4634" t="s">
        <v>4219</v>
      </c>
      <c r="D64" s="4634" t="s">
        <v>4220</v>
      </c>
      <c r="E64" s="4634" t="str">
        <f t="shared" si="0"/>
        <v>'Form 4662'!$C$41</v>
      </c>
      <c r="F64" s="4634" t="str">
        <f t="shared" si="1"/>
        <v>R41C3</v>
      </c>
      <c r="G64" s="4634" t="s">
        <v>3954</v>
      </c>
      <c r="H64" s="4634" t="s">
        <v>3954</v>
      </c>
      <c r="I64" s="4634" t="b">
        <v>0</v>
      </c>
      <c r="J64" s="4634">
        <v>0</v>
      </c>
      <c r="K64" s="4634" t="s">
        <v>571</v>
      </c>
      <c r="L64" s="4634"/>
      <c r="M64" s="4635">
        <f>LNDR_CMTS</f>
        <v>0</v>
      </c>
      <c r="N64" s="4636"/>
      <c r="O64" s="4636"/>
      <c r="P64" s="4636"/>
      <c r="Q64" s="4637">
        <f t="shared" si="2"/>
      </c>
      <c r="R64" s="4636"/>
      <c r="S64" s="4637"/>
    </row>
    <row r="65" ht="14.25" customHeight="1">
      <c r="A65" s="4634">
        <v>162</v>
      </c>
      <c r="B65" s="4634" t="s">
        <v>4223</v>
      </c>
      <c r="C65" s="4634" t="s">
        <v>4224</v>
      </c>
      <c r="D65" s="4634" t="s">
        <v>4225</v>
      </c>
      <c r="E65" s="4634" t="str">
        <f t="shared" si="0"/>
        <v>'Form 4662'!$C$47</v>
      </c>
      <c r="F65" s="4634" t="str">
        <f t="shared" si="1"/>
        <v>R47C3</v>
      </c>
      <c r="G65" s="4634" t="s">
        <v>3954</v>
      </c>
      <c r="H65" s="4634" t="s">
        <v>3954</v>
      </c>
      <c r="I65" s="4634" t="b">
        <v>0</v>
      </c>
      <c r="J65" s="4634">
        <v>0</v>
      </c>
      <c r="K65" s="4634" t="s">
        <v>571</v>
      </c>
      <c r="L65" s="4634"/>
      <c r="M65" s="4635">
        <f>UW_SIGN</f>
        <v>0</v>
      </c>
      <c r="N65" s="4636"/>
      <c r="O65" s="4636"/>
      <c r="P65" s="4636"/>
      <c r="Q65" s="4637">
        <f t="shared" si="2"/>
      </c>
      <c r="R65" s="4636"/>
      <c r="S65" s="4637"/>
    </row>
    <row r="66" ht="14.25" customHeight="1">
      <c r="A66" s="4634">
        <v>163</v>
      </c>
      <c r="B66" s="4634" t="s">
        <v>4223</v>
      </c>
      <c r="C66" s="4634" t="s">
        <v>4228</v>
      </c>
      <c r="D66" s="4634" t="s">
        <v>4229</v>
      </c>
      <c r="E66" s="4634" t="str">
        <f t="shared" si="0"/>
        <v>'Form 4662'!$S$47</v>
      </c>
      <c r="F66" s="4634" t="str">
        <f t="shared" si="1"/>
        <v>R47C19</v>
      </c>
      <c r="G66" s="4634" t="s">
        <v>509</v>
      </c>
      <c r="H66" s="4634" t="s">
        <v>4092</v>
      </c>
      <c r="I66" s="4634" t="b">
        <v>1</v>
      </c>
      <c r="J66" s="4634">
        <v>4</v>
      </c>
      <c r="K66" s="4634" t="s">
        <v>4232</v>
      </c>
      <c r="L66" s="4634" t="s">
        <v>4233</v>
      </c>
      <c r="M66" s="4641">
        <f>UW_SIGN_DT</f>
        <v>0</v>
      </c>
      <c r="N66" s="4636"/>
      <c r="O66" s="4636"/>
      <c r="P66" s="4636"/>
      <c r="Q66" s="4637">
        <f t="shared" si="2"/>
      </c>
      <c r="R66" s="4636"/>
      <c r="S66" s="4637"/>
    </row>
    <row r="67" ht="14.25" customHeight="1">
      <c r="A67" s="4634">
        <v>164</v>
      </c>
      <c r="B67" s="4634" t="s">
        <v>4223</v>
      </c>
      <c r="C67" s="4634" t="s">
        <v>4234</v>
      </c>
      <c r="D67" s="4634" t="s">
        <v>4235</v>
      </c>
      <c r="E67" s="4634" t="str">
        <f t="shared" si="0"/>
        <v>'Form 4662'!$AC$47</v>
      </c>
      <c r="F67" s="4634" t="str">
        <f t="shared" si="1"/>
        <v>R47C29</v>
      </c>
      <c r="G67" s="4634" t="s">
        <v>3954</v>
      </c>
      <c r="H67" s="4634" t="s">
        <v>3954</v>
      </c>
      <c r="I67" s="4634" t="b">
        <v>0</v>
      </c>
      <c r="J67" s="4634">
        <v>0</v>
      </c>
      <c r="K67" s="4634" t="s">
        <v>571</v>
      </c>
      <c r="L67" s="4634"/>
      <c r="M67" s="4635">
        <f>CUW_SIGN</f>
        <v>0</v>
      </c>
      <c r="N67" s="4636"/>
      <c r="O67" s="4636"/>
      <c r="P67" s="4636"/>
      <c r="Q67" s="4637">
        <f t="shared" si="2"/>
      </c>
      <c r="R67" s="4636"/>
      <c r="S67" s="4637"/>
    </row>
    <row r="68" ht="14.25" customHeight="1">
      <c r="A68" s="4634">
        <v>165</v>
      </c>
      <c r="B68" s="4634" t="s">
        <v>4223</v>
      </c>
      <c r="C68" s="4634" t="s">
        <v>4238</v>
      </c>
      <c r="D68" s="4634" t="s">
        <v>4239</v>
      </c>
      <c r="E68" s="4634" t="str">
        <f t="shared" si="0"/>
        <v>'Form 4662'!$AS$47</v>
      </c>
      <c r="F68" s="4634" t="str">
        <f t="shared" si="1"/>
        <v>R47C45</v>
      </c>
      <c r="G68" s="4634" t="s">
        <v>509</v>
      </c>
      <c r="H68" s="4634" t="s">
        <v>4092</v>
      </c>
      <c r="I68" s="4634" t="b">
        <v>1</v>
      </c>
      <c r="J68" s="4634">
        <v>4</v>
      </c>
      <c r="K68" s="4634" t="s">
        <v>4232</v>
      </c>
      <c r="L68" s="4634" t="s">
        <v>4233</v>
      </c>
      <c r="M68" s="4641">
        <f>CUW_SIGN_DT</f>
        <v>0</v>
      </c>
      <c r="N68" s="4636"/>
      <c r="O68" s="4636"/>
      <c r="P68" s="4636"/>
      <c r="Q68" s="4637">
        <f t="shared" si="2"/>
      </c>
      <c r="R68" s="4636"/>
      <c r="S68" s="4637"/>
    </row>
    <row r="69" ht="14.25" customHeight="1">
      <c r="A69" s="4634">
        <v>166</v>
      </c>
      <c r="B69" s="4634" t="s">
        <v>4170</v>
      </c>
      <c r="C69" s="4634" t="s">
        <v>4242</v>
      </c>
      <c r="D69" s="4634" t="s">
        <v>4243</v>
      </c>
      <c r="E69" s="4634" t="str">
        <f t="shared" si="0"/>
        <v>'Form 4662'!$K$28</v>
      </c>
      <c r="F69" s="4634" t="str">
        <f t="shared" si="1"/>
        <v>R28C11</v>
      </c>
      <c r="G69" s="4634" t="s">
        <v>3959</v>
      </c>
      <c r="H69" s="4634" t="s">
        <v>3960</v>
      </c>
      <c r="I69" s="4634" t="b">
        <v>1</v>
      </c>
      <c r="J69" s="4634">
        <v>1</v>
      </c>
      <c r="K69" s="4634" t="s">
        <v>3988</v>
      </c>
      <c r="L69" s="4634" t="s">
        <v>3989</v>
      </c>
      <c r="M69" s="4639">
        <f>HAP_REM_TRM</f>
        <v>0</v>
      </c>
      <c r="N69" s="4636"/>
      <c r="O69" s="4636"/>
      <c r="P69" s="4636"/>
      <c r="Q69" s="4637">
        <f t="shared" si="2"/>
      </c>
      <c r="R69" s="4636"/>
      <c r="S69" s="4637"/>
    </row>
    <row r="70" ht="14.25" customHeight="1">
      <c r="A70" s="4634">
        <v>167</v>
      </c>
      <c r="B70" s="4634" t="s">
        <v>2003</v>
      </c>
      <c r="C70" s="4634" t="s">
        <v>3512</v>
      </c>
      <c r="D70" s="4634" t="s">
        <v>4246</v>
      </c>
      <c r="E70" s="4634" t="str">
        <f t="shared" si="0"/>
        <v>'Form 4662'!$K$19</v>
      </c>
      <c r="F70" s="4634" t="str">
        <f t="shared" si="1"/>
        <v>R19C11</v>
      </c>
      <c r="G70" s="4634" t="s">
        <v>4002</v>
      </c>
      <c r="H70" s="4634" t="s">
        <v>3954</v>
      </c>
      <c r="I70" s="4634" t="b">
        <v>1</v>
      </c>
      <c r="J70" s="4634">
        <v>3</v>
      </c>
      <c r="K70" s="4634" t="s">
        <v>3978</v>
      </c>
      <c r="L70" s="4634" t="s">
        <v>4003</v>
      </c>
      <c r="M70" s="4635">
        <f>AGE_RESTR</f>
        <v>0</v>
      </c>
      <c r="N70" s="4636"/>
      <c r="O70" s="4636"/>
      <c r="P70" s="4636"/>
      <c r="Q70" s="4637">
        <f t="shared" si="2"/>
      </c>
      <c r="R70" s="4636"/>
      <c r="S70" s="4637"/>
    </row>
    <row r="71" ht="14.25" customHeight="1">
      <c r="A71" s="4634">
        <v>168</v>
      </c>
      <c r="B71" s="4634" t="s">
        <v>1059</v>
      </c>
      <c r="C71" s="4634" t="s">
        <v>4249</v>
      </c>
      <c r="D71" s="4634" t="s">
        <v>4250</v>
      </c>
      <c r="E71" s="4634" t="str">
        <f t="shared" si="0"/>
        <v>'Form 4662'!$AW$27</v>
      </c>
      <c r="F71" s="4634" t="str">
        <f t="shared" si="1"/>
        <v>R27C49</v>
      </c>
      <c r="G71" s="4634" t="s">
        <v>3959</v>
      </c>
      <c r="H71" s="4634" t="s">
        <v>4130</v>
      </c>
      <c r="I71" s="4634" t="b">
        <v>1</v>
      </c>
      <c r="J71" s="4634">
        <v>2</v>
      </c>
      <c r="K71" s="4634" t="s">
        <v>4075</v>
      </c>
      <c r="L71" s="4634" t="s">
        <v>4169</v>
      </c>
      <c r="M71" s="4643">
        <f>UW_CLTV</f>
        <v>0</v>
      </c>
      <c r="N71" s="4636"/>
      <c r="O71" s="4636"/>
      <c r="P71" s="4636"/>
      <c r="Q71" s="4637">
        <f t="shared" si="2"/>
      </c>
      <c r="R71" s="4636"/>
      <c r="S71" s="4637"/>
    </row>
    <row r="72" ht="14.25" customHeight="1">
      <c r="A72" s="4634">
        <v>169</v>
      </c>
      <c r="B72" s="4634" t="s">
        <v>1059</v>
      </c>
      <c r="C72" s="4634" t="s">
        <v>4253</v>
      </c>
      <c r="D72" s="4634" t="s">
        <v>4254</v>
      </c>
      <c r="E72" s="4634" t="str">
        <f t="shared" si="0"/>
        <v>'Form 4662'!$AN$23</v>
      </c>
      <c r="F72" s="4634" t="str">
        <f t="shared" si="1"/>
        <v>R23C40</v>
      </c>
      <c r="G72" s="4634" t="s">
        <v>3959</v>
      </c>
      <c r="H72" s="4634" t="s">
        <v>3960</v>
      </c>
      <c r="I72" s="4634" t="b">
        <v>1</v>
      </c>
      <c r="J72" s="4634">
        <v>1</v>
      </c>
      <c r="K72" s="4634" t="s">
        <v>3988</v>
      </c>
      <c r="L72" s="4634" t="s">
        <v>4257</v>
      </c>
      <c r="M72" s="4639">
        <f>OP_STMT_FY</f>
        <v>2023</v>
      </c>
      <c r="N72" s="4636"/>
      <c r="O72" s="4636"/>
      <c r="P72" s="4636"/>
      <c r="Q72" s="4637">
        <f t="shared" si="2"/>
      </c>
      <c r="R72" s="4636"/>
      <c r="S72" s="4637"/>
    </row>
    <row r="73" ht="14.25" customHeight="1">
      <c r="A73" s="4634">
        <v>172</v>
      </c>
      <c r="B73" s="4634" t="s">
        <v>2003</v>
      </c>
      <c r="C73" s="4634" t="s">
        <v>4258</v>
      </c>
      <c r="D73" s="4634" t="s">
        <v>4259</v>
      </c>
      <c r="E73" s="4634" t="str">
        <f t="shared" si="0"/>
        <v>'Form 4662'!$K$22</v>
      </c>
      <c r="F73" s="4634" t="str">
        <f t="shared" si="1"/>
        <v>R22C11</v>
      </c>
      <c r="G73" s="4634" t="s">
        <v>4002</v>
      </c>
      <c r="H73" s="4634" t="s">
        <v>3954</v>
      </c>
      <c r="I73" s="4634" t="b">
        <v>1</v>
      </c>
      <c r="J73" s="4634">
        <v>3</v>
      </c>
      <c r="K73" s="4634" t="s">
        <v>3978</v>
      </c>
      <c r="L73" s="4634" t="s">
        <v>4003</v>
      </c>
      <c r="M73" s="4635">
        <f>SZ_RSK</f>
        <v>0</v>
      </c>
      <c r="N73" s="4636"/>
      <c r="O73" s="4636"/>
      <c r="P73" s="4636"/>
      <c r="Q73" s="4637">
        <f t="shared" si="2"/>
      </c>
      <c r="R73" s="4636"/>
      <c r="S73" s="4637"/>
    </row>
    <row r="74" ht="14.25" customHeight="1">
      <c r="A74" s="4634">
        <v>173</v>
      </c>
      <c r="B74" s="4634" t="s">
        <v>1059</v>
      </c>
      <c r="C74" s="4634" t="s">
        <v>4262</v>
      </c>
      <c r="D74" s="4634" t="s">
        <v>4263</v>
      </c>
      <c r="E74" s="4634" t="str">
        <f t="shared" si="0"/>
        <v>'Form 4662'!$AW$26</v>
      </c>
      <c r="F74" s="4634" t="str">
        <f t="shared" si="1"/>
        <v>R26C49</v>
      </c>
      <c r="G74" s="4634" t="s">
        <v>509</v>
      </c>
      <c r="H74" s="4634" t="s">
        <v>4092</v>
      </c>
      <c r="I74" s="4634" t="b">
        <v>1</v>
      </c>
      <c r="J74" s="4634">
        <v>4</v>
      </c>
      <c r="K74" s="4634" t="s">
        <v>4232</v>
      </c>
      <c r="L74" s="4634" t="s">
        <v>4233</v>
      </c>
      <c r="M74" s="4641">
        <f>UW_PROP_VAL_DT</f>
        <v>45201</v>
      </c>
      <c r="N74" s="4636"/>
      <c r="O74" s="4636"/>
      <c r="P74" s="4636"/>
      <c r="Q74" s="4637">
        <f t="shared" si="2"/>
      </c>
      <c r="R74" s="4636"/>
      <c r="S74" s="4637"/>
    </row>
    <row r="75" ht="14.25" customHeight="1">
      <c r="A75" s="4634">
        <v>174</v>
      </c>
      <c r="B75" s="4634" t="s">
        <v>4064</v>
      </c>
      <c r="C75" s="4634" t="s">
        <v>4266</v>
      </c>
      <c r="D75" s="4634" t="s">
        <v>4267</v>
      </c>
      <c r="E75" s="4634" t="str">
        <f t="shared" si="0"/>
        <v>'Form 4662'!$AM$10</v>
      </c>
      <c r="F75" s="4634" t="str">
        <f t="shared" si="1"/>
        <v>R10C39</v>
      </c>
      <c r="G75" s="4634" t="s">
        <v>4073</v>
      </c>
      <c r="H75" s="4634" t="s">
        <v>4074</v>
      </c>
      <c r="I75" s="4634" t="b">
        <v>1</v>
      </c>
      <c r="J75" s="4634">
        <v>2</v>
      </c>
      <c r="K75" s="4634" t="s">
        <v>4075</v>
      </c>
      <c r="L75" s="4634" t="s">
        <v>4117</v>
      </c>
      <c r="M75" s="4640">
        <f>MEZZ_LN_ACQ_UPB</f>
        <v>0</v>
      </c>
      <c r="N75" s="4636"/>
      <c r="O75" s="4636"/>
      <c r="P75" s="4636"/>
      <c r="Q75" s="4637">
        <f t="shared" si="2"/>
      </c>
      <c r="R75" s="4636"/>
      <c r="S75" s="4637"/>
    </row>
    <row r="76" ht="14.25" customHeight="1">
      <c r="A76" s="4634">
        <v>175</v>
      </c>
      <c r="B76" s="4634" t="s">
        <v>4064</v>
      </c>
      <c r="C76" s="4634" t="s">
        <v>4270</v>
      </c>
      <c r="D76" s="4634" t="s">
        <v>4271</v>
      </c>
      <c r="E76" s="4634" t="str">
        <f t="shared" si="0"/>
        <v>'Form 4662'!$AX$10</v>
      </c>
      <c r="F76" s="4634" t="str">
        <f t="shared" si="1"/>
        <v>R10C50</v>
      </c>
      <c r="G76" s="4634" t="s">
        <v>4073</v>
      </c>
      <c r="H76" s="4634" t="s">
        <v>4074</v>
      </c>
      <c r="I76" s="4634" t="b">
        <v>1</v>
      </c>
      <c r="J76" s="4634">
        <v>2</v>
      </c>
      <c r="K76" s="4634" t="s">
        <v>4075</v>
      </c>
      <c r="L76" s="4634" t="s">
        <v>4117</v>
      </c>
      <c r="M76" s="4640">
        <f>MEZZ_LN_MO_PMT</f>
        <v>0</v>
      </c>
      <c r="N76" s="4636"/>
      <c r="O76" s="4636"/>
      <c r="P76" s="4636"/>
      <c r="Q76" s="4637">
        <f t="shared" si="2"/>
      </c>
      <c r="R76" s="4636"/>
      <c r="S76" s="4637"/>
    </row>
    <row r="77" ht="14.25" customHeight="1">
      <c r="A77" s="4634">
        <v>180</v>
      </c>
      <c r="B77" s="4634" t="s">
        <v>4064</v>
      </c>
      <c r="C77" s="4634" t="s">
        <v>4274</v>
      </c>
      <c r="D77" s="4634" t="s">
        <v>4275</v>
      </c>
      <c r="E77" s="4634" t="str">
        <f t="shared" si="0"/>
        <v>'Form 4662'!$AO$17</v>
      </c>
      <c r="F77" s="4634" t="str">
        <f t="shared" si="1"/>
        <v>R17C41</v>
      </c>
      <c r="G77" s="4634" t="s">
        <v>3959</v>
      </c>
      <c r="H77" s="4634" t="s">
        <v>4096</v>
      </c>
      <c r="I77" s="4634" t="b">
        <v>1</v>
      </c>
      <c r="J77" s="4634">
        <v>2</v>
      </c>
      <c r="K77" s="4634" t="s">
        <v>4075</v>
      </c>
      <c r="L77" s="4634" t="s">
        <v>4097</v>
      </c>
      <c r="M77" s="4642">
        <f>CAP_COST_FCTR</f>
        <v>0</v>
      </c>
      <c r="N77" s="4636"/>
      <c r="O77" s="4636"/>
      <c r="P77" s="4636"/>
      <c r="Q77" s="4637">
        <f t="shared" si="2"/>
      </c>
      <c r="R77" s="4636"/>
      <c r="S77" s="4637"/>
    </row>
  </sheetData>
  <conditionalFormatting sqref="S2:S77">
    <cfRule type="cellIs" dxfId="73" priority="1" operator="equal" text="null">
      <formula>"Formula"</formula>
    </cfRule>
  </conditionalFormatting>
  <conditionalFormatting sqref="S2:S77">
    <cfRule type="cellIs" dxfId="61" priority="4" operator="equal" text="null">
      <formula>"Reference"</formula>
    </cfRule>
  </conditionalFormatting>
  <conditionalFormatting sqref="Q2:Q77">
    <cfRule type="expression" dxfId="74" priority="3" text="null">
      <formula>$S2="Formula"</formula>
    </cfRule>
  </conditionalFormatting>
  <conditionalFormatting sqref="Q2:Q77">
    <cfRule type="expression" dxfId="61" priority="5" text="null">
      <formula>$S2="Reference"</formula>
    </cfRule>
  </conditionalFormatting>
  <conditionalFormatting sqref="R2:R77">
    <cfRule type="expression" dxfId="73" priority="2" text="null">
      <formula>$S2="Formula"</formula>
    </cfRule>
  </conditionalFormatting>
  <conditionalFormatting sqref="R2:R77">
    <cfRule type="expression" dxfId="74" priority="6" text="null">
      <formula>$S2="Reference"</formula>
    </cfRule>
  </conditionalFormatting>
  <dataValidations count="2">
    <dataValidation allowBlank="1" showErrorMessage="1" showInputMessage="1" sqref="S2:S77" type="list">
      <formula1>"Reference,Formula,"</formula1>
    </dataValidation>
    <dataValidation allowBlank="1" showErrorMessage="1" showInputMessage="1" sqref="N2:N77" type="list">
      <formula1>WorksheetNames</formula1>
    </dataValidation>
  </dataValidations>
  <printOptions horizontalCentered="1"/>
  <pageMargins left="0.5" right="0.5" top="0.75" bottom="0.75" header="0.3" footer="0.3"/>
  <pageSetup paperSize="1" useFirstPageNumber="1" firstPageNumber="1" pageOrder="downThenOver" orientation="portrait"/>
  <headerFooter>
    <oddFooter>&amp;L&amp;"Source Sans Pro,Regular"&amp;8© 2020 Fannie Mae. Trademarks of Fannie Mae&amp;"Arial,Regular"&amp;10.&amp;C&amp;"Source Sans Pro,Bold"&amp;8Form 4662&amp;"Arial,Regular"&amp;10 -&amp;"Source Sans Pro,Regular"&amp;8 Febuary 2020&amp;RPage &amp;P of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1199105" name="button_LinkSourcesToForm" r:id="rId3">
              <controlPr defaultSize="0" autoPict="0" print="0">
                <anchor moveWithCells="1" sizeWithCells="1">
                  <from>
                    <xdr:col>20</xdr:col>
                    <xdr:colOff>0</xdr:colOff>
                    <xdr:row>0</xdr:row>
                    <xdr:rowOff>50768</xdr:rowOff>
                  </from>
                  <to>
                    <xdr:col>22</xdr:col>
                    <xdr:colOff>126968</xdr:colOff>
                    <xdr:row>0</xdr:row>
                    <xdr:rowOff>368332</xdr:rowOff>
                  </to>
                </anchor>
              </controlPr>
            </control>
          </mc:Choice>
        </mc:AlternateContent>
        <mc:AlternateContent xmlns:mc="http://schemas.openxmlformats.org/markup-compatibility/2006">
          <mc:Choice Requires="x14">
            <control shapeId="1199106" name="button_RestoreLinksToHData" r:id="rId4">
              <controlPr defaultSize="0" autoPict="0" print="0">
                <anchor moveWithCells="1" sizeWithCells="1">
                  <from>
                    <xdr:col>23</xdr:col>
                    <xdr:colOff>0</xdr:colOff>
                    <xdr:row>0</xdr:row>
                    <xdr:rowOff>50768</xdr:rowOff>
                  </from>
                  <to>
                    <xdr:col>25</xdr:col>
                    <xdr:colOff>215932</xdr:colOff>
                    <xdr:row>0</xdr:row>
                    <xdr:rowOff>368332</xdr:rowOff>
                  </to>
                </anchor>
              </controlPr>
            </control>
          </mc:Choice>
        </mc:AlternateContent>
        <mc:AlternateContent xmlns:mc="http://schemas.openxmlformats.org/markup-compatibility/2006">
          <mc:Choice Requires="x14">
            <control shapeId="1199107" name="button_ClearForm" r:id="rId5">
              <controlPr defaultSize="0" autoPict="0" print="0">
                <anchor moveWithCells="1" sizeWithCells="1">
                  <from>
                    <xdr:col>25</xdr:col>
                    <xdr:colOff>482632</xdr:colOff>
                    <xdr:row>0</xdr:row>
                    <xdr:rowOff>63532</xdr:rowOff>
                  </from>
                  <to>
                    <xdr:col>27</xdr:col>
                    <xdr:colOff>139732</xdr:colOff>
                    <xdr:row>0</xdr:row>
                    <xdr:rowOff>355568</xdr:rowOff>
                  </to>
                </anchor>
              </controlPr>
            </control>
          </mc:Choice>
        </mc:AlternateContent>
      </controls>
    </mc:Choice>
  </mc:AlternateConten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7FF5E54-2CE9-6C16-52F2-BE34A3F521FE}" mc:Ignorable="x14ac xr xr2 xr3">
  <dimension ref="A1:BX2"/>
  <sheetViews>
    <sheetView topLeftCell="A1" workbookViewId="0">
      <selection activeCell="A1" sqref="A1"/>
    </sheetView>
  </sheetViews>
  <sheetFormatPr defaultRowHeight="12.997499999999997" defaultColWidth="9.140625" customHeight="1"/>
  <cols>
    <col min="1" max="1" style="4248" width="6.57421875" customWidth="1"/>
    <col min="2" max="2" style="4248" width="8.57421875" customWidth="1"/>
    <col min="3" max="3" style="4248" width="6.7109375" customWidth="1"/>
    <col min="4" max="4" style="4248" width="8.57421875" customWidth="1"/>
    <col min="5" max="6" style="4248" width="8.8515625" customWidth="1"/>
    <col min="7" max="7" style="4248" width="8.57421875" customWidth="1"/>
    <col min="8" max="8" style="4248" width="8.8515625" customWidth="1"/>
    <col min="9" max="11" style="4248" width="8.57421875" customWidth="1"/>
    <col min="12" max="12" style="4248" width="6.28125" customWidth="1"/>
    <col min="13" max="13" style="4248" width="7.7109375" customWidth="1"/>
    <col min="14" max="14" style="4248" width="9.8515625" customWidth="1"/>
    <col min="15" max="15" style="4248" width="7.7109375" customWidth="1"/>
    <col min="16" max="16" style="4248" width="9.8515625" customWidth="1"/>
    <col min="17" max="17" style="4248" width="7.7109375" customWidth="1"/>
    <col min="18" max="18" style="4248" width="9.8515625" customWidth="1"/>
    <col min="19" max="19" style="4248" width="7.7109375" customWidth="1"/>
    <col min="20" max="20" style="4248" width="9.8515625" customWidth="1"/>
    <col min="21" max="21" style="4248" width="7.7109375" customWidth="1"/>
    <col min="22" max="22" style="4248" width="9.8515625" customWidth="1"/>
    <col min="23" max="23" style="4248" width="7.7109375" customWidth="1"/>
    <col min="24" max="24" style="4248" width="9.8515625" customWidth="1"/>
    <col min="25" max="25" style="4248" width="7.7109375" customWidth="1"/>
    <col min="26" max="26" style="4248" width="9.8515625" customWidth="1"/>
    <col min="27" max="28" style="4248" width="7.57421875" customWidth="1"/>
    <col min="29" max="29" style="4248" width="4.28125" customWidth="1"/>
    <col min="30" max="30" style="4248" width="8.28125" customWidth="1"/>
    <col min="31" max="31" style="4248" width="8.00390625" customWidth="1"/>
    <col min="32" max="32" style="4248" width="10.28125" customWidth="1"/>
    <col min="33" max="33" style="4248" width="7.28125" customWidth="1"/>
    <col min="34" max="34" style="4248" width="8.8515625" customWidth="1"/>
    <col min="35" max="35" style="4248" width="10.00390625" customWidth="1"/>
    <col min="36" max="36" style="4248" width="6.57421875" customWidth="1"/>
    <col min="37" max="37" style="4248" width="7.7109375" customWidth="1"/>
    <col min="38" max="38" style="4248" width="9.57421875" customWidth="1"/>
    <col min="39" max="39" style="4248" width="7.28125" customWidth="1"/>
    <col min="40" max="40" style="4248" width="7.7109375" customWidth="1"/>
    <col min="41" max="41" style="4248" width="12.7109375" customWidth="1"/>
    <col min="42" max="42" style="4248" width="13.28125" customWidth="1"/>
    <col min="43" max="43" style="4248" width="14.140625" customWidth="1"/>
    <col min="44" max="44" style="4248" width="9.57421875" customWidth="1"/>
    <col min="45" max="45" style="4248" width="13.8515625" customWidth="1"/>
    <col min="46" max="46" style="4248" width="8.7109375" customWidth="1"/>
    <col min="47" max="47" style="4248" width="10.00390625" customWidth="1"/>
    <col min="48" max="48" style="4248" width="10.57421875" customWidth="1"/>
    <col min="49" max="49" style="4248" width="12.57421875" customWidth="1"/>
    <col min="50" max="50" style="4248" width="7.28125" customWidth="1"/>
    <col min="51" max="51" style="4248" width="9.57421875" customWidth="1"/>
    <col min="52" max="52" style="4248" width="8.28125" customWidth="1"/>
    <col min="53" max="53" style="4248" width="12.28125" customWidth="1"/>
    <col min="54" max="56" style="4248" width="12.8515625" customWidth="1"/>
    <col min="57" max="57" style="4248" width="7.8515625" customWidth="1"/>
    <col min="58" max="58" style="4248" width="5.57421875" customWidth="1"/>
    <col min="59" max="59" style="4248" width="8.7109375" customWidth="1"/>
    <col min="60" max="60" style="4248" width="9.140625" customWidth="1"/>
    <col min="61" max="61" style="4248" width="9.8515625" customWidth="1"/>
    <col min="62" max="62" style="4248" width="10.57421875" customWidth="1"/>
    <col min="63" max="63" style="4248" width="10.140625" customWidth="1"/>
    <col min="64" max="64" style="4248" width="8.57421875" customWidth="1"/>
    <col min="65" max="65" style="4248" width="11.28125" customWidth="1"/>
    <col min="66" max="66" style="4248" width="9.57421875" customWidth="1"/>
    <col min="67" max="67" style="4248" width="12.28125" customWidth="1"/>
    <col min="68" max="68" style="4248" width="12.7109375" customWidth="1"/>
    <col min="69" max="69" style="4248" width="9.57421875" customWidth="1"/>
    <col min="70" max="70" style="4248" width="8.28125" customWidth="1"/>
    <col min="71" max="71" style="4248" width="10.8515625" customWidth="1"/>
    <col min="72" max="72" style="4248" width="6.57421875" customWidth="1"/>
    <col min="73" max="73" style="4248" width="15.57421875" customWidth="1"/>
    <col min="74" max="74" style="4248" width="16.140625" customWidth="1"/>
    <col min="75" max="75" style="4248" width="16.00390625" customWidth="1"/>
    <col min="76" max="76" style="4248" width="13.57421875" customWidth="1"/>
  </cols>
  <sheetData>
    <row r="1" ht="12.75" customHeight="1">
      <c r="A1" s="4634" t="s">
        <v>3951</v>
      </c>
      <c r="B1" s="4634" t="s">
        <v>3956</v>
      </c>
      <c r="C1" s="4634" t="s">
        <v>3964</v>
      </c>
      <c r="D1" s="4634" t="s">
        <v>3969</v>
      </c>
      <c r="E1" s="4634" t="s">
        <v>3972</v>
      </c>
      <c r="F1" s="4634" t="s">
        <v>3975</v>
      </c>
      <c r="G1" s="4634" t="s">
        <v>3980</v>
      </c>
      <c r="H1" s="4634" t="s">
        <v>3985</v>
      </c>
      <c r="I1" s="4634" t="s">
        <v>3991</v>
      </c>
      <c r="J1" s="4634" t="s">
        <v>3995</v>
      </c>
      <c r="K1" s="4634" t="s">
        <v>3999</v>
      </c>
      <c r="L1" s="4634" t="s">
        <v>4004</v>
      </c>
      <c r="M1" s="4634" t="s">
        <v>4009</v>
      </c>
      <c r="N1" s="4634" t="s">
        <v>4013</v>
      </c>
      <c r="O1" s="4634" t="s">
        <v>4017</v>
      </c>
      <c r="P1" s="4634" t="s">
        <v>4021</v>
      </c>
      <c r="Q1" s="4634" t="s">
        <v>4025</v>
      </c>
      <c r="R1" s="4634" t="s">
        <v>4029</v>
      </c>
      <c r="S1" s="4634" t="s">
        <v>4033</v>
      </c>
      <c r="T1" s="4634" t="s">
        <v>4037</v>
      </c>
      <c r="U1" s="4634" t="s">
        <v>4041</v>
      </c>
      <c r="V1" s="4634" t="s">
        <v>4045</v>
      </c>
      <c r="W1" s="4634" t="s">
        <v>4049</v>
      </c>
      <c r="X1" s="4634" t="s">
        <v>4053</v>
      </c>
      <c r="Y1" s="4634" t="s">
        <v>4057</v>
      </c>
      <c r="Z1" s="4634" t="s">
        <v>4061</v>
      </c>
      <c r="AA1" s="4634" t="s">
        <v>4066</v>
      </c>
      <c r="AB1" s="4634" t="s">
        <v>4070</v>
      </c>
      <c r="AC1" s="4634" t="s">
        <v>4077</v>
      </c>
      <c r="AD1" s="4634" t="s">
        <v>4081</v>
      </c>
      <c r="AE1" s="4634" t="s">
        <v>4085</v>
      </c>
      <c r="AF1" s="4634" t="s">
        <v>4089</v>
      </c>
      <c r="AG1" s="4634" t="s">
        <v>4093</v>
      </c>
      <c r="AH1" s="4634" t="s">
        <v>4099</v>
      </c>
      <c r="AI1" s="4634" t="s">
        <v>4103</v>
      </c>
      <c r="AJ1" s="4634" t="s">
        <v>4107</v>
      </c>
      <c r="AK1" s="4634" t="s">
        <v>4110</v>
      </c>
      <c r="AL1" s="4634" t="s">
        <v>4114</v>
      </c>
      <c r="AM1" s="4634" t="s">
        <v>4119</v>
      </c>
      <c r="AN1" s="4634" t="s">
        <v>4123</v>
      </c>
      <c r="AO1" s="4634" t="s">
        <v>4127</v>
      </c>
      <c r="AP1" s="4634" t="s">
        <v>4133</v>
      </c>
      <c r="AQ1" s="4634" t="s">
        <v>4137</v>
      </c>
      <c r="AR1" s="4634" t="s">
        <v>4142</v>
      </c>
      <c r="AS1" s="4634" t="s">
        <v>4147</v>
      </c>
      <c r="AT1" s="4634" t="s">
        <v>4151</v>
      </c>
      <c r="AU1" s="4634" t="s">
        <v>4155</v>
      </c>
      <c r="AV1" s="4634" t="s">
        <v>4159</v>
      </c>
      <c r="AW1" s="4634" t="s">
        <v>4163</v>
      </c>
      <c r="AX1" s="4634" t="s">
        <v>4166</v>
      </c>
      <c r="AY1" s="4634" t="s">
        <v>4172</v>
      </c>
      <c r="AZ1" s="4634" t="s">
        <v>4177</v>
      </c>
      <c r="BA1" s="4634" t="s">
        <v>4182</v>
      </c>
      <c r="BB1" s="4634" t="s">
        <v>4186</v>
      </c>
      <c r="BC1" s="4634" t="s">
        <v>4190</v>
      </c>
      <c r="BD1" s="4634" t="s">
        <v>4194</v>
      </c>
      <c r="BE1" s="4634" t="s">
        <v>4199</v>
      </c>
      <c r="BF1" s="4634" t="s">
        <v>4202</v>
      </c>
      <c r="BG1" s="4634" t="s">
        <v>4206</v>
      </c>
      <c r="BH1" s="4634" t="s">
        <v>4209</v>
      </c>
      <c r="BI1" s="4634" t="s">
        <v>4212</v>
      </c>
      <c r="BJ1" s="4634" t="s">
        <v>4215</v>
      </c>
      <c r="BK1" s="4634" t="s">
        <v>4220</v>
      </c>
      <c r="BL1" s="4634" t="s">
        <v>4225</v>
      </c>
      <c r="BM1" s="4634" t="s">
        <v>4229</v>
      </c>
      <c r="BN1" s="4634" t="s">
        <v>4235</v>
      </c>
      <c r="BO1" s="4634" t="s">
        <v>4239</v>
      </c>
      <c r="BP1" s="4634" t="s">
        <v>4243</v>
      </c>
      <c r="BQ1" s="4634" t="s">
        <v>4246</v>
      </c>
      <c r="BR1" s="4634" t="s">
        <v>4250</v>
      </c>
      <c r="BS1" s="4634" t="s">
        <v>4254</v>
      </c>
      <c r="BT1" s="4634" t="s">
        <v>4259</v>
      </c>
      <c r="BU1" s="4634" t="s">
        <v>4263</v>
      </c>
      <c r="BV1" s="4634" t="s">
        <v>4267</v>
      </c>
      <c r="BW1" s="4634" t="s">
        <v>4271</v>
      </c>
      <c r="BX1" s="4634" t="s">
        <v>4275</v>
      </c>
    </row>
    <row r="2" ht="12.75" customHeight="1">
      <c r="A2" s="4634" t="str">
        <f>DL_NM</f>
        <v>XXXX</v>
      </c>
      <c r="B2" s="4647">
        <f>CMT_NBR</f>
        <v>0</v>
      </c>
      <c r="C2" s="4634">
        <f>PL_NBR</f>
        <v>0</v>
      </c>
      <c r="D2" s="4634" t="str">
        <f>LNDR_NM</f>
        <v>Walker &amp; Dunlop, LLC</v>
      </c>
      <c r="E2" s="4634" t="str">
        <f>PROP_NM</f>
        <v>XXXX</v>
      </c>
      <c r="F2" s="4634" t="str">
        <f>PROP_TYP</f>
        <v>Multifamily</v>
      </c>
      <c r="G2" s="4634" t="str">
        <f>BLDG_TYP</f>
        <v>Select</v>
      </c>
      <c r="H2" s="4634">
        <f>BLDG_CNT</f>
        <v>24</v>
      </c>
      <c r="I2" s="4647">
        <f>RES_AREA</f>
        <v>84991</v>
      </c>
      <c r="J2" s="4647">
        <f>RES_UNTS</f>
        <v>85</v>
      </c>
      <c r="K2" s="4634">
        <f>UTIL_INCL</f>
        <v>0</v>
      </c>
      <c r="L2" s="4634">
        <f>YR_BLT</f>
        <v>1800</v>
      </c>
      <c r="M2" s="4634">
        <f>PHS1_YR</f>
        <v>0</v>
      </c>
      <c r="N2" s="4647">
        <f>PHS1_UNTS</f>
        <v>0</v>
      </c>
      <c r="O2" s="4634">
        <f>PHS2_YR</f>
        <v>0</v>
      </c>
      <c r="P2" s="4634">
        <f>PHS2_UNTS</f>
        <v>0</v>
      </c>
      <c r="Q2" s="4634">
        <f>PHS3_YR</f>
        <v>0</v>
      </c>
      <c r="R2" s="4634">
        <f>PHS3_UNTS</f>
        <v>0</v>
      </c>
      <c r="S2" s="4634">
        <f>PHS4_YR</f>
        <v>0</v>
      </c>
      <c r="T2" s="4634">
        <f>PHS4_UNTS</f>
        <v>0</v>
      </c>
      <c r="U2" s="4634">
        <f>PHS5_YR</f>
        <v>0</v>
      </c>
      <c r="V2" s="4634">
        <f>PHS5_UNTS</f>
        <v>0</v>
      </c>
      <c r="W2" s="4634">
        <f>PHS6_YR</f>
        <v>0</v>
      </c>
      <c r="X2" s="4634">
        <f>PHS6_UNTS</f>
        <v>0</v>
      </c>
      <c r="Y2" s="4634">
        <f>PHS7_YR</f>
        <v>0</v>
      </c>
      <c r="Z2" s="4634">
        <f>PHS7_UNTS</f>
        <v>0</v>
      </c>
      <c r="AA2" s="4634" t="str">
        <f>LN_PRPS</f>
        <v>Refinance</v>
      </c>
      <c r="AB2" s="4648" t="e">
        <f>APP_LN_AMT</f>
        <v>#NAME?</v>
      </c>
      <c r="AC2" s="4634">
        <f>TIER</f>
        <v>0</v>
      </c>
      <c r="AD2" s="4634">
        <f>TIER_DRP</f>
        <v>0</v>
      </c>
      <c r="AE2" s="4634">
        <f>LCK_TRM</f>
        <v>0</v>
      </c>
      <c r="AF2" s="4649">
        <f>LCK_EXP_DT</f>
        <v>0</v>
      </c>
      <c r="AG2" s="4650" t="e">
        <f>TRSY_RT</f>
        <v>#NAME?</v>
      </c>
      <c r="AH2" s="4650" t="e">
        <f>GRS_SPRD</f>
        <v>#NAME?</v>
      </c>
      <c r="AI2" s="4650" t="e">
        <f>UW_FLR_RT</f>
        <v>#NAME?</v>
      </c>
      <c r="AJ2" s="4650">
        <f>UW_RT</f>
        <v>0</v>
      </c>
      <c r="AK2" s="4648">
        <f>UW_NCF</f>
        <v>-1720952.21</v>
      </c>
      <c r="AL2" s="4648">
        <f>COOP_NCF</f>
        <v>0</v>
      </c>
      <c r="AM2" s="4648">
        <f>UW_EGI</f>
        <v>1109838</v>
      </c>
      <c r="AN2" s="4648">
        <f>UW_TOE</f>
        <v>2809540.21</v>
      </c>
      <c r="AO2" s="4651">
        <f>UW_PHYS_OCC</f>
        <v>88</v>
      </c>
      <c r="AP2" s="4651">
        <f>UW_ECON_OCC</f>
        <v>85.2</v>
      </c>
      <c r="AQ2" s="4652" t="e">
        <f>MIN_HRDL_DSCR</f>
        <v>#NAME?</v>
      </c>
      <c r="AR2" s="4652">
        <f>ACTL_DSCR</f>
        <v>0</v>
      </c>
      <c r="AS2" s="4652">
        <f>MAX_PMT_DSCR</f>
        <v>0</v>
      </c>
      <c r="AT2" s="4652">
        <f>UW_DSCR</f>
        <v>0.01</v>
      </c>
      <c r="AU2" s="4652">
        <f>MEZZ_DSCR</f>
        <v>0</v>
      </c>
      <c r="AV2" s="4650">
        <f>UW_CAP_RT</f>
        <v>5</v>
      </c>
      <c r="AW2" s="4648">
        <f>UW_PROP_VAL</f>
        <v>-34419044.199999996</v>
      </c>
      <c r="AX2" s="4651">
        <f>UW_LTV</f>
        <v>0.01</v>
      </c>
      <c r="AY2" s="4652">
        <f>MAH_UNTS</f>
      </c>
      <c r="AZ2" s="4634">
        <f>MAH_TYP</f>
        <v>0</v>
      </c>
      <c r="BA2" s="4634">
        <f>OTR_MAH_TYP</f>
        <v>0</v>
      </c>
      <c r="BB2" s="4651">
        <f>MAH_UNDR_80</f>
        <v>0</v>
      </c>
      <c r="BC2" s="4651">
        <f>MAH_UNDR_60</f>
        <v>0</v>
      </c>
      <c r="BD2" s="4651">
        <f>MAH_UNDR_50</f>
        <v>0</v>
      </c>
      <c r="BE2" s="4648">
        <f>RPR_TOT</f>
        <v>0</v>
      </c>
      <c r="BF2" s="4634">
        <f>SZ_ZN</f>
        <v>0</v>
      </c>
      <c r="BG2" s="4634">
        <f>TRSM_INS</f>
        <v>0</v>
      </c>
      <c r="BH2" s="4634">
        <f>TX_ESCRW</f>
        <v>0</v>
      </c>
      <c r="BI2" s="4634">
        <f>INS_ESCRW</f>
        <v>0</v>
      </c>
      <c r="BJ2" s="4634">
        <f>OTR_ESCRW</f>
        <v>0</v>
      </c>
      <c r="BK2" s="4634">
        <f>LNDR_CMTS</f>
        <v>0</v>
      </c>
      <c r="BL2" s="4634">
        <f>UW_SIGN</f>
        <v>0</v>
      </c>
      <c r="BM2" s="4649">
        <f>UW_SIGN_DT</f>
        <v>0</v>
      </c>
      <c r="BN2" s="4634">
        <f>CUW_SIGN</f>
        <v>0</v>
      </c>
      <c r="BO2" s="4649">
        <f>CUW_SIGN_DT</f>
        <v>0</v>
      </c>
      <c r="BP2" s="4647">
        <f>HAP_REM_TRM</f>
        <v>0</v>
      </c>
      <c r="BQ2" s="4634">
        <f>AGE_RESTR</f>
        <v>0</v>
      </c>
      <c r="BR2" s="4651">
        <f>UW_CLTV</f>
        <v>0</v>
      </c>
      <c r="BS2" s="4647">
        <f>OP_STMT_FY</f>
        <v>2023</v>
      </c>
      <c r="BT2" s="4634">
        <f>SZ_RSK</f>
        <v>0</v>
      </c>
      <c r="BU2" s="4649">
        <f>UW_PROP_VAL_DT</f>
        <v>45201</v>
      </c>
      <c r="BV2" s="4648">
        <f>MEZZ_LN_ACQ_UPB</f>
        <v>0</v>
      </c>
      <c r="BW2" s="4648">
        <f>MEZZ_LN_MO_PMT</f>
        <v>0</v>
      </c>
      <c r="BX2" s="4650">
        <f>CAP_COST_FCTR</f>
        <v>0</v>
      </c>
    </row>
  </sheetData>
  <printOptions horizontalCentered="1"/>
  <pageMargins left="0.5" right="0.5" top="0.75" bottom="0.75" header="0.3" footer="0.3"/>
  <pageSetup paperSize="1" useFirstPageNumber="1" firstPageNumber="1" pageOrder="downThenOver" orientation="portrait"/>
  <headerFooter>
    <oddFooter>&amp;L&amp;"Source Sans Pro,Regular"&amp;8© 2020 Fannie Mae. Trademarks of Fannie Mae&amp;"Arial,Regular"&amp;10.&amp;C&amp;"Source Sans Pro,Bold"&amp;8Form 4662&amp;"Arial,Regular"&amp;10 -&amp;"Source Sans Pro,Regular"&amp;8 Febuary 2020&amp;RPage &amp;P of &amp;N</oddFooter>
  </headerFooter>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8029E5CF-C548-D5EC-8D2C-E7BD6126EC59}" mc:Ignorable="x14ac xr xr2 xr3">
  <dimension ref="A1:ES43"/>
  <sheetViews>
    <sheetView topLeftCell="A1" zoomScale="90" workbookViewId="0">
      <selection activeCell="A3" sqref="A3"/>
    </sheetView>
  </sheetViews>
  <sheetFormatPr defaultRowHeight="14.497499999999997" defaultColWidth="11.57421875" customHeight="1"/>
  <cols>
    <col min="1" max="1" style="625" width="9.57421875" customWidth="1"/>
    <col min="2" max="2" style="625" width="29.57421875" customWidth="1"/>
    <col min="3" max="3" style="625" width="19.00390625" customWidth="1"/>
    <col min="4" max="6" style="625" width="11.57421875" customWidth="1"/>
    <col min="7" max="7" style="625" width="9.57421875" customWidth="1"/>
    <col min="8" max="8" style="625" width="13.00390625" customWidth="1"/>
    <col min="9" max="11" style="625" width="12.57421875" customWidth="1"/>
    <col min="12" max="12" style="625" width="7.00390625" customWidth="1"/>
    <col min="13" max="13" style="625" width="11.00390625" customWidth="1"/>
    <col min="14" max="14" style="625" width="12.57421875" customWidth="1"/>
    <col min="15" max="15" style="625" width="16.57421875" customWidth="1"/>
    <col min="16" max="16" style="625" width="8.57421875" customWidth="1"/>
    <col min="17" max="17" style="625" width="11.57421875" customWidth="1"/>
    <col min="18" max="18" style="625" width="12.57421875" customWidth="1"/>
    <col min="19" max="19" style="625" width="16.57421875" customWidth="1"/>
    <col min="20" max="21" style="625" width="13.57421875" customWidth="1"/>
    <col min="22" max="22" style="625" width="11.57421875" customWidth="1"/>
    <col min="23" max="35" style="625" width="16.57421875" customWidth="1"/>
    <col min="36" max="38" style="625" width="17.57421875" customWidth="1"/>
    <col min="39" max="40" style="625" width="17.00390625" customWidth="1"/>
    <col min="41" max="41" style="625" width="17.57421875" customWidth="1"/>
    <col min="42" max="48" style="625" width="17.00390625" customWidth="1"/>
    <col min="49" max="49" style="625" width="17.57421875" customWidth="1"/>
    <col min="50" max="56" style="625" width="17.00390625" customWidth="1"/>
    <col min="57" max="57" style="625" width="15.57421875" customWidth="1"/>
    <col min="58" max="58" style="625" width="16.57421875" customWidth="1"/>
    <col min="59" max="61" style="625" width="14.57421875" customWidth="1"/>
    <col min="62" max="62" style="625" width="16.57421875" customWidth="1"/>
    <col min="63" max="63" style="625" width="14.57421875" customWidth="1"/>
    <col min="64" max="64" style="625" width="16.57421875" customWidth="1"/>
    <col min="65" max="65" style="625" width="14.57421875" customWidth="1"/>
    <col min="66" max="68" style="625" width="11.57421875" customWidth="1"/>
    <col min="69" max="71" style="625" width="12.57421875" customWidth="1"/>
    <col min="72" max="72" style="625" width="13.00390625" customWidth="1"/>
    <col min="73" max="74" style="625" width="11.57421875" customWidth="1"/>
    <col min="75" max="75" style="625" width="13.57421875" customWidth="1"/>
    <col min="76" max="84" style="625" width="11.57421875" customWidth="1"/>
    <col min="85" max="85" style="625" width="13.57421875" customWidth="1"/>
    <col min="86" max="86" style="625" width="19.57421875" customWidth="1"/>
    <col min="87" max="87" style="625" width="11.57421875" customWidth="1"/>
    <col min="88" max="88" style="625" width="13.57421875" customWidth="1"/>
    <col min="89" max="89" style="625" width="38.57421875" customWidth="1"/>
    <col min="90" max="90" style="625" width="15.00390625" customWidth="1"/>
    <col min="91" max="91" style="625" width="26.57421875" customWidth="1"/>
    <col min="92" max="92" style="625" width="15.57421875" customWidth="1"/>
    <col min="93" max="93" style="625" width="18.57421875" customWidth="1"/>
    <col min="94" max="95" style="625" width="11.57421875" customWidth="1"/>
    <col min="96" max="96" style="625" width="24.57421875" customWidth="1"/>
    <col min="97" max="97" style="625" width="13.7109375" customWidth="1"/>
    <col min="98" max="98" style="625" width="11.57421875" customWidth="1"/>
    <col min="99" max="99" style="625" width="14.00390625" customWidth="1"/>
    <col min="100" max="100" style="625" width="11.57421875" customWidth="1"/>
    <col min="101" max="101" style="625" width="13.8515625" customWidth="1"/>
    <col min="102" max="103" style="625" width="11.57421875" customWidth="1"/>
    <col min="104" max="104" style="625" width="28.57421875" customWidth="1"/>
    <col min="105" max="106" style="625" width="11.57421875" customWidth="1"/>
    <col min="107" max="107" style="625" width="22.00390625" customWidth="1"/>
    <col min="108" max="108" style="625" width="28.57421875" customWidth="1"/>
    <col min="109" max="111" style="625" width="18.57421875" customWidth="1"/>
    <col min="112" max="118" style="625" width="11.57421875" customWidth="1"/>
    <col min="119" max="119" style="625" width="15.57421875" customWidth="1"/>
    <col min="120" max="120" style="625" width="26.57421875" customWidth="1"/>
    <col min="121" max="121" style="625" width="11.57421875" customWidth="1"/>
    <col min="122" max="122" style="625" width="16.57421875" customWidth="1"/>
    <col min="123" max="125" style="625" width="11.57421875" customWidth="1"/>
    <col min="126" max="126" style="625" width="18.00390625" customWidth="1"/>
    <col min="127" max="128" style="625" width="11.57421875" customWidth="1"/>
    <col min="129" max="129" style="625" width="17.57421875" customWidth="1"/>
    <col min="130" max="130" style="625" width="11.57421875" customWidth="1"/>
    <col min="131" max="131" style="625" width="24.57421875" customWidth="1"/>
    <col min="132" max="132" style="625" width="23.57421875" customWidth="1"/>
    <col min="133" max="133" style="625" width="18.00390625" customWidth="1"/>
    <col min="134" max="135" style="625" width="11.57421875" customWidth="1"/>
    <col min="136" max="136" style="625" width="19.57421875" customWidth="1"/>
    <col min="137" max="137" style="625" width="11.57421875" customWidth="1"/>
    <col min="138" max="138" style="625" width="19.57421875" customWidth="1"/>
  </cols>
  <sheetData>
    <row r="1" ht="98.25" customHeight="1">
      <c r="A1" s="4653" t="s">
        <v>4278</v>
      </c>
      <c r="B1" s="4653" t="s">
        <v>4279</v>
      </c>
      <c r="C1" s="4654" t="s">
        <v>265</v>
      </c>
      <c r="D1" s="4655" t="s">
        <v>4280</v>
      </c>
      <c r="E1" s="4655" t="s">
        <v>4281</v>
      </c>
      <c r="F1" s="4655" t="s">
        <v>4282</v>
      </c>
      <c r="G1" s="4655" t="s">
        <v>4283</v>
      </c>
      <c r="H1" s="4656" t="s">
        <v>4284</v>
      </c>
      <c r="I1" s="4657" t="s">
        <v>4285</v>
      </c>
      <c r="J1" s="4658" t="s">
        <v>4286</v>
      </c>
      <c r="K1" s="4656" t="s">
        <v>279</v>
      </c>
      <c r="L1" s="4656" t="s">
        <v>289</v>
      </c>
      <c r="M1" s="4655" t="s">
        <v>4287</v>
      </c>
      <c r="N1" s="4655" t="s">
        <v>283</v>
      </c>
      <c r="O1" s="4658" t="s">
        <v>4288</v>
      </c>
      <c r="P1" s="4659" t="s">
        <v>4289</v>
      </c>
      <c r="Q1" s="4660" t="s">
        <v>4290</v>
      </c>
      <c r="R1" s="4661" t="s">
        <v>4291</v>
      </c>
      <c r="S1" s="4654" t="s">
        <v>4292</v>
      </c>
      <c r="T1" s="4655" t="s">
        <v>4293</v>
      </c>
      <c r="U1" s="4655" t="s">
        <v>4294</v>
      </c>
      <c r="V1" s="4655" t="s">
        <v>4295</v>
      </c>
      <c r="W1" s="4655" t="s">
        <v>4296</v>
      </c>
      <c r="X1" s="4655" t="s">
        <v>1884</v>
      </c>
      <c r="Y1" s="4655" t="s">
        <v>1885</v>
      </c>
      <c r="Z1" s="4655" t="s">
        <v>1886</v>
      </c>
      <c r="AA1" s="4662" t="s">
        <v>4297</v>
      </c>
      <c r="AB1" s="4662" t="s">
        <v>4298</v>
      </c>
      <c r="AC1" s="4662" t="s">
        <v>4299</v>
      </c>
      <c r="AD1" s="4662" t="s">
        <v>4300</v>
      </c>
      <c r="AE1" s="4655" t="s">
        <v>1110</v>
      </c>
      <c r="AF1" s="4663" t="s">
        <v>4301</v>
      </c>
      <c r="AG1" s="4663" t="s">
        <v>4302</v>
      </c>
      <c r="AH1" s="4655" t="s">
        <v>4303</v>
      </c>
      <c r="AI1" s="4655" t="s">
        <v>4304</v>
      </c>
      <c r="AJ1" s="4655" t="s">
        <v>4305</v>
      </c>
      <c r="AK1" s="4658" t="s">
        <v>4306</v>
      </c>
      <c r="AL1" s="4658" t="s">
        <v>4307</v>
      </c>
      <c r="AM1" s="4658" t="s">
        <v>4308</v>
      </c>
      <c r="AN1" s="4655" t="s">
        <v>1920</v>
      </c>
      <c r="AO1" s="4655" t="s">
        <v>2451</v>
      </c>
      <c r="AP1" s="4655" t="s">
        <v>1929</v>
      </c>
      <c r="AQ1" s="4662" t="s">
        <v>4309</v>
      </c>
      <c r="AR1" s="4655" t="s">
        <v>4310</v>
      </c>
      <c r="AS1" s="4655" t="s">
        <v>1417</v>
      </c>
      <c r="AT1" s="4655" t="s">
        <v>1419</v>
      </c>
      <c r="AU1" s="4655" t="s">
        <v>2458</v>
      </c>
      <c r="AV1" s="4655" t="s">
        <v>1492</v>
      </c>
      <c r="AW1" s="4655" t="s">
        <v>1800</v>
      </c>
      <c r="AX1" s="4655" t="s">
        <v>1939</v>
      </c>
      <c r="AY1" s="4655" t="s">
        <v>2463</v>
      </c>
      <c r="AZ1" s="4655" t="s">
        <v>1912</v>
      </c>
      <c r="BA1" s="4655" t="s">
        <v>1930</v>
      </c>
      <c r="BB1" s="4662" t="s">
        <v>4311</v>
      </c>
      <c r="BC1" s="4664" t="s">
        <v>4312</v>
      </c>
      <c r="BD1" s="4665" t="s">
        <v>4313</v>
      </c>
      <c r="BE1" s="4665" t="s">
        <v>4314</v>
      </c>
      <c r="BF1" s="4665" t="s">
        <v>4315</v>
      </c>
      <c r="BG1" s="4665" t="s">
        <v>4316</v>
      </c>
      <c r="BH1" s="4665" t="s">
        <v>4317</v>
      </c>
      <c r="BI1" s="4665" t="s">
        <v>4318</v>
      </c>
      <c r="BJ1" s="4665" t="s">
        <v>4319</v>
      </c>
      <c r="BK1" s="4666" t="s">
        <v>4320</v>
      </c>
      <c r="BL1" s="4667" t="s">
        <v>4321</v>
      </c>
      <c r="BM1" s="4667" t="s">
        <v>4322</v>
      </c>
      <c r="BN1" s="4667" t="s">
        <v>4323</v>
      </c>
      <c r="BO1" s="4667" t="s">
        <v>4324</v>
      </c>
      <c r="BP1" s="4662" t="s">
        <v>4325</v>
      </c>
      <c r="BQ1" s="4667" t="s">
        <v>4326</v>
      </c>
      <c r="BR1" s="4667" t="s">
        <v>4327</v>
      </c>
      <c r="BS1" s="4662" t="s">
        <v>4328</v>
      </c>
      <c r="BT1" s="4667" t="s">
        <v>4329</v>
      </c>
      <c r="BU1" s="4662" t="s">
        <v>4330</v>
      </c>
      <c r="BV1" s="4667" t="s">
        <v>4331</v>
      </c>
      <c r="BW1" s="4662" t="s">
        <v>4332</v>
      </c>
      <c r="BX1" s="4667" t="s">
        <v>4333</v>
      </c>
      <c r="BY1" s="4667" t="s">
        <v>4334</v>
      </c>
      <c r="BZ1" s="4667" t="s">
        <v>4335</v>
      </c>
      <c r="CA1" s="4667" t="s">
        <v>4336</v>
      </c>
      <c r="CB1" s="4667" t="s">
        <v>4337</v>
      </c>
      <c r="CC1" s="4667" t="s">
        <v>4338</v>
      </c>
      <c r="CD1" s="4667" t="s">
        <v>4339</v>
      </c>
      <c r="CE1" s="4667" t="s">
        <v>4340</v>
      </c>
      <c r="CF1" s="4667" t="s">
        <v>4341</v>
      </c>
      <c r="CG1" s="4667" t="s">
        <v>4342</v>
      </c>
      <c r="CH1" s="4667" t="s">
        <v>4343</v>
      </c>
      <c r="CI1" s="4658" t="s">
        <v>4218</v>
      </c>
      <c r="CJ1" s="4654" t="s">
        <v>201</v>
      </c>
      <c r="CK1" s="4655" t="s">
        <v>208</v>
      </c>
      <c r="CL1" s="4655" t="s">
        <v>4344</v>
      </c>
      <c r="CM1" s="4668" t="s">
        <v>4345</v>
      </c>
      <c r="CN1" s="4668" t="s">
        <v>4346</v>
      </c>
      <c r="CO1" s="4655" t="s">
        <v>4347</v>
      </c>
      <c r="CP1" s="4668" t="s">
        <v>4348</v>
      </c>
      <c r="CQ1" s="4668" t="s">
        <v>4349</v>
      </c>
      <c r="CR1" s="4668" t="s">
        <v>4350</v>
      </c>
      <c r="CS1" s="4655" t="s">
        <v>4351</v>
      </c>
      <c r="CT1" s="4668" t="s">
        <v>4352</v>
      </c>
      <c r="CU1" s="4655" t="s">
        <v>4353</v>
      </c>
      <c r="CV1" s="4655" t="s">
        <v>4354</v>
      </c>
      <c r="CW1" s="4655" t="s">
        <v>4355</v>
      </c>
      <c r="CX1" s="4655" t="s">
        <v>4356</v>
      </c>
      <c r="CY1" s="4669" t="s">
        <v>4357</v>
      </c>
      <c r="CZ1" s="4669" t="s">
        <v>4358</v>
      </c>
      <c r="DA1" s="4655" t="s">
        <v>4359</v>
      </c>
      <c r="DB1" s="4655" t="s">
        <v>4360</v>
      </c>
      <c r="DC1" s="4655" t="s">
        <v>4361</v>
      </c>
      <c r="DD1" s="4655" t="s">
        <v>4362</v>
      </c>
      <c r="DE1" s="4670" t="s">
        <v>4363</v>
      </c>
      <c r="DF1" s="4655" t="s">
        <v>4364</v>
      </c>
      <c r="DG1" s="4658" t="s">
        <v>4365</v>
      </c>
      <c r="DH1" s="4658" t="s">
        <v>4366</v>
      </c>
      <c r="DI1" s="4658" t="s">
        <v>4367</v>
      </c>
      <c r="DJ1" s="4658" t="s">
        <v>4368</v>
      </c>
      <c r="DK1" s="4668" t="s">
        <v>3778</v>
      </c>
      <c r="DL1" s="4671" t="s">
        <v>4369</v>
      </c>
      <c r="DM1" s="4668" t="s">
        <v>4370</v>
      </c>
      <c r="DN1" s="4668" t="s">
        <v>4371</v>
      </c>
      <c r="DO1" s="4668" t="s">
        <v>4372</v>
      </c>
      <c r="DP1" s="4668" t="s">
        <v>4373</v>
      </c>
      <c r="DQ1" s="4668" t="s">
        <v>4374</v>
      </c>
      <c r="DR1" s="4668" t="s">
        <v>4375</v>
      </c>
      <c r="DS1" s="4658" t="s">
        <v>4376</v>
      </c>
      <c r="DT1" s="4658" t="s">
        <v>4377</v>
      </c>
      <c r="DU1" s="4658" t="s">
        <v>4378</v>
      </c>
      <c r="DV1" s="4655" t="s">
        <v>4379</v>
      </c>
      <c r="DW1" s="4658" t="s">
        <v>4380</v>
      </c>
      <c r="DX1" s="4658" t="s">
        <v>4381</v>
      </c>
      <c r="DY1" s="4658" t="s">
        <v>4382</v>
      </c>
      <c r="DZ1" s="4671" t="s">
        <v>4383</v>
      </c>
      <c r="EA1" s="4671" t="s">
        <v>4384</v>
      </c>
      <c r="EB1" s="4671" t="s">
        <v>4385</v>
      </c>
      <c r="EC1" s="4671" t="s">
        <v>4386</v>
      </c>
      <c r="ED1" s="4672" t="s">
        <v>4387</v>
      </c>
      <c r="EE1" s="4672" t="s">
        <v>4388</v>
      </c>
      <c r="EF1" s="4672" t="s">
        <v>4389</v>
      </c>
      <c r="EG1" s="4672" t="s">
        <v>4390</v>
      </c>
      <c r="EH1" s="4672" t="s">
        <v>4391</v>
      </c>
      <c r="EI1" s="4672" t="s">
        <v>4392</v>
      </c>
      <c r="EJ1" s="4672" t="s">
        <v>4393</v>
      </c>
      <c r="EK1" s="4667" t="s">
        <v>4394</v>
      </c>
      <c r="EL1" s="4673" t="s">
        <v>4395</v>
      </c>
      <c r="EM1" s="4673" t="s">
        <v>4396</v>
      </c>
      <c r="EN1" s="4673" t="s">
        <v>4397</v>
      </c>
      <c r="EO1" s="4673" t="s">
        <v>4398</v>
      </c>
      <c r="EP1" s="4673" t="s">
        <v>4399</v>
      </c>
      <c r="EQ1" s="4673" t="s">
        <v>4400</v>
      </c>
      <c r="ER1" s="4673" t="s">
        <v>4401</v>
      </c>
      <c r="ES1" s="4673" t="s">
        <v>4402</v>
      </c>
    </row>
    <row r="2" ht="14.25" customHeight="1">
      <c r="A2" s="4674">
        <v>1</v>
      </c>
      <c r="B2" s="4674">
        <v>6767</v>
      </c>
      <c r="C2" s="4675"/>
      <c r="D2" s="4675" t="s">
        <v>4403</v>
      </c>
      <c r="E2" s="4675"/>
      <c r="F2" s="4675"/>
      <c r="G2" s="4674">
        <f>NumOfBldg_DataPageTab</f>
        <v>24</v>
      </c>
      <c r="H2" s="4675"/>
      <c r="I2" s="4675"/>
      <c r="J2" s="4675"/>
      <c r="K2" s="4675"/>
      <c r="L2" s="4676"/>
      <c r="M2" s="4675"/>
      <c r="N2" s="4675"/>
      <c r="O2" s="4674" t="str">
        <f>Management_Company</f>
        <v>XXXX</v>
      </c>
      <c r="P2" s="4677" t="s">
        <v>4404</v>
      </c>
      <c r="Q2" s="4677">
        <f>PHS1_YR</f>
        <v>0</v>
      </c>
      <c r="R2" s="4678">
        <f>PHS1_UNTS</f>
        <v>0</v>
      </c>
      <c r="S2" s="4679">
        <f>UW_Value</f>
        <v>-34419044.199999996</v>
      </c>
      <c r="T2" s="4679">
        <f>ROUND(UW_Cap*100,2)</f>
        <v>5</v>
      </c>
      <c r="U2" s="4680" t="str">
        <f>Appraisal_Date</f>
        <v>XX/XX/XX</v>
      </c>
      <c r="V2" s="4674">
        <f>OP_STMT_FY</f>
        <v>2023</v>
      </c>
      <c r="W2" s="4679">
        <f>ROUND(SOps_UnderwrittenGPR,2)</f>
        <v>1556580</v>
      </c>
      <c r="X2" s="4679">
        <f>ROUND(-'Summary OPS'!AU10,2)</f>
        <v>186172</v>
      </c>
      <c r="Y2" s="4679">
        <f>ROUND(-'Summary OPS'!AU11,2)</f>
        <v>44520</v>
      </c>
      <c r="Z2" s="4679">
        <f>ROUND(-'Summary OPS'!AU12,2)</f>
        <v>0</v>
      </c>
      <c r="AA2" s="4679">
        <f>IF('Data Page'!AM2="Seniors",ROUND('Summary OPS'!AU22,2),"")</f>
      </c>
      <c r="AB2" s="4679">
        <f>IF('Data Page'!AM2="Seniors",ROUND('Summary OPS'!AU23,2),"")</f>
      </c>
      <c r="AC2" s="4679">
        <f>IF('Data Page'!AM2="Seniors",ROUND('Summary OPS'!AU24,2),"")</f>
      </c>
      <c r="AD2" s="4679">
        <f>IF('Data Page'!AM2="Seniors",ROUND('Summary OPS'!AU25,2),"")</f>
      </c>
      <c r="AE2" s="4679">
        <f>ROUND('Summary OPS'!AU17,2)</f>
        <v>0</v>
      </c>
      <c r="AF2" s="4679">
        <f>ROUND('Summary OPS'!AU15,2)</f>
        <v>29692</v>
      </c>
      <c r="AG2" s="4679">
        <f>ROUND('Summary OPS'!AU16,2)</f>
        <v>0</v>
      </c>
      <c r="AH2" s="4679">
        <f>ROUND('Summary OPS'!AU19+'Summary OPS'!AU20+'Summary OPS'!AU21,2)</f>
        <v>-245742</v>
      </c>
      <c r="AI2" s="4681">
        <f>ROUND(SOps_UnderwrittenNRI,2)</f>
        <v>1325888</v>
      </c>
      <c r="AJ2" s="4681">
        <f>ROUND(T1_Annualized_NRI,2)</f>
        <v>4823412</v>
      </c>
      <c r="AK2" s="4681">
        <f>ROUND(T3_Annualized_NRI,2)</f>
        <v>4904876</v>
      </c>
      <c r="AL2" s="4681">
        <f>ROUND(T6_Annualized_NRI,2)</f>
        <v>4908984</v>
      </c>
      <c r="AM2" s="4681">
        <f>ROUND(T12_Annualized_NRI,2)</f>
        <v>4807132</v>
      </c>
      <c r="AN2" s="4679">
        <f>ROUND('Summary OPS'!AU35,2)</f>
        <v>38844.33</v>
      </c>
      <c r="AO2" s="4679">
        <f>ROUND('Summary OPS'!AU36,2)</f>
        <v>224926.25</v>
      </c>
      <c r="AP2" s="4679">
        <f>ROUND('Summary OPS'!AU37,2)</f>
        <v>51112.72</v>
      </c>
      <c r="AQ2" s="4674">
        <f>IF('Data Page'!AM2="Seniors",ROUND('Summary OPS'!AU39,2),"")</f>
      </c>
      <c r="AR2" s="4679">
        <f>ROUND('Summary OPS'!AU41,2)</f>
        <v>492493.47</v>
      </c>
      <c r="AS2" s="4679">
        <f>ROUND('Summary OPS'!AU42,2)</f>
        <v>183091.77</v>
      </c>
      <c r="AT2" s="4679">
        <f>ROUND('Summary OPS'!AU43,2)</f>
        <v>117599.22</v>
      </c>
      <c r="AU2" s="4679">
        <f>ROUND('Summary OPS'!AU44,2)</f>
        <v>395766.17</v>
      </c>
      <c r="AV2" s="4679">
        <f>ROUND('Summary OPS'!AU45,2)</f>
        <v>250385.79</v>
      </c>
      <c r="AW2" s="4679">
        <f>ROUND('Summary OPS'!AU46,2)</f>
        <v>1036382.91</v>
      </c>
      <c r="AX2" s="4679">
        <f>ROUND('Summary OPS'!AU51,2)</f>
        <v>21250</v>
      </c>
      <c r="AY2" s="4679">
        <f>ROUND('Summary OPS'!AU48,2)</f>
        <v>0</v>
      </c>
      <c r="AZ2" s="4679">
        <f>ROUND('Summary OPS'!AU47,2)</f>
        <v>0</v>
      </c>
      <c r="BA2" s="4679">
        <f>ROUND('Summary OPS'!AU38,2)</f>
        <v>18937.58</v>
      </c>
      <c r="BB2" s="4674">
        <f>IF('Data Page'!AM2="Seniors",ROUND('Summary OPS'!AU40,2),"")</f>
      </c>
      <c r="BC2" s="4681"/>
      <c r="BD2" s="4679" t="e">
        <f>Initial_Deposit</f>
        <v>#NAME?</v>
      </c>
      <c r="BE2" s="4679" t="e">
        <f>Reserves_Waived</f>
        <v>#NAME?</v>
      </c>
      <c r="BF2" s="4679" t="str">
        <f>_xlfn.IFERROR(IF(AND(LEN('Engineering schedule'!B54&amp;'Engineering schedule'!B55&amp;'Engineering schedule'!B56&amp;'Engineering schedule'!B57&amp;'Engineering schedule'!B60&amp;'Engineering schedule'!B61&amp;'Engineering schedule'!B62&amp;'Engineering schedule'!B63&amp;'Engineering schedule'!B66&amp;'Engineering schedule'!B67&amp;'Engineering schedule'!B68&amp;'Engineering schedule'!B69&amp;'Engineering schedule'!B72&amp;'Engineering schedule'!B74&amp;'Engineering schedule'!B75)&gt;0,Immediates_Waived="No"),"Yes","No"),"No")</f>
        <v>No</v>
      </c>
      <c r="BG2" s="4679">
        <f>RPR_TOT</f>
        <v>0</v>
      </c>
      <c r="BH2" s="4682" t="e">
        <f>IF(Immediates_Waived="No",Immediates_Escrowed,0)</f>
        <v>#NAME?</v>
      </c>
      <c r="BI2" s="4683">
        <f>'Data Page'!K24+MAX('Engineering schedule'!C54:C57,'Engineering schedule'!C60:C63,'Engineering schedule'!C66:C69,'Engineering schedule'!C72,'Engineering schedule'!C74:C75)</f>
        <v>45292</v>
      </c>
      <c r="BJ2" s="4679">
        <f>TX_ESCRW</f>
        <v>0</v>
      </c>
      <c r="BK2" s="4681"/>
      <c r="BL2" s="4681"/>
      <c r="BM2" s="4681"/>
      <c r="BN2" s="4681"/>
      <c r="BO2" s="4684"/>
      <c r="BP2" s="4681"/>
      <c r="BQ2" s="4684"/>
      <c r="BR2" s="4681"/>
      <c r="BS2" s="4684"/>
      <c r="BT2" s="4684"/>
      <c r="BU2" s="4684"/>
      <c r="BV2" s="4684"/>
      <c r="BW2" s="4684"/>
      <c r="BX2" s="4684"/>
      <c r="BY2" s="4684"/>
      <c r="BZ2" s="4684"/>
      <c r="CA2" s="4684"/>
      <c r="CB2" s="4684"/>
      <c r="CC2" s="4684"/>
      <c r="CD2" s="4684"/>
      <c r="CE2" s="4684"/>
      <c r="CF2" s="4684"/>
      <c r="CG2" s="4684"/>
      <c r="CH2" s="4684"/>
      <c r="CI2" s="4684"/>
      <c r="CJ2" s="4675"/>
      <c r="CK2" s="4674" t="str">
        <f>BLDG_TYP</f>
        <v>Select</v>
      </c>
      <c r="CL2" s="4674"/>
      <c r="CM2" s="4684"/>
      <c r="CN2" s="4684"/>
      <c r="CO2" s="4684"/>
      <c r="CP2" s="4684"/>
      <c r="CQ2" s="4684"/>
      <c r="CR2" s="4684"/>
      <c r="CS2" s="4674">
        <f>UW_PHYS_OCC</f>
        <v>88</v>
      </c>
      <c r="CT2" s="4684"/>
      <c r="CU2" s="4674">
        <f>UW_ECON_OCC</f>
        <v>85.2</v>
      </c>
      <c r="CV2" s="4680">
        <f>'Rent Roll'!C15</f>
        <v>0</v>
      </c>
      <c r="CW2" s="4674"/>
      <c r="CX2" s="4674">
        <f>RES_AREA</f>
        <v>84991</v>
      </c>
      <c r="CY2" s="4682">
        <f>'Data Page'!J12</f>
        <v>0</v>
      </c>
      <c r="CZ2" s="4685">
        <f>GBA</f>
        <v>0</v>
      </c>
      <c r="DA2" s="4674"/>
      <c r="DB2" s="4684"/>
      <c r="DC2" s="4674">
        <f>SZ_ZN</f>
        <v>0</v>
      </c>
      <c r="DD2" s="4674">
        <f>TRSM_INS</f>
        <v>0</v>
      </c>
      <c r="DE2" s="4684"/>
      <c r="DF2" s="4684"/>
      <c r="DG2" s="4674"/>
      <c r="DH2" s="4684"/>
      <c r="DI2" s="4686"/>
      <c r="DJ2" s="4684"/>
      <c r="DK2" s="4684"/>
      <c r="DL2" s="4684"/>
      <c r="DM2" s="4684"/>
      <c r="DN2" s="4684"/>
      <c r="DO2" s="4684"/>
      <c r="DP2" s="4674">
        <f>IF(MAH_UNTS="","",MAH_UNTS)</f>
      </c>
      <c r="DQ2" s="4687"/>
      <c r="DR2" s="4687"/>
      <c r="DS2" s="4674">
        <f>IF(MAH_UNDR_80="","",MAH_UNDR_80)</f>
      </c>
      <c r="DT2" s="4674">
        <f>IF(MAH_UNDR_60="","",MAH_UNDR_60)</f>
      </c>
      <c r="DU2" s="4674">
        <f>IF(MAH_UNDR_50="","",MAH_UNDR_50)</f>
      </c>
      <c r="DV2" s="4684"/>
      <c r="DW2" s="4684"/>
      <c r="DX2" s="4684"/>
      <c r="DY2" s="4688"/>
      <c r="DZ2" s="4684"/>
      <c r="EA2" s="4684"/>
      <c r="EB2" s="4674" t="s">
        <v>4405</v>
      </c>
      <c r="EC2" s="4674" t="s">
        <v>4406</v>
      </c>
      <c r="ED2" s="4684"/>
      <c r="EE2" s="4684"/>
      <c r="EF2" s="4684"/>
      <c r="EG2" s="4684"/>
      <c r="EH2" s="4684"/>
      <c r="EI2" s="4684"/>
      <c r="EJ2" s="4684"/>
      <c r="EK2" s="4684"/>
      <c r="EL2" s="4684"/>
      <c r="EM2" s="4689"/>
      <c r="EN2" s="4684"/>
      <c r="EO2" s="4684"/>
      <c r="EP2" s="4684"/>
      <c r="EQ2" s="4681"/>
      <c r="ER2" s="4684"/>
      <c r="ES2" s="4690"/>
    </row>
    <row r="3" ht="14.25" customHeight="1">
      <c r="A3" s="4674">
        <f t="shared" si="0" ref="A3:A8">IF(P3="","",1)</f>
      </c>
      <c r="B3" s="4691"/>
      <c r="C3" s="4691"/>
      <c r="D3" s="4691"/>
      <c r="E3" s="4691"/>
      <c r="F3" s="4691"/>
      <c r="G3" s="4691"/>
      <c r="H3" s="4691"/>
      <c r="I3" s="4691"/>
      <c r="J3" s="4691"/>
      <c r="K3" s="4691"/>
      <c r="L3" s="4691"/>
      <c r="M3" s="4691"/>
      <c r="N3" s="4692"/>
      <c r="O3" s="4691"/>
      <c r="P3" s="4677">
        <f>IF(PHS2_YR="","",2)</f>
      </c>
      <c r="Q3" s="4677">
        <f>IF(PHS2_YR="","",PHS2_YR)</f>
      </c>
      <c r="R3" s="4678">
        <f>IF(PHS2_UNTS="","",PHS2_UNTS)</f>
      </c>
      <c r="S3" s="4693"/>
      <c r="T3" s="4691"/>
      <c r="U3" s="4691"/>
      <c r="V3" s="4691"/>
      <c r="W3" s="4693"/>
      <c r="X3" s="4693"/>
      <c r="Y3" s="4693"/>
      <c r="Z3" s="4693"/>
      <c r="AA3" s="4693"/>
      <c r="AB3" s="4693"/>
      <c r="AC3" s="4693"/>
      <c r="AD3" s="4693"/>
      <c r="AE3" s="4693"/>
      <c r="AF3" s="4691"/>
      <c r="AG3" s="4691"/>
      <c r="AH3" s="4693"/>
      <c r="AI3" s="4693"/>
      <c r="AJ3" s="4693"/>
      <c r="AK3" s="4693"/>
      <c r="AL3" s="4693"/>
      <c r="AM3" s="4693"/>
      <c r="AN3" s="4693"/>
      <c r="AO3" s="4691"/>
      <c r="AP3" s="4691"/>
      <c r="AQ3" s="4691"/>
      <c r="AR3" s="4693"/>
      <c r="AS3" s="4693"/>
      <c r="AT3" s="4693"/>
      <c r="AU3" s="4693"/>
      <c r="AV3" s="4693"/>
      <c r="AW3" s="4693"/>
      <c r="AX3" s="4693"/>
      <c r="AY3" s="4693"/>
      <c r="AZ3" s="4693"/>
      <c r="BA3" s="4693"/>
      <c r="BB3" s="4691"/>
      <c r="BC3" s="4693"/>
      <c r="BD3" s="4693"/>
      <c r="BE3" s="4693"/>
      <c r="BF3" s="4693"/>
      <c r="BG3" s="4693"/>
      <c r="BH3" s="4694"/>
      <c r="BI3" s="4693"/>
      <c r="BJ3" s="4693"/>
      <c r="BK3" s="4693"/>
      <c r="BL3" s="4693"/>
      <c r="BM3" s="4693"/>
      <c r="BN3" s="4693"/>
      <c r="BO3" s="4693"/>
      <c r="BP3" s="4693"/>
      <c r="BQ3" s="4693"/>
      <c r="BR3" s="4693"/>
      <c r="BS3" s="4691"/>
      <c r="BT3" s="4691"/>
      <c r="BU3" s="4691"/>
      <c r="BV3" s="4691"/>
      <c r="BW3" s="4691"/>
      <c r="BX3" s="4691"/>
      <c r="BY3" s="4691"/>
      <c r="BZ3" s="4691"/>
      <c r="CA3" s="4691"/>
      <c r="CB3" s="4691"/>
      <c r="CC3" s="4691"/>
      <c r="CD3" s="4691"/>
      <c r="CE3" s="4691"/>
      <c r="CF3" s="4691"/>
      <c r="CG3" s="4691"/>
      <c r="CH3" s="4691"/>
      <c r="CI3" s="4691"/>
      <c r="CJ3" s="4691"/>
      <c r="CK3" s="4691"/>
      <c r="CL3" s="4691"/>
      <c r="CM3" s="4691"/>
      <c r="CN3" s="4691"/>
      <c r="CO3" s="4691"/>
      <c r="CP3" s="4691"/>
      <c r="CQ3" s="4691"/>
      <c r="CR3" s="4691"/>
      <c r="CS3" s="4691"/>
      <c r="CT3" s="4691"/>
      <c r="CU3" s="4691"/>
      <c r="CV3" s="4691"/>
      <c r="CW3" s="4691"/>
      <c r="CX3" s="4691"/>
      <c r="CY3" s="4691"/>
      <c r="CZ3" s="4695"/>
      <c r="DA3" s="4691"/>
      <c r="DB3" s="4691"/>
      <c r="DC3" s="4691"/>
      <c r="DD3" s="4691"/>
      <c r="DE3" s="4691"/>
      <c r="DF3" s="4691"/>
      <c r="DG3" s="4691"/>
      <c r="DH3" s="4691"/>
      <c r="DI3" s="4696"/>
      <c r="DJ3" s="4691"/>
      <c r="DK3" s="4691"/>
      <c r="DL3" s="4691"/>
      <c r="DM3" s="4691"/>
      <c r="DN3" s="4691"/>
      <c r="DO3" s="4691"/>
      <c r="DP3" s="4691"/>
      <c r="DQ3" s="4691"/>
      <c r="DR3" s="4691"/>
      <c r="DS3" s="4691"/>
      <c r="DT3" s="4691"/>
      <c r="DU3" s="4691"/>
      <c r="DV3" s="4691"/>
      <c r="DW3" s="4691"/>
      <c r="DX3" s="4691"/>
      <c r="DY3" s="4697"/>
      <c r="DZ3" s="4691"/>
      <c r="EA3" s="4691"/>
      <c r="EB3" s="4691"/>
      <c r="EC3" s="4691"/>
      <c r="ED3" s="4691"/>
      <c r="EE3" s="4691"/>
      <c r="EF3" s="4691"/>
      <c r="EG3" s="4691"/>
      <c r="EH3" s="4691"/>
      <c r="EI3" s="4691"/>
      <c r="EJ3" s="4691"/>
      <c r="EK3" s="4691"/>
      <c r="EL3" s="4691"/>
      <c r="EM3" s="4691"/>
      <c r="EN3" s="4691"/>
      <c r="EO3" s="4691"/>
      <c r="EP3" s="4691"/>
      <c r="EQ3" s="4691"/>
      <c r="ER3" s="4691"/>
      <c r="ES3" s="4698"/>
    </row>
    <row r="4" ht="14.25" customHeight="1">
      <c r="A4" s="4674">
        <f t="shared" si="0"/>
      </c>
      <c r="B4" s="4691"/>
      <c r="C4" s="4691"/>
      <c r="D4" s="4691"/>
      <c r="E4" s="4691"/>
      <c r="F4" s="4691"/>
      <c r="G4" s="4691"/>
      <c r="H4" s="4691"/>
      <c r="I4" s="4691"/>
      <c r="J4" s="4691"/>
      <c r="K4" s="4691"/>
      <c r="L4" s="4691"/>
      <c r="M4" s="4691"/>
      <c r="N4" s="4692"/>
      <c r="O4" s="4691"/>
      <c r="P4" s="4677">
        <f>IF(PHS3_YR="","",3)</f>
      </c>
      <c r="Q4" s="4677">
        <f>IF(PHS3_YR="","",PHS3_YR)</f>
      </c>
      <c r="R4" s="4678">
        <f>IF(PHS3_UNTS="","",PHS3_UNTS)</f>
      </c>
      <c r="S4" s="4693"/>
      <c r="T4" s="4691"/>
      <c r="U4" s="4691"/>
      <c r="V4" s="4691"/>
      <c r="W4" s="4693"/>
      <c r="X4" s="4693"/>
      <c r="Y4" s="4693"/>
      <c r="Z4" s="4693"/>
      <c r="AA4" s="4693"/>
      <c r="AB4" s="4693"/>
      <c r="AC4" s="4693"/>
      <c r="AD4" s="4693"/>
      <c r="AE4" s="4693"/>
      <c r="AF4" s="4691"/>
      <c r="AG4" s="4691"/>
      <c r="AH4" s="4693"/>
      <c r="AI4" s="4693"/>
      <c r="AJ4" s="4693"/>
      <c r="AK4" s="4693"/>
      <c r="AL4" s="4693"/>
      <c r="AM4" s="4693"/>
      <c r="AN4" s="4693"/>
      <c r="AO4" s="4691"/>
      <c r="AP4" s="4691"/>
      <c r="AQ4" s="4691"/>
      <c r="AR4" s="4693"/>
      <c r="AS4" s="4693"/>
      <c r="AT4" s="4693"/>
      <c r="AU4" s="4693"/>
      <c r="AV4" s="4693"/>
      <c r="AW4" s="4693"/>
      <c r="AX4" s="4693"/>
      <c r="AY4" s="4693"/>
      <c r="AZ4" s="4693"/>
      <c r="BA4" s="4693"/>
      <c r="BB4" s="4691"/>
      <c r="BC4" s="4693"/>
      <c r="BD4" s="4693"/>
      <c r="BE4" s="4693"/>
      <c r="BF4" s="4693"/>
      <c r="BG4" s="4693"/>
      <c r="BH4" s="4693"/>
      <c r="BI4" s="2649"/>
      <c r="BJ4" s="4693"/>
      <c r="BK4" s="4693"/>
      <c r="BL4" s="4693"/>
      <c r="BM4" s="4693"/>
      <c r="BN4" s="4693"/>
      <c r="BO4" s="4693"/>
      <c r="BP4" s="4693"/>
      <c r="BQ4" s="4693"/>
      <c r="BR4" s="4693"/>
      <c r="BS4" s="4691"/>
      <c r="BT4" s="4691"/>
      <c r="BU4" s="4691"/>
      <c r="BV4" s="4691"/>
      <c r="BW4" s="4691"/>
      <c r="BX4" s="4691"/>
      <c r="BY4" s="4691"/>
      <c r="BZ4" s="4691"/>
      <c r="CA4" s="4691"/>
      <c r="CB4" s="4691"/>
      <c r="CC4" s="4691"/>
      <c r="CD4" s="4691"/>
      <c r="CE4" s="4691"/>
      <c r="CF4" s="4691"/>
      <c r="CG4" s="4691"/>
      <c r="CH4" s="4691"/>
      <c r="CI4" s="4691"/>
      <c r="CJ4" s="4691"/>
      <c r="CK4" s="4691"/>
      <c r="CL4" s="4691"/>
      <c r="CM4" s="4691"/>
      <c r="CN4" s="4691"/>
      <c r="CO4" s="4691"/>
      <c r="CP4" s="4691"/>
      <c r="CQ4" s="4691"/>
      <c r="CR4" s="4691"/>
      <c r="CS4" s="4691"/>
      <c r="CT4" s="4691"/>
      <c r="CU4" s="4691"/>
      <c r="CV4" s="4691"/>
      <c r="CW4" s="4691"/>
      <c r="CX4" s="4691"/>
      <c r="CY4" s="4691"/>
      <c r="CZ4" s="4699"/>
      <c r="DA4" s="4691"/>
      <c r="DB4" s="4691"/>
      <c r="DC4" s="4691"/>
      <c r="DD4" s="4691"/>
      <c r="DE4" s="4691"/>
      <c r="DF4" s="4691"/>
      <c r="DG4" s="4691"/>
      <c r="DH4" s="4691"/>
      <c r="DI4" s="4696"/>
      <c r="DJ4" s="4691"/>
      <c r="DK4" s="4691"/>
      <c r="DL4" s="4691"/>
      <c r="DM4" s="4691"/>
      <c r="DN4" s="4691"/>
      <c r="DO4" s="4691"/>
      <c r="DP4" s="4691"/>
      <c r="DQ4" s="4691"/>
      <c r="DR4" s="4691"/>
      <c r="DS4" s="4691"/>
      <c r="DT4" s="4691"/>
      <c r="DU4" s="4691"/>
      <c r="DV4" s="4691"/>
      <c r="DW4" s="4691"/>
      <c r="DX4" s="4691"/>
      <c r="DY4" s="4697"/>
      <c r="DZ4" s="4691"/>
      <c r="EA4" s="4691"/>
      <c r="EB4" s="4691"/>
      <c r="EC4" s="4691"/>
      <c r="ED4" s="4691"/>
      <c r="EE4" s="4691"/>
      <c r="EF4" s="4691"/>
      <c r="EG4" s="4691"/>
      <c r="EH4" s="4691"/>
      <c r="EI4" s="4691"/>
      <c r="EJ4" s="4691"/>
      <c r="EK4" s="4691"/>
      <c r="EL4" s="4691"/>
      <c r="EM4" s="4691"/>
      <c r="EN4" s="4691"/>
      <c r="EO4" s="4691"/>
      <c r="EP4" s="4691"/>
      <c r="EQ4" s="4691"/>
      <c r="ER4" s="4691"/>
      <c r="ES4" s="4691"/>
    </row>
    <row r="5" ht="14.25" customHeight="1">
      <c r="A5" s="4674">
        <f t="shared" si="0"/>
      </c>
      <c r="B5" s="4691"/>
      <c r="C5" s="4691"/>
      <c r="D5" s="4691"/>
      <c r="E5" s="4691"/>
      <c r="F5" s="4691"/>
      <c r="G5" s="4691"/>
      <c r="H5" s="4691"/>
      <c r="I5" s="4691"/>
      <c r="J5" s="4691"/>
      <c r="K5" s="4691"/>
      <c r="L5" s="4691"/>
      <c r="M5" s="4691"/>
      <c r="N5" s="4692"/>
      <c r="O5" s="4691"/>
      <c r="P5" s="4677">
        <f>IF(PHS4_YR="","",4)</f>
      </c>
      <c r="Q5" s="4677">
        <f>IF(PHS4_YR="","",PHS4_YR)</f>
      </c>
      <c r="R5" s="4678">
        <f>IF(PHS4_UNTS="","",PHS4_UNTS)</f>
      </c>
      <c r="S5" s="4693"/>
      <c r="T5" s="4691"/>
      <c r="U5" s="4691"/>
      <c r="V5" s="4691"/>
      <c r="W5" s="4693"/>
      <c r="X5" s="4693"/>
      <c r="Y5" s="4693"/>
      <c r="Z5" s="4693"/>
      <c r="AA5" s="4693"/>
      <c r="AB5" s="4693"/>
      <c r="AC5" s="4693"/>
      <c r="AD5" s="4693"/>
      <c r="AE5" s="4693"/>
      <c r="AF5" s="4691"/>
      <c r="AG5" s="4691"/>
      <c r="AH5" s="4693"/>
      <c r="AI5" s="4693"/>
      <c r="AJ5" s="4693"/>
      <c r="AK5" s="4693"/>
      <c r="AL5" s="4693"/>
      <c r="AM5" s="4693"/>
      <c r="AN5" s="4693"/>
      <c r="AO5" s="4691"/>
      <c r="AP5" s="4691"/>
      <c r="AQ5" s="4691"/>
      <c r="AR5" s="4693"/>
      <c r="AS5" s="4693"/>
      <c r="AT5" s="4693"/>
      <c r="AU5" s="4693"/>
      <c r="AV5" s="4693"/>
      <c r="AW5" s="4693"/>
      <c r="AX5" s="4693"/>
      <c r="AY5" s="4693"/>
      <c r="AZ5" s="4693"/>
      <c r="BA5" s="4693"/>
      <c r="BB5" s="4691"/>
      <c r="BC5" s="4693"/>
      <c r="BD5" s="4693"/>
      <c r="BE5" s="4693"/>
      <c r="BF5" s="4700"/>
      <c r="BG5" s="4693"/>
      <c r="BH5" s="4693"/>
      <c r="BI5" s="4693"/>
      <c r="BJ5" s="4693"/>
      <c r="BK5" s="4693"/>
      <c r="BL5" s="4693"/>
      <c r="BM5" s="4693"/>
      <c r="BN5" s="4693"/>
      <c r="BO5" s="4693"/>
      <c r="BP5" s="4693"/>
      <c r="BQ5" s="4693"/>
      <c r="BR5" s="4693"/>
      <c r="BS5" s="4691"/>
      <c r="BT5" s="4691"/>
      <c r="BU5" s="4691"/>
      <c r="BV5" s="4691"/>
      <c r="BW5" s="4691"/>
      <c r="BX5" s="4691"/>
      <c r="BY5" s="4691"/>
      <c r="BZ5" s="4691"/>
      <c r="CA5" s="4691"/>
      <c r="CB5" s="4691"/>
      <c r="CC5" s="4691"/>
      <c r="CD5" s="4691"/>
      <c r="CE5" s="4691"/>
      <c r="CF5" s="4691"/>
      <c r="CG5" s="4691"/>
      <c r="CH5" s="4691"/>
      <c r="CI5" s="4691"/>
      <c r="CJ5" s="4691"/>
      <c r="CK5" s="4691"/>
      <c r="CL5" s="4691"/>
      <c r="CM5" s="4691"/>
      <c r="CN5" s="4691"/>
      <c r="CO5" s="4691"/>
      <c r="CP5" s="4691"/>
      <c r="CQ5" s="4691"/>
      <c r="CR5" s="4691"/>
      <c r="CS5" s="4691"/>
      <c r="CT5" s="4691"/>
      <c r="CU5" s="4691"/>
      <c r="CV5" s="4691"/>
      <c r="CW5" s="4691"/>
      <c r="CX5" s="4691"/>
      <c r="CY5" s="4691"/>
      <c r="CZ5" s="4699"/>
      <c r="DA5" s="4691"/>
      <c r="DB5" s="4691"/>
      <c r="DC5" s="4691"/>
      <c r="DD5" s="4691"/>
      <c r="DE5" s="4691"/>
      <c r="DF5" s="4691"/>
      <c r="DG5" s="4691"/>
      <c r="DH5" s="4691"/>
      <c r="DI5" s="4696"/>
      <c r="DJ5" s="4691"/>
      <c r="DK5" s="4691"/>
      <c r="DL5" s="4691"/>
      <c r="DM5" s="4691"/>
      <c r="DN5" s="4691"/>
      <c r="DO5" s="4691"/>
      <c r="DP5" s="4691"/>
      <c r="DQ5" s="4691"/>
      <c r="DR5" s="4691"/>
      <c r="DS5" s="4691"/>
      <c r="DT5" s="4691"/>
      <c r="DU5" s="4691"/>
      <c r="DV5" s="4691"/>
      <c r="DW5" s="4691"/>
      <c r="DX5" s="4691"/>
      <c r="DY5" s="4697"/>
      <c r="DZ5" s="4691"/>
      <c r="EA5" s="4691"/>
      <c r="EB5" s="4691"/>
      <c r="EC5" s="4691"/>
      <c r="ED5" s="4691"/>
      <c r="EE5" s="4691"/>
      <c r="EF5" s="4691"/>
      <c r="EG5" s="4691"/>
      <c r="EH5" s="4691"/>
      <c r="EI5" s="4691"/>
      <c r="EJ5" s="4691"/>
      <c r="EK5" s="4691"/>
      <c r="EL5" s="4691"/>
      <c r="EM5" s="4691"/>
      <c r="EN5" s="4691"/>
      <c r="EO5" s="4691"/>
      <c r="EP5" s="4691"/>
      <c r="EQ5" s="4691"/>
      <c r="ER5" s="4691"/>
      <c r="ES5" s="4691"/>
    </row>
    <row r="6" ht="14.25" customHeight="1">
      <c r="A6" s="4674">
        <f t="shared" si="0"/>
      </c>
      <c r="B6" s="4691"/>
      <c r="C6" s="4691"/>
      <c r="D6" s="4691"/>
      <c r="E6" s="4691"/>
      <c r="F6" s="4691"/>
      <c r="G6" s="4691"/>
      <c r="H6" s="4691"/>
      <c r="I6" s="4691"/>
      <c r="J6" s="4691"/>
      <c r="K6" s="4691"/>
      <c r="L6" s="4691"/>
      <c r="M6" s="4691"/>
      <c r="N6" s="4692"/>
      <c r="O6" s="4691"/>
      <c r="P6" s="4677">
        <f>IF(PHS5_YR="","",5)</f>
      </c>
      <c r="Q6" s="4677">
        <f>IF(PHS5_YR="","",PHS5_YR)</f>
      </c>
      <c r="R6" s="4678">
        <f>IF(PHS5_UNTS="","",PHS5_UNTS)</f>
      </c>
      <c r="S6" s="4693"/>
      <c r="T6" s="4691"/>
      <c r="U6" s="4691"/>
      <c r="V6" s="4691"/>
      <c r="W6" s="4693"/>
      <c r="X6" s="4693"/>
      <c r="Y6" s="4693"/>
      <c r="Z6" s="4693"/>
      <c r="AA6" s="4693"/>
      <c r="AB6" s="4693"/>
      <c r="AC6" s="4693"/>
      <c r="AD6" s="4693"/>
      <c r="AE6" s="4693"/>
      <c r="AF6" s="4691"/>
      <c r="AG6" s="4691"/>
      <c r="AH6" s="4693"/>
      <c r="AI6" s="4693"/>
      <c r="AJ6" s="4693"/>
      <c r="AK6" s="4693"/>
      <c r="AL6" s="4693"/>
      <c r="AM6" s="4693"/>
      <c r="AN6" s="4693"/>
      <c r="AO6" s="4693"/>
      <c r="AP6" s="4693"/>
      <c r="AQ6" s="4693"/>
      <c r="AR6" s="4693"/>
      <c r="AS6" s="4693"/>
      <c r="AT6" s="4693"/>
      <c r="AU6" s="4693"/>
      <c r="AV6" s="4693"/>
      <c r="AW6" s="4693"/>
      <c r="AX6" s="4693"/>
      <c r="AY6" s="4693"/>
      <c r="AZ6" s="4693"/>
      <c r="BA6" s="4693"/>
      <c r="BB6" s="4693"/>
      <c r="BC6" s="4693"/>
      <c r="BD6" s="4693"/>
      <c r="BE6" s="4693"/>
      <c r="BF6" s="4693"/>
      <c r="BG6" s="4693"/>
      <c r="BH6" s="4693"/>
      <c r="BI6" s="4693"/>
      <c r="BJ6" s="4693"/>
      <c r="BK6" s="4693"/>
      <c r="BL6" s="4693"/>
      <c r="BM6" s="4693"/>
      <c r="BN6" s="4693"/>
      <c r="BO6" s="4693"/>
      <c r="BP6" s="4693"/>
      <c r="BQ6" s="4693"/>
      <c r="BR6" s="4693"/>
      <c r="BS6" s="4693"/>
      <c r="BT6" s="4692"/>
      <c r="BU6" s="4692"/>
      <c r="BV6" s="4693"/>
      <c r="BW6" s="4691"/>
      <c r="BX6" s="4693"/>
      <c r="BY6" s="4691"/>
      <c r="BZ6" s="4693"/>
      <c r="CA6" s="4691"/>
      <c r="CB6" s="4691"/>
      <c r="CC6" s="4691"/>
      <c r="CD6" s="4691"/>
      <c r="CE6" s="4691"/>
      <c r="CF6" s="4691"/>
      <c r="CG6" s="4691"/>
      <c r="CH6" s="4691"/>
      <c r="CI6" s="4691"/>
      <c r="CJ6" s="4691"/>
      <c r="CK6" s="4691"/>
      <c r="CL6" s="4691"/>
      <c r="CM6" s="4691"/>
      <c r="CN6" s="4691"/>
      <c r="CO6" s="4691"/>
      <c r="CP6" s="4691"/>
      <c r="CQ6" s="4691"/>
      <c r="CR6" s="4691"/>
      <c r="CS6" s="4691"/>
      <c r="CT6" s="4691"/>
      <c r="CU6" s="4691"/>
      <c r="CV6" s="4691"/>
      <c r="CW6" s="4691"/>
      <c r="CX6" s="4691"/>
      <c r="CY6" s="4692"/>
      <c r="CZ6" s="4699"/>
      <c r="DA6" s="4691"/>
      <c r="DB6" s="4691"/>
      <c r="DC6" s="4691"/>
      <c r="DD6" s="4691"/>
      <c r="DE6" s="4691"/>
      <c r="DF6" s="4691"/>
      <c r="DG6" s="4691"/>
      <c r="DH6" s="4691"/>
      <c r="DI6" s="4696"/>
      <c r="DJ6" s="4691"/>
      <c r="DK6" s="4691"/>
      <c r="DL6" s="4691"/>
      <c r="DM6" s="4691"/>
      <c r="DN6" s="4691"/>
      <c r="DO6" s="4691"/>
      <c r="DP6" s="4691"/>
      <c r="DQ6" s="4691"/>
      <c r="DR6" s="4691"/>
      <c r="DS6" s="4691"/>
      <c r="DT6" s="4691"/>
      <c r="DU6" s="4691"/>
      <c r="DV6" s="4691"/>
      <c r="DW6" s="4691"/>
      <c r="DX6" s="4691"/>
      <c r="DY6" s="4697"/>
      <c r="DZ6" s="4691"/>
      <c r="EA6" s="4691"/>
      <c r="EB6" s="4691"/>
      <c r="EC6" s="4691"/>
      <c r="ED6" s="4691"/>
      <c r="EE6" s="4691"/>
      <c r="EF6" s="4691"/>
      <c r="EG6" s="4691"/>
      <c r="EH6" s="4691"/>
      <c r="EI6" s="4691"/>
      <c r="EJ6" s="4691"/>
      <c r="EK6" s="4691"/>
      <c r="EL6" s="4691"/>
      <c r="EM6" s="4691"/>
      <c r="EN6" s="4691"/>
      <c r="EO6" s="4691"/>
      <c r="EP6" s="4691"/>
      <c r="EQ6" s="4691"/>
      <c r="ER6" s="4691"/>
      <c r="ES6" s="4691"/>
    </row>
    <row r="7" ht="14.25" customHeight="1">
      <c r="A7" s="4674">
        <f t="shared" si="0"/>
      </c>
      <c r="B7" s="4691"/>
      <c r="C7" s="4691"/>
      <c r="D7" s="4691"/>
      <c r="E7" s="4691"/>
      <c r="F7" s="4691"/>
      <c r="G7" s="4691"/>
      <c r="H7" s="4691"/>
      <c r="I7" s="4691"/>
      <c r="J7" s="4691"/>
      <c r="K7" s="4691"/>
      <c r="L7" s="4691"/>
      <c r="M7" s="4691"/>
      <c r="N7" s="4692"/>
      <c r="O7" s="4691"/>
      <c r="P7" s="4677">
        <f>IF(PHS6_YR="","",6)</f>
      </c>
      <c r="Q7" s="4677">
        <f>IF(PHS6_YR="","",PHS6_YR)</f>
      </c>
      <c r="R7" s="4678">
        <f>IF(PHS6_UNTS="","",PHS6_UNTS)</f>
      </c>
      <c r="S7" s="4693"/>
      <c r="T7" s="4691"/>
      <c r="U7" s="4691"/>
      <c r="V7" s="4691"/>
      <c r="W7" s="4693"/>
      <c r="X7" s="4693"/>
      <c r="Y7" s="4693"/>
      <c r="Z7" s="4693"/>
      <c r="AA7" s="4693"/>
      <c r="AB7" s="4693"/>
      <c r="AC7" s="4693"/>
      <c r="AD7" s="4693"/>
      <c r="AE7" s="4693"/>
      <c r="AF7" s="4691"/>
      <c r="AG7" s="4691"/>
      <c r="AH7" s="4693"/>
      <c r="AI7" s="4693"/>
      <c r="AJ7" s="4693"/>
      <c r="AK7" s="4693"/>
      <c r="AL7" s="4693"/>
      <c r="AM7" s="4693"/>
      <c r="AN7" s="4693"/>
      <c r="AO7" s="4693"/>
      <c r="AP7" s="4693"/>
      <c r="AQ7" s="4693"/>
      <c r="AR7" s="4693"/>
      <c r="AS7" s="4693"/>
      <c r="AT7" s="4693"/>
      <c r="AU7" s="4693"/>
      <c r="AV7" s="4693"/>
      <c r="AW7" s="4693"/>
      <c r="AX7" s="4693"/>
      <c r="AY7" s="4693"/>
      <c r="AZ7" s="4693"/>
      <c r="BA7" s="4693"/>
      <c r="BB7" s="4693"/>
      <c r="BC7" s="4693"/>
      <c r="BD7" s="4693"/>
      <c r="BE7" s="4693"/>
      <c r="BF7" s="4693"/>
      <c r="BG7" s="4693"/>
      <c r="BH7" s="4693"/>
      <c r="BI7" s="4693"/>
      <c r="BJ7" s="4693"/>
      <c r="BK7" s="4693"/>
      <c r="BL7" s="4693"/>
      <c r="BM7" s="4693"/>
      <c r="BN7" s="4693"/>
      <c r="BO7" s="4693"/>
      <c r="BP7" s="4693"/>
      <c r="BQ7" s="4691"/>
      <c r="BR7" s="4693"/>
      <c r="BS7" s="4693"/>
      <c r="BT7" s="4692"/>
      <c r="BU7" s="4692"/>
      <c r="BV7" s="4693"/>
      <c r="BW7" s="4691"/>
      <c r="BX7" s="4693"/>
      <c r="BY7" s="4691"/>
      <c r="BZ7" s="4693"/>
      <c r="CA7" s="4691"/>
      <c r="CB7" s="4691"/>
      <c r="CC7" s="4691"/>
      <c r="CD7" s="4691"/>
      <c r="CE7" s="4691"/>
      <c r="CF7" s="4691"/>
      <c r="CG7" s="4691"/>
      <c r="CH7" s="4691"/>
      <c r="CI7" s="4691"/>
      <c r="CJ7" s="4691"/>
      <c r="CK7" s="4691"/>
      <c r="CL7" s="4691"/>
      <c r="CM7" s="4691"/>
      <c r="CN7" s="4691"/>
      <c r="CO7" s="4691"/>
      <c r="CP7" s="4691"/>
      <c r="CQ7" s="4691"/>
      <c r="CR7" s="4691"/>
      <c r="CS7" s="4691"/>
      <c r="CT7" s="4691"/>
      <c r="CU7" s="4691"/>
      <c r="CV7" s="4691"/>
      <c r="CW7" s="4691"/>
      <c r="CX7" s="4691"/>
      <c r="CY7" s="4692"/>
      <c r="CZ7" s="4699"/>
      <c r="DA7" s="4691"/>
      <c r="DB7" s="4691"/>
      <c r="DC7" s="4691"/>
      <c r="DD7" s="4691"/>
      <c r="DE7" s="4691"/>
      <c r="DF7" s="4691"/>
      <c r="DG7" s="4691"/>
      <c r="DH7" s="4691"/>
      <c r="DI7" s="4696"/>
      <c r="DJ7" s="4691"/>
      <c r="DK7" s="4691"/>
      <c r="DL7" s="4691"/>
      <c r="DM7" s="4691"/>
      <c r="DN7" s="4691"/>
      <c r="DO7" s="4691"/>
      <c r="DP7" s="4691"/>
      <c r="DQ7" s="4691"/>
      <c r="DR7" s="4691"/>
      <c r="DS7" s="4691"/>
      <c r="DT7" s="4691"/>
      <c r="DU7" s="4691"/>
      <c r="DV7" s="4691"/>
      <c r="DW7" s="4691"/>
      <c r="DX7" s="4691"/>
      <c r="DY7" s="4697"/>
      <c r="DZ7" s="4691"/>
      <c r="EA7" s="4691"/>
      <c r="EB7" s="4691"/>
      <c r="EC7" s="4691"/>
      <c r="ED7" s="4691"/>
      <c r="EE7" s="4691"/>
      <c r="EF7" s="4691"/>
      <c r="EG7" s="4691"/>
      <c r="EH7" s="4691"/>
      <c r="EI7" s="4691"/>
      <c r="EJ7" s="4691"/>
      <c r="EK7" s="4691"/>
      <c r="EL7" s="4691"/>
      <c r="EM7" s="4691"/>
      <c r="EN7" s="4691"/>
      <c r="EO7" s="4691"/>
      <c r="EP7" s="4691"/>
      <c r="EQ7" s="4691"/>
      <c r="ER7" s="4691"/>
      <c r="ES7" s="4691"/>
    </row>
    <row r="8" ht="14.25" customHeight="1">
      <c r="A8" s="4674">
        <f t="shared" si="0"/>
      </c>
      <c r="B8" s="4691"/>
      <c r="C8" s="4691"/>
      <c r="D8" s="4691"/>
      <c r="E8" s="4691"/>
      <c r="F8" s="4691"/>
      <c r="G8" s="4691"/>
      <c r="H8" s="4691"/>
      <c r="I8" s="4691"/>
      <c r="J8" s="4691"/>
      <c r="K8" s="4691"/>
      <c r="L8" s="4691"/>
      <c r="M8" s="4691"/>
      <c r="N8" s="4692"/>
      <c r="O8" s="4691"/>
      <c r="P8" s="4677">
        <f>IF(PHS7_YR="","",7)</f>
      </c>
      <c r="Q8" s="4677">
        <f>IF(PHS7_YR="","",PHS7_YR)</f>
      </c>
      <c r="R8" s="4678">
        <f>IF(PHS7_UNTS="","",PHS7_UNTS)</f>
      </c>
      <c r="S8" s="4693"/>
      <c r="T8" s="4691"/>
      <c r="U8" s="4691"/>
      <c r="V8" s="4691"/>
      <c r="W8" s="4693"/>
      <c r="X8" s="4693"/>
      <c r="Y8" s="4693"/>
      <c r="Z8" s="4693"/>
      <c r="AA8" s="4693"/>
      <c r="AB8" s="4693"/>
      <c r="AC8" s="4693"/>
      <c r="AD8" s="4693"/>
      <c r="AE8" s="4693"/>
      <c r="AF8" s="4693"/>
      <c r="AG8" s="4693"/>
      <c r="AH8" s="4693"/>
      <c r="AI8" s="4693"/>
      <c r="AJ8" s="4693"/>
      <c r="AK8" s="4693"/>
      <c r="AL8" s="4693"/>
      <c r="AM8" s="4693"/>
      <c r="AN8" s="4693"/>
      <c r="AO8" s="4693"/>
      <c r="AP8" s="4691"/>
      <c r="AQ8" s="4691"/>
      <c r="AR8" s="4693"/>
      <c r="AS8" s="4693"/>
      <c r="AT8" s="4693"/>
      <c r="AU8" s="4693"/>
      <c r="AV8" s="4693"/>
      <c r="AW8" s="4693"/>
      <c r="AX8" s="4693"/>
      <c r="AY8" s="4693"/>
      <c r="AZ8" s="4693"/>
      <c r="BA8" s="4693"/>
      <c r="BB8" s="4691"/>
      <c r="BC8" s="4693"/>
      <c r="BD8" s="4693"/>
      <c r="BE8" s="4693"/>
      <c r="BF8" s="4693"/>
      <c r="BG8" s="4693"/>
      <c r="BH8" s="4693"/>
      <c r="BI8" s="4693"/>
      <c r="BJ8" s="4693"/>
      <c r="BK8" s="4693"/>
      <c r="BL8" s="4693"/>
      <c r="BM8" s="4693"/>
      <c r="BN8" s="4693"/>
      <c r="BO8" s="4693"/>
      <c r="BP8" s="4693"/>
      <c r="BQ8" s="4693"/>
      <c r="BR8" s="4693"/>
      <c r="BS8" s="4691"/>
      <c r="BT8" s="4691"/>
      <c r="BU8" s="4691"/>
      <c r="BV8" s="4691"/>
      <c r="BW8" s="4691"/>
      <c r="BX8" s="4691"/>
      <c r="BY8" s="4691"/>
      <c r="BZ8" s="4691"/>
      <c r="CA8" s="4691"/>
      <c r="CB8" s="4691"/>
      <c r="CC8" s="4691"/>
      <c r="CD8" s="4691"/>
      <c r="CE8" s="4691"/>
      <c r="CF8" s="4691"/>
      <c r="CG8" s="4691"/>
      <c r="CH8" s="4691"/>
      <c r="CI8" s="4691"/>
      <c r="CJ8" s="4691"/>
      <c r="CK8" s="4691"/>
      <c r="CL8" s="4691"/>
      <c r="CM8" s="4691"/>
      <c r="CN8" s="4691"/>
      <c r="CO8" s="4691"/>
      <c r="CP8" s="4691"/>
      <c r="CQ8" s="4691"/>
      <c r="CR8" s="4691"/>
      <c r="CS8" s="4691"/>
      <c r="CT8" s="4691"/>
      <c r="CU8" s="4691"/>
      <c r="CV8" s="4691"/>
      <c r="CW8" s="4691"/>
      <c r="CX8" s="4691"/>
      <c r="CY8" s="4692"/>
      <c r="CZ8" s="4699"/>
      <c r="DA8" s="4691"/>
      <c r="DB8" s="4691"/>
      <c r="DC8" s="4691"/>
      <c r="DD8" s="4691"/>
      <c r="DE8" s="4691"/>
      <c r="DF8" s="4691"/>
      <c r="DG8" s="4691"/>
      <c r="DH8" s="4691"/>
      <c r="DI8" s="4696"/>
      <c r="DJ8" s="4691"/>
      <c r="DK8" s="4691"/>
      <c r="DL8" s="4691"/>
      <c r="DM8" s="4691"/>
      <c r="DN8" s="4691"/>
      <c r="DO8" s="4691"/>
      <c r="DP8" s="4691"/>
      <c r="DQ8" s="4691"/>
      <c r="DR8" s="4691"/>
      <c r="DS8" s="4691"/>
      <c r="DT8" s="4691"/>
      <c r="DU8" s="4691"/>
      <c r="DV8" s="4691"/>
      <c r="DW8" s="4691"/>
      <c r="DX8" s="4691"/>
      <c r="DY8" s="4691"/>
      <c r="DZ8" s="4691"/>
      <c r="EA8" s="4691"/>
      <c r="EB8" s="4691"/>
      <c r="EC8" s="4691"/>
      <c r="ED8" s="4691"/>
      <c r="EE8" s="4691"/>
      <c r="EF8" s="4691"/>
      <c r="EG8" s="4691"/>
      <c r="EH8" s="4691"/>
      <c r="EI8" s="4691"/>
      <c r="EJ8" s="4691"/>
      <c r="EK8" s="4691"/>
      <c r="EL8" s="4691"/>
      <c r="EM8" s="4691"/>
      <c r="EN8" s="4691"/>
      <c r="EO8" s="4691"/>
      <c r="EP8" s="4691"/>
      <c r="EQ8" s="4691"/>
      <c r="ER8" s="4691"/>
      <c r="ES8" s="4691"/>
    </row>
    <row r="9" ht="14.25" customHeight="1">
      <c r="A9" s="4691"/>
      <c r="B9" s="4691"/>
      <c r="C9" s="4691"/>
      <c r="D9" s="4691"/>
      <c r="E9" s="4691"/>
      <c r="F9" s="4691"/>
      <c r="G9" s="4691"/>
      <c r="H9" s="4691"/>
      <c r="I9" s="4691"/>
      <c r="J9" s="4691"/>
      <c r="K9" s="4691"/>
      <c r="L9" s="4691"/>
      <c r="M9" s="4691"/>
      <c r="N9" s="4692"/>
      <c r="O9" s="4691"/>
      <c r="P9" s="4697"/>
      <c r="Q9" s="4691"/>
      <c r="R9" s="4701"/>
      <c r="S9" s="4693"/>
      <c r="T9" s="4691"/>
      <c r="U9" s="4691"/>
      <c r="V9" s="4691"/>
      <c r="W9" s="4693"/>
      <c r="X9" s="4693"/>
      <c r="Y9" s="4693"/>
      <c r="Z9" s="4693"/>
      <c r="AA9" s="4693"/>
      <c r="AB9" s="4693"/>
      <c r="AC9" s="4693"/>
      <c r="AD9" s="4693"/>
      <c r="AE9" s="4693"/>
      <c r="AF9" s="4693"/>
      <c r="AG9" s="4693"/>
      <c r="AH9" s="4693"/>
      <c r="AI9" s="4693"/>
      <c r="AJ9" s="4693"/>
      <c r="AK9" s="4693"/>
      <c r="AL9" s="4693"/>
      <c r="AM9" s="4693"/>
      <c r="CN9" s="4691"/>
      <c r="CO9" s="4691"/>
      <c r="CP9" s="4691"/>
      <c r="CZ9" s="4699"/>
      <c r="DE9" s="4691"/>
      <c r="DF9" s="4691"/>
      <c r="DG9" s="4691"/>
      <c r="DH9" s="4691"/>
      <c r="DI9" s="4696"/>
      <c r="DJ9" s="4691"/>
      <c r="DK9" s="4691"/>
      <c r="DL9" s="4691"/>
      <c r="DM9" s="4691"/>
      <c r="DN9" s="4691"/>
      <c r="DO9" s="4691"/>
      <c r="DP9" s="4691"/>
      <c r="DQ9" s="4691"/>
      <c r="DR9" s="4691"/>
    </row>
    <row r="10" ht="14.25" customHeight="1">
      <c r="A10" s="4691"/>
      <c r="B10" s="4691"/>
      <c r="C10" s="4691"/>
      <c r="D10" s="4691"/>
      <c r="E10" s="4691"/>
      <c r="F10" s="4691"/>
      <c r="G10" s="4691"/>
      <c r="H10" s="4691"/>
      <c r="I10" s="4691"/>
      <c r="J10" s="4691"/>
      <c r="K10" s="4691"/>
      <c r="L10" s="4691"/>
      <c r="M10" s="4691"/>
      <c r="N10" s="4692"/>
      <c r="O10" s="4691"/>
      <c r="P10" s="4697"/>
      <c r="Q10" s="4691"/>
      <c r="R10" s="4701"/>
      <c r="S10" s="4693"/>
      <c r="T10" s="4691"/>
      <c r="U10" s="4691"/>
      <c r="V10" s="4691"/>
      <c r="W10" s="4693"/>
      <c r="X10" s="4693"/>
      <c r="Y10" s="4693"/>
      <c r="Z10" s="4693"/>
      <c r="AA10" s="4693"/>
      <c r="AB10" s="4693"/>
      <c r="AC10" s="4693"/>
      <c r="AD10" s="4693"/>
      <c r="AE10" s="4693"/>
      <c r="AF10" s="4691"/>
      <c r="AG10" s="4691"/>
      <c r="AH10" s="4693"/>
      <c r="AI10" s="4693"/>
      <c r="AJ10" s="4693"/>
      <c r="AK10" s="4693"/>
      <c r="AL10" s="4693"/>
      <c r="AM10" s="4693"/>
      <c r="CN10" s="4691"/>
      <c r="CO10" s="4691"/>
      <c r="CP10" s="4691"/>
      <c r="CZ10" s="4699"/>
      <c r="DE10" s="4691"/>
      <c r="DF10" s="4691"/>
      <c r="DG10" s="4691"/>
      <c r="DH10" s="4691"/>
      <c r="DI10" s="4696"/>
      <c r="DJ10" s="4691"/>
      <c r="DK10" s="4691"/>
      <c r="DL10" s="4691"/>
      <c r="DM10" s="4691"/>
      <c r="DN10" s="4691"/>
      <c r="DO10" s="4691"/>
      <c r="DP10" s="4691"/>
      <c r="DQ10" s="4691"/>
      <c r="DR10" s="4691"/>
    </row>
    <row r="11" ht="14.25" customHeight="1">
      <c r="A11" s="4691"/>
      <c r="B11" s="4691"/>
      <c r="C11" s="4691"/>
      <c r="D11" s="4691"/>
      <c r="E11" s="4691"/>
      <c r="F11" s="4691"/>
      <c r="G11" s="4691"/>
      <c r="H11" s="4691"/>
      <c r="I11" s="4691"/>
      <c r="J11" s="4691"/>
      <c r="K11" s="4691"/>
      <c r="L11" s="4691"/>
      <c r="M11" s="4691"/>
      <c r="N11" s="4692"/>
      <c r="O11" s="4691"/>
      <c r="P11" s="4697"/>
      <c r="Q11" s="4691"/>
      <c r="R11" s="4691"/>
      <c r="S11" s="4693"/>
      <c r="T11" s="4691"/>
      <c r="U11" s="4691"/>
      <c r="V11" s="4691"/>
      <c r="W11" s="4693"/>
      <c r="X11" s="4693"/>
      <c r="Y11" s="4693"/>
      <c r="Z11" s="4693"/>
      <c r="AA11" s="4693"/>
      <c r="AB11" s="4693"/>
      <c r="AC11" s="4693"/>
      <c r="AD11" s="4693"/>
      <c r="AE11" s="4693"/>
      <c r="AF11" s="4693"/>
      <c r="AG11" s="4693"/>
      <c r="AH11" s="4693"/>
      <c r="AI11" s="4693"/>
      <c r="AJ11" s="4693"/>
      <c r="AK11" s="4693"/>
      <c r="AL11" s="4693"/>
      <c r="AM11" s="4693"/>
      <c r="CN11" s="4691"/>
      <c r="CO11" s="4691"/>
      <c r="CP11" s="4691"/>
      <c r="CZ11" s="4699"/>
      <c r="DE11" s="4691"/>
      <c r="DF11" s="4691"/>
      <c r="DG11" s="4691"/>
      <c r="DH11" s="4691"/>
      <c r="DI11" s="4696"/>
      <c r="DJ11" s="4691"/>
      <c r="DK11" s="4691"/>
      <c r="DL11" s="4691"/>
      <c r="DM11" s="4691"/>
      <c r="DN11" s="4691"/>
      <c r="DO11" s="4691"/>
      <c r="DP11" s="4691"/>
      <c r="DQ11" s="4691"/>
      <c r="DR11" s="4691"/>
    </row>
    <row r="12" ht="14.25" customHeight="1">
      <c r="A12" s="4691"/>
      <c r="B12" s="4691"/>
      <c r="C12" s="4691"/>
      <c r="D12" s="4691"/>
      <c r="E12" s="4691"/>
      <c r="F12" s="4691"/>
      <c r="G12" s="4691"/>
      <c r="H12" s="4691"/>
      <c r="I12" s="4691"/>
      <c r="J12" s="4691"/>
      <c r="K12" s="4691"/>
      <c r="L12" s="4691"/>
      <c r="M12" s="4691"/>
      <c r="N12" s="4691"/>
      <c r="O12" s="4691"/>
      <c r="P12" s="4697"/>
      <c r="Q12" s="4691"/>
      <c r="R12" s="4691"/>
      <c r="S12" s="4693"/>
      <c r="T12" s="4691"/>
      <c r="U12" s="4691"/>
      <c r="V12" s="4691"/>
      <c r="W12" s="4691"/>
      <c r="X12" s="4691"/>
      <c r="Y12" s="4691"/>
      <c r="Z12" s="4691"/>
      <c r="AA12" s="4691"/>
      <c r="AB12" s="4691"/>
      <c r="AC12" s="4702"/>
      <c r="AD12" s="4691"/>
      <c r="AE12" s="4691"/>
      <c r="AF12" s="4691"/>
      <c r="AG12" s="4691"/>
      <c r="AH12" s="4691"/>
      <c r="AI12" s="4691"/>
      <c r="AJ12" s="4691"/>
      <c r="AK12" s="4691"/>
      <c r="AL12" s="4691"/>
      <c r="AM12" s="4691"/>
      <c r="AN12" s="4691"/>
      <c r="AO12" s="4691"/>
      <c r="AP12" s="4691"/>
      <c r="AQ12" s="4691"/>
      <c r="AR12" s="4691"/>
      <c r="AS12" s="4691"/>
      <c r="AT12" s="4691"/>
      <c r="AU12" s="4691"/>
      <c r="AV12" s="4691"/>
      <c r="AW12" s="4691"/>
      <c r="AX12" s="4691"/>
      <c r="AY12" s="4691"/>
      <c r="AZ12" s="4691"/>
      <c r="BA12" s="4691"/>
      <c r="BB12" s="4691"/>
      <c r="BC12" s="4691"/>
      <c r="BD12" s="4691"/>
      <c r="BE12" s="4691"/>
      <c r="BF12" s="4691"/>
      <c r="BG12" s="4691"/>
      <c r="BH12" s="4691"/>
      <c r="BI12" s="4691"/>
      <c r="BJ12" s="4691"/>
      <c r="BK12" s="4691"/>
      <c r="BL12" s="4691"/>
      <c r="BM12" s="4691"/>
      <c r="BN12" s="4691"/>
      <c r="BO12" s="4691"/>
      <c r="BP12" s="4691"/>
      <c r="BQ12" s="4691"/>
      <c r="BR12" s="4691"/>
      <c r="BS12" s="4691"/>
      <c r="BT12" s="4691"/>
      <c r="BU12" s="4691"/>
      <c r="BV12" s="4691"/>
      <c r="BW12" s="4691"/>
      <c r="BX12" s="4691"/>
      <c r="BY12" s="4691"/>
      <c r="BZ12" s="4691"/>
      <c r="CA12" s="4691"/>
      <c r="CB12" s="4691"/>
      <c r="CC12" s="4691"/>
      <c r="CD12" s="4691"/>
      <c r="CE12" s="4691"/>
      <c r="CF12" s="4691"/>
      <c r="CG12" s="4691"/>
      <c r="CH12" s="4691"/>
      <c r="CI12" s="4691"/>
      <c r="CJ12" s="4691"/>
      <c r="CK12" s="4691"/>
      <c r="CL12" s="4691"/>
      <c r="CM12" s="4691"/>
      <c r="CN12" s="4691"/>
      <c r="CO12" s="4691"/>
      <c r="CP12" s="4691"/>
      <c r="CZ12" s="4699"/>
      <c r="DE12" s="4691"/>
      <c r="DF12" s="4691"/>
      <c r="DG12" s="4691"/>
      <c r="DH12" s="4691"/>
      <c r="DI12" s="4696"/>
      <c r="DJ12" s="4691"/>
      <c r="DK12" s="4691"/>
      <c r="DL12" s="4691"/>
      <c r="DM12" s="4691"/>
      <c r="DN12" s="4691"/>
      <c r="DO12" s="4691"/>
      <c r="DP12" s="4691"/>
      <c r="DQ12" s="4691"/>
      <c r="DR12" s="4691"/>
    </row>
    <row r="13" ht="14.25" customHeight="1">
      <c r="A13" s="4691"/>
      <c r="B13" s="4691"/>
      <c r="C13" s="4691"/>
      <c r="D13" s="4691"/>
      <c r="E13" s="4691"/>
      <c r="F13" s="4691"/>
      <c r="G13" s="4691"/>
      <c r="H13" s="4691"/>
      <c r="I13" s="4691"/>
      <c r="J13" s="4691"/>
      <c r="K13" s="4691"/>
      <c r="L13" s="4691"/>
      <c r="M13" s="4691"/>
      <c r="N13" s="4691"/>
      <c r="O13" s="4691"/>
      <c r="P13" s="4697"/>
      <c r="Q13" s="4691"/>
      <c r="R13" s="4691"/>
      <c r="S13" s="4693"/>
      <c r="T13" s="4691"/>
      <c r="U13" s="4691"/>
      <c r="V13" s="4691"/>
      <c r="W13" s="4691"/>
      <c r="X13" s="4691"/>
      <c r="Y13" s="4691"/>
      <c r="Z13" s="4691"/>
      <c r="AA13" s="4691"/>
      <c r="AB13" s="4691"/>
      <c r="AC13" s="4702"/>
      <c r="AD13" s="4691"/>
      <c r="AE13" s="4691"/>
      <c r="AF13" s="4691"/>
      <c r="AG13" s="4691"/>
      <c r="AH13" s="4691"/>
      <c r="AI13" s="4691"/>
      <c r="AJ13" s="4691"/>
      <c r="AK13" s="4691"/>
      <c r="AL13" s="4691"/>
      <c r="AM13" s="4691"/>
      <c r="AN13" s="4691"/>
      <c r="AO13" s="4691"/>
      <c r="AP13" s="4691"/>
      <c r="AQ13" s="4691"/>
      <c r="AR13" s="4691"/>
      <c r="AS13" s="4691"/>
      <c r="AT13" s="4691"/>
      <c r="AU13" s="4691"/>
      <c r="AV13" s="4691"/>
      <c r="AW13" s="4691"/>
      <c r="AX13" s="4691"/>
      <c r="AY13" s="4691"/>
      <c r="AZ13" s="4691"/>
      <c r="BA13" s="4691"/>
      <c r="BB13" s="4691"/>
      <c r="BC13" s="4691"/>
      <c r="BD13" s="4691"/>
      <c r="BE13" s="4691"/>
      <c r="BF13" s="4691"/>
      <c r="BG13" s="4691"/>
      <c r="BH13" s="4691"/>
      <c r="BI13" s="4691"/>
      <c r="BJ13" s="4691"/>
      <c r="BK13" s="4691"/>
      <c r="BL13" s="4691"/>
      <c r="BM13" s="4691"/>
      <c r="BN13" s="4691"/>
      <c r="BO13" s="4691"/>
      <c r="BP13" s="4691"/>
      <c r="BQ13" s="4691"/>
      <c r="BR13" s="4691"/>
      <c r="BS13" s="4691"/>
      <c r="BT13" s="4691"/>
      <c r="BU13" s="4691"/>
      <c r="BV13" s="4691"/>
      <c r="BW13" s="4691"/>
      <c r="BX13" s="4691"/>
      <c r="BY13" s="4691"/>
      <c r="BZ13" s="4691"/>
      <c r="CA13" s="4691"/>
      <c r="CB13" s="4691"/>
      <c r="CC13" s="4691"/>
      <c r="CD13" s="4691"/>
      <c r="CE13" s="4691"/>
      <c r="CF13" s="4691"/>
      <c r="CG13" s="4691"/>
      <c r="CH13" s="4691"/>
      <c r="CI13" s="4691"/>
      <c r="CJ13" s="4691"/>
      <c r="CK13" s="4691"/>
      <c r="CL13" s="4691"/>
      <c r="CM13" s="4691"/>
      <c r="CN13" s="4691"/>
      <c r="CO13" s="4691"/>
      <c r="CP13" s="4691"/>
      <c r="CQ13" s="4691"/>
      <c r="CR13" s="4691"/>
      <c r="CS13" s="4691"/>
      <c r="CT13" s="4691"/>
      <c r="CU13" s="4691"/>
      <c r="CV13" s="4691"/>
      <c r="CW13" s="4691"/>
      <c r="CX13" s="4691"/>
      <c r="CY13" s="4699"/>
      <c r="CZ13" s="4699"/>
      <c r="DA13" s="4691"/>
      <c r="DB13" s="4691"/>
      <c r="DC13" s="4691"/>
      <c r="DD13" s="4691"/>
      <c r="DE13" s="4691"/>
      <c r="DF13" s="4691"/>
      <c r="DG13" s="4691"/>
      <c r="DH13" s="4691"/>
      <c r="DI13" s="4696"/>
      <c r="DJ13" s="4691"/>
      <c r="DK13" s="4691"/>
      <c r="DL13" s="4691"/>
      <c r="DM13" s="4691"/>
      <c r="DN13" s="4691"/>
      <c r="DO13" s="4691"/>
      <c r="DP13" s="4691"/>
      <c r="DQ13" s="4691"/>
      <c r="DR13" s="4691"/>
      <c r="DS13" s="4691"/>
      <c r="DT13" s="4691"/>
      <c r="DU13" s="4691"/>
      <c r="DV13" s="4691"/>
      <c r="DW13" s="4691"/>
      <c r="DX13" s="4691"/>
      <c r="DY13" s="4691"/>
      <c r="DZ13" s="4691"/>
      <c r="EA13" s="4691"/>
      <c r="EB13" s="4691"/>
      <c r="EC13" s="4691"/>
      <c r="ED13" s="4691"/>
      <c r="EE13" s="4691"/>
      <c r="EF13" s="4691"/>
      <c r="EG13" s="4691"/>
      <c r="EH13" s="4691"/>
      <c r="EI13" s="4691"/>
      <c r="EJ13" s="4691"/>
      <c r="EK13" s="4691"/>
      <c r="EL13" s="4691"/>
      <c r="EM13" s="4691"/>
      <c r="EN13" s="4691"/>
      <c r="EO13" s="4691"/>
      <c r="EP13" s="4691"/>
      <c r="EQ13" s="4691"/>
      <c r="ER13" s="4691"/>
      <c r="ES13" s="4691"/>
    </row>
    <row r="14" ht="14.25" customHeight="1">
      <c r="A14" s="4691"/>
      <c r="B14" s="4691"/>
      <c r="C14" s="4691"/>
      <c r="D14" s="4691"/>
      <c r="E14" s="4691"/>
      <c r="F14" s="4691"/>
      <c r="G14" s="4691"/>
      <c r="H14" s="4691"/>
      <c r="I14" s="4691"/>
      <c r="J14" s="4691"/>
      <c r="K14" s="4691"/>
      <c r="L14" s="4691"/>
      <c r="M14" s="4691"/>
      <c r="N14" s="4691"/>
      <c r="O14" s="4691"/>
      <c r="P14" s="4691"/>
      <c r="Q14" s="4691"/>
      <c r="R14" s="4691"/>
      <c r="S14" s="4691"/>
      <c r="T14" s="4691"/>
      <c r="U14" s="4691"/>
      <c r="V14" s="4691"/>
      <c r="W14" s="4691"/>
      <c r="X14" s="4691"/>
      <c r="Y14" s="4691"/>
      <c r="Z14" s="4691"/>
      <c r="AA14" s="4691"/>
      <c r="AB14" s="4691"/>
      <c r="AC14" s="4691"/>
      <c r="AD14" s="4691"/>
      <c r="AE14" s="4691"/>
      <c r="AF14" s="4691"/>
      <c r="AG14" s="4691"/>
      <c r="AH14" s="4691"/>
      <c r="AI14" s="4691"/>
      <c r="AJ14" s="4691"/>
      <c r="AK14" s="4691"/>
      <c r="AL14" s="4691"/>
      <c r="AM14" s="4691"/>
      <c r="AN14" s="4691"/>
      <c r="AO14" s="4691"/>
      <c r="AP14" s="4691"/>
      <c r="AQ14" s="4691"/>
      <c r="AR14" s="4691"/>
      <c r="AS14" s="4691"/>
      <c r="AT14" s="4691"/>
      <c r="AU14" s="4691"/>
      <c r="AV14" s="4691"/>
      <c r="AW14" s="4691"/>
      <c r="AX14" s="4691"/>
      <c r="AY14" s="4691"/>
      <c r="AZ14" s="4691"/>
      <c r="BA14" s="4691"/>
      <c r="BB14" s="4691"/>
      <c r="BC14" s="4691"/>
      <c r="BD14" s="4691"/>
      <c r="BE14" s="4691"/>
      <c r="BF14" s="4691"/>
      <c r="BG14" s="4691"/>
      <c r="BH14" s="4691"/>
      <c r="BI14" s="4691"/>
      <c r="BJ14" s="4691"/>
      <c r="BK14" s="4691"/>
      <c r="BL14" s="4691"/>
      <c r="BM14" s="4691"/>
      <c r="BN14" s="4691"/>
      <c r="BO14" s="4691"/>
      <c r="BP14" s="4691"/>
      <c r="BQ14" s="4691"/>
      <c r="BR14" s="4691"/>
      <c r="BS14" s="4691"/>
      <c r="BT14" s="4691"/>
      <c r="BU14" s="4691"/>
      <c r="BV14" s="4691"/>
      <c r="BW14" s="4691"/>
      <c r="BX14" s="4691"/>
      <c r="BY14" s="4691"/>
      <c r="BZ14" s="4691"/>
      <c r="CA14" s="4691"/>
      <c r="CB14" s="4691"/>
      <c r="CC14" s="4691"/>
      <c r="CD14" s="4691"/>
      <c r="CE14" s="4691"/>
      <c r="CF14" s="4691"/>
      <c r="CG14" s="4691"/>
      <c r="CH14" s="4691"/>
      <c r="CI14" s="4691"/>
      <c r="CJ14" s="4691"/>
      <c r="CK14" s="4691"/>
      <c r="CL14" s="4691"/>
      <c r="CM14" s="4691"/>
      <c r="CN14" s="4691"/>
      <c r="CO14" s="4691"/>
      <c r="CP14" s="4691"/>
      <c r="CQ14" s="4691"/>
      <c r="CR14" s="4691"/>
      <c r="CS14" s="4691"/>
      <c r="CT14" s="4691"/>
      <c r="CU14" s="4691"/>
      <c r="CV14" s="4691"/>
      <c r="CW14" s="4691"/>
      <c r="CX14" s="4691"/>
      <c r="CY14" s="4691"/>
      <c r="CZ14" s="4691"/>
      <c r="DA14" s="4691"/>
      <c r="DB14" s="4691"/>
      <c r="DC14" s="4691"/>
      <c r="DD14" s="4691"/>
      <c r="DE14" s="4691"/>
      <c r="DF14" s="4691"/>
      <c r="DG14" s="4691"/>
      <c r="DH14" s="4691"/>
      <c r="DI14" s="4696"/>
      <c r="DJ14" s="4691"/>
      <c r="DK14" s="4691"/>
      <c r="DL14" s="4691"/>
      <c r="DM14" s="4691"/>
      <c r="DN14" s="4691"/>
      <c r="DO14" s="4691"/>
      <c r="DP14" s="4691"/>
      <c r="DQ14" s="4691"/>
      <c r="DR14" s="4691"/>
      <c r="DS14" s="4691"/>
      <c r="DT14" s="4691"/>
      <c r="DU14" s="4691"/>
      <c r="DV14" s="4691"/>
      <c r="DW14" s="4691"/>
      <c r="DX14" s="4691"/>
      <c r="DY14" s="4691"/>
      <c r="DZ14" s="4691"/>
      <c r="EA14" s="4691"/>
      <c r="EB14" s="4691"/>
      <c r="EC14" s="4691"/>
      <c r="ED14" s="4691"/>
      <c r="EE14" s="4691"/>
      <c r="EF14" s="4691"/>
      <c r="EG14" s="4691"/>
      <c r="EH14" s="4691"/>
      <c r="EI14" s="4691"/>
      <c r="EJ14" s="4691"/>
      <c r="EK14" s="4691"/>
      <c r="EL14" s="4691"/>
      <c r="EM14" s="4691"/>
      <c r="EN14" s="4691"/>
      <c r="EO14" s="4691"/>
      <c r="EP14" s="4691"/>
      <c r="EQ14" s="4691"/>
      <c r="ER14" s="4691"/>
      <c r="ES14" s="4691"/>
    </row>
    <row r="15" ht="14.25" customHeight="1">
      <c r="A15" s="4691"/>
      <c r="B15" s="4691"/>
      <c r="C15" s="4691"/>
      <c r="D15" s="4691"/>
      <c r="E15" s="4691"/>
      <c r="F15" s="4691"/>
      <c r="G15" s="4691"/>
      <c r="H15" s="4691"/>
      <c r="I15" s="4691"/>
      <c r="J15" s="4691"/>
      <c r="K15" s="4691"/>
      <c r="L15" s="4691"/>
      <c r="M15" s="4691"/>
      <c r="N15" s="4691"/>
      <c r="O15" s="4691"/>
      <c r="P15" s="4697"/>
      <c r="Q15" s="4691"/>
      <c r="R15" s="4691"/>
      <c r="S15" s="4693"/>
      <c r="T15" s="4691"/>
      <c r="U15" s="4691"/>
      <c r="V15" s="4691"/>
      <c r="W15" s="4691"/>
      <c r="X15" s="4691"/>
      <c r="Y15" s="4691"/>
      <c r="Z15" s="4691"/>
      <c r="AA15" s="4691"/>
      <c r="AB15" s="4691"/>
      <c r="AC15" s="4702"/>
      <c r="AD15" s="4691"/>
      <c r="AE15" s="4691"/>
      <c r="AF15" s="4691"/>
      <c r="AG15" s="4691"/>
      <c r="AH15" s="4691"/>
      <c r="AI15" s="4691"/>
      <c r="AJ15" s="4691"/>
      <c r="AK15" s="4691"/>
      <c r="AL15" s="4691"/>
      <c r="AM15" s="4691"/>
      <c r="AN15" s="4691"/>
      <c r="AO15" s="4691"/>
      <c r="AP15" s="4691"/>
      <c r="AQ15" s="4691"/>
      <c r="AR15" s="4691"/>
      <c r="AS15" s="4691"/>
      <c r="AT15" s="4691"/>
      <c r="AU15" s="4691"/>
      <c r="AV15" s="4691"/>
      <c r="AW15" s="4691"/>
      <c r="AX15" s="4691"/>
      <c r="AY15" s="4691"/>
      <c r="AZ15" s="4691"/>
      <c r="BA15" s="4691"/>
      <c r="BB15" s="4691"/>
      <c r="BC15" s="4691"/>
      <c r="BD15" s="4691"/>
      <c r="BE15" s="4691"/>
      <c r="BF15" s="4691"/>
      <c r="BG15" s="4691"/>
      <c r="BH15" s="4691"/>
      <c r="BI15" s="4691"/>
      <c r="BJ15" s="4691"/>
      <c r="BK15" s="4691"/>
      <c r="BL15" s="4691"/>
      <c r="BM15" s="4691"/>
      <c r="BN15" s="4691"/>
      <c r="BO15" s="4691"/>
      <c r="BP15" s="4691"/>
      <c r="BQ15" s="4691"/>
      <c r="BR15" s="4691"/>
      <c r="BS15" s="4691"/>
      <c r="BT15" s="4691"/>
      <c r="BU15" s="4691"/>
      <c r="BV15" s="4691"/>
      <c r="BW15" s="4691"/>
      <c r="BX15" s="4691"/>
      <c r="BY15" s="4691"/>
      <c r="BZ15" s="4691"/>
      <c r="CA15" s="4691"/>
      <c r="CB15" s="4691"/>
      <c r="CC15" s="4691"/>
      <c r="CD15" s="4691"/>
      <c r="CE15" s="4691"/>
      <c r="CF15" s="4691"/>
      <c r="CG15" s="4691"/>
      <c r="CH15" s="4691"/>
      <c r="CI15" s="4691"/>
      <c r="CJ15" s="4691"/>
      <c r="CK15" s="4691"/>
      <c r="CL15" s="4691"/>
      <c r="CM15" s="4691"/>
      <c r="CN15" s="4691"/>
      <c r="CO15" s="4691"/>
      <c r="CP15" s="4691"/>
      <c r="CQ15" s="4691"/>
      <c r="CR15" s="4691"/>
      <c r="CS15" s="4691"/>
      <c r="CT15" s="4691"/>
      <c r="CU15" s="4691"/>
      <c r="CV15" s="4691"/>
      <c r="CW15" s="4691"/>
      <c r="CX15" s="4691"/>
      <c r="CY15" s="4699"/>
      <c r="CZ15" s="4699"/>
      <c r="DA15" s="4691"/>
      <c r="DB15" s="4691"/>
      <c r="DC15" s="4691"/>
      <c r="DD15" s="4691"/>
      <c r="DE15" s="4691"/>
      <c r="DF15" s="4691"/>
      <c r="DG15" s="4691"/>
      <c r="DH15" s="4691"/>
      <c r="DI15" s="4696"/>
      <c r="DJ15" s="4691"/>
      <c r="DK15" s="4691"/>
      <c r="DL15" s="4691"/>
      <c r="DM15" s="4691"/>
      <c r="DN15" s="4691"/>
      <c r="DO15" s="4691"/>
      <c r="DP15" s="4691"/>
      <c r="DQ15" s="4691"/>
      <c r="DR15" s="4691"/>
      <c r="DS15" s="4691"/>
      <c r="DT15" s="4691"/>
      <c r="DU15" s="4691"/>
      <c r="DV15" s="4691"/>
      <c r="DW15" s="4691"/>
      <c r="DX15" s="4691"/>
      <c r="DY15" s="4691"/>
      <c r="DZ15" s="4691"/>
      <c r="EA15" s="4691"/>
      <c r="EB15" s="4691"/>
      <c r="EC15" s="4691"/>
      <c r="ED15" s="4691"/>
      <c r="EE15" s="4691"/>
      <c r="EF15" s="4691"/>
      <c r="EG15" s="4691"/>
      <c r="EH15" s="4691"/>
      <c r="EI15" s="4691"/>
      <c r="EJ15" s="4691"/>
      <c r="EK15" s="4691"/>
      <c r="EL15" s="4691"/>
      <c r="EM15" s="4691"/>
      <c r="EN15" s="4691"/>
      <c r="EO15" s="4691"/>
      <c r="EP15" s="4691"/>
      <c r="EQ15" s="4691"/>
      <c r="ER15" s="4691"/>
      <c r="ES15" s="4691"/>
    </row>
    <row r="16" ht="14.25" customHeight="1">
      <c r="A16" s="4691"/>
      <c r="B16" s="4691"/>
      <c r="C16" s="4691"/>
      <c r="D16" s="4691"/>
      <c r="E16" s="4691"/>
      <c r="F16" s="4691"/>
      <c r="G16" s="4691"/>
      <c r="H16" s="4691"/>
      <c r="I16" s="4691"/>
      <c r="J16" s="4691"/>
      <c r="K16" s="4691"/>
      <c r="L16" s="4691"/>
      <c r="M16" s="4691"/>
      <c r="N16" s="4691"/>
      <c r="O16" s="4691"/>
      <c r="P16" s="4697"/>
      <c r="Q16" s="4691"/>
      <c r="R16" s="4691"/>
      <c r="S16" s="4693"/>
      <c r="T16" s="4691"/>
      <c r="U16" s="4691"/>
      <c r="V16" s="4691"/>
      <c r="W16" s="4691"/>
      <c r="X16" s="4691"/>
      <c r="Y16" s="4691"/>
      <c r="Z16" s="4691"/>
      <c r="AA16" s="4691"/>
      <c r="AB16" s="4691"/>
      <c r="AC16" s="4702"/>
      <c r="AD16" s="4691"/>
      <c r="AE16" s="4691"/>
      <c r="AF16" s="4691"/>
      <c r="AG16" s="4691"/>
      <c r="AH16" s="4691"/>
      <c r="AI16" s="4691"/>
      <c r="AJ16" s="4691"/>
      <c r="AK16" s="4691"/>
      <c r="AL16" s="4691"/>
      <c r="AM16" s="4691"/>
      <c r="AN16" s="4691"/>
      <c r="AO16" s="4691"/>
      <c r="AP16" s="4691"/>
      <c r="AQ16" s="4691"/>
      <c r="AR16" s="4691"/>
      <c r="AS16" s="4691"/>
      <c r="AT16" s="4691"/>
      <c r="AU16" s="4691"/>
      <c r="AV16" s="4691"/>
      <c r="AW16" s="4691"/>
      <c r="AX16" s="4691"/>
      <c r="AY16" s="4691"/>
      <c r="AZ16" s="4691"/>
      <c r="BA16" s="4691"/>
      <c r="BB16" s="4691"/>
      <c r="BC16" s="4691"/>
      <c r="BD16" s="4691"/>
      <c r="BE16" s="4691"/>
      <c r="BF16" s="4691"/>
      <c r="BG16" s="4691"/>
      <c r="BH16" s="4691"/>
      <c r="BI16" s="4691"/>
      <c r="BJ16" s="4691"/>
      <c r="BK16" s="4691"/>
      <c r="BL16" s="4691"/>
      <c r="BM16" s="4691"/>
      <c r="BN16" s="4691"/>
      <c r="BO16" s="4691"/>
      <c r="BP16" s="4691"/>
      <c r="BQ16" s="4691"/>
      <c r="BR16" s="4691"/>
      <c r="BS16" s="4691"/>
      <c r="BT16" s="4691"/>
      <c r="BU16" s="4691"/>
      <c r="BV16" s="4691"/>
      <c r="BW16" s="4691"/>
      <c r="BX16" s="4691"/>
      <c r="BY16" s="4691"/>
      <c r="BZ16" s="4691"/>
      <c r="CA16" s="4691"/>
      <c r="CB16" s="4691"/>
      <c r="CC16" s="4691"/>
      <c r="CD16" s="4691"/>
      <c r="CE16" s="4691"/>
      <c r="CF16" s="4691"/>
      <c r="CG16" s="4691"/>
      <c r="CH16" s="4691"/>
      <c r="CI16" s="4691"/>
      <c r="CJ16" s="4691"/>
      <c r="CK16" s="4691"/>
      <c r="CL16" s="4691"/>
      <c r="CM16" s="4691"/>
      <c r="CN16" s="4691"/>
      <c r="CO16" s="4691"/>
      <c r="CP16" s="4691"/>
      <c r="CQ16" s="4691"/>
      <c r="CR16" s="4691"/>
      <c r="CS16" s="4691"/>
      <c r="CT16" s="4691"/>
      <c r="CU16" s="4691"/>
      <c r="CV16" s="4691"/>
      <c r="CW16" s="4691"/>
      <c r="CX16" s="4691"/>
      <c r="CY16" s="4699"/>
      <c r="CZ16" s="4699"/>
      <c r="DA16" s="4691"/>
      <c r="DB16" s="4691"/>
      <c r="DC16" s="4691"/>
      <c r="DD16" s="4691"/>
      <c r="DE16" s="4691"/>
      <c r="DF16" s="4691"/>
      <c r="DG16" s="4691"/>
      <c r="DH16" s="4691"/>
      <c r="DI16" s="4696"/>
      <c r="DJ16" s="4691"/>
      <c r="DK16" s="4691"/>
      <c r="DL16" s="4691"/>
      <c r="DM16" s="4691"/>
      <c r="DN16" s="4691"/>
      <c r="DO16" s="4691"/>
      <c r="DP16" s="4691"/>
      <c r="DQ16" s="4691"/>
      <c r="DR16" s="4691"/>
      <c r="DS16" s="4691"/>
      <c r="DT16" s="4691"/>
      <c r="DU16" s="4691"/>
      <c r="DV16" s="4691"/>
      <c r="DW16" s="4691"/>
      <c r="DX16" s="4691"/>
      <c r="DY16" s="4691"/>
      <c r="DZ16" s="4691"/>
      <c r="EA16" s="4691"/>
      <c r="EB16" s="4691"/>
      <c r="EC16" s="4691"/>
      <c r="ED16" s="4691"/>
      <c r="EE16" s="4691"/>
      <c r="EF16" s="4691"/>
      <c r="EG16" s="4691"/>
      <c r="EH16" s="4691"/>
      <c r="EI16" s="4691"/>
      <c r="EJ16" s="4691"/>
      <c r="EK16" s="4691"/>
      <c r="EL16" s="4691"/>
      <c r="EM16" s="4691"/>
      <c r="EN16" s="4691"/>
      <c r="EO16" s="4691"/>
      <c r="EP16" s="4691"/>
      <c r="EQ16" s="4691"/>
      <c r="ER16" s="4691"/>
      <c r="ES16" s="4691"/>
    </row>
    <row r="17" ht="14.25" customHeight="1">
      <c r="A17" s="4691"/>
      <c r="B17" s="4691"/>
      <c r="C17" s="4691"/>
      <c r="D17" s="4691"/>
      <c r="E17" s="4691"/>
      <c r="F17" s="4691"/>
      <c r="G17" s="4691"/>
      <c r="H17" s="4691"/>
      <c r="I17" s="4691"/>
      <c r="J17" s="4691"/>
      <c r="K17" s="4691"/>
      <c r="L17" s="4691"/>
      <c r="M17" s="4691"/>
      <c r="N17" s="4691"/>
      <c r="O17" s="4691"/>
      <c r="P17" s="4697"/>
      <c r="Q17" s="4691"/>
      <c r="R17" s="4691"/>
      <c r="S17" s="4693"/>
      <c r="T17" s="4691"/>
      <c r="U17" s="4691"/>
      <c r="V17" s="4691"/>
      <c r="W17" s="4691"/>
      <c r="X17" s="4691"/>
      <c r="Y17" s="4691"/>
      <c r="Z17" s="4691"/>
      <c r="AA17" s="4691"/>
      <c r="AB17" s="4691"/>
      <c r="AC17" s="4702"/>
      <c r="AD17" s="4691"/>
      <c r="AE17" s="4691"/>
      <c r="AF17" s="4691"/>
      <c r="AG17" s="4691"/>
      <c r="AH17" s="4691"/>
      <c r="AI17" s="4691"/>
      <c r="AJ17" s="4691"/>
      <c r="AK17" s="4691"/>
      <c r="AL17" s="4691"/>
      <c r="AM17" s="4691"/>
      <c r="AN17" s="4691"/>
      <c r="AO17" s="4691"/>
      <c r="AP17" s="4691"/>
      <c r="AQ17" s="4691"/>
      <c r="AR17" s="4691"/>
      <c r="AS17" s="4691"/>
      <c r="AT17" s="4691"/>
      <c r="AU17" s="4691"/>
      <c r="AV17" s="4691"/>
      <c r="AW17" s="4691"/>
      <c r="AX17" s="4691"/>
      <c r="AY17" s="4691"/>
      <c r="AZ17" s="4691"/>
      <c r="BA17" s="4691"/>
      <c r="BB17" s="4691"/>
      <c r="BC17" s="4691"/>
      <c r="BD17" s="4691"/>
      <c r="BE17" s="4691"/>
      <c r="BF17" s="4691"/>
      <c r="BG17" s="4691"/>
      <c r="BH17" s="4691"/>
      <c r="BI17" s="4691"/>
      <c r="BJ17" s="4691"/>
      <c r="BK17" s="4691"/>
      <c r="BL17" s="4691"/>
      <c r="BM17" s="4691"/>
      <c r="BN17" s="4691"/>
      <c r="BO17" s="4691"/>
      <c r="BP17" s="4691"/>
      <c r="BQ17" s="4691"/>
      <c r="BR17" s="4691"/>
      <c r="BS17" s="4691"/>
      <c r="BT17" s="4691"/>
      <c r="BU17" s="4691"/>
      <c r="BV17" s="4691"/>
      <c r="BW17" s="4691"/>
      <c r="BX17" s="4691"/>
      <c r="BY17" s="4691"/>
      <c r="BZ17" s="4691"/>
      <c r="CA17" s="4691"/>
      <c r="CB17" s="4691"/>
      <c r="CC17" s="4691"/>
      <c r="CD17" s="4691"/>
      <c r="CE17" s="4691"/>
      <c r="CF17" s="4691"/>
      <c r="CG17" s="4691"/>
      <c r="CH17" s="4691"/>
      <c r="CI17" s="4691"/>
      <c r="CJ17" s="4691"/>
      <c r="CK17" s="4691"/>
      <c r="CL17" s="4691"/>
      <c r="CM17" s="4691"/>
      <c r="CN17" s="4691"/>
      <c r="CO17" s="4691"/>
      <c r="CP17" s="4691"/>
      <c r="CQ17" s="4691"/>
      <c r="CR17" s="4691"/>
      <c r="CS17" s="4691"/>
      <c r="CT17" s="4691"/>
      <c r="CU17" s="4691"/>
      <c r="CV17" s="4691"/>
      <c r="CW17" s="4691"/>
      <c r="CX17" s="4691"/>
      <c r="CY17" s="4699"/>
      <c r="CZ17" s="4699"/>
      <c r="DA17" s="4691"/>
      <c r="DB17" s="4691"/>
      <c r="DC17" s="4691"/>
      <c r="DD17" s="4691"/>
      <c r="DE17" s="4691"/>
      <c r="DF17" s="4691"/>
      <c r="DG17" s="4691"/>
      <c r="DH17" s="4691"/>
      <c r="DI17" s="4696"/>
      <c r="DJ17" s="4691"/>
      <c r="DK17" s="4691"/>
      <c r="DL17" s="4691"/>
      <c r="DM17" s="4691"/>
      <c r="DN17" s="4691"/>
      <c r="DO17" s="4691"/>
      <c r="DP17" s="4691"/>
      <c r="DQ17" s="4691"/>
      <c r="DR17" s="4691"/>
      <c r="DS17" s="4691"/>
      <c r="DT17" s="4691"/>
      <c r="DU17" s="4691"/>
      <c r="DV17" s="4691"/>
      <c r="DW17" s="4691"/>
      <c r="DX17" s="4691"/>
      <c r="DY17" s="4691"/>
      <c r="DZ17" s="4691"/>
      <c r="EA17" s="4691"/>
      <c r="EB17" s="4691"/>
      <c r="EC17" s="4691"/>
      <c r="ED17" s="4691"/>
      <c r="EE17" s="4691"/>
      <c r="EF17" s="4691"/>
      <c r="EG17" s="4691"/>
      <c r="EH17" s="4691"/>
      <c r="EI17" s="4691"/>
      <c r="EJ17" s="4691"/>
      <c r="EK17" s="4691"/>
      <c r="EL17" s="4691"/>
      <c r="EM17" s="4691"/>
      <c r="EN17" s="4691"/>
      <c r="EO17" s="4691"/>
      <c r="EP17" s="4691"/>
      <c r="EQ17" s="4691"/>
      <c r="ER17" s="4691"/>
      <c r="ES17" s="4691"/>
    </row>
    <row r="18" ht="14.25" customHeight="1">
      <c r="A18" s="4691"/>
      <c r="B18" s="4691"/>
      <c r="C18" s="4691"/>
      <c r="D18" s="4691"/>
      <c r="E18" s="4691"/>
      <c r="F18" s="4691"/>
      <c r="G18" s="4691"/>
      <c r="H18" s="4691"/>
      <c r="I18" s="4691"/>
      <c r="J18" s="4691"/>
      <c r="K18" s="4691"/>
      <c r="L18" s="4691"/>
      <c r="M18" s="4691"/>
      <c r="N18" s="4691"/>
      <c r="O18" s="4691"/>
      <c r="P18" s="4697"/>
      <c r="Q18" s="4691"/>
      <c r="R18" s="4691"/>
      <c r="S18" s="4693"/>
      <c r="T18" s="4691"/>
      <c r="U18" s="4691"/>
      <c r="V18" s="4691"/>
      <c r="W18" s="4691"/>
      <c r="X18" s="4691"/>
      <c r="Y18" s="4691"/>
      <c r="Z18" s="4691"/>
      <c r="AA18" s="4691"/>
      <c r="AB18" s="4691"/>
      <c r="AC18" s="4702"/>
      <c r="AD18" s="4691"/>
      <c r="AE18" s="4691"/>
      <c r="AF18" s="4691"/>
      <c r="AG18" s="4691"/>
      <c r="AH18" s="4691"/>
      <c r="AI18" s="4691"/>
      <c r="AJ18" s="4691"/>
      <c r="AK18" s="4691"/>
      <c r="AL18" s="4691"/>
      <c r="AM18" s="4691"/>
      <c r="AN18" s="4691"/>
      <c r="AO18" s="4691"/>
      <c r="AP18" s="4691"/>
      <c r="AQ18" s="4691"/>
      <c r="AR18" s="4691"/>
      <c r="AS18" s="4691"/>
      <c r="AT18" s="4691"/>
      <c r="AU18" s="4691"/>
      <c r="AV18" s="4691"/>
      <c r="AW18" s="4691"/>
      <c r="AX18" s="4691"/>
      <c r="AY18" s="4691"/>
      <c r="AZ18" s="4691"/>
      <c r="BA18" s="4691"/>
      <c r="BB18" s="4691"/>
      <c r="BC18" s="4691"/>
      <c r="BD18" s="4691"/>
      <c r="BE18" s="4691"/>
      <c r="BF18" s="4691"/>
      <c r="BG18" s="4691"/>
      <c r="BH18" s="4691"/>
      <c r="BI18" s="4691"/>
      <c r="BJ18" s="4691"/>
      <c r="BK18" s="4691"/>
      <c r="BL18" s="4691"/>
      <c r="BM18" s="4691"/>
      <c r="BN18" s="4691"/>
      <c r="BO18" s="4691"/>
      <c r="BP18" s="4691"/>
      <c r="BQ18" s="4691"/>
      <c r="BR18" s="4691"/>
      <c r="BS18" s="4691"/>
      <c r="BT18" s="4691"/>
      <c r="BU18" s="4691"/>
      <c r="BV18" s="4691"/>
      <c r="BW18" s="4691"/>
      <c r="BX18" s="4691"/>
      <c r="BY18" s="4691"/>
      <c r="BZ18" s="4691"/>
      <c r="CA18" s="4691"/>
      <c r="CB18" s="4691"/>
      <c r="CC18" s="4691"/>
      <c r="CD18" s="4691"/>
      <c r="CE18" s="4691"/>
      <c r="CF18" s="4691"/>
      <c r="CG18" s="4691"/>
      <c r="CH18" s="4691"/>
      <c r="CI18" s="4691"/>
      <c r="CJ18" s="4691"/>
      <c r="CK18" s="4691"/>
      <c r="CL18" s="4691"/>
      <c r="CM18" s="4691"/>
      <c r="CN18" s="4691"/>
      <c r="CO18" s="4691"/>
      <c r="CP18" s="4691"/>
      <c r="CQ18" s="4691"/>
      <c r="CR18" s="4691"/>
      <c r="CS18" s="4691"/>
      <c r="CT18" s="4691"/>
      <c r="CU18" s="4691"/>
      <c r="CV18" s="4691"/>
      <c r="CW18" s="4691"/>
      <c r="CX18" s="4691"/>
      <c r="CY18" s="4699"/>
      <c r="CZ18" s="4699"/>
      <c r="DA18" s="4691"/>
      <c r="DB18" s="4691"/>
      <c r="DC18" s="4691"/>
      <c r="DD18" s="4691"/>
      <c r="DE18" s="4691"/>
      <c r="DF18" s="4691"/>
      <c r="DG18" s="4691"/>
      <c r="DH18" s="4691"/>
      <c r="DI18" s="4696"/>
      <c r="DJ18" s="4691"/>
      <c r="DK18" s="4691"/>
      <c r="DL18" s="4691"/>
      <c r="DM18" s="4691"/>
      <c r="DN18" s="4691"/>
      <c r="DO18" s="4691"/>
      <c r="DP18" s="4691"/>
      <c r="DQ18" s="4691"/>
      <c r="DR18" s="4691"/>
      <c r="DS18" s="4691"/>
      <c r="DT18" s="4691"/>
      <c r="DU18" s="4691"/>
      <c r="DV18" s="4691"/>
      <c r="DW18" s="4691"/>
      <c r="DX18" s="4691"/>
      <c r="DY18" s="4691"/>
      <c r="DZ18" s="4691"/>
      <c r="EA18" s="4691"/>
      <c r="EB18" s="4691"/>
      <c r="EC18" s="4691"/>
      <c r="ED18" s="4691"/>
      <c r="EE18" s="4691"/>
      <c r="EF18" s="4691"/>
      <c r="EG18" s="4691"/>
      <c r="EH18" s="4691"/>
      <c r="EI18" s="4691"/>
      <c r="EJ18" s="4691"/>
      <c r="EK18" s="4691"/>
      <c r="EL18" s="4691"/>
      <c r="EM18" s="4691"/>
      <c r="EN18" s="4691"/>
      <c r="EO18" s="4691"/>
      <c r="EP18" s="4691"/>
      <c r="EQ18" s="4691"/>
      <c r="ER18" s="4691"/>
      <c r="ES18" s="4691"/>
    </row>
    <row r="19" ht="14.25" customHeight="1">
      <c r="A19" s="4691"/>
      <c r="B19" s="4691"/>
      <c r="C19" s="4691"/>
      <c r="D19" s="4691"/>
      <c r="E19" s="4691"/>
      <c r="F19" s="4691"/>
      <c r="G19" s="4691"/>
      <c r="H19" s="4691"/>
      <c r="I19" s="4691"/>
      <c r="J19" s="4691"/>
      <c r="K19" s="4691"/>
      <c r="L19" s="4691"/>
      <c r="M19" s="4691"/>
      <c r="N19" s="4691"/>
      <c r="O19" s="4691"/>
      <c r="P19" s="4697"/>
      <c r="Q19" s="4691"/>
      <c r="R19" s="4691"/>
      <c r="S19" s="4693"/>
      <c r="T19" s="4691"/>
      <c r="U19" s="4691"/>
      <c r="V19" s="4691"/>
      <c r="W19" s="4691"/>
      <c r="X19" s="4691"/>
      <c r="Y19" s="4691"/>
      <c r="Z19" s="4691"/>
      <c r="AA19" s="4691"/>
      <c r="AB19" s="4691"/>
      <c r="AC19" s="4702"/>
      <c r="AD19" s="4691"/>
      <c r="AE19" s="4691"/>
      <c r="AF19" s="4691"/>
      <c r="AG19" s="4691"/>
      <c r="AH19" s="4691"/>
      <c r="AI19" s="4691"/>
      <c r="AJ19" s="4691"/>
      <c r="AK19" s="4691"/>
      <c r="AL19" s="4691"/>
      <c r="AM19" s="4691"/>
      <c r="AN19" s="4691"/>
      <c r="AO19" s="4691"/>
      <c r="AP19" s="4691"/>
      <c r="AQ19" s="4691"/>
      <c r="AR19" s="4691"/>
      <c r="AS19" s="4691"/>
      <c r="AT19" s="4691"/>
      <c r="AU19" s="4691"/>
      <c r="AV19" s="4691"/>
      <c r="AW19" s="4691"/>
      <c r="AX19" s="4691"/>
      <c r="AY19" s="4691"/>
      <c r="AZ19" s="4691"/>
      <c r="BA19" s="4691"/>
      <c r="BB19" s="4691"/>
      <c r="BC19" s="4691"/>
      <c r="BD19" s="4691"/>
      <c r="BE19" s="4691"/>
      <c r="BF19" s="4691"/>
      <c r="BG19" s="4691"/>
      <c r="BH19" s="4691"/>
      <c r="BI19" s="4691"/>
      <c r="BJ19" s="4691"/>
      <c r="BK19" s="4691"/>
      <c r="BL19" s="4691"/>
      <c r="BM19" s="4691"/>
      <c r="BN19" s="4691"/>
      <c r="BO19" s="4691"/>
      <c r="BP19" s="4691"/>
      <c r="BQ19" s="4691"/>
      <c r="BR19" s="4691"/>
      <c r="BS19" s="4691"/>
      <c r="BT19" s="4691"/>
      <c r="BU19" s="4691"/>
      <c r="BV19" s="4691"/>
      <c r="BW19" s="4691"/>
      <c r="BX19" s="4691"/>
      <c r="BY19" s="4691"/>
      <c r="BZ19" s="4691"/>
      <c r="CA19" s="4691"/>
      <c r="CB19" s="4691"/>
      <c r="CC19" s="4691"/>
      <c r="CD19" s="4691"/>
      <c r="CE19" s="4691"/>
      <c r="CF19" s="4691"/>
      <c r="CG19" s="4691"/>
      <c r="CH19" s="4691"/>
      <c r="CI19" s="4691"/>
      <c r="CJ19" s="4691"/>
      <c r="CK19" s="4691"/>
      <c r="CL19" s="4691"/>
      <c r="CM19" s="4691"/>
      <c r="CN19" s="4691"/>
      <c r="CO19" s="4691"/>
      <c r="CP19" s="4691"/>
      <c r="CQ19" s="4691"/>
      <c r="CR19" s="4691"/>
      <c r="CS19" s="4691"/>
      <c r="CT19" s="4691"/>
      <c r="CU19" s="4691"/>
      <c r="CV19" s="4691"/>
      <c r="CW19" s="4691"/>
      <c r="CX19" s="4691"/>
      <c r="CY19" s="4699"/>
      <c r="CZ19" s="4699"/>
      <c r="DA19" s="4691"/>
      <c r="DB19" s="4691"/>
      <c r="DC19" s="4691"/>
      <c r="DD19" s="4691"/>
      <c r="DE19" s="4691"/>
      <c r="DF19" s="4691"/>
      <c r="DG19" s="4691"/>
      <c r="DH19" s="4691"/>
      <c r="DI19" s="4696"/>
      <c r="DJ19" s="4691"/>
      <c r="DK19" s="4691"/>
      <c r="DL19" s="4691"/>
      <c r="DM19" s="4691"/>
      <c r="DN19" s="4691"/>
      <c r="DO19" s="4691"/>
      <c r="DP19" s="4691"/>
      <c r="DQ19" s="4691"/>
      <c r="DR19" s="4691"/>
      <c r="DS19" s="4691"/>
      <c r="DT19" s="4691"/>
      <c r="DU19" s="4691"/>
      <c r="DV19" s="4691"/>
      <c r="DW19" s="4691"/>
      <c r="DX19" s="4691"/>
      <c r="DY19" s="4691"/>
      <c r="DZ19" s="4691"/>
      <c r="EA19" s="4691"/>
      <c r="EB19" s="4691"/>
      <c r="EC19" s="4691"/>
      <c r="ED19" s="4691"/>
      <c r="EE19" s="4691"/>
      <c r="EF19" s="4691"/>
      <c r="EG19" s="4691"/>
      <c r="EH19" s="4691"/>
      <c r="EI19" s="4691"/>
      <c r="EJ19" s="4691"/>
      <c r="EK19" s="4691"/>
      <c r="EL19" s="4691"/>
      <c r="EM19" s="4691"/>
      <c r="EN19" s="4691"/>
      <c r="EO19" s="4691"/>
      <c r="EP19" s="4691"/>
      <c r="EQ19" s="4691"/>
      <c r="ER19" s="4691"/>
      <c r="ES19" s="4691"/>
    </row>
    <row r="20" ht="14.25" customHeight="1">
      <c r="A20" s="4691"/>
      <c r="B20" s="4691"/>
      <c r="C20" s="4691"/>
      <c r="D20" s="4691"/>
      <c r="E20" s="4691"/>
      <c r="F20" s="4691"/>
      <c r="G20" s="4691"/>
      <c r="H20" s="4691"/>
      <c r="I20" s="4691"/>
      <c r="J20" s="4691"/>
      <c r="K20" s="4691"/>
      <c r="L20" s="4691"/>
      <c r="M20" s="4691"/>
      <c r="N20" s="4691"/>
      <c r="O20" s="4691"/>
      <c r="P20" s="4697"/>
      <c r="Q20" s="4691"/>
      <c r="R20" s="4691"/>
      <c r="S20" s="4693"/>
      <c r="T20" s="4691"/>
      <c r="U20" s="4691"/>
      <c r="V20" s="4691"/>
      <c r="W20" s="4691"/>
      <c r="X20" s="4691"/>
      <c r="Y20" s="4691"/>
      <c r="Z20" s="4691"/>
      <c r="AA20" s="4691"/>
      <c r="AB20" s="4691"/>
      <c r="AC20" s="4702"/>
      <c r="AD20" s="4691"/>
      <c r="AE20" s="4691"/>
      <c r="AF20" s="4691"/>
      <c r="AG20" s="4691"/>
      <c r="AH20" s="4691"/>
      <c r="AI20" s="4691"/>
      <c r="AJ20" s="4691"/>
      <c r="AK20" s="4691"/>
      <c r="AL20" s="4691"/>
      <c r="AM20" s="4691"/>
      <c r="AN20" s="4691"/>
      <c r="AO20" s="4691"/>
      <c r="AP20" s="4691"/>
      <c r="AQ20" s="4691"/>
      <c r="AR20" s="4691"/>
      <c r="AS20" s="4691"/>
      <c r="AT20" s="4691"/>
      <c r="AU20" s="4691"/>
      <c r="AV20" s="4691"/>
      <c r="AW20" s="4691"/>
      <c r="AX20" s="4691"/>
      <c r="AY20" s="4691"/>
      <c r="AZ20" s="4691"/>
      <c r="BA20" s="4691"/>
      <c r="BB20" s="4691"/>
      <c r="BC20" s="4691"/>
      <c r="BD20" s="4691"/>
      <c r="BE20" s="4691"/>
      <c r="BF20" s="4691"/>
      <c r="BG20" s="4691"/>
      <c r="BH20" s="4691"/>
      <c r="BI20" s="4691"/>
      <c r="BJ20" s="4691"/>
      <c r="BK20" s="4691"/>
      <c r="BL20" s="4691"/>
      <c r="BM20" s="4691"/>
      <c r="BN20" s="4691"/>
      <c r="BO20" s="4691"/>
      <c r="BP20" s="4691"/>
      <c r="BQ20" s="4691"/>
      <c r="BR20" s="4691"/>
      <c r="BS20" s="4691"/>
      <c r="BT20" s="4691"/>
      <c r="BU20" s="4691"/>
      <c r="BV20" s="4691"/>
      <c r="BW20" s="4691"/>
      <c r="BX20" s="4691"/>
      <c r="BY20" s="4691"/>
      <c r="BZ20" s="4691"/>
      <c r="CA20" s="4691"/>
      <c r="CB20" s="4691"/>
      <c r="CC20" s="4691"/>
      <c r="CD20" s="4691"/>
      <c r="CE20" s="4691"/>
      <c r="CF20" s="4691"/>
      <c r="CG20" s="4691"/>
      <c r="CH20" s="4691"/>
      <c r="CI20" s="4691"/>
      <c r="CJ20" s="4691"/>
      <c r="CK20" s="4691"/>
      <c r="CL20" s="4691"/>
      <c r="CM20" s="4691"/>
      <c r="CN20" s="4691"/>
      <c r="CO20" s="4691"/>
      <c r="CP20" s="4691"/>
      <c r="CQ20" s="4691"/>
      <c r="CR20" s="4691"/>
      <c r="CS20" s="4691"/>
      <c r="CT20" s="4691"/>
      <c r="CU20" s="4691"/>
      <c r="CV20" s="4691"/>
      <c r="CW20" s="4691"/>
      <c r="CX20" s="4691"/>
      <c r="CY20" s="4699"/>
      <c r="CZ20" s="4699"/>
      <c r="DA20" s="4691"/>
      <c r="DB20" s="4691"/>
      <c r="DC20" s="4691"/>
      <c r="DD20" s="4691"/>
      <c r="DE20" s="4691"/>
      <c r="DF20" s="4691"/>
      <c r="DG20" s="4691"/>
      <c r="DH20" s="4691"/>
      <c r="DI20" s="4696"/>
      <c r="DJ20" s="4691"/>
      <c r="DK20" s="4691"/>
      <c r="DL20" s="4691"/>
      <c r="DM20" s="4691"/>
      <c r="DN20" s="4691"/>
      <c r="DO20" s="4691"/>
      <c r="DP20" s="4691"/>
      <c r="DQ20" s="4691"/>
      <c r="DR20" s="4691"/>
      <c r="DS20" s="4691"/>
      <c r="DT20" s="4691"/>
      <c r="DU20" s="4691"/>
      <c r="DV20" s="4691"/>
      <c r="DW20" s="4691"/>
      <c r="DX20" s="4691"/>
      <c r="DY20" s="4691"/>
      <c r="DZ20" s="4691"/>
      <c r="EA20" s="4691"/>
      <c r="EB20" s="4691"/>
      <c r="EC20" s="4691"/>
      <c r="ED20" s="4691"/>
      <c r="EE20" s="4691"/>
      <c r="EF20" s="4691"/>
      <c r="EG20" s="4691"/>
      <c r="EH20" s="4691"/>
      <c r="EI20" s="4691"/>
      <c r="EJ20" s="4691"/>
      <c r="EK20" s="4691"/>
      <c r="EL20" s="4691"/>
      <c r="EM20" s="4691"/>
      <c r="EN20" s="4691"/>
      <c r="EO20" s="4691"/>
      <c r="EP20" s="4691"/>
      <c r="EQ20" s="4691"/>
      <c r="ER20" s="4691"/>
      <c r="ES20" s="4691"/>
    </row>
    <row r="21" ht="14.25" customHeight="1">
      <c r="A21" s="4691"/>
      <c r="B21" s="4691"/>
      <c r="C21" s="4691"/>
      <c r="D21" s="4691"/>
      <c r="E21" s="4691"/>
      <c r="F21" s="4691"/>
      <c r="G21" s="4691"/>
      <c r="H21" s="4691"/>
      <c r="I21" s="4691"/>
      <c r="J21" s="4691"/>
      <c r="K21" s="4691"/>
      <c r="L21" s="4691"/>
      <c r="M21" s="4691"/>
      <c r="N21" s="4691"/>
      <c r="O21" s="4691"/>
      <c r="P21" s="4697"/>
      <c r="Q21" s="4691"/>
      <c r="R21" s="4691"/>
      <c r="S21" s="4693"/>
      <c r="T21" s="4691"/>
      <c r="U21" s="4691"/>
      <c r="V21" s="4691"/>
      <c r="W21" s="4691"/>
      <c r="X21" s="4691"/>
      <c r="Y21" s="4691"/>
      <c r="Z21" s="4691"/>
      <c r="AA21" s="4691"/>
      <c r="AB21" s="4691"/>
      <c r="AC21" s="4702"/>
      <c r="AD21" s="4691"/>
      <c r="AE21" s="4691"/>
      <c r="AF21" s="4691"/>
      <c r="AG21" s="4691"/>
      <c r="AH21" s="4691"/>
      <c r="AI21" s="4691"/>
      <c r="AJ21" s="4691"/>
      <c r="AK21" s="4691"/>
      <c r="AL21" s="4691"/>
      <c r="AM21" s="4691"/>
      <c r="AN21" s="4691"/>
      <c r="AO21" s="4691"/>
      <c r="AP21" s="4691"/>
      <c r="AQ21" s="4691"/>
      <c r="AR21" s="4691"/>
      <c r="AS21" s="4691"/>
      <c r="AT21" s="4691"/>
      <c r="AU21" s="4691"/>
      <c r="AV21" s="4691"/>
      <c r="AW21" s="4691"/>
      <c r="AX21" s="4691"/>
      <c r="AY21" s="4691"/>
      <c r="AZ21" s="4691"/>
      <c r="BA21" s="4691"/>
      <c r="BB21" s="4691"/>
      <c r="BC21" s="4691"/>
      <c r="BD21" s="4691"/>
      <c r="BE21" s="4691"/>
      <c r="BF21" s="4691"/>
      <c r="BG21" s="4691"/>
      <c r="BH21" s="4691"/>
      <c r="BI21" s="4691"/>
      <c r="BJ21" s="4691"/>
      <c r="BK21" s="4691"/>
      <c r="BL21" s="4691"/>
      <c r="BM21" s="4691"/>
      <c r="BN21" s="4691"/>
      <c r="BO21" s="4691"/>
      <c r="BP21" s="4691"/>
      <c r="BQ21" s="4691"/>
      <c r="BR21" s="4691"/>
      <c r="BS21" s="4691"/>
      <c r="BT21" s="4691"/>
      <c r="BU21" s="4691"/>
      <c r="BV21" s="4691"/>
      <c r="BW21" s="4691"/>
      <c r="BX21" s="4691"/>
      <c r="BY21" s="4691"/>
      <c r="BZ21" s="4691"/>
      <c r="CA21" s="4691"/>
      <c r="CB21" s="4691"/>
      <c r="CC21" s="4691"/>
      <c r="CD21" s="4691"/>
      <c r="CE21" s="4691"/>
      <c r="CF21" s="4691"/>
      <c r="CG21" s="4691"/>
      <c r="CH21" s="4691"/>
      <c r="CI21" s="4691"/>
      <c r="CJ21" s="4691"/>
      <c r="CK21" s="4691"/>
      <c r="CL21" s="4691"/>
      <c r="CM21" s="4691"/>
      <c r="CN21" s="4691"/>
      <c r="CO21" s="4691"/>
      <c r="CP21" s="4691"/>
      <c r="CQ21" s="4691"/>
      <c r="CR21" s="4691"/>
      <c r="CS21" s="4691"/>
      <c r="CT21" s="4691"/>
      <c r="CU21" s="4691"/>
      <c r="CV21" s="4691"/>
      <c r="CW21" s="4691"/>
      <c r="CX21" s="4691"/>
      <c r="CY21" s="4699"/>
      <c r="CZ21" s="4699"/>
      <c r="DA21" s="4691"/>
      <c r="DB21" s="4691"/>
      <c r="DC21" s="4691"/>
      <c r="DD21" s="4691"/>
      <c r="DE21" s="4691"/>
      <c r="DF21" s="4691"/>
      <c r="DG21" s="4691"/>
      <c r="DH21" s="4691"/>
      <c r="DI21" s="4696"/>
      <c r="DJ21" s="4691"/>
      <c r="DK21" s="4691"/>
      <c r="DL21" s="4691"/>
      <c r="DM21" s="4691"/>
      <c r="DN21" s="4691"/>
      <c r="DO21" s="4691"/>
      <c r="DP21" s="4691"/>
      <c r="DQ21" s="4691"/>
      <c r="DR21" s="4691"/>
      <c r="DS21" s="4691"/>
      <c r="DT21" s="4691"/>
      <c r="DU21" s="4691"/>
      <c r="DV21" s="4691"/>
      <c r="DW21" s="4691"/>
      <c r="DX21" s="4691"/>
      <c r="DY21" s="4691"/>
      <c r="DZ21" s="4691"/>
      <c r="EA21" s="4691"/>
      <c r="EB21" s="4691"/>
      <c r="EC21" s="4691"/>
      <c r="ED21" s="4691"/>
      <c r="EE21" s="4691"/>
      <c r="EF21" s="4691"/>
      <c r="EG21" s="4691"/>
      <c r="EH21" s="4691"/>
      <c r="EI21" s="4691"/>
      <c r="EJ21" s="4691"/>
      <c r="EK21" s="4691"/>
      <c r="EL21" s="4691"/>
      <c r="EM21" s="4691"/>
      <c r="EN21" s="4691"/>
      <c r="EO21" s="4691"/>
      <c r="EP21" s="4691"/>
      <c r="EQ21" s="4691"/>
      <c r="ER21" s="4691"/>
      <c r="ES21" s="4691"/>
    </row>
    <row r="22" ht="14.25" customHeight="1">
      <c r="A22" s="4691"/>
      <c r="B22" s="4691"/>
      <c r="C22" s="4691"/>
      <c r="D22" s="4691"/>
      <c r="E22" s="4691"/>
      <c r="F22" s="4691"/>
      <c r="G22" s="4691"/>
      <c r="H22" s="4691"/>
      <c r="I22" s="4691"/>
      <c r="J22" s="4691"/>
      <c r="K22" s="4691"/>
      <c r="L22" s="4691"/>
      <c r="M22" s="4691"/>
      <c r="N22" s="4691"/>
      <c r="O22" s="4691"/>
      <c r="P22" s="4697"/>
      <c r="Q22" s="4691"/>
      <c r="R22" s="4691"/>
      <c r="S22" s="4693"/>
      <c r="T22" s="4691"/>
      <c r="U22" s="4691"/>
      <c r="V22" s="4691"/>
      <c r="W22" s="4691"/>
      <c r="X22" s="4691"/>
      <c r="Y22" s="4691"/>
      <c r="Z22" s="4691"/>
      <c r="AA22" s="4691"/>
      <c r="AB22" s="4691"/>
      <c r="AC22" s="4702"/>
      <c r="AD22" s="4691"/>
      <c r="AE22" s="4691"/>
      <c r="AF22" s="4691"/>
      <c r="AG22" s="4691"/>
      <c r="AH22" s="4691"/>
      <c r="AI22" s="4691"/>
      <c r="AJ22" s="4691"/>
      <c r="AK22" s="4691"/>
      <c r="AL22" s="4691"/>
      <c r="AM22" s="4691"/>
      <c r="AN22" s="4691"/>
      <c r="AO22" s="4691"/>
      <c r="AP22" s="4691"/>
      <c r="AQ22" s="4691"/>
      <c r="AR22" s="4691"/>
      <c r="AS22" s="4691"/>
      <c r="AT22" s="4691"/>
      <c r="AU22" s="4691"/>
      <c r="AV22" s="4691"/>
      <c r="AW22" s="4691"/>
      <c r="AX22" s="4691"/>
      <c r="AY22" s="4691"/>
      <c r="AZ22" s="4691"/>
      <c r="BA22" s="4691"/>
      <c r="BB22" s="4691"/>
      <c r="BC22" s="4691"/>
      <c r="BD22" s="4691"/>
      <c r="BE22" s="4691"/>
      <c r="BF22" s="4691"/>
      <c r="BG22" s="4691"/>
      <c r="BH22" s="4691"/>
      <c r="BI22" s="4691"/>
      <c r="BJ22" s="4691"/>
      <c r="BK22" s="4691"/>
      <c r="BL22" s="4691"/>
      <c r="BM22" s="4691"/>
      <c r="BN22" s="4691"/>
      <c r="BO22" s="4691"/>
      <c r="BP22" s="4691"/>
      <c r="BQ22" s="4691"/>
      <c r="BR22" s="4691"/>
      <c r="BS22" s="4691"/>
      <c r="BT22" s="4691"/>
      <c r="BU22" s="4691"/>
      <c r="BV22" s="4691"/>
      <c r="BW22" s="4691"/>
      <c r="BX22" s="4691"/>
      <c r="BY22" s="4691"/>
      <c r="BZ22" s="4691"/>
      <c r="CA22" s="4691"/>
      <c r="CB22" s="4691"/>
      <c r="CC22" s="4691"/>
      <c r="CD22" s="4691"/>
      <c r="CE22" s="4691"/>
      <c r="CF22" s="4691"/>
      <c r="CG22" s="4691"/>
      <c r="CH22" s="4691"/>
      <c r="CI22" s="4691"/>
      <c r="CJ22" s="4691"/>
      <c r="CK22" s="4691"/>
      <c r="CL22" s="4691"/>
      <c r="CM22" s="4691"/>
      <c r="CN22" s="4691"/>
      <c r="CO22" s="4691"/>
      <c r="CP22" s="4691"/>
      <c r="CQ22" s="4691"/>
      <c r="CR22" s="4691"/>
      <c r="CS22" s="4691"/>
      <c r="CT22" s="4691"/>
      <c r="CU22" s="4691"/>
      <c r="CV22" s="4691"/>
      <c r="CW22" s="4691"/>
      <c r="CX22" s="4691"/>
      <c r="CY22" s="4699"/>
      <c r="CZ22" s="4699"/>
      <c r="DA22" s="4691"/>
      <c r="DB22" s="4691"/>
      <c r="DC22" s="4691"/>
      <c r="DD22" s="4691"/>
      <c r="DE22" s="4691"/>
      <c r="DF22" s="4691"/>
      <c r="DG22" s="4691"/>
      <c r="DH22" s="4691"/>
      <c r="DI22" s="4696"/>
      <c r="DJ22" s="4691"/>
      <c r="DK22" s="4691"/>
      <c r="DL22" s="4691"/>
      <c r="DM22" s="4691"/>
      <c r="DN22" s="4691"/>
      <c r="DO22" s="4691"/>
      <c r="DP22" s="4691"/>
      <c r="DQ22" s="4691"/>
      <c r="DR22" s="4691"/>
      <c r="DS22" s="4691"/>
      <c r="DT22" s="4691"/>
      <c r="DU22" s="4691"/>
      <c r="DV22" s="4691"/>
      <c r="DW22" s="4691"/>
      <c r="DX22" s="4691"/>
      <c r="DY22" s="4691"/>
      <c r="DZ22" s="4691"/>
      <c r="EA22" s="4691"/>
      <c r="EB22" s="4691"/>
      <c r="EC22" s="4691"/>
      <c r="ED22" s="4691"/>
      <c r="EE22" s="4691"/>
      <c r="EF22" s="4691"/>
      <c r="EG22" s="4691"/>
      <c r="EH22" s="4691"/>
      <c r="EI22" s="4691"/>
      <c r="EJ22" s="4691"/>
      <c r="EK22" s="4691"/>
      <c r="EL22" s="4691"/>
      <c r="EM22" s="4691"/>
      <c r="EN22" s="4691"/>
      <c r="EO22" s="4691"/>
      <c r="EP22" s="4691"/>
      <c r="EQ22" s="4691"/>
      <c r="ER22" s="4691"/>
      <c r="ES22" s="4691"/>
    </row>
    <row r="23" ht="14.25" customHeight="1">
      <c r="A23" s="4691"/>
      <c r="B23" s="4691"/>
      <c r="C23" s="4691"/>
      <c r="D23" s="4691"/>
      <c r="E23" s="4691"/>
      <c r="F23" s="4691"/>
      <c r="G23" s="4691"/>
      <c r="H23" s="4691"/>
      <c r="I23" s="4691"/>
      <c r="J23" s="4691"/>
      <c r="K23" s="4691"/>
      <c r="L23" s="4691"/>
      <c r="M23" s="4691"/>
      <c r="N23" s="4691"/>
      <c r="O23" s="4691"/>
      <c r="P23" s="4697"/>
      <c r="Q23" s="4691"/>
      <c r="R23" s="4691"/>
      <c r="S23" s="4691"/>
      <c r="T23" s="4691"/>
      <c r="U23" s="4691"/>
      <c r="V23" s="4691"/>
      <c r="W23" s="4691"/>
      <c r="X23" s="4691"/>
      <c r="Y23" s="4691"/>
      <c r="Z23" s="4691"/>
      <c r="AA23" s="4691"/>
      <c r="AB23" s="4691"/>
      <c r="AC23" s="4702"/>
      <c r="AD23" s="4691"/>
      <c r="AE23" s="4691"/>
      <c r="AF23" s="4691"/>
      <c r="AG23" s="4691"/>
      <c r="AH23" s="4691"/>
      <c r="AI23" s="4691"/>
      <c r="AJ23" s="4691"/>
      <c r="AK23" s="4691"/>
      <c r="AL23" s="4691"/>
      <c r="AM23" s="4691"/>
      <c r="AN23" s="4691"/>
      <c r="AO23" s="4691"/>
      <c r="AP23" s="4691"/>
      <c r="AQ23" s="4691"/>
      <c r="AR23" s="4691"/>
      <c r="AS23" s="4691"/>
      <c r="AT23" s="4691"/>
      <c r="AU23" s="4691"/>
      <c r="AV23" s="4691"/>
      <c r="AW23" s="4691"/>
      <c r="AX23" s="4691"/>
      <c r="AY23" s="4691"/>
      <c r="AZ23" s="4691"/>
      <c r="BA23" s="4691"/>
      <c r="BB23" s="4691"/>
      <c r="BC23" s="4691"/>
      <c r="BD23" s="4691"/>
      <c r="BE23" s="4691"/>
      <c r="BF23" s="4691"/>
      <c r="BG23" s="4691"/>
      <c r="BH23" s="4691"/>
      <c r="BI23" s="4691"/>
      <c r="BJ23" s="4691"/>
      <c r="BK23" s="4691"/>
      <c r="BL23" s="4691"/>
      <c r="BM23" s="4691"/>
      <c r="BN23" s="4691"/>
      <c r="BO23" s="4691"/>
      <c r="BP23" s="4691"/>
      <c r="BQ23" s="4691"/>
      <c r="BR23" s="4691"/>
      <c r="BS23" s="4691"/>
      <c r="BT23" s="4691"/>
      <c r="BU23" s="4691"/>
      <c r="BV23" s="4691"/>
      <c r="BW23" s="4691"/>
      <c r="BX23" s="4691"/>
      <c r="BY23" s="4691"/>
      <c r="BZ23" s="4691"/>
      <c r="CA23" s="4691"/>
      <c r="CB23" s="4691"/>
      <c r="CC23" s="4691"/>
      <c r="CD23" s="4691"/>
      <c r="CE23" s="4691"/>
      <c r="CF23" s="4691"/>
      <c r="CG23" s="4691"/>
      <c r="CH23" s="4691"/>
      <c r="CI23" s="4691"/>
      <c r="CJ23" s="4691"/>
      <c r="CK23" s="4691"/>
      <c r="CL23" s="4691"/>
      <c r="CM23" s="4691"/>
      <c r="CN23" s="4691"/>
      <c r="CO23" s="4691"/>
      <c r="CP23" s="4691"/>
      <c r="CQ23" s="4691"/>
      <c r="CR23" s="4691"/>
      <c r="CS23" s="4691"/>
      <c r="CT23" s="4691"/>
      <c r="CU23" s="4691"/>
      <c r="CV23" s="4691"/>
      <c r="CW23" s="4691"/>
      <c r="CX23" s="4691"/>
      <c r="CY23" s="4699"/>
      <c r="CZ23" s="4699"/>
      <c r="DA23" s="4691"/>
      <c r="DB23" s="4691"/>
      <c r="DC23" s="4691"/>
      <c r="DD23" s="4691"/>
      <c r="DE23" s="4691"/>
      <c r="DF23" s="4691"/>
      <c r="DG23" s="4691"/>
      <c r="DH23" s="4691"/>
      <c r="DI23" s="4696"/>
      <c r="DJ23" s="4691"/>
      <c r="DK23" s="4691"/>
      <c r="DL23" s="4691"/>
      <c r="DM23" s="4691"/>
      <c r="DN23" s="4691"/>
      <c r="DO23" s="4691"/>
      <c r="DP23" s="4691"/>
      <c r="DQ23" s="4691"/>
      <c r="DR23" s="4691"/>
      <c r="DS23" s="4691"/>
      <c r="DT23" s="4691"/>
      <c r="DU23" s="4691"/>
      <c r="DV23" s="4691"/>
      <c r="DW23" s="4691"/>
      <c r="DX23" s="4691"/>
      <c r="DY23" s="4691"/>
      <c r="DZ23" s="4691"/>
      <c r="EA23" s="4691"/>
      <c r="EB23" s="4691"/>
      <c r="EC23" s="4691"/>
      <c r="ED23" s="4691"/>
      <c r="EE23" s="4691"/>
      <c r="EF23" s="4691"/>
      <c r="EG23" s="4691"/>
      <c r="EH23" s="4691"/>
      <c r="EI23" s="4691"/>
      <c r="EJ23" s="4691"/>
      <c r="EK23" s="4691"/>
      <c r="EL23" s="4691"/>
      <c r="EM23" s="4691"/>
      <c r="EN23" s="4691"/>
      <c r="EO23" s="4691"/>
      <c r="EP23" s="4691"/>
      <c r="EQ23" s="4691"/>
      <c r="ER23" s="4691"/>
      <c r="ES23" s="4691"/>
    </row>
    <row r="24" ht="14.25" customHeight="1">
      <c r="A24" s="4691"/>
      <c r="B24" s="4691"/>
      <c r="C24" s="4691"/>
      <c r="D24" s="4691"/>
      <c r="E24" s="4691"/>
      <c r="F24" s="4691"/>
      <c r="G24" s="4691"/>
      <c r="H24" s="4691"/>
      <c r="I24" s="4691"/>
      <c r="J24" s="4691"/>
      <c r="K24" s="4691"/>
      <c r="L24" s="4691"/>
      <c r="M24" s="4691"/>
      <c r="N24" s="4691"/>
      <c r="O24" s="4691"/>
      <c r="P24" s="4697"/>
      <c r="Q24" s="4691"/>
      <c r="R24" s="4691"/>
      <c r="S24" s="4691"/>
      <c r="T24" s="4691"/>
      <c r="U24" s="4691"/>
      <c r="V24" s="4691"/>
      <c r="W24" s="4691"/>
      <c r="X24" s="4691"/>
      <c r="Y24" s="4691"/>
      <c r="Z24" s="4691"/>
      <c r="AA24" s="4691"/>
      <c r="AB24" s="4691"/>
      <c r="AC24" s="4702"/>
      <c r="AD24" s="4691"/>
      <c r="AE24" s="4691"/>
      <c r="AF24" s="4691"/>
      <c r="AG24" s="4691"/>
      <c r="AH24" s="4691"/>
      <c r="AI24" s="4691"/>
      <c r="AJ24" s="4691"/>
      <c r="AK24" s="4691"/>
      <c r="AL24" s="4691"/>
      <c r="AM24" s="4691"/>
      <c r="AN24" s="4691"/>
      <c r="AO24" s="4691"/>
      <c r="AP24" s="4691"/>
      <c r="AQ24" s="4691"/>
      <c r="AR24" s="4691"/>
      <c r="AS24" s="4691"/>
      <c r="AT24" s="4691"/>
      <c r="AU24" s="4691"/>
      <c r="AV24" s="4691"/>
      <c r="AW24" s="4691"/>
      <c r="AX24" s="4691"/>
      <c r="AY24" s="4691"/>
      <c r="AZ24" s="4691"/>
      <c r="BA24" s="4691"/>
      <c r="BB24" s="4691"/>
      <c r="BC24" s="4691"/>
      <c r="BD24" s="4691"/>
      <c r="BE24" s="4691"/>
      <c r="BF24" s="4691"/>
      <c r="BG24" s="4691"/>
      <c r="BH24" s="4691"/>
      <c r="BI24" s="4691"/>
      <c r="BJ24" s="4691"/>
      <c r="BK24" s="4691"/>
      <c r="BL24" s="4691"/>
      <c r="BM24" s="4691"/>
      <c r="BN24" s="4691"/>
      <c r="BO24" s="4691"/>
      <c r="BP24" s="4691"/>
      <c r="BQ24" s="4691"/>
      <c r="BR24" s="4691"/>
      <c r="BS24" s="4691"/>
      <c r="BT24" s="4691"/>
      <c r="BU24" s="4691"/>
      <c r="BV24" s="4691"/>
      <c r="BW24" s="4691"/>
      <c r="BX24" s="4691"/>
      <c r="BY24" s="4691"/>
      <c r="BZ24" s="4691"/>
      <c r="CA24" s="4691"/>
      <c r="CB24" s="4691"/>
      <c r="CC24" s="4691"/>
      <c r="CD24" s="4691"/>
      <c r="CE24" s="4691"/>
      <c r="CF24" s="4691"/>
      <c r="CG24" s="4691"/>
      <c r="CH24" s="4691"/>
      <c r="CI24" s="4691"/>
      <c r="CJ24" s="4691"/>
      <c r="CK24" s="4691"/>
      <c r="CL24" s="4691"/>
      <c r="CM24" s="4691"/>
      <c r="CN24" s="4691"/>
      <c r="CO24" s="4691"/>
      <c r="CP24" s="4691"/>
      <c r="CQ24" s="4691"/>
      <c r="CR24" s="4691"/>
      <c r="CS24" s="4691"/>
      <c r="CT24" s="4691"/>
      <c r="CU24" s="4691"/>
      <c r="CV24" s="4691"/>
      <c r="CW24" s="4691"/>
      <c r="CX24" s="4691"/>
      <c r="CY24" s="4699"/>
      <c r="CZ24" s="4699"/>
      <c r="DA24" s="4691"/>
      <c r="DB24" s="4691"/>
      <c r="DC24" s="4691"/>
      <c r="DD24" s="4691"/>
      <c r="DE24" s="4691"/>
      <c r="DF24" s="4691"/>
      <c r="DG24" s="4691"/>
      <c r="DH24" s="4691"/>
      <c r="DI24" s="4696"/>
      <c r="DJ24" s="4691"/>
      <c r="DK24" s="4691"/>
      <c r="DL24" s="4691"/>
      <c r="DM24" s="4691"/>
      <c r="DN24" s="4691"/>
      <c r="DO24" s="4691"/>
      <c r="DP24" s="4691"/>
      <c r="DQ24" s="4691"/>
      <c r="DR24" s="4691"/>
      <c r="DS24" s="4691"/>
      <c r="DT24" s="4691"/>
      <c r="DU24" s="4691"/>
      <c r="DV24" s="4691"/>
      <c r="DW24" s="4691"/>
      <c r="DX24" s="4691"/>
      <c r="DY24" s="4691"/>
      <c r="DZ24" s="4691"/>
      <c r="EA24" s="4691"/>
      <c r="EB24" s="4691"/>
      <c r="EC24" s="4691"/>
      <c r="ED24" s="4691"/>
      <c r="EE24" s="4691"/>
      <c r="EF24" s="4691"/>
      <c r="EG24" s="4691"/>
      <c r="EH24" s="4691"/>
      <c r="EI24" s="4691"/>
      <c r="EJ24" s="4691"/>
      <c r="EK24" s="4691"/>
      <c r="EL24" s="4691"/>
      <c r="EM24" s="4691"/>
      <c r="EN24" s="4691"/>
      <c r="EO24" s="4691"/>
      <c r="EP24" s="4691"/>
      <c r="EQ24" s="4691"/>
      <c r="ER24" s="4691"/>
      <c r="ES24" s="4691"/>
    </row>
    <row r="25" ht="14.25" customHeight="1">
      <c r="A25" s="4691"/>
      <c r="B25" s="4691"/>
      <c r="C25" s="4691"/>
      <c r="D25" s="4691"/>
      <c r="E25" s="4691"/>
      <c r="F25" s="4691"/>
      <c r="G25" s="4691"/>
      <c r="H25" s="4691"/>
      <c r="I25" s="4691"/>
      <c r="J25" s="4691"/>
      <c r="K25" s="4691"/>
      <c r="L25" s="4691"/>
      <c r="M25" s="4691"/>
      <c r="N25" s="4691"/>
      <c r="O25" s="4691"/>
      <c r="P25" s="4697"/>
      <c r="Q25" s="4691"/>
      <c r="R25" s="4691"/>
      <c r="S25" s="4691"/>
      <c r="T25" s="4691"/>
      <c r="U25" s="4691"/>
      <c r="V25" s="4691"/>
      <c r="W25" s="4691"/>
      <c r="X25" s="4691"/>
      <c r="Y25" s="4691"/>
      <c r="Z25" s="4691"/>
      <c r="AA25" s="4691"/>
      <c r="AB25" s="4691"/>
      <c r="AC25" s="4702"/>
      <c r="AD25" s="4691"/>
      <c r="AE25" s="4691"/>
      <c r="AF25" s="4691"/>
      <c r="AG25" s="4691"/>
      <c r="AH25" s="4691"/>
      <c r="AI25" s="4691"/>
      <c r="AJ25" s="4691"/>
      <c r="AK25" s="4691"/>
      <c r="AL25" s="4691"/>
      <c r="AM25" s="4691"/>
      <c r="AN25" s="4691"/>
      <c r="AO25" s="4691"/>
      <c r="AP25" s="4691"/>
      <c r="AQ25" s="4691"/>
      <c r="AR25" s="4691"/>
      <c r="AS25" s="4691"/>
      <c r="AT25" s="4691"/>
      <c r="AU25" s="4691"/>
      <c r="AV25" s="4691"/>
      <c r="AW25" s="4691"/>
      <c r="AX25" s="4691"/>
      <c r="AY25" s="4691"/>
      <c r="AZ25" s="4691"/>
      <c r="BA25" s="4691"/>
      <c r="BB25" s="4691"/>
      <c r="BC25" s="4691"/>
      <c r="BD25" s="4691"/>
      <c r="BE25" s="4691"/>
      <c r="BF25" s="4691"/>
      <c r="BG25" s="4691"/>
      <c r="BH25" s="4691"/>
      <c r="BI25" s="4691"/>
      <c r="BJ25" s="4691"/>
      <c r="BK25" s="4691"/>
      <c r="BL25" s="4691"/>
      <c r="BM25" s="4691"/>
      <c r="BN25" s="4691"/>
      <c r="BO25" s="4691"/>
      <c r="BP25" s="4691"/>
      <c r="BQ25" s="4691"/>
      <c r="BR25" s="4691"/>
      <c r="BS25" s="4691"/>
      <c r="BT25" s="4691"/>
      <c r="BU25" s="4691"/>
      <c r="BV25" s="4691"/>
      <c r="BW25" s="4691"/>
      <c r="BX25" s="4691"/>
      <c r="BY25" s="4691"/>
      <c r="BZ25" s="4691"/>
      <c r="CA25" s="4691"/>
      <c r="CB25" s="4691"/>
      <c r="CC25" s="4691"/>
      <c r="CD25" s="4691"/>
      <c r="CE25" s="4691"/>
      <c r="CF25" s="4691"/>
      <c r="CG25" s="4691"/>
      <c r="CH25" s="4691"/>
      <c r="CI25" s="4691"/>
      <c r="CJ25" s="4691"/>
      <c r="CK25" s="4691"/>
      <c r="CL25" s="4691"/>
      <c r="CM25" s="4691"/>
      <c r="CN25" s="4691"/>
      <c r="CO25" s="4691"/>
      <c r="CP25" s="4691"/>
      <c r="CQ25" s="4691"/>
      <c r="CR25" s="4691"/>
      <c r="CS25" s="4691"/>
      <c r="CT25" s="4691"/>
      <c r="CU25" s="4691"/>
      <c r="CV25" s="4691"/>
      <c r="CW25" s="4691"/>
      <c r="CX25" s="4691"/>
      <c r="CY25" s="4699"/>
      <c r="CZ25" s="4699"/>
      <c r="DA25" s="4691"/>
      <c r="DB25" s="4691"/>
      <c r="DC25" s="4691"/>
      <c r="DD25" s="4691"/>
      <c r="DE25" s="4691"/>
      <c r="DF25" s="4691"/>
      <c r="DG25" s="4691"/>
      <c r="DH25" s="4691"/>
      <c r="DI25" s="4696"/>
      <c r="DJ25" s="4691"/>
      <c r="DK25" s="4691"/>
      <c r="DL25" s="4691"/>
      <c r="DM25" s="4691"/>
      <c r="DN25" s="4691"/>
      <c r="DO25" s="4691"/>
      <c r="DP25" s="4691"/>
      <c r="DQ25" s="4691"/>
      <c r="DR25" s="4691"/>
      <c r="DS25" s="4691"/>
      <c r="DT25" s="4691"/>
      <c r="DU25" s="4691"/>
      <c r="DV25" s="4691"/>
      <c r="DW25" s="4691"/>
      <c r="DX25" s="4691"/>
      <c r="DY25" s="4691"/>
      <c r="DZ25" s="4691"/>
      <c r="EA25" s="4691"/>
      <c r="EB25" s="4691"/>
      <c r="EC25" s="4691"/>
      <c r="ED25" s="4691"/>
      <c r="EE25" s="4691"/>
      <c r="EF25" s="4691"/>
      <c r="EG25" s="4691"/>
      <c r="EH25" s="4691"/>
      <c r="EI25" s="4691"/>
      <c r="EJ25" s="4691"/>
      <c r="EK25" s="4691"/>
      <c r="EL25" s="4691"/>
      <c r="EM25" s="4691"/>
      <c r="EN25" s="4691"/>
      <c r="EO25" s="4691"/>
      <c r="EP25" s="4691"/>
      <c r="EQ25" s="4691"/>
      <c r="ER25" s="4691"/>
      <c r="ES25" s="4691"/>
    </row>
    <row r="26" ht="14.25" customHeight="1">
      <c r="A26" s="4691"/>
      <c r="B26" s="4691"/>
      <c r="C26" s="4691"/>
      <c r="D26" s="4691"/>
      <c r="E26" s="4691"/>
      <c r="F26" s="4691"/>
      <c r="G26" s="4691"/>
      <c r="H26" s="4691"/>
      <c r="I26" s="4691"/>
      <c r="J26" s="4691"/>
      <c r="K26" s="4691"/>
      <c r="L26" s="4691"/>
      <c r="M26" s="4691"/>
      <c r="N26" s="4691"/>
      <c r="O26" s="4691"/>
      <c r="P26" s="4697"/>
      <c r="Q26" s="4691"/>
      <c r="R26" s="4691"/>
      <c r="S26" s="4691"/>
      <c r="T26" s="4691"/>
      <c r="U26" s="4691"/>
      <c r="V26" s="4691"/>
      <c r="W26" s="4691"/>
      <c r="X26" s="4691"/>
      <c r="Y26" s="4691"/>
      <c r="Z26" s="4691"/>
      <c r="AA26" s="4691"/>
      <c r="AB26" s="4691"/>
      <c r="AC26" s="4702"/>
      <c r="AD26" s="4691"/>
      <c r="AE26" s="4691"/>
      <c r="AF26" s="4691"/>
      <c r="AG26" s="4691"/>
      <c r="AH26" s="4691"/>
      <c r="AI26" s="4691"/>
      <c r="AJ26" s="4691"/>
      <c r="AK26" s="4691"/>
      <c r="AL26" s="4691"/>
      <c r="AM26" s="4691"/>
      <c r="AN26" s="4691"/>
      <c r="AO26" s="4691"/>
      <c r="AP26" s="4691"/>
      <c r="AQ26" s="4691"/>
      <c r="AR26" s="4691"/>
      <c r="AS26" s="4691"/>
      <c r="AT26" s="4691"/>
      <c r="AU26" s="4691"/>
      <c r="AV26" s="4691"/>
      <c r="AW26" s="4691"/>
      <c r="AX26" s="4691"/>
      <c r="AY26" s="4691"/>
      <c r="AZ26" s="4691"/>
      <c r="BA26" s="4691"/>
      <c r="BB26" s="4691"/>
      <c r="BC26" s="4691"/>
      <c r="BD26" s="4691"/>
      <c r="BE26" s="4691"/>
      <c r="BF26" s="4691"/>
      <c r="BG26" s="4691"/>
      <c r="BH26" s="4691"/>
      <c r="BI26" s="4691"/>
      <c r="BJ26" s="4691"/>
      <c r="BK26" s="4691"/>
      <c r="BL26" s="4691"/>
      <c r="BM26" s="4691"/>
      <c r="BN26" s="4691"/>
      <c r="BO26" s="4691"/>
      <c r="BP26" s="4691"/>
      <c r="BQ26" s="4691"/>
      <c r="BR26" s="4691"/>
      <c r="BS26" s="4691"/>
      <c r="BT26" s="4691"/>
      <c r="BU26" s="4691"/>
      <c r="BV26" s="4691"/>
      <c r="BW26" s="4691"/>
      <c r="BX26" s="4691"/>
      <c r="BY26" s="4691"/>
      <c r="BZ26" s="4691"/>
      <c r="CA26" s="4691"/>
      <c r="CB26" s="4691"/>
      <c r="CC26" s="4691"/>
      <c r="CD26" s="4691"/>
      <c r="CE26" s="4691"/>
      <c r="CF26" s="4691"/>
      <c r="CG26" s="4691"/>
      <c r="CH26" s="4691"/>
      <c r="CI26" s="4691"/>
      <c r="CJ26" s="4691"/>
      <c r="CK26" s="4691"/>
      <c r="CL26" s="4691"/>
      <c r="CM26" s="4691"/>
      <c r="CN26" s="4691"/>
      <c r="CO26" s="4691"/>
      <c r="CP26" s="4691"/>
      <c r="CQ26" s="4691"/>
      <c r="CR26" s="4691"/>
      <c r="CS26" s="4691"/>
      <c r="CT26" s="4691"/>
      <c r="CU26" s="4691"/>
      <c r="CV26" s="4691"/>
      <c r="CW26" s="4691"/>
      <c r="CX26" s="4691"/>
      <c r="CY26" s="4699"/>
      <c r="CZ26" s="4699"/>
      <c r="DA26" s="4691"/>
      <c r="DB26" s="4691"/>
      <c r="DC26" s="4691"/>
      <c r="DD26" s="4691"/>
      <c r="DE26" s="4691"/>
      <c r="DF26" s="4691"/>
      <c r="DG26" s="4691"/>
      <c r="DH26" s="4691"/>
      <c r="DI26" s="4696"/>
      <c r="DJ26" s="4691"/>
      <c r="DK26" s="4691"/>
      <c r="DL26" s="4691"/>
      <c r="DM26" s="4691"/>
      <c r="DN26" s="4691"/>
      <c r="DO26" s="4691"/>
      <c r="DP26" s="4691"/>
      <c r="DQ26" s="4691"/>
      <c r="DR26" s="4691"/>
      <c r="DS26" s="4691"/>
      <c r="DT26" s="4691"/>
      <c r="DU26" s="4691"/>
      <c r="DV26" s="4691"/>
      <c r="DW26" s="4691"/>
      <c r="DX26" s="4691"/>
      <c r="DY26" s="4691"/>
      <c r="DZ26" s="4691"/>
      <c r="EA26" s="4691"/>
      <c r="EB26" s="4691"/>
      <c r="EC26" s="4691"/>
      <c r="ED26" s="4691"/>
      <c r="EE26" s="4691"/>
      <c r="EF26" s="4691"/>
      <c r="EG26" s="4691"/>
      <c r="EH26" s="4691"/>
      <c r="EI26" s="4691"/>
      <c r="EJ26" s="4691"/>
      <c r="EK26" s="4691"/>
      <c r="EL26" s="4691"/>
      <c r="EM26" s="4691"/>
      <c r="EN26" s="4691"/>
      <c r="EO26" s="4691"/>
      <c r="EP26" s="4691"/>
      <c r="EQ26" s="4691"/>
      <c r="ER26" s="4691"/>
      <c r="ES26" s="4691"/>
    </row>
    <row r="27" ht="14.25" customHeight="1">
      <c r="A27" s="4691"/>
      <c r="B27" s="4691"/>
      <c r="C27" s="4691"/>
      <c r="D27" s="4691"/>
      <c r="E27" s="4691"/>
      <c r="F27" s="4691"/>
      <c r="G27" s="4691"/>
      <c r="H27" s="4691"/>
      <c r="I27" s="4691"/>
      <c r="J27" s="4691"/>
      <c r="K27" s="4691"/>
      <c r="L27" s="4691"/>
      <c r="M27" s="4691"/>
      <c r="N27" s="4691"/>
      <c r="O27" s="4691"/>
      <c r="P27" s="4697"/>
      <c r="Q27" s="4691"/>
      <c r="R27" s="4691"/>
      <c r="S27" s="4691"/>
      <c r="T27" s="4691"/>
      <c r="U27" s="4691"/>
      <c r="V27" s="4691"/>
      <c r="W27" s="4691"/>
      <c r="X27" s="4691"/>
      <c r="Y27" s="4691"/>
      <c r="Z27" s="4691"/>
      <c r="AA27" s="4691"/>
      <c r="AB27" s="4691"/>
      <c r="AC27" s="4702"/>
      <c r="AD27" s="4691"/>
      <c r="AE27" s="4691"/>
      <c r="AF27" s="4691"/>
      <c r="AG27" s="4691"/>
      <c r="AH27" s="4691"/>
      <c r="AI27" s="4691"/>
      <c r="AJ27" s="4691"/>
      <c r="AK27" s="4691"/>
      <c r="AL27" s="4691"/>
      <c r="AM27" s="4691"/>
      <c r="AN27" s="4691"/>
      <c r="AO27" s="4691"/>
      <c r="AP27" s="4691"/>
      <c r="AQ27" s="4691"/>
      <c r="AR27" s="4691"/>
      <c r="AS27" s="4691"/>
      <c r="AT27" s="4691"/>
      <c r="AU27" s="4691"/>
      <c r="AV27" s="4691"/>
      <c r="AW27" s="4691"/>
      <c r="AX27" s="4691"/>
      <c r="AY27" s="4691"/>
      <c r="AZ27" s="4691"/>
      <c r="BA27" s="4691"/>
      <c r="BB27" s="4691"/>
      <c r="BC27" s="4691"/>
      <c r="BD27" s="4691"/>
      <c r="BE27" s="4691"/>
      <c r="BF27" s="4691"/>
      <c r="BG27" s="4691"/>
      <c r="BH27" s="4691"/>
      <c r="BI27" s="4691"/>
      <c r="BJ27" s="4691"/>
      <c r="BK27" s="4691"/>
      <c r="BL27" s="4691"/>
      <c r="BM27" s="4691"/>
      <c r="BN27" s="4691"/>
      <c r="BO27" s="4691"/>
      <c r="BP27" s="4691"/>
      <c r="BQ27" s="4691"/>
      <c r="BR27" s="4691"/>
      <c r="BS27" s="4691"/>
      <c r="BT27" s="4691"/>
      <c r="BU27" s="4691"/>
      <c r="BV27" s="4691"/>
      <c r="BW27" s="4691"/>
      <c r="BX27" s="4691"/>
      <c r="BY27" s="4691"/>
      <c r="BZ27" s="4691"/>
      <c r="CA27" s="4691"/>
      <c r="CB27" s="4691"/>
      <c r="CC27" s="4691"/>
      <c r="CD27" s="4691"/>
      <c r="CE27" s="4691"/>
      <c r="CF27" s="4691"/>
      <c r="CG27" s="4691"/>
      <c r="CH27" s="4691"/>
      <c r="CI27" s="4691"/>
      <c r="CJ27" s="4691"/>
      <c r="CK27" s="4691"/>
      <c r="CL27" s="4691"/>
      <c r="CM27" s="4691"/>
      <c r="CN27" s="4691"/>
      <c r="CO27" s="4691"/>
      <c r="CP27" s="4691"/>
      <c r="CQ27" s="4691"/>
      <c r="CR27" s="4691"/>
      <c r="CS27" s="4691"/>
      <c r="CT27" s="4691"/>
      <c r="CU27" s="4691"/>
      <c r="CV27" s="4691"/>
      <c r="CW27" s="4691"/>
      <c r="CX27" s="4691"/>
      <c r="CY27" s="4699"/>
      <c r="CZ27" s="4699"/>
      <c r="DA27" s="4691"/>
      <c r="DB27" s="4691"/>
      <c r="DC27" s="4691"/>
      <c r="DD27" s="4691"/>
      <c r="DE27" s="4691"/>
      <c r="DF27" s="4691"/>
      <c r="DG27" s="4691"/>
      <c r="DH27" s="4691"/>
      <c r="DI27" s="4691"/>
      <c r="DJ27" s="4691"/>
      <c r="DK27" s="4691"/>
      <c r="DL27" s="4691"/>
      <c r="DM27" s="4691"/>
      <c r="DN27" s="4691"/>
      <c r="DO27" s="4691"/>
      <c r="DP27" s="4691"/>
      <c r="DQ27" s="4691"/>
      <c r="DR27" s="4691"/>
      <c r="DS27" s="4691"/>
      <c r="DT27" s="4691"/>
      <c r="DU27" s="4691"/>
      <c r="DV27" s="4691"/>
      <c r="DW27" s="4691"/>
      <c r="DX27" s="4691"/>
      <c r="DY27" s="4691"/>
      <c r="DZ27" s="4691"/>
      <c r="EA27" s="4691"/>
      <c r="EB27" s="4691"/>
      <c r="EC27" s="4691"/>
      <c r="ED27" s="4691"/>
      <c r="EE27" s="4691"/>
      <c r="EF27" s="4691"/>
      <c r="EG27" s="4691"/>
      <c r="EH27" s="4691"/>
      <c r="EI27" s="4691"/>
      <c r="EJ27" s="4691"/>
      <c r="EK27" s="4691"/>
      <c r="EL27" s="4691"/>
      <c r="EM27" s="4691"/>
      <c r="EN27" s="4691"/>
      <c r="EO27" s="4691"/>
      <c r="EP27" s="4691"/>
      <c r="EQ27" s="4691"/>
      <c r="ER27" s="4691"/>
      <c r="ES27" s="4691"/>
    </row>
    <row r="28" ht="14.25" customHeight="1">
      <c r="A28" s="4691"/>
      <c r="B28" s="4691"/>
      <c r="C28" s="4691"/>
      <c r="D28" s="4691"/>
      <c r="E28" s="4691"/>
      <c r="F28" s="4691"/>
      <c r="G28" s="4691"/>
      <c r="H28" s="4691"/>
      <c r="I28" s="4691"/>
      <c r="J28" s="4691"/>
      <c r="K28" s="4691"/>
      <c r="L28" s="4691"/>
      <c r="M28" s="4691"/>
      <c r="N28" s="4691"/>
      <c r="O28" s="4691"/>
      <c r="P28" s="4697"/>
      <c r="Q28" s="4691"/>
      <c r="R28" s="4691"/>
      <c r="S28" s="4691"/>
      <c r="T28" s="4691"/>
      <c r="U28" s="4691"/>
      <c r="V28" s="4691"/>
      <c r="W28" s="4691"/>
      <c r="X28" s="4691"/>
      <c r="Y28" s="4691"/>
      <c r="Z28" s="4691"/>
      <c r="AA28" s="4691"/>
      <c r="AB28" s="4691"/>
      <c r="AC28" s="4702"/>
      <c r="AD28" s="4691"/>
      <c r="AE28" s="4691"/>
      <c r="AF28" s="4691"/>
      <c r="AG28" s="4691"/>
      <c r="AH28" s="4691"/>
      <c r="AI28" s="4691"/>
      <c r="AJ28" s="4691"/>
      <c r="AK28" s="4691"/>
      <c r="AL28" s="4691"/>
      <c r="AM28" s="4691"/>
      <c r="AN28" s="4691"/>
      <c r="AO28" s="4691"/>
      <c r="AP28" s="4691"/>
      <c r="AQ28" s="4691"/>
      <c r="AR28" s="4691"/>
      <c r="AS28" s="4691"/>
      <c r="AT28" s="4691"/>
      <c r="AU28" s="4691"/>
      <c r="AV28" s="4691"/>
      <c r="AW28" s="4691"/>
      <c r="AX28" s="4691"/>
      <c r="AY28" s="4691"/>
      <c r="AZ28" s="4691"/>
      <c r="BA28" s="4691"/>
      <c r="BB28" s="4691"/>
      <c r="BC28" s="4691"/>
      <c r="BD28" s="4691"/>
      <c r="BE28" s="4691"/>
      <c r="BF28" s="4691"/>
      <c r="BG28" s="4691"/>
      <c r="BH28" s="4691"/>
      <c r="BI28" s="4691"/>
      <c r="BJ28" s="4691"/>
      <c r="BK28" s="4691"/>
      <c r="BL28" s="4691"/>
      <c r="BM28" s="4691"/>
      <c r="BN28" s="4691"/>
      <c r="BO28" s="4691"/>
      <c r="BP28" s="4691"/>
      <c r="BQ28" s="4691"/>
      <c r="BR28" s="4691"/>
      <c r="BS28" s="4691"/>
      <c r="BT28" s="4691"/>
      <c r="BU28" s="4691"/>
      <c r="BV28" s="4691"/>
      <c r="BW28" s="4691"/>
      <c r="BX28" s="4691"/>
      <c r="BY28" s="4691"/>
      <c r="BZ28" s="4691"/>
      <c r="CA28" s="4691"/>
      <c r="CB28" s="4691"/>
      <c r="CC28" s="4691"/>
      <c r="CD28" s="4691"/>
      <c r="CE28" s="4691"/>
      <c r="CF28" s="4691"/>
      <c r="CG28" s="4691"/>
      <c r="CH28" s="4691"/>
      <c r="CI28" s="4691"/>
      <c r="CJ28" s="4691"/>
      <c r="CK28" s="4691"/>
      <c r="CL28" s="4691"/>
      <c r="CM28" s="4691"/>
      <c r="CN28" s="4691"/>
      <c r="CO28" s="4691"/>
      <c r="CP28" s="4691"/>
      <c r="CQ28" s="4691"/>
      <c r="CR28" s="4691"/>
      <c r="CS28" s="4691"/>
      <c r="CT28" s="4691"/>
      <c r="CU28" s="4691"/>
      <c r="CV28" s="4691"/>
      <c r="CW28" s="4691"/>
      <c r="CX28" s="4691"/>
      <c r="CY28" s="4699"/>
      <c r="CZ28" s="4699"/>
      <c r="DA28" s="4691"/>
      <c r="DB28" s="4691"/>
      <c r="DC28" s="4691"/>
      <c r="DD28" s="4691"/>
      <c r="DE28" s="4691"/>
      <c r="DF28" s="4691"/>
      <c r="DG28" s="4691"/>
      <c r="DH28" s="4691"/>
      <c r="DI28" s="4691"/>
      <c r="DJ28" s="4691"/>
      <c r="DK28" s="4691"/>
      <c r="DL28" s="4691"/>
      <c r="DM28" s="4691"/>
      <c r="DN28" s="4691"/>
      <c r="DO28" s="4691"/>
      <c r="DP28" s="4691"/>
      <c r="DQ28" s="4691"/>
      <c r="DR28" s="4691"/>
      <c r="DS28" s="4691"/>
      <c r="DT28" s="4691"/>
      <c r="DU28" s="4691"/>
      <c r="DV28" s="4691"/>
      <c r="DW28" s="4691"/>
      <c r="DX28" s="4691"/>
      <c r="DY28" s="4691"/>
      <c r="DZ28" s="4691"/>
      <c r="EA28" s="4691"/>
      <c r="EB28" s="4691"/>
      <c r="EC28" s="4691"/>
      <c r="ED28" s="4691"/>
      <c r="EE28" s="4691"/>
      <c r="EF28" s="4691"/>
      <c r="EG28" s="4691"/>
      <c r="EH28" s="4691"/>
      <c r="EI28" s="4691"/>
      <c r="EJ28" s="4691"/>
      <c r="EK28" s="4691"/>
      <c r="EL28" s="4691"/>
      <c r="EM28" s="4691"/>
      <c r="EN28" s="4691"/>
      <c r="EO28" s="4691"/>
      <c r="EP28" s="4691"/>
      <c r="EQ28" s="4691"/>
      <c r="ER28" s="4691"/>
      <c r="ES28" s="4691"/>
    </row>
    <row r="29" ht="14.25" customHeight="1">
      <c r="A29" s="4691"/>
      <c r="B29" s="4691"/>
      <c r="C29" s="4691"/>
      <c r="D29" s="4691"/>
      <c r="E29" s="4691"/>
      <c r="F29" s="4691"/>
      <c r="G29" s="4691"/>
      <c r="H29" s="4691"/>
      <c r="I29" s="4691"/>
      <c r="J29" s="4691"/>
      <c r="K29" s="4691"/>
      <c r="L29" s="4691"/>
      <c r="M29" s="4691"/>
      <c r="N29" s="4691"/>
      <c r="O29" s="4691"/>
      <c r="P29" s="4697"/>
      <c r="Q29" s="4691"/>
      <c r="R29" s="4691"/>
      <c r="S29" s="4691"/>
      <c r="T29" s="4691"/>
      <c r="U29" s="4691"/>
      <c r="V29" s="4691"/>
      <c r="W29" s="4691"/>
      <c r="X29" s="4691"/>
      <c r="Y29" s="4691"/>
      <c r="Z29" s="4691"/>
      <c r="AA29" s="4691"/>
      <c r="AB29" s="4691"/>
      <c r="AC29" s="4702"/>
      <c r="AD29" s="4691"/>
      <c r="AE29" s="4691"/>
      <c r="AF29" s="4691"/>
      <c r="AG29" s="4691"/>
      <c r="AH29" s="4691"/>
      <c r="AI29" s="4691"/>
      <c r="AJ29" s="4691"/>
      <c r="AK29" s="4691"/>
      <c r="AL29" s="4691"/>
      <c r="AM29" s="4691"/>
      <c r="AN29" s="4691"/>
      <c r="AO29" s="4691"/>
      <c r="AP29" s="4691"/>
      <c r="AQ29" s="4691"/>
      <c r="AR29" s="4691"/>
      <c r="AS29" s="4691"/>
      <c r="AT29" s="4691"/>
      <c r="AU29" s="4691"/>
      <c r="AV29" s="4691"/>
      <c r="AW29" s="4691"/>
      <c r="AX29" s="4691"/>
      <c r="AY29" s="4691"/>
      <c r="AZ29" s="4691"/>
      <c r="BA29" s="4691"/>
      <c r="BB29" s="4691"/>
      <c r="BC29" s="4691"/>
      <c r="BD29" s="4691"/>
      <c r="BE29" s="4691"/>
      <c r="BF29" s="4691"/>
      <c r="BG29" s="4691"/>
      <c r="BH29" s="4691"/>
      <c r="BI29" s="4691"/>
      <c r="BJ29" s="4691"/>
      <c r="BK29" s="4691"/>
      <c r="BL29" s="4691"/>
      <c r="BM29" s="4691"/>
      <c r="BN29" s="4691"/>
      <c r="BO29" s="4691"/>
      <c r="BP29" s="4691"/>
      <c r="BQ29" s="4691"/>
      <c r="BR29" s="4691"/>
      <c r="BS29" s="4691"/>
      <c r="BT29" s="4691"/>
      <c r="BU29" s="4691"/>
      <c r="BV29" s="4691"/>
      <c r="BW29" s="4691"/>
      <c r="BX29" s="4691"/>
      <c r="BY29" s="4691"/>
      <c r="BZ29" s="4691"/>
      <c r="CA29" s="4691"/>
      <c r="CB29" s="4691"/>
      <c r="CC29" s="4691"/>
      <c r="CD29" s="4691"/>
      <c r="CE29" s="4691"/>
      <c r="CF29" s="4691"/>
      <c r="CG29" s="4691"/>
      <c r="CH29" s="4691"/>
      <c r="CI29" s="4691"/>
      <c r="CJ29" s="4691"/>
      <c r="CK29" s="4691"/>
      <c r="CL29" s="4691"/>
      <c r="CM29" s="4691"/>
      <c r="CN29" s="4691"/>
      <c r="CO29" s="4691"/>
      <c r="CP29" s="4691"/>
      <c r="CQ29" s="4691"/>
      <c r="CR29" s="4691"/>
      <c r="CS29" s="4691"/>
      <c r="CT29" s="4691"/>
      <c r="CU29" s="4691"/>
      <c r="CV29" s="4691"/>
      <c r="CW29" s="4691"/>
      <c r="CX29" s="4691"/>
      <c r="CY29" s="4699"/>
      <c r="CZ29" s="4699"/>
      <c r="DA29" s="4691"/>
      <c r="DB29" s="4691"/>
      <c r="DC29" s="4691"/>
      <c r="DD29" s="4691"/>
      <c r="DE29" s="4691"/>
      <c r="DF29" s="4691"/>
      <c r="DG29" s="4691"/>
      <c r="DH29" s="4691"/>
      <c r="DI29" s="4691"/>
      <c r="DJ29" s="4691"/>
      <c r="DK29" s="4691"/>
      <c r="DL29" s="4691"/>
      <c r="DM29" s="4691"/>
      <c r="DN29" s="4691"/>
      <c r="DO29" s="4691"/>
      <c r="DP29" s="4691"/>
      <c r="DQ29" s="4691"/>
      <c r="DR29" s="4691"/>
      <c r="DS29" s="4691"/>
      <c r="DT29" s="4691"/>
      <c r="DU29" s="4691"/>
      <c r="DV29" s="4691"/>
      <c r="DW29" s="4691"/>
      <c r="DX29" s="4691"/>
      <c r="DY29" s="4691"/>
      <c r="DZ29" s="4691"/>
      <c r="EA29" s="4691"/>
      <c r="EB29" s="4691"/>
      <c r="EC29" s="4691"/>
      <c r="ED29" s="4691"/>
      <c r="EE29" s="4691"/>
      <c r="EF29" s="4691"/>
      <c r="EG29" s="4691"/>
      <c r="EH29" s="4691"/>
      <c r="EI29" s="4691"/>
      <c r="EJ29" s="4691"/>
      <c r="EK29" s="4691"/>
      <c r="EL29" s="4691"/>
      <c r="EM29" s="4691"/>
      <c r="EN29" s="4691"/>
      <c r="EO29" s="4691"/>
      <c r="EP29" s="4691"/>
      <c r="EQ29" s="4691"/>
      <c r="ER29" s="4691"/>
      <c r="ES29" s="4691"/>
    </row>
    <row r="30" ht="14.25" customHeight="1">
      <c r="A30" s="4691"/>
      <c r="B30" s="4691"/>
      <c r="C30" s="4691"/>
      <c r="D30" s="4691"/>
      <c r="E30" s="4691"/>
      <c r="F30" s="4691"/>
      <c r="G30" s="4691"/>
      <c r="H30" s="4691"/>
      <c r="I30" s="4691"/>
      <c r="J30" s="4691"/>
      <c r="K30" s="4691"/>
      <c r="L30" s="4691"/>
      <c r="M30" s="4691"/>
      <c r="N30" s="4691"/>
      <c r="O30" s="4691"/>
      <c r="P30" s="4697"/>
      <c r="Q30" s="4691"/>
      <c r="R30" s="4691"/>
      <c r="S30" s="4691"/>
      <c r="T30" s="4691"/>
      <c r="U30" s="4691"/>
      <c r="V30" s="4691"/>
      <c r="W30" s="4691"/>
      <c r="X30" s="4691"/>
      <c r="Y30" s="4691"/>
      <c r="Z30" s="4691"/>
      <c r="AA30" s="4691"/>
      <c r="AB30" s="4691"/>
      <c r="AC30" s="4702"/>
      <c r="AD30" s="4691"/>
      <c r="AE30" s="4691"/>
      <c r="AF30" s="4691"/>
      <c r="AG30" s="4691"/>
      <c r="AH30" s="4691"/>
      <c r="AI30" s="4691"/>
      <c r="AJ30" s="4691"/>
      <c r="AK30" s="4691"/>
      <c r="AL30" s="4691"/>
      <c r="AM30" s="4691"/>
      <c r="AN30" s="4691"/>
      <c r="AO30" s="4691"/>
      <c r="AP30" s="4691"/>
      <c r="AQ30" s="4691"/>
      <c r="AR30" s="4691"/>
      <c r="AS30" s="4691"/>
      <c r="AT30" s="4691"/>
      <c r="AU30" s="4691"/>
      <c r="AV30" s="4691"/>
      <c r="AW30" s="4691"/>
      <c r="AX30" s="4691"/>
      <c r="AY30" s="4691"/>
      <c r="AZ30" s="4691"/>
      <c r="BA30" s="4691"/>
      <c r="BB30" s="4691"/>
      <c r="BC30" s="4691"/>
      <c r="BD30" s="4691"/>
      <c r="BE30" s="4691"/>
      <c r="BF30" s="4691"/>
      <c r="BG30" s="4691"/>
      <c r="BH30" s="4691"/>
      <c r="BI30" s="4691"/>
      <c r="BJ30" s="4691"/>
      <c r="BK30" s="4691"/>
      <c r="BL30" s="4691"/>
      <c r="BM30" s="4691"/>
      <c r="BN30" s="4691"/>
      <c r="BO30" s="4691"/>
      <c r="BP30" s="4691"/>
      <c r="BQ30" s="4691"/>
      <c r="BR30" s="4691"/>
      <c r="BS30" s="4691"/>
      <c r="BT30" s="4691"/>
      <c r="BU30" s="4691"/>
      <c r="BV30" s="4691"/>
      <c r="BW30" s="4691"/>
      <c r="BX30" s="4691"/>
      <c r="BY30" s="4691"/>
      <c r="BZ30" s="4691"/>
      <c r="CA30" s="4691"/>
      <c r="CB30" s="4691"/>
      <c r="CC30" s="4691"/>
      <c r="CD30" s="4691"/>
      <c r="CE30" s="4691"/>
      <c r="CF30" s="4691"/>
      <c r="CG30" s="4691"/>
      <c r="CH30" s="4691"/>
      <c r="CI30" s="4691"/>
      <c r="CJ30" s="4691"/>
      <c r="CK30" s="4691"/>
      <c r="CL30" s="4691"/>
      <c r="CM30" s="4691"/>
      <c r="CN30" s="4691"/>
      <c r="CO30" s="4691"/>
      <c r="CP30" s="4691"/>
      <c r="CQ30" s="4691"/>
      <c r="CR30" s="4691"/>
      <c r="CS30" s="4691"/>
      <c r="CT30" s="4691"/>
      <c r="CU30" s="4691"/>
      <c r="CV30" s="4691"/>
      <c r="CW30" s="4691"/>
      <c r="CX30" s="4691"/>
      <c r="CY30" s="4699"/>
      <c r="CZ30" s="4699"/>
      <c r="DA30" s="4691"/>
      <c r="DB30" s="4691"/>
      <c r="DC30" s="4691"/>
      <c r="DD30" s="4691"/>
      <c r="DE30" s="4691"/>
      <c r="DF30" s="4691"/>
      <c r="DG30" s="4691"/>
      <c r="DH30" s="4691"/>
      <c r="DI30" s="4691"/>
      <c r="DJ30" s="4691"/>
      <c r="DK30" s="4691"/>
      <c r="DL30" s="4691"/>
      <c r="DM30" s="4691"/>
      <c r="DN30" s="4691"/>
      <c r="DO30" s="4691"/>
      <c r="DP30" s="4691"/>
      <c r="DQ30" s="4691"/>
      <c r="DR30" s="4691"/>
      <c r="DS30" s="4691"/>
      <c r="DT30" s="4691"/>
      <c r="DU30" s="4691"/>
      <c r="DV30" s="4691"/>
      <c r="DW30" s="4691"/>
      <c r="DX30" s="4691"/>
      <c r="DY30" s="4691"/>
      <c r="DZ30" s="4691"/>
      <c r="EA30" s="4691"/>
      <c r="EB30" s="4691"/>
      <c r="EC30" s="4691"/>
      <c r="ED30" s="4691"/>
      <c r="EE30" s="4691"/>
      <c r="EF30" s="4691"/>
      <c r="EG30" s="4691"/>
      <c r="EH30" s="4691"/>
      <c r="EI30" s="4691"/>
      <c r="EJ30" s="4691"/>
      <c r="EK30" s="4691"/>
      <c r="EL30" s="4691"/>
      <c r="EM30" s="4691"/>
      <c r="EN30" s="4691"/>
      <c r="EO30" s="4691"/>
      <c r="EP30" s="4691"/>
      <c r="EQ30" s="4691"/>
      <c r="ER30" s="4691"/>
      <c r="ES30" s="4691"/>
    </row>
    <row r="31" ht="14.25" customHeight="1">
      <c r="A31" s="4691"/>
      <c r="B31" s="4691"/>
      <c r="C31" s="4691"/>
      <c r="D31" s="4691"/>
      <c r="E31" s="4691"/>
      <c r="F31" s="4691"/>
      <c r="G31" s="4691"/>
      <c r="H31" s="4691"/>
      <c r="I31" s="4691"/>
      <c r="J31" s="4691"/>
      <c r="K31" s="4691"/>
      <c r="L31" s="4691"/>
      <c r="M31" s="4691"/>
      <c r="N31" s="4691"/>
      <c r="O31" s="4691"/>
      <c r="P31" s="4697"/>
      <c r="Q31" s="4691"/>
      <c r="R31" s="4691"/>
      <c r="S31" s="4691"/>
      <c r="T31" s="4691"/>
      <c r="U31" s="4691"/>
      <c r="V31" s="4691"/>
      <c r="W31" s="4691"/>
      <c r="X31" s="4691"/>
      <c r="Y31" s="4691"/>
      <c r="Z31" s="4691"/>
      <c r="AA31" s="4691"/>
      <c r="AB31" s="4691"/>
      <c r="AC31" s="4702"/>
      <c r="AD31" s="4691"/>
      <c r="AE31" s="4691"/>
      <c r="AF31" s="4691"/>
      <c r="AG31" s="4691"/>
      <c r="AH31" s="4691"/>
      <c r="AI31" s="4691"/>
      <c r="AJ31" s="4691"/>
      <c r="AK31" s="4691"/>
      <c r="AL31" s="4691"/>
      <c r="AM31" s="4691"/>
      <c r="AN31" s="4691"/>
      <c r="AO31" s="4691"/>
      <c r="AP31" s="4691"/>
      <c r="AQ31" s="4691"/>
      <c r="AR31" s="4691"/>
      <c r="AS31" s="4691"/>
      <c r="AT31" s="4691"/>
      <c r="AU31" s="4691"/>
      <c r="AV31" s="4691"/>
      <c r="AW31" s="4691"/>
      <c r="AX31" s="4691"/>
      <c r="AY31" s="4691"/>
      <c r="AZ31" s="4691"/>
      <c r="BA31" s="4691"/>
      <c r="BB31" s="4691"/>
      <c r="BC31" s="4691"/>
      <c r="BD31" s="4691"/>
      <c r="BE31" s="4691"/>
      <c r="BF31" s="4691"/>
      <c r="BG31" s="4691"/>
      <c r="BH31" s="4691"/>
      <c r="BI31" s="4691"/>
      <c r="BJ31" s="4691"/>
      <c r="BK31" s="4691"/>
      <c r="BL31" s="4691"/>
      <c r="BM31" s="4691"/>
      <c r="BN31" s="4691"/>
      <c r="BO31" s="4691"/>
      <c r="BP31" s="4691"/>
      <c r="BQ31" s="4691"/>
      <c r="BR31" s="4691"/>
      <c r="BS31" s="4691"/>
      <c r="BT31" s="4691"/>
      <c r="BU31" s="4691"/>
      <c r="BV31" s="4691"/>
      <c r="BW31" s="4691"/>
      <c r="BX31" s="4691"/>
      <c r="BY31" s="4691"/>
      <c r="BZ31" s="4691"/>
      <c r="CA31" s="4691"/>
      <c r="CB31" s="4691"/>
      <c r="CC31" s="4691"/>
      <c r="CD31" s="4691"/>
      <c r="CE31" s="4691"/>
      <c r="CF31" s="4691"/>
      <c r="CG31" s="4691"/>
      <c r="CH31" s="4691"/>
      <c r="CI31" s="4691"/>
      <c r="CJ31" s="4691"/>
      <c r="CK31" s="4691"/>
      <c r="CL31" s="4691"/>
      <c r="CM31" s="4691"/>
      <c r="CN31" s="4691"/>
      <c r="CO31" s="4691"/>
      <c r="CP31" s="4691"/>
      <c r="CQ31" s="4691"/>
      <c r="CR31" s="4691"/>
      <c r="CS31" s="4691"/>
      <c r="CT31" s="4691"/>
      <c r="CU31" s="4691"/>
      <c r="CV31" s="4691"/>
      <c r="CW31" s="4691"/>
      <c r="CX31" s="4691"/>
      <c r="CY31" s="4699"/>
      <c r="CZ31" s="4699"/>
      <c r="DA31" s="4691"/>
      <c r="DB31" s="4691"/>
      <c r="DC31" s="4691"/>
      <c r="DD31" s="4691"/>
      <c r="DE31" s="4691"/>
      <c r="DF31" s="4691"/>
      <c r="DG31" s="4691"/>
      <c r="DH31" s="4691"/>
      <c r="DI31" s="4691"/>
      <c r="DJ31" s="4691"/>
      <c r="DK31" s="4691"/>
      <c r="DL31" s="4691"/>
      <c r="DM31" s="4691"/>
      <c r="DN31" s="4691"/>
      <c r="DO31" s="4691"/>
      <c r="DP31" s="4691"/>
      <c r="DQ31" s="4691"/>
      <c r="DR31" s="4691"/>
      <c r="DS31" s="4691"/>
      <c r="DT31" s="4691"/>
      <c r="DU31" s="4691"/>
      <c r="DV31" s="4691"/>
      <c r="DW31" s="4691"/>
      <c r="DX31" s="4691"/>
      <c r="DY31" s="4691"/>
      <c r="DZ31" s="4691"/>
      <c r="EA31" s="4691"/>
      <c r="EB31" s="4691"/>
      <c r="EC31" s="4691"/>
      <c r="ED31" s="4691"/>
      <c r="EE31" s="4691"/>
      <c r="EF31" s="4691"/>
      <c r="EG31" s="4691"/>
      <c r="EH31" s="4691"/>
      <c r="EI31" s="4691"/>
      <c r="EJ31" s="4691"/>
      <c r="EK31" s="4691"/>
      <c r="EL31" s="4691"/>
      <c r="EM31" s="4691"/>
      <c r="EN31" s="4691"/>
      <c r="EO31" s="4691"/>
      <c r="EP31" s="4691"/>
      <c r="EQ31" s="4691"/>
      <c r="ER31" s="4691"/>
      <c r="ES31" s="4691"/>
    </row>
    <row r="32" ht="14.25" customHeight="1">
      <c r="A32" s="4691"/>
      <c r="B32" s="4691"/>
      <c r="C32" s="4691"/>
      <c r="D32" s="4691"/>
      <c r="E32" s="4691"/>
      <c r="F32" s="4691"/>
      <c r="G32" s="4691"/>
      <c r="H32" s="4691"/>
      <c r="I32" s="4691"/>
      <c r="J32" s="4691"/>
      <c r="K32" s="4691"/>
      <c r="L32" s="4691"/>
      <c r="M32" s="4691"/>
      <c r="N32" s="4691"/>
      <c r="O32" s="4691"/>
      <c r="P32" s="4697"/>
      <c r="Q32" s="4691"/>
      <c r="R32" s="4691"/>
      <c r="S32" s="4691"/>
      <c r="T32" s="4691"/>
      <c r="U32" s="4691"/>
      <c r="V32" s="4691"/>
      <c r="W32" s="4691"/>
      <c r="X32" s="4691"/>
      <c r="Y32" s="4691"/>
      <c r="Z32" s="4691"/>
      <c r="AA32" s="4691"/>
      <c r="AB32" s="4691"/>
      <c r="AC32" s="4702"/>
      <c r="AD32" s="4691"/>
      <c r="AE32" s="4691"/>
      <c r="AF32" s="4691"/>
      <c r="AG32" s="4691"/>
      <c r="AH32" s="4691"/>
      <c r="AI32" s="4691"/>
      <c r="AJ32" s="4691"/>
      <c r="AK32" s="4691"/>
      <c r="AL32" s="4691"/>
      <c r="AM32" s="4691"/>
      <c r="AN32" s="4691"/>
      <c r="AO32" s="4691"/>
      <c r="AP32" s="4691"/>
      <c r="AQ32" s="4691"/>
      <c r="AR32" s="4691"/>
      <c r="AS32" s="4691"/>
      <c r="AT32" s="4691"/>
      <c r="AU32" s="4691"/>
      <c r="AV32" s="4691"/>
      <c r="AW32" s="4691"/>
      <c r="AX32" s="4691"/>
      <c r="AY32" s="4691"/>
      <c r="AZ32" s="4691"/>
      <c r="BA32" s="4691"/>
      <c r="BB32" s="4691"/>
      <c r="BC32" s="4691"/>
      <c r="BD32" s="4691"/>
      <c r="BE32" s="4691"/>
      <c r="BF32" s="4691"/>
      <c r="BG32" s="4691"/>
      <c r="BH32" s="4691"/>
      <c r="BI32" s="4691"/>
      <c r="BJ32" s="4691"/>
      <c r="BK32" s="4691"/>
      <c r="BL32" s="4691"/>
      <c r="BM32" s="4691"/>
      <c r="BN32" s="4691"/>
      <c r="BO32" s="4691"/>
      <c r="BP32" s="4691"/>
      <c r="BQ32" s="4691"/>
      <c r="BR32" s="4691"/>
      <c r="BS32" s="4691"/>
      <c r="BT32" s="4691"/>
      <c r="BU32" s="4691"/>
      <c r="BV32" s="4691"/>
      <c r="BW32" s="4691"/>
      <c r="BX32" s="4691"/>
      <c r="BY32" s="4691"/>
      <c r="BZ32" s="4691"/>
      <c r="CA32" s="4691"/>
      <c r="CB32" s="4691"/>
      <c r="CC32" s="4691"/>
      <c r="CD32" s="4691"/>
      <c r="CE32" s="4691"/>
      <c r="CF32" s="4691"/>
      <c r="CG32" s="4691"/>
      <c r="CH32" s="4691"/>
      <c r="CI32" s="4691"/>
      <c r="CJ32" s="4691"/>
      <c r="CK32" s="4691"/>
      <c r="CL32" s="4691"/>
      <c r="CM32" s="4691"/>
      <c r="CN32" s="4691"/>
      <c r="CO32" s="4691"/>
      <c r="CP32" s="4691"/>
      <c r="CQ32" s="4691"/>
      <c r="CR32" s="4691"/>
      <c r="CS32" s="4691"/>
      <c r="CT32" s="4691"/>
      <c r="CU32" s="4691"/>
      <c r="CV32" s="4691"/>
      <c r="CW32" s="4691"/>
      <c r="CX32" s="4691"/>
      <c r="CY32" s="4699"/>
      <c r="CZ32" s="4699"/>
      <c r="DA32" s="4691"/>
      <c r="DB32" s="4691"/>
      <c r="DC32" s="4691"/>
      <c r="DD32" s="4691"/>
      <c r="DE32" s="4691"/>
      <c r="DF32" s="4691"/>
      <c r="DG32" s="4691"/>
      <c r="DH32" s="4691"/>
      <c r="DI32" s="4691"/>
      <c r="DJ32" s="4691"/>
      <c r="DK32" s="4691"/>
      <c r="DL32" s="4691"/>
      <c r="DM32" s="4691"/>
      <c r="DN32" s="4691"/>
      <c r="DO32" s="4691"/>
      <c r="DP32" s="4691"/>
      <c r="DQ32" s="4691"/>
      <c r="DR32" s="4691"/>
      <c r="DS32" s="4691"/>
      <c r="DT32" s="4691"/>
      <c r="DU32" s="4691"/>
      <c r="DV32" s="4691"/>
      <c r="DW32" s="4691"/>
      <c r="DX32" s="4691"/>
      <c r="DY32" s="4691"/>
      <c r="DZ32" s="4691"/>
      <c r="EA32" s="4691"/>
      <c r="EB32" s="4691"/>
      <c r="EC32" s="4691"/>
      <c r="ED32" s="4691"/>
      <c r="EE32" s="4691"/>
      <c r="EF32" s="4691"/>
      <c r="EG32" s="4691"/>
      <c r="EH32" s="4691"/>
      <c r="EI32" s="4691"/>
      <c r="EJ32" s="4691"/>
      <c r="EK32" s="4691"/>
      <c r="EL32" s="4691"/>
      <c r="EM32" s="4691"/>
      <c r="EN32" s="4691"/>
      <c r="EO32" s="4691"/>
      <c r="EP32" s="4691"/>
      <c r="EQ32" s="4691"/>
      <c r="ER32" s="4691"/>
      <c r="ES32" s="4691"/>
    </row>
    <row r="33" ht="14.25" customHeight="1">
      <c r="A33" s="4691"/>
      <c r="B33" s="4691"/>
      <c r="C33" s="4691"/>
      <c r="D33" s="4691"/>
      <c r="E33" s="4691"/>
      <c r="F33" s="4691"/>
      <c r="G33" s="4691"/>
      <c r="H33" s="4691"/>
      <c r="I33" s="4691"/>
      <c r="J33" s="4691"/>
      <c r="K33" s="4691"/>
      <c r="L33" s="4691"/>
      <c r="M33" s="4691"/>
      <c r="N33" s="4691"/>
      <c r="O33" s="4691"/>
      <c r="P33" s="4697"/>
      <c r="Q33" s="4691"/>
      <c r="R33" s="4691"/>
      <c r="S33" s="4691"/>
      <c r="T33" s="4691"/>
      <c r="U33" s="4691"/>
      <c r="V33" s="4691"/>
      <c r="W33" s="4691"/>
      <c r="X33" s="4691"/>
      <c r="Y33" s="4691"/>
      <c r="Z33" s="4691"/>
      <c r="AA33" s="4691"/>
      <c r="AB33" s="4691"/>
      <c r="AC33" s="4702"/>
      <c r="AD33" s="4691"/>
      <c r="AE33" s="4691"/>
      <c r="AF33" s="4691"/>
      <c r="AG33" s="4691"/>
      <c r="AH33" s="4691"/>
      <c r="AI33" s="4691"/>
      <c r="AJ33" s="4691"/>
      <c r="AK33" s="4691"/>
      <c r="AL33" s="4691"/>
      <c r="AM33" s="4691"/>
      <c r="AN33" s="4691"/>
      <c r="AO33" s="4691"/>
      <c r="AP33" s="4691"/>
      <c r="AQ33" s="4691"/>
      <c r="AR33" s="4691"/>
      <c r="AS33" s="4691"/>
      <c r="AT33" s="4691"/>
      <c r="AU33" s="4691"/>
      <c r="AV33" s="4691"/>
      <c r="AW33" s="4691"/>
      <c r="AX33" s="4691"/>
      <c r="AY33" s="4691"/>
      <c r="AZ33" s="4691"/>
      <c r="BA33" s="4691"/>
      <c r="BB33" s="4691"/>
      <c r="BC33" s="4691"/>
      <c r="BD33" s="4691"/>
      <c r="BE33" s="4691"/>
      <c r="BF33" s="4691"/>
      <c r="BG33" s="4691"/>
      <c r="BH33" s="4691"/>
      <c r="BI33" s="4691"/>
      <c r="BJ33" s="4691"/>
      <c r="BK33" s="4691"/>
      <c r="BL33" s="4691"/>
      <c r="BM33" s="4691"/>
      <c r="BN33" s="4691"/>
      <c r="BO33" s="4691"/>
      <c r="BP33" s="4691"/>
      <c r="BQ33" s="4691"/>
      <c r="BR33" s="4691"/>
      <c r="BS33" s="4691"/>
      <c r="BT33" s="4691"/>
      <c r="BU33" s="4691"/>
      <c r="BV33" s="4691"/>
      <c r="BW33" s="4691"/>
      <c r="BX33" s="4691"/>
      <c r="BY33" s="4691"/>
      <c r="BZ33" s="4691"/>
      <c r="CA33" s="4691"/>
      <c r="CB33" s="4691"/>
      <c r="CC33" s="4691"/>
      <c r="CD33" s="4691"/>
      <c r="CE33" s="4691"/>
      <c r="CF33" s="4691"/>
      <c r="CG33" s="4691"/>
      <c r="CH33" s="4691"/>
      <c r="CI33" s="4691"/>
      <c r="CJ33" s="4691"/>
      <c r="CK33" s="4691"/>
      <c r="CL33" s="4691"/>
      <c r="CM33" s="4691"/>
      <c r="CN33" s="4691"/>
      <c r="CO33" s="4691"/>
      <c r="CP33" s="4691"/>
      <c r="CQ33" s="4691"/>
      <c r="CR33" s="4691"/>
      <c r="CS33" s="4691"/>
      <c r="CT33" s="4691"/>
      <c r="CU33" s="4691"/>
      <c r="CV33" s="4691"/>
      <c r="CW33" s="4691"/>
      <c r="CX33" s="4691"/>
      <c r="CY33" s="4699"/>
      <c r="CZ33" s="4699"/>
      <c r="DA33" s="4691"/>
      <c r="DB33" s="4691"/>
      <c r="DC33" s="4691"/>
      <c r="DD33" s="4691"/>
      <c r="DE33" s="4691"/>
      <c r="DF33" s="4691"/>
      <c r="DG33" s="4691"/>
      <c r="DH33" s="4691"/>
      <c r="DI33" s="4691"/>
      <c r="DJ33" s="4691"/>
      <c r="DK33" s="4691"/>
      <c r="DL33" s="4691"/>
      <c r="DM33" s="4691"/>
      <c r="DN33" s="4691"/>
      <c r="DO33" s="4691"/>
      <c r="DP33" s="4691"/>
      <c r="DQ33" s="4691"/>
      <c r="DR33" s="4691"/>
      <c r="DS33" s="4691"/>
      <c r="DT33" s="4691"/>
      <c r="DU33" s="4691"/>
      <c r="DV33" s="4691"/>
      <c r="DW33" s="4691"/>
      <c r="DX33" s="4691"/>
      <c r="DY33" s="4691"/>
      <c r="DZ33" s="4691"/>
      <c r="EA33" s="4691"/>
      <c r="EB33" s="4691"/>
      <c r="EC33" s="4691"/>
      <c r="ED33" s="4691"/>
      <c r="EE33" s="4691"/>
      <c r="EF33" s="4691"/>
      <c r="EG33" s="4691"/>
      <c r="EH33" s="4691"/>
      <c r="EI33" s="4691"/>
      <c r="EJ33" s="4691"/>
      <c r="EK33" s="4691"/>
      <c r="EL33" s="4691"/>
      <c r="EM33" s="4691"/>
      <c r="EN33" s="4691"/>
      <c r="EO33" s="4691"/>
      <c r="EP33" s="4691"/>
      <c r="EQ33" s="4691"/>
      <c r="ER33" s="4691"/>
      <c r="ES33" s="4691"/>
    </row>
    <row r="34" ht="14.25" customHeight="1">
      <c r="A34" s="4691"/>
      <c r="B34" s="4691"/>
      <c r="C34" s="4691"/>
      <c r="D34" s="4691"/>
      <c r="E34" s="4691"/>
      <c r="F34" s="4691"/>
      <c r="G34" s="4691"/>
      <c r="H34" s="4691"/>
      <c r="I34" s="4691"/>
      <c r="J34" s="4691"/>
      <c r="K34" s="4691"/>
      <c r="L34" s="4691"/>
      <c r="M34" s="4691"/>
      <c r="N34" s="4691"/>
      <c r="O34" s="4691"/>
      <c r="P34" s="4697"/>
      <c r="Q34" s="4691"/>
      <c r="R34" s="4691"/>
      <c r="S34" s="4691"/>
      <c r="T34" s="4691"/>
      <c r="U34" s="4691"/>
      <c r="V34" s="4691"/>
      <c r="W34" s="4691"/>
      <c r="X34" s="4691"/>
      <c r="Y34" s="4691"/>
      <c r="Z34" s="4691"/>
      <c r="AA34" s="4691"/>
      <c r="AB34" s="4691"/>
      <c r="AC34" s="4702"/>
      <c r="AD34" s="4691"/>
      <c r="AE34" s="4691"/>
      <c r="AF34" s="4691"/>
      <c r="AG34" s="4691"/>
      <c r="AH34" s="4691"/>
      <c r="AI34" s="4691"/>
      <c r="AJ34" s="4691"/>
      <c r="AK34" s="4691"/>
      <c r="AL34" s="4691"/>
      <c r="AM34" s="4691"/>
      <c r="AN34" s="4691"/>
      <c r="AO34" s="4691"/>
      <c r="AP34" s="4691"/>
      <c r="AQ34" s="4691"/>
      <c r="AR34" s="4691"/>
      <c r="AS34" s="4691"/>
      <c r="AT34" s="4691"/>
      <c r="AU34" s="4691"/>
      <c r="AV34" s="4691"/>
      <c r="AW34" s="4691"/>
      <c r="AX34" s="4691"/>
      <c r="AY34" s="4691"/>
      <c r="AZ34" s="4691"/>
      <c r="BA34" s="4691"/>
      <c r="BB34" s="4691"/>
      <c r="BC34" s="4691"/>
      <c r="BD34" s="4691"/>
      <c r="BE34" s="4691"/>
      <c r="BF34" s="4691"/>
      <c r="BG34" s="4691"/>
      <c r="BH34" s="4691"/>
      <c r="BI34" s="4691"/>
      <c r="BJ34" s="4691"/>
      <c r="BK34" s="4691"/>
      <c r="BL34" s="4691"/>
      <c r="BM34" s="4691"/>
      <c r="BN34" s="4691"/>
      <c r="BO34" s="4691"/>
      <c r="BP34" s="4691"/>
      <c r="BQ34" s="4691"/>
      <c r="BR34" s="4691"/>
      <c r="BS34" s="4691"/>
      <c r="BT34" s="4691"/>
      <c r="BU34" s="4691"/>
      <c r="BV34" s="4691"/>
      <c r="BW34" s="4691"/>
      <c r="BX34" s="4691"/>
      <c r="BY34" s="4691"/>
      <c r="BZ34" s="4691"/>
      <c r="CA34" s="4691"/>
      <c r="CB34" s="4691"/>
      <c r="CC34" s="4691"/>
      <c r="CD34" s="4691"/>
      <c r="CE34" s="4691"/>
      <c r="CF34" s="4691"/>
      <c r="CG34" s="4691"/>
      <c r="CH34" s="4691"/>
      <c r="CI34" s="4691"/>
      <c r="CJ34" s="4691"/>
      <c r="CK34" s="4691"/>
      <c r="CL34" s="4691"/>
      <c r="CM34" s="4691"/>
      <c r="CN34" s="4691"/>
      <c r="CO34" s="4691"/>
      <c r="CP34" s="4691"/>
      <c r="CQ34" s="4691"/>
      <c r="CR34" s="4691"/>
      <c r="CS34" s="4691"/>
      <c r="CT34" s="4691"/>
      <c r="CU34" s="4691"/>
      <c r="CV34" s="4691"/>
      <c r="CW34" s="4691"/>
      <c r="CX34" s="4691"/>
      <c r="CY34" s="4699"/>
      <c r="CZ34" s="4699"/>
      <c r="DA34" s="4691"/>
      <c r="DB34" s="4691"/>
      <c r="DC34" s="4691"/>
      <c r="DD34" s="4691"/>
      <c r="DE34" s="4691"/>
      <c r="DF34" s="4691"/>
      <c r="DG34" s="4691"/>
      <c r="DH34" s="4691"/>
      <c r="DI34" s="4691"/>
      <c r="DJ34" s="4691"/>
      <c r="DK34" s="4691"/>
      <c r="DL34" s="4691"/>
      <c r="DM34" s="4691"/>
      <c r="DN34" s="4691"/>
      <c r="DO34" s="4691"/>
      <c r="DP34" s="4691"/>
      <c r="DQ34" s="4691"/>
      <c r="DR34" s="4691"/>
      <c r="DS34" s="4691"/>
      <c r="DT34" s="4691"/>
      <c r="DU34" s="4691"/>
      <c r="DV34" s="4691"/>
      <c r="DW34" s="4691"/>
      <c r="DX34" s="4691"/>
      <c r="DY34" s="4691"/>
      <c r="DZ34" s="4691"/>
      <c r="EA34" s="4691"/>
      <c r="EB34" s="4691"/>
      <c r="EC34" s="4691"/>
      <c r="ED34" s="4691"/>
      <c r="EE34" s="4691"/>
      <c r="EF34" s="4691"/>
      <c r="EG34" s="4691"/>
      <c r="EH34" s="4691"/>
      <c r="EI34" s="4691"/>
      <c r="EJ34" s="4691"/>
      <c r="EK34" s="4691"/>
      <c r="EL34" s="4691"/>
      <c r="EM34" s="4691"/>
      <c r="EN34" s="4691"/>
      <c r="EO34" s="4691"/>
      <c r="EP34" s="4691"/>
      <c r="EQ34" s="4691"/>
      <c r="ER34" s="4691"/>
      <c r="ES34" s="4691"/>
    </row>
    <row r="35" ht="14.25" customHeight="1">
      <c r="A35" s="4691"/>
      <c r="B35" s="4691"/>
      <c r="C35" s="4691"/>
      <c r="D35" s="4691"/>
      <c r="E35" s="4691"/>
      <c r="F35" s="4691"/>
      <c r="G35" s="4691"/>
      <c r="H35" s="4691"/>
      <c r="I35" s="4691"/>
      <c r="J35" s="4691"/>
      <c r="K35" s="4691"/>
      <c r="L35" s="4691"/>
      <c r="M35" s="4691"/>
      <c r="N35" s="4691"/>
      <c r="O35" s="4691"/>
      <c r="P35" s="4697"/>
      <c r="Q35" s="4691"/>
      <c r="R35" s="4691"/>
      <c r="S35" s="4691"/>
      <c r="T35" s="4691"/>
      <c r="U35" s="4691"/>
      <c r="V35" s="4691"/>
      <c r="W35" s="4691"/>
      <c r="X35" s="4691"/>
      <c r="Y35" s="4691"/>
      <c r="Z35" s="4691"/>
      <c r="AA35" s="4691"/>
      <c r="AB35" s="4691"/>
      <c r="AC35" s="4702"/>
      <c r="AD35" s="4691"/>
      <c r="AE35" s="4691"/>
      <c r="AF35" s="4691"/>
      <c r="AG35" s="4691"/>
      <c r="AH35" s="4691"/>
      <c r="AI35" s="4691"/>
      <c r="AJ35" s="4691"/>
      <c r="AK35" s="4691"/>
      <c r="AL35" s="4691"/>
      <c r="AM35" s="4691"/>
      <c r="AN35" s="4691"/>
      <c r="AO35" s="4691"/>
      <c r="AP35" s="4691"/>
      <c r="AQ35" s="4691"/>
      <c r="AR35" s="4691"/>
      <c r="AS35" s="4691"/>
      <c r="AT35" s="4691"/>
      <c r="AU35" s="4691"/>
      <c r="AV35" s="4691"/>
      <c r="AW35" s="4691"/>
      <c r="AX35" s="4691"/>
      <c r="AY35" s="4691"/>
      <c r="AZ35" s="4691"/>
      <c r="BA35" s="4691"/>
      <c r="BB35" s="4691"/>
      <c r="BC35" s="4691"/>
      <c r="BD35" s="4691"/>
      <c r="BE35" s="4691"/>
      <c r="BF35" s="4691"/>
      <c r="BG35" s="4691"/>
      <c r="BH35" s="4691"/>
      <c r="BI35" s="4691"/>
      <c r="BJ35" s="4691"/>
      <c r="BK35" s="4691"/>
      <c r="BL35" s="4691"/>
      <c r="BM35" s="4691"/>
      <c r="BN35" s="4691"/>
      <c r="BO35" s="4691"/>
      <c r="BP35" s="4691"/>
      <c r="BQ35" s="4691"/>
      <c r="BR35" s="4691"/>
      <c r="BS35" s="4691"/>
      <c r="BT35" s="4691"/>
      <c r="BU35" s="4691"/>
      <c r="BV35" s="4691"/>
      <c r="BW35" s="4691"/>
      <c r="BX35" s="4691"/>
      <c r="BY35" s="4691"/>
      <c r="BZ35" s="4691"/>
      <c r="CA35" s="4691"/>
      <c r="CB35" s="4691"/>
      <c r="CC35" s="4691"/>
      <c r="CD35" s="4691"/>
      <c r="CE35" s="4691"/>
      <c r="CF35" s="4691"/>
      <c r="CG35" s="4691"/>
      <c r="CH35" s="4691"/>
      <c r="CI35" s="4691"/>
      <c r="CJ35" s="4691"/>
      <c r="CK35" s="4691"/>
      <c r="CL35" s="4691"/>
      <c r="CM35" s="4691"/>
      <c r="CN35" s="4691"/>
      <c r="CO35" s="4691"/>
      <c r="CP35" s="4691"/>
      <c r="CQ35" s="4691"/>
      <c r="CR35" s="4691"/>
      <c r="CS35" s="4691"/>
      <c r="CT35" s="4691"/>
      <c r="CU35" s="4691"/>
      <c r="CV35" s="4691"/>
      <c r="CW35" s="4691"/>
      <c r="CX35" s="4691"/>
      <c r="CY35" s="4699"/>
      <c r="CZ35" s="4699"/>
      <c r="DA35" s="4691"/>
      <c r="DB35" s="4691"/>
      <c r="DC35" s="4691"/>
      <c r="DD35" s="4691"/>
      <c r="DE35" s="4691"/>
      <c r="DF35" s="4691"/>
      <c r="DG35" s="4691"/>
      <c r="DH35" s="4691"/>
      <c r="DI35" s="4691"/>
      <c r="DJ35" s="4691"/>
      <c r="DK35" s="4691"/>
      <c r="DL35" s="4691"/>
      <c r="DM35" s="4691"/>
      <c r="DN35" s="4691"/>
      <c r="DO35" s="4691"/>
      <c r="DP35" s="4691"/>
      <c r="DQ35" s="4691"/>
      <c r="DR35" s="4691"/>
      <c r="DS35" s="4691"/>
      <c r="DT35" s="4691"/>
      <c r="DU35" s="4691"/>
      <c r="DV35" s="4691"/>
      <c r="DW35" s="4691"/>
      <c r="DX35" s="4691"/>
      <c r="DY35" s="4691"/>
      <c r="DZ35" s="4691"/>
      <c r="EA35" s="4691"/>
      <c r="EB35" s="4691"/>
      <c r="EC35" s="4691"/>
      <c r="ED35" s="4691"/>
      <c r="EE35" s="4691"/>
      <c r="EF35" s="4691"/>
      <c r="EG35" s="4691"/>
      <c r="EH35" s="4691"/>
      <c r="EI35" s="4691"/>
      <c r="EJ35" s="4691"/>
      <c r="EK35" s="4691"/>
      <c r="EL35" s="4691"/>
      <c r="EM35" s="4691"/>
      <c r="EN35" s="4691"/>
      <c r="EO35" s="4691"/>
      <c r="EP35" s="4691"/>
      <c r="EQ35" s="4691"/>
      <c r="ER35" s="4691"/>
      <c r="ES35" s="4691"/>
    </row>
    <row r="36" ht="14.25" customHeight="1">
      <c r="A36" s="4691"/>
      <c r="B36" s="4691"/>
      <c r="C36" s="4691"/>
      <c r="D36" s="4691"/>
      <c r="E36" s="4691"/>
      <c r="F36" s="4691"/>
      <c r="G36" s="4691"/>
      <c r="H36" s="4691"/>
      <c r="I36" s="4691"/>
      <c r="J36" s="4691"/>
      <c r="K36" s="4691"/>
      <c r="L36" s="4691"/>
      <c r="M36" s="4691"/>
      <c r="N36" s="4691"/>
      <c r="O36" s="4691"/>
      <c r="P36" s="4697"/>
      <c r="Q36" s="4691"/>
      <c r="R36" s="4691"/>
      <c r="S36" s="4691"/>
      <c r="T36" s="4691"/>
      <c r="U36" s="4691"/>
      <c r="V36" s="4691"/>
      <c r="W36" s="4691"/>
      <c r="X36" s="4691"/>
      <c r="Y36" s="4691"/>
      <c r="Z36" s="4691"/>
      <c r="AA36" s="4691"/>
      <c r="AB36" s="4691"/>
      <c r="AC36" s="4702"/>
      <c r="AD36" s="4691"/>
      <c r="AE36" s="4691"/>
      <c r="AF36" s="4691"/>
      <c r="AG36" s="4691"/>
      <c r="AH36" s="4691"/>
      <c r="AI36" s="4691"/>
      <c r="AJ36" s="4691"/>
      <c r="AK36" s="4691"/>
      <c r="AL36" s="4691"/>
      <c r="AM36" s="4691"/>
      <c r="AN36" s="4691"/>
      <c r="AO36" s="4691"/>
      <c r="AP36" s="4691"/>
      <c r="AQ36" s="4691"/>
      <c r="AR36" s="4691"/>
      <c r="AS36" s="4691"/>
      <c r="AT36" s="4691"/>
      <c r="AU36" s="4691"/>
      <c r="AV36" s="4691"/>
      <c r="AW36" s="4691"/>
      <c r="AX36" s="4691"/>
      <c r="AY36" s="4691"/>
      <c r="AZ36" s="4691"/>
      <c r="BA36" s="4691"/>
      <c r="BB36" s="4691"/>
      <c r="BC36" s="4691"/>
      <c r="BD36" s="4691"/>
      <c r="BE36" s="4691"/>
      <c r="BF36" s="4691"/>
      <c r="BG36" s="4691"/>
      <c r="BH36" s="4691"/>
      <c r="BI36" s="4691"/>
      <c r="BJ36" s="4691"/>
      <c r="BK36" s="4691"/>
      <c r="BL36" s="4691"/>
      <c r="BM36" s="4691"/>
      <c r="BN36" s="4691"/>
      <c r="BO36" s="4691"/>
      <c r="BP36" s="4691"/>
      <c r="BQ36" s="4691"/>
      <c r="BR36" s="4691"/>
      <c r="BS36" s="4691"/>
      <c r="BT36" s="4691"/>
      <c r="BU36" s="4691"/>
      <c r="BV36" s="4691"/>
      <c r="BW36" s="4691"/>
      <c r="BX36" s="4691"/>
      <c r="BY36" s="4691"/>
      <c r="BZ36" s="4691"/>
      <c r="CA36" s="4691"/>
      <c r="CB36" s="4691"/>
      <c r="CC36" s="4691"/>
      <c r="CD36" s="4691"/>
      <c r="CE36" s="4691"/>
      <c r="CF36" s="4691"/>
      <c r="CG36" s="4691"/>
      <c r="CH36" s="4691"/>
      <c r="CI36" s="4691"/>
      <c r="CJ36" s="4691"/>
      <c r="CK36" s="4691"/>
      <c r="CL36" s="4691"/>
      <c r="CM36" s="4691"/>
      <c r="CN36" s="4691"/>
      <c r="CO36" s="4691"/>
      <c r="CP36" s="4691"/>
      <c r="CQ36" s="4691"/>
      <c r="CR36" s="4691"/>
      <c r="CS36" s="4691"/>
      <c r="CT36" s="4691"/>
      <c r="CU36" s="4691"/>
      <c r="CV36" s="4691"/>
      <c r="CW36" s="4691"/>
      <c r="CX36" s="4691"/>
      <c r="CY36" s="4699"/>
      <c r="CZ36" s="4699"/>
      <c r="DA36" s="4691"/>
      <c r="DB36" s="4691"/>
      <c r="DC36" s="4691"/>
      <c r="DD36" s="4691"/>
      <c r="DE36" s="4691"/>
      <c r="DF36" s="4691"/>
      <c r="DG36" s="4691"/>
      <c r="DH36" s="4691"/>
      <c r="DI36" s="4691"/>
      <c r="DJ36" s="4691"/>
      <c r="DK36" s="4691"/>
      <c r="DL36" s="4691"/>
      <c r="DM36" s="4691"/>
      <c r="DN36" s="4691"/>
      <c r="DO36" s="4691"/>
      <c r="DP36" s="4691"/>
      <c r="DQ36" s="4691"/>
      <c r="DR36" s="4691"/>
      <c r="DS36" s="4691"/>
      <c r="DT36" s="4691"/>
      <c r="DU36" s="4691"/>
      <c r="DV36" s="4691"/>
      <c r="DW36" s="4691"/>
      <c r="DX36" s="4691"/>
      <c r="DY36" s="4691"/>
      <c r="DZ36" s="4691"/>
      <c r="EA36" s="4691"/>
      <c r="EB36" s="4691"/>
      <c r="EC36" s="4691"/>
      <c r="ED36" s="4691"/>
      <c r="EE36" s="4691"/>
      <c r="EF36" s="4691"/>
      <c r="EG36" s="4691"/>
      <c r="EH36" s="4691"/>
      <c r="EI36" s="4691"/>
      <c r="EJ36" s="4691"/>
      <c r="EK36" s="4691"/>
      <c r="EL36" s="4691"/>
      <c r="EM36" s="4691"/>
      <c r="EN36" s="4691"/>
      <c r="EO36" s="4691"/>
      <c r="EP36" s="4691"/>
      <c r="EQ36" s="4691"/>
      <c r="ER36" s="4691"/>
      <c r="ES36" s="4691"/>
    </row>
    <row r="37" ht="14.25" customHeight="1">
      <c r="A37" s="4691"/>
      <c r="B37" s="4691"/>
      <c r="C37" s="4691"/>
      <c r="D37" s="4691"/>
      <c r="E37" s="4691"/>
      <c r="F37" s="4691"/>
      <c r="G37" s="4691"/>
      <c r="H37" s="4691"/>
      <c r="I37" s="4691"/>
      <c r="J37" s="4691"/>
      <c r="K37" s="4691"/>
      <c r="L37" s="4691"/>
      <c r="M37" s="4691"/>
      <c r="N37" s="4691"/>
      <c r="O37" s="4691"/>
      <c r="P37" s="4697"/>
      <c r="Q37" s="4691"/>
      <c r="R37" s="4691"/>
      <c r="S37" s="4691"/>
      <c r="T37" s="4691"/>
      <c r="U37" s="4691"/>
      <c r="V37" s="4691"/>
      <c r="W37" s="4691"/>
      <c r="X37" s="4691"/>
      <c r="Y37" s="4691"/>
      <c r="Z37" s="4691"/>
      <c r="AA37" s="4691"/>
      <c r="AB37" s="4691"/>
      <c r="AC37" s="4702"/>
      <c r="AD37" s="4691"/>
      <c r="AE37" s="4691"/>
      <c r="AF37" s="4691"/>
      <c r="AG37" s="4691"/>
      <c r="AH37" s="4691"/>
      <c r="AI37" s="4691"/>
      <c r="AJ37" s="4691"/>
      <c r="AK37" s="4691"/>
      <c r="AL37" s="4691"/>
      <c r="AM37" s="4691"/>
      <c r="AN37" s="4691"/>
      <c r="AO37" s="4691"/>
      <c r="AP37" s="4691"/>
      <c r="AQ37" s="4691"/>
      <c r="AR37" s="4691"/>
      <c r="AS37" s="4691"/>
      <c r="AT37" s="4691"/>
      <c r="AU37" s="4691"/>
      <c r="AV37" s="4691"/>
      <c r="AW37" s="4691"/>
      <c r="AX37" s="4691"/>
      <c r="AY37" s="4691"/>
      <c r="AZ37" s="4691"/>
      <c r="BA37" s="4691"/>
      <c r="BB37" s="4691"/>
      <c r="BC37" s="4691"/>
      <c r="BD37" s="4691"/>
      <c r="BE37" s="4691"/>
      <c r="BF37" s="4691"/>
      <c r="BG37" s="4691"/>
      <c r="BH37" s="4691"/>
      <c r="BI37" s="4691"/>
      <c r="BJ37" s="4691"/>
      <c r="BK37" s="4691"/>
      <c r="BL37" s="4691"/>
      <c r="BM37" s="4691"/>
      <c r="BN37" s="4691"/>
      <c r="BO37" s="4691"/>
      <c r="BP37" s="4691"/>
      <c r="BQ37" s="4691"/>
      <c r="BR37" s="4691"/>
      <c r="BS37" s="4691"/>
      <c r="BT37" s="4691"/>
      <c r="BU37" s="4691"/>
      <c r="BV37" s="4691"/>
      <c r="BW37" s="4691"/>
      <c r="BX37" s="4691"/>
      <c r="BY37" s="4691"/>
      <c r="BZ37" s="4691"/>
      <c r="CA37" s="4691"/>
      <c r="CB37" s="4691"/>
      <c r="CC37" s="4691"/>
      <c r="CD37" s="4691"/>
      <c r="CE37" s="4691"/>
      <c r="CF37" s="4691"/>
      <c r="CG37" s="4691"/>
      <c r="CH37" s="4691"/>
      <c r="CI37" s="4691"/>
      <c r="CJ37" s="4691"/>
      <c r="CK37" s="4691"/>
      <c r="CL37" s="4691"/>
      <c r="CM37" s="4691"/>
      <c r="CN37" s="4691"/>
      <c r="CO37" s="4691"/>
      <c r="CP37" s="4691"/>
      <c r="CQ37" s="4691"/>
      <c r="CR37" s="4691"/>
      <c r="CS37" s="4691"/>
      <c r="CT37" s="4691"/>
      <c r="CU37" s="4691"/>
      <c r="CV37" s="4691"/>
      <c r="CW37" s="4691"/>
      <c r="CX37" s="4691"/>
      <c r="CY37" s="4699"/>
      <c r="CZ37" s="4699"/>
      <c r="DA37" s="4691"/>
      <c r="DB37" s="4691"/>
      <c r="DC37" s="4691"/>
      <c r="DD37" s="4691"/>
      <c r="DE37" s="4691"/>
      <c r="DF37" s="4691"/>
      <c r="DG37" s="4691"/>
      <c r="DH37" s="4691"/>
      <c r="DI37" s="4691"/>
      <c r="DJ37" s="4691"/>
      <c r="DK37" s="4691"/>
      <c r="DL37" s="4691"/>
      <c r="DM37" s="4691"/>
      <c r="DN37" s="4691"/>
      <c r="DO37" s="4691"/>
      <c r="DP37" s="4691"/>
      <c r="DQ37" s="4691"/>
      <c r="DR37" s="4691"/>
      <c r="DS37" s="4691"/>
      <c r="DT37" s="4691"/>
      <c r="DU37" s="4691"/>
      <c r="DV37" s="4691"/>
      <c r="DW37" s="4691"/>
      <c r="DX37" s="4691"/>
      <c r="DY37" s="4691"/>
      <c r="DZ37" s="4691"/>
      <c r="EA37" s="4691"/>
      <c r="EB37" s="4691"/>
      <c r="EC37" s="4691"/>
      <c r="ED37" s="4691"/>
      <c r="EE37" s="4691"/>
      <c r="EF37" s="4691"/>
      <c r="EG37" s="4691"/>
      <c r="EH37" s="4691"/>
      <c r="EI37" s="4691"/>
      <c r="EJ37" s="4691"/>
      <c r="EK37" s="4691"/>
      <c r="EL37" s="4691"/>
      <c r="EM37" s="4691"/>
      <c r="EN37" s="4691"/>
      <c r="EO37" s="4691"/>
      <c r="EP37" s="4691"/>
      <c r="EQ37" s="4691"/>
      <c r="ER37" s="4691"/>
      <c r="ES37" s="4691"/>
    </row>
    <row r="38" ht="14.25" customHeight="1">
      <c r="A38" s="4691"/>
      <c r="B38" s="4691"/>
      <c r="C38" s="4691"/>
      <c r="D38" s="4691"/>
      <c r="E38" s="4691"/>
      <c r="F38" s="4691"/>
      <c r="G38" s="4691"/>
      <c r="H38" s="4691"/>
      <c r="I38" s="4691"/>
      <c r="J38" s="4691"/>
      <c r="K38" s="4691"/>
      <c r="L38" s="4691"/>
      <c r="M38" s="4691"/>
      <c r="N38" s="4691"/>
      <c r="O38" s="4691"/>
      <c r="P38" s="4697"/>
      <c r="Q38" s="4691"/>
      <c r="R38" s="4691"/>
      <c r="S38" s="4691"/>
      <c r="T38" s="4691"/>
      <c r="U38" s="4691"/>
      <c r="V38" s="4691"/>
      <c r="W38" s="4691"/>
      <c r="X38" s="4691"/>
      <c r="Y38" s="4691"/>
      <c r="Z38" s="4691"/>
      <c r="AA38" s="4691"/>
      <c r="AB38" s="4691"/>
      <c r="AC38" s="4702"/>
      <c r="AD38" s="4691"/>
      <c r="AE38" s="4691"/>
      <c r="AF38" s="4691"/>
      <c r="AG38" s="4691"/>
      <c r="AH38" s="4691"/>
      <c r="AI38" s="4691"/>
      <c r="AJ38" s="4691"/>
      <c r="AK38" s="4691"/>
      <c r="AL38" s="4691"/>
      <c r="AM38" s="4691"/>
      <c r="AN38" s="4691"/>
      <c r="AO38" s="4691"/>
      <c r="AP38" s="4691"/>
      <c r="AQ38" s="4691"/>
      <c r="AR38" s="4691"/>
      <c r="AS38" s="4691"/>
      <c r="AT38" s="4691"/>
      <c r="AU38" s="4691"/>
      <c r="AV38" s="4691"/>
      <c r="AW38" s="4691"/>
      <c r="AX38" s="4691"/>
      <c r="AY38" s="4691"/>
      <c r="AZ38" s="4691"/>
      <c r="BA38" s="4691"/>
      <c r="BB38" s="4691"/>
      <c r="BC38" s="4691"/>
      <c r="BD38" s="4691"/>
      <c r="BE38" s="4691"/>
      <c r="BF38" s="4691"/>
      <c r="BG38" s="4691"/>
      <c r="BH38" s="4691"/>
      <c r="BI38" s="4691"/>
      <c r="BJ38" s="4691"/>
      <c r="BK38" s="4691"/>
      <c r="BL38" s="4691"/>
      <c r="BM38" s="4691"/>
      <c r="BN38" s="4691"/>
      <c r="BO38" s="4691"/>
      <c r="BP38" s="4691"/>
      <c r="BQ38" s="4691"/>
      <c r="BR38" s="4691"/>
      <c r="BS38" s="4691"/>
      <c r="BT38" s="4691"/>
      <c r="BU38" s="4691"/>
      <c r="BV38" s="4691"/>
      <c r="BW38" s="4691"/>
      <c r="BX38" s="4691"/>
      <c r="BY38" s="4691"/>
      <c r="BZ38" s="4691"/>
      <c r="CA38" s="4691"/>
      <c r="CB38" s="4691"/>
      <c r="CC38" s="4691"/>
      <c r="CD38" s="4691"/>
      <c r="CE38" s="4691"/>
      <c r="CF38" s="4691"/>
      <c r="CG38" s="4691"/>
      <c r="CH38" s="4691"/>
      <c r="CI38" s="4691"/>
      <c r="CJ38" s="4691"/>
      <c r="CK38" s="4691"/>
      <c r="CL38" s="4691"/>
      <c r="CM38" s="4691"/>
      <c r="CN38" s="4691"/>
      <c r="CO38" s="4691"/>
      <c r="CP38" s="4691"/>
      <c r="CQ38" s="4691"/>
      <c r="CR38" s="4691"/>
      <c r="CS38" s="4691"/>
      <c r="CT38" s="4691"/>
      <c r="CU38" s="4691"/>
      <c r="CV38" s="4691"/>
      <c r="CW38" s="4691"/>
      <c r="CX38" s="4691"/>
      <c r="CY38" s="4699"/>
      <c r="CZ38" s="4699"/>
      <c r="DA38" s="4691"/>
      <c r="DB38" s="4691"/>
      <c r="DC38" s="4691"/>
      <c r="DD38" s="4691"/>
      <c r="DE38" s="4691"/>
      <c r="DF38" s="4691"/>
      <c r="DG38" s="4691"/>
      <c r="DH38" s="4691"/>
      <c r="DI38" s="4691"/>
      <c r="DJ38" s="4691"/>
      <c r="DK38" s="4691"/>
      <c r="DL38" s="4691"/>
      <c r="DM38" s="4691"/>
      <c r="DN38" s="4691"/>
      <c r="DO38" s="4691"/>
      <c r="DP38" s="4691"/>
      <c r="DQ38" s="4691"/>
      <c r="DR38" s="4691"/>
      <c r="DS38" s="4691"/>
      <c r="DT38" s="4691"/>
      <c r="DU38" s="4691"/>
      <c r="DV38" s="4691"/>
      <c r="DW38" s="4691"/>
      <c r="DX38" s="4691"/>
      <c r="DY38" s="4691"/>
      <c r="DZ38" s="4691"/>
      <c r="EA38" s="4691"/>
      <c r="EB38" s="4691"/>
      <c r="EC38" s="4691"/>
      <c r="ED38" s="4691"/>
      <c r="EE38" s="4691"/>
      <c r="EF38" s="4691"/>
      <c r="EG38" s="4691"/>
      <c r="EH38" s="4691"/>
      <c r="EI38" s="4691"/>
      <c r="EJ38" s="4691"/>
      <c r="EK38" s="4691"/>
      <c r="EL38" s="4691"/>
      <c r="EM38" s="4691"/>
      <c r="EN38" s="4691"/>
      <c r="EO38" s="4691"/>
      <c r="EP38" s="4691"/>
      <c r="EQ38" s="4691"/>
      <c r="ER38" s="4691"/>
      <c r="ES38" s="4691"/>
    </row>
    <row r="39" ht="14.25" customHeight="1">
      <c r="A39" s="4691"/>
      <c r="B39" s="4691"/>
      <c r="C39" s="4691"/>
      <c r="D39" s="4691"/>
      <c r="E39" s="4691"/>
      <c r="F39" s="4691"/>
      <c r="G39" s="4691"/>
      <c r="H39" s="4691"/>
      <c r="I39" s="4691"/>
      <c r="J39" s="4691"/>
      <c r="K39" s="4691"/>
      <c r="L39" s="4691"/>
      <c r="M39" s="4691"/>
      <c r="N39" s="4691"/>
      <c r="O39" s="4691"/>
      <c r="P39" s="4697"/>
      <c r="Q39" s="4691"/>
      <c r="R39" s="4691"/>
      <c r="S39" s="4691"/>
      <c r="T39" s="4691"/>
      <c r="U39" s="4691"/>
      <c r="V39" s="4691"/>
      <c r="W39" s="4691"/>
      <c r="X39" s="4691"/>
      <c r="Y39" s="4691"/>
      <c r="Z39" s="4691"/>
      <c r="AA39" s="4691"/>
      <c r="AB39" s="4691"/>
      <c r="AC39" s="4702"/>
      <c r="AD39" s="4691"/>
      <c r="AE39" s="4691"/>
      <c r="AF39" s="4691"/>
      <c r="AG39" s="4691"/>
      <c r="AH39" s="4691"/>
      <c r="AI39" s="4691"/>
      <c r="AJ39" s="4691"/>
      <c r="AK39" s="4691"/>
      <c r="AL39" s="4691"/>
      <c r="AM39" s="4691"/>
      <c r="AN39" s="4691"/>
      <c r="AO39" s="4691"/>
      <c r="AP39" s="4691"/>
      <c r="AQ39" s="4691"/>
      <c r="AR39" s="4691"/>
      <c r="AS39" s="4691"/>
      <c r="AT39" s="4691"/>
      <c r="AU39" s="4691"/>
      <c r="AV39" s="4691"/>
      <c r="AW39" s="4691"/>
      <c r="AX39" s="4691"/>
      <c r="AY39" s="4691"/>
      <c r="AZ39" s="4691"/>
      <c r="BA39" s="4691"/>
      <c r="BB39" s="4691"/>
      <c r="BC39" s="4691"/>
      <c r="BD39" s="4691"/>
      <c r="BE39" s="4691"/>
      <c r="BF39" s="4691"/>
      <c r="BG39" s="4691"/>
      <c r="BH39" s="4691"/>
      <c r="BI39" s="4691"/>
      <c r="BJ39" s="4691"/>
      <c r="BK39" s="4691"/>
      <c r="BL39" s="4691"/>
      <c r="BM39" s="4691"/>
      <c r="BN39" s="4691"/>
      <c r="BO39" s="4691"/>
      <c r="BP39" s="4691"/>
      <c r="BQ39" s="4691"/>
      <c r="BR39" s="4691"/>
      <c r="BS39" s="4691"/>
      <c r="BT39" s="4691"/>
      <c r="BU39" s="4691"/>
      <c r="BV39" s="4691"/>
      <c r="BW39" s="4691"/>
      <c r="BX39" s="4691"/>
      <c r="BY39" s="4691"/>
      <c r="BZ39" s="4691"/>
      <c r="CA39" s="4691"/>
      <c r="CB39" s="4691"/>
      <c r="CC39" s="4691"/>
      <c r="CD39" s="4691"/>
      <c r="CE39" s="4691"/>
      <c r="CF39" s="4691"/>
      <c r="CG39" s="4691"/>
      <c r="CH39" s="4691"/>
      <c r="CI39" s="4691"/>
      <c r="CJ39" s="4691"/>
      <c r="CK39" s="4691"/>
      <c r="CL39" s="4691"/>
      <c r="CM39" s="4691"/>
      <c r="CN39" s="4691"/>
      <c r="CO39" s="4691"/>
      <c r="CP39" s="4691"/>
      <c r="CQ39" s="4691"/>
      <c r="CR39" s="4691"/>
      <c r="CS39" s="4691"/>
      <c r="CT39" s="4691"/>
      <c r="CU39" s="4691"/>
      <c r="CV39" s="4691"/>
      <c r="CW39" s="4691"/>
      <c r="CX39" s="4691"/>
      <c r="CY39" s="4699"/>
      <c r="CZ39" s="4699"/>
      <c r="DA39" s="4691"/>
      <c r="DB39" s="4691"/>
      <c r="DC39" s="4691"/>
      <c r="DD39" s="4691"/>
      <c r="DE39" s="4691"/>
      <c r="DF39" s="4691"/>
      <c r="DG39" s="4691"/>
      <c r="DH39" s="4691"/>
      <c r="DI39" s="4691"/>
      <c r="DJ39" s="4691"/>
      <c r="DK39" s="4691"/>
      <c r="DL39" s="4691"/>
      <c r="DM39" s="4691"/>
      <c r="DN39" s="4691"/>
      <c r="DO39" s="4691"/>
      <c r="DP39" s="4691"/>
      <c r="DQ39" s="4691"/>
      <c r="DR39" s="4691"/>
      <c r="DS39" s="4691"/>
      <c r="DT39" s="4691"/>
      <c r="DU39" s="4691"/>
      <c r="DV39" s="4691"/>
      <c r="DW39" s="4691"/>
      <c r="DX39" s="4691"/>
      <c r="DY39" s="4691"/>
      <c r="DZ39" s="4691"/>
      <c r="EA39" s="4691"/>
      <c r="EB39" s="4691"/>
      <c r="EC39" s="4691"/>
      <c r="ED39" s="4691"/>
      <c r="EE39" s="4691"/>
      <c r="EF39" s="4691"/>
      <c r="EG39" s="4691"/>
      <c r="EH39" s="4691"/>
      <c r="EI39" s="4691"/>
      <c r="EJ39" s="4691"/>
      <c r="EK39" s="4691"/>
      <c r="EL39" s="4691"/>
      <c r="EM39" s="4691"/>
      <c r="EN39" s="4691"/>
      <c r="EO39" s="4691"/>
      <c r="EP39" s="4691"/>
      <c r="EQ39" s="4691"/>
      <c r="ER39" s="4691"/>
      <c r="ES39" s="4691"/>
    </row>
    <row r="40" ht="14.25" customHeight="1">
      <c r="A40" s="4691"/>
      <c r="B40" s="4691"/>
      <c r="C40" s="4691"/>
      <c r="D40" s="4691"/>
      <c r="E40" s="4691"/>
      <c r="F40" s="4691"/>
      <c r="G40" s="4691"/>
      <c r="H40" s="4691"/>
      <c r="I40" s="4691"/>
      <c r="J40" s="4691"/>
      <c r="K40" s="4691"/>
      <c r="L40" s="4691"/>
      <c r="M40" s="4691"/>
      <c r="N40" s="4691"/>
      <c r="O40" s="4691"/>
      <c r="P40" s="4697"/>
      <c r="Q40" s="4691"/>
      <c r="R40" s="4691"/>
      <c r="S40" s="4691"/>
      <c r="T40" s="4691"/>
      <c r="U40" s="4691"/>
      <c r="V40" s="4691"/>
      <c r="W40" s="4691"/>
      <c r="X40" s="4691"/>
      <c r="Y40" s="4691"/>
      <c r="Z40" s="4691"/>
      <c r="AA40" s="4691"/>
      <c r="AB40" s="4691"/>
      <c r="AC40" s="4702"/>
      <c r="AD40" s="4691"/>
      <c r="AE40" s="4691"/>
      <c r="AF40" s="4691"/>
      <c r="AG40" s="4691"/>
      <c r="AH40" s="4691"/>
      <c r="AI40" s="4691"/>
      <c r="AJ40" s="4691"/>
      <c r="AK40" s="4691"/>
      <c r="AL40" s="4691"/>
      <c r="AM40" s="4691"/>
      <c r="AN40" s="4691"/>
      <c r="AO40" s="4691"/>
      <c r="AP40" s="4691"/>
      <c r="AQ40" s="4691"/>
      <c r="AR40" s="4691"/>
      <c r="AS40" s="4691"/>
      <c r="AT40" s="4691"/>
      <c r="AU40" s="4691"/>
      <c r="AV40" s="4691"/>
      <c r="AW40" s="4691"/>
      <c r="AX40" s="4691"/>
      <c r="AY40" s="4691"/>
      <c r="AZ40" s="4691"/>
      <c r="BA40" s="4691"/>
      <c r="BB40" s="4691"/>
      <c r="BC40" s="4691"/>
      <c r="BD40" s="4691"/>
      <c r="BE40" s="4691"/>
      <c r="BF40" s="4691"/>
      <c r="BG40" s="4691"/>
      <c r="BH40" s="4691"/>
      <c r="BI40" s="4691"/>
      <c r="BJ40" s="4691"/>
      <c r="BK40" s="4691"/>
      <c r="BL40" s="4691"/>
      <c r="BM40" s="4691"/>
      <c r="BN40" s="4691"/>
      <c r="BO40" s="4691"/>
      <c r="BP40" s="4691"/>
      <c r="BQ40" s="4691"/>
      <c r="BR40" s="4691"/>
      <c r="BS40" s="4691"/>
      <c r="BT40" s="4691"/>
      <c r="BU40" s="4691"/>
      <c r="BV40" s="4691"/>
      <c r="BW40" s="4691"/>
      <c r="BX40" s="4691"/>
      <c r="BY40" s="4691"/>
      <c r="BZ40" s="4691"/>
      <c r="CA40" s="4691"/>
      <c r="CB40" s="4691"/>
      <c r="CC40" s="4691"/>
      <c r="CD40" s="4691"/>
      <c r="CE40" s="4691"/>
      <c r="CF40" s="4691"/>
      <c r="CG40" s="4691"/>
      <c r="CH40" s="4691"/>
      <c r="CI40" s="4691"/>
      <c r="CJ40" s="4691"/>
      <c r="CK40" s="4691"/>
      <c r="CL40" s="4691"/>
      <c r="CM40" s="4691"/>
      <c r="CN40" s="4691"/>
      <c r="CO40" s="4691"/>
      <c r="CP40" s="4691"/>
      <c r="CQ40" s="4691"/>
      <c r="CR40" s="4691"/>
      <c r="CS40" s="4691"/>
      <c r="CT40" s="4691"/>
      <c r="CU40" s="4691"/>
      <c r="CV40" s="4691"/>
      <c r="CW40" s="4691"/>
      <c r="CX40" s="4691"/>
      <c r="CY40" s="4699"/>
      <c r="CZ40" s="4699"/>
      <c r="DA40" s="4691"/>
      <c r="DB40" s="4691"/>
      <c r="DC40" s="4691"/>
      <c r="DD40" s="4691"/>
      <c r="DE40" s="4691"/>
      <c r="DF40" s="4691"/>
      <c r="DG40" s="4691"/>
      <c r="DH40" s="4691"/>
      <c r="DI40" s="4691"/>
      <c r="DJ40" s="4691"/>
      <c r="DK40" s="4691"/>
      <c r="DL40" s="4691"/>
      <c r="DM40" s="4691"/>
      <c r="DN40" s="4691"/>
      <c r="DO40" s="4691"/>
      <c r="DP40" s="4691"/>
      <c r="DQ40" s="4691"/>
      <c r="DR40" s="4691"/>
      <c r="DS40" s="4691"/>
      <c r="DT40" s="4691"/>
      <c r="DU40" s="4691"/>
      <c r="DV40" s="4691"/>
      <c r="DW40" s="4691"/>
      <c r="DX40" s="4691"/>
      <c r="DY40" s="4691"/>
      <c r="DZ40" s="4691"/>
      <c r="EA40" s="4691"/>
      <c r="EB40" s="4691"/>
      <c r="EC40" s="4691"/>
      <c r="ED40" s="4691"/>
      <c r="EE40" s="4691"/>
      <c r="EF40" s="4691"/>
      <c r="EG40" s="4691"/>
      <c r="EH40" s="4691"/>
      <c r="EI40" s="4691"/>
      <c r="EJ40" s="4691"/>
      <c r="EK40" s="4691"/>
      <c r="EL40" s="4691"/>
      <c r="EM40" s="4691"/>
      <c r="EN40" s="4691"/>
      <c r="EO40" s="4691"/>
      <c r="EP40" s="4691"/>
      <c r="EQ40" s="4691"/>
      <c r="ER40" s="4691"/>
      <c r="ES40" s="4691"/>
    </row>
    <row r="41" ht="14.25" customHeight="1">
      <c r="A41" s="4691"/>
      <c r="B41" s="4691"/>
      <c r="C41" s="4691"/>
      <c r="D41" s="4691"/>
      <c r="E41" s="4691"/>
      <c r="F41" s="4691"/>
      <c r="G41" s="4691"/>
      <c r="H41" s="4691"/>
      <c r="I41" s="4691"/>
      <c r="J41" s="4691"/>
      <c r="K41" s="4691"/>
      <c r="L41" s="4691"/>
      <c r="M41" s="4691"/>
      <c r="N41" s="4691"/>
      <c r="O41" s="4691"/>
      <c r="P41" s="4697"/>
      <c r="Q41" s="4691"/>
      <c r="R41" s="4691"/>
      <c r="S41" s="4691"/>
      <c r="T41" s="4691"/>
      <c r="U41" s="4691"/>
      <c r="V41" s="4691"/>
      <c r="W41" s="4691"/>
      <c r="X41" s="4691"/>
      <c r="Y41" s="4691"/>
      <c r="Z41" s="4691"/>
      <c r="AA41" s="4691"/>
      <c r="AB41" s="4691"/>
      <c r="AC41" s="4702"/>
      <c r="AD41" s="4691"/>
      <c r="AE41" s="4691"/>
      <c r="AF41" s="4691"/>
      <c r="AG41" s="4691"/>
      <c r="AH41" s="4691"/>
      <c r="AI41" s="4691"/>
      <c r="AJ41" s="4691"/>
      <c r="AK41" s="4691"/>
      <c r="AL41" s="4691"/>
      <c r="AM41" s="4691"/>
      <c r="AN41" s="4691"/>
      <c r="AO41" s="4691"/>
      <c r="AP41" s="4691"/>
      <c r="AQ41" s="4691"/>
      <c r="AR41" s="4691"/>
      <c r="AS41" s="4691"/>
      <c r="AT41" s="4691"/>
      <c r="AU41" s="4691"/>
      <c r="AV41" s="4691"/>
      <c r="AW41" s="4691"/>
      <c r="AX41" s="4691"/>
      <c r="AY41" s="4691"/>
      <c r="AZ41" s="4691"/>
      <c r="BA41" s="4691"/>
      <c r="BB41" s="4691"/>
      <c r="BC41" s="4691"/>
      <c r="BD41" s="4691"/>
      <c r="BE41" s="4691"/>
      <c r="BF41" s="4691"/>
      <c r="BG41" s="4691"/>
      <c r="BH41" s="4691"/>
      <c r="BI41" s="4691"/>
      <c r="BJ41" s="4691"/>
      <c r="BK41" s="4691"/>
      <c r="BL41" s="4691"/>
      <c r="BM41" s="4691"/>
      <c r="BN41" s="4691"/>
      <c r="BO41" s="4691"/>
      <c r="BP41" s="4691"/>
      <c r="BQ41" s="4691"/>
      <c r="BR41" s="4691"/>
      <c r="BS41" s="4691"/>
      <c r="BT41" s="4691"/>
      <c r="BU41" s="4691"/>
      <c r="BV41" s="4691"/>
      <c r="BW41" s="4691"/>
      <c r="BX41" s="4691"/>
      <c r="BY41" s="4691"/>
      <c r="BZ41" s="4691"/>
      <c r="CA41" s="4691"/>
      <c r="CB41" s="4691"/>
      <c r="CC41" s="4691"/>
      <c r="CD41" s="4691"/>
      <c r="CE41" s="4691"/>
      <c r="CF41" s="4691"/>
      <c r="CG41" s="4691"/>
      <c r="CH41" s="4691"/>
      <c r="CI41" s="4691"/>
      <c r="CJ41" s="4691"/>
      <c r="CK41" s="4691"/>
      <c r="CL41" s="4691"/>
      <c r="CM41" s="4691"/>
      <c r="CN41" s="4691"/>
      <c r="CO41" s="4691"/>
      <c r="CP41" s="4691"/>
      <c r="CQ41" s="4691"/>
      <c r="CR41" s="4691"/>
      <c r="CS41" s="4691"/>
      <c r="CT41" s="4691"/>
      <c r="CU41" s="4691"/>
      <c r="CV41" s="4691"/>
      <c r="CW41" s="4691"/>
      <c r="CX41" s="4691"/>
      <c r="CY41" s="4699"/>
      <c r="CZ41" s="4699"/>
      <c r="DA41" s="4691"/>
      <c r="DB41" s="4691"/>
      <c r="DC41" s="4691"/>
      <c r="DD41" s="4691"/>
      <c r="DE41" s="4691"/>
      <c r="DF41" s="4691"/>
      <c r="DG41" s="4691"/>
      <c r="DH41" s="4691"/>
      <c r="DI41" s="4691"/>
      <c r="DJ41" s="4691"/>
      <c r="DK41" s="4691"/>
      <c r="DL41" s="4691"/>
      <c r="DM41" s="4691"/>
      <c r="DN41" s="4691"/>
      <c r="DO41" s="4691"/>
      <c r="DP41" s="4691"/>
      <c r="DQ41" s="4691"/>
      <c r="DR41" s="4691"/>
      <c r="DS41" s="4691"/>
      <c r="DT41" s="4691"/>
      <c r="DU41" s="4691"/>
      <c r="DV41" s="4691"/>
      <c r="DW41" s="4691"/>
      <c r="DX41" s="4691"/>
      <c r="DY41" s="4691"/>
      <c r="DZ41" s="4691"/>
      <c r="EA41" s="4691"/>
      <c r="EB41" s="4691"/>
      <c r="EC41" s="4691"/>
      <c r="ED41" s="4691"/>
      <c r="EE41" s="4691"/>
      <c r="EF41" s="4691"/>
      <c r="EG41" s="4691"/>
      <c r="EH41" s="4691"/>
      <c r="EI41" s="4691"/>
      <c r="EJ41" s="4691"/>
      <c r="EK41" s="4691"/>
      <c r="EL41" s="4691"/>
      <c r="EM41" s="4691"/>
      <c r="EN41" s="4691"/>
      <c r="EO41" s="4691"/>
      <c r="EP41" s="4691"/>
      <c r="EQ41" s="4691"/>
      <c r="ER41" s="4691"/>
      <c r="ES41" s="4691"/>
    </row>
    <row r="42" ht="14.25" customHeight="1">
      <c r="A42" s="4691"/>
      <c r="B42" s="4691"/>
      <c r="C42" s="4691"/>
      <c r="D42" s="4691"/>
      <c r="E42" s="4691"/>
      <c r="F42" s="4691"/>
      <c r="G42" s="4691"/>
      <c r="H42" s="4691"/>
      <c r="I42" s="4691"/>
      <c r="J42" s="4691"/>
      <c r="K42" s="4691"/>
      <c r="L42" s="4691"/>
      <c r="M42" s="4691"/>
      <c r="N42" s="4691"/>
      <c r="O42" s="4691"/>
      <c r="P42" s="4697"/>
      <c r="Q42" s="4691"/>
      <c r="R42" s="4691"/>
      <c r="S42" s="4691"/>
      <c r="T42" s="4691"/>
      <c r="U42" s="4691"/>
      <c r="V42" s="4691"/>
      <c r="W42" s="4691"/>
      <c r="X42" s="4691"/>
      <c r="Y42" s="4691"/>
      <c r="Z42" s="4691"/>
      <c r="AA42" s="4691"/>
      <c r="AB42" s="4691"/>
      <c r="AC42" s="4702"/>
      <c r="AD42" s="4691"/>
      <c r="AE42" s="4691"/>
      <c r="AF42" s="4691"/>
      <c r="AG42" s="4691"/>
      <c r="AH42" s="4691"/>
      <c r="AI42" s="4691"/>
      <c r="AJ42" s="4691"/>
      <c r="AK42" s="4691"/>
      <c r="AL42" s="4691"/>
      <c r="AM42" s="4691"/>
      <c r="AN42" s="4691"/>
      <c r="AO42" s="4691"/>
      <c r="AP42" s="4691"/>
      <c r="AQ42" s="4691"/>
      <c r="AR42" s="4691"/>
      <c r="AS42" s="4691"/>
      <c r="AT42" s="4691"/>
      <c r="AU42" s="4691"/>
      <c r="AV42" s="4691"/>
      <c r="AW42" s="4691"/>
      <c r="AX42" s="4691"/>
      <c r="AY42" s="4691"/>
      <c r="AZ42" s="4691"/>
      <c r="BA42" s="4691"/>
      <c r="BB42" s="4691"/>
      <c r="BC42" s="4691"/>
      <c r="BD42" s="4691"/>
      <c r="BE42" s="4691"/>
      <c r="BF42" s="4691"/>
      <c r="BG42" s="4691"/>
      <c r="BH42" s="4691"/>
      <c r="BI42" s="4691"/>
      <c r="BJ42" s="4691"/>
      <c r="BK42" s="4691"/>
      <c r="BL42" s="4691"/>
      <c r="BM42" s="4691"/>
      <c r="BN42" s="4691"/>
      <c r="BO42" s="4691"/>
      <c r="BP42" s="4691"/>
      <c r="BQ42" s="4691"/>
      <c r="BR42" s="4691"/>
      <c r="BS42" s="4691"/>
      <c r="BT42" s="4691"/>
      <c r="BU42" s="4691"/>
      <c r="BV42" s="4691"/>
      <c r="BW42" s="4691"/>
      <c r="BX42" s="4691"/>
      <c r="BY42" s="4691"/>
      <c r="BZ42" s="4691"/>
      <c r="CA42" s="4691"/>
      <c r="CB42" s="4691"/>
      <c r="CC42" s="4691"/>
      <c r="CD42" s="4691"/>
      <c r="CE42" s="4691"/>
      <c r="CF42" s="4691"/>
      <c r="CG42" s="4691"/>
      <c r="CH42" s="4691"/>
      <c r="CI42" s="4691"/>
      <c r="CJ42" s="4691"/>
      <c r="CK42" s="4691"/>
      <c r="CL42" s="4691"/>
      <c r="CM42" s="4691"/>
      <c r="CN42" s="4691"/>
      <c r="CO42" s="4691"/>
      <c r="CP42" s="4691"/>
      <c r="CQ42" s="4691"/>
      <c r="CR42" s="4691"/>
      <c r="CS42" s="4691"/>
      <c r="CT42" s="4691"/>
      <c r="CU42" s="4691"/>
      <c r="CV42" s="4691"/>
      <c r="CW42" s="4691"/>
      <c r="CX42" s="4691"/>
      <c r="CY42" s="4699"/>
      <c r="CZ42" s="4699"/>
      <c r="DA42" s="4691"/>
      <c r="DB42" s="4691"/>
      <c r="DC42" s="4691"/>
      <c r="DD42" s="4691"/>
      <c r="DE42" s="4691"/>
      <c r="DF42" s="4691"/>
      <c r="DG42" s="4691"/>
      <c r="DH42" s="4691"/>
      <c r="DI42" s="4691"/>
      <c r="DJ42" s="4691"/>
      <c r="DK42" s="4691"/>
      <c r="DL42" s="4691"/>
      <c r="DM42" s="4691"/>
      <c r="DN42" s="4691"/>
      <c r="DO42" s="4691"/>
      <c r="DP42" s="4691"/>
      <c r="DQ42" s="4691"/>
      <c r="DR42" s="4691"/>
      <c r="DS42" s="4691"/>
      <c r="DT42" s="4691"/>
      <c r="DU42" s="4691"/>
      <c r="DV42" s="4691"/>
      <c r="DW42" s="4691"/>
      <c r="DX42" s="4691"/>
      <c r="DY42" s="4691"/>
      <c r="DZ42" s="4691"/>
      <c r="EA42" s="4691"/>
      <c r="EB42" s="4691"/>
      <c r="EC42" s="4691"/>
      <c r="ED42" s="4691"/>
      <c r="EE42" s="4691"/>
      <c r="EF42" s="4691"/>
      <c r="EG42" s="4691"/>
      <c r="EH42" s="4691"/>
      <c r="EI42" s="4691"/>
      <c r="EJ42" s="4691"/>
      <c r="EK42" s="4691"/>
      <c r="EL42" s="4691"/>
      <c r="EM42" s="4691"/>
      <c r="EN42" s="4691"/>
      <c r="EO42" s="4691"/>
      <c r="EP42" s="4691"/>
      <c r="EQ42" s="4691"/>
      <c r="ER42" s="4691"/>
      <c r="ES42" s="4691"/>
    </row>
    <row r="43" ht="14.25" customHeight="1">
      <c r="A43" s="4691"/>
      <c r="B43" s="4691"/>
      <c r="C43" s="4691"/>
      <c r="D43" s="4691"/>
      <c r="E43" s="4691"/>
      <c r="F43" s="4691"/>
      <c r="G43" s="4691"/>
      <c r="H43" s="4691"/>
      <c r="I43" s="4691"/>
      <c r="J43" s="4691"/>
      <c r="K43" s="4691"/>
      <c r="L43" s="4691"/>
      <c r="M43" s="4691"/>
      <c r="N43" s="4691"/>
      <c r="O43" s="4691"/>
      <c r="P43" s="4697"/>
      <c r="Q43" s="4691"/>
      <c r="R43" s="4691"/>
      <c r="S43" s="4691"/>
      <c r="T43" s="4691"/>
      <c r="U43" s="4691"/>
      <c r="V43" s="4691"/>
      <c r="W43" s="4691"/>
      <c r="X43" s="4691"/>
      <c r="Y43" s="4691"/>
      <c r="Z43" s="4691"/>
      <c r="AA43" s="4691"/>
      <c r="AB43" s="4691"/>
      <c r="AC43" s="4702"/>
      <c r="AD43" s="4691"/>
      <c r="AE43" s="4691"/>
      <c r="AF43" s="4691"/>
      <c r="AG43" s="4691"/>
      <c r="AH43" s="4691"/>
      <c r="AI43" s="4691"/>
      <c r="AJ43" s="4691"/>
      <c r="AK43" s="4691"/>
      <c r="AL43" s="4691"/>
      <c r="AM43" s="4691"/>
      <c r="AN43" s="4691"/>
      <c r="AO43" s="4691"/>
      <c r="AP43" s="4691"/>
      <c r="AQ43" s="4691"/>
      <c r="AR43" s="4691"/>
      <c r="AS43" s="4691"/>
      <c r="AT43" s="4691"/>
      <c r="AU43" s="4691"/>
      <c r="AV43" s="4691"/>
      <c r="AW43" s="4691"/>
      <c r="AX43" s="4691"/>
      <c r="AY43" s="4691"/>
      <c r="AZ43" s="4691"/>
      <c r="BA43" s="4691"/>
      <c r="BB43" s="4691"/>
      <c r="BC43" s="4691"/>
      <c r="BD43" s="4691"/>
      <c r="BE43" s="4691"/>
      <c r="BF43" s="4691"/>
      <c r="BG43" s="4691"/>
      <c r="BH43" s="4691"/>
      <c r="BI43" s="4691"/>
      <c r="BJ43" s="4691"/>
      <c r="BK43" s="4691"/>
      <c r="BL43" s="4691"/>
      <c r="BM43" s="4691"/>
      <c r="BN43" s="4691"/>
      <c r="BO43" s="4691"/>
      <c r="BP43" s="4691"/>
      <c r="BQ43" s="4691"/>
      <c r="BR43" s="4691"/>
      <c r="BS43" s="4691"/>
      <c r="BT43" s="4691"/>
      <c r="BU43" s="4691"/>
      <c r="BV43" s="4691"/>
      <c r="BW43" s="4691"/>
      <c r="BX43" s="4691"/>
      <c r="BY43" s="4691"/>
      <c r="BZ43" s="4691"/>
      <c r="CA43" s="4691"/>
      <c r="CB43" s="4691"/>
      <c r="CC43" s="4691"/>
      <c r="CD43" s="4691"/>
      <c r="CE43" s="4691"/>
      <c r="CF43" s="4691"/>
      <c r="CG43" s="4691"/>
      <c r="CH43" s="4691"/>
      <c r="CI43" s="4691"/>
      <c r="CJ43" s="4691"/>
      <c r="CK43" s="4691"/>
      <c r="CL43" s="4691"/>
      <c r="CM43" s="4691"/>
      <c r="CN43" s="4691"/>
      <c r="CO43" s="4691"/>
      <c r="CP43" s="4691"/>
      <c r="CQ43" s="4691"/>
      <c r="CR43" s="4691"/>
      <c r="CS43" s="4691"/>
      <c r="CT43" s="4691"/>
      <c r="CU43" s="4691"/>
      <c r="CV43" s="4691"/>
      <c r="CW43" s="4691"/>
      <c r="CX43" s="4691"/>
      <c r="CY43" s="4699"/>
      <c r="CZ43" s="4699"/>
      <c r="DA43" s="4691"/>
      <c r="DB43" s="4691"/>
      <c r="DC43" s="4691"/>
      <c r="DD43" s="4691"/>
      <c r="DE43" s="4691"/>
      <c r="DF43" s="4691"/>
      <c r="DG43" s="4691"/>
      <c r="DH43" s="4691"/>
      <c r="DI43" s="4691"/>
      <c r="DJ43" s="4691"/>
      <c r="DK43" s="4691"/>
      <c r="DL43" s="4691"/>
      <c r="DM43" s="4691"/>
      <c r="DN43" s="4691"/>
      <c r="DO43" s="4691"/>
      <c r="DP43" s="4691"/>
      <c r="DQ43" s="4691"/>
      <c r="DR43" s="4691"/>
      <c r="DS43" s="4691"/>
      <c r="DT43" s="4691"/>
      <c r="DU43" s="4691"/>
      <c r="DV43" s="4691"/>
      <c r="DW43" s="4691"/>
      <c r="DX43" s="4691"/>
      <c r="DY43" s="4691"/>
      <c r="DZ43" s="4691"/>
      <c r="EA43" s="4691"/>
      <c r="EB43" s="4691"/>
      <c r="EC43" s="4691"/>
      <c r="ED43" s="4691"/>
      <c r="EE43" s="4691"/>
      <c r="EF43" s="4691"/>
      <c r="EG43" s="4691"/>
      <c r="EH43" s="4691"/>
      <c r="EI43" s="4691"/>
      <c r="EJ43" s="4691"/>
      <c r="EK43" s="4691"/>
      <c r="EL43" s="4691"/>
      <c r="EM43" s="4691"/>
      <c r="EN43" s="4691"/>
      <c r="EO43" s="4691"/>
      <c r="EP43" s="4691"/>
      <c r="EQ43" s="4691"/>
      <c r="ER43" s="4691"/>
      <c r="ES43" s="4691"/>
    </row>
  </sheetData>
  <printOptions/>
  <pageMargins left="0.75" right="0.75" top="1" bottom="1" header="0.5" footer="0.5"/>
  <pageSetup paperSize="1" useFirstPageNumber="1" firstPageNumber="1" pageOrder="downThenOver" orientation="landscape"/>
  <headerFooter>
    <oddFooter>&amp;L&amp;CConfidential - Internal Distribution&amp;R</oddFooter>
  </headerFooter>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DDD4D73F-5FDB-4A51-93FA-F052EE3727B1}" mc:Ignorable="x14ac xr xr2 xr3">
  <dimension ref="A1:AJ34"/>
  <sheetViews>
    <sheetView topLeftCell="A1" zoomScale="90" workbookViewId="0">
      <selection activeCell="A2" sqref="A2"/>
    </sheetView>
  </sheetViews>
  <sheetFormatPr defaultRowHeight="14.497499999999997" defaultColWidth="8.8515625" customHeight="1"/>
  <cols>
    <col min="1" max="1" style="696" width="25.57421875" customWidth="1"/>
    <col min="2" max="2" style="696" width="10.00390625" customWidth="1"/>
    <col min="3" max="3" style="696" width="21.57421875" customWidth="1"/>
    <col min="4" max="4" style="696" width="9.57421875" customWidth="1"/>
    <col min="5" max="5" style="696" width="12.00390625" customWidth="1"/>
    <col min="6" max="6" style="696" width="17.00390625" customWidth="1"/>
    <col min="7" max="7" style="696" width="18.57421875" customWidth="1"/>
    <col min="8" max="8" style="696" width="21.57421875" customWidth="1"/>
    <col min="9" max="9" style="696" width="17.57421875" customWidth="1"/>
    <col min="10" max="10" style="696" width="14.57421875" customWidth="1"/>
    <col min="11" max="11" style="696" width="28.00390625" customWidth="1"/>
    <col min="12" max="12" style="696" width="15.00390625" customWidth="1"/>
    <col min="13" max="13" style="696" width="24.57421875" customWidth="1"/>
    <col min="14" max="15" style="696" width="12.57421875" customWidth="1"/>
    <col min="16" max="16" style="696" width="14.00390625" customWidth="1"/>
    <col min="17" max="17" style="696" width="24.140625" customWidth="1"/>
    <col min="18" max="19" style="696" width="13.57421875" customWidth="1"/>
    <col min="20" max="20" style="696" width="15.57421875" customWidth="1"/>
    <col min="21" max="21" style="696" width="78.140625" customWidth="1"/>
    <col min="22" max="23" style="696" width="14.57421875" customWidth="1"/>
    <col min="24" max="29" style="696" width="10.57421875" customWidth="1"/>
    <col min="30" max="31" style="696" width="18.57421875" customWidth="1"/>
    <col min="32" max="32" style="696" width="9.57421875" customWidth="1"/>
    <col min="33" max="33" style="696" width="17.00390625" customWidth="1"/>
    <col min="34" max="34" style="696" width="14.57421875" customWidth="1"/>
    <col min="35" max="35" style="696" width="20.57421875" customWidth="1"/>
    <col min="36" max="36" style="696" width="19.57421875" customWidth="1"/>
  </cols>
  <sheetData>
    <row r="1" ht="72.75" customHeight="1">
      <c r="A1" s="4703" t="s">
        <v>4407</v>
      </c>
      <c r="B1" s="4704" t="s">
        <v>4408</v>
      </c>
      <c r="C1" s="4704" t="s">
        <v>4409</v>
      </c>
      <c r="D1" s="4704" t="s">
        <v>4410</v>
      </c>
      <c r="E1" s="4704" t="s">
        <v>4411</v>
      </c>
      <c r="F1" s="4704" t="s">
        <v>4412</v>
      </c>
      <c r="G1" s="4704" t="s">
        <v>4413</v>
      </c>
      <c r="H1" s="4705" t="s">
        <v>4414</v>
      </c>
      <c r="I1" s="4705" t="s">
        <v>4415</v>
      </c>
      <c r="J1" s="4706" t="s">
        <v>4416</v>
      </c>
      <c r="K1" s="4705" t="s">
        <v>4417</v>
      </c>
      <c r="L1" s="4705" t="s">
        <v>1969</v>
      </c>
      <c r="M1" s="4704" t="s">
        <v>4284</v>
      </c>
      <c r="N1" s="4705" t="s">
        <v>4285</v>
      </c>
      <c r="O1" s="4704" t="s">
        <v>279</v>
      </c>
      <c r="P1" s="4704" t="s">
        <v>289</v>
      </c>
      <c r="Q1" s="4704" t="s">
        <v>4418</v>
      </c>
      <c r="R1" s="4705" t="s">
        <v>4419</v>
      </c>
      <c r="S1" s="4705" t="s">
        <v>4420</v>
      </c>
      <c r="T1" s="4707" t="s">
        <v>4421</v>
      </c>
      <c r="U1" s="4708" t="s">
        <v>4422</v>
      </c>
      <c r="V1" s="4708" t="s">
        <v>4423</v>
      </c>
      <c r="W1" s="4708" t="s">
        <v>4424</v>
      </c>
      <c r="X1" s="4708" t="s">
        <v>4425</v>
      </c>
      <c r="Y1" s="4708" t="s">
        <v>4426</v>
      </c>
      <c r="Z1" s="4708" t="s">
        <v>4427</v>
      </c>
      <c r="AA1" s="4708" t="s">
        <v>4428</v>
      </c>
      <c r="AB1" s="4708" t="s">
        <v>4429</v>
      </c>
      <c r="AC1" s="4708" t="s">
        <v>4430</v>
      </c>
      <c r="AD1" s="4708" t="s">
        <v>4431</v>
      </c>
      <c r="AE1" s="4708" t="s">
        <v>4432</v>
      </c>
      <c r="AF1" s="4708" t="s">
        <v>4433</v>
      </c>
      <c r="AG1" s="4708" t="s">
        <v>4434</v>
      </c>
      <c r="AH1" s="4709" t="s">
        <v>4435</v>
      </c>
      <c r="AI1" s="4710" t="s">
        <v>4436</v>
      </c>
      <c r="AJ1" s="4710" t="s">
        <v>4437</v>
      </c>
    </row>
    <row r="2" ht="12" customHeight="1">
      <c r="A2" s="4711">
        <f>IF(OR('Bor-KP-Prin'!$B$6="XXXX",ISBLANK('Bor-KP-Prin'!$B$6)),"",'Bor-KP-Prin'!$B$6)</f>
      </c>
      <c r="B2" s="4712"/>
      <c r="C2" s="4713">
        <f>IF($A2="","",'Bor-KP-Prin'!$B$47)</f>
      </c>
      <c r="D2" s="4713">
        <f t="shared" si="0" ref="D2:J34">IF($A2="","","No")</f>
      </c>
      <c r="E2" s="4713">
        <f t="shared" si="1" ref="E2:E11">IF($A2="","","Yes")</f>
      </c>
      <c r="F2" s="4713">
        <f t="shared" si="0"/>
      </c>
      <c r="G2" s="4713">
        <f t="shared" si="0"/>
      </c>
      <c r="H2" s="4713">
        <f>IF($A2="","",IF('Bor-KP-Prin'!$B$46="Yes","Yes","No"))</f>
      </c>
      <c r="I2" s="4713">
        <f>IF($A2="","",IF('Bor-KP-Prin'!$B$45="Yes","No","Yes"))</f>
      </c>
      <c r="J2" s="4713">
        <f t="shared" si="0"/>
      </c>
      <c r="K2" s="4713">
        <f t="shared" si="2" ref="K2:K11">IF($A2="","",IF(Requested_Tier=2,"Non-Recourse with carve outs",""))</f>
      </c>
      <c r="L2" s="4713"/>
      <c r="M2" s="4713">
        <f>IF('Bor-KP-Prin'!$B$6="XXXX","",'Bor-KP-Prin'!$B$50)</f>
      </c>
      <c r="N2" s="4713"/>
      <c r="O2" s="4713">
        <f>IF('Bor-KP-Prin'!$B$6="XXXX","",'Bor-KP-Prin'!$B$51)</f>
      </c>
      <c r="P2" s="4714">
        <f>IF('Bor-KP-Prin'!$B$6="XXXX","",'Bor-KP-Prin'!$B$52)</f>
      </c>
      <c r="Q2" s="4713">
        <f>IF('Bor-KP-Prin'!$B$6="XXXX","",'Bor-KP-Prin'!$B$53)</f>
      </c>
      <c r="R2" s="4712"/>
      <c r="S2" s="4712"/>
      <c r="T2" s="4715"/>
      <c r="U2" s="4712"/>
      <c r="V2" s="4712"/>
      <c r="W2" s="4716"/>
      <c r="X2" s="4712"/>
      <c r="Y2" s="4712"/>
      <c r="Z2" s="4712"/>
      <c r="AA2" s="4712"/>
      <c r="AB2" s="4712"/>
      <c r="AC2" s="4712"/>
      <c r="AD2" s="4712"/>
      <c r="AE2" s="4712"/>
      <c r="AF2" s="4717"/>
      <c r="AG2" s="4717"/>
      <c r="AH2" s="4717"/>
      <c r="AI2" s="4712"/>
      <c r="AJ2" s="4712"/>
    </row>
    <row r="3" ht="12" customHeight="1">
      <c r="A3" s="4711">
        <f>IF(OR('Bor-KP-Prin'!$C$6="XXXX",ISBLANK('Bor-KP-Prin'!$C$6)),"",'Bor-KP-Prin'!$C$6)</f>
      </c>
      <c r="B3" s="4712"/>
      <c r="C3" s="4713">
        <f>IF($A3="","",'Bor-KP-Prin'!$C$47)</f>
      </c>
      <c r="D3" s="4713">
        <f t="shared" si="0"/>
      </c>
      <c r="E3" s="4713">
        <f t="shared" si="1"/>
      </c>
      <c r="F3" s="4713">
        <f t="shared" si="0"/>
      </c>
      <c r="G3" s="4713">
        <f t="shared" si="0"/>
      </c>
      <c r="H3" s="4713">
        <f>IF($A3="","",IF('Bor-KP-Prin'!$C$46="Yes","Yes","No"))</f>
      </c>
      <c r="I3" s="4713">
        <f>IF($A3="","",IF('Bor-KP-Prin'!$C$45="Yes","No","Yes"))</f>
      </c>
      <c r="J3" s="4713">
        <f t="shared" si="0"/>
      </c>
      <c r="K3" s="4713">
        <f t="shared" si="2"/>
      </c>
      <c r="L3" s="4713"/>
      <c r="M3" s="4713">
        <f>IF('Bor-KP-Prin'!$C$6="XXXX","",'Bor-KP-Prin'!$C$50)</f>
      </c>
      <c r="N3" s="4713"/>
      <c r="O3" s="4713">
        <f>IF('Bor-KP-Prin'!$C$6="XXXX","",'Bor-KP-Prin'!$C$51)</f>
      </c>
      <c r="P3" s="4713">
        <f>IF('Bor-KP-Prin'!$C$6="XXXX","",'Bor-KP-Prin'!$C$52)</f>
      </c>
      <c r="Q3" s="4713">
        <f>IF('Bor-KP-Prin'!$C$6="XXXX","",'Bor-KP-Prin'!$C$53)</f>
      </c>
      <c r="R3" s="4712"/>
      <c r="S3" s="4712"/>
      <c r="T3" s="4715"/>
      <c r="U3" s="4712"/>
      <c r="V3" s="4712"/>
      <c r="W3" s="4712"/>
      <c r="X3" s="4712"/>
      <c r="Y3" s="4712"/>
      <c r="Z3" s="4712"/>
      <c r="AA3" s="4712"/>
      <c r="AB3" s="4712"/>
      <c r="AC3" s="4712"/>
      <c r="AD3" s="4712"/>
      <c r="AE3" s="4712"/>
      <c r="AF3" s="4712"/>
      <c r="AG3" s="4712"/>
      <c r="AH3" s="4712"/>
      <c r="AI3" s="4712"/>
      <c r="AJ3" s="4712"/>
    </row>
    <row r="4" ht="12" customHeight="1">
      <c r="A4" s="4711">
        <f>IF(OR('Bor-KP-Prin'!$D$6="XXXX",ISBLANK('Bor-KP-Prin'!$D$6)),"",'Bor-KP-Prin'!$D$6)</f>
      </c>
      <c r="B4" s="4712"/>
      <c r="C4" s="4713">
        <f>IF($A4="","",'Bor-KP-Prin'!$D$47)</f>
      </c>
      <c r="D4" s="4713">
        <f t="shared" si="0"/>
      </c>
      <c r="E4" s="4713">
        <f t="shared" si="1"/>
      </c>
      <c r="F4" s="4713">
        <f t="shared" si="0"/>
      </c>
      <c r="G4" s="4713">
        <f t="shared" si="0"/>
      </c>
      <c r="H4" s="4713">
        <f>IF($A4="","",IF('Bor-KP-Prin'!$D$46="Yes","Yes","No"))</f>
      </c>
      <c r="I4" s="4713">
        <f>IF($A4="","",IF('Bor-KP-Prin'!$D$45="Yes","No","Yes"))</f>
      </c>
      <c r="J4" s="4713">
        <f t="shared" si="0"/>
      </c>
      <c r="K4" s="4713">
        <f t="shared" si="2"/>
      </c>
      <c r="L4" s="4713"/>
      <c r="M4" s="4713">
        <f>IF('Bor-KP-Prin'!$D$6="XXXX","",'Bor-KP-Prin'!$D$50)</f>
      </c>
      <c r="N4" s="4713"/>
      <c r="O4" s="4713">
        <f>IF('Bor-KP-Prin'!$D$6="XXXX","",'Bor-KP-Prin'!$D$51)</f>
      </c>
      <c r="P4" s="4713">
        <f>IF('Bor-KP-Prin'!$D$6="XXXX","",'Bor-KP-Prin'!$D$52)</f>
      </c>
      <c r="Q4" s="4713">
        <f>IF('Bor-KP-Prin'!$D$6="XXXX","",'Bor-KP-Prin'!$D$53)</f>
      </c>
      <c r="R4" s="4712"/>
      <c r="S4" s="4712"/>
      <c r="T4" s="4715"/>
      <c r="U4" s="4712"/>
      <c r="V4" s="4712"/>
      <c r="W4" s="4712"/>
      <c r="X4" s="4712"/>
      <c r="Y4" s="4712"/>
      <c r="Z4" s="4712"/>
      <c r="AA4" s="4712"/>
      <c r="AB4" s="4712"/>
      <c r="AC4" s="4712"/>
      <c r="AD4" s="4712"/>
      <c r="AE4" s="4712"/>
      <c r="AF4" s="4712"/>
      <c r="AG4" s="4712"/>
      <c r="AH4" s="4712"/>
      <c r="AI4" s="4712"/>
      <c r="AJ4" s="4712"/>
    </row>
    <row r="5" ht="12" customHeight="1">
      <c r="A5" s="4711">
        <f>IF(OR('Bor-KP-Prin'!$E$6="XXXX",ISBLANK('Bor-KP-Prin'!$E$6)),"",'Bor-KP-Prin'!$E$6)</f>
      </c>
      <c r="B5" s="4712"/>
      <c r="C5" s="4713">
        <f>IF($A5="","",'Bor-KP-Prin'!$E$47)</f>
      </c>
      <c r="D5" s="4713">
        <f t="shared" si="0"/>
      </c>
      <c r="E5" s="4713">
        <f t="shared" si="1"/>
      </c>
      <c r="F5" s="4713">
        <f t="shared" si="0"/>
      </c>
      <c r="G5" s="4713">
        <f t="shared" si="0"/>
      </c>
      <c r="H5" s="4713">
        <f>IF($A5="","",IF('Bor-KP-Prin'!$E$46="Yes","Yes","No"))</f>
      </c>
      <c r="I5" s="4713">
        <f>IF($A5="","",IF('Bor-KP-Prin'!$E$45="Yes","No","Yes"))</f>
      </c>
      <c r="J5" s="4713">
        <f t="shared" si="0"/>
      </c>
      <c r="K5" s="4713">
        <f t="shared" si="2"/>
      </c>
      <c r="L5" s="4713"/>
      <c r="M5" s="4713">
        <f>IF('Bor-KP-Prin'!$E$6="XXXX","",'Bor-KP-Prin'!$E$50)</f>
      </c>
      <c r="N5" s="4713"/>
      <c r="O5" s="4713">
        <f>IF('Bor-KP-Prin'!$E$6="XXXX","",'Bor-KP-Prin'!$E$51)</f>
      </c>
      <c r="P5" s="4713">
        <f>IF('Bor-KP-Prin'!$E$6="XXXX","",'Bor-KP-Prin'!$E$52)</f>
      </c>
      <c r="Q5" s="4713">
        <f>IF('Bor-KP-Prin'!$E$6="XXXX","",'Bor-KP-Prin'!$E$53)</f>
      </c>
      <c r="R5" s="4712"/>
      <c r="S5" s="4712"/>
      <c r="T5" s="4715"/>
      <c r="U5" s="4712"/>
      <c r="V5" s="4712"/>
      <c r="W5" s="4712"/>
      <c r="X5" s="4712"/>
      <c r="Y5" s="4712"/>
      <c r="Z5" s="4712"/>
      <c r="AA5" s="4712"/>
      <c r="AB5" s="4712"/>
      <c r="AC5" s="4712"/>
      <c r="AD5" s="4712"/>
      <c r="AE5" s="4712"/>
      <c r="AF5" s="4712"/>
      <c r="AG5" s="4712"/>
      <c r="AH5" s="4712"/>
      <c r="AI5" s="4712"/>
      <c r="AJ5" s="4712"/>
    </row>
    <row r="6" ht="12" customHeight="1">
      <c r="A6" s="4711">
        <f>IF(OR('Bor-KP-Prin'!$F$6="XXXX",ISBLANK('Bor-KP-Prin'!$F$6)),"",'Bor-KP-Prin'!$F$6)</f>
      </c>
      <c r="B6" s="4712"/>
      <c r="C6" s="4713">
        <f>IF($A6="","",'Bor-KP-Prin'!$F$47)</f>
      </c>
      <c r="D6" s="4713">
        <f t="shared" si="0"/>
      </c>
      <c r="E6" s="4713">
        <f t="shared" si="1"/>
      </c>
      <c r="F6" s="4713">
        <f t="shared" si="0"/>
      </c>
      <c r="G6" s="4713">
        <f t="shared" si="0"/>
      </c>
      <c r="H6" s="4713">
        <f>IF($A6="","",IF('Bor-KP-Prin'!$F$46="Yes","Yes","No"))</f>
      </c>
      <c r="I6" s="4713">
        <f>IF($A6="","",IF('Bor-KP-Prin'!$F$45="Yes","No","Yes"))</f>
      </c>
      <c r="J6" s="4713">
        <f t="shared" si="0"/>
      </c>
      <c r="K6" s="4713">
        <f t="shared" si="2"/>
      </c>
      <c r="L6" s="4713"/>
      <c r="M6" s="4713">
        <f>IF('Bor-KP-Prin'!$F$6="XXXX","",'Bor-KP-Prin'!$F$50)</f>
      </c>
      <c r="N6" s="4713"/>
      <c r="O6" s="4713">
        <f>IF('Bor-KP-Prin'!$F$6="XXXX","",'Bor-KP-Prin'!$F$51)</f>
      </c>
      <c r="P6" s="4713">
        <f>IF('Bor-KP-Prin'!$F$6="XXXX","",'Bor-KP-Prin'!$F$52)</f>
      </c>
      <c r="Q6" s="4713">
        <f>IF('Bor-KP-Prin'!$F$6="XXXX","",'Bor-KP-Prin'!$F$53)</f>
      </c>
      <c r="R6" s="4712"/>
      <c r="S6" s="4712"/>
      <c r="T6" s="4715"/>
      <c r="U6" s="4712"/>
      <c r="V6" s="4712"/>
      <c r="W6" s="4712"/>
      <c r="X6" s="4712"/>
      <c r="Y6" s="4712"/>
      <c r="Z6" s="4712"/>
      <c r="AA6" s="4712"/>
      <c r="AB6" s="4712"/>
      <c r="AC6" s="4712"/>
      <c r="AD6" s="4712"/>
      <c r="AE6" s="4712"/>
      <c r="AF6" s="4712"/>
      <c r="AG6" s="4712"/>
      <c r="AH6" s="4712"/>
      <c r="AI6" s="4712"/>
      <c r="AJ6" s="4712"/>
    </row>
    <row r="7" ht="12" customHeight="1">
      <c r="A7" s="4711">
        <f>IF(OR('Bor-KP-Prin'!$G$6="XXXX",ISBLANK('Bor-KP-Prin'!$G$6)),"",'Bor-KP-Prin'!$G$6)</f>
      </c>
      <c r="B7" s="4712"/>
      <c r="C7" s="4713">
        <f>IF($A7="","",'Bor-KP-Prin'!$G$47)</f>
      </c>
      <c r="D7" s="4713">
        <f t="shared" si="0"/>
      </c>
      <c r="E7" s="4713">
        <f t="shared" si="1"/>
      </c>
      <c r="F7" s="4713">
        <f t="shared" si="0"/>
      </c>
      <c r="G7" s="4713">
        <f t="shared" si="0"/>
      </c>
      <c r="H7" s="4713">
        <f>IF($A7="","",IF('Bor-KP-Prin'!$G$46="Yes","Yes","No"))</f>
      </c>
      <c r="I7" s="4713">
        <f>IF($A7="","",IF('Bor-KP-Prin'!$G$45="Yes","No","Yes"))</f>
      </c>
      <c r="J7" s="4713">
        <f t="shared" si="0"/>
      </c>
      <c r="K7" s="4713">
        <f t="shared" si="2"/>
      </c>
      <c r="L7" s="4713"/>
      <c r="M7" s="4713">
        <f>IF('Bor-KP-Prin'!$G$6="XXXX","",'Bor-KP-Prin'!$G$50)</f>
      </c>
      <c r="N7" s="4713"/>
      <c r="O7" s="4713">
        <f>IF('Bor-KP-Prin'!$G$6="XXXX","",'Bor-KP-Prin'!$G$51)</f>
      </c>
      <c r="P7" s="4713">
        <f>IF('Bor-KP-Prin'!$G$6="XXXX","",'Bor-KP-Prin'!$G$52)</f>
      </c>
      <c r="Q7" s="4713">
        <f>IF('Bor-KP-Prin'!$G$6="XXXX","",'Bor-KP-Prin'!$G$53)</f>
      </c>
      <c r="R7" s="4712"/>
      <c r="S7" s="4712"/>
      <c r="T7" s="4715"/>
      <c r="U7" s="4712"/>
      <c r="V7" s="4712"/>
      <c r="W7" s="4712"/>
      <c r="X7" s="4712"/>
      <c r="Y7" s="4712"/>
      <c r="Z7" s="4712"/>
      <c r="AA7" s="4712"/>
      <c r="AB7" s="4712"/>
      <c r="AC7" s="4712"/>
      <c r="AD7" s="4712"/>
      <c r="AE7" s="4712"/>
      <c r="AF7" s="4712"/>
      <c r="AG7" s="4712"/>
      <c r="AH7" s="4712"/>
      <c r="AI7" s="4712"/>
      <c r="AJ7" s="4712"/>
    </row>
    <row r="8" ht="12" customHeight="1">
      <c r="A8" s="4711">
        <f>IF(OR('Bor-KP-Prin'!$H$6="XXXX",ISBLANK('Bor-KP-Prin'!$H$6)),"",'Bor-KP-Prin'!$H$6)</f>
      </c>
      <c r="B8" s="4712"/>
      <c r="C8" s="4713">
        <f>IF($A8="","",'Bor-KP-Prin'!$H$47)</f>
      </c>
      <c r="D8" s="4713">
        <f t="shared" si="0"/>
      </c>
      <c r="E8" s="4713">
        <f t="shared" si="1"/>
      </c>
      <c r="F8" s="4713">
        <f t="shared" si="0"/>
      </c>
      <c r="G8" s="4713">
        <f t="shared" si="0"/>
      </c>
      <c r="H8" s="4713">
        <f>IF($A8="","",IF('Bor-KP-Prin'!$H$46="Yes","Yes","No"))</f>
      </c>
      <c r="I8" s="4713">
        <f>IF($A8="","",IF('Bor-KP-Prin'!$H$45="Yes","No","Yes"))</f>
      </c>
      <c r="J8" s="4713">
        <f t="shared" si="0"/>
      </c>
      <c r="K8" s="4713">
        <f t="shared" si="2"/>
      </c>
      <c r="L8" s="4713"/>
      <c r="M8" s="4713">
        <f>IF('Bor-KP-Prin'!$H$6="XXXX","",'Bor-KP-Prin'!$H$50)</f>
      </c>
      <c r="N8" s="4713"/>
      <c r="O8" s="4713">
        <f>IF('Bor-KP-Prin'!$H$6="XXXX","",'Bor-KP-Prin'!$H$51)</f>
      </c>
      <c r="P8" s="4713">
        <f>IF('Bor-KP-Prin'!$H$6="XXXX","",'Bor-KP-Prin'!$H$52)</f>
      </c>
      <c r="Q8" s="4713">
        <f>IF('Bor-KP-Prin'!$H$6="XXXX","",'Bor-KP-Prin'!$H$53)</f>
      </c>
      <c r="R8" s="4712"/>
      <c r="S8" s="4712"/>
      <c r="T8" s="4715"/>
      <c r="U8" s="4712"/>
      <c r="V8" s="4712"/>
      <c r="W8" s="4712"/>
      <c r="X8" s="4712"/>
      <c r="Y8" s="4712"/>
      <c r="Z8" s="4712"/>
      <c r="AA8" s="4712"/>
      <c r="AB8" s="4712"/>
      <c r="AC8" s="4712"/>
      <c r="AD8" s="4712"/>
      <c r="AE8" s="4712"/>
      <c r="AF8" s="4712"/>
      <c r="AG8" s="4712"/>
      <c r="AH8" s="4712"/>
      <c r="AI8" s="4712"/>
      <c r="AJ8" s="4712"/>
    </row>
    <row r="9" ht="12" customHeight="1">
      <c r="A9" s="4711">
        <f>IF(OR('Bor-KP-Prin'!$I$6="XXXX",ISBLANK('Bor-KP-Prin'!$I$6)),"",'Bor-KP-Prin'!$I$6)</f>
      </c>
      <c r="B9" s="4712"/>
      <c r="C9" s="4713">
        <f>IF($A9="","",'Bor-KP-Prin'!$I$47)</f>
      </c>
      <c r="D9" s="4713">
        <f t="shared" si="0"/>
      </c>
      <c r="E9" s="4713">
        <f t="shared" si="1"/>
      </c>
      <c r="F9" s="4713">
        <f t="shared" si="0"/>
      </c>
      <c r="G9" s="4713">
        <f t="shared" si="0"/>
      </c>
      <c r="H9" s="4713">
        <f>IF($A9="","",IF('Bor-KP-Prin'!$I$46="Yes","Yes","No"))</f>
      </c>
      <c r="I9" s="4713">
        <f>IF($A9="","",IF('Bor-KP-Prin'!$I$45="Yes","No","Yes"))</f>
      </c>
      <c r="J9" s="4713">
        <f t="shared" si="0"/>
      </c>
      <c r="K9" s="4713">
        <f t="shared" si="2"/>
      </c>
      <c r="L9" s="4713"/>
      <c r="M9" s="4713">
        <f>IF('Bor-KP-Prin'!$I$6="XXXX","",'Bor-KP-Prin'!$I$50)</f>
      </c>
      <c r="N9" s="4713"/>
      <c r="O9" s="4713">
        <f>IF('Bor-KP-Prin'!$I$6="XXXX","",'Bor-KP-Prin'!$I$51)</f>
      </c>
      <c r="P9" s="4713">
        <f>IF('Bor-KP-Prin'!$I$6="XXXX","",'Bor-KP-Prin'!$I$52)</f>
      </c>
      <c r="Q9" s="4713">
        <f>IF('Bor-KP-Prin'!$I$6="XXXX","",'Bor-KP-Prin'!$I$53)</f>
      </c>
      <c r="R9" s="4712"/>
      <c r="S9" s="4712"/>
      <c r="T9" s="4715"/>
      <c r="U9" s="4712"/>
      <c r="V9" s="4712"/>
      <c r="W9" s="4712"/>
      <c r="X9" s="4712"/>
      <c r="Y9" s="4712"/>
      <c r="Z9" s="4712"/>
      <c r="AA9" s="4712"/>
      <c r="AB9" s="4712"/>
      <c r="AC9" s="4712"/>
      <c r="AD9" s="4712"/>
      <c r="AE9" s="4712"/>
      <c r="AF9" s="4712"/>
      <c r="AG9" s="4712"/>
      <c r="AH9" s="4712"/>
      <c r="AI9" s="4712"/>
      <c r="AJ9" s="4712"/>
    </row>
    <row r="10" ht="12" customHeight="1">
      <c r="A10" s="4711">
        <f>IF(OR('Bor-KP-Prin'!$J$6="XXXX",ISBLANK('Bor-KP-Prin'!$J$6)),"",'Bor-KP-Prin'!$J$6)</f>
      </c>
      <c r="B10" s="4712"/>
      <c r="C10" s="4713">
        <f>IF($A10="","",'Bor-KP-Prin'!$J$47)</f>
      </c>
      <c r="D10" s="4713">
        <f t="shared" si="0"/>
      </c>
      <c r="E10" s="4713">
        <f t="shared" si="1"/>
      </c>
      <c r="F10" s="4713">
        <f t="shared" si="0"/>
      </c>
      <c r="G10" s="4713">
        <f t="shared" si="0"/>
      </c>
      <c r="H10" s="4713">
        <f>IF($A10="","",IF('Bor-KP-Prin'!$J$46="Yes","Yes","No"))</f>
      </c>
      <c r="I10" s="4713">
        <f>IF($A10="","",IF('Bor-KP-Prin'!$J$45="Yes","No","Yes"))</f>
      </c>
      <c r="J10" s="4713">
        <f t="shared" si="0"/>
      </c>
      <c r="K10" s="4713">
        <f t="shared" si="2"/>
      </c>
      <c r="L10" s="4713"/>
      <c r="M10" s="4713">
        <f>IF('Bor-KP-Prin'!$J$6="XXXX","",'Bor-KP-Prin'!$J$50)</f>
      </c>
      <c r="N10" s="4713"/>
      <c r="O10" s="4713">
        <f>IF('Bor-KP-Prin'!$J$6="XXXX","",'Bor-KP-Prin'!$J$51)</f>
      </c>
      <c r="P10" s="4713">
        <f>IF('Bor-KP-Prin'!$J$6="XXXX","",'Bor-KP-Prin'!$J$52)</f>
      </c>
      <c r="Q10" s="4713">
        <f>IF('Bor-KP-Prin'!$J$6="XXXX","",'Bor-KP-Prin'!$J$53)</f>
      </c>
      <c r="R10" s="4712"/>
      <c r="S10" s="4712"/>
      <c r="T10" s="4715"/>
      <c r="U10" s="4712"/>
      <c r="V10" s="4712"/>
      <c r="W10" s="4712"/>
      <c r="X10" s="4712"/>
      <c r="Y10" s="4712"/>
      <c r="Z10" s="4712"/>
      <c r="AA10" s="4712"/>
      <c r="AB10" s="4712"/>
      <c r="AC10" s="4712"/>
      <c r="AD10" s="4712"/>
      <c r="AE10" s="4712"/>
      <c r="AF10" s="4712"/>
      <c r="AG10" s="4712"/>
      <c r="AH10" s="4712"/>
      <c r="AI10" s="4712"/>
      <c r="AJ10" s="4712"/>
    </row>
    <row r="11" ht="12" customHeight="1">
      <c r="A11" s="4711">
        <f>IF(OR('Bor-KP-Prin'!$K$6="XXXX",ISBLANK('Bor-KP-Prin'!$K$6)),"",'Bor-KP-Prin'!$K$6)</f>
      </c>
      <c r="B11" s="4712"/>
      <c r="C11" s="4713">
        <f>IF($A11="","",'Bor-KP-Prin'!$K$47)</f>
      </c>
      <c r="D11" s="4713">
        <f t="shared" si="0"/>
      </c>
      <c r="E11" s="4713">
        <f t="shared" si="1"/>
      </c>
      <c r="F11" s="4713">
        <f t="shared" si="0"/>
      </c>
      <c r="G11" s="4713">
        <f t="shared" si="0"/>
      </c>
      <c r="H11" s="4713">
        <f>IF($A11="","",IF('Bor-KP-Prin'!$K$46="Yes","Yes","No"))</f>
      </c>
      <c r="I11" s="4713">
        <f>IF($A11="","",IF('Bor-KP-Prin'!$K$45="Yes","No","Yes"))</f>
      </c>
      <c r="J11" s="4713">
        <f t="shared" si="0"/>
      </c>
      <c r="K11" s="4713">
        <f t="shared" si="2"/>
      </c>
      <c r="L11" s="4713"/>
      <c r="M11" s="4713">
        <f>IF('Bor-KP-Prin'!$K$6="XXXX","",'Bor-KP-Prin'!$K$50)</f>
      </c>
      <c r="N11" s="4713"/>
      <c r="O11" s="4713">
        <f>IF('Bor-KP-Prin'!$K$6="XXXX","",'Bor-KP-Prin'!$K$51)</f>
      </c>
      <c r="P11" s="4713">
        <f>IF('Bor-KP-Prin'!$K$6="XXXX","",'Bor-KP-Prin'!$K$52)</f>
      </c>
      <c r="Q11" s="4713">
        <f>IF('Bor-KP-Prin'!$K$6="XXXX","",'Bor-KP-Prin'!$K$53)</f>
      </c>
      <c r="R11" s="4712"/>
      <c r="S11" s="4712"/>
      <c r="T11" s="4715"/>
      <c r="U11" s="4712"/>
      <c r="V11" s="4712"/>
      <c r="W11" s="4712"/>
      <c r="X11" s="4712"/>
      <c r="Y11" s="4712"/>
      <c r="Z11" s="4712"/>
      <c r="AA11" s="4712"/>
      <c r="AB11" s="4712"/>
      <c r="AC11" s="4712"/>
      <c r="AD11" s="4712"/>
      <c r="AE11" s="4712"/>
      <c r="AF11" s="4712"/>
      <c r="AG11" s="4712"/>
      <c r="AH11" s="4712"/>
      <c r="AI11" s="4712"/>
      <c r="AJ11" s="4712"/>
    </row>
    <row r="12" ht="12" customHeight="1">
      <c r="A12" s="4711">
        <f>IF(OR('Bor-KP-Prin'!$L$6="XXXX",ISBLANK('Bor-KP-Prin'!$L$6)),"",'Bor-KP-Prin'!$L$6)</f>
      </c>
      <c r="B12" s="4712"/>
      <c r="C12" s="4713">
        <f>IF($A12="","",'Bor-KP-Prin'!$L$47)</f>
      </c>
      <c r="D12" s="4713">
        <f t="shared" si="0"/>
      </c>
      <c r="E12" s="4713">
        <f t="shared" si="0"/>
      </c>
      <c r="F12" s="4713">
        <f>IF($A12="","",IF('Bor-KP-Prin'!$L$40="Managing KP","Key Managing Principal",IF('Bor-KP-Prin'!$L$40="Financial KP","Key Financial Principal",IF('Bor-KP-Prin'!$L$40="Managing &amp; Financial KP","Key Principal - Both Financial and Managing","Principal"))))</f>
      </c>
      <c r="G12" s="4713">
        <f t="shared" si="0"/>
      </c>
      <c r="H12" s="4713">
        <f t="shared" si="0"/>
      </c>
      <c r="I12" s="4713">
        <f t="shared" si="0"/>
      </c>
      <c r="J12" s="4713">
        <f t="shared" si="0"/>
      </c>
      <c r="K12" s="4713"/>
      <c r="L12" s="4713"/>
      <c r="M12" s="4713">
        <f>IF('Bor-KP-Prin'!$L$6="XXXX","",'Bor-KP-Prin'!$L$50)</f>
      </c>
      <c r="N12" s="4713"/>
      <c r="O12" s="4713">
        <f>IF('Bor-KP-Prin'!$L$6="XXXX","",'Bor-KP-Prin'!$L$51)</f>
      </c>
      <c r="P12" s="4713">
        <f>IF('Bor-KP-Prin'!$L$6="XXXX","",'Bor-KP-Prin'!$L$52)</f>
      </c>
      <c r="Q12" s="4713">
        <f>IF('Bor-KP-Prin'!$L$6="XXXX","",'Bor-KP-Prin'!$L$53)</f>
      </c>
      <c r="R12" s="4712"/>
      <c r="S12" s="4712"/>
      <c r="T12" s="4718"/>
      <c r="U12" s="4713">
        <f>IF($A12="","",IF('SBL Quotes'!$AN$32="Chapter 9 SBL","Non-Recourse with carve outs","No Recourse"))</f>
      </c>
      <c r="V12" s="4712"/>
      <c r="W12" s="4712"/>
      <c r="X12" s="4712"/>
      <c r="Y12" s="4712"/>
      <c r="Z12" s="4712"/>
      <c r="AA12" s="4712"/>
      <c r="AB12" s="4712"/>
      <c r="AC12" s="4712"/>
      <c r="AD12" s="4713">
        <f t="shared" si="3" ref="AD12:AD19">IF($A12="","",IF(Requested_Tier=2,"Bad acts/Carve-outs only","No"))</f>
      </c>
      <c r="AE12" s="4713">
        <f t="shared" si="4" ref="AE12:AE19">IF($A12="","",IF(Requested_Tier=2,"Full term of the loan",""))</f>
      </c>
      <c r="AF12" s="4713">
        <f>IF($A12="","",IF($F12="Principal",0,ROUND('Bor-KP-Prin'!$L$43,2)))</f>
      </c>
      <c r="AG12" s="4713">
        <f>IF($A12="","",ROUND('Bor-KP-Prin'!$L$42,2))</f>
      </c>
      <c r="AH12" s="4713">
        <f>IF($A12="","",ROUND('Bor-KP-Prin'!$L$41,2))</f>
      </c>
      <c r="AI12" s="4712"/>
      <c r="AJ12" s="4712"/>
    </row>
    <row r="13" ht="12" customHeight="1">
      <c r="A13" s="4711">
        <f>IF(OR('Bor-KP-Prin'!$M$6="XXXX",ISBLANK('Bor-KP-Prin'!$M$6)),"",'Bor-KP-Prin'!$M$6)</f>
      </c>
      <c r="B13" s="4712"/>
      <c r="C13" s="4713">
        <f>IF($A13="","",'Bor-KP-Prin'!$M$47)</f>
      </c>
      <c r="D13" s="4713">
        <f t="shared" si="0"/>
      </c>
      <c r="E13" s="4713">
        <f t="shared" si="0"/>
      </c>
      <c r="F13" s="4713">
        <f>IF($A13="","",IF('Bor-KP-Prin'!$M$40="Managing KP","Key Managing Principal",IF('Bor-KP-Prin'!$M$40="Financial KP","Key Financial Principal",IF('Bor-KP-Prin'!$M$40="Managing &amp; Financial KP","Key Principal - Both Financial and Managing","Principal"))))</f>
      </c>
      <c r="G13" s="4713">
        <f t="shared" si="0"/>
      </c>
      <c r="H13" s="4713">
        <f t="shared" si="0"/>
      </c>
      <c r="I13" s="4713">
        <f t="shared" si="0"/>
      </c>
      <c r="J13" s="4713">
        <f t="shared" si="0"/>
      </c>
      <c r="K13" s="4713"/>
      <c r="L13" s="4713"/>
      <c r="M13" s="4713">
        <f>IF('Bor-KP-Prin'!$M$6="XXXX","",'Bor-KP-Prin'!$M$50)</f>
      </c>
      <c r="N13" s="4713"/>
      <c r="O13" s="4713">
        <f>IF('Bor-KP-Prin'!$M$6="XXXX","",'Bor-KP-Prin'!$M$51)</f>
      </c>
      <c r="P13" s="4713">
        <f>IF('Bor-KP-Prin'!$M$6="XXXX","",'Bor-KP-Prin'!$M$52)</f>
      </c>
      <c r="Q13" s="4713">
        <f>IF('Bor-KP-Prin'!$M$6="XXXX","",'Bor-KP-Prin'!$M$53)</f>
      </c>
      <c r="R13" s="4712"/>
      <c r="S13" s="4712"/>
      <c r="T13" s="4718"/>
      <c r="U13" s="4713">
        <f>IF($A13="","",IF('SBL Quotes'!$AN$32="Chapter 9 SBL","Non-Recourse with carve outs","No Recourse"))</f>
      </c>
      <c r="V13" s="4712"/>
      <c r="W13" s="4712"/>
      <c r="X13" s="4712"/>
      <c r="Y13" s="4712"/>
      <c r="Z13" s="4712"/>
      <c r="AA13" s="4712"/>
      <c r="AB13" s="4712"/>
      <c r="AC13" s="4712"/>
      <c r="AD13" s="4713">
        <f t="shared" si="3"/>
      </c>
      <c r="AE13" s="4713">
        <f t="shared" si="4"/>
      </c>
      <c r="AF13" s="4713">
        <f>IF($A13="","",IF($F13="Principal",0,ROUND('Bor-KP-Prin'!$M$43,2)))</f>
      </c>
      <c r="AG13" s="4713">
        <f>IF($A13="","",ROUND('Bor-KP-Prin'!$M$42,2))</f>
      </c>
      <c r="AH13" s="4713">
        <f>IF($A13="","",ROUND('Bor-KP-Prin'!$M$41,2))</f>
      </c>
      <c r="AI13" s="4712"/>
      <c r="AJ13" s="4712"/>
    </row>
    <row r="14" ht="12" customHeight="1">
      <c r="A14" s="4711">
        <f>IF(OR('Bor-KP-Prin'!$N$6="XXXX",ISBLANK('Bor-KP-Prin'!$N$6)),"",'Bor-KP-Prin'!$N$6)</f>
      </c>
      <c r="B14" s="4712"/>
      <c r="C14" s="4713">
        <f>IF($A14="","",'Bor-KP-Prin'!$N$47)</f>
      </c>
      <c r="D14" s="4713">
        <f t="shared" si="0"/>
      </c>
      <c r="E14" s="4713">
        <f t="shared" si="0"/>
      </c>
      <c r="F14" s="4713">
        <f>IF($A14="","",IF('Bor-KP-Prin'!$N$40="Managing KP","Key Managing Principal",IF('Bor-KP-Prin'!$N$40="Financial KP","Key Financial Principal",IF('Bor-KP-Prin'!$N$40="Managing &amp; Financial KP","Key Principal - Both Financial and Managing","Principal"))))</f>
      </c>
      <c r="G14" s="4713">
        <f t="shared" si="0"/>
      </c>
      <c r="H14" s="4713">
        <f t="shared" si="0"/>
      </c>
      <c r="I14" s="4713">
        <f t="shared" si="0"/>
      </c>
      <c r="J14" s="4713">
        <f t="shared" si="0"/>
      </c>
      <c r="K14" s="4713"/>
      <c r="L14" s="4713"/>
      <c r="M14" s="4713">
        <f>IF('Bor-KP-Prin'!$N$6="XXXX","",'Bor-KP-Prin'!$N$50)</f>
      </c>
      <c r="N14" s="4713"/>
      <c r="O14" s="4713">
        <f>IF('Bor-KP-Prin'!$N$6="XXXX","",'Bor-KP-Prin'!$N$51)</f>
      </c>
      <c r="P14" s="4713">
        <f>IF('Bor-KP-Prin'!$N$6="XXXX","",'Bor-KP-Prin'!$N$52)</f>
      </c>
      <c r="Q14" s="4713">
        <f>IF('Bor-KP-Prin'!$N$6="XXXX","",'Bor-KP-Prin'!$N$53)</f>
      </c>
      <c r="R14" s="4712"/>
      <c r="S14" s="4712"/>
      <c r="T14" s="4718"/>
      <c r="U14" s="4713">
        <f>IF($A14="","",IF('SBL Quotes'!$AN$32="Chapter 9 SBL","Non-Recourse with carve outs","No Recourse"))</f>
      </c>
      <c r="V14" s="4712"/>
      <c r="W14" s="4712"/>
      <c r="X14" s="4712"/>
      <c r="Y14" s="4712"/>
      <c r="Z14" s="4712"/>
      <c r="AA14" s="4712"/>
      <c r="AB14" s="4712"/>
      <c r="AC14" s="4712"/>
      <c r="AD14" s="4713">
        <f t="shared" si="3"/>
      </c>
      <c r="AE14" s="4713">
        <f t="shared" si="4"/>
      </c>
      <c r="AF14" s="4713">
        <f>IF($A14="","",IF($F14="Principal",0,ROUND('Bor-KP-Prin'!$N$43,2)))</f>
      </c>
      <c r="AG14" s="4713">
        <f>IF($A14="","",ROUND('Bor-KP-Prin'!$N$42,2))</f>
      </c>
      <c r="AH14" s="4713">
        <f>IF($A14="","",ROUND('Bor-KP-Prin'!$N$41,2))</f>
      </c>
      <c r="AI14" s="4712"/>
      <c r="AJ14" s="4712"/>
    </row>
    <row r="15" ht="12" customHeight="1">
      <c r="A15" s="4711">
        <f>IF(OR('Bor-KP-Prin'!$O$6="XXXX",ISBLANK('Bor-KP-Prin'!$O$6)),"",'Bor-KP-Prin'!$O$6)</f>
      </c>
      <c r="B15" s="4712"/>
      <c r="C15" s="4713">
        <f>IF($A15="","",'Bor-KP-Prin'!$O$47)</f>
      </c>
      <c r="D15" s="4713">
        <f t="shared" si="0"/>
      </c>
      <c r="E15" s="4713">
        <f t="shared" si="0"/>
      </c>
      <c r="F15" s="4713">
        <f>IF($A15="","",IF('Bor-KP-Prin'!$O$40="Managing KP","Key Managing Principal",IF('Bor-KP-Prin'!$O$40="Financial KP","Key Financial Principal",IF('Bor-KP-Prin'!$O$40="Managing &amp; Financial KP","Key Principal - Both Financial and Managing","Principal"))))</f>
      </c>
      <c r="G15" s="4713">
        <f t="shared" si="0"/>
      </c>
      <c r="H15" s="4713">
        <f t="shared" si="0"/>
      </c>
      <c r="I15" s="4713">
        <f t="shared" si="0"/>
      </c>
      <c r="J15" s="4713">
        <f t="shared" si="0"/>
      </c>
      <c r="K15" s="4713"/>
      <c r="L15" s="4713"/>
      <c r="M15" s="4713">
        <f>IF('Bor-KP-Prin'!$O$6="XXXX","",'Bor-KP-Prin'!$O$50)</f>
      </c>
      <c r="N15" s="4713"/>
      <c r="O15" s="4713">
        <f>IF('Bor-KP-Prin'!$O$6="XXXX","",'Bor-KP-Prin'!$O$51)</f>
      </c>
      <c r="P15" s="4713">
        <f>IF('Bor-KP-Prin'!$O$6="XXXX","",'Bor-KP-Prin'!$O$52)</f>
      </c>
      <c r="Q15" s="4713">
        <f>IF('Bor-KP-Prin'!$O$6="XXXX","",'Bor-KP-Prin'!$O$53)</f>
      </c>
      <c r="R15" s="4712"/>
      <c r="S15" s="4712"/>
      <c r="T15" s="4718"/>
      <c r="U15" s="4713">
        <f>IF($A15="","",IF('SBL Quotes'!$AN$32="Chapter 9 SBL","Non-Recourse with carve outs","No Recourse"))</f>
      </c>
      <c r="V15" s="4712"/>
      <c r="W15" s="4712"/>
      <c r="X15" s="4712"/>
      <c r="Y15" s="4712"/>
      <c r="Z15" s="4712"/>
      <c r="AA15" s="4712"/>
      <c r="AB15" s="4712"/>
      <c r="AC15" s="4712"/>
      <c r="AD15" s="4713">
        <f t="shared" si="3"/>
      </c>
      <c r="AE15" s="4713">
        <f t="shared" si="4"/>
      </c>
      <c r="AF15" s="4713">
        <f>IF($A15="","",IF($F15="Principal",0,ROUND('Bor-KP-Prin'!$O$43,2)))</f>
      </c>
      <c r="AG15" s="4713">
        <f>IF($A15="","",ROUND('Bor-KP-Prin'!$O$42,2))</f>
      </c>
      <c r="AH15" s="4713">
        <f>IF($A15="","",ROUND('Bor-KP-Prin'!$O$41,2))</f>
      </c>
      <c r="AI15" s="4712"/>
      <c r="AJ15" s="4712"/>
    </row>
    <row r="16" ht="12" customHeight="1">
      <c r="A16" s="4711">
        <f>IF(OR('Bor-KP-Prin'!$P$6="XXXX",ISBLANK('Bor-KP-Prin'!$P$6)),"",'Bor-KP-Prin'!$P$6)</f>
      </c>
      <c r="B16" s="4712"/>
      <c r="C16" s="4713">
        <f>IF($A16="","",'Bor-KP-Prin'!$P$47)</f>
      </c>
      <c r="D16" s="4713">
        <f t="shared" si="0"/>
      </c>
      <c r="E16" s="4713">
        <f t="shared" si="0"/>
      </c>
      <c r="F16" s="4713">
        <f>IF($A16="","",IF('Bor-KP-Prin'!$P$40="Managing KP","Key Managing Principal",IF('Bor-KP-Prin'!$P$40="Financial KP","Key Financial Principal",IF('Bor-KP-Prin'!$P$40="Managing &amp; Financial KP","Key Principal - Both Financial and Managing","Principal"))))</f>
      </c>
      <c r="G16" s="4713">
        <f t="shared" si="0"/>
      </c>
      <c r="H16" s="4713">
        <f t="shared" si="0"/>
      </c>
      <c r="I16" s="4713">
        <f t="shared" si="0"/>
      </c>
      <c r="J16" s="4713">
        <f t="shared" si="0"/>
      </c>
      <c r="K16" s="4713"/>
      <c r="L16" s="4713"/>
      <c r="M16" s="4713">
        <f>IF('Bor-KP-Prin'!$P$6="XXXX","",'Bor-KP-Prin'!$P$50)</f>
      </c>
      <c r="N16" s="4713"/>
      <c r="O16" s="4713">
        <f>IF('Bor-KP-Prin'!$P$6="XXXX","",'Bor-KP-Prin'!$P$51)</f>
      </c>
      <c r="P16" s="4713">
        <f>IF('Bor-KP-Prin'!$P$6="XXXX","",'Bor-KP-Prin'!$P$52)</f>
      </c>
      <c r="Q16" s="4713">
        <f>IF('Bor-KP-Prin'!$P$6="XXXX","",'Bor-KP-Prin'!$P$53)</f>
      </c>
      <c r="R16" s="4712"/>
      <c r="S16" s="4712"/>
      <c r="T16" s="4718"/>
      <c r="U16" s="4713">
        <f>IF($A16="","",IF('SBL Quotes'!$AN$32="Chapter 9 SBL","Non-Recourse with carve outs","No Recourse"))</f>
      </c>
      <c r="V16" s="4712"/>
      <c r="W16" s="4712"/>
      <c r="X16" s="4712"/>
      <c r="Y16" s="4712"/>
      <c r="Z16" s="4712"/>
      <c r="AA16" s="4712"/>
      <c r="AB16" s="4712"/>
      <c r="AC16" s="4712"/>
      <c r="AD16" s="4713">
        <f t="shared" si="3"/>
      </c>
      <c r="AE16" s="4713">
        <f t="shared" si="4"/>
      </c>
      <c r="AF16" s="4713">
        <f>IF($A16="","",IF($F16="Principal",0,ROUND('Bor-KP-Prin'!$P$43,2)))</f>
      </c>
      <c r="AG16" s="4713">
        <f>IF($A16="","",ROUND('Bor-KP-Prin'!$P$42,2))</f>
      </c>
      <c r="AH16" s="4713">
        <f>IF($A16="","",ROUND('Bor-KP-Prin'!$P$41,2))</f>
      </c>
      <c r="AI16" s="4712"/>
      <c r="AJ16" s="4712"/>
    </row>
    <row r="17" ht="12" customHeight="1">
      <c r="A17" s="4711">
        <f>IF(OR('Bor-KP-Prin'!$Q$6="XXXX",ISBLANK('Bor-KP-Prin'!$Q$6)),"",'Bor-KP-Prin'!$Q$6)</f>
      </c>
      <c r="B17" s="4712"/>
      <c r="C17" s="4713">
        <f>IF($A17="","",'Bor-KP-Prin'!$Q$47)</f>
      </c>
      <c r="D17" s="4713">
        <f t="shared" si="0"/>
      </c>
      <c r="E17" s="4713">
        <f t="shared" si="0"/>
      </c>
      <c r="F17" s="4713">
        <f>IF($A17="","",IF('Bor-KP-Prin'!$Q$40="Managing KP","Key Managing Principal",IF('Bor-KP-Prin'!$Q$40="Financial KP","Key Financial Principal",IF('Bor-KP-Prin'!$Q$40="Managing &amp; Financial KP","Key Principal - Both Financial and Managing","Principal"))))</f>
      </c>
      <c r="G17" s="4713">
        <f t="shared" si="0"/>
      </c>
      <c r="H17" s="4713">
        <f t="shared" si="0"/>
      </c>
      <c r="I17" s="4713">
        <f t="shared" si="0"/>
      </c>
      <c r="J17" s="4713">
        <f t="shared" si="0"/>
      </c>
      <c r="K17" s="4713"/>
      <c r="L17" s="4713"/>
      <c r="M17" s="4713">
        <f>IF('Bor-KP-Prin'!$Q$6="XXXX","",'Bor-KP-Prin'!$Q$50)</f>
      </c>
      <c r="N17" s="4713"/>
      <c r="O17" s="4713">
        <f>IF('Bor-KP-Prin'!$Q$6="XXXX","",'Bor-KP-Prin'!$Q$51)</f>
      </c>
      <c r="P17" s="4713">
        <f>IF('Bor-KP-Prin'!$Q$6="XXXX","",'Bor-KP-Prin'!$Q$52)</f>
      </c>
      <c r="Q17" s="4713">
        <f>IF('Bor-KP-Prin'!$Q$6="XXXX","",'Bor-KP-Prin'!$Q$53)</f>
      </c>
      <c r="R17" s="4712"/>
      <c r="S17" s="4712"/>
      <c r="T17" s="4718"/>
      <c r="U17" s="4713">
        <f>IF($A17="","",IF('SBL Quotes'!$AN$32="Chapter 9 SBL","Non-Recourse with carve outs","No Recourse"))</f>
      </c>
      <c r="V17" s="4712"/>
      <c r="W17" s="4712"/>
      <c r="X17" s="4712"/>
      <c r="Y17" s="4712"/>
      <c r="Z17" s="4712"/>
      <c r="AA17" s="4712"/>
      <c r="AB17" s="4712"/>
      <c r="AC17" s="4712"/>
      <c r="AD17" s="4713">
        <f t="shared" si="3"/>
      </c>
      <c r="AE17" s="4713">
        <f t="shared" si="4"/>
      </c>
      <c r="AF17" s="4713">
        <f>IF($A17="","",IF($F17="Principal",0,ROUND('Bor-KP-Prin'!$Q$43,2)))</f>
      </c>
      <c r="AG17" s="4713">
        <f>IF($A17="","",ROUND('Bor-KP-Prin'!$Q$42,2))</f>
      </c>
      <c r="AH17" s="4713">
        <f>IF($A17="","",ROUND('Bor-KP-Prin'!$Q$41,2))</f>
      </c>
      <c r="AI17" s="4712"/>
      <c r="AJ17" s="4712"/>
    </row>
    <row r="18" ht="12" customHeight="1">
      <c r="A18" s="4711">
        <f>IF(OR('Bor-KP-Prin'!$R$6="XXXX",ISBLANK('Bor-KP-Prin'!$R$6)),"",'Bor-KP-Prin'!$R$6)</f>
      </c>
      <c r="B18" s="4712"/>
      <c r="C18" s="4713">
        <f>IF($A18="","",'Bor-KP-Prin'!$R$47)</f>
      </c>
      <c r="D18" s="4713">
        <f t="shared" si="0"/>
      </c>
      <c r="E18" s="4713">
        <f t="shared" si="0"/>
      </c>
      <c r="F18" s="4713">
        <f>IF($A18="","",IF('Bor-KP-Prin'!$R$40="Managing KP","Key Managing Principal",IF('Bor-KP-Prin'!$R$40="Financial KP","Key Financial Principal",IF('Bor-KP-Prin'!$R$40="Managing &amp; Financial KP","Key Principal - Both Financial and Managing","Principal"))))</f>
      </c>
      <c r="G18" s="4713">
        <f t="shared" si="0"/>
      </c>
      <c r="H18" s="4713">
        <f t="shared" si="0"/>
      </c>
      <c r="I18" s="4713">
        <f t="shared" si="0"/>
      </c>
      <c r="J18" s="4713">
        <f t="shared" si="0"/>
      </c>
      <c r="K18" s="4713"/>
      <c r="L18" s="4713"/>
      <c r="M18" s="4713">
        <f>IF('Bor-KP-Prin'!$R$6="XXXX","",'Bor-KP-Prin'!$R$50)</f>
      </c>
      <c r="N18" s="4713"/>
      <c r="O18" s="4713">
        <f>IF('Bor-KP-Prin'!$R$6="XXXX","",'Bor-KP-Prin'!$R$51)</f>
      </c>
      <c r="P18" s="4713">
        <f>IF('Bor-KP-Prin'!$R$6="XXXX","",'Bor-KP-Prin'!$R$52)</f>
      </c>
      <c r="Q18" s="4713">
        <f>IF('Bor-KP-Prin'!$R$6="XXXX","",'Bor-KP-Prin'!$R$53)</f>
      </c>
      <c r="R18" s="4712"/>
      <c r="S18" s="4712"/>
      <c r="T18" s="4718"/>
      <c r="U18" s="4713">
        <f>IF($A18="","",IF('SBL Quotes'!$AN$32="Chapter 9 SBL","Non-Recourse with carve outs","No Recourse"))</f>
      </c>
      <c r="V18" s="4712"/>
      <c r="W18" s="4712"/>
      <c r="X18" s="4712"/>
      <c r="Y18" s="4712"/>
      <c r="Z18" s="4712"/>
      <c r="AA18" s="4712"/>
      <c r="AB18" s="4712"/>
      <c r="AC18" s="4712"/>
      <c r="AD18" s="4713">
        <f t="shared" si="3"/>
      </c>
      <c r="AE18" s="4713">
        <f t="shared" si="4"/>
      </c>
      <c r="AF18" s="4713">
        <f>IF($A18="","",IF($F18="Principal",0,ROUND('Bor-KP-Prin'!$R$43,2)))</f>
      </c>
      <c r="AG18" s="4713">
        <f>IF($A18="","",ROUND('Bor-KP-Prin'!$R$42,2))</f>
      </c>
      <c r="AH18" s="4713">
        <f>IF($A18="","",ROUND('Bor-KP-Prin'!$R$41,2))</f>
      </c>
      <c r="AI18" s="4712"/>
      <c r="AJ18" s="4712"/>
    </row>
    <row r="19" ht="12" customHeight="1">
      <c r="A19" s="4711">
        <f>IF(OR('Bor-KP-Prin'!$S$6="XXXX",ISBLANK('Bor-KP-Prin'!$S$6)),"",'Bor-KP-Prin'!$S$6)</f>
      </c>
      <c r="B19" s="4712"/>
      <c r="C19" s="4713">
        <f>IF($A19="","",'Bor-KP-Prin'!$S$47)</f>
      </c>
      <c r="D19" s="4713">
        <f t="shared" si="0"/>
      </c>
      <c r="E19" s="4713">
        <f t="shared" si="0"/>
      </c>
      <c r="F19" s="4713">
        <f>IF($A19="","",IF('Bor-KP-Prin'!$S$40="Managing KP","Key Managing Principal",IF('Bor-KP-Prin'!$S$40="Financial KP","Key Financial Principal",IF('Bor-KP-Prin'!$S$40="Managing &amp; Financial KP","Key Principal - Both Financial and Managing","Principal"))))</f>
      </c>
      <c r="G19" s="4713">
        <f t="shared" si="0"/>
      </c>
      <c r="H19" s="4713">
        <f t="shared" si="0"/>
      </c>
      <c r="I19" s="4713">
        <f t="shared" si="0"/>
      </c>
      <c r="J19" s="4713">
        <f t="shared" si="0"/>
      </c>
      <c r="K19" s="4713"/>
      <c r="L19" s="4713"/>
      <c r="M19" s="4713">
        <f>IF('Bor-KP-Prin'!$S$6="XXXX","",'Bor-KP-Prin'!$S$50)</f>
      </c>
      <c r="N19" s="4713"/>
      <c r="O19" s="4713">
        <f>IF('Bor-KP-Prin'!$S$6="XXXX","",'Bor-KP-Prin'!$S$51)</f>
      </c>
      <c r="P19" s="4713">
        <f>IF('Bor-KP-Prin'!$S$6="XXXX","",'Bor-KP-Prin'!$S$52)</f>
      </c>
      <c r="Q19" s="4713">
        <f>IF('Bor-KP-Prin'!$S$6="XXXX","",'Bor-KP-Prin'!$S$53)</f>
      </c>
      <c r="R19" s="4712"/>
      <c r="S19" s="4712"/>
      <c r="T19" s="4718"/>
      <c r="U19" s="4713">
        <f>IF($A19="","",IF('SBL Quotes'!$AN$32="Chapter 9 SBL","Non-Recourse with carve outs","No Recourse"))</f>
      </c>
      <c r="V19" s="4712"/>
      <c r="W19" s="4712"/>
      <c r="X19" s="4712"/>
      <c r="Y19" s="4712"/>
      <c r="Z19" s="4712"/>
      <c r="AA19" s="4712"/>
      <c r="AB19" s="4712"/>
      <c r="AC19" s="4712"/>
      <c r="AD19" s="4713">
        <f t="shared" si="3"/>
      </c>
      <c r="AE19" s="4713">
        <f t="shared" si="4"/>
      </c>
      <c r="AF19" s="4713">
        <f>IF($A19="","",IF($F19="Principal",0,ROUND('Bor-KP-Prin'!$S$43,2)))</f>
      </c>
      <c r="AG19" s="4713">
        <f>IF($A19="","",ROUND('Bor-KP-Prin'!$S$42,2))</f>
      </c>
      <c r="AH19" s="4713">
        <f>IF($A19="","",ROUND('Bor-KP-Prin'!$S$41,2))</f>
      </c>
      <c r="AI19" s="4712"/>
      <c r="AJ19" s="4712"/>
    </row>
    <row r="20" ht="12" customHeight="1">
      <c r="A20" s="4711">
        <f>IF(OR('Bor-KP-Prin'!$T$6="XXXX",ISBLANK('Bor-KP-Prin'!$T$6)),"",'Bor-KP-Prin'!$T$6)</f>
      </c>
      <c r="B20" s="4712"/>
      <c r="C20" s="4713">
        <f>IF($A20="","",'Bor-KP-Prin'!$T$47)</f>
      </c>
      <c r="D20" s="4713">
        <f t="shared" si="0"/>
      </c>
      <c r="E20" s="4713">
        <f t="shared" si="0"/>
      </c>
      <c r="F20" s="4713">
        <f t="shared" si="5" ref="F20:F34">IF($A20="","","Principal")</f>
      </c>
      <c r="G20" s="4713">
        <f t="shared" si="0"/>
      </c>
      <c r="H20" s="4713">
        <f t="shared" si="0"/>
      </c>
      <c r="I20" s="4713">
        <f t="shared" si="0"/>
      </c>
      <c r="J20" s="4713">
        <f t="shared" si="0"/>
      </c>
      <c r="K20" s="4713"/>
      <c r="L20" s="4713"/>
      <c r="M20" s="4713">
        <f>IF('Bor-KP-Prin'!$T$6="XXXX","",'Bor-KP-Prin'!$T$50)</f>
      </c>
      <c r="N20" s="4713"/>
      <c r="O20" s="4713">
        <f>IF('Bor-KP-Prin'!$T$6="XXXX","",'Bor-KP-Prin'!$T$51)</f>
      </c>
      <c r="P20" s="4713">
        <f>IF('Bor-KP-Prin'!$T$6="XXXX","",'Bor-KP-Prin'!$T$52)</f>
      </c>
      <c r="Q20" s="4713">
        <f>IF('Bor-KP-Prin'!$T$6="XXXX","",'Bor-KP-Prin'!$T$53)</f>
      </c>
      <c r="R20" s="4712"/>
      <c r="S20" s="4712"/>
      <c r="T20" s="4718"/>
      <c r="U20" s="4712"/>
      <c r="V20" s="4712"/>
      <c r="W20" s="4712"/>
      <c r="X20" s="4712"/>
      <c r="Y20" s="4712"/>
      <c r="Z20" s="4712"/>
      <c r="AA20" s="4712"/>
      <c r="AB20" s="4712"/>
      <c r="AC20" s="4712"/>
      <c r="AD20" s="4712"/>
      <c r="AE20" s="4712"/>
      <c r="AF20" s="4712"/>
      <c r="AG20" s="4712"/>
      <c r="AH20" s="4712"/>
      <c r="AI20" s="4712"/>
      <c r="AJ20" s="4712"/>
    </row>
    <row r="21" ht="12" customHeight="1">
      <c r="A21" s="4711">
        <f>IF(OR('Bor-KP-Prin'!$U$6="XXXX",ISBLANK('Bor-KP-Prin'!$U$6)),"",'Bor-KP-Prin'!$U$6)</f>
      </c>
      <c r="B21" s="4712"/>
      <c r="C21" s="4713">
        <f>IF($A21="","",'Bor-KP-Prin'!$U$47)</f>
      </c>
      <c r="D21" s="4713">
        <f t="shared" si="0"/>
      </c>
      <c r="E21" s="4713">
        <f t="shared" si="0"/>
      </c>
      <c r="F21" s="4713">
        <f t="shared" si="5"/>
      </c>
      <c r="G21" s="4713">
        <f t="shared" si="0"/>
      </c>
      <c r="H21" s="4713">
        <f t="shared" si="0"/>
      </c>
      <c r="I21" s="4713">
        <f t="shared" si="0"/>
      </c>
      <c r="J21" s="4713">
        <f t="shared" si="0"/>
      </c>
      <c r="K21" s="4713"/>
      <c r="L21" s="4713"/>
      <c r="M21" s="4713">
        <f>IF('Bor-KP-Prin'!$U$6="XXXX","",'Bor-KP-Prin'!$U$50)</f>
      </c>
      <c r="N21" s="4713"/>
      <c r="O21" s="4713">
        <f>IF('Bor-KP-Prin'!$U$6="XXXX","",'Bor-KP-Prin'!$U$51)</f>
      </c>
      <c r="P21" s="4713">
        <f>IF('Bor-KP-Prin'!$U$6="XXXX","",'Bor-KP-Prin'!$U$52)</f>
      </c>
      <c r="Q21" s="4713">
        <f>IF('Bor-KP-Prin'!$U$6="XXXX","",'Bor-KP-Prin'!$U$53)</f>
      </c>
      <c r="R21" s="4712"/>
      <c r="S21" s="4712"/>
      <c r="T21" s="4718"/>
      <c r="U21" s="4712"/>
      <c r="V21" s="4712"/>
      <c r="W21" s="4712"/>
      <c r="X21" s="4712"/>
      <c r="Y21" s="4712"/>
      <c r="Z21" s="4712"/>
      <c r="AA21" s="4712"/>
      <c r="AB21" s="4712"/>
      <c r="AC21" s="4712"/>
      <c r="AD21" s="4712"/>
      <c r="AE21" s="4712"/>
      <c r="AF21" s="4712"/>
      <c r="AG21" s="4712"/>
      <c r="AH21" s="4712"/>
      <c r="AI21" s="4712"/>
      <c r="AJ21" s="4712"/>
    </row>
    <row r="22" ht="12" customHeight="1">
      <c r="A22" s="4711">
        <f>IF(OR('Bor-KP-Prin'!$V$6="XXXX",ISBLANK('Bor-KP-Prin'!$V$6)),"",'Bor-KP-Prin'!$V$6)</f>
      </c>
      <c r="B22" s="4712"/>
      <c r="C22" s="4713">
        <f>IF($A22="","",'Bor-KP-Prin'!$V$47)</f>
      </c>
      <c r="D22" s="4713">
        <f t="shared" si="0"/>
      </c>
      <c r="E22" s="4713">
        <f t="shared" si="0"/>
      </c>
      <c r="F22" s="4713">
        <f t="shared" si="5"/>
      </c>
      <c r="G22" s="4713">
        <f t="shared" si="0"/>
      </c>
      <c r="H22" s="4713">
        <f t="shared" si="0"/>
      </c>
      <c r="I22" s="4713">
        <f t="shared" si="0"/>
      </c>
      <c r="J22" s="4713">
        <f t="shared" si="0"/>
      </c>
      <c r="K22" s="4713"/>
      <c r="L22" s="4713"/>
      <c r="M22" s="4713">
        <f>IF('Bor-KP-Prin'!$V$6="XXXX","",'Bor-KP-Prin'!$V$50)</f>
      </c>
      <c r="N22" s="4713"/>
      <c r="O22" s="4713">
        <f>IF('Bor-KP-Prin'!$V$6="XXXX","",'Bor-KP-Prin'!$V$51)</f>
      </c>
      <c r="P22" s="4713">
        <f>IF('Bor-KP-Prin'!$V$6="XXXX","",'Bor-KP-Prin'!$V$52)</f>
      </c>
      <c r="Q22" s="4713">
        <f>IF('Bor-KP-Prin'!$V$6="XXXX","",'Bor-KP-Prin'!$V$53)</f>
      </c>
      <c r="R22" s="4712"/>
      <c r="S22" s="4712"/>
      <c r="T22" s="4718"/>
      <c r="U22" s="4712"/>
      <c r="V22" s="4712"/>
      <c r="W22" s="4712"/>
      <c r="X22" s="4712"/>
      <c r="Y22" s="4712"/>
      <c r="Z22" s="4712"/>
      <c r="AA22" s="4712"/>
      <c r="AB22" s="4712"/>
      <c r="AC22" s="4712"/>
      <c r="AD22" s="4712"/>
      <c r="AE22" s="4712"/>
      <c r="AF22" s="4712"/>
      <c r="AG22" s="4712"/>
      <c r="AH22" s="4712"/>
      <c r="AI22" s="4712"/>
      <c r="AJ22" s="4712"/>
    </row>
    <row r="23" ht="12" customHeight="1">
      <c r="A23" s="4711">
        <f>IF(OR('Bor-KP-Prin'!$W$6="XXXX",ISBLANK('Bor-KP-Prin'!$W$6)),"",'Bor-KP-Prin'!$W$6)</f>
      </c>
      <c r="B23" s="4712"/>
      <c r="C23" s="4713">
        <f>IF($A23="","",'Bor-KP-Prin'!$W$47)</f>
      </c>
      <c r="D23" s="4713">
        <f t="shared" si="0"/>
      </c>
      <c r="E23" s="4713">
        <f t="shared" si="0"/>
      </c>
      <c r="F23" s="4713">
        <f t="shared" si="5"/>
      </c>
      <c r="G23" s="4713">
        <f t="shared" si="0"/>
      </c>
      <c r="H23" s="4713">
        <f t="shared" si="0"/>
      </c>
      <c r="I23" s="4713">
        <f t="shared" si="0"/>
      </c>
      <c r="J23" s="4713">
        <f t="shared" si="0"/>
      </c>
      <c r="K23" s="4713"/>
      <c r="L23" s="4713"/>
      <c r="M23" s="4713">
        <f>IF('Bor-KP-Prin'!$W$6="XXXX","",'Bor-KP-Prin'!$W$50)</f>
      </c>
      <c r="N23" s="4713"/>
      <c r="O23" s="4713">
        <f>IF('Bor-KP-Prin'!$W$6="XXXX","",'Bor-KP-Prin'!$W$51)</f>
      </c>
      <c r="P23" s="4713">
        <f>IF('Bor-KP-Prin'!$W$6="XXXX","",'Bor-KP-Prin'!$W$52)</f>
      </c>
      <c r="Q23" s="4713">
        <f>IF('Bor-KP-Prin'!$W$6="XXXX","",'Bor-KP-Prin'!$W$53)</f>
      </c>
      <c r="R23" s="4712"/>
      <c r="S23" s="4712"/>
      <c r="T23" s="4718"/>
      <c r="U23" s="4712"/>
      <c r="V23" s="4712"/>
      <c r="W23" s="4712"/>
      <c r="X23" s="4712"/>
      <c r="Y23" s="4712"/>
      <c r="Z23" s="4712"/>
      <c r="AA23" s="4712"/>
      <c r="AB23" s="4712"/>
      <c r="AC23" s="4712"/>
      <c r="AD23" s="4712"/>
      <c r="AE23" s="4712"/>
      <c r="AF23" s="4712"/>
      <c r="AG23" s="4712"/>
      <c r="AH23" s="4712"/>
      <c r="AI23" s="4712"/>
      <c r="AJ23" s="4712"/>
    </row>
    <row r="24" ht="12" customHeight="1">
      <c r="A24" s="4711">
        <f>IF(OR('Bor-KP-Prin'!$X$6="XXXX",ISBLANK('Bor-KP-Prin'!$X$6)),"",'Bor-KP-Prin'!$X$6)</f>
      </c>
      <c r="B24" s="4712"/>
      <c r="C24" s="4713">
        <f>IF($A24="","",'Bor-KP-Prin'!$X$47)</f>
      </c>
      <c r="D24" s="4713">
        <f t="shared" si="0"/>
      </c>
      <c r="E24" s="4713">
        <f t="shared" si="0"/>
      </c>
      <c r="F24" s="4713">
        <f t="shared" si="5"/>
      </c>
      <c r="G24" s="4713">
        <f t="shared" si="0"/>
      </c>
      <c r="H24" s="4713">
        <f t="shared" si="0"/>
      </c>
      <c r="I24" s="4713">
        <f t="shared" si="0"/>
      </c>
      <c r="J24" s="4713">
        <f t="shared" si="0"/>
      </c>
      <c r="K24" s="4713"/>
      <c r="L24" s="4713"/>
      <c r="M24" s="4713">
        <f>IF('Bor-KP-Prin'!$X$6="XXXX","",'Bor-KP-Prin'!$X$50)</f>
      </c>
      <c r="N24" s="4713"/>
      <c r="O24" s="4713">
        <f>IF('Bor-KP-Prin'!$X$6="XXXX","",'Bor-KP-Prin'!$X$51)</f>
      </c>
      <c r="P24" s="4713">
        <f>IF('Bor-KP-Prin'!$X$6="XXXX","",'Bor-KP-Prin'!$X$52)</f>
      </c>
      <c r="Q24" s="4713">
        <f>IF('Bor-KP-Prin'!$X$6="XXXX","",'Bor-KP-Prin'!$X$53)</f>
      </c>
      <c r="R24" s="4712"/>
      <c r="S24" s="4712"/>
      <c r="T24" s="4718"/>
      <c r="U24" s="4712"/>
      <c r="V24" s="4712"/>
      <c r="W24" s="4712"/>
      <c r="X24" s="4712"/>
      <c r="Y24" s="4712"/>
      <c r="Z24" s="4712"/>
      <c r="AA24" s="4712"/>
      <c r="AB24" s="4712"/>
      <c r="AC24" s="4712"/>
      <c r="AD24" s="4712"/>
      <c r="AE24" s="4712"/>
      <c r="AF24" s="4712"/>
      <c r="AG24" s="4712"/>
      <c r="AH24" s="4712"/>
      <c r="AI24" s="4712"/>
      <c r="AJ24" s="4712"/>
    </row>
    <row r="25" ht="12" customHeight="1">
      <c r="A25" s="4711">
        <f>IF(OR('Bor-KP-Prin'!$Y$6="XXXX",ISBLANK('Bor-KP-Prin'!$Y$6)),"",'Bor-KP-Prin'!$Y$6)</f>
      </c>
      <c r="B25" s="4712"/>
      <c r="C25" s="4713">
        <f>IF($A25="","",'Bor-KP-Prin'!$Y$47)</f>
      </c>
      <c r="D25" s="4713">
        <f t="shared" si="0"/>
      </c>
      <c r="E25" s="4713">
        <f t="shared" si="0"/>
      </c>
      <c r="F25" s="4713">
        <f t="shared" si="5"/>
      </c>
      <c r="G25" s="4713">
        <f t="shared" si="0"/>
      </c>
      <c r="H25" s="4713">
        <f t="shared" si="0"/>
      </c>
      <c r="I25" s="4713">
        <f t="shared" si="0"/>
      </c>
      <c r="J25" s="4713">
        <f t="shared" si="0"/>
      </c>
      <c r="K25" s="4713"/>
      <c r="L25" s="4713"/>
      <c r="M25" s="4713">
        <f>IF('Bor-KP-Prin'!$Y$6="XXXX","",'Bor-KP-Prin'!$Y$50)</f>
      </c>
      <c r="N25" s="4713"/>
      <c r="O25" s="4713">
        <f>IF('Bor-KP-Prin'!$Y$6="XXXX","",'Bor-KP-Prin'!$Y$51)</f>
      </c>
      <c r="P25" s="4713">
        <f>IF('Bor-KP-Prin'!$Y$6="XXXX","",'Bor-KP-Prin'!$Y$52)</f>
      </c>
      <c r="Q25" s="4713">
        <f>IF('Bor-KP-Prin'!$Y$6="XXXX","",'Bor-KP-Prin'!$Y$53)</f>
      </c>
      <c r="R25" s="4712"/>
      <c r="S25" s="4712"/>
      <c r="T25" s="4718"/>
      <c r="U25" s="4712"/>
      <c r="V25" s="4712"/>
      <c r="W25" s="4712"/>
      <c r="X25" s="4712"/>
      <c r="Y25" s="4712"/>
      <c r="Z25" s="4712"/>
      <c r="AA25" s="4712"/>
      <c r="AB25" s="4712"/>
      <c r="AC25" s="4712"/>
      <c r="AD25" s="4712"/>
      <c r="AE25" s="4712"/>
      <c r="AF25" s="4712"/>
      <c r="AG25" s="4712"/>
      <c r="AH25" s="4712"/>
      <c r="AI25" s="4712"/>
      <c r="AJ25" s="4712"/>
    </row>
    <row r="26" ht="15" customHeight="1">
      <c r="A26" s="4711">
        <f>IF(OR('Bor-KP-Prin'!$Z$6="XXXX",ISBLANK('Bor-KP-Prin'!$Z$6)),"",'Bor-KP-Prin'!$Z$6)</f>
      </c>
      <c r="B26" s="4712"/>
      <c r="C26" s="4713">
        <f>IF($A26="","",'Bor-KP-Prin'!$Z$47)</f>
      </c>
      <c r="D26" s="4713">
        <f t="shared" si="0"/>
      </c>
      <c r="E26" s="4713">
        <f t="shared" si="0"/>
      </c>
      <c r="F26" s="4713">
        <f t="shared" si="5"/>
      </c>
      <c r="G26" s="4713">
        <f t="shared" si="0"/>
      </c>
      <c r="H26" s="4713">
        <f t="shared" si="0"/>
      </c>
      <c r="I26" s="4713">
        <f t="shared" si="0"/>
      </c>
      <c r="J26" s="4713">
        <f t="shared" si="0"/>
      </c>
      <c r="K26" s="4713"/>
      <c r="L26" s="4713"/>
      <c r="M26" s="4713">
        <f>IF('Bor-KP-Prin'!$Z$6="XXXX","",'Bor-KP-Prin'!$Z$50)</f>
      </c>
      <c r="N26" s="4713"/>
      <c r="O26" s="4713">
        <f>IF('Bor-KP-Prin'!$Z$6="XXXX","",'Bor-KP-Prin'!$Z$51)</f>
      </c>
      <c r="P26" s="4713">
        <f>IF('Bor-KP-Prin'!$Z$6="XXXX","",'Bor-KP-Prin'!$Z$52)</f>
      </c>
      <c r="Q26" s="4713">
        <f>IF('Bor-KP-Prin'!$Z$6="XXXX","",'Bor-KP-Prin'!$Z$53)</f>
      </c>
      <c r="R26" s="4712"/>
      <c r="S26" s="4712"/>
      <c r="T26" s="4718"/>
      <c r="U26" s="4712"/>
      <c r="V26" s="4712"/>
      <c r="W26" s="4712"/>
      <c r="X26" s="4712"/>
      <c r="Y26" s="4712"/>
      <c r="Z26" s="4712"/>
      <c r="AA26" s="4712"/>
      <c r="AB26" s="4712"/>
      <c r="AC26" s="4712"/>
      <c r="AD26" s="4712"/>
      <c r="AE26" s="4712"/>
      <c r="AF26" s="4712"/>
      <c r="AG26" s="4712"/>
      <c r="AH26" s="4712"/>
      <c r="AI26" s="4712"/>
      <c r="AJ26" s="4712"/>
    </row>
    <row r="27" ht="15" customHeight="1">
      <c r="A27" s="4711">
        <f>IF(OR('Bor-KP-Prin'!$AA$6="XXXX",ISBLANK('Bor-KP-Prin'!$AA$6)),"",'Bor-KP-Prin'!$AA$6)</f>
      </c>
      <c r="B27" s="4712"/>
      <c r="C27" s="4713">
        <f>IF($A27="","",'Bor-KP-Prin'!$AA$47)</f>
      </c>
      <c r="D27" s="4713">
        <f t="shared" si="0"/>
      </c>
      <c r="E27" s="4713">
        <f t="shared" si="0"/>
      </c>
      <c r="F27" s="4713">
        <f t="shared" si="5"/>
      </c>
      <c r="G27" s="4713">
        <f t="shared" si="0"/>
      </c>
      <c r="H27" s="4713">
        <f t="shared" si="0"/>
      </c>
      <c r="I27" s="4713">
        <f t="shared" si="0"/>
      </c>
      <c r="J27" s="4713">
        <f t="shared" si="0"/>
      </c>
      <c r="K27" s="4713"/>
      <c r="L27" s="4713"/>
      <c r="M27" s="4713">
        <f>IF('Bor-KP-Prin'!$AA$6="XXXX","",'Bor-KP-Prin'!$AA$50)</f>
      </c>
      <c r="N27" s="4713"/>
      <c r="O27" s="4713">
        <f>IF('Bor-KP-Prin'!$AA$6="XXXX","",'Bor-KP-Prin'!$AA$51)</f>
      </c>
      <c r="P27" s="4713">
        <f>IF('Bor-KP-Prin'!$AA$6="XXXX","",'Bor-KP-Prin'!$AA$52)</f>
      </c>
      <c r="Q27" s="4713">
        <f>IF('Bor-KP-Prin'!$AA$6="XXXX","",'Bor-KP-Prin'!$AA$53)</f>
      </c>
      <c r="R27" s="4712"/>
      <c r="S27" s="4712"/>
      <c r="T27" s="4718"/>
      <c r="U27" s="4712"/>
      <c r="V27" s="4712"/>
      <c r="W27" s="4712"/>
      <c r="X27" s="4712"/>
      <c r="Y27" s="4712"/>
      <c r="Z27" s="4712"/>
      <c r="AA27" s="4712"/>
      <c r="AB27" s="4712"/>
      <c r="AC27" s="4712"/>
      <c r="AD27" s="4712"/>
      <c r="AE27" s="4712"/>
      <c r="AF27" s="4712"/>
      <c r="AG27" s="4712"/>
      <c r="AH27" s="4712"/>
      <c r="AI27" s="4712"/>
      <c r="AJ27" s="4712"/>
    </row>
    <row r="28" ht="15" customHeight="1">
      <c r="A28" s="4711">
        <f>IF(OR('Bor-KP-Prin'!$AB$6="XXXX",ISBLANK('Bor-KP-Prin'!$AB$6)),"",'Bor-KP-Prin'!$AB$6)</f>
      </c>
      <c r="B28" s="4712"/>
      <c r="C28" s="4713">
        <f>IF($A28="","",'Bor-KP-Prin'!$AB$47)</f>
      </c>
      <c r="D28" s="4713">
        <f t="shared" si="0"/>
      </c>
      <c r="E28" s="4713">
        <f t="shared" si="0"/>
      </c>
      <c r="F28" s="4713">
        <f t="shared" si="5"/>
      </c>
      <c r="G28" s="4713">
        <f t="shared" si="0"/>
      </c>
      <c r="H28" s="4713">
        <f t="shared" si="0"/>
      </c>
      <c r="I28" s="4713">
        <f t="shared" si="0"/>
      </c>
      <c r="J28" s="4713">
        <f t="shared" si="0"/>
      </c>
      <c r="K28" s="4713"/>
      <c r="L28" s="4713"/>
      <c r="M28" s="4713">
        <f>IF('Bor-KP-Prin'!$AB$6="XXXX","",'Bor-KP-Prin'!$AB$50)</f>
      </c>
      <c r="N28" s="4713"/>
      <c r="O28" s="4713">
        <f>IF('Bor-KP-Prin'!$AB$6="XXXX","",'Bor-KP-Prin'!$AB$51)</f>
      </c>
      <c r="P28" s="4713">
        <f>IF('Bor-KP-Prin'!$AB$6="XXXX","",'Bor-KP-Prin'!$AB$52)</f>
      </c>
      <c r="Q28" s="4713">
        <f>IF('Bor-KP-Prin'!$AB$6="XXXX","",'Bor-KP-Prin'!$AB$53)</f>
      </c>
      <c r="R28" s="4712"/>
      <c r="S28" s="4712"/>
      <c r="T28" s="4718"/>
      <c r="U28" s="4712"/>
      <c r="V28" s="4712"/>
      <c r="W28" s="4712"/>
      <c r="X28" s="4712"/>
      <c r="Y28" s="4712"/>
      <c r="Z28" s="4712"/>
      <c r="AA28" s="4712"/>
      <c r="AB28" s="4712"/>
      <c r="AC28" s="4712"/>
      <c r="AD28" s="4712"/>
      <c r="AE28" s="4712"/>
      <c r="AF28" s="4712"/>
      <c r="AG28" s="4712"/>
      <c r="AH28" s="4712"/>
      <c r="AI28" s="4712"/>
      <c r="AJ28" s="4712"/>
    </row>
    <row r="29" ht="15" customHeight="1">
      <c r="A29" s="4711">
        <f>IF(OR('Bor-KP-Prin'!$AC$6="XXXX",ISBLANK('Bor-KP-Prin'!$AC$6)),"",'Bor-KP-Prin'!$AC$6)</f>
      </c>
      <c r="B29" s="4712"/>
      <c r="C29" s="4713">
        <f>IF($A29="","",'Bor-KP-Prin'!$AC$47)</f>
      </c>
      <c r="D29" s="4713">
        <f t="shared" si="0"/>
      </c>
      <c r="E29" s="4713">
        <f t="shared" si="0"/>
      </c>
      <c r="F29" s="4713">
        <f t="shared" si="5"/>
      </c>
      <c r="G29" s="4713">
        <f t="shared" si="0"/>
      </c>
      <c r="H29" s="4713">
        <f t="shared" si="0"/>
      </c>
      <c r="I29" s="4713">
        <f t="shared" si="0"/>
      </c>
      <c r="J29" s="4713">
        <f t="shared" si="0"/>
      </c>
      <c r="K29" s="4713"/>
      <c r="L29" s="4713"/>
      <c r="M29" s="4713">
        <f>IF('Bor-KP-Prin'!$AC$6="XXXX","",'Bor-KP-Prin'!$AC$50)</f>
      </c>
      <c r="N29" s="4713"/>
      <c r="O29" s="4713">
        <f>IF('Bor-KP-Prin'!$AC$6="XXXX","",'Bor-KP-Prin'!$AC$51)</f>
      </c>
      <c r="P29" s="4713">
        <f>IF('Bor-KP-Prin'!$AC$6="XXXX","",'Bor-KP-Prin'!$AC$52)</f>
      </c>
      <c r="Q29" s="4713">
        <f>IF('Bor-KP-Prin'!$AC$6="XXXX","",'Bor-KP-Prin'!$AC$53)</f>
      </c>
      <c r="R29" s="4712"/>
      <c r="S29" s="4712"/>
      <c r="T29" s="4718"/>
      <c r="U29" s="4712"/>
      <c r="V29" s="4712"/>
      <c r="W29" s="4712"/>
      <c r="X29" s="4712"/>
      <c r="Y29" s="4712"/>
      <c r="Z29" s="4712"/>
      <c r="AA29" s="4712"/>
      <c r="AB29" s="4712"/>
      <c r="AC29" s="4712"/>
      <c r="AD29" s="4712"/>
      <c r="AE29" s="4712"/>
      <c r="AF29" s="4712"/>
      <c r="AG29" s="4712"/>
      <c r="AH29" s="4712"/>
      <c r="AI29" s="4712"/>
      <c r="AJ29" s="4712"/>
    </row>
    <row r="30" ht="15" customHeight="1">
      <c r="A30" s="4711">
        <f>IF(OR('Bor-KP-Prin'!$AD$6="XXXX",ISBLANK('Bor-KP-Prin'!$AD$6)),"",'Bor-KP-Prin'!$AD$6)</f>
      </c>
      <c r="B30" s="4712"/>
      <c r="C30" s="4713">
        <f>IF($A30="","",'Bor-KP-Prin'!$AD$47)</f>
      </c>
      <c r="D30" s="4713">
        <f t="shared" si="0"/>
      </c>
      <c r="E30" s="4713">
        <f t="shared" si="0"/>
      </c>
      <c r="F30" s="4713">
        <f t="shared" si="5"/>
      </c>
      <c r="G30" s="4713">
        <f t="shared" si="0"/>
      </c>
      <c r="H30" s="4713">
        <f t="shared" si="0"/>
      </c>
      <c r="I30" s="4713">
        <f t="shared" si="0"/>
      </c>
      <c r="J30" s="4713">
        <f t="shared" si="0"/>
      </c>
      <c r="K30" s="4713"/>
      <c r="L30" s="4713"/>
      <c r="M30" s="4713">
        <f>IF('Bor-KP-Prin'!$AD$6="XXXX","",'Bor-KP-Prin'!$AD$50)</f>
      </c>
      <c r="N30" s="4713"/>
      <c r="O30" s="4713">
        <f>IF('Bor-KP-Prin'!$AD$6="XXXX","",'Bor-KP-Prin'!$AD$51)</f>
      </c>
      <c r="P30" s="4713">
        <f>IF('Bor-KP-Prin'!$AD$6="XXXX","",'Bor-KP-Prin'!$AD$52)</f>
      </c>
      <c r="Q30" s="4713">
        <f>IF('Bor-KP-Prin'!$AD$6="XXXX","",'Bor-KP-Prin'!$AD$53)</f>
      </c>
      <c r="R30" s="4712"/>
      <c r="S30" s="4712"/>
      <c r="T30" s="4718"/>
      <c r="U30" s="4712"/>
      <c r="V30" s="4712"/>
      <c r="W30" s="4712"/>
      <c r="X30" s="4712"/>
      <c r="Y30" s="4712"/>
      <c r="Z30" s="4712"/>
      <c r="AA30" s="4712"/>
      <c r="AB30" s="4712"/>
      <c r="AC30" s="4712"/>
      <c r="AD30" s="4712"/>
      <c r="AE30" s="4712"/>
      <c r="AF30" s="4712"/>
      <c r="AG30" s="4712"/>
      <c r="AH30" s="4712"/>
      <c r="AI30" s="4712"/>
      <c r="AJ30" s="4712"/>
    </row>
    <row r="31" ht="15" customHeight="1">
      <c r="A31" s="4711">
        <f>IF(OR('Bor-KP-Prin'!$AE$6="XXXX",ISBLANK('Bor-KP-Prin'!$AE$6)),"",'Bor-KP-Prin'!$AE$6)</f>
      </c>
      <c r="B31" s="4712"/>
      <c r="C31" s="4713">
        <f>IF($A31="","",'Bor-KP-Prin'!$AE$47)</f>
      </c>
      <c r="D31" s="4713">
        <f t="shared" si="0"/>
      </c>
      <c r="E31" s="4713">
        <f t="shared" si="0"/>
      </c>
      <c r="F31" s="4713">
        <f t="shared" si="5"/>
      </c>
      <c r="G31" s="4713">
        <f t="shared" si="0"/>
      </c>
      <c r="H31" s="4713">
        <f t="shared" si="0"/>
      </c>
      <c r="I31" s="4713">
        <f t="shared" si="0"/>
      </c>
      <c r="J31" s="4713">
        <f t="shared" si="0"/>
      </c>
      <c r="K31" s="4713"/>
      <c r="L31" s="4713"/>
      <c r="M31" s="4713">
        <f>IF('Bor-KP-Prin'!$AE$6="XXXX","",'Bor-KP-Prin'!$AE$50)</f>
      </c>
      <c r="N31" s="4713"/>
      <c r="O31" s="4713">
        <f>IF('Bor-KP-Prin'!$AE$6="XXXX","",'Bor-KP-Prin'!$AE$51)</f>
      </c>
      <c r="P31" s="4713">
        <f>IF('Bor-KP-Prin'!$AE$6="XXXX","",'Bor-KP-Prin'!$AE$52)</f>
      </c>
      <c r="Q31" s="4713">
        <f>IF('Bor-KP-Prin'!$AE$6="XXXX","",'Bor-KP-Prin'!$AE$53)</f>
      </c>
      <c r="R31" s="4712"/>
      <c r="S31" s="4712"/>
      <c r="T31" s="4718"/>
      <c r="U31" s="4712"/>
      <c r="V31" s="4712"/>
      <c r="W31" s="4712"/>
      <c r="X31" s="4712"/>
      <c r="Y31" s="4712"/>
      <c r="Z31" s="4712"/>
      <c r="AA31" s="4712"/>
      <c r="AB31" s="4712"/>
      <c r="AC31" s="4712"/>
      <c r="AD31" s="4712"/>
      <c r="AE31" s="4712"/>
      <c r="AF31" s="4712"/>
      <c r="AG31" s="4712"/>
      <c r="AH31" s="4712"/>
      <c r="AI31" s="4712"/>
      <c r="AJ31" s="4712"/>
    </row>
    <row r="32" ht="15" customHeight="1">
      <c r="A32" s="4711">
        <f>IF(OR('Bor-KP-Prin'!$AF$6="XXXX",ISBLANK('Bor-KP-Prin'!$AF$6)),"",'Bor-KP-Prin'!$AF$6)</f>
      </c>
      <c r="B32" s="4712"/>
      <c r="C32" s="4713">
        <f>IF($A32="","",'Bor-KP-Prin'!$AF$47)</f>
      </c>
      <c r="D32" s="4713">
        <f t="shared" si="0"/>
      </c>
      <c r="E32" s="4713">
        <f t="shared" si="0"/>
      </c>
      <c r="F32" s="4713">
        <f t="shared" si="5"/>
      </c>
      <c r="G32" s="4713">
        <f t="shared" si="0"/>
      </c>
      <c r="H32" s="4713">
        <f t="shared" si="0"/>
      </c>
      <c r="I32" s="4713">
        <f t="shared" si="0"/>
      </c>
      <c r="J32" s="4713">
        <f t="shared" si="0"/>
      </c>
      <c r="K32" s="4713"/>
      <c r="L32" s="4713"/>
      <c r="M32" s="4713">
        <f>IF('Bor-KP-Prin'!$AF$6="XXXX","",'Bor-KP-Prin'!$AF$50)</f>
      </c>
      <c r="N32" s="4713"/>
      <c r="O32" s="4713">
        <f>IF('Bor-KP-Prin'!$AF$6="XXXX","",'Bor-KP-Prin'!$AF$51)</f>
      </c>
      <c r="P32" s="4713">
        <f>IF('Bor-KP-Prin'!$AF$6="XXXX","",'Bor-KP-Prin'!$AF$52)</f>
      </c>
      <c r="Q32" s="4713">
        <f>IF('Bor-KP-Prin'!$AF$6="XXXX","",'Bor-KP-Prin'!$AF$53)</f>
      </c>
      <c r="R32" s="4712"/>
      <c r="S32" s="4712"/>
      <c r="T32" s="4718"/>
      <c r="U32" s="4712"/>
      <c r="V32" s="4712"/>
      <c r="W32" s="4712"/>
      <c r="X32" s="4712"/>
      <c r="Y32" s="4712"/>
      <c r="Z32" s="4712"/>
      <c r="AA32" s="4712"/>
      <c r="AB32" s="4712"/>
      <c r="AC32" s="4712"/>
      <c r="AD32" s="4712"/>
      <c r="AE32" s="4712"/>
      <c r="AF32" s="4712"/>
      <c r="AG32" s="4712"/>
      <c r="AH32" s="4712"/>
      <c r="AI32" s="4712"/>
      <c r="AJ32" s="4712"/>
    </row>
    <row r="33" ht="15" customHeight="1">
      <c r="A33" s="4711">
        <f>IF(OR('Bor-KP-Prin'!$AG$6="XXXX",ISBLANK('Bor-KP-Prin'!$AG$6)),"",'Bor-KP-Prin'!$AG$6)</f>
      </c>
      <c r="B33" s="4712"/>
      <c r="C33" s="4713">
        <f>IF($A33="","",'Bor-KP-Prin'!$AG$47)</f>
      </c>
      <c r="D33" s="4713">
        <f t="shared" si="0"/>
      </c>
      <c r="E33" s="4713">
        <f t="shared" si="0"/>
      </c>
      <c r="F33" s="4713">
        <f t="shared" si="5"/>
      </c>
      <c r="G33" s="4713">
        <f t="shared" si="0"/>
      </c>
      <c r="H33" s="4713">
        <f t="shared" si="0"/>
      </c>
      <c r="I33" s="4713">
        <f t="shared" si="0"/>
      </c>
      <c r="J33" s="4713">
        <f t="shared" si="0"/>
      </c>
      <c r="K33" s="4713"/>
      <c r="L33" s="4713"/>
      <c r="M33" s="4713">
        <f>IF('Bor-KP-Prin'!$AG$6="XXXX","",'Bor-KP-Prin'!$AG$50)</f>
      </c>
      <c r="N33" s="4713"/>
      <c r="O33" s="4713">
        <f>IF('Bor-KP-Prin'!$AG$6="XXXX","",'Bor-KP-Prin'!$AG$51)</f>
      </c>
      <c r="P33" s="4713">
        <f>IF('Bor-KP-Prin'!$AG$6="XXXX","",'Bor-KP-Prin'!$AG$52)</f>
      </c>
      <c r="Q33" s="4713">
        <f>IF('Bor-KP-Prin'!$AG$6="XXXX","",'Bor-KP-Prin'!$AG$53)</f>
      </c>
      <c r="R33" s="4712"/>
      <c r="S33" s="4712"/>
      <c r="T33" s="4718"/>
      <c r="U33" s="4712"/>
      <c r="V33" s="4712"/>
      <c r="W33" s="4712"/>
      <c r="X33" s="4712"/>
      <c r="Y33" s="4712"/>
      <c r="Z33" s="4712"/>
      <c r="AA33" s="4712"/>
      <c r="AB33" s="4712"/>
      <c r="AC33" s="4712"/>
      <c r="AD33" s="4712"/>
      <c r="AE33" s="4712"/>
      <c r="AF33" s="4712"/>
      <c r="AG33" s="4712"/>
      <c r="AH33" s="4712"/>
      <c r="AI33" s="4712"/>
      <c r="AJ33" s="4712"/>
    </row>
    <row r="34" ht="15" customHeight="1">
      <c r="A34" s="4711">
        <f>IF(OR('Bor-KP-Prin'!$AH$6="XXXX",ISBLANK('Bor-KP-Prin'!$AH$6)),"",'Bor-KP-Prin'!$AH$6)</f>
      </c>
      <c r="B34" s="4712"/>
      <c r="C34" s="4713">
        <f>IF($A34="","",'Bor-KP-Prin'!$AH$47)</f>
      </c>
      <c r="D34" s="4713">
        <f t="shared" si="0"/>
      </c>
      <c r="E34" s="4713">
        <f t="shared" si="0"/>
      </c>
      <c r="F34" s="4713">
        <f t="shared" si="5"/>
      </c>
      <c r="G34" s="4713">
        <f t="shared" si="0"/>
      </c>
      <c r="H34" s="4713">
        <f t="shared" si="0"/>
      </c>
      <c r="I34" s="4713">
        <f t="shared" si="0"/>
      </c>
      <c r="J34" s="4713">
        <f t="shared" si="0"/>
      </c>
      <c r="K34" s="4713"/>
      <c r="L34" s="4713"/>
      <c r="M34" s="4713">
        <f>IF('Bor-KP-Prin'!$AH$6="XXXX","",'Bor-KP-Prin'!$AH$50)</f>
      </c>
      <c r="N34" s="4713"/>
      <c r="O34" s="4713">
        <f>IF('Bor-KP-Prin'!$AH$6="XXXX","",'Bor-KP-Prin'!$AH$51)</f>
      </c>
      <c r="P34" s="4713">
        <f>IF('Bor-KP-Prin'!$AH$6="XXXX","",'Bor-KP-Prin'!$AH$52)</f>
      </c>
      <c r="Q34" s="4713">
        <f>IF('Bor-KP-Prin'!$AH$6="XXXX","",'Bor-KP-Prin'!$AH$53)</f>
      </c>
      <c r="R34" s="4712"/>
      <c r="S34" s="4712"/>
      <c r="T34" s="4718"/>
      <c r="U34" s="4712"/>
      <c r="V34" s="4712"/>
      <c r="W34" s="4712"/>
      <c r="X34" s="4712"/>
      <c r="Y34" s="4712"/>
      <c r="Z34" s="4712"/>
      <c r="AA34" s="4712"/>
      <c r="AB34" s="4712"/>
      <c r="AC34" s="4712"/>
      <c r="AD34" s="4712"/>
      <c r="AE34" s="4712"/>
      <c r="AF34" s="4712"/>
      <c r="AG34" s="4712"/>
      <c r="AH34" s="4712"/>
      <c r="AI34" s="4712"/>
      <c r="AJ34" s="4712"/>
    </row>
  </sheetData>
  <printOptions/>
  <pageMargins left="0.75" right="0.75" top="1" bottom="1" header="0.5" footer="0.5"/>
  <pageSetup paperSize="1" useFirstPageNumber="1" firstPageNumber="1" pageOrder="downThenOver" orientation="portrait"/>
  <headerFooter>
    <oddFooter>&amp;L&amp;CConfidential - Internal Distribution&amp;R</oddFooter>
  </headerFooter>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414A80B-1A5B-B4C1-FA1F-5BACB015F908}" mc:Ignorable="x14ac xr xr2 xr3">
  <sheetPr>
    <tabColor theme="0" tint="-0.5"/>
  </sheetPr>
  <dimension ref="A1:DB146"/>
  <sheetViews>
    <sheetView topLeftCell="A1" workbookViewId="0">
      <selection activeCell="E6" sqref="E6:E145"/>
    </sheetView>
  </sheetViews>
  <sheetFormatPr defaultRowHeight="15" defaultColWidth="0" customHeight="1"/>
  <cols>
    <col min="1" max="1" style="4723" width="30.57421875" customWidth="1"/>
    <col min="2" max="2" style="4720" width="45.28125" customWidth="1"/>
    <col min="3" max="3" style="21" width="23.00390625" customWidth="1"/>
    <col min="4" max="4" style="21" width="3.140625" customWidth="1"/>
    <col min="5" max="5" style="21" width="18.57421875" customWidth="1"/>
    <col min="6" max="6" style="21" width="22.28125" customWidth="1"/>
    <col min="7" max="7" style="21" width="4.57421875" customWidth="1"/>
    <col min="8" max="106" style="21" width="8.8515625" hidden="1" customWidth="1"/>
  </cols>
  <sheetData>
    <row r="1" ht="15" customHeight="1">
      <c r="A1" s="4719" t="s">
        <v>4438</v>
      </c>
      <c r="B1" s="1332"/>
      <c r="C1" s="4720"/>
      <c r="D1" s="4720"/>
      <c r="E1" s="4720"/>
      <c r="F1" s="4720"/>
    </row>
    <row r="2" ht="15" customHeight="1">
      <c r="B2" s="4721" t="s">
        <v>4439</v>
      </c>
      <c r="C2" s="1934" t="b">
        <f>E6&lt;C6</f>
        <v>0</v>
      </c>
    </row>
    <row r="3" ht="15" customHeight="1">
      <c r="B3" s="4721" t="s">
        <v>4440</v>
      </c>
      <c r="C3" s="4722" t="s">
        <v>493</v>
      </c>
      <c r="F3" s="4723"/>
    </row>
    <row r="5" ht="15" customHeight="1">
      <c r="B5" s="4724" t="s">
        <v>4441</v>
      </c>
      <c r="C5" s="4725"/>
      <c r="E5" s="4726" t="s">
        <v>4442</v>
      </c>
    </row>
    <row r="6" ht="15" customHeight="1">
      <c r="B6" s="4727" t="s">
        <v>4443</v>
      </c>
      <c r="C6" s="4728">
        <v>45184</v>
      </c>
      <c r="E6" s="4729">
        <v>45184</v>
      </c>
    </row>
    <row r="7" ht="15" customHeight="1">
      <c r="A7" s="4730"/>
      <c r="B7" s="4727" t="s">
        <v>4444</v>
      </c>
      <c r="C7" s="4731">
        <v>0.053133</v>
      </c>
      <c r="E7" s="4732">
        <v>0.053133</v>
      </c>
    </row>
    <row r="8" ht="15" customHeight="1">
      <c r="A8" s="4730"/>
      <c r="B8" s="4727" t="s">
        <v>4445</v>
      </c>
      <c r="C8" s="4731">
        <v>0.053271</v>
      </c>
      <c r="E8" s="4733">
        <v>0.053271</v>
      </c>
    </row>
    <row r="9" ht="15" customHeight="1">
      <c r="A9" s="4730"/>
      <c r="B9" s="4727" t="s">
        <v>4446</v>
      </c>
      <c r="C9" s="4731">
        <v>0.053704</v>
      </c>
      <c r="E9" s="4733">
        <v>0.053704</v>
      </c>
    </row>
    <row r="10" ht="15" customHeight="1">
      <c r="B10" s="4727" t="s">
        <v>4447</v>
      </c>
      <c r="C10" s="4731">
        <v>0.053271</v>
      </c>
      <c r="E10" s="4732">
        <v>0.053271</v>
      </c>
    </row>
    <row r="11" ht="15" customHeight="1">
      <c r="B11" s="4727" t="s">
        <v>4448</v>
      </c>
      <c r="C11" s="4731">
        <v>0.053704</v>
      </c>
      <c r="E11" s="4732">
        <v>0.053704</v>
      </c>
    </row>
    <row r="12" ht="15" customHeight="1">
      <c r="B12" s="4727" t="s">
        <v>4449</v>
      </c>
      <c r="C12" s="4731">
        <v>0.054609</v>
      </c>
      <c r="E12" s="4732">
        <v>0.054609</v>
      </c>
    </row>
    <row r="13" ht="15" customHeight="1">
      <c r="B13" s="4727" t="s">
        <v>4450</v>
      </c>
      <c r="C13" s="4731">
        <v>0.055226</v>
      </c>
      <c r="E13" s="4732">
        <v>0.055226</v>
      </c>
    </row>
    <row r="14" ht="15" customHeight="1">
      <c r="A14" s="4730"/>
      <c r="B14" s="4727" t="s">
        <v>4451</v>
      </c>
      <c r="C14" s="4731">
        <v>0.054237</v>
      </c>
      <c r="E14" s="4732">
        <v>0.054237</v>
      </c>
    </row>
    <row r="15" ht="15" customHeight="1">
      <c r="A15" s="4730"/>
      <c r="B15" s="4727" t="s">
        <v>4452</v>
      </c>
      <c r="C15" s="4731">
        <v>0.050347</v>
      </c>
      <c r="E15" s="4732">
        <v>0.050347</v>
      </c>
    </row>
    <row r="16" ht="15" customHeight="1">
      <c r="A16" s="4730"/>
      <c r="B16" s="4727" t="s">
        <v>4453</v>
      </c>
      <c r="C16" s="4731">
        <v>0.047126</v>
      </c>
      <c r="E16" s="4732">
        <v>0.047126</v>
      </c>
    </row>
    <row r="17" ht="15" customHeight="1">
      <c r="A17" s="4730"/>
      <c r="B17" s="4727" t="s">
        <v>4454</v>
      </c>
      <c r="C17" s="4731">
        <v>0.045816</v>
      </c>
      <c r="E17" s="4732">
        <v>0.045816</v>
      </c>
    </row>
    <row r="18" ht="15" customHeight="1">
      <c r="A18" s="4730"/>
      <c r="B18" s="4727" t="s">
        <v>4455</v>
      </c>
      <c r="C18" s="4731">
        <v>0.044509</v>
      </c>
      <c r="E18" s="4732">
        <v>0.044509</v>
      </c>
    </row>
    <row r="19" ht="15" customHeight="1">
      <c r="A19" s="4730"/>
      <c r="B19" s="4727" t="s">
        <v>4456</v>
      </c>
      <c r="C19" s="4731">
        <v>0.044065</v>
      </c>
      <c r="E19" s="4732">
        <v>0.044065</v>
      </c>
    </row>
    <row r="20" ht="15" customHeight="1">
      <c r="A20" s="4730"/>
      <c r="B20" s="4727" t="s">
        <v>4457</v>
      </c>
      <c r="C20" s="4731">
        <v>0.043144</v>
      </c>
      <c r="E20" s="4732">
        <v>0.043144</v>
      </c>
    </row>
    <row r="21" ht="15" customHeight="1">
      <c r="A21" s="4730"/>
      <c r="B21" s="4727" t="s">
        <v>4458</v>
      </c>
      <c r="C21" s="4731">
        <v>0.04582</v>
      </c>
      <c r="E21" s="4733">
        <v>0.04582</v>
      </c>
    </row>
    <row r="22" ht="15" customHeight="1">
      <c r="A22" s="4730"/>
      <c r="B22" s="4727" t="s">
        <v>4459</v>
      </c>
      <c r="C22" s="4731">
        <v>0.043957</v>
      </c>
      <c r="E22" s="4732">
        <v>0.043957</v>
      </c>
    </row>
    <row r="23" ht="15" customHeight="1">
      <c r="A23" s="4730"/>
      <c r="B23" s="4727" t="s">
        <v>4460</v>
      </c>
      <c r="C23" s="4731">
        <v>0.0069</v>
      </c>
      <c r="E23" s="4732">
        <v>0.0069</v>
      </c>
    </row>
    <row r="24" ht="15" customHeight="1">
      <c r="A24" s="4730"/>
      <c r="B24" s="4727" t="s">
        <v>4461</v>
      </c>
      <c r="C24" s="4731">
        <v>0.0069</v>
      </c>
      <c r="E24" s="4732">
        <v>0.0069</v>
      </c>
    </row>
    <row r="25" ht="15" customHeight="1">
      <c r="A25" s="4730"/>
      <c r="B25" s="4727" t="s">
        <v>4462</v>
      </c>
      <c r="C25" s="4731">
        <v>0.0073</v>
      </c>
      <c r="E25" s="4732">
        <v>0.0073</v>
      </c>
    </row>
    <row r="26" ht="15" customHeight="1">
      <c r="A26" s="4730"/>
      <c r="B26" s="4727" t="s">
        <v>4463</v>
      </c>
      <c r="C26" s="4731">
        <v>0.0087</v>
      </c>
      <c r="E26" s="4732">
        <v>0.0087</v>
      </c>
    </row>
    <row r="27" ht="15" customHeight="1">
      <c r="A27" s="4730"/>
      <c r="B27" s="4727" t="s">
        <v>4464</v>
      </c>
      <c r="C27" s="4731">
        <v>0.0105</v>
      </c>
      <c r="E27" s="4732">
        <v>0.0105</v>
      </c>
    </row>
    <row r="28" ht="15" customHeight="1">
      <c r="A28" s="4730"/>
      <c r="B28" s="4727" t="s">
        <v>4465</v>
      </c>
      <c r="C28" s="4731">
        <v>0.0121</v>
      </c>
      <c r="E28" s="4732">
        <v>0.0121</v>
      </c>
    </row>
    <row r="29" ht="15" customHeight="1">
      <c r="A29" s="4730"/>
      <c r="B29" s="4727" t="s">
        <v>4466</v>
      </c>
      <c r="C29" s="4731">
        <v>0.013</v>
      </c>
      <c r="E29" s="4732">
        <v>0.013</v>
      </c>
    </row>
    <row r="30" ht="15" customHeight="1">
      <c r="A30" s="4730"/>
      <c r="B30" s="4727" t="s">
        <v>4467</v>
      </c>
      <c r="C30" s="4731">
        <v>0.0129</v>
      </c>
      <c r="E30" s="4732">
        <v>0.0129</v>
      </c>
    </row>
    <row r="31" ht="15" customHeight="1">
      <c r="A31" s="4730"/>
      <c r="B31" s="4727" t="s">
        <v>4468</v>
      </c>
      <c r="C31" s="4731">
        <v>0.0129</v>
      </c>
      <c r="E31" s="4732">
        <v>0.0129</v>
      </c>
    </row>
    <row r="32" ht="15" customHeight="1">
      <c r="A32" s="4730"/>
      <c r="B32" s="4734" t="s">
        <v>4469</v>
      </c>
      <c r="C32" s="4731">
        <v>0.0133</v>
      </c>
      <c r="E32" s="4732">
        <v>0.0133</v>
      </c>
    </row>
    <row r="33" ht="15" customHeight="1">
      <c r="B33" s="4735" t="s">
        <v>4470</v>
      </c>
      <c r="C33" s="4736">
        <v>0.0234</v>
      </c>
      <c r="E33" s="4732">
        <v>0.0234</v>
      </c>
    </row>
    <row r="34" ht="15" customHeight="1">
      <c r="B34" s="4737" t="s">
        <v>4471</v>
      </c>
      <c r="C34" s="4736">
        <v>0.0207</v>
      </c>
      <c r="E34" s="4732">
        <v>0.0207</v>
      </c>
    </row>
    <row r="35" ht="15" customHeight="1">
      <c r="B35" s="4737" t="s">
        <v>4472</v>
      </c>
      <c r="C35" s="4736">
        <v>0.0192</v>
      </c>
      <c r="E35" s="4732">
        <v>0.0192</v>
      </c>
    </row>
    <row r="36" ht="15" customHeight="1">
      <c r="B36" s="4737" t="s">
        <v>4473</v>
      </c>
      <c r="C36" s="4736">
        <v>0.0192</v>
      </c>
      <c r="E36" s="4732">
        <v>0.0192</v>
      </c>
    </row>
    <row r="37" ht="15" customHeight="1">
      <c r="B37" s="4737" t="s">
        <v>4474</v>
      </c>
      <c r="C37" s="4736">
        <v>0.0192</v>
      </c>
      <c r="E37" s="4732">
        <v>0.0192</v>
      </c>
    </row>
    <row r="38" ht="15" customHeight="1">
      <c r="B38" s="4737" t="s">
        <v>4475</v>
      </c>
      <c r="C38" s="4736">
        <v>0.0192</v>
      </c>
      <c r="E38" s="4732">
        <v>0.0192</v>
      </c>
    </row>
    <row r="39" ht="15" customHeight="1">
      <c r="B39" s="4737" t="s">
        <v>4476</v>
      </c>
      <c r="C39" s="4736">
        <v>0.0192</v>
      </c>
      <c r="E39" s="4732">
        <v>0.0192</v>
      </c>
    </row>
    <row r="40" ht="15" customHeight="1">
      <c r="B40" s="4737" t="s">
        <v>4477</v>
      </c>
      <c r="C40" s="4736">
        <v>0.0234</v>
      </c>
      <c r="E40" s="4732">
        <v>0.0234</v>
      </c>
    </row>
    <row r="41" ht="15" customHeight="1">
      <c r="B41" s="4737" t="s">
        <v>4478</v>
      </c>
      <c r="C41" s="4736">
        <v>0.0207</v>
      </c>
      <c r="E41" s="4732">
        <v>0.0207</v>
      </c>
    </row>
    <row r="42" ht="15" customHeight="1">
      <c r="A42" s="21"/>
      <c r="B42" s="4738" t="s">
        <v>4479</v>
      </c>
      <c r="C42" s="4736">
        <v>0.0192</v>
      </c>
      <c r="E42" s="4732">
        <v>0.0192</v>
      </c>
    </row>
    <row r="43" ht="15" customHeight="1">
      <c r="A43" s="4730"/>
      <c r="B43" s="4735" t="s">
        <v>4480</v>
      </c>
      <c r="C43" s="4731">
        <v>0.018</v>
      </c>
      <c r="E43" s="4733">
        <v>0.018</v>
      </c>
    </row>
    <row r="44" ht="15" customHeight="1">
      <c r="A44" s="4730"/>
      <c r="B44" s="4737" t="s">
        <v>4481</v>
      </c>
      <c r="C44" s="4731">
        <v>0.0176</v>
      </c>
      <c r="E44" s="4733">
        <v>0.0176</v>
      </c>
    </row>
    <row r="45" ht="15" customHeight="1">
      <c r="A45" s="4730"/>
      <c r="B45" s="4737" t="s">
        <v>4482</v>
      </c>
      <c r="C45" s="4731">
        <v>0.0172</v>
      </c>
      <c r="E45" s="4733">
        <v>0.0172</v>
      </c>
    </row>
    <row r="46" ht="15" customHeight="1">
      <c r="A46" s="4730"/>
      <c r="B46" s="4737" t="s">
        <v>4483</v>
      </c>
      <c r="C46" s="4731">
        <v>0.0172</v>
      </c>
      <c r="E46" s="4733">
        <v>0.0172</v>
      </c>
    </row>
    <row r="47" ht="15" customHeight="1">
      <c r="A47" s="4730"/>
      <c r="B47" s="4737" t="s">
        <v>4484</v>
      </c>
      <c r="C47" s="4731">
        <v>0.0172</v>
      </c>
      <c r="E47" s="4733">
        <v>0.0172</v>
      </c>
    </row>
    <row r="48" ht="15" customHeight="1">
      <c r="A48" s="4730"/>
      <c r="B48" s="4737" t="s">
        <v>4485</v>
      </c>
      <c r="C48" s="4731">
        <v>0.0172</v>
      </c>
      <c r="E48" s="4733">
        <v>0.0172</v>
      </c>
    </row>
    <row r="49" ht="15" customHeight="1">
      <c r="A49" s="4730"/>
      <c r="B49" s="4737" t="s">
        <v>4486</v>
      </c>
      <c r="C49" s="4731">
        <v>0.0172</v>
      </c>
      <c r="E49" s="4733">
        <v>0.0172</v>
      </c>
    </row>
    <row r="50" ht="15" customHeight="1">
      <c r="A50" s="4730"/>
      <c r="B50" s="4737" t="s">
        <v>4487</v>
      </c>
      <c r="C50" s="4731">
        <v>0.018</v>
      </c>
      <c r="E50" s="4733">
        <v>0.018</v>
      </c>
    </row>
    <row r="51" ht="15" customHeight="1">
      <c r="A51" s="4730"/>
      <c r="B51" s="4737" t="s">
        <v>4488</v>
      </c>
      <c r="C51" s="4731">
        <v>0.0176</v>
      </c>
      <c r="E51" s="4733">
        <v>0.0176</v>
      </c>
    </row>
    <row r="52" ht="15" customHeight="1">
      <c r="A52" s="4730"/>
      <c r="B52" s="4738" t="s">
        <v>4489</v>
      </c>
      <c r="C52" s="4731">
        <v>0.0172</v>
      </c>
      <c r="E52" s="4733">
        <v>0.0172</v>
      </c>
    </row>
    <row r="53" ht="15" customHeight="1">
      <c r="A53" s="4730"/>
      <c r="B53" s="4735" t="s">
        <v>4490</v>
      </c>
      <c r="C53" s="4731">
        <v>0.016</v>
      </c>
      <c r="E53" s="4733">
        <v>0.016</v>
      </c>
    </row>
    <row r="54" ht="15" customHeight="1">
      <c r="A54" s="4730"/>
      <c r="B54" s="4737" t="s">
        <v>4491</v>
      </c>
      <c r="C54" s="4731">
        <v>0.0156</v>
      </c>
      <c r="E54" s="4733">
        <v>0.0156</v>
      </c>
    </row>
    <row r="55" ht="15" customHeight="1">
      <c r="A55" s="4730"/>
      <c r="B55" s="4737" t="s">
        <v>4492</v>
      </c>
      <c r="C55" s="4731">
        <v>0.0152</v>
      </c>
      <c r="E55" s="4733">
        <v>0.0152</v>
      </c>
    </row>
    <row r="56" ht="15" customHeight="1">
      <c r="A56" s="4730"/>
      <c r="B56" s="4737" t="s">
        <v>4493</v>
      </c>
      <c r="C56" s="4731">
        <v>0.0152</v>
      </c>
      <c r="E56" s="4733">
        <v>0.0152</v>
      </c>
    </row>
    <row r="57" ht="15" customHeight="1">
      <c r="A57" s="4730"/>
      <c r="B57" s="4737" t="s">
        <v>4494</v>
      </c>
      <c r="C57" s="4731">
        <v>0.0152</v>
      </c>
      <c r="E57" s="4733">
        <v>0.0152</v>
      </c>
    </row>
    <row r="58" ht="15" customHeight="1">
      <c r="A58" s="4730"/>
      <c r="B58" s="4737" t="s">
        <v>4495</v>
      </c>
      <c r="C58" s="4731">
        <v>0.0152</v>
      </c>
      <c r="E58" s="4733">
        <v>0.0152</v>
      </c>
    </row>
    <row r="59" ht="15" customHeight="1">
      <c r="A59" s="4730"/>
      <c r="B59" s="4737" t="s">
        <v>4496</v>
      </c>
      <c r="C59" s="4731">
        <v>0.0152</v>
      </c>
      <c r="E59" s="4733">
        <v>0.0152</v>
      </c>
    </row>
    <row r="60" ht="15" customHeight="1">
      <c r="A60" s="4730"/>
      <c r="B60" s="4737" t="s">
        <v>4497</v>
      </c>
      <c r="C60" s="4731">
        <v>0.016</v>
      </c>
      <c r="E60" s="4733">
        <v>0.016</v>
      </c>
    </row>
    <row r="61" ht="15" customHeight="1">
      <c r="A61" s="4730"/>
      <c r="B61" s="4737" t="s">
        <v>4498</v>
      </c>
      <c r="C61" s="4731">
        <v>0.0156</v>
      </c>
      <c r="E61" s="4733">
        <v>0.0156</v>
      </c>
    </row>
    <row r="62" ht="15" customHeight="1">
      <c r="A62" s="4730"/>
      <c r="B62" s="4738" t="s">
        <v>4499</v>
      </c>
      <c r="C62" s="4731">
        <v>0.0152</v>
      </c>
      <c r="E62" s="4733">
        <v>0.0152</v>
      </c>
    </row>
    <row r="63" ht="15" customHeight="1">
      <c r="A63" s="4730"/>
      <c r="B63" s="4727" t="s">
        <v>4500</v>
      </c>
      <c r="C63" s="4731"/>
      <c r="E63" s="4732"/>
    </row>
    <row r="64" ht="15" customHeight="1">
      <c r="A64" s="4730"/>
      <c r="B64" s="4727" t="s">
        <v>4501</v>
      </c>
      <c r="C64" s="4731">
        <v>0.02</v>
      </c>
      <c r="E64" s="4732">
        <v>0.02</v>
      </c>
    </row>
    <row r="65" ht="15" customHeight="1">
      <c r="A65" s="4730"/>
      <c r="B65" s="4727" t="s">
        <v>4502</v>
      </c>
      <c r="C65" s="4731">
        <v>0.005936</v>
      </c>
      <c r="E65" s="4732">
        <v>0.005936</v>
      </c>
    </row>
    <row r="66" ht="15" customHeight="1">
      <c r="A66" s="4730"/>
      <c r="B66" s="4727" t="s">
        <v>4503</v>
      </c>
      <c r="C66" s="4731">
        <v>0.001328</v>
      </c>
      <c r="E66" s="4732">
        <v>0.001328</v>
      </c>
    </row>
    <row r="67" ht="15" customHeight="1">
      <c r="A67" s="4730"/>
      <c r="B67" s="4727" t="s">
        <v>4504</v>
      </c>
      <c r="C67" s="4731">
        <v>-0.001809</v>
      </c>
      <c r="E67" s="4732">
        <v>-0.001809</v>
      </c>
    </row>
    <row r="68" ht="15" customHeight="1">
      <c r="A68" s="4730"/>
      <c r="B68" s="4727" t="s">
        <v>4505</v>
      </c>
      <c r="C68" s="4731">
        <v>-0.003627</v>
      </c>
      <c r="E68" s="4732">
        <v>-0.003627</v>
      </c>
    </row>
    <row r="69" ht="15" customHeight="1">
      <c r="A69" s="4730"/>
      <c r="B69" s="4727" t="s">
        <v>4506</v>
      </c>
      <c r="C69" s="4731">
        <v>0.007325</v>
      </c>
      <c r="E69" s="4732">
        <v>0.007325</v>
      </c>
    </row>
    <row r="70" ht="15" customHeight="1">
      <c r="A70" s="4730"/>
      <c r="B70" s="4727" t="s">
        <v>4507</v>
      </c>
      <c r="C70" s="4731">
        <v>0.003449</v>
      </c>
      <c r="E70" s="4732">
        <v>0.003449</v>
      </c>
    </row>
    <row r="71" ht="15" customHeight="1">
      <c r="A71" s="4730"/>
      <c r="B71" s="4727" t="s">
        <v>4508</v>
      </c>
      <c r="C71" s="4731">
        <v>0.000418</v>
      </c>
      <c r="E71" s="4732">
        <v>0.000418</v>
      </c>
    </row>
    <row r="72" ht="15" customHeight="1">
      <c r="A72" s="4730"/>
      <c r="B72" s="4727" t="s">
        <v>4509</v>
      </c>
      <c r="C72" s="4731">
        <v>-0.003359</v>
      </c>
      <c r="E72" s="4732">
        <v>-0.003359</v>
      </c>
    </row>
    <row r="73" ht="15" customHeight="1">
      <c r="A73" s="4730"/>
      <c r="B73" s="4727" t="s">
        <v>4510</v>
      </c>
      <c r="C73" s="4731">
        <v>-0.00409</v>
      </c>
      <c r="E73" s="4732">
        <v>-0.00409</v>
      </c>
    </row>
    <row r="74" ht="15" customHeight="1">
      <c r="A74" s="4730"/>
      <c r="B74" s="4727" t="s">
        <v>4511</v>
      </c>
      <c r="C74" s="4731">
        <v>0.00938</v>
      </c>
      <c r="E74" s="4732">
        <v>0.00938</v>
      </c>
    </row>
    <row r="75" ht="15" customHeight="1">
      <c r="A75" s="4730"/>
      <c r="B75" s="4727" t="s">
        <v>4512</v>
      </c>
      <c r="C75" s="4731">
        <v>0.007074</v>
      </c>
      <c r="E75" s="4732">
        <v>0.007074</v>
      </c>
    </row>
    <row r="76" ht="15" customHeight="1">
      <c r="A76" s="4730"/>
      <c r="B76" s="4727" t="s">
        <v>4513</v>
      </c>
      <c r="C76" s="4731">
        <v>0.005143</v>
      </c>
      <c r="E76" s="4732">
        <v>0.005143</v>
      </c>
    </row>
    <row r="77" ht="15" customHeight="1">
      <c r="A77" s="4730"/>
      <c r="B77" s="4727" t="s">
        <v>4514</v>
      </c>
      <c r="C77" s="4731">
        <v>0.002258</v>
      </c>
      <c r="E77" s="4732">
        <v>0.002258</v>
      </c>
    </row>
    <row r="78" ht="15" customHeight="1">
      <c r="A78" s="4730"/>
      <c r="B78" s="4727" t="s">
        <v>4515</v>
      </c>
      <c r="C78" s="4731">
        <v>-0.000265</v>
      </c>
      <c r="E78" s="4732">
        <v>-0.000265</v>
      </c>
    </row>
    <row r="79" ht="15" customHeight="1">
      <c r="A79" s="4730"/>
      <c r="B79" s="4727" t="s">
        <v>4516</v>
      </c>
      <c r="C79" s="4731">
        <v>0.01064</v>
      </c>
      <c r="E79" s="4732">
        <v>0.01064</v>
      </c>
    </row>
    <row r="80" ht="15" customHeight="1">
      <c r="A80" s="4730"/>
      <c r="B80" s="4727" t="s">
        <v>4517</v>
      </c>
      <c r="C80" s="4731">
        <v>0.009411</v>
      </c>
      <c r="E80" s="4732">
        <v>0.009411</v>
      </c>
    </row>
    <row r="81" ht="15" customHeight="1">
      <c r="A81" s="4730"/>
      <c r="B81" s="4727" t="s">
        <v>4518</v>
      </c>
      <c r="C81" s="4731">
        <v>0.008375</v>
      </c>
      <c r="E81" s="4732">
        <v>0.008375</v>
      </c>
    </row>
    <row r="82" ht="15" customHeight="1">
      <c r="A82" s="4730"/>
      <c r="B82" s="4727" t="s">
        <v>4519</v>
      </c>
      <c r="C82" s="4731">
        <v>0.006768</v>
      </c>
      <c r="E82" s="4732">
        <v>0.006768</v>
      </c>
    </row>
    <row r="83" ht="15" customHeight="1">
      <c r="A83" s="4730"/>
      <c r="B83" s="4727" t="s">
        <v>4520</v>
      </c>
      <c r="C83" s="4731">
        <v>0.004847</v>
      </c>
      <c r="E83" s="4732">
        <v>0.004847</v>
      </c>
    </row>
    <row r="84" ht="15" customHeight="1">
      <c r="A84" s="4730"/>
      <c r="B84" s="4727" t="s">
        <v>4521</v>
      </c>
      <c r="C84" s="4731">
        <v>0.010751</v>
      </c>
      <c r="E84" s="4732">
        <v>0.010751</v>
      </c>
    </row>
    <row r="85" ht="15" customHeight="1">
      <c r="A85" s="4730"/>
      <c r="B85" s="4727" t="s">
        <v>4522</v>
      </c>
      <c r="C85" s="4731">
        <v>0.009582</v>
      </c>
      <c r="E85" s="4732">
        <v>0.009582</v>
      </c>
    </row>
    <row r="86" ht="15" customHeight="1">
      <c r="A86" s="4730"/>
      <c r="B86" s="4727" t="s">
        <v>4523</v>
      </c>
      <c r="C86" s="4731">
        <v>0.008586</v>
      </c>
      <c r="E86" s="4732">
        <v>0.008586</v>
      </c>
    </row>
    <row r="87" ht="15" customHeight="1">
      <c r="A87" s="4730"/>
      <c r="B87" s="4727" t="s">
        <v>4524</v>
      </c>
      <c r="C87" s="4731">
        <v>0.006981</v>
      </c>
      <c r="E87" s="4732">
        <v>0.006981</v>
      </c>
    </row>
    <row r="88" ht="15" customHeight="1">
      <c r="A88" s="4730"/>
      <c r="B88" s="4727" t="s">
        <v>4525</v>
      </c>
      <c r="C88" s="4731">
        <v>0.00404</v>
      </c>
      <c r="E88" s="4732">
        <v>0.00404</v>
      </c>
    </row>
    <row r="89" ht="15" customHeight="1">
      <c r="B89" s="4727" t="s">
        <v>4526</v>
      </c>
      <c r="C89" s="4731">
        <v>0.007</v>
      </c>
      <c r="E89" s="4732">
        <v>0.007</v>
      </c>
    </row>
    <row r="90" ht="15" customHeight="1">
      <c r="B90" s="4727" t="s">
        <v>4527</v>
      </c>
      <c r="C90" s="4731">
        <v>0.0003</v>
      </c>
      <c r="E90" s="4732">
        <v>0.0003</v>
      </c>
    </row>
    <row r="91" ht="15" customHeight="1">
      <c r="B91" s="4727" t="s">
        <v>4528</v>
      </c>
      <c r="C91" s="4731">
        <v>0.0052</v>
      </c>
      <c r="E91" s="4732">
        <v>0.0052</v>
      </c>
    </row>
    <row r="92" ht="15" customHeight="1">
      <c r="B92" s="4727" t="s">
        <v>4529</v>
      </c>
      <c r="C92" s="4731">
        <v>0</v>
      </c>
      <c r="E92" s="4732">
        <v>0</v>
      </c>
    </row>
    <row r="93" ht="15" customHeight="1">
      <c r="A93" s="4730"/>
      <c r="B93" s="4727" t="s">
        <v>4530</v>
      </c>
      <c r="C93" s="4731">
        <v>-0.0068</v>
      </c>
      <c r="E93" s="4732">
        <v>-0.0068</v>
      </c>
    </row>
    <row r="94" ht="15" customHeight="1">
      <c r="A94" s="4730"/>
      <c r="B94" s="4727" t="s">
        <v>4531</v>
      </c>
      <c r="C94" s="4731"/>
      <c r="E94" s="4732"/>
    </row>
    <row r="95" ht="15" customHeight="1">
      <c r="A95" s="4730"/>
      <c r="B95" s="4727" t="s">
        <v>4532</v>
      </c>
      <c r="C95" s="4731">
        <v>0.008</v>
      </c>
      <c r="E95" s="4732">
        <v>0.008</v>
      </c>
    </row>
    <row r="96" ht="15" customHeight="1">
      <c r="A96" s="4730"/>
      <c r="B96" s="4727" t="s">
        <v>4533</v>
      </c>
      <c r="C96" s="4731">
        <v>0.0001</v>
      </c>
      <c r="E96" s="4732">
        <v>0.0001</v>
      </c>
    </row>
    <row r="97" ht="15" customHeight="1">
      <c r="A97" s="4730"/>
      <c r="B97" s="4727" t="s">
        <v>4534</v>
      </c>
      <c r="C97" s="4731">
        <v>0.0005</v>
      </c>
      <c r="E97" s="4732">
        <v>0.0005</v>
      </c>
    </row>
    <row r="98" ht="15" customHeight="1">
      <c r="A98" s="4730"/>
      <c r="B98" s="4727" t="s">
        <v>4535</v>
      </c>
      <c r="C98" s="4731">
        <v>0.0007</v>
      </c>
      <c r="E98" s="4732">
        <v>0.0007</v>
      </c>
    </row>
    <row r="99" ht="15" customHeight="1">
      <c r="A99" s="4730"/>
      <c r="B99" s="4727" t="s">
        <v>4536</v>
      </c>
      <c r="C99" s="4731">
        <v>0.001</v>
      </c>
      <c r="E99" s="4732">
        <v>0.001</v>
      </c>
    </row>
    <row r="100" ht="15" customHeight="1">
      <c r="A100" s="4730"/>
      <c r="B100" s="4727" t="s">
        <v>4537</v>
      </c>
      <c r="C100" s="4731">
        <v>0.0014</v>
      </c>
      <c r="E100" s="4732">
        <v>0.0014</v>
      </c>
    </row>
    <row r="101" ht="15" customHeight="1">
      <c r="A101" s="4730"/>
      <c r="B101" s="4727" t="s">
        <v>4538</v>
      </c>
      <c r="C101" s="4731">
        <v>0.019</v>
      </c>
      <c r="E101" s="4732">
        <v>0.019</v>
      </c>
    </row>
    <row r="102" ht="15" customHeight="1">
      <c r="A102" s="4730"/>
      <c r="B102" s="4727" t="s">
        <v>4539</v>
      </c>
      <c r="C102" s="4731">
        <v>0.0185</v>
      </c>
      <c r="E102" s="4732">
        <v>0.0185</v>
      </c>
    </row>
    <row r="103" ht="15" customHeight="1">
      <c r="A103" s="4730"/>
      <c r="B103" s="4727" t="s">
        <v>4540</v>
      </c>
      <c r="C103" s="4731">
        <v>0.0195</v>
      </c>
      <c r="E103" s="4732">
        <v>0.0195</v>
      </c>
    </row>
    <row r="104" ht="15" customHeight="1">
      <c r="A104" s="4730"/>
      <c r="B104" s="4727" t="s">
        <v>4541</v>
      </c>
      <c r="C104" s="4731"/>
      <c r="E104" s="4732"/>
    </row>
    <row r="105" ht="15" customHeight="1">
      <c r="A105" s="4730"/>
      <c r="B105" s="4727" t="s">
        <v>4542</v>
      </c>
      <c r="C105" s="4731">
        <v>0.001</v>
      </c>
      <c r="E105" s="4732">
        <v>0.001</v>
      </c>
    </row>
    <row r="106" ht="15" customHeight="1">
      <c r="A106" s="4730"/>
      <c r="B106" s="4727" t="s">
        <v>4543</v>
      </c>
      <c r="C106" s="4731">
        <v>0.001</v>
      </c>
      <c r="E106" s="4732">
        <v>0.001</v>
      </c>
    </row>
    <row r="107" ht="15" customHeight="1">
      <c r="A107" s="4730"/>
      <c r="B107" s="4727" t="s">
        <v>4544</v>
      </c>
      <c r="C107" s="4731">
        <v>0.001</v>
      </c>
      <c r="E107" s="4732">
        <v>0.001</v>
      </c>
    </row>
    <row r="108" ht="15" customHeight="1">
      <c r="A108" s="4730"/>
      <c r="B108" s="4727" t="s">
        <v>4545</v>
      </c>
      <c r="C108" s="4731"/>
      <c r="E108" s="4732"/>
    </row>
    <row r="109" ht="15" customHeight="1">
      <c r="A109" s="4730"/>
      <c r="B109" s="4727" t="s">
        <v>4546</v>
      </c>
      <c r="C109" s="4731">
        <v>0.061644</v>
      </c>
      <c r="E109" s="4732">
        <v>0.061644</v>
      </c>
    </row>
    <row r="110" ht="15" customHeight="1">
      <c r="A110" s="4730"/>
      <c r="B110" s="4727" t="s">
        <v>4547</v>
      </c>
      <c r="C110" s="4731">
        <v>0.065944</v>
      </c>
      <c r="E110" s="4732">
        <v>0.065944</v>
      </c>
    </row>
    <row r="111" ht="15" customHeight="1">
      <c r="B111" s="4727" t="s">
        <v>4548</v>
      </c>
      <c r="C111" s="4731">
        <v>-0.002181</v>
      </c>
      <c r="E111" s="4732">
        <v>-0.002181</v>
      </c>
    </row>
    <row r="112" ht="15" customHeight="1">
      <c r="B112" s="4727" t="s">
        <v>4549</v>
      </c>
      <c r="C112" s="4731">
        <v>-0.003107</v>
      </c>
      <c r="E112" s="4732">
        <v>-0.003107</v>
      </c>
    </row>
    <row r="113" ht="15" customHeight="1">
      <c r="B113" s="4727" t="s">
        <v>4550</v>
      </c>
      <c r="C113" s="4731">
        <v>-0.002966</v>
      </c>
      <c r="E113" s="4732">
        <v>-0.002966</v>
      </c>
    </row>
    <row r="114" ht="15" customHeight="1">
      <c r="B114" s="4727" t="s">
        <v>4551</v>
      </c>
      <c r="C114" s="4731">
        <v>0</v>
      </c>
      <c r="E114" s="4732">
        <v>0</v>
      </c>
    </row>
    <row r="115" ht="15" customHeight="1">
      <c r="A115" s="21"/>
      <c r="B115" s="4727" t="s">
        <v>4552</v>
      </c>
      <c r="C115" s="4731">
        <v>0.001</v>
      </c>
      <c r="E115" s="4732">
        <v>0.001</v>
      </c>
    </row>
    <row r="116" ht="15" customHeight="1">
      <c r="A116" s="21" t="s">
        <v>4553</v>
      </c>
      <c r="B116" s="4739" t="s">
        <v>4554</v>
      </c>
      <c r="C116" s="4736">
        <v>0.0193</v>
      </c>
      <c r="E116" s="4732">
        <v>0.0193</v>
      </c>
    </row>
    <row r="117" ht="15" customHeight="1">
      <c r="A117" s="21"/>
      <c r="B117" s="4739" t="s">
        <v>4555</v>
      </c>
      <c r="C117" s="4736">
        <v>0.0166</v>
      </c>
      <c r="E117" s="4732">
        <v>0.0166</v>
      </c>
    </row>
    <row r="118" ht="15" customHeight="1">
      <c r="A118" s="21"/>
      <c r="B118" s="4739" t="s">
        <v>4556</v>
      </c>
      <c r="C118" s="4736">
        <v>0.0151</v>
      </c>
      <c r="E118" s="4732">
        <v>0.0151</v>
      </c>
    </row>
    <row r="119" ht="15" customHeight="1">
      <c r="A119" s="21"/>
      <c r="B119" s="4739" t="s">
        <v>4557</v>
      </c>
      <c r="C119" s="4736">
        <v>0.0151</v>
      </c>
      <c r="E119" s="4732">
        <v>0.0151</v>
      </c>
    </row>
    <row r="120" ht="15" customHeight="1">
      <c r="A120" s="21"/>
      <c r="B120" s="4739" t="s">
        <v>4558</v>
      </c>
      <c r="C120" s="4736">
        <v>0.0151</v>
      </c>
      <c r="E120" s="4732">
        <v>0.0151</v>
      </c>
    </row>
    <row r="121" ht="15" customHeight="1">
      <c r="A121" s="21"/>
      <c r="B121" s="4739" t="s">
        <v>4559</v>
      </c>
      <c r="C121" s="4736">
        <v>0.0151</v>
      </c>
      <c r="E121" s="4732">
        <v>0.0151</v>
      </c>
    </row>
    <row r="122" ht="15" customHeight="1">
      <c r="A122" s="21"/>
      <c r="B122" s="4739" t="s">
        <v>4560</v>
      </c>
      <c r="C122" s="4736">
        <v>0.0151</v>
      </c>
      <c r="E122" s="4732">
        <v>0.0151</v>
      </c>
    </row>
    <row r="123" ht="15" customHeight="1">
      <c r="A123" s="21"/>
      <c r="B123" s="4739" t="s">
        <v>4561</v>
      </c>
      <c r="C123" s="4736">
        <v>0.0196</v>
      </c>
      <c r="E123" s="4732">
        <v>0.0196</v>
      </c>
    </row>
    <row r="124" ht="15" customHeight="1">
      <c r="A124" s="21"/>
      <c r="B124" s="4739" t="s">
        <v>4562</v>
      </c>
      <c r="C124" s="4736">
        <v>0.0169</v>
      </c>
      <c r="E124" s="4732">
        <v>0.0169</v>
      </c>
    </row>
    <row r="125" ht="15" customHeight="1">
      <c r="A125" s="21"/>
      <c r="B125" s="4739" t="s">
        <v>4563</v>
      </c>
      <c r="C125" s="4736">
        <v>0.0153</v>
      </c>
      <c r="E125" s="4732">
        <v>0.0153</v>
      </c>
    </row>
    <row r="126" ht="15" customHeight="1">
      <c r="A126" s="21" t="s">
        <v>4564</v>
      </c>
      <c r="B126" s="4739" t="s">
        <v>4565</v>
      </c>
      <c r="C126" s="4731">
        <v>0.0139</v>
      </c>
      <c r="E126" s="4732">
        <v>0.0139</v>
      </c>
    </row>
    <row r="127" ht="15" customHeight="1">
      <c r="A127" s="21"/>
      <c r="B127" s="4739" t="s">
        <v>4566</v>
      </c>
      <c r="C127" s="4731">
        <v>0.0135</v>
      </c>
      <c r="E127" s="4732">
        <v>0.0135</v>
      </c>
    </row>
    <row r="128" ht="15" customHeight="1">
      <c r="A128" s="21"/>
      <c r="B128" s="4739" t="s">
        <v>4567</v>
      </c>
      <c r="C128" s="4731">
        <v>0.0131</v>
      </c>
      <c r="E128" s="4732">
        <v>0.0131</v>
      </c>
    </row>
    <row r="129" ht="15" customHeight="1">
      <c r="A129" s="21"/>
      <c r="B129" s="4739" t="s">
        <v>4568</v>
      </c>
      <c r="C129" s="4731">
        <v>0.0131</v>
      </c>
      <c r="E129" s="4732">
        <v>0.0131</v>
      </c>
    </row>
    <row r="130" ht="15" customHeight="1">
      <c r="A130" s="21"/>
      <c r="B130" s="4739" t="s">
        <v>4569</v>
      </c>
      <c r="C130" s="4731">
        <v>0.0131</v>
      </c>
      <c r="E130" s="4732">
        <v>0.0131</v>
      </c>
    </row>
    <row r="131" ht="15" customHeight="1">
      <c r="A131" s="21"/>
      <c r="B131" s="4739" t="s">
        <v>4570</v>
      </c>
      <c r="C131" s="4731">
        <v>0.0131</v>
      </c>
      <c r="E131" s="4732">
        <v>0.0131</v>
      </c>
    </row>
    <row r="132" ht="15" customHeight="1">
      <c r="A132" s="21"/>
      <c r="B132" s="4739" t="s">
        <v>4571</v>
      </c>
      <c r="C132" s="4731">
        <v>0.0131</v>
      </c>
      <c r="E132" s="4732">
        <v>0.0131</v>
      </c>
    </row>
    <row r="133" ht="15" customHeight="1">
      <c r="A133" s="21"/>
      <c r="B133" s="4739" t="s">
        <v>4572</v>
      </c>
      <c r="C133" s="4731">
        <v>0.0139</v>
      </c>
      <c r="E133" s="4732">
        <v>0.0139</v>
      </c>
    </row>
    <row r="134" ht="15" customHeight="1">
      <c r="A134" s="21"/>
      <c r="B134" s="4739" t="s">
        <v>4573</v>
      </c>
      <c r="C134" s="4731">
        <v>0.0135</v>
      </c>
      <c r="E134" s="4732">
        <v>0.0135</v>
      </c>
    </row>
    <row r="135" ht="15" customHeight="1">
      <c r="A135" s="21"/>
      <c r="B135" s="4739" t="s">
        <v>4574</v>
      </c>
      <c r="C135" s="4731">
        <v>0.0131</v>
      </c>
      <c r="E135" s="4732">
        <v>0.0131</v>
      </c>
    </row>
    <row r="136" ht="15" customHeight="1">
      <c r="A136" s="21" t="s">
        <v>4575</v>
      </c>
      <c r="B136" s="4739" t="s">
        <v>4576</v>
      </c>
      <c r="C136" s="4731">
        <v>0.0119</v>
      </c>
      <c r="E136" s="4732">
        <v>0.0119</v>
      </c>
    </row>
    <row r="137" ht="15" customHeight="1">
      <c r="B137" s="4739" t="s">
        <v>4577</v>
      </c>
      <c r="C137" s="4731">
        <v>0.0115</v>
      </c>
      <c r="E137" s="4732">
        <v>0.0115</v>
      </c>
    </row>
    <row r="138" ht="15" customHeight="1">
      <c r="B138" s="4739" t="s">
        <v>4578</v>
      </c>
      <c r="C138" s="4731">
        <v>0.0111</v>
      </c>
      <c r="E138" s="4732">
        <v>0.0111</v>
      </c>
    </row>
    <row r="139" ht="15" customHeight="1">
      <c r="B139" s="4739" t="s">
        <v>4579</v>
      </c>
      <c r="C139" s="4731">
        <v>0.0111</v>
      </c>
      <c r="E139" s="4732">
        <v>0.0111</v>
      </c>
    </row>
    <row r="140" ht="15" customHeight="1">
      <c r="B140" s="4739" t="s">
        <v>4580</v>
      </c>
      <c r="C140" s="4731">
        <v>0.0111</v>
      </c>
      <c r="E140" s="4732">
        <v>0.0111</v>
      </c>
    </row>
    <row r="141" ht="15" customHeight="1">
      <c r="B141" s="4739" t="s">
        <v>4581</v>
      </c>
      <c r="C141" s="4731">
        <v>0.0111</v>
      </c>
      <c r="E141" s="4732">
        <v>0.0111</v>
      </c>
    </row>
    <row r="142" ht="15" customHeight="1">
      <c r="B142" s="4739" t="s">
        <v>4582</v>
      </c>
      <c r="C142" s="4731">
        <v>0.0111</v>
      </c>
      <c r="E142" s="4732">
        <v>0.0111</v>
      </c>
    </row>
    <row r="143" ht="15" customHeight="1">
      <c r="B143" s="4739" t="s">
        <v>4583</v>
      </c>
      <c r="C143" s="4731">
        <v>0.0119</v>
      </c>
      <c r="E143" s="4732">
        <v>0.0119</v>
      </c>
    </row>
    <row r="144" ht="15" customHeight="1">
      <c r="B144" s="4739" t="s">
        <v>4584</v>
      </c>
      <c r="C144" s="4731">
        <v>0.0115</v>
      </c>
      <c r="E144" s="4732">
        <v>0.0115</v>
      </c>
    </row>
    <row r="145" ht="15" customHeight="1">
      <c r="B145" s="4739" t="s">
        <v>4585</v>
      </c>
      <c r="C145" s="4731">
        <v>0.0111</v>
      </c>
      <c r="E145" s="4732">
        <v>0.0111</v>
      </c>
    </row>
    <row r="146" ht="15" customHeight="1">
      <c r="B146" s="21"/>
    </row>
  </sheetData>
  <mergeCells>
    <mergeCell ref="B5:C5"/>
  </mergeCells>
  <printOptions/>
  <pageMargins left="0.7" right="0.7" top="0.75" bottom="0.75" header="0.3" footer="0.3"/>
  <pageSetup paperSize="1" useFirstPageNumber="1" firstPageNumber="1" scale="55" pageOrder="downThenOver" orientation="portrait"/>
  <headerFooter>
    <oddHeader>&amp;L&amp;C&amp;R</oddHeader>
    <oddFooter>&amp;L&amp;C&amp;R</oddFooter>
  </headerFooter>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F6DEFF93-3C9B-1357-F166-FEA92BC5C089}" mc:Ignorable="x14ac xr xr2 xr3">
  <sheetPr>
    <tabColor theme="0" tint="-0.5"/>
  </sheetPr>
  <dimension ref="A1:P55"/>
  <sheetViews>
    <sheetView topLeftCell="A1" workbookViewId="0">
      <selection activeCell="A1" sqref="A1"/>
    </sheetView>
  </sheetViews>
  <sheetFormatPr defaultRowHeight="12.997499999999997" defaultColWidth="9.140625" customHeight="1"/>
  <cols>
    <col min="1" max="1" style="4248" width="17.00390625" customWidth="1"/>
    <col min="2" max="2" style="4248" width="20.7109375" customWidth="1"/>
    <col min="3" max="3" style="4248" width="24.00390625" customWidth="1"/>
    <col min="4" max="4" style="4248" width="19.7109375" customWidth="1"/>
    <col min="5" max="5" style="4248" width="9.8515625" customWidth="1"/>
    <col min="6" max="6" style="4248" width="5.57421875" customWidth="1"/>
    <col min="7" max="7" style="4248" width="6.57421875" customWidth="1"/>
    <col min="8" max="8" style="4248" width="9.140625" customWidth="1"/>
    <col min="9" max="9" style="4248" width="2.7109375" customWidth="1"/>
    <col min="10" max="10" style="4248" width="13.8515625" customWidth="1"/>
    <col min="11" max="11" style="4248" width="5.57421875" customWidth="1"/>
    <col min="12" max="12" style="4248" width="2.28125" customWidth="1"/>
    <col min="13" max="13" style="4248" width="2.00390625" customWidth="1"/>
    <col min="14" max="14" style="4248" width="15.28125" customWidth="1"/>
    <col min="15" max="15" style="4248" width="4.00390625" customWidth="1"/>
    <col min="16" max="16" style="4248" width="9.140625" customWidth="1"/>
  </cols>
  <sheetData>
    <row r="1" ht="15" customHeight="1">
      <c r="A1" s="4206" t="s">
        <v>4586</v>
      </c>
      <c r="B1" s="4206" t="s">
        <v>4587</v>
      </c>
      <c r="C1" s="4206" t="s">
        <v>4588</v>
      </c>
      <c r="D1" s="4206" t="s">
        <v>4589</v>
      </c>
      <c r="E1" s="4206" t="s">
        <v>4590</v>
      </c>
      <c r="F1" s="4206" t="s">
        <v>4591</v>
      </c>
      <c r="G1" s="4206" t="s">
        <v>4592</v>
      </c>
      <c r="H1" s="4206" t="s">
        <v>4593</v>
      </c>
      <c r="J1" s="4206" t="s">
        <v>4594</v>
      </c>
      <c r="K1" s="4248">
        <f>COUNTA(SheetNames)</f>
        <v>1</v>
      </c>
      <c r="N1" s="4206" t="s">
        <v>4595</v>
      </c>
      <c r="P1" s="4740">
        <f>IF($K$2&lt;$K$1,"Copy the Formula in Cell "&amp;CELL("address",INDEX(WorksheetNames,$K$2))&amp;" down "&amp;$K$1-$K$2&amp;" Rows","")</f>
      </c>
    </row>
    <row r="2" ht="12.75" customHeight="1">
      <c r="A2" s="4248" t="s">
        <v>3773</v>
      </c>
      <c r="B2" s="4248" t="s">
        <v>3772</v>
      </c>
      <c r="C2" s="4248" t="s">
        <v>3779</v>
      </c>
      <c r="D2" s="4248" t="s">
        <v>202</v>
      </c>
      <c r="E2" s="4248" t="s">
        <v>3167</v>
      </c>
      <c r="F2" s="4248">
        <v>2</v>
      </c>
      <c r="G2" s="4248" t="s">
        <v>269</v>
      </c>
      <c r="H2" s="4248" t="s">
        <v>269</v>
      </c>
      <c r="J2" s="4206" t="s">
        <v>4596</v>
      </c>
      <c r="K2" s="4248">
        <f>COUNTA(WorksheetNames)</f>
        <v>4</v>
      </c>
      <c r="N2" s="4248">
        <f t="shared" si="0" ref="N2:N5">IF(ISERROR(INDEX(SheetNames,ROWS($A$2:A2))),"",INDEX(SheetNames,ROWS($A$2:A2)))</f>
      </c>
    </row>
    <row r="3" ht="12.75" customHeight="1">
      <c r="A3" s="4248" t="s">
        <v>3774</v>
      </c>
      <c r="B3" s="4248" t="s">
        <v>388</v>
      </c>
      <c r="C3" s="4248" t="s">
        <v>4597</v>
      </c>
      <c r="D3" s="4248" t="s">
        <v>3766</v>
      </c>
      <c r="E3" s="4248" t="s">
        <v>3166</v>
      </c>
      <c r="F3" s="4248">
        <v>3</v>
      </c>
      <c r="G3" s="4248" t="s">
        <v>451</v>
      </c>
      <c r="H3" s="4248" t="s">
        <v>451</v>
      </c>
      <c r="N3" s="4248">
        <f t="shared" si="0"/>
      </c>
    </row>
    <row r="4" ht="12.75" customHeight="1">
      <c r="A4" s="4248" t="s">
        <v>3775</v>
      </c>
      <c r="B4" s="4248" t="s">
        <v>4598</v>
      </c>
      <c r="C4" s="4248" t="s">
        <v>4599</v>
      </c>
      <c r="D4" s="4248" t="s">
        <v>3769</v>
      </c>
      <c r="E4" s="4248" t="s">
        <v>3181</v>
      </c>
      <c r="F4" s="4248">
        <v>4</v>
      </c>
      <c r="H4" s="4248" t="s">
        <v>257</v>
      </c>
      <c r="N4" s="4248">
        <f t="shared" si="0"/>
      </c>
    </row>
    <row r="5" ht="12.75" customHeight="1">
      <c r="A5" s="4248" t="s">
        <v>4600</v>
      </c>
      <c r="B5" s="4248" t="s">
        <v>4601</v>
      </c>
      <c r="C5" s="4248" t="s">
        <v>236</v>
      </c>
      <c r="D5" s="4248" t="s">
        <v>3767</v>
      </c>
      <c r="E5" s="4248" t="s">
        <v>3173</v>
      </c>
      <c r="N5" s="4248">
        <f t="shared" si="0"/>
      </c>
    </row>
    <row r="6" ht="12.75" customHeight="1">
      <c r="A6" s="4248" t="s">
        <v>3776</v>
      </c>
      <c r="B6" s="4248" t="s">
        <v>4602</v>
      </c>
      <c r="C6" s="4248" t="s">
        <v>3786</v>
      </c>
      <c r="D6" s="4248" t="s">
        <v>3768</v>
      </c>
      <c r="E6" s="4248" t="s">
        <v>2581</v>
      </c>
    </row>
    <row r="7" ht="12.75" customHeight="1">
      <c r="A7" s="4248" t="s">
        <v>236</v>
      </c>
      <c r="B7" s="4248" t="s">
        <v>4603</v>
      </c>
      <c r="C7" s="4248" t="s">
        <v>4604</v>
      </c>
      <c r="D7" s="4248" t="s">
        <v>4605</v>
      </c>
      <c r="E7" s="4248" t="s">
        <v>2595</v>
      </c>
    </row>
    <row r="8" ht="12.75" customHeight="1">
      <c r="B8" s="4248" t="s">
        <v>4606</v>
      </c>
      <c r="E8" s="4248" t="s">
        <v>2600</v>
      </c>
    </row>
    <row r="9" ht="12.75" customHeight="1">
      <c r="B9" s="4248" t="s">
        <v>4607</v>
      </c>
      <c r="E9" s="4248" t="s">
        <v>2609</v>
      </c>
    </row>
    <row r="10" ht="12.75" customHeight="1">
      <c r="E10" s="4248" t="s">
        <v>2611</v>
      </c>
    </row>
    <row r="11" ht="12.75" customHeight="1">
      <c r="E11" s="4248" t="s">
        <v>4608</v>
      </c>
    </row>
    <row r="12" ht="12.75" customHeight="1">
      <c r="E12" s="4248" t="s">
        <v>4609</v>
      </c>
    </row>
    <row r="13" ht="12.75" customHeight="1">
      <c r="E13" s="4248" t="s">
        <v>4610</v>
      </c>
    </row>
    <row r="14" ht="12.75" customHeight="1">
      <c r="E14" s="4248" t="s">
        <v>4611</v>
      </c>
    </row>
    <row r="15" ht="12.75" customHeight="1">
      <c r="E15" s="4248" t="s">
        <v>4612</v>
      </c>
    </row>
    <row r="16" ht="12.75" customHeight="1">
      <c r="E16" s="4248" t="s">
        <v>4613</v>
      </c>
    </row>
    <row r="17" ht="12.75" customHeight="1">
      <c r="E17" s="4248" t="s">
        <v>4614</v>
      </c>
    </row>
    <row r="18" ht="12.75" customHeight="1">
      <c r="E18" s="4248" t="s">
        <v>4615</v>
      </c>
    </row>
    <row r="19" ht="12.75" customHeight="1">
      <c r="E19" s="4248" t="s">
        <v>4616</v>
      </c>
    </row>
    <row r="20" ht="12.75" customHeight="1">
      <c r="A20" s="4210"/>
      <c r="E20" s="4248" t="s">
        <v>4617</v>
      </c>
    </row>
    <row r="21" ht="12.75" customHeight="1">
      <c r="A21" s="4741"/>
      <c r="E21" s="4248" t="s">
        <v>4618</v>
      </c>
    </row>
    <row r="22" ht="12.75" customHeight="1">
      <c r="E22" s="4248" t="s">
        <v>4619</v>
      </c>
    </row>
    <row r="23" ht="12.75" customHeight="1">
      <c r="E23" s="4248" t="s">
        <v>4620</v>
      </c>
    </row>
    <row r="24" ht="12.75" customHeight="1">
      <c r="A24" s="4231"/>
      <c r="E24" s="4248" t="s">
        <v>4621</v>
      </c>
    </row>
    <row r="25" ht="12.75" customHeight="1">
      <c r="A25" s="4231"/>
      <c r="E25" s="4248" t="s">
        <v>4622</v>
      </c>
    </row>
    <row r="26" ht="12.75" customHeight="1">
      <c r="E26" s="4248" t="s">
        <v>4623</v>
      </c>
    </row>
    <row r="27" ht="12.75" customHeight="1">
      <c r="E27" s="4248" t="s">
        <v>4624</v>
      </c>
    </row>
    <row r="28" ht="12.75" customHeight="1">
      <c r="E28" s="4248" t="s">
        <v>4625</v>
      </c>
    </row>
    <row r="29" ht="12.75" customHeight="1">
      <c r="E29" s="4248" t="s">
        <v>4626</v>
      </c>
    </row>
    <row r="30" ht="12.75" customHeight="1">
      <c r="E30" s="4248" t="s">
        <v>501</v>
      </c>
    </row>
    <row r="31" ht="12.75" customHeight="1">
      <c r="E31" s="4248" t="s">
        <v>4627</v>
      </c>
    </row>
    <row r="32" ht="12.75" customHeight="1">
      <c r="E32" s="4248" t="s">
        <v>4628</v>
      </c>
    </row>
    <row r="33" ht="12.75" customHeight="1">
      <c r="E33" s="4248" t="s">
        <v>4629</v>
      </c>
    </row>
    <row r="34" ht="12.75" customHeight="1">
      <c r="E34" s="4248" t="s">
        <v>4630</v>
      </c>
    </row>
    <row r="35" ht="12.75" customHeight="1">
      <c r="E35" s="4248" t="s">
        <v>4631</v>
      </c>
    </row>
    <row r="36" ht="12.75" customHeight="1">
      <c r="E36" s="4248" t="s">
        <v>4632</v>
      </c>
    </row>
    <row r="37" ht="12.75" customHeight="1">
      <c r="E37" s="4248" t="s">
        <v>4633</v>
      </c>
    </row>
    <row r="38" ht="12.75" customHeight="1">
      <c r="E38" s="4248" t="s">
        <v>4634</v>
      </c>
    </row>
    <row r="39" ht="12.75" customHeight="1">
      <c r="E39" s="4248" t="s">
        <v>4635</v>
      </c>
    </row>
    <row r="40" ht="12.75" customHeight="1">
      <c r="E40" s="4248" t="s">
        <v>4636</v>
      </c>
    </row>
    <row r="41" ht="12.75" customHeight="1">
      <c r="E41" s="4248" t="s">
        <v>4637</v>
      </c>
    </row>
    <row r="42" ht="12.75" customHeight="1">
      <c r="E42" s="4248" t="s">
        <v>4638</v>
      </c>
    </row>
    <row r="43" ht="12.75" customHeight="1">
      <c r="E43" s="4248" t="s">
        <v>4639</v>
      </c>
    </row>
    <row r="44" ht="12.75" customHeight="1">
      <c r="E44" s="4248" t="s">
        <v>4640</v>
      </c>
    </row>
    <row r="45" ht="12.75" customHeight="1">
      <c r="E45" s="4248" t="s">
        <v>4641</v>
      </c>
    </row>
    <row r="46" ht="12.75" customHeight="1">
      <c r="E46" s="4248" t="s">
        <v>4642</v>
      </c>
    </row>
    <row r="47" ht="12.75" customHeight="1">
      <c r="E47" s="4248" t="s">
        <v>4643</v>
      </c>
    </row>
    <row r="48" ht="12.75" customHeight="1">
      <c r="E48" s="4248" t="s">
        <v>4644</v>
      </c>
    </row>
    <row r="49" ht="12.75" customHeight="1">
      <c r="E49" s="4248" t="s">
        <v>4645</v>
      </c>
    </row>
    <row r="50" ht="12.75" customHeight="1">
      <c r="E50" s="4248" t="s">
        <v>4646</v>
      </c>
    </row>
    <row r="51" ht="12.75" customHeight="1">
      <c r="E51" s="4248" t="s">
        <v>4647</v>
      </c>
    </row>
    <row r="52" ht="12.75" customHeight="1">
      <c r="E52" s="4248" t="s">
        <v>4648</v>
      </c>
    </row>
    <row r="53" ht="12.75" customHeight="1">
      <c r="E53" s="4248" t="s">
        <v>4649</v>
      </c>
    </row>
    <row r="54" ht="12.75" customHeight="1">
      <c r="E54" s="4248" t="s">
        <v>4650</v>
      </c>
    </row>
    <row r="55" ht="12.75" customHeight="1">
      <c r="E55" s="4248" t="s">
        <v>4651</v>
      </c>
    </row>
  </sheetData>
  <printOptions horizontalCentered="1"/>
  <pageMargins left="0.5" right="0.5" top="0.75" bottom="0.75" header="0.3" footer="0.3"/>
  <pageSetup paperSize="1" useFirstPageNumber="1" firstPageNumber="1" scale="89" pageOrder="downThenOver" orientation="portrait"/>
  <headerFooter>
    <oddFooter>&amp;L&amp;"Source Sans Pro,Regular"&amp;8© 2020 Fannie Mae. Trademarks of Fannie Mae&amp;"Arial,Regular"&amp;10.&amp;C&amp;"Source Sans Pro,Bold"&amp;8Form 4662&amp;"Arial,Regular"&amp;10 -&amp;"Source Sans Pro,Regular"&amp;8 Febuary 2020&amp;RPage &amp;P of &amp;N</oddFooter>
  </headerFooter>
  <colBreaks count="1" manualBreakCount="1">
    <brk id="6" man="1" max="16384"/>
  </colBreaks>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B271EA2-811D-80A4-2C8F-A31BC34E68F4}" mc:Ignorable="x14ac xr xr2 xr3">
  <sheetPr>
    <tabColor theme="0" tint="-0.5"/>
  </sheetPr>
  <dimension ref="A1:M200"/>
  <sheetViews>
    <sheetView topLeftCell="A1" workbookViewId="0">
      <selection activeCell="A1" sqref="A1"/>
    </sheetView>
  </sheetViews>
  <sheetFormatPr defaultRowHeight="15" defaultColWidth="9.140625" customHeight="1"/>
  <cols>
    <col min="1" max="1" style="1166" width="19.140625" customWidth="1"/>
    <col min="2" max="2" style="21" width="35.28125" customWidth="1"/>
    <col min="3" max="3" style="21" width="78.140625" customWidth="1"/>
    <col min="4" max="4" style="1166" width="23.140625" customWidth="1"/>
    <col min="5" max="5" style="1166" width="11.57421875" customWidth="1"/>
    <col min="6" max="6" style="21" width="4.140625" customWidth="1"/>
    <col min="7" max="7" style="21" width="11.8515625" customWidth="1"/>
    <col min="8" max="8" style="21" width="88.28125" customWidth="1"/>
    <col min="9" max="9" style="21" width="34.57421875" customWidth="1"/>
    <col min="10" max="10" style="21" width="33.8515625" customWidth="1"/>
    <col min="11" max="11" style="21" width="9.140625" customWidth="1"/>
    <col min="12" max="12" style="21" width="35.57421875" customWidth="1"/>
    <col min="13" max="13" style="4807" width="61.8515625" customWidth="1"/>
  </cols>
  <sheetData>
    <row r="2" ht="15.75" customHeight="1">
      <c r="B2" s="4742" t="s">
        <v>4652</v>
      </c>
      <c r="C2" s="4742"/>
      <c r="D2" s="4742"/>
      <c r="E2" s="4743"/>
      <c r="G2" s="4744" t="s">
        <v>4653</v>
      </c>
      <c r="H2" s="4745"/>
      <c r="I2" s="4746"/>
      <c r="J2" s="4747"/>
      <c r="L2" s="4742" t="s">
        <v>4654</v>
      </c>
      <c r="M2" s="4748"/>
    </row>
    <row r="3" ht="15" customHeight="1">
      <c r="B3" s="4749" t="s">
        <v>4655</v>
      </c>
      <c r="C3" s="4750" t="s">
        <v>4656</v>
      </c>
      <c r="D3" s="4751"/>
      <c r="E3" s="4752"/>
      <c r="G3" s="4753" t="s">
        <v>4655</v>
      </c>
      <c r="H3" s="4754" t="s">
        <v>4657</v>
      </c>
      <c r="I3" s="4755"/>
      <c r="J3" s="4747"/>
      <c r="L3" s="4756" t="s">
        <v>4658</v>
      </c>
    </row>
    <row r="4" ht="15" customHeight="1">
      <c r="A4" s="4757" t="s">
        <v>4659</v>
      </c>
      <c r="B4" s="4758" t="s">
        <v>4660</v>
      </c>
      <c r="C4" s="4758" t="s">
        <v>4661</v>
      </c>
      <c r="D4" s="4755" t="s">
        <v>4662</v>
      </c>
      <c r="E4" s="4726" t="s">
        <v>4663</v>
      </c>
      <c r="G4" s="4759" t="s">
        <v>4664</v>
      </c>
      <c r="H4" s="4760"/>
      <c r="I4" s="4761"/>
      <c r="J4" s="4761"/>
      <c r="K4" s="4762"/>
      <c r="L4" s="1952" t="s">
        <v>4665</v>
      </c>
      <c r="M4" s="4763" t="s">
        <v>4666</v>
      </c>
    </row>
    <row r="5" ht="15" customHeight="1">
      <c r="A5" s="4764" cm="1" t="e">
        <f t="array" ref="A5">RANGENAMEADDRESS(B5,TRUE)</f>
        <v>#NAME?</v>
      </c>
      <c r="B5" s="4765" t="s">
        <v>4667</v>
      </c>
      <c r="C5" s="4765" t="s">
        <v>4668</v>
      </c>
      <c r="D5" s="4766">
        <v>0</v>
      </c>
      <c r="E5" s="4766" t="s">
        <v>451</v>
      </c>
      <c r="G5" s="714"/>
      <c r="H5" s="6" t="s">
        <v>4669</v>
      </c>
      <c r="I5" s="4767" t="str">
        <f>IF(LEN('Trade Sheet'!E5)&gt;0,'Trade Sheet'!E5,"")</f>
        <v>XXXX</v>
      </c>
      <c r="J5" s="4768" t="s">
        <v>4670</v>
      </c>
      <c r="K5" s="4762"/>
      <c r="L5" s="1934" t="s">
        <v>4671</v>
      </c>
      <c r="M5" s="4769" t="s">
        <v>299</v>
      </c>
    </row>
    <row r="6" ht="15" customHeight="1">
      <c r="A6" s="4757" cm="1" t="e">
        <f t="array" ref="A6">RANGENAMEADDRESS(B6,TRUE)</f>
        <v>#NAME?</v>
      </c>
      <c r="B6" s="4765" t="s">
        <v>4672</v>
      </c>
      <c r="C6" s="4765" t="s">
        <v>4673</v>
      </c>
      <c r="D6" s="4766" t="s">
        <v>188</v>
      </c>
      <c r="E6" s="4766" t="s">
        <v>269</v>
      </c>
      <c r="G6" s="714"/>
      <c r="H6" s="6" t="s">
        <v>4674</v>
      </c>
      <c r="I6" s="4767">
        <f>IF(LEN('Trade Sheet'!E6)&gt;0,'Trade Sheet'!E6,"")</f>
      </c>
      <c r="J6" s="4768" t="s">
        <v>4670</v>
      </c>
      <c r="K6" s="4762"/>
      <c r="L6" s="1934" t="s">
        <v>4675</v>
      </c>
      <c r="M6" s="4769" t="s">
        <v>188</v>
      </c>
    </row>
    <row r="7" ht="15" customHeight="1">
      <c r="A7" s="4757" cm="1" t="e">
        <f t="array" ref="A7">RANGENAMEADDRESS(B7,TRUE)</f>
        <v>#NAME?</v>
      </c>
      <c r="B7" s="4765" t="s">
        <v>4676</v>
      </c>
      <c r="C7" s="4765" t="s">
        <v>4677</v>
      </c>
      <c r="D7" s="4766" t="s">
        <v>363</v>
      </c>
      <c r="E7" s="4766" t="s">
        <v>269</v>
      </c>
      <c r="G7" s="714"/>
      <c r="H7" s="6" t="s">
        <v>4678</v>
      </c>
      <c r="I7" s="4767" t="str">
        <f>City_DataPageTab</f>
        <v>City</v>
      </c>
      <c r="J7" s="4768" t="s">
        <v>4670</v>
      </c>
      <c r="K7" s="4762"/>
      <c r="L7" s="1934" t="s">
        <v>4674</v>
      </c>
      <c r="M7" s="4769" t="s">
        <v>188</v>
      </c>
    </row>
    <row r="8" ht="15" customHeight="1">
      <c r="A8" s="4757" cm="1" t="e">
        <f t="array" ref="A8">RANGENAMEADDRESS(B8,TRUE)</f>
        <v>#NAME?</v>
      </c>
      <c r="B8" s="4765" t="s">
        <v>4679</v>
      </c>
      <c r="C8" s="4765" t="s">
        <v>4680</v>
      </c>
      <c r="D8" s="4770">
        <v>0.05</v>
      </c>
      <c r="E8" s="4766" t="s">
        <v>269</v>
      </c>
      <c r="G8" s="714"/>
      <c r="H8" s="6" t="s">
        <v>4681</v>
      </c>
      <c r="I8" s="4771" t="str">
        <f>'Trade Sheet'!E8</f>
        <v>County not found</v>
      </c>
      <c r="J8" s="4768" t="s">
        <v>4670</v>
      </c>
      <c r="K8" s="4762"/>
      <c r="L8" s="1934" t="s">
        <v>4682</v>
      </c>
      <c r="M8" s="4769" t="s">
        <v>582</v>
      </c>
    </row>
    <row r="9" ht="15" customHeight="1">
      <c r="A9" s="4757" cm="1" t="e">
        <f t="array" ref="A9">RANGENAMEADDRESS(B9,TRUE)</f>
        <v>#NAME?</v>
      </c>
      <c r="B9" s="4772" t="s">
        <v>4683</v>
      </c>
      <c r="C9" s="4765" t="s">
        <v>4684</v>
      </c>
      <c r="D9" s="4766" t="s">
        <v>188</v>
      </c>
      <c r="E9" s="4766" t="s">
        <v>269</v>
      </c>
      <c r="G9" s="714"/>
      <c r="H9" s="6" t="s">
        <v>4685</v>
      </c>
      <c r="I9" s="4767" t="str">
        <f>State_DataPageTab</f>
        <v>XX</v>
      </c>
      <c r="J9" s="4768" t="s">
        <v>4670</v>
      </c>
      <c r="K9" s="4762"/>
      <c r="L9" s="1934" t="s">
        <v>4686</v>
      </c>
      <c r="M9" s="4769" t="s">
        <v>188</v>
      </c>
    </row>
    <row r="10" ht="15" customHeight="1">
      <c r="A10" s="4757" cm="1" t="e">
        <f t="array" ref="A10">RANGENAMEADDRESS(B10,TRUE)</f>
        <v>#NAME?</v>
      </c>
      <c r="B10" s="4772" t="s">
        <v>4683</v>
      </c>
      <c r="C10" s="4765" t="s">
        <v>4687</v>
      </c>
      <c r="D10" s="4766" t="s">
        <v>188</v>
      </c>
      <c r="E10" s="4766" t="s">
        <v>269</v>
      </c>
      <c r="G10" s="839"/>
      <c r="H10" s="9" t="s">
        <v>4688</v>
      </c>
      <c r="I10" s="4773" t="str">
        <f>ZipCode_DataPageTab</f>
        <v>XXXXX</v>
      </c>
      <c r="J10" s="4768" t="s">
        <v>4670</v>
      </c>
      <c r="K10" s="4762"/>
      <c r="L10" s="1934" t="s">
        <v>4689</v>
      </c>
      <c r="M10" s="4769" t="s">
        <v>4690</v>
      </c>
    </row>
    <row r="11" ht="15" customHeight="1">
      <c r="A11" s="4757" cm="1" t="e">
        <f t="array" ref="A11">RANGENAMEADDRESS(B11,TRUE)</f>
        <v>#NAME?</v>
      </c>
      <c r="B11" s="4765" t="s">
        <v>4691</v>
      </c>
      <c r="C11" s="4765" t="s">
        <v>4692</v>
      </c>
      <c r="D11" s="4766" t="s">
        <v>188</v>
      </c>
      <c r="E11" s="4766" t="s">
        <v>269</v>
      </c>
      <c r="G11" s="4759" t="s">
        <v>4693</v>
      </c>
      <c r="H11" s="4760"/>
      <c r="I11" s="4761"/>
      <c r="J11" s="4761"/>
      <c r="K11" s="4762"/>
      <c r="L11" s="1934" t="s">
        <v>4694</v>
      </c>
      <c r="M11" s="4774" t="s">
        <v>4695</v>
      </c>
    </row>
    <row r="12" ht="15" customHeight="1">
      <c r="A12" s="4757" cm="1" t="e">
        <f t="array" ref="A12">RANGENAMEADDRESS(B12,TRUE)</f>
        <v>#NAME?</v>
      </c>
      <c r="B12" s="4765" t="s">
        <v>4696</v>
      </c>
      <c r="C12" s="4765" t="s">
        <v>4697</v>
      </c>
      <c r="D12" s="4766" t="s">
        <v>188</v>
      </c>
      <c r="E12" s="4766" t="s">
        <v>269</v>
      </c>
      <c r="G12" s="714"/>
      <c r="H12" s="6" t="s">
        <v>4698</v>
      </c>
      <c r="I12" s="4775">
        <f>_xlfn.IFERROR(IF(LEN('Trade Sheet'!E11)&gt;0,'Trade Sheet'!E11,0),0)</f>
        <v>0</v>
      </c>
      <c r="J12" s="4776" t="s">
        <v>4699</v>
      </c>
      <c r="K12" s="4762"/>
      <c r="L12" s="1934" t="s">
        <v>4700</v>
      </c>
      <c r="M12" s="4769" t="s">
        <v>202</v>
      </c>
    </row>
    <row r="13" ht="15" customHeight="1">
      <c r="A13" s="4764" cm="1" t="e">
        <f t="array" ref="A13">RANGENAMEADDRESS(B13,TRUE)</f>
        <v>#NAME?</v>
      </c>
      <c r="B13" s="4765" t="s">
        <v>4701</v>
      </c>
      <c r="C13" s="4765" t="s">
        <v>4702</v>
      </c>
      <c r="D13" s="4777" t="s">
        <v>4703</v>
      </c>
      <c r="E13" s="4766" t="s">
        <v>451</v>
      </c>
      <c r="G13" s="714"/>
      <c r="H13" s="6" t="s">
        <v>4704</v>
      </c>
      <c r="I13" s="4775">
        <f>_xlfn.IFERROR(IF(LEN('Trade Sheet'!F11)&gt;0,'Trade Sheet'!F11,0),0)</f>
        <v>0</v>
      </c>
      <c r="J13" s="4776" t="s">
        <v>4699</v>
      </c>
      <c r="K13" s="4762"/>
      <c r="L13" s="4778" t="s">
        <v>4705</v>
      </c>
      <c r="M13" s="4774" t="s">
        <v>188</v>
      </c>
    </row>
    <row r="14" ht="15" customHeight="1">
      <c r="A14" s="4764" cm="1" t="e">
        <f t="array" ref="A14">RANGENAMEADDRESS(B14,TRUE)</f>
        <v>#NAME?</v>
      </c>
      <c r="B14" s="4765" t="s">
        <v>4706</v>
      </c>
      <c r="C14" s="4765" t="s">
        <v>4707</v>
      </c>
      <c r="D14" s="4779">
        <v>0.75</v>
      </c>
      <c r="E14" s="4766" t="s">
        <v>451</v>
      </c>
      <c r="G14" s="714"/>
      <c r="H14" s="6" t="s">
        <v>4708</v>
      </c>
      <c r="I14" s="4767" t="str">
        <f>IF(LEN('Trade Sheet'!E12)&gt;0,'Trade Sheet'!E12,"")</f>
        <v>Fixed</v>
      </c>
      <c r="J14" s="4768" t="s">
        <v>4670</v>
      </c>
      <c r="K14" s="4762" t="s">
        <v>4709</v>
      </c>
      <c r="L14" s="4778" t="s">
        <v>4710</v>
      </c>
      <c r="M14" s="4769" t="s">
        <v>4690</v>
      </c>
    </row>
    <row r="15" ht="15" customHeight="1">
      <c r="A15" s="4764" cm="1" t="e">
        <f t="array" ref="A15">RANGENAMEADDRESS(B15,TRUE)</f>
        <v>#NAME?</v>
      </c>
      <c r="B15" s="4765" t="s">
        <v>4711</v>
      </c>
      <c r="C15" s="4765" t="s">
        <v>4712</v>
      </c>
      <c r="D15" s="4780">
        <v>9.5</v>
      </c>
      <c r="E15" s="4766" t="s">
        <v>451</v>
      </c>
      <c r="G15" s="714"/>
      <c r="H15" s="6" t="s">
        <v>4713</v>
      </c>
      <c r="I15" s="4767" t="str">
        <f>IF(LEN('Trade Sheet'!E13)&gt;0,'Trade Sheet'!E13,"")</f>
        <v>First</v>
      </c>
      <c r="J15" s="4768" t="s">
        <v>4670</v>
      </c>
      <c r="K15" s="4762" t="s">
        <v>4709</v>
      </c>
      <c r="L15" s="4778" t="s">
        <v>4714</v>
      </c>
      <c r="M15" s="4769" t="s">
        <v>4690</v>
      </c>
    </row>
    <row r="16" ht="15" customHeight="1">
      <c r="A16" s="4764" cm="1" t="e">
        <f t="array" ref="A16">RANGENAMEADDRESS(B16,TRUE)</f>
        <v>#NAME?</v>
      </c>
      <c r="B16" s="4765" t="s">
        <v>4715</v>
      </c>
      <c r="C16" s="4765" t="s">
        <v>4716</v>
      </c>
      <c r="D16" s="4766">
        <v>0</v>
      </c>
      <c r="E16" s="4766" t="s">
        <v>451</v>
      </c>
      <c r="G16" s="714"/>
      <c r="H16" s="6" t="s">
        <v>4717</v>
      </c>
      <c r="I16" s="4767" t="e">
        <f>IF(LEN('Trade Sheet'!E14)&gt;0,'Trade Sheet'!E14,"")</f>
        <v>#NAME?</v>
      </c>
      <c r="J16" s="4768" t="s">
        <v>4718</v>
      </c>
      <c r="K16" s="4762"/>
      <c r="L16" s="4778" t="s">
        <v>680</v>
      </c>
      <c r="M16" s="4769" t="s">
        <v>4690</v>
      </c>
    </row>
    <row r="17" ht="15" customHeight="1">
      <c r="A17" s="4764" cm="1" t="e">
        <f t="array" ref="A17">RANGENAMEADDRESS(B17,TRUE)</f>
        <v>#NAME?</v>
      </c>
      <c r="B17" s="4765" t="s">
        <v>4719</v>
      </c>
      <c r="C17" s="4765" t="s">
        <v>4720</v>
      </c>
      <c r="D17" s="4766" t="s">
        <v>388</v>
      </c>
      <c r="E17" s="4766" t="s">
        <v>451</v>
      </c>
      <c r="G17" s="714"/>
      <c r="H17" s="6" t="s">
        <v>4721</v>
      </c>
      <c r="I17" s="4767">
        <f>IF(OR(LEN('Trade Sheet'!E15)=0,'Trade Sheet'!E15="XXXX"),"",'Trade Sheet'!E15)</f>
      </c>
      <c r="J17" s="4768" t="s">
        <v>4670</v>
      </c>
      <c r="K17" s="4762" t="s">
        <v>4709</v>
      </c>
      <c r="L17" s="4778" t="s">
        <v>4722</v>
      </c>
      <c r="M17" s="4769" t="s">
        <v>4690</v>
      </c>
    </row>
    <row r="18" ht="15" customHeight="1">
      <c r="A18" s="4764" cm="1" t="e">
        <f t="array" ref="A18">RANGENAMEADDRESS(B18,TRUE)</f>
        <v>#NAME?</v>
      </c>
      <c r="B18" s="4765" t="s">
        <v>4723</v>
      </c>
      <c r="C18" s="4765" t="s">
        <v>4724</v>
      </c>
      <c r="D18" s="4766" t="s">
        <v>395</v>
      </c>
      <c r="E18" s="4766" t="s">
        <v>451</v>
      </c>
      <c r="G18" s="714"/>
      <c r="H18" s="6" t="s">
        <v>4725</v>
      </c>
      <c r="I18" s="4767" t="e">
        <f>IF(LEN('Trade Sheet'!E16)&gt;0,'Trade Sheet'!E16,"")</f>
        <v>#NAME?</v>
      </c>
      <c r="J18" s="4768" t="s">
        <v>4718</v>
      </c>
      <c r="K18" s="4762"/>
      <c r="L18" s="4778" t="s">
        <v>4726</v>
      </c>
      <c r="M18" s="4769" t="s">
        <v>4690</v>
      </c>
    </row>
    <row r="19" ht="15" customHeight="1">
      <c r="A19" s="4764" cm="1" t="e">
        <f t="array" ref="A19">RANGENAMEADDRESS(B19,TRUE)</f>
        <v>#NAME?</v>
      </c>
      <c r="B19" s="4765" t="s">
        <v>1564</v>
      </c>
      <c r="C19" s="4765" t="s">
        <v>4727</v>
      </c>
      <c r="D19" s="4766" t="s">
        <v>393</v>
      </c>
      <c r="E19" s="4766" t="s">
        <v>451</v>
      </c>
      <c r="G19" s="714"/>
      <c r="H19" s="6" t="s">
        <v>4728</v>
      </c>
      <c r="I19" s="4767" t="e">
        <f>IF(LEN('Trade Sheet'!E17)&gt;0,'Trade Sheet'!E17,"")</f>
        <v>#NAME?</v>
      </c>
      <c r="J19" s="4768" t="s">
        <v>4718</v>
      </c>
      <c r="K19" s="4762"/>
      <c r="L19" s="4778" t="s">
        <v>4729</v>
      </c>
      <c r="M19" s="4769" t="s">
        <v>4632</v>
      </c>
    </row>
    <row r="20" ht="15" customHeight="1">
      <c r="A20" s="4764" cm="1" t="e">
        <f t="array" ref="A20">RANGENAMEADDRESS(B20,TRUE)</f>
        <v>#NAME?</v>
      </c>
      <c r="B20" s="4765" t="s">
        <v>4730</v>
      </c>
      <c r="C20" s="4765" t="s">
        <v>4731</v>
      </c>
      <c r="D20" s="4766" t="s">
        <v>373</v>
      </c>
      <c r="E20" s="4766" t="s">
        <v>451</v>
      </c>
      <c r="G20" s="714"/>
      <c r="H20" s="6" t="s">
        <v>4732</v>
      </c>
      <c r="I20" s="4767" t="e">
        <f>IF(LEN('Trade Sheet'!F17)&gt;0,'Trade Sheet'!F17,"")</f>
        <v>#NAME?</v>
      </c>
      <c r="J20" s="4768" t="s">
        <v>4670</v>
      </c>
      <c r="K20" s="4762" t="s">
        <v>4733</v>
      </c>
      <c r="L20" s="4778" t="s">
        <v>4734</v>
      </c>
      <c r="M20" s="4769" t="s">
        <v>4735</v>
      </c>
    </row>
    <row r="21" ht="15" customHeight="1">
      <c r="A21" s="4764" cm="1" t="e">
        <f t="array" ref="A21">RANGENAMEADDRESS(B21,TRUE)</f>
        <v>#NAME?</v>
      </c>
      <c r="B21" s="4765" t="s">
        <v>4736</v>
      </c>
      <c r="C21" s="4765" t="s">
        <v>4737</v>
      </c>
      <c r="D21" s="4766" t="s">
        <v>380</v>
      </c>
      <c r="E21" s="4766" t="s">
        <v>451</v>
      </c>
      <c r="G21" s="714"/>
      <c r="H21" s="6" t="s">
        <v>4738</v>
      </c>
      <c r="I21" s="4767" t="str">
        <f>IF(LEN('Trade Sheet'!E18)&gt;0,'Trade Sheet'!E18,"")</f>
        <v>Actual/360</v>
      </c>
      <c r="J21" s="4768" t="s">
        <v>4670</v>
      </c>
      <c r="K21" s="4762" t="s">
        <v>4709</v>
      </c>
      <c r="L21" s="4781" t="str">
        <f>ADDRESS(ROW('SBL Quotes'!B24),COLUMN('SBL Quotes'!B24))</f>
        <v>$B$24</v>
      </c>
      <c r="M21" s="4774" t="s">
        <v>451</v>
      </c>
    </row>
    <row r="22" ht="15" customHeight="1">
      <c r="A22" s="4764" cm="1" t="e">
        <f t="array" ref="A22">RANGENAMEADDRESS(B22,TRUE)</f>
        <v>#NAME?</v>
      </c>
      <c r="B22" s="4765" t="s">
        <v>4740</v>
      </c>
      <c r="C22" s="4765" t="s">
        <v>4741</v>
      </c>
      <c r="D22" s="4766" t="s">
        <v>293</v>
      </c>
      <c r="E22" s="4766" t="s">
        <v>451</v>
      </c>
      <c r="G22" s="839"/>
      <c r="H22" s="9" t="s">
        <v>4742</v>
      </c>
      <c r="I22" s="4782" t="str">
        <f>IF(LEN('Trade Sheet'!E19)&gt;0,TEXT('Trade Sheet'!E19,"0.00%"),"")</f>
        <v>0.00%</v>
      </c>
      <c r="J22" s="4768" t="s">
        <v>4699</v>
      </c>
      <c r="K22" s="4762"/>
      <c r="L22" s="4781" t="str">
        <f>ADDRESS(ROW('SBL Quotes'!B28),COLUMN('SBL Quotes'!B28))</f>
        <v>$B$28</v>
      </c>
      <c r="M22" s="4774" t="s">
        <v>451</v>
      </c>
    </row>
    <row r="23" ht="15" customHeight="1">
      <c r="A23" s="4764" cm="1" t="e">
        <f t="array" ref="A23">RANGENAMEADDRESS(B23,TRUE)</f>
        <v>#NAME?</v>
      </c>
      <c r="B23" s="4765" t="s">
        <v>4744</v>
      </c>
      <c r="C23" s="4765" t="s">
        <v>4745</v>
      </c>
      <c r="D23" s="4766" t="s">
        <v>384</v>
      </c>
      <c r="E23" s="4766" t="s">
        <v>451</v>
      </c>
      <c r="G23" s="4759" t="s">
        <v>4746</v>
      </c>
      <c r="H23" s="4760"/>
      <c r="I23" s="4761"/>
      <c r="J23" s="4761"/>
      <c r="K23" s="4762"/>
      <c r="L23" s="4781" t="str">
        <f>ADDRESS(ROW('SBL Quotes'!B29),COLUMN('SBL Quotes'!B29))</f>
        <v>$B$29</v>
      </c>
      <c r="M23" s="4774" t="s">
        <v>451</v>
      </c>
    </row>
    <row r="24" ht="15" customHeight="1">
      <c r="A24" s="4764" cm="1" t="e">
        <f t="array" ref="A24">RANGENAMEADDRESS(B24,TRUE)</f>
        <v>#NAME?</v>
      </c>
      <c r="B24" s="4765" t="s">
        <v>680</v>
      </c>
      <c r="C24" s="4765" t="s">
        <v>4748</v>
      </c>
      <c r="D24" s="4766" t="s">
        <v>188</v>
      </c>
      <c r="E24" s="4766" t="s">
        <v>451</v>
      </c>
      <c r="G24" s="714"/>
      <c r="H24" s="6" t="s">
        <v>4749</v>
      </c>
      <c r="I24" s="4783">
        <f>IF(LEN('Trade Sheet'!K5)&gt;0,'Trade Sheet'!K5,"")</f>
        <v>100</v>
      </c>
      <c r="J24" s="4768" t="s">
        <v>4699</v>
      </c>
      <c r="K24" s="4762"/>
      <c r="L24" s="4781" t="str">
        <f>ADDRESS(ROW('SBL Quotes'!B31),COLUMN('SBL Quotes'!B31))</f>
        <v>$B$31</v>
      </c>
      <c r="M24" s="4774" t="s">
        <v>451</v>
      </c>
    </row>
    <row r="25" ht="15" customHeight="1">
      <c r="A25" s="4757"/>
      <c r="B25" s="4784" t="s">
        <v>4751</v>
      </c>
      <c r="C25" s="4765" t="s">
        <v>4752</v>
      </c>
      <c r="D25" s="4785" t="s">
        <v>188</v>
      </c>
      <c r="E25" s="4766" t="s">
        <v>269</v>
      </c>
      <c r="G25" s="714"/>
      <c r="H25" s="6" t="s">
        <v>4753</v>
      </c>
      <c r="I25" s="4767" t="str">
        <f>IF(LEN('Trade Sheet'!K6)&gt;0,'Trade Sheet'!K6,"")</f>
        <v>TBD</v>
      </c>
      <c r="J25" s="4768" t="s">
        <v>4670</v>
      </c>
      <c r="K25" s="4762" t="s">
        <v>4754</v>
      </c>
      <c r="L25" s="4778" t="s">
        <v>4755</v>
      </c>
      <c r="M25" s="4769" t="s">
        <v>4756</v>
      </c>
    </row>
    <row r="26" ht="15" customHeight="1">
      <c r="A26" s="4757" cm="1" t="e">
        <f t="array" ref="A26">RANGENAMEADDRESS(B26,TRUE)</f>
        <v>#NAME?</v>
      </c>
      <c r="B26" s="4765" t="s">
        <v>4675</v>
      </c>
      <c r="C26" s="4765" t="s">
        <v>4757</v>
      </c>
      <c r="D26" s="4766" t="s">
        <v>188</v>
      </c>
      <c r="E26" s="4766" t="s">
        <v>269</v>
      </c>
      <c r="G26" s="839"/>
      <c r="H26" s="9" t="s">
        <v>4758</v>
      </c>
      <c r="I26" s="4786" t="str">
        <f>IF(LEN('Trade Sheet'!K7)&gt;0,TEXT('Trade Sheet'!K7,"0.000%"),"")</f>
        <v>0.000%</v>
      </c>
      <c r="J26" s="4768" t="s">
        <v>4699</v>
      </c>
      <c r="K26" s="4762"/>
      <c r="L26" s="4781" t="str">
        <f>ADDRESS(ROW('SBL Quotes'!B36),COLUMN('SBL Quotes'!B36))</f>
        <v>$B$36</v>
      </c>
      <c r="M26" s="4769" t="s">
        <v>451</v>
      </c>
    </row>
    <row r="27" ht="15" customHeight="1">
      <c r="A27" s="4757"/>
      <c r="B27" s="4784" t="s">
        <v>4760</v>
      </c>
      <c r="C27" s="4765" t="s">
        <v>4761</v>
      </c>
      <c r="D27" s="4785" t="s">
        <v>188</v>
      </c>
      <c r="E27" s="4766" t="s">
        <v>269</v>
      </c>
      <c r="G27" s="4759" t="s">
        <v>4762</v>
      </c>
      <c r="H27" s="4760"/>
      <c r="I27" s="4761"/>
      <c r="J27" s="4761"/>
      <c r="K27" s="4762"/>
      <c r="L27" s="4781" t="str">
        <f>ADDRESS(ROW('SBL Quotes'!B37),COLUMN('SBL Quotes'!B37))</f>
        <v>$B$37</v>
      </c>
      <c r="M27" s="4769" t="s">
        <v>451</v>
      </c>
    </row>
    <row r="28" ht="15" customHeight="1">
      <c r="A28" s="4757" cm="1" t="e">
        <f t="array" ref="A28">RANGENAMEADDRESS(B28,TRUE)</f>
        <v>#NAME?</v>
      </c>
      <c r="B28" s="4765" t="s">
        <v>4674</v>
      </c>
      <c r="C28" s="4765" t="s">
        <v>4764</v>
      </c>
      <c r="D28" s="4766" t="s">
        <v>188</v>
      </c>
      <c r="E28" s="4766" t="s">
        <v>269</v>
      </c>
      <c r="G28" s="714"/>
      <c r="H28" s="6" t="s">
        <v>4765</v>
      </c>
      <c r="I28" s="4767" t="str">
        <f>IF(LEN('Trade Sheet'!E22)&gt;0,'Trade Sheet'!E22,"")</f>
        <v>Standard Multifamily</v>
      </c>
      <c r="J28" s="4768" t="s">
        <v>4670</v>
      </c>
      <c r="K28" s="4762" t="s">
        <v>4709</v>
      </c>
      <c r="L28" s="4781" t="str">
        <f>ADDRESS(ROW('SBL Quotes'!B38),COLUMN('SBL Quotes'!B38))</f>
        <v>$B$38</v>
      </c>
      <c r="M28" s="4769" t="s">
        <v>388</v>
      </c>
    </row>
    <row r="29" ht="15" customHeight="1">
      <c r="A29" s="4757" cm="1" t="e">
        <f t="array" ref="A29">RANGENAMEADDRESS(B29,TRUE)</f>
        <v>#NAME?</v>
      </c>
      <c r="B29" s="4765" t="s">
        <v>4671</v>
      </c>
      <c r="C29" s="4765" t="s">
        <v>4767</v>
      </c>
      <c r="D29" s="4766" t="s">
        <v>299</v>
      </c>
      <c r="E29" s="4766" t="s">
        <v>269</v>
      </c>
      <c r="G29" s="714"/>
      <c r="H29" s="6" t="s">
        <v>4768</v>
      </c>
      <c r="I29" s="4767">
        <f>IF(OR(LEN('Trade Sheet'!E23)=0,'Trade Sheet'!E23="XXXX"),"",'Trade Sheet'!E23)</f>
      </c>
      <c r="J29" s="4768" t="s">
        <v>4670</v>
      </c>
      <c r="K29" s="4762" t="s">
        <v>4769</v>
      </c>
      <c r="L29" s="4778" t="s">
        <v>4679</v>
      </c>
      <c r="M29" s="4787">
        <v>0.05</v>
      </c>
    </row>
    <row r="30" ht="15" customHeight="1">
      <c r="A30" s="4757" cm="1" t="e">
        <f t="array" ref="A30">RANGENAMEADDRESS(B30,TRUE)</f>
        <v>#NAME?</v>
      </c>
      <c r="B30" s="4765" t="s">
        <v>4770</v>
      </c>
      <c r="C30" s="4765" t="s">
        <v>4771</v>
      </c>
      <c r="D30" s="4766" t="s">
        <v>3773</v>
      </c>
      <c r="E30" s="4766" t="s">
        <v>269</v>
      </c>
      <c r="G30" s="714"/>
      <c r="H30" s="6" t="s">
        <v>4772</v>
      </c>
      <c r="I30" s="4767" t="str">
        <f>IF(LEN('Trade Sheet'!E24)&gt;0,'Trade Sheet'!E24,"")</f>
        <v>Refinance</v>
      </c>
      <c r="J30" s="4768" t="s">
        <v>4670</v>
      </c>
      <c r="K30" s="4762" t="s">
        <v>4709</v>
      </c>
      <c r="L30" s="4778" t="s">
        <v>4773</v>
      </c>
      <c r="M30" s="4788" t="str">
        <f>"='Freddie I&amp;E'!"&amp;ADDRESS(ROW('Freddie I&amp;E'!AD84),COLUMN('Freddie I&amp;E'!AD84))</f>
        <v>='Freddie I&amp;E'!$AD$84</v>
      </c>
    </row>
    <row r="31" ht="15" customHeight="1">
      <c r="A31" s="4757" cm="1" t="e">
        <f t="array" ref="A31">RANGENAMEADDRESS(B31,TRUE)</f>
        <v>#NAME?</v>
      </c>
      <c r="B31" s="4765" t="s">
        <v>4775</v>
      </c>
      <c r="C31" s="4765" t="s">
        <v>4776</v>
      </c>
      <c r="D31" s="4766">
        <v>1</v>
      </c>
      <c r="E31" s="4766" t="s">
        <v>269</v>
      </c>
      <c r="G31" s="714"/>
      <c r="H31" s="6" t="s">
        <v>4777</v>
      </c>
      <c r="I31" s="4767">
        <f>IF(LEN('Trade Sheet'!E25)&gt;0,'Trade Sheet'!E25,"")</f>
        <v>85</v>
      </c>
      <c r="J31" s="4768" t="s">
        <v>4718</v>
      </c>
      <c r="K31" s="4762"/>
      <c r="L31" s="4778" t="s">
        <v>4778</v>
      </c>
      <c r="M31" s="4774" t="s">
        <v>4779</v>
      </c>
    </row>
    <row r="32" ht="15" customHeight="1">
      <c r="A32" s="4757" cm="1" t="e">
        <f t="array" ref="A32">RANGENAMEADDRESS(B32,TRUE)</f>
        <v>#NAME?</v>
      </c>
      <c r="B32" s="4765" t="s">
        <v>4780</v>
      </c>
      <c r="C32" s="4765" t="s">
        <v>4781</v>
      </c>
      <c r="D32" s="4766">
        <v>0</v>
      </c>
      <c r="E32" s="4766" t="s">
        <v>269</v>
      </c>
      <c r="G32" s="714"/>
      <c r="H32" s="6" t="s">
        <v>4782</v>
      </c>
      <c r="I32" s="4767">
        <f>IF(LEN('Trade Sheet'!F25)&gt;0,'Trade Sheet'!F25,"")</f>
        <v>1</v>
      </c>
      <c r="J32" s="4768" t="s">
        <v>4718</v>
      </c>
      <c r="K32" s="4762"/>
      <c r="L32" s="4778" t="s">
        <v>4730</v>
      </c>
      <c r="M32" s="4769" t="s">
        <v>373</v>
      </c>
    </row>
    <row r="33" ht="15" customHeight="1">
      <c r="A33" s="4764" cm="1" t="e">
        <f t="array" ref="A33">RANGENAMEADDRESS(B33,TRUE)</f>
        <v>#NAME?</v>
      </c>
      <c r="B33" s="4789" t="s">
        <v>4783</v>
      </c>
      <c r="C33" s="4789" t="s">
        <v>4784</v>
      </c>
      <c r="D33" s="4790">
        <v>30</v>
      </c>
      <c r="E33" s="4790" t="s">
        <v>451</v>
      </c>
      <c r="G33" s="714"/>
      <c r="H33" s="6" t="s">
        <v>4785</v>
      </c>
      <c r="I33" s="4791" t="str">
        <f>IF(LEN('Trade Sheet'!E26)&gt;0,TEXT('Trade Sheet'!E26,"0.000%"),"")</f>
        <v>95.050%</v>
      </c>
      <c r="J33" s="4768" t="s">
        <v>4699</v>
      </c>
      <c r="K33" s="4762"/>
      <c r="L33" s="4781" t="str">
        <f>ADDRESS(ROW('SBL Quotes'!B50),COLUMN('SBL Quotes'!B50))</f>
        <v>$B$50</v>
      </c>
      <c r="M33" s="4769" t="s">
        <v>451</v>
      </c>
    </row>
    <row r="34" ht="15" customHeight="1">
      <c r="A34" s="4764" cm="1" t="e">
        <f t="array" ref="A34">RANGENAMEADDRESS(B34,TRUE)</f>
        <v>#NAME?</v>
      </c>
      <c r="B34" s="4789" t="s">
        <v>4788</v>
      </c>
      <c r="C34" s="4789" t="s">
        <v>4789</v>
      </c>
      <c r="D34" s="4790">
        <v>10</v>
      </c>
      <c r="E34" s="4790" t="s">
        <v>451</v>
      </c>
      <c r="G34" s="714"/>
      <c r="H34" s="6" t="s">
        <v>4790</v>
      </c>
      <c r="I34" s="4767">
        <f>_xlfn.LET(_xlpm.buildYear,'Trade Sheet'!E27,IF(AND(LEN(_xlpm.buildYear)&gt;0,_xlpm.buildYear&lt;&gt;"XXXX"),_xlpm.buildYear,""))</f>
      </c>
      <c r="J34" s="4768" t="s">
        <v>4718</v>
      </c>
      <c r="K34" s="4762"/>
      <c r="L34" s="1934" t="s">
        <v>4791</v>
      </c>
      <c r="M34" s="4769" t="s">
        <v>864</v>
      </c>
    </row>
    <row r="35" ht="15" customHeight="1">
      <c r="A35" s="4757" cm="1" t="e">
        <f t="array" ref="A35">RANGENAMEADDRESS(B35,TRUE)</f>
        <v>#NAME?</v>
      </c>
      <c r="B35" s="4765" t="s">
        <v>4792</v>
      </c>
      <c r="C35" s="4765" t="s">
        <v>4793</v>
      </c>
      <c r="D35" s="4766">
        <v>0</v>
      </c>
      <c r="E35" s="4766" t="s">
        <v>269</v>
      </c>
      <c r="G35" s="714"/>
      <c r="H35" s="6" t="s">
        <v>4794</v>
      </c>
      <c r="I35" s="4767">
        <f>_xlfn.LET(_xlpm.renovationYear,'Trade Sheet'!F27,IF(AND(LEN(_xlpm.renovationYear)&gt;0,_xlpm.renovationYear&lt;&gt;"XXXX"),_xlpm.renovationYear,""))</f>
      </c>
      <c r="J35" s="4768" t="s">
        <v>4718</v>
      </c>
      <c r="K35" s="4762"/>
      <c r="L35" s="1934" t="s">
        <v>4795</v>
      </c>
      <c r="M35" s="4769" t="s">
        <v>864</v>
      </c>
    </row>
    <row r="36" ht="15" customHeight="1">
      <c r="A36" s="4757" cm="1" t="e">
        <f t="array" ref="A36">RANGENAMEADDRESS(B36,TRUE)</f>
        <v>#NAME?</v>
      </c>
      <c r="B36" s="4772" t="s">
        <v>4705</v>
      </c>
      <c r="C36" s="4765" t="s">
        <v>4796</v>
      </c>
      <c r="D36" s="4766" t="s">
        <v>188</v>
      </c>
      <c r="E36" s="4766" t="s">
        <v>269</v>
      </c>
      <c r="G36" s="714"/>
      <c r="H36" s="6" t="s">
        <v>4797</v>
      </c>
      <c r="I36" s="4767" t="str">
        <f>IF(LEN('Trade Sheet'!E28)&gt;0,'Trade Sheet'!E28,"")</f>
        <v>None</v>
      </c>
      <c r="J36" s="4768" t="s">
        <v>4670</v>
      </c>
      <c r="K36" s="4762" t="s">
        <v>4798</v>
      </c>
      <c r="L36" s="4781" t="str">
        <f>ADDRESS(ROW('SBL Quotes'!B55),COLUMN('SBL Quotes'!B55))</f>
        <v>$B$55</v>
      </c>
      <c r="M36" s="4769" t="s">
        <v>209</v>
      </c>
    </row>
    <row r="37" ht="15" customHeight="1">
      <c r="A37" s="4757" cm="1" t="e">
        <f t="array" ref="A37">RANGENAMEADDRESS(B37,TRUE)</f>
        <v>#NAME?</v>
      </c>
      <c r="B37" s="4772" t="s">
        <v>4705</v>
      </c>
      <c r="C37" s="4765" t="s">
        <v>4800</v>
      </c>
      <c r="D37" s="4766" t="s">
        <v>188</v>
      </c>
      <c r="E37" s="4766" t="s">
        <v>269</v>
      </c>
      <c r="G37" s="714"/>
      <c r="H37" s="6" t="s">
        <v>4801</v>
      </c>
      <c r="I37" s="4767" t="str">
        <f>IF(LEN('Trade Sheet'!E29)&gt;0,'Trade Sheet'!E29,"")</f>
        <v>N/A</v>
      </c>
      <c r="J37" s="4768" t="s">
        <v>4670</v>
      </c>
      <c r="K37" s="4762" t="s">
        <v>4709</v>
      </c>
      <c r="L37" s="4781" t="str">
        <f>ADDRESS(ROW('SBL Quotes'!B56),COLUMN('SBL Quotes'!B56))</f>
        <v>$B$56</v>
      </c>
      <c r="M37" s="4792" t="s">
        <v>4803</v>
      </c>
    </row>
    <row r="38" ht="15" customHeight="1">
      <c r="A38" s="4757" cm="1" t="e">
        <f t="array" ref="A38">RANGENAMEADDRESS(B38,TRUE)</f>
        <v>#NAME?</v>
      </c>
      <c r="B38" s="4772" t="s">
        <v>4705</v>
      </c>
      <c r="C38" s="4765" t="s">
        <v>4804</v>
      </c>
      <c r="D38" s="4766" t="s">
        <v>188</v>
      </c>
      <c r="E38" s="4766" t="s">
        <v>269</v>
      </c>
      <c r="F38" s="4793"/>
      <c r="G38" s="714"/>
      <c r="H38" s="6" t="s">
        <v>4805</v>
      </c>
      <c r="I38" s="4767" t="str">
        <f>IF(LEN('Trade Sheet'!E30)&gt;0,'Trade Sheet'!E30,"")</f>
        <v> </v>
      </c>
      <c r="J38" s="4768" t="s">
        <v>4670</v>
      </c>
      <c r="K38" s="4762"/>
      <c r="L38" s="1934" t="s">
        <v>4806</v>
      </c>
      <c r="M38" s="4769" t="s">
        <v>209</v>
      </c>
    </row>
    <row r="39" ht="15" customHeight="1">
      <c r="A39" s="4757" cm="1" t="e">
        <f t="array" ref="A39">RANGENAMEADDRESS(B39,TRUE)</f>
        <v>#NAME?</v>
      </c>
      <c r="B39" s="4772" t="s">
        <v>4705</v>
      </c>
      <c r="C39" s="4765" t="s">
        <v>4807</v>
      </c>
      <c r="D39" s="4766" t="s">
        <v>188</v>
      </c>
      <c r="E39" s="4766" t="s">
        <v>269</v>
      </c>
      <c r="F39" s="4793"/>
      <c r="G39" s="714"/>
      <c r="H39" s="6" t="s">
        <v>4808</v>
      </c>
      <c r="I39" s="4767" t="str">
        <f>IF(LEN('Trade Sheet'!E31)&gt;0,'Trade Sheet'!E31,"")</f>
        <v>No</v>
      </c>
      <c r="J39" s="4768" t="s">
        <v>4670</v>
      </c>
      <c r="K39" s="4762" t="s">
        <v>4798</v>
      </c>
      <c r="L39" s="4781" t="str">
        <f>ADDRESS(ROW('SBL Quotes'!B64),COLUMN('SBL Quotes'!B64))</f>
        <v>$B$64</v>
      </c>
      <c r="M39" s="4769" t="s">
        <v>188</v>
      </c>
    </row>
    <row r="40" ht="15" customHeight="1">
      <c r="A40" s="4757" cm="1" t="e">
        <f t="array" ref="A40">RANGENAMEADDRESS(B40,TRUE)</f>
        <v>#NAME?</v>
      </c>
      <c r="B40" s="4794" t="s">
        <v>4700</v>
      </c>
      <c r="C40" s="4765" t="s">
        <v>4810</v>
      </c>
      <c r="D40" s="4766" t="s">
        <v>202</v>
      </c>
      <c r="E40" s="4766" t="s">
        <v>269</v>
      </c>
      <c r="F40" s="4793"/>
      <c r="G40" s="714"/>
      <c r="H40" s="6" t="s">
        <v>4811</v>
      </c>
      <c r="I40" s="4767" t="str">
        <f>IF(LEN('Trade Sheet'!E32)&gt;0,'Trade Sheet'!E32,"")</f>
        <v>N/A</v>
      </c>
      <c r="J40" s="4768" t="s">
        <v>4670</v>
      </c>
      <c r="K40" s="4762"/>
      <c r="L40" s="4781" t="str">
        <f>ADDRESS(ROW('SBL Quotes'!E25),COLUMN('SBL Quotes'!E25))&amp;":"&amp;ADDRESS(ROW('SBL Quotes'!P25),COLUMN('SBL Quotes'!P25))</f>
        <v>$E$25:$P$25</v>
      </c>
      <c r="M40" s="4769" t="s">
        <v>4690</v>
      </c>
    </row>
    <row r="41" ht="15" customHeight="1">
      <c r="A41" s="4757" cm="1" t="e">
        <f t="array" ref="A41">RANGENAMEADDRESS(B41,TRUE)</f>
        <v>#NAME?</v>
      </c>
      <c r="B41" s="4794" t="s">
        <v>4700</v>
      </c>
      <c r="C41" s="4765" t="s">
        <v>4813</v>
      </c>
      <c r="D41" s="4766" t="s">
        <v>202</v>
      </c>
      <c r="E41" s="4766" t="s">
        <v>269</v>
      </c>
      <c r="F41" s="4793"/>
      <c r="G41" s="714"/>
      <c r="H41" s="6" t="s">
        <v>4814</v>
      </c>
      <c r="I41" s="4795" t="str">
        <f>TEXT('Trade Sheet'!E35,"0.000%")</f>
        <v>0.000%</v>
      </c>
      <c r="J41" s="4768" t="s">
        <v>4699</v>
      </c>
      <c r="K41" s="4762"/>
      <c r="L41" s="4781" t="str">
        <f>ADDRESS(ROW('SBL Quotes'!E26),COLUMN('SBL Quotes'!E26))</f>
        <v>$E$26</v>
      </c>
      <c r="M41" s="4769" t="s">
        <v>533</v>
      </c>
    </row>
    <row r="42" ht="15" customHeight="1">
      <c r="A42" s="4757" cm="1" t="e">
        <f t="array" ref="A42">RANGENAMEADDRESS(B42,TRUE)</f>
        <v>#NAME?</v>
      </c>
      <c r="B42" s="4765" t="s">
        <v>4816</v>
      </c>
      <c r="C42" s="4765" t="s">
        <v>4817</v>
      </c>
      <c r="D42" s="4766" t="s">
        <v>188</v>
      </c>
      <c r="E42" s="4766" t="s">
        <v>269</v>
      </c>
      <c r="F42" s="4793"/>
      <c r="G42" s="714"/>
      <c r="H42" s="6" t="s">
        <v>4818</v>
      </c>
      <c r="I42" s="4795" t="str">
        <f>TEXT('Trade Sheet'!E36,"0.000%")</f>
        <v>0.000%</v>
      </c>
      <c r="J42" s="4768" t="s">
        <v>4699</v>
      </c>
      <c r="K42" s="4762"/>
      <c r="L42" s="4781" t="str">
        <f>ADDRESS(ROW('SBL Quotes'!E30),COLUMN('SBL Quotes'!E30))&amp;":"&amp;ADDRESS(ROW('SBL Quotes'!P30),COLUMN('SBL Quotes'!P30))</f>
        <v>$E$30:$P$30</v>
      </c>
      <c r="M42" s="4769">
        <v>0</v>
      </c>
    </row>
    <row r="43" ht="15" customHeight="1">
      <c r="A43" s="4757" cm="1" t="e">
        <f t="array" ref="A43">RANGENAMEADDRESS(B43,TRUE)</f>
        <v>#NAME?</v>
      </c>
      <c r="B43" s="4765" t="s">
        <v>4820</v>
      </c>
      <c r="C43" s="4765" t="s">
        <v>4821</v>
      </c>
      <c r="D43" s="4766" t="s">
        <v>188</v>
      </c>
      <c r="E43" s="4766" t="s">
        <v>269</v>
      </c>
      <c r="F43" s="4793"/>
      <c r="G43" s="714"/>
      <c r="H43" s="6" t="s">
        <v>4822</v>
      </c>
      <c r="I43" s="4795" t="str">
        <f>TEXT('Trade Sheet'!E37,"0.000%")</f>
        <v>0.000%</v>
      </c>
      <c r="J43" s="4768" t="s">
        <v>4699</v>
      </c>
      <c r="K43" s="4762"/>
      <c r="L43" s="4781" t="str">
        <f>ADDRESS(ROW('SBL Quotes'!E31),COLUMN('SBL Quotes'!E31))</f>
        <v>$E$31</v>
      </c>
      <c r="M43" s="4787">
        <v>0.01</v>
      </c>
    </row>
    <row r="44" ht="15" customHeight="1">
      <c r="A44" s="4757" cm="1" t="e">
        <f t="array" ref="A44">RANGENAMEADDRESS(B44,TRUE)</f>
        <v>#NAME?</v>
      </c>
      <c r="B44" s="4765" t="s">
        <v>4824</v>
      </c>
      <c r="C44" s="4765" t="s">
        <v>4825</v>
      </c>
      <c r="D44" s="4766">
        <v>0</v>
      </c>
      <c r="E44" s="4766" t="s">
        <v>269</v>
      </c>
      <c r="F44" s="4793"/>
      <c r="G44" s="714"/>
      <c r="H44" s="6" t="s">
        <v>4826</v>
      </c>
      <c r="I44" s="4795" t="str">
        <f>TEXT('Trade Sheet'!E38,"0.000%")</f>
        <v>0.000%</v>
      </c>
      <c r="J44" s="4768" t="s">
        <v>4699</v>
      </c>
      <c r="K44" s="4762"/>
      <c r="L44" s="4781" t="str">
        <f>ADDRESS(ROW('SBL Quotes'!E32),COLUMN('SBL Quotes'!E32))</f>
        <v>$E$32</v>
      </c>
      <c r="M44" s="4796" t="str">
        <f>"="&amp;SUBSTITUTE(ADDRESS(ROW('SBL Quotes'!E33),COLUMN('SBL Quotes'!E33)),"$","")</f>
        <v>=E33</v>
      </c>
    </row>
    <row r="45" ht="15" customHeight="1">
      <c r="A45" s="4757" cm="1" t="e">
        <f t="array" ref="A45">RANGENAMEADDRESS(B45,TRUE)</f>
        <v>#NAME?</v>
      </c>
      <c r="B45" s="4765" t="s">
        <v>4829</v>
      </c>
      <c r="C45" s="4765" t="s">
        <v>4830</v>
      </c>
      <c r="D45" s="4766">
        <v>0</v>
      </c>
      <c r="E45" s="4766" t="s">
        <v>269</v>
      </c>
      <c r="F45" s="4793"/>
      <c r="G45" s="714"/>
      <c r="H45" s="6" t="s">
        <v>4831</v>
      </c>
      <c r="I45" s="4795" t="str">
        <f>TEXT('Trade Sheet'!E39,"0.000%")</f>
        <v>0.000%</v>
      </c>
      <c r="J45" s="4768" t="s">
        <v>4699</v>
      </c>
      <c r="K45" s="4762"/>
      <c r="L45" s="4781" t="str">
        <f>ADDRESS(ROW('SBL Quotes'!E35),COLUMN('SBL Quotes'!E35))</f>
        <v>$E$35</v>
      </c>
      <c r="M45" s="4797">
        <v>0</v>
      </c>
    </row>
    <row r="46" ht="15" customHeight="1">
      <c r="A46" s="4757" cm="1" t="e">
        <f t="array" ref="A46">RANGENAMEADDRESS(B46,TRUE)</f>
        <v>#NAME?</v>
      </c>
      <c r="B46" s="4765" t="s">
        <v>4833</v>
      </c>
      <c r="C46" s="4765" t="s">
        <v>4834</v>
      </c>
      <c r="D46" s="4766">
        <v>0</v>
      </c>
      <c r="E46" s="4766" t="s">
        <v>269</v>
      </c>
      <c r="G46" s="714"/>
      <c r="H46" s="6" t="s">
        <v>4835</v>
      </c>
      <c r="I46" s="4795" t="str">
        <f>TEXT('Trade Sheet'!E40,"0.000%")</f>
        <v>0.000%</v>
      </c>
      <c r="J46" s="4768" t="s">
        <v>4699</v>
      </c>
      <c r="K46" s="4762"/>
      <c r="L46" s="4781" t="str">
        <f>ADDRESS(ROW('SBL Quotes'!E38),COLUMN('SBL Quotes'!E38))</f>
        <v>$E$38</v>
      </c>
      <c r="M46" s="4769" t="s">
        <v>629</v>
      </c>
    </row>
    <row r="47" ht="15" customHeight="1">
      <c r="A47" s="4757" cm="1" t="e">
        <f t="array" ref="A47">RANGENAMEADDRESS(B47,TRUE)</f>
        <v>#NAME?</v>
      </c>
      <c r="B47" s="4765" t="s">
        <v>4837</v>
      </c>
      <c r="C47" s="4765" t="s">
        <v>4838</v>
      </c>
      <c r="D47" s="4766">
        <v>0</v>
      </c>
      <c r="E47" s="4766" t="s">
        <v>269</v>
      </c>
      <c r="G47" s="714"/>
      <c r="H47" s="6" t="s">
        <v>4839</v>
      </c>
      <c r="I47" s="4795" t="str">
        <f>TEXT('Trade Sheet'!G35,"0.000%")</f>
        <v>0.000%</v>
      </c>
      <c r="J47" s="4768" t="s">
        <v>4699</v>
      </c>
      <c r="K47" s="4762"/>
      <c r="L47" s="4781" t="str">
        <f>ADDRESS(ROW('SBL Quotes'!E43),COLUMN('SBL Quotes'!E43))</f>
        <v>$E$43</v>
      </c>
      <c r="M47" s="4796" t="str">
        <f>"="&amp;SUBSTITUTE(ADDRESS(ROW('SBL Quotes'!E44),COLUMN('SBL Quotes'!E44)),"$","")</f>
        <v>=E44</v>
      </c>
    </row>
    <row r="48" ht="15" customHeight="1">
      <c r="A48" s="4757" cm="1" t="e">
        <f t="array" ref="A48">RANGENAMEADDRESS(B48,TRUE)</f>
        <v>#NAME?</v>
      </c>
      <c r="B48" s="4765" t="s">
        <v>4842</v>
      </c>
      <c r="C48" s="4765" t="s">
        <v>4843</v>
      </c>
      <c r="D48" s="4766">
        <v>0</v>
      </c>
      <c r="E48" s="4766" t="s">
        <v>269</v>
      </c>
      <c r="G48" s="714"/>
      <c r="H48" s="6" t="s">
        <v>4844</v>
      </c>
      <c r="I48" s="4795" t="str">
        <f>TEXT('Trade Sheet'!G36,"0.000%")</f>
        <v>0.000%</v>
      </c>
      <c r="J48" s="4768" t="s">
        <v>4699</v>
      </c>
      <c r="K48" s="4762"/>
      <c r="L48" s="4781" t="str">
        <f>ADDRESS(ROW('SBL Quotes'!E46),COLUMN('SBL Quotes'!E46))</f>
        <v>$E$46</v>
      </c>
      <c r="M48" s="4769">
        <v>30</v>
      </c>
    </row>
    <row r="49" ht="15" customHeight="1">
      <c r="A49" s="4757" cm="1" t="e">
        <f t="array" ref="A49">RANGENAMEADDRESS(B49,TRUE)</f>
        <v>#NAME?</v>
      </c>
      <c r="B49" s="4765" t="s">
        <v>4846</v>
      </c>
      <c r="C49" s="4765" t="s">
        <v>4847</v>
      </c>
      <c r="D49" s="4766">
        <v>0</v>
      </c>
      <c r="E49" s="4766" t="s">
        <v>269</v>
      </c>
      <c r="G49" s="714"/>
      <c r="H49" s="6" t="s">
        <v>4848</v>
      </c>
      <c r="I49" s="4795" t="str">
        <f>TEXT('Trade Sheet'!G37,"0.000%")</f>
        <v>0.000%</v>
      </c>
      <c r="J49" s="4768" t="s">
        <v>4699</v>
      </c>
      <c r="K49" s="4762"/>
      <c r="L49" s="4781" t="str">
        <f>ADDRESS(ROW('SBL Quotes'!E47),COLUMN('SBL Quotes'!E47))</f>
        <v>$E$47</v>
      </c>
      <c r="M49" s="4769" t="s">
        <v>840</v>
      </c>
    </row>
    <row r="50" ht="15" customHeight="1">
      <c r="A50" s="4757" cm="1" t="e">
        <f t="array" ref="A50">RANGENAMEADDRESS(B50,TRUE)</f>
        <v>#NAME?</v>
      </c>
      <c r="B50" s="4765" t="s">
        <v>4850</v>
      </c>
      <c r="C50" s="4765" t="s">
        <v>4851</v>
      </c>
      <c r="D50" s="4766">
        <v>0</v>
      </c>
      <c r="E50" s="4766" t="s">
        <v>269</v>
      </c>
      <c r="G50" s="714"/>
      <c r="H50" s="6" t="s">
        <v>4852</v>
      </c>
      <c r="I50" s="4795" t="str">
        <f>TEXT('Trade Sheet'!G38,"0.000%")</f>
        <v>0.000%</v>
      </c>
      <c r="J50" s="4768" t="s">
        <v>4699</v>
      </c>
      <c r="K50" s="4762"/>
      <c r="L50" s="4781" t="str">
        <f>ADDRESS(ROW('SBL Quotes'!E66),COLUMN('SBL Quotes'!E66))&amp;":"&amp;ADDRESS(ROW('SBL Quotes'!P66),COLUMN('SBL Quotes'!P66))</f>
        <v>$E$66:$P$66</v>
      </c>
      <c r="M50" s="4798">
        <v>0</v>
      </c>
    </row>
    <row r="51" ht="15" customHeight="1">
      <c r="A51" s="4757" cm="1" t="e">
        <f t="array" ref="A51">RANGENAMEADDRESS(B51,TRUE)</f>
        <v>#NAME?</v>
      </c>
      <c r="B51" s="4765" t="s">
        <v>4854</v>
      </c>
      <c r="C51" s="4765" t="s">
        <v>4855</v>
      </c>
      <c r="D51" s="4766">
        <v>0</v>
      </c>
      <c r="E51" s="4766" t="s">
        <v>269</v>
      </c>
      <c r="G51" s="714"/>
      <c r="H51" s="6" t="s">
        <v>4856</v>
      </c>
      <c r="I51" s="4795" t="str">
        <f>TEXT('Trade Sheet'!G39,"0.000%")</f>
        <v>0.000%</v>
      </c>
      <c r="J51" s="4768" t="s">
        <v>4699</v>
      </c>
      <c r="K51" s="4762"/>
      <c r="L51" s="4781" t="str">
        <f>ADDRESS(ROW('SBL Quotes'!E102),COLUMN('SBL Quotes'!E102))&amp;":"&amp;ADDRESS(ROW('SBL Quotes'!P102),COLUMN('SBL Quotes'!P102))</f>
        <v>$E$102:$P$102</v>
      </c>
      <c r="M51" s="4769" t="b">
        <v>1</v>
      </c>
    </row>
    <row r="52" ht="15" customHeight="1">
      <c r="A52" s="4757" cm="1" t="e">
        <f t="array" ref="A52">RANGENAMEADDRESS(B52,TRUE)</f>
        <v>#NAME?</v>
      </c>
      <c r="B52" s="4765" t="s">
        <v>4858</v>
      </c>
      <c r="C52" s="4765" t="s">
        <v>4859</v>
      </c>
      <c r="D52" s="4766">
        <v>0</v>
      </c>
      <c r="E52" s="4766" t="s">
        <v>269</v>
      </c>
      <c r="G52" s="839"/>
      <c r="H52" s="6" t="s">
        <v>4860</v>
      </c>
      <c r="I52" s="4795" t="str">
        <f>TEXT('Trade Sheet'!G40,"0.000%")</f>
        <v>100.000%</v>
      </c>
      <c r="J52" s="4768" t="s">
        <v>4699</v>
      </c>
      <c r="K52" s="4762"/>
      <c r="L52" s="4781" t="str">
        <f>ADDRESS(ROW('SBL Quotes'!F26),COLUMN('SBL Quotes'!F26))</f>
        <v>$F$26</v>
      </c>
      <c r="M52" s="4769" t="s">
        <v>534</v>
      </c>
    </row>
    <row r="53" ht="15" customHeight="1">
      <c r="A53" s="4757" cm="1" t="e">
        <f t="array" ref="A53">RANGENAMEADDRESS(B53,TRUE)</f>
        <v>#NAME?</v>
      </c>
      <c r="B53" s="4765" t="s">
        <v>4863</v>
      </c>
      <c r="C53" s="4765" t="s">
        <v>4864</v>
      </c>
      <c r="D53" s="4766">
        <v>0</v>
      </c>
      <c r="E53" s="4766" t="s">
        <v>269</v>
      </c>
      <c r="G53" s="4759" t="s">
        <v>4865</v>
      </c>
      <c r="H53" s="4760"/>
      <c r="I53" s="4761"/>
      <c r="J53" s="4761"/>
      <c r="K53" s="4762"/>
      <c r="L53" s="4781" t="str">
        <f>ADDRESS(ROW('SBL Quotes'!F31),COLUMN('SBL Quotes'!F31))</f>
        <v>$F$31</v>
      </c>
      <c r="M53" s="4787">
        <v>0.01</v>
      </c>
    </row>
    <row r="54" ht="15" customHeight="1">
      <c r="A54" s="4757" cm="1" t="e">
        <f t="array" ref="A54">RANGENAMEADDRESS(B54,TRUE)</f>
        <v>#NAME?</v>
      </c>
      <c r="B54" s="4765" t="s">
        <v>4867</v>
      </c>
      <c r="C54" s="4765" t="s">
        <v>4868</v>
      </c>
      <c r="D54" s="4766">
        <v>0</v>
      </c>
      <c r="E54" s="4766" t="s">
        <v>269</v>
      </c>
      <c r="G54" s="714"/>
      <c r="H54" s="6" t="s">
        <v>4869</v>
      </c>
      <c r="I54" s="4799">
        <f>_xlfn.LET(_xlpm.dateValue,'Trade Sheet'!K11,IF(OR(LEN(_xlpm.dateValue)=0,_xlpm.dateValue="XX/XX/XXXX"),"",_xlfn.IFERROR(TEXT(_xlpm.dateValue,"yyyy-mm-dd"),"")))</f>
      </c>
      <c r="J54" s="4768" t="s">
        <v>4670</v>
      </c>
      <c r="K54" s="4762" t="s">
        <v>4870</v>
      </c>
      <c r="L54" s="4781" t="str">
        <f>ADDRESS(ROW('SBL Quotes'!F32),COLUMN('SBL Quotes'!F32))</f>
        <v>$F$32</v>
      </c>
      <c r="M54" s="4796" t="str">
        <f>"="&amp;SUBSTITUTE(ADDRESS(ROW('SBL Quotes'!F33),COLUMN('SBL Quotes'!F33)),"$","")</f>
        <v>=F33</v>
      </c>
    </row>
    <row r="55" ht="15" customHeight="1">
      <c r="A55" s="4757" cm="1" t="e">
        <f t="array" ref="A55">RANGENAMEADDRESS(B55,TRUE)</f>
        <v>#NAME?</v>
      </c>
      <c r="B55" s="4765" t="s">
        <v>4873</v>
      </c>
      <c r="C55" s="4765" t="s">
        <v>4874</v>
      </c>
      <c r="D55" s="4766">
        <v>0</v>
      </c>
      <c r="E55" s="4766" t="s">
        <v>269</v>
      </c>
      <c r="G55" s="714"/>
      <c r="H55" s="6" t="s">
        <v>4875</v>
      </c>
      <c r="I55" s="4799">
        <f>_xlfn.LET(_xlpm.dateValue,'Trade Sheet'!K12,IF(OR(LEN(_xlpm.dateValue)=0,_xlpm.dateValue="XX/XX/XXXX"),"",_xlfn.IFERROR(TEXT(_xlpm.dateValue,"yyyy-mm-dd"),"")))</f>
      </c>
      <c r="J55" s="4768" t="s">
        <v>4670</v>
      </c>
      <c r="K55" s="4762" t="s">
        <v>4870</v>
      </c>
      <c r="L55" s="4781" t="str">
        <f>ADDRESS(ROW('SBL Quotes'!F35),COLUMN('SBL Quotes'!F35))</f>
        <v>$F$35</v>
      </c>
      <c r="M55" s="4797">
        <v>0</v>
      </c>
    </row>
    <row r="56" ht="15" customHeight="1">
      <c r="A56" s="4757" cm="1" t="e">
        <f t="array" ref="A56">RANGENAMEADDRESS(B56,TRUE)</f>
        <v>#NAME?</v>
      </c>
      <c r="B56" s="4765" t="s">
        <v>4877</v>
      </c>
      <c r="C56" s="4765" t="s">
        <v>4878</v>
      </c>
      <c r="D56" s="4766" t="s">
        <v>4879</v>
      </c>
      <c r="E56" s="4766" t="s">
        <v>269</v>
      </c>
      <c r="G56" s="714"/>
      <c r="H56" s="6" t="s">
        <v>4880</v>
      </c>
      <c r="I56" s="4767" t="str">
        <f>IF(LEN('Trade Sheet'!K13)&gt;0,'Trade Sheet'!K13,"")</f>
        <v>Standard</v>
      </c>
      <c r="J56" s="4768" t="s">
        <v>4670</v>
      </c>
      <c r="K56" s="4762" t="s">
        <v>4709</v>
      </c>
      <c r="L56" s="4781" t="str">
        <f>ADDRESS(ROW('SBL Quotes'!F38),COLUMN('SBL Quotes'!F38))</f>
        <v>$F$38</v>
      </c>
      <c r="M56" s="4769" t="s">
        <v>629</v>
      </c>
    </row>
    <row r="57" ht="15" customHeight="1">
      <c r="A57" s="4757" cm="1" t="e">
        <f t="array" ref="A57">RANGENAMEADDRESS(B57,TRUE)</f>
        <v>#NAME?</v>
      </c>
      <c r="B57" s="4765" t="s">
        <v>4882</v>
      </c>
      <c r="C57" s="4765" t="s">
        <v>4883</v>
      </c>
      <c r="D57" s="4766" t="s">
        <v>4879</v>
      </c>
      <c r="E57" s="4766" t="s">
        <v>269</v>
      </c>
      <c r="G57" s="714"/>
      <c r="H57" s="6" t="s">
        <v>4884</v>
      </c>
      <c r="I57" s="4791" t="str">
        <f>IF(LEN('Trade Sheet'!K14)&gt;0,TEXT('Trade Sheet'!K14,"0.000%"),"")</f>
        <v>5.000%</v>
      </c>
      <c r="J57" s="4768" t="s">
        <v>4699</v>
      </c>
      <c r="K57" s="4762"/>
      <c r="L57" s="4781" t="str">
        <f>ADDRESS(ROW('SBL Quotes'!F43),COLUMN('SBL Quotes'!F43))</f>
        <v>$F$43</v>
      </c>
      <c r="M57" s="4796" t="str">
        <f>"="&amp;SUBSTITUTE(ADDRESS(ROW('SBL Quotes'!F44),COLUMN('SBL Quotes'!F44)),"$","")</f>
        <v>=F44</v>
      </c>
    </row>
    <row r="58" ht="15" customHeight="1">
      <c r="A58" s="4757" cm="1" t="e">
        <f t="array" ref="A58">RANGENAMEADDRESS(B58,TRUE)</f>
        <v>#NAME?</v>
      </c>
      <c r="B58" s="4765" t="s">
        <v>4887</v>
      </c>
      <c r="C58" s="4765" t="s">
        <v>4888</v>
      </c>
      <c r="D58" s="4766" t="b">
        <v>0</v>
      </c>
      <c r="E58" s="4766" t="s">
        <v>269</v>
      </c>
      <c r="G58" s="714"/>
      <c r="H58" s="6" t="s">
        <v>4889</v>
      </c>
      <c r="I58" s="4791" t="str">
        <f>IF(LEN('Trade Sheet'!L14)&gt;0,TEXT('Trade Sheet'!L14,"0.000%"),"")</f>
        <v>5.000%</v>
      </c>
      <c r="J58" s="4768" t="s">
        <v>4699</v>
      </c>
      <c r="K58" s="4762"/>
      <c r="L58" s="4781" t="str">
        <f>ADDRESS(ROW('SBL Quotes'!F46),COLUMN('SBL Quotes'!F46))</f>
        <v>$F$46</v>
      </c>
      <c r="M58" s="4769">
        <v>30</v>
      </c>
    </row>
    <row r="59" ht="15" customHeight="1">
      <c r="A59" s="4757" cm="1" t="e">
        <f t="array" ref="A59">RANGENAMEADDRESS(B59,TRUE)</f>
        <v>#NAME?</v>
      </c>
      <c r="B59" s="4765" t="s">
        <v>4891</v>
      </c>
      <c r="C59" s="4765" t="s">
        <v>4892</v>
      </c>
      <c r="D59" s="4766" t="s">
        <v>4879</v>
      </c>
      <c r="E59" s="4766" t="s">
        <v>269</v>
      </c>
      <c r="G59" s="714"/>
      <c r="H59" s="6" t="s">
        <v>4893</v>
      </c>
      <c r="I59" s="4767" t="str">
        <f>IF(LEN('Trade Sheet'!K15)&gt;0,'Trade Sheet'!K15,"")</f>
        <v>DUS MBS</v>
      </c>
      <c r="J59" s="4768" t="s">
        <v>4670</v>
      </c>
      <c r="K59" s="4762" t="s">
        <v>4709</v>
      </c>
      <c r="L59" s="4781" t="str">
        <f>ADDRESS(ROW('SBL Quotes'!F47),COLUMN('SBL Quotes'!F47))</f>
        <v>$F$47</v>
      </c>
      <c r="M59" s="4769" t="s">
        <v>840</v>
      </c>
    </row>
    <row r="60" ht="15" customHeight="1">
      <c r="A60" s="4757" cm="1" t="e">
        <f t="array" ref="A60">RANGENAMEADDRESS(B60,TRUE)</f>
        <v>#NAME?</v>
      </c>
      <c r="B60" s="4800" t="s">
        <v>4895</v>
      </c>
      <c r="C60" s="4765" t="s">
        <v>4896</v>
      </c>
      <c r="D60" s="4766">
        <v>0</v>
      </c>
      <c r="E60" s="4766" t="s">
        <v>269</v>
      </c>
      <c r="G60" s="714"/>
      <c r="H60" s="6" t="s">
        <v>4897</v>
      </c>
      <c r="I60" s="4767">
        <f>IF(LEN('Trade Sheet'!K16)&gt;0,'Trade Sheet'!K16,"")</f>
        <v>1</v>
      </c>
      <c r="J60" s="4768" t="s">
        <v>4718</v>
      </c>
      <c r="K60" s="4762" t="s">
        <v>4718</v>
      </c>
      <c r="L60" s="4781" t="str">
        <f>ADDRESS(ROW('SBL Quotes'!G26),COLUMN('SBL Quotes'!G26))</f>
        <v>$G$26</v>
      </c>
      <c r="M60" s="4769" t="s">
        <v>535</v>
      </c>
    </row>
    <row r="61" ht="15" customHeight="1">
      <c r="A61" s="4757" cm="1" t="e">
        <f t="array" ref="A61">RANGENAMEADDRESS(B61,TRUE)</f>
        <v>#NAME?</v>
      </c>
      <c r="B61" s="4800" t="s">
        <v>4899</v>
      </c>
      <c r="C61" s="4765" t="s">
        <v>4900</v>
      </c>
      <c r="D61" s="4766">
        <v>0</v>
      </c>
      <c r="E61" s="4766" t="s">
        <v>269</v>
      </c>
      <c r="G61" s="714"/>
      <c r="H61" s="6" t="s">
        <v>4901</v>
      </c>
      <c r="I61" s="4791" t="str">
        <f>IF(LEN('Trade Sheet'!K17)&gt;0,TEXT('Trade Sheet'!K17,"0.000%"),"")</f>
        <v>100.000%</v>
      </c>
      <c r="J61" s="4768" t="s">
        <v>4699</v>
      </c>
      <c r="K61" s="4762" t="s">
        <v>4699</v>
      </c>
      <c r="L61" s="4781" t="str">
        <f>ADDRESS(ROW('SBL Quotes'!G31),COLUMN('SBL Quotes'!G31))</f>
        <v>$G$31</v>
      </c>
      <c r="M61" s="4787">
        <v>0.01</v>
      </c>
    </row>
    <row r="62" ht="15" customHeight="1">
      <c r="A62" s="4757" cm="1" t="e">
        <f t="array" ref="A62">RANGENAMEADDRESS(B62,TRUE)</f>
        <v>#NAME?</v>
      </c>
      <c r="B62" s="4800" t="s">
        <v>4903</v>
      </c>
      <c r="C62" s="4765" t="s">
        <v>4904</v>
      </c>
      <c r="D62" s="4766" t="b">
        <v>0</v>
      </c>
      <c r="E62" s="4766" t="s">
        <v>269</v>
      </c>
      <c r="G62" s="714"/>
      <c r="H62" s="6" t="s">
        <v>4905</v>
      </c>
      <c r="I62" s="4767" t="str">
        <f>IF(LEN('Trade Sheet'!K18)&gt;0,'Trade Sheet'!K18,"")</f>
        <v>Yes</v>
      </c>
      <c r="J62" s="4768" t="s">
        <v>4670</v>
      </c>
      <c r="K62" s="4762" t="s">
        <v>4798</v>
      </c>
      <c r="L62" s="4781" t="str">
        <f>ADDRESS(ROW('SBL Quotes'!G32),COLUMN('SBL Quotes'!G32))</f>
        <v>$G$32</v>
      </c>
      <c r="M62" s="4796" t="str">
        <f>"="&amp;SUBSTITUTE(ADDRESS(ROW('SBL Quotes'!G33),COLUMN('SBL Quotes'!G33)),"$","")</f>
        <v>=G33</v>
      </c>
    </row>
    <row r="63" ht="15" customHeight="1">
      <c r="A63" s="4757" cm="1" t="e">
        <f t="array" ref="A63">RANGENAMEADDRESS(B63,TRUE)</f>
        <v>#NAME?</v>
      </c>
      <c r="B63" s="4800" t="s">
        <v>4908</v>
      </c>
      <c r="C63" s="4765" t="s">
        <v>4909</v>
      </c>
      <c r="D63" s="4766" t="b">
        <v>0</v>
      </c>
      <c r="E63" s="4766" t="s">
        <v>269</v>
      </c>
      <c r="G63" s="714"/>
      <c r="H63" s="6" t="s">
        <v>4910</v>
      </c>
      <c r="I63" s="4783">
        <f>_xlfn.IFERROR(IF(LEN('Trade Sheet'!K19)&gt;0,'Trade Sheet'!K19,0),0)</f>
        <v>0</v>
      </c>
      <c r="J63" s="4768" t="s">
        <v>4699</v>
      </c>
      <c r="K63" s="4762"/>
      <c r="L63" s="4781" t="str">
        <f>ADDRESS(ROW('SBL Quotes'!G35),COLUMN('SBL Quotes'!G35))</f>
        <v>$G$35</v>
      </c>
      <c r="M63" s="4797">
        <v>0</v>
      </c>
    </row>
    <row r="64" ht="15" customHeight="1">
      <c r="A64" s="4757" cm="1" t="e">
        <f t="array" ref="A64">RANGENAMEADDRESS(B64,TRUE)</f>
        <v>#NAME?</v>
      </c>
      <c r="B64" s="4800" t="s">
        <v>4912</v>
      </c>
      <c r="C64" s="4765" t="s">
        <v>4913</v>
      </c>
      <c r="D64" s="4766" t="b">
        <v>0</v>
      </c>
      <c r="E64" s="4766" t="s">
        <v>269</v>
      </c>
      <c r="G64" s="714"/>
      <c r="H64" s="6" t="s">
        <v>4914</v>
      </c>
      <c r="I64" s="4791" t="str">
        <f>IF(LEN('Trade Sheet'!L19)&gt;0,TEXT('Trade Sheet'!L19,"0.000%"),"")</f>
        <v>2.000%</v>
      </c>
      <c r="J64" s="4768" t="s">
        <v>4699</v>
      </c>
      <c r="K64" s="4762"/>
      <c r="L64" s="4781" t="str">
        <f>ADDRESS(ROW('SBL Quotes'!G38),COLUMN('SBL Quotes'!G38))</f>
        <v>$G$38</v>
      </c>
      <c r="M64" s="4769" t="s">
        <v>629</v>
      </c>
    </row>
    <row r="65" ht="15" customHeight="1">
      <c r="A65" s="4757" cm="1" t="e">
        <f t="array" ref="A65">RANGENAMEADDRESS(B65,TRUE)</f>
        <v>#NAME?</v>
      </c>
      <c r="B65" s="4800" t="s">
        <v>4917</v>
      </c>
      <c r="C65" s="4765" t="s">
        <v>4918</v>
      </c>
      <c r="D65" s="4766" t="b">
        <v>0</v>
      </c>
      <c r="E65" s="4766" t="s">
        <v>269</v>
      </c>
      <c r="G65" s="839"/>
      <c r="H65" s="9" t="s">
        <v>4919</v>
      </c>
      <c r="I65" s="4773" t="str">
        <f>IF(LEN('Trade Sheet'!M19)&gt;0,'Trade Sheet'!M19,"")</f>
        <v>Not Received</v>
      </c>
      <c r="J65" s="4768" t="s">
        <v>4670</v>
      </c>
      <c r="K65" s="4762" t="s">
        <v>4920</v>
      </c>
      <c r="L65" s="4781" t="str">
        <f>ADDRESS(ROW('SBL Quotes'!G43),COLUMN('SBL Quotes'!G43))</f>
        <v>$G$43</v>
      </c>
      <c r="M65" s="4796" t="str">
        <f>"="&amp;SUBSTITUTE(ADDRESS(ROW('SBL Quotes'!G44),COLUMN('SBL Quotes'!G44)),"$","")</f>
        <v>=G44</v>
      </c>
    </row>
    <row r="66" ht="15" customHeight="1">
      <c r="G66" s="4759" t="s">
        <v>4923</v>
      </c>
      <c r="H66" s="4760"/>
      <c r="I66" s="4761"/>
      <c r="J66" s="4761"/>
      <c r="K66" s="4762"/>
      <c r="L66" s="4781" t="str">
        <f>ADDRESS(ROW('SBL Quotes'!G46),COLUMN('SBL Quotes'!G46))</f>
        <v>$G$46</v>
      </c>
      <c r="M66" s="4769">
        <v>30</v>
      </c>
    </row>
    <row r="67" ht="15" customHeight="1">
      <c r="G67" s="714"/>
      <c r="H67" s="6" t="s">
        <v>4925</v>
      </c>
      <c r="I67" s="4767" t="e">
        <f>IF(LEN('Trade Sheet'!K22)&gt;0,'Trade Sheet'!K22,"")</f>
        <v>#NAME?</v>
      </c>
      <c r="J67" s="4768" t="s">
        <v>4670</v>
      </c>
      <c r="K67" s="4762" t="s">
        <v>4670</v>
      </c>
      <c r="L67" s="4781" t="str">
        <f>ADDRESS(ROW('SBL Quotes'!G47),COLUMN('SBL Quotes'!G47))</f>
        <v>$G$47</v>
      </c>
      <c r="M67" s="4769" t="s">
        <v>840</v>
      </c>
    </row>
    <row r="68" ht="15" customHeight="1">
      <c r="G68" s="714"/>
      <c r="H68" s="6" t="s">
        <v>4927</v>
      </c>
      <c r="I68" s="4767" t="str">
        <f>IF(LEN('Trade Sheet'!L22)&gt;0,'Trade Sheet'!L22,"")</f>
        <v>Yes</v>
      </c>
      <c r="J68" s="4768" t="s">
        <v>4670</v>
      </c>
      <c r="K68" s="4762" t="s">
        <v>4798</v>
      </c>
      <c r="L68" s="4781" t="str">
        <f>ADDRESS(ROW('SBL Quotes'!R25),COLUMN('SBL Quotes'!R25))&amp;":"&amp;ADDRESS(ROW('SBL Quotes'!Y25),COLUMN('SBL Quotes'!Y25))</f>
        <v>$R$25:$Y$25</v>
      </c>
      <c r="M68" s="4769" t="s">
        <v>4690</v>
      </c>
    </row>
    <row r="69" ht="15" customHeight="1">
      <c r="G69" s="714"/>
      <c r="H69" s="6" t="s">
        <v>4929</v>
      </c>
      <c r="I69" s="4791" t="e">
        <f>IF(LEN('Trade Sheet'!K23)&gt;0,TEXT('Trade Sheet'!K23,"0.000%"),"")</f>
        <v>#NAME?</v>
      </c>
      <c r="J69" s="4768" t="s">
        <v>4699</v>
      </c>
      <c r="K69" s="4762"/>
      <c r="L69" s="4781" t="str">
        <f>ADDRESS(ROW('SBL Quotes'!R26),COLUMN('SBL Quotes'!R26))</f>
        <v>$R$26</v>
      </c>
      <c r="M69" s="4769" t="s">
        <v>535</v>
      </c>
    </row>
    <row r="70" ht="15" customHeight="1">
      <c r="G70" s="714"/>
      <c r="H70" s="6" t="s">
        <v>4931</v>
      </c>
      <c r="I70" s="4791" t="e">
        <f>IF(LEN('Trade Sheet'!K24)&gt;0,TEXT('Trade Sheet'!K24,"0.000%"),"")</f>
        <v>#NAME?</v>
      </c>
      <c r="J70" s="4768" t="s">
        <v>4699</v>
      </c>
      <c r="K70" s="4762"/>
      <c r="L70" s="4781" t="str">
        <f>ADDRESS(ROW('SBL Quotes'!R30),COLUMN('SBL Quotes'!R30))&amp;":"&amp;ADDRESS(ROW('SBL Quotes'!Y30),COLUMN('SBL Quotes'!Y30))</f>
        <v>$R$30:$Y$30</v>
      </c>
      <c r="M70" s="4769">
        <v>0</v>
      </c>
    </row>
    <row r="71" ht="15" customHeight="1">
      <c r="G71" s="714"/>
      <c r="H71" s="6" t="s">
        <v>4933</v>
      </c>
      <c r="I71" s="4791" t="e">
        <f>IF(LEN('Trade Sheet'!K25)&gt;0,TEXT('Trade Sheet'!K25,"0.000%"),"")</f>
        <v>#NAME?</v>
      </c>
      <c r="J71" s="4768" t="s">
        <v>4699</v>
      </c>
      <c r="K71" s="4762"/>
      <c r="L71" s="4781" t="str">
        <f>ADDRESS(ROW('SBL Quotes'!R31),COLUMN('SBL Quotes'!R31))</f>
        <v>$R$31</v>
      </c>
      <c r="M71" s="4787">
        <v>0.01</v>
      </c>
    </row>
    <row r="72" ht="15" customHeight="1">
      <c r="G72" s="714"/>
      <c r="H72" s="6" t="s">
        <v>4935</v>
      </c>
      <c r="I72" s="4783">
        <f>IF(LEN('Trade Sheet'!K26)&gt;0,'Trade Sheet'!K26,"")</f>
        <v>-1720952.21</v>
      </c>
      <c r="J72" s="4768" t="s">
        <v>4699</v>
      </c>
      <c r="K72" s="4762"/>
      <c r="L72" s="4781" t="str">
        <f>ADDRESS(ROW('SBL Quotes'!R32),COLUMN('SBL Quotes'!R32))</f>
        <v>$R$32</v>
      </c>
      <c r="M72" s="4787">
        <v>0.01</v>
      </c>
    </row>
    <row r="73" ht="15" customHeight="1">
      <c r="G73" s="714"/>
      <c r="H73" s="6" t="s">
        <v>4937</v>
      </c>
      <c r="I73" s="4767" t="e">
        <f>IF(LEN('Trade Sheet'!K27)&gt;0,'Trade Sheet'!K27,"")</f>
        <v>#NAME?</v>
      </c>
      <c r="J73" s="4768" t="s">
        <v>4699</v>
      </c>
      <c r="K73" s="4762"/>
      <c r="L73" s="4781" t="str">
        <f>ADDRESS(ROW('SBL Quotes'!R38),COLUMN('SBL Quotes'!R38))</f>
        <v>$R$38</v>
      </c>
      <c r="M73" s="4769" t="s">
        <v>801</v>
      </c>
    </row>
    <row r="74" ht="15" customHeight="1">
      <c r="G74" s="714"/>
      <c r="H74" s="6" t="s">
        <v>4939</v>
      </c>
      <c r="I74" s="4767">
        <f>IF(LEN('Trade Sheet'!K28)&gt;0,'Trade Sheet'!K28,"")</f>
        <v>0</v>
      </c>
      <c r="J74" s="4768" t="s">
        <v>4699</v>
      </c>
      <c r="K74" s="4762"/>
      <c r="L74" s="4781" t="str">
        <f>ADDRESS(ROW('SBL Quotes'!R39),COLUMN('SBL Quotes'!R39))</f>
        <v>$R$39</v>
      </c>
      <c r="M74" s="4769">
        <v>2</v>
      </c>
    </row>
    <row r="75" ht="15" customHeight="1">
      <c r="G75" s="714"/>
      <c r="H75" s="6" t="s">
        <v>4941</v>
      </c>
      <c r="I75" s="4767" t="e">
        <f>IF(LEN('Trade Sheet'!L28)&gt;0,'Trade Sheet'!L28,"")</f>
        <v>#NAME?</v>
      </c>
      <c r="J75" s="4768" t="s">
        <v>4942</v>
      </c>
      <c r="K75" s="4762" t="s">
        <v>4943</v>
      </c>
      <c r="L75" s="4781" t="str">
        <f>ADDRESS(ROW('SBL Quotes'!R43),COLUMN('SBL Quotes'!R43))</f>
        <v>$R$43</v>
      </c>
      <c r="M75" s="4796" t="str">
        <f>"="&amp;SUBSTITUTE(ADDRESS(ROW('SBL Quotes'!R44),COLUMN('SBL Quotes'!R44)),"$","")</f>
        <v>=R44</v>
      </c>
    </row>
    <row r="76" ht="15" customHeight="1">
      <c r="G76" s="714"/>
      <c r="H76" s="6" t="s">
        <v>4946</v>
      </c>
      <c r="I76" s="4783">
        <f>IF(LEN('Trade Sheet'!K29)&gt;0,'Trade Sheet'!K29,"")</f>
        <v>-34419044.199999996</v>
      </c>
      <c r="J76" s="4768" t="s">
        <v>4699</v>
      </c>
      <c r="K76" s="4762"/>
      <c r="L76" s="4781" t="str">
        <f>ADDRESS(ROW('SBL Quotes'!R46),COLUMN('SBL Quotes'!R46))</f>
        <v>$R$46</v>
      </c>
      <c r="M76" s="4769">
        <v>30</v>
      </c>
    </row>
    <row r="77" ht="15" customHeight="1">
      <c r="G77" s="714"/>
      <c r="H77" s="6" t="s">
        <v>4948</v>
      </c>
      <c r="I77" s="4801" t="str">
        <f>IF(LEN('Trade Sheet'!K30)&gt;0,TEXT('Trade Sheet'!K30,"0.0%"),"")</f>
        <v>Fee Simple</v>
      </c>
      <c r="J77" s="4768" t="s">
        <v>4699</v>
      </c>
      <c r="K77" s="4762"/>
      <c r="L77" s="4781" t="str">
        <f>ADDRESS(ROW('SBL Quotes'!R47),COLUMN('SBL Quotes'!R47))</f>
        <v>$R$47</v>
      </c>
      <c r="M77" s="4769" t="s">
        <v>393</v>
      </c>
    </row>
    <row r="78" ht="15" customHeight="1">
      <c r="G78" s="714"/>
      <c r="H78" s="6" t="s">
        <v>4950</v>
      </c>
      <c r="I78" s="4801" t="str">
        <f>IF(LEN('Trade Sheet'!K31)&gt;0,TEXT('Trade Sheet'!K31,"0.0%"),"")</f>
        <v>75.0%</v>
      </c>
      <c r="J78" s="4768" t="s">
        <v>4699</v>
      </c>
      <c r="K78" s="4762"/>
      <c r="L78" s="4781" t="str">
        <f>ADDRESS(ROW('SBL Quotes'!R65),COLUMN('SBL Quotes'!R65))&amp;":"&amp;ADDRESS(ROW('SBL Quotes'!Y65),COLUMN('SBL Quotes'!Y65))</f>
        <v>$R$65:$Y$65</v>
      </c>
      <c r="M78" s="4798">
        <v>0</v>
      </c>
    </row>
    <row r="79" ht="15" customHeight="1">
      <c r="G79" s="714"/>
      <c r="H79" s="6" t="s">
        <v>4952</v>
      </c>
      <c r="I79" s="4801" t="str">
        <f>IF(LEN('Trade Sheet'!K32)&gt;0,TEXT('Trade Sheet'!K32,"0.0%"),"")</f>
        <v>0.0%</v>
      </c>
      <c r="J79" s="4768" t="s">
        <v>4699</v>
      </c>
      <c r="K79" s="4762"/>
      <c r="L79" s="4781" t="str">
        <f>ADDRESS(ROW('SBL Quotes'!R66),COLUMN('SBL Quotes'!R66))&amp;":"&amp;ADDRESS(ROW('SBL Quotes'!Y66),COLUMN('SBL Quotes'!Y66))</f>
        <v>$R$66:$Y$66</v>
      </c>
      <c r="M79" s="4798">
        <v>0</v>
      </c>
    </row>
    <row r="80" ht="15" customHeight="1">
      <c r="G80" s="714"/>
      <c r="H80" s="6" t="s">
        <v>4954</v>
      </c>
      <c r="I80" s="4783">
        <f>IF(LEN('Trade Sheet'!K33)&gt;0,'Trade Sheet'!K33,"")</f>
        <v>0</v>
      </c>
      <c r="J80" s="4768" t="s">
        <v>4699</v>
      </c>
      <c r="K80" s="4762"/>
      <c r="L80" s="4781" t="str">
        <f>ADDRESS(ROW('SBL Quotes'!R102),COLUMN('SBL Quotes'!R102))&amp;":"&amp;ADDRESS(ROW('SBL Quotes'!Y102),COLUMN('SBL Quotes'!Y102))</f>
        <v>$R$102:$Y$102</v>
      </c>
      <c r="M80" s="4769" t="b">
        <v>1</v>
      </c>
    </row>
    <row r="81" ht="15" customHeight="1">
      <c r="G81" s="714"/>
      <c r="H81" s="6" t="s">
        <v>4956</v>
      </c>
      <c r="I81" s="4791" t="str">
        <f>IF(LEN('Trade Sheet'!K34)&gt;0,TEXT('Trade Sheet'!K34,"0.000%"),"")</f>
        <v>0.000%</v>
      </c>
      <c r="J81" s="4768" t="s">
        <v>4699</v>
      </c>
      <c r="K81" s="4762"/>
      <c r="L81" s="4781" t="str">
        <f>ADDRESS(ROW('SBL Quotes'!S26),COLUMN('SBL Quotes'!S26))</f>
        <v>$S$26</v>
      </c>
      <c r="M81" s="4769" t="s">
        <v>558</v>
      </c>
    </row>
    <row r="82" ht="15" customHeight="1">
      <c r="G82" s="714"/>
      <c r="H82" s="6" t="s">
        <v>4958</v>
      </c>
      <c r="I82" s="4767">
        <f>_xlfn.LET(_xlpm.maturityYear,'Trade Sheet'!L34,IF(AND(LEN(_xlpm.maturityYear)&gt;0,_xlpm.maturityYear&lt;&gt;"XXXX"),_xlpm.maturityYear,""))</f>
      </c>
      <c r="J82" s="4768" t="s">
        <v>4699</v>
      </c>
      <c r="K82" s="4762"/>
      <c r="L82" s="4781" t="str">
        <f>ADDRESS(ROW('SBL Quotes'!S31),COLUMN('SBL Quotes'!S31))</f>
        <v>$S$31</v>
      </c>
      <c r="M82" s="4787">
        <v>0.01</v>
      </c>
    </row>
    <row r="83" ht="15" customHeight="1">
      <c r="G83" s="714"/>
      <c r="H83" s="6" t="s">
        <v>4960</v>
      </c>
      <c r="I83" s="4767">
        <f>IF(LEN('Trade Sheet'!K35)&gt;0,'Trade Sheet'!K35,"")</f>
        <v>0</v>
      </c>
      <c r="J83" s="4768" t="s">
        <v>4699</v>
      </c>
      <c r="K83" s="4762"/>
      <c r="L83" s="4781" t="str">
        <f>ADDRESS(ROW('SBL Quotes'!S32),COLUMN('SBL Quotes'!S32))</f>
        <v>$S$32</v>
      </c>
      <c r="M83" s="4787">
        <v>0.01</v>
      </c>
    </row>
    <row r="84" ht="15" customHeight="1">
      <c r="G84" s="839"/>
      <c r="H84" s="9" t="s">
        <v>4962</v>
      </c>
      <c r="I84" s="4773">
        <f>IF(LEN('Trade Sheet'!L35)&gt;0,'Trade Sheet'!L35,"")</f>
        <v>0</v>
      </c>
      <c r="J84" s="4768" t="s">
        <v>4699</v>
      </c>
      <c r="K84" s="4762"/>
      <c r="L84" s="4781" t="str">
        <f>ADDRESS(ROW('SBL Quotes'!S38),COLUMN('SBL Quotes'!S38))</f>
        <v>$S$38</v>
      </c>
      <c r="M84" s="4769" t="s">
        <v>801</v>
      </c>
    </row>
    <row r="85" ht="15" customHeight="1">
      <c r="G85" s="4759" t="s">
        <v>4964</v>
      </c>
      <c r="H85" s="4760"/>
      <c r="I85" s="4761"/>
      <c r="J85" s="4761"/>
      <c r="K85" s="4762"/>
      <c r="L85" s="4781" t="str">
        <f>ADDRESS(ROW('SBL Quotes'!S39),COLUMN('SBL Quotes'!S39))</f>
        <v>$S$39</v>
      </c>
      <c r="M85" s="4769">
        <v>2</v>
      </c>
    </row>
    <row r="86" ht="15" customHeight="1">
      <c r="G86" s="714"/>
      <c r="H86" s="6" t="s">
        <v>4966</v>
      </c>
      <c r="I86" s="4767" t="str">
        <f>IF(LEN('Trade Sheet'!E43)&gt;0,'Trade Sheet'!E43,"")</f>
        <v>N/A</v>
      </c>
      <c r="J86" s="4768" t="s">
        <v>4942</v>
      </c>
      <c r="K86" s="4762" t="s">
        <v>4967</v>
      </c>
      <c r="L86" s="4781" t="str">
        <f>ADDRESS(ROW('SBL Quotes'!S43),COLUMN('SBL Quotes'!S43))</f>
        <v>$S$43</v>
      </c>
      <c r="M86" s="4796" t="str">
        <f>"="&amp;SUBSTITUTE(ADDRESS(ROW('SBL Quotes'!S44),COLUMN('SBL Quotes'!S44)),"$","")</f>
        <v>=S44</v>
      </c>
    </row>
    <row r="87" ht="15" customHeight="1">
      <c r="G87" s="714"/>
      <c r="H87" s="6" t="s">
        <v>4970</v>
      </c>
      <c r="I87" s="4767" t="str">
        <f>IF(LEN('Trade Sheet'!E44)&gt;0,'Trade Sheet'!E44,"")</f>
        <v>No</v>
      </c>
      <c r="J87" s="4768" t="s">
        <v>4670</v>
      </c>
      <c r="K87" s="4762" t="s">
        <v>4798</v>
      </c>
      <c r="L87" s="4781" t="str">
        <f>ADDRESS(ROW('SBL Quotes'!S46),COLUMN('SBL Quotes'!S46))</f>
        <v>$S$46</v>
      </c>
      <c r="M87" s="4769">
        <v>30</v>
      </c>
    </row>
    <row r="88" ht="15" customHeight="1">
      <c r="G88" s="714"/>
      <c r="H88" s="6" t="s">
        <v>4972</v>
      </c>
      <c r="I88" s="4767" t="str">
        <f>IF(LEN('Trade Sheet'!E45)&gt;0,'Trade Sheet'!E45,"")</f>
        <v>N/A</v>
      </c>
      <c r="J88" s="4768" t="s">
        <v>4942</v>
      </c>
      <c r="K88" s="4762" t="s">
        <v>4973</v>
      </c>
      <c r="L88" s="4781" t="str">
        <f>ADDRESS(ROW('SBL Quotes'!S47),COLUMN('SBL Quotes'!S47))</f>
        <v>$S$47</v>
      </c>
      <c r="M88" s="4769" t="s">
        <v>393</v>
      </c>
    </row>
    <row r="89" ht="15" customHeight="1">
      <c r="G89" s="714"/>
      <c r="H89" s="6" t="s">
        <v>4975</v>
      </c>
      <c r="I89" s="4767" t="str">
        <f>IF(LEN('Trade Sheet'!E46)&gt;0,'Trade Sheet'!E46,"")</f>
        <v>N/A</v>
      </c>
      <c r="J89" s="4768" t="s">
        <v>4942</v>
      </c>
      <c r="K89" s="4762" t="s">
        <v>4973</v>
      </c>
      <c r="L89" s="4781" t="str">
        <f>ADDRESS(ROW('SBL Quotes'!T26),COLUMN('SBL Quotes'!T26))</f>
        <v>$T$26</v>
      </c>
      <c r="M89" s="4769" t="s">
        <v>559</v>
      </c>
    </row>
    <row r="90" ht="15" customHeight="1">
      <c r="G90" s="714"/>
      <c r="H90" s="6" t="s">
        <v>4977</v>
      </c>
      <c r="I90" s="4767" t="str">
        <f>IF(LEN('Trade Sheet'!E47)&gt;0,'Trade Sheet'!E47,"")</f>
        <v>N/A</v>
      </c>
      <c r="J90" s="4768" t="s">
        <v>4942</v>
      </c>
      <c r="K90" s="4762" t="s">
        <v>4973</v>
      </c>
      <c r="L90" s="4781" t="str">
        <f>ADDRESS(ROW('SBL Quotes'!T31),COLUMN('SBL Quotes'!T31))</f>
        <v>$T$31</v>
      </c>
      <c r="M90" s="4787">
        <v>0.01</v>
      </c>
    </row>
    <row r="91" ht="15" customHeight="1">
      <c r="G91" s="714"/>
      <c r="H91" s="6" t="s">
        <v>4979</v>
      </c>
      <c r="I91" s="4795" t="str">
        <f>IF(LEN('Trade Sheet'!K43)&gt;0,TEXT('Trade Sheet'!K43,"0.00%"),"")</f>
        <v>N/A</v>
      </c>
      <c r="J91" s="4768" t="s">
        <v>4942</v>
      </c>
      <c r="K91" s="4762" t="s">
        <v>4973</v>
      </c>
      <c r="L91" s="4781" t="str">
        <f>ADDRESS(ROW('SBL Quotes'!T32),COLUMN('SBL Quotes'!T32))</f>
        <v>$T$32</v>
      </c>
      <c r="M91" s="4787">
        <v>0.01</v>
      </c>
    </row>
    <row r="92" ht="15" customHeight="1">
      <c r="G92" s="714"/>
      <c r="H92" s="6" t="s">
        <v>4981</v>
      </c>
      <c r="I92" s="4795" t="str">
        <f>IF(LEN('Trade Sheet'!K44)&gt;0,TEXT('Trade Sheet'!K44,"0.00%"),"")</f>
        <v>0.00%</v>
      </c>
      <c r="J92" s="4768" t="s">
        <v>4942</v>
      </c>
      <c r="K92" s="4762"/>
      <c r="L92" s="4781" t="str">
        <f>ADDRESS(ROW('SBL Quotes'!T38),COLUMN('SBL Quotes'!T38))</f>
        <v>$T$38</v>
      </c>
      <c r="M92" s="4769" t="s">
        <v>801</v>
      </c>
    </row>
    <row r="93" ht="15" customHeight="1">
      <c r="G93" s="714"/>
      <c r="H93" s="6" t="s">
        <v>4983</v>
      </c>
      <c r="I93" s="4795" t="str">
        <f>IF(LEN('Trade Sheet'!K45)&gt;0,TEXT('Trade Sheet'!K45,"0.00%"),"")</f>
        <v>N/A</v>
      </c>
      <c r="J93" s="4768" t="s">
        <v>4942</v>
      </c>
      <c r="K93" s="4762" t="s">
        <v>4973</v>
      </c>
      <c r="L93" s="4781" t="str">
        <f>ADDRESS(ROW('SBL Quotes'!T39),COLUMN('SBL Quotes'!T39))</f>
        <v>$T$39</v>
      </c>
      <c r="M93" s="4769">
        <v>2</v>
      </c>
    </row>
    <row r="94" ht="15" customHeight="1">
      <c r="G94" s="714"/>
      <c r="H94" s="6" t="s">
        <v>4985</v>
      </c>
      <c r="I94" s="4802" t="str">
        <f>_xlfn.IFERROR(IF(LEN('Trade Sheet'!K46)&gt;0,'Trade Sheet'!K46,""),0)</f>
        <v>N/A</v>
      </c>
      <c r="J94" s="4768" t="s">
        <v>4942</v>
      </c>
      <c r="K94" s="4762" t="s">
        <v>4973</v>
      </c>
      <c r="L94" s="4781" t="str">
        <f>ADDRESS(ROW('SBL Quotes'!T43),COLUMN('SBL Quotes'!T43))</f>
        <v>$T$43</v>
      </c>
      <c r="M94" s="4796" t="str">
        <f>"="&amp;SUBSTITUTE(ADDRESS(ROW('SBL Quotes'!T44),COLUMN('SBL Quotes'!T44)),"$","")</f>
        <v>=T44</v>
      </c>
    </row>
    <row r="95" ht="15" customHeight="1">
      <c r="G95" s="839"/>
      <c r="H95" s="9" t="s">
        <v>4988</v>
      </c>
      <c r="I95" s="4786" t="str">
        <f>IF(LEN('Trade Sheet'!K47)&gt;0,TEXT('Trade Sheet'!K47,"0.000%"),"")</f>
        <v>N/A</v>
      </c>
      <c r="J95" s="4768" t="s">
        <v>4942</v>
      </c>
      <c r="K95" s="4762" t="s">
        <v>4973</v>
      </c>
      <c r="L95" s="4781" t="str">
        <f>ADDRESS(ROW('SBL Quotes'!T46),COLUMN('SBL Quotes'!T46))</f>
        <v>$T$46</v>
      </c>
      <c r="M95" s="4769">
        <v>30</v>
      </c>
    </row>
    <row r="96" ht="15" customHeight="1">
      <c r="G96" s="4759" t="s">
        <v>4990</v>
      </c>
      <c r="H96" s="4760"/>
      <c r="I96" s="4761"/>
      <c r="J96" s="4761"/>
      <c r="K96" s="4762"/>
      <c r="L96" s="4781" t="str">
        <f>ADDRESS(ROW('SBL Quotes'!T47),COLUMN('SBL Quotes'!T47))</f>
        <v>$T$47</v>
      </c>
      <c r="M96" s="4769" t="s">
        <v>393</v>
      </c>
    </row>
    <row r="97" ht="15" customHeight="1">
      <c r="G97" s="4803"/>
      <c r="H97" s="9" t="s">
        <v>4992</v>
      </c>
      <c r="I97" s="4773" t="str">
        <f>IF(LEN('Trade Sheet'!E49)&gt;0,'Trade Sheet'!E49,"")</f>
        <v>None</v>
      </c>
      <c r="J97" s="4768" t="s">
        <v>4670</v>
      </c>
      <c r="K97" s="4762" t="s">
        <v>4670</v>
      </c>
      <c r="L97" s="4781" t="str">
        <f>ADDRESS(ROW('SBL Quotes'!AA25),COLUMN('SBL Quotes'!AA25))&amp;":"&amp;ADDRESS(ROW('SBL Quotes'!AH25),COLUMN('SBL Quotes'!AH25))</f>
        <v>$AA$25:$AH$25</v>
      </c>
      <c r="M97" s="4769" t="s">
        <v>4690</v>
      </c>
    </row>
    <row r="98" ht="15" customHeight="1">
      <c r="G98" s="4759" t="s">
        <v>4994</v>
      </c>
      <c r="H98" s="4760"/>
      <c r="I98" s="4761"/>
      <c r="J98" s="4761"/>
      <c r="K98" s="4762"/>
      <c r="L98" s="4781" t="str">
        <f>ADDRESS(ROW('SBL Quotes'!AA66),COLUMN('SBL Quotes'!AA66))&amp;":"&amp;ADDRESS(ROW('SBL Quotes'!AH66),COLUMN('SBL Quotes'!AH66))</f>
        <v>$AA$66:$AH$66</v>
      </c>
      <c r="M98" s="4798">
        <v>0</v>
      </c>
    </row>
    <row r="99" ht="15" customHeight="1">
      <c r="G99" s="4803"/>
      <c r="H99" s="9" t="s">
        <v>4992</v>
      </c>
      <c r="I99" s="4773" t="str">
        <f>IF(LEN('Trade Sheet'!E55)&gt;0,'Trade Sheet'!E55,"")</f>
        <v>None</v>
      </c>
      <c r="J99" s="4768" t="s">
        <v>4670</v>
      </c>
      <c r="K99" s="4762" t="s">
        <v>4670</v>
      </c>
      <c r="L99" s="4781" t="str">
        <f>ADDRESS(ROW('SBL Quotes'!AA102),COLUMN('SBL Quotes'!AA102))&amp;":"&amp;ADDRESS(ROW('SBL Quotes'!AH102),COLUMN('SBL Quotes'!AH102))</f>
        <v>$AA$102:$AH$102</v>
      </c>
      <c r="M99" s="4769" t="b">
        <v>1</v>
      </c>
    </row>
    <row r="100" ht="15" customHeight="1">
      <c r="G100" s="4759" t="s">
        <v>4997</v>
      </c>
      <c r="H100" s="4760"/>
      <c r="I100" s="4761"/>
      <c r="J100" s="4761"/>
      <c r="K100" s="4762"/>
      <c r="L100" s="4781" t="str">
        <f>ADDRESS(ROW('SBL Quotes'!AK11),COLUMN('SBL Quotes'!AK11))</f>
        <v>$AK$11</v>
      </c>
      <c r="M100" s="4769" t="s">
        <v>209</v>
      </c>
    </row>
    <row r="101" ht="15" customHeight="1">
      <c r="G101" s="714"/>
      <c r="H101" s="6" t="s">
        <v>4999</v>
      </c>
      <c r="I101" s="4767">
        <f>IF(LEN('Trade Sheet'!E61)&gt;0,'Trade Sheet'!E61,"")</f>
      </c>
      <c r="J101" s="4768" t="s">
        <v>4670</v>
      </c>
      <c r="K101" s="4762" t="s">
        <v>4670</v>
      </c>
      <c r="L101" s="4781" t="str">
        <f>ADDRESS(ROW('SBL Quotes'!AK14),COLUMN('SBL Quotes'!AK14))</f>
        <v>$AK$14</v>
      </c>
      <c r="M101" s="4769" t="s">
        <v>209</v>
      </c>
    </row>
    <row r="102" ht="15" customHeight="1">
      <c r="G102" s="714"/>
      <c r="H102" s="6" t="s">
        <v>5001</v>
      </c>
      <c r="I102" s="4767" t="str">
        <f>IF(LEN('Trade Sheet'!E62)&gt;0,'Trade Sheet'!E62,"")</f>
        <v>No</v>
      </c>
      <c r="J102" s="4768" t="s">
        <v>4670</v>
      </c>
      <c r="K102" s="4762" t="s">
        <v>4798</v>
      </c>
      <c r="L102" s="4781" t="str">
        <f>ADDRESS(ROW('SBL Quotes'!AK16),COLUMN('SBL Quotes'!AK16))</f>
        <v>$AK$16</v>
      </c>
      <c r="M102" s="4769" t="s">
        <v>209</v>
      </c>
    </row>
    <row r="103" ht="15" customHeight="1">
      <c r="G103" s="714"/>
      <c r="H103" s="6" t="s">
        <v>5003</v>
      </c>
      <c r="I103" s="4767" t="str">
        <f>IF(LEN('Trade Sheet'!G62)&gt;0,'Trade Sheet'!G62,"")</f>
        <v>No</v>
      </c>
      <c r="J103" s="4768" t="s">
        <v>4670</v>
      </c>
      <c r="K103" s="4762" t="s">
        <v>4798</v>
      </c>
      <c r="L103" s="4781" t="str">
        <f>ADDRESS(ROW('SBL Quotes'!AK17),COLUMN('SBL Quotes'!AK17))</f>
        <v>$AK$17</v>
      </c>
      <c r="M103" s="4798">
        <v>0</v>
      </c>
    </row>
    <row r="104" ht="15" customHeight="1">
      <c r="G104" s="714"/>
      <c r="H104" s="6" t="s">
        <v>5005</v>
      </c>
      <c r="I104" s="4767">
        <f>IF(LEN('Trade Sheet'!E64)&gt;0,'Trade Sheet'!E64,"")</f>
      </c>
      <c r="J104" s="4768" t="s">
        <v>4670</v>
      </c>
      <c r="K104" s="4762" t="s">
        <v>4670</v>
      </c>
      <c r="L104" s="4781" t="str">
        <f>ADDRESS(ROW('SBL Quotes'!AK20),COLUMN('SBL Quotes'!AK20))</f>
        <v>$AK$20</v>
      </c>
      <c r="M104" s="4769" t="s">
        <v>209</v>
      </c>
    </row>
    <row r="105" ht="15" customHeight="1">
      <c r="G105" s="714"/>
      <c r="H105" s="6" t="s">
        <v>5007</v>
      </c>
      <c r="I105" s="4767">
        <f>IF(LEN('Trade Sheet'!K61)&gt;0,'Trade Sheet'!K61,"")</f>
      </c>
      <c r="J105" s="4768" t="s">
        <v>4670</v>
      </c>
      <c r="K105" s="4762" t="s">
        <v>4670</v>
      </c>
      <c r="L105" s="4781" t="str">
        <f>ADDRESS(ROW('SBL Quotes'!AK21),COLUMN('SBL Quotes'!AK21))</f>
        <v>$AK$21</v>
      </c>
      <c r="M105" s="4774" t="s">
        <v>5009</v>
      </c>
    </row>
    <row r="106" ht="15" customHeight="1">
      <c r="G106" s="839"/>
      <c r="H106" s="9" t="s">
        <v>5010</v>
      </c>
      <c r="I106" s="4773">
        <f>IF(LEN('Trade Sheet'!K64)&gt;0,'Trade Sheet'!K64,"")</f>
      </c>
      <c r="J106" s="4768" t="s">
        <v>4670</v>
      </c>
      <c r="K106" s="4762" t="s">
        <v>4670</v>
      </c>
      <c r="L106" s="4781" t="str">
        <f>ADDRESS(ROW('SBL Quotes'!AK23),COLUMN('SBL Quotes'!AK23))</f>
        <v>$AK$23</v>
      </c>
      <c r="M106" s="4769">
        <v>0</v>
      </c>
    </row>
    <row r="107" ht="15" customHeight="1">
      <c r="G107" s="4759" t="s">
        <v>5012</v>
      </c>
      <c r="H107" s="4760"/>
      <c r="I107" s="4761"/>
      <c r="J107" s="4761"/>
      <c r="K107" s="4762"/>
      <c r="L107" s="4781" t="str">
        <f>ADDRESS(ROW('SBL Quotes'!AK24),COLUMN('SBL Quotes'!AK24))</f>
        <v>$AK$24</v>
      </c>
      <c r="M107" s="4769">
        <v>0</v>
      </c>
    </row>
    <row r="108" ht="15" customHeight="1">
      <c r="G108" s="714"/>
      <c r="H108" s="6" t="s">
        <v>5014</v>
      </c>
      <c r="I108" s="4767">
        <f>IF(LEN('Trade Sheet'!E67)&gt;0,'Trade Sheet'!E67,"")</f>
      </c>
      <c r="J108" s="4768" t="s">
        <v>4699</v>
      </c>
      <c r="K108" s="4762"/>
      <c r="L108" s="4781" t="str">
        <f>ADDRESS(ROW('SBL Quotes'!AK41),COLUMN('SBL Quotes'!AK41))</f>
        <v>$AK$41</v>
      </c>
      <c r="M108" s="4774" t="s">
        <v>656</v>
      </c>
    </row>
    <row r="109" ht="15" customHeight="1">
      <c r="G109" s="714"/>
      <c r="H109" s="6" t="s">
        <v>5016</v>
      </c>
      <c r="I109" s="4767">
        <f>IF(LEN('Trade Sheet'!K67)&gt;0,'Trade Sheet'!K67,"")</f>
      </c>
      <c r="J109" s="4768" t="s">
        <v>4699</v>
      </c>
      <c r="K109" s="4762"/>
      <c r="L109" s="4781" t="str">
        <f>ADDRESS(ROW('SBL Quotes'!AK42),COLUMN('SBL Quotes'!AK42))</f>
        <v>$AK$42</v>
      </c>
      <c r="M109" s="4774" t="s">
        <v>656</v>
      </c>
    </row>
    <row r="110" ht="15" customHeight="1">
      <c r="G110" s="714"/>
      <c r="H110" s="6" t="s">
        <v>5018</v>
      </c>
      <c r="I110" s="4767">
        <f>IF(LEN('Trade Sheet'!E69)&gt;0,'Trade Sheet'!E69,"")</f>
      </c>
      <c r="J110" s="4768" t="s">
        <v>4699</v>
      </c>
      <c r="K110" s="4762"/>
      <c r="L110" s="4781" t="str">
        <f>ADDRESS(ROW('SBL Quotes'!AK43),COLUMN('SBL Quotes'!AK43))</f>
        <v>$AK$43</v>
      </c>
      <c r="M110" s="4769">
        <v>0</v>
      </c>
    </row>
    <row r="111" ht="15" customHeight="1">
      <c r="G111" s="714"/>
      <c r="H111" s="6" t="s">
        <v>5020</v>
      </c>
      <c r="I111" s="4767">
        <f>IF(LEN('Trade Sheet'!K69)&gt;0,'Trade Sheet'!K69,"")</f>
      </c>
      <c r="J111" s="4768" t="s">
        <v>4699</v>
      </c>
      <c r="K111" s="4762"/>
      <c r="L111" s="4781" t="str">
        <f>ADDRESS(ROW('SBL Quotes'!AK44),COLUMN('SBL Quotes'!AK44))</f>
        <v>$AK$44</v>
      </c>
      <c r="M111" s="4769" t="s">
        <v>209</v>
      </c>
    </row>
    <row r="112" ht="15" customHeight="1">
      <c r="G112" s="714"/>
      <c r="H112" s="6" t="s">
        <v>5022</v>
      </c>
      <c r="I112" s="4767">
        <f>IF(LEN('Trade Sheet'!E71)&gt;0,'Trade Sheet'!E71,"")</f>
      </c>
      <c r="J112" s="4768" t="s">
        <v>4699</v>
      </c>
      <c r="K112" s="4762"/>
      <c r="L112" s="4781" t="str">
        <f>ADDRESS(ROW('SBL Quotes'!AK45),COLUMN('SBL Quotes'!AK45))</f>
        <v>$AK$45</v>
      </c>
      <c r="M112" s="4769" t="s">
        <v>209</v>
      </c>
    </row>
    <row r="113" ht="15" customHeight="1">
      <c r="G113" s="714"/>
      <c r="H113" s="6" t="s">
        <v>5024</v>
      </c>
      <c r="I113" s="4767">
        <f>IF(LEN('Trade Sheet'!K71)&gt;0,'Trade Sheet'!K71,"")</f>
      </c>
      <c r="J113" s="4768" t="s">
        <v>4699</v>
      </c>
      <c r="K113" s="4762"/>
      <c r="L113" s="4781" t="str">
        <f>ADDRESS(ROW('SBL Quotes'!AK46),COLUMN('SBL Quotes'!AK46))</f>
        <v>$AK$46</v>
      </c>
      <c r="M113" s="4769" t="s">
        <v>209</v>
      </c>
    </row>
    <row r="114" ht="15" customHeight="1">
      <c r="G114" s="714"/>
      <c r="H114" s="6" t="s">
        <v>5026</v>
      </c>
      <c r="I114" s="4767">
        <f>IF(LEN('Trade Sheet'!E73)&gt;0,'Trade Sheet'!E73,"")</f>
      </c>
      <c r="J114" s="4768" t="s">
        <v>4699</v>
      </c>
      <c r="K114" s="4762"/>
      <c r="L114" s="4781" t="str">
        <f>ADDRESS(ROW('SBL Quotes'!AK47),COLUMN('SBL Quotes'!AK47))</f>
        <v>$AK$47</v>
      </c>
      <c r="M114" s="4769">
        <v>0</v>
      </c>
    </row>
    <row r="115" ht="15" customHeight="1">
      <c r="G115" s="714"/>
      <c r="H115" s="6" t="s">
        <v>5028</v>
      </c>
      <c r="I115" s="4767">
        <f>IF(LEN('Trade Sheet'!K73)&gt;0,'Trade Sheet'!K73,"")</f>
      </c>
      <c r="J115" s="4768" t="s">
        <v>4699</v>
      </c>
      <c r="K115" s="4762"/>
      <c r="L115" s="4781" t="str">
        <f>ADDRESS(ROW('SBL Quotes'!AK48),COLUMN('SBL Quotes'!AK48))</f>
        <v>$AK$48</v>
      </c>
      <c r="M115" s="4769">
        <v>0</v>
      </c>
    </row>
    <row r="116" ht="15" customHeight="1">
      <c r="G116" s="714"/>
      <c r="H116" s="6" t="s">
        <v>5030</v>
      </c>
      <c r="I116" s="4767">
        <f>IF(LEN('Trade Sheet'!E75)&gt;0,'Trade Sheet'!E75,"")</f>
      </c>
      <c r="J116" s="4768" t="s">
        <v>4699</v>
      </c>
      <c r="K116" s="4762"/>
      <c r="L116" s="4781" t="str">
        <f>ADDRESS(ROW('SBL Quotes'!AK49),COLUMN('SBL Quotes'!AK49))</f>
        <v>$AK$49</v>
      </c>
      <c r="M116" s="4769">
        <v>1</v>
      </c>
    </row>
    <row r="117" ht="15" customHeight="1">
      <c r="G117" s="714"/>
      <c r="H117" s="6" t="s">
        <v>5032</v>
      </c>
      <c r="I117" s="4767">
        <f>IF(LEN('Trade Sheet'!K75)&gt;0,'Trade Sheet'!K75,"")</f>
      </c>
      <c r="J117" s="4768" t="s">
        <v>4699</v>
      </c>
      <c r="K117" s="4762"/>
      <c r="L117" s="4781" t="str">
        <f>ADDRESS(ROW('SBL Quotes'!AK50),COLUMN('SBL Quotes'!AK50))</f>
        <v>$AK$50</v>
      </c>
      <c r="M117" s="4769" t="s">
        <v>209</v>
      </c>
    </row>
    <row r="118" ht="15" customHeight="1">
      <c r="G118" s="839"/>
      <c r="H118" s="9" t="s">
        <v>5034</v>
      </c>
      <c r="I118" s="4773">
        <f>IF(LEN('Trade Sheet'!M75)&gt;0,'Trade Sheet'!M75,"")</f>
      </c>
      <c r="J118" s="4768" t="s">
        <v>4699</v>
      </c>
      <c r="K118" s="4762"/>
      <c r="L118" s="4781" t="str">
        <f>ADDRESS(ROW('SBL Quotes'!AK51),COLUMN('SBL Quotes'!AK51))</f>
        <v>$AK$51</v>
      </c>
      <c r="M118" s="4769" t="s">
        <v>209</v>
      </c>
    </row>
    <row r="119" ht="15" customHeight="1">
      <c r="G119" s="4759" t="s">
        <v>5036</v>
      </c>
      <c r="H119" s="4760"/>
      <c r="I119" s="4761"/>
      <c r="J119" s="4761"/>
      <c r="K119" s="4762"/>
      <c r="L119" s="4781" t="str">
        <f>ADDRESS(ROW('SBL Quotes'!AJ55),COLUMN('SBL Quotes'!AJ55))&amp;":"&amp;ADDRESS(ROW('SBL Quotes'!AN56),COLUMN('SBL Quotes'!AN56))</f>
        <v>$AJ$55:$AN$56</v>
      </c>
      <c r="M119" s="4769" t="s">
        <v>4690</v>
      </c>
    </row>
    <row r="120" ht="15" customHeight="1">
      <c r="G120" s="714"/>
      <c r="H120" s="6" t="s">
        <v>5038</v>
      </c>
      <c r="I120" s="4768" t="str">
        <f>IF(LEN('Trade Sheet'!B95)&gt;0,'Trade Sheet'!B95,"")</f>
        <v>No</v>
      </c>
      <c r="J120" s="4804" t="s">
        <v>4670</v>
      </c>
      <c r="K120" s="4762" t="s">
        <v>4798</v>
      </c>
      <c r="L120" s="4781" t="str">
        <f>ADDRESS(ROW('SBL Quotes'!AJ58),COLUMN('SBL Quotes'!AJ58))&amp;":"&amp;ADDRESS(ROW('SBL Quotes'!AN59),COLUMN('SBL Quotes'!AN59))</f>
        <v>$AJ$58:$AN$59</v>
      </c>
      <c r="M120" s="4769" t="s">
        <v>4690</v>
      </c>
    </row>
    <row r="121" ht="15" customHeight="1">
      <c r="G121" s="714"/>
      <c r="H121" s="6" t="s">
        <v>5040</v>
      </c>
      <c r="I121" s="4768" t="str">
        <f>IF(LEN('Trade Sheet'!B97)&gt;0,'Trade Sheet'!B97,"")</f>
        <v>No</v>
      </c>
      <c r="J121" s="4804" t="s">
        <v>4670</v>
      </c>
      <c r="K121" s="4762" t="s">
        <v>4798</v>
      </c>
      <c r="L121" s="4781" t="str">
        <f>ADDRESS(ROW('SBL Quotes'!AJ62),COLUMN('SBL Quotes'!AJ62))&amp;":"&amp;ADDRESS(ROW('SBL Quotes'!AN63),COLUMN('SBL Quotes'!AN63))</f>
        <v>$AJ$62:$AN$63</v>
      </c>
      <c r="M121" s="4769" t="s">
        <v>4690</v>
      </c>
    </row>
    <row r="122" ht="15" customHeight="1">
      <c r="G122" s="714"/>
      <c r="H122" s="6" t="s">
        <v>5042</v>
      </c>
      <c r="I122" s="4768" t="str">
        <f>IF(LEN('Trade Sheet'!B99)&gt;0,'Trade Sheet'!B99,"")</f>
        <v>No</v>
      </c>
      <c r="J122" s="4804" t="s">
        <v>4670</v>
      </c>
      <c r="K122" s="4762" t="s">
        <v>4798</v>
      </c>
      <c r="L122" s="4781" t="str">
        <f>ADDRESS(ROW('SBL Quotes'!AJ66),COLUMN('SBL Quotes'!AJ66))&amp;":"&amp;ADDRESS(ROW('SBL Quotes'!AN67),COLUMN('SBL Quotes'!AN67))</f>
        <v>$AJ$66:$AN$67</v>
      </c>
      <c r="M122" s="4769" t="s">
        <v>4690</v>
      </c>
    </row>
    <row r="123" ht="15" customHeight="1">
      <c r="G123" s="714"/>
      <c r="H123" s="6" t="s">
        <v>5044</v>
      </c>
      <c r="I123" s="4768" t="str">
        <f>IF(LEN('Trade Sheet'!B111)&gt;0,'Trade Sheet'!B111,"")</f>
        <v>No</v>
      </c>
      <c r="J123" s="4804" t="s">
        <v>4670</v>
      </c>
      <c r="K123" s="4762" t="s">
        <v>4798</v>
      </c>
      <c r="L123" s="4781" t="str">
        <f>ADDRESS(ROW('SBL Quotes'!AK70),COLUMN('SBL Quotes'!AK70))</f>
        <v>$AK$70</v>
      </c>
      <c r="M123" s="4769" t="s">
        <v>209</v>
      </c>
    </row>
    <row r="124" ht="15" customHeight="1">
      <c r="G124" s="714"/>
      <c r="H124" s="6" t="s">
        <v>5046</v>
      </c>
      <c r="I124" s="4768" t="str">
        <f>IF(LEN('Trade Sheet'!B114)&gt;0,'Trade Sheet'!B114,"")</f>
        <v>No</v>
      </c>
      <c r="J124" s="4804" t="s">
        <v>4670</v>
      </c>
      <c r="K124" s="4762" t="s">
        <v>4798</v>
      </c>
      <c r="L124" s="4781" t="str">
        <f>ADDRESS(ROW('SBL Quotes'!AK71),COLUMN('SBL Quotes'!AK71))</f>
        <v>$AK$71</v>
      </c>
      <c r="M124" s="4769" t="s">
        <v>209</v>
      </c>
    </row>
    <row r="125" ht="15" customHeight="1">
      <c r="G125" s="714"/>
      <c r="H125" s="6" t="s">
        <v>5048</v>
      </c>
      <c r="I125" s="4768" t="str">
        <f>IF(LEN('Trade Sheet'!B116)&gt;0,'Trade Sheet'!B116,"")</f>
        <v>No</v>
      </c>
      <c r="J125" s="4805" t="s">
        <v>4670</v>
      </c>
      <c r="K125" s="4762" t="s">
        <v>4798</v>
      </c>
      <c r="L125" s="4781" t="str">
        <f>ADDRESS(ROW('SBL Quotes'!AK72),COLUMN('SBL Quotes'!AK72))</f>
        <v>$AK$72</v>
      </c>
      <c r="M125" s="4769" t="s">
        <v>209</v>
      </c>
    </row>
    <row r="126" ht="15" customHeight="1">
      <c r="G126" s="4759" t="s">
        <v>5050</v>
      </c>
      <c r="H126" s="4760"/>
      <c r="I126" s="4761"/>
      <c r="J126" s="4761"/>
      <c r="K126" s="4762"/>
      <c r="L126" s="4781" t="str">
        <f>ADDRESS(ROW('SBL Quotes'!AK73),COLUMN('SBL Quotes'!AK73))</f>
        <v>$AK$73</v>
      </c>
      <c r="M126" s="4769" t="s">
        <v>209</v>
      </c>
    </row>
    <row r="127" ht="15" customHeight="1">
      <c r="G127" s="714"/>
      <c r="H127" s="6" t="s">
        <v>5052</v>
      </c>
      <c r="I127" s="4768" t="str">
        <f>IF(LEN('Trade Sheet'!B120)&gt;0,'Trade Sheet'!B120,"")</f>
        <v>No</v>
      </c>
      <c r="J127" s="4804" t="s">
        <v>4670</v>
      </c>
      <c r="K127" s="4762" t="s">
        <v>4798</v>
      </c>
      <c r="L127" s="4781" t="str">
        <f>ADDRESS(ROW('SBL Quotes'!AK74),COLUMN('SBL Quotes'!AK74))</f>
        <v>$AK$74</v>
      </c>
      <c r="M127" s="4769" t="s">
        <v>209</v>
      </c>
    </row>
    <row r="128" ht="15" customHeight="1">
      <c r="G128" s="714"/>
      <c r="H128" s="6" t="s">
        <v>5054</v>
      </c>
      <c r="I128" s="4768" t="str">
        <f>IF(LEN('Trade Sheet'!B122)&gt;0,'Trade Sheet'!B122,"")</f>
        <v>No</v>
      </c>
      <c r="J128" s="4805" t="s">
        <v>4670</v>
      </c>
      <c r="K128" s="4762" t="s">
        <v>4798</v>
      </c>
      <c r="L128" s="4781" t="str">
        <f>ADDRESS(ROW('SBL Quotes'!AK75),COLUMN('SBL Quotes'!AK75))</f>
        <v>$AK$75</v>
      </c>
      <c r="M128" s="4769" t="s">
        <v>209</v>
      </c>
    </row>
    <row r="129" ht="15" customHeight="1">
      <c r="G129" s="4759" t="s">
        <v>5056</v>
      </c>
      <c r="H129" s="4760"/>
      <c r="I129" s="4761"/>
      <c r="J129" s="4761"/>
      <c r="K129" s="4762"/>
      <c r="L129" s="4781" t="str">
        <f>ADDRESS(ROW('SBL Quotes'!AK76),COLUMN('SBL Quotes'!AK76))</f>
        <v>$AK$76</v>
      </c>
      <c r="M129" s="4769" t="s">
        <v>209</v>
      </c>
    </row>
    <row r="130" ht="15" customHeight="1">
      <c r="G130" s="714"/>
      <c r="H130" s="6" t="s">
        <v>5058</v>
      </c>
      <c r="I130" s="4768" t="str">
        <f>IF(LEN('Trade Sheet'!B126)&gt;0,'Trade Sheet'!B126,"")</f>
        <v>No</v>
      </c>
      <c r="J130" s="4804" t="s">
        <v>4670</v>
      </c>
      <c r="K130" s="4762" t="s">
        <v>4798</v>
      </c>
      <c r="L130" s="4781" t="str">
        <f>ADDRESS(ROW('SBL Quotes'!AK78),COLUMN('SBL Quotes'!AK78))</f>
        <v>$AK$78</v>
      </c>
      <c r="M130" s="4788" t="str">
        <f>"=IF("&amp;SUBSTITUTE(ADDRESS(ROW('SBL Quotes'!AK77),COLUMN('SBL Quotes'!AK77)),"$","")&amp;"="&amp;CHAR(34)&amp;"No"&amp;CHAR(34)&amp;","&amp;CHAR(34)&amp;"No"&amp;CHAR(34)&amp;","&amp;CHAR(34)&amp;"Select"&amp;CHAR(34)&amp;")"</f>
        <v>=IF(AK77="No","No","Select")</v>
      </c>
    </row>
    <row r="131" ht="15" customHeight="1">
      <c r="G131" s="714"/>
      <c r="H131" s="6" t="s">
        <v>5061</v>
      </c>
      <c r="I131" s="4768" t="str">
        <f>IF(LEN('Trade Sheet'!B128)&gt;0,'Trade Sheet'!B128,"")</f>
        <v>No</v>
      </c>
      <c r="J131" s="4804" t="s">
        <v>4670</v>
      </c>
      <c r="K131" s="4762" t="s">
        <v>4798</v>
      </c>
      <c r="L131" s="4781" t="str">
        <f>ADDRESS(ROW('SBL Quotes'!AK79),COLUMN('SBL Quotes'!AK79))</f>
        <v>$AK$79</v>
      </c>
      <c r="M131" s="4788" t="str">
        <f>"=IF("&amp;SUBSTITUTE(ADDRESS(ROW('SBL Quotes'!AK77),COLUMN('SBL Quotes'!AK77)),"$","")&amp;"="&amp;CHAR(34)&amp;"No"&amp;CHAR(34)&amp;","&amp;CHAR(34)&amp;"No"&amp;CHAR(34)&amp;","&amp;CHAR(34)&amp;"Select"&amp;CHAR(34)&amp;")"</f>
        <v>=IF(AK77="No","No","Select")</v>
      </c>
    </row>
    <row r="132" ht="15" customHeight="1">
      <c r="G132" s="714"/>
      <c r="H132" s="6" t="s">
        <v>5063</v>
      </c>
      <c r="I132" s="4768" t="str">
        <f>IF(LEN('Trade Sheet'!B131)&gt;0,'Trade Sheet'!B131,"")</f>
        <v>No</v>
      </c>
      <c r="J132" s="4804" t="s">
        <v>4670</v>
      </c>
      <c r="K132" s="4762" t="s">
        <v>4798</v>
      </c>
      <c r="L132" s="4781" t="str">
        <f>ADDRESS(ROW('SBL Quotes'!AK80),COLUMN('SBL Quotes'!AK80))</f>
        <v>$AK$80</v>
      </c>
      <c r="M132" s="4769" t="s">
        <v>209</v>
      </c>
    </row>
    <row r="133" ht="15" customHeight="1">
      <c r="G133" s="714"/>
      <c r="H133" s="6" t="s">
        <v>5065</v>
      </c>
      <c r="I133" s="4768" t="str">
        <f>IF(LEN('Trade Sheet'!B133)&gt;0,'Trade Sheet'!B133,"")</f>
        <v>No</v>
      </c>
      <c r="J133" s="4804" t="s">
        <v>4670</v>
      </c>
      <c r="K133" s="4762" t="s">
        <v>4798</v>
      </c>
      <c r="L133" s="4781" t="str">
        <f>ADDRESS(ROW('SBL Quotes'!AK81),COLUMN('SBL Quotes'!AK81))</f>
        <v>$AK$81</v>
      </c>
      <c r="M133" s="4769" t="s">
        <v>209</v>
      </c>
    </row>
    <row r="134" ht="15" customHeight="1">
      <c r="G134" s="714"/>
      <c r="H134" s="6" t="s">
        <v>5067</v>
      </c>
      <c r="I134" s="4768" t="str">
        <f>IF(LEN('Trade Sheet'!B135)&gt;0,'Trade Sheet'!B135,"")</f>
        <v>No</v>
      </c>
      <c r="J134" s="4804" t="s">
        <v>4670</v>
      </c>
      <c r="K134" s="4762" t="s">
        <v>4798</v>
      </c>
      <c r="L134" s="4781" t="str">
        <f>ADDRESS(ROW('SBL Quotes'!AK82),COLUMN('SBL Quotes'!AK82))</f>
        <v>$AK$82</v>
      </c>
      <c r="M134" s="4769" t="s">
        <v>209</v>
      </c>
    </row>
    <row r="135" ht="15" customHeight="1">
      <c r="G135" s="714"/>
      <c r="H135" s="6" t="s">
        <v>5069</v>
      </c>
      <c r="I135" s="4768" t="str">
        <f>IF(LEN('Trade Sheet'!B138)&gt;0,'Trade Sheet'!B138,"")</f>
        <v>No</v>
      </c>
      <c r="J135" s="4804" t="s">
        <v>4670</v>
      </c>
      <c r="K135" s="4762" t="s">
        <v>4798</v>
      </c>
      <c r="L135" s="4781" t="str">
        <f>ADDRESS(ROW('SBL Quotes'!AK83),COLUMN('SBL Quotes'!AK83))</f>
        <v>$AK$83</v>
      </c>
      <c r="M135" s="4769" t="s">
        <v>209</v>
      </c>
    </row>
    <row r="136" ht="15" customHeight="1">
      <c r="G136" s="714"/>
      <c r="H136" s="6" t="s">
        <v>5071</v>
      </c>
      <c r="I136" s="4768" t="str">
        <f>IF(LEN('Trade Sheet'!B140)&gt;0,'Trade Sheet'!B140,"")</f>
        <v>No</v>
      </c>
      <c r="J136" s="4804" t="s">
        <v>4670</v>
      </c>
      <c r="K136" s="4762" t="s">
        <v>4798</v>
      </c>
      <c r="L136" s="4781" t="str">
        <f>ADDRESS(ROW('SBL Quotes'!AK84),COLUMN('SBL Quotes'!AK84))</f>
        <v>$AK$84</v>
      </c>
      <c r="M136" s="4769" t="s">
        <v>209</v>
      </c>
    </row>
    <row r="137" ht="15" customHeight="1">
      <c r="G137" s="714"/>
      <c r="H137" s="6" t="s">
        <v>5073</v>
      </c>
      <c r="I137" s="4768" t="str">
        <f>IF(LEN('Trade Sheet'!B142)&gt;0,'Trade Sheet'!B142,"")</f>
        <v>No</v>
      </c>
      <c r="J137" s="4804" t="s">
        <v>4670</v>
      </c>
      <c r="K137" s="4762" t="s">
        <v>4798</v>
      </c>
      <c r="L137" s="4781" t="str">
        <f>ADDRESS(ROW('SBL Quotes'!AN3),COLUMN('SBL Quotes'!AN3))</f>
        <v>$AN$3</v>
      </c>
      <c r="M137" s="4788" t="str">
        <f>"='Data Page'!"&amp;ADDRESS(ROW('Data Page'!K31),COLUMN('Data Page'!K31))</f>
        <v>='Data Page'!$K$31</v>
      </c>
    </row>
    <row r="138" ht="15" customHeight="1">
      <c r="G138" s="714"/>
      <c r="H138" s="6" t="s">
        <v>5076</v>
      </c>
      <c r="I138" s="4768" t="str">
        <f>IF(LEN('Trade Sheet'!B144)&gt;0,'Trade Sheet'!B144,"")</f>
        <v>No</v>
      </c>
      <c r="J138" s="4804" t="s">
        <v>4670</v>
      </c>
      <c r="K138" s="4762" t="s">
        <v>4798</v>
      </c>
      <c r="L138" s="4781" t="str">
        <f>ADDRESS(ROW('SBL Quotes'!AN10),COLUMN('SBL Quotes'!AN10))</f>
        <v>$AN$10</v>
      </c>
      <c r="M138" s="4769" t="s">
        <v>209</v>
      </c>
    </row>
    <row r="139" ht="15" customHeight="1">
      <c r="G139" s="714"/>
      <c r="H139" s="6" t="s">
        <v>5078</v>
      </c>
      <c r="I139" s="4768" t="str">
        <f>IF(LEN('Trade Sheet'!B146)&gt;0,'Trade Sheet'!B146,"")</f>
        <v>No</v>
      </c>
      <c r="J139" s="4804" t="s">
        <v>4670</v>
      </c>
      <c r="K139" s="4762" t="s">
        <v>4798</v>
      </c>
      <c r="L139" s="4781" t="str">
        <f>ADDRESS(ROW('SBL Quotes'!AN13),COLUMN('SBL Quotes'!AN13))</f>
        <v>$AN$13</v>
      </c>
      <c r="M139" s="4774" t="s">
        <v>656</v>
      </c>
    </row>
    <row r="140" ht="15" customHeight="1">
      <c r="G140" s="714"/>
      <c r="H140" s="6" t="s">
        <v>5080</v>
      </c>
      <c r="I140" s="4768" t="str">
        <f>IF(LEN('Trade Sheet'!B148)&gt;0,'Trade Sheet'!B148,"")</f>
        <v>No</v>
      </c>
      <c r="J140" s="4804" t="s">
        <v>4670</v>
      </c>
      <c r="K140" s="4762" t="s">
        <v>4798</v>
      </c>
      <c r="L140" s="4781" t="str">
        <f>ADDRESS(ROW('SBL Quotes'!AN16),COLUMN('SBL Quotes'!AN16))</f>
        <v>$AN$16</v>
      </c>
      <c r="M140" s="4798">
        <v>0</v>
      </c>
    </row>
    <row r="141" ht="15" customHeight="1">
      <c r="G141" s="714"/>
      <c r="H141" s="6" t="s">
        <v>5082</v>
      </c>
      <c r="I141" s="4768" t="str">
        <f>IF(LEN('Trade Sheet'!B150)&gt;0,'Trade Sheet'!B150,"")</f>
        <v>No</v>
      </c>
      <c r="J141" s="4804" t="s">
        <v>4670</v>
      </c>
      <c r="K141" s="4762" t="s">
        <v>4798</v>
      </c>
      <c r="L141" s="4781" t="str">
        <f>ADDRESS(ROW('SBL Quotes'!AN17),COLUMN('SBL Quotes'!AN17))</f>
        <v>$AN$17</v>
      </c>
      <c r="M141" s="4798">
        <v>0</v>
      </c>
    </row>
    <row r="142" ht="15" customHeight="1">
      <c r="G142" s="714"/>
      <c r="H142" s="6" t="s">
        <v>5084</v>
      </c>
      <c r="I142" s="4768" t="str">
        <f>IF(LEN('Trade Sheet'!B152)&gt;0,'Trade Sheet'!B152,"")</f>
        <v>No</v>
      </c>
      <c r="J142" s="4804" t="s">
        <v>4670</v>
      </c>
      <c r="K142" s="4762" t="s">
        <v>4798</v>
      </c>
      <c r="L142" s="4781" t="str">
        <f>ADDRESS(ROW('SBL Quotes'!AN20),COLUMN('SBL Quotes'!AN20))</f>
        <v>$AN$20</v>
      </c>
      <c r="M142" s="4769" t="s">
        <v>209</v>
      </c>
    </row>
    <row r="143" ht="15" customHeight="1">
      <c r="G143" s="714"/>
      <c r="H143" s="6" t="s">
        <v>5086</v>
      </c>
      <c r="I143" s="4768" t="str">
        <f>IF(LEN('Trade Sheet'!B154)&gt;0,'Trade Sheet'!B154,"")</f>
        <v>No</v>
      </c>
      <c r="J143" s="4804" t="s">
        <v>4670</v>
      </c>
      <c r="K143" s="4762" t="s">
        <v>4798</v>
      </c>
      <c r="L143" s="4781" t="str">
        <f>ADDRESS(ROW('SBL Quotes'!AN22),COLUMN('SBL Quotes'!AN22))</f>
        <v>$AN$22</v>
      </c>
      <c r="M143" s="4798">
        <v>0.9</v>
      </c>
    </row>
    <row r="144" ht="15" customHeight="1">
      <c r="G144" s="714"/>
      <c r="H144" s="6" t="s">
        <v>5088</v>
      </c>
      <c r="I144" s="4768" t="str">
        <f>IF(LEN('Trade Sheet'!B156)&gt;0,'Trade Sheet'!B156,"")</f>
        <v>No</v>
      </c>
      <c r="J144" s="4804" t="s">
        <v>4670</v>
      </c>
      <c r="K144" s="4762" t="s">
        <v>4798</v>
      </c>
      <c r="L144" s="4781" t="str">
        <f>ADDRESS(ROW('SBL Quotes'!AN41),COLUMN('SBL Quotes'!AN41))</f>
        <v>$AN$41</v>
      </c>
      <c r="M144" s="4769" t="s">
        <v>209</v>
      </c>
    </row>
    <row r="145" ht="15" customHeight="1">
      <c r="G145" s="4759" t="s">
        <v>5090</v>
      </c>
      <c r="H145" s="4760"/>
      <c r="I145" s="4761"/>
      <c r="J145" s="4761"/>
      <c r="K145" s="4762"/>
      <c r="L145" s="4781" t="str">
        <f>ADDRESS(ROW('SBL Quotes'!AN42),COLUMN('SBL Quotes'!AN42))</f>
        <v>$AN$42</v>
      </c>
      <c r="M145" s="4769" t="s">
        <v>209</v>
      </c>
    </row>
    <row r="146" ht="15" customHeight="1">
      <c r="G146" s="714"/>
      <c r="H146" s="6" t="s">
        <v>5092</v>
      </c>
      <c r="I146" s="4767" t="str">
        <f>IF(LEN('Trade Sheet'!B160)&gt;0,'Trade Sheet'!B160,"")</f>
        <v>No</v>
      </c>
      <c r="J146" s="4768" t="s">
        <v>4670</v>
      </c>
      <c r="K146" s="4762" t="s">
        <v>4798</v>
      </c>
      <c r="L146" s="4781" t="str">
        <f>ADDRESS(ROW('SBL Quotes'!AN43),COLUMN('SBL Quotes'!AN43))</f>
        <v>$AN$43</v>
      </c>
      <c r="M146" s="4774" t="s">
        <v>656</v>
      </c>
    </row>
    <row r="147" ht="15" customHeight="1">
      <c r="G147" s="714"/>
      <c r="H147" s="6" t="s">
        <v>5094</v>
      </c>
      <c r="I147" s="4767" t="str">
        <f>IF(LEN('Trade Sheet'!B162)&gt;0,'Trade Sheet'!B162,"")</f>
        <v>No</v>
      </c>
      <c r="J147" s="4768" t="s">
        <v>4670</v>
      </c>
      <c r="K147" s="4762" t="s">
        <v>4798</v>
      </c>
      <c r="L147" s="4781" t="str">
        <f>ADDRESS(ROW('SBL Quotes'!AN44),COLUMN('SBL Quotes'!AN44))</f>
        <v>$AN$44</v>
      </c>
      <c r="M147" s="4774" t="s">
        <v>656</v>
      </c>
    </row>
    <row r="148" ht="15" customHeight="1">
      <c r="G148" s="714"/>
      <c r="H148" s="6" t="s">
        <v>5096</v>
      </c>
      <c r="I148" s="4767" t="str">
        <f>IF(LEN('Trade Sheet'!B164)&gt;0,'Trade Sheet'!B164,"")</f>
        <v>No</v>
      </c>
      <c r="J148" s="4768" t="s">
        <v>4670</v>
      </c>
      <c r="K148" s="4762" t="s">
        <v>4798</v>
      </c>
      <c r="L148" s="4781" t="str">
        <f>ADDRESS(ROW('SBL Quotes'!AN45),COLUMN('SBL Quotes'!AN45))</f>
        <v>$AN$45</v>
      </c>
      <c r="M148" s="4774" t="s">
        <v>656</v>
      </c>
    </row>
    <row r="149" ht="15" customHeight="1">
      <c r="G149" s="714"/>
      <c r="H149" s="6" t="s">
        <v>5098</v>
      </c>
      <c r="I149" s="4767" t="str">
        <f>IF(LEN('Trade Sheet'!B166)&gt;0,'Trade Sheet'!B166,"")</f>
        <v>No</v>
      </c>
      <c r="J149" s="4768" t="s">
        <v>4670</v>
      </c>
      <c r="K149" s="4762" t="s">
        <v>4798</v>
      </c>
      <c r="L149" s="4781" t="str">
        <f>ADDRESS(ROW('SBL Quotes'!AN46),COLUMN('SBL Quotes'!AN46))</f>
        <v>$AN$46</v>
      </c>
      <c r="M149" s="4769" t="s">
        <v>209</v>
      </c>
    </row>
    <row r="150" ht="15" customHeight="1">
      <c r="G150" s="714"/>
      <c r="H150" s="6" t="s">
        <v>5100</v>
      </c>
      <c r="I150" s="4767" t="str">
        <f>IF(LEN('Trade Sheet'!B168)&gt;0,'Trade Sheet'!B168,"")</f>
        <v>No</v>
      </c>
      <c r="J150" s="4768" t="s">
        <v>4670</v>
      </c>
      <c r="K150" s="4762" t="s">
        <v>4798</v>
      </c>
      <c r="L150" s="4781" t="str">
        <f>ADDRESS(ROW('SBL Quotes'!AN47),COLUMN('SBL Quotes'!AN47))</f>
        <v>$AN$47</v>
      </c>
      <c r="M150" s="4769" t="s">
        <v>209</v>
      </c>
    </row>
    <row r="151" ht="15" customHeight="1">
      <c r="G151" s="714"/>
      <c r="H151" s="6" t="s">
        <v>5102</v>
      </c>
      <c r="I151" s="4767" t="str">
        <f>IF(LEN('Trade Sheet'!B170)&gt;0,'Trade Sheet'!B170,"")</f>
        <v>No</v>
      </c>
      <c r="J151" s="4768" t="s">
        <v>4670</v>
      </c>
      <c r="K151" s="4762" t="s">
        <v>4798</v>
      </c>
      <c r="L151" s="4781" t="str">
        <f>ADDRESS(ROW('SBL Quotes'!AN48),COLUMN('SBL Quotes'!AN48))</f>
        <v>$AN$48</v>
      </c>
      <c r="M151" s="4769" t="s">
        <v>209</v>
      </c>
    </row>
    <row r="152" ht="15" customHeight="1">
      <c r="G152" s="714"/>
      <c r="H152" s="6" t="s">
        <v>5104</v>
      </c>
      <c r="I152" s="4767" t="str">
        <f>IF(LEN('Trade Sheet'!B172)&gt;0,'Trade Sheet'!B172,"")</f>
        <v>No</v>
      </c>
      <c r="J152" s="4768" t="s">
        <v>4670</v>
      </c>
      <c r="K152" s="4762" t="s">
        <v>4798</v>
      </c>
      <c r="L152" s="4781" t="str">
        <f>ADDRESS(ROW('SBL Quotes'!AN49),COLUMN('SBL Quotes'!AN49))</f>
        <v>$AN$49</v>
      </c>
      <c r="M152" s="4774" t="s">
        <v>656</v>
      </c>
    </row>
    <row r="153" ht="15" customHeight="1">
      <c r="G153" s="714"/>
      <c r="H153" s="6" t="s">
        <v>5106</v>
      </c>
      <c r="I153" s="4767" t="str">
        <f>IF(LEN('Trade Sheet'!B174)&gt;0,'Trade Sheet'!B174,"")</f>
        <v>No</v>
      </c>
      <c r="J153" s="4768" t="s">
        <v>4670</v>
      </c>
      <c r="K153" s="4762" t="s">
        <v>4798</v>
      </c>
      <c r="L153" s="4781" t="str">
        <f>ADDRESS(ROW('SBL Quotes'!AN50),COLUMN('SBL Quotes'!AN50))</f>
        <v>$AN$50</v>
      </c>
      <c r="M153" s="4774" t="s">
        <v>656</v>
      </c>
    </row>
    <row r="154" ht="15" customHeight="1">
      <c r="G154" s="714"/>
      <c r="H154" s="6" t="s">
        <v>5108</v>
      </c>
      <c r="I154" s="4767" t="str">
        <f>IF(LEN('Trade Sheet'!B176)&gt;0,'Trade Sheet'!B176,"")</f>
        <v>No</v>
      </c>
      <c r="J154" s="4768" t="s">
        <v>4670</v>
      </c>
      <c r="K154" s="4762" t="s">
        <v>4798</v>
      </c>
      <c r="L154" s="4781" t="str">
        <f>ADDRESS(ROW('SBL Quotes'!AN70),COLUMN('SBL Quotes'!AN70))</f>
        <v>$AN$70</v>
      </c>
      <c r="M154" s="4798">
        <v>0</v>
      </c>
    </row>
    <row r="155" ht="15" customHeight="1">
      <c r="G155" s="714"/>
      <c r="H155" s="6" t="s">
        <v>5110</v>
      </c>
      <c r="I155" s="4767" t="str">
        <f>IF(LEN('Trade Sheet'!B178)&gt;0,'Trade Sheet'!B178,"")</f>
        <v>No</v>
      </c>
      <c r="J155" s="4768" t="s">
        <v>4670</v>
      </c>
      <c r="K155" s="4762" t="s">
        <v>4798</v>
      </c>
      <c r="L155" s="4781" t="str">
        <f>ADDRESS(ROW('SBL Quotes'!AN71),COLUMN('SBL Quotes'!AN71))</f>
        <v>$AN$71</v>
      </c>
      <c r="M155" s="4798">
        <v>0</v>
      </c>
    </row>
    <row r="156" ht="15" customHeight="1">
      <c r="G156" s="714"/>
      <c r="H156" s="6" t="s">
        <v>5112</v>
      </c>
      <c r="I156" s="4767" t="str">
        <f>IF(LEN('Trade Sheet'!B180)&gt;0,'Trade Sheet'!B180,"")</f>
        <v>No</v>
      </c>
      <c r="J156" s="4768" t="s">
        <v>4670</v>
      </c>
      <c r="K156" s="4762" t="s">
        <v>4798</v>
      </c>
      <c r="L156" s="4781" t="str">
        <f>ADDRESS(ROW('SBL Quotes'!AN72),COLUMN('SBL Quotes'!AN72))</f>
        <v>$AN$72</v>
      </c>
      <c r="M156" s="4798">
        <v>0</v>
      </c>
    </row>
    <row r="157" ht="15" customHeight="1">
      <c r="G157" s="714"/>
      <c r="H157" s="6" t="s">
        <v>5114</v>
      </c>
      <c r="I157" s="4767" t="str">
        <f>IF(LEN('Trade Sheet'!B182)&gt;0,'Trade Sheet'!B182,"")</f>
        <v>No</v>
      </c>
      <c r="J157" s="4768" t="s">
        <v>4670</v>
      </c>
      <c r="K157" s="4762" t="s">
        <v>4798</v>
      </c>
      <c r="L157" s="4781" t="str">
        <f>ADDRESS(ROW('SBL Quotes'!AN73),COLUMN('SBL Quotes'!AN73))</f>
        <v>$AN$73</v>
      </c>
      <c r="M157" s="4798">
        <v>0</v>
      </c>
    </row>
    <row r="158" ht="15" customHeight="1">
      <c r="G158" s="4759" t="s">
        <v>5116</v>
      </c>
      <c r="H158" s="4760"/>
      <c r="I158" s="4761"/>
      <c r="J158" s="4761"/>
      <c r="K158" s="4762"/>
      <c r="L158" s="4781" t="str">
        <f>ADDRESS(ROW('SBL Quotes'!AN74),COLUMN('SBL Quotes'!AN74))</f>
        <v>$AN$74</v>
      </c>
      <c r="M158" s="4798">
        <v>0</v>
      </c>
    </row>
    <row r="159" ht="15" customHeight="1">
      <c r="G159" s="839"/>
      <c r="H159" s="9" t="s">
        <v>5118</v>
      </c>
      <c r="I159" s="4773" t="str">
        <f>IF(LEN('Trade Sheet'!B186)&gt;0,'Trade Sheet'!B186,"")</f>
        <v>No</v>
      </c>
      <c r="J159" s="4768" t="s">
        <v>4670</v>
      </c>
      <c r="K159" s="4762" t="s">
        <v>4798</v>
      </c>
      <c r="L159" s="4781" t="str">
        <f>ADDRESS(ROW('SBL Quotes'!AN75),COLUMN('SBL Quotes'!AN75))</f>
        <v>$AN$75</v>
      </c>
      <c r="M159" s="4798">
        <v>0</v>
      </c>
    </row>
    <row r="160" ht="15" customHeight="1">
      <c r="L160" s="4781" t="str">
        <f>ADDRESS(ROW('SBL Quotes'!AN76),COLUMN('SBL Quotes'!AN76))</f>
        <v>$AN$76</v>
      </c>
      <c r="M160" s="4798">
        <v>0</v>
      </c>
    </row>
    <row r="161" ht="15" customHeight="1">
      <c r="L161" s="4781" t="str">
        <f>ADDRESS(ROW('SBL Quotes'!AN78),COLUMN('SBL Quotes'!AN78))</f>
        <v>$AN$78</v>
      </c>
      <c r="M161" s="4769">
        <v>1</v>
      </c>
    </row>
    <row r="162" ht="15" customHeight="1">
      <c r="L162" s="4781" t="str">
        <f>ADDRESS(ROW('SBL Quotes'!AN79),COLUMN('SBL Quotes'!AN79))</f>
        <v>$AN$79</v>
      </c>
      <c r="M162" s="4769" t="s">
        <v>209</v>
      </c>
    </row>
    <row r="163" ht="15" customHeight="1">
      <c r="L163" s="4781" t="str">
        <f>ADDRESS(ROW('SBL Quotes'!AN80),COLUMN('SBL Quotes'!AN80))</f>
        <v>$AN$80</v>
      </c>
      <c r="M163" s="4769" t="s">
        <v>209</v>
      </c>
    </row>
    <row r="164" ht="15" customHeight="1">
      <c r="L164" s="4781" t="str">
        <f>ADDRESS(ROW('SBL Quotes'!AN81),COLUMN('SBL Quotes'!AN81))</f>
        <v>$AN$81</v>
      </c>
      <c r="M164" s="4769" t="s">
        <v>209</v>
      </c>
    </row>
    <row r="165" ht="15" customHeight="1">
      <c r="L165" s="4781" t="str">
        <f>ADDRESS(ROW('SBL Quotes'!AN82),COLUMN('SBL Quotes'!AN82))</f>
        <v>$AN$82</v>
      </c>
      <c r="M165" s="4769" t="s">
        <v>209</v>
      </c>
    </row>
    <row r="166" ht="15" customHeight="1">
      <c r="L166" s="4781" t="str">
        <f>ADDRESS(ROW('SBL Quotes'!AN83),COLUMN('SBL Quotes'!AN83))</f>
        <v>$AN$83</v>
      </c>
      <c r="M166" s="4769" t="s">
        <v>209</v>
      </c>
    </row>
    <row r="167" ht="15" customHeight="1">
      <c r="L167" s="4781" t="str">
        <f>ADDRESS(ROW('SBL Quotes'!AJ88),COLUMN('SBL Quotes'!AJ88))&amp;":"&amp;ADDRESS(ROW('SBL Quotes'!AN89),COLUMN('SBL Quotes'!AN89))</f>
        <v>$AJ$88:$AN$89</v>
      </c>
      <c r="M167" s="4769" t="s">
        <v>4690</v>
      </c>
    </row>
    <row r="168" ht="15" customHeight="1">
      <c r="L168" s="4781" t="str">
        <f>ADDRESS(ROW('SBL Quotes'!AJ93),COLUMN('SBL Quotes'!AJ93))&amp;":"&amp;ADDRESS(ROW('SBL Quotes'!AN95),COLUMN('SBL Quotes'!AN95))</f>
        <v>$AJ$93:$AN$95</v>
      </c>
      <c r="M168" s="4769" t="s">
        <v>4690</v>
      </c>
    </row>
    <row r="169" ht="15" customHeight="1">
      <c r="L169" s="4781" t="str">
        <f>ADDRESS(ROW('SBL Quotes'!AJ97),COLUMN('SBL Quotes'!AJ97))&amp;":"&amp;ADDRESS(ROW('SBL Quotes'!AN99),COLUMN('SBL Quotes'!AN99))</f>
        <v>$AJ$97:$AN$99</v>
      </c>
      <c r="M169" s="4769" t="s">
        <v>4690</v>
      </c>
    </row>
    <row r="170" ht="15" customHeight="1">
      <c r="L170" s="4781" t="str">
        <f>ADDRESS(ROW('SBL Quotes'!AJ101),COLUMN('SBL Quotes'!AJ101))&amp;":"&amp;ADDRESS(ROW('SBL Quotes'!AN103),COLUMN('SBL Quotes'!AN103))</f>
        <v>$AJ$101:$AN$103</v>
      </c>
      <c r="M170" s="4769" t="s">
        <v>4690</v>
      </c>
    </row>
    <row r="171" ht="15" customHeight="1">
      <c r="L171" s="4781" t="str">
        <f>ADDRESS(ROW('SBL Quotes'!AJ105),COLUMN('SBL Quotes'!AJ105))&amp;":"&amp;ADDRESS(ROW('SBL Quotes'!AN107),COLUMN('SBL Quotes'!AN107))</f>
        <v>$AJ$105:$AN$107</v>
      </c>
      <c r="M171" s="4769" t="s">
        <v>4690</v>
      </c>
    </row>
    <row r="172" ht="15" customHeight="1">
      <c r="L172" s="4781" t="str">
        <f>ADDRESS(ROW('SBL Quotes'!AJ112),COLUMN('SBL Quotes'!AJ112))&amp;":"&amp;ADDRESS(ROW('SBL Quotes'!AN113),COLUMN('SBL Quotes'!AN113))</f>
        <v>$AJ$112:$AN$113</v>
      </c>
      <c r="M172" s="4769" t="s">
        <v>4690</v>
      </c>
    </row>
    <row r="173" ht="15" customHeight="1">
      <c r="L173" s="4781" t="str">
        <f>ADDRESS(ROW('SBL Quotes'!AJ116),COLUMN('SBL Quotes'!AJ116))&amp;":"&amp;ADDRESS(ROW('SBL Quotes'!AN117),COLUMN('SBL Quotes'!AN117))</f>
        <v>$AJ$116:$AN$117</v>
      </c>
      <c r="M173" s="4769" t="s">
        <v>4690</v>
      </c>
    </row>
    <row r="174" ht="15" customHeight="1">
      <c r="L174" s="4781" t="str">
        <f>ADDRESS(ROW('SBL Quotes'!AJ119),COLUMN('SBL Quotes'!AJ119))&amp;":"&amp;ADDRESS(ROW('SBL Quotes'!AN120),COLUMN('SBL Quotes'!AN120))</f>
        <v>$AJ$119:$AN$120</v>
      </c>
      <c r="M174" s="4769" t="s">
        <v>4690</v>
      </c>
    </row>
    <row r="175" ht="15" customHeight="1">
      <c r="L175" s="4781" t="str">
        <f>ADDRESS(ROW('SBL Quotes'!AJ125),COLUMN('SBL Quotes'!AJ125))&amp;":"&amp;ADDRESS(ROW('SBL Quotes'!AN126),COLUMN('SBL Quotes'!AN126))</f>
        <v>$AJ$125:$AN$126</v>
      </c>
      <c r="M175" s="4769" t="s">
        <v>4690</v>
      </c>
    </row>
    <row r="176" ht="15" customHeight="1">
      <c r="L176" s="4781" t="str">
        <f>ADDRESS(ROW('SBL Quotes'!AK128),COLUMN('SBL Quotes'!AK128))</f>
        <v>$AK$128</v>
      </c>
      <c r="M176" s="4769" t="s">
        <v>209</v>
      </c>
    </row>
    <row r="177" ht="15" customHeight="1">
      <c r="L177" s="4781" t="str">
        <f>ADDRESS(ROW('SBL Quotes'!AK129),COLUMN('SBL Quotes'!AK129))</f>
        <v>$AK$129</v>
      </c>
      <c r="M177" s="4769" t="s">
        <v>209</v>
      </c>
    </row>
    <row r="178" ht="15" customHeight="1">
      <c r="L178" s="4781" t="str">
        <f>ADDRESS(ROW('SBL Quotes'!AK130),COLUMN('SBL Quotes'!AK130))</f>
        <v>$AK$130</v>
      </c>
      <c r="M178" s="4769" t="s">
        <v>209</v>
      </c>
    </row>
    <row r="179" ht="15" customHeight="1">
      <c r="L179" s="4781" t="str">
        <f>ADDRESS(ROW('SBL Quotes'!AK131),COLUMN('SBL Quotes'!AK131))</f>
        <v>$AK$131</v>
      </c>
      <c r="M179" s="4769">
        <v>1</v>
      </c>
    </row>
    <row r="180" ht="15" customHeight="1">
      <c r="L180" s="4781" t="str">
        <f>ADDRESS(ROW('SBL Quotes'!AK132),COLUMN('SBL Quotes'!AK132))</f>
        <v>$AK$132</v>
      </c>
      <c r="M180" s="4769">
        <v>1</v>
      </c>
    </row>
    <row r="181" ht="15" customHeight="1">
      <c r="L181" s="4781" t="str">
        <f>ADDRESS(ROW('SBL Quotes'!AK133),COLUMN('SBL Quotes'!AK133))</f>
        <v>$AK$133</v>
      </c>
      <c r="M181" s="4769">
        <v>1</v>
      </c>
    </row>
    <row r="182" ht="15" customHeight="1">
      <c r="L182" s="4781" t="str">
        <f>ADDRESS(ROW('SBL Quotes'!AK134),COLUMN('SBL Quotes'!AK134))</f>
        <v>$AK$134</v>
      </c>
      <c r="M182" s="4769">
        <v>1</v>
      </c>
    </row>
    <row r="183" ht="15" customHeight="1">
      <c r="L183" s="4781" t="str">
        <f>ADDRESS(ROW('SBL Quotes'!AK135),COLUMN('SBL Quotes'!AK135))</f>
        <v>$AK$135</v>
      </c>
      <c r="M183" s="4769" t="s">
        <v>209</v>
      </c>
    </row>
    <row r="184" ht="15" customHeight="1">
      <c r="L184" s="4781" t="str">
        <f>ADDRESS(ROW('SBL Quotes'!AK136),COLUMN('SBL Quotes'!AK136))</f>
        <v>$AK$136</v>
      </c>
      <c r="M184" s="4769" t="s">
        <v>209</v>
      </c>
    </row>
    <row r="185" ht="15" customHeight="1">
      <c r="L185" s="4781" t="str">
        <f>ADDRESS(ROW('SBL Quotes'!AK137),COLUMN('SBL Quotes'!AK137))</f>
        <v>$AK$137</v>
      </c>
      <c r="M185" s="4769">
        <v>0</v>
      </c>
    </row>
    <row r="186" ht="15" customHeight="1">
      <c r="L186" s="4781" t="str">
        <f>ADDRESS(ROW('SBL Quotes'!AN128),COLUMN('SBL Quotes'!AN128))</f>
        <v>$AN$128</v>
      </c>
      <c r="M186" s="4806">
        <v>1000000</v>
      </c>
    </row>
    <row r="187" ht="15" customHeight="1">
      <c r="L187" s="4781" t="str">
        <f>ADDRESS(ROW('SBL Quotes'!AN129),COLUMN('SBL Quotes'!AN129))</f>
        <v>$AN$129</v>
      </c>
      <c r="M187" s="4806">
        <v>0</v>
      </c>
    </row>
    <row r="188" ht="15" customHeight="1">
      <c r="L188" s="4781" t="str">
        <f>ADDRESS(ROW('SBL Quotes'!AN130),COLUMN('SBL Quotes'!AN130))</f>
        <v>$AN$130</v>
      </c>
      <c r="M188" s="4806">
        <v>1000000</v>
      </c>
    </row>
    <row r="189" ht="15" customHeight="1">
      <c r="L189" s="4781" t="str">
        <f>ADDRESS(ROW('SBL Quotes'!AN131),COLUMN('SBL Quotes'!AN131))</f>
        <v>$AN$131</v>
      </c>
      <c r="M189" s="4769">
        <v>1</v>
      </c>
    </row>
    <row r="190" ht="15" customHeight="1">
      <c r="L190" s="4781" t="str">
        <f>ADDRESS(ROW('SBL Quotes'!AN132),COLUMN('SBL Quotes'!AN132))</f>
        <v>$AN$132</v>
      </c>
      <c r="M190" s="4769" t="s">
        <v>209</v>
      </c>
    </row>
    <row r="191" ht="15" customHeight="1">
      <c r="L191" s="4781" t="str">
        <f>ADDRESS(ROW('SBL Quotes'!AN133),COLUMN('SBL Quotes'!AN133))</f>
        <v>$AN$133</v>
      </c>
      <c r="M191" s="4769" t="s">
        <v>209</v>
      </c>
    </row>
    <row r="192" ht="15" customHeight="1">
      <c r="L192" s="4781" t="str">
        <f>ADDRESS(ROW('SBL Quotes'!AN134),COLUMN('SBL Quotes'!AN134))</f>
        <v>$AN$134</v>
      </c>
      <c r="M192" s="4769" t="s">
        <v>209</v>
      </c>
    </row>
    <row r="193" ht="15" customHeight="1">
      <c r="L193" s="4781" t="str">
        <f>ADDRESS(ROW('SBL Quotes'!AN135),COLUMN('SBL Quotes'!AN135))</f>
        <v>$AN$135</v>
      </c>
      <c r="M193" s="4769" t="s">
        <v>209</v>
      </c>
    </row>
    <row r="194" ht="15" customHeight="1">
      <c r="L194" s="4781" t="str">
        <f>ADDRESS(ROW('SBL Quotes'!AN136),COLUMN('SBL Quotes'!AN136))</f>
        <v>$AN$136</v>
      </c>
      <c r="M194" s="4769" t="s">
        <v>209</v>
      </c>
    </row>
    <row r="195" ht="15" customHeight="1">
      <c r="L195" s="4781" t="str">
        <f>ADDRESS(ROW('SBL Quotes'!AJ142),COLUMN('SBL Quotes'!AJ142))&amp;":"&amp;ADDRESS(ROW('SBL Quotes'!AN143),COLUMN('SBL Quotes'!AN143))</f>
        <v>$AJ$142:$AN$143</v>
      </c>
      <c r="M195" s="4769" t="s">
        <v>4690</v>
      </c>
    </row>
    <row r="196" ht="15" customHeight="1">
      <c r="L196" s="4781" t="str">
        <f>ADDRESS(ROW('SBL Quotes'!AJ148),COLUMN('SBL Quotes'!AJ148))&amp;":"&amp;ADDRESS(ROW('SBL Quotes'!AN149),COLUMN('SBL Quotes'!AN149))</f>
        <v>$AJ$148:$AN$149</v>
      </c>
      <c r="M196" s="4769" t="s">
        <v>4690</v>
      </c>
    </row>
    <row r="197" ht="15" customHeight="1">
      <c r="L197" s="4781" t="str">
        <f>ADDRESS(ROW('SBL Quotes'!AJ151),COLUMN('SBL Quotes'!AJ151))&amp;":"&amp;ADDRESS(ROW('SBL Quotes'!AN152),COLUMN('SBL Quotes'!AN152))</f>
        <v>$AJ$151:$AN$152</v>
      </c>
      <c r="M197" s="4769" t="s">
        <v>4690</v>
      </c>
    </row>
    <row r="198" ht="15" customHeight="1">
      <c r="L198" s="4781" t="str">
        <f>ADDRESS(ROW('SBL Quotes'!AJ154),COLUMN('SBL Quotes'!AJ154))&amp;":"&amp;ADDRESS(ROW('SBL Quotes'!AN155),COLUMN('SBL Quotes'!AN155))</f>
        <v>$AJ$154:$AN$155</v>
      </c>
      <c r="M198" s="4769" t="s">
        <v>4690</v>
      </c>
    </row>
    <row r="199" ht="15" customHeight="1">
      <c r="L199" s="4781" t="str">
        <f>ADDRESS(ROW('SBL Quotes'!AJ157),COLUMN('SBL Quotes'!AJ157))&amp;":"&amp;ADDRESS(ROW('SBL Quotes'!AN158),COLUMN('SBL Quotes'!AN158))</f>
        <v>$AJ$157:$AN$158</v>
      </c>
      <c r="M199" s="4769" t="s">
        <v>4690</v>
      </c>
    </row>
    <row r="200" ht="15" customHeight="1">
      <c r="L200" s="4781" t="str">
        <f>ADDRESS(ROW('SBL Quotes'!AJ160),COLUMN('SBL Quotes'!AJ160))&amp;":"&amp;ADDRESS(ROW('SBL Quotes'!AN161),COLUMN('SBL Quotes'!AN161))</f>
        <v>$AJ$160:$AN$161</v>
      </c>
      <c r="M200" s="4769" t="s">
        <v>4690</v>
      </c>
    </row>
  </sheetData>
  <mergeCells>
    <mergeCell ref="C3:D3"/>
  </mergeCells>
  <conditionalFormatting sqref="E5:E65">
    <cfRule type="expression" dxfId="15" priority="5" text="null">
      <formula>$E5&lt;&gt;"Yes"</formula>
    </cfRule>
  </conditionalFormatting>
  <dataValidations count="2">
    <dataValidation allowBlank="1" error="use pulldown value" errorTitle="Invalid value type" showErrorMessage="1" showInputMessage="1" sqref="J9:J159 J5:J7" type="list">
      <formula1>"decimal,integer,string,variant"</formula1>
    </dataValidation>
    <dataValidation allowBlank="1" showErrorMessage="1" showInputMessage="1" sqref="E5:E56" type="list">
      <formula1>"Yes,No"</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legacyDrawing r:id="rId2"/>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734C382C-4F55-5244-86F7-B17AC1B00C4D}" mc:Ignorable="x14ac xr xr2 xr3">
  <sheetPr>
    <tabColor theme="0" tint="-0.5"/>
  </sheetPr>
  <dimension ref="A1:W30"/>
  <sheetViews>
    <sheetView topLeftCell="A1" workbookViewId="0">
      <selection activeCell="A1" sqref="A1"/>
    </sheetView>
  </sheetViews>
  <sheetFormatPr defaultRowHeight="11.0025" defaultColWidth="9.140625" customHeight="1"/>
  <cols>
    <col min="1" max="1" style="4822" width="39.7109375" customWidth="1"/>
    <col min="2" max="2" style="41" width="21.8515625" customWidth="1"/>
    <col min="3" max="23" style="41" width="61.8515625" customWidth="1"/>
  </cols>
  <sheetData>
    <row r="1" ht="11.25" customHeight="1">
      <c r="A1" s="4808" t="s">
        <v>5161</v>
      </c>
    </row>
    <row r="4" ht="72" customHeight="1" s="4809" customFormat="1">
      <c r="A4" s="4810" t="s">
        <v>5162</v>
      </c>
      <c r="C4" s="4811" t="s">
        <v>5163</v>
      </c>
      <c r="D4" s="4812"/>
      <c r="E4" s="4813"/>
      <c r="F4" s="4813"/>
      <c r="G4" s="4813"/>
      <c r="H4" s="4813"/>
      <c r="I4" s="4813"/>
      <c r="J4" s="4813"/>
      <c r="K4" s="4813"/>
      <c r="L4" s="4813"/>
      <c r="M4" s="4813"/>
      <c r="N4" s="4813"/>
      <c r="O4" s="4813"/>
      <c r="P4" s="4813"/>
      <c r="Q4" s="4813"/>
      <c r="R4" s="4813"/>
      <c r="S4" s="4813"/>
      <c r="T4" s="4813"/>
      <c r="U4" s="4813"/>
      <c r="V4" s="4813"/>
    </row>
    <row r="5" ht="11.25" customHeight="1" s="4809" customFormat="1">
      <c r="A5" s="4814"/>
      <c r="C5" s="4815"/>
      <c r="D5" s="4816"/>
      <c r="E5" s="4816"/>
      <c r="F5" s="4816"/>
      <c r="G5" s="4816"/>
      <c r="H5" s="4816"/>
      <c r="I5" s="4816"/>
      <c r="J5" s="4816"/>
      <c r="K5" s="4816"/>
      <c r="L5" s="4816"/>
      <c r="M5" s="4816"/>
      <c r="N5" s="4816"/>
      <c r="O5" s="4816"/>
      <c r="P5" s="4816"/>
      <c r="Q5" s="4816"/>
      <c r="R5" s="4816"/>
      <c r="S5" s="4816"/>
      <c r="T5" s="4816"/>
      <c r="U5" s="4816"/>
      <c r="V5" s="4816"/>
    </row>
    <row r="6" ht="14.25" customHeight="1">
      <c r="A6" s="4810" t="s">
        <v>5164</v>
      </c>
      <c r="B6" s="478" t="s">
        <v>209</v>
      </c>
      <c r="C6" s="478" t="s">
        <v>5165</v>
      </c>
      <c r="D6" s="478" t="s">
        <v>5166</v>
      </c>
      <c r="E6" s="478" t="s">
        <v>5167</v>
      </c>
      <c r="F6" s="478" t="s">
        <v>5168</v>
      </c>
      <c r="G6" s="478" t="s">
        <v>5169</v>
      </c>
      <c r="H6" s="478" t="s">
        <v>5170</v>
      </c>
      <c r="I6" s="478" t="s">
        <v>5171</v>
      </c>
      <c r="J6" s="478" t="s">
        <v>5172</v>
      </c>
      <c r="K6" s="478" t="s">
        <v>5173</v>
      </c>
      <c r="L6" s="478" t="s">
        <v>5174</v>
      </c>
      <c r="M6" s="478" t="s">
        <v>5175</v>
      </c>
      <c r="N6" s="478" t="s">
        <v>5176</v>
      </c>
      <c r="O6" s="478" t="s">
        <v>5177</v>
      </c>
      <c r="P6" s="478" t="s">
        <v>5178</v>
      </c>
      <c r="Q6" s="4817" t="s">
        <v>5179</v>
      </c>
      <c r="R6" s="4818" t="s">
        <v>5180</v>
      </c>
      <c r="S6" s="478" t="s">
        <v>5181</v>
      </c>
      <c r="T6" s="478" t="s">
        <v>5182</v>
      </c>
      <c r="U6" s="478" t="s">
        <v>5183</v>
      </c>
      <c r="V6" s="478" t="s">
        <v>5184</v>
      </c>
      <c r="W6" s="4819"/>
    </row>
    <row r="7" ht="294.75" customHeight="1" s="4809" customFormat="1">
      <c r="A7" s="4810"/>
      <c r="B7" s="4820"/>
      <c r="C7" s="4811" t="s">
        <v>5185</v>
      </c>
      <c r="D7" s="4811" t="s">
        <v>5186</v>
      </c>
      <c r="E7" s="4811" t="s">
        <v>5187</v>
      </c>
      <c r="F7" s="4811" t="s">
        <v>5188</v>
      </c>
      <c r="G7" s="4811" t="s">
        <v>5189</v>
      </c>
      <c r="H7" s="4811" t="s">
        <v>5190</v>
      </c>
      <c r="I7" s="4811" t="s">
        <v>5191</v>
      </c>
      <c r="J7" s="4811" t="s">
        <v>5192</v>
      </c>
      <c r="K7" s="4811" t="s">
        <v>5193</v>
      </c>
      <c r="L7" s="4811" t="s">
        <v>5194</v>
      </c>
      <c r="M7" s="4811" t="s">
        <v>5195</v>
      </c>
      <c r="N7" s="4811" t="s">
        <v>5196</v>
      </c>
      <c r="O7" s="4811" t="s">
        <v>5197</v>
      </c>
      <c r="P7" s="4811" t="s">
        <v>5198</v>
      </c>
      <c r="Q7" s="4811" t="s">
        <v>5199</v>
      </c>
      <c r="R7" s="4811" t="s">
        <v>5200</v>
      </c>
      <c r="S7" s="4811" t="s">
        <v>5201</v>
      </c>
      <c r="T7" s="4811" t="s">
        <v>5202</v>
      </c>
      <c r="U7" s="4811" t="s">
        <v>5203</v>
      </c>
      <c r="V7" s="4811" t="s">
        <v>5204</v>
      </c>
      <c r="W7" s="4821"/>
    </row>
    <row r="9" ht="48" customHeight="1" s="4809" customFormat="1">
      <c r="A9" s="4810" t="s">
        <v>5205</v>
      </c>
      <c r="C9" s="4811" t="s">
        <v>5206</v>
      </c>
      <c r="D9" s="4811" t="s">
        <v>5207</v>
      </c>
      <c r="E9" s="4812"/>
      <c r="F9" s="4813"/>
      <c r="G9" s="4813"/>
      <c r="H9" s="4813"/>
      <c r="I9" s="4813"/>
      <c r="J9" s="4813"/>
      <c r="K9" s="4813"/>
      <c r="L9" s="4813"/>
      <c r="M9" s="4813"/>
      <c r="N9" s="4813"/>
      <c r="O9" s="4813"/>
      <c r="P9" s="4813"/>
      <c r="Q9" s="4813"/>
      <c r="R9" s="4813"/>
      <c r="S9" s="4813"/>
      <c r="T9" s="4813"/>
      <c r="U9" s="4813"/>
      <c r="V9" s="4813"/>
    </row>
    <row r="12" ht="36" customHeight="1" s="4809" customFormat="1">
      <c r="A12" s="4810" t="s">
        <v>5208</v>
      </c>
      <c r="C12" s="4811" t="s">
        <v>5209</v>
      </c>
      <c r="D12" s="4812"/>
      <c r="E12" s="4813"/>
      <c r="F12" s="4813"/>
      <c r="G12" s="4813"/>
      <c r="H12" s="4813"/>
      <c r="I12" s="4813"/>
      <c r="J12" s="4813"/>
      <c r="K12" s="4813"/>
      <c r="L12" s="4813"/>
      <c r="M12" s="4813"/>
      <c r="N12" s="4813"/>
      <c r="O12" s="4813"/>
      <c r="P12" s="4813"/>
      <c r="Q12" s="4813"/>
      <c r="R12" s="4813"/>
      <c r="S12" s="4813"/>
      <c r="T12" s="4813"/>
      <c r="U12" s="4813"/>
      <c r="V12" s="4813"/>
    </row>
    <row r="14" ht="11.25" customHeight="1">
      <c r="B14" s="41" t="s">
        <v>209</v>
      </c>
      <c r="C14" s="41" t="s">
        <v>884</v>
      </c>
    </row>
    <row r="15" ht="11.25" customHeight="1">
      <c r="B15" s="41" t="s">
        <v>3772</v>
      </c>
      <c r="C15" s="41" t="s">
        <v>5210</v>
      </c>
    </row>
    <row r="16" ht="11.25" customHeight="1">
      <c r="B16" s="41" t="s">
        <v>5211</v>
      </c>
      <c r="C16" s="41" t="s">
        <v>5212</v>
      </c>
    </row>
    <row r="17" ht="11.25" customHeight="1">
      <c r="B17" s="41" t="s">
        <v>5213</v>
      </c>
      <c r="C17" s="41" t="s">
        <v>5212</v>
      </c>
    </row>
    <row r="18" ht="11.25" customHeight="1">
      <c r="B18" s="41" t="s">
        <v>5214</v>
      </c>
      <c r="C18" s="41" t="s">
        <v>5212</v>
      </c>
    </row>
    <row r="20" ht="11.25" customHeight="1">
      <c r="B20" s="41" t="s">
        <v>209</v>
      </c>
      <c r="C20" s="41" t="s">
        <v>872</v>
      </c>
    </row>
    <row r="21" ht="11.25" customHeight="1">
      <c r="B21" s="41" t="s">
        <v>5215</v>
      </c>
      <c r="C21" s="41" t="s">
        <v>5216</v>
      </c>
    </row>
    <row r="22" ht="11.25" customHeight="1">
      <c r="B22" s="41" t="s">
        <v>5217</v>
      </c>
      <c r="C22" s="41" t="s">
        <v>5218</v>
      </c>
    </row>
    <row r="23" ht="11.25" customHeight="1">
      <c r="B23" s="41" t="s">
        <v>5219</v>
      </c>
      <c r="C23" s="41" t="s">
        <v>5220</v>
      </c>
    </row>
    <row r="24" ht="11.25" customHeight="1">
      <c r="B24" s="41" t="s">
        <v>5221</v>
      </c>
      <c r="C24" s="41" t="s">
        <v>5222</v>
      </c>
    </row>
    <row r="25" ht="11.25" customHeight="1">
      <c r="B25" s="41" t="s">
        <v>5223</v>
      </c>
      <c r="C25" s="41" t="s">
        <v>5224</v>
      </c>
    </row>
    <row r="27" ht="11.25" customHeight="1">
      <c r="C27" s="41" t="s">
        <v>5225</v>
      </c>
    </row>
    <row r="30" ht="11.25" customHeight="1">
      <c r="A30" s="4822" t="s">
        <v>5226</v>
      </c>
      <c r="C30" s="41" t="s">
        <v>5227</v>
      </c>
    </row>
  </sheetData>
  <mergeCells>
    <mergeCell ref="A6:A7"/>
  </mergeCells>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1B5B176-933D-2F32-0061-F561CCB998FC}" mc:Ignorable="x14ac xr xr2 xr3">
  <sheetPr>
    <tabColor theme="0" tint="-0.5"/>
  </sheetPr>
  <dimension ref="A1:HH3236"/>
  <sheetViews>
    <sheetView topLeftCell="BS1" workbookViewId="0">
      <selection activeCell="CH1" sqref="CH1"/>
    </sheetView>
  </sheetViews>
  <sheetFormatPr defaultRowHeight="14.497499999999997" defaultColWidth="8.8515625" customHeight="1"/>
  <cols>
    <col min="3" max="3" style="625" width="17.57421875" customWidth="1"/>
    <col min="7" max="7" style="625" width="24.57421875" customWidth="1"/>
    <col min="9" max="9" style="625" width="17.00390625" customWidth="1"/>
    <col min="11" max="11" style="625" width="12.57421875" customWidth="1"/>
    <col min="13" max="13" style="625" width="35.57421875" customWidth="1"/>
    <col min="15" max="15" style="625" width="43.57421875" customWidth="1"/>
    <col min="17" max="17" style="625" width="28.00390625" customWidth="1"/>
    <col min="19" max="19" style="625" width="29.00390625" customWidth="1"/>
    <col min="23" max="23" style="625" width="18.57421875" customWidth="1"/>
    <col min="25" max="25" style="625" width="17.57421875" customWidth="1"/>
    <col min="27" max="27" style="625" width="10.57421875" customWidth="1"/>
    <col min="29" max="29" style="625" width="9.57421875" customWidth="1"/>
    <col min="31" max="31" style="625" width="22.57421875" customWidth="1"/>
    <col min="33" max="33" style="625" width="20.57421875" customWidth="1"/>
    <col min="35" max="35" style="625" width="27.57421875" customWidth="1"/>
    <col min="37" max="37" style="625" width="73.00390625" customWidth="1"/>
    <col min="39" max="40" style="625" width="10.57421875" customWidth="1"/>
    <col min="42" max="42" style="625" width="16.57421875" customWidth="1"/>
    <col min="44" max="44" style="625" width="21.57421875" customWidth="1"/>
    <col min="46" max="46" style="625" width="18.57421875" customWidth="1"/>
    <col min="48" max="48" style="625" width="18.57421875" customWidth="1"/>
    <col min="50" max="50" style="625" width="21.57421875" customWidth="1"/>
    <col min="52" max="52" style="625" width="13.57421875" customWidth="1"/>
    <col min="54" max="54" style="625" width="13.57421875" customWidth="1"/>
    <col min="56" max="56" style="625" width="19.00390625" customWidth="1"/>
    <col min="57" max="57" style="625" width="8.57421875" customWidth="1"/>
    <col min="58" max="58" style="625" width="15.57421875" customWidth="1"/>
    <col min="59" max="59" style="625" width="6.57421875" customWidth="1"/>
    <col min="60" max="60" style="625" width="17.57421875" customWidth="1"/>
    <col min="61" max="61" style="625" width="7.57421875" customWidth="1"/>
    <col min="62" max="62" style="625" width="19.57421875" customWidth="1"/>
    <col min="64" max="64" style="625" width="31.57421875" customWidth="1"/>
    <col min="66" max="66" style="625" width="12.57421875" customWidth="1"/>
    <col min="68" max="68" style="625" width="12.00390625" customWidth="1"/>
    <col min="70" max="70" style="625" width="20.57421875" customWidth="1"/>
    <col min="76" max="76" style="625" width="20.57421875" customWidth="1"/>
    <col min="77" max="77" style="625" width="29.00390625" customWidth="1"/>
    <col min="79" max="79" style="625" width="18.57421875" customWidth="1"/>
    <col min="81" max="81" style="625" width="14.57421875" customWidth="1"/>
    <col min="83" max="83" style="625" width="11.57421875" customWidth="1"/>
    <col min="85" max="85" style="625" width="11.57421875" customWidth="1"/>
    <col min="87" max="87" style="625" width="12.57421875" customWidth="1"/>
    <col min="89" max="89" style="625" width="18.57421875" customWidth="1"/>
    <col min="91" max="91" style="625" width="18.57421875" customWidth="1"/>
    <col min="92" max="92" style="625" width="13.57421875" customWidth="1"/>
    <col min="94" max="94" style="625" width="30.00390625" customWidth="1"/>
    <col min="95" max="95" style="625" width="6.57421875" customWidth="1"/>
    <col min="96" max="96" style="625" width="29.57421875" customWidth="1"/>
    <col min="97" max="97" style="625" width="5.57421875" customWidth="1"/>
    <col min="98" max="98" style="625" width="20.00390625" customWidth="1"/>
    <col min="100" max="100" style="625" width="21.57421875" customWidth="1"/>
    <col min="102" max="102" style="625" width="50.57421875" customWidth="1"/>
    <col min="104" max="104" style="625" width="18.57421875" customWidth="1"/>
    <col min="106" max="106" style="625" width="18.57421875" customWidth="1"/>
    <col min="108" max="108" style="625" width="18.57421875" customWidth="1"/>
    <col min="110" max="110" style="625" width="18.57421875" customWidth="1"/>
    <col min="112" max="112" style="625" width="27.57421875" customWidth="1"/>
    <col min="114" max="114" style="625" width="18.57421875" customWidth="1"/>
    <col min="116" max="116" style="625" width="19.57421875" customWidth="1"/>
    <col min="118" max="118" style="625" width="32.00390625" customWidth="1"/>
    <col min="121" max="121" style="625" width="34.57421875" customWidth="1"/>
    <col min="123" max="123" style="625" width="41.57421875" customWidth="1"/>
    <col min="125" max="125" style="625" width="20.57421875" customWidth="1"/>
    <col min="127" max="127" style="625" width="10.57421875" customWidth="1"/>
    <col min="129" max="129" style="625" width="16.57421875" customWidth="1"/>
    <col min="131" max="131" style="625" width="10.57421875" customWidth="1"/>
    <col min="133" max="133" style="625" width="14.57421875" customWidth="1"/>
    <col min="135" max="135" style="625" width="14.00390625" customWidth="1"/>
    <col min="137" max="137" style="625" width="9.57421875" customWidth="1"/>
    <col min="139" max="139" style="625" width="15.57421875" customWidth="1"/>
    <col min="141" max="141" style="625" width="24.57421875" customWidth="1"/>
    <col min="143" max="143" style="625" width="27.57421875" customWidth="1"/>
    <col min="145" max="145" style="625" width="11.57421875" customWidth="1"/>
    <col min="147" max="147" style="625" width="30.57421875" customWidth="1"/>
    <col min="149" max="149" style="625" width="22.57421875" customWidth="1"/>
    <col min="150" max="150" style="625" width="9.57421875" customWidth="1"/>
    <col min="151" max="151" style="625" width="34.57421875" customWidth="1"/>
    <col min="153" max="153" style="625" width="28.00390625" customWidth="1"/>
    <col min="154" max="154" style="625" width="9.57421875" customWidth="1"/>
    <col min="155" max="155" style="625" width="53.57421875" customWidth="1"/>
    <col min="157" max="157" style="625" width="25.00390625" customWidth="1"/>
    <col min="159" max="159" style="625" width="29.57421875" customWidth="1"/>
    <col min="161" max="161" style="625" width="22.57421875" customWidth="1"/>
    <col min="163" max="163" style="625" width="25.57421875" customWidth="1"/>
    <col min="165" max="167" style="625" width="17.8515625" customWidth="1"/>
    <col min="169" max="170" style="625" width="14.8515625" customWidth="1"/>
    <col min="171" max="171" style="625" width="29.57421875" customWidth="1"/>
    <col min="173" max="173" style="625" width="29.8515625" customWidth="1"/>
    <col min="175" max="175" style="625" width="29.57421875" customWidth="1"/>
    <col min="177" max="177" style="625" width="27.57421875" customWidth="1"/>
    <col min="179" max="179" style="625" width="32.8515625" customWidth="1"/>
    <col min="181" max="181" style="625" width="25.8515625" customWidth="1"/>
    <col min="182" max="182" style="625" width="3.140625" customWidth="1"/>
    <col min="183" max="183" style="625" width="28.7109375" customWidth="1"/>
    <col min="184" max="184" style="625" width="3.140625" customWidth="1"/>
    <col min="185" max="185" style="625" width="21.7109375" customWidth="1"/>
    <col min="186" max="186" style="625" width="3.140625" customWidth="1"/>
    <col min="187" max="187" style="625" width="10.57421875" customWidth="1"/>
    <col min="188" max="188" style="625" width="25.00390625" customWidth="1"/>
    <col min="189" max="189" style="625" width="3.140625" customWidth="1"/>
    <col min="190" max="190" style="625" width="15.7109375" customWidth="1"/>
    <col min="191" max="191" style="625" width="3.140625" customWidth="1"/>
    <col min="192" max="192" style="625" width="31.140625" customWidth="1"/>
    <col min="193" max="193" style="625" width="3.140625" customWidth="1"/>
    <col min="194" max="194" style="625" width="24.57421875" customWidth="1"/>
    <col min="195" max="195" style="625" width="3.140625" customWidth="1"/>
    <col min="196" max="196" style="625" width="16.57421875" customWidth="1"/>
    <col min="197" max="197" style="625" width="3.140625" customWidth="1"/>
    <col min="198" max="198" style="625" width="16.7109375" customWidth="1"/>
    <col min="199" max="199" style="625" width="20.140625" customWidth="1"/>
    <col min="200" max="200" style="625" width="35.57421875" customWidth="1"/>
    <col min="201" max="201" style="625" width="30.57421875" customWidth="1"/>
    <col min="207" max="207" style="625" width="28.57421875" customWidth="1"/>
    <col min="208" max="208" style="625" width="43.140625" customWidth="1"/>
    <col min="209" max="209" style="625" width="5.8515625" customWidth="1"/>
    <col min="210" max="210" style="625" width="40.00390625" customWidth="1"/>
    <col min="211" max="211" style="625" width="4.57421875" customWidth="1"/>
    <col min="212" max="212" style="625" width="12.28125" customWidth="1"/>
    <col min="214" max="214" style="21" width="38.57421875" customWidth="1"/>
    <col min="215" max="215" style="2605" width="2.7109375" customWidth="1"/>
    <col min="216" max="216" style="21" width="34.57421875" customWidth="1"/>
  </cols>
  <sheetData>
    <row r="1" ht="51" customHeight="1">
      <c r="A1" t="s">
        <v>5228</v>
      </c>
      <c r="C1" s="625" t="s">
        <v>5229</v>
      </c>
      <c r="E1" t="s">
        <v>379</v>
      </c>
      <c r="G1" s="625" t="s">
        <v>387</v>
      </c>
      <c r="I1" s="625" t="s">
        <v>1565</v>
      </c>
      <c r="K1" s="625" t="s">
        <v>3901</v>
      </c>
      <c r="M1" s="625" t="s">
        <v>5230</v>
      </c>
      <c r="O1" s="625" t="s">
        <v>5231</v>
      </c>
      <c r="Q1" s="625" t="s">
        <v>5232</v>
      </c>
      <c r="S1" s="625" t="s">
        <v>5232</v>
      </c>
      <c r="U1" t="s">
        <v>5232</v>
      </c>
      <c r="W1" s="625" t="s">
        <v>5232</v>
      </c>
      <c r="Y1" s="625" t="s">
        <v>5232</v>
      </c>
      <c r="AA1" s="625" t="s">
        <v>5232</v>
      </c>
      <c r="AC1" s="625" t="s">
        <v>5232</v>
      </c>
      <c r="AE1" s="625" t="s">
        <v>5232</v>
      </c>
      <c r="AG1" s="625" t="s">
        <v>5232</v>
      </c>
      <c r="AI1" s="625" t="s">
        <v>5233</v>
      </c>
      <c r="AK1" s="625" t="s">
        <v>5233</v>
      </c>
      <c r="AM1" s="4823" t="s">
        <v>5232</v>
      </c>
      <c r="AN1" s="4823"/>
      <c r="AP1" s="625" t="s">
        <v>5233</v>
      </c>
      <c r="AR1" s="625" t="s">
        <v>5234</v>
      </c>
      <c r="AT1" s="625" t="s">
        <v>5234</v>
      </c>
      <c r="AV1" s="625" t="s">
        <v>5232</v>
      </c>
      <c r="AX1" s="625" t="s">
        <v>5235</v>
      </c>
      <c r="AZ1" s="625" t="s">
        <v>5236</v>
      </c>
      <c r="BB1" s="625" t="s">
        <v>5236</v>
      </c>
      <c r="BD1" s="625" t="s">
        <v>5237</v>
      </c>
      <c r="BF1" s="625" t="s">
        <v>5237</v>
      </c>
      <c r="BH1" s="625" t="s">
        <v>5237</v>
      </c>
      <c r="BJ1" s="625" t="s">
        <v>5237</v>
      </c>
      <c r="BL1" s="625" t="s">
        <v>5238</v>
      </c>
      <c r="BN1" s="625" t="s">
        <v>5239</v>
      </c>
      <c r="BP1" s="625" t="s">
        <v>5239</v>
      </c>
      <c r="BR1" s="625" t="s">
        <v>5239</v>
      </c>
      <c r="BT1" t="s">
        <v>5240</v>
      </c>
      <c r="BV1" t="s">
        <v>5240</v>
      </c>
      <c r="BX1" s="625" t="s">
        <v>5232</v>
      </c>
      <c r="CA1" s="625" t="s">
        <v>5241</v>
      </c>
      <c r="CC1" s="625" t="s">
        <v>5239</v>
      </c>
      <c r="CE1" s="1155" t="s">
        <v>5239</v>
      </c>
      <c r="CG1" s="625" t="s">
        <v>5239</v>
      </c>
      <c r="CI1" s="4824" t="s">
        <v>5242</v>
      </c>
      <c r="CK1" s="4825" t="s">
        <v>5243</v>
      </c>
      <c r="CM1" s="4826" t="s">
        <v>5243</v>
      </c>
      <c r="CN1" s="4826"/>
      <c r="CP1" s="4825" t="s">
        <v>5243</v>
      </c>
      <c r="CQ1" s="4825"/>
      <c r="CR1" s="4825" t="s">
        <v>5243</v>
      </c>
      <c r="CS1" s="4825"/>
      <c r="CT1" s="4825" t="s">
        <v>5243</v>
      </c>
      <c r="CV1" s="4825" t="s">
        <v>5243</v>
      </c>
      <c r="CX1" s="4825" t="s">
        <v>5243</v>
      </c>
      <c r="CZ1" s="4825" t="s">
        <v>5243</v>
      </c>
      <c r="DB1" s="4825" t="s">
        <v>5243</v>
      </c>
      <c r="DD1" s="4825" t="s">
        <v>5243</v>
      </c>
      <c r="DF1" s="4825" t="s">
        <v>5243</v>
      </c>
      <c r="DH1" s="4825" t="s">
        <v>5244</v>
      </c>
      <c r="DJ1" s="4825" t="s">
        <v>5243</v>
      </c>
      <c r="DL1" s="4825" t="s">
        <v>5243</v>
      </c>
      <c r="DN1" s="4825" t="s">
        <v>5243</v>
      </c>
      <c r="DP1" s="4825" t="s">
        <v>5243</v>
      </c>
      <c r="DQ1" s="4825"/>
      <c r="DR1" s="4825"/>
      <c r="DS1" s="4825"/>
      <c r="DU1" s="4824" t="s">
        <v>5245</v>
      </c>
      <c r="DW1" s="4825" t="s">
        <v>5244</v>
      </c>
      <c r="DY1" s="1159" t="s">
        <v>5246</v>
      </c>
      <c r="EA1" s="625" t="s">
        <v>5232</v>
      </c>
      <c r="EC1" s="625" t="s">
        <v>239</v>
      </c>
      <c r="EE1" s="625" t="s">
        <v>5247</v>
      </c>
      <c r="EG1" s="1159" t="s">
        <v>5248</v>
      </c>
      <c r="EI1" s="625" t="s">
        <v>5232</v>
      </c>
      <c r="EK1" s="625" t="s">
        <v>5232</v>
      </c>
      <c r="EM1" s="625" t="s">
        <v>5249</v>
      </c>
      <c r="EO1" s="625" t="s">
        <v>5250</v>
      </c>
      <c r="EQ1" s="625" t="s">
        <v>5251</v>
      </c>
      <c r="ES1" s="625" t="s">
        <v>5251</v>
      </c>
      <c r="EU1" s="625" t="s">
        <v>5251</v>
      </c>
      <c r="EW1" s="625" t="s">
        <v>5251</v>
      </c>
      <c r="EY1" s="625" t="s">
        <v>5251</v>
      </c>
      <c r="FA1" s="625" t="s">
        <v>5252</v>
      </c>
      <c r="FC1" s="625" t="s">
        <v>5253</v>
      </c>
      <c r="FE1" s="625" t="s">
        <v>5253</v>
      </c>
      <c r="FG1" s="625" t="s">
        <v>5240</v>
      </c>
      <c r="FI1" s="4668" t="s">
        <v>4346</v>
      </c>
      <c r="FJ1" s="4827"/>
      <c r="FK1" s="4655" t="s">
        <v>4347</v>
      </c>
      <c r="FM1" s="4670" t="s">
        <v>4363</v>
      </c>
      <c r="FN1" s="4828"/>
      <c r="FO1" s="4655" t="s">
        <v>4364</v>
      </c>
      <c r="FQ1" s="4657" t="s">
        <v>4366</v>
      </c>
      <c r="FR1" s="4653"/>
      <c r="FS1" s="4657" t="s">
        <v>4367</v>
      </c>
      <c r="FT1" s="4653"/>
      <c r="FU1" s="4657" t="s">
        <v>4368</v>
      </c>
      <c r="FW1" s="4671" t="s">
        <v>4369</v>
      </c>
      <c r="FX1" s="4653"/>
      <c r="FY1" s="4829" t="s">
        <v>4370</v>
      </c>
      <c r="GA1" s="4742" t="s">
        <v>5254</v>
      </c>
      <c r="GC1" s="4830" t="s">
        <v>5255</v>
      </c>
      <c r="GE1" s="4831" t="s">
        <v>5256</v>
      </c>
      <c r="GF1" s="4831"/>
      <c r="GH1" s="4832" t="s">
        <v>5257</v>
      </c>
      <c r="GJ1" s="4833" t="s">
        <v>5258</v>
      </c>
      <c r="GL1" s="4832" t="s">
        <v>5259</v>
      </c>
      <c r="GN1" s="4834" t="s">
        <v>5260</v>
      </c>
      <c r="GP1" s="4835" t="s">
        <v>5261</v>
      </c>
      <c r="GQ1" s="4835"/>
      <c r="GR1" s="4835"/>
      <c r="GS1" s="4835"/>
      <c r="GU1" s="4834" t="s">
        <v>5262</v>
      </c>
      <c r="GV1" s="4834" t="s">
        <v>5263</v>
      </c>
      <c r="GW1" s="4834" t="s">
        <v>5264</v>
      </c>
      <c r="GY1" s="4833" t="s">
        <v>989</v>
      </c>
      <c r="GZ1" s="4836"/>
      <c r="HB1" s="4834" t="s">
        <v>5265</v>
      </c>
      <c r="HD1" s="4834" t="s">
        <v>5266</v>
      </c>
      <c r="HF1" s="4837"/>
      <c r="HG1" s="4838" t="s">
        <v>5267</v>
      </c>
      <c r="HH1" s="4839"/>
    </row>
    <row r="2" ht="12.75" customHeight="1">
      <c r="A2" s="4840" t="s">
        <v>367</v>
      </c>
      <c r="C2" s="4841" t="s">
        <v>384</v>
      </c>
      <c r="E2" s="4840" t="s">
        <v>3788</v>
      </c>
      <c r="G2" s="4840" t="s">
        <v>3772</v>
      </c>
      <c r="I2" s="4840" t="s">
        <v>293</v>
      </c>
      <c r="K2" s="4840"/>
      <c r="M2" s="4840"/>
      <c r="O2" s="4840" t="s">
        <v>5268</v>
      </c>
      <c r="Q2" s="4842" t="s">
        <v>306</v>
      </c>
      <c r="S2" s="4840"/>
      <c r="U2" s="4840"/>
      <c r="W2" s="4840"/>
      <c r="Y2" s="4840"/>
      <c r="AA2" s="4840"/>
      <c r="AC2" s="4840"/>
      <c r="AE2" s="4840"/>
      <c r="AG2" s="4840"/>
      <c r="AI2" s="4840"/>
      <c r="AK2" s="4840"/>
      <c r="AM2" s="4840">
        <v>2</v>
      </c>
      <c r="AN2" s="4840" t="s">
        <v>1247</v>
      </c>
      <c r="AP2" s="4840">
        <v>1</v>
      </c>
      <c r="AR2" s="4840" t="s">
        <v>778</v>
      </c>
      <c r="AT2" s="4840" t="s">
        <v>5269</v>
      </c>
      <c r="AV2" s="4840" t="s">
        <v>334</v>
      </c>
      <c r="AX2" s="4843" t="s">
        <v>3477</v>
      </c>
      <c r="AZ2" s="4844">
        <f>HOps_1YrBack</f>
        <v>2021</v>
      </c>
      <c r="BB2" s="4840" t="s">
        <v>5270</v>
      </c>
      <c r="BD2" s="4840" t="s">
        <v>5271</v>
      </c>
      <c r="BF2" s="4844" t="s">
        <v>202</v>
      </c>
      <c r="BH2" s="4840" t="s">
        <v>174</v>
      </c>
      <c r="BJ2" s="4840" t="s">
        <v>413</v>
      </c>
      <c r="BL2" s="4842" t="str">
        <f>'Fannie Historical Ops'!B5</f>
        <v>Gross Potential Rent (GPR)</v>
      </c>
      <c r="BN2" s="4840" t="s">
        <v>5272</v>
      </c>
      <c r="BP2" s="4840" t="s">
        <v>3807</v>
      </c>
      <c r="BR2" s="4840" t="s">
        <v>5273</v>
      </c>
      <c r="BT2" s="4840" t="s">
        <v>5274</v>
      </c>
      <c r="BV2" s="4845" t="s">
        <v>2802</v>
      </c>
      <c r="BX2" s="4846" t="s">
        <v>393</v>
      </c>
      <c r="BY2" s="4840" t="str">
        <f t="shared" si="0" ref="BY2:BY3">BX2</f>
        <v>Standard</v>
      </c>
      <c r="CA2" s="4840" t="s">
        <v>867</v>
      </c>
      <c r="CC2" s="4840" t="s">
        <v>393</v>
      </c>
      <c r="CE2" s="4840" t="s">
        <v>2547</v>
      </c>
      <c r="CG2" s="4845" t="s">
        <v>5275</v>
      </c>
      <c r="CI2" s="4842" t="s">
        <v>3167</v>
      </c>
      <c r="CK2" s="4847" t="s">
        <v>5276</v>
      </c>
      <c r="CM2" s="4848" t="s">
        <v>5277</v>
      </c>
      <c r="CN2" s="4849">
        <v>9259465904</v>
      </c>
      <c r="CP2" s="4840" t="s">
        <v>1252</v>
      </c>
      <c r="CR2" s="4840" t="s">
        <v>3772</v>
      </c>
      <c r="CT2" s="4840" t="s">
        <v>388</v>
      </c>
      <c r="CV2" s="4840" t="s">
        <v>778</v>
      </c>
      <c r="CX2" s="4840" t="s">
        <v>1252</v>
      </c>
      <c r="CZ2" s="4840" t="s">
        <v>301</v>
      </c>
      <c r="DB2" s="4840" t="s">
        <v>3788</v>
      </c>
      <c r="DD2" s="4840" t="s">
        <v>801</v>
      </c>
      <c r="DF2" s="4850" t="s">
        <v>393</v>
      </c>
      <c r="DH2" s="4840" t="s">
        <v>5278</v>
      </c>
      <c r="DJ2" s="4840" t="s">
        <v>5279</v>
      </c>
      <c r="DL2" s="4840" t="s">
        <v>1252</v>
      </c>
      <c r="DN2" s="4840" t="s">
        <v>1252</v>
      </c>
      <c r="DP2" s="4851"/>
      <c r="DQ2" s="4851"/>
      <c r="DR2" s="4851"/>
      <c r="DS2" s="4851"/>
      <c r="DU2" s="4852" t="s">
        <v>5280</v>
      </c>
      <c r="DW2" s="4847" t="s">
        <v>174</v>
      </c>
      <c r="DY2" s="4847" t="s">
        <v>5281</v>
      </c>
      <c r="EA2" s="4840" t="s">
        <v>3807</v>
      </c>
      <c r="EC2" s="4840" t="s">
        <v>3222</v>
      </c>
      <c r="EE2" s="4847" t="s">
        <v>367</v>
      </c>
      <c r="EG2" s="4847"/>
      <c r="EI2" s="4842" t="s">
        <v>395</v>
      </c>
      <c r="EK2" s="4842" t="s">
        <v>5282</v>
      </c>
      <c r="EM2" s="4840" t="s">
        <v>373</v>
      </c>
      <c r="EO2" s="4853">
        <v>42886</v>
      </c>
      <c r="EQ2" s="4840" t="s">
        <v>5283</v>
      </c>
      <c r="ES2" s="4840" t="s">
        <v>5284</v>
      </c>
      <c r="ET2" s="4854"/>
      <c r="EU2" s="4840" t="s">
        <v>5285</v>
      </c>
      <c r="EW2" s="4840" t="s">
        <v>801</v>
      </c>
      <c r="EY2" s="4840" t="s">
        <v>5286</v>
      </c>
      <c r="FA2" s="4844">
        <v>5</v>
      </c>
      <c r="FC2" s="4840" t="s">
        <v>5287</v>
      </c>
      <c r="FE2" s="4840" t="s">
        <v>5288</v>
      </c>
      <c r="FG2" s="4840"/>
      <c r="FI2" s="4691" t="s">
        <v>5289</v>
      </c>
      <c r="FJ2" s="4691"/>
      <c r="FK2" s="4691" t="s">
        <v>5290</v>
      </c>
      <c r="FM2" s="4691" t="s">
        <v>269</v>
      </c>
      <c r="FN2" s="4691"/>
      <c r="FO2" s="4691" t="s">
        <v>5291</v>
      </c>
      <c r="FQ2" s="4691" t="s">
        <v>269</v>
      </c>
      <c r="FR2" s="4691"/>
      <c r="FS2" s="4696">
        <v>0.05</v>
      </c>
      <c r="FT2" s="4696"/>
      <c r="FU2" s="4691" t="s">
        <v>5292</v>
      </c>
      <c r="FW2" s="4855" t="s">
        <v>269</v>
      </c>
      <c r="FX2" s="4691"/>
      <c r="FY2" s="4855" t="s">
        <v>269</v>
      </c>
      <c r="GA2" s="4840" t="s">
        <v>5293</v>
      </c>
      <c r="GC2" s="4856" t="s">
        <v>5277</v>
      </c>
      <c r="GE2" s="4857" t="s">
        <v>398</v>
      </c>
      <c r="GF2" s="4858" t="s">
        <v>5294</v>
      </c>
      <c r="GH2" s="4842" t="s">
        <v>5271</v>
      </c>
      <c r="GJ2" s="4842" t="s">
        <v>5295</v>
      </c>
      <c r="GL2" s="4858" t="s">
        <v>254</v>
      </c>
      <c r="GN2" s="4859" t="s">
        <v>5295</v>
      </c>
      <c r="GP2" s="4860" t="s">
        <v>5296</v>
      </c>
      <c r="GQ2" s="4861" t="s">
        <v>5297</v>
      </c>
      <c r="GR2" s="4861" t="s">
        <v>5298</v>
      </c>
      <c r="GS2" s="4862" t="s">
        <v>5299</v>
      </c>
      <c r="GU2" s="4863" t="s">
        <v>864</v>
      </c>
      <c r="GV2" s="4863" t="s">
        <v>864</v>
      </c>
      <c r="GW2" s="4863" t="s">
        <v>864</v>
      </c>
      <c r="GY2" s="625" t="s">
        <v>991</v>
      </c>
      <c r="GZ2" s="625" t="s">
        <v>992</v>
      </c>
      <c r="HB2" s="4864"/>
      <c r="HD2" s="4864" t="s">
        <v>5300</v>
      </c>
    </row>
    <row r="3" ht="12.75" customHeight="1">
      <c r="A3" s="4856" t="s">
        <v>269</v>
      </c>
      <c r="C3" s="4865" t="s">
        <v>1214</v>
      </c>
      <c r="E3" s="4856" t="s">
        <v>5301</v>
      </c>
      <c r="G3" s="4856" t="s">
        <v>388</v>
      </c>
      <c r="I3" s="4856" t="s">
        <v>294</v>
      </c>
      <c r="K3" s="4856" t="s">
        <v>3634</v>
      </c>
      <c r="M3" s="4856" t="s">
        <v>3779</v>
      </c>
      <c r="O3" s="4856" t="s">
        <v>5302</v>
      </c>
      <c r="Q3" s="4866" t="s">
        <v>5303</v>
      </c>
      <c r="S3" s="4866" t="s">
        <v>380</v>
      </c>
      <c r="U3" s="4856" t="s">
        <v>393</v>
      </c>
      <c r="W3" s="4866" t="s">
        <v>384</v>
      </c>
      <c r="Y3" s="4866" t="s">
        <v>3772</v>
      </c>
      <c r="AA3" s="4866" t="s">
        <v>294</v>
      </c>
      <c r="AC3" s="4856" t="s">
        <v>174</v>
      </c>
      <c r="AE3" s="4866" t="s">
        <v>202</v>
      </c>
      <c r="AG3" s="4866" t="s">
        <v>3773</v>
      </c>
      <c r="AI3" s="4856" t="s">
        <v>5304</v>
      </c>
      <c r="AK3" s="4856" t="s">
        <v>5305</v>
      </c>
      <c r="AM3" s="4856">
        <v>3</v>
      </c>
      <c r="AN3" s="4856" t="s">
        <v>873</v>
      </c>
      <c r="AP3" s="4856">
        <v>2</v>
      </c>
      <c r="AR3" s="4856" t="s">
        <v>4605</v>
      </c>
      <c r="AT3" s="4867" t="s">
        <v>3772</v>
      </c>
      <c r="AV3" s="4867" t="s">
        <v>5306</v>
      </c>
      <c r="AX3" s="4868" t="s">
        <v>3478</v>
      </c>
      <c r="AZ3" s="4869" t="str">
        <f>HOps_YTD_or_TR</f>
        <v>TR-12 Statement (9/2022)</v>
      </c>
      <c r="BB3" s="4867" t="s">
        <v>1863</v>
      </c>
      <c r="BD3" s="4856" t="s">
        <v>5307</v>
      </c>
      <c r="BF3" s="4869" t="s">
        <v>5308</v>
      </c>
      <c r="BH3" s="4856" t="s">
        <v>5309</v>
      </c>
      <c r="BJ3" s="4856" t="s">
        <v>5310</v>
      </c>
      <c r="BL3" s="4866" t="str">
        <f>'Fannie Historical Ops'!B6</f>
        <v>Less Vacancy Loss</v>
      </c>
      <c r="BN3" s="4856" t="s">
        <v>5311</v>
      </c>
      <c r="BP3" s="4867" t="s">
        <v>393</v>
      </c>
      <c r="BR3" s="4856" t="s">
        <v>5312</v>
      </c>
      <c r="BT3" s="4867" t="s">
        <v>5313</v>
      </c>
      <c r="BX3" s="620" t="s">
        <v>3760</v>
      </c>
      <c r="BY3" s="4856" t="str">
        <f t="shared" si="0"/>
        <v>Enhanced Standard</v>
      </c>
      <c r="CA3" s="4856" t="s">
        <v>873</v>
      </c>
      <c r="CC3" s="4867" t="s">
        <v>5314</v>
      </c>
      <c r="CE3" s="4856" t="s">
        <v>2651</v>
      </c>
      <c r="CI3" s="4866" t="s">
        <v>3166</v>
      </c>
      <c r="CK3" s="4870" t="s">
        <v>5315</v>
      </c>
      <c r="CM3" s="4871" t="s">
        <v>5316</v>
      </c>
      <c r="CN3" s="4872">
        <v>3012155589</v>
      </c>
      <c r="CP3" s="4856" t="s">
        <v>5317</v>
      </c>
      <c r="CR3" s="4856" t="s">
        <v>388</v>
      </c>
      <c r="CT3" s="4856" t="s">
        <v>5318</v>
      </c>
      <c r="CV3" s="4856" t="s">
        <v>3766</v>
      </c>
      <c r="CX3" s="4856" t="s">
        <v>5319</v>
      </c>
      <c r="CZ3" s="4856" t="s">
        <v>5320</v>
      </c>
      <c r="DB3" s="4856" t="s">
        <v>3789</v>
      </c>
      <c r="DD3" s="4867" t="s">
        <v>3752</v>
      </c>
      <c r="DF3" s="4873" t="s">
        <v>5321</v>
      </c>
      <c r="DH3" s="4867" t="s">
        <v>3752</v>
      </c>
      <c r="DJ3" s="4867" t="s">
        <v>5322</v>
      </c>
      <c r="DL3" s="4856" t="s">
        <v>5323</v>
      </c>
      <c r="DN3" s="4856" t="s">
        <v>5324</v>
      </c>
      <c r="DP3" s="4851"/>
      <c r="DQ3" s="4851"/>
      <c r="DR3" s="4851"/>
      <c r="DS3" s="4851"/>
      <c r="DU3" s="883" t="s">
        <v>5325</v>
      </c>
      <c r="DW3" s="4870">
        <v>2</v>
      </c>
      <c r="DY3" s="4870" t="s">
        <v>5326</v>
      </c>
      <c r="EA3" s="4867" t="s">
        <v>393</v>
      </c>
      <c r="EC3" s="4856" t="s">
        <v>3223</v>
      </c>
      <c r="EE3" s="4870">
        <v>1</v>
      </c>
      <c r="EG3" s="1944" t="s">
        <v>5327</v>
      </c>
      <c r="EI3" s="4866" t="s">
        <v>3750</v>
      </c>
      <c r="EK3" s="4866" t="s">
        <v>5328</v>
      </c>
      <c r="EM3" s="4856" t="s">
        <v>5329</v>
      </c>
      <c r="EO3" s="4874">
        <f t="shared" si="1" ref="EO3:EO25">DATE(IF(MONTH(EO2)=12,YEAR(EO2)+1,YEAR(EO2)),IF(MONTH(EO2)=12,1,MONTH(EO2)+1),1)</f>
        <v>42887</v>
      </c>
      <c r="EQ3" s="4856" t="s">
        <v>5330</v>
      </c>
      <c r="ES3" s="4856" t="s">
        <v>5331</v>
      </c>
      <c r="ET3" s="4854"/>
      <c r="EU3" s="4856" t="s">
        <v>5332</v>
      </c>
      <c r="EW3" s="4856" t="s">
        <v>5333</v>
      </c>
      <c r="EY3" s="4856" t="s">
        <v>5334</v>
      </c>
      <c r="FA3" s="4869">
        <v>4</v>
      </c>
      <c r="FC3" s="4856" t="s">
        <v>5335</v>
      </c>
      <c r="FE3" s="4856" t="s">
        <v>5336</v>
      </c>
      <c r="FG3" s="4856" t="s">
        <v>5337</v>
      </c>
      <c r="FI3" s="4691" t="s">
        <v>5338</v>
      </c>
      <c r="FJ3" s="4691"/>
      <c r="FK3" s="4691" t="s">
        <v>5271</v>
      </c>
      <c r="FM3" s="4691" t="s">
        <v>451</v>
      </c>
      <c r="FN3" s="4691"/>
      <c r="FO3" s="4691" t="s">
        <v>5339</v>
      </c>
      <c r="FQ3" s="4691" t="s">
        <v>451</v>
      </c>
      <c r="FR3" s="4691"/>
      <c r="FS3" s="4696">
        <v>1</v>
      </c>
      <c r="FT3" s="4696"/>
      <c r="FU3" s="4691" t="s">
        <v>5340</v>
      </c>
      <c r="FW3" s="4691" t="s">
        <v>451</v>
      </c>
      <c r="FX3" s="4691"/>
      <c r="FY3" s="4691" t="s">
        <v>451</v>
      </c>
      <c r="GA3" s="4856" t="s">
        <v>5341</v>
      </c>
      <c r="GC3" s="4856" t="s">
        <v>5316</v>
      </c>
      <c r="GE3" s="4875" t="s">
        <v>399</v>
      </c>
      <c r="GF3" s="4876" t="s">
        <v>5342</v>
      </c>
      <c r="GH3" s="4866" t="s">
        <v>5307</v>
      </c>
      <c r="GJ3" s="4866" t="s">
        <v>5343</v>
      </c>
      <c r="GL3" s="4876" t="s">
        <v>5344</v>
      </c>
      <c r="GN3" s="4859" t="s">
        <v>5343</v>
      </c>
      <c r="GP3" s="4860" t="s">
        <v>5345</v>
      </c>
      <c r="GQ3" s="4861" t="s">
        <v>5346</v>
      </c>
      <c r="GR3" s="4861" t="s">
        <v>5347</v>
      </c>
      <c r="GS3" s="4862" t="s">
        <v>5348</v>
      </c>
      <c r="GU3" s="4859">
        <v>1</v>
      </c>
      <c r="GV3" s="4859">
        <v>1</v>
      </c>
      <c r="GW3" s="4859">
        <v>1</v>
      </c>
      <c r="GY3" s="625" t="s">
        <v>5349</v>
      </c>
      <c r="GZ3" s="625" t="s">
        <v>228</v>
      </c>
      <c r="HB3" s="4877" t="s">
        <v>1395</v>
      </c>
      <c r="HD3" s="4877" t="s">
        <v>5350</v>
      </c>
      <c r="HF3" s="4878" t="s">
        <v>5351</v>
      </c>
      <c r="HH3" s="4834" t="s">
        <v>5352</v>
      </c>
    </row>
    <row r="4" ht="12.75" customHeight="1">
      <c r="A4" s="4856" t="s">
        <v>451</v>
      </c>
      <c r="C4" s="4879" t="s">
        <v>5353</v>
      </c>
      <c r="E4" s="4856" t="s">
        <v>5354</v>
      </c>
      <c r="G4" s="4856" t="s">
        <v>4598</v>
      </c>
      <c r="I4" s="4867" t="s">
        <v>5353</v>
      </c>
      <c r="K4" s="4867" t="s">
        <v>3902</v>
      </c>
      <c r="M4" s="4856" t="s">
        <v>5355</v>
      </c>
      <c r="O4" s="4856" t="s">
        <v>5356</v>
      </c>
      <c r="Q4" s="4866" t="s">
        <v>5357</v>
      </c>
      <c r="S4" s="4866" t="s">
        <v>5358</v>
      </c>
      <c r="U4" s="4867" t="s">
        <v>5359</v>
      </c>
      <c r="W4" s="4866" t="s">
        <v>5360</v>
      </c>
      <c r="Y4" s="4866" t="s">
        <v>388</v>
      </c>
      <c r="AA4" s="4880" t="s">
        <v>293</v>
      </c>
      <c r="AC4" s="4856" t="s">
        <v>3915</v>
      </c>
      <c r="AE4" s="4866" t="s">
        <v>3766</v>
      </c>
      <c r="AG4" s="4866" t="s">
        <v>3774</v>
      </c>
      <c r="AI4" s="4867" t="s">
        <v>5361</v>
      </c>
      <c r="AK4" s="4856" t="s">
        <v>5362</v>
      </c>
      <c r="AM4" s="4867">
        <v>4</v>
      </c>
      <c r="AN4" s="4867" t="s">
        <v>867</v>
      </c>
      <c r="AP4" s="4867">
        <v>3</v>
      </c>
      <c r="AR4" s="4856" t="s">
        <v>3768</v>
      </c>
      <c r="AX4" s="4868" t="s">
        <v>3479</v>
      </c>
      <c r="AZ4" s="4881" t="s">
        <v>1870</v>
      </c>
      <c r="BD4" s="4867" t="s">
        <v>5363</v>
      </c>
      <c r="BF4" s="4869" t="s">
        <v>3779</v>
      </c>
      <c r="BH4" s="4867" t="s">
        <v>5364</v>
      </c>
      <c r="BJ4" s="4867" t="s">
        <v>5365</v>
      </c>
      <c r="BL4" s="4866" t="str">
        <f>'Fannie Historical Ops'!B7</f>
        <v>Less Bad Debt</v>
      </c>
      <c r="BN4" s="4867" t="s">
        <v>5366</v>
      </c>
      <c r="BR4" s="4867" t="s">
        <v>5367</v>
      </c>
      <c r="BX4" s="4882" t="s">
        <v>5368</v>
      </c>
      <c r="BY4" s="4883" t="s">
        <v>3761</v>
      </c>
      <c r="CA4" s="4867" t="s">
        <v>1247</v>
      </c>
      <c r="CE4" s="4856" t="s">
        <v>5368</v>
      </c>
      <c r="CI4" s="4866" t="s">
        <v>3181</v>
      </c>
      <c r="CK4" s="4870" t="s">
        <v>5369</v>
      </c>
      <c r="CM4" s="4871" t="s">
        <v>5370</v>
      </c>
      <c r="CN4" s="4872">
        <v>3124282528</v>
      </c>
      <c r="CP4" s="4867" t="s">
        <v>5371</v>
      </c>
      <c r="CR4" s="4856" t="s">
        <v>5372</v>
      </c>
      <c r="CT4" s="4867" t="s">
        <v>5373</v>
      </c>
      <c r="CV4" s="4856" t="s">
        <v>3767</v>
      </c>
      <c r="CX4" s="4856" t="s">
        <v>5374</v>
      </c>
      <c r="CZ4" s="4856" t="s">
        <v>5375</v>
      </c>
      <c r="DB4" s="4856" t="s">
        <v>5301</v>
      </c>
      <c r="DF4" s="4884" t="s">
        <v>5376</v>
      </c>
      <c r="DH4" s="1159"/>
      <c r="DL4" s="4856" t="s">
        <v>5377</v>
      </c>
      <c r="DN4" s="4856" t="s">
        <v>5378</v>
      </c>
      <c r="DP4" s="4851"/>
      <c r="DQ4" s="4851"/>
      <c r="DR4" s="4851"/>
      <c r="DS4" s="4851"/>
      <c r="DW4" s="4870">
        <v>3</v>
      </c>
      <c r="DY4" s="4870" t="s">
        <v>5379</v>
      </c>
      <c r="EC4" s="4856" t="s">
        <v>3224</v>
      </c>
      <c r="EE4" s="4870">
        <v>2</v>
      </c>
      <c r="EG4" s="1159"/>
      <c r="EI4" s="4866" t="s">
        <v>3751</v>
      </c>
      <c r="EK4" s="4880" t="s">
        <v>5380</v>
      </c>
      <c r="EM4" s="4867" t="s">
        <v>5381</v>
      </c>
      <c r="EO4" s="4874">
        <f t="shared" si="1"/>
        <v>42917</v>
      </c>
      <c r="EQ4" s="4856" t="s">
        <v>5382</v>
      </c>
      <c r="ES4" s="4856" t="s">
        <v>5383</v>
      </c>
      <c r="ET4" s="4854"/>
      <c r="EU4" s="4856" t="s">
        <v>5384</v>
      </c>
      <c r="EW4" s="4856" t="s">
        <v>5385</v>
      </c>
      <c r="EY4" s="4856" t="s">
        <v>5386</v>
      </c>
      <c r="FA4" s="4869">
        <v>3</v>
      </c>
      <c r="FC4" s="4856" t="s">
        <v>5387</v>
      </c>
      <c r="FE4" s="4867" t="s">
        <v>5388</v>
      </c>
      <c r="FG4" s="4856" t="s">
        <v>5389</v>
      </c>
      <c r="FI4" s="4691" t="s">
        <v>5390</v>
      </c>
      <c r="FJ4" s="4691"/>
      <c r="FK4" s="4691"/>
      <c r="FM4" s="4691"/>
      <c r="FN4" s="4691"/>
      <c r="FO4" s="4691" t="s">
        <v>5391</v>
      </c>
      <c r="FQ4" s="4691"/>
      <c r="FR4" s="4691"/>
      <c r="FS4" s="4696">
        <v>1.01</v>
      </c>
      <c r="FT4" s="4696"/>
      <c r="FU4" s="4691" t="s">
        <v>5392</v>
      </c>
      <c r="FW4" s="4691"/>
      <c r="FX4" s="4691"/>
      <c r="FY4" s="4691"/>
      <c r="GA4" s="4856" t="s">
        <v>5393</v>
      </c>
      <c r="GC4" s="4856" t="s">
        <v>5394</v>
      </c>
      <c r="GE4" s="4875" t="s">
        <v>400</v>
      </c>
      <c r="GF4" s="4876" t="s">
        <v>5395</v>
      </c>
      <c r="GH4" s="4880" t="s">
        <v>5396</v>
      </c>
      <c r="GJ4" s="4866" t="s">
        <v>5397</v>
      </c>
      <c r="GL4" s="4885" t="s">
        <v>5398</v>
      </c>
      <c r="GN4" s="4859" t="s">
        <v>5399</v>
      </c>
      <c r="GP4" s="4860" t="s">
        <v>5400</v>
      </c>
      <c r="GQ4" s="4861" t="s">
        <v>5401</v>
      </c>
      <c r="GR4" s="4861" t="s">
        <v>5402</v>
      </c>
      <c r="GS4" s="4862" t="s">
        <v>5403</v>
      </c>
      <c r="GU4" s="4859">
        <v>2</v>
      </c>
      <c r="GV4" s="4859">
        <v>2</v>
      </c>
      <c r="GW4" s="4859">
        <v>2</v>
      </c>
      <c r="GY4" s="625" t="s">
        <v>5404</v>
      </c>
      <c r="GZ4" s="625" t="s">
        <v>1256</v>
      </c>
      <c r="HB4" s="4877" t="s">
        <v>1884</v>
      </c>
      <c r="HD4" s="4877" t="s">
        <v>560</v>
      </c>
      <c r="HF4" s="4886" t="s">
        <v>5405</v>
      </c>
      <c r="HH4" s="4887" t="s">
        <v>5406</v>
      </c>
    </row>
    <row r="5" ht="12.75" customHeight="1">
      <c r="A5" s="4867" t="s">
        <v>257</v>
      </c>
      <c r="E5" s="4867" t="s">
        <v>5407</v>
      </c>
      <c r="G5" s="4856" t="s">
        <v>4601</v>
      </c>
      <c r="M5" s="4856" t="s">
        <v>5408</v>
      </c>
      <c r="O5" s="4867" t="s">
        <v>5409</v>
      </c>
      <c r="Q5" s="4880" t="s">
        <v>5410</v>
      </c>
      <c r="S5" s="4866" t="s">
        <v>5411</v>
      </c>
      <c r="W5" s="4866" t="s">
        <v>5412</v>
      </c>
      <c r="Y5" s="4866" t="s">
        <v>5413</v>
      </c>
      <c r="AC5" s="4867" t="s">
        <v>5414</v>
      </c>
      <c r="AE5" s="4866" t="s">
        <v>3769</v>
      </c>
      <c r="AG5" s="4866" t="s">
        <v>3775</v>
      </c>
      <c r="AK5" s="4856" t="s">
        <v>5415</v>
      </c>
      <c r="AR5" s="4856" t="s">
        <v>5416</v>
      </c>
      <c r="AX5" s="4868" t="s">
        <v>3480</v>
      </c>
      <c r="AZ5" s="615"/>
      <c r="BF5" s="4881" t="s">
        <v>3768</v>
      </c>
      <c r="BL5" s="4866" t="str">
        <f>'Fannie Historical Ops'!B8</f>
        <v>Less Concessions</v>
      </c>
      <c r="BX5" s="4882" t="s">
        <v>5417</v>
      </c>
      <c r="BY5" s="4883" t="s">
        <v>5418</v>
      </c>
      <c r="CE5" s="4888" t="s">
        <v>5417</v>
      </c>
      <c r="CI5" s="4866" t="s">
        <v>3173</v>
      </c>
      <c r="CK5" s="4870" t="s">
        <v>5419</v>
      </c>
      <c r="CM5" s="4871" t="s">
        <v>5394</v>
      </c>
      <c r="CN5" s="4872">
        <v>3012023222</v>
      </c>
      <c r="CR5" s="4856" t="s">
        <v>5420</v>
      </c>
      <c r="CV5" s="4856" t="s">
        <v>5421</v>
      </c>
      <c r="CX5" s="4856" t="s">
        <v>5422</v>
      </c>
      <c r="CZ5" s="4867" t="s">
        <v>5423</v>
      </c>
      <c r="DB5" s="4867" t="s">
        <v>5424</v>
      </c>
      <c r="DH5" s="1159"/>
      <c r="DL5" s="4867" t="s">
        <v>5425</v>
      </c>
      <c r="DN5" s="4856" t="s">
        <v>5426</v>
      </c>
      <c r="DW5" s="1944">
        <v>4</v>
      </c>
      <c r="DY5" s="4870" t="s">
        <v>5427</v>
      </c>
      <c r="EC5" s="4856" t="s">
        <v>3225</v>
      </c>
      <c r="EE5" s="4870">
        <v>3</v>
      </c>
      <c r="EG5" s="1159"/>
      <c r="EI5" s="4866" t="s">
        <v>3752</v>
      </c>
      <c r="EO5" s="4874">
        <f t="shared" si="1"/>
        <v>42948</v>
      </c>
      <c r="EQ5" s="4856" t="s">
        <v>5428</v>
      </c>
      <c r="ES5" s="4856" t="s">
        <v>5429</v>
      </c>
      <c r="ET5" s="4854"/>
      <c r="EU5" s="4856" t="s">
        <v>5430</v>
      </c>
      <c r="EW5" s="4856" t="s">
        <v>3752</v>
      </c>
      <c r="EY5" s="4856" t="s">
        <v>5431</v>
      </c>
      <c r="FA5" s="4881" t="s">
        <v>5432</v>
      </c>
      <c r="FC5" s="4856" t="s">
        <v>5433</v>
      </c>
      <c r="FG5" s="4856" t="s">
        <v>5434</v>
      </c>
      <c r="FI5" s="4691" t="s">
        <v>5435</v>
      </c>
      <c r="FJ5" s="4691"/>
      <c r="FK5" s="4691"/>
      <c r="FM5" s="4691"/>
      <c r="FN5" s="4691"/>
      <c r="FO5" s="4691" t="s">
        <v>5436</v>
      </c>
      <c r="FQ5" s="4691"/>
      <c r="FR5" s="4691"/>
      <c r="FS5" s="4696">
        <v>1.1</v>
      </c>
      <c r="FT5" s="4696"/>
      <c r="FU5" s="4691" t="s">
        <v>5437</v>
      </c>
      <c r="GA5" s="4889" t="s">
        <v>5438</v>
      </c>
      <c r="GC5" s="4856" t="s">
        <v>5370</v>
      </c>
      <c r="GE5" s="4875" t="s">
        <v>5439</v>
      </c>
      <c r="GF5" s="4876" t="s">
        <v>5440</v>
      </c>
      <c r="GJ5" s="4866" t="s">
        <v>5441</v>
      </c>
      <c r="GN5" s="4859" t="s">
        <v>5442</v>
      </c>
      <c r="GP5" s="4860" t="s">
        <v>5443</v>
      </c>
      <c r="GQ5" s="4861" t="s">
        <v>5444</v>
      </c>
      <c r="GR5" s="4861" t="s">
        <v>5445</v>
      </c>
      <c r="GS5" s="4862" t="s">
        <v>5446</v>
      </c>
      <c r="GU5" s="4859">
        <v>3</v>
      </c>
      <c r="GV5" s="4859">
        <v>3</v>
      </c>
      <c r="GW5" s="4859">
        <v>3</v>
      </c>
      <c r="GY5" s="625" t="s">
        <v>5447</v>
      </c>
      <c r="GZ5" s="625" t="s">
        <v>5448</v>
      </c>
      <c r="HB5" s="4877" t="s">
        <v>1885</v>
      </c>
      <c r="HD5" s="4877" t="s">
        <v>533</v>
      </c>
      <c r="HF5" s="4890" t="s">
        <v>840</v>
      </c>
      <c r="HH5" s="4886" t="s">
        <v>5449</v>
      </c>
    </row>
    <row r="6" ht="12.75" customHeight="1">
      <c r="G6" s="4856" t="s">
        <v>4602</v>
      </c>
      <c r="M6" s="4867" t="s">
        <v>236</v>
      </c>
      <c r="S6" s="4866" t="s">
        <v>5450</v>
      </c>
      <c r="W6" s="4866" t="s">
        <v>5451</v>
      </c>
      <c r="Y6" s="4866" t="s">
        <v>5452</v>
      </c>
      <c r="AE6" s="4866" t="s">
        <v>3767</v>
      </c>
      <c r="AG6" s="4866" t="s">
        <v>4600</v>
      </c>
      <c r="AK6" s="4856" t="s">
        <v>5453</v>
      </c>
      <c r="AR6" s="4856" t="s">
        <v>5454</v>
      </c>
      <c r="AX6" s="4868" t="s">
        <v>3481</v>
      </c>
      <c r="AZ6" s="615"/>
      <c r="BF6" s="4844" t="s">
        <v>1406</v>
      </c>
      <c r="BL6" s="4866" t="str">
        <f>'Fannie Historical Ops'!B12</f>
        <v>Laundry/Vending Income (Net)</v>
      </c>
      <c r="BX6" s="620" t="s">
        <v>5273</v>
      </c>
      <c r="BY6" s="4856" t="s">
        <v>5455</v>
      </c>
      <c r="CI6" s="4866" t="s">
        <v>2581</v>
      </c>
      <c r="CK6" s="1944" t="s">
        <v>5456</v>
      </c>
      <c r="CM6" s="4871" t="s">
        <v>5457</v>
      </c>
      <c r="CN6" s="4872">
        <v>6782561426</v>
      </c>
      <c r="CR6" s="4856" t="s">
        <v>5458</v>
      </c>
      <c r="CV6" s="4856" t="s">
        <v>3768</v>
      </c>
      <c r="CX6" s="4856" t="s">
        <v>5459</v>
      </c>
      <c r="DH6" s="1159"/>
      <c r="DN6" s="4867" t="s">
        <v>5460</v>
      </c>
      <c r="DY6" s="1944" t="s">
        <v>5461</v>
      </c>
      <c r="EC6" s="4856" t="s">
        <v>3226</v>
      </c>
      <c r="EE6" s="4870">
        <v>4</v>
      </c>
      <c r="EG6" s="1159"/>
      <c r="EI6" s="4866" t="s">
        <v>3753</v>
      </c>
      <c r="EO6" s="4874">
        <f t="shared" si="1"/>
        <v>42979</v>
      </c>
      <c r="EQ6" s="4856" t="s">
        <v>5462</v>
      </c>
      <c r="ES6" s="4856" t="s">
        <v>5463</v>
      </c>
      <c r="ET6" s="4854"/>
      <c r="EU6" s="4856" t="s">
        <v>5464</v>
      </c>
      <c r="EW6" s="4856" t="s">
        <v>5465</v>
      </c>
      <c r="EY6" s="4856" t="s">
        <v>5466</v>
      </c>
      <c r="FC6" s="4856" t="s">
        <v>5467</v>
      </c>
      <c r="FG6" s="4856" t="s">
        <v>236</v>
      </c>
      <c r="FI6" s="4691" t="s">
        <v>236</v>
      </c>
      <c r="FJ6" s="4691"/>
      <c r="FK6" s="4691"/>
      <c r="FM6" s="4691"/>
      <c r="FN6" s="4691"/>
      <c r="FO6" s="4691" t="s">
        <v>5468</v>
      </c>
      <c r="FQ6" s="4691"/>
      <c r="FR6" s="4691"/>
      <c r="FS6" s="4696">
        <v>1.2</v>
      </c>
      <c r="FT6" s="4696"/>
      <c r="FU6" s="4691" t="s">
        <v>5469</v>
      </c>
      <c r="GA6" s="4889" t="s">
        <v>5470</v>
      </c>
      <c r="GC6" s="4856" t="s">
        <v>5471</v>
      </c>
      <c r="GE6" s="4875" t="s">
        <v>5439</v>
      </c>
      <c r="GF6" s="4876" t="s">
        <v>5472</v>
      </c>
      <c r="GJ6" s="4866" t="s">
        <v>5473</v>
      </c>
      <c r="GN6" s="4859" t="s">
        <v>5474</v>
      </c>
      <c r="GP6" s="4860" t="s">
        <v>5475</v>
      </c>
      <c r="GQ6" s="4861" t="s">
        <v>5476</v>
      </c>
      <c r="GR6" s="4861" t="s">
        <v>5477</v>
      </c>
      <c r="GS6" s="4862" t="s">
        <v>5478</v>
      </c>
      <c r="GU6" s="4859">
        <v>4</v>
      </c>
      <c r="GV6" s="4859">
        <v>4</v>
      </c>
      <c r="GW6" s="4859">
        <v>4</v>
      </c>
      <c r="GY6" s="625" t="s">
        <v>5479</v>
      </c>
      <c r="GZ6" s="625" t="s">
        <v>5480</v>
      </c>
      <c r="HB6" s="4877" t="s">
        <v>3006</v>
      </c>
      <c r="HD6" s="4877" t="s">
        <v>534</v>
      </c>
      <c r="HH6" s="4886" t="s">
        <v>5481</v>
      </c>
    </row>
    <row r="7" ht="12.75" customHeight="1">
      <c r="C7" s="626"/>
      <c r="G7" s="4856" t="s">
        <v>4603</v>
      </c>
      <c r="S7" s="4866" t="s">
        <v>5301</v>
      </c>
      <c r="W7" s="4880" t="s">
        <v>5482</v>
      </c>
      <c r="Y7" s="4866" t="s">
        <v>4602</v>
      </c>
      <c r="AE7" s="4866" t="s">
        <v>3768</v>
      </c>
      <c r="AG7" s="4866" t="s">
        <v>3776</v>
      </c>
      <c r="AK7" s="4856" t="s">
        <v>5483</v>
      </c>
      <c r="AR7" s="4867" t="s">
        <v>5327</v>
      </c>
      <c r="AX7" s="4868" t="s">
        <v>3482</v>
      </c>
      <c r="BF7" s="4869" t="s">
        <v>5484</v>
      </c>
      <c r="BL7" s="4866" t="str">
        <f>'Fannie Historical Ops'!B13</f>
        <v>Parking Income (Net)</v>
      </c>
      <c r="BX7" s="620" t="s">
        <v>5312</v>
      </c>
      <c r="BY7" s="4856" t="s">
        <v>5485</v>
      </c>
      <c r="CI7" s="4866" t="s">
        <v>2595</v>
      </c>
      <c r="CK7" s="1159"/>
      <c r="CM7" s="4871" t="s">
        <v>5486</v>
      </c>
      <c r="CN7" s="4872">
        <v>3012155527</v>
      </c>
      <c r="CR7" s="4867" t="s">
        <v>4598</v>
      </c>
      <c r="CV7" s="4867" t="s">
        <v>5308</v>
      </c>
      <c r="CX7" s="4867" t="s">
        <v>5487</v>
      </c>
      <c r="DH7" s="1159"/>
      <c r="EC7" s="4856" t="s">
        <v>3227</v>
      </c>
      <c r="EE7" s="1944">
        <v>5</v>
      </c>
      <c r="EG7" s="1159"/>
      <c r="EI7" s="4866" t="s">
        <v>3754</v>
      </c>
      <c r="EO7" s="4874">
        <f t="shared" si="1"/>
        <v>43009</v>
      </c>
      <c r="EQ7" s="4856" t="s">
        <v>5488</v>
      </c>
      <c r="ES7" s="4856" t="s">
        <v>5489</v>
      </c>
      <c r="ET7" s="4854"/>
      <c r="EU7" s="4856" t="s">
        <v>5490</v>
      </c>
      <c r="EW7" s="4856" t="s">
        <v>5491</v>
      </c>
      <c r="EY7" s="4856" t="s">
        <v>5492</v>
      </c>
      <c r="FC7" s="4856" t="s">
        <v>3766</v>
      </c>
      <c r="FG7" s="4867" t="s">
        <v>5493</v>
      </c>
      <c r="FM7" s="4691"/>
      <c r="FN7" s="4691"/>
      <c r="FO7" s="4691" t="s">
        <v>5494</v>
      </c>
      <c r="FQ7" s="4691"/>
      <c r="FR7" s="4691"/>
      <c r="FS7" s="4696">
        <v>2</v>
      </c>
      <c r="FT7" s="4696"/>
      <c r="FU7" s="4691" t="s">
        <v>5495</v>
      </c>
      <c r="GA7" s="4891" t="s">
        <v>5496</v>
      </c>
      <c r="GC7" s="4856" t="s">
        <v>5457</v>
      </c>
      <c r="GE7" s="4875" t="s">
        <v>398</v>
      </c>
      <c r="GF7" s="4876" t="s">
        <v>5472</v>
      </c>
      <c r="GJ7" s="4866" t="s">
        <v>5497</v>
      </c>
      <c r="GN7" s="4892" t="s">
        <v>1055</v>
      </c>
      <c r="GP7" s="4860" t="s">
        <v>5498</v>
      </c>
      <c r="GQ7" s="4861" t="s">
        <v>5499</v>
      </c>
      <c r="GR7" s="4861" t="s">
        <v>5500</v>
      </c>
      <c r="GS7" s="4862" t="s">
        <v>5501</v>
      </c>
      <c r="GU7" s="4859">
        <v>5</v>
      </c>
      <c r="GV7" s="4859">
        <v>5</v>
      </c>
      <c r="GW7" s="4859">
        <v>5</v>
      </c>
      <c r="GY7" s="625" t="s">
        <v>5502</v>
      </c>
      <c r="GZ7" s="625" t="s">
        <v>5503</v>
      </c>
      <c r="HB7" s="4877" t="s">
        <v>5504</v>
      </c>
      <c r="HD7" s="4877" t="s">
        <v>535</v>
      </c>
      <c r="HF7" s="4878" t="s">
        <v>5505</v>
      </c>
      <c r="HH7" s="4886" t="s">
        <v>5506</v>
      </c>
    </row>
    <row r="8" ht="12.75" customHeight="1">
      <c r="C8" s="626"/>
      <c r="G8" s="4856" t="s">
        <v>4606</v>
      </c>
      <c r="S8" s="4880" t="s">
        <v>5407</v>
      </c>
      <c r="Y8" s="4880" t="s">
        <v>4603</v>
      </c>
      <c r="AE8" s="4880" t="s">
        <v>4605</v>
      </c>
      <c r="AG8" s="4880" t="s">
        <v>236</v>
      </c>
      <c r="AK8" s="4856" t="s">
        <v>5507</v>
      </c>
      <c r="AR8" s="4856" t="s">
        <v>3766</v>
      </c>
      <c r="AX8" s="4868" t="s">
        <v>3483</v>
      </c>
      <c r="BF8" s="4881" t="s">
        <v>5313</v>
      </c>
      <c r="BL8" s="4866" t="str">
        <f>'Fannie Historical Ops'!B14</f>
        <v>Commercial Income (Net)</v>
      </c>
      <c r="BX8" s="4893" t="s">
        <v>5508</v>
      </c>
      <c r="BY8" s="4867" t="s">
        <v>5485</v>
      </c>
      <c r="CI8" s="4866" t="s">
        <v>2600</v>
      </c>
      <c r="CK8" s="1159"/>
      <c r="CM8" s="4871" t="s">
        <v>5509</v>
      </c>
      <c r="CN8" s="4872">
        <v>7817079340</v>
      </c>
      <c r="EC8" s="4856" t="s">
        <v>3228</v>
      </c>
      <c r="EE8" s="1159"/>
      <c r="EG8" s="1159"/>
      <c r="EI8" s="4866" t="s">
        <v>3755</v>
      </c>
      <c r="EO8" s="4874">
        <f t="shared" si="1"/>
        <v>43040</v>
      </c>
      <c r="EQ8" s="4856" t="s">
        <v>5510</v>
      </c>
      <c r="ES8" s="4856" t="s">
        <v>5511</v>
      </c>
      <c r="ET8" s="4854"/>
      <c r="EU8" s="4856" t="s">
        <v>5512</v>
      </c>
      <c r="EW8" s="4856" t="s">
        <v>5513</v>
      </c>
      <c r="EY8" s="4856" t="s">
        <v>5514</v>
      </c>
      <c r="FC8" s="4856" t="s">
        <v>5515</v>
      </c>
      <c r="FM8" s="4691"/>
      <c r="FN8" s="4691"/>
      <c r="FO8" s="4691" t="s">
        <v>5516</v>
      </c>
      <c r="FQ8" s="4691"/>
      <c r="FR8" s="4691"/>
      <c r="FS8" s="4696">
        <v>3</v>
      </c>
      <c r="FT8" s="4696"/>
      <c r="FU8" s="4691" t="s">
        <v>5517</v>
      </c>
      <c r="GC8" s="4856" t="s">
        <v>5486</v>
      </c>
      <c r="GE8" s="4875" t="s">
        <v>399</v>
      </c>
      <c r="GF8" s="4876" t="s">
        <v>5472</v>
      </c>
      <c r="GJ8" s="4866" t="s">
        <v>5518</v>
      </c>
      <c r="GP8" s="4894" t="s">
        <v>5519</v>
      </c>
      <c r="GQ8" s="4895" t="s">
        <v>5520</v>
      </c>
      <c r="GR8" s="4895" t="s">
        <v>5521</v>
      </c>
      <c r="GS8" s="4896" t="s">
        <v>5522</v>
      </c>
      <c r="GU8" s="4859">
        <v>6</v>
      </c>
      <c r="GV8" s="4859">
        <v>6</v>
      </c>
      <c r="GW8" s="4859">
        <v>6</v>
      </c>
      <c r="GY8" s="625" t="s">
        <v>5523</v>
      </c>
      <c r="GZ8" s="625" t="s">
        <v>5524</v>
      </c>
      <c r="HB8" s="4877"/>
      <c r="HD8" s="4877" t="s">
        <v>558</v>
      </c>
      <c r="HF8" s="4886" t="s">
        <v>293</v>
      </c>
      <c r="HH8" s="4886" t="s">
        <v>5525</v>
      </c>
    </row>
    <row r="9" ht="12.75" customHeight="1">
      <c r="G9" s="4867" t="s">
        <v>4607</v>
      </c>
      <c r="AK9" s="4856" t="s">
        <v>5526</v>
      </c>
      <c r="AX9" s="4897" t="s">
        <v>3484</v>
      </c>
      <c r="BL9" s="4866" t="str">
        <f>'Fannie Historical Ops'!B16</f>
        <v>RUBS</v>
      </c>
      <c r="CI9" s="4866" t="s">
        <v>2609</v>
      </c>
      <c r="CK9" s="1159"/>
      <c r="CM9" s="4898" t="s">
        <v>5527</v>
      </c>
      <c r="CN9" s="4899">
        <v>7817079361</v>
      </c>
      <c r="EC9" s="4856" t="s">
        <v>3229</v>
      </c>
      <c r="EG9" s="1159"/>
      <c r="EI9" s="4880" t="s">
        <v>3756</v>
      </c>
      <c r="EO9" s="4874">
        <f t="shared" si="1"/>
        <v>43070</v>
      </c>
      <c r="EQ9" s="4856" t="s">
        <v>5528</v>
      </c>
      <c r="ES9" s="4856" t="s">
        <v>5529</v>
      </c>
      <c r="ET9" s="4854"/>
      <c r="EU9" s="4856" t="s">
        <v>5530</v>
      </c>
      <c r="EW9" s="4867" t="s">
        <v>5531</v>
      </c>
      <c r="EY9" s="4856" t="s">
        <v>5532</v>
      </c>
      <c r="FC9" s="4856" t="s">
        <v>5533</v>
      </c>
      <c r="FM9" s="4691"/>
      <c r="FN9" s="4691"/>
      <c r="FO9" s="4691" t="s">
        <v>5534</v>
      </c>
      <c r="FQ9" s="4691"/>
      <c r="FR9" s="4691"/>
      <c r="FS9" s="4696">
        <v>3.1</v>
      </c>
      <c r="FT9" s="4696"/>
      <c r="FU9" s="4691" t="s">
        <v>5535</v>
      </c>
      <c r="GC9" s="4856" t="s">
        <v>5536</v>
      </c>
      <c r="GE9" s="4875" t="s">
        <v>400</v>
      </c>
      <c r="GF9" s="4876" t="s">
        <v>5472</v>
      </c>
      <c r="GG9" s="4900"/>
      <c r="GJ9" s="4866" t="s">
        <v>5442</v>
      </c>
      <c r="GP9" s="4860" t="s">
        <v>5537</v>
      </c>
      <c r="GQ9" s="4723" t="str">
        <f t="shared" si="2" ref="GQ9:GQ13">_xlfn.CONCAT(GP9,CHAR(10),GR9,CHAR(10),GS9)</f>
        <v>Morgan Dowdy
mdowdy@walkerdunlop.com
804-280-6672</v>
      </c>
      <c r="GR9" s="4861" t="s">
        <v>5539</v>
      </c>
      <c r="GS9" s="4862" t="s">
        <v>5540</v>
      </c>
      <c r="GU9" s="4859">
        <v>7</v>
      </c>
      <c r="GV9" s="4859">
        <v>7</v>
      </c>
      <c r="GW9" s="4859">
        <v>7</v>
      </c>
      <c r="GY9" s="625" t="s">
        <v>5541</v>
      </c>
      <c r="GZ9" s="625" t="s">
        <v>5542</v>
      </c>
      <c r="HB9" s="4877" t="s">
        <v>1891</v>
      </c>
      <c r="HD9" s="4877" t="s">
        <v>559</v>
      </c>
      <c r="HF9" s="4890" t="s">
        <v>294</v>
      </c>
      <c r="HH9" s="4886" t="s">
        <v>2377</v>
      </c>
    </row>
    <row r="10" ht="12.75" customHeight="1">
      <c r="AK10" s="4867" t="s">
        <v>5543</v>
      </c>
      <c r="BL10" s="4866" t="str">
        <f>'Fannie Historical Ops'!B17</f>
        <v>Other Income (Allowable)</v>
      </c>
      <c r="CI10" s="4866" t="s">
        <v>2611</v>
      </c>
      <c r="CK10" s="1159"/>
      <c r="CM10" s="4851" t="s">
        <v>5536</v>
      </c>
      <c r="EC10" s="4856" t="s">
        <v>5544</v>
      </c>
      <c r="EG10" s="1159"/>
      <c r="EO10" s="4874">
        <f t="shared" si="1"/>
        <v>43101</v>
      </c>
      <c r="EQ10" s="4856" t="s">
        <v>5545</v>
      </c>
      <c r="ES10" s="4856" t="s">
        <v>5546</v>
      </c>
      <c r="ET10" s="4854"/>
      <c r="EU10" s="4867" t="s">
        <v>5547</v>
      </c>
      <c r="EY10" s="4856" t="s">
        <v>5548</v>
      </c>
      <c r="FC10" s="4856" t="s">
        <v>5549</v>
      </c>
      <c r="FM10" s="4691"/>
      <c r="FN10" s="4691"/>
      <c r="FO10" s="4691" t="s">
        <v>5550</v>
      </c>
      <c r="FQ10" s="4691"/>
      <c r="FR10" s="4691"/>
      <c r="FS10" s="4696">
        <v>4</v>
      </c>
      <c r="FT10" s="4696"/>
      <c r="FU10" s="4691" t="s">
        <v>5551</v>
      </c>
      <c r="GC10" s="4856" t="s">
        <v>5552</v>
      </c>
      <c r="GE10" s="4901"/>
      <c r="GF10" s="4901"/>
      <c r="GJ10" s="4866" t="s">
        <v>5474</v>
      </c>
      <c r="GP10" s="4860" t="s">
        <v>5553</v>
      </c>
      <c r="GQ10" s="4723" t="str">
        <f t="shared" si="2"/>
        <v>Logan Zotovich
lzotovich@walkerdunlop.com
949-271-8548</v>
      </c>
      <c r="GR10" s="4861" t="s">
        <v>5555</v>
      </c>
      <c r="GS10" s="4862" t="s">
        <v>5556</v>
      </c>
      <c r="GU10" s="4892">
        <v>8</v>
      </c>
      <c r="GV10" s="4892">
        <v>8</v>
      </c>
      <c r="GW10" s="4859">
        <v>8</v>
      </c>
      <c r="GY10" s="625" t="s">
        <v>5557</v>
      </c>
      <c r="GZ10" s="625" t="s">
        <v>5558</v>
      </c>
      <c r="HB10" s="4877" t="s">
        <v>1892</v>
      </c>
      <c r="HD10" s="4877" t="s">
        <v>5559</v>
      </c>
      <c r="HH10" s="4886" t="s">
        <v>5560</v>
      </c>
    </row>
    <row r="11" ht="12.75" customHeight="1">
      <c r="BL11" s="4866" t="str">
        <f>'Fannie Historical Ops'!B18</f>
        <v>App Fee</v>
      </c>
      <c r="CI11" s="4866" t="s">
        <v>4608</v>
      </c>
      <c r="CK11" s="1159"/>
      <c r="CM11" s="4851" t="s">
        <v>5471</v>
      </c>
      <c r="EC11" s="4856" t="s">
        <v>5561</v>
      </c>
      <c r="EG11" s="1159"/>
      <c r="EO11" s="4874">
        <f t="shared" si="1"/>
        <v>43132</v>
      </c>
      <c r="EQ11" s="4856" t="s">
        <v>5562</v>
      </c>
      <c r="ES11" s="4867" t="s">
        <v>5563</v>
      </c>
      <c r="ET11" s="4854"/>
      <c r="EY11" s="4856" t="s">
        <v>5564</v>
      </c>
      <c r="FC11" s="4867" t="s">
        <v>236</v>
      </c>
      <c r="FM11" s="4691"/>
      <c r="FN11" s="4691"/>
      <c r="FO11" s="4691" t="s">
        <v>5565</v>
      </c>
      <c r="FQ11" s="4691"/>
      <c r="FR11" s="4691"/>
      <c r="FS11" s="4696">
        <v>5</v>
      </c>
      <c r="FT11" s="4696"/>
      <c r="FU11" s="4691" t="s">
        <v>5566</v>
      </c>
      <c r="GC11" s="4856" t="s">
        <v>5509</v>
      </c>
      <c r="GJ11" s="4866" t="s">
        <v>5567</v>
      </c>
      <c r="GP11" s="4860" t="s">
        <v>5568</v>
      </c>
      <c r="GQ11" s="4723" t="str">
        <f t="shared" si="2"/>
        <v>Mackenzie Kerin
mkerin@walkerdunlop.com
424-220-8455</v>
      </c>
      <c r="GR11" s="4861" t="s">
        <v>5570</v>
      </c>
      <c r="GS11" s="4862" t="s">
        <v>5571</v>
      </c>
      <c r="GU11" s="1159"/>
      <c r="GV11" s="1159"/>
      <c r="GW11" s="4859">
        <v>9</v>
      </c>
      <c r="GY11" s="625" t="s">
        <v>5572</v>
      </c>
      <c r="GZ11" s="625" t="s">
        <v>5573</v>
      </c>
      <c r="HB11" s="4877" t="s">
        <v>1893</v>
      </c>
      <c r="HD11" s="4877"/>
      <c r="HF11" s="4878" t="s">
        <v>5574</v>
      </c>
      <c r="HH11" s="4886" t="s">
        <v>5575</v>
      </c>
    </row>
    <row r="12" ht="12.75" customHeight="1">
      <c r="BL12" s="4866" t="str">
        <f>'Fannie Historical Ops'!B19</f>
        <v>Forfeit Deposits</v>
      </c>
      <c r="CI12" s="4866" t="s">
        <v>4609</v>
      </c>
      <c r="CK12" s="1159"/>
      <c r="EC12" s="4856" t="s">
        <v>5576</v>
      </c>
      <c r="EG12" s="1159"/>
      <c r="EO12" s="4874">
        <f t="shared" si="1"/>
        <v>43160</v>
      </c>
      <c r="EQ12" s="4856" t="s">
        <v>5577</v>
      </c>
      <c r="ET12" s="4854"/>
      <c r="EY12" s="4856" t="s">
        <v>5578</v>
      </c>
      <c r="FM12" s="4691"/>
      <c r="FN12" s="4691"/>
      <c r="FO12" s="4691" t="s">
        <v>5579</v>
      </c>
      <c r="FQ12" s="4691"/>
      <c r="FR12" s="4691"/>
      <c r="FS12" s="4696">
        <v>6</v>
      </c>
      <c r="FT12" s="4696"/>
      <c r="FU12" s="4691" t="s">
        <v>5580</v>
      </c>
      <c r="GC12" s="4867" t="s">
        <v>5527</v>
      </c>
      <c r="GJ12" s="4866" t="s">
        <v>5581</v>
      </c>
      <c r="GP12" s="4860" t="s">
        <v>5582</v>
      </c>
      <c r="GQ12" s="4723" t="str">
        <f t="shared" si="2"/>
        <v>TJ Spaeth
tjspaeth@walkerdunlop.com,
949-271-8500</v>
      </c>
      <c r="GR12" s="4861" t="s">
        <v>5584</v>
      </c>
      <c r="GS12" s="4862" t="s">
        <v>5585</v>
      </c>
      <c r="GU12" s="1159"/>
      <c r="GV12" s="1159"/>
      <c r="GW12" s="4859">
        <v>10</v>
      </c>
      <c r="GY12" s="625" t="s">
        <v>5586</v>
      </c>
      <c r="GZ12" s="625" t="s">
        <v>5587</v>
      </c>
      <c r="HB12" s="4877" t="s">
        <v>3007</v>
      </c>
      <c r="HD12" s="4877" t="s">
        <v>5588</v>
      </c>
      <c r="HF12" s="4886" t="s">
        <v>5589</v>
      </c>
      <c r="HH12" s="4886" t="s">
        <v>5590</v>
      </c>
    </row>
    <row r="13" ht="12.75" customHeight="1">
      <c r="BL13" s="4866" t="str">
        <f>'Fannie Historical Ops'!B20</f>
        <v>Late/Early Term Fees</v>
      </c>
      <c r="CI13" s="4866" t="s">
        <v>4610</v>
      </c>
      <c r="CK13" s="1159"/>
      <c r="EC13" s="4856" t="s">
        <v>5591</v>
      </c>
      <c r="EG13" s="1159"/>
      <c r="EO13" s="4874">
        <f t="shared" si="1"/>
        <v>43191</v>
      </c>
      <c r="EQ13" s="4856" t="s">
        <v>5592</v>
      </c>
      <c r="EY13" s="4867" t="s">
        <v>5593</v>
      </c>
      <c r="FM13" s="4691"/>
      <c r="FN13" s="4691"/>
      <c r="FO13" s="4691" t="s">
        <v>5594</v>
      </c>
      <c r="FQ13" s="4691"/>
      <c r="FR13" s="4691"/>
      <c r="FS13" s="4696">
        <v>7</v>
      </c>
      <c r="FT13" s="4696"/>
      <c r="FU13" s="4691" t="s">
        <v>5595</v>
      </c>
      <c r="GJ13" s="4866" t="s">
        <v>5596</v>
      </c>
      <c r="GP13" s="4860" t="s">
        <v>5597</v>
      </c>
      <c r="GQ13" s="4723" t="str">
        <f t="shared" si="2"/>
        <v>George Melby
gmelby@walkerdunlop.com
301-202-3240</v>
      </c>
      <c r="GR13" s="4861" t="s">
        <v>5599</v>
      </c>
      <c r="GS13" s="4862" t="s">
        <v>5600</v>
      </c>
      <c r="GU13" s="1159"/>
      <c r="GV13" s="1159"/>
      <c r="GW13" s="4859">
        <v>11</v>
      </c>
      <c r="GY13" s="625" t="s">
        <v>5601</v>
      </c>
      <c r="GZ13" s="625" t="s">
        <v>5602</v>
      </c>
      <c r="HB13" s="4877" t="s">
        <v>3008</v>
      </c>
      <c r="HD13" s="4877" t="s">
        <v>5603</v>
      </c>
      <c r="HF13" s="4886" t="s">
        <v>5604</v>
      </c>
      <c r="HH13" s="4886" t="s">
        <v>5605</v>
      </c>
    </row>
    <row r="14" ht="12.75" customHeight="1">
      <c r="BL14" s="4866" t="str">
        <f>'Fannie Historical Ops'!B21</f>
        <v>Pet Deposits</v>
      </c>
      <c r="CI14" s="4866" t="s">
        <v>4611</v>
      </c>
      <c r="CK14" s="1159"/>
      <c r="EC14" s="4856" t="s">
        <v>5606</v>
      </c>
      <c r="EG14" s="1159"/>
      <c r="EO14" s="4874">
        <f t="shared" si="1"/>
        <v>43221</v>
      </c>
      <c r="EQ14" s="4867" t="s">
        <v>5607</v>
      </c>
      <c r="FM14" s="4691"/>
      <c r="FN14" s="4691"/>
      <c r="FO14" s="4691" t="s">
        <v>1252</v>
      </c>
      <c r="FQ14" s="4691"/>
      <c r="FR14" s="4691"/>
      <c r="FS14" s="4696">
        <v>2011</v>
      </c>
      <c r="FT14" s="4696"/>
      <c r="FU14" s="4691" t="s">
        <v>5608</v>
      </c>
      <c r="GI14" s="1159"/>
      <c r="GJ14" s="4880" t="s">
        <v>1055</v>
      </c>
      <c r="GP14" s="4902" t="s">
        <v>209</v>
      </c>
      <c r="GQ14" s="4903" t="s">
        <v>889</v>
      </c>
      <c r="GR14" s="4903" t="s">
        <v>2010</v>
      </c>
      <c r="GS14" s="4904" t="s">
        <v>2011</v>
      </c>
      <c r="GU14" s="1159"/>
      <c r="GV14" s="1159"/>
      <c r="GW14" s="4892">
        <v>12</v>
      </c>
      <c r="GY14" s="625" t="s">
        <v>5609</v>
      </c>
      <c r="GZ14" s="625" t="s">
        <v>3275</v>
      </c>
      <c r="HB14" s="4877" t="s">
        <v>1896</v>
      </c>
      <c r="HD14" s="4877"/>
      <c r="HF14" s="4886" t="s">
        <v>5610</v>
      </c>
      <c r="HH14" s="4886" t="s">
        <v>5611</v>
      </c>
    </row>
    <row r="15" ht="12.75" customHeight="1">
      <c r="BL15" s="4866" t="str">
        <f>'Fannie Historical Ops'!B22</f>
        <v>Premiums</v>
      </c>
      <c r="CI15" s="4866" t="s">
        <v>4612</v>
      </c>
      <c r="CK15" s="1159"/>
      <c r="EC15" s="4856" t="s">
        <v>5612</v>
      </c>
      <c r="EG15" s="1159"/>
      <c r="EO15" s="4874">
        <f t="shared" si="1"/>
        <v>43252</v>
      </c>
      <c r="FQ15" s="4691"/>
      <c r="FR15" s="4691"/>
      <c r="FS15" s="4696">
        <v>2012</v>
      </c>
      <c r="FT15" s="4696"/>
      <c r="FU15" s="4691" t="s">
        <v>5613</v>
      </c>
      <c r="GZ15" s="625" t="s">
        <v>5614</v>
      </c>
      <c r="HB15" s="4905" t="str">
        <f>'Fannie Historical Ops'!$B$18</f>
        <v>App Fee</v>
      </c>
      <c r="HD15" s="4877" t="s">
        <v>5615</v>
      </c>
      <c r="HF15" s="4886" t="s">
        <v>5616</v>
      </c>
      <c r="HH15" s="4886" t="s">
        <v>5617</v>
      </c>
    </row>
    <row r="16" ht="15" customHeight="1">
      <c r="BL16" s="4866" t="str">
        <f>'Fannie Historical Ops'!B23</f>
        <v>Corporate Prem.</v>
      </c>
      <c r="CI16" s="4866" t="s">
        <v>4613</v>
      </c>
      <c r="CK16" s="1159"/>
      <c r="EC16" s="4856" t="s">
        <v>5618</v>
      </c>
      <c r="EG16" s="1159"/>
      <c r="EO16" s="4874">
        <f t="shared" si="1"/>
        <v>43282</v>
      </c>
      <c r="FQ16" s="4691"/>
      <c r="FR16" s="4691"/>
      <c r="FS16" s="4696">
        <v>2014</v>
      </c>
      <c r="FT16" s="4696"/>
      <c r="FU16" s="4691" t="s">
        <v>5619</v>
      </c>
      <c r="GZ16" s="625" t="s">
        <v>5620</v>
      </c>
      <c r="HB16" s="4905" t="str">
        <f>'Fannie Historical Ops'!$B$19</f>
        <v>Forfeit Deposits</v>
      </c>
      <c r="HD16" s="4877" t="s">
        <v>5621</v>
      </c>
      <c r="HF16" s="4886" t="s">
        <v>5622</v>
      </c>
      <c r="HH16" s="4886" t="s">
        <v>5623</v>
      </c>
    </row>
    <row r="17" ht="15" customHeight="1">
      <c r="BL17" s="4866" t="str">
        <f>'Fannie Historical Ops'!B24</f>
        <v>Community Fee</v>
      </c>
      <c r="CI17" s="4866" t="s">
        <v>4614</v>
      </c>
      <c r="CK17" s="1159"/>
      <c r="EC17" s="4867" t="s">
        <v>5624</v>
      </c>
      <c r="EG17" s="1159"/>
      <c r="EO17" s="4874">
        <f t="shared" si="1"/>
        <v>43313</v>
      </c>
      <c r="FQ17" s="4691"/>
      <c r="FR17" s="4691"/>
      <c r="FS17" s="4696">
        <v>2015</v>
      </c>
      <c r="FT17" s="4696"/>
      <c r="FU17" s="4691" t="s">
        <v>5625</v>
      </c>
      <c r="GZ17" s="625" t="s">
        <v>5626</v>
      </c>
      <c r="HB17" s="4905" t="str">
        <f>'Fannie Historical Ops'!$B$20</f>
        <v>Late/Early Term Fees</v>
      </c>
      <c r="HD17" s="4877" t="s">
        <v>5627</v>
      </c>
      <c r="HF17" s="4886" t="s">
        <v>2100</v>
      </c>
      <c r="HH17" s="4886" t="s">
        <v>5628</v>
      </c>
    </row>
    <row r="18" ht="15" customHeight="1">
      <c r="BL18" s="4866" t="str">
        <f>'Fannie Historical Ops'!B25</f>
        <v>Second Occupant</v>
      </c>
      <c r="CI18" s="4866" t="s">
        <v>4615</v>
      </c>
      <c r="CK18" s="1159"/>
      <c r="EG18" s="1159"/>
      <c r="EO18" s="4874">
        <f t="shared" si="1"/>
        <v>43344</v>
      </c>
      <c r="FQ18" s="4691"/>
      <c r="FR18" s="4691"/>
      <c r="FS18" s="4696">
        <v>2016</v>
      </c>
      <c r="FT18" s="4696"/>
      <c r="FU18" s="4691" t="s">
        <v>5629</v>
      </c>
      <c r="GZ18" s="625" t="s">
        <v>5609</v>
      </c>
      <c r="HB18" s="4905" t="str">
        <f>'Fannie Historical Ops'!$B$21</f>
        <v>Pet Deposits</v>
      </c>
      <c r="HD18" s="4877"/>
      <c r="HF18" s="4886" t="s">
        <v>2101</v>
      </c>
      <c r="HH18" s="4886" t="s">
        <v>5630</v>
      </c>
    </row>
    <row r="19" ht="15" customHeight="1">
      <c r="BL19" s="4866" t="str">
        <f>'Fannie Historical Ops'!B26</f>
        <v>Respite Care</v>
      </c>
      <c r="CI19" s="4866" t="s">
        <v>4616</v>
      </c>
      <c r="CK19" s="1159"/>
      <c r="EG19" s="1159"/>
      <c r="EO19" s="4874">
        <f t="shared" si="1"/>
        <v>43374</v>
      </c>
      <c r="FQ19" s="4691"/>
      <c r="FR19" s="4691"/>
      <c r="FS19" s="4696">
        <v>2018</v>
      </c>
      <c r="FT19" s="4696"/>
      <c r="FU19" s="4691" t="s">
        <v>5631</v>
      </c>
      <c r="HB19" s="4877" t="s">
        <v>1901</v>
      </c>
      <c r="HD19" s="4877" t="s">
        <v>5632</v>
      </c>
      <c r="HF19" s="4890" t="s">
        <v>2388</v>
      </c>
      <c r="HH19" s="4886" t="s">
        <v>5633</v>
      </c>
    </row>
    <row r="20" ht="15" customHeight="1">
      <c r="BL20" s="4866" t="str">
        <f>'Fannie Historical Ops'!B27</f>
        <v>Support Plans (AL/ALZ)</v>
      </c>
      <c r="CI20" s="4866" t="s">
        <v>4617</v>
      </c>
      <c r="CK20" s="1159"/>
      <c r="EG20" s="1159"/>
      <c r="EO20" s="4874">
        <f t="shared" si="1"/>
        <v>43405</v>
      </c>
      <c r="FQ20" s="4691"/>
      <c r="FR20" s="4691"/>
      <c r="FS20" s="4696" t="s">
        <v>5634</v>
      </c>
      <c r="FT20" s="4696"/>
      <c r="FU20" s="4691" t="s">
        <v>5635</v>
      </c>
      <c r="HB20" s="4877" t="s">
        <v>1902</v>
      </c>
      <c r="HD20" s="4877" t="s">
        <v>5636</v>
      </c>
      <c r="HH20" s="4886" t="s">
        <v>5637</v>
      </c>
    </row>
    <row r="21" ht="15" customHeight="1">
      <c r="BL21" s="4866" t="str">
        <f>'Fannie Historical Ops'!B28</f>
        <v>Unallowable</v>
      </c>
      <c r="CI21" s="4866" t="s">
        <v>4618</v>
      </c>
      <c r="CK21" s="1159"/>
      <c r="EG21" s="1159"/>
      <c r="EO21" s="4874">
        <f t="shared" si="1"/>
        <v>43435</v>
      </c>
      <c r="FQ21" s="4691"/>
      <c r="FR21" s="4691"/>
      <c r="FS21" s="4696" t="s">
        <v>5638</v>
      </c>
      <c r="FT21" s="4696"/>
      <c r="FU21" s="4691" t="s">
        <v>5639</v>
      </c>
      <c r="HB21" s="4877" t="s">
        <v>1907</v>
      </c>
      <c r="HD21" s="4877" t="s">
        <v>5640</v>
      </c>
      <c r="HF21" s="4834" t="s">
        <v>5641</v>
      </c>
      <c r="HH21" s="4886" t="s">
        <v>5642</v>
      </c>
    </row>
    <row r="22" ht="15" customHeight="1">
      <c r="BK22" s="4906">
        <f>'Fannie Historical Ops'!A33</f>
        <v>1</v>
      </c>
      <c r="BL22" s="4866" t="str">
        <f>'Fannie Historical Ops'!B33</f>
        <v>Real Estate Taxes</v>
      </c>
      <c r="CI22" s="4866" t="s">
        <v>4619</v>
      </c>
      <c r="CK22" s="1159"/>
      <c r="EG22" s="1159"/>
      <c r="EO22" s="4874">
        <f t="shared" si="1"/>
        <v>43466</v>
      </c>
      <c r="FQ22" s="4691"/>
      <c r="FR22" s="4691"/>
      <c r="FS22" s="4696" t="s">
        <v>5643</v>
      </c>
      <c r="FT22" s="4696"/>
      <c r="FU22" s="4691" t="s">
        <v>5644</v>
      </c>
      <c r="HB22" s="4877"/>
      <c r="HD22" s="4877"/>
      <c r="HF22" s="469" t="s">
        <v>174</v>
      </c>
      <c r="HH22" s="4886" t="s">
        <v>5645</v>
      </c>
    </row>
    <row r="23" ht="15" customHeight="1">
      <c r="BK23" s="4906">
        <f>'Fannie Historical Ops'!A34</f>
        <v>2</v>
      </c>
      <c r="BL23" s="4866" t="str">
        <f>'Fannie Historical Ops'!B34</f>
        <v>Other Taxes or Assessments</v>
      </c>
      <c r="CI23" s="4866" t="s">
        <v>4620</v>
      </c>
      <c r="CK23" s="1159"/>
      <c r="EG23" s="1159"/>
      <c r="EO23" s="4874">
        <f t="shared" si="1"/>
        <v>43497</v>
      </c>
      <c r="FQ23" s="4691"/>
      <c r="FR23" s="4691"/>
      <c r="FS23" s="4696" t="s">
        <v>5646</v>
      </c>
      <c r="FT23" s="4696"/>
      <c r="FU23" s="4691" t="s">
        <v>5647</v>
      </c>
      <c r="HB23" s="4877" t="s">
        <v>1800</v>
      </c>
      <c r="HD23" s="4877" t="s">
        <v>5648</v>
      </c>
      <c r="HF23" s="4907" t="s">
        <v>5649</v>
      </c>
      <c r="HH23" s="4886" t="s">
        <v>5650</v>
      </c>
    </row>
    <row r="24" ht="15" customHeight="1">
      <c r="BK24" s="4906">
        <f>'Fannie Historical Ops'!A35</f>
        <v>3</v>
      </c>
      <c r="BL24" s="4866" t="str">
        <f>'Fannie Historical Ops'!B35</f>
        <v>Property Insurance</v>
      </c>
      <c r="CI24" s="4866" t="s">
        <v>4621</v>
      </c>
      <c r="CK24" s="1159"/>
      <c r="EG24" s="1159"/>
      <c r="EO24" s="4874">
        <f t="shared" si="1"/>
        <v>43525</v>
      </c>
      <c r="FQ24" s="4691"/>
      <c r="FR24" s="4691"/>
      <c r="FS24" s="4696" t="s">
        <v>5651</v>
      </c>
      <c r="FT24" s="4696"/>
      <c r="FU24" s="4691" t="s">
        <v>1252</v>
      </c>
      <c r="HB24" s="4877" t="s">
        <v>1910</v>
      </c>
      <c r="HD24" s="4877" t="s">
        <v>5652</v>
      </c>
      <c r="HF24" s="4907" t="s">
        <v>5653</v>
      </c>
      <c r="HH24" s="4886" t="s">
        <v>5654</v>
      </c>
    </row>
    <row r="25" ht="15" customHeight="1">
      <c r="BK25" s="4906">
        <f>'Fannie Historical Ops'!A36</f>
        <v>4</v>
      </c>
      <c r="BL25" s="4866" t="str">
        <f>'Fannie Historical Ops'!B36</f>
        <v>Licenses</v>
      </c>
      <c r="CI25" s="4866" t="s">
        <v>4622</v>
      </c>
      <c r="CK25" s="1159"/>
      <c r="EG25" s="1159"/>
      <c r="EO25" s="4908">
        <f t="shared" si="1"/>
        <v>43556</v>
      </c>
      <c r="FQ25" s="4691"/>
      <c r="FR25" s="4691"/>
      <c r="FS25" s="4696" t="s">
        <v>5655</v>
      </c>
      <c r="FT25" s="4696"/>
      <c r="FU25" s="4691"/>
      <c r="HB25" s="4877" t="s">
        <v>1492</v>
      </c>
      <c r="HD25" s="4877" t="s">
        <v>5656</v>
      </c>
      <c r="HF25" s="4907" t="s">
        <v>5657</v>
      </c>
      <c r="HH25" s="4886" t="s">
        <v>5658</v>
      </c>
    </row>
    <row r="26" ht="15" customHeight="1">
      <c r="BK26" s="4906">
        <f>'Fannie Historical Ops'!A37</f>
        <v>5</v>
      </c>
      <c r="BL26" s="4866" t="str">
        <f>'Fannie Historical Ops'!B37</f>
        <v>Ground Rent</v>
      </c>
      <c r="CI26" s="4866" t="s">
        <v>4623</v>
      </c>
      <c r="CK26" s="1159"/>
      <c r="EG26" s="1159"/>
      <c r="EO26" s="4909"/>
      <c r="FQ26" s="4691"/>
      <c r="FR26" s="4691"/>
      <c r="FS26" s="4696" t="s">
        <v>5659</v>
      </c>
      <c r="FT26" s="4696"/>
      <c r="FU26" s="4691"/>
      <c r="HB26" s="4877" t="s">
        <v>1911</v>
      </c>
      <c r="HD26" s="4877" t="s">
        <v>5660</v>
      </c>
      <c r="HF26" s="4907" t="s">
        <v>5661</v>
      </c>
      <c r="HH26" s="4886" t="s">
        <v>5662</v>
      </c>
    </row>
    <row r="27" ht="15" customHeight="1">
      <c r="BK27" s="4906">
        <f>'Fannie Historical Ops'!A40</f>
        <v>6</v>
      </c>
      <c r="BL27" s="4866" t="str">
        <f>'Fannie Historical Ops'!B40</f>
        <v>Trash Removal (including contract)</v>
      </c>
      <c r="CI27" s="4866" t="s">
        <v>4624</v>
      </c>
      <c r="CK27" s="1159"/>
      <c r="EG27" s="1159"/>
      <c r="EO27" s="4909"/>
      <c r="HB27" s="4877" t="s">
        <v>1912</v>
      </c>
      <c r="HD27" s="4877"/>
      <c r="HF27" s="4907" t="s">
        <v>5663</v>
      </c>
      <c r="HH27" s="4886" t="s">
        <v>5664</v>
      </c>
    </row>
    <row r="28" ht="15" customHeight="1">
      <c r="BK28" s="4906">
        <f>'Fannie Historical Ops'!A41</f>
        <v>7</v>
      </c>
      <c r="BL28" s="4866" t="str">
        <f>'Fannie Historical Ops'!B41</f>
        <v>Gas / Fuel / Other</v>
      </c>
      <c r="CI28" s="4866" t="s">
        <v>4625</v>
      </c>
      <c r="CK28" s="1159"/>
      <c r="EG28" s="1159"/>
      <c r="EO28" s="4909"/>
      <c r="HB28" s="4877" t="s">
        <v>1914</v>
      </c>
      <c r="HD28" s="4877" t="s">
        <v>5665</v>
      </c>
      <c r="HF28" s="4907" t="s">
        <v>5666</v>
      </c>
      <c r="HH28" s="4886" t="s">
        <v>5667</v>
      </c>
    </row>
    <row r="29" ht="15" customHeight="1">
      <c r="BK29" s="4906">
        <f>'Fannie Historical Ops'!A42</f>
        <v>8</v>
      </c>
      <c r="BL29" s="4866" t="str">
        <f>'Fannie Historical Ops'!B42</f>
        <v>Electricity</v>
      </c>
      <c r="CI29" s="4866" t="s">
        <v>4626</v>
      </c>
      <c r="CK29" s="1159"/>
      <c r="EG29" s="1159"/>
      <c r="EO29" s="4909"/>
      <c r="HB29" s="4877" t="s">
        <v>1915</v>
      </c>
      <c r="HD29" s="4877" t="s">
        <v>5668</v>
      </c>
      <c r="HF29" s="4907" t="s">
        <v>5669</v>
      </c>
      <c r="HH29" s="4886" t="s">
        <v>5670</v>
      </c>
    </row>
    <row r="30" ht="15" customHeight="1">
      <c r="BK30" s="4906">
        <f>'Fannie Historical Ops'!A43</f>
        <v>9</v>
      </c>
      <c r="BL30" s="4866" t="str">
        <f>'Fannie Historical Ops'!B43</f>
        <v>Water &amp; Sewer</v>
      </c>
      <c r="CI30" s="4866" t="s">
        <v>501</v>
      </c>
      <c r="CK30" s="1159"/>
      <c r="EG30" s="1159"/>
      <c r="EO30" s="4909"/>
      <c r="HB30" s="4877" t="s">
        <v>1817</v>
      </c>
      <c r="HD30" s="4877" t="s">
        <v>5671</v>
      </c>
      <c r="HF30" s="4907" t="s">
        <v>5672</v>
      </c>
      <c r="HH30" s="4886" t="s">
        <v>5673</v>
      </c>
    </row>
    <row r="31" ht="15" customHeight="1">
      <c r="BK31" s="4906">
        <f>'Fannie Historical Ops'!A44</f>
        <v>10</v>
      </c>
      <c r="BL31" s="4866" t="str">
        <f>'Fannie Historical Ops'!B44</f>
        <v>Pest Control</v>
      </c>
      <c r="CI31" s="4866" t="s">
        <v>4627</v>
      </c>
      <c r="CK31" s="1159"/>
      <c r="EG31" s="1159"/>
      <c r="HB31" s="4877" t="s">
        <v>1419</v>
      </c>
      <c r="HD31" s="4877" t="s">
        <v>5674</v>
      </c>
      <c r="HF31" s="4907" t="s">
        <v>5675</v>
      </c>
      <c r="HH31" s="4886" t="s">
        <v>5676</v>
      </c>
    </row>
    <row r="32" ht="15" customHeight="1">
      <c r="BK32" s="4906">
        <f>'Fannie Historical Ops'!A45</f>
        <v>11</v>
      </c>
      <c r="BL32" s="4866" t="str">
        <f>'Fannie Historical Ops'!B45</f>
        <v>Bldg. Maint. &amp; Repair</v>
      </c>
      <c r="CI32" s="4866" t="s">
        <v>4628</v>
      </c>
      <c r="CK32" s="1159"/>
      <c r="EG32" s="1159"/>
      <c r="HB32" s="4877" t="s">
        <v>1823</v>
      </c>
      <c r="HD32" s="4877"/>
      <c r="HF32" s="4910" t="s">
        <v>5675</v>
      </c>
      <c r="HH32" s="4886" t="s">
        <v>5677</v>
      </c>
    </row>
    <row r="33" ht="15" customHeight="1">
      <c r="BK33" s="4906">
        <f>'Fannie Historical Ops'!A46</f>
        <v>12</v>
      </c>
      <c r="BL33" s="4866" t="str">
        <f>'Fannie Historical Ops'!B46</f>
        <v>Paint/Decorating/Turnover</v>
      </c>
      <c r="CI33" s="4866" t="s">
        <v>4629</v>
      </c>
      <c r="CK33" s="1159"/>
      <c r="EG33" s="1159"/>
      <c r="HB33" s="4877" t="s">
        <v>1824</v>
      </c>
      <c r="HD33" s="4877" t="s">
        <v>5678</v>
      </c>
      <c r="HH33" s="4886" t="s">
        <v>5679</v>
      </c>
    </row>
    <row r="34" ht="15" customHeight="1">
      <c r="BK34" s="4906">
        <f>'Fannie Historical Ops'!A47</f>
        <v>13</v>
      </c>
      <c r="BL34" s="4866" t="str">
        <f>'Fannie Historical Ops'!B47</f>
        <v>Elevator Maintenance</v>
      </c>
      <c r="CI34" s="4866" t="s">
        <v>4630</v>
      </c>
      <c r="CK34" s="1159"/>
      <c r="EG34" s="1159"/>
      <c r="HB34" s="4877" t="s">
        <v>1916</v>
      </c>
      <c r="HD34" s="4877" t="s">
        <v>5680</v>
      </c>
      <c r="HF34" s="4834" t="s">
        <v>5681</v>
      </c>
      <c r="HH34" s="4886" t="s">
        <v>5682</v>
      </c>
    </row>
    <row r="35" ht="15" customHeight="1">
      <c r="BK35" s="4906">
        <f>'Fannie Historical Ops'!A48</f>
        <v>14</v>
      </c>
      <c r="BL35" s="4866" t="str">
        <f>'Fannie Historical Ops'!B48</f>
        <v>Pool Maintenance</v>
      </c>
      <c r="CI35" s="4866" t="s">
        <v>4631</v>
      </c>
      <c r="CK35" s="1159"/>
      <c r="EG35" s="1159"/>
      <c r="HB35" s="4877" t="s">
        <v>1827</v>
      </c>
      <c r="HD35" s="4877" t="s">
        <v>5683</v>
      </c>
      <c r="HF35" s="4911" t="s">
        <v>174</v>
      </c>
      <c r="HH35" s="4886" t="s">
        <v>5684</v>
      </c>
    </row>
    <row r="36" ht="15" customHeight="1">
      <c r="BK36" s="4906">
        <f>'Fannie Historical Ops'!A49</f>
        <v>15</v>
      </c>
      <c r="BL36" s="4866" t="str">
        <f>'Fannie Historical Ops'!B49</f>
        <v>Park'g Maint/Snow/Other</v>
      </c>
      <c r="CI36" s="4866" t="s">
        <v>4632</v>
      </c>
      <c r="CK36" s="1159"/>
      <c r="EG36" s="1159"/>
      <c r="HB36" s="4877" t="s">
        <v>1917</v>
      </c>
      <c r="HD36" s="4877" t="s">
        <v>5685</v>
      </c>
      <c r="HF36" s="4912" t="s">
        <v>5686</v>
      </c>
      <c r="HH36" s="4886" t="s">
        <v>5687</v>
      </c>
    </row>
    <row r="37" ht="15" customHeight="1">
      <c r="BK37" s="4906">
        <f>'Fannie Historical Ops'!A50</f>
        <v>16</v>
      </c>
      <c r="BL37" s="4866" t="str">
        <f>'Fannie Historical Ops'!B50</f>
        <v>Gardening/Landscape</v>
      </c>
      <c r="CI37" s="4866" t="s">
        <v>4633</v>
      </c>
      <c r="CK37" s="1159"/>
      <c r="EG37" s="1159"/>
      <c r="HB37" s="4877" t="s">
        <v>1918</v>
      </c>
      <c r="HD37" s="4901"/>
      <c r="HF37" s="4912" t="s">
        <v>5688</v>
      </c>
      <c r="HH37" s="4886" t="s">
        <v>5689</v>
      </c>
    </row>
    <row r="38" ht="15" customHeight="1">
      <c r="BK38" s="4906">
        <f>'Fannie Historical Ops'!A51</f>
        <v>17</v>
      </c>
      <c r="BL38" s="4866" t="str">
        <f>'Fannie Historical Ops'!B51</f>
        <v>Management Fees</v>
      </c>
      <c r="CI38" s="4866" t="s">
        <v>4634</v>
      </c>
      <c r="CK38" s="1159"/>
      <c r="EG38" s="1159"/>
      <c r="HB38" s="4877" t="s">
        <v>1919</v>
      </c>
      <c r="HF38" s="4912" t="s">
        <v>5690</v>
      </c>
      <c r="HH38" s="4886" t="s">
        <v>5691</v>
      </c>
    </row>
    <row r="39" ht="15" customHeight="1">
      <c r="BK39" s="4906">
        <f>'Fannie Historical Ops'!A52</f>
        <v>18</v>
      </c>
      <c r="BL39" s="4866" t="str">
        <f>'Fannie Historical Ops'!B52</f>
        <v>Manager Salary</v>
      </c>
      <c r="CI39" s="4866" t="s">
        <v>4635</v>
      </c>
      <c r="CK39" s="1159"/>
      <c r="EG39" s="1159"/>
      <c r="HB39" s="4877" t="s">
        <v>1920</v>
      </c>
      <c r="HF39" s="4912" t="s">
        <v>5692</v>
      </c>
      <c r="HH39" s="4886" t="s">
        <v>5693</v>
      </c>
    </row>
    <row r="40" ht="15" customHeight="1">
      <c r="BK40" s="4906">
        <f>'Fannie Historical Ops'!A53</f>
        <v>19</v>
      </c>
      <c r="BL40" s="4866" t="str">
        <f>'Fannie Historical Ops'!B53</f>
        <v>Other Leasing Salaries</v>
      </c>
      <c r="CI40" s="4866" t="s">
        <v>4636</v>
      </c>
      <c r="CK40" s="1159"/>
      <c r="EG40" s="1159"/>
      <c r="HB40" s="4905" t="str">
        <f>'Fannie Historical Ops'!$B$52</f>
        <v>Manager Salary</v>
      </c>
      <c r="HF40" s="4912" t="s">
        <v>5694</v>
      </c>
      <c r="HH40" s="4886" t="s">
        <v>5695</v>
      </c>
    </row>
    <row r="41" ht="15" customHeight="1">
      <c r="BK41" s="4906">
        <f>'Fannie Historical Ops'!A54</f>
        <v>20</v>
      </c>
      <c r="BL41" s="4866" t="str">
        <f>'Fannie Historical Ops'!B54</f>
        <v>Maintenance Super Salary</v>
      </c>
      <c r="CI41" s="4866" t="s">
        <v>4637</v>
      </c>
      <c r="CK41" s="1159"/>
      <c r="EG41" s="1159"/>
      <c r="HB41" s="4905" t="str">
        <f>'Fannie Historical Ops'!$B$53</f>
        <v>Other Leasing Salaries</v>
      </c>
      <c r="HF41" s="4912" t="s">
        <v>5696</v>
      </c>
      <c r="HH41" s="4886" t="s">
        <v>5697</v>
      </c>
    </row>
    <row r="42" ht="15" customHeight="1">
      <c r="BK42" s="4906">
        <f>'Fannie Historical Ops'!A55</f>
        <v>21</v>
      </c>
      <c r="BL42" s="4866" t="str">
        <f>'Fannie Historical Ops'!B55</f>
        <v>Other Maintenance Salaries</v>
      </c>
      <c r="CI42" s="4866" t="s">
        <v>4638</v>
      </c>
      <c r="CK42" s="1159"/>
      <c r="EG42" s="1159"/>
      <c r="HB42" s="4905" t="str">
        <f>'Fannie Historical Ops'!$B$54</f>
        <v>Maintenance Super Salary</v>
      </c>
      <c r="HF42" s="4912" t="s">
        <v>5698</v>
      </c>
      <c r="HH42" s="4886" t="s">
        <v>5699</v>
      </c>
    </row>
    <row r="43" ht="15" customHeight="1">
      <c r="BK43" s="4906">
        <f>'Fannie Historical Ops'!A56</f>
        <v>22</v>
      </c>
      <c r="BL43" s="4866" t="str">
        <f>'Fannie Historical Ops'!B56</f>
        <v>Apartment Allowances</v>
      </c>
      <c r="CI43" s="4866" t="s">
        <v>4639</v>
      </c>
      <c r="CK43" s="1159"/>
      <c r="EG43" s="1159"/>
      <c r="HB43" s="4905" t="str">
        <f>'Fannie Historical Ops'!$B$55</f>
        <v>Other Maintenance Salaries</v>
      </c>
      <c r="HF43" s="4912" t="s">
        <v>5700</v>
      </c>
      <c r="HH43" s="4886" t="s">
        <v>5701</v>
      </c>
    </row>
    <row r="44" ht="15" customHeight="1">
      <c r="BK44" s="4906">
        <f>'Fannie Historical Ops'!A57</f>
        <v>23</v>
      </c>
      <c r="BL44" s="4866" t="str">
        <f>'Fannie Historical Ops'!B57</f>
        <v>Bonuses/Commissions/Other</v>
      </c>
      <c r="CI44" s="4866" t="s">
        <v>4640</v>
      </c>
      <c r="CK44" s="1159"/>
      <c r="EG44" s="1159"/>
      <c r="HB44" s="4905" t="str">
        <f>IF('Fannie Historical Ops'!$B$56="Apartment Allowances","Apartment Allowances (income line item)","Care Services Wages")</f>
        <v>Apartment Allowances (income line item)</v>
      </c>
      <c r="HF44" s="4912" t="s">
        <v>5703</v>
      </c>
      <c r="HH44" s="4886" t="s">
        <v>5704</v>
      </c>
    </row>
    <row r="45" ht="15" customHeight="1">
      <c r="BK45" s="4906">
        <f>'Fannie Historical Ops'!A58</f>
        <v>24</v>
      </c>
      <c r="BL45" s="4866" t="str">
        <f>'Fannie Historical Ops'!B58</f>
        <v>Benefits &amp; Payroll Taxes</v>
      </c>
      <c r="CI45" s="4866" t="s">
        <v>4641</v>
      </c>
      <c r="CK45" s="1159"/>
      <c r="EG45" s="1159"/>
      <c r="HB45" s="4905" t="str">
        <f>IF('Fannie Historical Ops'!$B$56="Apartment Allowances","Apartment Allowances (expense line item)","")</f>
        <v>Apartment Allowances (expense line item)</v>
      </c>
      <c r="HF45" s="4912" t="s">
        <v>5706</v>
      </c>
      <c r="HH45" s="4886" t="s">
        <v>5707</v>
      </c>
    </row>
    <row r="46" ht="15" customHeight="1">
      <c r="BK46" s="4906">
        <f>'Fannie Historical Ops'!A59</f>
        <v>25</v>
      </c>
      <c r="BL46" s="4866" t="str">
        <f>'Fannie Historical Ops'!B59</f>
        <v>Advertising &amp; Marketing</v>
      </c>
      <c r="CI46" s="4866" t="s">
        <v>4642</v>
      </c>
      <c r="CK46" s="1159"/>
      <c r="EG46" s="1159"/>
      <c r="HB46" s="4905" t="str">
        <f>'Fannie Historical Ops'!$B$57</f>
        <v>Bonuses/Commissions/Other</v>
      </c>
      <c r="HF46" s="4912" t="s">
        <v>5708</v>
      </c>
      <c r="HH46" s="4886" t="s">
        <v>5709</v>
      </c>
    </row>
    <row r="47" ht="15" customHeight="1">
      <c r="BK47" s="4906">
        <f>'Fannie Historical Ops'!A60</f>
        <v>26</v>
      </c>
      <c r="BL47" s="4866" t="str">
        <f>'Fannie Historical Ops'!B60</f>
        <v>Professional Fees</v>
      </c>
      <c r="CI47" s="4866" t="s">
        <v>4643</v>
      </c>
      <c r="CK47" s="1159"/>
      <c r="EG47" s="1159"/>
      <c r="HB47" s="4905" t="str">
        <f>'Fannie Historical Ops'!$B$58</f>
        <v>Benefits &amp; Payroll Taxes</v>
      </c>
      <c r="HF47" s="4912" t="s">
        <v>5710</v>
      </c>
      <c r="HH47" s="4886" t="s">
        <v>5711</v>
      </c>
    </row>
    <row r="48" ht="15" customHeight="1">
      <c r="BK48" s="4906">
        <f>'Fannie Historical Ops'!A61</f>
        <v>26</v>
      </c>
      <c r="BL48" s="4866" t="str">
        <f>'Fannie Historical Ops'!B61</f>
        <v>Meals Expense (Seniors Only)</v>
      </c>
      <c r="CI48" s="4866" t="s">
        <v>4644</v>
      </c>
      <c r="CK48" s="1159"/>
      <c r="EG48" s="1159"/>
      <c r="HB48" s="4877" t="s">
        <v>1929</v>
      </c>
      <c r="HF48" s="4912" t="s">
        <v>5712</v>
      </c>
      <c r="HH48" s="4886" t="s">
        <v>5713</v>
      </c>
    </row>
    <row r="49" ht="15" customHeight="1">
      <c r="BK49" s="4906">
        <f>'Fannie Historical Ops'!A62</f>
        <v>26</v>
      </c>
      <c r="BL49" s="4866" t="str">
        <f>'Fannie Historical Ops'!B62</f>
        <v>Room Expense - House Keeping (Seniors Only)</v>
      </c>
      <c r="CI49" s="4866" t="s">
        <v>4645</v>
      </c>
      <c r="CK49" s="1159"/>
      <c r="EG49" s="1159"/>
      <c r="HB49" s="4877" t="s">
        <v>1930</v>
      </c>
      <c r="HF49" s="4912" t="s">
        <v>5405</v>
      </c>
      <c r="HH49" s="4886" t="s">
        <v>5714</v>
      </c>
    </row>
    <row r="50" ht="15" customHeight="1">
      <c r="BK50" s="4906">
        <f>'Fannie Historical Ops'!A63</f>
        <v>27</v>
      </c>
      <c r="BL50" s="4866" t="str">
        <f>'Fannie Historical Ops'!B63</f>
        <v>General Administrative</v>
      </c>
      <c r="CI50" s="4866" t="s">
        <v>4646</v>
      </c>
      <c r="CK50" s="1159"/>
      <c r="EG50" s="1159"/>
      <c r="HB50" s="4877" t="s">
        <v>1933</v>
      </c>
      <c r="HF50" s="4912" t="s">
        <v>5715</v>
      </c>
      <c r="HH50" s="4886" t="s">
        <v>5716</v>
      </c>
    </row>
    <row r="51" ht="15" customHeight="1">
      <c r="BK51" s="4906">
        <f>'Fannie Historical Ops'!A64</f>
        <v>28</v>
      </c>
      <c r="BL51" s="4866" t="str">
        <f>'Fannie Historical Ops'!B64</f>
        <v>Office / Model Apts.</v>
      </c>
      <c r="CI51" s="4866" t="s">
        <v>4647</v>
      </c>
      <c r="CK51" s="1159"/>
      <c r="EG51" s="1159"/>
      <c r="HB51" s="4877" t="s">
        <v>5717</v>
      </c>
      <c r="HF51" s="4913" t="s">
        <v>840</v>
      </c>
      <c r="HH51" s="4886" t="s">
        <v>5718</v>
      </c>
    </row>
    <row r="52" ht="15" customHeight="1">
      <c r="BK52" s="4906">
        <f>'Fannie Historical Ops'!A65</f>
        <v>29</v>
      </c>
      <c r="BL52" s="4866" t="str">
        <f>'Fannie Historical Ops'!B65</f>
        <v>Telephone / Cable</v>
      </c>
      <c r="CI52" s="4866" t="s">
        <v>4648</v>
      </c>
      <c r="CK52" s="1159"/>
      <c r="EG52" s="1159"/>
      <c r="HB52" s="4877" t="s">
        <v>5719</v>
      </c>
      <c r="HH52" s="4886" t="s">
        <v>5720</v>
      </c>
    </row>
    <row r="53" ht="15" customHeight="1">
      <c r="BK53" s="4906">
        <f>'Fannie Historical Ops'!A66</f>
        <v>30</v>
      </c>
      <c r="BL53" s="4866" t="str">
        <f>'Fannie Historical Ops'!B66</f>
        <v>Security Contract</v>
      </c>
      <c r="CI53" s="4866" t="s">
        <v>4649</v>
      </c>
      <c r="CK53" s="1159"/>
      <c r="EG53" s="1159"/>
      <c r="HB53" s="4877" t="s">
        <v>1935</v>
      </c>
      <c r="HF53" s="4878" t="s">
        <v>5721</v>
      </c>
      <c r="HH53" s="4886" t="s">
        <v>5722</v>
      </c>
    </row>
    <row r="54" ht="15" customHeight="1">
      <c r="BK54" s="4906">
        <f>'Fannie Historical Ops'!A67</f>
        <v>31</v>
      </c>
      <c r="BL54" s="4866" t="str">
        <f>'Fannie Historical Ops'!B67</f>
        <v>Other Administrative</v>
      </c>
      <c r="CI54" s="4866" t="s">
        <v>4650</v>
      </c>
      <c r="CK54" s="1159"/>
      <c r="EG54" s="1159"/>
      <c r="HB54" s="4877" t="s">
        <v>1936</v>
      </c>
      <c r="HF54" s="4886" t="s">
        <v>384</v>
      </c>
      <c r="HH54" s="4886" t="s">
        <v>5723</v>
      </c>
    </row>
    <row r="55" ht="15" customHeight="1">
      <c r="BK55" s="4906">
        <f>'Fannie Historical Ops'!A68</f>
        <v>32</v>
      </c>
      <c r="BL55" s="4866" t="str">
        <f>'Fannie Historical Ops'!B68</f>
        <v>Other Expense</v>
      </c>
      <c r="CI55" s="4866" t="s">
        <v>4651</v>
      </c>
      <c r="CK55" s="1159"/>
      <c r="EG55" s="1159"/>
      <c r="HB55" s="4905" t="str">
        <f>'Fannie Historical Ops'!$B$67</f>
        <v>Other Administrative</v>
      </c>
      <c r="HF55" s="4890" t="s">
        <v>1214</v>
      </c>
      <c r="HH55" s="4886" t="s">
        <v>5724</v>
      </c>
    </row>
    <row r="56" ht="15" customHeight="1">
      <c r="BL56" s="4866" t="str">
        <f>'Fannie Historical Ops'!B73</f>
        <v>Capital Expenditures (Replacement Reserves)</v>
      </c>
      <c r="CI56" s="4880" t="s">
        <v>290</v>
      </c>
      <c r="CK56" s="1159"/>
      <c r="EG56" s="1159"/>
      <c r="HB56" s="4877" t="s">
        <v>1938</v>
      </c>
      <c r="HH56" s="4886" t="s">
        <v>5725</v>
      </c>
    </row>
    <row r="57" ht="15" customHeight="1">
      <c r="BL57" s="4866" t="str">
        <f>'Fannie Historical Ops'!B82</f>
        <v>BL-Interest</v>
      </c>
      <c r="CK57" s="1159"/>
      <c r="EG57" s="1159"/>
      <c r="HB57" s="4877"/>
      <c r="HF57" s="4878" t="s">
        <v>5726</v>
      </c>
      <c r="HH57" s="4886" t="s">
        <v>5727</v>
      </c>
    </row>
    <row r="58" ht="15" customHeight="1">
      <c r="BL58" s="4866" t="str">
        <f>'Fannie Historical Ops'!B83</f>
        <v>BL-Principal</v>
      </c>
      <c r="CK58" s="1159"/>
      <c r="EG58" s="1159"/>
      <c r="HB58" s="4877" t="s">
        <v>1939</v>
      </c>
      <c r="HF58" s="4886" t="s">
        <v>202</v>
      </c>
      <c r="HH58" s="4886" t="s">
        <v>5728</v>
      </c>
    </row>
    <row r="59" ht="15" customHeight="1">
      <c r="BL59" s="4866" t="str">
        <f>'Fannie Historical Ops'!B84</f>
        <v>BL-Depreciation</v>
      </c>
      <c r="CK59" s="1159"/>
      <c r="EG59" s="1159"/>
      <c r="HB59" s="4877" t="s">
        <v>1956</v>
      </c>
      <c r="HF59" s="4886" t="s">
        <v>5729</v>
      </c>
      <c r="HH59" s="4890" t="s">
        <v>5730</v>
      </c>
    </row>
    <row r="60" ht="15" customHeight="1">
      <c r="BL60" s="4866" t="str">
        <f>'Fannie Historical Ops'!B85</f>
        <v>BL-Other 1</v>
      </c>
      <c r="CK60" s="1159"/>
      <c r="EG60" s="1159"/>
      <c r="HB60" s="4877"/>
      <c r="HF60" s="4886" t="s">
        <v>3768</v>
      </c>
    </row>
    <row r="61" ht="15" customHeight="1">
      <c r="BL61" s="4866" t="str">
        <f>'Fannie Historical Ops'!B86</f>
        <v>BL-Other 2</v>
      </c>
      <c r="CK61" s="1159"/>
      <c r="EG61" s="1159"/>
      <c r="HB61" s="4877" t="s">
        <v>1952</v>
      </c>
      <c r="HF61" s="4890" t="s">
        <v>5733</v>
      </c>
      <c r="HH61" s="4878" t="s">
        <v>5734</v>
      </c>
    </row>
    <row r="62" ht="15" customHeight="1">
      <c r="BL62" s="4866" t="str">
        <f>'Fannie Historical Ops'!B87</f>
        <v>BL-Other 3</v>
      </c>
      <c r="CK62" s="1159"/>
      <c r="EG62" s="1159"/>
      <c r="HB62" s="4877" t="s">
        <v>1953</v>
      </c>
      <c r="HH62" s="4886" t="s">
        <v>174</v>
      </c>
    </row>
    <row r="63" ht="15" customHeight="1">
      <c r="BL63" s="4880" t="str">
        <f>'Fannie Historical Ops'!B88</f>
        <v>BL-Other 4</v>
      </c>
      <c r="CK63" s="1159"/>
      <c r="EG63" s="1159"/>
      <c r="HB63" s="4877" t="s">
        <v>5737</v>
      </c>
      <c r="HF63" s="4878" t="s">
        <v>5738</v>
      </c>
      <c r="HH63" s="4886" t="s">
        <v>5739</v>
      </c>
    </row>
    <row r="64" ht="15" customHeight="1">
      <c r="BL64" s="4866" t="s">
        <v>5740</v>
      </c>
      <c r="CK64" s="1159"/>
      <c r="EG64" s="1159"/>
      <c r="HB64" s="4877"/>
      <c r="HF64" s="4886" t="s">
        <v>5741</v>
      </c>
      <c r="HH64" s="4886" t="s">
        <v>5742</v>
      </c>
    </row>
    <row r="65" ht="15" customHeight="1">
      <c r="BL65" s="4880" t="s">
        <v>5743</v>
      </c>
      <c r="CK65" s="1159"/>
      <c r="EG65" s="1159"/>
      <c r="HB65" s="4877" t="s">
        <v>5744</v>
      </c>
      <c r="HF65" s="4886" t="s">
        <v>5745</v>
      </c>
      <c r="HH65" s="4886" t="s">
        <v>5746</v>
      </c>
    </row>
    <row r="66" ht="15" customHeight="1">
      <c r="CK66" s="1159"/>
      <c r="EG66" s="1159"/>
      <c r="HB66" s="4877" t="s">
        <v>1944</v>
      </c>
      <c r="HF66" s="4886" t="s">
        <v>5747</v>
      </c>
      <c r="HH66" s="4886" t="s">
        <v>5748</v>
      </c>
    </row>
    <row r="67" ht="15" customHeight="1">
      <c r="CK67" s="1159"/>
      <c r="EG67" s="1159"/>
      <c r="HB67" s="4877" t="s">
        <v>1945</v>
      </c>
      <c r="HF67" s="4886" t="s">
        <v>5749</v>
      </c>
      <c r="HH67" s="4886" t="s">
        <v>5750</v>
      </c>
    </row>
    <row r="68" ht="15" customHeight="1">
      <c r="CK68" s="1159"/>
      <c r="EG68" s="1159"/>
      <c r="HB68" s="4877" t="s">
        <v>1946</v>
      </c>
      <c r="HF68" s="4886" t="s">
        <v>5751</v>
      </c>
      <c r="HH68" s="4886" t="s">
        <v>5752</v>
      </c>
    </row>
    <row r="69" ht="15" customHeight="1">
      <c r="CK69" s="1159"/>
      <c r="EG69" s="1159"/>
      <c r="HB69" s="4905" t="str">
        <f>'Fannie Historical Ops'!$B$85</f>
        <v>BL-Other 1</v>
      </c>
      <c r="HF69" s="4886" t="s">
        <v>5751</v>
      </c>
      <c r="HH69" s="4890" t="s">
        <v>5754</v>
      </c>
    </row>
    <row r="70" ht="15" customHeight="1">
      <c r="CK70" s="1159"/>
      <c r="EG70" s="1159"/>
      <c r="HB70" s="4905" t="str">
        <f>'Fannie Historical Ops'!$B$86</f>
        <v>BL-Other 2</v>
      </c>
      <c r="HF70" s="4886" t="s">
        <v>5756</v>
      </c>
    </row>
    <row r="71" ht="15" customHeight="1">
      <c r="CK71" s="1159"/>
      <c r="EG71" s="1159"/>
      <c r="HB71" s="4905" t="str">
        <f>'Fannie Historical Ops'!$B$87</f>
        <v>BL-Other 3</v>
      </c>
      <c r="HF71" s="4886" t="s">
        <v>5758</v>
      </c>
    </row>
    <row r="72" ht="15" customHeight="1">
      <c r="CK72" s="1159"/>
      <c r="EG72" s="1159"/>
      <c r="HB72" s="4905" t="str">
        <f>'Fannie Historical Ops'!$B$88</f>
        <v>BL-Other 4</v>
      </c>
      <c r="HF72" s="4886" t="s">
        <v>5760</v>
      </c>
    </row>
    <row r="73" ht="15" customHeight="1">
      <c r="CK73" s="1159"/>
      <c r="EG73" s="1159"/>
      <c r="HB73" s="4877"/>
      <c r="HF73" s="4886" t="s">
        <v>5761</v>
      </c>
    </row>
    <row r="74" ht="15" customHeight="1">
      <c r="CK74" s="1159"/>
      <c r="EG74" s="1159"/>
      <c r="HB74" s="4877"/>
      <c r="HF74" s="4886" t="s">
        <v>5762</v>
      </c>
    </row>
    <row r="75" ht="15" customHeight="1">
      <c r="CK75" s="1159"/>
      <c r="EG75" s="1159"/>
      <c r="HB75" s="4877" t="s">
        <v>5763</v>
      </c>
      <c r="HF75" s="4886" t="s">
        <v>5764</v>
      </c>
    </row>
    <row r="76" ht="15" customHeight="1">
      <c r="CK76" s="1159"/>
      <c r="EG76" s="1159"/>
      <c r="HB76" s="4905" t="str">
        <f>'Fannie Historical Ops'!$B$24</f>
        <v>Community Fee</v>
      </c>
      <c r="HF76" s="4886" t="s">
        <v>5765</v>
      </c>
    </row>
    <row r="77" ht="15" customHeight="1">
      <c r="CK77" s="1159"/>
      <c r="EG77" s="1159"/>
      <c r="HB77" s="4905" t="str">
        <f>'Fannie Historical Ops'!$B$25</f>
        <v>Second Occupant</v>
      </c>
      <c r="HF77" s="4886" t="s">
        <v>5766</v>
      </c>
    </row>
    <row r="78" ht="15" customHeight="1">
      <c r="CK78" s="1159"/>
      <c r="EG78" s="1159"/>
      <c r="HB78" s="4905" t="str">
        <f>'Fannie Historical Ops'!$B$26</f>
        <v>Respite Care</v>
      </c>
      <c r="HF78" s="4886" t="s">
        <v>5767</v>
      </c>
    </row>
    <row r="79" ht="15" customHeight="1">
      <c r="CK79" s="1159"/>
      <c r="EG79" s="1159"/>
      <c r="HB79" s="4905" t="str">
        <f>'Fannie Historical Ops'!$B$27</f>
        <v>Support Plans (AL/ALZ)</v>
      </c>
      <c r="HF79" s="4886" t="s">
        <v>5768</v>
      </c>
    </row>
    <row r="80" ht="15" customHeight="1">
      <c r="CK80" s="1159"/>
      <c r="EG80" s="1159"/>
      <c r="HB80" s="4877"/>
      <c r="HF80" s="4886" t="s">
        <v>5769</v>
      </c>
    </row>
    <row r="81" ht="15" customHeight="1">
      <c r="CK81" s="1159"/>
      <c r="EG81" s="1159"/>
      <c r="HB81" s="4877" t="s">
        <v>5770</v>
      </c>
      <c r="HF81" s="4886" t="s">
        <v>5771</v>
      </c>
    </row>
    <row r="82" ht="15" customHeight="1">
      <c r="CK82" s="1159"/>
      <c r="EG82" s="1159"/>
      <c r="HB82" s="4877" t="s">
        <v>1931</v>
      </c>
      <c r="HF82" s="4886" t="s">
        <v>5772</v>
      </c>
    </row>
    <row r="83" ht="15" customHeight="1">
      <c r="CK83" s="1159"/>
      <c r="EG83" s="1159"/>
      <c r="HB83" s="4914" t="s">
        <v>1932</v>
      </c>
      <c r="HF83" s="4886" t="s">
        <v>5773</v>
      </c>
    </row>
    <row r="84" ht="15" customHeight="1">
      <c r="CK84" s="1159"/>
      <c r="EG84" s="1159"/>
      <c r="HF84" s="4886" t="s">
        <v>5774</v>
      </c>
    </row>
    <row r="85" ht="15" customHeight="1">
      <c r="CK85" s="1159"/>
      <c r="EG85" s="1159"/>
      <c r="HF85" s="4886" t="s">
        <v>5775</v>
      </c>
    </row>
    <row r="86" ht="15" customHeight="1">
      <c r="CK86" s="1159"/>
      <c r="EG86" s="1159"/>
      <c r="HF86" s="4886" t="s">
        <v>5776</v>
      </c>
    </row>
    <row r="87" ht="15" customHeight="1">
      <c r="CK87" s="1159"/>
      <c r="EG87" s="1159"/>
      <c r="HF87" s="4886" t="s">
        <v>5777</v>
      </c>
    </row>
    <row r="88" ht="15" customHeight="1">
      <c r="CK88" s="1159"/>
      <c r="EG88" s="1159"/>
      <c r="HF88" s="4886" t="s">
        <v>5778</v>
      </c>
    </row>
    <row r="89" ht="15" customHeight="1">
      <c r="CK89" s="1159"/>
      <c r="EG89" s="1159"/>
      <c r="HF89" s="4886" t="s">
        <v>5779</v>
      </c>
    </row>
    <row r="90" ht="15" customHeight="1">
      <c r="CK90" s="1159"/>
      <c r="EG90" s="1159"/>
      <c r="HF90" s="4890" t="s">
        <v>5780</v>
      </c>
    </row>
    <row r="91" ht="15" customHeight="1">
      <c r="CK91" s="1159"/>
      <c r="EG91" s="1159"/>
    </row>
    <row r="92" ht="15" customHeight="1">
      <c r="CK92" s="1159"/>
      <c r="EG92" s="1159"/>
    </row>
    <row r="93" ht="15" customHeight="1">
      <c r="CK93" s="1159"/>
      <c r="EG93" s="1159"/>
    </row>
    <row r="94" ht="15" customHeight="1">
      <c r="CK94" s="1159"/>
      <c r="EG94" s="1159"/>
    </row>
    <row r="95" ht="15" customHeight="1">
      <c r="CK95" s="1159"/>
      <c r="EG95" s="1159"/>
    </row>
    <row r="96" ht="15" customHeight="1">
      <c r="CK96" s="1159"/>
      <c r="EG96" s="1159"/>
    </row>
    <row r="97" ht="15" customHeight="1">
      <c r="CK97" s="1159"/>
      <c r="EG97" s="1159"/>
    </row>
    <row r="98" ht="15" customHeight="1">
      <c r="CK98" s="1159"/>
      <c r="EG98" s="1159"/>
    </row>
    <row r="99" ht="15" customHeight="1">
      <c r="CK99" s="1159"/>
      <c r="EG99" s="1159"/>
    </row>
    <row r="100" ht="15" customHeight="1">
      <c r="CK100" s="1159"/>
      <c r="EG100" s="1159"/>
    </row>
    <row r="101" ht="15" customHeight="1">
      <c r="CK101" s="1159"/>
      <c r="EG101" s="1159"/>
    </row>
    <row r="102" ht="15" customHeight="1">
      <c r="CK102" s="1159"/>
      <c r="EG102" s="1159"/>
    </row>
    <row r="103" ht="15" customHeight="1">
      <c r="CK103" s="1159"/>
      <c r="EG103" s="1159"/>
    </row>
    <row r="104" ht="15" customHeight="1">
      <c r="CK104" s="1159"/>
      <c r="EG104" s="1159"/>
    </row>
    <row r="105" ht="15" customHeight="1">
      <c r="CK105" s="1159"/>
      <c r="EG105" s="1159"/>
    </row>
    <row r="106" ht="15" customHeight="1">
      <c r="CK106" s="1159"/>
      <c r="EG106" s="1159"/>
    </row>
    <row r="107" ht="15" customHeight="1">
      <c r="CK107" s="1159"/>
      <c r="EG107" s="1159"/>
    </row>
    <row r="108" ht="15" customHeight="1">
      <c r="CK108" s="1159"/>
      <c r="EG108" s="1159"/>
    </row>
    <row r="109" ht="15" customHeight="1">
      <c r="CK109" s="1159"/>
      <c r="EG109" s="1159"/>
    </row>
    <row r="110" ht="15" customHeight="1">
      <c r="CK110" s="1159"/>
      <c r="EG110" s="1159"/>
    </row>
    <row r="111" ht="15" customHeight="1">
      <c r="CK111" s="1159"/>
      <c r="EG111" s="1159"/>
    </row>
    <row r="112" ht="15" customHeight="1">
      <c r="CK112" s="1159"/>
      <c r="EG112" s="1159"/>
    </row>
    <row r="113" ht="15" customHeight="1">
      <c r="CK113" s="1159"/>
      <c r="EG113" s="1159"/>
    </row>
    <row r="114" ht="15" customHeight="1">
      <c r="CK114" s="1159"/>
      <c r="EG114" s="1159"/>
    </row>
    <row r="115" ht="15" customHeight="1">
      <c r="CK115" s="1159"/>
      <c r="EG115" s="1159"/>
    </row>
    <row r="116" ht="15" customHeight="1">
      <c r="CK116" s="1159"/>
      <c r="EG116" s="1159"/>
    </row>
    <row r="117" ht="15" customHeight="1">
      <c r="CK117" s="1159"/>
      <c r="EG117" s="1159"/>
    </row>
    <row r="118" ht="15" customHeight="1">
      <c r="CK118" s="1159"/>
      <c r="EG118" s="1159"/>
    </row>
    <row r="119" ht="15" customHeight="1">
      <c r="CK119" s="1159"/>
      <c r="EG119" s="1159"/>
    </row>
    <row r="120" ht="15" customHeight="1">
      <c r="CK120" s="1159"/>
      <c r="EG120" s="1159"/>
    </row>
    <row r="121" ht="15" customHeight="1">
      <c r="CK121" s="1159"/>
      <c r="EG121" s="1159"/>
    </row>
    <row r="122" ht="15" customHeight="1">
      <c r="CK122" s="1159"/>
      <c r="EG122" s="1159"/>
    </row>
    <row r="123" ht="15" customHeight="1">
      <c r="CK123" s="1159"/>
      <c r="EG123" s="1159"/>
    </row>
    <row r="124" ht="15" customHeight="1">
      <c r="CK124" s="1159"/>
      <c r="EG124" s="1159"/>
    </row>
    <row r="125" ht="15" customHeight="1">
      <c r="CK125" s="1159"/>
      <c r="EG125" s="1159"/>
    </row>
    <row r="126" ht="15" customHeight="1">
      <c r="CK126" s="1159"/>
      <c r="EG126" s="1159"/>
    </row>
    <row r="127" ht="15" customHeight="1">
      <c r="CK127" s="1159"/>
      <c r="EG127" s="1159"/>
    </row>
    <row r="128" ht="15" customHeight="1">
      <c r="CK128" s="1159"/>
      <c r="EG128" s="1159"/>
    </row>
    <row r="129" ht="15" customHeight="1">
      <c r="CK129" s="1159"/>
      <c r="EG129" s="1159"/>
    </row>
    <row r="130" ht="15" customHeight="1">
      <c r="CK130" s="1159"/>
      <c r="EG130" s="1159"/>
    </row>
    <row r="131" ht="15" customHeight="1">
      <c r="CK131" s="1159"/>
      <c r="EG131" s="1159"/>
    </row>
    <row r="132" ht="15" customHeight="1">
      <c r="CK132" s="1159"/>
      <c r="EG132" s="1159"/>
    </row>
    <row r="133" ht="15" customHeight="1">
      <c r="CK133" s="1159"/>
      <c r="EG133" s="1159"/>
    </row>
    <row r="134" ht="15" customHeight="1">
      <c r="CK134" s="1159"/>
      <c r="EG134" s="1159"/>
    </row>
    <row r="135" ht="15" customHeight="1">
      <c r="CK135" s="1159"/>
      <c r="EG135" s="1159"/>
    </row>
    <row r="136" ht="15" customHeight="1">
      <c r="CK136" s="1159"/>
      <c r="EG136" s="1159"/>
    </row>
    <row r="137" ht="15" customHeight="1">
      <c r="CK137" s="1159"/>
      <c r="EG137" s="1159"/>
    </row>
    <row r="138" ht="15" customHeight="1">
      <c r="CK138" s="1159"/>
      <c r="EG138" s="1159"/>
    </row>
    <row r="139" ht="15" customHeight="1">
      <c r="CK139" s="1159"/>
      <c r="EG139" s="1159"/>
    </row>
    <row r="140" ht="15" customHeight="1">
      <c r="CK140" s="1159"/>
      <c r="EG140" s="1159"/>
    </row>
    <row r="141" ht="15" customHeight="1">
      <c r="CK141" s="1159"/>
      <c r="EG141" s="1159"/>
    </row>
    <row r="142" ht="15" customHeight="1">
      <c r="CK142" s="1159"/>
      <c r="EG142" s="1159"/>
    </row>
    <row r="143" ht="15" customHeight="1">
      <c r="CK143" s="1159"/>
      <c r="EG143" s="1159"/>
    </row>
    <row r="144" ht="15" customHeight="1">
      <c r="CK144" s="1159"/>
      <c r="EG144" s="1159"/>
    </row>
    <row r="145" ht="15" customHeight="1">
      <c r="CK145" s="1159"/>
      <c r="EG145" s="1159"/>
    </row>
    <row r="146" ht="15" customHeight="1">
      <c r="CK146" s="1159"/>
      <c r="EG146" s="1159"/>
    </row>
    <row r="147" ht="15" customHeight="1">
      <c r="CK147" s="1159"/>
      <c r="EG147" s="1159"/>
    </row>
    <row r="148" ht="15" customHeight="1">
      <c r="CK148" s="1159"/>
      <c r="EG148" s="1159"/>
    </row>
    <row r="149" ht="15" customHeight="1">
      <c r="CK149" s="1159"/>
      <c r="EG149" s="1159"/>
    </row>
    <row r="150" ht="15" customHeight="1">
      <c r="CK150" s="1159"/>
      <c r="EG150" s="1159"/>
    </row>
    <row r="151" ht="15" customHeight="1">
      <c r="CK151" s="1159"/>
      <c r="EG151" s="1159"/>
    </row>
    <row r="152" ht="15" customHeight="1">
      <c r="CK152" s="1159"/>
      <c r="EG152" s="1159"/>
    </row>
    <row r="153" ht="15" customHeight="1">
      <c r="CK153" s="1159"/>
      <c r="EG153" s="1159"/>
    </row>
    <row r="154" ht="15" customHeight="1">
      <c r="CK154" s="1159"/>
      <c r="EG154" s="1159"/>
    </row>
    <row r="155" ht="15" customHeight="1">
      <c r="CK155" s="1159"/>
      <c r="EG155" s="1159"/>
    </row>
    <row r="156" ht="15" customHeight="1">
      <c r="CK156" s="1159"/>
      <c r="EG156" s="1159"/>
    </row>
    <row r="157" ht="15" customHeight="1">
      <c r="CK157" s="1159"/>
      <c r="EG157" s="1159"/>
    </row>
    <row r="158" ht="15" customHeight="1">
      <c r="CK158" s="1159"/>
      <c r="EG158" s="1159"/>
    </row>
    <row r="159" ht="15" customHeight="1">
      <c r="CK159" s="1159"/>
      <c r="EG159" s="1159"/>
    </row>
    <row r="160" ht="15" customHeight="1">
      <c r="CK160" s="1159"/>
      <c r="EG160" s="1159"/>
    </row>
    <row r="161" ht="15" customHeight="1">
      <c r="CK161" s="1159"/>
      <c r="EG161" s="1159"/>
    </row>
    <row r="162" ht="15" customHeight="1">
      <c r="CK162" s="1159"/>
      <c r="EG162" s="1159"/>
    </row>
    <row r="163" ht="15" customHeight="1">
      <c r="CK163" s="1159"/>
      <c r="EG163" s="1159"/>
    </row>
    <row r="164" ht="15" customHeight="1">
      <c r="CK164" s="1159"/>
      <c r="EG164" s="1159"/>
    </row>
    <row r="165" ht="15" customHeight="1">
      <c r="CK165" s="1159"/>
      <c r="EG165" s="1159"/>
    </row>
    <row r="166" ht="15" customHeight="1">
      <c r="CK166" s="1159"/>
      <c r="EG166" s="1159"/>
    </row>
    <row r="167" ht="15" customHeight="1">
      <c r="CK167" s="1159"/>
      <c r="EG167" s="1159"/>
    </row>
    <row r="168" ht="15" customHeight="1">
      <c r="CK168" s="1159"/>
      <c r="EG168" s="1159"/>
    </row>
    <row r="169" ht="15" customHeight="1">
      <c r="CK169" s="1159"/>
      <c r="EG169" s="1159"/>
    </row>
    <row r="170" ht="15" customHeight="1">
      <c r="CK170" s="1159"/>
      <c r="EG170" s="1159"/>
    </row>
    <row r="171" ht="15" customHeight="1">
      <c r="CK171" s="1159"/>
      <c r="EG171" s="1159"/>
    </row>
    <row r="172" ht="15" customHeight="1">
      <c r="CK172" s="1159"/>
      <c r="EG172" s="1159"/>
    </row>
    <row r="173" ht="15" customHeight="1">
      <c r="CK173" s="1159"/>
      <c r="EG173" s="1159"/>
    </row>
    <row r="174" ht="15" customHeight="1">
      <c r="CK174" s="1159"/>
      <c r="EG174" s="1159"/>
    </row>
    <row r="175" ht="15" customHeight="1">
      <c r="CK175" s="1159"/>
      <c r="EG175" s="1159"/>
    </row>
    <row r="176" ht="15" customHeight="1">
      <c r="CK176" s="1159"/>
      <c r="EG176" s="1159"/>
    </row>
    <row r="177" ht="15" customHeight="1">
      <c r="CK177" s="1159"/>
      <c r="EG177" s="1159"/>
    </row>
    <row r="178" ht="15" customHeight="1">
      <c r="CK178" s="1159"/>
      <c r="EG178" s="1159"/>
    </row>
    <row r="179" ht="15" customHeight="1">
      <c r="CK179" s="1159"/>
      <c r="EG179" s="1159"/>
    </row>
    <row r="180" ht="15" customHeight="1">
      <c r="CK180" s="1159"/>
      <c r="EG180" s="1159"/>
    </row>
    <row r="181" ht="15" customHeight="1">
      <c r="CK181" s="1159"/>
      <c r="EG181" s="1159"/>
    </row>
    <row r="182" ht="15" customHeight="1">
      <c r="CK182" s="1159"/>
      <c r="EG182" s="1159"/>
    </row>
    <row r="183" ht="15" customHeight="1">
      <c r="CK183" s="1159"/>
      <c r="EG183" s="1159"/>
    </row>
    <row r="184" ht="15" customHeight="1">
      <c r="CK184" s="1159"/>
      <c r="EG184" s="1159"/>
    </row>
    <row r="185" ht="15" customHeight="1">
      <c r="CK185" s="1159"/>
      <c r="EG185" s="1159"/>
    </row>
    <row r="186" ht="15" customHeight="1">
      <c r="CK186" s="1159"/>
      <c r="EG186" s="1159"/>
    </row>
    <row r="187" ht="15" customHeight="1">
      <c r="CK187" s="1159"/>
      <c r="EG187" s="1159"/>
    </row>
    <row r="188" ht="15" customHeight="1">
      <c r="CK188" s="1159"/>
      <c r="EG188" s="1159"/>
    </row>
    <row r="189" ht="15" customHeight="1">
      <c r="CK189" s="1159"/>
      <c r="EG189" s="1159"/>
    </row>
    <row r="190" ht="15" customHeight="1">
      <c r="CK190" s="1159"/>
      <c r="EG190" s="1159"/>
    </row>
    <row r="191" ht="15" customHeight="1">
      <c r="CK191" s="1159"/>
      <c r="EG191" s="1159"/>
    </row>
    <row r="192" ht="15" customHeight="1">
      <c r="CK192" s="1159"/>
      <c r="EG192" s="1159"/>
    </row>
    <row r="193" ht="15" customHeight="1">
      <c r="CK193" s="1159"/>
      <c r="EG193" s="1159"/>
    </row>
    <row r="194" ht="15" customHeight="1">
      <c r="CK194" s="1159"/>
      <c r="EG194" s="1159"/>
    </row>
    <row r="195" ht="15" customHeight="1">
      <c r="CK195" s="1159"/>
      <c r="EG195" s="1159"/>
    </row>
    <row r="196" ht="15" customHeight="1">
      <c r="CK196" s="1159"/>
      <c r="EG196" s="1159"/>
    </row>
    <row r="197" ht="15" customHeight="1">
      <c r="CK197" s="1159"/>
      <c r="EG197" s="1159"/>
    </row>
    <row r="198" ht="15" customHeight="1">
      <c r="CK198" s="1159"/>
      <c r="EG198" s="1159"/>
    </row>
    <row r="199" ht="15" customHeight="1">
      <c r="CK199" s="1159"/>
      <c r="EG199" s="1159"/>
    </row>
    <row r="200" ht="15" customHeight="1">
      <c r="CK200" s="1159"/>
      <c r="EG200" s="1159"/>
    </row>
    <row r="201" ht="15" customHeight="1">
      <c r="CK201" s="1159"/>
      <c r="EG201" s="1159"/>
    </row>
    <row r="202" ht="15" customHeight="1">
      <c r="CK202" s="1159"/>
      <c r="EG202" s="1159"/>
    </row>
    <row r="203" ht="15" customHeight="1">
      <c r="CK203" s="1159"/>
      <c r="EG203" s="1159"/>
    </row>
    <row r="204" ht="15" customHeight="1">
      <c r="CK204" s="1159"/>
      <c r="EG204" s="1159"/>
    </row>
    <row r="205" ht="15" customHeight="1">
      <c r="CK205" s="1159"/>
      <c r="EG205" s="1159"/>
    </row>
    <row r="206" ht="15" customHeight="1">
      <c r="CK206" s="1159"/>
      <c r="EG206" s="1159"/>
    </row>
    <row r="207" ht="15" customHeight="1">
      <c r="CK207" s="1159"/>
      <c r="EG207" s="1159"/>
    </row>
    <row r="208" ht="15" customHeight="1">
      <c r="CK208" s="1159"/>
      <c r="EG208" s="1159"/>
    </row>
    <row r="209" ht="15" customHeight="1">
      <c r="CK209" s="1159"/>
      <c r="EG209" s="1159"/>
    </row>
    <row r="210" ht="15" customHeight="1">
      <c r="CK210" s="1159"/>
      <c r="EG210" s="1159"/>
    </row>
    <row r="211" ht="15" customHeight="1">
      <c r="CK211" s="1159"/>
      <c r="EG211" s="1159"/>
    </row>
    <row r="212" ht="15" customHeight="1">
      <c r="CK212" s="1159"/>
      <c r="EG212" s="1159"/>
    </row>
    <row r="213" ht="15" customHeight="1">
      <c r="CK213" s="1159"/>
      <c r="EG213" s="1159"/>
    </row>
    <row r="214" ht="15" customHeight="1">
      <c r="CK214" s="1159"/>
      <c r="EG214" s="1159"/>
    </row>
    <row r="215" ht="15" customHeight="1">
      <c r="CK215" s="1159"/>
      <c r="EG215" s="1159"/>
    </row>
    <row r="216" ht="15" customHeight="1">
      <c r="CK216" s="1159"/>
      <c r="EG216" s="1159"/>
    </row>
    <row r="217" ht="15" customHeight="1">
      <c r="CK217" s="1159"/>
      <c r="EG217" s="1159"/>
    </row>
    <row r="218" ht="15" customHeight="1">
      <c r="CK218" s="1159"/>
      <c r="EG218" s="1159"/>
    </row>
    <row r="219" ht="15" customHeight="1">
      <c r="CK219" s="1159"/>
      <c r="EG219" s="1159"/>
    </row>
    <row r="220" ht="15" customHeight="1">
      <c r="CK220" s="1159"/>
      <c r="EG220" s="1159"/>
    </row>
    <row r="221" ht="15" customHeight="1">
      <c r="CK221" s="1159"/>
      <c r="EG221" s="1159"/>
    </row>
    <row r="222" ht="15" customHeight="1">
      <c r="CK222" s="1159"/>
      <c r="EG222" s="1159"/>
    </row>
    <row r="223" ht="15" customHeight="1">
      <c r="CK223" s="1159"/>
      <c r="EG223" s="1159"/>
    </row>
    <row r="224" ht="15" customHeight="1">
      <c r="CK224" s="1159"/>
      <c r="EG224" s="1159"/>
    </row>
    <row r="225" ht="15" customHeight="1">
      <c r="CK225" s="1159"/>
      <c r="EG225" s="1159"/>
    </row>
    <row r="226" ht="15" customHeight="1">
      <c r="CK226" s="1159"/>
      <c r="EG226" s="1159"/>
    </row>
    <row r="227" ht="15" customHeight="1">
      <c r="CK227" s="1159"/>
      <c r="EG227" s="1159"/>
    </row>
    <row r="228" ht="15" customHeight="1">
      <c r="CK228" s="1159"/>
      <c r="EG228" s="1159"/>
    </row>
    <row r="229" ht="15" customHeight="1">
      <c r="CK229" s="1159"/>
      <c r="EG229" s="1159"/>
    </row>
    <row r="230" ht="15" customHeight="1">
      <c r="CK230" s="1159"/>
      <c r="EG230" s="1159"/>
    </row>
    <row r="231" ht="15" customHeight="1">
      <c r="CK231" s="1159"/>
      <c r="EG231" s="1159"/>
    </row>
    <row r="232" ht="15" customHeight="1">
      <c r="CK232" s="1159"/>
      <c r="EG232" s="1159"/>
    </row>
    <row r="233" ht="15" customHeight="1">
      <c r="CK233" s="1159"/>
      <c r="EG233" s="1159"/>
    </row>
    <row r="234" ht="15" customHeight="1">
      <c r="CK234" s="1159"/>
      <c r="EG234" s="1159"/>
    </row>
    <row r="235" ht="15" customHeight="1">
      <c r="CK235" s="1159"/>
      <c r="EG235" s="1159"/>
    </row>
    <row r="236" ht="15" customHeight="1">
      <c r="CK236" s="1159"/>
      <c r="EG236" s="1159"/>
    </row>
    <row r="237" ht="15" customHeight="1">
      <c r="CK237" s="1159"/>
      <c r="EG237" s="1159"/>
    </row>
    <row r="238" ht="15" customHeight="1">
      <c r="CK238" s="1159"/>
      <c r="EG238" s="1159"/>
    </row>
    <row r="239" ht="15" customHeight="1">
      <c r="CK239" s="1159"/>
      <c r="EG239" s="1159"/>
    </row>
    <row r="240" ht="15" customHeight="1">
      <c r="CK240" s="1159"/>
      <c r="EG240" s="1159"/>
    </row>
    <row r="241" ht="15" customHeight="1">
      <c r="CK241" s="1159"/>
      <c r="EG241" s="1159"/>
    </row>
    <row r="242" ht="15" customHeight="1">
      <c r="CK242" s="1159"/>
      <c r="EG242" s="1159"/>
    </row>
    <row r="243" ht="15" customHeight="1">
      <c r="CK243" s="1159"/>
      <c r="EG243" s="1159"/>
    </row>
    <row r="244" ht="15" customHeight="1">
      <c r="CK244" s="1159"/>
      <c r="EG244" s="1159"/>
    </row>
    <row r="245" ht="15" customHeight="1">
      <c r="CK245" s="1159"/>
      <c r="EG245" s="1159"/>
    </row>
    <row r="246" ht="15" customHeight="1">
      <c r="CK246" s="1159"/>
      <c r="EG246" s="1159"/>
    </row>
    <row r="247" ht="15" customHeight="1">
      <c r="CK247" s="1159"/>
      <c r="EG247" s="1159"/>
    </row>
    <row r="248" ht="15" customHeight="1">
      <c r="CK248" s="1159"/>
      <c r="EG248" s="1159"/>
    </row>
    <row r="249" ht="15" customHeight="1">
      <c r="CK249" s="1159"/>
      <c r="EG249" s="1159"/>
    </row>
    <row r="250" ht="15" customHeight="1">
      <c r="CK250" s="1159"/>
      <c r="EG250" s="1159"/>
    </row>
    <row r="251" ht="15" customHeight="1">
      <c r="CK251" s="1159"/>
      <c r="EG251" s="1159"/>
    </row>
    <row r="252" ht="15" customHeight="1">
      <c r="CK252" s="1159"/>
      <c r="EG252" s="1159"/>
    </row>
    <row r="253" ht="15" customHeight="1">
      <c r="CK253" s="1159"/>
      <c r="EG253" s="1159"/>
    </row>
    <row r="254" ht="15" customHeight="1">
      <c r="CK254" s="1159"/>
      <c r="EG254" s="1159"/>
    </row>
    <row r="255" ht="15" customHeight="1">
      <c r="CK255" s="1159"/>
      <c r="EG255" s="1159"/>
    </row>
    <row r="256" ht="15" customHeight="1">
      <c r="CK256" s="1159"/>
      <c r="EG256" s="1159"/>
    </row>
    <row r="257" ht="15" customHeight="1">
      <c r="CK257" s="1159"/>
      <c r="EG257" s="1159"/>
    </row>
    <row r="258" ht="15" customHeight="1">
      <c r="CK258" s="1159"/>
      <c r="EG258" s="1159"/>
    </row>
    <row r="259" ht="15" customHeight="1">
      <c r="CK259" s="1159"/>
      <c r="EG259" s="1159"/>
    </row>
    <row r="260" ht="15" customHeight="1">
      <c r="CK260" s="1159"/>
      <c r="EG260" s="1159"/>
    </row>
    <row r="261" ht="15" customHeight="1">
      <c r="CK261" s="1159"/>
      <c r="EG261" s="1159"/>
    </row>
    <row r="262" ht="15" customHeight="1">
      <c r="CK262" s="1159"/>
      <c r="EG262" s="1159"/>
    </row>
    <row r="263" ht="15" customHeight="1">
      <c r="CK263" s="1159"/>
      <c r="EG263" s="1159"/>
    </row>
    <row r="264" ht="15" customHeight="1">
      <c r="CK264" s="1159"/>
      <c r="EG264" s="1159"/>
    </row>
    <row r="265" ht="15" customHeight="1">
      <c r="CK265" s="1159"/>
      <c r="EG265" s="1159"/>
    </row>
    <row r="266" ht="15" customHeight="1">
      <c r="CK266" s="1159"/>
      <c r="EG266" s="1159"/>
    </row>
    <row r="267" ht="15" customHeight="1">
      <c r="CK267" s="1159"/>
      <c r="EG267" s="1159"/>
    </row>
    <row r="268" ht="15" customHeight="1">
      <c r="CK268" s="1159"/>
      <c r="EG268" s="1159"/>
    </row>
    <row r="269" ht="15" customHeight="1">
      <c r="CK269" s="1159"/>
      <c r="EG269" s="1159"/>
    </row>
    <row r="270" ht="15" customHeight="1">
      <c r="CK270" s="1159"/>
      <c r="EG270" s="1159"/>
    </row>
    <row r="271" ht="15" customHeight="1">
      <c r="CK271" s="1159"/>
      <c r="EG271" s="1159"/>
    </row>
    <row r="272" ht="15" customHeight="1">
      <c r="CK272" s="1159"/>
      <c r="EG272" s="1159"/>
    </row>
    <row r="273" ht="15" customHeight="1">
      <c r="CK273" s="1159"/>
      <c r="EG273" s="1159"/>
    </row>
    <row r="274" ht="15" customHeight="1">
      <c r="CK274" s="1159"/>
      <c r="EG274" s="1159"/>
    </row>
    <row r="275" ht="15" customHeight="1">
      <c r="CK275" s="1159"/>
      <c r="EG275" s="1159"/>
    </row>
    <row r="276" ht="15" customHeight="1">
      <c r="CK276" s="1159"/>
      <c r="EG276" s="1159"/>
    </row>
    <row r="277" ht="15" customHeight="1">
      <c r="CK277" s="1159"/>
      <c r="EG277" s="1159"/>
    </row>
    <row r="278" ht="15" customHeight="1">
      <c r="CK278" s="1159"/>
      <c r="EG278" s="1159"/>
    </row>
    <row r="279" ht="15" customHeight="1">
      <c r="CK279" s="1159"/>
      <c r="EG279" s="1159"/>
    </row>
    <row r="280" ht="15" customHeight="1">
      <c r="CK280" s="1159"/>
      <c r="EG280" s="1159"/>
    </row>
    <row r="281" ht="15" customHeight="1">
      <c r="CK281" s="1159"/>
      <c r="EG281" s="1159"/>
    </row>
    <row r="282" ht="15" customHeight="1">
      <c r="CK282" s="1159"/>
      <c r="EG282" s="1159"/>
    </row>
    <row r="283" ht="15" customHeight="1">
      <c r="CK283" s="1159"/>
      <c r="EG283" s="1159"/>
    </row>
    <row r="284" ht="15" customHeight="1">
      <c r="CK284" s="1159"/>
      <c r="EG284" s="1159"/>
    </row>
    <row r="285" ht="15" customHeight="1">
      <c r="CK285" s="1159"/>
      <c r="EG285" s="1159"/>
    </row>
    <row r="286" ht="15" customHeight="1">
      <c r="CK286" s="1159"/>
      <c r="EG286" s="1159"/>
    </row>
    <row r="287" ht="15" customHeight="1">
      <c r="CK287" s="1159"/>
      <c r="EG287" s="1159"/>
    </row>
    <row r="288" ht="15" customHeight="1">
      <c r="CK288" s="1159"/>
      <c r="EG288" s="1159"/>
    </row>
    <row r="289" ht="15" customHeight="1">
      <c r="CK289" s="1159"/>
      <c r="EG289" s="1159"/>
    </row>
    <row r="290" ht="15" customHeight="1">
      <c r="CK290" s="1159"/>
      <c r="EG290" s="1159"/>
    </row>
    <row r="291" ht="15" customHeight="1">
      <c r="CK291" s="1159"/>
      <c r="EG291" s="1159"/>
    </row>
    <row r="292" ht="15" customHeight="1">
      <c r="CK292" s="1159"/>
      <c r="EG292" s="1159"/>
    </row>
    <row r="293" ht="15" customHeight="1">
      <c r="CK293" s="1159"/>
      <c r="EG293" s="1159"/>
    </row>
    <row r="294" ht="15" customHeight="1">
      <c r="CK294" s="1159"/>
      <c r="EG294" s="1159"/>
    </row>
    <row r="295" ht="15" customHeight="1">
      <c r="CK295" s="1159"/>
      <c r="EG295" s="1159"/>
    </row>
    <row r="296" ht="15" customHeight="1">
      <c r="CK296" s="1159"/>
      <c r="EG296" s="1159"/>
    </row>
    <row r="297" ht="15" customHeight="1">
      <c r="CK297" s="1159"/>
      <c r="EG297" s="1159"/>
    </row>
    <row r="298" ht="15" customHeight="1">
      <c r="CK298" s="1159"/>
      <c r="EG298" s="1159"/>
    </row>
    <row r="299" ht="15" customHeight="1">
      <c r="CK299" s="1159"/>
      <c r="EG299" s="1159"/>
    </row>
    <row r="300" ht="15" customHeight="1">
      <c r="CK300" s="1159"/>
      <c r="EG300" s="1159"/>
    </row>
    <row r="301" ht="15" customHeight="1">
      <c r="CK301" s="1159"/>
      <c r="EG301" s="1159"/>
    </row>
    <row r="302" ht="15" customHeight="1">
      <c r="CK302" s="1159"/>
      <c r="EG302" s="1159"/>
    </row>
    <row r="303" ht="15" customHeight="1">
      <c r="CK303" s="1159"/>
      <c r="EG303" s="1159"/>
    </row>
    <row r="304" ht="15" customHeight="1">
      <c r="CK304" s="1159"/>
      <c r="EG304" s="1159"/>
    </row>
    <row r="305" ht="15" customHeight="1">
      <c r="CK305" s="1159"/>
      <c r="EG305" s="1159"/>
    </row>
    <row r="306" ht="15" customHeight="1">
      <c r="CK306" s="1159"/>
      <c r="EG306" s="1159"/>
    </row>
    <row r="307" ht="15" customHeight="1">
      <c r="CK307" s="1159"/>
      <c r="EG307" s="1159"/>
    </row>
    <row r="308" ht="15" customHeight="1">
      <c r="CK308" s="1159"/>
      <c r="EG308" s="1159"/>
    </row>
    <row r="309" ht="15" customHeight="1">
      <c r="CK309" s="1159"/>
      <c r="EG309" s="1159"/>
    </row>
    <row r="310" ht="15" customHeight="1">
      <c r="CK310" s="1159"/>
      <c r="EG310" s="1159"/>
    </row>
    <row r="311" ht="15" customHeight="1">
      <c r="CK311" s="1159"/>
      <c r="EG311" s="1159"/>
    </row>
    <row r="312" ht="15" customHeight="1">
      <c r="CK312" s="1159"/>
      <c r="EG312" s="1159"/>
    </row>
    <row r="313" ht="15" customHeight="1">
      <c r="CK313" s="1159"/>
      <c r="EG313" s="1159"/>
    </row>
    <row r="314" ht="15" customHeight="1">
      <c r="CK314" s="1159"/>
      <c r="EG314" s="1159"/>
    </row>
    <row r="315" ht="15" customHeight="1">
      <c r="CK315" s="1159"/>
      <c r="EG315" s="1159"/>
    </row>
    <row r="316" ht="15" customHeight="1">
      <c r="CK316" s="1159"/>
      <c r="EG316" s="1159"/>
    </row>
    <row r="317" ht="15" customHeight="1">
      <c r="CK317" s="1159"/>
      <c r="EG317" s="1159"/>
    </row>
    <row r="318" ht="15" customHeight="1">
      <c r="CK318" s="1159"/>
      <c r="EG318" s="1159"/>
    </row>
    <row r="319" ht="15" customHeight="1">
      <c r="CK319" s="1159"/>
      <c r="EG319" s="1159"/>
    </row>
    <row r="320" ht="15" customHeight="1">
      <c r="CK320" s="1159"/>
      <c r="EG320" s="1159"/>
    </row>
    <row r="321" ht="15" customHeight="1">
      <c r="CK321" s="1159"/>
      <c r="EG321" s="1159"/>
    </row>
    <row r="322" ht="15" customHeight="1">
      <c r="CK322" s="1159"/>
      <c r="EG322" s="1159"/>
    </row>
    <row r="323" ht="15" customHeight="1">
      <c r="CK323" s="1159"/>
      <c r="EG323" s="1159"/>
    </row>
    <row r="324" ht="15" customHeight="1">
      <c r="CK324" s="1159"/>
      <c r="EG324" s="1159"/>
    </row>
    <row r="325" ht="15" customHeight="1">
      <c r="CK325" s="1159"/>
      <c r="EG325" s="1159"/>
    </row>
    <row r="326" ht="15" customHeight="1">
      <c r="CK326" s="1159"/>
      <c r="EG326" s="1159"/>
    </row>
    <row r="327" ht="15" customHeight="1">
      <c r="CK327" s="1159"/>
      <c r="EG327" s="1159"/>
    </row>
    <row r="328" ht="15" customHeight="1">
      <c r="CK328" s="1159"/>
      <c r="EG328" s="1159"/>
    </row>
    <row r="329" ht="15" customHeight="1">
      <c r="CK329" s="1159"/>
      <c r="EG329" s="1159"/>
    </row>
    <row r="330" ht="15" customHeight="1">
      <c r="CK330" s="1159"/>
      <c r="EG330" s="1159"/>
    </row>
    <row r="331" ht="15" customHeight="1">
      <c r="CK331" s="1159"/>
      <c r="EG331" s="1159"/>
    </row>
    <row r="332" ht="15" customHeight="1">
      <c r="CK332" s="1159"/>
      <c r="EG332" s="1159"/>
    </row>
    <row r="333" ht="15" customHeight="1">
      <c r="CK333" s="1159"/>
      <c r="EG333" s="1159"/>
    </row>
    <row r="334" ht="15" customHeight="1">
      <c r="CK334" s="1159"/>
      <c r="EG334" s="1159"/>
    </row>
    <row r="335" ht="15" customHeight="1">
      <c r="CK335" s="1159"/>
      <c r="EG335" s="1159"/>
    </row>
    <row r="336" ht="15" customHeight="1">
      <c r="CK336" s="1159"/>
      <c r="EG336" s="1159"/>
    </row>
    <row r="337" ht="15" customHeight="1">
      <c r="CK337" s="1159"/>
      <c r="EG337" s="1159"/>
    </row>
    <row r="338" ht="15" customHeight="1">
      <c r="CK338" s="1159"/>
      <c r="EG338" s="1159"/>
    </row>
    <row r="339" ht="15" customHeight="1">
      <c r="CK339" s="1159"/>
      <c r="EG339" s="1159"/>
    </row>
    <row r="340" ht="15" customHeight="1">
      <c r="CK340" s="1159"/>
      <c r="EG340" s="1159"/>
    </row>
    <row r="341" ht="15" customHeight="1">
      <c r="CK341" s="1159"/>
      <c r="EG341" s="1159"/>
    </row>
    <row r="342" ht="15" customHeight="1">
      <c r="CK342" s="1159"/>
      <c r="EG342" s="1159"/>
    </row>
    <row r="343" ht="15" customHeight="1">
      <c r="CK343" s="1159"/>
      <c r="EG343" s="1159"/>
    </row>
    <row r="344" ht="15" customHeight="1">
      <c r="CK344" s="1159"/>
      <c r="EG344" s="1159"/>
    </row>
    <row r="345" ht="15" customHeight="1">
      <c r="CK345" s="1159"/>
      <c r="EG345" s="1159"/>
    </row>
    <row r="346" ht="15" customHeight="1">
      <c r="CK346" s="1159"/>
      <c r="EG346" s="1159"/>
    </row>
    <row r="347" ht="15" customHeight="1">
      <c r="CK347" s="1159"/>
      <c r="EG347" s="1159"/>
    </row>
    <row r="348" ht="15" customHeight="1">
      <c r="CK348" s="1159"/>
      <c r="EG348" s="1159"/>
    </row>
    <row r="349" ht="15" customHeight="1">
      <c r="CK349" s="1159"/>
      <c r="EG349" s="1159"/>
    </row>
    <row r="350" ht="15" customHeight="1">
      <c r="CK350" s="1159"/>
      <c r="EG350" s="1159"/>
    </row>
    <row r="351" ht="15" customHeight="1">
      <c r="CK351" s="1159"/>
      <c r="EG351" s="1159"/>
    </row>
    <row r="352" ht="15" customHeight="1">
      <c r="CK352" s="1159"/>
      <c r="EG352" s="1159"/>
    </row>
    <row r="353" ht="15" customHeight="1">
      <c r="CK353" s="1159"/>
      <c r="EG353" s="1159"/>
    </row>
    <row r="354" ht="15" customHeight="1">
      <c r="CK354" s="1159"/>
      <c r="EG354" s="1159"/>
    </row>
    <row r="355" ht="15" customHeight="1">
      <c r="CK355" s="1159"/>
      <c r="EG355" s="1159"/>
    </row>
    <row r="356" ht="15" customHeight="1">
      <c r="CK356" s="1159"/>
      <c r="EG356" s="1159"/>
    </row>
    <row r="357" ht="15" customHeight="1">
      <c r="CK357" s="1159"/>
      <c r="EG357" s="1159"/>
    </row>
    <row r="358" ht="15" customHeight="1">
      <c r="CK358" s="1159"/>
      <c r="EG358" s="1159"/>
    </row>
    <row r="359" ht="15" customHeight="1">
      <c r="CK359" s="1159"/>
      <c r="EG359" s="1159"/>
    </row>
    <row r="360" ht="15" customHeight="1">
      <c r="CK360" s="1159"/>
      <c r="EG360" s="1159"/>
    </row>
    <row r="361" ht="15" customHeight="1">
      <c r="CK361" s="1159"/>
      <c r="EG361" s="1159"/>
    </row>
    <row r="362" ht="15" customHeight="1">
      <c r="CK362" s="1159"/>
      <c r="EG362" s="1159"/>
    </row>
    <row r="363" ht="15" customHeight="1">
      <c r="CK363" s="1159"/>
      <c r="EG363" s="1159"/>
    </row>
    <row r="364" ht="15" customHeight="1">
      <c r="CK364" s="1159"/>
      <c r="EG364" s="1159"/>
    </row>
    <row r="365" ht="15" customHeight="1">
      <c r="CK365" s="1159"/>
      <c r="EG365" s="1159"/>
    </row>
    <row r="366" ht="15" customHeight="1">
      <c r="CK366" s="1159"/>
      <c r="EG366" s="1159"/>
    </row>
    <row r="367" ht="15" customHeight="1">
      <c r="CK367" s="1159"/>
      <c r="EG367" s="1159"/>
    </row>
    <row r="368" ht="15" customHeight="1">
      <c r="CK368" s="1159"/>
      <c r="EG368" s="1159"/>
    </row>
    <row r="369" ht="15" customHeight="1">
      <c r="CK369" s="1159"/>
      <c r="EG369" s="1159"/>
    </row>
    <row r="370" ht="15" customHeight="1">
      <c r="CK370" s="1159"/>
      <c r="EG370" s="1159"/>
    </row>
    <row r="371" ht="15" customHeight="1">
      <c r="CK371" s="1159"/>
      <c r="EG371" s="1159"/>
    </row>
    <row r="372" ht="15" customHeight="1">
      <c r="CK372" s="1159"/>
      <c r="EG372" s="1159"/>
    </row>
    <row r="373" ht="15" customHeight="1">
      <c r="CK373" s="1159"/>
      <c r="EG373" s="1159"/>
    </row>
    <row r="374" ht="15" customHeight="1">
      <c r="CK374" s="1159"/>
      <c r="EG374" s="1159"/>
    </row>
    <row r="375" ht="15" customHeight="1">
      <c r="CK375" s="1159"/>
      <c r="EG375" s="1159"/>
    </row>
    <row r="376" ht="15" customHeight="1">
      <c r="CK376" s="1159"/>
      <c r="EG376" s="1159"/>
    </row>
    <row r="377" ht="15" customHeight="1">
      <c r="CK377" s="1159"/>
      <c r="EG377" s="1159"/>
    </row>
    <row r="378" ht="15" customHeight="1">
      <c r="CK378" s="1159"/>
      <c r="EG378" s="1159"/>
    </row>
    <row r="379" ht="15" customHeight="1">
      <c r="CK379" s="1159"/>
      <c r="EG379" s="1159"/>
    </row>
    <row r="380" ht="15" customHeight="1">
      <c r="CK380" s="1159"/>
      <c r="EG380" s="1159"/>
    </row>
    <row r="381" ht="15" customHeight="1">
      <c r="CK381" s="1159"/>
      <c r="EG381" s="1159"/>
    </row>
    <row r="382" ht="15" customHeight="1">
      <c r="CK382" s="1159"/>
      <c r="EG382" s="1159"/>
    </row>
    <row r="383" ht="15" customHeight="1">
      <c r="CK383" s="1159"/>
      <c r="EG383" s="1159"/>
    </row>
    <row r="384" ht="15" customHeight="1">
      <c r="CK384" s="1159"/>
      <c r="EG384" s="1159"/>
    </row>
    <row r="385" ht="15" customHeight="1">
      <c r="CK385" s="1159"/>
      <c r="EG385" s="1159"/>
    </row>
    <row r="386" ht="15" customHeight="1">
      <c r="CK386" s="1159"/>
      <c r="EG386" s="1159"/>
    </row>
    <row r="387" ht="15" customHeight="1">
      <c r="CK387" s="1159"/>
      <c r="EG387" s="1159"/>
    </row>
    <row r="388" ht="15" customHeight="1">
      <c r="CK388" s="1159"/>
      <c r="EG388" s="1159"/>
    </row>
    <row r="389" ht="15" customHeight="1">
      <c r="CK389" s="1159"/>
      <c r="EG389" s="1159"/>
    </row>
    <row r="390" ht="15" customHeight="1">
      <c r="CK390" s="1159"/>
      <c r="EG390" s="1159"/>
    </row>
    <row r="391" ht="15" customHeight="1">
      <c r="CK391" s="1159"/>
      <c r="EG391" s="1159"/>
    </row>
    <row r="392" ht="15" customHeight="1">
      <c r="CK392" s="1159"/>
      <c r="EG392" s="1159"/>
    </row>
    <row r="393" ht="15" customHeight="1">
      <c r="CK393" s="1159"/>
      <c r="EG393" s="1159"/>
    </row>
    <row r="394" ht="15" customHeight="1">
      <c r="CK394" s="1159"/>
      <c r="EG394" s="1159"/>
    </row>
    <row r="395" ht="15" customHeight="1">
      <c r="CK395" s="1159"/>
      <c r="EG395" s="1159"/>
    </row>
    <row r="396" ht="15" customHeight="1">
      <c r="CK396" s="1159"/>
      <c r="EG396" s="1159"/>
    </row>
    <row r="397" ht="15" customHeight="1">
      <c r="CK397" s="1159"/>
      <c r="EG397" s="1159"/>
    </row>
    <row r="398" ht="15" customHeight="1">
      <c r="CK398" s="1159"/>
      <c r="EG398" s="1159"/>
    </row>
    <row r="399" ht="15" customHeight="1">
      <c r="CK399" s="1159"/>
      <c r="EG399" s="1159"/>
    </row>
    <row r="400" ht="15" customHeight="1">
      <c r="CK400" s="1159"/>
      <c r="EG400" s="1159"/>
    </row>
    <row r="401" ht="15" customHeight="1">
      <c r="CK401" s="1159"/>
      <c r="EG401" s="1159"/>
    </row>
    <row r="402" ht="15" customHeight="1">
      <c r="CK402" s="1159"/>
      <c r="EG402" s="1159"/>
    </row>
    <row r="403" ht="15" customHeight="1">
      <c r="CK403" s="1159"/>
      <c r="EG403" s="1159"/>
    </row>
    <row r="404" ht="15" customHeight="1">
      <c r="CK404" s="1159"/>
      <c r="EG404" s="1159"/>
    </row>
    <row r="405" ht="15" customHeight="1">
      <c r="CK405" s="1159"/>
      <c r="EG405" s="1159"/>
    </row>
    <row r="406" ht="15" customHeight="1">
      <c r="CK406" s="1159"/>
      <c r="EG406" s="1159"/>
    </row>
    <row r="407" ht="15" customHeight="1">
      <c r="CK407" s="1159"/>
      <c r="EG407" s="1159"/>
    </row>
    <row r="408" ht="15" customHeight="1">
      <c r="CK408" s="1159"/>
      <c r="EG408" s="1159"/>
    </row>
    <row r="409" ht="15" customHeight="1">
      <c r="CK409" s="1159"/>
      <c r="EG409" s="1159"/>
    </row>
    <row r="410" ht="15" customHeight="1">
      <c r="CK410" s="1159"/>
      <c r="EG410" s="1159"/>
    </row>
    <row r="411" ht="15" customHeight="1">
      <c r="CK411" s="1159"/>
      <c r="EG411" s="1159"/>
    </row>
    <row r="412" ht="15" customHeight="1">
      <c r="CK412" s="1159"/>
      <c r="EG412" s="1159"/>
    </row>
    <row r="413" ht="15" customHeight="1">
      <c r="CK413" s="1159"/>
      <c r="EG413" s="1159"/>
    </row>
    <row r="414" ht="15" customHeight="1">
      <c r="CK414" s="1159"/>
      <c r="EG414" s="1159"/>
    </row>
    <row r="415" ht="15" customHeight="1">
      <c r="CK415" s="1159"/>
      <c r="EG415" s="1159"/>
    </row>
    <row r="416" ht="15" customHeight="1">
      <c r="CK416" s="1159"/>
      <c r="EG416" s="1159"/>
    </row>
    <row r="417" ht="15" customHeight="1">
      <c r="CK417" s="1159"/>
      <c r="EG417" s="1159"/>
    </row>
    <row r="418" ht="15" customHeight="1">
      <c r="CK418" s="1159"/>
      <c r="EG418" s="1159"/>
    </row>
    <row r="419" ht="15" customHeight="1">
      <c r="CK419" s="1159"/>
      <c r="EG419" s="1159"/>
    </row>
    <row r="420" ht="15" customHeight="1">
      <c r="CK420" s="1159"/>
      <c r="EG420" s="1159"/>
    </row>
    <row r="421" ht="15" customHeight="1">
      <c r="CK421" s="1159"/>
      <c r="EG421" s="1159"/>
    </row>
    <row r="422" ht="15" customHeight="1">
      <c r="CK422" s="1159"/>
      <c r="EG422" s="1159"/>
    </row>
    <row r="423" ht="15" customHeight="1">
      <c r="CK423" s="1159"/>
      <c r="EG423" s="1159"/>
    </row>
    <row r="424" ht="15" customHeight="1">
      <c r="CK424" s="1159"/>
      <c r="EG424" s="1159"/>
    </row>
    <row r="425" ht="15" customHeight="1">
      <c r="CK425" s="1159"/>
      <c r="EG425" s="1159"/>
    </row>
    <row r="426" ht="15" customHeight="1">
      <c r="CK426" s="1159"/>
      <c r="EG426" s="1159"/>
    </row>
    <row r="427" ht="15" customHeight="1">
      <c r="CK427" s="1159"/>
      <c r="EG427" s="1159"/>
    </row>
    <row r="428" ht="15" customHeight="1">
      <c r="CK428" s="1159"/>
      <c r="EG428" s="1159"/>
    </row>
    <row r="429" ht="15" customHeight="1">
      <c r="CK429" s="1159"/>
      <c r="EG429" s="1159"/>
    </row>
    <row r="430" ht="15" customHeight="1">
      <c r="CK430" s="1159"/>
      <c r="EG430" s="1159"/>
    </row>
    <row r="431" ht="15" customHeight="1">
      <c r="CK431" s="1159"/>
      <c r="EG431" s="1159"/>
    </row>
    <row r="432" ht="15" customHeight="1">
      <c r="CK432" s="1159"/>
      <c r="EG432" s="1159"/>
    </row>
    <row r="433" ht="15" customHeight="1">
      <c r="CK433" s="1159"/>
      <c r="EG433" s="1159"/>
    </row>
    <row r="434" ht="15" customHeight="1">
      <c r="CK434" s="1159"/>
      <c r="EG434" s="1159"/>
    </row>
    <row r="435" ht="15" customHeight="1">
      <c r="CK435" s="1159"/>
      <c r="EG435" s="1159"/>
    </row>
    <row r="436" ht="15" customHeight="1">
      <c r="CK436" s="1159"/>
      <c r="EG436" s="1159"/>
    </row>
    <row r="437" ht="15" customHeight="1">
      <c r="CK437" s="1159"/>
      <c r="EG437" s="1159"/>
    </row>
    <row r="438" ht="15" customHeight="1">
      <c r="CK438" s="1159"/>
      <c r="EG438" s="1159"/>
    </row>
    <row r="439" ht="15" customHeight="1">
      <c r="CK439" s="1159"/>
      <c r="EG439" s="1159"/>
    </row>
    <row r="440" ht="15" customHeight="1">
      <c r="CK440" s="1159"/>
      <c r="EG440" s="1159"/>
    </row>
    <row r="441" ht="15" customHeight="1">
      <c r="CK441" s="1159"/>
      <c r="EG441" s="1159"/>
    </row>
    <row r="442" ht="15" customHeight="1">
      <c r="CK442" s="1159"/>
      <c r="EG442" s="1159"/>
    </row>
    <row r="443" ht="15" customHeight="1">
      <c r="CK443" s="1159"/>
      <c r="EG443" s="1159"/>
    </row>
    <row r="444" ht="15" customHeight="1">
      <c r="CK444" s="1159"/>
      <c r="EG444" s="1159"/>
    </row>
    <row r="445" ht="15" customHeight="1">
      <c r="CK445" s="1159"/>
      <c r="EG445" s="1159"/>
    </row>
    <row r="446" ht="15" customHeight="1">
      <c r="CK446" s="1159"/>
      <c r="EG446" s="1159"/>
    </row>
    <row r="447" ht="15" customHeight="1">
      <c r="CK447" s="1159"/>
      <c r="EG447" s="1159"/>
    </row>
    <row r="448" ht="15" customHeight="1">
      <c r="CK448" s="1159"/>
      <c r="EG448" s="1159"/>
    </row>
    <row r="449" ht="15" customHeight="1">
      <c r="CK449" s="1159"/>
      <c r="EG449" s="1159"/>
    </row>
    <row r="450" ht="15" customHeight="1">
      <c r="CK450" s="1159"/>
      <c r="EG450" s="1159"/>
    </row>
    <row r="451" ht="15" customHeight="1">
      <c r="CK451" s="1159"/>
      <c r="EG451" s="1159"/>
    </row>
    <row r="452" ht="15" customHeight="1">
      <c r="CK452" s="1159"/>
      <c r="EG452" s="1159"/>
    </row>
    <row r="453" ht="15" customHeight="1">
      <c r="CK453" s="1159"/>
      <c r="EG453" s="1159"/>
    </row>
    <row r="454" ht="15" customHeight="1">
      <c r="CK454" s="1159"/>
      <c r="EG454" s="1159"/>
    </row>
    <row r="455" ht="15" customHeight="1">
      <c r="CK455" s="1159"/>
      <c r="EG455" s="1159"/>
    </row>
    <row r="456" ht="15" customHeight="1">
      <c r="CK456" s="1159"/>
      <c r="EG456" s="1159"/>
    </row>
    <row r="457" ht="15" customHeight="1">
      <c r="CK457" s="1159"/>
      <c r="EG457" s="1159"/>
    </row>
    <row r="458" ht="15" customHeight="1">
      <c r="CK458" s="1159"/>
      <c r="EG458" s="1159"/>
    </row>
    <row r="459" ht="15" customHeight="1">
      <c r="CK459" s="1159"/>
      <c r="EG459" s="1159"/>
    </row>
    <row r="460" ht="15" customHeight="1">
      <c r="CK460" s="1159"/>
      <c r="EG460" s="1159"/>
    </row>
    <row r="461" ht="15" customHeight="1">
      <c r="CK461" s="1159"/>
      <c r="EG461" s="1159"/>
    </row>
    <row r="462" ht="15" customHeight="1">
      <c r="CK462" s="1159"/>
      <c r="EG462" s="1159"/>
    </row>
    <row r="463" ht="15" customHeight="1">
      <c r="CK463" s="1159"/>
      <c r="EG463" s="1159"/>
    </row>
    <row r="464" ht="15" customHeight="1">
      <c r="CK464" s="1159"/>
      <c r="EG464" s="1159"/>
    </row>
    <row r="465" ht="15" customHeight="1">
      <c r="CK465" s="1159"/>
      <c r="EG465" s="1159"/>
    </row>
    <row r="466" ht="15" customHeight="1">
      <c r="CK466" s="1159"/>
      <c r="EG466" s="1159"/>
    </row>
    <row r="467" ht="15" customHeight="1">
      <c r="CK467" s="1159"/>
      <c r="EG467" s="1159"/>
    </row>
    <row r="468" ht="15" customHeight="1">
      <c r="CK468" s="1159"/>
      <c r="EG468" s="1159"/>
    </row>
    <row r="469" ht="15" customHeight="1">
      <c r="CK469" s="1159"/>
      <c r="EG469" s="1159"/>
    </row>
    <row r="470" ht="15" customHeight="1">
      <c r="CK470" s="1159"/>
      <c r="EG470" s="1159"/>
    </row>
    <row r="471" ht="15" customHeight="1">
      <c r="CK471" s="1159"/>
      <c r="EG471" s="1159"/>
    </row>
    <row r="472" ht="15" customHeight="1">
      <c r="CK472" s="1159"/>
      <c r="EG472" s="1159"/>
    </row>
    <row r="473" ht="15" customHeight="1">
      <c r="CK473" s="1159"/>
      <c r="EG473" s="1159"/>
    </row>
    <row r="474" ht="15" customHeight="1">
      <c r="CK474" s="1159"/>
      <c r="EG474" s="1159"/>
    </row>
    <row r="475" ht="15" customHeight="1">
      <c r="CK475" s="1159"/>
      <c r="EG475" s="1159"/>
    </row>
    <row r="476" ht="15" customHeight="1">
      <c r="CK476" s="1159"/>
      <c r="EG476" s="1159"/>
    </row>
    <row r="477" ht="15" customHeight="1">
      <c r="CK477" s="1159"/>
      <c r="EG477" s="1159"/>
    </row>
    <row r="478" ht="15" customHeight="1">
      <c r="CK478" s="1159"/>
      <c r="EG478" s="1159"/>
    </row>
    <row r="479" ht="15" customHeight="1">
      <c r="CK479" s="1159"/>
      <c r="EG479" s="1159"/>
    </row>
    <row r="480" ht="15" customHeight="1">
      <c r="CK480" s="1159"/>
      <c r="EG480" s="1159"/>
    </row>
    <row r="481" ht="15" customHeight="1">
      <c r="CK481" s="1159"/>
      <c r="EG481" s="1159"/>
    </row>
    <row r="482" ht="15" customHeight="1">
      <c r="CK482" s="1159"/>
      <c r="EG482" s="1159"/>
    </row>
    <row r="483" ht="15" customHeight="1">
      <c r="CK483" s="1159"/>
      <c r="EG483" s="1159"/>
    </row>
    <row r="484" ht="15" customHeight="1">
      <c r="CK484" s="1159"/>
      <c r="EG484" s="1159"/>
    </row>
    <row r="485" ht="15" customHeight="1">
      <c r="CK485" s="1159"/>
      <c r="EG485" s="1159"/>
    </row>
    <row r="486" ht="15" customHeight="1">
      <c r="CK486" s="1159"/>
      <c r="EG486" s="1159"/>
    </row>
    <row r="487" ht="15" customHeight="1">
      <c r="CK487" s="1159"/>
      <c r="EG487" s="1159"/>
    </row>
    <row r="488" ht="15" customHeight="1">
      <c r="CK488" s="1159"/>
      <c r="EG488" s="1159"/>
    </row>
    <row r="489" ht="15" customHeight="1">
      <c r="CK489" s="1159"/>
      <c r="EG489" s="1159"/>
    </row>
    <row r="490" ht="15" customHeight="1">
      <c r="CK490" s="1159"/>
      <c r="EG490" s="1159"/>
    </row>
    <row r="491" ht="15" customHeight="1">
      <c r="CK491" s="1159"/>
      <c r="EG491" s="1159"/>
    </row>
    <row r="492" ht="15" customHeight="1">
      <c r="CK492" s="1159"/>
      <c r="EG492" s="1159"/>
    </row>
    <row r="493" ht="15" customHeight="1">
      <c r="CK493" s="1159"/>
      <c r="EG493" s="1159"/>
    </row>
    <row r="494" ht="15" customHeight="1">
      <c r="CK494" s="1159"/>
      <c r="EG494" s="1159"/>
    </row>
    <row r="495" ht="15" customHeight="1">
      <c r="CK495" s="1159"/>
      <c r="EG495" s="1159"/>
    </row>
    <row r="496" ht="15" customHeight="1">
      <c r="CK496" s="1159"/>
      <c r="EG496" s="1159"/>
    </row>
    <row r="497" ht="15" customHeight="1">
      <c r="CK497" s="1159"/>
      <c r="EG497" s="1159"/>
    </row>
    <row r="498" ht="15" customHeight="1">
      <c r="CK498" s="1159"/>
      <c r="EG498" s="1159"/>
    </row>
    <row r="499" ht="15" customHeight="1">
      <c r="CK499" s="1159"/>
      <c r="EG499" s="1159"/>
    </row>
    <row r="500" ht="15" customHeight="1">
      <c r="CK500" s="1159"/>
      <c r="EG500" s="1159"/>
    </row>
    <row r="501" ht="15" customHeight="1">
      <c r="CK501" s="1159"/>
      <c r="EG501" s="1159"/>
    </row>
    <row r="502" ht="15" customHeight="1">
      <c r="CK502" s="1159"/>
      <c r="EG502" s="1159"/>
    </row>
    <row r="503" ht="15" customHeight="1">
      <c r="CK503" s="1159"/>
      <c r="EG503" s="1159"/>
    </row>
    <row r="504" ht="15" customHeight="1">
      <c r="CK504" s="1159"/>
      <c r="EG504" s="1159"/>
    </row>
    <row r="505" ht="15" customHeight="1">
      <c r="CK505" s="1159"/>
      <c r="EG505" s="1159"/>
    </row>
    <row r="506" ht="15" customHeight="1">
      <c r="CK506" s="1159"/>
      <c r="EG506" s="1159"/>
    </row>
    <row r="507" ht="15" customHeight="1">
      <c r="CK507" s="1159"/>
      <c r="EG507" s="1159"/>
    </row>
    <row r="508" ht="15" customHeight="1">
      <c r="CK508" s="1159"/>
      <c r="EG508" s="1159"/>
    </row>
    <row r="509" ht="15" customHeight="1">
      <c r="CK509" s="1159"/>
      <c r="EG509" s="1159"/>
    </row>
    <row r="510" ht="15" customHeight="1">
      <c r="CK510" s="1159"/>
      <c r="EG510" s="1159"/>
    </row>
    <row r="511" ht="15" customHeight="1">
      <c r="CK511" s="1159"/>
      <c r="EG511" s="1159"/>
    </row>
    <row r="512" ht="15" customHeight="1">
      <c r="CK512" s="1159"/>
      <c r="EG512" s="1159"/>
    </row>
    <row r="513" ht="15" customHeight="1">
      <c r="CK513" s="1159"/>
      <c r="EG513" s="1159"/>
    </row>
    <row r="514" ht="15" customHeight="1">
      <c r="CK514" s="1159"/>
      <c r="EG514" s="1159"/>
    </row>
    <row r="515" ht="15" customHeight="1">
      <c r="CK515" s="1159"/>
      <c r="EG515" s="1159"/>
    </row>
    <row r="516" ht="15" customHeight="1">
      <c r="CK516" s="1159"/>
      <c r="EG516" s="1159"/>
    </row>
    <row r="517" ht="15" customHeight="1">
      <c r="CK517" s="1159"/>
      <c r="EG517" s="1159"/>
    </row>
    <row r="518" ht="15" customHeight="1">
      <c r="CK518" s="1159"/>
      <c r="EG518" s="1159"/>
    </row>
    <row r="519" ht="15" customHeight="1">
      <c r="CK519" s="1159"/>
      <c r="EG519" s="1159"/>
    </row>
    <row r="520" ht="15" customHeight="1">
      <c r="CK520" s="1159"/>
      <c r="EG520" s="1159"/>
    </row>
    <row r="521" ht="15" customHeight="1">
      <c r="CK521" s="1159"/>
      <c r="EG521" s="1159"/>
    </row>
    <row r="522" ht="15" customHeight="1">
      <c r="CK522" s="1159"/>
      <c r="EG522" s="1159"/>
    </row>
    <row r="523" ht="15" customHeight="1">
      <c r="CK523" s="1159"/>
      <c r="EG523" s="1159"/>
    </row>
    <row r="524" ht="15" customHeight="1">
      <c r="CK524" s="1159"/>
      <c r="EG524" s="1159"/>
    </row>
    <row r="525" ht="15" customHeight="1">
      <c r="CK525" s="1159"/>
      <c r="EG525" s="1159"/>
    </row>
    <row r="526" ht="15" customHeight="1">
      <c r="CK526" s="1159"/>
      <c r="EG526" s="1159"/>
    </row>
    <row r="527" ht="15" customHeight="1">
      <c r="CK527" s="1159"/>
      <c r="EG527" s="1159"/>
    </row>
    <row r="528" ht="15" customHeight="1">
      <c r="CK528" s="1159"/>
      <c r="EG528" s="1159"/>
    </row>
    <row r="529" ht="15" customHeight="1">
      <c r="CK529" s="1159"/>
      <c r="EG529" s="1159"/>
    </row>
    <row r="530" ht="15" customHeight="1">
      <c r="CK530" s="1159"/>
      <c r="EG530" s="1159"/>
    </row>
    <row r="531" ht="15" customHeight="1">
      <c r="CK531" s="1159"/>
      <c r="EG531" s="1159"/>
    </row>
    <row r="532" ht="15" customHeight="1">
      <c r="CK532" s="1159"/>
      <c r="EG532" s="1159"/>
    </row>
    <row r="533" ht="15" customHeight="1">
      <c r="CK533" s="1159"/>
      <c r="EG533" s="1159"/>
    </row>
    <row r="534" ht="15" customHeight="1">
      <c r="CK534" s="1159"/>
      <c r="EG534" s="1159"/>
    </row>
    <row r="535" ht="15" customHeight="1">
      <c r="CK535" s="1159"/>
      <c r="EG535" s="1159"/>
    </row>
    <row r="536" ht="15" customHeight="1">
      <c r="CK536" s="1159"/>
      <c r="EG536" s="1159"/>
    </row>
    <row r="537" ht="15" customHeight="1">
      <c r="CK537" s="1159"/>
      <c r="EG537" s="1159"/>
    </row>
    <row r="538" ht="15" customHeight="1">
      <c r="CK538" s="1159"/>
      <c r="EG538" s="1159"/>
    </row>
    <row r="539" ht="15" customHeight="1">
      <c r="CK539" s="1159"/>
      <c r="EG539" s="1159"/>
    </row>
    <row r="540" ht="15" customHeight="1">
      <c r="CK540" s="1159"/>
      <c r="EG540" s="1159"/>
    </row>
    <row r="541" ht="15" customHeight="1">
      <c r="CK541" s="1159"/>
      <c r="EG541" s="1159"/>
    </row>
    <row r="542" ht="15" customHeight="1">
      <c r="CK542" s="1159"/>
      <c r="EG542" s="1159"/>
    </row>
    <row r="543" ht="15" customHeight="1">
      <c r="CK543" s="1159"/>
      <c r="EG543" s="1159"/>
    </row>
    <row r="544" ht="15" customHeight="1">
      <c r="CK544" s="1159"/>
      <c r="EG544" s="1159"/>
    </row>
    <row r="545" ht="15" customHeight="1">
      <c r="CK545" s="1159"/>
      <c r="EG545" s="1159"/>
    </row>
    <row r="546" ht="15" customHeight="1">
      <c r="CK546" s="1159"/>
      <c r="EG546" s="1159"/>
    </row>
    <row r="547" ht="15" customHeight="1">
      <c r="CK547" s="1159"/>
      <c r="EG547" s="1159"/>
    </row>
    <row r="548" ht="15" customHeight="1">
      <c r="CK548" s="1159"/>
      <c r="EG548" s="1159"/>
    </row>
    <row r="549" ht="15" customHeight="1">
      <c r="CK549" s="1159"/>
      <c r="EG549" s="1159"/>
    </row>
    <row r="550" ht="15" customHeight="1">
      <c r="CK550" s="1159"/>
      <c r="EG550" s="1159"/>
    </row>
    <row r="551" ht="15" customHeight="1">
      <c r="CK551" s="1159"/>
      <c r="EG551" s="1159"/>
    </row>
    <row r="552" ht="15" customHeight="1">
      <c r="CK552" s="1159"/>
      <c r="EG552" s="1159"/>
    </row>
    <row r="553" ht="15" customHeight="1">
      <c r="CK553" s="1159"/>
      <c r="EG553" s="1159"/>
    </row>
    <row r="554" ht="15" customHeight="1">
      <c r="CK554" s="1159"/>
      <c r="EG554" s="1159"/>
    </row>
    <row r="555" ht="15" customHeight="1">
      <c r="CK555" s="1159"/>
      <c r="EG555" s="1159"/>
    </row>
    <row r="556" ht="15" customHeight="1">
      <c r="CK556" s="1159"/>
      <c r="EG556" s="1159"/>
    </row>
    <row r="557" ht="15" customHeight="1">
      <c r="CK557" s="1159"/>
      <c r="EG557" s="1159"/>
    </row>
    <row r="558" ht="15" customHeight="1">
      <c r="CK558" s="1159"/>
      <c r="EG558" s="1159"/>
    </row>
    <row r="559" ht="15" customHeight="1">
      <c r="CK559" s="1159"/>
      <c r="EG559" s="1159"/>
    </row>
    <row r="560" ht="15" customHeight="1">
      <c r="CK560" s="1159"/>
      <c r="EG560" s="1159"/>
    </row>
    <row r="561" ht="15" customHeight="1">
      <c r="CK561" s="1159"/>
      <c r="EG561" s="1159"/>
    </row>
    <row r="562" ht="15" customHeight="1">
      <c r="CK562" s="1159"/>
      <c r="EG562" s="1159"/>
    </row>
    <row r="563" ht="15" customHeight="1">
      <c r="CK563" s="1159"/>
      <c r="EG563" s="1159"/>
    </row>
    <row r="564" ht="15" customHeight="1">
      <c r="CK564" s="1159"/>
      <c r="EG564" s="1159"/>
    </row>
    <row r="565" ht="15" customHeight="1">
      <c r="CK565" s="1159"/>
      <c r="EG565" s="1159"/>
    </row>
    <row r="566" ht="15" customHeight="1">
      <c r="CK566" s="1159"/>
      <c r="EG566" s="1159"/>
    </row>
    <row r="567" ht="15" customHeight="1">
      <c r="CK567" s="1159"/>
      <c r="EG567" s="1159"/>
    </row>
    <row r="568" ht="15" customHeight="1">
      <c r="CK568" s="1159"/>
      <c r="EG568" s="1159"/>
    </row>
    <row r="569" ht="15" customHeight="1">
      <c r="CK569" s="1159"/>
      <c r="EG569" s="1159"/>
    </row>
    <row r="570" ht="15" customHeight="1">
      <c r="CK570" s="1159"/>
      <c r="EG570" s="1159"/>
    </row>
    <row r="571" ht="15" customHeight="1">
      <c r="CK571" s="1159"/>
      <c r="EG571" s="1159"/>
    </row>
    <row r="572" ht="15" customHeight="1">
      <c r="CK572" s="1159"/>
      <c r="EG572" s="1159"/>
    </row>
    <row r="573" ht="15" customHeight="1">
      <c r="CK573" s="1159"/>
      <c r="EG573" s="1159"/>
    </row>
    <row r="574" ht="15" customHeight="1">
      <c r="CK574" s="1159"/>
      <c r="EG574" s="1159"/>
    </row>
    <row r="575" ht="15" customHeight="1">
      <c r="CK575" s="1159"/>
      <c r="EG575" s="1159"/>
    </row>
    <row r="576" ht="15" customHeight="1">
      <c r="CK576" s="1159"/>
      <c r="EG576" s="1159"/>
    </row>
    <row r="577" ht="15" customHeight="1">
      <c r="CK577" s="1159"/>
      <c r="EG577" s="1159"/>
    </row>
    <row r="578" ht="15" customHeight="1">
      <c r="CK578" s="1159"/>
      <c r="EG578" s="1159"/>
    </row>
    <row r="579" ht="15" customHeight="1">
      <c r="CK579" s="1159"/>
      <c r="EG579" s="1159"/>
    </row>
    <row r="580" ht="15" customHeight="1">
      <c r="CK580" s="1159"/>
      <c r="EG580" s="1159"/>
    </row>
    <row r="581" ht="15" customHeight="1">
      <c r="CK581" s="1159"/>
      <c r="EG581" s="1159"/>
    </row>
    <row r="582" ht="15" customHeight="1">
      <c r="CK582" s="1159"/>
      <c r="EG582" s="1159"/>
    </row>
    <row r="583" ht="15" customHeight="1">
      <c r="CK583" s="1159"/>
      <c r="EG583" s="1159"/>
    </row>
    <row r="584" ht="15" customHeight="1">
      <c r="CK584" s="1159"/>
      <c r="EG584" s="1159"/>
    </row>
    <row r="585" ht="15" customHeight="1">
      <c r="CK585" s="1159"/>
      <c r="EG585" s="1159"/>
    </row>
    <row r="586" ht="15" customHeight="1">
      <c r="CK586" s="1159"/>
      <c r="EG586" s="1159"/>
    </row>
    <row r="587" ht="15" customHeight="1">
      <c r="CK587" s="1159"/>
      <c r="EG587" s="1159"/>
    </row>
    <row r="588" ht="15" customHeight="1">
      <c r="CK588" s="1159"/>
      <c r="EG588" s="1159"/>
    </row>
    <row r="589" ht="15" customHeight="1">
      <c r="CK589" s="1159"/>
      <c r="EG589" s="1159"/>
    </row>
    <row r="590" ht="15" customHeight="1">
      <c r="CK590" s="1159"/>
      <c r="EG590" s="1159"/>
    </row>
    <row r="591" ht="15" customHeight="1">
      <c r="CK591" s="1159"/>
      <c r="EG591" s="1159"/>
    </row>
    <row r="592" ht="15" customHeight="1">
      <c r="CK592" s="1159"/>
      <c r="EG592" s="1159"/>
    </row>
    <row r="593" ht="15" customHeight="1">
      <c r="CK593" s="1159"/>
      <c r="EG593" s="1159"/>
    </row>
    <row r="594" ht="15" customHeight="1">
      <c r="CK594" s="1159"/>
      <c r="EG594" s="1159"/>
    </row>
    <row r="595" ht="15" customHeight="1">
      <c r="CK595" s="1159"/>
      <c r="EG595" s="1159"/>
    </row>
    <row r="596" ht="15" customHeight="1">
      <c r="CK596" s="1159"/>
      <c r="EG596" s="1159"/>
    </row>
    <row r="597" ht="15" customHeight="1">
      <c r="CK597" s="1159"/>
      <c r="EG597" s="1159"/>
    </row>
    <row r="598" ht="15" customHeight="1">
      <c r="CK598" s="1159"/>
      <c r="EG598" s="1159"/>
    </row>
    <row r="599" ht="15" customHeight="1">
      <c r="CK599" s="1159"/>
      <c r="EG599" s="1159"/>
    </row>
    <row r="600" ht="15" customHeight="1">
      <c r="CK600" s="1159"/>
      <c r="EG600" s="1159"/>
    </row>
    <row r="601" ht="15" customHeight="1">
      <c r="CK601" s="1159"/>
      <c r="EG601" s="1159"/>
    </row>
    <row r="602" ht="15" customHeight="1">
      <c r="CK602" s="1159"/>
      <c r="EG602" s="1159"/>
    </row>
    <row r="603" ht="15" customHeight="1">
      <c r="CK603" s="1159"/>
      <c r="EG603" s="1159"/>
    </row>
    <row r="604" ht="15" customHeight="1">
      <c r="CK604" s="1159"/>
      <c r="EG604" s="1159"/>
    </row>
    <row r="605" ht="15" customHeight="1">
      <c r="CK605" s="1159"/>
      <c r="EG605" s="1159"/>
    </row>
    <row r="606" ht="15" customHeight="1">
      <c r="CK606" s="1159"/>
      <c r="EG606" s="1159"/>
    </row>
    <row r="607" ht="15" customHeight="1">
      <c r="CK607" s="1159"/>
      <c r="EG607" s="1159"/>
    </row>
    <row r="608" ht="15" customHeight="1">
      <c r="CK608" s="1159"/>
      <c r="EG608" s="1159"/>
    </row>
    <row r="609" ht="15" customHeight="1">
      <c r="CK609" s="1159"/>
      <c r="EG609" s="1159"/>
    </row>
    <row r="610" ht="15" customHeight="1">
      <c r="CK610" s="1159"/>
      <c r="EG610" s="1159"/>
    </row>
    <row r="611" ht="15" customHeight="1">
      <c r="CK611" s="1159"/>
      <c r="EG611" s="1159"/>
    </row>
    <row r="612" ht="15" customHeight="1">
      <c r="CK612" s="1159"/>
      <c r="EG612" s="1159"/>
    </row>
    <row r="613" ht="15" customHeight="1">
      <c r="CK613" s="1159"/>
      <c r="EG613" s="1159"/>
    </row>
    <row r="614" ht="15" customHeight="1">
      <c r="CK614" s="1159"/>
      <c r="EG614" s="1159"/>
    </row>
    <row r="615" ht="15" customHeight="1">
      <c r="CK615" s="1159"/>
      <c r="EG615" s="1159"/>
    </row>
    <row r="616" ht="15" customHeight="1">
      <c r="CK616" s="1159"/>
      <c r="EG616" s="1159"/>
    </row>
    <row r="617" ht="15" customHeight="1">
      <c r="CK617" s="1159"/>
      <c r="EG617" s="1159"/>
    </row>
    <row r="618" ht="15" customHeight="1">
      <c r="CK618" s="1159"/>
      <c r="EG618" s="1159"/>
    </row>
    <row r="619" ht="15" customHeight="1">
      <c r="CK619" s="1159"/>
      <c r="EG619" s="1159"/>
    </row>
    <row r="620" ht="15" customHeight="1">
      <c r="CK620" s="1159"/>
      <c r="EG620" s="1159"/>
    </row>
    <row r="621" ht="15" customHeight="1">
      <c r="CK621" s="1159"/>
      <c r="EG621" s="1159"/>
    </row>
    <row r="622" ht="15" customHeight="1">
      <c r="CK622" s="1159"/>
      <c r="EG622" s="1159"/>
    </row>
    <row r="623" ht="15" customHeight="1">
      <c r="CK623" s="1159"/>
      <c r="EG623" s="1159"/>
    </row>
    <row r="624" ht="15" customHeight="1">
      <c r="CK624" s="1159"/>
      <c r="EG624" s="1159"/>
    </row>
    <row r="625" ht="15" customHeight="1">
      <c r="CK625" s="1159"/>
      <c r="EG625" s="1159"/>
    </row>
    <row r="626" ht="15" customHeight="1">
      <c r="CK626" s="1159"/>
      <c r="EG626" s="1159"/>
    </row>
    <row r="627" ht="15" customHeight="1">
      <c r="CK627" s="1159"/>
      <c r="EG627" s="1159"/>
    </row>
    <row r="628" ht="15" customHeight="1">
      <c r="CK628" s="1159"/>
      <c r="EG628" s="1159"/>
    </row>
    <row r="629" ht="15" customHeight="1">
      <c r="CK629" s="1159"/>
      <c r="EG629" s="1159"/>
    </row>
    <row r="630" ht="15" customHeight="1">
      <c r="CK630" s="1159"/>
      <c r="EG630" s="1159"/>
    </row>
    <row r="631" ht="15" customHeight="1">
      <c r="CK631" s="1159"/>
      <c r="EG631" s="1159"/>
    </row>
    <row r="632" ht="15" customHeight="1">
      <c r="CK632" s="1159"/>
      <c r="EG632" s="1159"/>
    </row>
    <row r="633" ht="15" customHeight="1">
      <c r="CK633" s="1159"/>
      <c r="EG633" s="1159"/>
    </row>
    <row r="634" ht="15" customHeight="1">
      <c r="CK634" s="1159"/>
      <c r="EG634" s="1159"/>
    </row>
    <row r="635" ht="15" customHeight="1">
      <c r="CK635" s="1159"/>
      <c r="EG635" s="1159"/>
    </row>
    <row r="636" ht="15" customHeight="1">
      <c r="CK636" s="1159"/>
      <c r="EG636" s="1159"/>
    </row>
    <row r="637" ht="15" customHeight="1">
      <c r="CK637" s="1159"/>
      <c r="EG637" s="1159"/>
    </row>
    <row r="638" ht="15" customHeight="1">
      <c r="CK638" s="1159"/>
      <c r="EG638" s="1159"/>
    </row>
    <row r="639" ht="15" customHeight="1">
      <c r="CK639" s="1159"/>
      <c r="EG639" s="1159"/>
    </row>
    <row r="640" ht="15" customHeight="1">
      <c r="CK640" s="1159"/>
      <c r="EG640" s="1159"/>
    </row>
    <row r="641" ht="15" customHeight="1">
      <c r="CK641" s="1159"/>
      <c r="EG641" s="1159"/>
    </row>
    <row r="642" ht="15" customHeight="1">
      <c r="CK642" s="1159"/>
      <c r="EG642" s="1159"/>
    </row>
    <row r="643" ht="15" customHeight="1">
      <c r="CK643" s="1159"/>
      <c r="EG643" s="1159"/>
    </row>
    <row r="644" ht="15" customHeight="1">
      <c r="CK644" s="1159"/>
      <c r="EG644" s="1159"/>
    </row>
    <row r="645" ht="15" customHeight="1">
      <c r="CK645" s="1159"/>
      <c r="EG645" s="1159"/>
    </row>
    <row r="646" ht="15" customHeight="1">
      <c r="CK646" s="1159"/>
      <c r="EG646" s="1159"/>
    </row>
    <row r="647" ht="15" customHeight="1">
      <c r="CK647" s="1159"/>
      <c r="EG647" s="1159"/>
    </row>
    <row r="648" ht="15" customHeight="1">
      <c r="CK648" s="1159"/>
      <c r="EG648" s="1159"/>
    </row>
    <row r="649" ht="15" customHeight="1">
      <c r="CK649" s="1159"/>
      <c r="EG649" s="1159"/>
    </row>
    <row r="650" ht="15" customHeight="1">
      <c r="CK650" s="1159"/>
      <c r="EG650" s="1159"/>
    </row>
    <row r="651" ht="15" customHeight="1">
      <c r="CK651" s="1159"/>
      <c r="EG651" s="1159"/>
    </row>
    <row r="652" ht="15" customHeight="1">
      <c r="CK652" s="1159"/>
      <c r="EG652" s="1159"/>
    </row>
    <row r="653" ht="15" customHeight="1">
      <c r="CK653" s="1159"/>
      <c r="EG653" s="1159"/>
    </row>
    <row r="654" ht="15" customHeight="1">
      <c r="CK654" s="1159"/>
      <c r="EG654" s="1159"/>
    </row>
    <row r="655" ht="15" customHeight="1">
      <c r="CK655" s="1159"/>
      <c r="EG655" s="1159"/>
    </row>
    <row r="656" ht="15" customHeight="1">
      <c r="CK656" s="1159"/>
      <c r="EG656" s="1159"/>
    </row>
    <row r="657" ht="15" customHeight="1">
      <c r="CK657" s="1159"/>
      <c r="EG657" s="1159"/>
    </row>
    <row r="658" ht="15" customHeight="1">
      <c r="CK658" s="1159"/>
      <c r="EG658" s="1159"/>
    </row>
    <row r="659" ht="15" customHeight="1">
      <c r="CK659" s="1159"/>
      <c r="EG659" s="1159"/>
    </row>
    <row r="660" ht="15" customHeight="1">
      <c r="CK660" s="1159"/>
      <c r="EG660" s="1159"/>
    </row>
    <row r="661" ht="15" customHeight="1">
      <c r="CK661" s="1159"/>
      <c r="EG661" s="1159"/>
    </row>
    <row r="662" ht="15" customHeight="1">
      <c r="CK662" s="1159"/>
      <c r="EG662" s="1159"/>
    </row>
    <row r="663" ht="15" customHeight="1">
      <c r="CK663" s="1159"/>
      <c r="EG663" s="1159"/>
    </row>
    <row r="664" ht="15" customHeight="1">
      <c r="CK664" s="1159"/>
      <c r="EG664" s="1159"/>
    </row>
    <row r="665" ht="15" customHeight="1">
      <c r="CK665" s="1159"/>
      <c r="EG665" s="1159"/>
    </row>
    <row r="666" ht="15" customHeight="1">
      <c r="CK666" s="1159"/>
      <c r="EG666" s="1159"/>
    </row>
    <row r="667" ht="15" customHeight="1">
      <c r="CK667" s="1159"/>
      <c r="EG667" s="1159"/>
    </row>
    <row r="668" ht="15" customHeight="1">
      <c r="CK668" s="1159"/>
      <c r="EG668" s="1159"/>
    </row>
    <row r="669" ht="15" customHeight="1">
      <c r="CK669" s="1159"/>
      <c r="EG669" s="1159"/>
    </row>
    <row r="670" ht="15" customHeight="1">
      <c r="CK670" s="1159"/>
      <c r="EG670" s="1159"/>
    </row>
    <row r="671" ht="15" customHeight="1">
      <c r="CK671" s="1159"/>
      <c r="EG671" s="1159"/>
    </row>
    <row r="672" ht="15" customHeight="1">
      <c r="CK672" s="1159"/>
      <c r="EG672" s="1159"/>
    </row>
    <row r="673" ht="15" customHeight="1">
      <c r="CK673" s="1159"/>
      <c r="EG673" s="1159"/>
    </row>
    <row r="674" ht="15" customHeight="1">
      <c r="CK674" s="1159"/>
      <c r="EG674" s="1159"/>
    </row>
    <row r="675" ht="15" customHeight="1">
      <c r="CK675" s="1159"/>
      <c r="EG675" s="1159"/>
    </row>
    <row r="676" ht="15" customHeight="1">
      <c r="CK676" s="1159"/>
      <c r="EG676" s="1159"/>
    </row>
    <row r="677" ht="15" customHeight="1">
      <c r="CK677" s="1159"/>
      <c r="EG677" s="1159"/>
    </row>
    <row r="678" ht="15" customHeight="1">
      <c r="CK678" s="1159"/>
      <c r="EG678" s="1159"/>
    </row>
    <row r="679" ht="15" customHeight="1">
      <c r="CK679" s="1159"/>
      <c r="EG679" s="1159"/>
    </row>
    <row r="680" ht="15" customHeight="1">
      <c r="CK680" s="1159"/>
      <c r="EG680" s="1159"/>
    </row>
    <row r="681" ht="15" customHeight="1">
      <c r="CK681" s="1159"/>
      <c r="EG681" s="1159"/>
    </row>
    <row r="682" ht="15" customHeight="1">
      <c r="CK682" s="1159"/>
      <c r="EG682" s="1159"/>
    </row>
    <row r="683" ht="15" customHeight="1">
      <c r="CK683" s="1159"/>
      <c r="EG683" s="1159"/>
    </row>
    <row r="684" ht="15" customHeight="1">
      <c r="CK684" s="1159"/>
      <c r="EG684" s="1159"/>
    </row>
    <row r="685" ht="15" customHeight="1">
      <c r="CK685" s="1159"/>
      <c r="EG685" s="1159"/>
    </row>
    <row r="686" ht="15" customHeight="1">
      <c r="CK686" s="1159"/>
      <c r="EG686" s="1159"/>
    </row>
    <row r="687" ht="15" customHeight="1">
      <c r="CK687" s="1159"/>
      <c r="EG687" s="1159"/>
    </row>
    <row r="688" ht="15" customHeight="1">
      <c r="CK688" s="1159"/>
      <c r="EG688" s="1159"/>
    </row>
    <row r="689" ht="15" customHeight="1">
      <c r="CK689" s="1159"/>
      <c r="EG689" s="1159"/>
    </row>
    <row r="690" ht="15" customHeight="1">
      <c r="CK690" s="1159"/>
      <c r="EG690" s="1159"/>
    </row>
    <row r="691" ht="15" customHeight="1">
      <c r="CK691" s="1159"/>
      <c r="EG691" s="1159"/>
    </row>
    <row r="692" ht="15" customHeight="1">
      <c r="CK692" s="1159"/>
      <c r="EG692" s="1159"/>
    </row>
    <row r="693" ht="15" customHeight="1">
      <c r="CK693" s="1159"/>
      <c r="EG693" s="1159"/>
    </row>
    <row r="694" ht="15" customHeight="1">
      <c r="CK694" s="1159"/>
      <c r="EG694" s="1159"/>
    </row>
    <row r="695" ht="15" customHeight="1">
      <c r="CK695" s="1159"/>
      <c r="EG695" s="1159"/>
    </row>
    <row r="696" ht="15" customHeight="1">
      <c r="CK696" s="1159"/>
      <c r="EG696" s="1159"/>
    </row>
    <row r="697" ht="15" customHeight="1">
      <c r="CK697" s="1159"/>
      <c r="EG697" s="1159"/>
    </row>
    <row r="698" ht="15" customHeight="1">
      <c r="CK698" s="1159"/>
      <c r="EG698" s="1159"/>
    </row>
    <row r="699" ht="15" customHeight="1">
      <c r="CK699" s="1159"/>
      <c r="EG699" s="1159"/>
    </row>
    <row r="700" ht="15" customHeight="1">
      <c r="CK700" s="1159"/>
      <c r="EG700" s="1159"/>
    </row>
    <row r="701" ht="15" customHeight="1">
      <c r="CK701" s="1159"/>
      <c r="EG701" s="1159"/>
    </row>
    <row r="702" ht="15" customHeight="1">
      <c r="CK702" s="1159"/>
      <c r="EG702" s="1159"/>
    </row>
    <row r="703" ht="15" customHeight="1">
      <c r="CK703" s="1159"/>
      <c r="EG703" s="1159"/>
    </row>
    <row r="704" ht="15" customHeight="1">
      <c r="CK704" s="1159"/>
      <c r="EG704" s="1159"/>
    </row>
    <row r="705" ht="15" customHeight="1">
      <c r="CK705" s="1159"/>
      <c r="EG705" s="1159"/>
    </row>
    <row r="706" ht="15" customHeight="1">
      <c r="CK706" s="1159"/>
      <c r="EG706" s="1159"/>
    </row>
    <row r="707" ht="15" customHeight="1">
      <c r="CK707" s="1159"/>
      <c r="EG707" s="1159"/>
    </row>
    <row r="708" ht="15" customHeight="1">
      <c r="CK708" s="1159"/>
      <c r="EG708" s="1159"/>
    </row>
    <row r="709" ht="15" customHeight="1">
      <c r="CK709" s="1159"/>
      <c r="EG709" s="1159"/>
    </row>
    <row r="710" ht="15" customHeight="1">
      <c r="CK710" s="1159"/>
      <c r="EG710" s="1159"/>
    </row>
    <row r="711" ht="15" customHeight="1">
      <c r="CK711" s="1159"/>
      <c r="EG711" s="1159"/>
    </row>
    <row r="712" ht="15" customHeight="1">
      <c r="CK712" s="1159"/>
      <c r="EG712" s="1159"/>
    </row>
    <row r="713" ht="15" customHeight="1">
      <c r="CK713" s="1159"/>
      <c r="EG713" s="1159"/>
    </row>
    <row r="714" ht="15" customHeight="1">
      <c r="CK714" s="1159"/>
      <c r="EG714" s="1159"/>
    </row>
    <row r="715" ht="15" customHeight="1">
      <c r="CK715" s="1159"/>
      <c r="EG715" s="1159"/>
    </row>
    <row r="716" ht="15" customHeight="1">
      <c r="CK716" s="1159"/>
      <c r="EG716" s="1159"/>
    </row>
    <row r="717" ht="15" customHeight="1">
      <c r="CK717" s="1159"/>
      <c r="EG717" s="1159"/>
    </row>
    <row r="718" ht="15" customHeight="1">
      <c r="CK718" s="1159"/>
      <c r="EG718" s="1159"/>
    </row>
    <row r="719" ht="15" customHeight="1">
      <c r="CK719" s="1159"/>
      <c r="EG719" s="1159"/>
    </row>
    <row r="720" ht="15" customHeight="1">
      <c r="CK720" s="1159"/>
      <c r="EG720" s="1159"/>
    </row>
    <row r="721" ht="15" customHeight="1">
      <c r="CK721" s="1159"/>
      <c r="EG721" s="1159"/>
    </row>
    <row r="722" ht="15" customHeight="1">
      <c r="CK722" s="1159"/>
      <c r="EG722" s="1159"/>
    </row>
    <row r="723" ht="15" customHeight="1">
      <c r="CK723" s="1159"/>
      <c r="EG723" s="1159"/>
    </row>
    <row r="724" ht="15" customHeight="1">
      <c r="CK724" s="1159"/>
      <c r="EG724" s="1159"/>
    </row>
    <row r="725" ht="15" customHeight="1">
      <c r="CK725" s="1159"/>
      <c r="EG725" s="1159"/>
    </row>
    <row r="726" ht="15" customHeight="1">
      <c r="CK726" s="1159"/>
      <c r="EG726" s="1159"/>
    </row>
    <row r="727" ht="15" customHeight="1">
      <c r="CK727" s="1159"/>
      <c r="EG727" s="1159"/>
    </row>
    <row r="728" ht="15" customHeight="1">
      <c r="CK728" s="1159"/>
      <c r="EG728" s="1159"/>
    </row>
    <row r="729" ht="15" customHeight="1">
      <c r="CK729" s="1159"/>
      <c r="EG729" s="1159"/>
    </row>
    <row r="730" ht="15" customHeight="1">
      <c r="CK730" s="1159"/>
      <c r="EG730" s="1159"/>
    </row>
    <row r="731" ht="15" customHeight="1">
      <c r="CK731" s="1159"/>
      <c r="EG731" s="1159"/>
    </row>
    <row r="732" ht="15" customHeight="1">
      <c r="CK732" s="1159"/>
      <c r="EG732" s="1159"/>
    </row>
    <row r="733" ht="15" customHeight="1">
      <c r="CK733" s="1159"/>
      <c r="EG733" s="1159"/>
    </row>
    <row r="734" ht="15" customHeight="1">
      <c r="CK734" s="1159"/>
      <c r="EG734" s="1159"/>
    </row>
    <row r="735" ht="15" customHeight="1">
      <c r="CK735" s="1159"/>
      <c r="EG735" s="1159"/>
    </row>
    <row r="736" ht="15" customHeight="1">
      <c r="CK736" s="1159"/>
      <c r="EG736" s="1159"/>
    </row>
    <row r="737" ht="15" customHeight="1">
      <c r="CK737" s="1159"/>
      <c r="EG737" s="1159"/>
    </row>
    <row r="738" ht="15" customHeight="1">
      <c r="CK738" s="1159"/>
      <c r="EG738" s="1159"/>
    </row>
    <row r="739" ht="15" customHeight="1">
      <c r="CK739" s="1159"/>
      <c r="EG739" s="1159"/>
    </row>
    <row r="740" ht="15" customHeight="1">
      <c r="CK740" s="1159"/>
      <c r="EG740" s="1159"/>
    </row>
    <row r="741" ht="15" customHeight="1">
      <c r="CK741" s="1159"/>
      <c r="EG741" s="1159"/>
    </row>
    <row r="742" ht="15" customHeight="1">
      <c r="CK742" s="1159"/>
      <c r="EG742" s="1159"/>
    </row>
    <row r="743" ht="15" customHeight="1">
      <c r="CK743" s="1159"/>
      <c r="EG743" s="1159"/>
    </row>
    <row r="744" ht="15" customHeight="1">
      <c r="CK744" s="1159"/>
      <c r="EG744" s="1159"/>
    </row>
    <row r="745" ht="15" customHeight="1">
      <c r="CK745" s="1159"/>
      <c r="EG745" s="1159"/>
    </row>
    <row r="746" ht="15" customHeight="1">
      <c r="CK746" s="1159"/>
      <c r="EG746" s="1159"/>
    </row>
    <row r="747" ht="15" customHeight="1">
      <c r="CK747" s="1159"/>
      <c r="EG747" s="1159"/>
    </row>
    <row r="748" ht="15" customHeight="1">
      <c r="CK748" s="1159"/>
      <c r="EG748" s="1159"/>
    </row>
    <row r="749" ht="15" customHeight="1">
      <c r="CK749" s="1159"/>
      <c r="EG749" s="1159"/>
    </row>
    <row r="750" ht="15" customHeight="1">
      <c r="CK750" s="1159"/>
      <c r="EG750" s="1159"/>
    </row>
    <row r="751" ht="15" customHeight="1">
      <c r="CK751" s="1159"/>
      <c r="EG751" s="1159"/>
    </row>
    <row r="752" ht="15" customHeight="1">
      <c r="CK752" s="1159"/>
      <c r="EG752" s="1159"/>
    </row>
    <row r="753" ht="15" customHeight="1">
      <c r="CK753" s="1159"/>
      <c r="EG753" s="1159"/>
    </row>
    <row r="754" ht="15" customHeight="1">
      <c r="CK754" s="1159"/>
      <c r="EG754" s="1159"/>
    </row>
    <row r="755" ht="15" customHeight="1">
      <c r="CK755" s="1159"/>
      <c r="EG755" s="1159"/>
    </row>
    <row r="756" ht="15" customHeight="1">
      <c r="CK756" s="1159"/>
      <c r="EG756" s="1159"/>
    </row>
    <row r="757" ht="15" customHeight="1">
      <c r="CK757" s="1159"/>
      <c r="EG757" s="1159"/>
    </row>
    <row r="758" ht="15" customHeight="1">
      <c r="CK758" s="1159"/>
      <c r="EG758" s="1159"/>
    </row>
    <row r="759" ht="15" customHeight="1">
      <c r="CK759" s="1159"/>
      <c r="EG759" s="1159"/>
    </row>
    <row r="760" ht="15" customHeight="1">
      <c r="CK760" s="1159"/>
      <c r="EG760" s="1159"/>
    </row>
    <row r="761" ht="15" customHeight="1">
      <c r="CK761" s="1159"/>
      <c r="EG761" s="1159"/>
    </row>
    <row r="762" ht="15" customHeight="1">
      <c r="CK762" s="1159"/>
      <c r="EG762" s="1159"/>
    </row>
    <row r="763" ht="15" customHeight="1">
      <c r="CK763" s="1159"/>
      <c r="EG763" s="1159"/>
    </row>
    <row r="764" ht="15" customHeight="1">
      <c r="CK764" s="1159"/>
      <c r="EG764" s="1159"/>
    </row>
    <row r="765" ht="15" customHeight="1">
      <c r="CK765" s="1159"/>
      <c r="EG765" s="1159"/>
    </row>
    <row r="766" ht="15" customHeight="1">
      <c r="CK766" s="1159"/>
      <c r="EG766" s="1159"/>
    </row>
    <row r="767" ht="15" customHeight="1">
      <c r="CK767" s="1159"/>
      <c r="EG767" s="1159"/>
    </row>
    <row r="768" ht="15" customHeight="1">
      <c r="CK768" s="1159"/>
      <c r="EG768" s="1159"/>
    </row>
    <row r="769" ht="15" customHeight="1">
      <c r="CK769" s="1159"/>
      <c r="EG769" s="1159"/>
    </row>
    <row r="770" ht="15" customHeight="1">
      <c r="CK770" s="1159"/>
      <c r="EG770" s="1159"/>
    </row>
    <row r="771" ht="15" customHeight="1">
      <c r="CK771" s="1159"/>
      <c r="EG771" s="1159"/>
    </row>
    <row r="772" ht="15" customHeight="1">
      <c r="CK772" s="1159"/>
      <c r="EG772" s="1159"/>
    </row>
    <row r="773" ht="15" customHeight="1">
      <c r="CK773" s="1159"/>
      <c r="EG773" s="1159"/>
    </row>
    <row r="774" ht="15" customHeight="1">
      <c r="CK774" s="1159"/>
      <c r="EG774" s="1159"/>
    </row>
    <row r="775" ht="15" customHeight="1">
      <c r="CK775" s="1159"/>
      <c r="EG775" s="1159"/>
    </row>
    <row r="776" ht="15" customHeight="1">
      <c r="CK776" s="1159"/>
      <c r="EG776" s="1159"/>
    </row>
    <row r="777" ht="15" customHeight="1">
      <c r="CK777" s="1159"/>
      <c r="EG777" s="1159"/>
    </row>
    <row r="778" ht="15" customHeight="1">
      <c r="CK778" s="1159"/>
      <c r="EG778" s="1159"/>
    </row>
    <row r="779" ht="15" customHeight="1">
      <c r="CK779" s="1159"/>
      <c r="EG779" s="1159"/>
    </row>
    <row r="780" ht="15" customHeight="1">
      <c r="CK780" s="1159"/>
      <c r="EG780" s="1159"/>
    </row>
    <row r="781" ht="15" customHeight="1">
      <c r="CK781" s="1159"/>
      <c r="EG781" s="1159"/>
    </row>
    <row r="782" ht="15" customHeight="1">
      <c r="CK782" s="1159"/>
      <c r="EG782" s="1159"/>
    </row>
    <row r="783" ht="15" customHeight="1">
      <c r="CK783" s="1159"/>
      <c r="EG783" s="1159"/>
    </row>
    <row r="784" ht="15" customHeight="1">
      <c r="CK784" s="1159"/>
      <c r="EG784" s="1159"/>
    </row>
    <row r="785" ht="15" customHeight="1">
      <c r="CK785" s="1159"/>
      <c r="EG785" s="1159"/>
    </row>
    <row r="786" ht="15" customHeight="1">
      <c r="CK786" s="1159"/>
      <c r="EG786" s="1159"/>
    </row>
    <row r="787" ht="15" customHeight="1">
      <c r="CK787" s="1159"/>
      <c r="EG787" s="1159"/>
    </row>
    <row r="788" ht="15" customHeight="1">
      <c r="CK788" s="1159"/>
      <c r="EG788" s="1159"/>
    </row>
    <row r="789" ht="15" customHeight="1">
      <c r="CK789" s="1159"/>
      <c r="EG789" s="1159"/>
    </row>
    <row r="790" ht="15" customHeight="1">
      <c r="CK790" s="1159"/>
      <c r="EG790" s="1159"/>
    </row>
    <row r="791" ht="15" customHeight="1">
      <c r="CK791" s="1159"/>
      <c r="EG791" s="1159"/>
    </row>
    <row r="792" ht="15" customHeight="1">
      <c r="CK792" s="1159"/>
      <c r="EG792" s="1159"/>
    </row>
    <row r="793" ht="15" customHeight="1">
      <c r="CK793" s="1159"/>
      <c r="EG793" s="1159"/>
    </row>
    <row r="794" ht="15" customHeight="1">
      <c r="CK794" s="1159"/>
      <c r="EG794" s="1159"/>
    </row>
    <row r="795" ht="15" customHeight="1">
      <c r="CK795" s="1159"/>
      <c r="EG795" s="1159"/>
    </row>
    <row r="796" ht="15" customHeight="1">
      <c r="CK796" s="1159"/>
      <c r="EG796" s="1159"/>
    </row>
    <row r="797" ht="15" customHeight="1">
      <c r="CK797" s="1159"/>
      <c r="EG797" s="1159"/>
    </row>
    <row r="798" ht="15" customHeight="1">
      <c r="CK798" s="1159"/>
      <c r="EG798" s="1159"/>
    </row>
    <row r="799" ht="15" customHeight="1">
      <c r="CK799" s="1159"/>
      <c r="EG799" s="1159"/>
    </row>
    <row r="800" ht="15" customHeight="1">
      <c r="CK800" s="1159"/>
      <c r="EG800" s="1159"/>
    </row>
    <row r="801" ht="15" customHeight="1">
      <c r="CK801" s="1159"/>
      <c r="EG801" s="1159"/>
    </row>
    <row r="802" ht="15" customHeight="1">
      <c r="CK802" s="1159"/>
      <c r="EG802" s="1159"/>
    </row>
    <row r="803" ht="15" customHeight="1">
      <c r="CK803" s="1159"/>
      <c r="EG803" s="1159"/>
    </row>
    <row r="804" ht="15" customHeight="1">
      <c r="CK804" s="1159"/>
      <c r="EG804" s="1159"/>
    </row>
    <row r="805" ht="15" customHeight="1">
      <c r="CK805" s="1159"/>
      <c r="EG805" s="1159"/>
    </row>
    <row r="806" ht="15" customHeight="1">
      <c r="CK806" s="1159"/>
      <c r="EG806" s="1159"/>
    </row>
    <row r="807" ht="15" customHeight="1">
      <c r="CK807" s="1159"/>
      <c r="EG807" s="1159"/>
    </row>
    <row r="808" ht="15" customHeight="1">
      <c r="CK808" s="1159"/>
      <c r="EG808" s="1159"/>
    </row>
    <row r="809" ht="15" customHeight="1">
      <c r="CK809" s="1159"/>
      <c r="EG809" s="1159"/>
    </row>
    <row r="810" ht="15" customHeight="1">
      <c r="CK810" s="1159"/>
      <c r="EG810" s="1159"/>
    </row>
    <row r="811" ht="15" customHeight="1">
      <c r="CK811" s="1159"/>
      <c r="EG811" s="1159"/>
    </row>
    <row r="812" ht="15" customHeight="1">
      <c r="CK812" s="1159"/>
      <c r="EG812" s="1159"/>
    </row>
    <row r="813" ht="15" customHeight="1">
      <c r="CK813" s="1159"/>
      <c r="EG813" s="1159"/>
    </row>
    <row r="814" ht="15" customHeight="1">
      <c r="CK814" s="1159"/>
      <c r="EG814" s="1159"/>
    </row>
    <row r="815" ht="15" customHeight="1">
      <c r="CK815" s="1159"/>
      <c r="EG815" s="1159"/>
    </row>
    <row r="816" ht="15" customHeight="1">
      <c r="CK816" s="1159"/>
      <c r="EG816" s="1159"/>
    </row>
    <row r="817" ht="15" customHeight="1">
      <c r="CK817" s="1159"/>
      <c r="EG817" s="1159"/>
    </row>
    <row r="818" ht="15" customHeight="1">
      <c r="CK818" s="1159"/>
      <c r="EG818" s="1159"/>
    </row>
    <row r="819" ht="15" customHeight="1">
      <c r="CK819" s="1159"/>
      <c r="EG819" s="1159"/>
    </row>
    <row r="820" ht="15" customHeight="1">
      <c r="CK820" s="1159"/>
      <c r="EG820" s="1159"/>
    </row>
    <row r="821" ht="15" customHeight="1">
      <c r="CK821" s="1159"/>
      <c r="EG821" s="1159"/>
    </row>
    <row r="822" ht="15" customHeight="1">
      <c r="CK822" s="1159"/>
      <c r="EG822" s="1159"/>
    </row>
    <row r="823" ht="15" customHeight="1">
      <c r="CK823" s="1159"/>
      <c r="EG823" s="1159"/>
    </row>
    <row r="824" ht="15" customHeight="1">
      <c r="CK824" s="1159"/>
      <c r="EG824" s="1159"/>
    </row>
    <row r="825" ht="15" customHeight="1">
      <c r="CK825" s="1159"/>
      <c r="EG825" s="1159"/>
    </row>
    <row r="826" ht="15" customHeight="1">
      <c r="CK826" s="1159"/>
      <c r="EG826" s="1159"/>
    </row>
    <row r="827" ht="15" customHeight="1">
      <c r="CK827" s="1159"/>
      <c r="EG827" s="1159"/>
    </row>
    <row r="828" ht="15" customHeight="1">
      <c r="CK828" s="1159"/>
      <c r="EG828" s="1159"/>
    </row>
    <row r="829" ht="15" customHeight="1">
      <c r="CK829" s="1159"/>
      <c r="EG829" s="1159"/>
    </row>
    <row r="830" ht="15" customHeight="1">
      <c r="CK830" s="1159"/>
      <c r="EG830" s="1159"/>
    </row>
    <row r="831" ht="15" customHeight="1">
      <c r="CK831" s="1159"/>
      <c r="EG831" s="1159"/>
    </row>
    <row r="832" ht="15" customHeight="1">
      <c r="CK832" s="1159"/>
      <c r="EG832" s="1159"/>
    </row>
    <row r="833" ht="15" customHeight="1">
      <c r="CK833" s="1159"/>
      <c r="EG833" s="1159"/>
    </row>
    <row r="834" ht="15" customHeight="1">
      <c r="CK834" s="1159"/>
      <c r="EG834" s="1159"/>
    </row>
    <row r="835" ht="15" customHeight="1">
      <c r="CK835" s="1159"/>
      <c r="EG835" s="1159"/>
    </row>
    <row r="836" ht="15" customHeight="1">
      <c r="CK836" s="1159"/>
      <c r="EG836" s="1159"/>
    </row>
    <row r="837" ht="15" customHeight="1">
      <c r="CK837" s="1159"/>
      <c r="EG837" s="1159"/>
    </row>
    <row r="838" ht="15" customHeight="1">
      <c r="CK838" s="1159"/>
      <c r="EG838" s="1159"/>
    </row>
    <row r="839" ht="15" customHeight="1">
      <c r="CK839" s="1159"/>
      <c r="EG839" s="1159"/>
    </row>
    <row r="840" ht="15" customHeight="1">
      <c r="CK840" s="1159"/>
      <c r="EG840" s="1159"/>
    </row>
    <row r="841" ht="15" customHeight="1">
      <c r="CK841" s="1159"/>
      <c r="EG841" s="1159"/>
    </row>
    <row r="842" ht="15" customHeight="1">
      <c r="CK842" s="1159"/>
      <c r="EG842" s="1159"/>
    </row>
    <row r="843" ht="15" customHeight="1">
      <c r="CK843" s="1159"/>
      <c r="EG843" s="1159"/>
    </row>
    <row r="844" ht="15" customHeight="1">
      <c r="CK844" s="1159"/>
      <c r="EG844" s="1159"/>
    </row>
    <row r="845" ht="15" customHeight="1">
      <c r="CK845" s="1159"/>
      <c r="EG845" s="1159"/>
    </row>
    <row r="846" ht="15" customHeight="1">
      <c r="CK846" s="1159"/>
      <c r="EG846" s="1159"/>
    </row>
    <row r="847" ht="15" customHeight="1">
      <c r="CK847" s="1159"/>
      <c r="EG847" s="1159"/>
    </row>
    <row r="848" ht="15" customHeight="1">
      <c r="CK848" s="1159"/>
      <c r="EG848" s="1159"/>
    </row>
    <row r="849" ht="15" customHeight="1">
      <c r="CK849" s="1159"/>
      <c r="EG849" s="1159"/>
    </row>
    <row r="850" ht="15" customHeight="1">
      <c r="CK850" s="1159"/>
      <c r="EG850" s="1159"/>
    </row>
    <row r="851" ht="15" customHeight="1">
      <c r="CK851" s="1159"/>
      <c r="EG851" s="1159"/>
    </row>
    <row r="852" ht="15" customHeight="1">
      <c r="CK852" s="1159"/>
      <c r="EG852" s="1159"/>
    </row>
    <row r="853" ht="15" customHeight="1">
      <c r="CK853" s="1159"/>
      <c r="EG853" s="1159"/>
    </row>
    <row r="854" ht="15" customHeight="1">
      <c r="CK854" s="1159"/>
      <c r="EG854" s="1159"/>
    </row>
    <row r="855" ht="15" customHeight="1">
      <c r="CK855" s="1159"/>
      <c r="EG855" s="1159"/>
    </row>
    <row r="856" ht="15" customHeight="1">
      <c r="CK856" s="1159"/>
      <c r="EG856" s="1159"/>
    </row>
    <row r="857" ht="15" customHeight="1">
      <c r="CK857" s="1159"/>
      <c r="EG857" s="1159"/>
    </row>
    <row r="858" ht="15" customHeight="1">
      <c r="CK858" s="1159"/>
      <c r="EG858" s="1159"/>
    </row>
    <row r="859" ht="15" customHeight="1">
      <c r="CK859" s="1159"/>
      <c r="EG859" s="1159"/>
    </row>
    <row r="860" ht="15" customHeight="1">
      <c r="CK860" s="1159"/>
      <c r="EG860" s="1159"/>
    </row>
    <row r="861" ht="15" customHeight="1">
      <c r="CK861" s="1159"/>
      <c r="EG861" s="1159"/>
    </row>
    <row r="862" ht="15" customHeight="1">
      <c r="CK862" s="1159"/>
      <c r="EG862" s="1159"/>
    </row>
    <row r="863" ht="15" customHeight="1">
      <c r="CK863" s="1159"/>
      <c r="EG863" s="1159"/>
    </row>
    <row r="864" ht="15" customHeight="1">
      <c r="CK864" s="1159"/>
      <c r="EG864" s="1159"/>
    </row>
    <row r="865" ht="15" customHeight="1">
      <c r="CK865" s="1159"/>
      <c r="EG865" s="1159"/>
    </row>
    <row r="866" ht="15" customHeight="1">
      <c r="CK866" s="1159"/>
      <c r="EG866" s="1159"/>
    </row>
    <row r="867" ht="15" customHeight="1">
      <c r="CK867" s="1159"/>
      <c r="EG867" s="1159"/>
    </row>
    <row r="868" ht="15" customHeight="1">
      <c r="CK868" s="1159"/>
      <c r="EG868" s="1159"/>
    </row>
    <row r="869" ht="15" customHeight="1">
      <c r="CK869" s="1159"/>
      <c r="EG869" s="1159"/>
    </row>
    <row r="870" ht="15" customHeight="1">
      <c r="CK870" s="1159"/>
      <c r="EG870" s="1159"/>
    </row>
    <row r="871" ht="15" customHeight="1">
      <c r="CK871" s="1159"/>
      <c r="EG871" s="1159"/>
    </row>
    <row r="872" ht="15" customHeight="1">
      <c r="CK872" s="1159"/>
      <c r="EG872" s="1159"/>
    </row>
    <row r="873" ht="15" customHeight="1">
      <c r="CK873" s="1159"/>
      <c r="EG873" s="1159"/>
    </row>
    <row r="874" ht="15" customHeight="1">
      <c r="CK874" s="1159"/>
      <c r="EG874" s="1159"/>
    </row>
    <row r="875" ht="15" customHeight="1">
      <c r="CK875" s="1159"/>
      <c r="EG875" s="1159"/>
    </row>
    <row r="876" ht="15" customHeight="1">
      <c r="CK876" s="1159"/>
      <c r="EG876" s="1159"/>
    </row>
    <row r="877" ht="15" customHeight="1">
      <c r="CK877" s="1159"/>
      <c r="EG877" s="1159"/>
    </row>
    <row r="878" ht="15" customHeight="1">
      <c r="CK878" s="1159"/>
      <c r="EG878" s="1159"/>
    </row>
    <row r="879" ht="15" customHeight="1">
      <c r="CK879" s="1159"/>
      <c r="EG879" s="1159"/>
    </row>
    <row r="880" ht="15" customHeight="1">
      <c r="CK880" s="1159"/>
      <c r="EG880" s="1159"/>
    </row>
    <row r="881" ht="15" customHeight="1">
      <c r="CK881" s="1159"/>
      <c r="EG881" s="1159"/>
    </row>
    <row r="882" ht="15" customHeight="1">
      <c r="CK882" s="1159"/>
      <c r="EG882" s="1159"/>
    </row>
    <row r="883" ht="15" customHeight="1">
      <c r="CK883" s="1159"/>
      <c r="EG883" s="1159"/>
    </row>
    <row r="884" ht="15" customHeight="1">
      <c r="CK884" s="1159"/>
      <c r="EG884" s="1159"/>
    </row>
    <row r="885" ht="15" customHeight="1">
      <c r="CK885" s="1159"/>
      <c r="EG885" s="1159"/>
    </row>
    <row r="886" ht="15" customHeight="1">
      <c r="CK886" s="1159"/>
      <c r="EG886" s="1159"/>
    </row>
    <row r="887" ht="15" customHeight="1">
      <c r="CK887" s="1159"/>
      <c r="EG887" s="1159"/>
    </row>
    <row r="888" ht="15" customHeight="1">
      <c r="CK888" s="1159"/>
      <c r="EG888" s="1159"/>
    </row>
    <row r="889" ht="15" customHeight="1">
      <c r="CK889" s="1159"/>
      <c r="EG889" s="1159"/>
    </row>
    <row r="890" ht="15" customHeight="1">
      <c r="CK890" s="1159"/>
      <c r="EG890" s="1159"/>
    </row>
    <row r="891" ht="15" customHeight="1">
      <c r="CK891" s="1159"/>
      <c r="EG891" s="1159"/>
    </row>
    <row r="892" ht="15" customHeight="1">
      <c r="CK892" s="1159"/>
      <c r="EG892" s="1159"/>
    </row>
    <row r="893" ht="15" customHeight="1">
      <c r="CK893" s="1159"/>
      <c r="EG893" s="1159"/>
    </row>
    <row r="894" ht="15" customHeight="1">
      <c r="CK894" s="1159"/>
      <c r="EG894" s="1159"/>
    </row>
    <row r="895" ht="15" customHeight="1">
      <c r="CK895" s="1159"/>
      <c r="EG895" s="1159"/>
    </row>
    <row r="896" ht="15" customHeight="1">
      <c r="CK896" s="1159"/>
      <c r="EG896" s="1159"/>
    </row>
    <row r="897" ht="15" customHeight="1">
      <c r="CK897" s="1159"/>
      <c r="EG897" s="1159"/>
    </row>
    <row r="898" ht="15" customHeight="1">
      <c r="CK898" s="1159"/>
      <c r="EG898" s="1159"/>
    </row>
    <row r="899" ht="15" customHeight="1">
      <c r="CK899" s="1159"/>
      <c r="EG899" s="1159"/>
    </row>
    <row r="900" ht="15" customHeight="1">
      <c r="CK900" s="1159"/>
      <c r="EG900" s="1159"/>
    </row>
    <row r="901" ht="15" customHeight="1">
      <c r="CK901" s="1159"/>
      <c r="EG901" s="1159"/>
    </row>
    <row r="902" ht="15" customHeight="1">
      <c r="CK902" s="1159"/>
      <c r="EG902" s="1159"/>
    </row>
    <row r="903" ht="15" customHeight="1">
      <c r="CK903" s="1159"/>
      <c r="EG903" s="1159"/>
    </row>
    <row r="904" ht="15" customHeight="1">
      <c r="CK904" s="1159"/>
      <c r="EG904" s="1159"/>
    </row>
    <row r="905" ht="15" customHeight="1">
      <c r="CK905" s="1159"/>
      <c r="EG905" s="1159"/>
    </row>
    <row r="906" ht="15" customHeight="1">
      <c r="CK906" s="1159"/>
      <c r="EG906" s="1159"/>
    </row>
    <row r="907" ht="15" customHeight="1">
      <c r="CK907" s="1159"/>
      <c r="EG907" s="1159"/>
    </row>
    <row r="908" ht="15" customHeight="1">
      <c r="CK908" s="1159"/>
      <c r="EG908" s="1159"/>
    </row>
    <row r="909" ht="15" customHeight="1">
      <c r="CK909" s="1159"/>
      <c r="EG909" s="1159"/>
    </row>
    <row r="910" ht="15" customHeight="1">
      <c r="CK910" s="1159"/>
      <c r="EG910" s="1159"/>
    </row>
    <row r="911" ht="15" customHeight="1">
      <c r="CK911" s="1159"/>
      <c r="EG911" s="1159"/>
    </row>
    <row r="912" ht="15" customHeight="1">
      <c r="CK912" s="1159"/>
      <c r="EG912" s="1159"/>
    </row>
    <row r="913" ht="15" customHeight="1">
      <c r="CK913" s="1159"/>
      <c r="EG913" s="1159"/>
    </row>
    <row r="914" ht="15" customHeight="1">
      <c r="CK914" s="1159"/>
      <c r="EG914" s="1159"/>
    </row>
    <row r="915" ht="15" customHeight="1">
      <c r="CK915" s="1159"/>
      <c r="EG915" s="1159"/>
    </row>
    <row r="916" ht="15" customHeight="1">
      <c r="CK916" s="1159"/>
      <c r="EG916" s="1159"/>
    </row>
    <row r="917" ht="15" customHeight="1">
      <c r="CK917" s="1159"/>
      <c r="EG917" s="1159"/>
    </row>
    <row r="918" ht="15" customHeight="1">
      <c r="CK918" s="1159"/>
      <c r="EG918" s="1159"/>
    </row>
    <row r="919" ht="15" customHeight="1">
      <c r="CK919" s="1159"/>
      <c r="EG919" s="1159"/>
    </row>
    <row r="920" ht="15" customHeight="1">
      <c r="CK920" s="1159"/>
      <c r="EG920" s="1159"/>
    </row>
    <row r="921" ht="15" customHeight="1">
      <c r="CK921" s="1159"/>
      <c r="EG921" s="1159"/>
    </row>
    <row r="922" ht="15" customHeight="1">
      <c r="CK922" s="1159"/>
      <c r="EG922" s="1159"/>
    </row>
    <row r="923" ht="15" customHeight="1">
      <c r="CK923" s="1159"/>
      <c r="EG923" s="1159"/>
    </row>
    <row r="924" ht="15" customHeight="1">
      <c r="CK924" s="1159"/>
      <c r="EG924" s="1159"/>
    </row>
    <row r="925" ht="15" customHeight="1">
      <c r="CK925" s="1159"/>
      <c r="EG925" s="1159"/>
    </row>
    <row r="926" ht="15" customHeight="1">
      <c r="CK926" s="1159"/>
      <c r="EG926" s="1159"/>
    </row>
    <row r="927" ht="15" customHeight="1">
      <c r="CK927" s="1159"/>
      <c r="EG927" s="1159"/>
    </row>
    <row r="928" ht="15" customHeight="1">
      <c r="CK928" s="1159"/>
      <c r="EG928" s="1159"/>
    </row>
    <row r="929" ht="15" customHeight="1">
      <c r="CK929" s="1159"/>
      <c r="EG929" s="1159"/>
    </row>
    <row r="930" ht="15" customHeight="1">
      <c r="CK930" s="1159"/>
      <c r="EG930" s="1159"/>
    </row>
    <row r="931" ht="15" customHeight="1">
      <c r="CK931" s="1159"/>
      <c r="EG931" s="1159"/>
    </row>
    <row r="932" ht="15" customHeight="1">
      <c r="CK932" s="1159"/>
      <c r="EG932" s="1159"/>
    </row>
    <row r="933" ht="15" customHeight="1">
      <c r="CK933" s="1159"/>
      <c r="EG933" s="1159"/>
    </row>
    <row r="934" ht="15" customHeight="1">
      <c r="CK934" s="1159"/>
      <c r="EG934" s="1159"/>
    </row>
    <row r="935" ht="15" customHeight="1">
      <c r="CK935" s="1159"/>
      <c r="EG935" s="1159"/>
    </row>
    <row r="936" ht="15" customHeight="1">
      <c r="CK936" s="1159"/>
      <c r="EG936" s="1159"/>
    </row>
    <row r="937" ht="15" customHeight="1">
      <c r="CK937" s="1159"/>
      <c r="EG937" s="1159"/>
    </row>
    <row r="938" ht="15" customHeight="1">
      <c r="CK938" s="1159"/>
      <c r="EG938" s="1159"/>
    </row>
    <row r="939" ht="15" customHeight="1">
      <c r="CK939" s="1159"/>
      <c r="EG939" s="1159"/>
    </row>
    <row r="940" ht="15" customHeight="1">
      <c r="CK940" s="1159"/>
      <c r="EG940" s="1159"/>
    </row>
    <row r="941" ht="15" customHeight="1">
      <c r="CK941" s="1159"/>
      <c r="EG941" s="1159"/>
    </row>
    <row r="942" ht="15" customHeight="1">
      <c r="CK942" s="1159"/>
      <c r="EG942" s="1159"/>
    </row>
    <row r="943" ht="15" customHeight="1">
      <c r="CK943" s="1159"/>
      <c r="EG943" s="1159"/>
    </row>
    <row r="944" ht="15" customHeight="1">
      <c r="CK944" s="1159"/>
      <c r="EG944" s="1159"/>
    </row>
    <row r="945" ht="15" customHeight="1">
      <c r="CK945" s="1159"/>
      <c r="EG945" s="1159"/>
    </row>
    <row r="946" ht="15" customHeight="1">
      <c r="CK946" s="1159"/>
      <c r="EG946" s="1159"/>
    </row>
    <row r="947" ht="15" customHeight="1">
      <c r="CK947" s="1159"/>
      <c r="EG947" s="1159"/>
    </row>
    <row r="948" ht="15" customHeight="1">
      <c r="CK948" s="1159"/>
      <c r="EG948" s="1159"/>
    </row>
    <row r="949" ht="15" customHeight="1">
      <c r="CK949" s="1159"/>
      <c r="EG949" s="1159"/>
    </row>
    <row r="950" ht="15" customHeight="1">
      <c r="CK950" s="1159"/>
      <c r="EG950" s="1159"/>
    </row>
    <row r="951" ht="15" customHeight="1">
      <c r="CK951" s="1159"/>
      <c r="EG951" s="1159"/>
    </row>
    <row r="952" ht="15" customHeight="1">
      <c r="CK952" s="1159"/>
      <c r="EG952" s="1159"/>
    </row>
    <row r="953" ht="15" customHeight="1">
      <c r="CK953" s="1159"/>
      <c r="EG953" s="1159"/>
    </row>
    <row r="954" ht="15" customHeight="1">
      <c r="CK954" s="1159"/>
      <c r="EG954" s="1159"/>
    </row>
    <row r="955" ht="15" customHeight="1">
      <c r="CK955" s="1159"/>
      <c r="EG955" s="1159"/>
    </row>
    <row r="956" ht="15" customHeight="1">
      <c r="CK956" s="1159"/>
      <c r="EG956" s="1159"/>
    </row>
    <row r="957" ht="15" customHeight="1">
      <c r="CK957" s="1159"/>
      <c r="EG957" s="1159"/>
    </row>
    <row r="958" ht="15" customHeight="1">
      <c r="CK958" s="1159"/>
      <c r="EG958" s="1159"/>
    </row>
    <row r="959" ht="15" customHeight="1">
      <c r="CK959" s="1159"/>
      <c r="EG959" s="1159"/>
    </row>
    <row r="960" ht="15" customHeight="1">
      <c r="CK960" s="1159"/>
      <c r="EG960" s="1159"/>
    </row>
    <row r="961" ht="15" customHeight="1">
      <c r="CK961" s="1159"/>
      <c r="EG961" s="1159"/>
    </row>
    <row r="962" ht="15" customHeight="1">
      <c r="CK962" s="1159"/>
      <c r="EG962" s="1159"/>
    </row>
    <row r="963" ht="15" customHeight="1">
      <c r="CK963" s="1159"/>
      <c r="EG963" s="1159"/>
    </row>
    <row r="964" ht="15" customHeight="1">
      <c r="CK964" s="1159"/>
      <c r="EG964" s="1159"/>
    </row>
    <row r="965" ht="15" customHeight="1">
      <c r="CK965" s="1159"/>
      <c r="EG965" s="1159"/>
    </row>
    <row r="966" ht="15" customHeight="1">
      <c r="CK966" s="1159"/>
      <c r="EG966" s="1159"/>
    </row>
    <row r="967" ht="15" customHeight="1">
      <c r="CK967" s="1159"/>
      <c r="EG967" s="1159"/>
    </row>
    <row r="968" ht="15" customHeight="1">
      <c r="CK968" s="1159"/>
      <c r="EG968" s="1159"/>
    </row>
    <row r="969" ht="15" customHeight="1">
      <c r="CK969" s="1159"/>
      <c r="EG969" s="1159"/>
    </row>
    <row r="970" ht="15" customHeight="1">
      <c r="CK970" s="1159"/>
      <c r="EG970" s="1159"/>
    </row>
    <row r="971" ht="15" customHeight="1">
      <c r="CK971" s="1159"/>
      <c r="EG971" s="1159"/>
    </row>
    <row r="972" ht="15" customHeight="1">
      <c r="CK972" s="1159"/>
      <c r="EG972" s="1159"/>
    </row>
    <row r="973" ht="15" customHeight="1">
      <c r="CK973" s="1159"/>
      <c r="EG973" s="1159"/>
    </row>
    <row r="974" ht="15" customHeight="1">
      <c r="CK974" s="1159"/>
      <c r="EG974" s="1159"/>
    </row>
    <row r="975" ht="15" customHeight="1">
      <c r="CK975" s="1159"/>
      <c r="EG975" s="1159"/>
    </row>
    <row r="976" ht="15" customHeight="1">
      <c r="CK976" s="1159"/>
      <c r="EG976" s="1159"/>
    </row>
    <row r="977" ht="15" customHeight="1">
      <c r="CK977" s="1159"/>
      <c r="EG977" s="1159"/>
    </row>
    <row r="978" ht="15" customHeight="1">
      <c r="CK978" s="1159"/>
      <c r="EG978" s="1159"/>
    </row>
    <row r="979" ht="15" customHeight="1">
      <c r="CK979" s="1159"/>
      <c r="EG979" s="1159"/>
    </row>
    <row r="980" ht="15" customHeight="1">
      <c r="CK980" s="1159"/>
      <c r="EG980" s="1159"/>
    </row>
    <row r="981" ht="15" customHeight="1">
      <c r="CK981" s="1159"/>
      <c r="EG981" s="1159"/>
    </row>
    <row r="982" ht="15" customHeight="1">
      <c r="CK982" s="1159"/>
      <c r="EG982" s="1159"/>
    </row>
    <row r="983" ht="15" customHeight="1">
      <c r="CK983" s="1159"/>
      <c r="EG983" s="1159"/>
    </row>
    <row r="984" ht="15" customHeight="1">
      <c r="CK984" s="1159"/>
      <c r="EG984" s="1159"/>
    </row>
    <row r="985" ht="15" customHeight="1">
      <c r="CK985" s="1159"/>
      <c r="EG985" s="1159"/>
    </row>
    <row r="986" ht="15" customHeight="1">
      <c r="CK986" s="1159"/>
      <c r="EG986" s="1159"/>
    </row>
    <row r="987" ht="15" customHeight="1">
      <c r="CK987" s="1159"/>
      <c r="EG987" s="1159"/>
    </row>
    <row r="988" ht="15" customHeight="1">
      <c r="CK988" s="1159"/>
      <c r="EG988" s="1159"/>
    </row>
    <row r="989" ht="15" customHeight="1">
      <c r="CK989" s="1159"/>
      <c r="EG989" s="1159"/>
    </row>
    <row r="990" ht="15" customHeight="1">
      <c r="CK990" s="1159"/>
      <c r="EG990" s="1159"/>
    </row>
    <row r="991" ht="15" customHeight="1">
      <c r="CK991" s="1159"/>
      <c r="EG991" s="1159"/>
    </row>
    <row r="992" ht="15" customHeight="1">
      <c r="CK992" s="1159"/>
      <c r="EG992" s="1159"/>
    </row>
    <row r="993" ht="15" customHeight="1">
      <c r="CK993" s="1159"/>
      <c r="EG993" s="1159"/>
    </row>
    <row r="994" ht="15" customHeight="1">
      <c r="CK994" s="1159"/>
      <c r="EG994" s="1159"/>
    </row>
    <row r="995" ht="15" customHeight="1">
      <c r="CK995" s="1159"/>
      <c r="EG995" s="1159"/>
    </row>
    <row r="996" ht="15" customHeight="1">
      <c r="CK996" s="1159"/>
      <c r="EG996" s="1159"/>
    </row>
    <row r="997" ht="15" customHeight="1">
      <c r="CK997" s="1159"/>
      <c r="EG997" s="1159"/>
    </row>
    <row r="998" ht="15" customHeight="1">
      <c r="CK998" s="1159"/>
      <c r="EG998" s="1159"/>
    </row>
    <row r="999" ht="15" customHeight="1">
      <c r="CK999" s="1159"/>
      <c r="EG999" s="1159"/>
    </row>
    <row r="1000" ht="15" customHeight="1">
      <c r="CK1000" s="1159"/>
      <c r="EG1000" s="1159"/>
    </row>
    <row r="1001" ht="15" customHeight="1">
      <c r="CK1001" s="1159"/>
      <c r="EG1001" s="1159"/>
    </row>
    <row r="1002" ht="15" customHeight="1">
      <c r="CK1002" s="1159"/>
      <c r="EG1002" s="1159"/>
    </row>
    <row r="1003" ht="15" customHeight="1">
      <c r="CK1003" s="1159"/>
      <c r="EG1003" s="1159"/>
    </row>
    <row r="1004" ht="15" customHeight="1">
      <c r="CK1004" s="1159"/>
      <c r="EG1004" s="1159"/>
    </row>
    <row r="1005" ht="15" customHeight="1">
      <c r="CK1005" s="1159"/>
      <c r="EG1005" s="1159"/>
    </row>
    <row r="1006" ht="15" customHeight="1">
      <c r="CK1006" s="1159"/>
      <c r="EG1006" s="1159"/>
    </row>
    <row r="1007" ht="15" customHeight="1">
      <c r="CK1007" s="1159"/>
      <c r="EG1007" s="1159"/>
    </row>
    <row r="1008" ht="15" customHeight="1">
      <c r="CK1008" s="1159"/>
      <c r="EG1008" s="1159"/>
    </row>
    <row r="1009" ht="15" customHeight="1">
      <c r="CK1009" s="1159"/>
      <c r="EG1009" s="1159"/>
    </row>
    <row r="1010" ht="15" customHeight="1">
      <c r="CK1010" s="1159"/>
      <c r="EG1010" s="1159"/>
    </row>
    <row r="1011" ht="15" customHeight="1">
      <c r="CK1011" s="1159"/>
      <c r="EG1011" s="1159"/>
    </row>
    <row r="1012" ht="15" customHeight="1">
      <c r="CK1012" s="1159"/>
      <c r="EG1012" s="1159"/>
    </row>
    <row r="1013" ht="15" customHeight="1">
      <c r="CK1013" s="1159"/>
      <c r="EG1013" s="1159"/>
    </row>
    <row r="1014" ht="15" customHeight="1">
      <c r="CK1014" s="1159"/>
      <c r="EG1014" s="1159"/>
    </row>
    <row r="1015" ht="15" customHeight="1">
      <c r="CK1015" s="1159"/>
      <c r="EG1015" s="1159"/>
    </row>
    <row r="1016" ht="15" customHeight="1">
      <c r="CK1016" s="1159"/>
      <c r="EG1016" s="1159"/>
    </row>
    <row r="1017" ht="15" customHeight="1">
      <c r="CK1017" s="1159"/>
      <c r="EG1017" s="1159"/>
    </row>
    <row r="1018" ht="15" customHeight="1">
      <c r="CK1018" s="1159"/>
      <c r="EG1018" s="1159"/>
    </row>
    <row r="1019" ht="15" customHeight="1">
      <c r="CK1019" s="1159"/>
      <c r="EG1019" s="1159"/>
    </row>
    <row r="1020" ht="15" customHeight="1">
      <c r="CK1020" s="1159"/>
      <c r="EG1020" s="1159"/>
    </row>
    <row r="1021" ht="15" customHeight="1">
      <c r="CK1021" s="1159"/>
      <c r="EG1021" s="1159"/>
    </row>
    <row r="1022" ht="15" customHeight="1">
      <c r="CK1022" s="1159"/>
      <c r="EG1022" s="1159"/>
    </row>
    <row r="1023" ht="15" customHeight="1">
      <c r="CK1023" s="1159"/>
      <c r="EG1023" s="1159"/>
    </row>
    <row r="1024" ht="15" customHeight="1">
      <c r="CK1024" s="1159"/>
      <c r="EG1024" s="1159"/>
    </row>
    <row r="1025" ht="15" customHeight="1">
      <c r="CK1025" s="1159"/>
      <c r="EG1025" s="1159"/>
    </row>
    <row r="1026" ht="15" customHeight="1">
      <c r="CK1026" s="1159"/>
      <c r="EG1026" s="1159"/>
    </row>
    <row r="1027" ht="15" customHeight="1">
      <c r="CK1027" s="1159"/>
      <c r="EG1027" s="1159"/>
    </row>
    <row r="1028" ht="15" customHeight="1">
      <c r="CK1028" s="1159"/>
      <c r="EG1028" s="1159"/>
    </row>
    <row r="1029" ht="15" customHeight="1">
      <c r="CK1029" s="1159"/>
      <c r="EG1029" s="1159"/>
    </row>
    <row r="1030" ht="15" customHeight="1">
      <c r="CK1030" s="1159"/>
      <c r="EG1030" s="1159"/>
    </row>
    <row r="1031" ht="15" customHeight="1">
      <c r="CK1031" s="1159"/>
      <c r="EG1031" s="1159"/>
    </row>
    <row r="1032" ht="15" customHeight="1">
      <c r="CK1032" s="1159"/>
      <c r="EG1032" s="1159"/>
    </row>
    <row r="1033" ht="15" customHeight="1">
      <c r="CK1033" s="1159"/>
      <c r="EG1033" s="1159"/>
    </row>
    <row r="1034" ht="15" customHeight="1">
      <c r="CK1034" s="1159"/>
      <c r="EG1034" s="1159"/>
    </row>
    <row r="1035" ht="15" customHeight="1">
      <c r="CK1035" s="1159"/>
      <c r="EG1035" s="1159"/>
    </row>
    <row r="1036" ht="15" customHeight="1">
      <c r="CK1036" s="1159"/>
      <c r="EG1036" s="1159"/>
    </row>
    <row r="1037" ht="15" customHeight="1">
      <c r="CK1037" s="1159"/>
      <c r="EG1037" s="1159"/>
    </row>
    <row r="1038" ht="15" customHeight="1">
      <c r="CK1038" s="1159"/>
      <c r="EG1038" s="1159"/>
    </row>
    <row r="1039" ht="15" customHeight="1">
      <c r="CK1039" s="1159"/>
      <c r="EG1039" s="1159"/>
    </row>
    <row r="1040" ht="15" customHeight="1">
      <c r="CK1040" s="1159"/>
      <c r="EG1040" s="1159"/>
    </row>
    <row r="1041" ht="15" customHeight="1">
      <c r="CK1041" s="1159"/>
      <c r="EG1041" s="1159"/>
    </row>
    <row r="1042" ht="15" customHeight="1">
      <c r="CK1042" s="1159"/>
      <c r="EG1042" s="1159"/>
    </row>
    <row r="1043" ht="15" customHeight="1">
      <c r="CK1043" s="1159"/>
      <c r="EG1043" s="1159"/>
    </row>
    <row r="1044" ht="15" customHeight="1">
      <c r="CK1044" s="1159"/>
      <c r="EG1044" s="1159"/>
    </row>
    <row r="1045" ht="15" customHeight="1">
      <c r="CK1045" s="1159"/>
      <c r="EG1045" s="1159"/>
    </row>
    <row r="1046" ht="15" customHeight="1">
      <c r="CK1046" s="1159"/>
      <c r="EG1046" s="1159"/>
    </row>
    <row r="1047" ht="15" customHeight="1">
      <c r="CK1047" s="1159"/>
      <c r="EG1047" s="1159"/>
    </row>
    <row r="1048" ht="15" customHeight="1">
      <c r="CK1048" s="1159"/>
      <c r="EG1048" s="1159"/>
    </row>
    <row r="1049" ht="15" customHeight="1">
      <c r="CK1049" s="1159"/>
      <c r="EG1049" s="1159"/>
    </row>
    <row r="1050" ht="15" customHeight="1">
      <c r="CK1050" s="1159"/>
      <c r="EG1050" s="1159"/>
    </row>
    <row r="1051" ht="15" customHeight="1">
      <c r="CK1051" s="1159"/>
      <c r="EG1051" s="1159"/>
    </row>
    <row r="1052" ht="15" customHeight="1">
      <c r="CK1052" s="1159"/>
      <c r="EG1052" s="1159"/>
    </row>
    <row r="1053" ht="15" customHeight="1">
      <c r="CK1053" s="1159"/>
      <c r="EG1053" s="1159"/>
    </row>
    <row r="1054" ht="15" customHeight="1">
      <c r="CK1054" s="1159"/>
      <c r="EG1054" s="1159"/>
    </row>
    <row r="1055" ht="15" customHeight="1">
      <c r="CK1055" s="1159"/>
      <c r="EG1055" s="1159"/>
    </row>
    <row r="1056" ht="15" customHeight="1">
      <c r="CK1056" s="1159"/>
      <c r="EG1056" s="1159"/>
    </row>
    <row r="1057" ht="15" customHeight="1">
      <c r="CK1057" s="1159"/>
      <c r="EG1057" s="1159"/>
    </row>
    <row r="1058" ht="15" customHeight="1">
      <c r="CK1058" s="1159"/>
      <c r="EG1058" s="1159"/>
    </row>
    <row r="1059" ht="15" customHeight="1">
      <c r="CK1059" s="1159"/>
      <c r="EG1059" s="1159"/>
    </row>
    <row r="1060" ht="15" customHeight="1">
      <c r="CK1060" s="1159"/>
      <c r="EG1060" s="1159"/>
    </row>
    <row r="1061" ht="15" customHeight="1">
      <c r="CK1061" s="1159"/>
      <c r="EG1061" s="1159"/>
    </row>
    <row r="1062" ht="15" customHeight="1">
      <c r="CK1062" s="1159"/>
      <c r="EG1062" s="1159"/>
    </row>
    <row r="1063" ht="15" customHeight="1">
      <c r="CK1063" s="1159"/>
      <c r="EG1063" s="1159"/>
    </row>
    <row r="1064" ht="15" customHeight="1">
      <c r="CK1064" s="1159"/>
      <c r="EG1064" s="1159"/>
    </row>
    <row r="1065" ht="15" customHeight="1">
      <c r="CK1065" s="1159"/>
      <c r="EG1065" s="1159"/>
    </row>
    <row r="1066" ht="15" customHeight="1">
      <c r="CK1066" s="1159"/>
      <c r="EG1066" s="1159"/>
    </row>
    <row r="1067" ht="15" customHeight="1">
      <c r="CK1067" s="1159"/>
      <c r="EG1067" s="1159"/>
    </row>
    <row r="1068" ht="15" customHeight="1">
      <c r="CK1068" s="1159"/>
      <c r="EG1068" s="1159"/>
    </row>
    <row r="1069" ht="15" customHeight="1">
      <c r="CK1069" s="1159"/>
      <c r="EG1069" s="1159"/>
    </row>
    <row r="1070" ht="15" customHeight="1">
      <c r="CK1070" s="1159"/>
      <c r="EG1070" s="1159"/>
    </row>
    <row r="1071" ht="15" customHeight="1">
      <c r="CK1071" s="1159"/>
      <c r="EG1071" s="1159"/>
    </row>
    <row r="1072" ht="15" customHeight="1">
      <c r="CK1072" s="1159"/>
      <c r="EG1072" s="1159"/>
    </row>
    <row r="1073" ht="15" customHeight="1">
      <c r="CK1073" s="1159"/>
      <c r="EG1073" s="1159"/>
    </row>
    <row r="1074" ht="15" customHeight="1">
      <c r="CK1074" s="1159"/>
      <c r="EG1074" s="1159"/>
    </row>
    <row r="1075" ht="15" customHeight="1">
      <c r="CK1075" s="1159"/>
      <c r="EG1075" s="1159"/>
    </row>
    <row r="1076" ht="15" customHeight="1">
      <c r="CK1076" s="1159"/>
      <c r="EG1076" s="1159"/>
    </row>
    <row r="1077" ht="15" customHeight="1">
      <c r="CK1077" s="1159"/>
      <c r="EG1077" s="1159"/>
    </row>
    <row r="1078" ht="15" customHeight="1">
      <c r="CK1078" s="1159"/>
      <c r="EG1078" s="1159"/>
    </row>
    <row r="1079" ht="15" customHeight="1">
      <c r="CK1079" s="1159"/>
      <c r="EG1079" s="1159"/>
    </row>
    <row r="1080" ht="15" customHeight="1">
      <c r="CK1080" s="1159"/>
      <c r="EG1080" s="1159"/>
    </row>
    <row r="1081" ht="15" customHeight="1">
      <c r="CK1081" s="1159"/>
      <c r="EG1081" s="1159"/>
    </row>
    <row r="1082" ht="15" customHeight="1">
      <c r="CK1082" s="1159"/>
      <c r="EG1082" s="1159"/>
    </row>
    <row r="1083" ht="15" customHeight="1">
      <c r="CK1083" s="1159"/>
      <c r="EG1083" s="1159"/>
    </row>
    <row r="1084" ht="15" customHeight="1">
      <c r="CK1084" s="1159"/>
      <c r="EG1084" s="1159"/>
    </row>
    <row r="1085" ht="15" customHeight="1">
      <c r="CK1085" s="1159"/>
      <c r="EG1085" s="1159"/>
    </row>
    <row r="1086" ht="15" customHeight="1">
      <c r="CK1086" s="1159"/>
      <c r="EG1086" s="1159"/>
    </row>
    <row r="1087" ht="15" customHeight="1">
      <c r="CK1087" s="1159"/>
      <c r="EG1087" s="1159"/>
    </row>
    <row r="1088" ht="15" customHeight="1">
      <c r="CK1088" s="1159"/>
      <c r="EG1088" s="1159"/>
    </row>
    <row r="1089" ht="15" customHeight="1">
      <c r="CK1089" s="1159"/>
      <c r="EG1089" s="1159"/>
    </row>
    <row r="1090" ht="15" customHeight="1">
      <c r="CK1090" s="1159"/>
      <c r="EG1090" s="1159"/>
    </row>
    <row r="1091" ht="15" customHeight="1">
      <c r="CK1091" s="1159"/>
      <c r="EG1091" s="1159"/>
    </row>
    <row r="1092" ht="15" customHeight="1">
      <c r="CK1092" s="1159"/>
      <c r="EG1092" s="1159"/>
    </row>
    <row r="1093" ht="15" customHeight="1">
      <c r="CK1093" s="1159"/>
      <c r="EG1093" s="1159"/>
    </row>
    <row r="1094" ht="15" customHeight="1">
      <c r="CK1094" s="1159"/>
      <c r="EG1094" s="1159"/>
    </row>
    <row r="1095" ht="15" customHeight="1">
      <c r="CK1095" s="1159"/>
      <c r="EG1095" s="1159"/>
    </row>
    <row r="1096" ht="15" customHeight="1">
      <c r="CK1096" s="1159"/>
      <c r="EG1096" s="1159"/>
    </row>
    <row r="1097" ht="15" customHeight="1">
      <c r="CK1097" s="1159"/>
      <c r="EG1097" s="1159"/>
    </row>
    <row r="1098" ht="15" customHeight="1">
      <c r="CK1098" s="1159"/>
      <c r="EG1098" s="1159"/>
    </row>
    <row r="1099" ht="15" customHeight="1">
      <c r="CK1099" s="1159"/>
      <c r="EG1099" s="1159"/>
    </row>
    <row r="1100" ht="15" customHeight="1">
      <c r="CK1100" s="1159"/>
      <c r="EG1100" s="1159"/>
    </row>
    <row r="1101" ht="15" customHeight="1">
      <c r="CK1101" s="1159"/>
      <c r="EG1101" s="1159"/>
    </row>
    <row r="1102" ht="15" customHeight="1">
      <c r="CK1102" s="1159"/>
      <c r="EG1102" s="1159"/>
    </row>
    <row r="1103" ht="15" customHeight="1">
      <c r="CK1103" s="1159"/>
      <c r="EG1103" s="1159"/>
    </row>
    <row r="1104" ht="15" customHeight="1">
      <c r="CK1104" s="1159"/>
      <c r="EG1104" s="1159"/>
    </row>
    <row r="1105" ht="15" customHeight="1">
      <c r="CK1105" s="1159"/>
      <c r="EG1105" s="1159"/>
    </row>
    <row r="1106" ht="15" customHeight="1">
      <c r="CK1106" s="1159"/>
      <c r="EG1106" s="1159"/>
    </row>
    <row r="1107" ht="15" customHeight="1">
      <c r="CK1107" s="1159"/>
      <c r="EG1107" s="1159"/>
    </row>
    <row r="1108" ht="15" customHeight="1">
      <c r="CK1108" s="1159"/>
      <c r="EG1108" s="1159"/>
    </row>
    <row r="1109" ht="15" customHeight="1">
      <c r="CK1109" s="1159"/>
      <c r="EG1109" s="1159"/>
    </row>
    <row r="1110" ht="15" customHeight="1">
      <c r="CK1110" s="1159"/>
      <c r="EG1110" s="1159"/>
    </row>
    <row r="1111" ht="15" customHeight="1">
      <c r="CK1111" s="1159"/>
      <c r="EG1111" s="1159"/>
    </row>
    <row r="1112" ht="15" customHeight="1">
      <c r="CK1112" s="1159"/>
      <c r="EG1112" s="1159"/>
    </row>
    <row r="1113" ht="15" customHeight="1">
      <c r="CK1113" s="1159"/>
      <c r="EG1113" s="1159"/>
    </row>
    <row r="1114" ht="15" customHeight="1">
      <c r="CK1114" s="1159"/>
      <c r="EG1114" s="1159"/>
    </row>
    <row r="1115" ht="15" customHeight="1">
      <c r="CK1115" s="1159"/>
      <c r="EG1115" s="1159"/>
    </row>
    <row r="1116" ht="15" customHeight="1">
      <c r="CK1116" s="1159"/>
      <c r="EG1116" s="1159"/>
    </row>
    <row r="1117" ht="15" customHeight="1">
      <c r="CK1117" s="1159"/>
      <c r="EG1117" s="1159"/>
    </row>
    <row r="1118" ht="15" customHeight="1">
      <c r="CK1118" s="1159"/>
      <c r="EG1118" s="1159"/>
    </row>
    <row r="1119" ht="15" customHeight="1">
      <c r="CK1119" s="1159"/>
      <c r="EG1119" s="1159"/>
    </row>
    <row r="1120" ht="15" customHeight="1">
      <c r="CK1120" s="1159"/>
      <c r="EG1120" s="1159"/>
    </row>
    <row r="1121" ht="15" customHeight="1">
      <c r="CK1121" s="1159"/>
      <c r="EG1121" s="1159"/>
    </row>
    <row r="1122" ht="15" customHeight="1">
      <c r="CK1122" s="1159"/>
      <c r="EG1122" s="1159"/>
    </row>
    <row r="1123" ht="15" customHeight="1">
      <c r="CK1123" s="1159"/>
      <c r="EG1123" s="1159"/>
    </row>
    <row r="1124" ht="15" customHeight="1">
      <c r="CK1124" s="1159"/>
      <c r="EG1124" s="1159"/>
    </row>
    <row r="1125" ht="15" customHeight="1">
      <c r="CK1125" s="1159"/>
      <c r="EG1125" s="1159"/>
    </row>
    <row r="1126" ht="15" customHeight="1">
      <c r="CK1126" s="1159"/>
      <c r="EG1126" s="1159"/>
    </row>
    <row r="1127" ht="15" customHeight="1">
      <c r="CK1127" s="1159"/>
      <c r="EG1127" s="1159"/>
    </row>
    <row r="1128" ht="15" customHeight="1">
      <c r="CK1128" s="1159"/>
      <c r="EG1128" s="1159"/>
    </row>
    <row r="1129" ht="15" customHeight="1">
      <c r="CK1129" s="1159"/>
      <c r="EG1129" s="1159"/>
    </row>
    <row r="1130" ht="15" customHeight="1">
      <c r="CK1130" s="1159"/>
      <c r="EG1130" s="1159"/>
    </row>
    <row r="1131" ht="15" customHeight="1">
      <c r="CK1131" s="1159"/>
      <c r="EG1131" s="1159"/>
    </row>
    <row r="1132" ht="15" customHeight="1">
      <c r="CK1132" s="1159"/>
      <c r="EG1132" s="1159"/>
    </row>
    <row r="1133" ht="15" customHeight="1">
      <c r="CK1133" s="1159"/>
      <c r="EG1133" s="1159"/>
    </row>
    <row r="1134" ht="15" customHeight="1">
      <c r="CK1134" s="1159"/>
      <c r="EG1134" s="1159"/>
    </row>
    <row r="1135" ht="15" customHeight="1">
      <c r="CK1135" s="1159"/>
      <c r="EG1135" s="1159"/>
    </row>
    <row r="1136" ht="15" customHeight="1">
      <c r="CK1136" s="1159"/>
      <c r="EG1136" s="1159"/>
    </row>
    <row r="1137" ht="15" customHeight="1">
      <c r="CK1137" s="1159"/>
      <c r="EG1137" s="1159"/>
    </row>
    <row r="1138" ht="15" customHeight="1">
      <c r="CK1138" s="1159"/>
      <c r="EG1138" s="1159"/>
    </row>
    <row r="1139" ht="15" customHeight="1">
      <c r="CK1139" s="1159"/>
      <c r="EG1139" s="1159"/>
    </row>
    <row r="1140" ht="15" customHeight="1">
      <c r="CK1140" s="1159"/>
      <c r="EG1140" s="1159"/>
    </row>
    <row r="1141" ht="15" customHeight="1">
      <c r="CK1141" s="1159"/>
      <c r="EG1141" s="1159"/>
    </row>
    <row r="1142" ht="15" customHeight="1">
      <c r="CK1142" s="1159"/>
      <c r="EG1142" s="1159"/>
    </row>
    <row r="1143" ht="15" customHeight="1">
      <c r="CK1143" s="1159"/>
      <c r="EG1143" s="1159"/>
    </row>
    <row r="1144" ht="15" customHeight="1">
      <c r="CK1144" s="1159"/>
      <c r="EG1144" s="1159"/>
    </row>
    <row r="1145" ht="15" customHeight="1">
      <c r="CK1145" s="1159"/>
      <c r="EG1145" s="1159"/>
    </row>
    <row r="1146" ht="15" customHeight="1">
      <c r="CK1146" s="1159"/>
      <c r="EG1146" s="1159"/>
    </row>
    <row r="1147" ht="15" customHeight="1">
      <c r="CK1147" s="1159"/>
      <c r="EG1147" s="1159"/>
    </row>
    <row r="1148" ht="15" customHeight="1">
      <c r="CK1148" s="1159"/>
      <c r="EG1148" s="1159"/>
    </row>
    <row r="1149" ht="15" customHeight="1">
      <c r="CK1149" s="1159"/>
      <c r="EG1149" s="1159"/>
    </row>
    <row r="1150" ht="15" customHeight="1">
      <c r="CK1150" s="1159"/>
      <c r="EG1150" s="1159"/>
    </row>
    <row r="1151" ht="15" customHeight="1">
      <c r="CK1151" s="1159"/>
      <c r="EG1151" s="1159"/>
    </row>
    <row r="1152" ht="15" customHeight="1">
      <c r="CK1152" s="1159"/>
      <c r="EG1152" s="1159"/>
    </row>
    <row r="1153" ht="15" customHeight="1">
      <c r="CK1153" s="1159"/>
      <c r="EG1153" s="1159"/>
    </row>
    <row r="1154" ht="15" customHeight="1">
      <c r="CK1154" s="1159"/>
      <c r="EG1154" s="1159"/>
    </row>
    <row r="1155" ht="15" customHeight="1">
      <c r="CK1155" s="1159"/>
      <c r="EG1155" s="1159"/>
    </row>
    <row r="1156" ht="15" customHeight="1">
      <c r="CK1156" s="1159"/>
      <c r="EG1156" s="1159"/>
    </row>
    <row r="1157" ht="15" customHeight="1">
      <c r="CK1157" s="1159"/>
      <c r="EG1157" s="1159"/>
    </row>
    <row r="1158" ht="15" customHeight="1">
      <c r="CK1158" s="1159"/>
      <c r="EG1158" s="1159"/>
    </row>
    <row r="1159" ht="15" customHeight="1">
      <c r="CK1159" s="1159"/>
      <c r="EG1159" s="1159"/>
    </row>
    <row r="1160" ht="15" customHeight="1">
      <c r="CK1160" s="1159"/>
      <c r="EG1160" s="1159"/>
    </row>
    <row r="1161" ht="15" customHeight="1">
      <c r="CK1161" s="1159"/>
      <c r="EG1161" s="1159"/>
    </row>
    <row r="1162" ht="15" customHeight="1">
      <c r="CK1162" s="1159"/>
      <c r="EG1162" s="1159"/>
    </row>
    <row r="1163" ht="15" customHeight="1">
      <c r="CK1163" s="1159"/>
      <c r="EG1163" s="1159"/>
    </row>
    <row r="1164" ht="15" customHeight="1">
      <c r="CK1164" s="1159"/>
      <c r="EG1164" s="1159"/>
    </row>
    <row r="1165" ht="15" customHeight="1">
      <c r="CK1165" s="1159"/>
      <c r="EG1165" s="1159"/>
    </row>
    <row r="1166" ht="15" customHeight="1">
      <c r="CK1166" s="1159"/>
      <c r="EG1166" s="1159"/>
    </row>
    <row r="1167" ht="15" customHeight="1">
      <c r="CK1167" s="1159"/>
      <c r="EG1167" s="1159"/>
    </row>
    <row r="1168" ht="15" customHeight="1">
      <c r="CK1168" s="1159"/>
      <c r="EG1168" s="1159"/>
    </row>
    <row r="1169" ht="15" customHeight="1">
      <c r="CK1169" s="1159"/>
      <c r="EG1169" s="1159"/>
    </row>
    <row r="1170" ht="15" customHeight="1">
      <c r="CK1170" s="1159"/>
      <c r="EG1170" s="1159"/>
    </row>
    <row r="1171" ht="15" customHeight="1">
      <c r="CK1171" s="1159"/>
      <c r="EG1171" s="1159"/>
    </row>
    <row r="1172" ht="15" customHeight="1">
      <c r="CK1172" s="1159"/>
      <c r="EG1172" s="1159"/>
    </row>
    <row r="1173" ht="15" customHeight="1">
      <c r="CK1173" s="1159"/>
      <c r="EG1173" s="1159"/>
    </row>
    <row r="1174" ht="15" customHeight="1">
      <c r="CK1174" s="1159"/>
      <c r="EG1174" s="1159"/>
    </row>
    <row r="1175" ht="15" customHeight="1">
      <c r="CK1175" s="1159"/>
      <c r="EG1175" s="1159"/>
    </row>
    <row r="1176" ht="15" customHeight="1">
      <c r="CK1176" s="1159"/>
      <c r="EG1176" s="1159"/>
    </row>
    <row r="1177" ht="15" customHeight="1">
      <c r="CK1177" s="1159"/>
      <c r="EG1177" s="1159"/>
    </row>
    <row r="1178" ht="15" customHeight="1">
      <c r="CK1178" s="1159"/>
      <c r="EG1178" s="1159"/>
    </row>
    <row r="1179" ht="15" customHeight="1">
      <c r="CK1179" s="1159"/>
      <c r="EG1179" s="1159"/>
    </row>
    <row r="1180" ht="15" customHeight="1">
      <c r="CK1180" s="1159"/>
      <c r="EG1180" s="1159"/>
    </row>
    <row r="1181" ht="15" customHeight="1">
      <c r="CK1181" s="1159"/>
      <c r="EG1181" s="1159"/>
    </row>
    <row r="1182" ht="15" customHeight="1">
      <c r="CK1182" s="1159"/>
      <c r="EG1182" s="1159"/>
    </row>
    <row r="1183" ht="15" customHeight="1">
      <c r="CK1183" s="1159"/>
      <c r="EG1183" s="1159"/>
    </row>
    <row r="1184" ht="15" customHeight="1">
      <c r="CK1184" s="1159"/>
      <c r="EG1184" s="1159"/>
    </row>
    <row r="1185" ht="15" customHeight="1">
      <c r="CK1185" s="1159"/>
      <c r="EG1185" s="1159"/>
    </row>
    <row r="1186" ht="15" customHeight="1">
      <c r="CK1186" s="1159"/>
      <c r="EG1186" s="1159"/>
    </row>
    <row r="1187" ht="15" customHeight="1">
      <c r="CK1187" s="1159"/>
      <c r="EG1187" s="1159"/>
    </row>
    <row r="1188" ht="15" customHeight="1">
      <c r="CK1188" s="1159"/>
      <c r="EG1188" s="1159"/>
    </row>
    <row r="1189" ht="15" customHeight="1">
      <c r="CK1189" s="1159"/>
      <c r="EG1189" s="1159"/>
    </row>
    <row r="1190" ht="15" customHeight="1">
      <c r="CK1190" s="1159"/>
      <c r="EG1190" s="1159"/>
    </row>
    <row r="1191" ht="15" customHeight="1">
      <c r="CK1191" s="1159"/>
      <c r="EG1191" s="1159"/>
    </row>
    <row r="1192" ht="15" customHeight="1">
      <c r="CK1192" s="1159"/>
      <c r="EG1192" s="1159"/>
    </row>
    <row r="1193" ht="15" customHeight="1">
      <c r="CK1193" s="1159"/>
      <c r="EG1193" s="1159"/>
    </row>
    <row r="1194" ht="15" customHeight="1">
      <c r="CK1194" s="1159"/>
      <c r="EG1194" s="1159"/>
    </row>
    <row r="1195" ht="15" customHeight="1">
      <c r="CK1195" s="1159"/>
      <c r="EG1195" s="1159"/>
    </row>
    <row r="1196" ht="15" customHeight="1">
      <c r="CK1196" s="1159"/>
      <c r="EG1196" s="1159"/>
    </row>
    <row r="1197" ht="15" customHeight="1">
      <c r="CK1197" s="1159"/>
      <c r="EG1197" s="1159"/>
    </row>
    <row r="1198" ht="15" customHeight="1">
      <c r="CK1198" s="1159"/>
      <c r="EG1198" s="1159"/>
    </row>
    <row r="1199" ht="15" customHeight="1">
      <c r="CK1199" s="1159"/>
      <c r="EG1199" s="1159"/>
    </row>
    <row r="1200" ht="15" customHeight="1">
      <c r="CK1200" s="1159"/>
      <c r="EG1200" s="1159"/>
    </row>
    <row r="1201" ht="15" customHeight="1">
      <c r="CK1201" s="1159"/>
      <c r="EG1201" s="1159"/>
    </row>
    <row r="1202" ht="15" customHeight="1">
      <c r="CK1202" s="1159"/>
      <c r="EG1202" s="1159"/>
    </row>
    <row r="1203" ht="15" customHeight="1">
      <c r="CK1203" s="1159"/>
      <c r="EG1203" s="1159"/>
    </row>
    <row r="1204" ht="15" customHeight="1">
      <c r="CK1204" s="1159"/>
      <c r="EG1204" s="1159"/>
    </row>
    <row r="1205" ht="15" customHeight="1">
      <c r="CK1205" s="1159"/>
      <c r="EG1205" s="1159"/>
    </row>
    <row r="1206" ht="15" customHeight="1">
      <c r="CK1206" s="1159"/>
      <c r="EG1206" s="1159"/>
    </row>
    <row r="1207" ht="15" customHeight="1">
      <c r="CK1207" s="1159"/>
      <c r="EG1207" s="1159"/>
    </row>
    <row r="1208" ht="15" customHeight="1">
      <c r="CK1208" s="1159"/>
      <c r="EG1208" s="1159"/>
    </row>
    <row r="1209" ht="15" customHeight="1">
      <c r="CK1209" s="1159"/>
      <c r="EG1209" s="1159"/>
    </row>
    <row r="1210" ht="15" customHeight="1">
      <c r="CK1210" s="1159"/>
      <c r="EG1210" s="1159"/>
    </row>
    <row r="1211" ht="15" customHeight="1">
      <c r="CK1211" s="1159"/>
      <c r="EG1211" s="1159"/>
    </row>
    <row r="1212" ht="15" customHeight="1">
      <c r="CK1212" s="1159"/>
      <c r="EG1212" s="1159"/>
    </row>
    <row r="1213" ht="15" customHeight="1">
      <c r="CK1213" s="1159"/>
      <c r="EG1213" s="1159"/>
    </row>
    <row r="1214" ht="15" customHeight="1">
      <c r="CK1214" s="1159"/>
      <c r="EG1214" s="1159"/>
    </row>
    <row r="1215" ht="15" customHeight="1">
      <c r="CK1215" s="1159"/>
      <c r="EG1215" s="1159"/>
    </row>
    <row r="1216" ht="15" customHeight="1">
      <c r="CK1216" s="1159"/>
      <c r="EG1216" s="1159"/>
    </row>
    <row r="1217" ht="15" customHeight="1">
      <c r="CK1217" s="1159"/>
      <c r="EG1217" s="1159"/>
    </row>
    <row r="1218" ht="15" customHeight="1">
      <c r="CK1218" s="1159"/>
      <c r="EG1218" s="1159"/>
    </row>
    <row r="1219" ht="15" customHeight="1">
      <c r="CK1219" s="1159"/>
      <c r="EG1219" s="1159"/>
    </row>
    <row r="1220" ht="15" customHeight="1">
      <c r="CK1220" s="1159"/>
      <c r="EG1220" s="1159"/>
    </row>
    <row r="1221" ht="15" customHeight="1">
      <c r="CK1221" s="1159"/>
      <c r="EG1221" s="1159"/>
    </row>
    <row r="1222" ht="15" customHeight="1">
      <c r="CK1222" s="1159"/>
      <c r="EG1222" s="1159"/>
    </row>
    <row r="1223" ht="15" customHeight="1">
      <c r="CK1223" s="1159"/>
      <c r="EG1223" s="1159"/>
    </row>
    <row r="1224" ht="15" customHeight="1">
      <c r="CK1224" s="1159"/>
      <c r="EG1224" s="1159"/>
    </row>
    <row r="1225" ht="15" customHeight="1">
      <c r="CK1225" s="1159"/>
      <c r="EG1225" s="1159"/>
    </row>
    <row r="1226" ht="15" customHeight="1">
      <c r="CK1226" s="1159"/>
      <c r="EG1226" s="1159"/>
    </row>
    <row r="1227" ht="15" customHeight="1">
      <c r="CK1227" s="1159"/>
      <c r="EG1227" s="1159"/>
    </row>
    <row r="1228" ht="15" customHeight="1">
      <c r="CK1228" s="1159"/>
      <c r="EG1228" s="1159"/>
    </row>
    <row r="1229" ht="15" customHeight="1">
      <c r="CK1229" s="1159"/>
      <c r="EG1229" s="1159"/>
    </row>
    <row r="1230" ht="15" customHeight="1">
      <c r="CK1230" s="1159"/>
      <c r="EG1230" s="1159"/>
    </row>
    <row r="1231" ht="15" customHeight="1">
      <c r="CK1231" s="1159"/>
      <c r="EG1231" s="1159"/>
    </row>
    <row r="1232" ht="15" customHeight="1">
      <c r="CK1232" s="1159"/>
      <c r="EG1232" s="1159"/>
    </row>
    <row r="1233" ht="15" customHeight="1">
      <c r="CK1233" s="1159"/>
      <c r="EG1233" s="1159"/>
    </row>
    <row r="1234" ht="15" customHeight="1">
      <c r="CK1234" s="1159"/>
      <c r="EG1234" s="1159"/>
    </row>
    <row r="1235" ht="15" customHeight="1">
      <c r="CK1235" s="1159"/>
      <c r="EG1235" s="1159"/>
    </row>
    <row r="1236" ht="15" customHeight="1">
      <c r="CK1236" s="1159"/>
      <c r="EG1236" s="1159"/>
    </row>
    <row r="1237" ht="15" customHeight="1">
      <c r="CK1237" s="1159"/>
      <c r="EG1237" s="1159"/>
    </row>
    <row r="1238" ht="15" customHeight="1">
      <c r="CK1238" s="1159"/>
      <c r="EG1238" s="1159"/>
    </row>
    <row r="1239" ht="15" customHeight="1">
      <c r="CK1239" s="1159"/>
      <c r="EG1239" s="1159"/>
    </row>
    <row r="1240" ht="15" customHeight="1">
      <c r="CK1240" s="1159"/>
      <c r="EG1240" s="1159"/>
    </row>
    <row r="1241" ht="15" customHeight="1">
      <c r="CK1241" s="1159"/>
      <c r="EG1241" s="1159"/>
    </row>
    <row r="1242" ht="15" customHeight="1">
      <c r="CK1242" s="1159"/>
      <c r="EG1242" s="1159"/>
    </row>
    <row r="1243" ht="15" customHeight="1">
      <c r="CK1243" s="1159"/>
      <c r="EG1243" s="1159"/>
    </row>
    <row r="1244" ht="15" customHeight="1">
      <c r="CK1244" s="1159"/>
      <c r="EG1244" s="1159"/>
    </row>
    <row r="1245" ht="15" customHeight="1">
      <c r="CK1245" s="1159"/>
      <c r="EG1245" s="1159"/>
    </row>
    <row r="1246" ht="15" customHeight="1">
      <c r="CK1246" s="1159"/>
      <c r="EG1246" s="1159"/>
    </row>
    <row r="1247" ht="15" customHeight="1">
      <c r="CK1247" s="1159"/>
      <c r="EG1247" s="1159"/>
    </row>
    <row r="1248" ht="15" customHeight="1">
      <c r="CK1248" s="1159"/>
      <c r="EG1248" s="1159"/>
    </row>
    <row r="1249" ht="15" customHeight="1">
      <c r="CK1249" s="1159"/>
      <c r="EG1249" s="1159"/>
    </row>
    <row r="1250" ht="15" customHeight="1">
      <c r="CK1250" s="1159"/>
      <c r="EG1250" s="1159"/>
    </row>
    <row r="1251" ht="15" customHeight="1">
      <c r="CK1251" s="1159"/>
      <c r="EG1251" s="1159"/>
    </row>
    <row r="1252" ht="15" customHeight="1">
      <c r="CK1252" s="1159"/>
      <c r="EG1252" s="1159"/>
    </row>
    <row r="1253" ht="15" customHeight="1">
      <c r="CK1253" s="1159"/>
      <c r="EG1253" s="1159"/>
    </row>
    <row r="1254" ht="15" customHeight="1">
      <c r="CK1254" s="1159"/>
      <c r="EG1254" s="1159"/>
    </row>
    <row r="1255" ht="15" customHeight="1">
      <c r="CK1255" s="1159"/>
      <c r="EG1255" s="1159"/>
    </row>
    <row r="1256" ht="15" customHeight="1">
      <c r="CK1256" s="1159"/>
      <c r="EG1256" s="1159"/>
    </row>
    <row r="1257" ht="15" customHeight="1">
      <c r="CK1257" s="1159"/>
      <c r="EG1257" s="1159"/>
    </row>
    <row r="1258" ht="15" customHeight="1">
      <c r="CK1258" s="1159"/>
      <c r="EG1258" s="1159"/>
    </row>
    <row r="1259" ht="15" customHeight="1">
      <c r="CK1259" s="1159"/>
      <c r="EG1259" s="1159"/>
    </row>
    <row r="1260" ht="15" customHeight="1">
      <c r="CK1260" s="1159"/>
      <c r="EG1260" s="1159"/>
    </row>
    <row r="1261" ht="15" customHeight="1">
      <c r="CK1261" s="1159"/>
      <c r="EG1261" s="1159"/>
    </row>
    <row r="1262" ht="15" customHeight="1">
      <c r="CK1262" s="1159"/>
      <c r="EG1262" s="1159"/>
    </row>
    <row r="1263" ht="15" customHeight="1">
      <c r="CK1263" s="1159"/>
      <c r="EG1263" s="1159"/>
    </row>
    <row r="1264" ht="15" customHeight="1">
      <c r="CK1264" s="1159"/>
      <c r="EG1264" s="1159"/>
    </row>
    <row r="1265" ht="15" customHeight="1">
      <c r="CK1265" s="1159"/>
      <c r="EG1265" s="1159"/>
    </row>
    <row r="1266" ht="15" customHeight="1">
      <c r="CK1266" s="1159"/>
      <c r="EG1266" s="1159"/>
    </row>
    <row r="1267" ht="15" customHeight="1">
      <c r="CK1267" s="1159"/>
      <c r="EG1267" s="1159"/>
    </row>
    <row r="1268" ht="15" customHeight="1">
      <c r="CK1268" s="1159"/>
      <c r="EG1268" s="1159"/>
    </row>
    <row r="1269" ht="15" customHeight="1">
      <c r="CK1269" s="1159"/>
      <c r="EG1269" s="1159"/>
    </row>
    <row r="1270" ht="15" customHeight="1">
      <c r="CK1270" s="1159"/>
      <c r="EG1270" s="1159"/>
    </row>
    <row r="1271" ht="15" customHeight="1">
      <c r="CK1271" s="1159"/>
      <c r="EG1271" s="1159"/>
    </row>
    <row r="1272" ht="15" customHeight="1">
      <c r="CK1272" s="1159"/>
      <c r="EG1272" s="1159"/>
    </row>
    <row r="1273" ht="15" customHeight="1">
      <c r="CK1273" s="1159"/>
      <c r="EG1273" s="1159"/>
    </row>
    <row r="1274" ht="15" customHeight="1">
      <c r="CK1274" s="1159"/>
      <c r="EG1274" s="1159"/>
    </row>
    <row r="1275" ht="15" customHeight="1">
      <c r="CK1275" s="1159"/>
      <c r="EG1275" s="1159"/>
    </row>
    <row r="1276" ht="15" customHeight="1">
      <c r="CK1276" s="1159"/>
      <c r="EG1276" s="1159"/>
    </row>
    <row r="1277" ht="15" customHeight="1">
      <c r="CK1277" s="1159"/>
      <c r="EG1277" s="1159"/>
    </row>
    <row r="1278" ht="15" customHeight="1">
      <c r="CK1278" s="1159"/>
      <c r="EG1278" s="1159"/>
    </row>
    <row r="1279" ht="15" customHeight="1">
      <c r="CK1279" s="1159"/>
      <c r="EG1279" s="1159"/>
    </row>
    <row r="1280" ht="15" customHeight="1">
      <c r="CK1280" s="1159"/>
      <c r="EG1280" s="1159"/>
    </row>
    <row r="1281" ht="15" customHeight="1">
      <c r="CK1281" s="1159"/>
      <c r="EG1281" s="1159"/>
    </row>
    <row r="1282" ht="15" customHeight="1">
      <c r="CK1282" s="1159"/>
      <c r="EG1282" s="1159"/>
    </row>
    <row r="1283" ht="15" customHeight="1">
      <c r="CK1283" s="1159"/>
      <c r="EG1283" s="1159"/>
    </row>
    <row r="1284" ht="15" customHeight="1">
      <c r="CK1284" s="1159"/>
      <c r="EG1284" s="1159"/>
    </row>
    <row r="1285" ht="15" customHeight="1">
      <c r="CK1285" s="1159"/>
      <c r="EG1285" s="1159"/>
    </row>
    <row r="1286" ht="15" customHeight="1">
      <c r="CK1286" s="1159"/>
      <c r="EG1286" s="1159"/>
    </row>
    <row r="1287" ht="15" customHeight="1">
      <c r="CK1287" s="1159"/>
      <c r="EG1287" s="1159"/>
    </row>
    <row r="1288" ht="15" customHeight="1">
      <c r="CK1288" s="1159"/>
      <c r="EG1288" s="1159"/>
    </row>
    <row r="1289" ht="15" customHeight="1">
      <c r="CK1289" s="1159"/>
      <c r="EG1289" s="1159"/>
    </row>
    <row r="1290" ht="15" customHeight="1">
      <c r="CK1290" s="1159"/>
      <c r="EG1290" s="1159"/>
    </row>
    <row r="1291" ht="15" customHeight="1">
      <c r="CK1291" s="1159"/>
      <c r="EG1291" s="1159"/>
    </row>
    <row r="1292" ht="15" customHeight="1">
      <c r="CK1292" s="1159"/>
      <c r="EG1292" s="1159"/>
    </row>
    <row r="1293" ht="15" customHeight="1">
      <c r="CK1293" s="1159"/>
      <c r="EG1293" s="1159"/>
    </row>
    <row r="1294" ht="15" customHeight="1">
      <c r="CK1294" s="1159"/>
      <c r="EG1294" s="1159"/>
    </row>
    <row r="1295" ht="15" customHeight="1">
      <c r="CK1295" s="1159"/>
      <c r="EG1295" s="1159"/>
    </row>
    <row r="1296" ht="15" customHeight="1">
      <c r="CK1296" s="1159"/>
      <c r="EG1296" s="1159"/>
    </row>
    <row r="1297" ht="15" customHeight="1">
      <c r="CK1297" s="1159"/>
      <c r="EG1297" s="1159"/>
    </row>
    <row r="1298" ht="15" customHeight="1">
      <c r="CK1298" s="1159"/>
      <c r="EG1298" s="1159"/>
    </row>
    <row r="1299" ht="15" customHeight="1">
      <c r="CK1299" s="1159"/>
      <c r="EG1299" s="1159"/>
    </row>
    <row r="1300" ht="15" customHeight="1">
      <c r="CK1300" s="1159"/>
      <c r="EG1300" s="1159"/>
    </row>
    <row r="1301" ht="15" customHeight="1">
      <c r="CK1301" s="1159"/>
      <c r="EG1301" s="1159"/>
    </row>
    <row r="1302" ht="15" customHeight="1">
      <c r="CK1302" s="1159"/>
      <c r="EG1302" s="1159"/>
    </row>
    <row r="1303" ht="15" customHeight="1">
      <c r="CK1303" s="1159"/>
      <c r="EG1303" s="1159"/>
    </row>
    <row r="1304" ht="15" customHeight="1">
      <c r="CK1304" s="1159"/>
      <c r="EG1304" s="1159"/>
    </row>
    <row r="1305" ht="15" customHeight="1">
      <c r="CK1305" s="1159"/>
      <c r="EG1305" s="1159"/>
    </row>
    <row r="1306" ht="15" customHeight="1">
      <c r="CK1306" s="1159"/>
      <c r="EG1306" s="1159"/>
    </row>
    <row r="1307" ht="15" customHeight="1">
      <c r="CK1307" s="1159"/>
      <c r="EG1307" s="1159"/>
    </row>
    <row r="1308" ht="15" customHeight="1">
      <c r="CK1308" s="1159"/>
      <c r="EG1308" s="1159"/>
    </row>
    <row r="1309" ht="15" customHeight="1">
      <c r="CK1309" s="1159"/>
      <c r="EG1309" s="1159"/>
    </row>
    <row r="1310" ht="15" customHeight="1">
      <c r="CK1310" s="1159"/>
      <c r="EG1310" s="1159"/>
    </row>
    <row r="1311" ht="15" customHeight="1">
      <c r="CK1311" s="1159"/>
      <c r="EG1311" s="1159"/>
    </row>
    <row r="1312" ht="15" customHeight="1">
      <c r="CK1312" s="1159"/>
      <c r="EG1312" s="1159"/>
    </row>
    <row r="1313" ht="15" customHeight="1">
      <c r="CK1313" s="1159"/>
      <c r="EG1313" s="1159"/>
    </row>
    <row r="1314" ht="15" customHeight="1">
      <c r="CK1314" s="1159"/>
      <c r="EG1314" s="1159"/>
    </row>
    <row r="1315" ht="15" customHeight="1">
      <c r="CK1315" s="1159"/>
      <c r="EG1315" s="1159"/>
    </row>
    <row r="1316" ht="15" customHeight="1">
      <c r="CK1316" s="1159"/>
      <c r="EG1316" s="1159"/>
    </row>
    <row r="1317" ht="15" customHeight="1">
      <c r="CK1317" s="1159"/>
      <c r="EG1317" s="1159"/>
    </row>
    <row r="1318" ht="15" customHeight="1">
      <c r="CK1318" s="1159"/>
      <c r="EG1318" s="1159"/>
    </row>
    <row r="1319" ht="15" customHeight="1">
      <c r="CK1319" s="1159"/>
      <c r="EG1319" s="1159"/>
    </row>
    <row r="1320" ht="15" customHeight="1">
      <c r="CK1320" s="1159"/>
      <c r="EG1320" s="1159"/>
    </row>
    <row r="1321" ht="15" customHeight="1">
      <c r="CK1321" s="1159"/>
      <c r="EG1321" s="1159"/>
    </row>
    <row r="1322" ht="15" customHeight="1">
      <c r="CK1322" s="1159"/>
      <c r="EG1322" s="1159"/>
    </row>
    <row r="1323" ht="15" customHeight="1">
      <c r="CK1323" s="1159"/>
      <c r="EG1323" s="1159"/>
    </row>
    <row r="1324" ht="15" customHeight="1">
      <c r="CK1324" s="1159"/>
      <c r="EG1324" s="1159"/>
    </row>
    <row r="1325" ht="15" customHeight="1">
      <c r="CK1325" s="1159"/>
      <c r="EG1325" s="1159"/>
    </row>
    <row r="1326" ht="15" customHeight="1">
      <c r="CK1326" s="1159"/>
      <c r="EG1326" s="1159"/>
    </row>
    <row r="1327" ht="15" customHeight="1">
      <c r="CK1327" s="1159"/>
      <c r="EG1327" s="1159"/>
    </row>
    <row r="1328" ht="15" customHeight="1">
      <c r="CK1328" s="1159"/>
      <c r="EG1328" s="1159"/>
    </row>
    <row r="1329" ht="15" customHeight="1">
      <c r="CK1329" s="1159"/>
      <c r="EG1329" s="1159"/>
    </row>
    <row r="1330" ht="15" customHeight="1">
      <c r="CK1330" s="1159"/>
      <c r="EG1330" s="1159"/>
    </row>
    <row r="1331" ht="15" customHeight="1">
      <c r="CK1331" s="1159"/>
      <c r="EG1331" s="1159"/>
    </row>
    <row r="1332" ht="15" customHeight="1">
      <c r="CK1332" s="1159"/>
      <c r="EG1332" s="1159"/>
    </row>
    <row r="1333" ht="15" customHeight="1">
      <c r="CK1333" s="1159"/>
      <c r="EG1333" s="1159"/>
    </row>
    <row r="1334" ht="15" customHeight="1">
      <c r="CK1334" s="1159"/>
      <c r="EG1334" s="1159"/>
    </row>
    <row r="1335" ht="15" customHeight="1">
      <c r="CK1335" s="1159"/>
      <c r="EG1335" s="1159"/>
    </row>
    <row r="1336" ht="15" customHeight="1">
      <c r="CK1336" s="1159"/>
      <c r="EG1336" s="1159"/>
    </row>
    <row r="1337" ht="15" customHeight="1">
      <c r="CK1337" s="1159"/>
      <c r="EG1337" s="1159"/>
    </row>
    <row r="1338" ht="15" customHeight="1">
      <c r="CK1338" s="1159"/>
      <c r="EG1338" s="1159"/>
    </row>
    <row r="1339" ht="15" customHeight="1">
      <c r="CK1339" s="1159"/>
      <c r="EG1339" s="1159"/>
    </row>
    <row r="1340" ht="15" customHeight="1">
      <c r="CK1340" s="1159"/>
      <c r="EG1340" s="1159"/>
    </row>
    <row r="1341" ht="15" customHeight="1">
      <c r="CK1341" s="1159"/>
      <c r="EG1341" s="1159"/>
    </row>
    <row r="1342" ht="15" customHeight="1">
      <c r="CK1342" s="1159"/>
      <c r="EG1342" s="1159"/>
    </row>
    <row r="1343" ht="15" customHeight="1">
      <c r="CK1343" s="1159"/>
      <c r="EG1343" s="1159"/>
    </row>
    <row r="1344" ht="15" customHeight="1">
      <c r="CK1344" s="1159"/>
      <c r="EG1344" s="1159"/>
    </row>
    <row r="1345" ht="15" customHeight="1">
      <c r="CK1345" s="1159"/>
      <c r="EG1345" s="1159"/>
    </row>
    <row r="1346" ht="15" customHeight="1">
      <c r="CK1346" s="1159"/>
      <c r="EG1346" s="1159"/>
    </row>
    <row r="1347" ht="15" customHeight="1">
      <c r="CK1347" s="1159"/>
      <c r="EG1347" s="1159"/>
    </row>
    <row r="1348" ht="15" customHeight="1">
      <c r="CK1348" s="1159"/>
      <c r="EG1348" s="1159"/>
    </row>
    <row r="1349" ht="15" customHeight="1">
      <c r="CK1349" s="1159"/>
      <c r="EG1349" s="1159"/>
    </row>
    <row r="1350" ht="15" customHeight="1">
      <c r="CK1350" s="1159"/>
      <c r="EG1350" s="1159"/>
    </row>
    <row r="1351" ht="15" customHeight="1">
      <c r="CK1351" s="1159"/>
      <c r="EG1351" s="1159"/>
    </row>
    <row r="1352" ht="15" customHeight="1">
      <c r="CK1352" s="1159"/>
      <c r="EG1352" s="1159"/>
    </row>
    <row r="1353" ht="15" customHeight="1">
      <c r="CK1353" s="1159"/>
      <c r="EG1353" s="1159"/>
    </row>
    <row r="1354" ht="15" customHeight="1">
      <c r="CK1354" s="1159"/>
      <c r="EG1354" s="1159"/>
    </row>
    <row r="1355" ht="15" customHeight="1">
      <c r="CK1355" s="1159"/>
      <c r="EG1355" s="1159"/>
    </row>
    <row r="1356" ht="15" customHeight="1">
      <c r="CK1356" s="1159"/>
      <c r="EG1356" s="1159"/>
    </row>
    <row r="1357" ht="15" customHeight="1">
      <c r="CK1357" s="1159"/>
      <c r="EG1357" s="1159"/>
    </row>
    <row r="1358" ht="15" customHeight="1">
      <c r="CK1358" s="1159"/>
      <c r="EG1358" s="1159"/>
    </row>
    <row r="1359" ht="15" customHeight="1">
      <c r="CK1359" s="1159"/>
      <c r="EG1359" s="1159"/>
    </row>
    <row r="1360" ht="15" customHeight="1">
      <c r="CK1360" s="1159"/>
      <c r="EG1360" s="1159"/>
    </row>
    <row r="1361" ht="15" customHeight="1">
      <c r="CK1361" s="1159"/>
      <c r="EG1361" s="1159"/>
    </row>
    <row r="1362" ht="15" customHeight="1">
      <c r="CK1362" s="1159"/>
      <c r="EG1362" s="1159"/>
    </row>
    <row r="1363" ht="15" customHeight="1">
      <c r="CK1363" s="1159"/>
      <c r="EG1363" s="1159"/>
    </row>
    <row r="1364" ht="15" customHeight="1">
      <c r="CK1364" s="1159"/>
      <c r="EG1364" s="1159"/>
    </row>
    <row r="1365" ht="15" customHeight="1">
      <c r="CK1365" s="1159"/>
      <c r="EG1365" s="1159"/>
    </row>
    <row r="1366" ht="15" customHeight="1">
      <c r="CK1366" s="1159"/>
      <c r="EG1366" s="1159"/>
    </row>
    <row r="1367" ht="15" customHeight="1">
      <c r="CK1367" s="1159"/>
      <c r="EG1367" s="1159"/>
    </row>
    <row r="1368" ht="15" customHeight="1">
      <c r="CK1368" s="1159"/>
      <c r="EG1368" s="1159"/>
    </row>
    <row r="1369" ht="15" customHeight="1">
      <c r="CK1369" s="1159"/>
      <c r="EG1369" s="1159"/>
    </row>
    <row r="1370" ht="15" customHeight="1">
      <c r="CK1370" s="1159"/>
      <c r="EG1370" s="1159"/>
    </row>
    <row r="1371" ht="15" customHeight="1">
      <c r="CK1371" s="1159"/>
      <c r="EG1371" s="1159"/>
    </row>
    <row r="1372" ht="15" customHeight="1">
      <c r="CK1372" s="1159"/>
      <c r="EG1372" s="1159"/>
    </row>
    <row r="1373" ht="15" customHeight="1">
      <c r="CK1373" s="1159"/>
      <c r="EG1373" s="1159"/>
    </row>
    <row r="1374" ht="15" customHeight="1">
      <c r="CK1374" s="1159"/>
      <c r="EG1374" s="1159"/>
    </row>
    <row r="1375" ht="15" customHeight="1">
      <c r="CK1375" s="1159"/>
      <c r="EG1375" s="1159"/>
    </row>
    <row r="1376" ht="15" customHeight="1">
      <c r="CK1376" s="1159"/>
      <c r="EG1376" s="1159"/>
    </row>
    <row r="1377" ht="15" customHeight="1">
      <c r="CK1377" s="1159"/>
      <c r="EG1377" s="1159"/>
    </row>
    <row r="1378" ht="15" customHeight="1">
      <c r="CK1378" s="1159"/>
      <c r="EG1378" s="1159"/>
    </row>
    <row r="1379" ht="15" customHeight="1">
      <c r="CK1379" s="1159"/>
      <c r="EG1379" s="1159"/>
    </row>
    <row r="1380" ht="15" customHeight="1">
      <c r="CK1380" s="1159"/>
      <c r="EG1380" s="1159"/>
    </row>
    <row r="1381" ht="15" customHeight="1">
      <c r="CK1381" s="1159"/>
      <c r="EG1381" s="1159"/>
    </row>
    <row r="1382" ht="15" customHeight="1">
      <c r="CK1382" s="1159"/>
      <c r="EG1382" s="1159"/>
    </row>
    <row r="1383" ht="15" customHeight="1">
      <c r="CK1383" s="1159"/>
      <c r="EG1383" s="1159"/>
    </row>
    <row r="1384" ht="15" customHeight="1">
      <c r="CK1384" s="1159"/>
      <c r="EG1384" s="1159"/>
    </row>
    <row r="1385" ht="15" customHeight="1">
      <c r="CK1385" s="1159"/>
      <c r="EG1385" s="1159"/>
    </row>
    <row r="1386" ht="15" customHeight="1">
      <c r="CK1386" s="1159"/>
      <c r="EG1386" s="1159"/>
    </row>
    <row r="1387" ht="15" customHeight="1">
      <c r="CK1387" s="1159"/>
      <c r="EG1387" s="1159"/>
    </row>
    <row r="1388" ht="15" customHeight="1">
      <c r="CK1388" s="1159"/>
      <c r="EG1388" s="1159"/>
    </row>
    <row r="1389" ht="15" customHeight="1">
      <c r="CK1389" s="1159"/>
      <c r="EG1389" s="1159"/>
    </row>
    <row r="1390" ht="15" customHeight="1">
      <c r="CK1390" s="1159"/>
      <c r="EG1390" s="1159"/>
    </row>
    <row r="1391" ht="15" customHeight="1">
      <c r="CK1391" s="1159"/>
      <c r="EG1391" s="1159"/>
    </row>
    <row r="1392" ht="15" customHeight="1">
      <c r="CK1392" s="1159"/>
      <c r="EG1392" s="1159"/>
    </row>
    <row r="1393" ht="15" customHeight="1">
      <c r="CK1393" s="1159"/>
      <c r="EG1393" s="1159"/>
    </row>
    <row r="1394" ht="15" customHeight="1">
      <c r="CK1394" s="1159"/>
      <c r="EG1394" s="1159"/>
    </row>
    <row r="1395" ht="15" customHeight="1">
      <c r="CK1395" s="1159"/>
      <c r="EG1395" s="1159"/>
    </row>
    <row r="1396" ht="15" customHeight="1">
      <c r="CK1396" s="1159"/>
      <c r="EG1396" s="1159"/>
    </row>
    <row r="1397" ht="15" customHeight="1">
      <c r="CK1397" s="1159"/>
      <c r="EG1397" s="1159"/>
    </row>
    <row r="1398" ht="15" customHeight="1">
      <c r="CK1398" s="1159"/>
      <c r="EG1398" s="1159"/>
    </row>
    <row r="1399" ht="15" customHeight="1">
      <c r="CK1399" s="1159"/>
      <c r="EG1399" s="1159"/>
    </row>
    <row r="1400" ht="15" customHeight="1">
      <c r="CK1400" s="1159"/>
      <c r="EG1400" s="1159"/>
    </row>
    <row r="1401" ht="15" customHeight="1">
      <c r="CK1401" s="1159"/>
      <c r="EG1401" s="1159"/>
    </row>
    <row r="1402" ht="15" customHeight="1">
      <c r="CK1402" s="1159"/>
      <c r="EG1402" s="1159"/>
    </row>
    <row r="1403" ht="15" customHeight="1">
      <c r="CK1403" s="1159"/>
      <c r="EG1403" s="1159"/>
    </row>
    <row r="1404" ht="15" customHeight="1">
      <c r="CK1404" s="1159"/>
      <c r="EG1404" s="1159"/>
    </row>
    <row r="1405" ht="15" customHeight="1">
      <c r="CK1405" s="1159"/>
      <c r="EG1405" s="1159"/>
    </row>
    <row r="1406" ht="15" customHeight="1">
      <c r="CK1406" s="1159"/>
      <c r="EG1406" s="1159"/>
    </row>
    <row r="1407" ht="15" customHeight="1">
      <c r="CK1407" s="1159"/>
      <c r="EG1407" s="1159"/>
    </row>
    <row r="1408" ht="15" customHeight="1">
      <c r="CK1408" s="1159"/>
      <c r="EG1408" s="1159"/>
    </row>
    <row r="1409" ht="15" customHeight="1">
      <c r="CK1409" s="1159"/>
      <c r="EG1409" s="1159"/>
    </row>
    <row r="1410" ht="15" customHeight="1">
      <c r="CK1410" s="1159"/>
      <c r="EG1410" s="1159"/>
    </row>
    <row r="1411" ht="15" customHeight="1">
      <c r="CK1411" s="1159"/>
      <c r="EG1411" s="1159"/>
    </row>
    <row r="1412" ht="15" customHeight="1">
      <c r="CK1412" s="1159"/>
      <c r="EG1412" s="1159"/>
    </row>
    <row r="1413" ht="15" customHeight="1">
      <c r="CK1413" s="1159"/>
      <c r="EG1413" s="1159"/>
    </row>
    <row r="1414" ht="15" customHeight="1">
      <c r="CK1414" s="1159"/>
      <c r="EG1414" s="1159"/>
    </row>
    <row r="1415" ht="15" customHeight="1">
      <c r="CK1415" s="1159"/>
      <c r="EG1415" s="1159"/>
    </row>
    <row r="1416" ht="15" customHeight="1">
      <c r="CK1416" s="1159"/>
      <c r="EG1416" s="1159"/>
    </row>
    <row r="1417" ht="15" customHeight="1">
      <c r="CK1417" s="1159"/>
      <c r="EG1417" s="1159"/>
    </row>
    <row r="1418" ht="15" customHeight="1">
      <c r="CK1418" s="1159"/>
      <c r="EG1418" s="1159"/>
    </row>
    <row r="1419" ht="15" customHeight="1">
      <c r="CK1419" s="1159"/>
      <c r="EG1419" s="1159"/>
    </row>
    <row r="1420" ht="15" customHeight="1">
      <c r="CK1420" s="1159"/>
      <c r="EG1420" s="1159"/>
    </row>
    <row r="1421" ht="15" customHeight="1">
      <c r="CK1421" s="1159"/>
      <c r="EG1421" s="1159"/>
    </row>
    <row r="1422" ht="15" customHeight="1">
      <c r="CK1422" s="1159"/>
      <c r="EG1422" s="1159"/>
    </row>
    <row r="1423" ht="15" customHeight="1">
      <c r="CK1423" s="1159"/>
      <c r="EG1423" s="1159"/>
    </row>
    <row r="1424" ht="15" customHeight="1">
      <c r="CK1424" s="1159"/>
      <c r="EG1424" s="1159"/>
    </row>
    <row r="1425" ht="15" customHeight="1">
      <c r="CK1425" s="1159"/>
      <c r="EG1425" s="1159"/>
    </row>
    <row r="1426" ht="15" customHeight="1">
      <c r="CK1426" s="1159"/>
      <c r="EG1426" s="1159"/>
    </row>
    <row r="1427" ht="15" customHeight="1">
      <c r="CK1427" s="1159"/>
      <c r="EG1427" s="1159"/>
    </row>
    <row r="1428" ht="15" customHeight="1">
      <c r="CK1428" s="1159"/>
      <c r="EG1428" s="1159"/>
    </row>
    <row r="1429" ht="15" customHeight="1">
      <c r="CK1429" s="1159"/>
      <c r="EG1429" s="1159"/>
    </row>
    <row r="1430" ht="15" customHeight="1">
      <c r="CK1430" s="1159"/>
      <c r="EG1430" s="1159"/>
    </row>
    <row r="1431" ht="15" customHeight="1">
      <c r="CK1431" s="1159"/>
      <c r="EG1431" s="1159"/>
    </row>
    <row r="1432" ht="15" customHeight="1">
      <c r="CK1432" s="1159"/>
      <c r="EG1432" s="1159"/>
    </row>
    <row r="1433" ht="15" customHeight="1">
      <c r="CK1433" s="1159"/>
      <c r="EG1433" s="1159"/>
    </row>
    <row r="1434" ht="15" customHeight="1">
      <c r="CK1434" s="1159"/>
      <c r="EG1434" s="1159"/>
    </row>
    <row r="1435" ht="15" customHeight="1">
      <c r="CK1435" s="1159"/>
      <c r="EG1435" s="1159"/>
    </row>
    <row r="1436" ht="15" customHeight="1">
      <c r="CK1436" s="1159"/>
      <c r="EG1436" s="1159"/>
    </row>
    <row r="1437" ht="15" customHeight="1">
      <c r="CK1437" s="1159"/>
      <c r="EG1437" s="1159"/>
    </row>
    <row r="1438" ht="15" customHeight="1">
      <c r="CK1438" s="1159"/>
      <c r="EG1438" s="1159"/>
    </row>
    <row r="1439" ht="15" customHeight="1">
      <c r="CK1439" s="1159"/>
      <c r="EG1439" s="1159"/>
    </row>
    <row r="1440" ht="15" customHeight="1">
      <c r="CK1440" s="1159"/>
      <c r="EG1440" s="1159"/>
    </row>
    <row r="1441" ht="15" customHeight="1">
      <c r="CK1441" s="1159"/>
      <c r="EG1441" s="1159"/>
    </row>
    <row r="1442" ht="15" customHeight="1">
      <c r="CK1442" s="1159"/>
      <c r="EG1442" s="1159"/>
    </row>
    <row r="1443" ht="15" customHeight="1">
      <c r="CK1443" s="1159"/>
      <c r="EG1443" s="1159"/>
    </row>
    <row r="1444" ht="15" customHeight="1">
      <c r="CK1444" s="1159"/>
      <c r="EG1444" s="1159"/>
    </row>
    <row r="1445" ht="15" customHeight="1">
      <c r="CK1445" s="1159"/>
      <c r="EG1445" s="1159"/>
    </row>
    <row r="1446" ht="15" customHeight="1">
      <c r="CK1446" s="1159"/>
      <c r="EG1446" s="1159"/>
    </row>
    <row r="1447" ht="15" customHeight="1">
      <c r="CK1447" s="1159"/>
      <c r="EG1447" s="1159"/>
    </row>
    <row r="1448" ht="15" customHeight="1">
      <c r="CK1448" s="1159"/>
      <c r="EG1448" s="1159"/>
    </row>
    <row r="1449" ht="15" customHeight="1">
      <c r="CK1449" s="1159"/>
      <c r="EG1449" s="1159"/>
    </row>
    <row r="1450" ht="15" customHeight="1">
      <c r="CK1450" s="1159"/>
      <c r="EG1450" s="1159"/>
    </row>
    <row r="1451" ht="15" customHeight="1">
      <c r="CK1451" s="1159"/>
      <c r="EG1451" s="1159"/>
    </row>
    <row r="1452" ht="15" customHeight="1">
      <c r="CK1452" s="1159"/>
      <c r="EG1452" s="1159"/>
    </row>
    <row r="1453" ht="15" customHeight="1">
      <c r="CK1453" s="1159"/>
      <c r="EG1453" s="1159"/>
    </row>
    <row r="1454" ht="15" customHeight="1">
      <c r="CK1454" s="1159"/>
      <c r="EG1454" s="1159"/>
    </row>
    <row r="1455" ht="15" customHeight="1">
      <c r="CK1455" s="1159"/>
      <c r="EG1455" s="1159"/>
    </row>
    <row r="1456" ht="15" customHeight="1">
      <c r="CK1456" s="1159"/>
      <c r="EG1456" s="1159"/>
    </row>
    <row r="1457" ht="15" customHeight="1">
      <c r="CK1457" s="1159"/>
      <c r="EG1457" s="1159"/>
    </row>
    <row r="1458" ht="15" customHeight="1">
      <c r="CK1458" s="1159"/>
      <c r="EG1458" s="1159"/>
    </row>
    <row r="1459" ht="15" customHeight="1">
      <c r="CK1459" s="1159"/>
      <c r="EG1459" s="1159"/>
    </row>
    <row r="1460" ht="15" customHeight="1">
      <c r="CK1460" s="1159"/>
      <c r="EG1460" s="1159"/>
    </row>
    <row r="1461" ht="15" customHeight="1">
      <c r="CK1461" s="1159"/>
      <c r="EG1461" s="1159"/>
    </row>
    <row r="1462" ht="15" customHeight="1">
      <c r="CK1462" s="1159"/>
      <c r="EG1462" s="1159"/>
    </row>
    <row r="1463" ht="15" customHeight="1">
      <c r="CK1463" s="1159"/>
      <c r="EG1463" s="1159"/>
    </row>
    <row r="1464" ht="15" customHeight="1">
      <c r="CK1464" s="1159"/>
      <c r="EG1464" s="1159"/>
    </row>
    <row r="1465" ht="15" customHeight="1">
      <c r="CK1465" s="1159"/>
      <c r="EG1465" s="1159"/>
    </row>
    <row r="1466" ht="15" customHeight="1">
      <c r="CK1466" s="1159"/>
      <c r="EG1466" s="1159"/>
    </row>
    <row r="1467" ht="15" customHeight="1">
      <c r="CK1467" s="1159"/>
      <c r="EG1467" s="1159"/>
    </row>
    <row r="1468" ht="15" customHeight="1">
      <c r="CK1468" s="1159"/>
      <c r="EG1468" s="1159"/>
    </row>
    <row r="1469" ht="15" customHeight="1">
      <c r="CK1469" s="1159"/>
      <c r="EG1469" s="1159"/>
    </row>
    <row r="1470" ht="15" customHeight="1">
      <c r="CK1470" s="1159"/>
      <c r="EG1470" s="1159"/>
    </row>
    <row r="1471" ht="15" customHeight="1">
      <c r="CK1471" s="1159"/>
      <c r="EG1471" s="1159"/>
    </row>
    <row r="1472" ht="15" customHeight="1">
      <c r="CK1472" s="1159"/>
      <c r="EG1472" s="1159"/>
    </row>
    <row r="1473" ht="15" customHeight="1">
      <c r="CK1473" s="1159"/>
      <c r="EG1473" s="1159"/>
    </row>
    <row r="1474" ht="15" customHeight="1">
      <c r="CK1474" s="1159"/>
      <c r="EG1474" s="1159"/>
    </row>
    <row r="1475" ht="15" customHeight="1">
      <c r="CK1475" s="1159"/>
      <c r="EG1475" s="1159"/>
    </row>
    <row r="1476" ht="15" customHeight="1">
      <c r="CK1476" s="1159"/>
      <c r="EG1476" s="1159"/>
    </row>
    <row r="1477" ht="15" customHeight="1">
      <c r="CK1477" s="1159"/>
      <c r="EG1477" s="1159"/>
    </row>
    <row r="1478" ht="15" customHeight="1">
      <c r="CK1478" s="1159"/>
      <c r="EG1478" s="1159"/>
    </row>
    <row r="1479" ht="15" customHeight="1">
      <c r="CK1479" s="1159"/>
      <c r="EG1479" s="1159"/>
    </row>
    <row r="1480" ht="15" customHeight="1">
      <c r="CK1480" s="1159"/>
      <c r="EG1480" s="1159"/>
    </row>
    <row r="1481" ht="15" customHeight="1">
      <c r="CK1481" s="1159"/>
      <c r="EG1481" s="1159"/>
    </row>
    <row r="1482" ht="15" customHeight="1">
      <c r="CK1482" s="1159"/>
      <c r="EG1482" s="1159"/>
    </row>
    <row r="1483" ht="15" customHeight="1">
      <c r="CK1483" s="1159"/>
      <c r="EG1483" s="1159"/>
    </row>
    <row r="1484" ht="15" customHeight="1">
      <c r="CK1484" s="1159"/>
      <c r="EG1484" s="1159"/>
    </row>
    <row r="1485" ht="15" customHeight="1">
      <c r="CK1485" s="1159"/>
      <c r="EG1485" s="1159"/>
    </row>
    <row r="1486" ht="15" customHeight="1">
      <c r="CK1486" s="1159"/>
      <c r="EG1486" s="1159"/>
    </row>
    <row r="1487" ht="15" customHeight="1">
      <c r="CK1487" s="1159"/>
      <c r="EG1487" s="1159"/>
    </row>
    <row r="1488" ht="15" customHeight="1">
      <c r="CK1488" s="1159"/>
      <c r="EG1488" s="1159"/>
    </row>
    <row r="1489" ht="15" customHeight="1">
      <c r="CK1489" s="1159"/>
      <c r="EG1489" s="1159"/>
    </row>
    <row r="1490" ht="15" customHeight="1">
      <c r="CK1490" s="1159"/>
      <c r="EG1490" s="1159"/>
    </row>
    <row r="1491" ht="15" customHeight="1">
      <c r="CK1491" s="1159"/>
      <c r="EG1491" s="1159"/>
    </row>
    <row r="1492" ht="15" customHeight="1">
      <c r="CK1492" s="1159"/>
      <c r="EG1492" s="1159"/>
    </row>
    <row r="1493" ht="15" customHeight="1">
      <c r="CK1493" s="1159"/>
      <c r="EG1493" s="1159"/>
    </row>
    <row r="1494" ht="15" customHeight="1">
      <c r="CK1494" s="1159"/>
      <c r="EG1494" s="1159"/>
    </row>
    <row r="1495" ht="15" customHeight="1">
      <c r="CK1495" s="1159"/>
      <c r="EG1495" s="1159"/>
    </row>
    <row r="1496" ht="15" customHeight="1">
      <c r="CK1496" s="1159"/>
      <c r="EG1496" s="1159"/>
    </row>
    <row r="1497" ht="15" customHeight="1">
      <c r="CK1497" s="1159"/>
      <c r="EG1497" s="1159"/>
    </row>
    <row r="1498" ht="15" customHeight="1">
      <c r="CK1498" s="1159"/>
      <c r="EG1498" s="1159"/>
    </row>
    <row r="1499" ht="15" customHeight="1">
      <c r="CK1499" s="1159"/>
      <c r="EG1499" s="1159"/>
    </row>
    <row r="1500" ht="15" customHeight="1">
      <c r="CK1500" s="1159"/>
      <c r="EG1500" s="1159"/>
    </row>
    <row r="1501" ht="15" customHeight="1">
      <c r="CK1501" s="1159"/>
      <c r="EG1501" s="1159"/>
    </row>
    <row r="1502" ht="15" customHeight="1">
      <c r="CK1502" s="1159"/>
      <c r="EG1502" s="1159"/>
    </row>
    <row r="1503" ht="15" customHeight="1">
      <c r="CK1503" s="1159"/>
      <c r="EG1503" s="1159"/>
    </row>
    <row r="1504" ht="15" customHeight="1">
      <c r="CK1504" s="1159"/>
      <c r="EG1504" s="1159"/>
    </row>
    <row r="1505" ht="15" customHeight="1">
      <c r="CK1505" s="1159"/>
      <c r="EG1505" s="1159"/>
    </row>
    <row r="1506" ht="15" customHeight="1">
      <c r="CK1506" s="1159"/>
      <c r="EG1506" s="1159"/>
    </row>
    <row r="1507" ht="15" customHeight="1">
      <c r="CK1507" s="1159"/>
      <c r="EG1507" s="1159"/>
    </row>
    <row r="1508" ht="15" customHeight="1">
      <c r="CK1508" s="1159"/>
      <c r="EG1508" s="1159"/>
    </row>
    <row r="1509" ht="15" customHeight="1">
      <c r="CK1509" s="1159"/>
      <c r="EG1509" s="1159"/>
    </row>
    <row r="1510" ht="15" customHeight="1">
      <c r="CK1510" s="1159"/>
      <c r="EG1510" s="1159"/>
    </row>
    <row r="1511" ht="15" customHeight="1">
      <c r="CK1511" s="1159"/>
      <c r="EG1511" s="1159"/>
    </row>
    <row r="1512" ht="15" customHeight="1">
      <c r="CK1512" s="1159"/>
      <c r="EG1512" s="1159"/>
    </row>
    <row r="1513" ht="15" customHeight="1">
      <c r="CK1513" s="1159"/>
      <c r="EG1513" s="1159"/>
    </row>
    <row r="1514" ht="15" customHeight="1">
      <c r="CK1514" s="1159"/>
      <c r="EG1514" s="1159"/>
    </row>
    <row r="1515" ht="15" customHeight="1">
      <c r="CK1515" s="1159"/>
      <c r="EG1515" s="1159"/>
    </row>
    <row r="1516" ht="15" customHeight="1">
      <c r="CK1516" s="1159"/>
      <c r="EG1516" s="1159"/>
    </row>
    <row r="1517" ht="15" customHeight="1">
      <c r="CK1517" s="1159"/>
      <c r="EG1517" s="1159"/>
    </row>
    <row r="1518" ht="15" customHeight="1">
      <c r="CK1518" s="1159"/>
      <c r="EG1518" s="1159"/>
    </row>
    <row r="1519" ht="15" customHeight="1">
      <c r="CK1519" s="1159"/>
      <c r="EG1519" s="1159"/>
    </row>
    <row r="1520" ht="15" customHeight="1">
      <c r="CK1520" s="1159"/>
      <c r="EG1520" s="1159"/>
    </row>
    <row r="1521" ht="15" customHeight="1">
      <c r="CK1521" s="1159"/>
      <c r="EG1521" s="1159"/>
    </row>
    <row r="1522" ht="15" customHeight="1">
      <c r="CK1522" s="1159"/>
      <c r="EG1522" s="1159"/>
    </row>
    <row r="1523" ht="15" customHeight="1">
      <c r="CK1523" s="1159"/>
      <c r="EG1523" s="1159"/>
    </row>
    <row r="1524" ht="15" customHeight="1">
      <c r="CK1524" s="1159"/>
      <c r="EG1524" s="1159"/>
    </row>
    <row r="1525" ht="15" customHeight="1">
      <c r="CK1525" s="1159"/>
      <c r="EG1525" s="1159"/>
    </row>
    <row r="1526" ht="15" customHeight="1">
      <c r="CK1526" s="1159"/>
      <c r="EG1526" s="1159"/>
    </row>
    <row r="1527" ht="15" customHeight="1">
      <c r="CK1527" s="1159"/>
      <c r="EG1527" s="1159"/>
    </row>
    <row r="1528" ht="15" customHeight="1">
      <c r="CK1528" s="1159"/>
      <c r="EG1528" s="1159"/>
    </row>
    <row r="1529" ht="15" customHeight="1">
      <c r="CK1529" s="1159"/>
      <c r="EG1529" s="1159"/>
    </row>
    <row r="1530" ht="15" customHeight="1">
      <c r="CK1530" s="1159"/>
      <c r="EG1530" s="1159"/>
    </row>
    <row r="1531" ht="15" customHeight="1">
      <c r="CK1531" s="1159"/>
      <c r="EG1531" s="1159"/>
    </row>
    <row r="1532" ht="15" customHeight="1">
      <c r="CK1532" s="1159"/>
      <c r="EG1532" s="1159"/>
    </row>
    <row r="1533" ht="15" customHeight="1">
      <c r="CK1533" s="1159"/>
      <c r="EG1533" s="1159"/>
    </row>
    <row r="1534" ht="15" customHeight="1">
      <c r="CK1534" s="1159"/>
      <c r="EG1534" s="1159"/>
    </row>
    <row r="1535" ht="15" customHeight="1">
      <c r="CK1535" s="1159"/>
      <c r="EG1535" s="1159"/>
    </row>
    <row r="1536" ht="15" customHeight="1">
      <c r="CK1536" s="1159"/>
      <c r="EG1536" s="1159"/>
    </row>
    <row r="1537" ht="15" customHeight="1">
      <c r="CK1537" s="1159"/>
      <c r="EG1537" s="1159"/>
    </row>
    <row r="1538" ht="15" customHeight="1">
      <c r="CK1538" s="1159"/>
      <c r="EG1538" s="1159"/>
    </row>
    <row r="1539" ht="15" customHeight="1">
      <c r="CK1539" s="1159"/>
      <c r="EG1539" s="1159"/>
    </row>
    <row r="1540" ht="15" customHeight="1">
      <c r="CK1540" s="1159"/>
      <c r="EG1540" s="1159"/>
    </row>
    <row r="1541" ht="15" customHeight="1">
      <c r="CK1541" s="1159"/>
      <c r="EG1541" s="1159"/>
    </row>
    <row r="1542" ht="15" customHeight="1">
      <c r="CK1542" s="1159"/>
      <c r="EG1542" s="1159"/>
    </row>
    <row r="1543" ht="15" customHeight="1">
      <c r="CK1543" s="1159"/>
      <c r="EG1543" s="1159"/>
    </row>
    <row r="1544" ht="15" customHeight="1">
      <c r="CK1544" s="1159"/>
      <c r="EG1544" s="1159"/>
    </row>
    <row r="1545" ht="15" customHeight="1">
      <c r="CK1545" s="1159"/>
      <c r="EG1545" s="1159"/>
    </row>
    <row r="1546" ht="15" customHeight="1">
      <c r="CK1546" s="1159"/>
      <c r="EG1546" s="1159"/>
    </row>
    <row r="1547" ht="15" customHeight="1">
      <c r="CK1547" s="1159"/>
      <c r="EG1547" s="1159"/>
    </row>
    <row r="1548" ht="15" customHeight="1">
      <c r="CK1548" s="1159"/>
      <c r="EG1548" s="1159"/>
    </row>
    <row r="1549" ht="15" customHeight="1">
      <c r="CK1549" s="1159"/>
      <c r="EG1549" s="1159"/>
    </row>
    <row r="1550" ht="15" customHeight="1">
      <c r="CK1550" s="1159"/>
      <c r="EG1550" s="1159"/>
    </row>
    <row r="1551" ht="15" customHeight="1">
      <c r="CK1551" s="1159"/>
      <c r="EG1551" s="1159"/>
    </row>
    <row r="1552" ht="15" customHeight="1">
      <c r="CK1552" s="1159"/>
      <c r="EG1552" s="1159"/>
    </row>
    <row r="1553" ht="15" customHeight="1">
      <c r="CK1553" s="1159"/>
      <c r="EG1553" s="1159"/>
    </row>
    <row r="1554" ht="15" customHeight="1">
      <c r="CK1554" s="1159"/>
      <c r="EG1554" s="1159"/>
    </row>
    <row r="1555" ht="15" customHeight="1">
      <c r="CK1555" s="1159"/>
      <c r="EG1555" s="1159"/>
    </row>
    <row r="1556" ht="15" customHeight="1">
      <c r="CK1556" s="1159"/>
      <c r="EG1556" s="1159"/>
    </row>
    <row r="1557" ht="15" customHeight="1">
      <c r="CK1557" s="1159"/>
      <c r="EG1557" s="1159"/>
    </row>
    <row r="1558" ht="15" customHeight="1">
      <c r="CK1558" s="1159"/>
      <c r="EG1558" s="1159"/>
    </row>
    <row r="1559" ht="15" customHeight="1">
      <c r="CK1559" s="1159"/>
      <c r="EG1559" s="1159"/>
    </row>
    <row r="1560" ht="15" customHeight="1">
      <c r="CK1560" s="1159"/>
      <c r="EG1560" s="1159"/>
    </row>
    <row r="1561" ht="15" customHeight="1">
      <c r="CK1561" s="1159"/>
      <c r="EG1561" s="1159"/>
    </row>
    <row r="1562" ht="15" customHeight="1">
      <c r="CK1562" s="1159"/>
      <c r="EG1562" s="1159"/>
    </row>
    <row r="1563" ht="15" customHeight="1">
      <c r="CK1563" s="1159"/>
      <c r="EG1563" s="1159"/>
    </row>
    <row r="1564" ht="15" customHeight="1">
      <c r="CK1564" s="1159"/>
      <c r="EG1564" s="1159"/>
    </row>
    <row r="1565" ht="15" customHeight="1">
      <c r="CK1565" s="1159"/>
      <c r="EG1565" s="1159"/>
    </row>
    <row r="1566" ht="15" customHeight="1">
      <c r="CK1566" s="1159"/>
      <c r="EG1566" s="1159"/>
    </row>
    <row r="1567" ht="15" customHeight="1">
      <c r="CK1567" s="1159"/>
      <c r="EG1567" s="1159"/>
    </row>
    <row r="1568" ht="15" customHeight="1">
      <c r="CK1568" s="1159"/>
      <c r="EG1568" s="1159"/>
    </row>
    <row r="1569" ht="15" customHeight="1">
      <c r="CK1569" s="1159"/>
      <c r="EG1569" s="1159"/>
    </row>
    <row r="1570" ht="15" customHeight="1">
      <c r="CK1570" s="1159"/>
      <c r="EG1570" s="1159"/>
    </row>
    <row r="1571" ht="15" customHeight="1">
      <c r="CK1571" s="1159"/>
      <c r="EG1571" s="1159"/>
    </row>
    <row r="1572" ht="15" customHeight="1">
      <c r="CK1572" s="1159"/>
      <c r="EG1572" s="1159"/>
    </row>
    <row r="1573" ht="15" customHeight="1">
      <c r="CK1573" s="1159"/>
      <c r="EG1573" s="1159"/>
    </row>
    <row r="1574" ht="15" customHeight="1">
      <c r="CK1574" s="1159"/>
      <c r="EG1574" s="1159"/>
    </row>
    <row r="1575" ht="15" customHeight="1">
      <c r="CK1575" s="1159"/>
      <c r="EG1575" s="1159"/>
    </row>
    <row r="1576" ht="15" customHeight="1">
      <c r="CK1576" s="1159"/>
      <c r="EG1576" s="1159"/>
    </row>
    <row r="1577" ht="15" customHeight="1">
      <c r="CK1577" s="1159"/>
      <c r="EG1577" s="1159"/>
    </row>
    <row r="1578" ht="15" customHeight="1">
      <c r="CK1578" s="1159"/>
      <c r="EG1578" s="1159"/>
    </row>
    <row r="1579" ht="15" customHeight="1">
      <c r="CK1579" s="1159"/>
      <c r="EG1579" s="1159"/>
    </row>
    <row r="1580" ht="15" customHeight="1">
      <c r="CK1580" s="1159"/>
      <c r="EG1580" s="1159"/>
    </row>
    <row r="1581" ht="15" customHeight="1">
      <c r="CK1581" s="1159"/>
      <c r="EG1581" s="1159"/>
    </row>
    <row r="1582" ht="15" customHeight="1">
      <c r="CK1582" s="1159"/>
      <c r="EG1582" s="1159"/>
    </row>
    <row r="1583" ht="15" customHeight="1">
      <c r="CK1583" s="1159"/>
      <c r="EG1583" s="1159"/>
    </row>
    <row r="1584" ht="15" customHeight="1">
      <c r="CK1584" s="1159"/>
      <c r="EG1584" s="1159"/>
    </row>
    <row r="1585" ht="15" customHeight="1">
      <c r="CK1585" s="1159"/>
      <c r="EG1585" s="1159"/>
    </row>
    <row r="1586" ht="15" customHeight="1">
      <c r="CK1586" s="1159"/>
      <c r="EG1586" s="1159"/>
    </row>
    <row r="1587" ht="15" customHeight="1">
      <c r="CK1587" s="1159"/>
      <c r="EG1587" s="1159"/>
    </row>
    <row r="1588" ht="15" customHeight="1">
      <c r="CK1588" s="1159"/>
      <c r="EG1588" s="1159"/>
    </row>
    <row r="1589" ht="15" customHeight="1">
      <c r="CK1589" s="1159"/>
      <c r="EG1589" s="1159"/>
    </row>
    <row r="1590" ht="15" customHeight="1">
      <c r="CK1590" s="1159"/>
      <c r="EG1590" s="1159"/>
    </row>
    <row r="1591" ht="15" customHeight="1">
      <c r="CK1591" s="1159"/>
      <c r="EG1591" s="1159"/>
    </row>
    <row r="1592" ht="15" customHeight="1">
      <c r="CK1592" s="1159"/>
      <c r="EG1592" s="1159"/>
    </row>
    <row r="1593" ht="15" customHeight="1">
      <c r="CK1593" s="1159"/>
      <c r="EG1593" s="1159"/>
    </row>
    <row r="1594" ht="15" customHeight="1">
      <c r="CK1594" s="1159"/>
      <c r="EG1594" s="1159"/>
    </row>
    <row r="1595" ht="15" customHeight="1">
      <c r="CK1595" s="1159"/>
      <c r="EG1595" s="1159"/>
    </row>
    <row r="1596" ht="15" customHeight="1">
      <c r="CK1596" s="1159"/>
      <c r="EG1596" s="1159"/>
    </row>
    <row r="1597" ht="15" customHeight="1">
      <c r="CK1597" s="1159"/>
      <c r="EG1597" s="1159"/>
    </row>
    <row r="1598" ht="15" customHeight="1">
      <c r="CK1598" s="1159"/>
      <c r="EG1598" s="1159"/>
    </row>
    <row r="1599" ht="15" customHeight="1">
      <c r="CK1599" s="1159"/>
      <c r="EG1599" s="1159"/>
    </row>
    <row r="1600" ht="15" customHeight="1">
      <c r="CK1600" s="1159"/>
      <c r="EG1600" s="1159"/>
    </row>
    <row r="1601" ht="15" customHeight="1">
      <c r="CK1601" s="1159"/>
      <c r="EG1601" s="1159"/>
    </row>
    <row r="1602" ht="15" customHeight="1">
      <c r="CK1602" s="1159"/>
      <c r="EG1602" s="1159"/>
    </row>
    <row r="1603" ht="15" customHeight="1">
      <c r="CK1603" s="1159"/>
      <c r="EG1603" s="1159"/>
    </row>
    <row r="1604" ht="15" customHeight="1">
      <c r="CK1604" s="1159"/>
      <c r="EG1604" s="1159"/>
    </row>
    <row r="1605" ht="15" customHeight="1">
      <c r="CK1605" s="1159"/>
      <c r="EG1605" s="1159"/>
    </row>
    <row r="1606" ht="15" customHeight="1">
      <c r="CK1606" s="1159"/>
      <c r="EG1606" s="1159"/>
    </row>
    <row r="1607" ht="15" customHeight="1">
      <c r="CK1607" s="1159"/>
      <c r="EG1607" s="1159"/>
    </row>
    <row r="1608" ht="15" customHeight="1">
      <c r="CK1608" s="1159"/>
      <c r="EG1608" s="1159"/>
    </row>
    <row r="1609" ht="15" customHeight="1">
      <c r="CK1609" s="1159"/>
      <c r="EG1609" s="1159"/>
    </row>
    <row r="1610" ht="15" customHeight="1">
      <c r="CK1610" s="1159"/>
      <c r="EG1610" s="1159"/>
    </row>
    <row r="1611" ht="15" customHeight="1">
      <c r="CK1611" s="1159"/>
      <c r="EG1611" s="1159"/>
    </row>
    <row r="1612" ht="15" customHeight="1">
      <c r="CK1612" s="1159"/>
      <c r="EG1612" s="1159"/>
    </row>
    <row r="1613" ht="15" customHeight="1">
      <c r="CK1613" s="1159"/>
      <c r="EG1613" s="1159"/>
    </row>
    <row r="1614" ht="15" customHeight="1">
      <c r="CK1614" s="1159"/>
      <c r="EG1614" s="1159"/>
    </row>
    <row r="1615" ht="15" customHeight="1">
      <c r="CK1615" s="1159"/>
      <c r="EG1615" s="1159"/>
    </row>
    <row r="1616" ht="15" customHeight="1">
      <c r="CK1616" s="1159"/>
      <c r="EG1616" s="1159"/>
    </row>
    <row r="1617" ht="15" customHeight="1">
      <c r="CK1617" s="1159"/>
      <c r="EG1617" s="1159"/>
    </row>
    <row r="1618" ht="15" customHeight="1">
      <c r="CK1618" s="1159"/>
      <c r="EG1618" s="1159"/>
    </row>
    <row r="1619" ht="15" customHeight="1">
      <c r="CK1619" s="1159"/>
      <c r="EG1619" s="1159"/>
    </row>
    <row r="1620" ht="15" customHeight="1">
      <c r="CK1620" s="1159"/>
      <c r="EG1620" s="1159"/>
    </row>
    <row r="1621" ht="15" customHeight="1">
      <c r="CK1621" s="1159"/>
      <c r="EG1621" s="1159"/>
    </row>
    <row r="1622" ht="15" customHeight="1">
      <c r="CK1622" s="1159"/>
      <c r="EG1622" s="1159"/>
    </row>
    <row r="1623" ht="15" customHeight="1">
      <c r="CK1623" s="1159"/>
      <c r="EG1623" s="1159"/>
    </row>
    <row r="1624" ht="15" customHeight="1">
      <c r="CK1624" s="1159"/>
      <c r="EG1624" s="1159"/>
    </row>
    <row r="1625" ht="15" customHeight="1">
      <c r="CK1625" s="1159"/>
      <c r="EG1625" s="1159"/>
    </row>
    <row r="1626" ht="15" customHeight="1">
      <c r="CK1626" s="1159"/>
      <c r="EG1626" s="1159"/>
    </row>
    <row r="1627" ht="15" customHeight="1">
      <c r="CK1627" s="1159"/>
      <c r="EG1627" s="1159"/>
    </row>
    <row r="1628" ht="15" customHeight="1">
      <c r="CK1628" s="1159"/>
      <c r="EG1628" s="1159"/>
    </row>
    <row r="1629" ht="15" customHeight="1">
      <c r="CK1629" s="1159"/>
      <c r="EG1629" s="1159"/>
    </row>
    <row r="1630" ht="15" customHeight="1">
      <c r="CK1630" s="1159"/>
      <c r="EG1630" s="1159"/>
    </row>
    <row r="1631" ht="15" customHeight="1">
      <c r="CK1631" s="1159"/>
      <c r="EG1631" s="1159"/>
    </row>
    <row r="1632" ht="15" customHeight="1">
      <c r="CK1632" s="1159"/>
      <c r="EG1632" s="1159"/>
    </row>
    <row r="1633" ht="15" customHeight="1">
      <c r="CK1633" s="1159"/>
      <c r="EG1633" s="1159"/>
    </row>
    <row r="1634" ht="15" customHeight="1">
      <c r="CK1634" s="1159"/>
      <c r="EG1634" s="1159"/>
    </row>
    <row r="1635" ht="15" customHeight="1">
      <c r="CK1635" s="1159"/>
      <c r="EG1635" s="1159"/>
    </row>
    <row r="1636" ht="15" customHeight="1">
      <c r="CK1636" s="1159"/>
      <c r="EG1636" s="1159"/>
    </row>
    <row r="1637" ht="15" customHeight="1">
      <c r="CK1637" s="1159"/>
      <c r="EG1637" s="1159"/>
    </row>
    <row r="1638" ht="15" customHeight="1">
      <c r="CK1638" s="1159"/>
      <c r="EG1638" s="1159"/>
    </row>
    <row r="1639" ht="15" customHeight="1">
      <c r="CK1639" s="1159"/>
      <c r="EG1639" s="1159"/>
    </row>
    <row r="1640" ht="15" customHeight="1">
      <c r="CK1640" s="1159"/>
      <c r="EG1640" s="1159"/>
    </row>
    <row r="1641" ht="15" customHeight="1">
      <c r="CK1641" s="1159"/>
      <c r="EG1641" s="1159"/>
    </row>
    <row r="1642" ht="15" customHeight="1">
      <c r="CK1642" s="1159"/>
      <c r="EG1642" s="1159"/>
    </row>
    <row r="1643" ht="15" customHeight="1">
      <c r="CK1643" s="1159"/>
      <c r="EG1643" s="1159"/>
    </row>
    <row r="1644" ht="15" customHeight="1">
      <c r="CK1644" s="1159"/>
      <c r="EG1644" s="1159"/>
    </row>
    <row r="1645" ht="15" customHeight="1">
      <c r="CK1645" s="1159"/>
      <c r="EG1645" s="1159"/>
    </row>
    <row r="1646" ht="15" customHeight="1">
      <c r="CK1646" s="1159"/>
      <c r="EG1646" s="1159"/>
    </row>
    <row r="1647" ht="15" customHeight="1">
      <c r="CK1647" s="1159"/>
      <c r="EG1647" s="1159"/>
    </row>
    <row r="1648" ht="15" customHeight="1">
      <c r="CK1648" s="1159"/>
      <c r="EG1648" s="1159"/>
    </row>
    <row r="1649" ht="15" customHeight="1">
      <c r="CK1649" s="1159"/>
      <c r="EG1649" s="1159"/>
    </row>
    <row r="1650" ht="15" customHeight="1">
      <c r="CK1650" s="1159"/>
      <c r="EG1650" s="1159"/>
    </row>
    <row r="1651" ht="15" customHeight="1">
      <c r="CK1651" s="1159"/>
      <c r="EG1651" s="1159"/>
    </row>
    <row r="1652" ht="15" customHeight="1">
      <c r="CK1652" s="1159"/>
      <c r="EG1652" s="1159"/>
    </row>
    <row r="1653" ht="15" customHeight="1">
      <c r="CK1653" s="1159"/>
      <c r="EG1653" s="1159"/>
    </row>
    <row r="1654" ht="15" customHeight="1">
      <c r="CK1654" s="1159"/>
      <c r="EG1654" s="1159"/>
    </row>
    <row r="1655" ht="15" customHeight="1">
      <c r="CK1655" s="1159"/>
      <c r="EG1655" s="1159"/>
    </row>
    <row r="1656" ht="15" customHeight="1">
      <c r="CK1656" s="1159"/>
      <c r="EG1656" s="1159"/>
    </row>
    <row r="1657" ht="15" customHeight="1">
      <c r="CK1657" s="1159"/>
      <c r="EG1657" s="1159"/>
    </row>
    <row r="1658" ht="15" customHeight="1">
      <c r="CK1658" s="1159"/>
      <c r="EG1658" s="1159"/>
    </row>
    <row r="1659" ht="15" customHeight="1">
      <c r="CK1659" s="1159"/>
      <c r="EG1659" s="1159"/>
    </row>
    <row r="1660" ht="15" customHeight="1">
      <c r="CK1660" s="1159"/>
      <c r="EG1660" s="1159"/>
    </row>
    <row r="1661" ht="15" customHeight="1">
      <c r="CK1661" s="1159"/>
      <c r="EG1661" s="1159"/>
    </row>
    <row r="1662" ht="15" customHeight="1">
      <c r="CK1662" s="1159"/>
      <c r="EG1662" s="1159"/>
    </row>
    <row r="1663" ht="15" customHeight="1">
      <c r="CK1663" s="1159"/>
      <c r="EG1663" s="1159"/>
    </row>
    <row r="1664" ht="15" customHeight="1">
      <c r="CK1664" s="1159"/>
      <c r="EG1664" s="1159"/>
    </row>
    <row r="1665" ht="15" customHeight="1">
      <c r="CK1665" s="1159"/>
      <c r="EG1665" s="1159"/>
    </row>
    <row r="1666" ht="15" customHeight="1">
      <c r="CK1666" s="1159"/>
      <c r="EG1666" s="1159"/>
    </row>
    <row r="1667" ht="15" customHeight="1">
      <c r="CK1667" s="1159"/>
      <c r="EG1667" s="1159"/>
    </row>
    <row r="1668" ht="15" customHeight="1">
      <c r="CK1668" s="1159"/>
      <c r="EG1668" s="1159"/>
    </row>
    <row r="1669" ht="15" customHeight="1">
      <c r="CK1669" s="1159"/>
      <c r="EG1669" s="1159"/>
    </row>
    <row r="1670" ht="15" customHeight="1">
      <c r="CK1670" s="1159"/>
      <c r="EG1670" s="1159"/>
    </row>
    <row r="1671" ht="15" customHeight="1">
      <c r="CK1671" s="1159"/>
      <c r="EG1671" s="1159"/>
    </row>
    <row r="1672" ht="15" customHeight="1">
      <c r="CK1672" s="1159"/>
      <c r="EG1672" s="1159"/>
    </row>
    <row r="1673" ht="15" customHeight="1">
      <c r="CK1673" s="1159"/>
      <c r="EG1673" s="1159"/>
    </row>
    <row r="1674" ht="15" customHeight="1">
      <c r="CK1674" s="1159"/>
      <c r="EG1674" s="1159"/>
    </row>
    <row r="1675" ht="15" customHeight="1">
      <c r="CK1675" s="1159"/>
      <c r="EG1675" s="1159"/>
    </row>
    <row r="1676" ht="15" customHeight="1">
      <c r="CK1676" s="1159"/>
      <c r="EG1676" s="1159"/>
    </row>
    <row r="1677" ht="15" customHeight="1">
      <c r="CK1677" s="1159"/>
      <c r="EG1677" s="1159"/>
    </row>
    <row r="1678" ht="15" customHeight="1">
      <c r="CK1678" s="1159"/>
      <c r="EG1678" s="1159"/>
    </row>
    <row r="1679" ht="15" customHeight="1">
      <c r="CK1679" s="1159"/>
      <c r="EG1679" s="1159"/>
    </row>
    <row r="1680" ht="15" customHeight="1">
      <c r="CK1680" s="1159"/>
      <c r="EG1680" s="1159"/>
    </row>
    <row r="1681" ht="15" customHeight="1">
      <c r="CK1681" s="1159"/>
      <c r="EG1681" s="1159"/>
    </row>
    <row r="1682" ht="15" customHeight="1">
      <c r="CK1682" s="1159"/>
      <c r="EG1682" s="1159"/>
    </row>
    <row r="1683" ht="15" customHeight="1">
      <c r="CK1683" s="1159"/>
      <c r="EG1683" s="1159"/>
    </row>
    <row r="1684" ht="15" customHeight="1">
      <c r="CK1684" s="1159"/>
      <c r="EG1684" s="1159"/>
    </row>
    <row r="1685" ht="15" customHeight="1">
      <c r="CK1685" s="1159"/>
      <c r="EG1685" s="1159"/>
    </row>
    <row r="1686" ht="15" customHeight="1">
      <c r="CK1686" s="1159"/>
      <c r="EG1686" s="1159"/>
    </row>
    <row r="1687" ht="15" customHeight="1">
      <c r="CK1687" s="1159"/>
      <c r="EG1687" s="1159"/>
    </row>
    <row r="1688" ht="15" customHeight="1">
      <c r="CK1688" s="1159"/>
      <c r="EG1688" s="1159"/>
    </row>
    <row r="1689" ht="15" customHeight="1">
      <c r="CK1689" s="1159"/>
      <c r="EG1689" s="1159"/>
    </row>
    <row r="1690" ht="15" customHeight="1">
      <c r="CK1690" s="1159"/>
      <c r="EG1690" s="1159"/>
    </row>
    <row r="1691" ht="15" customHeight="1">
      <c r="CK1691" s="1159"/>
      <c r="EG1691" s="1159"/>
    </row>
    <row r="1692" ht="15" customHeight="1">
      <c r="CK1692" s="1159"/>
      <c r="EG1692" s="1159"/>
    </row>
    <row r="1693" ht="15" customHeight="1">
      <c r="CK1693" s="1159"/>
      <c r="EG1693" s="1159"/>
    </row>
    <row r="1694" ht="15" customHeight="1">
      <c r="CK1694" s="1159"/>
      <c r="EG1694" s="1159"/>
    </row>
    <row r="1695" ht="15" customHeight="1">
      <c r="CK1695" s="1159"/>
      <c r="EG1695" s="1159"/>
    </row>
    <row r="1696" ht="15" customHeight="1">
      <c r="CK1696" s="1159"/>
      <c r="EG1696" s="1159"/>
    </row>
    <row r="1697" ht="15" customHeight="1">
      <c r="CK1697" s="1159"/>
      <c r="EG1697" s="1159"/>
    </row>
    <row r="1698" ht="15" customHeight="1">
      <c r="CK1698" s="1159"/>
      <c r="EG1698" s="1159"/>
    </row>
    <row r="1699" ht="15" customHeight="1">
      <c r="CK1699" s="1159"/>
      <c r="EG1699" s="1159"/>
    </row>
    <row r="1700" ht="15" customHeight="1">
      <c r="CK1700" s="1159"/>
      <c r="EG1700" s="1159"/>
    </row>
    <row r="1701" ht="15" customHeight="1">
      <c r="CK1701" s="1159"/>
      <c r="EG1701" s="1159"/>
    </row>
    <row r="1702" ht="15" customHeight="1">
      <c r="CK1702" s="1159"/>
      <c r="EG1702" s="1159"/>
    </row>
    <row r="1703" ht="15" customHeight="1">
      <c r="CK1703" s="1159"/>
      <c r="EG1703" s="1159"/>
    </row>
    <row r="1704" ht="15" customHeight="1">
      <c r="CK1704" s="1159"/>
      <c r="EG1704" s="1159"/>
    </row>
    <row r="1705" ht="15" customHeight="1">
      <c r="CK1705" s="1159"/>
      <c r="EG1705" s="1159"/>
    </row>
    <row r="1706" ht="15" customHeight="1">
      <c r="CK1706" s="1159"/>
      <c r="EG1706" s="1159"/>
    </row>
    <row r="1707" ht="15" customHeight="1">
      <c r="CK1707" s="1159"/>
      <c r="EG1707" s="1159"/>
    </row>
    <row r="1708" ht="15" customHeight="1">
      <c r="CK1708" s="1159"/>
      <c r="EG1708" s="1159"/>
    </row>
    <row r="1709" ht="15" customHeight="1">
      <c r="CK1709" s="1159"/>
      <c r="EG1709" s="1159"/>
    </row>
    <row r="1710" ht="15" customHeight="1">
      <c r="CK1710" s="1159"/>
      <c r="EG1710" s="1159"/>
    </row>
    <row r="1711" ht="15" customHeight="1">
      <c r="CK1711" s="1159"/>
      <c r="EG1711" s="1159"/>
    </row>
    <row r="1712" ht="15" customHeight="1">
      <c r="CK1712" s="1159"/>
      <c r="EG1712" s="1159"/>
    </row>
    <row r="1713" ht="15" customHeight="1">
      <c r="CK1713" s="1159"/>
      <c r="EG1713" s="1159"/>
    </row>
    <row r="1714" ht="15" customHeight="1">
      <c r="CK1714" s="1159"/>
      <c r="EG1714" s="1159"/>
    </row>
    <row r="1715" ht="15" customHeight="1">
      <c r="CK1715" s="1159"/>
      <c r="EG1715" s="1159"/>
    </row>
    <row r="1716" ht="15" customHeight="1">
      <c r="CK1716" s="1159"/>
      <c r="EG1716" s="1159"/>
    </row>
    <row r="1717" ht="15" customHeight="1">
      <c r="CK1717" s="1159"/>
      <c r="EG1717" s="1159"/>
    </row>
    <row r="1718" ht="15" customHeight="1">
      <c r="CK1718" s="1159"/>
      <c r="EG1718" s="1159"/>
    </row>
    <row r="1719" ht="15" customHeight="1">
      <c r="CK1719" s="1159"/>
      <c r="EG1719" s="1159"/>
    </row>
    <row r="1720" ht="15" customHeight="1">
      <c r="CK1720" s="1159"/>
      <c r="EG1720" s="1159"/>
    </row>
    <row r="1721" ht="15" customHeight="1">
      <c r="CK1721" s="1159"/>
      <c r="EG1721" s="1159"/>
    </row>
    <row r="1722" ht="15" customHeight="1">
      <c r="CK1722" s="1159"/>
      <c r="EG1722" s="1159"/>
    </row>
    <row r="1723" ht="15" customHeight="1">
      <c r="CK1723" s="1159"/>
      <c r="EG1723" s="1159"/>
    </row>
    <row r="1724" ht="15" customHeight="1">
      <c r="CK1724" s="1159"/>
      <c r="EG1724" s="1159"/>
    </row>
    <row r="1725" ht="15" customHeight="1">
      <c r="CK1725" s="1159"/>
      <c r="EG1725" s="1159"/>
    </row>
    <row r="1726" ht="15" customHeight="1">
      <c r="CK1726" s="1159"/>
      <c r="EG1726" s="1159"/>
    </row>
    <row r="1727" ht="15" customHeight="1">
      <c r="CK1727" s="1159"/>
      <c r="EG1727" s="1159"/>
    </row>
    <row r="1728" ht="15" customHeight="1">
      <c r="CK1728" s="1159"/>
      <c r="EG1728" s="1159"/>
    </row>
    <row r="1729" ht="15" customHeight="1">
      <c r="CK1729" s="1159"/>
      <c r="EG1729" s="1159"/>
    </row>
    <row r="1730" ht="15" customHeight="1">
      <c r="CK1730" s="1159"/>
      <c r="EG1730" s="1159"/>
    </row>
    <row r="1731" ht="15" customHeight="1">
      <c r="CK1731" s="1159"/>
      <c r="EG1731" s="1159"/>
    </row>
    <row r="1732" ht="15" customHeight="1">
      <c r="CK1732" s="1159"/>
      <c r="EG1732" s="1159"/>
    </row>
    <row r="1733" ht="15" customHeight="1">
      <c r="CK1733" s="1159"/>
      <c r="EG1733" s="1159"/>
    </row>
    <row r="1734" ht="15" customHeight="1">
      <c r="CK1734" s="1159"/>
      <c r="EG1734" s="1159"/>
    </row>
    <row r="1735" ht="15" customHeight="1">
      <c r="CK1735" s="1159"/>
      <c r="EG1735" s="1159"/>
    </row>
    <row r="1736" ht="15" customHeight="1">
      <c r="CK1736" s="1159"/>
      <c r="EG1736" s="1159"/>
    </row>
    <row r="1737" ht="15" customHeight="1">
      <c r="CK1737" s="1159"/>
      <c r="EG1737" s="1159"/>
    </row>
    <row r="1738" ht="15" customHeight="1">
      <c r="CK1738" s="1159"/>
      <c r="EG1738" s="1159"/>
    </row>
    <row r="1739" ht="15" customHeight="1">
      <c r="CK1739" s="1159"/>
      <c r="EG1739" s="1159"/>
    </row>
    <row r="1740" ht="15" customHeight="1">
      <c r="CK1740" s="1159"/>
      <c r="EG1740" s="1159"/>
    </row>
    <row r="1741" ht="15" customHeight="1">
      <c r="CK1741" s="1159"/>
      <c r="EG1741" s="1159"/>
    </row>
    <row r="1742" ht="15" customHeight="1">
      <c r="CK1742" s="1159"/>
      <c r="EG1742" s="1159"/>
    </row>
    <row r="1743" ht="15" customHeight="1">
      <c r="CK1743" s="1159"/>
      <c r="EG1743" s="1159"/>
    </row>
    <row r="1744" ht="15" customHeight="1">
      <c r="CK1744" s="1159"/>
      <c r="EG1744" s="1159"/>
    </row>
    <row r="1745" ht="15" customHeight="1">
      <c r="CK1745" s="1159"/>
      <c r="EG1745" s="1159"/>
    </row>
    <row r="1746" ht="15" customHeight="1">
      <c r="CK1746" s="1159"/>
      <c r="EG1746" s="1159"/>
    </row>
    <row r="1747" ht="15" customHeight="1">
      <c r="CK1747" s="1159"/>
      <c r="EG1747" s="1159"/>
    </row>
    <row r="1748" ht="15" customHeight="1">
      <c r="CK1748" s="1159"/>
      <c r="EG1748" s="1159"/>
    </row>
    <row r="1749" ht="15" customHeight="1">
      <c r="CK1749" s="1159"/>
      <c r="EG1749" s="1159"/>
    </row>
    <row r="1750" ht="15" customHeight="1">
      <c r="CK1750" s="1159"/>
      <c r="EG1750" s="1159"/>
    </row>
    <row r="1751" ht="15" customHeight="1">
      <c r="CK1751" s="1159"/>
      <c r="EG1751" s="1159"/>
    </row>
    <row r="1752" ht="15" customHeight="1">
      <c r="CK1752" s="1159"/>
      <c r="EG1752" s="1159"/>
    </row>
    <row r="1753" ht="15" customHeight="1">
      <c r="CK1753" s="1159"/>
      <c r="EG1753" s="1159"/>
    </row>
    <row r="1754" ht="15" customHeight="1">
      <c r="CK1754" s="1159"/>
      <c r="EG1754" s="1159"/>
    </row>
    <row r="1755" ht="15" customHeight="1">
      <c r="CK1755" s="1159"/>
      <c r="EG1755" s="1159"/>
    </row>
    <row r="1756" ht="15" customHeight="1">
      <c r="CK1756" s="1159"/>
      <c r="EG1756" s="1159"/>
    </row>
    <row r="1757" ht="15" customHeight="1">
      <c r="CK1757" s="1159"/>
      <c r="EG1757" s="1159"/>
    </row>
    <row r="1758" ht="15" customHeight="1">
      <c r="CK1758" s="1159"/>
      <c r="EG1758" s="1159"/>
    </row>
    <row r="1759" ht="15" customHeight="1">
      <c r="CK1759" s="1159"/>
      <c r="EG1759" s="1159"/>
    </row>
    <row r="1760" ht="15" customHeight="1">
      <c r="CK1760" s="1159"/>
      <c r="EG1760" s="1159"/>
    </row>
    <row r="1761" ht="15" customHeight="1">
      <c r="CK1761" s="1159"/>
      <c r="EG1761" s="1159"/>
    </row>
    <row r="1762" ht="15" customHeight="1">
      <c r="CK1762" s="1159"/>
      <c r="EG1762" s="1159"/>
    </row>
    <row r="1763" ht="15" customHeight="1">
      <c r="CK1763" s="1159"/>
      <c r="EG1763" s="1159"/>
    </row>
    <row r="1764" ht="15" customHeight="1">
      <c r="CK1764" s="1159"/>
      <c r="EG1764" s="1159"/>
    </row>
    <row r="1765" ht="15" customHeight="1">
      <c r="CK1765" s="1159"/>
      <c r="EG1765" s="1159"/>
    </row>
    <row r="1766" ht="15" customHeight="1">
      <c r="CK1766" s="1159"/>
      <c r="EG1766" s="1159"/>
    </row>
    <row r="1767" ht="15" customHeight="1">
      <c r="CK1767" s="1159"/>
      <c r="EG1767" s="1159"/>
    </row>
    <row r="1768" ht="15" customHeight="1">
      <c r="CK1768" s="1159"/>
      <c r="EG1768" s="1159"/>
    </row>
    <row r="1769" ht="15" customHeight="1">
      <c r="CK1769" s="1159"/>
      <c r="EG1769" s="1159"/>
    </row>
    <row r="1770" ht="15" customHeight="1">
      <c r="CK1770" s="1159"/>
      <c r="EG1770" s="1159"/>
    </row>
    <row r="1771" ht="15" customHeight="1">
      <c r="CK1771" s="1159"/>
      <c r="EG1771" s="1159"/>
    </row>
    <row r="1772" ht="15" customHeight="1">
      <c r="CK1772" s="1159"/>
      <c r="EG1772" s="1159"/>
    </row>
    <row r="1773" ht="15" customHeight="1">
      <c r="CK1773" s="1159"/>
      <c r="EG1773" s="1159"/>
    </row>
    <row r="1774" ht="15" customHeight="1">
      <c r="CK1774" s="1159"/>
      <c r="EG1774" s="1159"/>
    </row>
    <row r="1775" ht="15" customHeight="1">
      <c r="CK1775" s="1159"/>
      <c r="EG1775" s="1159"/>
    </row>
    <row r="1776" ht="15" customHeight="1">
      <c r="CK1776" s="1159"/>
      <c r="EG1776" s="1159"/>
    </row>
    <row r="1777" ht="15" customHeight="1">
      <c r="CK1777" s="1159"/>
      <c r="EG1777" s="1159"/>
    </row>
    <row r="1778" ht="15" customHeight="1">
      <c r="CK1778" s="1159"/>
      <c r="EG1778" s="1159"/>
    </row>
    <row r="1779" ht="15" customHeight="1">
      <c r="CK1779" s="1159"/>
      <c r="EG1779" s="1159"/>
    </row>
    <row r="1780" ht="15" customHeight="1">
      <c r="CK1780" s="1159"/>
      <c r="EG1780" s="1159"/>
    </row>
    <row r="1781" ht="15" customHeight="1">
      <c r="CK1781" s="1159"/>
      <c r="EG1781" s="1159"/>
    </row>
    <row r="1782" ht="15" customHeight="1">
      <c r="CK1782" s="1159"/>
      <c r="EG1782" s="1159"/>
    </row>
    <row r="1783" ht="15" customHeight="1">
      <c r="CK1783" s="1159"/>
      <c r="EG1783" s="1159"/>
    </row>
    <row r="1784" ht="15" customHeight="1">
      <c r="CK1784" s="1159"/>
      <c r="EG1784" s="1159"/>
    </row>
    <row r="1785" ht="15" customHeight="1">
      <c r="CK1785" s="1159"/>
      <c r="EG1785" s="1159"/>
    </row>
    <row r="1786" ht="15" customHeight="1">
      <c r="CK1786" s="1159"/>
      <c r="EG1786" s="1159"/>
    </row>
    <row r="1787" ht="15" customHeight="1">
      <c r="CK1787" s="1159"/>
      <c r="EG1787" s="1159"/>
    </row>
    <row r="1788" ht="15" customHeight="1">
      <c r="CK1788" s="1159"/>
      <c r="EG1788" s="1159"/>
    </row>
    <row r="1789" ht="15" customHeight="1">
      <c r="CK1789" s="1159"/>
      <c r="EG1789" s="1159"/>
    </row>
    <row r="1790" ht="15" customHeight="1">
      <c r="CK1790" s="1159"/>
      <c r="EG1790" s="1159"/>
    </row>
    <row r="1791" ht="15" customHeight="1">
      <c r="CK1791" s="1159"/>
      <c r="EG1791" s="1159"/>
    </row>
    <row r="1792" ht="15" customHeight="1">
      <c r="CK1792" s="1159"/>
      <c r="EG1792" s="1159"/>
    </row>
    <row r="1793" ht="15" customHeight="1">
      <c r="CK1793" s="1159"/>
      <c r="EG1793" s="1159"/>
    </row>
    <row r="1794" ht="15" customHeight="1">
      <c r="CK1794" s="1159"/>
      <c r="EG1794" s="1159"/>
    </row>
    <row r="1795" ht="15" customHeight="1">
      <c r="CK1795" s="1159"/>
      <c r="EG1795" s="1159"/>
    </row>
    <row r="1796" ht="15" customHeight="1">
      <c r="CK1796" s="1159"/>
      <c r="EG1796" s="1159"/>
    </row>
    <row r="1797" ht="15" customHeight="1">
      <c r="CK1797" s="1159"/>
      <c r="EG1797" s="1159"/>
    </row>
    <row r="1798" ht="15" customHeight="1">
      <c r="CK1798" s="1159"/>
      <c r="EG1798" s="1159"/>
    </row>
    <row r="1799" ht="15" customHeight="1">
      <c r="CK1799" s="1159"/>
      <c r="EG1799" s="1159"/>
    </row>
    <row r="1800" ht="15" customHeight="1">
      <c r="CK1800" s="1159"/>
      <c r="EG1800" s="1159"/>
    </row>
    <row r="1801" ht="15" customHeight="1">
      <c r="CK1801" s="1159"/>
      <c r="EG1801" s="1159"/>
    </row>
    <row r="1802" ht="15" customHeight="1">
      <c r="CK1802" s="1159"/>
      <c r="EG1802" s="1159"/>
    </row>
    <row r="1803" ht="15" customHeight="1">
      <c r="CK1803" s="1159"/>
      <c r="EG1803" s="1159"/>
    </row>
    <row r="1804" ht="15" customHeight="1">
      <c r="CK1804" s="1159"/>
      <c r="EG1804" s="1159"/>
    </row>
    <row r="1805" ht="15" customHeight="1">
      <c r="CK1805" s="1159"/>
      <c r="EG1805" s="1159"/>
    </row>
    <row r="1806" ht="15" customHeight="1">
      <c r="CK1806" s="1159"/>
      <c r="EG1806" s="1159"/>
    </row>
    <row r="1807" ht="15" customHeight="1">
      <c r="CK1807" s="1159"/>
      <c r="EG1807" s="1159"/>
    </row>
    <row r="1808" ht="15" customHeight="1">
      <c r="CK1808" s="1159"/>
      <c r="EG1808" s="1159"/>
    </row>
    <row r="1809" ht="15" customHeight="1">
      <c r="CK1809" s="1159"/>
      <c r="EG1809" s="1159"/>
    </row>
    <row r="1810" ht="15" customHeight="1">
      <c r="CK1810" s="1159"/>
      <c r="EG1810" s="1159"/>
    </row>
    <row r="1811" ht="15" customHeight="1">
      <c r="CK1811" s="1159"/>
      <c r="EG1811" s="1159"/>
    </row>
    <row r="1812" ht="15" customHeight="1">
      <c r="CK1812" s="1159"/>
      <c r="EG1812" s="1159"/>
    </row>
    <row r="1813" ht="15" customHeight="1">
      <c r="CK1813" s="1159"/>
      <c r="EG1813" s="1159"/>
    </row>
    <row r="1814" ht="15" customHeight="1">
      <c r="CK1814" s="1159"/>
      <c r="EG1814" s="1159"/>
    </row>
    <row r="1815" ht="15" customHeight="1">
      <c r="CK1815" s="1159"/>
      <c r="EG1815" s="1159"/>
    </row>
    <row r="1816" ht="15" customHeight="1">
      <c r="CK1816" s="1159"/>
      <c r="EG1816" s="1159"/>
    </row>
    <row r="1817" ht="15" customHeight="1">
      <c r="CK1817" s="1159"/>
      <c r="EG1817" s="1159"/>
    </row>
    <row r="1818" ht="15" customHeight="1">
      <c r="CK1818" s="1159"/>
      <c r="EG1818" s="1159"/>
    </row>
    <row r="1819" ht="15" customHeight="1">
      <c r="CK1819" s="1159"/>
      <c r="EG1819" s="1159"/>
    </row>
    <row r="1820" ht="15" customHeight="1">
      <c r="CK1820" s="1159"/>
      <c r="EG1820" s="1159"/>
    </row>
    <row r="1821" ht="15" customHeight="1">
      <c r="CK1821" s="1159"/>
      <c r="EG1821" s="1159"/>
    </row>
    <row r="1822" ht="15" customHeight="1">
      <c r="CK1822" s="1159"/>
      <c r="EG1822" s="1159"/>
    </row>
    <row r="1823" ht="15" customHeight="1">
      <c r="CK1823" s="1159"/>
      <c r="EG1823" s="1159"/>
    </row>
    <row r="1824" ht="15" customHeight="1">
      <c r="CK1824" s="1159"/>
      <c r="EG1824" s="1159"/>
    </row>
    <row r="1825" ht="15" customHeight="1">
      <c r="CK1825" s="1159"/>
      <c r="EG1825" s="1159"/>
    </row>
    <row r="1826" ht="15" customHeight="1">
      <c r="CK1826" s="1159"/>
      <c r="EG1826" s="1159"/>
    </row>
    <row r="1827" ht="15" customHeight="1">
      <c r="CK1827" s="1159"/>
      <c r="EG1827" s="1159"/>
    </row>
    <row r="1828" ht="15" customHeight="1">
      <c r="CK1828" s="1159"/>
      <c r="EG1828" s="1159"/>
    </row>
    <row r="1829" ht="15" customHeight="1">
      <c r="CK1829" s="1159"/>
      <c r="EG1829" s="1159"/>
    </row>
    <row r="1830" ht="15" customHeight="1">
      <c r="CK1830" s="1159"/>
      <c r="EG1830" s="1159"/>
    </row>
    <row r="1831" ht="15" customHeight="1">
      <c r="CK1831" s="1159"/>
      <c r="EG1831" s="1159"/>
    </row>
    <row r="1832" ht="15" customHeight="1">
      <c r="CK1832" s="1159"/>
      <c r="EG1832" s="1159"/>
    </row>
    <row r="1833" ht="15" customHeight="1">
      <c r="CK1833" s="1159"/>
      <c r="EG1833" s="1159"/>
    </row>
    <row r="1834" ht="15" customHeight="1">
      <c r="CK1834" s="1159"/>
      <c r="EG1834" s="1159"/>
    </row>
    <row r="1835" ht="15" customHeight="1">
      <c r="CK1835" s="1159"/>
      <c r="EG1835" s="1159"/>
    </row>
    <row r="1836" ht="15" customHeight="1">
      <c r="CK1836" s="1159"/>
      <c r="EG1836" s="1159"/>
    </row>
    <row r="1837" ht="15" customHeight="1">
      <c r="CK1837" s="1159"/>
      <c r="EG1837" s="1159"/>
    </row>
    <row r="1838" ht="15" customHeight="1">
      <c r="CK1838" s="1159"/>
      <c r="EG1838" s="1159"/>
    </row>
    <row r="1839" ht="15" customHeight="1">
      <c r="CK1839" s="1159"/>
      <c r="EG1839" s="1159"/>
    </row>
    <row r="1840" ht="15" customHeight="1">
      <c r="CK1840" s="1159"/>
      <c r="EG1840" s="1159"/>
    </row>
    <row r="1841" ht="15" customHeight="1">
      <c r="CK1841" s="1159"/>
      <c r="EG1841" s="1159"/>
    </row>
    <row r="1842" ht="15" customHeight="1">
      <c r="CK1842" s="1159"/>
      <c r="EG1842" s="1159"/>
    </row>
    <row r="1843" ht="15" customHeight="1">
      <c r="CK1843" s="1159"/>
      <c r="EG1843" s="1159"/>
    </row>
    <row r="1844" ht="15" customHeight="1">
      <c r="CK1844" s="1159"/>
      <c r="EG1844" s="1159"/>
    </row>
    <row r="1845" ht="15" customHeight="1">
      <c r="CK1845" s="1159"/>
      <c r="EG1845" s="1159"/>
    </row>
    <row r="1846" ht="15" customHeight="1">
      <c r="CK1846" s="1159"/>
      <c r="EG1846" s="1159"/>
    </row>
    <row r="1847" ht="15" customHeight="1">
      <c r="CK1847" s="1159"/>
      <c r="EG1847" s="1159"/>
    </row>
    <row r="1848" ht="15" customHeight="1">
      <c r="CK1848" s="1159"/>
      <c r="EG1848" s="1159"/>
    </row>
    <row r="1849" ht="15" customHeight="1">
      <c r="CK1849" s="1159"/>
      <c r="EG1849" s="1159"/>
    </row>
    <row r="1850" ht="15" customHeight="1">
      <c r="CK1850" s="1159"/>
      <c r="EG1850" s="1159"/>
    </row>
    <row r="1851" ht="15" customHeight="1">
      <c r="CK1851" s="1159"/>
      <c r="EG1851" s="1159"/>
    </row>
    <row r="1852" ht="15" customHeight="1">
      <c r="CK1852" s="1159"/>
      <c r="EG1852" s="1159"/>
    </row>
    <row r="1853" ht="15" customHeight="1">
      <c r="CK1853" s="1159"/>
      <c r="EG1853" s="1159"/>
    </row>
    <row r="1854" ht="15" customHeight="1">
      <c r="CK1854" s="1159"/>
      <c r="EG1854" s="1159"/>
    </row>
    <row r="1855" ht="15" customHeight="1">
      <c r="CK1855" s="1159"/>
      <c r="EG1855" s="1159"/>
    </row>
    <row r="1856" ht="15" customHeight="1">
      <c r="CK1856" s="1159"/>
      <c r="EG1856" s="1159"/>
    </row>
    <row r="1857" ht="15" customHeight="1">
      <c r="CK1857" s="1159"/>
      <c r="EG1857" s="1159"/>
    </row>
    <row r="1858" ht="15" customHeight="1">
      <c r="CK1858" s="1159"/>
      <c r="EG1858" s="1159"/>
    </row>
    <row r="1859" ht="15" customHeight="1">
      <c r="CK1859" s="1159"/>
      <c r="EG1859" s="1159"/>
    </row>
    <row r="1860" ht="15" customHeight="1">
      <c r="CK1860" s="1159"/>
      <c r="EG1860" s="1159"/>
    </row>
    <row r="1861" ht="15" customHeight="1">
      <c r="CK1861" s="1159"/>
      <c r="EG1861" s="1159"/>
    </row>
    <row r="1862" ht="15" customHeight="1">
      <c r="CK1862" s="1159"/>
      <c r="EG1862" s="1159"/>
    </row>
    <row r="1863" ht="15" customHeight="1">
      <c r="CK1863" s="1159"/>
      <c r="EG1863" s="1159"/>
    </row>
    <row r="1864" ht="15" customHeight="1">
      <c r="CK1864" s="1159"/>
      <c r="EG1864" s="1159"/>
    </row>
    <row r="1865" ht="15" customHeight="1">
      <c r="CK1865" s="1159"/>
      <c r="EG1865" s="1159"/>
    </row>
    <row r="1866" ht="15" customHeight="1">
      <c r="CK1866" s="1159"/>
      <c r="EG1866" s="1159"/>
    </row>
    <row r="1867" ht="15" customHeight="1">
      <c r="CK1867" s="1159"/>
      <c r="EG1867" s="1159"/>
    </row>
    <row r="1868" ht="15" customHeight="1">
      <c r="CK1868" s="1159"/>
      <c r="EG1868" s="1159"/>
    </row>
    <row r="1869" ht="15" customHeight="1">
      <c r="CK1869" s="1159"/>
      <c r="EG1869" s="1159"/>
    </row>
    <row r="1870" ht="15" customHeight="1">
      <c r="CK1870" s="1159"/>
      <c r="EG1870" s="1159"/>
    </row>
    <row r="1871" ht="15" customHeight="1">
      <c r="CK1871" s="1159"/>
      <c r="EG1871" s="1159"/>
    </row>
    <row r="1872" ht="15" customHeight="1">
      <c r="CK1872" s="1159"/>
      <c r="EG1872" s="1159"/>
    </row>
    <row r="1873" ht="15" customHeight="1">
      <c r="CK1873" s="1159"/>
      <c r="EG1873" s="1159"/>
    </row>
    <row r="1874" ht="15" customHeight="1">
      <c r="CK1874" s="1159"/>
      <c r="EG1874" s="1159"/>
    </row>
    <row r="1875" ht="15" customHeight="1">
      <c r="CK1875" s="1159"/>
      <c r="EG1875" s="1159"/>
    </row>
    <row r="1876" ht="15" customHeight="1">
      <c r="CK1876" s="1159"/>
      <c r="EG1876" s="1159"/>
    </row>
    <row r="1877" ht="15" customHeight="1">
      <c r="CK1877" s="1159"/>
      <c r="EG1877" s="1159"/>
    </row>
    <row r="1878" ht="15" customHeight="1">
      <c r="CK1878" s="1159"/>
      <c r="EG1878" s="1159"/>
    </row>
    <row r="1879" ht="15" customHeight="1">
      <c r="CK1879" s="1159"/>
      <c r="EG1879" s="1159"/>
    </row>
    <row r="1880" ht="15" customHeight="1">
      <c r="CK1880" s="1159"/>
      <c r="EG1880" s="1159"/>
    </row>
    <row r="1881" ht="15" customHeight="1">
      <c r="CK1881" s="1159"/>
      <c r="EG1881" s="1159"/>
    </row>
    <row r="1882" ht="15" customHeight="1">
      <c r="CK1882" s="1159"/>
      <c r="EG1882" s="1159"/>
    </row>
    <row r="1883" ht="15" customHeight="1">
      <c r="CK1883" s="1159"/>
      <c r="EG1883" s="1159"/>
    </row>
    <row r="1884" ht="15" customHeight="1">
      <c r="CK1884" s="1159"/>
      <c r="EG1884" s="1159"/>
    </row>
    <row r="1885" ht="15" customHeight="1">
      <c r="CK1885" s="1159"/>
      <c r="EG1885" s="1159"/>
    </row>
    <row r="1886" ht="15" customHeight="1">
      <c r="CK1886" s="1159"/>
      <c r="EG1886" s="1159"/>
    </row>
    <row r="1887" ht="15" customHeight="1">
      <c r="CK1887" s="1159"/>
      <c r="EG1887" s="1159"/>
    </row>
    <row r="1888" ht="15" customHeight="1">
      <c r="CK1888" s="1159"/>
      <c r="EG1888" s="1159"/>
    </row>
    <row r="1889" ht="15" customHeight="1">
      <c r="CK1889" s="1159"/>
      <c r="EG1889" s="1159"/>
    </row>
    <row r="1890" ht="15" customHeight="1">
      <c r="CK1890" s="1159"/>
      <c r="EG1890" s="1159"/>
    </row>
    <row r="1891" ht="15" customHeight="1">
      <c r="CK1891" s="1159"/>
      <c r="EG1891" s="1159"/>
    </row>
    <row r="1892" ht="15" customHeight="1">
      <c r="CK1892" s="1159"/>
      <c r="EG1892" s="1159"/>
    </row>
    <row r="1893" ht="15" customHeight="1">
      <c r="CK1893" s="1159"/>
      <c r="EG1893" s="1159"/>
    </row>
    <row r="1894" ht="15" customHeight="1">
      <c r="CK1894" s="1159"/>
      <c r="EG1894" s="1159"/>
    </row>
    <row r="1895" ht="15" customHeight="1">
      <c r="CK1895" s="1159"/>
      <c r="EG1895" s="1159"/>
    </row>
    <row r="1896" ht="15" customHeight="1">
      <c r="CK1896" s="1159"/>
      <c r="EG1896" s="1159"/>
    </row>
    <row r="1897" ht="15" customHeight="1">
      <c r="CK1897" s="1159"/>
      <c r="EG1897" s="1159"/>
    </row>
    <row r="1898" ht="15" customHeight="1">
      <c r="CK1898" s="1159"/>
      <c r="EG1898" s="1159"/>
    </row>
    <row r="1899" ht="15" customHeight="1">
      <c r="CK1899" s="1159"/>
      <c r="EG1899" s="1159"/>
    </row>
    <row r="1900" ht="15" customHeight="1">
      <c r="CK1900" s="1159"/>
      <c r="EG1900" s="1159"/>
    </row>
    <row r="1901" ht="15" customHeight="1">
      <c r="CK1901" s="1159"/>
      <c r="EG1901" s="1159"/>
    </row>
    <row r="1902" ht="15" customHeight="1">
      <c r="CK1902" s="1159"/>
      <c r="EG1902" s="1159"/>
    </row>
    <row r="1903" ht="15" customHeight="1">
      <c r="CK1903" s="1159"/>
      <c r="EG1903" s="1159"/>
    </row>
    <row r="1904" ht="15" customHeight="1">
      <c r="CK1904" s="1159"/>
      <c r="EG1904" s="1159"/>
    </row>
    <row r="1905" ht="15" customHeight="1">
      <c r="CK1905" s="1159"/>
      <c r="EG1905" s="1159"/>
    </row>
    <row r="1906" ht="15" customHeight="1">
      <c r="CK1906" s="1159"/>
      <c r="EG1906" s="1159"/>
    </row>
    <row r="1907" ht="15" customHeight="1">
      <c r="CK1907" s="1159"/>
      <c r="EG1907" s="1159"/>
    </row>
    <row r="1908" ht="15" customHeight="1">
      <c r="CK1908" s="1159"/>
      <c r="EG1908" s="1159"/>
    </row>
    <row r="1909" ht="15" customHeight="1">
      <c r="CK1909" s="1159"/>
      <c r="EG1909" s="1159"/>
    </row>
    <row r="1910" ht="15" customHeight="1">
      <c r="CK1910" s="1159"/>
      <c r="EG1910" s="1159"/>
    </row>
    <row r="1911" ht="15" customHeight="1">
      <c r="CK1911" s="1159"/>
      <c r="EG1911" s="1159"/>
    </row>
    <row r="1912" ht="15" customHeight="1">
      <c r="CK1912" s="1159"/>
      <c r="EG1912" s="1159"/>
    </row>
    <row r="1913" ht="15" customHeight="1">
      <c r="CK1913" s="1159"/>
      <c r="EG1913" s="1159"/>
    </row>
    <row r="1914" ht="15" customHeight="1">
      <c r="CK1914" s="1159"/>
      <c r="EG1914" s="1159"/>
    </row>
    <row r="1915" ht="15" customHeight="1">
      <c r="CK1915" s="1159"/>
      <c r="EG1915" s="1159"/>
    </row>
    <row r="1916" ht="15" customHeight="1">
      <c r="CK1916" s="1159"/>
      <c r="EG1916" s="1159"/>
    </row>
    <row r="1917" ht="15" customHeight="1">
      <c r="CK1917" s="1159"/>
      <c r="EG1917" s="1159"/>
    </row>
    <row r="1918" ht="15" customHeight="1">
      <c r="CK1918" s="1159"/>
      <c r="EG1918" s="1159"/>
    </row>
    <row r="1919" ht="15" customHeight="1">
      <c r="CK1919" s="1159"/>
      <c r="EG1919" s="1159"/>
    </row>
    <row r="1920" ht="15" customHeight="1">
      <c r="CK1920" s="1159"/>
      <c r="EG1920" s="1159"/>
    </row>
    <row r="1921" ht="15" customHeight="1">
      <c r="CK1921" s="1159"/>
      <c r="EG1921" s="1159"/>
    </row>
    <row r="1922" ht="15" customHeight="1">
      <c r="CK1922" s="1159"/>
      <c r="EG1922" s="1159"/>
    </row>
    <row r="1923" ht="15" customHeight="1">
      <c r="CK1923" s="1159"/>
      <c r="EG1923" s="1159"/>
    </row>
    <row r="1924" ht="15" customHeight="1">
      <c r="CK1924" s="1159"/>
      <c r="EG1924" s="1159"/>
    </row>
    <row r="1925" ht="15" customHeight="1">
      <c r="CK1925" s="1159"/>
      <c r="EG1925" s="1159"/>
    </row>
    <row r="1926" ht="15" customHeight="1">
      <c r="CK1926" s="1159"/>
      <c r="EG1926" s="1159"/>
    </row>
    <row r="1927" ht="15" customHeight="1">
      <c r="CK1927" s="1159"/>
      <c r="EG1927" s="1159"/>
    </row>
    <row r="1928" ht="15" customHeight="1">
      <c r="CK1928" s="1159"/>
      <c r="EG1928" s="1159"/>
    </row>
    <row r="1929" ht="15" customHeight="1">
      <c r="CK1929" s="1159"/>
      <c r="EG1929" s="1159"/>
    </row>
    <row r="1930" ht="15" customHeight="1">
      <c r="CK1930" s="1159"/>
      <c r="EG1930" s="1159"/>
    </row>
    <row r="1931" ht="15" customHeight="1">
      <c r="CK1931" s="1159"/>
      <c r="EG1931" s="1159"/>
    </row>
    <row r="1932" ht="15" customHeight="1">
      <c r="CK1932" s="1159"/>
      <c r="EG1932" s="1159"/>
    </row>
    <row r="1933" ht="15" customHeight="1">
      <c r="CK1933" s="1159"/>
      <c r="EG1933" s="1159"/>
    </row>
    <row r="1934" ht="15" customHeight="1">
      <c r="CK1934" s="1159"/>
      <c r="EG1934" s="1159"/>
    </row>
    <row r="1935" ht="15" customHeight="1">
      <c r="CK1935" s="1159"/>
      <c r="EG1935" s="1159"/>
    </row>
    <row r="1936" ht="15" customHeight="1">
      <c r="CK1936" s="1159"/>
      <c r="EG1936" s="1159"/>
    </row>
    <row r="1937" ht="15" customHeight="1">
      <c r="CK1937" s="1159"/>
      <c r="EG1937" s="1159"/>
    </row>
    <row r="1938" ht="15" customHeight="1">
      <c r="CK1938" s="1159"/>
      <c r="EG1938" s="1159"/>
    </row>
    <row r="1939" ht="15" customHeight="1">
      <c r="CK1939" s="1159"/>
      <c r="EG1939" s="1159"/>
    </row>
    <row r="1940" ht="15" customHeight="1">
      <c r="CK1940" s="1159"/>
      <c r="EG1940" s="1159"/>
    </row>
    <row r="1941" ht="15" customHeight="1">
      <c r="CK1941" s="1159"/>
      <c r="EG1941" s="1159"/>
    </row>
    <row r="1942" ht="15" customHeight="1">
      <c r="CK1942" s="1159"/>
      <c r="EG1942" s="1159"/>
    </row>
    <row r="1943" ht="15" customHeight="1">
      <c r="CK1943" s="1159"/>
      <c r="EG1943" s="1159"/>
    </row>
    <row r="1944" ht="15" customHeight="1">
      <c r="CK1944" s="1159"/>
      <c r="EG1944" s="1159"/>
    </row>
    <row r="1945" ht="15" customHeight="1">
      <c r="CK1945" s="1159"/>
      <c r="EG1945" s="1159"/>
    </row>
    <row r="1946" ht="15" customHeight="1">
      <c r="CK1946" s="1159"/>
      <c r="EG1946" s="1159"/>
    </row>
    <row r="1947" ht="15" customHeight="1">
      <c r="CK1947" s="1159"/>
      <c r="EG1947" s="1159"/>
    </row>
    <row r="1948" ht="15" customHeight="1">
      <c r="CK1948" s="1159"/>
      <c r="EG1948" s="1159"/>
    </row>
    <row r="1949" ht="15" customHeight="1">
      <c r="CK1949" s="1159"/>
      <c r="EG1949" s="1159"/>
    </row>
    <row r="1950" ht="15" customHeight="1">
      <c r="CK1950" s="1159"/>
      <c r="EG1950" s="1159"/>
    </row>
    <row r="1951" ht="15" customHeight="1">
      <c r="CK1951" s="1159"/>
      <c r="EG1951" s="1159"/>
    </row>
    <row r="1952" ht="15" customHeight="1">
      <c r="CK1952" s="1159"/>
      <c r="EG1952" s="1159"/>
    </row>
    <row r="1953" ht="15" customHeight="1">
      <c r="CK1953" s="1159"/>
      <c r="EG1953" s="1159"/>
    </row>
    <row r="1954" ht="15" customHeight="1">
      <c r="CK1954" s="1159"/>
      <c r="EG1954" s="1159"/>
    </row>
    <row r="1955" ht="15" customHeight="1">
      <c r="CK1955" s="1159"/>
      <c r="EG1955" s="1159"/>
    </row>
    <row r="1956" ht="15" customHeight="1">
      <c r="CK1956" s="1159"/>
      <c r="EG1956" s="1159"/>
    </row>
    <row r="1957" ht="15" customHeight="1">
      <c r="CK1957" s="1159"/>
      <c r="EG1957" s="1159"/>
    </row>
    <row r="1958" ht="15" customHeight="1">
      <c r="CK1958" s="1159"/>
      <c r="EG1958" s="1159"/>
    </row>
    <row r="1959" ht="15" customHeight="1">
      <c r="CK1959" s="1159"/>
      <c r="EG1959" s="1159"/>
    </row>
    <row r="1960" ht="15" customHeight="1">
      <c r="CK1960" s="1159"/>
      <c r="EG1960" s="1159"/>
    </row>
    <row r="1961" ht="15" customHeight="1">
      <c r="CK1961" s="1159"/>
      <c r="EG1961" s="1159"/>
    </row>
    <row r="1962" ht="15" customHeight="1">
      <c r="CK1962" s="1159"/>
      <c r="EG1962" s="1159"/>
    </row>
    <row r="1963" ht="15" customHeight="1">
      <c r="CK1963" s="1159"/>
      <c r="EG1963" s="1159"/>
    </row>
    <row r="1964" ht="15" customHeight="1">
      <c r="CK1964" s="1159"/>
      <c r="EG1964" s="1159"/>
    </row>
    <row r="1965" ht="15" customHeight="1">
      <c r="CK1965" s="1159"/>
      <c r="EG1965" s="1159"/>
    </row>
    <row r="1966" ht="15" customHeight="1">
      <c r="CK1966" s="1159"/>
      <c r="EG1966" s="1159"/>
    </row>
    <row r="1967" ht="15" customHeight="1">
      <c r="CK1967" s="1159"/>
      <c r="EG1967" s="1159"/>
    </row>
    <row r="1968" ht="15" customHeight="1">
      <c r="CK1968" s="1159"/>
      <c r="EG1968" s="1159"/>
    </row>
    <row r="1969" ht="15" customHeight="1">
      <c r="CK1969" s="1159"/>
      <c r="EG1969" s="1159"/>
    </row>
    <row r="1970" ht="15" customHeight="1">
      <c r="CK1970" s="1159"/>
      <c r="EG1970" s="1159"/>
    </row>
    <row r="1971" ht="15" customHeight="1">
      <c r="CK1971" s="1159"/>
      <c r="EG1971" s="1159"/>
    </row>
    <row r="1972" ht="15" customHeight="1">
      <c r="CK1972" s="1159"/>
      <c r="EG1972" s="1159"/>
    </row>
    <row r="1973" ht="15" customHeight="1">
      <c r="CK1973" s="1159"/>
      <c r="EG1973" s="1159"/>
    </row>
    <row r="1974" ht="15" customHeight="1">
      <c r="CK1974" s="1159"/>
      <c r="EG1974" s="1159"/>
    </row>
    <row r="1975" ht="15" customHeight="1">
      <c r="CK1975" s="1159"/>
      <c r="EG1975" s="1159"/>
    </row>
    <row r="1976" ht="15" customHeight="1">
      <c r="CK1976" s="1159"/>
      <c r="EG1976" s="1159"/>
    </row>
    <row r="1977" ht="15" customHeight="1">
      <c r="CK1977" s="1159"/>
      <c r="EG1977" s="1159"/>
    </row>
    <row r="1978" ht="15" customHeight="1">
      <c r="CK1978" s="1159"/>
      <c r="EG1978" s="1159"/>
    </row>
    <row r="1979" ht="15" customHeight="1">
      <c r="CK1979" s="1159"/>
      <c r="EG1979" s="1159"/>
    </row>
    <row r="1980" ht="15" customHeight="1">
      <c r="CK1980" s="1159"/>
      <c r="EG1980" s="1159"/>
    </row>
    <row r="1981" ht="15" customHeight="1">
      <c r="CK1981" s="1159"/>
      <c r="EG1981" s="1159"/>
    </row>
    <row r="1982" ht="15" customHeight="1">
      <c r="CK1982" s="1159"/>
      <c r="EG1982" s="1159"/>
    </row>
    <row r="1983" ht="15" customHeight="1">
      <c r="CK1983" s="1159"/>
      <c r="EG1983" s="1159"/>
    </row>
    <row r="1984" ht="15" customHeight="1">
      <c r="CK1984" s="1159"/>
      <c r="EG1984" s="1159"/>
    </row>
    <row r="1985" ht="15" customHeight="1">
      <c r="CK1985" s="1159"/>
      <c r="EG1985" s="1159"/>
    </row>
    <row r="1986" ht="15" customHeight="1">
      <c r="CK1986" s="1159"/>
      <c r="EG1986" s="1159"/>
    </row>
    <row r="1987" ht="15" customHeight="1">
      <c r="CK1987" s="1159"/>
      <c r="EG1987" s="1159"/>
    </row>
    <row r="1988" ht="15" customHeight="1">
      <c r="CK1988" s="1159"/>
      <c r="EG1988" s="1159"/>
    </row>
    <row r="1989" ht="15" customHeight="1">
      <c r="CK1989" s="1159"/>
      <c r="EG1989" s="1159"/>
    </row>
    <row r="1990" ht="15" customHeight="1">
      <c r="CK1990" s="1159"/>
      <c r="EG1990" s="1159"/>
    </row>
    <row r="1991" ht="15" customHeight="1">
      <c r="CK1991" s="1159"/>
      <c r="EG1991" s="1159"/>
    </row>
    <row r="1992" ht="15" customHeight="1">
      <c r="CK1992" s="1159"/>
      <c r="EG1992" s="1159"/>
    </row>
    <row r="1993" ht="15" customHeight="1">
      <c r="CK1993" s="1159"/>
      <c r="EG1993" s="1159"/>
    </row>
    <row r="1994" ht="15" customHeight="1">
      <c r="CK1994" s="1159"/>
      <c r="EG1994" s="1159"/>
    </row>
    <row r="1995" ht="15" customHeight="1">
      <c r="CK1995" s="1159"/>
      <c r="EG1995" s="1159"/>
    </row>
    <row r="1996" ht="15" customHeight="1">
      <c r="CK1996" s="1159"/>
      <c r="EG1996" s="1159"/>
    </row>
    <row r="1997" ht="15" customHeight="1">
      <c r="CK1997" s="1159"/>
      <c r="EG1997" s="1159"/>
    </row>
    <row r="1998" ht="15" customHeight="1">
      <c r="CK1998" s="1159"/>
      <c r="EG1998" s="1159"/>
    </row>
    <row r="1999" ht="15" customHeight="1">
      <c r="CK1999" s="1159"/>
      <c r="EG1999" s="1159"/>
    </row>
    <row r="2000" ht="15" customHeight="1">
      <c r="CK2000" s="1159"/>
      <c r="EG2000" s="1159"/>
    </row>
    <row r="2001" ht="15" customHeight="1">
      <c r="CK2001" s="1159"/>
      <c r="EG2001" s="1159"/>
    </row>
    <row r="2002" ht="15" customHeight="1">
      <c r="CK2002" s="1159"/>
      <c r="EG2002" s="1159"/>
    </row>
    <row r="2003" ht="15" customHeight="1">
      <c r="CK2003" s="1159"/>
      <c r="EG2003" s="1159"/>
    </row>
    <row r="2004" ht="15" customHeight="1">
      <c r="CK2004" s="1159"/>
      <c r="EG2004" s="1159"/>
    </row>
    <row r="2005" ht="15" customHeight="1">
      <c r="CK2005" s="1159"/>
      <c r="EG2005" s="1159"/>
    </row>
    <row r="2006" ht="15" customHeight="1">
      <c r="CK2006" s="1159"/>
      <c r="EG2006" s="1159"/>
    </row>
    <row r="2007" ht="15" customHeight="1">
      <c r="CK2007" s="1159"/>
      <c r="EG2007" s="1159"/>
    </row>
    <row r="2008" ht="15" customHeight="1">
      <c r="CK2008" s="1159"/>
      <c r="EG2008" s="1159"/>
    </row>
    <row r="2009" ht="15" customHeight="1">
      <c r="CK2009" s="1159"/>
      <c r="EG2009" s="1159"/>
    </row>
    <row r="2010" ht="15" customHeight="1">
      <c r="CK2010" s="1159"/>
      <c r="EG2010" s="1159"/>
    </row>
    <row r="2011" ht="15" customHeight="1">
      <c r="CK2011" s="1159"/>
      <c r="EG2011" s="1159"/>
    </row>
    <row r="2012" ht="15" customHeight="1">
      <c r="CK2012" s="1159"/>
      <c r="EG2012" s="1159"/>
    </row>
    <row r="2013" ht="15" customHeight="1">
      <c r="CK2013" s="1159"/>
      <c r="EG2013" s="1159"/>
    </row>
    <row r="2014" ht="15" customHeight="1">
      <c r="CK2014" s="1159"/>
      <c r="EG2014" s="1159"/>
    </row>
    <row r="2015" ht="15" customHeight="1">
      <c r="CK2015" s="1159"/>
      <c r="EG2015" s="1159"/>
    </row>
    <row r="2016" ht="15" customHeight="1">
      <c r="CK2016" s="1159"/>
      <c r="EG2016" s="1159"/>
    </row>
    <row r="2017" ht="15" customHeight="1">
      <c r="CK2017" s="1159"/>
      <c r="EG2017" s="1159"/>
    </row>
    <row r="2018" ht="15" customHeight="1">
      <c r="CK2018" s="1159"/>
      <c r="EG2018" s="1159"/>
    </row>
    <row r="2019" ht="15" customHeight="1">
      <c r="CK2019" s="1159"/>
      <c r="EG2019" s="1159"/>
    </row>
    <row r="2020" ht="15" customHeight="1">
      <c r="CK2020" s="1159"/>
      <c r="EG2020" s="1159"/>
    </row>
    <row r="2021" ht="15" customHeight="1">
      <c r="CK2021" s="1159"/>
      <c r="EG2021" s="1159"/>
    </row>
    <row r="2022" ht="15" customHeight="1">
      <c r="CK2022" s="1159"/>
      <c r="EG2022" s="1159"/>
    </row>
    <row r="2023" ht="15" customHeight="1">
      <c r="CK2023" s="1159"/>
      <c r="EG2023" s="1159"/>
    </row>
    <row r="2024" ht="15" customHeight="1">
      <c r="CK2024" s="1159"/>
      <c r="EG2024" s="1159"/>
    </row>
    <row r="2025" ht="15" customHeight="1">
      <c r="CK2025" s="1159"/>
      <c r="EG2025" s="1159"/>
    </row>
    <row r="2026" ht="15" customHeight="1">
      <c r="CK2026" s="1159"/>
      <c r="EG2026" s="1159"/>
    </row>
    <row r="2027" ht="15" customHeight="1">
      <c r="CK2027" s="1159"/>
      <c r="EG2027" s="1159"/>
    </row>
    <row r="2028" ht="15" customHeight="1">
      <c r="CK2028" s="1159"/>
      <c r="EG2028" s="1159"/>
    </row>
    <row r="2029" ht="15" customHeight="1">
      <c r="CK2029" s="1159"/>
      <c r="EG2029" s="1159"/>
    </row>
    <row r="2030" ht="15" customHeight="1">
      <c r="CK2030" s="1159"/>
      <c r="EG2030" s="1159"/>
    </row>
    <row r="2031" ht="15" customHeight="1">
      <c r="CK2031" s="1159"/>
      <c r="EG2031" s="1159"/>
    </row>
    <row r="2032" ht="15" customHeight="1">
      <c r="CK2032" s="1159"/>
      <c r="EG2032" s="1159"/>
    </row>
    <row r="2033" ht="15" customHeight="1">
      <c r="CK2033" s="1159"/>
      <c r="EG2033" s="1159"/>
    </row>
    <row r="2034" ht="15" customHeight="1">
      <c r="CK2034" s="1159"/>
      <c r="EG2034" s="1159"/>
    </row>
    <row r="2035" ht="15" customHeight="1">
      <c r="CK2035" s="1159"/>
      <c r="EG2035" s="1159"/>
    </row>
    <row r="2036" ht="15" customHeight="1">
      <c r="CK2036" s="1159"/>
      <c r="EG2036" s="1159"/>
    </row>
    <row r="2037" ht="15" customHeight="1">
      <c r="CK2037" s="1159"/>
      <c r="EG2037" s="1159"/>
    </row>
    <row r="2038" ht="15" customHeight="1">
      <c r="CK2038" s="1159"/>
      <c r="EG2038" s="1159"/>
    </row>
    <row r="2039" ht="15" customHeight="1">
      <c r="CK2039" s="1159"/>
      <c r="EG2039" s="1159"/>
    </row>
    <row r="2040" ht="15" customHeight="1">
      <c r="CK2040" s="1159"/>
      <c r="EG2040" s="1159"/>
    </row>
    <row r="2041" ht="15" customHeight="1">
      <c r="CK2041" s="1159"/>
      <c r="EG2041" s="1159"/>
    </row>
    <row r="2042" ht="15" customHeight="1">
      <c r="CK2042" s="1159"/>
      <c r="EG2042" s="1159"/>
    </row>
    <row r="2043" ht="15" customHeight="1">
      <c r="CK2043" s="1159"/>
      <c r="EG2043" s="1159"/>
    </row>
    <row r="2044" ht="15" customHeight="1">
      <c r="CK2044" s="1159"/>
      <c r="EG2044" s="1159"/>
    </row>
    <row r="2045" ht="15" customHeight="1">
      <c r="CK2045" s="1159"/>
      <c r="EG2045" s="1159"/>
    </row>
    <row r="2046" ht="15" customHeight="1">
      <c r="CK2046" s="1159"/>
      <c r="EG2046" s="1159"/>
    </row>
    <row r="2047" ht="15" customHeight="1">
      <c r="CK2047" s="1159"/>
      <c r="EG2047" s="1159"/>
    </row>
    <row r="2048" ht="15" customHeight="1">
      <c r="CK2048" s="1159"/>
      <c r="EG2048" s="1159"/>
    </row>
    <row r="2049" ht="15" customHeight="1">
      <c r="CK2049" s="1159"/>
      <c r="EG2049" s="1159"/>
    </row>
    <row r="2050" ht="15" customHeight="1">
      <c r="CK2050" s="1159"/>
      <c r="EG2050" s="1159"/>
    </row>
    <row r="2051" ht="15" customHeight="1">
      <c r="CK2051" s="1159"/>
      <c r="EG2051" s="1159"/>
    </row>
    <row r="2052" ht="15" customHeight="1">
      <c r="CK2052" s="1159"/>
      <c r="EG2052" s="1159"/>
    </row>
    <row r="2053" ht="15" customHeight="1">
      <c r="CK2053" s="1159"/>
      <c r="EG2053" s="1159"/>
    </row>
    <row r="2054" ht="15" customHeight="1">
      <c r="CK2054" s="1159"/>
      <c r="EG2054" s="1159"/>
    </row>
    <row r="2055" ht="15" customHeight="1">
      <c r="CK2055" s="1159"/>
      <c r="EG2055" s="1159"/>
    </row>
    <row r="2056" ht="15" customHeight="1">
      <c r="CK2056" s="1159"/>
      <c r="EG2056" s="1159"/>
    </row>
    <row r="2057" ht="15" customHeight="1">
      <c r="CK2057" s="1159"/>
      <c r="EG2057" s="1159"/>
    </row>
    <row r="2058" ht="15" customHeight="1">
      <c r="CK2058" s="1159"/>
      <c r="EG2058" s="1159"/>
    </row>
    <row r="2059" ht="15" customHeight="1">
      <c r="CK2059" s="1159"/>
      <c r="EG2059" s="1159"/>
    </row>
    <row r="2060" ht="15" customHeight="1">
      <c r="CK2060" s="1159"/>
      <c r="EG2060" s="1159"/>
    </row>
    <row r="2061" ht="15" customHeight="1">
      <c r="CK2061" s="1159"/>
      <c r="EG2061" s="1159"/>
    </row>
    <row r="2062" ht="15" customHeight="1">
      <c r="CK2062" s="1159"/>
      <c r="EG2062" s="1159"/>
    </row>
    <row r="2063" ht="15" customHeight="1">
      <c r="CK2063" s="1159"/>
      <c r="EG2063" s="1159"/>
    </row>
    <row r="2064" ht="15" customHeight="1">
      <c r="CK2064" s="1159"/>
      <c r="EG2064" s="1159"/>
    </row>
    <row r="2065" ht="15" customHeight="1">
      <c r="CK2065" s="1159"/>
      <c r="EG2065" s="1159"/>
    </row>
    <row r="2066" ht="15" customHeight="1">
      <c r="CK2066" s="1159"/>
      <c r="EG2066" s="1159"/>
    </row>
    <row r="2067" ht="15" customHeight="1">
      <c r="CK2067" s="1159"/>
      <c r="EG2067" s="1159"/>
    </row>
    <row r="2068" ht="15" customHeight="1">
      <c r="CK2068" s="1159"/>
      <c r="EG2068" s="1159"/>
    </row>
    <row r="2069" ht="15" customHeight="1">
      <c r="CK2069" s="1159"/>
      <c r="EG2069" s="1159"/>
    </row>
    <row r="2070" ht="15" customHeight="1">
      <c r="CK2070" s="1159"/>
      <c r="EG2070" s="1159"/>
    </row>
    <row r="2071" ht="15" customHeight="1">
      <c r="CK2071" s="1159"/>
      <c r="EG2071" s="1159"/>
    </row>
    <row r="2072" ht="15" customHeight="1">
      <c r="CK2072" s="1159"/>
      <c r="EG2072" s="1159"/>
    </row>
    <row r="2073" ht="15" customHeight="1">
      <c r="CK2073" s="1159"/>
      <c r="EG2073" s="1159"/>
    </row>
    <row r="2074" ht="15" customHeight="1">
      <c r="CK2074" s="1159"/>
      <c r="EG2074" s="1159"/>
    </row>
    <row r="2075" ht="15" customHeight="1">
      <c r="CK2075" s="1159"/>
      <c r="EG2075" s="1159"/>
    </row>
    <row r="2076" ht="15" customHeight="1">
      <c r="CK2076" s="1159"/>
      <c r="EG2076" s="1159"/>
    </row>
    <row r="2077" ht="15" customHeight="1">
      <c r="CK2077" s="1159"/>
      <c r="EG2077" s="1159"/>
    </row>
    <row r="2078" ht="15" customHeight="1">
      <c r="CK2078" s="1159"/>
      <c r="EG2078" s="1159"/>
    </row>
    <row r="2079" ht="15" customHeight="1">
      <c r="CK2079" s="1159"/>
      <c r="EG2079" s="1159"/>
    </row>
    <row r="2080" ht="15" customHeight="1">
      <c r="CK2080" s="1159"/>
      <c r="EG2080" s="1159"/>
    </row>
    <row r="2081" ht="15" customHeight="1">
      <c r="CK2081" s="1159"/>
      <c r="EG2081" s="1159"/>
    </row>
    <row r="2082" ht="15" customHeight="1">
      <c r="CK2082" s="1159"/>
      <c r="EG2082" s="1159"/>
    </row>
    <row r="2083" ht="15" customHeight="1">
      <c r="CK2083" s="1159"/>
      <c r="EG2083" s="1159"/>
    </row>
    <row r="2084" ht="15" customHeight="1">
      <c r="CK2084" s="1159"/>
      <c r="EG2084" s="1159"/>
    </row>
    <row r="2085" ht="15" customHeight="1">
      <c r="CK2085" s="1159"/>
      <c r="EG2085" s="1159"/>
    </row>
    <row r="2086" ht="15" customHeight="1">
      <c r="CK2086" s="1159"/>
      <c r="EG2086" s="1159"/>
    </row>
    <row r="2087" ht="15" customHeight="1">
      <c r="CK2087" s="1159"/>
      <c r="EG2087" s="1159"/>
    </row>
    <row r="2088" ht="15" customHeight="1">
      <c r="CK2088" s="1159"/>
      <c r="EG2088" s="1159"/>
    </row>
    <row r="2089" ht="15" customHeight="1">
      <c r="CK2089" s="1159"/>
      <c r="EG2089" s="1159"/>
    </row>
    <row r="2090" ht="15" customHeight="1">
      <c r="CK2090" s="1159"/>
      <c r="EG2090" s="1159"/>
    </row>
    <row r="2091" ht="15" customHeight="1">
      <c r="CK2091" s="1159"/>
      <c r="EG2091" s="1159"/>
    </row>
    <row r="2092" ht="15" customHeight="1">
      <c r="CK2092" s="1159"/>
      <c r="EG2092" s="1159"/>
    </row>
    <row r="2093" ht="15" customHeight="1">
      <c r="CK2093" s="1159"/>
      <c r="EG2093" s="1159"/>
    </row>
    <row r="2094" ht="15" customHeight="1">
      <c r="CK2094" s="1159"/>
      <c r="EG2094" s="1159"/>
    </row>
    <row r="2095" ht="15" customHeight="1">
      <c r="CK2095" s="1159"/>
      <c r="EG2095" s="1159"/>
    </row>
    <row r="2096" ht="15" customHeight="1">
      <c r="CK2096" s="1159"/>
      <c r="EG2096" s="1159"/>
    </row>
    <row r="2097" ht="15" customHeight="1">
      <c r="CK2097" s="1159"/>
      <c r="EG2097" s="1159"/>
    </row>
    <row r="2098" ht="15" customHeight="1">
      <c r="CK2098" s="1159"/>
      <c r="EG2098" s="1159"/>
    </row>
    <row r="2099" ht="15" customHeight="1">
      <c r="CK2099" s="1159"/>
      <c r="EG2099" s="1159"/>
    </row>
    <row r="2100" ht="15" customHeight="1">
      <c r="CK2100" s="1159"/>
      <c r="EG2100" s="1159"/>
    </row>
    <row r="2101" ht="15" customHeight="1">
      <c r="CK2101" s="1159"/>
      <c r="EG2101" s="1159"/>
    </row>
    <row r="2102" ht="15" customHeight="1">
      <c r="CK2102" s="1159"/>
      <c r="EG2102" s="1159"/>
    </row>
    <row r="2103" ht="15" customHeight="1">
      <c r="CK2103" s="1159"/>
      <c r="EG2103" s="1159"/>
    </row>
    <row r="2104" ht="15" customHeight="1">
      <c r="CK2104" s="1159"/>
      <c r="EG2104" s="1159"/>
    </row>
    <row r="2105" ht="15" customHeight="1">
      <c r="CK2105" s="1159"/>
      <c r="EG2105" s="1159"/>
    </row>
    <row r="2106" ht="15" customHeight="1">
      <c r="CK2106" s="1159"/>
      <c r="EG2106" s="1159"/>
    </row>
    <row r="2107" ht="15" customHeight="1">
      <c r="CK2107" s="1159"/>
      <c r="EG2107" s="1159"/>
    </row>
    <row r="2108" ht="15" customHeight="1">
      <c r="CK2108" s="1159"/>
      <c r="EG2108" s="1159"/>
    </row>
    <row r="2109" ht="15" customHeight="1">
      <c r="CK2109" s="1159"/>
      <c r="EG2109" s="1159"/>
    </row>
    <row r="2110" ht="15" customHeight="1">
      <c r="CK2110" s="1159"/>
      <c r="EG2110" s="1159"/>
    </row>
    <row r="2111" ht="15" customHeight="1">
      <c r="CK2111" s="1159"/>
      <c r="EG2111" s="1159"/>
    </row>
    <row r="2112" ht="15" customHeight="1">
      <c r="CK2112" s="1159"/>
      <c r="EG2112" s="1159"/>
    </row>
    <row r="2113" ht="15" customHeight="1">
      <c r="CK2113" s="1159"/>
      <c r="EG2113" s="1159"/>
    </row>
    <row r="2114" ht="15" customHeight="1">
      <c r="CK2114" s="1159"/>
      <c r="EG2114" s="1159"/>
    </row>
    <row r="2115" ht="15" customHeight="1">
      <c r="CK2115" s="1159"/>
      <c r="EG2115" s="1159"/>
    </row>
    <row r="2116" ht="15" customHeight="1">
      <c r="CK2116" s="1159"/>
      <c r="EG2116" s="1159"/>
    </row>
    <row r="2117" ht="15" customHeight="1">
      <c r="CK2117" s="1159"/>
      <c r="EG2117" s="1159"/>
    </row>
    <row r="2118" ht="15" customHeight="1">
      <c r="CK2118" s="1159"/>
      <c r="EG2118" s="1159"/>
    </row>
    <row r="2119" ht="15" customHeight="1">
      <c r="CK2119" s="1159"/>
      <c r="EG2119" s="1159"/>
    </row>
    <row r="2120" ht="15" customHeight="1">
      <c r="CK2120" s="1159"/>
      <c r="EG2120" s="1159"/>
    </row>
    <row r="2121" ht="15" customHeight="1">
      <c r="CK2121" s="1159"/>
      <c r="EG2121" s="1159"/>
    </row>
    <row r="2122" ht="15" customHeight="1">
      <c r="CK2122" s="1159"/>
      <c r="EG2122" s="1159"/>
    </row>
    <row r="2123" ht="15" customHeight="1">
      <c r="CK2123" s="1159"/>
      <c r="EG2123" s="1159"/>
    </row>
    <row r="2124" ht="15" customHeight="1">
      <c r="CK2124" s="1159"/>
      <c r="EG2124" s="1159"/>
    </row>
    <row r="2125" ht="15" customHeight="1">
      <c r="CK2125" s="1159"/>
      <c r="EG2125" s="1159"/>
    </row>
    <row r="2126" ht="15" customHeight="1">
      <c r="CK2126" s="1159"/>
      <c r="EG2126" s="1159"/>
    </row>
    <row r="2127" ht="15" customHeight="1">
      <c r="CK2127" s="1159"/>
      <c r="EG2127" s="1159"/>
    </row>
    <row r="2128" ht="15" customHeight="1">
      <c r="CK2128" s="1159"/>
      <c r="EG2128" s="1159"/>
    </row>
    <row r="2129" ht="15" customHeight="1">
      <c r="CK2129" s="1159"/>
      <c r="EG2129" s="1159"/>
    </row>
    <row r="2130" ht="15" customHeight="1">
      <c r="CK2130" s="1159"/>
      <c r="EG2130" s="1159"/>
    </row>
    <row r="2131" ht="15" customHeight="1">
      <c r="CK2131" s="1159"/>
      <c r="EG2131" s="1159"/>
    </row>
    <row r="2132" ht="15" customHeight="1">
      <c r="CK2132" s="1159"/>
      <c r="EG2132" s="1159"/>
    </row>
    <row r="2133" ht="15" customHeight="1">
      <c r="CK2133" s="1159"/>
      <c r="EG2133" s="1159"/>
    </row>
    <row r="2134" ht="15" customHeight="1">
      <c r="CK2134" s="1159"/>
      <c r="EG2134" s="1159"/>
    </row>
    <row r="2135" ht="15" customHeight="1">
      <c r="CK2135" s="1159"/>
      <c r="EG2135" s="1159"/>
    </row>
    <row r="2136" ht="15" customHeight="1">
      <c r="CK2136" s="1159"/>
      <c r="EG2136" s="1159"/>
    </row>
    <row r="2137" ht="15" customHeight="1">
      <c r="CK2137" s="1159"/>
      <c r="EG2137" s="1159"/>
    </row>
    <row r="2138" ht="15" customHeight="1">
      <c r="CK2138" s="1159"/>
      <c r="EG2138" s="1159"/>
    </row>
    <row r="2139" ht="15" customHeight="1">
      <c r="CK2139" s="1159"/>
      <c r="EG2139" s="1159"/>
    </row>
    <row r="2140" ht="15" customHeight="1">
      <c r="CK2140" s="1159"/>
      <c r="EG2140" s="1159"/>
    </row>
    <row r="2141" ht="15" customHeight="1">
      <c r="CK2141" s="1159"/>
      <c r="EG2141" s="1159"/>
    </row>
    <row r="2142" ht="15" customHeight="1">
      <c r="CK2142" s="1159"/>
      <c r="EG2142" s="1159"/>
    </row>
    <row r="2143" ht="15" customHeight="1">
      <c r="CK2143" s="1159"/>
      <c r="EG2143" s="1159"/>
    </row>
    <row r="2144" ht="15" customHeight="1">
      <c r="CK2144" s="1159"/>
      <c r="EG2144" s="1159"/>
    </row>
    <row r="2145" ht="15" customHeight="1">
      <c r="CK2145" s="1159"/>
      <c r="EG2145" s="1159"/>
    </row>
    <row r="2146" ht="15" customHeight="1">
      <c r="CK2146" s="1159"/>
      <c r="EG2146" s="1159"/>
    </row>
    <row r="2147" ht="15" customHeight="1">
      <c r="CK2147" s="1159"/>
      <c r="EG2147" s="1159"/>
    </row>
    <row r="2148" ht="15" customHeight="1">
      <c r="CK2148" s="1159"/>
      <c r="EG2148" s="1159"/>
    </row>
    <row r="2149" ht="15" customHeight="1">
      <c r="CK2149" s="1159"/>
      <c r="EG2149" s="1159"/>
    </row>
    <row r="2150" ht="15" customHeight="1">
      <c r="CK2150" s="1159"/>
      <c r="EG2150" s="1159"/>
    </row>
    <row r="2151" ht="15" customHeight="1">
      <c r="CK2151" s="1159"/>
      <c r="EG2151" s="1159"/>
    </row>
    <row r="2152" ht="15" customHeight="1">
      <c r="CK2152" s="1159"/>
      <c r="EG2152" s="1159"/>
    </row>
    <row r="2153" ht="15" customHeight="1">
      <c r="CK2153" s="1159"/>
      <c r="EG2153" s="1159"/>
    </row>
    <row r="2154" ht="15" customHeight="1">
      <c r="CK2154" s="1159"/>
      <c r="EG2154" s="1159"/>
    </row>
    <row r="2155" ht="15" customHeight="1">
      <c r="CK2155" s="1159"/>
      <c r="EG2155" s="1159"/>
    </row>
    <row r="2156" ht="15" customHeight="1">
      <c r="CK2156" s="1159"/>
      <c r="EG2156" s="1159"/>
    </row>
    <row r="2157" ht="15" customHeight="1">
      <c r="CK2157" s="1159"/>
      <c r="EG2157" s="1159"/>
    </row>
    <row r="2158" ht="15" customHeight="1">
      <c r="CK2158" s="1159"/>
      <c r="EG2158" s="1159"/>
    </row>
    <row r="2159" ht="15" customHeight="1">
      <c r="CK2159" s="1159"/>
      <c r="EG2159" s="1159"/>
    </row>
    <row r="2160" ht="15" customHeight="1">
      <c r="CK2160" s="1159"/>
      <c r="EG2160" s="1159"/>
    </row>
    <row r="2161" ht="15" customHeight="1">
      <c r="CK2161" s="1159"/>
      <c r="EG2161" s="1159"/>
    </row>
    <row r="2162" ht="15" customHeight="1">
      <c r="CK2162" s="1159"/>
      <c r="EG2162" s="1159"/>
    </row>
    <row r="2163" ht="15" customHeight="1">
      <c r="CK2163" s="1159"/>
      <c r="EG2163" s="1159"/>
    </row>
    <row r="2164" ht="15" customHeight="1">
      <c r="CK2164" s="1159"/>
      <c r="EG2164" s="1159"/>
    </row>
    <row r="2165" ht="15" customHeight="1">
      <c r="CK2165" s="1159"/>
      <c r="EG2165" s="1159"/>
    </row>
    <row r="2166" ht="15" customHeight="1">
      <c r="CK2166" s="1159"/>
      <c r="EG2166" s="1159"/>
    </row>
    <row r="2167" ht="15" customHeight="1">
      <c r="CK2167" s="1159"/>
      <c r="EG2167" s="1159"/>
    </row>
    <row r="2168" ht="15" customHeight="1">
      <c r="CK2168" s="1159"/>
      <c r="EG2168" s="1159"/>
    </row>
    <row r="2169" ht="15" customHeight="1">
      <c r="CK2169" s="1159"/>
      <c r="EG2169" s="1159"/>
    </row>
    <row r="2170" ht="15" customHeight="1">
      <c r="CK2170" s="1159"/>
      <c r="EG2170" s="1159"/>
    </row>
    <row r="2171" ht="15" customHeight="1">
      <c r="CK2171" s="1159"/>
      <c r="EG2171" s="1159"/>
    </row>
    <row r="2172" ht="15" customHeight="1">
      <c r="CK2172" s="1159"/>
      <c r="EG2172" s="1159"/>
    </row>
    <row r="2173" ht="15" customHeight="1">
      <c r="CK2173" s="1159"/>
      <c r="EG2173" s="1159"/>
    </row>
    <row r="2174" ht="15" customHeight="1">
      <c r="CK2174" s="1159"/>
      <c r="EG2174" s="1159"/>
    </row>
    <row r="2175" ht="15" customHeight="1">
      <c r="CK2175" s="1159"/>
      <c r="EG2175" s="1159"/>
    </row>
    <row r="2176" ht="15" customHeight="1">
      <c r="CK2176" s="1159"/>
      <c r="EG2176" s="1159"/>
    </row>
    <row r="2177" ht="15" customHeight="1">
      <c r="CK2177" s="1159"/>
      <c r="EG2177" s="1159"/>
    </row>
    <row r="2178" ht="15" customHeight="1">
      <c r="CK2178" s="1159"/>
      <c r="EG2178" s="1159"/>
    </row>
    <row r="2179" ht="15" customHeight="1">
      <c r="CK2179" s="1159"/>
      <c r="EG2179" s="1159"/>
    </row>
    <row r="2180" ht="15" customHeight="1">
      <c r="CK2180" s="1159"/>
      <c r="EG2180" s="1159"/>
    </row>
    <row r="2181" ht="15" customHeight="1">
      <c r="CK2181" s="1159"/>
      <c r="EG2181" s="1159"/>
    </row>
    <row r="2182" ht="15" customHeight="1">
      <c r="CK2182" s="1159"/>
      <c r="EG2182" s="1159"/>
    </row>
    <row r="2183" ht="15" customHeight="1">
      <c r="CK2183" s="1159"/>
      <c r="EG2183" s="1159"/>
    </row>
    <row r="2184" ht="15" customHeight="1">
      <c r="CK2184" s="1159"/>
      <c r="EG2184" s="1159"/>
    </row>
    <row r="2185" ht="15" customHeight="1">
      <c r="CK2185" s="1159"/>
      <c r="EG2185" s="1159"/>
    </row>
    <row r="2186" ht="15" customHeight="1">
      <c r="CK2186" s="1159"/>
      <c r="EG2186" s="1159"/>
    </row>
    <row r="2187" ht="15" customHeight="1">
      <c r="CK2187" s="1159"/>
      <c r="EG2187" s="1159"/>
    </row>
    <row r="2188" ht="15" customHeight="1">
      <c r="CK2188" s="1159"/>
      <c r="EG2188" s="1159"/>
    </row>
    <row r="2189" ht="15" customHeight="1">
      <c r="CK2189" s="1159"/>
      <c r="EG2189" s="1159"/>
    </row>
    <row r="2190" ht="15" customHeight="1">
      <c r="CK2190" s="1159"/>
      <c r="EG2190" s="1159"/>
    </row>
    <row r="2191" ht="15" customHeight="1">
      <c r="CK2191" s="1159"/>
      <c r="EG2191" s="1159"/>
    </row>
    <row r="2192" ht="15" customHeight="1">
      <c r="CK2192" s="1159"/>
      <c r="EG2192" s="1159"/>
    </row>
    <row r="2193" ht="15" customHeight="1">
      <c r="CK2193" s="1159"/>
      <c r="EG2193" s="1159"/>
    </row>
    <row r="2194" ht="15" customHeight="1">
      <c r="CK2194" s="1159"/>
      <c r="EG2194" s="1159"/>
    </row>
    <row r="2195" ht="15" customHeight="1">
      <c r="CK2195" s="1159"/>
      <c r="EG2195" s="1159"/>
    </row>
    <row r="2196" ht="15" customHeight="1">
      <c r="CK2196" s="1159"/>
      <c r="EG2196" s="1159"/>
    </row>
    <row r="2197" ht="15" customHeight="1">
      <c r="CK2197" s="1159"/>
      <c r="EG2197" s="1159"/>
    </row>
    <row r="2198" ht="15" customHeight="1">
      <c r="CK2198" s="1159"/>
      <c r="EG2198" s="1159"/>
    </row>
    <row r="2199" ht="15" customHeight="1">
      <c r="CK2199" s="1159"/>
      <c r="EG2199" s="1159"/>
    </row>
    <row r="2200" ht="15" customHeight="1">
      <c r="CK2200" s="1159"/>
      <c r="EG2200" s="1159"/>
    </row>
    <row r="2201" ht="15" customHeight="1">
      <c r="CK2201" s="1159"/>
      <c r="EG2201" s="1159"/>
    </row>
    <row r="2202" ht="15" customHeight="1">
      <c r="CK2202" s="1159"/>
      <c r="EG2202" s="1159"/>
    </row>
    <row r="2203" ht="15" customHeight="1">
      <c r="CK2203" s="1159"/>
      <c r="EG2203" s="1159"/>
    </row>
    <row r="2204" ht="15" customHeight="1">
      <c r="CK2204" s="1159"/>
      <c r="EG2204" s="1159"/>
    </row>
    <row r="2205" ht="15" customHeight="1">
      <c r="CK2205" s="1159"/>
      <c r="EG2205" s="1159"/>
    </row>
    <row r="2206" ht="15" customHeight="1">
      <c r="CK2206" s="1159"/>
      <c r="EG2206" s="1159"/>
    </row>
    <row r="2207" ht="15" customHeight="1">
      <c r="CK2207" s="1159"/>
      <c r="EG2207" s="1159"/>
    </row>
    <row r="2208" ht="15" customHeight="1">
      <c r="CK2208" s="1159"/>
      <c r="EG2208" s="1159"/>
    </row>
    <row r="2209" ht="15" customHeight="1">
      <c r="CK2209" s="1159"/>
      <c r="EG2209" s="1159"/>
    </row>
    <row r="2210" ht="15" customHeight="1">
      <c r="CK2210" s="1159"/>
      <c r="EG2210" s="1159"/>
    </row>
    <row r="2211" ht="15" customHeight="1">
      <c r="CK2211" s="1159"/>
      <c r="EG2211" s="1159"/>
    </row>
    <row r="2212" ht="15" customHeight="1">
      <c r="CK2212" s="1159"/>
      <c r="EG2212" s="1159"/>
    </row>
    <row r="2213" ht="15" customHeight="1">
      <c r="CK2213" s="1159"/>
      <c r="EG2213" s="1159"/>
    </row>
    <row r="2214" ht="15" customHeight="1">
      <c r="CK2214" s="1159"/>
      <c r="EG2214" s="1159"/>
    </row>
    <row r="2215" ht="15" customHeight="1">
      <c r="CK2215" s="1159"/>
      <c r="EG2215" s="1159"/>
    </row>
    <row r="2216" ht="15" customHeight="1">
      <c r="CK2216" s="1159"/>
      <c r="EG2216" s="1159"/>
    </row>
    <row r="2217" ht="15" customHeight="1">
      <c r="CK2217" s="1159"/>
      <c r="EG2217" s="1159"/>
    </row>
    <row r="2218" ht="15" customHeight="1">
      <c r="CK2218" s="1159"/>
      <c r="EG2218" s="1159"/>
    </row>
    <row r="2219" ht="15" customHeight="1">
      <c r="CK2219" s="1159"/>
      <c r="EG2219" s="1159"/>
    </row>
    <row r="2220" ht="15" customHeight="1">
      <c r="CK2220" s="1159"/>
      <c r="EG2220" s="1159"/>
    </row>
    <row r="2221" ht="15" customHeight="1">
      <c r="CK2221" s="1159"/>
      <c r="EG2221" s="1159"/>
    </row>
    <row r="2222" ht="15" customHeight="1">
      <c r="CK2222" s="1159"/>
      <c r="EG2222" s="1159"/>
    </row>
    <row r="2223" ht="15" customHeight="1">
      <c r="CK2223" s="1159"/>
      <c r="EG2223" s="1159"/>
    </row>
    <row r="2224" ht="15" customHeight="1">
      <c r="CK2224" s="1159"/>
      <c r="EG2224" s="1159"/>
    </row>
    <row r="2225" ht="15" customHeight="1">
      <c r="CK2225" s="1159"/>
      <c r="EG2225" s="1159"/>
    </row>
    <row r="2226" ht="15" customHeight="1">
      <c r="CK2226" s="1159"/>
      <c r="EG2226" s="1159"/>
    </row>
    <row r="2227" ht="15" customHeight="1">
      <c r="CK2227" s="1159"/>
      <c r="EG2227" s="1159"/>
    </row>
    <row r="2228" ht="15" customHeight="1">
      <c r="CK2228" s="1159"/>
      <c r="EG2228" s="1159"/>
    </row>
    <row r="2229" ht="15" customHeight="1">
      <c r="CK2229" s="1159"/>
      <c r="EG2229" s="1159"/>
    </row>
    <row r="2230" ht="15" customHeight="1">
      <c r="CK2230" s="1159"/>
      <c r="EG2230" s="1159"/>
    </row>
    <row r="2231" ht="15" customHeight="1">
      <c r="CK2231" s="1159"/>
      <c r="EG2231" s="1159"/>
    </row>
    <row r="2232" ht="15" customHeight="1">
      <c r="CK2232" s="1159"/>
      <c r="EG2232" s="1159"/>
    </row>
    <row r="2233" ht="15" customHeight="1">
      <c r="CK2233" s="1159"/>
      <c r="EG2233" s="1159"/>
    </row>
    <row r="2234" ht="15" customHeight="1">
      <c r="CK2234" s="1159"/>
      <c r="EG2234" s="1159"/>
    </row>
    <row r="2235" ht="15" customHeight="1">
      <c r="CK2235" s="1159"/>
      <c r="EG2235" s="1159"/>
    </row>
    <row r="2236" ht="15" customHeight="1">
      <c r="CK2236" s="1159"/>
      <c r="EG2236" s="1159"/>
    </row>
    <row r="2237" ht="15" customHeight="1">
      <c r="CK2237" s="1159"/>
      <c r="EG2237" s="1159"/>
    </row>
    <row r="2238" ht="15" customHeight="1">
      <c r="CK2238" s="1159"/>
      <c r="EG2238" s="1159"/>
    </row>
    <row r="2239" ht="15" customHeight="1">
      <c r="CK2239" s="1159"/>
      <c r="EG2239" s="1159"/>
    </row>
    <row r="2240" ht="15" customHeight="1">
      <c r="CK2240" s="1159"/>
      <c r="EG2240" s="1159"/>
    </row>
    <row r="2241" ht="15" customHeight="1">
      <c r="CK2241" s="1159"/>
      <c r="EG2241" s="1159"/>
    </row>
    <row r="2242" ht="15" customHeight="1">
      <c r="CK2242" s="1159"/>
      <c r="EG2242" s="1159"/>
    </row>
    <row r="2243" ht="15" customHeight="1">
      <c r="CK2243" s="1159"/>
      <c r="EG2243" s="1159"/>
    </row>
    <row r="2244" ht="15" customHeight="1">
      <c r="CK2244" s="1159"/>
      <c r="EG2244" s="1159"/>
    </row>
    <row r="2245" ht="15" customHeight="1">
      <c r="CK2245" s="1159"/>
      <c r="EG2245" s="1159"/>
    </row>
    <row r="2246" ht="15" customHeight="1">
      <c r="CK2246" s="1159"/>
      <c r="EG2246" s="1159"/>
    </row>
    <row r="2247" ht="15" customHeight="1">
      <c r="CK2247" s="1159"/>
      <c r="EG2247" s="1159"/>
    </row>
    <row r="2248" ht="15" customHeight="1">
      <c r="CK2248" s="1159"/>
      <c r="EG2248" s="1159"/>
    </row>
    <row r="2249" ht="15" customHeight="1">
      <c r="CK2249" s="1159"/>
      <c r="EG2249" s="1159"/>
    </row>
    <row r="2250" ht="15" customHeight="1">
      <c r="CK2250" s="1159"/>
      <c r="EG2250" s="1159"/>
    </row>
    <row r="2251" ht="15" customHeight="1">
      <c r="CK2251" s="1159"/>
      <c r="EG2251" s="1159"/>
    </row>
    <row r="2252" ht="15" customHeight="1">
      <c r="CK2252" s="1159"/>
      <c r="EG2252" s="1159"/>
    </row>
    <row r="2253" ht="15" customHeight="1">
      <c r="CK2253" s="1159"/>
      <c r="EG2253" s="1159"/>
    </row>
    <row r="2254" ht="15" customHeight="1">
      <c r="CK2254" s="1159"/>
      <c r="EG2254" s="1159"/>
    </row>
    <row r="2255" ht="15" customHeight="1">
      <c r="CK2255" s="1159"/>
      <c r="EG2255" s="1159"/>
    </row>
    <row r="2256" ht="15" customHeight="1">
      <c r="CK2256" s="1159"/>
      <c r="EG2256" s="1159"/>
    </row>
    <row r="2257" ht="15" customHeight="1">
      <c r="CK2257" s="1159"/>
      <c r="EG2257" s="1159"/>
    </row>
    <row r="2258" ht="15" customHeight="1">
      <c r="CK2258" s="1159"/>
      <c r="EG2258" s="1159"/>
    </row>
    <row r="2259" ht="15" customHeight="1">
      <c r="CK2259" s="1159"/>
      <c r="EG2259" s="1159"/>
    </row>
    <row r="2260" ht="15" customHeight="1">
      <c r="CK2260" s="1159"/>
      <c r="EG2260" s="1159"/>
    </row>
    <row r="2261" ht="15" customHeight="1">
      <c r="CK2261" s="1159"/>
      <c r="EG2261" s="1159"/>
    </row>
    <row r="2262" ht="15" customHeight="1">
      <c r="CK2262" s="1159"/>
      <c r="EG2262" s="1159"/>
    </row>
    <row r="2263" ht="15" customHeight="1">
      <c r="CK2263" s="1159"/>
      <c r="EG2263" s="1159"/>
    </row>
    <row r="2264" ht="15" customHeight="1">
      <c r="CK2264" s="1159"/>
      <c r="EG2264" s="1159"/>
    </row>
    <row r="2265" ht="15" customHeight="1">
      <c r="CK2265" s="1159"/>
      <c r="EG2265" s="1159"/>
    </row>
    <row r="2266" ht="15" customHeight="1">
      <c r="CK2266" s="1159"/>
      <c r="EG2266" s="1159"/>
    </row>
    <row r="2267" ht="15" customHeight="1">
      <c r="CK2267" s="1159"/>
      <c r="EG2267" s="1159"/>
    </row>
    <row r="2268" ht="15" customHeight="1">
      <c r="CK2268" s="1159"/>
      <c r="EG2268" s="1159"/>
    </row>
    <row r="2269" ht="15" customHeight="1">
      <c r="CK2269" s="1159"/>
      <c r="EG2269" s="1159"/>
    </row>
    <row r="2270" ht="15" customHeight="1">
      <c r="CK2270" s="1159"/>
      <c r="EG2270" s="1159"/>
    </row>
    <row r="2271" ht="15" customHeight="1">
      <c r="CK2271" s="1159"/>
      <c r="EG2271" s="1159"/>
    </row>
    <row r="2272" ht="15" customHeight="1">
      <c r="CK2272" s="1159"/>
      <c r="EG2272" s="1159"/>
    </row>
    <row r="2273" ht="15" customHeight="1">
      <c r="CK2273" s="1159"/>
      <c r="EG2273" s="1159"/>
    </row>
    <row r="2274" ht="15" customHeight="1">
      <c r="CK2274" s="1159"/>
      <c r="EG2274" s="1159"/>
    </row>
    <row r="2275" ht="15" customHeight="1">
      <c r="CK2275" s="1159"/>
      <c r="EG2275" s="1159"/>
    </row>
    <row r="2276" ht="15" customHeight="1">
      <c r="CK2276" s="1159"/>
      <c r="EG2276" s="1159"/>
    </row>
    <row r="2277" ht="15" customHeight="1">
      <c r="CK2277" s="1159"/>
      <c r="EG2277" s="1159"/>
    </row>
    <row r="2278" ht="15" customHeight="1">
      <c r="CK2278" s="1159"/>
      <c r="EG2278" s="1159"/>
    </row>
    <row r="2279" ht="15" customHeight="1">
      <c r="CK2279" s="1159"/>
      <c r="EG2279" s="1159"/>
    </row>
    <row r="2280" ht="15" customHeight="1">
      <c r="CK2280" s="1159"/>
      <c r="EG2280" s="1159"/>
    </row>
    <row r="2281" ht="15" customHeight="1">
      <c r="CK2281" s="1159"/>
      <c r="EG2281" s="1159"/>
    </row>
    <row r="2282" ht="15" customHeight="1">
      <c r="CK2282" s="1159"/>
      <c r="EG2282" s="1159"/>
    </row>
    <row r="2283" ht="15" customHeight="1">
      <c r="CK2283" s="1159"/>
      <c r="EG2283" s="1159"/>
    </row>
    <row r="2284" ht="15" customHeight="1">
      <c r="CK2284" s="1159"/>
      <c r="EG2284" s="1159"/>
    </row>
    <row r="2285" ht="15" customHeight="1">
      <c r="CK2285" s="1159"/>
      <c r="EG2285" s="1159"/>
    </row>
    <row r="2286" ht="15" customHeight="1">
      <c r="CK2286" s="1159"/>
      <c r="EG2286" s="1159"/>
    </row>
    <row r="2287" ht="15" customHeight="1">
      <c r="CK2287" s="1159"/>
      <c r="EG2287" s="1159"/>
    </row>
    <row r="2288" ht="15" customHeight="1">
      <c r="CK2288" s="1159"/>
      <c r="EG2288" s="1159"/>
    </row>
    <row r="2289" ht="15" customHeight="1">
      <c r="CK2289" s="1159"/>
      <c r="EG2289" s="1159"/>
    </row>
    <row r="2290" ht="15" customHeight="1">
      <c r="CK2290" s="1159"/>
      <c r="EG2290" s="1159"/>
    </row>
    <row r="2291" ht="15" customHeight="1">
      <c r="CK2291" s="1159"/>
      <c r="EG2291" s="1159"/>
    </row>
    <row r="2292" ht="15" customHeight="1">
      <c r="CK2292" s="1159"/>
      <c r="EG2292" s="1159"/>
    </row>
    <row r="2293" ht="15" customHeight="1">
      <c r="CK2293" s="1159"/>
      <c r="EG2293" s="1159"/>
    </row>
    <row r="2294" ht="15" customHeight="1">
      <c r="CK2294" s="1159"/>
      <c r="EG2294" s="1159"/>
    </row>
    <row r="2295" ht="15" customHeight="1">
      <c r="CK2295" s="1159"/>
      <c r="EG2295" s="1159"/>
    </row>
    <row r="2296" ht="15" customHeight="1">
      <c r="CK2296" s="1159"/>
      <c r="EG2296" s="1159"/>
    </row>
    <row r="2297" ht="15" customHeight="1">
      <c r="CK2297" s="1159"/>
      <c r="EG2297" s="1159"/>
    </row>
    <row r="2298" ht="15" customHeight="1">
      <c r="CK2298" s="1159"/>
      <c r="EG2298" s="1159"/>
    </row>
    <row r="2299" ht="15" customHeight="1">
      <c r="CK2299" s="1159"/>
      <c r="EG2299" s="1159"/>
    </row>
    <row r="2300" ht="15" customHeight="1">
      <c r="CK2300" s="1159"/>
      <c r="EG2300" s="1159"/>
    </row>
    <row r="2301" ht="15" customHeight="1">
      <c r="CK2301" s="1159"/>
      <c r="EG2301" s="1159"/>
    </row>
    <row r="2302" ht="15" customHeight="1">
      <c r="CK2302" s="1159"/>
      <c r="EG2302" s="1159"/>
    </row>
    <row r="2303" ht="15" customHeight="1">
      <c r="CK2303" s="1159"/>
      <c r="EG2303" s="1159"/>
    </row>
    <row r="2304" ht="15" customHeight="1">
      <c r="CK2304" s="1159"/>
      <c r="EG2304" s="1159"/>
    </row>
    <row r="2305" ht="15" customHeight="1">
      <c r="CK2305" s="1159"/>
      <c r="EG2305" s="1159"/>
    </row>
    <row r="2306" ht="15" customHeight="1">
      <c r="CK2306" s="1159"/>
      <c r="EG2306" s="1159"/>
    </row>
    <row r="2307" ht="15" customHeight="1">
      <c r="CK2307" s="1159"/>
      <c r="EG2307" s="1159"/>
    </row>
    <row r="2308" ht="15" customHeight="1">
      <c r="CK2308" s="1159"/>
      <c r="EG2308" s="1159"/>
    </row>
    <row r="2309" ht="15" customHeight="1">
      <c r="CK2309" s="1159"/>
      <c r="EG2309" s="1159"/>
    </row>
    <row r="2310" ht="15" customHeight="1">
      <c r="CK2310" s="1159"/>
      <c r="EG2310" s="1159"/>
    </row>
    <row r="2311" ht="15" customHeight="1">
      <c r="CK2311" s="1159"/>
      <c r="EG2311" s="1159"/>
    </row>
    <row r="2312" ht="15" customHeight="1">
      <c r="CK2312" s="1159"/>
      <c r="EG2312" s="1159"/>
    </row>
    <row r="2313" ht="15" customHeight="1">
      <c r="CK2313" s="1159"/>
      <c r="EG2313" s="1159"/>
    </row>
    <row r="2314" ht="15" customHeight="1">
      <c r="CK2314" s="1159"/>
      <c r="EG2314" s="1159"/>
    </row>
    <row r="2315" ht="15" customHeight="1">
      <c r="CK2315" s="1159"/>
      <c r="EG2315" s="1159"/>
    </row>
    <row r="2316" ht="15" customHeight="1">
      <c r="CK2316" s="1159"/>
      <c r="EG2316" s="1159"/>
    </row>
    <row r="2317" ht="15" customHeight="1">
      <c r="CK2317" s="1159"/>
      <c r="EG2317" s="1159"/>
    </row>
    <row r="2318" ht="15" customHeight="1">
      <c r="CK2318" s="1159"/>
      <c r="EG2318" s="1159"/>
    </row>
    <row r="2319" ht="15" customHeight="1">
      <c r="CK2319" s="1159"/>
      <c r="EG2319" s="1159"/>
    </row>
    <row r="2320" ht="15" customHeight="1">
      <c r="CK2320" s="1159"/>
      <c r="EG2320" s="1159"/>
    </row>
    <row r="2321" ht="15" customHeight="1">
      <c r="CK2321" s="1159"/>
      <c r="EG2321" s="1159"/>
    </row>
    <row r="2322" ht="15" customHeight="1">
      <c r="CK2322" s="1159"/>
      <c r="EG2322" s="1159"/>
    </row>
    <row r="2323" ht="15" customHeight="1">
      <c r="CK2323" s="1159"/>
      <c r="EG2323" s="1159"/>
    </row>
    <row r="2324" ht="15" customHeight="1">
      <c r="CK2324" s="1159"/>
      <c r="EG2324" s="1159"/>
    </row>
    <row r="2325" ht="15" customHeight="1">
      <c r="CK2325" s="1159"/>
      <c r="EG2325" s="1159"/>
    </row>
    <row r="2326" ht="15" customHeight="1">
      <c r="CK2326" s="1159"/>
      <c r="EG2326" s="1159"/>
    </row>
    <row r="2327" ht="15" customHeight="1">
      <c r="CK2327" s="1159"/>
      <c r="EG2327" s="1159"/>
    </row>
    <row r="2328" ht="15" customHeight="1">
      <c r="CK2328" s="1159"/>
      <c r="EG2328" s="1159"/>
    </row>
    <row r="2329" ht="15" customHeight="1">
      <c r="CK2329" s="1159"/>
      <c r="EG2329" s="1159"/>
    </row>
    <row r="2330" ht="15" customHeight="1">
      <c r="CK2330" s="1159"/>
      <c r="EG2330" s="1159"/>
    </row>
    <row r="2331" ht="15" customHeight="1">
      <c r="CK2331" s="1159"/>
      <c r="EG2331" s="1159"/>
    </row>
    <row r="2332" ht="15" customHeight="1">
      <c r="CK2332" s="1159"/>
      <c r="EG2332" s="1159"/>
    </row>
    <row r="2333" ht="15" customHeight="1">
      <c r="CK2333" s="1159"/>
      <c r="EG2333" s="1159"/>
    </row>
    <row r="2334" ht="15" customHeight="1">
      <c r="CK2334" s="1159"/>
      <c r="EG2334" s="1159"/>
    </row>
    <row r="2335" ht="15" customHeight="1">
      <c r="CK2335" s="1159"/>
      <c r="EG2335" s="1159"/>
    </row>
    <row r="2336" ht="15" customHeight="1">
      <c r="CK2336" s="1159"/>
      <c r="EG2336" s="1159"/>
    </row>
    <row r="2337" ht="15" customHeight="1">
      <c r="CK2337" s="1159"/>
      <c r="EG2337" s="1159"/>
    </row>
    <row r="2338" ht="15" customHeight="1">
      <c r="CK2338" s="1159"/>
      <c r="EG2338" s="1159"/>
    </row>
    <row r="2339" ht="15" customHeight="1">
      <c r="CK2339" s="1159"/>
      <c r="EG2339" s="1159"/>
    </row>
    <row r="2340" ht="15" customHeight="1">
      <c r="CK2340" s="1159"/>
      <c r="EG2340" s="1159"/>
    </row>
    <row r="2341" ht="15" customHeight="1">
      <c r="CK2341" s="1159"/>
      <c r="EG2341" s="1159"/>
    </row>
    <row r="2342" ht="15" customHeight="1">
      <c r="CK2342" s="1159"/>
      <c r="EG2342" s="1159"/>
    </row>
    <row r="2343" ht="15" customHeight="1">
      <c r="CK2343" s="1159"/>
      <c r="EG2343" s="1159"/>
    </row>
    <row r="2344" ht="15" customHeight="1">
      <c r="CK2344" s="1159"/>
      <c r="EG2344" s="1159"/>
    </row>
    <row r="2345" ht="15" customHeight="1">
      <c r="CK2345" s="1159"/>
      <c r="EG2345" s="1159"/>
    </row>
    <row r="2346" ht="15" customHeight="1">
      <c r="CK2346" s="1159"/>
      <c r="EG2346" s="1159"/>
    </row>
    <row r="2347" ht="15" customHeight="1">
      <c r="CK2347" s="1159"/>
      <c r="EG2347" s="1159"/>
    </row>
    <row r="2348" ht="15" customHeight="1">
      <c r="CK2348" s="1159"/>
      <c r="EG2348" s="1159"/>
    </row>
    <row r="2349" ht="15" customHeight="1">
      <c r="CK2349" s="1159"/>
      <c r="EG2349" s="1159"/>
    </row>
    <row r="2350" ht="15" customHeight="1">
      <c r="CK2350" s="1159"/>
      <c r="EG2350" s="1159"/>
    </row>
    <row r="2351" ht="15" customHeight="1">
      <c r="CK2351" s="1159"/>
      <c r="EG2351" s="1159"/>
    </row>
    <row r="2352" ht="15" customHeight="1">
      <c r="CK2352" s="1159"/>
      <c r="EG2352" s="1159"/>
    </row>
    <row r="2353" ht="15" customHeight="1">
      <c r="CK2353" s="1159"/>
      <c r="EG2353" s="1159"/>
    </row>
    <row r="2354" ht="15" customHeight="1">
      <c r="CK2354" s="1159"/>
      <c r="EG2354" s="1159"/>
    </row>
    <row r="2355" ht="15" customHeight="1">
      <c r="CK2355" s="1159"/>
      <c r="EG2355" s="1159"/>
    </row>
    <row r="2356" ht="15" customHeight="1">
      <c r="CK2356" s="1159"/>
      <c r="EG2356" s="1159"/>
    </row>
    <row r="2357" ht="15" customHeight="1">
      <c r="CK2357" s="1159"/>
      <c r="EG2357" s="1159"/>
    </row>
    <row r="2358" ht="15" customHeight="1">
      <c r="CK2358" s="1159"/>
      <c r="EG2358" s="1159"/>
    </row>
    <row r="2359" ht="15" customHeight="1">
      <c r="CK2359" s="1159"/>
      <c r="EG2359" s="1159"/>
    </row>
    <row r="2360" ht="15" customHeight="1">
      <c r="CK2360" s="1159"/>
      <c r="EG2360" s="1159"/>
    </row>
    <row r="2361" ht="15" customHeight="1">
      <c r="CK2361" s="1159"/>
      <c r="EG2361" s="1159"/>
    </row>
    <row r="2362" ht="15" customHeight="1">
      <c r="CK2362" s="1159"/>
      <c r="EG2362" s="1159"/>
    </row>
    <row r="2363" ht="15" customHeight="1">
      <c r="CK2363" s="1159"/>
      <c r="EG2363" s="1159"/>
    </row>
    <row r="2364" ht="15" customHeight="1">
      <c r="CK2364" s="1159"/>
      <c r="EG2364" s="1159"/>
    </row>
    <row r="2365" ht="15" customHeight="1">
      <c r="CK2365" s="1159"/>
      <c r="EG2365" s="1159"/>
    </row>
    <row r="2366" ht="15" customHeight="1">
      <c r="CK2366" s="1159"/>
      <c r="EG2366" s="1159"/>
    </row>
    <row r="2367" ht="15" customHeight="1">
      <c r="CK2367" s="1159"/>
      <c r="EG2367" s="1159"/>
    </row>
    <row r="2368" ht="15" customHeight="1">
      <c r="CK2368" s="1159"/>
      <c r="EG2368" s="1159"/>
    </row>
    <row r="2369" ht="15" customHeight="1">
      <c r="CK2369" s="1159"/>
      <c r="EG2369" s="1159"/>
    </row>
    <row r="2370" ht="15" customHeight="1">
      <c r="CK2370" s="1159"/>
      <c r="EG2370" s="1159"/>
    </row>
    <row r="2371" ht="15" customHeight="1">
      <c r="CK2371" s="1159"/>
      <c r="EG2371" s="1159"/>
    </row>
    <row r="2372" ht="15" customHeight="1">
      <c r="CK2372" s="1159"/>
      <c r="EG2372" s="1159"/>
    </row>
    <row r="2373" ht="15" customHeight="1">
      <c r="CK2373" s="1159"/>
      <c r="EG2373" s="1159"/>
    </row>
    <row r="2374" ht="15" customHeight="1">
      <c r="CK2374" s="1159"/>
      <c r="EG2374" s="1159"/>
    </row>
    <row r="2375" ht="15" customHeight="1">
      <c r="CK2375" s="1159"/>
      <c r="EG2375" s="1159"/>
    </row>
    <row r="2376" ht="15" customHeight="1">
      <c r="CK2376" s="1159"/>
      <c r="EG2376" s="1159"/>
    </row>
    <row r="2377" ht="15" customHeight="1">
      <c r="CK2377" s="1159"/>
      <c r="EG2377" s="1159"/>
    </row>
    <row r="2378" ht="15" customHeight="1">
      <c r="CK2378" s="1159"/>
      <c r="EG2378" s="1159"/>
    </row>
    <row r="2379" ht="15" customHeight="1">
      <c r="CK2379" s="1159"/>
      <c r="EG2379" s="1159"/>
    </row>
    <row r="2380" ht="15" customHeight="1">
      <c r="CK2380" s="1159"/>
      <c r="EG2380" s="1159"/>
    </row>
    <row r="2381" ht="15" customHeight="1">
      <c r="CK2381" s="1159"/>
      <c r="EG2381" s="1159"/>
    </row>
    <row r="2382" ht="15" customHeight="1">
      <c r="CK2382" s="1159"/>
      <c r="EG2382" s="1159"/>
    </row>
    <row r="2383" ht="15" customHeight="1">
      <c r="CK2383" s="1159"/>
      <c r="EG2383" s="1159"/>
    </row>
    <row r="2384" ht="15" customHeight="1">
      <c r="CK2384" s="1159"/>
      <c r="EG2384" s="1159"/>
    </row>
    <row r="2385" ht="15" customHeight="1">
      <c r="CK2385" s="1159"/>
      <c r="EG2385" s="1159"/>
    </row>
    <row r="2386" ht="15" customHeight="1">
      <c r="CK2386" s="1159"/>
      <c r="EG2386" s="1159"/>
    </row>
    <row r="2387" ht="15" customHeight="1">
      <c r="CK2387" s="1159"/>
      <c r="EG2387" s="1159"/>
    </row>
    <row r="2388" ht="15" customHeight="1">
      <c r="CK2388" s="1159"/>
      <c r="EG2388" s="1159"/>
    </row>
    <row r="2389" ht="15" customHeight="1">
      <c r="CK2389" s="1159"/>
      <c r="EG2389" s="1159"/>
    </row>
    <row r="2390" ht="15" customHeight="1">
      <c r="CK2390" s="1159"/>
      <c r="EG2390" s="1159"/>
    </row>
    <row r="2391" ht="15" customHeight="1">
      <c r="CK2391" s="1159"/>
      <c r="EG2391" s="1159"/>
    </row>
    <row r="2392" ht="15" customHeight="1">
      <c r="CK2392" s="1159"/>
      <c r="EG2392" s="1159"/>
    </row>
    <row r="2393" ht="15" customHeight="1">
      <c r="CK2393" s="1159"/>
      <c r="EG2393" s="1159"/>
    </row>
    <row r="2394" ht="15" customHeight="1">
      <c r="CK2394" s="1159"/>
      <c r="EG2394" s="1159"/>
    </row>
    <row r="2395" ht="15" customHeight="1">
      <c r="CK2395" s="1159"/>
      <c r="EG2395" s="1159"/>
    </row>
    <row r="2396" ht="15" customHeight="1">
      <c r="CK2396" s="1159"/>
      <c r="EG2396" s="1159"/>
    </row>
    <row r="2397" ht="15" customHeight="1">
      <c r="CK2397" s="1159"/>
      <c r="EG2397" s="1159"/>
    </row>
    <row r="2398" ht="15" customHeight="1">
      <c r="CK2398" s="1159"/>
      <c r="EG2398" s="1159"/>
    </row>
    <row r="2399" ht="15" customHeight="1">
      <c r="CK2399" s="1159"/>
      <c r="EG2399" s="1159"/>
    </row>
    <row r="2400" ht="15" customHeight="1">
      <c r="CK2400" s="1159"/>
      <c r="EG2400" s="1159"/>
    </row>
    <row r="2401" ht="15" customHeight="1">
      <c r="CK2401" s="1159"/>
      <c r="EG2401" s="1159"/>
    </row>
    <row r="2402" ht="15" customHeight="1">
      <c r="CK2402" s="1159"/>
      <c r="EG2402" s="1159"/>
    </row>
    <row r="2403" ht="15" customHeight="1">
      <c r="CK2403" s="1159"/>
      <c r="EG2403" s="1159"/>
    </row>
    <row r="2404" ht="15" customHeight="1">
      <c r="CK2404" s="1159"/>
      <c r="EG2404" s="1159"/>
    </row>
    <row r="2405" ht="15" customHeight="1">
      <c r="CK2405" s="1159"/>
      <c r="EG2405" s="1159"/>
    </row>
    <row r="2406" ht="15" customHeight="1">
      <c r="CK2406" s="1159"/>
      <c r="EG2406" s="1159"/>
    </row>
    <row r="2407" ht="15" customHeight="1">
      <c r="CK2407" s="1159"/>
      <c r="EG2407" s="1159"/>
    </row>
    <row r="2408" ht="15" customHeight="1">
      <c r="CK2408" s="1159"/>
      <c r="EG2408" s="1159"/>
    </row>
    <row r="2409" ht="15" customHeight="1">
      <c r="CK2409" s="1159"/>
      <c r="EG2409" s="1159"/>
    </row>
    <row r="2410" ht="15" customHeight="1">
      <c r="CK2410" s="1159"/>
      <c r="EG2410" s="1159"/>
    </row>
    <row r="2411" ht="15" customHeight="1">
      <c r="CK2411" s="1159"/>
      <c r="EG2411" s="1159"/>
    </row>
    <row r="2412" ht="15" customHeight="1">
      <c r="CK2412" s="1159"/>
      <c r="EG2412" s="1159"/>
    </row>
    <row r="2413" ht="15" customHeight="1">
      <c r="CK2413" s="1159"/>
      <c r="EG2413" s="1159"/>
    </row>
    <row r="2414" ht="15" customHeight="1">
      <c r="CK2414" s="1159"/>
      <c r="EG2414" s="1159"/>
    </row>
    <row r="2415" ht="15" customHeight="1">
      <c r="CK2415" s="1159"/>
      <c r="EG2415" s="1159"/>
    </row>
    <row r="2416" ht="15" customHeight="1">
      <c r="CK2416" s="1159"/>
      <c r="EG2416" s="1159"/>
    </row>
    <row r="2417" ht="15" customHeight="1">
      <c r="CK2417" s="1159"/>
      <c r="EG2417" s="1159"/>
    </row>
    <row r="2418" ht="15" customHeight="1">
      <c r="CK2418" s="1159"/>
      <c r="EG2418" s="1159"/>
    </row>
    <row r="2419" ht="15" customHeight="1">
      <c r="CK2419" s="1159"/>
      <c r="EG2419" s="1159"/>
    </row>
    <row r="2420" ht="15" customHeight="1">
      <c r="CK2420" s="1159"/>
      <c r="EG2420" s="1159"/>
    </row>
    <row r="2421" ht="15" customHeight="1">
      <c r="CK2421" s="1159"/>
      <c r="EG2421" s="1159"/>
    </row>
    <row r="2422" ht="15" customHeight="1">
      <c r="CK2422" s="1159"/>
      <c r="EG2422" s="1159"/>
    </row>
    <row r="2423" ht="15" customHeight="1">
      <c r="CK2423" s="1159"/>
      <c r="EG2423" s="1159"/>
    </row>
    <row r="2424" ht="15" customHeight="1">
      <c r="CK2424" s="1159"/>
      <c r="EG2424" s="1159"/>
    </row>
    <row r="2425" ht="15" customHeight="1">
      <c r="CK2425" s="1159"/>
      <c r="EG2425" s="1159"/>
    </row>
    <row r="2426" ht="15" customHeight="1">
      <c r="CK2426" s="1159"/>
      <c r="EG2426" s="1159"/>
    </row>
    <row r="2427" ht="15" customHeight="1">
      <c r="CK2427" s="1159"/>
      <c r="EG2427" s="1159"/>
    </row>
    <row r="2428" ht="15" customHeight="1">
      <c r="CK2428" s="1159"/>
      <c r="EG2428" s="1159"/>
    </row>
    <row r="2429" ht="15" customHeight="1">
      <c r="CK2429" s="1159"/>
      <c r="EG2429" s="1159"/>
    </row>
    <row r="2430" ht="15" customHeight="1">
      <c r="CK2430" s="1159"/>
      <c r="EG2430" s="1159"/>
    </row>
    <row r="2431" ht="15" customHeight="1">
      <c r="CK2431" s="1159"/>
      <c r="EG2431" s="1159"/>
    </row>
    <row r="2432" ht="15" customHeight="1">
      <c r="CK2432" s="1159"/>
      <c r="EG2432" s="1159"/>
    </row>
    <row r="2433" ht="15" customHeight="1">
      <c r="CK2433" s="1159"/>
      <c r="EG2433" s="1159"/>
    </row>
    <row r="2434" ht="15" customHeight="1">
      <c r="CK2434" s="1159"/>
      <c r="EG2434" s="1159"/>
    </row>
    <row r="2435" ht="15" customHeight="1">
      <c r="CK2435" s="1159"/>
      <c r="EG2435" s="1159"/>
    </row>
    <row r="2436" ht="15" customHeight="1">
      <c r="CK2436" s="1159"/>
      <c r="EG2436" s="1159"/>
    </row>
    <row r="2437" ht="15" customHeight="1">
      <c r="CK2437" s="1159"/>
      <c r="EG2437" s="1159"/>
    </row>
    <row r="2438" ht="15" customHeight="1">
      <c r="CK2438" s="1159"/>
      <c r="EG2438" s="1159"/>
    </row>
    <row r="2439" ht="15" customHeight="1">
      <c r="CK2439" s="1159"/>
      <c r="EG2439" s="1159"/>
    </row>
    <row r="2440" ht="15" customHeight="1">
      <c r="CK2440" s="1159"/>
      <c r="EG2440" s="1159"/>
    </row>
    <row r="2441" ht="15" customHeight="1">
      <c r="CK2441" s="1159"/>
      <c r="EG2441" s="1159"/>
    </row>
    <row r="2442" ht="15" customHeight="1">
      <c r="CK2442" s="1159"/>
      <c r="EG2442" s="1159"/>
    </row>
    <row r="2443" ht="15" customHeight="1">
      <c r="CK2443" s="1159"/>
      <c r="EG2443" s="1159"/>
    </row>
    <row r="2444" ht="15" customHeight="1">
      <c r="CK2444" s="1159"/>
      <c r="EG2444" s="1159"/>
    </row>
    <row r="2445" ht="15" customHeight="1">
      <c r="CK2445" s="1159"/>
      <c r="EG2445" s="1159"/>
    </row>
    <row r="2446" ht="15" customHeight="1">
      <c r="CK2446" s="1159"/>
      <c r="EG2446" s="1159"/>
    </row>
    <row r="2447" ht="15" customHeight="1">
      <c r="CK2447" s="1159"/>
      <c r="EG2447" s="1159"/>
    </row>
    <row r="2448" ht="15" customHeight="1">
      <c r="CK2448" s="1159"/>
      <c r="EG2448" s="1159"/>
    </row>
    <row r="2449" ht="15" customHeight="1">
      <c r="CK2449" s="1159"/>
      <c r="EG2449" s="1159"/>
    </row>
    <row r="2450" ht="15" customHeight="1">
      <c r="CK2450" s="1159"/>
      <c r="EG2450" s="1159"/>
    </row>
    <row r="2451" ht="15" customHeight="1">
      <c r="CK2451" s="1159"/>
      <c r="EG2451" s="1159"/>
    </row>
    <row r="2452" ht="15" customHeight="1">
      <c r="CK2452" s="1159"/>
      <c r="EG2452" s="1159"/>
    </row>
    <row r="2453" ht="15" customHeight="1">
      <c r="CK2453" s="1159"/>
      <c r="EG2453" s="1159"/>
    </row>
    <row r="2454" ht="15" customHeight="1">
      <c r="CK2454" s="1159"/>
      <c r="EG2454" s="1159"/>
    </row>
    <row r="2455" ht="15" customHeight="1">
      <c r="CK2455" s="1159"/>
      <c r="EG2455" s="1159"/>
    </row>
    <row r="2456" ht="15" customHeight="1">
      <c r="CK2456" s="1159"/>
      <c r="EG2456" s="1159"/>
    </row>
    <row r="2457" ht="15" customHeight="1">
      <c r="CK2457" s="1159"/>
      <c r="EG2457" s="1159"/>
    </row>
    <row r="2458" ht="15" customHeight="1">
      <c r="CK2458" s="1159"/>
      <c r="EG2458" s="1159"/>
    </row>
    <row r="2459" ht="15" customHeight="1">
      <c r="CK2459" s="1159"/>
      <c r="EG2459" s="1159"/>
    </row>
    <row r="2460" ht="15" customHeight="1">
      <c r="CK2460" s="1159"/>
      <c r="EG2460" s="1159"/>
    </row>
    <row r="2461" ht="15" customHeight="1">
      <c r="CK2461" s="1159"/>
      <c r="EG2461" s="1159"/>
    </row>
    <row r="2462" ht="15" customHeight="1">
      <c r="CK2462" s="1159"/>
      <c r="EG2462" s="1159"/>
    </row>
    <row r="2463" ht="15" customHeight="1">
      <c r="CK2463" s="1159"/>
      <c r="EG2463" s="1159"/>
    </row>
    <row r="2464" ht="15" customHeight="1">
      <c r="CK2464" s="1159"/>
      <c r="EG2464" s="1159"/>
    </row>
    <row r="2465" ht="15" customHeight="1">
      <c r="CK2465" s="1159"/>
      <c r="EG2465" s="1159"/>
    </row>
    <row r="2466" ht="15" customHeight="1">
      <c r="CK2466" s="1159"/>
      <c r="EG2466" s="1159"/>
    </row>
    <row r="2467" ht="15" customHeight="1">
      <c r="CK2467" s="1159"/>
      <c r="EG2467" s="1159"/>
    </row>
    <row r="2468" ht="15" customHeight="1">
      <c r="CK2468" s="1159"/>
      <c r="EG2468" s="1159"/>
    </row>
    <row r="2469" ht="15" customHeight="1">
      <c r="CK2469" s="1159"/>
      <c r="EG2469" s="1159"/>
    </row>
    <row r="2470" ht="15" customHeight="1">
      <c r="CK2470" s="1159"/>
      <c r="EG2470" s="1159"/>
    </row>
    <row r="2471" ht="15" customHeight="1">
      <c r="CK2471" s="1159"/>
      <c r="EG2471" s="1159"/>
    </row>
    <row r="2472" ht="15" customHeight="1">
      <c r="CK2472" s="1159"/>
      <c r="EG2472" s="1159"/>
    </row>
    <row r="2473" ht="15" customHeight="1">
      <c r="CK2473" s="1159"/>
      <c r="EG2473" s="1159"/>
    </row>
    <row r="2474" ht="15" customHeight="1">
      <c r="CK2474" s="1159"/>
      <c r="EG2474" s="1159"/>
    </row>
    <row r="2475" ht="15" customHeight="1">
      <c r="CK2475" s="1159"/>
      <c r="EG2475" s="1159"/>
    </row>
    <row r="2476" ht="15" customHeight="1">
      <c r="CK2476" s="1159"/>
      <c r="EG2476" s="1159"/>
    </row>
    <row r="2477" ht="15" customHeight="1">
      <c r="CK2477" s="1159"/>
      <c r="EG2477" s="1159"/>
    </row>
    <row r="2478" ht="15" customHeight="1">
      <c r="CK2478" s="1159"/>
      <c r="EG2478" s="1159"/>
    </row>
    <row r="2479" ht="15" customHeight="1">
      <c r="CK2479" s="1159"/>
      <c r="EG2479" s="1159"/>
    </row>
    <row r="2480" ht="15" customHeight="1">
      <c r="CK2480" s="1159"/>
      <c r="EG2480" s="1159"/>
    </row>
    <row r="2481" ht="15" customHeight="1">
      <c r="CK2481" s="1159"/>
      <c r="EG2481" s="1159"/>
    </row>
    <row r="2482" ht="15" customHeight="1">
      <c r="CK2482" s="1159"/>
      <c r="EG2482" s="1159"/>
    </row>
    <row r="2483" ht="15" customHeight="1">
      <c r="CK2483" s="1159"/>
      <c r="EG2483" s="1159"/>
    </row>
    <row r="2484" ht="15" customHeight="1">
      <c r="CK2484" s="1159"/>
      <c r="EG2484" s="1159"/>
    </row>
    <row r="2485" ht="15" customHeight="1">
      <c r="CK2485" s="1159"/>
      <c r="EG2485" s="1159"/>
    </row>
    <row r="2486" ht="15" customHeight="1">
      <c r="CK2486" s="1159"/>
      <c r="EG2486" s="1159"/>
    </row>
    <row r="2487" ht="15" customHeight="1">
      <c r="CK2487" s="1159"/>
      <c r="EG2487" s="1159"/>
    </row>
    <row r="2488" ht="15" customHeight="1">
      <c r="CK2488" s="1159"/>
      <c r="EG2488" s="1159"/>
    </row>
    <row r="2489" ht="15" customHeight="1">
      <c r="CK2489" s="1159"/>
      <c r="EG2489" s="1159"/>
    </row>
    <row r="2490" ht="15" customHeight="1">
      <c r="CK2490" s="1159"/>
      <c r="EG2490" s="1159"/>
    </row>
    <row r="2491" ht="15" customHeight="1">
      <c r="CK2491" s="1159"/>
      <c r="EG2491" s="1159"/>
    </row>
    <row r="2492" ht="15" customHeight="1">
      <c r="CK2492" s="1159"/>
      <c r="EG2492" s="1159"/>
    </row>
    <row r="2493" ht="15" customHeight="1">
      <c r="CK2493" s="1159"/>
      <c r="EG2493" s="1159"/>
    </row>
    <row r="2494" ht="15" customHeight="1">
      <c r="CK2494" s="1159"/>
      <c r="EG2494" s="1159"/>
    </row>
    <row r="2495" ht="15" customHeight="1">
      <c r="CK2495" s="1159"/>
      <c r="EG2495" s="1159"/>
    </row>
    <row r="2496" ht="15" customHeight="1">
      <c r="CK2496" s="1159"/>
      <c r="EG2496" s="1159"/>
    </row>
    <row r="2497" ht="15" customHeight="1">
      <c r="CK2497" s="1159"/>
      <c r="EG2497" s="1159"/>
    </row>
    <row r="2498" ht="15" customHeight="1">
      <c r="CK2498" s="1159"/>
      <c r="EG2498" s="1159"/>
    </row>
    <row r="2499" ht="15" customHeight="1">
      <c r="CK2499" s="1159"/>
      <c r="EG2499" s="1159"/>
    </row>
    <row r="2500" ht="15" customHeight="1">
      <c r="CK2500" s="1159"/>
      <c r="EG2500" s="1159"/>
    </row>
    <row r="2501" ht="15" customHeight="1">
      <c r="CK2501" s="1159"/>
      <c r="EG2501" s="1159"/>
    </row>
    <row r="2502" ht="15" customHeight="1">
      <c r="CK2502" s="1159"/>
      <c r="EG2502" s="1159"/>
    </row>
    <row r="2503" ht="15" customHeight="1">
      <c r="CK2503" s="1159"/>
      <c r="EG2503" s="1159"/>
    </row>
    <row r="2504" ht="15" customHeight="1">
      <c r="CK2504" s="1159"/>
      <c r="EG2504" s="1159"/>
    </row>
    <row r="2505" ht="15" customHeight="1">
      <c r="CK2505" s="1159"/>
      <c r="EG2505" s="1159"/>
    </row>
    <row r="2506" ht="15" customHeight="1">
      <c r="CK2506" s="1159"/>
      <c r="EG2506" s="1159"/>
    </row>
    <row r="2507" ht="15" customHeight="1">
      <c r="CK2507" s="1159"/>
      <c r="EG2507" s="1159"/>
    </row>
    <row r="2508" ht="15" customHeight="1">
      <c r="CK2508" s="1159"/>
      <c r="EG2508" s="1159"/>
    </row>
    <row r="2509" ht="15" customHeight="1">
      <c r="CK2509" s="1159"/>
      <c r="EG2509" s="1159"/>
    </row>
    <row r="2510" ht="15" customHeight="1">
      <c r="CK2510" s="1159"/>
      <c r="EG2510" s="1159"/>
    </row>
    <row r="2511" ht="15" customHeight="1">
      <c r="CK2511" s="1159"/>
      <c r="EG2511" s="1159"/>
    </row>
    <row r="2512" ht="15" customHeight="1">
      <c r="CK2512" s="1159"/>
      <c r="EG2512" s="1159"/>
    </row>
    <row r="2513" ht="15" customHeight="1">
      <c r="CK2513" s="1159"/>
      <c r="EG2513" s="1159"/>
    </row>
    <row r="2514" ht="15" customHeight="1">
      <c r="CK2514" s="1159"/>
      <c r="EG2514" s="1159"/>
    </row>
    <row r="2515" ht="15" customHeight="1">
      <c r="CK2515" s="1159"/>
      <c r="EG2515" s="1159"/>
    </row>
    <row r="2516" ht="15" customHeight="1">
      <c r="CK2516" s="1159"/>
      <c r="EG2516" s="1159"/>
    </row>
    <row r="2517" ht="15" customHeight="1">
      <c r="CK2517" s="1159"/>
      <c r="EG2517" s="1159"/>
    </row>
    <row r="2518" ht="15" customHeight="1">
      <c r="CK2518" s="1159"/>
      <c r="EG2518" s="1159"/>
    </row>
    <row r="2519" ht="15" customHeight="1">
      <c r="CK2519" s="1159"/>
      <c r="EG2519" s="1159"/>
    </row>
    <row r="2520" ht="15" customHeight="1">
      <c r="CK2520" s="1159"/>
      <c r="EG2520" s="1159"/>
    </row>
    <row r="2521" ht="15" customHeight="1">
      <c r="CK2521" s="1159"/>
      <c r="EG2521" s="1159"/>
    </row>
    <row r="2522" ht="15" customHeight="1">
      <c r="CK2522" s="1159"/>
      <c r="EG2522" s="1159"/>
    </row>
    <row r="2523" ht="15" customHeight="1">
      <c r="CK2523" s="1159"/>
      <c r="EG2523" s="1159"/>
    </row>
    <row r="2524" ht="15" customHeight="1">
      <c r="CK2524" s="1159"/>
      <c r="EG2524" s="1159"/>
    </row>
    <row r="2525" ht="15" customHeight="1">
      <c r="CK2525" s="1159"/>
      <c r="EG2525" s="1159"/>
    </row>
    <row r="2526" ht="15" customHeight="1">
      <c r="CK2526" s="1159"/>
      <c r="EG2526" s="1159"/>
    </row>
    <row r="2527" ht="15" customHeight="1">
      <c r="CK2527" s="1159"/>
      <c r="EG2527" s="1159"/>
    </row>
    <row r="2528" ht="15" customHeight="1">
      <c r="CK2528" s="1159"/>
      <c r="EG2528" s="1159"/>
    </row>
    <row r="2529" ht="15" customHeight="1">
      <c r="CK2529" s="1159"/>
      <c r="EG2529" s="1159"/>
    </row>
    <row r="2530" ht="15" customHeight="1">
      <c r="CK2530" s="1159"/>
      <c r="EG2530" s="1159"/>
    </row>
    <row r="2531" ht="15" customHeight="1">
      <c r="CK2531" s="1159"/>
      <c r="EG2531" s="1159"/>
    </row>
    <row r="2532" ht="15" customHeight="1">
      <c r="CK2532" s="1159"/>
      <c r="EG2532" s="1159"/>
    </row>
    <row r="2533" ht="15" customHeight="1">
      <c r="CK2533" s="1159"/>
      <c r="EG2533" s="1159"/>
    </row>
    <row r="2534" ht="15" customHeight="1">
      <c r="CK2534" s="1159"/>
      <c r="EG2534" s="1159"/>
    </row>
    <row r="2535" ht="15" customHeight="1">
      <c r="CK2535" s="1159"/>
      <c r="EG2535" s="1159"/>
    </row>
    <row r="2536" ht="15" customHeight="1">
      <c r="CK2536" s="1159"/>
      <c r="EG2536" s="1159"/>
    </row>
    <row r="2537" ht="15" customHeight="1">
      <c r="CK2537" s="1159"/>
      <c r="EG2537" s="1159"/>
    </row>
    <row r="2538" ht="15" customHeight="1">
      <c r="CK2538" s="1159"/>
      <c r="EG2538" s="1159"/>
    </row>
    <row r="2539" ht="15" customHeight="1">
      <c r="CK2539" s="1159"/>
      <c r="EG2539" s="1159"/>
    </row>
    <row r="2540" ht="15" customHeight="1">
      <c r="CK2540" s="1159"/>
      <c r="EG2540" s="1159"/>
    </row>
    <row r="2541" ht="15" customHeight="1">
      <c r="CK2541" s="1159"/>
      <c r="EG2541" s="1159"/>
    </row>
    <row r="2542" ht="15" customHeight="1">
      <c r="CK2542" s="1159"/>
      <c r="EG2542" s="1159"/>
    </row>
    <row r="2543" ht="15" customHeight="1">
      <c r="CK2543" s="1159"/>
      <c r="EG2543" s="1159"/>
    </row>
    <row r="2544" ht="15" customHeight="1">
      <c r="CK2544" s="1159"/>
      <c r="EG2544" s="1159"/>
    </row>
    <row r="2545" ht="15" customHeight="1">
      <c r="CK2545" s="1159"/>
      <c r="EG2545" s="1159"/>
    </row>
    <row r="2546" ht="15" customHeight="1">
      <c r="CK2546" s="1159"/>
      <c r="EG2546" s="1159"/>
    </row>
    <row r="2547" ht="15" customHeight="1">
      <c r="CK2547" s="1159"/>
      <c r="EG2547" s="1159"/>
    </row>
    <row r="2548" ht="15" customHeight="1">
      <c r="CK2548" s="1159"/>
      <c r="EG2548" s="1159"/>
    </row>
    <row r="2549" ht="15" customHeight="1">
      <c r="CK2549" s="1159"/>
      <c r="EG2549" s="1159"/>
    </row>
    <row r="2550" ht="15" customHeight="1">
      <c r="CK2550" s="1159"/>
      <c r="EG2550" s="1159"/>
    </row>
    <row r="2551" ht="15" customHeight="1">
      <c r="CK2551" s="1159"/>
      <c r="EG2551" s="1159"/>
    </row>
    <row r="2552" ht="15" customHeight="1">
      <c r="CK2552" s="1159"/>
      <c r="EG2552" s="1159"/>
    </row>
    <row r="2553" ht="15" customHeight="1">
      <c r="CK2553" s="1159"/>
      <c r="EG2553" s="1159"/>
    </row>
    <row r="2554" ht="15" customHeight="1">
      <c r="CK2554" s="1159"/>
      <c r="EG2554" s="1159"/>
    </row>
    <row r="2555" ht="15" customHeight="1">
      <c r="CK2555" s="1159"/>
      <c r="EG2555" s="1159"/>
    </row>
    <row r="2556" ht="15" customHeight="1">
      <c r="CK2556" s="1159"/>
      <c r="EG2556" s="1159"/>
    </row>
    <row r="2557" ht="15" customHeight="1">
      <c r="CK2557" s="1159"/>
      <c r="EG2557" s="1159"/>
    </row>
    <row r="2558" ht="15" customHeight="1">
      <c r="CK2558" s="1159"/>
      <c r="EG2558" s="1159"/>
    </row>
    <row r="2559" ht="15" customHeight="1">
      <c r="CK2559" s="1159"/>
      <c r="EG2559" s="1159"/>
    </row>
    <row r="2560" ht="15" customHeight="1">
      <c r="CK2560" s="1159"/>
      <c r="EG2560" s="1159"/>
    </row>
    <row r="2561" ht="15" customHeight="1">
      <c r="CK2561" s="1159"/>
      <c r="EG2561" s="1159"/>
    </row>
    <row r="2562" ht="15" customHeight="1">
      <c r="CK2562" s="1159"/>
      <c r="EG2562" s="1159"/>
    </row>
    <row r="2563" ht="15" customHeight="1">
      <c r="CK2563" s="1159"/>
      <c r="EG2563" s="1159"/>
    </row>
    <row r="2564" ht="15" customHeight="1">
      <c r="CK2564" s="1159"/>
      <c r="EG2564" s="1159"/>
    </row>
    <row r="2565" ht="15" customHeight="1">
      <c r="CK2565" s="1159"/>
      <c r="EG2565" s="1159"/>
    </row>
    <row r="2566" ht="15" customHeight="1">
      <c r="CK2566" s="1159"/>
      <c r="EG2566" s="1159"/>
    </row>
    <row r="2567" ht="15" customHeight="1">
      <c r="CK2567" s="1159"/>
      <c r="EG2567" s="1159"/>
    </row>
    <row r="2568" ht="15" customHeight="1">
      <c r="CK2568" s="1159"/>
      <c r="EG2568" s="1159"/>
    </row>
    <row r="2569" ht="15" customHeight="1">
      <c r="CK2569" s="1159"/>
      <c r="EG2569" s="1159"/>
    </row>
    <row r="2570" ht="15" customHeight="1">
      <c r="CK2570" s="1159"/>
      <c r="EG2570" s="1159"/>
    </row>
    <row r="2571" ht="15" customHeight="1">
      <c r="CK2571" s="1159"/>
      <c r="EG2571" s="1159"/>
    </row>
    <row r="2572" ht="15" customHeight="1">
      <c r="CK2572" s="1159"/>
      <c r="EG2572" s="1159"/>
    </row>
    <row r="2573" ht="15" customHeight="1">
      <c r="CK2573" s="1159"/>
      <c r="EG2573" s="1159"/>
    </row>
    <row r="2574" ht="15" customHeight="1">
      <c r="CK2574" s="1159"/>
      <c r="EG2574" s="1159"/>
    </row>
    <row r="2575" ht="15" customHeight="1">
      <c r="CK2575" s="1159"/>
      <c r="EG2575" s="1159"/>
    </row>
    <row r="2576" ht="15" customHeight="1">
      <c r="CK2576" s="1159"/>
      <c r="EG2576" s="1159"/>
    </row>
    <row r="2577" ht="15" customHeight="1">
      <c r="CK2577" s="1159"/>
      <c r="EG2577" s="1159"/>
    </row>
    <row r="2578" ht="15" customHeight="1">
      <c r="CK2578" s="1159"/>
      <c r="EG2578" s="1159"/>
    </row>
    <row r="2579" ht="15" customHeight="1">
      <c r="CK2579" s="1159"/>
      <c r="EG2579" s="1159"/>
    </row>
    <row r="2580" ht="15" customHeight="1">
      <c r="CK2580" s="1159"/>
      <c r="EG2580" s="1159"/>
    </row>
    <row r="2581" ht="15" customHeight="1">
      <c r="CK2581" s="1159"/>
      <c r="EG2581" s="1159"/>
    </row>
    <row r="2582" ht="15" customHeight="1">
      <c r="CK2582" s="1159"/>
      <c r="EG2582" s="1159"/>
    </row>
    <row r="2583" ht="15" customHeight="1">
      <c r="CK2583" s="1159"/>
      <c r="EG2583" s="1159"/>
    </row>
    <row r="2584" ht="15" customHeight="1">
      <c r="CK2584" s="1159"/>
      <c r="EG2584" s="1159"/>
    </row>
    <row r="2585" ht="15" customHeight="1">
      <c r="CK2585" s="1159"/>
      <c r="EG2585" s="1159"/>
    </row>
    <row r="2586" ht="15" customHeight="1">
      <c r="CK2586" s="1159"/>
      <c r="EG2586" s="1159"/>
    </row>
    <row r="2587" ht="15" customHeight="1">
      <c r="CK2587" s="1159"/>
      <c r="EG2587" s="1159"/>
    </row>
    <row r="2588" ht="15" customHeight="1">
      <c r="CK2588" s="1159"/>
      <c r="EG2588" s="1159"/>
    </row>
    <row r="2589" ht="15" customHeight="1">
      <c r="CK2589" s="1159"/>
      <c r="EG2589" s="1159"/>
    </row>
    <row r="2590" ht="15" customHeight="1">
      <c r="CK2590" s="1159"/>
      <c r="EG2590" s="1159"/>
    </row>
    <row r="2591" ht="15" customHeight="1">
      <c r="CK2591" s="1159"/>
      <c r="EG2591" s="1159"/>
    </row>
    <row r="2592" ht="15" customHeight="1">
      <c r="CK2592" s="1159"/>
      <c r="EG2592" s="1159"/>
    </row>
    <row r="2593" ht="15" customHeight="1">
      <c r="CK2593" s="1159"/>
      <c r="EG2593" s="1159"/>
    </row>
    <row r="2594" ht="15" customHeight="1">
      <c r="CK2594" s="1159"/>
      <c r="EG2594" s="1159"/>
    </row>
    <row r="2595" ht="15" customHeight="1">
      <c r="CK2595" s="1159"/>
      <c r="EG2595" s="1159"/>
    </row>
    <row r="2596" ht="15" customHeight="1">
      <c r="CK2596" s="1159"/>
      <c r="EG2596" s="1159"/>
    </row>
    <row r="2597" ht="15" customHeight="1">
      <c r="CK2597" s="1159"/>
      <c r="EG2597" s="1159"/>
    </row>
    <row r="2598" ht="15" customHeight="1">
      <c r="CK2598" s="1159"/>
      <c r="EG2598" s="1159"/>
    </row>
    <row r="2599" ht="15" customHeight="1">
      <c r="CK2599" s="1159"/>
      <c r="EG2599" s="1159"/>
    </row>
    <row r="2600" ht="15" customHeight="1">
      <c r="CK2600" s="1159"/>
      <c r="EG2600" s="1159"/>
    </row>
    <row r="2601" ht="15" customHeight="1">
      <c r="CK2601" s="1159"/>
      <c r="EG2601" s="1159"/>
    </row>
    <row r="2602" ht="15" customHeight="1">
      <c r="CK2602" s="1159"/>
      <c r="EG2602" s="1159"/>
    </row>
    <row r="2603" ht="15" customHeight="1">
      <c r="CK2603" s="1159"/>
      <c r="EG2603" s="1159"/>
    </row>
    <row r="2604" ht="15" customHeight="1">
      <c r="CK2604" s="1159"/>
      <c r="EG2604" s="1159"/>
    </row>
    <row r="2605" ht="15" customHeight="1">
      <c r="CK2605" s="1159"/>
      <c r="EG2605" s="1159"/>
    </row>
    <row r="2606" ht="15" customHeight="1">
      <c r="CK2606" s="1159"/>
      <c r="EG2606" s="1159"/>
    </row>
    <row r="2607" ht="15" customHeight="1">
      <c r="CK2607" s="1159"/>
      <c r="EG2607" s="1159"/>
    </row>
    <row r="2608" ht="15" customHeight="1">
      <c r="CK2608" s="1159"/>
      <c r="EG2608" s="1159"/>
    </row>
    <row r="2609" ht="15" customHeight="1">
      <c r="CK2609" s="1159"/>
      <c r="EG2609" s="1159"/>
    </row>
    <row r="2610" ht="15" customHeight="1">
      <c r="CK2610" s="1159"/>
      <c r="EG2610" s="1159"/>
    </row>
    <row r="2611" ht="15" customHeight="1">
      <c r="CK2611" s="1159"/>
      <c r="EG2611" s="1159"/>
    </row>
    <row r="2612" ht="15" customHeight="1">
      <c r="CK2612" s="1159"/>
      <c r="EG2612" s="1159"/>
    </row>
    <row r="2613" ht="15" customHeight="1">
      <c r="CK2613" s="1159"/>
      <c r="EG2613" s="1159"/>
    </row>
    <row r="2614" ht="15" customHeight="1">
      <c r="CK2614" s="1159"/>
      <c r="EG2614" s="1159"/>
    </row>
    <row r="2615" ht="15" customHeight="1">
      <c r="CK2615" s="1159"/>
      <c r="EG2615" s="1159"/>
    </row>
    <row r="2616" ht="15" customHeight="1">
      <c r="CK2616" s="1159"/>
      <c r="EG2616" s="1159"/>
    </row>
    <row r="2617" ht="15" customHeight="1">
      <c r="CK2617" s="1159"/>
      <c r="EG2617" s="1159"/>
    </row>
    <row r="2618" ht="15" customHeight="1">
      <c r="CK2618" s="1159"/>
      <c r="EG2618" s="1159"/>
    </row>
    <row r="2619" ht="15" customHeight="1">
      <c r="CK2619" s="1159"/>
      <c r="EG2619" s="1159"/>
    </row>
    <row r="2620" ht="15" customHeight="1">
      <c r="CK2620" s="1159"/>
      <c r="EG2620" s="1159"/>
    </row>
    <row r="2621" ht="15" customHeight="1">
      <c r="CK2621" s="1159"/>
      <c r="EG2621" s="1159"/>
    </row>
    <row r="2622" ht="15" customHeight="1">
      <c r="CK2622" s="1159"/>
      <c r="EG2622" s="1159"/>
    </row>
    <row r="2623" ht="15" customHeight="1">
      <c r="CK2623" s="1159"/>
      <c r="EG2623" s="1159"/>
    </row>
    <row r="2624" ht="15" customHeight="1">
      <c r="CK2624" s="1159"/>
      <c r="EG2624" s="1159"/>
    </row>
    <row r="2625" ht="15" customHeight="1">
      <c r="CK2625" s="1159"/>
      <c r="EG2625" s="1159"/>
    </row>
    <row r="2626" ht="15" customHeight="1">
      <c r="CK2626" s="1159"/>
      <c r="EG2626" s="1159"/>
    </row>
    <row r="2627" ht="15" customHeight="1">
      <c r="CK2627" s="1159"/>
      <c r="EG2627" s="1159"/>
    </row>
    <row r="2628" ht="15" customHeight="1">
      <c r="CK2628" s="1159"/>
      <c r="EG2628" s="1159"/>
    </row>
    <row r="2629" ht="15" customHeight="1">
      <c r="CK2629" s="1159"/>
      <c r="EG2629" s="1159"/>
    </row>
    <row r="2630" ht="15" customHeight="1">
      <c r="CK2630" s="1159"/>
      <c r="EG2630" s="1159"/>
    </row>
    <row r="2631" ht="15" customHeight="1">
      <c r="CK2631" s="1159"/>
      <c r="EG2631" s="1159"/>
    </row>
    <row r="2632" ht="15" customHeight="1">
      <c r="CK2632" s="1159"/>
      <c r="EG2632" s="1159"/>
    </row>
    <row r="2633" ht="15" customHeight="1">
      <c r="CK2633" s="1159"/>
      <c r="EG2633" s="1159"/>
    </row>
    <row r="2634" ht="15" customHeight="1">
      <c r="CK2634" s="1159"/>
      <c r="EG2634" s="1159"/>
    </row>
    <row r="2635" ht="15" customHeight="1">
      <c r="CK2635" s="1159"/>
      <c r="EG2635" s="1159"/>
    </row>
    <row r="2636" ht="15" customHeight="1">
      <c r="CK2636" s="1159"/>
      <c r="EG2636" s="1159"/>
    </row>
    <row r="2637" ht="15" customHeight="1">
      <c r="CK2637" s="1159"/>
      <c r="EG2637" s="1159"/>
    </row>
    <row r="2638" ht="15" customHeight="1">
      <c r="CK2638" s="1159"/>
      <c r="EG2638" s="1159"/>
    </row>
    <row r="2639" ht="15" customHeight="1">
      <c r="CK2639" s="1159"/>
      <c r="EG2639" s="1159"/>
    </row>
    <row r="2640" ht="15" customHeight="1">
      <c r="CK2640" s="1159"/>
      <c r="EG2640" s="1159"/>
    </row>
    <row r="2641" ht="15" customHeight="1">
      <c r="CK2641" s="1159"/>
      <c r="EG2641" s="1159"/>
    </row>
    <row r="2642" ht="15" customHeight="1">
      <c r="CK2642" s="1159"/>
      <c r="EG2642" s="1159"/>
    </row>
    <row r="2643" ht="15" customHeight="1">
      <c r="CK2643" s="1159"/>
      <c r="EG2643" s="1159"/>
    </row>
    <row r="2644" ht="15" customHeight="1">
      <c r="CK2644" s="1159"/>
      <c r="EG2644" s="1159"/>
    </row>
    <row r="2645" ht="15" customHeight="1">
      <c r="CK2645" s="1159"/>
      <c r="EG2645" s="1159"/>
    </row>
    <row r="2646" ht="15" customHeight="1">
      <c r="CK2646" s="1159"/>
      <c r="EG2646" s="1159"/>
    </row>
    <row r="2647" ht="15" customHeight="1">
      <c r="CK2647" s="1159"/>
      <c r="EG2647" s="1159"/>
    </row>
    <row r="2648" ht="15" customHeight="1">
      <c r="CK2648" s="1159"/>
      <c r="EG2648" s="1159"/>
    </row>
    <row r="2649" ht="15" customHeight="1">
      <c r="CK2649" s="1159"/>
      <c r="EG2649" s="1159"/>
    </row>
    <row r="2650" ht="15" customHeight="1">
      <c r="CK2650" s="1159"/>
      <c r="EG2650" s="1159"/>
    </row>
    <row r="2651" ht="15" customHeight="1">
      <c r="CK2651" s="1159"/>
      <c r="EG2651" s="1159"/>
    </row>
    <row r="2652" ht="15" customHeight="1">
      <c r="CK2652" s="1159"/>
      <c r="EG2652" s="1159"/>
    </row>
    <row r="2653" ht="15" customHeight="1">
      <c r="CK2653" s="1159"/>
      <c r="EG2653" s="1159"/>
    </row>
    <row r="2654" ht="15" customHeight="1">
      <c r="CK2654" s="1159"/>
      <c r="EG2654" s="1159"/>
    </row>
    <row r="2655" ht="15" customHeight="1">
      <c r="CK2655" s="1159"/>
      <c r="EG2655" s="1159"/>
    </row>
    <row r="2656" ht="15" customHeight="1">
      <c r="CK2656" s="1159"/>
      <c r="EG2656" s="1159"/>
    </row>
    <row r="2657" ht="15" customHeight="1">
      <c r="CK2657" s="1159"/>
      <c r="EG2657" s="1159"/>
    </row>
    <row r="2658" ht="15" customHeight="1">
      <c r="CK2658" s="1159"/>
      <c r="EG2658" s="1159"/>
    </row>
    <row r="2659" ht="15" customHeight="1">
      <c r="CK2659" s="1159"/>
      <c r="EG2659" s="1159"/>
    </row>
    <row r="2660" ht="15" customHeight="1">
      <c r="CK2660" s="1159"/>
      <c r="EG2660" s="1159"/>
    </row>
    <row r="2661" ht="15" customHeight="1">
      <c r="CK2661" s="1159"/>
      <c r="EG2661" s="1159"/>
    </row>
    <row r="2662" ht="15" customHeight="1">
      <c r="CK2662" s="1159"/>
      <c r="EG2662" s="1159"/>
    </row>
    <row r="2663" ht="15" customHeight="1">
      <c r="CK2663" s="1159"/>
      <c r="EG2663" s="1159"/>
    </row>
    <row r="2664" ht="15" customHeight="1">
      <c r="CK2664" s="1159"/>
      <c r="EG2664" s="1159"/>
    </row>
    <row r="2665" ht="15" customHeight="1">
      <c r="CK2665" s="1159"/>
      <c r="EG2665" s="1159"/>
    </row>
    <row r="2666" ht="15" customHeight="1">
      <c r="CK2666" s="1159"/>
      <c r="EG2666" s="1159"/>
    </row>
    <row r="2667" ht="15" customHeight="1">
      <c r="CK2667" s="1159"/>
      <c r="EG2667" s="1159"/>
    </row>
    <row r="2668" ht="15" customHeight="1">
      <c r="CK2668" s="1159"/>
      <c r="EG2668" s="1159"/>
    </row>
    <row r="2669" ht="15" customHeight="1">
      <c r="CK2669" s="1159"/>
      <c r="EG2669" s="1159"/>
    </row>
    <row r="2670" ht="15" customHeight="1">
      <c r="CK2670" s="1159"/>
      <c r="EG2670" s="1159"/>
    </row>
    <row r="2671" ht="15" customHeight="1">
      <c r="CK2671" s="1159"/>
      <c r="EG2671" s="1159"/>
    </row>
    <row r="2672" ht="15" customHeight="1">
      <c r="CK2672" s="1159"/>
      <c r="EG2672" s="1159"/>
    </row>
    <row r="2673" ht="15" customHeight="1">
      <c r="CK2673" s="1159"/>
      <c r="EG2673" s="1159"/>
    </row>
    <row r="2674" ht="15" customHeight="1">
      <c r="CK2674" s="1159"/>
      <c r="EG2674" s="1159"/>
    </row>
    <row r="2675" ht="15" customHeight="1">
      <c r="CK2675" s="1159"/>
      <c r="EG2675" s="1159"/>
    </row>
    <row r="2676" ht="15" customHeight="1">
      <c r="CK2676" s="1159"/>
      <c r="EG2676" s="1159"/>
    </row>
    <row r="2677" ht="15" customHeight="1">
      <c r="CK2677" s="1159"/>
      <c r="EG2677" s="1159"/>
    </row>
    <row r="2678" ht="15" customHeight="1">
      <c r="CK2678" s="1159"/>
      <c r="EG2678" s="1159"/>
    </row>
    <row r="2679" ht="15" customHeight="1">
      <c r="CK2679" s="1159"/>
      <c r="EG2679" s="1159"/>
    </row>
    <row r="2680" ht="15" customHeight="1">
      <c r="CK2680" s="1159"/>
      <c r="EG2680" s="1159"/>
    </row>
    <row r="2681" ht="15" customHeight="1">
      <c r="CK2681" s="1159"/>
      <c r="EG2681" s="1159"/>
    </row>
    <row r="2682" ht="15" customHeight="1">
      <c r="CK2682" s="1159"/>
      <c r="EG2682" s="1159"/>
    </row>
    <row r="2683" ht="15" customHeight="1">
      <c r="CK2683" s="1159"/>
      <c r="EG2683" s="1159"/>
    </row>
    <row r="2684" ht="15" customHeight="1">
      <c r="CK2684" s="1159"/>
      <c r="EG2684" s="1159"/>
    </row>
    <row r="2685" ht="15" customHeight="1">
      <c r="CK2685" s="1159"/>
      <c r="EG2685" s="1159"/>
    </row>
    <row r="2686" ht="15" customHeight="1">
      <c r="CK2686" s="1159"/>
      <c r="EG2686" s="1159"/>
    </row>
    <row r="2687" ht="15" customHeight="1">
      <c r="CK2687" s="1159"/>
      <c r="EG2687" s="1159"/>
    </row>
    <row r="2688" ht="15" customHeight="1">
      <c r="CK2688" s="1159"/>
      <c r="EG2688" s="1159"/>
    </row>
    <row r="2689" ht="15" customHeight="1">
      <c r="CK2689" s="1159"/>
      <c r="EG2689" s="1159"/>
    </row>
    <row r="2690" ht="15" customHeight="1">
      <c r="CK2690" s="1159"/>
      <c r="EG2690" s="1159"/>
    </row>
    <row r="2691" ht="15" customHeight="1">
      <c r="CK2691" s="1159"/>
      <c r="EG2691" s="1159"/>
    </row>
    <row r="2692" ht="15" customHeight="1">
      <c r="CK2692" s="1159"/>
      <c r="EG2692" s="1159"/>
    </row>
    <row r="2693" ht="15" customHeight="1">
      <c r="CK2693" s="1159"/>
      <c r="EG2693" s="1159"/>
    </row>
    <row r="2694" ht="15" customHeight="1">
      <c r="CK2694" s="1159"/>
      <c r="EG2694" s="1159"/>
    </row>
    <row r="2695" ht="15" customHeight="1">
      <c r="CK2695" s="1159"/>
      <c r="EG2695" s="1159"/>
    </row>
    <row r="2696" ht="15" customHeight="1">
      <c r="CK2696" s="1159"/>
      <c r="EG2696" s="1159"/>
    </row>
    <row r="2697" ht="15" customHeight="1">
      <c r="CK2697" s="1159"/>
      <c r="EG2697" s="1159"/>
    </row>
    <row r="2698" ht="15" customHeight="1">
      <c r="CK2698" s="1159"/>
      <c r="EG2698" s="1159"/>
    </row>
    <row r="2699" ht="15" customHeight="1">
      <c r="CK2699" s="1159"/>
      <c r="EG2699" s="1159"/>
    </row>
    <row r="2700" ht="15" customHeight="1">
      <c r="CK2700" s="1159"/>
      <c r="EG2700" s="1159"/>
    </row>
    <row r="2701" ht="15" customHeight="1">
      <c r="CK2701" s="1159"/>
      <c r="EG2701" s="1159"/>
    </row>
    <row r="2702" ht="15" customHeight="1">
      <c r="CK2702" s="1159"/>
      <c r="EG2702" s="1159"/>
    </row>
    <row r="2703" ht="15" customHeight="1">
      <c r="CK2703" s="1159"/>
      <c r="EG2703" s="1159"/>
    </row>
    <row r="2704" ht="15" customHeight="1">
      <c r="CK2704" s="1159"/>
      <c r="EG2704" s="1159"/>
    </row>
    <row r="2705" ht="15" customHeight="1">
      <c r="CK2705" s="1159"/>
      <c r="EG2705" s="1159"/>
    </row>
    <row r="2706" ht="15" customHeight="1">
      <c r="CK2706" s="1159"/>
      <c r="EG2706" s="1159"/>
    </row>
    <row r="2707" ht="15" customHeight="1">
      <c r="CK2707" s="1159"/>
      <c r="EG2707" s="1159"/>
    </row>
    <row r="2708" ht="15" customHeight="1">
      <c r="CK2708" s="1159"/>
      <c r="EG2708" s="1159"/>
    </row>
    <row r="2709" ht="15" customHeight="1">
      <c r="CK2709" s="1159"/>
      <c r="EG2709" s="1159"/>
    </row>
    <row r="2710" ht="15" customHeight="1">
      <c r="CK2710" s="1159"/>
      <c r="EG2710" s="1159"/>
    </row>
    <row r="2711" ht="15" customHeight="1">
      <c r="CK2711" s="1159"/>
      <c r="EG2711" s="1159"/>
    </row>
    <row r="2712" ht="15" customHeight="1">
      <c r="CK2712" s="1159"/>
      <c r="EG2712" s="1159"/>
    </row>
    <row r="2713" ht="15" customHeight="1">
      <c r="CK2713" s="1159"/>
      <c r="EG2713" s="1159"/>
    </row>
    <row r="2714" ht="15" customHeight="1">
      <c r="CK2714" s="1159"/>
      <c r="EG2714" s="1159"/>
    </row>
    <row r="2715" ht="15" customHeight="1">
      <c r="CK2715" s="1159"/>
      <c r="EG2715" s="1159"/>
    </row>
    <row r="2716" ht="15" customHeight="1">
      <c r="CK2716" s="1159"/>
      <c r="EG2716" s="1159"/>
    </row>
    <row r="2717" ht="15" customHeight="1">
      <c r="CK2717" s="1159"/>
      <c r="EG2717" s="1159"/>
    </row>
    <row r="2718" ht="15" customHeight="1">
      <c r="CK2718" s="1159"/>
      <c r="EG2718" s="1159"/>
    </row>
    <row r="2719" ht="15" customHeight="1">
      <c r="CK2719" s="1159"/>
      <c r="EG2719" s="1159"/>
    </row>
    <row r="2720" ht="15" customHeight="1">
      <c r="CK2720" s="1159"/>
      <c r="EG2720" s="1159"/>
    </row>
    <row r="2721" ht="15" customHeight="1">
      <c r="CK2721" s="1159"/>
      <c r="EG2721" s="1159"/>
    </row>
    <row r="2722" ht="15" customHeight="1">
      <c r="CK2722" s="1159"/>
      <c r="EG2722" s="1159"/>
    </row>
    <row r="2723" ht="15" customHeight="1">
      <c r="CK2723" s="1159"/>
      <c r="EG2723" s="1159"/>
    </row>
    <row r="2724" ht="15" customHeight="1">
      <c r="CK2724" s="1159"/>
      <c r="EG2724" s="1159"/>
    </row>
    <row r="2725" ht="15" customHeight="1">
      <c r="CK2725" s="1159"/>
      <c r="EG2725" s="1159"/>
    </row>
    <row r="2726" ht="15" customHeight="1">
      <c r="CK2726" s="1159"/>
      <c r="EG2726" s="1159"/>
    </row>
    <row r="2727" ht="15" customHeight="1">
      <c r="CK2727" s="1159"/>
      <c r="EG2727" s="1159"/>
    </row>
    <row r="2728" ht="15" customHeight="1">
      <c r="CK2728" s="1159"/>
      <c r="EG2728" s="1159"/>
    </row>
    <row r="2729" ht="15" customHeight="1">
      <c r="CK2729" s="1159"/>
      <c r="EG2729" s="1159"/>
    </row>
    <row r="2730" ht="15" customHeight="1">
      <c r="CK2730" s="1159"/>
      <c r="EG2730" s="1159"/>
    </row>
    <row r="2731" ht="15" customHeight="1">
      <c r="CK2731" s="1159"/>
      <c r="EG2731" s="1159"/>
    </row>
    <row r="2732" ht="15" customHeight="1">
      <c r="CK2732" s="1159"/>
      <c r="EG2732" s="1159"/>
    </row>
    <row r="2733" ht="15" customHeight="1">
      <c r="CK2733" s="1159"/>
      <c r="EG2733" s="1159"/>
    </row>
    <row r="2734" ht="15" customHeight="1">
      <c r="CK2734" s="1159"/>
      <c r="EG2734" s="1159"/>
    </row>
    <row r="2735" ht="15" customHeight="1">
      <c r="CK2735" s="1159"/>
      <c r="EG2735" s="1159"/>
    </row>
    <row r="2736" ht="15" customHeight="1">
      <c r="CK2736" s="1159"/>
      <c r="EG2736" s="1159"/>
    </row>
    <row r="2737" ht="15" customHeight="1">
      <c r="CK2737" s="1159"/>
      <c r="EG2737" s="1159"/>
    </row>
    <row r="2738" ht="15" customHeight="1">
      <c r="CK2738" s="1159"/>
      <c r="EG2738" s="1159"/>
    </row>
    <row r="2739" ht="15" customHeight="1">
      <c r="CK2739" s="1159"/>
      <c r="EG2739" s="1159"/>
    </row>
    <row r="2740" ht="15" customHeight="1">
      <c r="CK2740" s="1159"/>
      <c r="EG2740" s="1159"/>
    </row>
    <row r="2741" ht="15" customHeight="1">
      <c r="CK2741" s="1159"/>
      <c r="EG2741" s="1159"/>
    </row>
    <row r="2742" ht="15" customHeight="1">
      <c r="CK2742" s="1159"/>
      <c r="EG2742" s="1159"/>
    </row>
    <row r="2743" ht="15" customHeight="1">
      <c r="CK2743" s="1159"/>
      <c r="EG2743" s="1159"/>
    </row>
    <row r="2744" ht="15" customHeight="1">
      <c r="CK2744" s="1159"/>
      <c r="EG2744" s="1159"/>
    </row>
    <row r="2745" ht="15" customHeight="1">
      <c r="CK2745" s="1159"/>
      <c r="EG2745" s="1159"/>
    </row>
    <row r="2746" ht="15" customHeight="1">
      <c r="CK2746" s="1159"/>
      <c r="EG2746" s="1159"/>
    </row>
    <row r="2747" ht="15" customHeight="1">
      <c r="CK2747" s="1159"/>
      <c r="EG2747" s="1159"/>
    </row>
    <row r="2748" ht="15" customHeight="1">
      <c r="CK2748" s="1159"/>
      <c r="EG2748" s="1159"/>
    </row>
    <row r="2749" ht="15" customHeight="1">
      <c r="CK2749" s="1159"/>
      <c r="EG2749" s="1159"/>
    </row>
    <row r="2750" ht="15" customHeight="1">
      <c r="CK2750" s="1159"/>
      <c r="EG2750" s="1159"/>
    </row>
    <row r="2751" ht="15" customHeight="1">
      <c r="CK2751" s="1159"/>
      <c r="EG2751" s="1159"/>
    </row>
    <row r="2752" ht="15" customHeight="1">
      <c r="CK2752" s="1159"/>
      <c r="EG2752" s="1159"/>
    </row>
    <row r="2753" ht="15" customHeight="1">
      <c r="CK2753" s="1159"/>
      <c r="EG2753" s="1159"/>
    </row>
    <row r="2754" ht="15" customHeight="1">
      <c r="CK2754" s="1159"/>
      <c r="EG2754" s="1159"/>
    </row>
    <row r="2755" ht="15" customHeight="1">
      <c r="CK2755" s="1159"/>
      <c r="EG2755" s="1159"/>
    </row>
    <row r="2756" ht="15" customHeight="1">
      <c r="CK2756" s="1159"/>
      <c r="EG2756" s="1159"/>
    </row>
    <row r="2757" ht="15" customHeight="1">
      <c r="CK2757" s="1159"/>
      <c r="EG2757" s="1159"/>
    </row>
    <row r="2758" ht="15" customHeight="1">
      <c r="CK2758" s="1159"/>
      <c r="EG2758" s="1159"/>
    </row>
    <row r="2759" ht="15" customHeight="1">
      <c r="CK2759" s="1159"/>
      <c r="EG2759" s="1159"/>
    </row>
    <row r="2760" ht="15" customHeight="1">
      <c r="CK2760" s="1159"/>
      <c r="EG2760" s="1159"/>
    </row>
    <row r="2761" ht="15" customHeight="1">
      <c r="CK2761" s="1159"/>
      <c r="EG2761" s="1159"/>
    </row>
    <row r="2762" ht="15" customHeight="1">
      <c r="CK2762" s="1159"/>
      <c r="EG2762" s="1159"/>
    </row>
    <row r="2763" ht="15" customHeight="1">
      <c r="CK2763" s="1159"/>
      <c r="EG2763" s="1159"/>
    </row>
    <row r="2764" ht="15" customHeight="1">
      <c r="CK2764" s="1159"/>
      <c r="EG2764" s="1159"/>
    </row>
    <row r="2765" ht="15" customHeight="1">
      <c r="CK2765" s="1159"/>
      <c r="EG2765" s="1159"/>
    </row>
    <row r="2766" ht="15" customHeight="1">
      <c r="CK2766" s="1159"/>
      <c r="EG2766" s="1159"/>
    </row>
    <row r="2767" ht="15" customHeight="1">
      <c r="CK2767" s="1159"/>
      <c r="EG2767" s="1159"/>
    </row>
    <row r="2768" ht="15" customHeight="1">
      <c r="CK2768" s="1159"/>
      <c r="EG2768" s="1159"/>
    </row>
    <row r="2769" ht="15" customHeight="1">
      <c r="CK2769" s="1159"/>
      <c r="EG2769" s="1159"/>
    </row>
    <row r="2770" ht="15" customHeight="1">
      <c r="CK2770" s="1159"/>
      <c r="EG2770" s="1159"/>
    </row>
    <row r="2771" ht="15" customHeight="1">
      <c r="CK2771" s="1159"/>
      <c r="EG2771" s="1159"/>
    </row>
    <row r="2772" ht="15" customHeight="1">
      <c r="CK2772" s="1159"/>
      <c r="EG2772" s="1159"/>
    </row>
    <row r="2773" ht="15" customHeight="1">
      <c r="CK2773" s="1159"/>
      <c r="EG2773" s="1159"/>
    </row>
    <row r="2774" ht="15" customHeight="1">
      <c r="CK2774" s="1159"/>
      <c r="EG2774" s="1159"/>
    </row>
    <row r="2775" ht="15" customHeight="1">
      <c r="CK2775" s="1159"/>
      <c r="EG2775" s="1159"/>
    </row>
    <row r="2776" ht="15" customHeight="1">
      <c r="CK2776" s="1159"/>
      <c r="EG2776" s="1159"/>
    </row>
    <row r="2777" ht="15" customHeight="1">
      <c r="CK2777" s="1159"/>
      <c r="EG2777" s="1159"/>
    </row>
    <row r="2778" ht="15" customHeight="1">
      <c r="CK2778" s="1159"/>
      <c r="EG2778" s="1159"/>
    </row>
    <row r="2779" ht="15" customHeight="1">
      <c r="CK2779" s="1159"/>
      <c r="EG2779" s="1159"/>
    </row>
    <row r="2780" ht="15" customHeight="1">
      <c r="CK2780" s="1159"/>
      <c r="EG2780" s="1159"/>
    </row>
    <row r="2781" ht="15" customHeight="1">
      <c r="CK2781" s="1159"/>
      <c r="EG2781" s="1159"/>
    </row>
    <row r="2782" ht="15" customHeight="1">
      <c r="CK2782" s="1159"/>
      <c r="EG2782" s="1159"/>
    </row>
    <row r="2783" ht="15" customHeight="1">
      <c r="CK2783" s="1159"/>
      <c r="EG2783" s="1159"/>
    </row>
    <row r="2784" ht="15" customHeight="1">
      <c r="CK2784" s="1159"/>
      <c r="EG2784" s="1159"/>
    </row>
    <row r="2785" ht="15" customHeight="1">
      <c r="CK2785" s="1159"/>
      <c r="EG2785" s="1159"/>
    </row>
    <row r="2786" ht="15" customHeight="1">
      <c r="CK2786" s="1159"/>
      <c r="EG2786" s="1159"/>
    </row>
    <row r="2787" ht="15" customHeight="1">
      <c r="CK2787" s="1159"/>
      <c r="EG2787" s="1159"/>
    </row>
    <row r="2788" ht="15" customHeight="1">
      <c r="CK2788" s="1159"/>
      <c r="EG2788" s="1159"/>
    </row>
    <row r="2789" ht="15" customHeight="1">
      <c r="CK2789" s="1159"/>
      <c r="EG2789" s="1159"/>
    </row>
    <row r="2790" ht="15" customHeight="1">
      <c r="CK2790" s="1159"/>
      <c r="EG2790" s="1159"/>
    </row>
    <row r="2791" ht="15" customHeight="1">
      <c r="CK2791" s="1159"/>
      <c r="EG2791" s="1159"/>
    </row>
    <row r="2792" ht="15" customHeight="1">
      <c r="CK2792" s="1159"/>
      <c r="EG2792" s="1159"/>
    </row>
    <row r="2793" ht="15" customHeight="1">
      <c r="CK2793" s="1159"/>
      <c r="EG2793" s="1159"/>
    </row>
    <row r="2794" ht="15" customHeight="1">
      <c r="CK2794" s="1159"/>
      <c r="EG2794" s="1159"/>
    </row>
    <row r="2795" ht="15" customHeight="1">
      <c r="CK2795" s="1159"/>
      <c r="EG2795" s="1159"/>
    </row>
    <row r="2796" ht="15" customHeight="1">
      <c r="CK2796" s="1159"/>
      <c r="EG2796" s="1159"/>
    </row>
    <row r="2797" ht="15" customHeight="1">
      <c r="CK2797" s="1159"/>
      <c r="EG2797" s="1159"/>
    </row>
    <row r="2798" ht="15" customHeight="1">
      <c r="CK2798" s="1159"/>
      <c r="EG2798" s="1159"/>
    </row>
    <row r="2799" ht="15" customHeight="1">
      <c r="CK2799" s="1159"/>
      <c r="EG2799" s="1159"/>
    </row>
    <row r="2800" ht="15" customHeight="1">
      <c r="CK2800" s="1159"/>
      <c r="EG2800" s="1159"/>
    </row>
    <row r="2801" ht="15" customHeight="1">
      <c r="CK2801" s="1159"/>
      <c r="EG2801" s="1159"/>
    </row>
    <row r="2802" ht="15" customHeight="1">
      <c r="CK2802" s="1159"/>
      <c r="EG2802" s="1159"/>
    </row>
    <row r="2803" ht="15" customHeight="1">
      <c r="CK2803" s="1159"/>
      <c r="EG2803" s="1159"/>
    </row>
    <row r="2804" ht="15" customHeight="1">
      <c r="CK2804" s="1159"/>
      <c r="EG2804" s="1159"/>
    </row>
    <row r="2805" ht="15" customHeight="1">
      <c r="CK2805" s="1159"/>
      <c r="EG2805" s="1159"/>
    </row>
    <row r="2806" ht="15" customHeight="1">
      <c r="CK2806" s="1159"/>
      <c r="EG2806" s="1159"/>
    </row>
    <row r="2807" ht="15" customHeight="1">
      <c r="CK2807" s="1159"/>
      <c r="EG2807" s="1159"/>
    </row>
    <row r="2808" ht="15" customHeight="1">
      <c r="CK2808" s="1159"/>
      <c r="EG2808" s="1159"/>
    </row>
    <row r="2809" ht="15" customHeight="1">
      <c r="CK2809" s="1159"/>
      <c r="EG2809" s="1159"/>
    </row>
    <row r="2810" ht="15" customHeight="1">
      <c r="CK2810" s="1159"/>
      <c r="EG2810" s="1159"/>
    </row>
    <row r="2811" ht="15" customHeight="1">
      <c r="CK2811" s="1159"/>
      <c r="EG2811" s="1159"/>
    </row>
    <row r="2812" ht="15" customHeight="1">
      <c r="CK2812" s="1159"/>
      <c r="EG2812" s="1159"/>
    </row>
    <row r="2813" ht="15" customHeight="1">
      <c r="CK2813" s="1159"/>
      <c r="EG2813" s="1159"/>
    </row>
    <row r="2814" ht="15" customHeight="1">
      <c r="CK2814" s="1159"/>
      <c r="EG2814" s="1159"/>
    </row>
    <row r="2815" ht="15" customHeight="1">
      <c r="CK2815" s="1159"/>
      <c r="EG2815" s="1159"/>
    </row>
    <row r="2816" ht="15" customHeight="1">
      <c r="CK2816" s="1159"/>
      <c r="EG2816" s="1159"/>
    </row>
    <row r="2817" ht="15" customHeight="1">
      <c r="CK2817" s="1159"/>
      <c r="EG2817" s="1159"/>
    </row>
    <row r="2818" ht="15" customHeight="1">
      <c r="CK2818" s="1159"/>
      <c r="EG2818" s="1159"/>
    </row>
    <row r="2819" ht="15" customHeight="1">
      <c r="CK2819" s="1159"/>
      <c r="EG2819" s="1159"/>
    </row>
    <row r="2820" ht="15" customHeight="1">
      <c r="CK2820" s="1159"/>
      <c r="EG2820" s="1159"/>
    </row>
    <row r="2821" ht="15" customHeight="1">
      <c r="CK2821" s="1159"/>
      <c r="EG2821" s="1159"/>
    </row>
    <row r="2822" ht="15" customHeight="1">
      <c r="CK2822" s="1159"/>
      <c r="EG2822" s="1159"/>
    </row>
    <row r="2823" ht="15" customHeight="1">
      <c r="CK2823" s="1159"/>
      <c r="EG2823" s="1159"/>
    </row>
    <row r="2824" ht="15" customHeight="1">
      <c r="CK2824" s="1159"/>
      <c r="EG2824" s="1159"/>
    </row>
    <row r="2825" ht="15" customHeight="1">
      <c r="CK2825" s="1159"/>
      <c r="EG2825" s="1159"/>
    </row>
    <row r="2826" ht="15" customHeight="1">
      <c r="CK2826" s="1159"/>
      <c r="EG2826" s="1159"/>
    </row>
    <row r="2827" ht="15" customHeight="1">
      <c r="CK2827" s="1159"/>
      <c r="EG2827" s="1159"/>
    </row>
    <row r="2828" ht="15" customHeight="1">
      <c r="CK2828" s="1159"/>
      <c r="EG2828" s="1159"/>
    </row>
    <row r="2829" ht="15" customHeight="1">
      <c r="CK2829" s="1159"/>
      <c r="EG2829" s="1159"/>
    </row>
    <row r="2830" ht="15" customHeight="1">
      <c r="CK2830" s="1159"/>
      <c r="EG2830" s="1159"/>
    </row>
    <row r="2831" ht="15" customHeight="1">
      <c r="CK2831" s="1159"/>
      <c r="EG2831" s="1159"/>
    </row>
    <row r="2832" ht="15" customHeight="1">
      <c r="CK2832" s="1159"/>
      <c r="EG2832" s="1159"/>
    </row>
    <row r="2833" ht="15" customHeight="1">
      <c r="CK2833" s="1159"/>
      <c r="EG2833" s="1159"/>
    </row>
    <row r="2834" ht="15" customHeight="1">
      <c r="CK2834" s="1159"/>
      <c r="EG2834" s="1159"/>
    </row>
    <row r="2835" ht="15" customHeight="1">
      <c r="CK2835" s="1159"/>
      <c r="EG2835" s="1159"/>
    </row>
    <row r="2836" ht="15" customHeight="1">
      <c r="CK2836" s="1159"/>
      <c r="EG2836" s="1159"/>
    </row>
    <row r="2837" ht="15" customHeight="1">
      <c r="CK2837" s="1159"/>
      <c r="EG2837" s="1159"/>
    </row>
    <row r="2838" ht="15" customHeight="1">
      <c r="CK2838" s="1159"/>
      <c r="EG2838" s="1159"/>
    </row>
    <row r="2839" ht="15" customHeight="1">
      <c r="CK2839" s="1159"/>
      <c r="EG2839" s="1159"/>
    </row>
    <row r="2840" ht="15" customHeight="1">
      <c r="CK2840" s="1159"/>
      <c r="EG2840" s="1159"/>
    </row>
    <row r="2841" ht="15" customHeight="1">
      <c r="CK2841" s="1159"/>
      <c r="EG2841" s="1159"/>
    </row>
    <row r="2842" ht="15" customHeight="1">
      <c r="CK2842" s="1159"/>
      <c r="EG2842" s="1159"/>
    </row>
    <row r="2843" ht="15" customHeight="1">
      <c r="CK2843" s="1159"/>
      <c r="EG2843" s="1159"/>
    </row>
    <row r="2844" ht="15" customHeight="1">
      <c r="CK2844" s="1159"/>
      <c r="EG2844" s="1159"/>
    </row>
    <row r="2845" ht="15" customHeight="1">
      <c r="CK2845" s="1159"/>
      <c r="EG2845" s="1159"/>
    </row>
    <row r="2846" ht="15" customHeight="1">
      <c r="CK2846" s="1159"/>
      <c r="EG2846" s="1159"/>
    </row>
    <row r="2847" ht="15" customHeight="1">
      <c r="CK2847" s="1159"/>
      <c r="EG2847" s="1159"/>
    </row>
    <row r="2848" ht="15" customHeight="1">
      <c r="CK2848" s="1159"/>
      <c r="EG2848" s="1159"/>
    </row>
    <row r="2849" ht="15" customHeight="1">
      <c r="CK2849" s="1159"/>
      <c r="EG2849" s="1159"/>
    </row>
    <row r="2850" ht="15" customHeight="1">
      <c r="CK2850" s="1159"/>
      <c r="EG2850" s="1159"/>
    </row>
    <row r="2851" ht="15" customHeight="1">
      <c r="CK2851" s="1159"/>
      <c r="EG2851" s="1159"/>
    </row>
    <row r="2852" ht="15" customHeight="1">
      <c r="CK2852" s="1159"/>
      <c r="EG2852" s="1159"/>
    </row>
    <row r="2853" ht="15" customHeight="1">
      <c r="CK2853" s="1159"/>
      <c r="EG2853" s="1159"/>
    </row>
    <row r="2854" ht="15" customHeight="1">
      <c r="CK2854" s="1159"/>
      <c r="EG2854" s="1159"/>
    </row>
    <row r="2855" ht="15" customHeight="1">
      <c r="CK2855" s="1159"/>
      <c r="EG2855" s="1159"/>
    </row>
    <row r="2856" ht="15" customHeight="1">
      <c r="CK2856" s="1159"/>
      <c r="EG2856" s="1159"/>
    </row>
    <row r="2857" ht="15" customHeight="1">
      <c r="CK2857" s="1159"/>
      <c r="EG2857" s="1159"/>
    </row>
    <row r="2858" ht="15" customHeight="1">
      <c r="CK2858" s="1159"/>
      <c r="EG2858" s="1159"/>
    </row>
    <row r="2859" ht="15" customHeight="1">
      <c r="CK2859" s="1159"/>
      <c r="EG2859" s="1159"/>
    </row>
    <row r="2860" ht="15" customHeight="1">
      <c r="CK2860" s="1159"/>
      <c r="EG2860" s="1159"/>
    </row>
    <row r="2861" ht="15" customHeight="1">
      <c r="CK2861" s="1159"/>
      <c r="EG2861" s="1159"/>
    </row>
    <row r="2862" ht="15" customHeight="1">
      <c r="CK2862" s="1159"/>
      <c r="EG2862" s="1159"/>
    </row>
    <row r="2863" ht="15" customHeight="1">
      <c r="CK2863" s="1159"/>
      <c r="EG2863" s="1159"/>
    </row>
    <row r="2864" ht="15" customHeight="1">
      <c r="CK2864" s="1159"/>
      <c r="EG2864" s="1159"/>
    </row>
    <row r="2865" ht="15" customHeight="1">
      <c r="CK2865" s="1159"/>
      <c r="EG2865" s="1159"/>
    </row>
    <row r="2866" ht="15" customHeight="1">
      <c r="CK2866" s="1159"/>
      <c r="EG2866" s="1159"/>
    </row>
    <row r="2867" ht="15" customHeight="1">
      <c r="CK2867" s="1159"/>
      <c r="EG2867" s="1159"/>
    </row>
    <row r="2868" ht="15" customHeight="1">
      <c r="CK2868" s="1159"/>
      <c r="EG2868" s="1159"/>
    </row>
    <row r="2869" ht="15" customHeight="1">
      <c r="CK2869" s="1159"/>
      <c r="EG2869" s="1159"/>
    </row>
    <row r="2870" ht="15" customHeight="1">
      <c r="CK2870" s="1159"/>
      <c r="EG2870" s="1159"/>
    </row>
    <row r="2871" ht="15" customHeight="1">
      <c r="CK2871" s="1159"/>
      <c r="EG2871" s="1159"/>
    </row>
    <row r="2872" ht="15" customHeight="1">
      <c r="CK2872" s="1159"/>
      <c r="EG2872" s="1159"/>
    </row>
    <row r="2873" ht="15" customHeight="1">
      <c r="CK2873" s="1159"/>
      <c r="EG2873" s="1159"/>
    </row>
    <row r="2874" ht="15" customHeight="1">
      <c r="CK2874" s="1159"/>
      <c r="EG2874" s="1159"/>
    </row>
    <row r="2875" ht="15" customHeight="1">
      <c r="CK2875" s="1159"/>
      <c r="EG2875" s="1159"/>
    </row>
    <row r="2876" ht="15" customHeight="1">
      <c r="CK2876" s="1159"/>
      <c r="EG2876" s="1159"/>
    </row>
    <row r="2877" ht="15" customHeight="1">
      <c r="CK2877" s="1159"/>
      <c r="EG2877" s="1159"/>
    </row>
    <row r="2878" ht="15" customHeight="1">
      <c r="CK2878" s="1159"/>
      <c r="EG2878" s="1159"/>
    </row>
    <row r="2879" ht="15" customHeight="1">
      <c r="CK2879" s="1159"/>
      <c r="EG2879" s="1159"/>
    </row>
    <row r="2880" ht="15" customHeight="1">
      <c r="CK2880" s="1159"/>
      <c r="EG2880" s="1159"/>
    </row>
    <row r="2881" ht="15" customHeight="1">
      <c r="CK2881" s="1159"/>
      <c r="EG2881" s="1159"/>
    </row>
    <row r="2882" ht="15" customHeight="1">
      <c r="CK2882" s="1159"/>
      <c r="EG2882" s="1159"/>
    </row>
    <row r="2883" ht="15" customHeight="1">
      <c r="CK2883" s="1159"/>
      <c r="EG2883" s="1159"/>
    </row>
    <row r="2884" ht="15" customHeight="1">
      <c r="CK2884" s="1159"/>
      <c r="EG2884" s="1159"/>
    </row>
    <row r="2885" ht="15" customHeight="1">
      <c r="CK2885" s="1159"/>
      <c r="EG2885" s="1159"/>
    </row>
    <row r="2886" ht="15" customHeight="1">
      <c r="CK2886" s="1159"/>
      <c r="EG2886" s="1159"/>
    </row>
    <row r="2887" ht="15" customHeight="1">
      <c r="CK2887" s="1159"/>
      <c r="EG2887" s="1159"/>
    </row>
    <row r="2888" ht="15" customHeight="1">
      <c r="CK2888" s="1159"/>
      <c r="EG2888" s="1159"/>
    </row>
    <row r="2889" ht="15" customHeight="1">
      <c r="CK2889" s="1159"/>
      <c r="EG2889" s="1159"/>
    </row>
    <row r="2890" ht="15" customHeight="1">
      <c r="CK2890" s="1159"/>
      <c r="EG2890" s="1159"/>
    </row>
    <row r="2891" ht="15" customHeight="1">
      <c r="CK2891" s="1159"/>
      <c r="EG2891" s="1159"/>
    </row>
    <row r="2892" ht="15" customHeight="1">
      <c r="CK2892" s="1159"/>
      <c r="EG2892" s="1159"/>
    </row>
    <row r="2893" ht="15" customHeight="1">
      <c r="CK2893" s="1159"/>
      <c r="EG2893" s="1159"/>
    </row>
    <row r="2894" ht="15" customHeight="1">
      <c r="CK2894" s="1159"/>
      <c r="EG2894" s="1159"/>
    </row>
    <row r="2895" ht="15" customHeight="1">
      <c r="CK2895" s="1159"/>
      <c r="EG2895" s="1159"/>
    </row>
    <row r="2896" ht="15" customHeight="1">
      <c r="CK2896" s="1159"/>
      <c r="EG2896" s="1159"/>
    </row>
    <row r="2897" ht="15" customHeight="1">
      <c r="CK2897" s="1159"/>
      <c r="EG2897" s="1159"/>
    </row>
    <row r="2898" ht="15" customHeight="1">
      <c r="CK2898" s="1159"/>
      <c r="EG2898" s="1159"/>
    </row>
    <row r="2899" ht="15" customHeight="1">
      <c r="CK2899" s="1159"/>
      <c r="EG2899" s="1159"/>
    </row>
    <row r="2900" ht="15" customHeight="1">
      <c r="CK2900" s="1159"/>
      <c r="EG2900" s="1159"/>
    </row>
    <row r="2901" ht="15" customHeight="1">
      <c r="CK2901" s="1159"/>
      <c r="EG2901" s="1159"/>
    </row>
    <row r="2902" ht="15" customHeight="1">
      <c r="CK2902" s="1159"/>
      <c r="EG2902" s="1159"/>
    </row>
    <row r="2903" ht="15" customHeight="1">
      <c r="CK2903" s="1159"/>
      <c r="EG2903" s="1159"/>
    </row>
    <row r="2904" ht="15" customHeight="1">
      <c r="CK2904" s="1159"/>
      <c r="EG2904" s="1159"/>
    </row>
    <row r="2905" ht="15" customHeight="1">
      <c r="CK2905" s="1159"/>
      <c r="EG2905" s="1159"/>
    </row>
    <row r="2906" ht="15" customHeight="1">
      <c r="CK2906" s="1159"/>
      <c r="EG2906" s="1159"/>
    </row>
    <row r="2907" ht="15" customHeight="1">
      <c r="CK2907" s="1159"/>
      <c r="EG2907" s="1159"/>
    </row>
    <row r="2908" ht="15" customHeight="1">
      <c r="CK2908" s="1159"/>
      <c r="EG2908" s="1159"/>
    </row>
    <row r="2909" ht="15" customHeight="1">
      <c r="CK2909" s="1159"/>
      <c r="EG2909" s="1159"/>
    </row>
    <row r="2910" ht="15" customHeight="1">
      <c r="CK2910" s="1159"/>
      <c r="EG2910" s="1159"/>
    </row>
    <row r="2911" ht="15" customHeight="1">
      <c r="CK2911" s="1159"/>
      <c r="EG2911" s="1159"/>
    </row>
    <row r="2912" ht="15" customHeight="1">
      <c r="CK2912" s="1159"/>
      <c r="EG2912" s="1159"/>
    </row>
    <row r="2913" ht="15" customHeight="1">
      <c r="CK2913" s="1159"/>
      <c r="EG2913" s="1159"/>
    </row>
    <row r="2914" ht="15" customHeight="1">
      <c r="CK2914" s="1159"/>
      <c r="EG2914" s="1159"/>
    </row>
    <row r="2915" ht="15" customHeight="1">
      <c r="CK2915" s="1159"/>
      <c r="EG2915" s="1159"/>
    </row>
    <row r="2916" ht="15" customHeight="1">
      <c r="CK2916" s="1159"/>
      <c r="EG2916" s="1159"/>
    </row>
    <row r="2917" ht="15" customHeight="1">
      <c r="CK2917" s="1159"/>
      <c r="EG2917" s="1159"/>
    </row>
    <row r="2918" ht="15" customHeight="1">
      <c r="CK2918" s="1159"/>
      <c r="EG2918" s="1159"/>
    </row>
    <row r="2919" ht="15" customHeight="1">
      <c r="CK2919" s="1159"/>
      <c r="EG2919" s="1159"/>
    </row>
    <row r="2920" ht="15" customHeight="1">
      <c r="CK2920" s="1159"/>
      <c r="EG2920" s="1159"/>
    </row>
    <row r="2921" ht="15" customHeight="1">
      <c r="CK2921" s="1159"/>
      <c r="EG2921" s="1159"/>
    </row>
    <row r="2922" ht="15" customHeight="1">
      <c r="CK2922" s="1159"/>
      <c r="EG2922" s="1159"/>
    </row>
    <row r="2923" ht="15" customHeight="1">
      <c r="CK2923" s="1159"/>
      <c r="EG2923" s="1159"/>
    </row>
    <row r="2924" ht="15" customHeight="1">
      <c r="CK2924" s="1159"/>
      <c r="EG2924" s="1159"/>
    </row>
    <row r="2925" ht="15" customHeight="1">
      <c r="CK2925" s="1159"/>
      <c r="EG2925" s="1159"/>
    </row>
    <row r="2926" ht="15" customHeight="1">
      <c r="CK2926" s="1159"/>
      <c r="EG2926" s="1159"/>
    </row>
    <row r="2927" ht="15" customHeight="1">
      <c r="CK2927" s="1159"/>
      <c r="EG2927" s="1159"/>
    </row>
    <row r="2928" ht="15" customHeight="1">
      <c r="CK2928" s="1159"/>
      <c r="EG2928" s="1159"/>
    </row>
    <row r="2929" ht="15" customHeight="1">
      <c r="CK2929" s="1159"/>
      <c r="EG2929" s="1159"/>
    </row>
    <row r="2930" ht="15" customHeight="1">
      <c r="CK2930" s="1159"/>
      <c r="EG2930" s="1159"/>
    </row>
    <row r="2931" ht="15" customHeight="1">
      <c r="CK2931" s="1159"/>
      <c r="EG2931" s="1159"/>
    </row>
    <row r="2932" ht="15" customHeight="1">
      <c r="CK2932" s="1159"/>
      <c r="EG2932" s="1159"/>
    </row>
    <row r="2933" ht="15" customHeight="1">
      <c r="CK2933" s="1159"/>
      <c r="EG2933" s="1159"/>
    </row>
    <row r="2934" ht="15" customHeight="1">
      <c r="CK2934" s="1159"/>
      <c r="EG2934" s="1159"/>
    </row>
    <row r="2935" ht="15" customHeight="1">
      <c r="CK2935" s="1159"/>
      <c r="EG2935" s="1159"/>
    </row>
    <row r="2936" ht="15" customHeight="1">
      <c r="CK2936" s="1159"/>
      <c r="EG2936" s="1159"/>
    </row>
    <row r="2937" ht="15" customHeight="1">
      <c r="CK2937" s="1159"/>
      <c r="EG2937" s="1159"/>
    </row>
    <row r="2938" ht="15" customHeight="1">
      <c r="CK2938" s="1159"/>
      <c r="EG2938" s="1159"/>
    </row>
    <row r="2939" ht="15" customHeight="1">
      <c r="CK2939" s="1159"/>
      <c r="EG2939" s="1159"/>
    </row>
    <row r="2940" ht="15" customHeight="1">
      <c r="CK2940" s="1159"/>
      <c r="EG2940" s="1159"/>
    </row>
    <row r="2941" ht="15" customHeight="1">
      <c r="CK2941" s="1159"/>
      <c r="EG2941" s="1159"/>
    </row>
    <row r="2942" ht="15" customHeight="1">
      <c r="CK2942" s="1159"/>
      <c r="EG2942" s="1159"/>
    </row>
    <row r="2943" ht="15" customHeight="1">
      <c r="CK2943" s="1159"/>
      <c r="EG2943" s="1159"/>
    </row>
    <row r="2944" ht="15" customHeight="1">
      <c r="CK2944" s="1159"/>
      <c r="EG2944" s="1159"/>
    </row>
    <row r="2945" ht="15" customHeight="1">
      <c r="CK2945" s="1159"/>
      <c r="EG2945" s="1159"/>
    </row>
    <row r="2946" ht="15" customHeight="1">
      <c r="CK2946" s="1159"/>
      <c r="EG2946" s="1159"/>
    </row>
    <row r="2947" ht="15" customHeight="1">
      <c r="CK2947" s="1159"/>
      <c r="EG2947" s="1159"/>
    </row>
    <row r="2948" ht="15" customHeight="1">
      <c r="CK2948" s="1159"/>
      <c r="EG2948" s="1159"/>
    </row>
    <row r="2949" ht="15" customHeight="1">
      <c r="CK2949" s="1159"/>
      <c r="EG2949" s="1159"/>
    </row>
    <row r="2950" ht="15" customHeight="1">
      <c r="CK2950" s="1159"/>
      <c r="EG2950" s="1159"/>
    </row>
    <row r="2951" ht="15" customHeight="1">
      <c r="CK2951" s="1159"/>
      <c r="EG2951" s="1159"/>
    </row>
    <row r="2952" ht="15" customHeight="1">
      <c r="CK2952" s="1159"/>
      <c r="EG2952" s="1159"/>
    </row>
    <row r="2953" ht="15" customHeight="1">
      <c r="CK2953" s="1159"/>
      <c r="EG2953" s="1159"/>
    </row>
    <row r="2954" ht="15" customHeight="1">
      <c r="CK2954" s="1159"/>
      <c r="EG2954" s="1159"/>
    </row>
    <row r="2955" ht="15" customHeight="1">
      <c r="CK2955" s="1159"/>
      <c r="EG2955" s="1159"/>
    </row>
    <row r="2956" ht="15" customHeight="1">
      <c r="CK2956" s="1159"/>
      <c r="EG2956" s="1159"/>
    </row>
    <row r="2957" ht="15" customHeight="1">
      <c r="CK2957" s="1159"/>
      <c r="EG2957" s="1159"/>
    </row>
    <row r="2958" ht="15" customHeight="1">
      <c r="CK2958" s="1159"/>
      <c r="EG2958" s="1159"/>
    </row>
    <row r="2959" ht="15" customHeight="1">
      <c r="CK2959" s="1159"/>
      <c r="EG2959" s="1159"/>
    </row>
    <row r="2960" ht="15" customHeight="1">
      <c r="CK2960" s="1159"/>
      <c r="EG2960" s="1159"/>
    </row>
    <row r="2961" ht="15" customHeight="1">
      <c r="CK2961" s="1159"/>
      <c r="EG2961" s="1159"/>
    </row>
    <row r="2962" ht="15" customHeight="1">
      <c r="CK2962" s="1159"/>
      <c r="EG2962" s="1159"/>
    </row>
    <row r="2963" ht="15" customHeight="1">
      <c r="CK2963" s="1159"/>
      <c r="EG2963" s="1159"/>
    </row>
    <row r="2964" ht="15" customHeight="1">
      <c r="CK2964" s="1159"/>
      <c r="EG2964" s="1159"/>
    </row>
    <row r="2965" ht="15" customHeight="1">
      <c r="CK2965" s="1159"/>
      <c r="EG2965" s="1159"/>
    </row>
    <row r="2966" ht="15" customHeight="1">
      <c r="CK2966" s="1159"/>
      <c r="EG2966" s="1159"/>
    </row>
    <row r="2967" ht="15" customHeight="1">
      <c r="CK2967" s="1159"/>
      <c r="EG2967" s="1159"/>
    </row>
    <row r="2968" ht="15" customHeight="1">
      <c r="CK2968" s="1159"/>
      <c r="EG2968" s="1159"/>
    </row>
    <row r="2969" ht="15" customHeight="1">
      <c r="CK2969" s="1159"/>
      <c r="EG2969" s="1159"/>
    </row>
    <row r="2970" ht="15" customHeight="1">
      <c r="CK2970" s="1159"/>
      <c r="EG2970" s="1159"/>
    </row>
    <row r="2971" ht="15" customHeight="1">
      <c r="CK2971" s="1159"/>
      <c r="EG2971" s="1159"/>
    </row>
    <row r="2972" ht="15" customHeight="1">
      <c r="CK2972" s="1159"/>
      <c r="EG2972" s="1159"/>
    </row>
    <row r="2973" ht="15" customHeight="1">
      <c r="CK2973" s="1159"/>
      <c r="EG2973" s="1159"/>
    </row>
    <row r="2974" ht="15" customHeight="1">
      <c r="CK2974" s="1159"/>
      <c r="EG2974" s="1159"/>
    </row>
    <row r="2975" ht="15" customHeight="1">
      <c r="CK2975" s="1159"/>
      <c r="EG2975" s="1159"/>
    </row>
    <row r="2976" ht="15" customHeight="1">
      <c r="CK2976" s="1159"/>
      <c r="EG2976" s="1159"/>
    </row>
    <row r="2977" ht="15" customHeight="1">
      <c r="CK2977" s="1159"/>
      <c r="EG2977" s="1159"/>
    </row>
    <row r="2978" ht="15" customHeight="1">
      <c r="CK2978" s="1159"/>
      <c r="EG2978" s="1159"/>
    </row>
    <row r="2979" ht="15" customHeight="1">
      <c r="CK2979" s="1159"/>
      <c r="EG2979" s="1159"/>
    </row>
    <row r="2980" ht="15" customHeight="1">
      <c r="CK2980" s="1159"/>
      <c r="EG2980" s="1159"/>
    </row>
    <row r="2981" ht="15" customHeight="1">
      <c r="CK2981" s="1159"/>
      <c r="EG2981" s="1159"/>
    </row>
    <row r="2982" ht="15" customHeight="1">
      <c r="CK2982" s="1159"/>
      <c r="EG2982" s="1159"/>
    </row>
    <row r="2983" ht="15" customHeight="1">
      <c r="CK2983" s="1159"/>
      <c r="EG2983" s="1159"/>
    </row>
    <row r="2984" ht="15" customHeight="1">
      <c r="CK2984" s="1159"/>
      <c r="EG2984" s="1159"/>
    </row>
    <row r="2985" ht="15" customHeight="1">
      <c r="CK2985" s="1159"/>
      <c r="EG2985" s="1159"/>
    </row>
    <row r="2986" ht="15" customHeight="1">
      <c r="CK2986" s="1159"/>
      <c r="EG2986" s="1159"/>
    </row>
    <row r="2987" ht="15" customHeight="1">
      <c r="CK2987" s="1159"/>
      <c r="EG2987" s="1159"/>
    </row>
    <row r="2988" ht="15" customHeight="1">
      <c r="CK2988" s="1159"/>
      <c r="EG2988" s="1159"/>
    </row>
    <row r="2989" ht="15" customHeight="1">
      <c r="CK2989" s="1159"/>
      <c r="EG2989" s="1159"/>
    </row>
    <row r="2990" ht="15" customHeight="1">
      <c r="CK2990" s="1159"/>
      <c r="EG2990" s="1159"/>
    </row>
    <row r="2991" ht="15" customHeight="1">
      <c r="CK2991" s="1159"/>
      <c r="EG2991" s="1159"/>
    </row>
    <row r="2992" ht="15" customHeight="1">
      <c r="CK2992" s="1159"/>
      <c r="EG2992" s="1159"/>
    </row>
    <row r="2993" ht="15" customHeight="1">
      <c r="CK2993" s="1159"/>
      <c r="EG2993" s="1159"/>
    </row>
    <row r="2994" ht="15" customHeight="1">
      <c r="CK2994" s="1159"/>
      <c r="EG2994" s="1159"/>
    </row>
    <row r="2995" ht="15" customHeight="1">
      <c r="CK2995" s="1159"/>
      <c r="EG2995" s="1159"/>
    </row>
    <row r="2996" ht="15" customHeight="1">
      <c r="CK2996" s="1159"/>
      <c r="EG2996" s="1159"/>
    </row>
    <row r="2997" ht="15" customHeight="1">
      <c r="CK2997" s="1159"/>
      <c r="EG2997" s="1159"/>
    </row>
    <row r="2998" ht="15" customHeight="1">
      <c r="CK2998" s="1159"/>
      <c r="EG2998" s="1159"/>
    </row>
    <row r="2999" ht="15" customHeight="1">
      <c r="CK2999" s="1159"/>
      <c r="EG2999" s="1159"/>
    </row>
    <row r="3000" ht="15" customHeight="1">
      <c r="CK3000" s="1159"/>
      <c r="EG3000" s="1159"/>
    </row>
    <row r="3001" ht="15" customHeight="1">
      <c r="CK3001" s="1159"/>
      <c r="EG3001" s="1159"/>
    </row>
    <row r="3002" ht="15" customHeight="1">
      <c r="CK3002" s="1159"/>
      <c r="EG3002" s="1159"/>
    </row>
    <row r="3003" ht="15" customHeight="1">
      <c r="CK3003" s="1159"/>
      <c r="EG3003" s="1159"/>
    </row>
    <row r="3004" ht="15" customHeight="1">
      <c r="CK3004" s="1159"/>
      <c r="EG3004" s="1159"/>
    </row>
    <row r="3005" ht="15" customHeight="1">
      <c r="CK3005" s="1159"/>
      <c r="EG3005" s="1159"/>
    </row>
    <row r="3006" ht="15" customHeight="1">
      <c r="CK3006" s="1159"/>
      <c r="EG3006" s="1159"/>
    </row>
    <row r="3007" ht="15" customHeight="1">
      <c r="CK3007" s="1159"/>
      <c r="EG3007" s="1159"/>
    </row>
    <row r="3008" ht="15" customHeight="1">
      <c r="CK3008" s="1159"/>
      <c r="EG3008" s="1159"/>
    </row>
    <row r="3009" ht="15" customHeight="1">
      <c r="CK3009" s="1159"/>
      <c r="EG3009" s="1159"/>
    </row>
    <row r="3010" ht="15" customHeight="1">
      <c r="CK3010" s="1159"/>
      <c r="EG3010" s="1159"/>
    </row>
    <row r="3011" ht="15" customHeight="1">
      <c r="CK3011" s="1159"/>
      <c r="EG3011" s="1159"/>
    </row>
    <row r="3012" ht="15" customHeight="1">
      <c r="CK3012" s="1159"/>
      <c r="EG3012" s="1159"/>
    </row>
    <row r="3013" ht="15" customHeight="1">
      <c r="CK3013" s="1159"/>
      <c r="EG3013" s="1159"/>
    </row>
    <row r="3014" ht="15" customHeight="1">
      <c r="CK3014" s="1159"/>
      <c r="EG3014" s="1159"/>
    </row>
    <row r="3015" ht="15" customHeight="1">
      <c r="CK3015" s="1159"/>
      <c r="EG3015" s="1159"/>
    </row>
    <row r="3016" ht="15" customHeight="1">
      <c r="CK3016" s="1159"/>
      <c r="EG3016" s="1159"/>
    </row>
    <row r="3017" ht="15" customHeight="1">
      <c r="CK3017" s="1159"/>
      <c r="EG3017" s="1159"/>
    </row>
    <row r="3018" ht="15" customHeight="1">
      <c r="CK3018" s="1159"/>
      <c r="EG3018" s="1159"/>
    </row>
    <row r="3019" ht="15" customHeight="1">
      <c r="CK3019" s="1159"/>
      <c r="EG3019" s="1159"/>
    </row>
    <row r="3020" ht="15" customHeight="1">
      <c r="CK3020" s="1159"/>
      <c r="EG3020" s="1159"/>
    </row>
    <row r="3021" ht="15" customHeight="1">
      <c r="CK3021" s="1159"/>
      <c r="EG3021" s="1159"/>
    </row>
    <row r="3022" ht="15" customHeight="1">
      <c r="CK3022" s="1159"/>
      <c r="EG3022" s="1159"/>
    </row>
    <row r="3023" ht="15" customHeight="1">
      <c r="CK3023" s="1159"/>
      <c r="EG3023" s="1159"/>
    </row>
    <row r="3024" ht="15" customHeight="1">
      <c r="CK3024" s="1159"/>
      <c r="EG3024" s="1159"/>
    </row>
    <row r="3025" ht="15" customHeight="1">
      <c r="CK3025" s="1159"/>
      <c r="EG3025" s="1159"/>
    </row>
    <row r="3026" ht="15" customHeight="1">
      <c r="CK3026" s="1159"/>
      <c r="EG3026" s="1159"/>
    </row>
    <row r="3027" ht="15" customHeight="1">
      <c r="CK3027" s="1159"/>
      <c r="EG3027" s="1159"/>
    </row>
    <row r="3028" ht="15" customHeight="1">
      <c r="CK3028" s="1159"/>
      <c r="EG3028" s="1159"/>
    </row>
    <row r="3029" ht="15" customHeight="1">
      <c r="CK3029" s="1159"/>
      <c r="EG3029" s="1159"/>
    </row>
    <row r="3030" ht="15" customHeight="1">
      <c r="CK3030" s="1159"/>
      <c r="EG3030" s="1159"/>
    </row>
    <row r="3031" ht="15" customHeight="1">
      <c r="CK3031" s="1159"/>
      <c r="EG3031" s="1159"/>
    </row>
    <row r="3032" ht="15" customHeight="1">
      <c r="CK3032" s="1159"/>
      <c r="EG3032" s="1159"/>
    </row>
    <row r="3033" ht="15" customHeight="1">
      <c r="CK3033" s="1159"/>
      <c r="EG3033" s="1159"/>
    </row>
    <row r="3034" ht="15" customHeight="1">
      <c r="CK3034" s="1159"/>
      <c r="EG3034" s="1159"/>
    </row>
    <row r="3035" ht="15" customHeight="1">
      <c r="CK3035" s="1159"/>
      <c r="EG3035" s="1159"/>
    </row>
    <row r="3036" ht="15" customHeight="1">
      <c r="CK3036" s="1159"/>
      <c r="EG3036" s="1159"/>
    </row>
    <row r="3037" ht="15" customHeight="1">
      <c r="CK3037" s="1159"/>
      <c r="EG3037" s="1159"/>
    </row>
    <row r="3038" ht="15" customHeight="1">
      <c r="CK3038" s="1159"/>
      <c r="EG3038" s="1159"/>
    </row>
    <row r="3039" ht="15" customHeight="1">
      <c r="CK3039" s="1159"/>
      <c r="EG3039" s="1159"/>
    </row>
    <row r="3040" ht="15" customHeight="1">
      <c r="CK3040" s="1159"/>
      <c r="EG3040" s="1159"/>
    </row>
    <row r="3041" ht="15" customHeight="1">
      <c r="CK3041" s="1159"/>
      <c r="EG3041" s="1159"/>
    </row>
    <row r="3042" ht="15" customHeight="1">
      <c r="CK3042" s="1159"/>
      <c r="EG3042" s="1159"/>
    </row>
    <row r="3043" ht="15" customHeight="1">
      <c r="CK3043" s="1159"/>
      <c r="EG3043" s="1159"/>
    </row>
    <row r="3044" ht="15" customHeight="1">
      <c r="CK3044" s="1159"/>
      <c r="EG3044" s="1159"/>
    </row>
    <row r="3045" ht="15" customHeight="1">
      <c r="CK3045" s="1159"/>
      <c r="EG3045" s="1159"/>
    </row>
    <row r="3046" ht="15" customHeight="1">
      <c r="CK3046" s="1159"/>
      <c r="EG3046" s="1159"/>
    </row>
    <row r="3047" ht="15" customHeight="1">
      <c r="CK3047" s="1159"/>
      <c r="EG3047" s="1159"/>
    </row>
    <row r="3048" ht="15" customHeight="1">
      <c r="CK3048" s="1159"/>
      <c r="EG3048" s="1159"/>
    </row>
    <row r="3049" ht="15" customHeight="1">
      <c r="CK3049" s="1159"/>
      <c r="EG3049" s="1159"/>
    </row>
    <row r="3050" ht="15" customHeight="1">
      <c r="CK3050" s="1159"/>
      <c r="EG3050" s="1159"/>
    </row>
    <row r="3051" ht="15" customHeight="1">
      <c r="CK3051" s="1159"/>
      <c r="EG3051" s="1159"/>
    </row>
    <row r="3052" ht="15" customHeight="1">
      <c r="CK3052" s="1159"/>
      <c r="EG3052" s="1159"/>
    </row>
    <row r="3053" ht="15" customHeight="1">
      <c r="CK3053" s="1159"/>
      <c r="EG3053" s="1159"/>
    </row>
    <row r="3054" ht="15" customHeight="1">
      <c r="CK3054" s="1159"/>
      <c r="EG3054" s="1159"/>
    </row>
    <row r="3055" ht="15" customHeight="1">
      <c r="CK3055" s="1159"/>
      <c r="EG3055" s="1159"/>
    </row>
    <row r="3056" ht="15" customHeight="1">
      <c r="CK3056" s="1159"/>
      <c r="EG3056" s="1159"/>
    </row>
    <row r="3057" ht="15" customHeight="1">
      <c r="CK3057" s="1159"/>
      <c r="EG3057" s="1159"/>
    </row>
    <row r="3058" ht="15" customHeight="1">
      <c r="CK3058" s="1159"/>
      <c r="EG3058" s="1159"/>
    </row>
    <row r="3059" ht="15" customHeight="1">
      <c r="CK3059" s="1159"/>
      <c r="EG3059" s="1159"/>
    </row>
    <row r="3060" ht="15" customHeight="1">
      <c r="CK3060" s="1159"/>
      <c r="EG3060" s="1159"/>
    </row>
    <row r="3061" ht="15" customHeight="1">
      <c r="CK3061" s="1159"/>
      <c r="EG3061" s="1159"/>
    </row>
    <row r="3062" ht="15" customHeight="1">
      <c r="CK3062" s="1159"/>
      <c r="EG3062" s="1159"/>
    </row>
    <row r="3063" ht="15" customHeight="1">
      <c r="CK3063" s="1159"/>
      <c r="EG3063" s="1159"/>
    </row>
    <row r="3064" ht="15" customHeight="1">
      <c r="CK3064" s="1159"/>
      <c r="EG3064" s="1159"/>
    </row>
    <row r="3065" ht="15" customHeight="1">
      <c r="CK3065" s="1159"/>
      <c r="EG3065" s="1159"/>
    </row>
    <row r="3066" ht="15" customHeight="1">
      <c r="CK3066" s="1159"/>
      <c r="EG3066" s="1159"/>
    </row>
    <row r="3067" ht="15" customHeight="1">
      <c r="CK3067" s="1159"/>
      <c r="EG3067" s="1159"/>
    </row>
    <row r="3068" ht="15" customHeight="1">
      <c r="CK3068" s="1159"/>
      <c r="EG3068" s="1159"/>
    </row>
    <row r="3069" ht="15" customHeight="1">
      <c r="CK3069" s="1159"/>
      <c r="EG3069" s="1159"/>
    </row>
    <row r="3070" ht="15" customHeight="1">
      <c r="CK3070" s="1159"/>
      <c r="EG3070" s="1159"/>
    </row>
    <row r="3071" ht="15" customHeight="1">
      <c r="CK3071" s="1159"/>
      <c r="EG3071" s="1159"/>
    </row>
    <row r="3072" ht="15" customHeight="1">
      <c r="CK3072" s="1159"/>
      <c r="EG3072" s="1159"/>
    </row>
    <row r="3073" ht="15" customHeight="1">
      <c r="CK3073" s="1159"/>
      <c r="EG3073" s="1159"/>
    </row>
    <row r="3074" ht="15" customHeight="1">
      <c r="CK3074" s="1159"/>
      <c r="EG3074" s="1159"/>
    </row>
    <row r="3075" ht="15" customHeight="1">
      <c r="CK3075" s="1159"/>
      <c r="EG3075" s="1159"/>
    </row>
    <row r="3076" ht="15" customHeight="1">
      <c r="CK3076" s="1159"/>
      <c r="EG3076" s="1159"/>
    </row>
    <row r="3077" ht="15" customHeight="1">
      <c r="CK3077" s="1159"/>
      <c r="EG3077" s="1159"/>
    </row>
    <row r="3078" ht="15" customHeight="1">
      <c r="CK3078" s="1159"/>
      <c r="EG3078" s="1159"/>
    </row>
    <row r="3079" ht="15" customHeight="1">
      <c r="CK3079" s="1159"/>
      <c r="EG3079" s="1159"/>
    </row>
    <row r="3080" ht="15" customHeight="1">
      <c r="CK3080" s="1159"/>
      <c r="EG3080" s="1159"/>
    </row>
    <row r="3081" ht="15" customHeight="1">
      <c r="CK3081" s="1159"/>
      <c r="EG3081" s="1159"/>
    </row>
    <row r="3082" ht="15" customHeight="1">
      <c r="CK3082" s="1159"/>
      <c r="EG3082" s="1159"/>
    </row>
    <row r="3083" ht="15" customHeight="1">
      <c r="CK3083" s="1159"/>
      <c r="EG3083" s="1159"/>
    </row>
    <row r="3084" ht="15" customHeight="1">
      <c r="CK3084" s="1159"/>
      <c r="EG3084" s="1159"/>
    </row>
    <row r="3085" ht="15" customHeight="1">
      <c r="CK3085" s="1159"/>
      <c r="EG3085" s="1159"/>
    </row>
    <row r="3086" ht="15" customHeight="1">
      <c r="CK3086" s="1159"/>
      <c r="EG3086" s="1159"/>
    </row>
    <row r="3087" ht="15" customHeight="1">
      <c r="CK3087" s="1159"/>
      <c r="EG3087" s="1159"/>
    </row>
    <row r="3088" ht="15" customHeight="1">
      <c r="CK3088" s="1159"/>
      <c r="EG3088" s="1159"/>
    </row>
    <row r="3089" ht="15" customHeight="1">
      <c r="CK3089" s="1159"/>
      <c r="EG3089" s="1159"/>
    </row>
    <row r="3090" ht="15" customHeight="1">
      <c r="CK3090" s="1159"/>
      <c r="EG3090" s="1159"/>
    </row>
    <row r="3091" ht="15" customHeight="1">
      <c r="CK3091" s="1159"/>
      <c r="EG3091" s="1159"/>
    </row>
    <row r="3092" ht="15" customHeight="1">
      <c r="CK3092" s="1159"/>
      <c r="EG3092" s="1159"/>
    </row>
    <row r="3093" ht="15" customHeight="1">
      <c r="CK3093" s="1159"/>
      <c r="EG3093" s="1159"/>
    </row>
    <row r="3094" ht="15" customHeight="1">
      <c r="CK3094" s="1159"/>
      <c r="EG3094" s="1159"/>
    </row>
    <row r="3095" ht="15" customHeight="1">
      <c r="CK3095" s="1159"/>
      <c r="EG3095" s="1159"/>
    </row>
    <row r="3096" ht="15" customHeight="1">
      <c r="CK3096" s="1159"/>
      <c r="EG3096" s="1159"/>
    </row>
    <row r="3097" ht="15" customHeight="1">
      <c r="CK3097" s="1159"/>
      <c r="EG3097" s="1159"/>
    </row>
    <row r="3098" ht="15" customHeight="1">
      <c r="CK3098" s="1159"/>
      <c r="EG3098" s="1159"/>
    </row>
    <row r="3099" ht="15" customHeight="1">
      <c r="CK3099" s="1159"/>
      <c r="EG3099" s="1159"/>
    </row>
    <row r="3100" ht="15" customHeight="1">
      <c r="CK3100" s="1159"/>
      <c r="EG3100" s="1159"/>
    </row>
    <row r="3101" ht="15" customHeight="1">
      <c r="CK3101" s="1159"/>
      <c r="EG3101" s="1159"/>
    </row>
    <row r="3102" ht="15" customHeight="1">
      <c r="CK3102" s="1159"/>
      <c r="EG3102" s="1159"/>
    </row>
    <row r="3103" ht="15" customHeight="1">
      <c r="CK3103" s="1159"/>
      <c r="EG3103" s="1159"/>
    </row>
    <row r="3104" ht="15" customHeight="1">
      <c r="CK3104" s="1159"/>
      <c r="EG3104" s="1159"/>
    </row>
    <row r="3105" ht="15" customHeight="1">
      <c r="CK3105" s="1159"/>
      <c r="EG3105" s="1159"/>
    </row>
    <row r="3106" ht="15" customHeight="1">
      <c r="CK3106" s="1159"/>
      <c r="EG3106" s="1159"/>
    </row>
    <row r="3107" ht="15" customHeight="1">
      <c r="CK3107" s="1159"/>
      <c r="EG3107" s="1159"/>
    </row>
    <row r="3108" ht="15" customHeight="1">
      <c r="CK3108" s="1159"/>
      <c r="EG3108" s="1159"/>
    </row>
    <row r="3109" ht="15" customHeight="1">
      <c r="CK3109" s="1159"/>
      <c r="EG3109" s="1159"/>
    </row>
    <row r="3110" ht="15" customHeight="1">
      <c r="CK3110" s="1159"/>
      <c r="EG3110" s="1159"/>
    </row>
    <row r="3111" ht="15" customHeight="1">
      <c r="CK3111" s="1159"/>
      <c r="EG3111" s="1159"/>
    </row>
    <row r="3112" ht="15" customHeight="1">
      <c r="CK3112" s="1159"/>
      <c r="EG3112" s="1159"/>
    </row>
    <row r="3113" ht="15" customHeight="1">
      <c r="CK3113" s="1159"/>
      <c r="EG3113" s="1159"/>
    </row>
    <row r="3114" ht="15" customHeight="1">
      <c r="CK3114" s="1159"/>
      <c r="EG3114" s="1159"/>
    </row>
    <row r="3115" ht="15" customHeight="1">
      <c r="CK3115" s="1159"/>
      <c r="EG3115" s="1159"/>
    </row>
    <row r="3116" ht="15" customHeight="1">
      <c r="CK3116" s="1159"/>
      <c r="EG3116" s="1159"/>
    </row>
    <row r="3117" ht="15" customHeight="1">
      <c r="CK3117" s="1159"/>
      <c r="EG3117" s="1159"/>
    </row>
    <row r="3118" ht="15" customHeight="1">
      <c r="CK3118" s="1159"/>
      <c r="EG3118" s="1159"/>
    </row>
    <row r="3119" ht="15" customHeight="1">
      <c r="CK3119" s="1159"/>
      <c r="EG3119" s="1159"/>
    </row>
    <row r="3120" ht="15" customHeight="1">
      <c r="CK3120" s="1159"/>
      <c r="EG3120" s="1159"/>
    </row>
    <row r="3121" ht="15" customHeight="1">
      <c r="CK3121" s="1159"/>
      <c r="EG3121" s="1159"/>
    </row>
    <row r="3122" ht="15" customHeight="1">
      <c r="CK3122" s="1159"/>
      <c r="EG3122" s="1159"/>
    </row>
    <row r="3123" ht="15" customHeight="1">
      <c r="CK3123" s="1159"/>
      <c r="EG3123" s="1159"/>
    </row>
    <row r="3124" ht="15" customHeight="1">
      <c r="CK3124" s="1159"/>
      <c r="EG3124" s="1159"/>
    </row>
    <row r="3125" ht="15" customHeight="1">
      <c r="CK3125" s="1159"/>
      <c r="EG3125" s="1159"/>
    </row>
    <row r="3126" ht="15" customHeight="1">
      <c r="CK3126" s="1159"/>
      <c r="EG3126" s="1159"/>
    </row>
    <row r="3127" ht="15" customHeight="1">
      <c r="CK3127" s="1159"/>
      <c r="EG3127" s="1159"/>
    </row>
    <row r="3128" ht="15" customHeight="1">
      <c r="CK3128" s="1159"/>
      <c r="EG3128" s="1159"/>
    </row>
    <row r="3129" ht="15" customHeight="1">
      <c r="CK3129" s="1159"/>
      <c r="EG3129" s="1159"/>
    </row>
    <row r="3130" ht="15" customHeight="1">
      <c r="CK3130" s="1159"/>
      <c r="EG3130" s="1159"/>
    </row>
    <row r="3131" ht="15" customHeight="1">
      <c r="CK3131" s="1159"/>
      <c r="EG3131" s="1159"/>
    </row>
    <row r="3132" ht="15" customHeight="1">
      <c r="CK3132" s="1159"/>
      <c r="EG3132" s="1159"/>
    </row>
    <row r="3133" ht="15" customHeight="1">
      <c r="CK3133" s="1159"/>
      <c r="EG3133" s="1159"/>
    </row>
    <row r="3134" ht="15" customHeight="1">
      <c r="CK3134" s="1159"/>
      <c r="EG3134" s="1159"/>
    </row>
    <row r="3135" ht="15" customHeight="1">
      <c r="CK3135" s="1159"/>
      <c r="EG3135" s="1159"/>
    </row>
    <row r="3136" ht="15" customHeight="1">
      <c r="CK3136" s="1159"/>
      <c r="EG3136" s="1159"/>
    </row>
    <row r="3137" ht="15" customHeight="1">
      <c r="CK3137" s="1159"/>
      <c r="EG3137" s="1159"/>
    </row>
    <row r="3138" ht="15" customHeight="1">
      <c r="CK3138" s="1159"/>
      <c r="EG3138" s="1159"/>
    </row>
    <row r="3139" ht="15" customHeight="1">
      <c r="CK3139" s="1159"/>
      <c r="EG3139" s="1159"/>
    </row>
    <row r="3140" ht="15" customHeight="1">
      <c r="CK3140" s="1159"/>
      <c r="EG3140" s="1159"/>
    </row>
    <row r="3141" ht="15" customHeight="1">
      <c r="CK3141" s="1159"/>
      <c r="EG3141" s="1159"/>
    </row>
    <row r="3142" ht="15" customHeight="1">
      <c r="CK3142" s="1159"/>
      <c r="EG3142" s="1159"/>
    </row>
    <row r="3143" ht="15" customHeight="1">
      <c r="CK3143" s="1159"/>
      <c r="EG3143" s="1159"/>
    </row>
    <row r="3144" ht="15" customHeight="1">
      <c r="CK3144" s="1159"/>
      <c r="EG3144" s="1159"/>
    </row>
    <row r="3145" ht="15" customHeight="1">
      <c r="CK3145" s="1159"/>
      <c r="EG3145" s="1159"/>
    </row>
    <row r="3146" ht="15" customHeight="1">
      <c r="CK3146" s="1159"/>
      <c r="EG3146" s="1159"/>
    </row>
    <row r="3147" ht="15" customHeight="1">
      <c r="CK3147" s="1159"/>
      <c r="EG3147" s="1159"/>
    </row>
    <row r="3148" ht="15" customHeight="1">
      <c r="CK3148" s="1159"/>
      <c r="EG3148" s="1159"/>
    </row>
    <row r="3149" ht="15" customHeight="1">
      <c r="CK3149" s="1159"/>
      <c r="EG3149" s="1159"/>
    </row>
    <row r="3150" ht="15" customHeight="1">
      <c r="CK3150" s="1159"/>
      <c r="EG3150" s="1159"/>
    </row>
    <row r="3151" ht="15" customHeight="1">
      <c r="CK3151" s="1159"/>
      <c r="EG3151" s="1159"/>
    </row>
    <row r="3152" ht="15" customHeight="1">
      <c r="CK3152" s="1159"/>
      <c r="EG3152" s="1159"/>
    </row>
    <row r="3153" ht="15" customHeight="1">
      <c r="CK3153" s="1159"/>
      <c r="EG3153" s="1159"/>
    </row>
    <row r="3154" ht="15" customHeight="1">
      <c r="CK3154" s="1159"/>
      <c r="EG3154" s="1159"/>
    </row>
    <row r="3155" ht="15" customHeight="1">
      <c r="CK3155" s="1159"/>
      <c r="EG3155" s="1159"/>
    </row>
    <row r="3156" ht="15" customHeight="1">
      <c r="CK3156" s="1159"/>
      <c r="EG3156" s="1159"/>
    </row>
    <row r="3157" ht="15" customHeight="1">
      <c r="CK3157" s="1159"/>
      <c r="EG3157" s="1159"/>
    </row>
    <row r="3158" ht="15" customHeight="1">
      <c r="CK3158" s="1159"/>
      <c r="EG3158" s="1159"/>
    </row>
    <row r="3159" ht="15" customHeight="1">
      <c r="CK3159" s="1159"/>
      <c r="EG3159" s="1159"/>
    </row>
    <row r="3160" ht="15" customHeight="1">
      <c r="CK3160" s="1159"/>
      <c r="EG3160" s="1159"/>
    </row>
    <row r="3161" ht="15" customHeight="1">
      <c r="CK3161" s="1159"/>
      <c r="EG3161" s="1159"/>
    </row>
    <row r="3162" ht="15" customHeight="1">
      <c r="CK3162" s="1159"/>
      <c r="EG3162" s="1159"/>
    </row>
    <row r="3163" ht="15" customHeight="1">
      <c r="CK3163" s="1159"/>
      <c r="EG3163" s="1159"/>
    </row>
    <row r="3164" ht="15" customHeight="1">
      <c r="CK3164" s="1159"/>
      <c r="EG3164" s="1159"/>
    </row>
    <row r="3165" ht="15" customHeight="1">
      <c r="CK3165" s="1159"/>
      <c r="EG3165" s="1159"/>
    </row>
    <row r="3166" ht="15" customHeight="1">
      <c r="CK3166" s="1159"/>
      <c r="EG3166" s="1159"/>
    </row>
    <row r="3167" ht="15" customHeight="1">
      <c r="CK3167" s="1159"/>
      <c r="EG3167" s="1159"/>
    </row>
    <row r="3168" ht="15" customHeight="1">
      <c r="CK3168" s="1159"/>
      <c r="EG3168" s="1159"/>
    </row>
    <row r="3169" ht="15" customHeight="1">
      <c r="CK3169" s="1159"/>
      <c r="EG3169" s="1159"/>
    </row>
    <row r="3170" ht="15" customHeight="1">
      <c r="CK3170" s="1159"/>
      <c r="EG3170" s="1159"/>
    </row>
    <row r="3171" ht="15" customHeight="1">
      <c r="CK3171" s="1159"/>
      <c r="EG3171" s="1159"/>
    </row>
    <row r="3172" ht="15" customHeight="1">
      <c r="CK3172" s="1159"/>
      <c r="EG3172" s="1159"/>
    </row>
    <row r="3173" ht="15" customHeight="1">
      <c r="CK3173" s="1159"/>
      <c r="EG3173" s="1159"/>
    </row>
    <row r="3174" ht="15" customHeight="1">
      <c r="CK3174" s="1159"/>
      <c r="EG3174" s="1159"/>
    </row>
    <row r="3175" ht="15" customHeight="1">
      <c r="CK3175" s="1159"/>
      <c r="EG3175" s="1159"/>
    </row>
    <row r="3176" ht="15" customHeight="1">
      <c r="CK3176" s="1159"/>
      <c r="EG3176" s="1159"/>
    </row>
    <row r="3177" ht="15" customHeight="1">
      <c r="CK3177" s="1159"/>
      <c r="EG3177" s="1159"/>
    </row>
    <row r="3178" ht="15" customHeight="1">
      <c r="CK3178" s="1159"/>
      <c r="EG3178" s="1159"/>
    </row>
    <row r="3179" ht="15" customHeight="1">
      <c r="CK3179" s="1159"/>
      <c r="EG3179" s="1159"/>
    </row>
    <row r="3180" ht="15" customHeight="1">
      <c r="CK3180" s="1159"/>
      <c r="EG3180" s="1159"/>
    </row>
    <row r="3181" ht="15" customHeight="1">
      <c r="CK3181" s="1159"/>
      <c r="EG3181" s="1159"/>
    </row>
    <row r="3182" ht="15" customHeight="1">
      <c r="CK3182" s="1159"/>
      <c r="EG3182" s="1159"/>
    </row>
    <row r="3183" ht="15" customHeight="1">
      <c r="CK3183" s="1159"/>
      <c r="EG3183" s="1159"/>
    </row>
    <row r="3184" ht="15" customHeight="1">
      <c r="CK3184" s="1159"/>
      <c r="EG3184" s="1159"/>
    </row>
    <row r="3185" ht="15" customHeight="1">
      <c r="CK3185" s="1159"/>
      <c r="EG3185" s="1159"/>
    </row>
    <row r="3186" ht="15" customHeight="1">
      <c r="CK3186" s="1159"/>
      <c r="EG3186" s="1159"/>
    </row>
    <row r="3187" ht="15" customHeight="1">
      <c r="CK3187" s="1159"/>
      <c r="EG3187" s="1159"/>
    </row>
    <row r="3188" ht="15" customHeight="1">
      <c r="CK3188" s="1159"/>
      <c r="EG3188" s="1159"/>
    </row>
    <row r="3189" ht="15" customHeight="1">
      <c r="CK3189" s="1159"/>
      <c r="EG3189" s="1159"/>
    </row>
    <row r="3190" ht="15" customHeight="1">
      <c r="CK3190" s="1159"/>
      <c r="EG3190" s="1159"/>
    </row>
    <row r="3191" ht="15" customHeight="1">
      <c r="CK3191" s="1159"/>
      <c r="EG3191" s="1159"/>
    </row>
    <row r="3192" ht="15" customHeight="1">
      <c r="CK3192" s="1159"/>
      <c r="EG3192" s="1159"/>
    </row>
    <row r="3193" ht="15" customHeight="1">
      <c r="CK3193" s="1159"/>
      <c r="EG3193" s="1159"/>
    </row>
    <row r="3194" ht="15" customHeight="1">
      <c r="CK3194" s="1159"/>
      <c r="EG3194" s="1159"/>
    </row>
    <row r="3195" ht="15" customHeight="1">
      <c r="CK3195" s="1159"/>
      <c r="EG3195" s="1159"/>
    </row>
    <row r="3196" ht="15" customHeight="1">
      <c r="CK3196" s="1159"/>
      <c r="EG3196" s="1159"/>
    </row>
    <row r="3197" ht="15" customHeight="1">
      <c r="CK3197" s="1159"/>
      <c r="EG3197" s="1159"/>
    </row>
    <row r="3198" ht="15" customHeight="1">
      <c r="CK3198" s="1159"/>
      <c r="EG3198" s="1159"/>
    </row>
    <row r="3199" ht="15" customHeight="1">
      <c r="CK3199" s="1159"/>
      <c r="EG3199" s="1159"/>
    </row>
    <row r="3200" ht="15" customHeight="1">
      <c r="CK3200" s="1159"/>
      <c r="EG3200" s="1159"/>
    </row>
    <row r="3201" ht="15" customHeight="1">
      <c r="CK3201" s="1159"/>
      <c r="EG3201" s="1159"/>
    </row>
    <row r="3202" ht="15" customHeight="1">
      <c r="CK3202" s="1159"/>
      <c r="EG3202" s="1159"/>
    </row>
    <row r="3203" ht="15" customHeight="1">
      <c r="CK3203" s="1159"/>
      <c r="EG3203" s="1159"/>
    </row>
    <row r="3204" ht="15" customHeight="1">
      <c r="CK3204" s="1159"/>
      <c r="EG3204" s="1159"/>
    </row>
    <row r="3205" ht="15" customHeight="1">
      <c r="CK3205" s="1159"/>
      <c r="EG3205" s="1159"/>
    </row>
    <row r="3206" ht="15" customHeight="1">
      <c r="CK3206" s="1159"/>
      <c r="EG3206" s="1159"/>
    </row>
    <row r="3207" ht="15" customHeight="1">
      <c r="CK3207" s="1159"/>
      <c r="EG3207" s="1159"/>
    </row>
    <row r="3208" ht="15" customHeight="1">
      <c r="CK3208" s="1159"/>
      <c r="EG3208" s="1159"/>
    </row>
    <row r="3209" ht="15" customHeight="1">
      <c r="CK3209" s="1159"/>
      <c r="EG3209" s="1159"/>
    </row>
    <row r="3210" ht="15" customHeight="1">
      <c r="CK3210" s="1159"/>
      <c r="EG3210" s="1159"/>
    </row>
    <row r="3211" ht="15" customHeight="1">
      <c r="CK3211" s="1159"/>
      <c r="EG3211" s="1159"/>
    </row>
    <row r="3212" ht="15" customHeight="1">
      <c r="CK3212" s="1159"/>
      <c r="EG3212" s="1159"/>
    </row>
    <row r="3213" ht="15" customHeight="1">
      <c r="CK3213" s="1159"/>
      <c r="EG3213" s="1159"/>
    </row>
    <row r="3214" ht="15" customHeight="1">
      <c r="CK3214" s="1159"/>
      <c r="EG3214" s="1159"/>
    </row>
    <row r="3215" ht="15" customHeight="1">
      <c r="CK3215" s="1159"/>
      <c r="EG3215" s="1159"/>
    </row>
    <row r="3216" ht="15" customHeight="1">
      <c r="CK3216" s="1159"/>
      <c r="EG3216" s="1159"/>
    </row>
    <row r="3217" ht="15" customHeight="1">
      <c r="CK3217" s="1159"/>
      <c r="EG3217" s="1159"/>
    </row>
    <row r="3218" ht="15" customHeight="1">
      <c r="CK3218" s="1159"/>
      <c r="EG3218" s="1159"/>
    </row>
    <row r="3219" ht="15" customHeight="1">
      <c r="CK3219" s="1159"/>
      <c r="EG3219" s="1159"/>
    </row>
    <row r="3220" ht="15" customHeight="1">
      <c r="CK3220" s="1159"/>
      <c r="EG3220" s="1159"/>
    </row>
    <row r="3221" ht="15" customHeight="1">
      <c r="CK3221" s="1159"/>
      <c r="EG3221" s="1159"/>
    </row>
    <row r="3222" ht="15" customHeight="1">
      <c r="CK3222" s="1159"/>
      <c r="EG3222" s="1159"/>
    </row>
    <row r="3223" ht="15" customHeight="1">
      <c r="CK3223" s="1159"/>
      <c r="EG3223" s="1159"/>
    </row>
    <row r="3224" ht="15" customHeight="1">
      <c r="CK3224" s="1159"/>
      <c r="EG3224" s="1159"/>
    </row>
    <row r="3225" ht="15" customHeight="1">
      <c r="CK3225" s="1159"/>
      <c r="EG3225" s="1159"/>
    </row>
    <row r="3226" ht="15" customHeight="1">
      <c r="CK3226" s="1159"/>
      <c r="EG3226" s="1159"/>
    </row>
    <row r="3227" ht="15" customHeight="1">
      <c r="CK3227" s="1159"/>
      <c r="EG3227" s="1159"/>
    </row>
    <row r="3228" ht="15" customHeight="1">
      <c r="CK3228" s="1159"/>
      <c r="EG3228" s="1159"/>
    </row>
    <row r="3229" ht="15" customHeight="1">
      <c r="CK3229" s="1159"/>
      <c r="EG3229" s="1159"/>
    </row>
    <row r="3230" ht="15" customHeight="1">
      <c r="CK3230" s="1159"/>
      <c r="EG3230" s="1159"/>
    </row>
    <row r="3231" ht="15" customHeight="1">
      <c r="CK3231" s="1159"/>
      <c r="EG3231" s="1159"/>
    </row>
    <row r="3232" ht="15" customHeight="1">
      <c r="CK3232" s="1159"/>
      <c r="EG3232" s="1159"/>
    </row>
    <row r="3233" ht="15" customHeight="1">
      <c r="CK3233" s="1159"/>
      <c r="EG3233" s="1159"/>
    </row>
    <row r="3234" ht="15" customHeight="1">
      <c r="CK3234" s="1159"/>
      <c r="EG3234" s="1159"/>
    </row>
    <row r="3235" ht="15" customHeight="1">
      <c r="CK3235" s="1159"/>
      <c r="EG3235" s="1159"/>
    </row>
    <row r="3236" ht="15" customHeight="1">
      <c r="CK3236" s="1159"/>
      <c r="EG3236" s="1159"/>
    </row>
  </sheetData>
  <mergeCells>
    <mergeCell ref="GY1:GZ1"/>
    <mergeCell ref="CM1:CN1"/>
    <mergeCell ref="AM1:AN1"/>
    <mergeCell ref="DP1:DS1"/>
    <mergeCell ref="GE1:GF1"/>
    <mergeCell ref="GP1:GS1"/>
  </mergeCells>
  <hyperlinks>
    <hyperlink ref="GF9" r:id="rId1" display="tedwards@walkerdunlop.com"/>
  </hyperlinks>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1F664F3-80E1-9496-6211-718F37F62F7F}" mc:Ignorable="x14ac xr xr2 xr3">
  <sheetPr>
    <tabColor theme="0" tint="-0.5"/>
  </sheetPr>
  <dimension ref="A1:Q261"/>
  <sheetViews>
    <sheetView topLeftCell="A1" workbookViewId="0">
      <selection activeCell="B1" sqref="B1"/>
    </sheetView>
  </sheetViews>
  <sheetFormatPr defaultRowHeight="14.497499999999997" defaultColWidth="8.8515625" customHeight="1"/>
  <cols>
    <col min="1" max="1" style="1151" width="37.7109375" customWidth="1"/>
    <col min="2" max="2" style="1151" width="39.00390625" customWidth="1"/>
    <col min="3" max="3" style="1151" width="27.57421875" customWidth="1"/>
    <col min="4" max="4" style="1151" width="18.57421875" customWidth="1"/>
    <col min="5" max="5" style="1151" width="12.57421875" customWidth="1"/>
    <col min="6" max="6" style="1151" width="10.57421875" customWidth="1"/>
    <col min="7" max="7" style="1151" width="17.57421875" customWidth="1"/>
    <col min="8" max="8" style="1151" width="8.8515625" customWidth="1"/>
    <col min="9" max="9" style="1151" width="15.57421875" customWidth="1"/>
    <col min="10" max="10" style="1151" width="11.57421875" customWidth="1"/>
    <col min="11" max="11" style="1151" width="17.57421875" customWidth="1"/>
    <col min="12" max="17" style="1151" width="8.8515625" customWidth="1"/>
  </cols>
  <sheetData>
    <row r="1" ht="14.25" customHeight="1">
      <c r="B1" s="1000"/>
    </row>
    <row r="2" ht="14.25" customHeight="1">
      <c r="A2" s="1151" t="s">
        <v>5781</v>
      </c>
      <c r="B2" s="4915" t="str">
        <f t="shared" si="0" ref="B2:B8">PropertyName_DataPageTab</f>
        <v>XXXX</v>
      </c>
    </row>
    <row r="3" ht="14.25" customHeight="1">
      <c r="A3" s="1151" t="s">
        <v>570</v>
      </c>
      <c r="B3" s="4916">
        <f>Address_DataPageTab</f>
      </c>
    </row>
    <row r="4" ht="14.25" customHeight="1">
      <c r="A4" s="1151" t="s">
        <v>581</v>
      </c>
      <c r="B4" s="4916" t="str">
        <f t="shared" si="1" ref="B4:B9">City_DataPageTab&amp;", "&amp;State_DataPageTab</f>
        <v>City, XX</v>
      </c>
    </row>
    <row r="5" ht="14.25" customHeight="1">
      <c r="A5" s="1151" t="s">
        <v>680</v>
      </c>
      <c r="B5" s="4916">
        <f t="shared" si="3" ref="B5:B14">MSA_DataPageTab</f>
      </c>
    </row>
    <row r="6" ht="14.25" customHeight="1">
      <c r="A6" s="1151" t="s">
        <v>5782</v>
      </c>
      <c r="B6" s="4917">
        <f>TODAY()</f>
        <v>45201</v>
      </c>
    </row>
    <row r="7" ht="14.25" customHeight="1">
      <c r="B7" s="1000"/>
    </row>
    <row r="8" ht="14.25" customHeight="1">
      <c r="A8" s="1151" t="s">
        <v>5783</v>
      </c>
      <c r="B8" s="4918" t="str">
        <f t="shared" si="0"/>
        <v>XXXX</v>
      </c>
    </row>
    <row r="9" ht="14.25" customHeight="1">
      <c r="A9" s="1151" t="s">
        <v>5784</v>
      </c>
      <c r="B9" s="4918" t="str">
        <f t="shared" si="1"/>
        <v>City, XX</v>
      </c>
    </row>
    <row r="10" ht="14.25" customHeight="1">
      <c r="B10" s="1000"/>
    </row>
    <row r="11" ht="14.25" customHeight="1">
      <c r="A11" s="1151" t="s">
        <v>189</v>
      </c>
      <c r="B11" s="1000">
        <f t="shared" si="2" ref="B11:B102">TotalUnits</f>
        <v>85</v>
      </c>
    </row>
    <row r="12" ht="14.25" customHeight="1">
      <c r="A12" s="1151" t="s">
        <v>5785</v>
      </c>
      <c r="B12" s="1000">
        <f t="shared" si="2"/>
        <v>85</v>
      </c>
    </row>
    <row r="13" ht="14.25" customHeight="1">
      <c r="A13" s="1151" t="s">
        <v>660</v>
      </c>
      <c r="B13" s="1000" t="str">
        <f t="shared" si="4" ref="B13:B79">YearBuilt_DataPageTab</f>
        <v>XXXX</v>
      </c>
    </row>
    <row r="14" ht="14.25" customHeight="1">
      <c r="A14" s="1151" t="s">
        <v>5786</v>
      </c>
      <c r="B14" s="1000">
        <f t="shared" si="3"/>
      </c>
    </row>
    <row r="15" ht="14.25" customHeight="1">
      <c r="A15" s="1151" t="s">
        <v>239</v>
      </c>
      <c r="B15" s="1000" t="str">
        <f>Sponsor_Name</f>
        <v>XXXX</v>
      </c>
    </row>
    <row r="16" ht="14.25" customHeight="1">
      <c r="A16" s="1151" t="s">
        <v>248</v>
      </c>
      <c r="B16" s="1000" t="str">
        <f t="shared" si="7" ref="B16:B169">Management_Company</f>
        <v>XXXX</v>
      </c>
    </row>
    <row r="17" ht="14.25" customHeight="1">
      <c r="A17" s="1151" t="s">
        <v>572</v>
      </c>
      <c r="B17" s="4919">
        <f>_xlfn.IFERROR(LoanAmount,0)</f>
        <v>0</v>
      </c>
    </row>
    <row r="18" ht="14.25" customHeight="1">
      <c r="A18" s="1151" t="s">
        <v>5787</v>
      </c>
      <c r="B18" s="4919">
        <f>_xlfn.IFERROR('Data Page'!N70,0)</f>
        <v>0</v>
      </c>
    </row>
    <row r="19" ht="14.25" customHeight="1">
      <c r="A19" s="1151" t="s">
        <v>204</v>
      </c>
      <c r="B19" s="1000" t="e">
        <f>Requested_Tier</f>
        <v>#NAME?</v>
      </c>
    </row>
    <row r="20" ht="14.25" customHeight="1">
      <c r="A20" s="1151" t="s">
        <v>5788</v>
      </c>
      <c r="B20" s="1000" t="str">
        <f>Loan_Purpose</f>
        <v>Refinance</v>
      </c>
    </row>
    <row r="21" ht="14.25" customHeight="1">
      <c r="A21" s="1151" t="s">
        <v>5789</v>
      </c>
      <c r="B21" s="1000">
        <f>_xlfn.IFERROR('Data Page'!H31,0)</f>
        <v>0</v>
      </c>
    </row>
    <row r="22" ht="14.25" customHeight="1">
      <c r="A22" s="1151" t="s">
        <v>5790</v>
      </c>
      <c r="B22" s="4920">
        <f>_xlfn.IFERROR('Data Page'!K31,0)</f>
        <v>0</v>
      </c>
    </row>
    <row r="23" ht="14.25" customHeight="1">
      <c r="A23" s="1151" t="s">
        <v>392</v>
      </c>
      <c r="B23" s="1000" t="str">
        <f>'Data Page'!E45</f>
        <v>Standard</v>
      </c>
    </row>
    <row r="24" ht="14.25" customHeight="1">
      <c r="A24" s="1151" t="s">
        <v>471</v>
      </c>
      <c r="B24" s="4921" t="e">
        <f>NoteRate*100</f>
        <v>#NAME?</v>
      </c>
    </row>
    <row r="25" ht="14.25" customHeight="1">
      <c r="A25" s="1151" t="s">
        <v>950</v>
      </c>
      <c r="B25" s="4921" t="e">
        <f>FloorRate*100</f>
        <v>#NAME?</v>
      </c>
    </row>
    <row r="26" ht="14.25" customHeight="1">
      <c r="A26" s="1151" t="s">
        <v>5791</v>
      </c>
      <c r="B26" s="712" t="str">
        <f>IF(TX_ESCRW="No","Yes","No")</f>
        <v>No</v>
      </c>
    </row>
    <row r="27" ht="14.25" customHeight="1">
      <c r="A27" s="1151" t="s">
        <v>5792</v>
      </c>
      <c r="B27" s="1000" t="str">
        <f>IF(INS_ESCRW="No","Yes","No")</f>
        <v>No</v>
      </c>
    </row>
    <row r="28" ht="14.25" customHeight="1">
      <c r="A28" s="1151" t="s">
        <v>449</v>
      </c>
      <c r="B28" s="4921">
        <f>_xlfn.IFERROR(ROUNDDOWN(LTV*100,2),0)</f>
        <v>0</v>
      </c>
    </row>
    <row r="29" ht="14.25" customHeight="1">
      <c r="A29" s="1151" t="s">
        <v>932</v>
      </c>
      <c r="B29" s="4921">
        <f>_xlfn.IFERROR(ROUNDDOWN(Tier_Max_LTV*100,2),0)</f>
        <v>75</v>
      </c>
    </row>
    <row r="30" ht="14.25" customHeight="1">
      <c r="A30" s="1151" t="s">
        <v>5793</v>
      </c>
      <c r="B30" s="1000"/>
    </row>
    <row r="31" ht="14.25" customHeight="1">
      <c r="A31" s="1151" t="s">
        <v>5794</v>
      </c>
      <c r="B31" s="1000"/>
    </row>
    <row r="32" ht="14.25" customHeight="1">
      <c r="A32" s="1151" t="s">
        <v>1394</v>
      </c>
      <c r="B32" s="1000" t="e">
        <f>Term</f>
        <v>#NAME?</v>
      </c>
    </row>
    <row r="33" ht="14.25" customHeight="1">
      <c r="A33" s="1151" t="s">
        <v>5795</v>
      </c>
      <c r="B33" s="1000">
        <f>YieldMaintenance</f>
        <v>9.5</v>
      </c>
    </row>
    <row r="34" ht="14.25" customHeight="1">
      <c r="A34" s="1151" t="s">
        <v>394</v>
      </c>
      <c r="B34" s="1000" t="str">
        <f>YM_Type</f>
        <v>YM - Standard</v>
      </c>
    </row>
    <row r="35" ht="14.25" customHeight="1">
      <c r="A35" s="1151" t="s">
        <v>220</v>
      </c>
      <c r="B35" s="1000" t="e">
        <f>Amort</f>
        <v>#NAME?</v>
      </c>
    </row>
    <row r="36" ht="14.25" customHeight="1">
      <c r="A36" s="1151" t="s">
        <v>5796</v>
      </c>
      <c r="B36" s="1000" t="e">
        <f>InterestOnly</f>
        <v>#NAME?</v>
      </c>
    </row>
    <row r="37" ht="14.25" customHeight="1">
      <c r="A37" s="1151" t="s">
        <v>383</v>
      </c>
      <c r="B37" s="1000" t="str">
        <f>Interest_Rate_Type</f>
        <v>Fixed</v>
      </c>
    </row>
    <row r="38" ht="14.25" customHeight="1">
      <c r="A38" s="1151" t="s">
        <v>5797</v>
      </c>
      <c r="B38" s="1000"/>
    </row>
    <row r="39" ht="14.25" customHeight="1">
      <c r="A39" s="1151" t="s">
        <v>5798</v>
      </c>
      <c r="B39" s="1000" t="str">
        <f>'Engineering schedule'!F50</f>
        <v>No</v>
      </c>
    </row>
    <row r="40" ht="14.25" customHeight="1">
      <c r="A40" s="1151" t="s">
        <v>5799</v>
      </c>
      <c r="B40" s="1000" t="str">
        <f>'Engineering schedule'!F79</f>
        <v>No</v>
      </c>
    </row>
    <row r="41" ht="14.25" customHeight="1">
      <c r="A41" s="1151" t="s">
        <v>5800</v>
      </c>
      <c r="B41" s="4921" t="str">
        <f>_xlfn.IFERROR(IF(Loan_Purpose="Refinance","N/A",ROUNDDOWN(Loan_to_Cost*100,2)),0)</f>
        <v>N/A</v>
      </c>
    </row>
    <row r="42" ht="14.25" customHeight="1">
      <c r="A42" s="1151" t="s">
        <v>417</v>
      </c>
      <c r="B42" s="4921">
        <f>_xlfn.IFERROR(ROUNDDOWN(Debt_Yield*100,2),"Error")</f>
        <v>0</v>
      </c>
    </row>
    <row r="43" ht="14.25" customHeight="1">
      <c r="A43" s="1151" t="s">
        <v>372</v>
      </c>
      <c r="B43" s="4921" t="str">
        <f>Delegated_Level</f>
        <v>Delegated</v>
      </c>
    </row>
    <row r="44" ht="14.25" customHeight="1">
      <c r="A44" s="1151" t="s">
        <v>5801</v>
      </c>
      <c r="B44" s="4921" t="str">
        <f>IF(Delegated_Level="Performance Differentiation","Yes","No")</f>
        <v>No</v>
      </c>
    </row>
    <row r="45" ht="14.25" customHeight="1">
      <c r="A45" s="1151" t="s">
        <v>5802</v>
      </c>
      <c r="B45" s="4922" t="e">
        <f>ROUNDDOWN(Requested_Floor_UW_DSCR,2)</f>
        <v>#NAME?</v>
      </c>
    </row>
    <row r="46" ht="14.25" customHeight="1">
      <c r="A46" s="1151" t="s">
        <v>5803</v>
      </c>
      <c r="B46" s="4922" t="e">
        <f>ROUNDDOWN(Requested_Actual_UW_DSCR,2)</f>
        <v>#NAME?</v>
      </c>
    </row>
    <row r="47" ht="14.25" customHeight="1">
      <c r="A47" s="1151" t="s">
        <v>5804</v>
      </c>
      <c r="B47" s="4922">
        <f>_xlfn.IFERROR(ROUNDDOWN(Floor_UW_DSCR,2),"Error")</f>
        <v>0</v>
      </c>
    </row>
    <row r="48" ht="14.25" customHeight="1">
      <c r="A48" s="1151" t="s">
        <v>5805</v>
      </c>
      <c r="B48" s="4922">
        <f>_xlfn.IFERROR(ROUNDDOWN(Actual_UW_DSCR,2),"Error")</f>
        <v>0</v>
      </c>
    </row>
    <row r="49" ht="14.25" customHeight="1">
      <c r="A49" s="1151" t="s">
        <v>5806</v>
      </c>
      <c r="B49" s="4922" t="s">
        <v>174</v>
      </c>
    </row>
    <row r="50" ht="14.25" customHeight="1">
      <c r="A50" s="1151" t="s">
        <v>5807</v>
      </c>
      <c r="B50" s="4922">
        <f>_xlfn.IFERROR(ROUNDDOWN(IO_UW_DSCR,2),"Error")</f>
        <v>0</v>
      </c>
    </row>
    <row r="51" ht="14.25" customHeight="1">
      <c r="A51" s="1151" t="s">
        <v>5808</v>
      </c>
      <c r="B51" s="4923" t="str">
        <f>_xlfn.IFERROR(ROUNDDOWN(_xlfn.SINGLE(DataPage_Variable_Min_Stress_UW_DSCR),2),"Error")</f>
        <v>Error</v>
      </c>
    </row>
    <row r="52" ht="14.25" customHeight="1">
      <c r="A52" s="1151" t="s">
        <v>5810</v>
      </c>
      <c r="B52" s="4923" t="str">
        <f>_xlfn.IFERROR(ROUNDDOWN(Variable_Min_Pay_UW_DSCR,2),"Error")</f>
        <v>Error</v>
      </c>
    </row>
    <row r="53" ht="14.25" customHeight="1">
      <c r="A53" s="1151" t="s">
        <v>5811</v>
      </c>
      <c r="B53" s="4923" t="str">
        <f>_xlfn.IFERROR(ROUNDDOWN(Variable_Requested_Stress_UW_DSCR,2),"Error")</f>
        <v>Error</v>
      </c>
    </row>
    <row r="54" ht="14.25" customHeight="1">
      <c r="A54" s="1151" t="s">
        <v>5812</v>
      </c>
      <c r="B54" s="4923" t="str">
        <f>_xlfn.IFERROR(ROUNDDOWN(Variable_Requested_Pay_UW_DSCR,2),"Error")</f>
        <v>Error</v>
      </c>
    </row>
    <row r="55" ht="14.25" customHeight="1">
      <c r="A55" s="1151" t="s">
        <v>5813</v>
      </c>
      <c r="B55" s="4922" t="s">
        <v>174</v>
      </c>
    </row>
    <row r="56" ht="14.25" customHeight="1">
      <c r="A56" s="1151" t="s">
        <v>5814</v>
      </c>
      <c r="B56" s="4923" t="str">
        <f>_xlfn.IFERROR(ROUNDDOWN(#REF!,2),"Error")</f>
        <v>Error</v>
      </c>
    </row>
    <row r="57" ht="14.25" customHeight="1">
      <c r="A57" s="1151" t="s">
        <v>5815</v>
      </c>
      <c r="B57" s="4920">
        <f>_xlfn.IFERROR('Data Page'!AO10,0)</f>
        <v>0</v>
      </c>
    </row>
    <row r="58" ht="14.25" customHeight="1">
      <c r="A58" s="1151" t="s">
        <v>5816</v>
      </c>
      <c r="B58" s="4920">
        <f>_xlfn.IFERROR('Data Page'!AO11,0)</f>
        <v>0</v>
      </c>
    </row>
    <row r="59" ht="14.25" customHeight="1">
      <c r="A59" s="4924" t="s">
        <v>5817</v>
      </c>
      <c r="B59" s="4925">
        <f>_xlfn.IFERROR('Data Page'!AO14,0)</f>
        <v>0</v>
      </c>
    </row>
    <row r="60" ht="14.25" customHeight="1">
      <c r="A60" s="1151" t="s">
        <v>5818</v>
      </c>
      <c r="B60" s="1000" t="str">
        <f>'Data Page'!AK17</f>
        <v>Existing UPB</v>
      </c>
    </row>
    <row r="61" ht="14.25" customHeight="1">
      <c r="A61" s="1151" t="s">
        <v>5819</v>
      </c>
      <c r="B61" s="4920">
        <f>'Data Page'!AO17</f>
        <v>0</v>
      </c>
    </row>
    <row r="62" ht="14.25" customHeight="1">
      <c r="A62" s="1151" t="s">
        <v>5820</v>
      </c>
      <c r="B62" s="4920">
        <f>IF('Data Page'!H23="If Refinance",'Data Page'!AO18,"N/A")</f>
        <v>0</v>
      </c>
    </row>
    <row r="63" ht="14.25" customHeight="1">
      <c r="A63" s="1151" t="s">
        <v>5821</v>
      </c>
      <c r="B63" s="4920">
        <f>'Data Page'!AO30</f>
        <v>0</v>
      </c>
    </row>
    <row r="64" ht="14.25" customHeight="1">
      <c r="A64" s="1151" t="s">
        <v>5822</v>
      </c>
      <c r="B64" s="4920" t="str">
        <f>_xlfn.IFERROR('Data Page'!AO21+'Data Page'!AO22,"Error")</f>
        <v>Error</v>
      </c>
    </row>
    <row r="65" ht="14.25" customHeight="1">
      <c r="A65" s="1151" t="s">
        <v>5823</v>
      </c>
      <c r="B65" s="4926" t="str">
        <f>TEXT(('Data Page'!AM21+'Data Page'!AM22),"0.00%")</f>
        <v>2.00%</v>
      </c>
    </row>
    <row r="66" ht="14.25" customHeight="1">
      <c r="A66" s="1151" t="s">
        <v>5824</v>
      </c>
      <c r="B66" s="4926" t="str">
        <f>TEXT(('Data Page'!AM21+'Data Page'!AM22),"0.00%")</f>
        <v>2.00%</v>
      </c>
    </row>
    <row r="67" ht="14.25" customHeight="1">
      <c r="A67" s="1151" t="s">
        <v>5825</v>
      </c>
      <c r="B67" s="4921" t="e">
        <f>GuarantyFee*100</f>
        <v>#NAME?</v>
      </c>
    </row>
    <row r="68" ht="14.25" customHeight="1">
      <c r="A68" s="1151" t="s">
        <v>5826</v>
      </c>
      <c r="B68" s="4921" t="e">
        <f>ServicingFee*100</f>
        <v>#NAME?</v>
      </c>
    </row>
    <row r="69" ht="14.25" customHeight="1">
      <c r="A69" s="1151" t="s">
        <v>5827</v>
      </c>
      <c r="B69" s="4920">
        <f>'Data Page'!AO23+'Data Page'!AO24+'Data Page'!AO25+'Data Page'!AO26+'Data Page'!AO29+'Data Page'!AO32</f>
        <v>48000</v>
      </c>
    </row>
    <row r="70" ht="14.25" customHeight="1">
      <c r="A70" s="1151" t="s">
        <v>5828</v>
      </c>
      <c r="B70" s="4920">
        <f>'Data Page'!AO28</f>
        <v>0</v>
      </c>
    </row>
    <row r="71" ht="14.25" customHeight="1">
      <c r="A71" s="1151" t="s">
        <v>5829</v>
      </c>
      <c r="B71" s="4920">
        <f>'Data Page'!AO27</f>
        <v>0</v>
      </c>
    </row>
    <row r="72" ht="14.25" customHeight="1">
      <c r="A72" s="1151" t="s">
        <v>5830</v>
      </c>
      <c r="B72" s="4920">
        <f>_xlfn.IFERROR('Data Page'!AO33,0)</f>
        <v>0</v>
      </c>
    </row>
    <row r="73" ht="14.25" customHeight="1">
      <c r="A73" s="1151" t="s">
        <v>5831</v>
      </c>
      <c r="B73" s="4920">
        <f>_xlfn.IFERROR('Data Page'!AO35,0)</f>
        <v>0</v>
      </c>
    </row>
    <row r="74" ht="14.25" customHeight="1">
      <c r="A74" s="1151" t="s">
        <v>5248</v>
      </c>
      <c r="B74" s="4920">
        <f>IF('Data Page'!I7="MAH","MAH","")</f>
      </c>
    </row>
    <row r="75" ht="14.25" customHeight="1">
      <c r="A75" s="1151" t="s">
        <v>201</v>
      </c>
      <c r="B75" s="1000" t="str">
        <f>'Data Page'!J7&amp;IF('Data Page'!I7="MAH"," (MAH)","")</f>
        <v>Multifamily</v>
      </c>
    </row>
    <row r="76" ht="14.25" customHeight="1">
      <c r="A76" s="1151" t="s">
        <v>5832</v>
      </c>
      <c r="B76" s="1000" t="str">
        <f>'Data Page'!J7&amp;IF('Data Page'!I7="MAH"," (MAH)","")</f>
        <v>Multifamily</v>
      </c>
    </row>
    <row r="77" ht="14.25" customHeight="1">
      <c r="A77" s="1151" t="s">
        <v>208</v>
      </c>
      <c r="B77" s="1000" t="str">
        <f>'Data Page'!J8</f>
        <v>Select</v>
      </c>
    </row>
    <row r="78" ht="14.25" customHeight="1">
      <c r="A78" s="1151" t="s">
        <v>3984</v>
      </c>
      <c r="B78" s="1000">
        <f>NumOfBldg_DataPageTab</f>
        <v>24</v>
      </c>
    </row>
    <row r="79" ht="14.25" customHeight="1">
      <c r="A79" s="1151" t="s">
        <v>5833</v>
      </c>
      <c r="B79" s="1000" t="str">
        <f t="shared" si="4"/>
        <v>XXXX</v>
      </c>
    </row>
    <row r="80" ht="14.25" customHeight="1">
      <c r="A80" s="1151" t="s">
        <v>5834</v>
      </c>
      <c r="B80" s="4923" t="str">
        <f>_xlfn.IFERROR(SARMLibor*100,"Error")</f>
        <v>Error</v>
      </c>
    </row>
    <row r="81" ht="14.25" customHeight="1">
      <c r="A81" s="1151" t="s">
        <v>453</v>
      </c>
      <c r="B81" s="4926">
        <f>SARMInvestorSpread*100</f>
        <v>0</v>
      </c>
    </row>
    <row r="82" ht="14.25" customHeight="1">
      <c r="A82" s="1151" t="s">
        <v>458</v>
      </c>
      <c r="B82" s="4926">
        <f>SARMGuarantyFee*100</f>
        <v>0</v>
      </c>
    </row>
    <row r="83" ht="14.25" customHeight="1">
      <c r="A83" s="1151" t="s">
        <v>461</v>
      </c>
      <c r="B83" s="4926">
        <f>SARMServicingFee*100</f>
        <v>0</v>
      </c>
    </row>
    <row r="84" ht="14.25" customHeight="1">
      <c r="A84" s="1151" t="s">
        <v>5835</v>
      </c>
      <c r="B84" s="4923">
        <f>_xlfn.IFERROR(_xlfn.SINGLE(SARMCushion)*100,"Error")</f>
        <v>0</v>
      </c>
    </row>
    <row r="85" ht="14.25" customHeight="1">
      <c r="A85" s="1151" t="s">
        <v>1621</v>
      </c>
      <c r="B85" s="4923">
        <f>_xlfn.IFERROR(_xlfn.SINGLE(SARMCapCostFactor)*100,"Error")</f>
        <v>0</v>
      </c>
    </row>
    <row r="86" ht="14.25" customHeight="1">
      <c r="A86" s="1151" t="s">
        <v>5836</v>
      </c>
      <c r="B86" s="4926">
        <f>SARMPayRate*100</f>
        <v>0</v>
      </c>
    </row>
    <row r="87" ht="14.25" customHeight="1">
      <c r="A87" s="1151" t="s">
        <v>3578</v>
      </c>
      <c r="B87" s="4926">
        <f>ROUNDDOWN(SARMStressRate*100,3)</f>
        <v>0</v>
      </c>
    </row>
    <row r="88" ht="14.25" customHeight="1">
      <c r="A88" s="1151" t="s">
        <v>5837</v>
      </c>
      <c r="B88" s="4926">
        <f>ROUNDDOWN(IF(Interest_Rate_Type="Fixed",0,#REF!*100),3)</f>
        <v>0</v>
      </c>
    </row>
    <row r="89" ht="14.25" customHeight="1">
      <c r="A89" s="1151" t="s">
        <v>5838</v>
      </c>
      <c r="B89" s="4926">
        <f>ROUNDDOWN(IF(Interest_Rate_Type="Fixed",0,#REF!*100),3)</f>
        <v>0</v>
      </c>
    </row>
    <row r="90" ht="14.25" customHeight="1">
      <c r="A90" s="1151" t="s">
        <v>5839</v>
      </c>
      <c r="B90" s="4926">
        <f>ROUNDDOWN(IF(Interest_Rate_Type="Fixed",0,#REF!*100),3)</f>
        <v>0</v>
      </c>
    </row>
    <row r="91" ht="14.25" customHeight="1">
      <c r="A91" s="1151" t="s">
        <v>5840</v>
      </c>
      <c r="B91" s="4919">
        <f>IF(Interest_Rate_Type="Fixed",0,_xlfn.IFERROR(FixedPrinPayment*12,0))</f>
        <v>0</v>
      </c>
    </row>
    <row r="92" ht="14.25" customHeight="1">
      <c r="B92" s="4921"/>
    </row>
    <row r="93" ht="14.25" customHeight="1">
      <c r="B93" s="4921"/>
    </row>
    <row r="94" ht="15" customHeight="1">
      <c r="B94" s="1000"/>
    </row>
    <row r="95" ht="14.25" customHeight="1">
      <c r="A95" s="1151" t="s">
        <v>5841</v>
      </c>
      <c r="B95" s="1000" t="s">
        <v>1267</v>
      </c>
      <c r="C95" s="1151" t="s">
        <v>5842</v>
      </c>
      <c r="D95" s="1151" t="s">
        <v>5843</v>
      </c>
    </row>
    <row r="96" ht="14.25" customHeight="1">
      <c r="A96" s="1151" t="s">
        <v>203</v>
      </c>
      <c r="B96" s="4927">
        <f>'Data Page'!L7</f>
        <v>53</v>
      </c>
      <c r="C96" s="4927">
        <f>ROUNDDOWN('Data Page'!M7,0)</f>
        <v>921</v>
      </c>
      <c r="D96" s="4921">
        <f>_xlfn.IFERROR(ROUNDDOWN(('Data Page'!L7/TotalUnits)*100,2),"Error")</f>
        <v>62.35</v>
      </c>
    </row>
    <row r="97" ht="14.25" customHeight="1">
      <c r="A97" s="1151" t="s">
        <v>2529</v>
      </c>
      <c r="B97" s="4927">
        <f>'Data Page'!L8</f>
        <v>32</v>
      </c>
      <c r="C97" s="4927">
        <f>ROUNDDOWN('Data Page'!M8,0)</f>
        <v>704</v>
      </c>
      <c r="D97" s="4921">
        <f>_xlfn.IFERROR(ROUNDDOWN(('Data Page'!L8/TotalUnits)*100,2),"Error")</f>
        <v>37.64</v>
      </c>
    </row>
    <row r="98" ht="14.25" customHeight="1">
      <c r="A98" s="1151" t="s">
        <v>5844</v>
      </c>
      <c r="B98" s="4927">
        <f>'Data Page'!L9</f>
        <v>0</v>
      </c>
      <c r="C98" s="4927">
        <f>ROUNDDOWN('Data Page'!M9,0)</f>
        <v>0</v>
      </c>
      <c r="D98" s="4921">
        <f>_xlfn.IFERROR(ROUNDDOWN(('Data Page'!L9/TotalUnits)*100,2),"Error")</f>
        <v>0</v>
      </c>
    </row>
    <row r="99" ht="14.25" customHeight="1">
      <c r="A99" s="1151" t="s">
        <v>5845</v>
      </c>
      <c r="B99" s="4927">
        <f>'Data Page'!L10</f>
        <v>0</v>
      </c>
      <c r="C99" s="4927">
        <f>ROUNDDOWN('Data Page'!M10,0)</f>
        <v>0</v>
      </c>
      <c r="D99" s="4921">
        <f>_xlfn.IFERROR(ROUNDDOWN(('Data Page'!L10/TotalUnits)*100,2),"Error")</f>
        <v>0</v>
      </c>
    </row>
    <row r="100" ht="14.25" customHeight="1">
      <c r="A100" s="1151" t="s">
        <v>5846</v>
      </c>
      <c r="B100" s="4927">
        <f>'Data Page'!L11</f>
        <v>0</v>
      </c>
      <c r="C100" s="4927">
        <f>ROUNDDOWN('Data Page'!M11,0)</f>
        <v>0</v>
      </c>
      <c r="D100" s="4921">
        <f>_xlfn.IFERROR(ROUNDDOWN(('Data Page'!L11/TotalUnits)*100,2),"Error")</f>
        <v>0</v>
      </c>
    </row>
    <row r="101" ht="14.25" customHeight="1">
      <c r="A101" s="1151" t="s">
        <v>5847</v>
      </c>
      <c r="B101" s="4927">
        <f>'Data Page'!L12</f>
        <v>0</v>
      </c>
      <c r="C101" s="4927">
        <f>ROUNDDOWN('Data Page'!M12,0)</f>
        <v>0</v>
      </c>
      <c r="D101" s="4921">
        <f>_xlfn.IFERROR(ROUNDDOWN(('Data Page'!L12/TotalUnits)*100,2),"Error")</f>
        <v>0</v>
      </c>
    </row>
    <row r="102" ht="14.25" customHeight="1">
      <c r="A102" s="1151" t="s">
        <v>5848</v>
      </c>
      <c r="B102" s="1000">
        <f t="shared" si="2"/>
        <v>85</v>
      </c>
      <c r="C102" s="4927">
        <f>ROUNDDOWN('Data Page'!M13,0)</f>
        <v>839</v>
      </c>
      <c r="D102" s="4921"/>
    </row>
    <row r="103" ht="14.25" customHeight="1">
      <c r="A103" s="1151" t="s">
        <v>5849</v>
      </c>
      <c r="B103" s="4928">
        <f>NRA</f>
        <v>84991</v>
      </c>
    </row>
    <row r="104" ht="14.25" customHeight="1">
      <c r="A104" s="1151" t="s">
        <v>5850</v>
      </c>
      <c r="B104" s="4928">
        <f>'Data Page'!M13</f>
        <v>839.7058823529412</v>
      </c>
    </row>
    <row r="105" ht="14.25" customHeight="1">
      <c r="A105" s="1151" t="s">
        <v>5851</v>
      </c>
      <c r="B105" s="4928">
        <f>'Data Page'!J12</f>
        <v>0</v>
      </c>
    </row>
    <row r="106" ht="14.25" customHeight="1">
      <c r="A106" s="1151" t="s">
        <v>5852</v>
      </c>
      <c r="B106" s="4926">
        <f>_xlfn.IFERROR(ROUNDDOWN('Data Page'!J13*100,2),"Error")</f>
        <v>0</v>
      </c>
    </row>
    <row r="107" ht="14.25" customHeight="1">
      <c r="A107" s="1151" t="s">
        <v>5853</v>
      </c>
      <c r="B107" s="1000"/>
    </row>
    <row r="108" ht="14.25" customHeight="1">
      <c r="A108" s="1151" t="s">
        <v>5854</v>
      </c>
      <c r="B108" s="1000" t="str">
        <f>'Engineering schedule'!J1</f>
        <v>XXXX</v>
      </c>
    </row>
    <row r="109" ht="14.25" customHeight="1">
      <c r="A109" s="1151" t="s">
        <v>5855</v>
      </c>
      <c r="B109" s="4920">
        <f>_xlfn.IFERROR('Engineering schedule'!G44,0)</f>
        <v>0</v>
      </c>
    </row>
    <row r="110" ht="14.25" customHeight="1">
      <c r="A110" s="1151" t="s">
        <v>5856</v>
      </c>
      <c r="B110" s="4919">
        <f>IF('Engineering schedule'!F79="Yes","Waived",'Engineering schedule'!F78)</f>
        <v>0</v>
      </c>
    </row>
    <row r="111" ht="14.25" customHeight="1">
      <c r="A111" s="1151" t="s">
        <v>5857</v>
      </c>
      <c r="B111" s="1000" t="str">
        <f>IF('Engineering schedule'!F79="Yes"," ","(at "&amp;ROUNDDOWN('Engineering schedule'!E78*100,2)&amp;"%)")</f>
        <v>(at 0%)</v>
      </c>
    </row>
    <row r="112" ht="15" customHeight="1">
      <c r="A112" s="4929" t="s">
        <v>5859</v>
      </c>
      <c r="B112" s="4930" t="str">
        <f>'Engineering schedule'!J1</f>
        <v>XXXX</v>
      </c>
    </row>
    <row r="113" ht="15" customHeight="1">
      <c r="A113" s="4929" t="s">
        <v>5860</v>
      </c>
      <c r="B113" s="4930" t="str">
        <f>'Engineering schedule'!J1</f>
        <v>XXXX</v>
      </c>
    </row>
    <row r="114" ht="15" customHeight="1">
      <c r="A114" s="4929" t="s">
        <v>5861</v>
      </c>
      <c r="B114" s="4930" t="str">
        <f>'Engineering schedule'!J1</f>
        <v>XXXX</v>
      </c>
    </row>
    <row r="115" ht="15" customHeight="1">
      <c r="A115" s="4929" t="s">
        <v>5862</v>
      </c>
      <c r="B115" s="4930" t="str">
        <f>'Engineering schedule'!J1</f>
        <v>XXXX</v>
      </c>
    </row>
    <row r="116" ht="14.25" customHeight="1">
      <c r="A116" s="1151" t="s">
        <v>5863</v>
      </c>
      <c r="B116" s="4931" t="str">
        <f>'Engineering schedule'!J2</f>
        <v>XX/XX/XX</v>
      </c>
    </row>
    <row r="117" ht="14.25" customHeight="1">
      <c r="A117" s="1151" t="s">
        <v>5864</v>
      </c>
      <c r="B117" s="4931" t="str">
        <f>'Engineering schedule'!J2</f>
        <v>XX/XX/XX</v>
      </c>
    </row>
    <row r="118" ht="14.25" customHeight="1">
      <c r="B118" s="1000"/>
    </row>
    <row r="119" ht="14.25" customHeight="1">
      <c r="A119" s="1151" t="s">
        <v>5865</v>
      </c>
      <c r="B119" s="1000"/>
    </row>
    <row r="120" ht="14.25" customHeight="1">
      <c r="B120" s="1000" t="s">
        <v>5866</v>
      </c>
      <c r="C120" s="1151" t="s">
        <v>5867</v>
      </c>
      <c r="D120" s="1151" t="s">
        <v>5868</v>
      </c>
    </row>
    <row r="121" ht="14.25" customHeight="1">
      <c r="A121" s="1151" t="s">
        <v>5869</v>
      </c>
      <c r="B121" s="4921" t="str">
        <f>_xlfn.IFERROR(ROUNDDOWN(#REF!*100,2),"Error")</f>
        <v>Error</v>
      </c>
      <c r="C121" s="4932" t="str">
        <f>_xlfn.IFERROR(ROUNDDOWN(#REF!*100,2),"Error")</f>
        <v>Error</v>
      </c>
      <c r="D121" s="4932" t="str">
        <f>_xlfn.IFERROR(ROUNDDOWN(#REF!*100,2),"Error")</f>
        <v>Error</v>
      </c>
    </row>
    <row r="122" ht="14.25" customHeight="1">
      <c r="A122" s="4933" t="s">
        <v>5870</v>
      </c>
      <c r="B122" s="4920">
        <f>_xlfn.IFERROR(ROUNDDOWN(#REF!,0),0)</f>
        <v>0</v>
      </c>
      <c r="C122" s="4924">
        <f>_xlfn.IFERROR(ROUNDDOWN(#REF!,0),0)</f>
        <v>0</v>
      </c>
      <c r="D122" s="4924">
        <f>_xlfn.IFERROR(ROUNDDOWN(#REF!,0),0)</f>
        <v>0</v>
      </c>
    </row>
    <row r="123" ht="14.25" customHeight="1">
      <c r="A123" s="4933" t="str">
        <f t="shared" si="5" ref="A123:A135">A122&amp;" ($/SF)"</f>
        <v>Broken Cell Equation from Fannie version 1 ($/SF)</v>
      </c>
      <c r="B123" s="4922">
        <f>_xlfn.IFERROR(ROUNDDOWN(#REF!,2),0)</f>
        <v>0</v>
      </c>
      <c r="C123" s="4934">
        <f>_xlfn.IFERROR(ROUNDDOWN(#REF!,2),0)</f>
        <v>0</v>
      </c>
      <c r="D123" s="4934">
        <f>_xlfn.IFERROR(ROUNDDOWN(#REF!,2),0)</f>
        <v>0</v>
      </c>
    </row>
    <row r="124" ht="14.25" customHeight="1">
      <c r="A124" s="4933" t="s">
        <v>5872</v>
      </c>
      <c r="B124" s="4920">
        <f>_xlfn.IFERROR(ROUNDDOWN(#REF!,0),0)</f>
        <v>0</v>
      </c>
      <c r="C124" s="4924">
        <f>_xlfn.IFERROR(ROUNDDOWN(#REF!,0),0)</f>
        <v>0</v>
      </c>
      <c r="D124" s="4924">
        <f>_xlfn.IFERROR(ROUNDDOWN(#REF!,0),0)</f>
        <v>0</v>
      </c>
    </row>
    <row r="125" ht="14.25" customHeight="1">
      <c r="A125" s="4933" t="str">
        <f t="shared" si="5"/>
        <v>Broken Cell Equation from Fannie version 2 ($/SF)</v>
      </c>
      <c r="B125" s="4922">
        <f>_xlfn.IFERROR(ROUNDDOWN(#REF!,2),0)</f>
        <v>0</v>
      </c>
      <c r="C125" s="4934">
        <f>_xlfn.IFERROR(ROUNDDOWN(#REF!,2),0)</f>
        <v>0</v>
      </c>
      <c r="D125" s="4934">
        <f>_xlfn.IFERROR(ROUNDDOWN(#REF!,2),0)</f>
        <v>0</v>
      </c>
    </row>
    <row r="126" ht="14.25" customHeight="1">
      <c r="A126" s="4933" t="s">
        <v>5874</v>
      </c>
      <c r="B126" s="4920">
        <f>_xlfn.IFERROR(ROUNDDOWN(#REF!,0),0)</f>
        <v>0</v>
      </c>
      <c r="C126" s="4924">
        <f>_xlfn.IFERROR(ROUNDDOWN(#REF!,0),0)</f>
        <v>0</v>
      </c>
      <c r="D126" s="4924">
        <f>_xlfn.IFERROR(ROUNDDOWN(#REF!,0),0)</f>
        <v>0</v>
      </c>
    </row>
    <row r="127" ht="14.25" customHeight="1">
      <c r="A127" s="4933" t="str">
        <f t="shared" si="5"/>
        <v>Broken Cell Equation from Fannie version 3 ($/SF)</v>
      </c>
      <c r="B127" s="4922">
        <f>_xlfn.IFERROR(ROUNDDOWN(#REF!,2),0)</f>
        <v>0</v>
      </c>
      <c r="C127" s="4934">
        <f>_xlfn.IFERROR(ROUNDDOWN(#REF!,2),0)</f>
        <v>0</v>
      </c>
      <c r="D127" s="4934">
        <f>_xlfn.IFERROR(ROUNDDOWN(#REF!,2),0)</f>
        <v>0</v>
      </c>
    </row>
    <row r="128" ht="14.25" customHeight="1">
      <c r="A128" s="4933" t="s">
        <v>5876</v>
      </c>
      <c r="B128" s="4920">
        <f>_xlfn.IFERROR(ROUNDDOWN(#REF!,0),0)</f>
        <v>0</v>
      </c>
      <c r="C128" s="4924">
        <f>_xlfn.IFERROR(ROUNDDOWN(#REF!,0),0)</f>
        <v>0</v>
      </c>
      <c r="D128" s="4924">
        <f>_xlfn.IFERROR(ROUNDDOWN(#REF!,0),0)</f>
        <v>0</v>
      </c>
    </row>
    <row r="129" ht="14.25" customHeight="1">
      <c r="A129" s="4933" t="str">
        <f t="shared" si="5"/>
        <v>Broken Cell Equation from Fannie version 4 ($/SF)</v>
      </c>
      <c r="B129" s="4922">
        <f>_xlfn.IFERROR(ROUNDDOWN(#REF!,2),0)</f>
        <v>0</v>
      </c>
      <c r="C129" s="4934">
        <f>_xlfn.IFERROR(ROUNDDOWN(#REF!,2),0)</f>
        <v>0</v>
      </c>
      <c r="D129" s="4934">
        <f>_xlfn.IFERROR(ROUNDDOWN(#REF!,2),0)</f>
        <v>0</v>
      </c>
    </row>
    <row r="130" ht="14.25" customHeight="1">
      <c r="A130" s="4933" t="s">
        <v>5878</v>
      </c>
      <c r="B130" s="4920">
        <f>_xlfn.IFERROR(ROUNDDOWN(#REF!,0),0)</f>
        <v>0</v>
      </c>
      <c r="C130" s="4924">
        <f>_xlfn.IFERROR(ROUNDDOWN(#REF!,0),0)</f>
        <v>0</v>
      </c>
      <c r="D130" s="4924">
        <f>_xlfn.IFERROR(ROUNDDOWN(#REF!,0),0)</f>
        <v>0</v>
      </c>
    </row>
    <row r="131" ht="14.25" customHeight="1">
      <c r="A131" s="4933" t="str">
        <f t="shared" si="5"/>
        <v>Broken Cell Equation from Fannie version 5 ($/SF)</v>
      </c>
      <c r="B131" s="4922">
        <f>_xlfn.IFERROR(ROUNDDOWN(#REF!,2),0)</f>
        <v>0</v>
      </c>
      <c r="C131" s="4934">
        <f>_xlfn.IFERROR(ROUNDDOWN(#REF!,2),0)</f>
        <v>0</v>
      </c>
      <c r="D131" s="4934">
        <f>_xlfn.IFERROR(ROUNDDOWN(#REF!,2),0)</f>
        <v>0</v>
      </c>
    </row>
    <row r="132" ht="14.25" customHeight="1">
      <c r="A132" s="4933" t="s">
        <v>5880</v>
      </c>
      <c r="B132" s="4920">
        <f>_xlfn.IFERROR(ROUNDDOWN(#REF!,0),0)</f>
        <v>0</v>
      </c>
      <c r="C132" s="4924">
        <f>_xlfn.IFERROR(ROUNDDOWN(#REF!,0),0)</f>
        <v>0</v>
      </c>
      <c r="D132" s="4924">
        <f>_xlfn.IFERROR(ROUNDDOWN(#REF!,0),0)</f>
        <v>0</v>
      </c>
    </row>
    <row r="133" ht="14.25" customHeight="1">
      <c r="A133" s="4933" t="str">
        <f t="shared" si="5"/>
        <v>Broken Cell Equation from Fannie version 6 ($/SF)</v>
      </c>
      <c r="B133" s="4922">
        <f>_xlfn.IFERROR(ROUNDDOWN(#REF!,2),0)</f>
        <v>0</v>
      </c>
      <c r="C133" s="4934">
        <f>_xlfn.IFERROR(ROUNDDOWN(#REF!,2),0)</f>
        <v>0</v>
      </c>
      <c r="D133" s="4934">
        <f>_xlfn.IFERROR(ROUNDDOWN(#REF!,2),0)</f>
        <v>0</v>
      </c>
    </row>
    <row r="134" ht="14.25" customHeight="1">
      <c r="A134" s="4933" t="s">
        <v>5882</v>
      </c>
      <c r="B134" s="4920">
        <f>_xlfn.IFERROR(ROUNDDOWN(#REF!,0),0)</f>
        <v>0</v>
      </c>
      <c r="C134" s="4924">
        <f>_xlfn.IFERROR(ROUNDDOWN(#REF!,0),0)</f>
        <v>0</v>
      </c>
      <c r="D134" s="4924">
        <f>_xlfn.IFERROR(ROUNDDOWN(#REF!,0),0)</f>
        <v>0</v>
      </c>
    </row>
    <row r="135" ht="14.25" customHeight="1">
      <c r="A135" s="4933" t="str">
        <f t="shared" si="5"/>
        <v>Broken Cell Equation from Fannie version 7 ($/SF)</v>
      </c>
      <c r="B135" s="4922">
        <f>_xlfn.IFERROR(ROUNDDOWN(#REF!,2),0)</f>
        <v>0</v>
      </c>
      <c r="C135" s="4934">
        <f>_xlfn.IFERROR(ROUNDDOWN(#REF!,2),0)</f>
        <v>0</v>
      </c>
      <c r="D135" s="4934">
        <f>_xlfn.IFERROR(ROUNDDOWN(#REF!,2),0)</f>
        <v>0</v>
      </c>
    </row>
    <row r="136" ht="14.25" customHeight="1">
      <c r="A136" s="1151" t="s">
        <v>5884</v>
      </c>
      <c r="B136" s="4919">
        <f>_xlfn.IFERROR(ROUNDDOWN(#REF!,0),0)</f>
        <v>0</v>
      </c>
      <c r="C136" s="4924">
        <f>_xlfn.IFERROR(ROUNDDOWN('Unit Mix'!M149,0),0)</f>
        <v>1272</v>
      </c>
      <c r="D136" s="4924">
        <f>_xlfn.IFERROR(ROUNDDOWN('Unit Mix'!J149,0),0)</f>
        <v>1302</v>
      </c>
    </row>
    <row r="137" ht="14.25" customHeight="1">
      <c r="A137" s="1151" t="s">
        <v>5885</v>
      </c>
      <c r="B137" s="4922">
        <f>_xlfn.IFERROR(ROUNDDOWN(#REF!,2),0)</f>
        <v>0</v>
      </c>
      <c r="C137" s="4934">
        <f>_xlfn.IFERROR(ROUNDDOWN('Unit Mix'!O149,2),0)</f>
        <v>1.52</v>
      </c>
      <c r="D137" s="4934">
        <f>_xlfn.IFERROR(ROUNDDOWN('Unit Mix'!K149,2),0)</f>
        <v>1.54</v>
      </c>
    </row>
    <row r="138" ht="14.25" customHeight="1">
      <c r="B138" s="1000"/>
    </row>
    <row r="139" ht="14.25" customHeight="1">
      <c r="A139" s="1151" t="s">
        <v>5886</v>
      </c>
      <c r="B139" s="1000" t="str">
        <f>IF(OR('Bor-KP-Prin'!B46="No",'Bor-KP-Prin'!C46="No",'Bor-KP-Prin'!D46="No",'Bor-KP-Prin'!E46="No",'Bor-KP-Prin'!F46="No",'Bor-KP-Prin'!G46="No",'Bor-KP-Prin'!H46="No",'Bor-KP-Prin'!I46="No",'Bor-KP-Prin'!J46="No",'Bor-KP-Prin'!K46="No"),"No","Yes")</f>
        <v>Yes</v>
      </c>
    </row>
    <row r="140" ht="14.25" customHeight="1">
      <c r="A140" s="1151" t="s">
        <v>5887</v>
      </c>
      <c r="B140" s="1000" t="str">
        <f>IF(OR('Bor-KP-Prin'!B69="No",'Bor-KP-Prin'!C69="No",'Bor-KP-Prin'!D69="No",'Bor-KP-Prin'!E69="No",'Bor-KP-Prin'!F69="No",'Bor-KP-Prin'!G69="No",'Bor-KP-Prin'!H69="No",'Bor-KP-Prin'!I69="No",'Bor-KP-Prin'!J69="No",'Bor-KP-Prin'!K69="No"),"No","Yes")</f>
        <v>Yes</v>
      </c>
    </row>
    <row r="141" ht="14.25" customHeight="1">
      <c r="B141" s="1000"/>
    </row>
    <row r="142" ht="14.25" customHeight="1">
      <c r="A142" s="1151" t="s">
        <v>5888</v>
      </c>
      <c r="B142" s="4920">
        <f>'Data Page'!AT24</f>
        <v>0</v>
      </c>
    </row>
    <row r="143" ht="14.25" customHeight="1">
      <c r="A143" s="1151" t="s">
        <v>325</v>
      </c>
      <c r="B143" s="4920">
        <f>'Data Page'!AT25</f>
        <v>0</v>
      </c>
    </row>
    <row r="144" ht="14.25" customHeight="1">
      <c r="A144" s="1151" t="s">
        <v>5889</v>
      </c>
      <c r="B144" s="4920">
        <f>'Data Page'!AT26</f>
        <v>0</v>
      </c>
    </row>
    <row r="145" ht="14.25" customHeight="1">
      <c r="A145" s="1151" t="s">
        <v>5890</v>
      </c>
      <c r="B145" s="4920">
        <f>'Data Page'!AT28</f>
        <v>0</v>
      </c>
    </row>
    <row r="146" ht="14.25" customHeight="1">
      <c r="B146" s="1000"/>
    </row>
    <row r="147" ht="14.25" customHeight="1">
      <c r="A147" s="1151" t="s">
        <v>5891</v>
      </c>
      <c r="B147" s="1000"/>
    </row>
    <row r="148" ht="14.25" customHeight="1">
      <c r="A148" s="4935"/>
      <c r="B148" s="4916" t="str">
        <f>Guarantor_KP_1</f>
        <v>KP #1</v>
      </c>
      <c r="C148" s="4935" t="str">
        <f>Guarantor_KP_2</f>
        <v>KP #2</v>
      </c>
      <c r="D148" s="4935" t="str">
        <f>Guarantor_KP_3</f>
        <v>KP #3</v>
      </c>
      <c r="E148" s="4935" t="str">
        <f>Guarantor_KP_4</f>
        <v>KP #4</v>
      </c>
      <c r="F148" s="4935" t="str">
        <f>Guarantor_KP_5</f>
        <v>KP #5</v>
      </c>
      <c r="G148" s="4935" t="str">
        <f>Guarantor_KP_6</f>
        <v>KP #6</v>
      </c>
      <c r="H148" s="4935" t="str">
        <f>Guarantor_KP_7</f>
        <v>KP #7</v>
      </c>
      <c r="I148" s="4935" t="str">
        <f>Guarantor_KP_8</f>
        <v>KP #8</v>
      </c>
      <c r="J148" s="4935"/>
      <c r="K148" s="4935"/>
      <c r="L148" s="4935"/>
      <c r="M148" s="4935"/>
      <c r="N148" s="4935"/>
      <c r="O148" s="4935"/>
      <c r="P148" s="4935"/>
      <c r="Q148" s="4935"/>
    </row>
    <row r="149" ht="14.25" customHeight="1">
      <c r="A149" s="1151" t="s">
        <v>2962</v>
      </c>
      <c r="B149" s="1000" t="str">
        <f>'Bor-KP-Prin'!L6</f>
        <v>XXXX</v>
      </c>
      <c r="C149" s="1000" t="str">
        <f>'Bor-KP-Prin'!M6</f>
        <v>XXXX</v>
      </c>
      <c r="D149" s="1000" t="str">
        <f>'Bor-KP-Prin'!N6</f>
        <v>XXXX</v>
      </c>
      <c r="E149" s="1000" t="str">
        <f>'Bor-KP-Prin'!O6</f>
        <v>XXXX</v>
      </c>
      <c r="F149" s="1000" t="str">
        <f>'Bor-KP-Prin'!P6</f>
        <v>XXXX</v>
      </c>
      <c r="G149" s="1000" t="str">
        <f>'Bor-KP-Prin'!Q6</f>
        <v>XXXX</v>
      </c>
      <c r="H149" s="1000" t="str">
        <f>'Bor-KP-Prin'!R6</f>
        <v>XXXX</v>
      </c>
      <c r="I149" s="1000" t="str">
        <f>'Bor-KP-Prin'!S6</f>
        <v>XXXX</v>
      </c>
    </row>
    <row r="150" ht="14.25" customHeight="1">
      <c r="A150" s="1151" t="s">
        <v>5892</v>
      </c>
      <c r="B150" s="1000">
        <f>'Bor-KP-Prin'!L54</f>
        <v>0</v>
      </c>
      <c r="C150" s="1000">
        <f>'Bor-KP-Prin'!M54</f>
        <v>0</v>
      </c>
      <c r="D150" s="1000">
        <f>'Bor-KP-Prin'!N54</f>
        <v>0</v>
      </c>
      <c r="E150" s="1000">
        <f>'Bor-KP-Prin'!O54</f>
        <v>0</v>
      </c>
      <c r="F150" s="1000">
        <f>'Bor-KP-Prin'!P54</f>
        <v>0</v>
      </c>
      <c r="G150" s="1000">
        <f>'Bor-KP-Prin'!Q54</f>
        <v>0</v>
      </c>
      <c r="H150" s="1000">
        <f>'Bor-KP-Prin'!R54</f>
        <v>0</v>
      </c>
      <c r="I150" s="1000">
        <f>'Bor-KP-Prin'!S54</f>
        <v>0</v>
      </c>
    </row>
    <row r="151" ht="14.25" customHeight="1">
      <c r="A151" s="1151" t="s">
        <v>5893</v>
      </c>
      <c r="B151" s="1000" t="str">
        <f t="shared" si="6" ref="B151:I151">IF(ISNUMBER(SEARCH("Guarantor",B148)),"Yes","No")</f>
        <v>No</v>
      </c>
      <c r="C151" s="1000" t="str">
        <f t="shared" si="6"/>
        <v>No</v>
      </c>
      <c r="D151" s="1000" t="str">
        <f t="shared" si="6"/>
        <v>No</v>
      </c>
      <c r="E151" s="1000" t="str">
        <f t="shared" si="6"/>
        <v>No</v>
      </c>
      <c r="F151" s="1000" t="str">
        <f t="shared" si="6"/>
        <v>No</v>
      </c>
      <c r="G151" s="1000" t="str">
        <f t="shared" si="6"/>
        <v>No</v>
      </c>
      <c r="H151" s="1000" t="str">
        <f t="shared" si="6"/>
        <v>No</v>
      </c>
      <c r="I151" s="1000" t="str">
        <f t="shared" si="6"/>
        <v>No</v>
      </c>
    </row>
    <row r="152" ht="14.25" customHeight="1">
      <c r="A152" s="1151" t="s">
        <v>5894</v>
      </c>
      <c r="B152" s="4936">
        <f>'Bor-KP-Prin'!L32</f>
        <v>0</v>
      </c>
      <c r="C152" s="4936">
        <f>'Bor-KP-Prin'!M32</f>
        <v>0</v>
      </c>
      <c r="D152" s="4936">
        <f>'Bor-KP-Prin'!N32</f>
        <v>0</v>
      </c>
      <c r="E152" s="4936">
        <f>'Bor-KP-Prin'!O32</f>
        <v>0</v>
      </c>
      <c r="F152" s="4936">
        <f>'Bor-KP-Prin'!P32</f>
        <v>0</v>
      </c>
      <c r="G152" s="4936">
        <f>'Bor-KP-Prin'!Q32</f>
        <v>0</v>
      </c>
      <c r="H152" s="4936">
        <f>'Bor-KP-Prin'!R32</f>
        <v>0</v>
      </c>
      <c r="I152" s="4936">
        <f>'Bor-KP-Prin'!S32</f>
        <v>0</v>
      </c>
    </row>
    <row r="153" ht="14.25" customHeight="1">
      <c r="A153" s="1151" t="s">
        <v>5895</v>
      </c>
      <c r="B153" s="4936">
        <f>'Bor-KP-Prin'!L12</f>
        <v>0</v>
      </c>
      <c r="C153" s="4936">
        <f>'Bor-KP-Prin'!M12</f>
        <v>0</v>
      </c>
      <c r="D153" s="4936">
        <f>'Bor-KP-Prin'!N12</f>
        <v>0</v>
      </c>
      <c r="E153" s="4936">
        <f>'Bor-KP-Prin'!O12</f>
        <v>0</v>
      </c>
      <c r="F153" s="4936">
        <f>'Bor-KP-Prin'!P12</f>
        <v>0</v>
      </c>
      <c r="G153" s="4936">
        <f>'Bor-KP-Prin'!Q12</f>
        <v>0</v>
      </c>
      <c r="H153" s="4936">
        <f>'Bor-KP-Prin'!R12</f>
        <v>0</v>
      </c>
      <c r="I153" s="4936">
        <f>'Bor-KP-Prin'!S12</f>
        <v>0</v>
      </c>
    </row>
    <row r="154" ht="14.25" customHeight="1">
      <c r="A154" s="1151" t="s">
        <v>5896</v>
      </c>
      <c r="B154" s="1000" t="str">
        <f>'Bor-KP-Prin'!L69</f>
        <v>TBD</v>
      </c>
      <c r="C154" s="1000" t="str">
        <f>'Bor-KP-Prin'!M69</f>
        <v>TBD</v>
      </c>
      <c r="D154" s="1000" t="str">
        <f>'Bor-KP-Prin'!N69</f>
        <v>TBD</v>
      </c>
      <c r="E154" s="1000" t="str">
        <f>'Bor-KP-Prin'!O69</f>
        <v>TBD</v>
      </c>
      <c r="F154" s="1000" t="str">
        <f>'Bor-KP-Prin'!P69</f>
        <v>TBD</v>
      </c>
      <c r="G154" s="1000" t="str">
        <f>'Bor-KP-Prin'!Q69</f>
        <v>TBD</v>
      </c>
      <c r="H154" s="1000" t="str">
        <f>'Bor-KP-Prin'!R69</f>
        <v>TBD</v>
      </c>
      <c r="I154" s="1000" t="str">
        <f>'Bor-KP-Prin'!S69</f>
        <v>TBD</v>
      </c>
    </row>
    <row r="155" ht="14.25" customHeight="1">
      <c r="A155" s="1151" t="s">
        <v>5897</v>
      </c>
      <c r="B155" s="4922">
        <f>_xlfn.IFERROR(ROUNDDOWN('SREO 1'!AC126*100,2),"Error")</f>
        <v>0</v>
      </c>
      <c r="C155" s="4922">
        <f>_xlfn.IFERROR(ROUNDDOWN('SREO 2'!AC126*100,2),"Error")</f>
        <v>0</v>
      </c>
      <c r="D155" s="4922">
        <f>_xlfn.IFERROR(ROUNDDOWN('SREO 3'!AC126*100,2),"Error")</f>
        <v>0</v>
      </c>
      <c r="E155" s="4922">
        <f>_xlfn.IFERROR(ROUNDDOWN('SREO 4'!AC126*100,2),"Error")</f>
        <v>0</v>
      </c>
      <c r="F155" s="4922">
        <f>_xlfn.IFERROR(ROUNDDOWN('SREO 5'!AC126*100,2),"Error")</f>
        <v>0</v>
      </c>
      <c r="G155" s="4922">
        <f>_xlfn.IFERROR(ROUNDDOWN('SREO 6'!AC126*100,2),"Error")</f>
        <v>0</v>
      </c>
      <c r="H155" s="4922">
        <f>_xlfn.IFERROR(ROUNDDOWN('SREO 7'!AC126*100,2),"Error")</f>
        <v>0</v>
      </c>
      <c r="I155" s="4922">
        <f>_xlfn.IFERROR(ROUNDDOWN('SREO 8'!AC126*100,2),"Error")</f>
        <v>0</v>
      </c>
    </row>
    <row r="156" ht="14.25" customHeight="1">
      <c r="A156" s="1151" t="s">
        <v>5898</v>
      </c>
      <c r="B156" s="1000">
        <f>_xlfn.IFERROR(ROUNDDOWN('SREO 1'!Y126,2),"Error")</f>
        <v>0</v>
      </c>
      <c r="C156" s="1151">
        <f>_xlfn.IFERROR(ROUNDDOWN('SREO 2'!Y126,2),"Error")</f>
        <v>0</v>
      </c>
      <c r="D156" s="1151">
        <f>_xlfn.IFERROR(ROUNDDOWN('SREO 3'!Y126,2),"Error")</f>
        <v>0</v>
      </c>
      <c r="E156" s="1151">
        <f>_xlfn.IFERROR(ROUNDDOWN('SREO 4'!Y126,2),"Error")</f>
        <v>0</v>
      </c>
      <c r="F156" s="1151">
        <f>_xlfn.IFERROR(ROUNDDOWN('SREO 5'!Y126,2),"Error")</f>
        <v>0</v>
      </c>
      <c r="G156" s="1151">
        <f>_xlfn.IFERROR(ROUNDDOWN('SREO 6'!Y126,2),"Error")</f>
        <v>0</v>
      </c>
      <c r="H156" s="1151">
        <f>_xlfn.IFERROR(ROUNDDOWN('SREO 7'!Y126,2),"Error")</f>
        <v>0</v>
      </c>
      <c r="I156" s="1151">
        <f>_xlfn.IFERROR(ROUNDDOWN('SREO 8'!Y126,2),"Error")</f>
        <v>0</v>
      </c>
    </row>
    <row r="157" ht="14.25" customHeight="1">
      <c r="A157" s="1151" t="s">
        <v>5899</v>
      </c>
      <c r="B157" s="4922">
        <f>_xlfn.IFERROR(ROUNDDOWN('SREO 1'!AC38*100,2),"Error")</f>
        <v>0</v>
      </c>
      <c r="C157" s="4922">
        <f>_xlfn.IFERROR(ROUNDDOWN('SREO 2'!AC38*100,2),"Error")</f>
        <v>0</v>
      </c>
      <c r="D157" s="4922">
        <f>_xlfn.IFERROR(ROUNDDOWN('SREO 3'!AC38*100,2),"Error")</f>
        <v>0</v>
      </c>
      <c r="E157" s="4922">
        <f>_xlfn.IFERROR(ROUNDDOWN('SREO 4'!AC38*100,2),"Error")</f>
        <v>0</v>
      </c>
      <c r="F157" s="4922">
        <f>_xlfn.IFERROR(ROUNDDOWN('SREO 5'!AC38*100,2),"Error")</f>
        <v>0</v>
      </c>
      <c r="G157" s="4922">
        <f>_xlfn.IFERROR(ROUNDDOWN('SREO 6'!AC38*100,2),"Error")</f>
        <v>0</v>
      </c>
      <c r="H157" s="4922">
        <f>_xlfn.IFERROR(ROUNDDOWN('SREO 7'!AC38*100,2),"Error")</f>
        <v>0</v>
      </c>
      <c r="I157" s="4922">
        <f>_xlfn.IFERROR(ROUNDDOWN('SREO 8'!AC38*100,2),"Error")</f>
        <v>0</v>
      </c>
    </row>
    <row r="158" ht="14.25" customHeight="1">
      <c r="A158" s="1151" t="s">
        <v>5900</v>
      </c>
      <c r="B158" s="1000">
        <f>_xlfn.IFERROR(ROUNDDOWN('SREO 1'!Y38,2),"Error")</f>
        <v>0</v>
      </c>
      <c r="C158" s="1151">
        <f>_xlfn.IFERROR(ROUNDDOWN('SREO 2'!Y38,2),"Error")</f>
        <v>0</v>
      </c>
      <c r="D158" s="1151">
        <f>_xlfn.IFERROR(ROUNDDOWN('SREO 3'!Y38,2),"Error")</f>
        <v>0</v>
      </c>
      <c r="E158" s="1151">
        <f>_xlfn.IFERROR(ROUNDDOWN('SREO 4'!Y38,2),"Error")</f>
        <v>0</v>
      </c>
      <c r="F158" s="1151">
        <f>_xlfn.IFERROR(ROUNDDOWN('SREO 5'!Y38,2),"Error")</f>
        <v>0</v>
      </c>
      <c r="G158" s="1151">
        <f>_xlfn.IFERROR(ROUNDDOWN('SREO 6'!Y38,2),"Error")</f>
        <v>0</v>
      </c>
      <c r="H158" s="1151">
        <f>_xlfn.IFERROR(ROUNDDOWN('SREO 7'!Y38,2),"Error")</f>
        <v>0</v>
      </c>
      <c r="I158" s="1151">
        <f>_xlfn.IFERROR(ROUNDDOWN('SREO 8'!Y38,2),"Error")</f>
        <v>0</v>
      </c>
    </row>
    <row r="159" ht="14.25" customHeight="1">
      <c r="A159" s="1151" t="s">
        <v>5901</v>
      </c>
      <c r="B159" s="4920">
        <f>_xlfn.IFERROR('SREO 1'!AI126,0)</f>
        <v>0</v>
      </c>
      <c r="C159" s="4924">
        <f>_xlfn.IFERROR('SREO 2'!AI126,0)</f>
        <v>0</v>
      </c>
      <c r="D159" s="4924">
        <f>_xlfn.IFERROR('SREO 3'!AI126,0)</f>
        <v>0</v>
      </c>
      <c r="E159" s="4924">
        <f>_xlfn.IFERROR('SREO 4'!AI126,0)</f>
        <v>0</v>
      </c>
      <c r="F159" s="4924">
        <f>_xlfn.IFERROR('SREO 5'!AI126,0)</f>
        <v>0</v>
      </c>
      <c r="G159" s="4924">
        <f>_xlfn.IFERROR('SREO 6'!AI126,0)</f>
        <v>0</v>
      </c>
      <c r="H159" s="4924">
        <f>_xlfn.IFERROR('SREO 7'!AI126,0)</f>
        <v>0</v>
      </c>
      <c r="I159" s="4924">
        <f>_xlfn.IFERROR('SREO 8'!AI126,0)</f>
        <v>0</v>
      </c>
    </row>
    <row r="160" ht="14.25" customHeight="1">
      <c r="B160" s="1000"/>
    </row>
    <row r="161" ht="14.25" customHeight="1">
      <c r="A161" s="1151" t="s">
        <v>5902</v>
      </c>
      <c r="B161" s="4936">
        <f>'Bor-KP-Prin'!B71</f>
        <v>0</v>
      </c>
    </row>
    <row r="162" ht="14.25" customHeight="1">
      <c r="A162" s="1151" t="s">
        <v>5903</v>
      </c>
      <c r="B162" s="4922">
        <f>_xlfn.IFERROR(ROUNDDOWN(_xlfn.IFERROR('Bor-KP-Prin'!B71/LoanAmount,0)*100,2),"Error")</f>
        <v>0</v>
      </c>
    </row>
    <row r="163" ht="14.25" customHeight="1">
      <c r="A163" s="1151" t="s">
        <v>5904</v>
      </c>
      <c r="B163" s="4936">
        <f>'Bor-KP-Prin'!B72</f>
        <v>0</v>
      </c>
    </row>
    <row r="164" ht="14.25" customHeight="1">
      <c r="A164" s="1151" t="s">
        <v>5905</v>
      </c>
      <c r="B164" s="4922">
        <f>_xlfn.IFERROR(ROUNDDOWN(_xlfn.IFERROR('Bor-KP-Prin'!B72/LoanAmount,0)*100,2),"Error")</f>
        <v>0</v>
      </c>
    </row>
    <row r="165" ht="14.25" customHeight="1">
      <c r="B165" s="1000"/>
    </row>
    <row r="166" ht="14.25" customHeight="1">
      <c r="A166" s="1151" t="s">
        <v>5906</v>
      </c>
      <c r="B166" s="1000">
        <f>CONCATENATE(IF('Bor-KP-Prin'!T6="XXXX","",'Bor-KP-Prin'!T6),IF('Bor-KP-Prin'!U6="XXXX","",IF('Bor-KP-Prin'!T6="XXXX","",", ")&amp;'Bor-KP-Prin'!U6),IF('Bor-KP-Prin'!V6="XXXX","",", "&amp;'Bor-KP-Prin'!V6),IF('Bor-KP-Prin'!W6="XXXX","",", "&amp;'Bor-KP-Prin'!W6),IF('Bor-KP-Prin'!X6="XXXX","",", "&amp;'Bor-KP-Prin'!X6),IF('Bor-KP-Prin'!Y6="XXXX","",", "&amp;'Bor-KP-Prin'!Y6),IF('Bor-KP-Prin'!Z6="XXXX","",", "&amp;'Bor-KP-Prin'!Z6),IF('Bor-KP-Prin'!AA6="XXXX","",", "&amp;'Bor-KP-Prin'!AA6),IF('Bor-KP-Prin'!AB6="XXXX","",", "&amp;'Bor-KP-Prin'!AB6),IF('Bor-KP-Prin'!AC6="XXXX","",", "&amp;'Bor-KP-Prin'!AC6),IF('Bor-KP-Prin'!AD6="XXXX","",", "&amp;'Bor-KP-Prin'!AD6),IF('Bor-KP-Prin'!AE6="XXXX","",", "&amp;'Bor-KP-Prin'!AE6),IF('Bor-KP-Prin'!AF6="XXXX","",", "&amp;'Bor-KP-Prin'!AF6),IF('Bor-KP-Prin'!AG6="XXXX","",", "&amp;'Bor-KP-Prin'!AG6),IF('Bor-KP-Prin'!AH6="XXXX","",", "&amp;'Bor-KP-Prin'!AH6))</f>
      </c>
      <c r="C166" s="1151">
        <v>1</v>
      </c>
      <c r="D166" s="1151">
        <v>2</v>
      </c>
      <c r="E166" s="1151">
        <v>3</v>
      </c>
      <c r="F166" s="1151">
        <v>4</v>
      </c>
      <c r="G166" s="1151">
        <v>5</v>
      </c>
      <c r="H166" s="1151">
        <v>6</v>
      </c>
      <c r="I166" s="1151">
        <v>7</v>
      </c>
      <c r="J166" s="1151">
        <v>8</v>
      </c>
      <c r="K166" s="1151">
        <v>9</v>
      </c>
      <c r="L166" s="1151">
        <v>10</v>
      </c>
      <c r="M166" s="1151">
        <v>11</v>
      </c>
      <c r="N166" s="1151">
        <v>12</v>
      </c>
      <c r="O166" s="1151">
        <v>13</v>
      </c>
      <c r="P166" s="1151">
        <v>14</v>
      </c>
      <c r="Q166" s="1151">
        <v>15</v>
      </c>
    </row>
    <row r="167" ht="14.25" customHeight="1">
      <c r="A167" s="1151" t="s">
        <v>5896</v>
      </c>
      <c r="B167" s="1000" t="str">
        <f>IF(OR(C167="No",D167="No",E167="No",F167="No",G167="No",H167="No",I167="No",J167="No",K167="No",L167="No",M167="No",N167="No",O167="No",P167="No",Q167="No"),"No",IF(OR(C167="TBD",D167="TBD",E167="TBD",F167="TBD",G167="TBD",H167="TBD",I167="TBD",J167="TBD",K167="TBD",L167="TBD",M167="TBD",N167="TBD",O167="TBD",P167="TBD",Q167="TBD"),"TBD","Yes"))</f>
        <v>Yes</v>
      </c>
      <c r="C167" s="1151">
        <f>IF('Bor-KP-Prin'!T69="No","No",IF('Bor-KP-Prin'!T6="XXXX","",IF('Bor-KP-Prin'!T69="TBD","TBD","Yes")))</f>
      </c>
      <c r="D167" s="1151">
        <f>IF('Bor-KP-Prin'!U69="No","No",IF('Bor-KP-Prin'!U6="XXXX","",IF('Bor-KP-Prin'!U69="TBD","TBD","Yes")))</f>
      </c>
      <c r="E167" s="1151">
        <f>IF('Bor-KP-Prin'!V69="No","No",IF('Bor-KP-Prin'!V6="XXXX","",IF('Bor-KP-Prin'!V69="TBD","TBD","Yes")))</f>
      </c>
      <c r="F167" s="1151">
        <f>IF('Bor-KP-Prin'!W69="No","No",IF('Bor-KP-Prin'!W6="XXXX","",IF('Bor-KP-Prin'!W69="TBD","TBD","Yes")))</f>
      </c>
      <c r="G167" s="1151">
        <f>IF('Bor-KP-Prin'!X69="No","No",IF('Bor-KP-Prin'!X6="XXXX","",IF('Bor-KP-Prin'!X69="TBD","TBD","Yes")))</f>
      </c>
      <c r="H167" s="1151">
        <f>IF('Bor-KP-Prin'!Y69="No","No",IF('Bor-KP-Prin'!Y6="XXXX","",IF('Bor-KP-Prin'!Y69="TBD","TBD","Yes")))</f>
      </c>
      <c r="I167" s="1151">
        <f>IF('Bor-KP-Prin'!Z69="No","No",IF('Bor-KP-Prin'!Z6="XXXX","",IF('Bor-KP-Prin'!Z69="TBD","TBD","Yes")))</f>
      </c>
      <c r="J167" s="1151">
        <f>IF('Bor-KP-Prin'!AA69="No","No",IF('Bor-KP-Prin'!AA6="XXXX","",IF('Bor-KP-Prin'!AA69="TBD","TBD","Yes")))</f>
      </c>
      <c r="K167" s="1151">
        <f>IF('Bor-KP-Prin'!AB69="No","No",IF('Bor-KP-Prin'!AB6="XXXX","",IF('Bor-KP-Prin'!AB69="TBD","TBD","Yes")))</f>
      </c>
      <c r="L167" s="1151">
        <f>IF('Bor-KP-Prin'!AC69="No","No",IF('Bor-KP-Prin'!AC6="XXXX","",IF('Bor-KP-Prin'!AC69="TBD","TBD","Yes")))</f>
      </c>
      <c r="M167" s="1151">
        <f>IF('Bor-KP-Prin'!AD69="No","No",IF('Bor-KP-Prin'!AD6="XXXX","",IF('Bor-KP-Prin'!AD69="TBD","TBD","Yes")))</f>
      </c>
      <c r="N167" s="1151">
        <f>IF('Bor-KP-Prin'!AE69="No","No",IF('Bor-KP-Prin'!AE6="XXXX","",IF('Bor-KP-Prin'!AE69="TBD","TBD","Yes")))</f>
      </c>
      <c r="O167" s="1151">
        <f>IF('Bor-KP-Prin'!AF69="No","No",IF('Bor-KP-Prin'!AF6="XXXX","",IF('Bor-KP-Prin'!AF69="TBD","TBD","Yes")))</f>
      </c>
      <c r="P167" s="1151">
        <f>IF('Bor-KP-Prin'!AG69="No","No",IF('Bor-KP-Prin'!AG6="XXXX","",IF('Bor-KP-Prin'!AG69="TBD","TBD","Yes")))</f>
      </c>
      <c r="Q167" s="1151">
        <f>IF('Bor-KP-Prin'!AH69="No","No",IF('Bor-KP-Prin'!AH6="XXXX","",IF('Bor-KP-Prin'!AH69="TBD","TBD","Yes")))</f>
      </c>
    </row>
    <row r="168" ht="14.25" customHeight="1">
      <c r="B168" s="4937"/>
      <c r="C168" s="4938"/>
    </row>
    <row r="169" ht="14.25" customHeight="1">
      <c r="A169" s="1151" t="s">
        <v>248</v>
      </c>
      <c r="B169" s="1000" t="str">
        <f t="shared" si="7"/>
        <v>XXXX</v>
      </c>
    </row>
    <row r="170" ht="14.25" customHeight="1">
      <c r="A170" s="1151" t="s">
        <v>5907</v>
      </c>
      <c r="B170" s="1000" t="str">
        <f>Appraisal_Company</f>
        <v>XXXX</v>
      </c>
    </row>
    <row r="171" ht="14.25" customHeight="1">
      <c r="A171" s="1151" t="s">
        <v>5908</v>
      </c>
      <c r="B171" s="4931" t="str">
        <f>Appraisal_Date</f>
        <v>XX/XX/XX</v>
      </c>
    </row>
    <row r="172" ht="14.25" customHeight="1">
      <c r="A172" s="1151" t="s">
        <v>5909</v>
      </c>
      <c r="B172" s="1000">
        <f>Appraised_Cap*100</f>
        <v>5</v>
      </c>
    </row>
    <row r="173" ht="14.25" customHeight="1">
      <c r="A173" s="1151" t="s">
        <v>381</v>
      </c>
      <c r="B173" s="4919">
        <f>Appraised_Value</f>
        <v>-34419044.199999996</v>
      </c>
    </row>
    <row r="174" ht="14.25" customHeight="1">
      <c r="A174" s="1151" t="s">
        <v>5910</v>
      </c>
      <c r="B174" s="4919">
        <f>_xlfn.IFERROR(ROUNDUP(AppraisedValuePerUnit,0),0)</f>
        <v>-404930</v>
      </c>
    </row>
    <row r="175" ht="14.25" customHeight="1">
      <c r="A175" s="1151" t="s">
        <v>5911</v>
      </c>
      <c r="B175" s="4919">
        <f>UW_Value</f>
        <v>-34419044.199999996</v>
      </c>
    </row>
    <row r="176" ht="14.25" customHeight="1">
      <c r="A176" s="1151" t="s">
        <v>2418</v>
      </c>
      <c r="B176" s="4919">
        <f>_xlfn.IFERROR(ROUNDUP(UWValuePerUnit,0),0)</f>
        <v>-404930</v>
      </c>
    </row>
    <row r="177" ht="14.25" customHeight="1">
      <c r="A177" s="1151" t="s">
        <v>449</v>
      </c>
      <c r="B177" s="1000">
        <f>_xlfn.IFERROR(ROUNDUP(LTV*100,2),"Error")</f>
        <v>0</v>
      </c>
    </row>
    <row r="178" ht="14.25" customHeight="1">
      <c r="A178" s="1151" t="s">
        <v>5912</v>
      </c>
      <c r="B178" s="4931" t="str">
        <f>'NRI Analysis'!X78</f>
        <v>TBD</v>
      </c>
    </row>
    <row r="179" ht="14.25" customHeight="1">
      <c r="A179" s="1151" t="s">
        <v>5913</v>
      </c>
      <c r="B179" s="1000" t="str">
        <f>'Summary OPS'!Y4</f>
        <v>TR-12 Statement (9/2022)</v>
      </c>
    </row>
    <row r="180" ht="14.25" customHeight="1">
      <c r="A180" s="1151" t="s">
        <v>5914</v>
      </c>
      <c r="B180" s="1000" t="str">
        <f>'Summary OPS'!Y4</f>
        <v>TR-12 Statement (9/2022)</v>
      </c>
    </row>
    <row r="181" ht="14.25" customHeight="1">
      <c r="A181" s="1151" t="s">
        <v>5915</v>
      </c>
      <c r="B181" s="1000" t="str">
        <f>'Summary OPS'!Y4</f>
        <v>TR-12 Statement (9/2022)</v>
      </c>
    </row>
    <row r="182" ht="14.25" customHeight="1">
      <c r="A182" s="1151" t="s">
        <v>5916</v>
      </c>
      <c r="B182" s="1000" t="str">
        <f>'Summary OPS'!Y4</f>
        <v>TR-12 Statement (9/2022)</v>
      </c>
    </row>
    <row r="183" ht="14.25" customHeight="1">
      <c r="A183" s="1151" t="s">
        <v>5917</v>
      </c>
      <c r="B183" s="1000">
        <f>'Summary OPS'!Y6</f>
        <v>2022</v>
      </c>
    </row>
    <row r="184" ht="14.25" customHeight="1">
      <c r="B184" s="1000"/>
    </row>
    <row r="185" ht="14.25" customHeight="1">
      <c r="A185" s="1151" t="s">
        <v>5918</v>
      </c>
      <c r="B185" s="1000"/>
    </row>
    <row r="186" ht="14.25" customHeight="1">
      <c r="B186" s="2344">
        <f>'Summary OPS'!G6</f>
        <v>2020</v>
      </c>
      <c r="C186" s="2344">
        <f>'Summary OPS'!J6</f>
        <v>2021</v>
      </c>
      <c r="D186" s="2344" t="s">
        <v>1767</v>
      </c>
      <c r="E186" s="2344" t="str">
        <f>'Summary OPS'!Y4&amp;", "&amp;'Summary OPS'!Y6</f>
        <v>TR-12 Statement (9/2022), 2022</v>
      </c>
      <c r="F186" s="2344" t="s">
        <v>1767</v>
      </c>
      <c r="G186" s="2344" t="s">
        <v>5920</v>
      </c>
      <c r="H186" s="2344" t="s">
        <v>5921</v>
      </c>
      <c r="I186" s="2344" t="s">
        <v>5922</v>
      </c>
      <c r="J186" s="2344" t="s">
        <v>5923</v>
      </c>
      <c r="K186" s="2344" t="s">
        <v>5924</v>
      </c>
    </row>
    <row r="187" ht="14.25" customHeight="1">
      <c r="A187" s="1151" t="s">
        <v>5925</v>
      </c>
      <c r="B187" s="4927">
        <f>ROUNDDOWN('Summary OPS'!H9,0)</f>
        <v>0</v>
      </c>
      <c r="C187" s="4927">
        <f>ROUNDDOWN('Summary OPS'!K9,0)</f>
        <v>0</v>
      </c>
      <c r="D187" s="4934">
        <f>_xlfn.IFERROR(ROUNDDOWN('Summary OPS'!G90*100,1),"N/A")</f>
        <v>0</v>
      </c>
      <c r="E187" s="4928">
        <f>ROUNDDOWN('Summary OPS'!Z9,0)</f>
        <v>4929</v>
      </c>
      <c r="F187" s="4934">
        <f>_xlfn.IFERROR(ROUNDDOWN('Summary OPS'!J90*100,1),"N/A")</f>
        <v>0</v>
      </c>
      <c r="G187" s="4928">
        <f>ROUNDDOWN('Summary OPS'!AC9,0)</f>
        <v>0</v>
      </c>
      <c r="H187" s="4928">
        <f>ROUNDDOWN('Summary OPS'!AF9,0)</f>
        <v>0</v>
      </c>
      <c r="I187" s="4939" t="s">
        <v>174</v>
      </c>
      <c r="J187" s="4928">
        <f>ROUNDDOWN('Summary OPS'!AV9,0)</f>
        <v>1526</v>
      </c>
      <c r="K187" s="4934">
        <f>_xlfn.IFERROR(ROUNDDOWN('Summary OPS'!AU90*100,1),"N/A")</f>
        <v>-69</v>
      </c>
    </row>
    <row r="188" ht="14.25" customHeight="1">
      <c r="A188" s="1151" t="s">
        <v>1742</v>
      </c>
      <c r="B188" s="4922">
        <f>ROUNDDOWN('Summary OPS'!H10*100,2)</f>
        <v>0</v>
      </c>
      <c r="C188" s="4922">
        <f>ROUNDDOWN('Summary OPS'!K10*100,2)</f>
        <v>0</v>
      </c>
      <c r="D188" s="4934"/>
      <c r="E188" s="4922">
        <f>ROUNDDOWN('Summary OPS'!Z10*100,2)</f>
        <v>3.47</v>
      </c>
      <c r="F188" s="4934"/>
      <c r="G188" s="4922">
        <f>ROUNDDOWN('Summary OPS'!AC10*100,2)</f>
        <v>0</v>
      </c>
      <c r="H188" s="4922">
        <f>ROUNDDOWN('Summary OPS'!AF10*100,2)</f>
        <v>0</v>
      </c>
      <c r="I188" s="4934"/>
      <c r="J188" s="4922">
        <f>ROUNDDOWN('Summary OPS'!AV10*100,2)</f>
        <v>11.96</v>
      </c>
      <c r="K188" s="4934"/>
    </row>
    <row r="189" ht="14.25" customHeight="1">
      <c r="A189" s="1151" t="s">
        <v>2732</v>
      </c>
      <c r="B189" s="4922">
        <f>ROUNDDOWN('Summary OPS'!H12*100,2)</f>
        <v>0</v>
      </c>
      <c r="C189" s="4922">
        <f>ROUNDDOWN('Summary OPS'!K12*100,2)</f>
        <v>0</v>
      </c>
      <c r="D189" s="4934"/>
      <c r="E189" s="4922">
        <f>ROUNDDOWN('Summary OPS'!Z12*100,2)</f>
        <v>0</v>
      </c>
      <c r="F189" s="4934"/>
      <c r="G189" s="4922">
        <f>ROUNDDOWN('Summary OPS'!AC12*100,2)</f>
        <v>0</v>
      </c>
      <c r="H189" s="4922">
        <f>ROUNDDOWN('Summary OPS'!AF12*100,2)</f>
        <v>0</v>
      </c>
      <c r="I189" s="4934"/>
      <c r="J189" s="4922">
        <f>ROUNDDOWN('Summary OPS'!AV12*100,2)</f>
        <v>0</v>
      </c>
      <c r="K189" s="4934"/>
    </row>
    <row r="190" ht="14.25" customHeight="1">
      <c r="A190" s="1151" t="s">
        <v>3024</v>
      </c>
      <c r="B190" s="4922">
        <f>ROUNDDOWN('Summary OPS'!H11*100,2)</f>
        <v>0</v>
      </c>
      <c r="C190" s="4922">
        <f>ROUNDDOWN('Summary OPS'!K11*100,2)</f>
        <v>0</v>
      </c>
      <c r="D190" s="4934"/>
      <c r="E190" s="4922">
        <f>ROUNDDOWN('Summary OPS'!Z11*100,2)</f>
        <v>0.92</v>
      </c>
      <c r="F190" s="4934"/>
      <c r="G190" s="4922">
        <f>ROUNDDOWN('Summary OPS'!AC11*100,2)</f>
        <v>0</v>
      </c>
      <c r="H190" s="4922">
        <f>ROUNDDOWN('Summary OPS'!AF11*100,2)</f>
        <v>0</v>
      </c>
      <c r="I190" s="4934"/>
      <c r="J190" s="4922">
        <f>ROUNDDOWN('Summary OPS'!AV11*100,2)</f>
        <v>2.86</v>
      </c>
      <c r="K190" s="4934"/>
    </row>
    <row r="191" ht="14.25" customHeight="1">
      <c r="A191" s="1151" t="s">
        <v>1888</v>
      </c>
      <c r="B191" s="4922">
        <f>ROUNDDOWN('Summary OPS'!H14*100,2)</f>
        <v>0</v>
      </c>
      <c r="C191" s="4922">
        <f>ROUNDDOWN('Summary OPS'!K14*100,2)</f>
        <v>0</v>
      </c>
      <c r="D191" s="4934">
        <f>_xlfn.IFERROR(ROUNDDOWN('Summary OPS'!G91*100,1),"N/A")</f>
        <v>0</v>
      </c>
      <c r="E191" s="4922">
        <f>ROUNDDOWN('Summary OPS'!Z14*100,2)</f>
        <v>4.39</v>
      </c>
      <c r="F191" s="4934">
        <f>_xlfn.IFERROR(ROUNDDOWN('Summary OPS'!J91*100,1),"N/A")</f>
        <v>0</v>
      </c>
      <c r="G191" s="4922">
        <f>ROUNDDOWN('Summary OPS'!AC14*100,2)</f>
        <v>0</v>
      </c>
      <c r="H191" s="4922">
        <f>ROUNDDOWN('Summary OPS'!AF14*100,2)</f>
        <v>0</v>
      </c>
      <c r="I191" s="4934" t="s">
        <v>174</v>
      </c>
      <c r="J191" s="4922">
        <f>ROUNDDOWN('Summary OPS'!AV14*100,2)</f>
        <v>14.82</v>
      </c>
      <c r="K191" s="4934">
        <f>_xlfn.IFERROR(ROUNDDOWN('Summary OPS'!AU91*100,1),"N/A")</f>
        <v>-72.4</v>
      </c>
    </row>
    <row r="192" ht="14.25" customHeight="1">
      <c r="A192" s="1151" t="s">
        <v>5926</v>
      </c>
      <c r="B192" s="4927">
        <f>ROUNDDOWN('Summary OPS'!H31,0)</f>
        <v>0</v>
      </c>
      <c r="C192" s="4927">
        <f>ROUNDDOWN('Summary OPS'!K31,0)</f>
        <v>0</v>
      </c>
      <c r="D192" s="4934">
        <f>_xlfn.IFERROR(ROUNDDOWN('Summary OPS'!G92*100,1),"N/A")</f>
        <v>0</v>
      </c>
      <c r="E192" s="4928">
        <f>ROUNDDOWN('Summary OPS'!Z31,0)</f>
        <v>4501</v>
      </c>
      <c r="F192" s="4934">
        <f>_xlfn.IFERROR(ROUNDDOWN('Summary OPS'!J92*100,1),"N/A")</f>
        <v>0</v>
      </c>
      <c r="G192" s="4928">
        <f>ROUNDDOWN('Summary OPS'!AC31,0)</f>
        <v>0</v>
      </c>
      <c r="H192" s="4928">
        <f>ROUNDDOWN('Summary OPS'!AF31,0)</f>
        <v>0</v>
      </c>
      <c r="I192" s="4939">
        <f>_xlfn.IFERROR(ROUNDDOWN('Expense Comps.'!L215/12,0),0)</f>
        <v>0</v>
      </c>
      <c r="J192" s="4928">
        <f>ROUNDDOWN('Summary OPS'!AV31,0)</f>
        <v>1088</v>
      </c>
      <c r="K192" s="4934">
        <f>_xlfn.IFERROR(ROUNDDOWN('Summary OPS'!AU92*100,1),"N/A")</f>
        <v>-75.8</v>
      </c>
    </row>
    <row r="193" ht="14.25" customHeight="1">
      <c r="A193" s="1151" t="s">
        <v>5927</v>
      </c>
      <c r="B193" s="4927">
        <f>ROUNDDOWN('Summary OPS'!H46,0)</f>
        <v>0</v>
      </c>
      <c r="C193" s="4927">
        <f>ROUNDDOWN('Summary OPS'!K46,0)</f>
        <v>0</v>
      </c>
      <c r="D193" s="4927"/>
      <c r="E193" s="4927">
        <f>ROUNDDOWN('Summary OPS'!Z46,0)</f>
        <v>11838</v>
      </c>
      <c r="F193" s="4927"/>
      <c r="G193" s="4927">
        <f>ROUNDDOWN('Summary OPS'!AC46,0)</f>
        <v>0</v>
      </c>
      <c r="H193" s="4927">
        <f>ROUNDDOWN('Summary OPS'!AF46,0)</f>
        <v>0</v>
      </c>
      <c r="I193" s="4927">
        <f>ROUNDDOWN('Expense Comps.'!W215,0)</f>
        <v>0</v>
      </c>
      <c r="J193" s="4927">
        <f>ROUNDDOWN('Summary OPS'!AV46,0)</f>
        <v>12193</v>
      </c>
    </row>
    <row r="194" ht="14.25" customHeight="1">
      <c r="A194" s="1151" t="s">
        <v>5928</v>
      </c>
      <c r="B194" s="4927">
        <f>ROUNDDOWN('Summary OPS'!H45,0)</f>
        <v>0</v>
      </c>
      <c r="C194" s="4927">
        <f>ROUNDDOWN('Summary OPS'!K45,0)</f>
        <v>0</v>
      </c>
      <c r="D194" s="4927"/>
      <c r="E194" s="4927">
        <f>ROUNDDOWN('Summary OPS'!Z45,0)</f>
        <v>2860</v>
      </c>
      <c r="F194" s="4927"/>
      <c r="G194" s="4927">
        <f>ROUNDDOWN('Summary OPS'!AC45,0)</f>
        <v>0</v>
      </c>
      <c r="H194" s="4927">
        <f>ROUNDDOWN('Summary OPS'!AF45,0)</f>
        <v>0</v>
      </c>
      <c r="I194" s="4927">
        <f>ROUNDDOWN('Expense Comps.'!V215,0)</f>
        <v>0</v>
      </c>
      <c r="J194" s="4927">
        <f>ROUNDDOWN('Summary OPS'!AV45,0)</f>
        <v>2946</v>
      </c>
    </row>
    <row r="195" ht="14.25" customHeight="1">
      <c r="A195" s="1151" t="s">
        <v>5929</v>
      </c>
      <c r="B195" s="4927">
        <f>ROUNDDOWN('Summary OPS'!H42,0)</f>
        <v>0</v>
      </c>
      <c r="C195" s="4927">
        <f>ROUNDDOWN('Summary OPS'!K42,0)</f>
        <v>0</v>
      </c>
      <c r="D195" s="4927"/>
      <c r="E195" s="4927">
        <f>ROUNDDOWN('Summary OPS'!Z42,0)</f>
        <v>2091</v>
      </c>
      <c r="F195" s="4927"/>
      <c r="G195" s="4927">
        <f>ROUNDDOWN('Summary OPS'!AC42,0)</f>
        <v>0</v>
      </c>
      <c r="H195" s="4927">
        <f>ROUNDDOWN('Summary OPS'!AF42,0)</f>
        <v>0</v>
      </c>
      <c r="I195" s="4927">
        <f>ROUNDDOWN('Expense Comps.'!S215,0)</f>
        <v>0</v>
      </c>
      <c r="J195" s="4927">
        <f>ROUNDDOWN('Summary OPS'!AV42,0)</f>
        <v>2154</v>
      </c>
    </row>
    <row r="196" ht="14.25" customHeight="1">
      <c r="A196" s="1151" t="s">
        <v>5930</v>
      </c>
      <c r="B196" s="4927">
        <f>ROUNDDOWN('Summary OPS'!H43,0)</f>
        <v>0</v>
      </c>
      <c r="C196" s="4927">
        <f>ROUNDDOWN('Summary OPS'!K43,0)</f>
        <v>0</v>
      </c>
      <c r="D196" s="4927"/>
      <c r="E196" s="4927">
        <f>ROUNDDOWN('Summary OPS'!Z43,0)</f>
        <v>1343</v>
      </c>
      <c r="F196" s="4927"/>
      <c r="G196" s="4927">
        <f>ROUNDDOWN('Summary OPS'!AC43,0)</f>
        <v>0</v>
      </c>
      <c r="H196" s="4927">
        <f>ROUNDDOWN('Summary OPS'!AF43,0)</f>
        <v>0</v>
      </c>
      <c r="I196" s="4927">
        <f>ROUNDDOWN('Expense Comps.'!T215,0)</f>
        <v>0</v>
      </c>
      <c r="J196" s="4927">
        <f>ROUNDDOWN('Summary OPS'!AV43,0)</f>
        <v>1384</v>
      </c>
    </row>
    <row r="197" ht="14.25" customHeight="1">
      <c r="A197" s="1151" t="s">
        <v>5931</v>
      </c>
      <c r="B197" s="4927">
        <f>ROUNDDOWN('Summary OPS'!H44,0)</f>
        <v>0</v>
      </c>
      <c r="C197" s="4927">
        <f>ROUNDDOWN('Summary OPS'!K44,0)</f>
        <v>0</v>
      </c>
      <c r="D197" s="4927"/>
      <c r="E197" s="4927">
        <f>ROUNDDOWN('Summary OPS'!Z44,0)</f>
        <v>4520</v>
      </c>
      <c r="F197" s="4927"/>
      <c r="G197" s="4927">
        <f>ROUNDDOWN('Summary OPS'!AC44,0)</f>
        <v>0</v>
      </c>
      <c r="H197" s="4927">
        <f>ROUNDDOWN('Summary OPS'!AF44,0)</f>
        <v>0</v>
      </c>
      <c r="I197" s="4927">
        <f>ROUNDDOWN('Expense Comps.'!U215,0)</f>
        <v>0</v>
      </c>
      <c r="J197" s="4927">
        <f>ROUNDDOWN('Summary OPS'!AV44,0)</f>
        <v>4656</v>
      </c>
    </row>
    <row r="198" ht="14.25" customHeight="1">
      <c r="A198" s="1151" t="s">
        <v>5932</v>
      </c>
      <c r="B198" s="4927">
        <f>_xlfn.IFERROR(ROUNDDOWN('Summary OPS'!H35*100,2),0)</f>
        <v>0</v>
      </c>
      <c r="C198" s="4940">
        <f>ROUNDDOWN('Summary OPS'!K35,0)</f>
        <v>0</v>
      </c>
      <c r="D198" s="4940"/>
      <c r="E198" s="4940">
        <f>ROUNDDOWN('Summary OPS'!Z35,0)</f>
        <v>0</v>
      </c>
      <c r="F198" s="4940"/>
      <c r="G198" s="4940">
        <f>ROUNDDOWN('Summary OPS'!AC35,0)</f>
        <v>0</v>
      </c>
      <c r="H198" s="4940">
        <f>ROUNDDOWN('Summary OPS'!AF35,0)</f>
        <v>0</v>
      </c>
      <c r="I198" s="4940">
        <f>ROUNDDOWN('Expense Comps.'!M215,0)</f>
        <v>0</v>
      </c>
      <c r="J198" s="4940">
        <f>ROUNDDOWN('Summary OPS'!AV35,0)</f>
        <v>0</v>
      </c>
      <c r="K198" s="4941"/>
    </row>
    <row r="199" ht="14.25" customHeight="1">
      <c r="A199" s="1151" t="s">
        <v>5933</v>
      </c>
      <c r="B199" s="4927">
        <f>ROUNDDOWN('Summary OPS'!H41,0)</f>
        <v>0</v>
      </c>
      <c r="C199" s="4927">
        <f>ROUNDDOWN('Summary OPS'!K41,0)</f>
        <v>0</v>
      </c>
      <c r="D199" s="4927"/>
      <c r="E199" s="4927">
        <f>ROUNDDOWN('Summary OPS'!Z41,0)</f>
        <v>5625</v>
      </c>
      <c r="F199" s="4927"/>
      <c r="G199" s="4927">
        <f>ROUNDDOWN('Summary OPS'!AC41,0)</f>
        <v>0</v>
      </c>
      <c r="H199" s="4927">
        <f>ROUNDDOWN('Summary OPS'!AF41,0)</f>
        <v>0</v>
      </c>
      <c r="I199" s="4927">
        <f>ROUNDDOWN('Expense Comps.'!R215,0)</f>
        <v>0</v>
      </c>
      <c r="J199" s="4927">
        <f>ROUNDDOWN('Summary OPS'!AV41,0)</f>
        <v>5794</v>
      </c>
    </row>
    <row r="200" ht="14.25" customHeight="1">
      <c r="A200" s="1151" t="s">
        <v>5934</v>
      </c>
      <c r="B200" s="4927">
        <f>ROUNDDOWN('Summary OPS'!H36+'Summary OPS'!H37+'Summary OPS'!H38,0)</f>
        <v>0</v>
      </c>
      <c r="C200" s="4927">
        <f>ROUNDDOWN('Summary OPS'!K36+'Summary OPS'!K37+'Summary OPS'!K38,0)</f>
        <v>0</v>
      </c>
      <c r="D200" s="4927"/>
      <c r="E200" s="4927">
        <f>ROUNDDOWN('Summary OPS'!Z36+'Summary OPS'!Z37+'Summary OPS'!Z38,0)</f>
        <v>3369</v>
      </c>
      <c r="F200" s="4927"/>
      <c r="G200" s="4927">
        <f>ROUNDDOWN('Summary OPS'!AC36+'Summary OPS'!AC37+'Summary OPS'!AC38,0)</f>
        <v>0</v>
      </c>
      <c r="H200" s="4927">
        <f>ROUNDDOWN('Summary OPS'!AF36+'Summary OPS'!AF37+'Summary OPS'!AF38,0)</f>
        <v>0</v>
      </c>
      <c r="I200" s="4927">
        <f>ROUNDDOWN('Expense Comps.'!Q215,0)</f>
        <v>0</v>
      </c>
      <c r="J200" s="4927">
        <f>ROUNDDOWN('Summary OPS'!AV36+'Summary OPS'!AV37+'Summary OPS'!AV38,0)</f>
        <v>3470</v>
      </c>
    </row>
    <row r="201" ht="14.25" customHeight="1">
      <c r="A201" s="1151" t="s">
        <v>5935</v>
      </c>
      <c r="B201" s="4927">
        <f>ROUNDDOWN('Summary OPS'!H39+'Summary OPS'!H40,0)</f>
        <v>0</v>
      </c>
      <c r="C201" s="4927">
        <f>ROUNDDOWN('Summary OPS'!K39+'Summary OPS'!K40,0)</f>
        <v>0</v>
      </c>
      <c r="D201" s="4927"/>
      <c r="E201" s="4927">
        <f>ROUNDDOWN('Summary OPS'!Z39+'Summary OPS'!Z40,0)</f>
        <v>0</v>
      </c>
      <c r="F201" s="4927"/>
      <c r="G201" s="4927">
        <f>ROUNDDOWN('Summary OPS'!AC39+'Summary OPS'!AC40,0)</f>
        <v>0</v>
      </c>
      <c r="H201" s="4927">
        <f>ROUNDDOWN('Summary OPS'!AF39+'Summary OPS'!AF40,0)</f>
        <v>0</v>
      </c>
      <c r="I201" s="4927"/>
      <c r="J201" s="4927">
        <f>ROUNDDOWN('Summary OPS'!AV39+'Summary OPS'!AV40,0)</f>
        <v>0</v>
      </c>
    </row>
    <row r="202" ht="14.25" customHeight="1">
      <c r="A202" s="1151" t="s">
        <v>5936</v>
      </c>
      <c r="B202" s="4927">
        <f>ROUNDDOWN('Summary OPS'!H47+'Summary OPS'!H48,0)</f>
        <v>0</v>
      </c>
      <c r="C202" s="4927">
        <f>ROUNDDOWN('Summary OPS'!K47+'Summary OPS'!K48,0)</f>
        <v>0</v>
      </c>
      <c r="D202" s="4927"/>
      <c r="E202" s="4927">
        <f>ROUNDDOWN('Summary OPS'!Z47+'Summary OPS'!Z48,0)</f>
        <v>0</v>
      </c>
      <c r="F202" s="4927"/>
      <c r="G202" s="4927">
        <f>ROUNDDOWN('Summary OPS'!AC47+'Summary OPS'!AC48,0)</f>
        <v>0</v>
      </c>
      <c r="H202" s="4927">
        <f>ROUNDDOWN('Summary OPS'!AF47+'Summary OPS'!AF48,0)</f>
        <v>0</v>
      </c>
      <c r="I202" s="4927"/>
      <c r="J202" s="4927">
        <f>ROUNDDOWN('Summary OPS'!AV47+'Summary OPS'!AV48,0)</f>
        <v>0</v>
      </c>
    </row>
    <row r="203" ht="14.25" customHeight="1">
      <c r="A203" s="1151" t="s">
        <v>5937</v>
      </c>
      <c r="B203" s="4927">
        <f>ROUNDDOWN('Summary OPS'!H51,0)</f>
        <v>0</v>
      </c>
      <c r="C203" s="4927">
        <f>ROUNDDOWN('Summary OPS'!K51,0)</f>
        <v>0</v>
      </c>
      <c r="D203" s="4927"/>
      <c r="E203" s="4927">
        <f>ROUNDDOWN('Summary OPS'!Z51,0)</f>
        <v>0</v>
      </c>
      <c r="F203" s="4927"/>
      <c r="G203" s="4927">
        <f>ROUNDDOWN('Summary OPS'!AC51,0)</f>
        <v>0</v>
      </c>
      <c r="H203" s="4927">
        <f>ROUNDDOWN('Summary OPS'!AF51,0)</f>
        <v>0</v>
      </c>
      <c r="I203" s="4927">
        <f>ROUNDDOWN('Expense Comps.'!X215,0)</f>
        <v>0</v>
      </c>
      <c r="J203" s="4927">
        <f>ROUNDDOWN('Summary OPS'!AV51,0)</f>
        <v>250</v>
      </c>
    </row>
    <row r="204" ht="14.25" customHeight="1">
      <c r="A204" s="1151" t="s">
        <v>5938</v>
      </c>
      <c r="B204" s="4927">
        <f>ROUNDDOWN('Summary OPS'!H53-'Summary OPS'!H46-'Summary OPS'!H51,0)</f>
        <v>0</v>
      </c>
      <c r="C204" s="4927">
        <f>ROUNDDOWN('Summary OPS'!K53-'Summary OPS'!K46-'Summary OPS'!K51,0)</f>
        <v>0</v>
      </c>
      <c r="D204" s="4942">
        <f>_xlfn.IFERROR(ROUNDDOWN('Summary OPS'!G93*100,1),"N/A")</f>
        <v>0</v>
      </c>
      <c r="E204" s="4928">
        <f>ROUNDDOWN('Summary OPS'!Z53-'Summary OPS'!Z46-'Summary OPS'!Z51,0)</f>
        <v>21851</v>
      </c>
      <c r="F204" s="4942">
        <f>_xlfn.IFERROR(ROUNDDOWN('Summary OPS'!J93*100,1),"N/A")</f>
        <v>0</v>
      </c>
      <c r="G204" s="4928">
        <f>ROUNDDOWN('Summary OPS'!AC53-'Summary OPS'!AC46-'Summary OPS'!AC51,0)</f>
        <v>0</v>
      </c>
      <c r="H204" s="4928">
        <f>ROUNDDOWN('Summary OPS'!AF53-'Summary OPS'!AF46-'Summary OPS'!AF51,0)</f>
        <v>0</v>
      </c>
      <c r="I204" s="4939">
        <f>_xlfn.IFERROR(ROUNDDOWN('Expense Comps.'!Z215,0),0)</f>
        <v>0</v>
      </c>
      <c r="J204" s="4928">
        <f>_xlfn.IFERROR(ROUNDDOWN('Summary OPS'!AV53-'Summary OPS'!AV46-'Summary OPS'!AV51,0),0)</f>
        <v>20860</v>
      </c>
      <c r="K204" s="4942">
        <f>_xlfn.IFERROR(ROUNDDOWN('Summary OPS'!AU93*100,1),"N/A")</f>
        <v>-1.1</v>
      </c>
    </row>
    <row r="205" ht="14.25" customHeight="1">
      <c r="B205" s="1000"/>
    </row>
    <row r="206" ht="14.25" customHeight="1">
      <c r="A206" s="1151" t="s">
        <v>5939</v>
      </c>
      <c r="B206" s="1000"/>
    </row>
    <row r="207" ht="14.25" customHeight="1">
      <c r="A207" s="1151" t="s">
        <v>5940</v>
      </c>
      <c r="B207" s="4919">
        <f>_xlfn.IFERROR(ROUNDDOWN(T3_Annualized_NRI/TotalUnits,0),0)</f>
        <v>57704</v>
      </c>
    </row>
    <row r="208" ht="14.25" customHeight="1">
      <c r="A208" s="1151" t="s">
        <v>5941</v>
      </c>
      <c r="B208" s="4922">
        <f>_xlfn.IFERROR(ROUNDDOWN(T3_vs_T6*100,2),"Error")</f>
        <v>-0.08</v>
      </c>
    </row>
    <row r="209" ht="14.25" customHeight="1">
      <c r="A209" s="1151" t="s">
        <v>5942</v>
      </c>
      <c r="B209" s="4922">
        <f>_xlfn.IFERROR(ROUNDDOWN(T3_vs_T12*100,2),"Error")</f>
        <v>2.03</v>
      </c>
    </row>
    <row r="210" ht="14.25" customHeight="1">
      <c r="A210" s="1151" t="s">
        <v>5943</v>
      </c>
      <c r="B210" s="4922">
        <f>_xlfn.IFERROR(ROUNDDOWN('NRI Analysis'!H91*100,2),"Error")</f>
        <v>-72.96</v>
      </c>
    </row>
    <row r="211" ht="14.25" customHeight="1">
      <c r="B211" s="4921"/>
    </row>
    <row r="212" ht="14.25" customHeight="1">
      <c r="A212" s="1151" t="s">
        <v>2433</v>
      </c>
      <c r="B212" s="4919">
        <f>T1_Annualized_NRI</f>
        <v>4823412</v>
      </c>
    </row>
    <row r="213" ht="14.25" customHeight="1">
      <c r="A213" s="1151" t="s">
        <v>1752</v>
      </c>
      <c r="B213" s="4919">
        <f>T3_Annualized_NRI</f>
        <v>4904876</v>
      </c>
    </row>
    <row r="214" ht="14.25" customHeight="1">
      <c r="A214" s="1151" t="s">
        <v>2429</v>
      </c>
      <c r="B214" s="4919">
        <f>T6_Annualized_NRI</f>
        <v>4908984</v>
      </c>
    </row>
    <row r="215" ht="14.25" customHeight="1">
      <c r="A215" s="1151" t="s">
        <v>1738</v>
      </c>
      <c r="B215" s="4919">
        <f>T12_Annualized_NRI</f>
        <v>4807132</v>
      </c>
    </row>
    <row r="216" ht="14.25" customHeight="1">
      <c r="A216" s="1151" t="s">
        <v>5944</v>
      </c>
      <c r="B216" s="4919">
        <f>SOps_UnderwrittenNRI</f>
        <v>1325888</v>
      </c>
    </row>
    <row r="217" ht="14.25" customHeight="1">
      <c r="B217" s="1000"/>
    </row>
    <row r="218" ht="14.25" customHeight="1">
      <c r="A218" s="1151" t="s">
        <v>5945</v>
      </c>
      <c r="B218" s="1000"/>
    </row>
    <row r="219" ht="14.25" customHeight="1">
      <c r="A219" s="1151" t="s">
        <v>5946</v>
      </c>
      <c r="B219" s="4943">
        <f>'FNM Exit Strategy'!E7*100</f>
        <v>0</v>
      </c>
    </row>
    <row r="220" ht="14.25" customHeight="1">
      <c r="A220" s="1151" t="s">
        <v>5947</v>
      </c>
      <c r="B220" s="4943">
        <f>'FNM Exit Strategy'!F7*100</f>
        <v>0</v>
      </c>
    </row>
    <row r="221" ht="14.25" customHeight="1">
      <c r="A221" s="1151" t="s">
        <v>5948</v>
      </c>
      <c r="B221" s="4943">
        <f>'FNM Exit Strategy'!G7*100</f>
        <v>0</v>
      </c>
    </row>
    <row r="222" ht="14.25" customHeight="1">
      <c r="A222" s="1151" t="s">
        <v>5949</v>
      </c>
      <c r="B222" s="4943">
        <f>'FNM Exit Strategy'!H7*100</f>
        <v>0</v>
      </c>
    </row>
    <row r="223" ht="14.25" customHeight="1">
      <c r="A223" s="1151" t="s">
        <v>5950</v>
      </c>
      <c r="B223" s="4943">
        <f>'FNM Exit Strategy'!I7*100</f>
        <v>0</v>
      </c>
    </row>
    <row r="224" ht="14.25" customHeight="1">
      <c r="A224" s="1151" t="s">
        <v>985</v>
      </c>
      <c r="B224" s="4922">
        <f>_xlfn.IFERROR(ROUNDDOWN('FNM Exit Strategy'!AL15*100,2),"Error")</f>
        <v>0</v>
      </c>
    </row>
    <row r="225" ht="14.25" customHeight="1">
      <c r="A225" s="1151" t="s">
        <v>5951</v>
      </c>
      <c r="B225" s="4922">
        <f>_xlfn.IFERROR(ROUNDDOWN('FNM Exit Strategy'!AL23*100,2),"Error")</f>
        <v>0</v>
      </c>
    </row>
    <row r="226" ht="14.25" customHeight="1">
      <c r="A226" s="1151" t="s">
        <v>1418</v>
      </c>
      <c r="B226" s="4944">
        <f>_xlfn.IFERROR(ROUNDDOWN('FNM Exit Strategy'!AL22*100,2),"Error")</f>
        <v>80</v>
      </c>
    </row>
    <row r="227" ht="14.25" customHeight="1">
      <c r="A227" s="1151" t="s">
        <v>5952</v>
      </c>
      <c r="B227" s="4922">
        <f>_xlfn.IFERROR(ROUNDDOWN('FNM Exit Strategy'!AL21*100,2),"Error")</f>
        <v>0</v>
      </c>
    </row>
    <row r="228" ht="14.25" customHeight="1">
      <c r="A228" s="4932" t="s">
        <v>1415</v>
      </c>
      <c r="B228" s="4944">
        <f>_xlfn.IFERROR(ROUNDDOWN('FNM Exit Strategy'!AL20*100,2),"Error")</f>
        <v>7</v>
      </c>
    </row>
    <row r="229" ht="14.25" customHeight="1">
      <c r="A229" s="1151" t="s">
        <v>5953</v>
      </c>
      <c r="B229" s="4922">
        <f>_xlfn.IFERROR(ROUNDDOWN('FNM Exit Strategy'!AL25*100,2),"Error")</f>
        <v>0</v>
      </c>
    </row>
    <row r="230" ht="14.25" customHeight="1">
      <c r="A230" s="1151" t="s">
        <v>5954</v>
      </c>
      <c r="B230" s="4922">
        <f>_xlfn.IFERROR(ROUNDDOWN('FNM Exit Strategy'!AL32,2),"Error")</f>
        <v>0</v>
      </c>
    </row>
    <row r="231" ht="14.25" customHeight="1">
      <c r="A231" s="1151" t="s">
        <v>5955</v>
      </c>
      <c r="B231" s="4945">
        <f>_xlfn.IFERROR(ROUNDDOWN('FNM Exit Strategy'!AL30*100,2),"Error")</f>
        <v>7.5</v>
      </c>
    </row>
    <row r="232" ht="14.25" customHeight="1">
      <c r="B232" s="1000"/>
    </row>
    <row r="233" ht="14.25" customHeight="1">
      <c r="A233" s="1151" t="s">
        <v>5956</v>
      </c>
      <c r="B233" s="1000"/>
    </row>
    <row r="234" ht="14.25" customHeight="1">
      <c r="A234" s="1151" t="s">
        <v>985</v>
      </c>
      <c r="B234" s="4944">
        <f>_xlfn.IFERROR(ROUNDDOWN('FNM Exit Strategy'!AM15*100,2),"Error")</f>
        <v>0</v>
      </c>
    </row>
    <row r="235" ht="14.25" customHeight="1">
      <c r="A235" s="1151" t="s">
        <v>5951</v>
      </c>
      <c r="B235" s="4944">
        <f>_xlfn.IFERROR(ROUNDDOWN('FNM Exit Strategy'!AM23*100,2),"Error")</f>
        <v>0</v>
      </c>
    </row>
    <row r="236" ht="14.25" customHeight="1">
      <c r="A236" s="1151" t="s">
        <v>1418</v>
      </c>
      <c r="B236" s="4944">
        <f>_xlfn.IFERROR(ROUNDDOWN('FNM Exit Strategy'!AM22*100,2),"Error")</f>
        <v>80</v>
      </c>
    </row>
    <row r="237" ht="14.25" customHeight="1">
      <c r="A237" s="1151" t="s">
        <v>5952</v>
      </c>
      <c r="B237" s="4944">
        <f>_xlfn.IFERROR(ROUNDDOWN('FNM Exit Strategy'!AM21*100,2),"Error")</f>
        <v>0</v>
      </c>
    </row>
    <row r="238" ht="14.25" customHeight="1">
      <c r="A238" s="4932" t="s">
        <v>1415</v>
      </c>
      <c r="B238" s="4944">
        <f>_xlfn.IFERROR(ROUNDDOWN('FNM Exit Strategy'!AM20*100,2),"Error")</f>
        <v>7</v>
      </c>
    </row>
    <row r="239" ht="14.25" customHeight="1">
      <c r="A239" s="1151" t="s">
        <v>5953</v>
      </c>
      <c r="B239" s="4944">
        <f>_xlfn.IFERROR(ROUNDDOWN('FNM Exit Strategy'!AM25*100,2),"Error")</f>
        <v>0</v>
      </c>
    </row>
    <row r="240" ht="14.25" customHeight="1">
      <c r="A240" s="1151" t="s">
        <v>5954</v>
      </c>
      <c r="B240" s="4922">
        <f>_xlfn.IFERROR(ROUNDDOWN('FNM Exit Strategy'!AM32,2),"Error")</f>
        <v>0</v>
      </c>
    </row>
    <row r="241" ht="14.25" customHeight="1">
      <c r="A241" s="1151" t="s">
        <v>5955</v>
      </c>
      <c r="B241" s="4945">
        <f>_xlfn.IFERROR(ROUNDDOWN('FNM Exit Strategy'!AL30*100,2),"Error")</f>
        <v>7.5</v>
      </c>
    </row>
    <row r="242" ht="14.25" customHeight="1">
      <c r="B242" s="4922"/>
    </row>
    <row r="243" ht="14.25" customHeight="1">
      <c r="A243" s="1151" t="s">
        <v>5957</v>
      </c>
      <c r="B243" s="1000">
        <f>_xlfn.IFERROR(ROUNDDOWN(DataPage_PcntOfUnits_LTE_120PcntOfAMI*100,2),0)</f>
        <v>0</v>
      </c>
    </row>
    <row r="244" ht="14.25" customHeight="1">
      <c r="A244" s="1151" t="s">
        <v>5958</v>
      </c>
      <c r="B244" s="1000">
        <f>_xlfn.IFERROR(ROUNDDOWN(DataPage_PcntOfUnits_LTE_100PcntOfAMI*100,2),0)</f>
        <v>0</v>
      </c>
    </row>
    <row r="245" ht="14.25" customHeight="1">
      <c r="A245" s="1151" t="s">
        <v>5959</v>
      </c>
      <c r="B245" s="1000">
        <f>_xlfn.IFERROR(ROUNDDOWN(DataPage_PcntOfUnits_LTE_80PcntOfAMI*100,2),0)</f>
        <v>0</v>
      </c>
    </row>
    <row r="246" ht="14.25" customHeight="1">
      <c r="A246" s="1151" t="s">
        <v>5960</v>
      </c>
      <c r="B246" s="1000">
        <f>_xlfn.IFERROR(ROUNDDOWN(DataPage_PcntOfUnits_LTE_60PcntOfAMI*100,2),0)</f>
        <v>0</v>
      </c>
    </row>
    <row r="247" ht="14.25" customHeight="1">
      <c r="A247" s="1151" t="s">
        <v>5961</v>
      </c>
      <c r="B247" s="1000">
        <f>_xlfn.IFERROR(ROUNDDOWN(DataPage_PcntOfUnits_LTE_50PcntOfAMI*100,2),0)</f>
        <v>0</v>
      </c>
    </row>
    <row r="248" ht="14.25" customHeight="1">
      <c r="A248" s="1151" t="s">
        <v>5962</v>
      </c>
      <c r="B248" s="1000">
        <f>_xlfn.IFERROR(ROUNDDOWN(DataPage_PcntExcludedFromCap*100,2),0)</f>
        <v>0</v>
      </c>
    </row>
    <row r="249" ht="14.25" customHeight="1">
      <c r="B249" s="1000"/>
    </row>
    <row r="250" ht="14.25" customHeight="1">
      <c r="A250" s="1151" t="s">
        <v>5963</v>
      </c>
      <c r="B250" s="4921"/>
    </row>
    <row r="251" ht="14.25" customHeight="1">
      <c r="A251" s="1151" t="s">
        <v>5964</v>
      </c>
      <c r="B251" s="4921" t="e">
        <f>IF('Data Page'!I7="MAH",IF(MSA_Type="MSA (Strong Market)",IF(LoanAmount&gt;=55000000,"Meets standards","Does not meet standards"),IF(TIER=4,55000000,IF(TIER=3,40000000,30000000))),IF(AND(LoanAmount&gt;5000000,LoanAmount&lt;=75000000),"Meets standards","Does not meet standards"))</f>
        <v>#NAME?</v>
      </c>
    </row>
    <row r="252" ht="14.25" customHeight="1">
      <c r="A252" s="1151" t="s">
        <v>5965</v>
      </c>
      <c r="B252" s="4921" t="str">
        <f>IF('Data Page'!I7="MAH","Exclusions: Limited to LHTC (immediate-fixed), Preservation (Fixed), Fixed Rate Bond, ARM 7-6)","Exclusions: MAH, Seniors, Structured, Small Loans")</f>
        <v>Exclusions: MAH, Seniors, Structured, Small Loans</v>
      </c>
    </row>
    <row r="253" ht="14.25" customHeight="1">
      <c r="A253" s="1151" t="s">
        <v>932</v>
      </c>
      <c r="B253" s="1000" t="str">
        <f>IF(LTV&gt;Tier_Max_LTV,ROUNDDOWN(LTV*100,2)&amp;"% does not meet PD requirements",ROUNDDOWN(LTV*100,2)&amp;"% meets PD requirements")</f>
        <v>0% meets PD requirements</v>
      </c>
    </row>
    <row r="254" ht="14.25" customHeight="1">
      <c r="A254" s="1151" t="s">
        <v>1372</v>
      </c>
      <c r="B254" s="1000" t="e">
        <f>IF(Actual_UW_DSCR&lt;Tier_Min_Actual_UW_DSCR,ROUNDDOWN(UW_DSCR,2)&amp;"x does not meet PD requirements",ROUNDDOWN(UW_DSCR,2)&amp;"x meets PD requirements")</f>
        <v>#NAME?</v>
      </c>
    </row>
    <row r="255" ht="14.25" customHeight="1">
      <c r="A255" s="1151" t="s">
        <v>5968</v>
      </c>
      <c r="B255" s="4937" t="s">
        <v>174</v>
      </c>
      <c r="D255" s="1151" t="str">
        <f>IF(Debt_Yield&lt;7.25%,ROUNDDOWN(Debt_Yield*100,2)&amp;"% does not meet PD requirements",ROUNDDOWN(Debt_Yield*100,2)&amp;"% meets PD requirements")</f>
        <v>0% does not meet PD requirements</v>
      </c>
    </row>
    <row r="256" ht="14.25" customHeight="1">
      <c r="A256" s="1151" t="s">
        <v>5970</v>
      </c>
      <c r="B256" s="1000" t="e">
        <f>IF(MSA_Type="MSA (Pre-Review Market)","Pre-Review Market: No PD Allowed",ROUNDDOWN(Exit_Rate_Standard*100,2)&amp;IF('Data Page'!J51="PD: Fail","% does not meet PD requirements","% meets PD requirements"))</f>
        <v>#NAME?</v>
      </c>
    </row>
    <row r="257" ht="14.25" customHeight="1">
      <c r="A257" s="1151" t="s">
        <v>5971</v>
      </c>
      <c r="B257" s="1000" t="str">
        <f>IF('Data Page'!I7="MAH","DSC, IO, LTV, Amortization (15 yrs for loan terms ≥ 10 yrs","Large Loans, DSC, IO, LTC, SARM's (SARM's delegated to Priority Borrowers with specified interest rate cap terms for volume above $10M)")</f>
        <v>Large Loans, DSC, IO, LTC, SARM's (SARM's delegated to Priority Borrowers with specified interest rate cap terms for volume above $10M)</v>
      </c>
    </row>
    <row r="258" ht="14.25" customHeight="1">
      <c r="B258" s="1000"/>
    </row>
    <row r="259" ht="14.25" customHeight="1">
      <c r="A259" s="1151" t="s">
        <v>5973</v>
      </c>
      <c r="B259" s="4946"/>
    </row>
    <row r="260" ht="14.25" customHeight="1">
      <c r="A260" s="1151" t="s">
        <v>5974</v>
      </c>
      <c r="B260" s="4946"/>
    </row>
    <row r="261" ht="14.25" customHeight="1">
      <c r="A261" s="1151" t="s">
        <v>5975</v>
      </c>
      <c r="B261" s="4946"/>
    </row>
  </sheetData>
  <printOptions/>
  <pageMargins left="0.7" right="0.7" top="0.75" bottom="0.75" header="0.3" footer="0.3"/>
  <pageSetup paperSize="1" useFirstPageNumber="1" firstPageNumber="1" pageOrder="downThenOver" orientation="portrait"/>
  <headerFooter>
    <oddHeader>&amp;L&amp;C&amp;R</oddHeader>
    <oddFooter>&amp;L&amp;C&amp;R</oddFooter>
  </headerFooter>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2177F7C7-BB99-4B97-E561-C49948127704}" mc:Ignorable="x14ac xr xr2 xr3">
  <dimension ref="A1:I40"/>
  <sheetViews>
    <sheetView topLeftCell="A1" workbookViewId="0">
      <selection activeCell="A1" sqref="A1"/>
    </sheetView>
  </sheetViews>
  <sheetFormatPr defaultRowHeight="15" defaultColWidth="9.140625" customHeight="1"/>
  <cols>
    <col min="1" max="1" style="625" width="4.28125" customWidth="1"/>
    <col min="2" max="2" style="625" width="15.00390625" customWidth="1"/>
    <col min="3" max="3" style="625" width="31.28125" customWidth="1"/>
    <col min="4" max="4" style="625" width="15.57421875" customWidth="1"/>
    <col min="5" max="5" style="625" width="15.8515625" customWidth="1"/>
    <col min="6" max="6" style="625" width="17.57421875" customWidth="1"/>
    <col min="7" max="7" style="625" width="15.8515625" customWidth="1"/>
    <col min="8" max="8" style="625" width="17.57421875" customWidth="1"/>
    <col min="9" max="9" style="625" width="4.28125" customWidth="1"/>
  </cols>
  <sheetData>
    <row r="2" ht="15" customHeight="1">
      <c r="B2" s="4947" t="s">
        <v>5976</v>
      </c>
    </row>
    <row r="3" ht="31.5" customHeight="1"/>
    <row r="4" ht="15" customHeight="1">
      <c r="A4" s="2375"/>
      <c r="B4" s="2375"/>
      <c r="C4" s="4948" t="s">
        <v>5977</v>
      </c>
      <c r="D4" s="4949"/>
      <c r="E4" s="4950"/>
      <c r="F4" s="4951"/>
      <c r="G4" s="4950"/>
      <c r="H4" s="4951"/>
      <c r="I4" s="2375"/>
    </row>
    <row r="5" ht="15" customHeight="1">
      <c r="A5" s="2375"/>
      <c r="B5" s="2375"/>
      <c r="C5" s="4948" t="s">
        <v>5978</v>
      </c>
      <c r="D5" s="4949"/>
      <c r="E5" s="4952" t="s">
        <v>5979</v>
      </c>
      <c r="F5" s="4953"/>
      <c r="G5" s="4952" t="s">
        <v>5980</v>
      </c>
      <c r="H5" s="4953"/>
      <c r="I5" s="2375"/>
    </row>
    <row r="6" ht="15" customHeight="1">
      <c r="A6" s="2375"/>
      <c r="B6" s="2375">
        <v>1</v>
      </c>
      <c r="C6" s="4954" t="s">
        <v>5981</v>
      </c>
      <c r="D6" s="4955"/>
      <c r="E6" s="4956" t="s">
        <v>5982</v>
      </c>
      <c r="F6" s="4957"/>
      <c r="G6" s="4956" t="s">
        <v>5982</v>
      </c>
      <c r="H6" s="4957"/>
      <c r="I6" s="2375"/>
    </row>
    <row r="7" ht="15" customHeight="1">
      <c r="A7" s="2375"/>
      <c r="B7" s="2375">
        <v>2</v>
      </c>
      <c r="C7" s="4958" t="s">
        <v>5983</v>
      </c>
      <c r="D7" s="2375"/>
      <c r="E7" s="4959" t="s">
        <v>5984</v>
      </c>
      <c r="F7" s="4960"/>
      <c r="G7" s="4959" t="s">
        <v>5985</v>
      </c>
      <c r="H7" s="4960"/>
      <c r="I7" s="2375"/>
    </row>
    <row r="8" ht="15" customHeight="1">
      <c r="A8" s="2375"/>
      <c r="B8" s="2375">
        <v>3</v>
      </c>
      <c r="C8" s="4958" t="s">
        <v>5986</v>
      </c>
      <c r="D8" s="2375"/>
      <c r="E8" s="4959" t="s">
        <v>5987</v>
      </c>
      <c r="F8" s="4960"/>
      <c r="G8" s="4959" t="s">
        <v>5988</v>
      </c>
      <c r="H8" s="4960"/>
      <c r="I8" s="2375"/>
    </row>
    <row r="9" ht="15" customHeight="1">
      <c r="A9" s="2375"/>
      <c r="B9" s="2375">
        <v>4</v>
      </c>
      <c r="C9" s="4958" t="s">
        <v>5989</v>
      </c>
      <c r="D9" s="2375"/>
      <c r="E9" s="4959" t="s">
        <v>5990</v>
      </c>
      <c r="F9" s="4960"/>
      <c r="G9" s="4959" t="s">
        <v>5991</v>
      </c>
      <c r="H9" s="4960"/>
      <c r="I9" s="2375"/>
    </row>
    <row r="10" ht="15" customHeight="1">
      <c r="A10" s="2375"/>
      <c r="B10" s="2375">
        <v>5</v>
      </c>
      <c r="C10" s="4958" t="s">
        <v>5992</v>
      </c>
      <c r="D10" s="2375"/>
      <c r="E10" s="4959" t="s">
        <v>5993</v>
      </c>
      <c r="F10" s="4960"/>
      <c r="G10" s="4959" t="s">
        <v>5994</v>
      </c>
      <c r="H10" s="4960"/>
      <c r="I10" s="2375"/>
    </row>
    <row r="11" ht="15" customHeight="1">
      <c r="A11" s="2375"/>
      <c r="B11" s="2375">
        <v>6</v>
      </c>
      <c r="C11" s="4958" t="s">
        <v>5995</v>
      </c>
      <c r="D11" s="2375"/>
      <c r="E11" s="4959" t="s">
        <v>5996</v>
      </c>
      <c r="F11" s="4960"/>
      <c r="G11" s="4959" t="s">
        <v>5997</v>
      </c>
      <c r="H11" s="4960"/>
      <c r="I11" s="2375"/>
    </row>
    <row r="12" ht="15" customHeight="1">
      <c r="A12" s="2375"/>
      <c r="B12" s="2375">
        <v>7</v>
      </c>
      <c r="C12" s="4958" t="s">
        <v>5998</v>
      </c>
      <c r="D12" s="2375"/>
      <c r="E12" s="4959" t="s">
        <v>571</v>
      </c>
      <c r="F12" s="4960"/>
      <c r="G12" s="4959" t="s">
        <v>571</v>
      </c>
      <c r="H12" s="4960"/>
      <c r="I12" s="2375"/>
    </row>
    <row r="13" ht="15" customHeight="1">
      <c r="A13" s="2375"/>
      <c r="B13" s="2375">
        <v>8</v>
      </c>
      <c r="C13" s="4958" t="s">
        <v>5999</v>
      </c>
      <c r="D13" s="2375"/>
      <c r="E13" s="4959" t="s">
        <v>6000</v>
      </c>
      <c r="F13" s="4960"/>
      <c r="G13" s="4959" t="s">
        <v>6001</v>
      </c>
      <c r="H13" s="4960"/>
      <c r="I13" s="2375"/>
    </row>
    <row r="14" ht="15" customHeight="1">
      <c r="A14" s="2375"/>
      <c r="B14" s="2375">
        <v>9</v>
      </c>
      <c r="C14" s="4958" t="s">
        <v>6002</v>
      </c>
      <c r="D14" s="2375"/>
      <c r="E14" s="4961" t="s">
        <v>6003</v>
      </c>
      <c r="F14" s="4960"/>
      <c r="G14" s="4961" t="s">
        <v>6004</v>
      </c>
      <c r="H14" s="4960"/>
      <c r="I14" s="2375"/>
    </row>
    <row r="15" ht="15" customHeight="1">
      <c r="A15" s="2375"/>
      <c r="B15" s="2375">
        <v>10</v>
      </c>
      <c r="C15" s="4962" t="s">
        <v>6005</v>
      </c>
      <c r="D15" s="4963"/>
      <c r="E15" s="4964">
        <f t="shared" si="0" ref="E15:G15">COUNTIF(F24:F39,FALSE)</f>
        <v>15</v>
      </c>
      <c r="F15" s="4965"/>
      <c r="G15" s="4964">
        <f t="shared" si="0"/>
        <v>15</v>
      </c>
      <c r="H15" s="4965"/>
      <c r="I15" s="2375"/>
    </row>
    <row r="16" ht="15" customHeight="1">
      <c r="A16" s="2375"/>
      <c r="B16" s="2375"/>
      <c r="C16" s="4966"/>
      <c r="D16" s="2375"/>
      <c r="E16" s="4967"/>
      <c r="F16" s="4968"/>
      <c r="G16" s="4967"/>
      <c r="H16" s="4969"/>
      <c r="I16" s="2375"/>
    </row>
    <row r="17" ht="15" customHeight="1">
      <c r="A17" s="2375"/>
      <c r="B17" s="2375" t="s">
        <v>6006</v>
      </c>
      <c r="C17" s="4966" t="s">
        <v>572</v>
      </c>
      <c r="D17" s="2375"/>
      <c r="E17" s="4970">
        <v>3180000</v>
      </c>
      <c r="F17" s="4969"/>
      <c r="G17" s="4970">
        <v>9347000</v>
      </c>
      <c r="H17" s="4969"/>
      <c r="I17" s="2375"/>
    </row>
    <row r="18" ht="15" customHeight="1">
      <c r="A18" s="2375"/>
      <c r="B18" s="2375"/>
      <c r="C18" s="4966" t="s">
        <v>6007</v>
      </c>
      <c r="D18" s="2375"/>
      <c r="E18" s="4971">
        <v>120</v>
      </c>
      <c r="F18" s="4969"/>
      <c r="G18" s="4971">
        <v>120</v>
      </c>
      <c r="H18" s="4969"/>
      <c r="I18" s="2375"/>
    </row>
    <row r="19" ht="15" customHeight="1">
      <c r="A19" s="2375"/>
      <c r="B19" s="2375"/>
      <c r="C19" s="4966" t="s">
        <v>6008</v>
      </c>
      <c r="D19" s="2375"/>
      <c r="E19" s="4971">
        <v>60</v>
      </c>
      <c r="F19" s="4969"/>
      <c r="G19" s="4971">
        <v>60</v>
      </c>
      <c r="H19" s="4969"/>
      <c r="I19" s="2375"/>
    </row>
    <row r="20" ht="15" customHeight="1">
      <c r="A20" s="2375"/>
      <c r="B20" s="2375"/>
      <c r="C20" s="4966"/>
      <c r="D20" s="2375"/>
      <c r="E20" s="2375"/>
      <c r="F20" s="2375"/>
      <c r="G20" s="2375"/>
      <c r="H20" s="4969"/>
      <c r="I20" s="2375"/>
    </row>
    <row r="21" ht="15" customHeight="1">
      <c r="A21" s="2375"/>
      <c r="B21" s="2375"/>
      <c r="C21" s="4966"/>
      <c r="D21" s="2375"/>
      <c r="E21" s="2375"/>
      <c r="F21" s="2375"/>
      <c r="G21" s="2375"/>
      <c r="I21" s="2375"/>
    </row>
    <row r="22" ht="15" customHeight="1">
      <c r="A22" s="2375"/>
      <c r="C22" s="4948" t="s">
        <v>6009</v>
      </c>
      <c r="D22" s="4949"/>
      <c r="E22" s="4950"/>
      <c r="F22" s="4951"/>
      <c r="G22" s="4950"/>
      <c r="H22" s="4951"/>
      <c r="I22" s="2375"/>
    </row>
    <row r="23" ht="15" customHeight="1">
      <c r="A23" s="2375"/>
      <c r="B23" s="4972" t="s">
        <v>6010</v>
      </c>
      <c r="C23" s="4973" t="s">
        <v>6011</v>
      </c>
      <c r="D23" s="4974" t="s">
        <v>773</v>
      </c>
      <c r="E23" s="4975" t="s">
        <v>6012</v>
      </c>
      <c r="F23" s="4953" t="s">
        <v>6013</v>
      </c>
      <c r="G23" s="4975" t="s">
        <v>6012</v>
      </c>
      <c r="H23" s="4953" t="s">
        <v>6013</v>
      </c>
      <c r="I23" s="2375"/>
    </row>
    <row r="24" ht="15" customHeight="1">
      <c r="A24" s="2375"/>
      <c r="B24" s="4976" t="s">
        <v>5240</v>
      </c>
      <c r="C24" s="4958" t="s">
        <v>2738</v>
      </c>
      <c r="D24" s="4977">
        <f>'Rent Roll'!FA126</f>
        <v>7542</v>
      </c>
      <c r="E24" s="4977">
        <v>6515</v>
      </c>
      <c r="F24" s="4978" t="b">
        <f t="shared" si="1" ref="F24:H38">_xlfn.IFERROR($D24=E24,FALSE)</f>
        <v>0</v>
      </c>
      <c r="G24" s="4977">
        <v>24312</v>
      </c>
      <c r="H24" s="4978" t="b">
        <f t="shared" si="1"/>
        <v>0</v>
      </c>
      <c r="I24" s="2375"/>
    </row>
    <row r="25" ht="15" customHeight="1">
      <c r="A25" s="2375"/>
      <c r="B25" s="4976" t="s">
        <v>5240</v>
      </c>
      <c r="C25" s="4958" t="s">
        <v>6014</v>
      </c>
      <c r="D25" s="4977">
        <f>'Rent Roll'!FC126</f>
        <v>131597</v>
      </c>
      <c r="E25" s="4977">
        <v>307916</v>
      </c>
      <c r="F25" s="4978" t="b">
        <f t="shared" si="1"/>
        <v>0</v>
      </c>
      <c r="G25" s="4977">
        <v>488192</v>
      </c>
      <c r="H25" s="4978" t="b">
        <f t="shared" si="1"/>
        <v>0</v>
      </c>
      <c r="I25" s="2375"/>
    </row>
    <row r="26" ht="15" customHeight="1">
      <c r="A26" s="2375"/>
      <c r="B26" s="4976" t="s">
        <v>6015</v>
      </c>
      <c r="C26" s="4958" t="s">
        <v>6016</v>
      </c>
      <c r="D26" s="4977">
        <f>'Unit Mix'!E149</f>
        <v>101</v>
      </c>
      <c r="E26" s="4977">
        <v>252</v>
      </c>
      <c r="F26" s="4978" t="b">
        <f t="shared" si="1"/>
        <v>0</v>
      </c>
      <c r="G26" s="4977">
        <v>321</v>
      </c>
      <c r="H26" s="4978" t="b">
        <f t="shared" si="1"/>
        <v>0</v>
      </c>
      <c r="I26" s="2375"/>
    </row>
    <row r="27" ht="15" customHeight="1">
      <c r="A27" s="2375"/>
      <c r="B27" s="4976" t="s">
        <v>6015</v>
      </c>
      <c r="C27" s="4958" t="s">
        <v>6017</v>
      </c>
      <c r="D27" s="2375">
        <f>'Unit Mix'!R149</f>
        <v>0.04950495049504951</v>
      </c>
      <c r="E27" s="2375">
        <v>0.023809523809523808</v>
      </c>
      <c r="F27" s="4978" t="b">
        <f t="shared" si="1"/>
        <v>0</v>
      </c>
      <c r="G27" s="2375">
        <v>0.04984423676012461</v>
      </c>
      <c r="H27" s="4978" t="b">
        <f t="shared" si="1"/>
        <v>0</v>
      </c>
      <c r="I27" s="2375"/>
    </row>
    <row r="28" ht="15" customHeight="1">
      <c r="A28" s="2375"/>
      <c r="B28" s="4976" t="s">
        <v>6015</v>
      </c>
      <c r="C28" s="4958" t="s">
        <v>6018</v>
      </c>
      <c r="D28" s="4977">
        <f>'Unit Mix'!I151</f>
        <v>84991</v>
      </c>
      <c r="E28" s="4977">
        <v>256836</v>
      </c>
      <c r="F28" s="4978" t="b">
        <f t="shared" si="1"/>
        <v>0</v>
      </c>
      <c r="G28" s="4977">
        <v>262688</v>
      </c>
      <c r="H28" s="4978" t="b">
        <f t="shared" si="1"/>
        <v>0</v>
      </c>
      <c r="I28" s="2375"/>
    </row>
    <row r="29" ht="15" customHeight="1">
      <c r="A29" s="2375"/>
      <c r="B29" s="4976" t="s">
        <v>6015</v>
      </c>
      <c r="C29" s="4958" t="s">
        <v>3147</v>
      </c>
      <c r="D29" s="2375">
        <f>'Unit Mix'!P149</f>
        <v>96</v>
      </c>
      <c r="E29" s="2375">
        <v>246</v>
      </c>
      <c r="F29" s="4978" t="b">
        <f t="shared" si="1"/>
        <v>0</v>
      </c>
      <c r="G29" s="2375">
        <v>305</v>
      </c>
      <c r="H29" s="4978" t="b">
        <f t="shared" si="1"/>
        <v>0</v>
      </c>
      <c r="I29" s="2375"/>
    </row>
    <row r="30" ht="15" customHeight="1">
      <c r="A30" s="2375"/>
      <c r="B30" s="4976" t="s">
        <v>6015</v>
      </c>
      <c r="C30" s="4958" t="s">
        <v>6019</v>
      </c>
      <c r="D30" s="4979">
        <f>SUM('Unit Mix'!D149:S149)</f>
        <v>127068.83265452416</v>
      </c>
      <c r="E30" s="4979">
        <v>270639.7724480442</v>
      </c>
      <c r="F30" s="4978" t="b">
        <f t="shared" si="1"/>
        <v>0</v>
      </c>
      <c r="G30" s="4979">
        <v>406137.0947188281</v>
      </c>
      <c r="H30" s="4978" t="b">
        <f t="shared" si="1"/>
        <v>0</v>
      </c>
      <c r="I30" s="2375"/>
    </row>
    <row r="31" ht="15" customHeight="1">
      <c r="A31" s="2375"/>
      <c r="B31" s="4976" t="s">
        <v>6015</v>
      </c>
      <c r="C31" s="4958" t="s">
        <v>6020</v>
      </c>
      <c r="D31" s="4979">
        <f>SUM('Unit Mix'!E173:J173)</f>
        <v>73650.49176470588</v>
      </c>
      <c r="E31" s="4979">
        <v>259431.87059911684</v>
      </c>
      <c r="F31" s="4978" t="b">
        <f t="shared" si="1"/>
        <v>0</v>
      </c>
      <c r="G31" s="4979">
        <v>265446.89594809304</v>
      </c>
      <c r="H31" s="4978" t="b">
        <f t="shared" si="1"/>
        <v>0</v>
      </c>
      <c r="I31" s="2375"/>
    </row>
    <row r="32" ht="15" customHeight="1">
      <c r="A32" s="2375"/>
      <c r="B32" s="4976" t="s">
        <v>6015</v>
      </c>
      <c r="C32" s="4958" t="s">
        <v>6021</v>
      </c>
      <c r="D32" s="4979">
        <f>SUM('Unit Mix'!E377:I377)</f>
        <v>207366</v>
      </c>
      <c r="E32" s="4979">
        <v>523072</v>
      </c>
      <c r="F32" s="4978" t="b">
        <f t="shared" si="1"/>
        <v>0</v>
      </c>
      <c r="G32" s="4979">
        <v>663852</v>
      </c>
      <c r="H32" s="4978" t="b">
        <f t="shared" si="1"/>
        <v>0</v>
      </c>
      <c r="I32" s="2375"/>
    </row>
    <row r="33" ht="15" customHeight="1">
      <c r="A33" s="2375"/>
      <c r="B33" s="4976" t="s">
        <v>6022</v>
      </c>
      <c r="C33" s="4958" t="s">
        <v>6023</v>
      </c>
      <c r="D33" s="2375">
        <f>SUM('Fannie Historical Ops'!D77:BN77)</f>
        <v>23034944.615974024</v>
      </c>
      <c r="E33" s="2375">
        <v>39611101.13051948</v>
      </c>
      <c r="F33" s="4978" t="b">
        <f t="shared" si="1"/>
        <v>0</v>
      </c>
      <c r="G33" s="4980">
        <v>17406195.41073593</v>
      </c>
      <c r="H33" s="4978" t="b">
        <f t="shared" si="1"/>
        <v>0</v>
      </c>
      <c r="I33" s="2375"/>
    </row>
    <row r="34" ht="15" customHeight="1">
      <c r="A34" s="2375"/>
      <c r="B34" s="4976" t="s">
        <v>2436</v>
      </c>
      <c r="C34" s="4958" t="s">
        <v>6024</v>
      </c>
      <c r="D34" s="2375">
        <f>SUM('Expense Comps.'!Z217:AO217)</f>
        <v>-398167.161013354</v>
      </c>
      <c r="E34" s="2375">
        <v>203472.18103992866</v>
      </c>
      <c r="F34" s="4978" t="b">
        <f t="shared" si="1"/>
        <v>0</v>
      </c>
      <c r="G34" s="2375">
        <v>294579.2920272773</v>
      </c>
      <c r="H34" s="4978" t="b">
        <f t="shared" si="1"/>
        <v>0</v>
      </c>
      <c r="I34" s="2375"/>
    </row>
    <row r="35" ht="15" customHeight="1">
      <c r="A35" s="2375"/>
      <c r="B35" s="4976" t="s">
        <v>6025</v>
      </c>
      <c r="C35" s="4958" t="s">
        <v>6026</v>
      </c>
      <c r="D35" s="2375" t="e">
        <f>'FNM Exit Strategy'!AL13</f>
        <v>#NAME?</v>
      </c>
      <c r="E35" s="2375">
        <v>1851172</v>
      </c>
      <c r="F35" s="4978" t="b">
        <f t="shared" si="1"/>
        <v>0</v>
      </c>
      <c r="G35" s="2375">
        <v>3951096</v>
      </c>
      <c r="H35" s="4978" t="b">
        <f t="shared" si="1"/>
        <v>0</v>
      </c>
      <c r="I35" s="2375"/>
    </row>
    <row r="36" ht="15" customHeight="1">
      <c r="A36" s="2375"/>
      <c r="B36" s="4976" t="s">
        <v>6025</v>
      </c>
      <c r="C36" s="4958" t="s">
        <v>6027</v>
      </c>
      <c r="D36" s="2375" t="e">
        <f>'FNM Exit Strategy'!AM13</f>
        <v>#NAME?</v>
      </c>
      <c r="E36" s="2375">
        <v>2659225.0920554316</v>
      </c>
      <c r="F36" s="4978" t="b">
        <f t="shared" si="1"/>
        <v>0</v>
      </c>
      <c r="G36" s="2375">
        <v>5164482.036467579</v>
      </c>
      <c r="H36" s="4978" t="b">
        <f t="shared" si="1"/>
        <v>0</v>
      </c>
      <c r="I36" s="2375"/>
    </row>
    <row r="37" ht="15" customHeight="1">
      <c r="A37" s="2375"/>
      <c r="B37" s="4976" t="s">
        <v>6028</v>
      </c>
      <c r="C37" s="4958" t="s">
        <v>6029</v>
      </c>
      <c r="D37" s="4978">
        <f>SBL_CensusTractNmbr</f>
        <v>0</v>
      </c>
      <c r="E37" s="4978">
        <v>22033003913</v>
      </c>
      <c r="F37" s="4978" t="b">
        <f t="shared" si="1"/>
        <v>0</v>
      </c>
      <c r="G37" s="4978">
        <v>47125100602</v>
      </c>
      <c r="H37" s="4978" t="b">
        <f t="shared" si="1"/>
        <v>0</v>
      </c>
      <c r="I37" s="2375"/>
    </row>
    <row r="38" ht="15" customHeight="1">
      <c r="A38" s="2375"/>
      <c r="B38" s="4976" t="s">
        <v>6028</v>
      </c>
      <c r="C38" s="4958" t="s">
        <v>6030</v>
      </c>
      <c r="D38" s="4981">
        <f>MSA</f>
      </c>
      <c r="E38" s="4981" t="s">
        <v>6031</v>
      </c>
      <c r="F38" s="4978" t="b">
        <f t="shared" si="1"/>
        <v>0</v>
      </c>
      <c r="G38" s="4981" t="s">
        <v>6032</v>
      </c>
      <c r="H38" s="4978" t="b">
        <f t="shared" si="1"/>
        <v>0</v>
      </c>
      <c r="I38" s="2375"/>
    </row>
    <row r="39" ht="15" customHeight="1">
      <c r="A39" s="2375"/>
      <c r="B39" s="2375"/>
      <c r="C39" s="4982" t="s">
        <v>6033</v>
      </c>
      <c r="D39" s="4983"/>
      <c r="E39" s="4983" t="s">
        <v>6034</v>
      </c>
      <c r="F39" s="4983"/>
      <c r="G39" s="4983"/>
      <c r="H39" s="4984"/>
      <c r="I39" s="2375"/>
    </row>
    <row r="40" ht="15" customHeight="1">
      <c r="A40" s="2375"/>
      <c r="B40" s="2375"/>
      <c r="C40" s="2375"/>
      <c r="D40" s="4955"/>
      <c r="E40" s="4955"/>
      <c r="F40" s="4955"/>
      <c r="G40" s="4955"/>
      <c r="H40" s="4955"/>
      <c r="I40" s="2375"/>
    </row>
  </sheetData>
  <mergeCells>
    <mergeCell ref="E5:F5"/>
    <mergeCell ref="G5:H5"/>
  </mergeCells>
  <conditionalFormatting sqref="F24:F38 H24:H38">
    <cfRule type="cellIs" dxfId="75" priority="1" operator="equal" text="null">
      <formula>TRUE</formula>
    </cfRule>
  </conditionalFormatting>
  <conditionalFormatting sqref="F24:F38 H24:H38">
    <cfRule type="cellIs" dxfId="12" priority="2" operator="equal" text="null">
      <formula>FALSE</formula>
    </cfRule>
  </conditionalFormatting>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extLst/>
</worksheet>
</file>

<file path=xl/worksheets/sheet52.xml><?xml version="1.0" encoding="utf-8"?>
<worksheet xmlns="http://schemas.openxmlformats.org/spreadsheetml/2006/main" xmlns:r="http://schemas.openxmlformats.org/officeDocument/2006/relationships" xmlns:mc="http://schemas.openxmlformats.org/markup-compatibility/2006" xmlns:xdr="http://schemas.openxmlformats.org/drawingml/2006/spreadsheetDrawing" xmlns:x14="http://schemas.microsoft.com/office/spreadsheetml/2009/9/main" xmlns:x14ac="http://schemas.microsoft.com/office/spreadsheetml/2009/9/ac" xmlns:xr="http://schemas.microsoft.com/office/spreadsheetml/2014/revision" xmlns:xr2="http://schemas.microsoft.com/office/spreadsheetml/2015/revision2" xmlns:xr3="http://schemas.microsoft.com/office/spreadsheetml/2016/revision3" xr:uid="{D672A3D3-A11C-F7B2-FE87-56066C4F2991}" mc:Ignorable="x14ac xr xr2 xr3">
  <sheetPr>
    <tabColor theme="0" tint="-0.5"/>
  </sheetPr>
  <dimension ref="A1:G37"/>
  <sheetViews>
    <sheetView topLeftCell="A1" zoomScale="90" workbookViewId="0">
      <selection activeCell="B1" sqref="B1"/>
    </sheetView>
  </sheetViews>
  <sheetFormatPr defaultRowHeight="14.497499999999997" defaultColWidth="8.8515625" customHeight="1"/>
  <cols>
    <col min="1" max="1" style="21" width="42.28125" customWidth="1"/>
    <col min="2" max="2" style="21" width="35.7109375" customWidth="1"/>
    <col min="3" max="3" style="21" width="14.57421875" customWidth="1"/>
    <col min="4" max="4" style="21" width="35.7109375" customWidth="1"/>
    <col min="5" max="5" style="21" width="14.57421875" customWidth="1"/>
    <col min="6" max="6" style="21" width="58.00390625" customWidth="1"/>
    <col min="7" max="7" style="21" width="6.7109375" customWidth="1"/>
  </cols>
  <sheetData>
    <row r="1" ht="15" customHeight="1">
      <c r="A1" s="21" t="s">
        <v>5981</v>
      </c>
      <c r="B1" s="4985" t="s">
        <v>5982</v>
      </c>
    </row>
    <row r="2" ht="15" customHeight="1">
      <c r="A2" s="21" t="s">
        <v>5983</v>
      </c>
      <c r="B2" s="4986" t="s">
        <v>6035</v>
      </c>
    </row>
    <row r="3" ht="15" customHeight="1">
      <c r="A3" s="21" t="s">
        <v>5986</v>
      </c>
      <c r="B3" s="4987" t="s">
        <v>6036</v>
      </c>
      <c r="C3" s="4988">
        <v>45184.33871527778</v>
      </c>
      <c r="D3" s="4989" t="s">
        <v>6036</v>
      </c>
      <c r="E3" s="21" t="s">
        <v>6037</v>
      </c>
      <c r="F3" s="21" t="str">
        <f>CONCATENATE(EnodoConfig_EnodoUrl,"/rent_roll/",EnodoConfig_RRId,"/analysis")</f>
        <v>https://beta.enodoinc.com/rent_roll/02f77506-7855-4b81-a0bd-4684d864ecbe/analysis</v>
      </c>
      <c r="G3" s="4990" t="str">
        <f t="shared" si="0" ref="G3:G7">HYPERLINK(F3,E3)</f>
        <v>Enodo it!</v>
      </c>
    </row>
    <row r="4" ht="15" customHeight="1">
      <c r="A4" s="21" t="s">
        <v>5989</v>
      </c>
      <c r="B4" s="4991" t="s">
        <v>6039</v>
      </c>
      <c r="C4" s="4988">
        <v>45184.33875</v>
      </c>
      <c r="D4" s="4991" t="s">
        <v>6039</v>
      </c>
      <c r="E4" s="21" t="s">
        <v>6037</v>
      </c>
      <c r="F4" s="21" t="str">
        <f>CONCATENATE(EnodoConfig_EnodoUrl,"/operating_statement/",EnodoConfig_T12_1,"/analysis")</f>
        <v>https://beta.enodoinc.com/operating_statement/d729b2ab-6c65-48b6-8c8f-f855531bd453/analysis</v>
      </c>
      <c r="G4" s="4990" t="str">
        <f t="shared" si="0"/>
        <v>Enodo it!</v>
      </c>
    </row>
    <row r="5" ht="15" customHeight="1">
      <c r="A5" s="21" t="s">
        <v>5992</v>
      </c>
      <c r="B5" s="4989" t="s">
        <v>571</v>
      </c>
      <c r="C5" s="4988"/>
      <c r="D5" s="4991"/>
      <c r="E5" s="21" t="s">
        <v>6037</v>
      </c>
      <c r="F5" s="21" t="str">
        <f>CONCATENATE(EnodoConfig_EnodoUrl,"/operating_statement/",EnodoConfig_T12_2,"/analysis")</f>
        <v>https://beta.enodoinc.com/operating_statement//analysis</v>
      </c>
      <c r="G5" s="4990" t="str">
        <f t="shared" si="0"/>
        <v>Enodo it!</v>
      </c>
    </row>
    <row r="6" ht="15" customHeight="1">
      <c r="A6" s="21" t="s">
        <v>5995</v>
      </c>
      <c r="B6" s="4989" t="s">
        <v>571</v>
      </c>
      <c r="C6" s="4988"/>
      <c r="D6" s="4989"/>
      <c r="E6" s="21" t="s">
        <v>6037</v>
      </c>
      <c r="F6" s="21" t="str">
        <f>CONCATENATE(EnodoConfig_EnodoUrl,"/operating_statement/",EnodoConfig_T12_3,"/analysis")</f>
        <v>https://beta.enodoinc.com/operating_statement//analysis</v>
      </c>
      <c r="G6" s="4990" t="str">
        <f t="shared" si="0"/>
        <v>Enodo it!</v>
      </c>
    </row>
    <row r="7" ht="15" customHeight="1">
      <c r="A7" s="21" t="s">
        <v>5998</v>
      </c>
      <c r="B7" s="4989" t="s">
        <v>571</v>
      </c>
      <c r="C7" s="4988"/>
      <c r="D7" s="4989"/>
      <c r="E7" s="21" t="s">
        <v>6037</v>
      </c>
      <c r="F7" s="21" t="str">
        <f>CONCATENATE(EnodoConfig_EnodoUrl,"/operating_statement/",EnodoConfig_T12_4,"/analysis")</f>
        <v>https://beta.enodoinc.com/operating_statement//analysis</v>
      </c>
      <c r="G7" s="4990" t="str">
        <f t="shared" si="0"/>
        <v>Enodo it!</v>
      </c>
    </row>
    <row r="8" ht="15" customHeight="1">
      <c r="A8" s="21" t="s">
        <v>5999</v>
      </c>
      <c r="B8" s="4989" t="s">
        <v>571</v>
      </c>
      <c r="C8" s="4988"/>
      <c r="D8" s="4989"/>
      <c r="G8" s="4990"/>
    </row>
    <row r="9" ht="15" customHeight="1">
      <c r="A9" s="21" t="s">
        <v>6042</v>
      </c>
      <c r="B9" s="4992" t="s">
        <v>571</v>
      </c>
    </row>
    <row r="10" ht="15" customHeight="1">
      <c r="A10" s="21" t="s">
        <v>6043</v>
      </c>
      <c r="B10" s="4992">
        <f>COUNTIF(B3:B7,"*-*")</f>
        <v>2</v>
      </c>
    </row>
    <row r="11" ht="15" customHeight="1">
      <c r="A11" s="21" t="s">
        <v>6044</v>
      </c>
      <c r="B11" s="4993" t="s">
        <v>6045</v>
      </c>
    </row>
    <row r="12" ht="14.25" customHeight="1">
      <c r="A12" s="21" t="s">
        <v>6002</v>
      </c>
      <c r="B12" s="4994" t="s">
        <v>571</v>
      </c>
    </row>
    <row r="13" ht="14.25" customHeight="1">
      <c r="A13" s="21" t="s">
        <v>6046</v>
      </c>
      <c r="B13" s="4994" t="s">
        <v>571</v>
      </c>
    </row>
    <row r="14" ht="14.25" customHeight="1">
      <c r="A14" s="21" t="s">
        <v>6047</v>
      </c>
      <c r="B14" s="4994" t="b">
        <v>1</v>
      </c>
    </row>
    <row r="15" ht="14.25" customHeight="1">
      <c r="A15" s="21" t="s">
        <v>6048</v>
      </c>
      <c r="B15" s="4994"/>
    </row>
    <row r="16" ht="14.25" customHeight="1">
      <c r="A16" s="21" t="s">
        <v>6049</v>
      </c>
      <c r="B16" s="4995"/>
    </row>
    <row r="17" ht="14.25" customHeight="1">
      <c r="A17" s="21" t="s">
        <v>6050</v>
      </c>
      <c r="B17" s="4996"/>
    </row>
    <row r="18" ht="14.25" customHeight="1">
      <c r="A18" s="21" t="s">
        <v>6051</v>
      </c>
      <c r="B18" s="4996"/>
    </row>
    <row r="20" ht="14.25" customHeight="1">
      <c r="A20" s="21" t="s">
        <v>6052</v>
      </c>
      <c r="B20" s="4985" t="s">
        <v>8</v>
      </c>
    </row>
    <row r="21" ht="14.25" customHeight="1">
      <c r="A21" s="21" t="s">
        <v>6053</v>
      </c>
      <c r="B21" s="4997">
        <v>45183</v>
      </c>
    </row>
    <row r="22" ht="14.25" customHeight="1">
      <c r="A22" s="21" t="s">
        <v>6054</v>
      </c>
      <c r="B22" s="4998" t="s">
        <v>1055</v>
      </c>
      <c r="C22" s="4999"/>
    </row>
    <row r="23" ht="14.25" customHeight="1">
      <c r="A23" s="21" t="s">
        <v>6055</v>
      </c>
      <c r="B23" s="6" t="s">
        <v>5295</v>
      </c>
      <c r="C23" s="5000">
        <v>2</v>
      </c>
    </row>
    <row r="24" ht="14.25" customHeight="1">
      <c r="B24" s="6" t="s">
        <v>5518</v>
      </c>
      <c r="C24" s="5000">
        <v>13</v>
      </c>
    </row>
    <row r="25" ht="14.25" customHeight="1">
      <c r="B25" s="6"/>
      <c r="C25" s="5000"/>
    </row>
    <row r="26" ht="14.25" customHeight="1">
      <c r="B26" s="6"/>
      <c r="C26" s="5000"/>
    </row>
    <row r="27" ht="14.25" customHeight="1">
      <c r="A27" s="21" t="s">
        <v>6056</v>
      </c>
      <c r="B27" s="21" t="str">
        <f>IF(LEN(EnodoConfig_UniqueId)&gt;0,EnodoConfig_UniqueId,IF(LEN(B28)&gt;1,B28,EnodoConfig_Token&amp;TEXT(NOW(),"YYYYMMDD.HH")))</f>
        <v>88f-f2vNZac8bg20231002.11</v>
      </c>
    </row>
    <row r="28" ht="14.25" customHeight="1">
      <c r="A28" s="21" t="s">
        <v>6058</v>
      </c>
      <c r="B28" s="21" t="str">
        <f>_xlfn.LET(_xlpm.property_nme,IF(property_name="XXXX","",property_name),_xlpm.property_street,address,_xlpm.property_zipcode,IF(SBL_ZipCode="XXXXX","",SBL_ZipCode),_xlpm.id,_xlfn.IFERROR(_xlpm.property_nme&amp;_xlpm.property_street&amp;_xlpm.property_zipcode,""),IF(LEN(_xlpm.id)&gt;0,_xlpm.id,"-"))</f>
        <v>-</v>
      </c>
    </row>
    <row r="30" ht="14.25" customHeight="1">
      <c r="A30" s="5001" t="s">
        <v>6059</v>
      </c>
    </row>
    <row r="31" ht="14.25" customHeight="1">
      <c r="A31" s="21" t="s">
        <v>6060</v>
      </c>
      <c r="B31" s="5002" t="s">
        <v>6061</v>
      </c>
    </row>
    <row r="32" ht="14.25" customHeight="1">
      <c r="A32" s="21" t="s">
        <v>6062</v>
      </c>
      <c r="B32" s="5002" t="s">
        <v>6063</v>
      </c>
    </row>
    <row r="33" ht="14.25" customHeight="1">
      <c r="A33" s="21" t="s">
        <v>6064</v>
      </c>
      <c r="B33" s="5002" t="s">
        <v>6065</v>
      </c>
    </row>
    <row r="34" ht="14.25" customHeight="1">
      <c r="A34" s="21" t="s">
        <v>6066</v>
      </c>
      <c r="B34" s="5002" t="s">
        <v>6067</v>
      </c>
    </row>
    <row r="35" ht="14.25" customHeight="1">
      <c r="A35" s="21" t="s">
        <v>6068</v>
      </c>
      <c r="B35" s="5002" t="s">
        <v>6069</v>
      </c>
    </row>
    <row r="36" ht="14.25" customHeight="1">
      <c r="A36" s="21" t="s">
        <v>6070</v>
      </c>
      <c r="B36" s="5002" t="s">
        <v>6071</v>
      </c>
    </row>
    <row r="37" ht="14.25" customHeight="1">
      <c r="A37" s="21" t="s">
        <v>6072</v>
      </c>
      <c r="B37" s="5002" t="s">
        <v>6073</v>
      </c>
    </row>
  </sheetData>
  <conditionalFormatting sqref="B20">
    <cfRule type="expression" dxfId="15" priority="5" text="null">
      <formula>B20&lt;&gt;CreatingTheNarrative_Version</formula>
    </cfRule>
  </conditionalFormatting>
  <conditionalFormatting sqref="B21">
    <cfRule type="expression" dxfId="58" priority="1" text="null">
      <formula>NOT(ISNUMBER(EnodoConfig_ReleaseDate))</formula>
    </cfRule>
  </conditionalFormatting>
  <conditionalFormatting sqref="B21">
    <cfRule type="expression" dxfId="15" priority="4" text="null">
      <formula>$B$21&lt;&gt;CreatingTheNarrative_VersionReleaseDate</formula>
    </cfRule>
  </conditionalFormatting>
  <dataValidations count="2">
    <dataValidation allowBlank="1" showErrorMessage="1" showInputMessage="1" sqref="B22" type="list">
      <formula1>EnodoSizerType</formula1>
    </dataValidation>
    <dataValidation allowBlank="1" error="You must pick from the list." errorTitle="Invalid Chart Of Accounts" showErrorMessage="1" showInputMessage="1" sqref="B23:B26" type="list">
      <formula1>EnodoChartOfAccountsOptions</formula1>
    </dataValidation>
  </dataValidations>
  <printOptions/>
  <pageMargins left="0.7" right="0.7" top="0.75" bottom="0.75" header="0.3" footer="0.3"/>
  <pageSetup paperSize="1" useFirstPageNumber="1" firstPageNumber="1" pageOrder="downThenOver" orientation="portrait"/>
  <headerFooter>
    <oddHeader>&amp;L&amp;C&amp;R</oddHeader>
    <oddFooter>&amp;L&amp;C&amp;R</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1105921" name="button_UpdateRR" r:id="rId3">
              <controlPr defaultSize="0" autoPict="0" print="0">
                <anchor moveWithCells="1" sizeWithCells="1">
                  <from>
                    <xdr:col>5</xdr:col>
                    <xdr:colOff>482632</xdr:colOff>
                    <xdr:row>19</xdr:row>
                    <xdr:rowOff>25432</xdr:rowOff>
                  </from>
                  <to>
                    <xdr:col>5</xdr:col>
                    <xdr:colOff>1511332</xdr:colOff>
                    <xdr:row>21</xdr:row>
                    <xdr:rowOff>0</xdr:rowOff>
                  </to>
                </anchor>
              </controlPr>
            </control>
          </mc:Choice>
        </mc:AlternateContent>
        <mc:AlternateContent xmlns:mc="http://schemas.openxmlformats.org/markup-compatibility/2006">
          <mc:Choice Requires="x14">
            <control shapeId="1105922" name="button_UpdateOS" r:id="rId4">
              <controlPr defaultSize="0" autoPict="0" print="0">
                <anchor moveWithCells="1" sizeWithCells="1">
                  <from>
                    <xdr:col>3</xdr:col>
                    <xdr:colOff>457200</xdr:colOff>
                    <xdr:row>19</xdr:row>
                    <xdr:rowOff>50768</xdr:rowOff>
                  </from>
                  <to>
                    <xdr:col>3</xdr:col>
                    <xdr:colOff>1473232</xdr:colOff>
                    <xdr:row>20</xdr:row>
                    <xdr:rowOff>165068</xdr:rowOff>
                  </to>
                </anchor>
              </controlPr>
            </control>
          </mc:Choice>
        </mc:AlternateContent>
        <mc:AlternateContent xmlns:mc="http://schemas.openxmlformats.org/markup-compatibility/2006">
          <mc:Choice Requires="x14">
            <control shapeId="1105925" name="button_ResetWrkBookAsBlankSizer" r:id="rId5">
              <controlPr defaultSize="0" autoPict="0" print="0">
                <anchor moveWithCells="1" sizeWithCells="1">
                  <from>
                    <xdr:col>3</xdr:col>
                    <xdr:colOff>469868</xdr:colOff>
                    <xdr:row>22</xdr:row>
                    <xdr:rowOff>126968</xdr:rowOff>
                  </from>
                  <to>
                    <xdr:col>3</xdr:col>
                    <xdr:colOff>1473232</xdr:colOff>
                    <xdr:row>25</xdr:row>
                    <xdr:rowOff>12668</xdr:rowOff>
                  </to>
                </anchor>
              </controlPr>
            </control>
          </mc:Choice>
        </mc:AlternateContent>
        <mc:AlternateContent xmlns:mc="http://schemas.openxmlformats.org/markup-compatibility/2006">
          <mc:Choice Requires="x14">
            <control shapeId="1105926" name="button_UnhideAllWorksheets" r:id="rId6">
              <controlPr defaultSize="0" autoPict="0" print="0">
                <anchor moveWithCells="1" sizeWithCells="1">
                  <from>
                    <xdr:col>3</xdr:col>
                    <xdr:colOff>1803368</xdr:colOff>
                    <xdr:row>22</xdr:row>
                    <xdr:rowOff>114300</xdr:rowOff>
                  </from>
                  <to>
                    <xdr:col>4</xdr:col>
                    <xdr:colOff>393668</xdr:colOff>
                    <xdr:row>25</xdr:row>
                    <xdr:rowOff>25432</xdr:rowOff>
                  </to>
                </anchor>
              </controlPr>
            </control>
          </mc:Choice>
        </mc:AlternateContent>
      </controls>
    </mc:Choice>
  </mc:AlternateContent>
  <extLst/>
</worksheet>
</file>

<file path=docProps/app.xml><?xml version="1.0" encoding="utf-8"?>
<Properties xmlns="http://schemas.openxmlformats.org/officeDocument/2006/extended-properties" xmlns:vt="http://schemas.openxmlformats.org/officeDocument/2006/docPropsVTypes">
  <HeadingPairs>
    <vt:vector size="4" baseType="variant">
      <vt:variant>
        <vt:lpstr>Worksheets</vt:lpstr>
      </vt:variant>
      <vt:variant>
        <vt:i4>51</vt:i4>
      </vt:variant>
      <vt:variant>
        <vt:lpstr>Named Ranges</vt:lpstr>
      </vt:variant>
      <vt:variant>
        <vt:i4>2444</vt:i4>
      </vt:variant>
    </vt:vector>
  </HeadingPairs>
  <TitlesOfParts>
    <vt:vector size="2495" baseType="lpstr">
      <vt:lpstr>Setup</vt:lpstr>
      <vt:lpstr>Data Page</vt:lpstr>
      <vt:lpstr>SBL Quotes</vt:lpstr>
      <vt:lpstr>Screening &amp; Credit Risks</vt:lpstr>
      <vt:lpstr>PD</vt:lpstr>
      <vt:lpstr>FNM Loan Terms</vt:lpstr>
      <vt:lpstr>FNM Exit Strategy</vt:lpstr>
      <vt:lpstr>DUS Gateway Data</vt:lpstr>
      <vt:lpstr>Freddie I&amp;E</vt:lpstr>
      <vt:lpstr>Fannie Historical Ops</vt:lpstr>
      <vt:lpstr>Kick-Off Memo</vt:lpstr>
      <vt:lpstr>Quote Letter</vt:lpstr>
      <vt:lpstr>Quote</vt:lpstr>
      <vt:lpstr>FRE_PricingAdjTables</vt:lpstr>
      <vt:lpstr>FRE_App</vt:lpstr>
      <vt:lpstr>FRE_App Print History</vt:lpstr>
      <vt:lpstr>FNM_APP</vt:lpstr>
      <vt:lpstr>FRE B2B Submission</vt:lpstr>
      <vt:lpstr>Summary OPS</vt:lpstr>
      <vt:lpstr>Rent Roll</vt:lpstr>
      <vt:lpstr>OS Analysis</vt:lpstr>
      <vt:lpstr>NRI Analysis</vt:lpstr>
      <vt:lpstr>Expense Comps.</vt:lpstr>
      <vt:lpstr>Unit Mix</vt:lpstr>
      <vt:lpstr>Bor-KP-Prin</vt:lpstr>
      <vt:lpstr>SREO 1</vt:lpstr>
      <vt:lpstr>SREO 2</vt:lpstr>
      <vt:lpstr>SREO 3</vt:lpstr>
      <vt:lpstr>SREO 4</vt:lpstr>
      <vt:lpstr>SREO 5</vt:lpstr>
      <vt:lpstr>SREO 6</vt:lpstr>
      <vt:lpstr>SREO 7</vt:lpstr>
      <vt:lpstr>SREO 8</vt:lpstr>
      <vt:lpstr>Rent Comps</vt:lpstr>
      <vt:lpstr>Sales Comps</vt:lpstr>
      <vt:lpstr>Engineering schedule</vt:lpstr>
      <vt:lpstr>Form 4662</vt:lpstr>
      <vt:lpstr>Trade Sheet</vt:lpstr>
      <vt:lpstr>C&amp;D Data Inputs</vt:lpstr>
      <vt:lpstr>VData</vt:lpstr>
      <vt:lpstr>HData</vt:lpstr>
      <vt:lpstr>Property Collateral</vt:lpstr>
      <vt:lpstr>Participants</vt:lpstr>
      <vt:lpstr>DailyPricing</vt:lpstr>
      <vt:lpstr>Lists</vt:lpstr>
      <vt:lpstr>MappingTables</vt:lpstr>
      <vt:lpstr>Boilerplate</vt:lpstr>
      <vt:lpstr>Dropdowns (DNP)</vt:lpstr>
      <vt:lpstr>Narrative Link (Do not Delete)</vt:lpstr>
      <vt:lpstr>Enodo Regression Testing</vt:lpstr>
      <vt:lpstr>EnodoConfig</vt:lpstr>
      <vt:lpstr>ACTL_DSCR</vt:lpstr>
      <vt:lpstr>ACTL_RT</vt:lpstr>
      <vt:lpstr>Actual_UW_DSCR</vt:lpstr>
      <vt:lpstr>address</vt:lpstr>
      <vt:lpstr>Address_DataPageTab</vt:lpstr>
      <vt:lpstr>Affordability_End</vt:lpstr>
      <vt:lpstr>Affordability_Start</vt:lpstr>
      <vt:lpstr>AGE_RESTR</vt:lpstr>
      <vt:lpstr>AMI_CalcsIncludeUtilities</vt:lpstr>
      <vt:lpstr>AMI_CostBurden</vt:lpstr>
      <vt:lpstr>AMI_HighNeedsRural_Marker</vt:lpstr>
      <vt:lpstr>AMI_IsRural</vt:lpstr>
      <vt:lpstr>AMI_MissionDriven_Discount_Addnl60</vt:lpstr>
      <vt:lpstr>AMI_MissionDriven_Discount_Addnl80</vt:lpstr>
      <vt:lpstr>AMI_MissionDriven_Discount_Afford40</vt:lpstr>
      <vt:lpstr>AMI_MissionDriven_Discount_Afford50</vt:lpstr>
      <vt:lpstr>AMI_MissionDriven_Discount_Afford80</vt:lpstr>
      <vt:lpstr>AMI_MissionDriven_UnitCount_PerFannie</vt:lpstr>
      <vt:lpstr>AMI_MissionDriven_UnitCount_PerFreddie</vt:lpstr>
      <vt:lpstr>AMI_PercentagesFromServer</vt:lpstr>
      <vt:lpstr>AMI_ReportMatchesServer</vt:lpstr>
      <vt:lpstr>AMI_UnitCount_100</vt:lpstr>
      <vt:lpstr>AMI_UnitCount_120</vt:lpstr>
      <vt:lpstr>AMI_UnitCount_40</vt:lpstr>
      <vt:lpstr>AMI_UnitCount_50</vt:lpstr>
      <vt:lpstr>AMI_UnitCount_60</vt:lpstr>
      <vt:lpstr>AMI_UnitCount_80</vt:lpstr>
      <vt:lpstr>Amort</vt:lpstr>
      <vt:lpstr>AmortizingDebtService</vt:lpstr>
      <vt:lpstr>Analyst_Name</vt:lpstr>
      <vt:lpstr>EnodoConfig!apiendpoints</vt:lpstr>
      <vt:lpstr>EnodoConfig!apiendpoints_pricing_daily_rates</vt:lpstr>
      <vt:lpstr>EnodoConfig!apiendpoints_pricing_daily_rates_dates</vt:lpstr>
      <vt:lpstr>EnodoConfig!apiendpoints_pricing_freddie_sbl_rates</vt:lpstr>
      <vt:lpstr>EnodoConfig!apiendpoints_pricing_freddie_sbl_rates_dates</vt:lpstr>
      <vt:lpstr>EnodoConfig!apiendpoints_pricing_treasury_rates</vt:lpstr>
      <vt:lpstr>EnodoConfig!apiendpoints_pricing_treasury_rates_dates</vt:lpstr>
      <vt:lpstr>APP_LN_AMT</vt:lpstr>
      <vt:lpstr>ApplicationLoan</vt:lpstr>
      <vt:lpstr>Appraisal_Company</vt:lpstr>
      <vt:lpstr>Appraisal_Date</vt:lpstr>
      <vt:lpstr>Appraised_Cap</vt:lpstr>
      <vt:lpstr>Appraised_LTV</vt:lpstr>
      <vt:lpstr>Appraised_Value</vt:lpstr>
      <vt:lpstr>AppraisedValuePerUnit</vt:lpstr>
      <vt:lpstr>B2B_ApplicableIndexType_List</vt:lpstr>
      <vt:lpstr>B2B_BuyUpPercentages_List</vt:lpstr>
      <vt:lpstr>B2B_DeliveryType_List</vt:lpstr>
      <vt:lpstr>B2B_ERL_FundingTiming_List</vt:lpstr>
      <vt:lpstr>B2B_HedgeProtection_List</vt:lpstr>
      <vt:lpstr>B2B_InterestCalc_List</vt:lpstr>
      <vt:lpstr>B2B_InterestType_List</vt:lpstr>
      <vt:lpstr>'FRE B2B Submission'!B2B_JsonOutput</vt:lpstr>
      <vt:lpstr>B2B_PropertyType_List</vt:lpstr>
      <vt:lpstr>'FRE B2B Submission'!B2B_SelectedOptionNumber</vt:lpstr>
      <vt:lpstr>B2B_YieldMaintenanceTreasuriesPlus_List</vt:lpstr>
      <vt:lpstr>B2BData</vt:lpstr>
      <vt:lpstr>B2BLink_InvalidValuesCount</vt:lpstr>
      <vt:lpstr>B2BLink_NumberOfUnits</vt:lpstr>
      <vt:lpstr>B2BLink_PropertyName</vt:lpstr>
      <vt:lpstr>B2BLink_ZipCode</vt:lpstr>
      <vt:lpstr>'Bor-KP-Prin'!BKP_Borrowers</vt:lpstr>
      <vt:lpstr>'Bor-KP-Prin'!BKP_CombinedKPs_Liquidity</vt:lpstr>
      <vt:lpstr>'Bor-KP-Prin'!BKP_CombinedKPs_NetWorth</vt:lpstr>
      <vt:lpstr>'Bor-KP-Prin'!BKP_CombinedKPsLiquidityAsPcntOfLoan</vt:lpstr>
      <vt:lpstr>'Bor-KP-Prin'!BKP_CombinedKPsNetWorthAsPcntOfLoan</vt:lpstr>
      <vt:lpstr>'Bor-KP-Prin'!BKP_KPGs</vt:lpstr>
      <vt:lpstr>'Bor-KP-Prin'!BKP_LoanAmount</vt:lpstr>
      <vt:lpstr>'Bor-KP-Prin'!BKP_LRHcell</vt:lpstr>
      <vt:lpstr>BKP_NmbrOfBorrowers</vt:lpstr>
      <vt:lpstr>BKP_NmbrOfKPs_Guarantors</vt:lpstr>
      <vt:lpstr>BKP_NmbrOfPrincipals</vt:lpstr>
      <vt:lpstr>'Bor-KP-Prin'!BKP_OtherPrincipals</vt:lpstr>
      <vt:lpstr>'Bor-KP-Prin'!BKP_Row_AmountOfLiquidityVerified</vt:lpstr>
      <vt:lpstr>'Bor-KP-Prin'!BKP_Row_ApproxCashFlowFromRealEstate</vt:lpstr>
      <vt:lpstr>'Bor-KP-Prin'!BKP_Row_Assets_AccountsReceivable</vt:lpstr>
      <vt:lpstr>'Bor-KP-Prin'!BKP_Row_Assets_BankCashAndCDs</vt:lpstr>
      <vt:lpstr>'Bor-KP-Prin'!BKP_Row_Assets_IRAsAndLifeInsurance</vt:lpstr>
      <vt:lpstr>'Bor-KP-Prin'!BKP_Row_Assets_MarketableSecurities</vt:lpstr>
      <vt:lpstr>'Bor-KP-Prin'!BKP_Row_Assets_NotesReceivable</vt:lpstr>
      <vt:lpstr>'Bor-KP-Prin'!BKP_Row_Assets_OtherAssets</vt:lpstr>
      <vt:lpstr>'Bor-KP-Prin'!BKP_Row_Assets_OtherRealEstate</vt:lpstr>
      <vt:lpstr>'Bor-KP-Prin'!BKP_Row_Assets_PersonalResidences</vt:lpstr>
      <vt:lpstr>'Bor-KP-Prin'!BKP_Row_Assets_UnlistedStock</vt:lpstr>
      <vt:lpstr>'Bor-KP-Prin'!BKP_Row_ContingentLiabilities</vt:lpstr>
      <vt:lpstr>'Bor-KP-Prin'!BKP_Row_CreditCheck_CourtlinkSearch</vt:lpstr>
      <vt:lpstr>'Bor-KP-Prin'!BKP_Row_CreditCheck_DateOfAEC</vt:lpstr>
      <vt:lpstr>'Bor-KP-Prin'!BKP_Row_CreditCheck_DateOfCreditReport</vt:lpstr>
      <vt:lpstr>'Bor-KP-Prin'!BKP_Row_CreditCheck_DateOfLDP</vt:lpstr>
      <vt:lpstr>'Bor-KP-Prin'!BKP_Row_CreditCheck_DateOfLexisNexis</vt:lpstr>
      <vt:lpstr>'Bor-KP-Prin'!BKP_Row_CreditCheck_DateOfOFAC</vt:lpstr>
      <vt:lpstr>'Bor-KP-Prin'!BKP_Row_CreditCheck_DateOfSAM</vt:lpstr>
      <vt:lpstr>'Bor-KP-Prin'!BKP_Row_CreditCheck_DateOfSearchEngineSearch</vt:lpstr>
      <vt:lpstr>'Bor-KP-Prin'!BKP_Row_CreditCheck_DateOfSuspendedCP</vt:lpstr>
      <vt:lpstr>'Bor-KP-Prin'!BKP_Row_CreditCheck_FicoScore</vt:lpstr>
      <vt:lpstr>'Bor-KP-Prin'!BKP_Row_CreditCheck_FRMReport</vt:lpstr>
      <vt:lpstr>'Bor-KP-Prin'!BKP_Row_CreditCheck_IsAcceptable</vt:lpstr>
      <vt:lpstr>'Bor-KP-Prin'!BKP_Row_CurrentLiabilities</vt:lpstr>
      <vt:lpstr>'Bor-KP-Prin'!BKP_Row_DateFormed</vt:lpstr>
      <vt:lpstr>'Bor-KP-Prin'!BKP_Row_DateOfFinancialInformation</vt:lpstr>
      <vt:lpstr>'Bor-KP-Prin'!BKP_Row_Entity_Address</vt:lpstr>
      <vt:lpstr>'Bor-KP-Prin'!BKP_Row_Entity_City</vt:lpstr>
      <vt:lpstr>'Bor-KP-Prin'!BKP_Row_Entity_State</vt:lpstr>
      <vt:lpstr>'Bor-KP-Prin'!BKP_Row_Entity_Zipcode</vt:lpstr>
      <vt:lpstr>'Bor-KP-Prin'!BKP_Row_EntityInfo</vt:lpstr>
      <vt:lpstr>'Bor-KP-Prin'!BKP_Row_EntityName</vt:lpstr>
      <vt:lpstr>'Bor-KP-Prin'!BKP_Row_FinancialInformationWaived</vt:lpstr>
      <vt:lpstr>'Bor-KP-Prin'!BKP_Row_IsDomesticBorrower</vt:lpstr>
      <vt:lpstr>'Bor-KP-Prin'!BKP_Row_IsSingleAssetEntity</vt:lpstr>
      <vt:lpstr>'Bor-KP-Prin'!BKP_Row_Liabilities_AccountsPayable</vt:lpstr>
      <vt:lpstr>'Bor-KP-Prin'!BKP_Row_Liabilities_NotesPayable</vt:lpstr>
      <vt:lpstr>'Bor-KP-Prin'!BKP_Row_Liabilities_OtherLiabilities</vt:lpstr>
      <vt:lpstr>'Bor-KP-Prin'!BKP_Row_Liabilities_SecuredByOtherRealEstateOwned</vt:lpstr>
      <vt:lpstr>'Bor-KP-Prin'!BKP_Row_Liabilities_SecuredByPersonalResidences</vt:lpstr>
      <vt:lpstr>'Bor-KP-Prin'!BKP_Row_LiquidityRatio</vt:lpstr>
      <vt:lpstr>'Bor-KP-Prin'!BKP_Row_NetWorth</vt:lpstr>
      <vt:lpstr>'Bor-KP-Prin'!BKP_Row_ParticipantRole</vt:lpstr>
      <vt:lpstr>'Bor-KP-Prin'!BKP_Row_PercentOfLiquidityVerified</vt:lpstr>
      <vt:lpstr>'Bor-KP-Prin'!BKP_Row_PercentOwnership</vt:lpstr>
      <vt:lpstr>'Bor-KP-Prin'!BKP_Row_PortfolioDSCR</vt:lpstr>
      <vt:lpstr>'Bor-KP-Prin'!BKP_Row_PriorExperience_FNM</vt:lpstr>
      <vt:lpstr>'Bor-KP-Prin'!BKP_Row_PriorExperience_WD</vt:lpstr>
      <vt:lpstr>'Bor-KP-Prin'!BKP_Row_StateOfFormation</vt:lpstr>
      <vt:lpstr>'Bor-KP-Prin'!BKP_Row_TangibleNetWorthRatio</vt:lpstr>
      <vt:lpstr>'Bor-KP-Prin'!BKP_Row_TotalAssets</vt:lpstr>
      <vt:lpstr>'Bor-KP-Prin'!BKP_Row_TotalAssets_Liquid</vt:lpstr>
      <vt:lpstr>'Bor-KP-Prin'!BKP_Row_TotalAssets_Other</vt:lpstr>
      <vt:lpstr>'Bor-KP-Prin'!BKP_Row_TotalAssets_RealEstate</vt:lpstr>
      <vt:lpstr>'Bor-KP-Prin'!BKP_Row_TotalLiabilities</vt:lpstr>
      <vt:lpstr>'Bor-KP-Prin'!BKP_Row_TotalLiabilities_Other</vt:lpstr>
      <vt:lpstr>'Bor-KP-Prin'!BKP_Row_TotalLiabilities_RealEstate</vt:lpstr>
      <vt:lpstr>'Bor-KP-Prin'!BKP_Row_TypeOfEntity</vt:lpstr>
      <vt:lpstr>'Bor-KP-Prin'!BKP_Row_YearsOfManagementExperience_ThisMarket</vt:lpstr>
      <vt:lpstr>'Bor-KP-Prin'!BKP_Row_YearsOfOwnershipManagementExperience</vt:lpstr>
      <vt:lpstr>'Bor-KP-Prin'!BKP_Tbl_AllData</vt:lpstr>
      <vt:lpstr>BLDG_CNT</vt:lpstr>
      <vt:lpstr>BLDG_TYP</vt:lpstr>
      <vt:lpstr>BorrowerPriority</vt:lpstr>
      <vt:lpstr>Borrowing_Entity_1</vt:lpstr>
      <vt:lpstr>Borrowing_Entity_10</vt:lpstr>
      <vt:lpstr>Borrowing_Entity_2</vt:lpstr>
      <vt:lpstr>Borrowing_Entity_3</vt:lpstr>
      <vt:lpstr>Borrowing_Entity_4</vt:lpstr>
      <vt:lpstr>Borrowing_Entity_5</vt:lpstr>
      <vt:lpstr>Borrowing_Entity_6</vt:lpstr>
      <vt:lpstr>Borrowing_Entity_7</vt:lpstr>
      <vt:lpstr>Borrowing_Entity_8</vt:lpstr>
      <vt:lpstr>Borrowing_Entity_9</vt:lpstr>
      <vt:lpstr>Breakeven_Occupancy</vt:lpstr>
      <vt:lpstr>BSB_PrepayType_List</vt:lpstr>
      <vt:lpstr>Building_Type</vt:lpstr>
      <vt:lpstr>CAP_COST_FCTR</vt:lpstr>
      <vt:lpstr>City_DataPageTab</vt:lpstr>
      <vt:lpstr>CMT_NBR</vt:lpstr>
      <vt:lpstr>COOP_NCF</vt:lpstr>
      <vt:lpstr>Cost_Approach</vt:lpstr>
      <vt:lpstr>CostApproachPerUnit</vt:lpstr>
      <vt:lpstr>County_DataPageTab</vt:lpstr>
      <vt:lpstr>CUW_SIGN</vt:lpstr>
      <vt:lpstr>CUW_SIGN_DT</vt:lpstr>
      <vt:lpstr>DailyPricingImportedData</vt:lpstr>
      <vt:lpstr>DailyPricingTbl</vt:lpstr>
      <vt:lpstr>DailyPricingTblDataIsStale</vt:lpstr>
      <vt:lpstr>DailyPricingUpdateTimestamp</vt:lpstr>
      <vt:lpstr>DataPage_AMI_CalcMethod</vt:lpstr>
      <vt:lpstr>DataPage_AMI_Percentages</vt:lpstr>
      <vt:lpstr>DataPage_IsSendable_CPF</vt:lpstr>
      <vt:lpstr>DataPage_IsSendable_ILP</vt:lpstr>
      <vt:lpstr>DataPage_IsSendable_WDIP</vt:lpstr>
      <vt:lpstr>DataPage_LoanInfoTable</vt:lpstr>
      <vt:lpstr>DataPage_MaxApprovedLoanAmount</vt:lpstr>
      <vt:lpstr>DataPage_MSA_Type_List</vt:lpstr>
      <vt:lpstr>DataPage_NonGSELoanSummaryData</vt:lpstr>
      <vt:lpstr>DataPage_NotifyCriteria_CPF</vt:lpstr>
      <vt:lpstr>DataPage_NotifyCriteria_ILP</vt:lpstr>
      <vt:lpstr>DataPage_NotifyCriteria_Text</vt:lpstr>
      <vt:lpstr>DataPage_NotifyCriteria_WDIP</vt:lpstr>
      <vt:lpstr>DataPage_NotifyCriteriaParams_CPF</vt:lpstr>
      <vt:lpstr>DataPage_NotifyCriteriaParams_ILP</vt:lpstr>
      <vt:lpstr>DataPage_NotifyCriteriaParams_WDIP</vt:lpstr>
      <vt:lpstr>DataPage_OtherBondFeesPcnt</vt:lpstr>
      <vt:lpstr>DataPage_PcntExcludedFromCap</vt:lpstr>
      <vt:lpstr>DataPage_PcntOfUnits_LTE_100PcntOfAMI</vt:lpstr>
      <vt:lpstr>DataPage_PcntOfUnits_LTE_120PcntOfAMI</vt:lpstr>
      <vt:lpstr>DataPage_PcntOfUnits_LTE_50PcntOfAMI</vt:lpstr>
      <vt:lpstr>DataPage_PcntOfUnits_LTE_60PcntOfAMI</vt:lpstr>
      <vt:lpstr>DataPage_PcntOfUnits_LTE_80PcntOfAMI</vt:lpstr>
      <vt:lpstr>DataPage_RefiClosingDate</vt:lpstr>
      <vt:lpstr>DataPage_SARM_FixedLoanAmount</vt:lpstr>
      <vt:lpstr>DataPage_Variable_Min_Stress_UW_DSCR</vt:lpstr>
      <vt:lpstr>DataPage_View</vt:lpstr>
      <vt:lpstr>DCU_Name</vt:lpstr>
      <vt:lpstr>Debt_Yield</vt:lpstr>
      <vt:lpstr>Delegated_Level</vt:lpstr>
      <vt:lpstr>DL_NM</vt:lpstr>
      <vt:lpstr>'Data Page'!DP_LoanStructureInfo</vt:lpstr>
      <vt:lpstr>'Data Page'!DP_LocationInfo</vt:lpstr>
      <vt:lpstr>Dropdown_ILPSizerLenderList</vt:lpstr>
      <vt:lpstr>Dropdowns_AMI_SelectorList</vt:lpstr>
      <vt:lpstr>Dropdowns_BorrowerPriority</vt:lpstr>
      <vt:lpstr>Dropdowns_BusinessPlanList</vt:lpstr>
      <vt:lpstr>Dropdowns_DelegatedLevel</vt:lpstr>
      <vt:lpstr>Dropdowns_DeputyChiefUnderwriters</vt:lpstr>
      <vt:lpstr>DropDowns_FNM_LoanOptions</vt:lpstr>
      <vt:lpstr>Dropdowns_FNM_TermOptions</vt:lpstr>
      <vt:lpstr>DropDowns_FRE_LoanOptions</vt:lpstr>
      <vt:lpstr>Dropdowns_LineItemList</vt:lpstr>
      <vt:lpstr>Dropdowns_ListOfStates</vt:lpstr>
      <vt:lpstr>DropDowns_PC_LoanOptions</vt:lpstr>
      <vt:lpstr>Dropdowns_ProducerContactInfo</vt:lpstr>
      <vt:lpstr>DropDowns_ProducerNames</vt:lpstr>
      <vt:lpstr>Dropdowns_ProducersContactInfo</vt:lpstr>
      <vt:lpstr>DUS_Gateway_Data</vt:lpstr>
      <vt:lpstr>DUS_Gateway_ErrorCount</vt:lpstr>
      <vt:lpstr>DUS_Gateway_LoanAmounts</vt:lpstr>
      <vt:lpstr>EnodoChartOfAccountsOptions</vt:lpstr>
      <vt:lpstr>EnodoConfig_AddinFunction</vt:lpstr>
      <vt:lpstr>EnodoConfig_AddinFunctionParameter1</vt:lpstr>
      <vt:lpstr>EnodoConfig_AllParameters</vt:lpstr>
      <vt:lpstr>EnodoConfig_ApplicableCOAs</vt:lpstr>
      <vt:lpstr>EnodoConfig_Budget</vt:lpstr>
      <vt:lpstr>EnodoConfig_CountFiles</vt:lpstr>
      <vt:lpstr>EnodoConfig_DealID</vt:lpstr>
      <vt:lpstr>EnodoConfig_DealIdentifier</vt:lpstr>
      <vt:lpstr>EnodoConfig_DealName</vt:lpstr>
      <vt:lpstr>EnodoConfig_EnodoUrl</vt:lpstr>
      <vt:lpstr>EnodoConfig_FreddieMacLoanId</vt:lpstr>
      <vt:lpstr>EnodoConfig_InitialLoadCompleted</vt:lpstr>
      <vt:lpstr>EnodoConfig_LoadedBudget</vt:lpstr>
      <vt:lpstr>EnodoConfig_LoadedInputFiles</vt:lpstr>
      <vt:lpstr>EnodoConfig_LoadedRRId</vt:lpstr>
      <vt:lpstr>EnodoConfig_LoadedT12_1</vt:lpstr>
      <vt:lpstr>EnodoConfig_LoadedT12_2</vt:lpstr>
      <vt:lpstr>EnodoConfig_LoadedT12_3</vt:lpstr>
      <vt:lpstr>EnodoConfig_LoadedT12_4</vt:lpstr>
      <vt:lpstr>EnodoConfig_ReleaseDate</vt:lpstr>
      <vt:lpstr>EnodoConfig_RRId</vt:lpstr>
      <vt:lpstr>EnodoConfig_SalesforceOpportunityNmbr</vt:lpstr>
      <vt:lpstr>EnodoConfig_ServerURL</vt:lpstr>
      <vt:lpstr>EnodoConfig_SizerSubType</vt:lpstr>
      <vt:lpstr>EnodoConfig_SizerType</vt:lpstr>
      <vt:lpstr>EnodoConfig_T12_1</vt:lpstr>
      <vt:lpstr>EnodoConfig_T12_2</vt:lpstr>
      <vt:lpstr>EnodoConfig_T12_3</vt:lpstr>
      <vt:lpstr>EnodoConfig_T12_4</vt:lpstr>
      <vt:lpstr>EnodoConfig_Token</vt:lpstr>
      <vt:lpstr>EnodoConfig_UniqueId</vt:lpstr>
      <vt:lpstr>EnodoConfig_Version</vt:lpstr>
      <vt:lpstr>EnodoSizerType</vt:lpstr>
      <vt:lpstr>ERents_RentRoll</vt:lpstr>
      <vt:lpstr>Exit_LoanAmount</vt:lpstr>
      <vt:lpstr>Exit_LoanStartDate</vt:lpstr>
      <vt:lpstr>Exit_LoanTerm</vt:lpstr>
      <vt:lpstr>Exit_LTV_Alternative</vt:lpstr>
      <vt:lpstr>Exit_LTV_Standard</vt:lpstr>
      <vt:lpstr>Exit_Rate_Alternative</vt:lpstr>
      <vt:lpstr>Exit_Rate_Standard</vt:lpstr>
      <vt:lpstr>Exit_YearsIO</vt:lpstr>
      <vt:lpstr>'FNM Exit Strategy'!ExitStrategy_DefaultStdRentGrowthRate</vt:lpstr>
      <vt:lpstr>'FNM Exit Strategy'!ExitStrategy_IsStudentOrSeniors</vt:lpstr>
      <vt:lpstr>ExitStrategy_LastYearToShow</vt:lpstr>
      <vt:lpstr>'FNM Exit Strategy'!ExitStrategy_StdGrowthRates_Expenses</vt:lpstr>
      <vt:lpstr>'FNM Exit Strategy'!ExitStrategy_StdGrowthRates_IncomeHeader</vt:lpstr>
      <vt:lpstr>'FNM Exit Strategy'!ExitStrategy_StdGrowthRates_Rent</vt:lpstr>
      <vt:lpstr>'FNM Exit Strategy'!ExitStrategy_StdYearsHeader</vt:lpstr>
      <vt:lpstr>ExpectedClose_IfSupp</vt:lpstr>
      <vt:lpstr>FannieMaeFees</vt:lpstr>
      <vt:lpstr>FannieMaeLargeLoanFee</vt:lpstr>
      <vt:lpstr>FirstActual_UW_DSCR_IfSupp</vt:lpstr>
      <vt:lpstr>FirstAmort_IfSupp</vt:lpstr>
      <vt:lpstr>FirstConstant_IfSupp</vt:lpstr>
      <vt:lpstr>FirstCoterminous_IfSupp</vt:lpstr>
      <vt:lpstr>FirstDebtService_IfSupp</vt:lpstr>
      <vt:lpstr>FirstFloor_UW_DSCR_IfSupp</vt:lpstr>
      <vt:lpstr>FirstIO_IfSupp</vt:lpstr>
      <vt:lpstr>FirstMaturity_IfSupp</vt:lpstr>
      <vt:lpstr>FirstOrigLoan_IfSupp</vt:lpstr>
      <vt:lpstr>FirstRate_IfSupp</vt:lpstr>
      <vt:lpstr>FirstRemIO_IfSupp</vt:lpstr>
      <vt:lpstr>FirstRemTerm_IfSupp</vt:lpstr>
      <vt:lpstr>FirstTerm_IfSupp</vt:lpstr>
      <vt:lpstr>FirstTier_IfSupp</vt:lpstr>
      <vt:lpstr>FirstUPB_IfSupp</vt:lpstr>
      <vt:lpstr>FirstYMEnd_IfSupp</vt:lpstr>
      <vt:lpstr>FixedPrinPayment</vt:lpstr>
      <vt:lpstr>Floor_UW_DSCR</vt:lpstr>
      <vt:lpstr>FloorConstant</vt:lpstr>
      <vt:lpstr>FloorRate</vt:lpstr>
      <vt:lpstr>FNM_Hdr_AcceptanceDisclaimer</vt:lpstr>
      <vt:lpstr>FNM_Hdr_ApplicationDeposit</vt:lpstr>
      <vt:lpstr>FNM_Hdr_FHFA_OFAC_Certification</vt:lpstr>
      <vt:lpstr>FNM_TierTbl</vt:lpstr>
      <vt:lpstr>FNMRentRoll_End</vt:lpstr>
      <vt:lpstr>FNMRentRoll_Start</vt:lpstr>
      <vt:lpstr>FormVersion</vt:lpstr>
      <vt:lpstr>FRE_App_EntireDocToPrint</vt:lpstr>
      <vt:lpstr>FRE_APP_History_Hdr</vt:lpstr>
      <vt:lpstr>FRE_App_IOPeriodInMonths</vt:lpstr>
      <vt:lpstr>FRE_App_LoanAmount</vt:lpstr>
      <vt:lpstr>FRE_App_MaximumLTV</vt:lpstr>
      <vt:lpstr>FRE_App_MinimumDSCR</vt:lpstr>
      <vt:lpstr>FRE_Hdr_AcceptanceDisclaimer</vt:lpstr>
      <vt:lpstr>FRE_Hdr_ApplicationDeposit</vt:lpstr>
      <vt:lpstr>FRE_Hdr_Attachments</vt:lpstr>
      <vt:lpstr>FRE_Hdr_FHFA_OFAC_Certification</vt:lpstr>
      <vt:lpstr>FRE_Hdr_MaximumLTV</vt:lpstr>
      <vt:lpstr>FRE_Hdr_PeriodicAdjustmentOfInterestRate</vt:lpstr>
      <vt:lpstr>FRE_Hdr_PrepaymentSchedule</vt:lpstr>
      <vt:lpstr>FRE_Hdr_ScheduleA</vt:lpstr>
      <vt:lpstr>FRE_Hdr_ScheduleB</vt:lpstr>
      <vt:lpstr>FRE_Hdr_ScheduleC</vt:lpstr>
      <vt:lpstr>FRE_PrepayOptions_10YrFixed</vt:lpstr>
      <vt:lpstr>FRE_PrepayOptions_3YrFloating</vt:lpstr>
      <vt:lpstr>FRE_PrepayOptions_5YrFixed</vt:lpstr>
      <vt:lpstr>FRE_PrepayOptions_7YrFixed</vt:lpstr>
      <vt:lpstr>FreddieIE_ExpenseGrowthRate</vt:lpstr>
      <vt:lpstr>FreddieIE_GPR_YTD</vt:lpstr>
      <vt:lpstr>FreddieIE_SourceDataRng</vt:lpstr>
      <vt:lpstr>FreddieIE_SourceHeaderRng</vt:lpstr>
      <vt:lpstr>GBA</vt:lpstr>
      <vt:lpstr>GR_Amort</vt:lpstr>
      <vt:lpstr>GR_InterestOnly</vt:lpstr>
      <vt:lpstr>GR_Term</vt:lpstr>
      <vt:lpstr>GR_YieldMaintenance</vt:lpstr>
      <vt:lpstr>GRS_SPRD</vt:lpstr>
      <vt:lpstr>Guarantor_KP_1</vt:lpstr>
      <vt:lpstr>Guarantor_KP_2</vt:lpstr>
      <vt:lpstr>Guarantor_KP_3</vt:lpstr>
      <vt:lpstr>Guarantor_KP_4</vt:lpstr>
      <vt:lpstr>Guarantor_KP_5</vt:lpstr>
      <vt:lpstr>Guarantor_KP_6</vt:lpstr>
      <vt:lpstr>Guarantor_KP_7</vt:lpstr>
      <vt:lpstr>Guarantor_KP_8</vt:lpstr>
      <vt:lpstr>GuarantyFee</vt:lpstr>
      <vt:lpstr>HAP_REM_TRM</vt:lpstr>
      <vt:lpstr>hiddenctr</vt:lpstr>
      <vt:lpstr>HOps_1YrBack</vt:lpstr>
      <vt:lpstr>HOps_2YrsBack</vt:lpstr>
      <vt:lpstr>HOps_3YrsBack</vt:lpstr>
      <vt:lpstr>'Fannie Historical Ops'!HOps_AllData</vt:lpstr>
      <vt:lpstr>'Fannie Historical Ops'!HOps_AppraisalAdjusted</vt:lpstr>
      <vt:lpstr>'Fannie Historical Ops'!HOps_AppraisalYear1</vt:lpstr>
      <vt:lpstr>HOps_Budget</vt:lpstr>
      <vt:lpstr>HOps_CapExps</vt:lpstr>
      <vt:lpstr>HOps_CurrentYear</vt:lpstr>
      <vt:lpstr>HOps_ExpenseGrowthRate</vt:lpstr>
      <vt:lpstr>HOps_LenderProforma</vt:lpstr>
      <vt:lpstr>HOps_ManagementFee</vt:lpstr>
      <vt:lpstr>HOps_NetCashFlow</vt:lpstr>
      <vt:lpstr>HOps_Quote</vt:lpstr>
      <vt:lpstr>HOps_Quote_NetCashFlow</vt:lpstr>
      <vt:lpstr>'Fannie Historical Ops'!HOps_Row_Advertising_Marketing</vt:lpstr>
      <vt:lpstr>'Fannie Historical Ops'!HOps_Row_Apartment_Allowances</vt:lpstr>
      <vt:lpstr>'Fannie Historical Ops'!HOps_Row_App_Fee</vt:lpstr>
      <vt:lpstr>'Fannie Historical Ops'!HOps_Row_Benefits_Payroll_Taxes</vt:lpstr>
      <vt:lpstr>'Fannie Historical Ops'!HOps_Row_BL_Capital_Expenditures</vt:lpstr>
      <vt:lpstr>'Fannie Historical Ops'!HOps_Row_BL_Depreciation</vt:lpstr>
      <vt:lpstr>'Fannie Historical Ops'!HOps_Row_BL_Interest</vt:lpstr>
      <vt:lpstr>'Fannie Historical Ops'!HOps_Row_BL_Other_1</vt:lpstr>
      <vt:lpstr>'Fannie Historical Ops'!HOps_Row_BL_Other_2</vt:lpstr>
      <vt:lpstr>'Fannie Historical Ops'!HOps_Row_BL_Other_3</vt:lpstr>
      <vt:lpstr>'Fannie Historical Ops'!HOps_Row_BL_Other_4</vt:lpstr>
      <vt:lpstr>'Fannie Historical Ops'!HOps_Row_BL_Principal</vt:lpstr>
      <vt:lpstr>'Fannie Historical Ops'!HOps_Row_Bldg._Maint._Repair</vt:lpstr>
      <vt:lpstr>'Fannie Historical Ops'!HOps_Row_Bonuses_Commissions_Other</vt:lpstr>
      <vt:lpstr>'Fannie Historical Ops'!HOps_Row_Capital_Expenditures</vt:lpstr>
      <vt:lpstr>'Fannie Historical Ops'!HOps_Row_Corporate_Prem.</vt:lpstr>
      <vt:lpstr>'Fannie Historical Ops'!HOps_Row_Difference_NCF_vs_OS</vt:lpstr>
      <vt:lpstr>'Fannie Historical Ops'!HOps_Row_Economic_Vacancy</vt:lpstr>
      <vt:lpstr>'Fannie Historical Ops'!HOps_Row_EGI</vt:lpstr>
      <vt:lpstr>'Fannie Historical Ops'!HOps_Row_Electricity</vt:lpstr>
      <vt:lpstr>'Fannie Historical Ops'!HOps_Row_Elevator_Maintenance</vt:lpstr>
      <vt:lpstr>'Fannie Historical Ops'!HOps_Row_Excluded_Expense_Items</vt:lpstr>
      <vt:lpstr>'Fannie Historical Ops'!HOps_Row_Excluded_Income_Items</vt:lpstr>
      <vt:lpstr>'Fannie Historical Ops'!HOps_Row_Forfeit_Deposits</vt:lpstr>
      <vt:lpstr>'Fannie Historical Ops'!HOps_Row_Gardening_Landscape</vt:lpstr>
      <vt:lpstr>'Fannie Historical Ops'!HOps_Row_Gas_Fuel_Other</vt:lpstr>
      <vt:lpstr>'Fannie Historical Ops'!HOps_Row_General_Administrative</vt:lpstr>
      <vt:lpstr>'Fannie Historical Ops'!HOps_Row_Gross_Potential_Rent</vt:lpstr>
      <vt:lpstr>'Fannie Historical Ops'!HOps_Row_Ground_Rent</vt:lpstr>
      <vt:lpstr>'Fannie Historical Ops'!HOps_Row_Late_Early_Term_Fees</vt:lpstr>
      <vt:lpstr>'Fannie Historical Ops'!HOps_Row_Less_Bad_Debt</vt:lpstr>
      <vt:lpstr>'Fannie Historical Ops'!HOps_Row_Less_Concessions</vt:lpstr>
      <vt:lpstr>'Fannie Historical Ops'!HOps_Row_Less_Vacancy_Loss</vt:lpstr>
      <vt:lpstr>'Fannie Historical Ops'!HOps_Row_Licenses</vt:lpstr>
      <vt:lpstr>'Fannie Historical Ops'!HOps_Row_Maintenance_Super_Salary</vt:lpstr>
      <vt:lpstr>'Fannie Historical Ops'!HOps_Row_Management_Fees</vt:lpstr>
      <vt:lpstr>'Fannie Historical Ops'!HOps_Row_Manager_Salary</vt:lpstr>
      <vt:lpstr>'Fannie Historical Ops'!HOps_Row_Monthly_NRI</vt:lpstr>
      <vt:lpstr>'Fannie Historical Ops'!HOps_Row_NCF_Calculated_From_Above</vt:lpstr>
      <vt:lpstr>'Fannie Historical Ops'!HOps_Row_NCF_From_Operating_Statement</vt:lpstr>
      <vt:lpstr>'Fannie Historical Ops'!HOps_Row_Net_Cash_Flow</vt:lpstr>
      <vt:lpstr>'Fannie Historical Ops'!HOps_Row_Net_Commercial_Income</vt:lpstr>
      <vt:lpstr>'Fannie Historical Ops'!HOps_Row_Net_Laundry_Vending_Income</vt:lpstr>
      <vt:lpstr>'Fannie Historical Ops'!HOps_Row_Net_Parking_Income</vt:lpstr>
      <vt:lpstr>'Fannie Historical Ops'!HOps_Row_Net_Rentable_Income</vt:lpstr>
      <vt:lpstr>'Fannie Historical Ops'!HOps_Row_Office_Model_Apts</vt:lpstr>
      <vt:lpstr>'Fannie Historical Ops'!HOps_Row_Other_Administrative</vt:lpstr>
      <vt:lpstr>'Fannie Historical Ops'!HOps_Row_Other_Allowable_Income</vt:lpstr>
      <vt:lpstr>'Fannie Historical Ops'!HOps_Row_Other_Description</vt:lpstr>
      <vt:lpstr>'Fannie Historical Ops'!HOps_Row_Other_Expense</vt:lpstr>
      <vt:lpstr>'Fannie Historical Ops'!HOps_Row_Other_Leasing_Salaries</vt:lpstr>
      <vt:lpstr>'Fannie Historical Ops'!HOps_Row_Other_Maintenance_Salaries</vt:lpstr>
      <vt:lpstr>'Fannie Historical Ops'!HOps_Row_Other_Taxes_or_Assessments</vt:lpstr>
      <vt:lpstr>'Fannie Historical Ops'!HOps_Row_Paint_Decorating_Turnover</vt:lpstr>
      <vt:lpstr>'Fannie Historical Ops'!HOps_Row_Parking_Maint_Snow_Other</vt:lpstr>
      <vt:lpstr>'Fannie Historical Ops'!HOps_Row_Pest_Control</vt:lpstr>
      <vt:lpstr>'Fannie Historical Ops'!HOps_Row_Pet_Deposits</vt:lpstr>
      <vt:lpstr>'Fannie Historical Ops'!HOps_Row_Pool_Maintenance</vt:lpstr>
      <vt:lpstr>'Fannie Historical Ops'!HOps_Row_Premiums</vt:lpstr>
      <vt:lpstr>'Fannie Historical Ops'!HOps_Row_Professional_Fees</vt:lpstr>
      <vt:lpstr>'Fannie Historical Ops'!HOps_Row_Property_Insurance</vt:lpstr>
      <vt:lpstr>'Fannie Historical Ops'!HOps_Row_Real_Estate_Taxes</vt:lpstr>
      <vt:lpstr>'Fannie Historical Ops'!HOps_Row_RUBS</vt:lpstr>
      <vt:lpstr>'Fannie Historical Ops'!HOps_Row_Security_Contract</vt:lpstr>
      <vt:lpstr>'Fannie Historical Ops'!HOps_Row_Srs_Community_Fee</vt:lpstr>
      <vt:lpstr>'Fannie Historical Ops'!HOps_Row_Srs_Meals_Expense</vt:lpstr>
      <vt:lpstr>'Fannie Historical Ops'!HOps_Row_Srs_Respite_Care</vt:lpstr>
      <vt:lpstr>'Fannie Historical Ops'!HOps_Row_Srs_Room_Expense_Housekeeping</vt:lpstr>
      <vt:lpstr>'Fannie Historical Ops'!HOps_Row_Srs_Second_Occupant</vt:lpstr>
      <vt:lpstr>'Fannie Historical Ops'!HOps_Row_Srs_Support_Plans_AL_ALZ</vt:lpstr>
      <vt:lpstr>'Fannie Historical Ops'!HOps_Row_Telephone_Cable</vt:lpstr>
      <vt:lpstr>'Fannie Historical Ops'!HOps_Row_Total_Expenses</vt:lpstr>
      <vt:lpstr>'Fannie Historical Ops'!HOps_Row_Total_Expenses_Less_RET_RR</vt:lpstr>
      <vt:lpstr>'Fannie Historical Ops'!HOps_Row_Total_Expenses_Reserves</vt:lpstr>
      <vt:lpstr>'Fannie Historical Ops'!HOps_Row_Total_Fixed</vt:lpstr>
      <vt:lpstr>'Fannie Historical Ops'!HOps_Row_Total_Operating_Expenses</vt:lpstr>
      <vt:lpstr>'Fannie Historical Ops'!HOps_Row_Trash_Removal</vt:lpstr>
      <vt:lpstr>'Fannie Historical Ops'!HOps_Row_Unallowable_Income</vt:lpstr>
      <vt:lpstr>'Fannie Historical Ops'!HOps_Row_Water_Sewer</vt:lpstr>
      <vt:lpstr>'Fannie Historical Ops'!HOps_UnderwritingLien1</vt:lpstr>
      <vt:lpstr>'Fannie Historical Ops'!HOps_UnderwritingLien2</vt:lpstr>
      <vt:lpstr>'Fannie Historical Ops'!HOps_UnderwritingLien3</vt:lpstr>
      <vt:lpstr>HOps_YTD_or_TR</vt:lpstr>
      <vt:lpstr>HOps_YTD_or_TR_DropDown</vt:lpstr>
      <vt:lpstr>HOps_YTD_or_TR_Months</vt:lpstr>
      <vt:lpstr>Income_Approach</vt:lpstr>
      <vt:lpstr>IncomeApproachPerUnit</vt:lpstr>
      <vt:lpstr>INS_ESCRW</vt:lpstr>
      <vt:lpstr>Interest_Calc</vt:lpstr>
      <vt:lpstr>Interest_Rate_Type</vt:lpstr>
      <vt:lpstr>Interest_Rate_Type1</vt:lpstr>
      <vt:lpstr>Interest_Rate_Type2</vt:lpstr>
      <vt:lpstr>Interest_Rate_Type3</vt:lpstr>
      <vt:lpstr>InterestOnly</vt:lpstr>
      <vt:lpstr>InterestOnlyDebtService</vt:lpstr>
      <vt:lpstr>InvestorSpread</vt:lpstr>
      <vt:lpstr>IO_UW_DSCR</vt:lpstr>
      <vt:lpstr>'Trade Sheet'!Is_ARM</vt:lpstr>
      <vt:lpstr>'Trade Sheet'!Is_Fixed</vt:lpstr>
      <vt:lpstr>'Trade Sheet'!Is_SARM</vt:lpstr>
      <vt:lpstr>IsCashOutRefinance</vt:lpstr>
      <vt:lpstr>IsFannieStrongOrSelectEligibleMkt</vt:lpstr>
      <vt:lpstr>KickoffMemo_PrintArea</vt:lpstr>
      <vt:lpstr>LastPricingUpdateTimestamp</vt:lpstr>
      <vt:lpstr>LCK_EXP_DT</vt:lpstr>
      <vt:lpstr>LCK_TRM</vt:lpstr>
      <vt:lpstr>Lender_Name</vt:lpstr>
      <vt:lpstr>LenderCommitments</vt:lpstr>
      <vt:lpstr>LenderExposure</vt:lpstr>
      <vt:lpstr>LenderOutstandingBalances</vt:lpstr>
      <vt:lpstr>LN_PRPS</vt:lpstr>
      <vt:lpstr>LNDR_CMTS</vt:lpstr>
      <vt:lpstr>LNDR_NM</vt:lpstr>
      <vt:lpstr>Loan_Execution_Type</vt:lpstr>
      <vt:lpstr>Loan_Option_Accepted</vt:lpstr>
      <vt:lpstr>Loan_Program_Accepted</vt:lpstr>
      <vt:lpstr>Loan_Purpose</vt:lpstr>
      <vt:lpstr>Loan_Term_Type</vt:lpstr>
      <vt:lpstr>Loan_to_Cost</vt:lpstr>
      <vt:lpstr>LoanAmount</vt:lpstr>
      <vt:lpstr>LoanAmount2</vt:lpstr>
      <vt:lpstr>LoanAmount3</vt:lpstr>
      <vt:lpstr>LossSharing_DataPageTab</vt:lpstr>
      <vt:lpstr>LossSharing2</vt:lpstr>
      <vt:lpstr>LossSharing3</vt:lpstr>
      <vt:lpstr>LTV</vt:lpstr>
      <vt:lpstr>MAH_TYP</vt:lpstr>
      <vt:lpstr>MAH_UNDR_50</vt:lpstr>
      <vt:lpstr>MAH_UNDR_60</vt:lpstr>
      <vt:lpstr>MAH_UNDR_80</vt:lpstr>
      <vt:lpstr>MAH_UNTS</vt:lpstr>
      <vt:lpstr>Management_Company</vt:lpstr>
      <vt:lpstr>Mapping_DataPageData</vt:lpstr>
      <vt:lpstr>Mapping_DataPageData_Endpoint</vt:lpstr>
      <vt:lpstr>Mapping_SBLQuotesDefaultValues</vt:lpstr>
      <vt:lpstr>Mapping_TradeSheetData</vt:lpstr>
      <vt:lpstr>Mapping_TradeSheetData_Endpoint</vt:lpstr>
      <vt:lpstr>MAX_PMT_DSCR</vt:lpstr>
      <vt:lpstr>MEZZ_DSCR</vt:lpstr>
      <vt:lpstr>MEZZ_LN_ACQ_UPB</vt:lpstr>
      <vt:lpstr>MEZZ_LN_MO_PMT</vt:lpstr>
      <vt:lpstr>MIN_HRDL_DSCR</vt:lpstr>
      <vt:lpstr>Min_Tier</vt:lpstr>
      <vt:lpstr>Min_Tier2</vt:lpstr>
      <vt:lpstr>Min_Tier3</vt:lpstr>
      <vt:lpstr>MSA</vt:lpstr>
      <vt:lpstr>MSA_DataPageTab</vt:lpstr>
      <vt:lpstr>MSA_Type</vt:lpstr>
      <vt:lpstr>NewLoanTestCheck</vt:lpstr>
      <vt:lpstr>NL_1BdPerc</vt:lpstr>
      <vt:lpstr>NL_1BdSF</vt:lpstr>
      <vt:lpstr>NL_1BdUnits</vt:lpstr>
      <vt:lpstr>NL_1YearBack</vt:lpstr>
      <vt:lpstr>NL_1YearBackAdmin</vt:lpstr>
      <vt:lpstr>NL_1YearBackBadDebt</vt:lpstr>
      <vt:lpstr>NL_1YearBackConc</vt:lpstr>
      <vt:lpstr>NL_1YearBackEGI</vt:lpstr>
      <vt:lpstr>NL_1YearBackExpenses</vt:lpstr>
      <vt:lpstr>NL_1YearBackGPR</vt:lpstr>
      <vt:lpstr>NL_1YearBackInsurance</vt:lpstr>
      <vt:lpstr>NL_1YearBackMaint</vt:lpstr>
      <vt:lpstr>NL_1YearBackMgmt</vt:lpstr>
      <vt:lpstr>NL_1YearBackNRI</vt:lpstr>
      <vt:lpstr>NL_1YearBackOtherGround</vt:lpstr>
      <vt:lpstr>NL_1YearBackPayroll</vt:lpstr>
      <vt:lpstr>NL_1YearBackReserves</vt:lpstr>
      <vt:lpstr>NL_1YearBackRET</vt:lpstr>
      <vt:lpstr>NL_1YearBackSeniors</vt:lpstr>
      <vt:lpstr>NL_1YearBackUtilities</vt:lpstr>
      <vt:lpstr>NL_1YearBackVac</vt:lpstr>
      <vt:lpstr>NL_1YearBackWS</vt:lpstr>
      <vt:lpstr>NL_2Bd1BaPerc</vt:lpstr>
      <vt:lpstr>NL_2Bd1BaSF</vt:lpstr>
      <vt:lpstr>NL_2Bd1BaUnits</vt:lpstr>
      <vt:lpstr>NL_2Bd2BaPerc</vt:lpstr>
      <vt:lpstr>NL_2Bd2BaSF</vt:lpstr>
      <vt:lpstr>NL_2Bd2BaUnits</vt:lpstr>
      <vt:lpstr>NL_2to1EGIChange</vt:lpstr>
      <vt:lpstr>NL_2to1ExpenseChange</vt:lpstr>
      <vt:lpstr>NL_2to1GPRChange</vt:lpstr>
      <vt:lpstr>NL_2to1NRIChange</vt:lpstr>
      <vt:lpstr>NL_2YearBack</vt:lpstr>
      <vt:lpstr>NL_2YearBackAdmin</vt:lpstr>
      <vt:lpstr>NL_2YearBackBadDebt</vt:lpstr>
      <vt:lpstr>NL_2YearBackConc</vt:lpstr>
      <vt:lpstr>NL_2YearBackEGI</vt:lpstr>
      <vt:lpstr>NL_2YearBackExpenses</vt:lpstr>
      <vt:lpstr>NL_2YearBackGPR</vt:lpstr>
      <vt:lpstr>NL_2YearBackInsurance</vt:lpstr>
      <vt:lpstr>NL_2YearBackMaint</vt:lpstr>
      <vt:lpstr>NL_2YearBackMgmt</vt:lpstr>
      <vt:lpstr>NL_2YearBackNRI</vt:lpstr>
      <vt:lpstr>NL_2YearBackOtherGround</vt:lpstr>
      <vt:lpstr>NL_2YearBackPayroll</vt:lpstr>
      <vt:lpstr>NL_2YearBackReserves</vt:lpstr>
      <vt:lpstr>NL_2YearBackRET</vt:lpstr>
      <vt:lpstr>NL_2YearBackSeniors</vt:lpstr>
      <vt:lpstr>NL_2YearBackUtilities</vt:lpstr>
      <vt:lpstr>NL_2YearBackVac</vt:lpstr>
      <vt:lpstr>NL_2YearBackWS</vt:lpstr>
      <vt:lpstr>NL_3BdPerc</vt:lpstr>
      <vt:lpstr>NL_3BdSF</vt:lpstr>
      <vt:lpstr>NL_3BdUnits</vt:lpstr>
      <vt:lpstr>NL_4BdPerc</vt:lpstr>
      <vt:lpstr>NL_4BdSF</vt:lpstr>
      <vt:lpstr>NL_4BdUnits</vt:lpstr>
      <vt:lpstr>NL_50PercAMI</vt:lpstr>
      <vt:lpstr>NL_80PercAMI</vt:lpstr>
      <vt:lpstr>NL_ActualDSCRatFloor</vt:lpstr>
      <vt:lpstr>NL_ActualDSCRatNote</vt:lpstr>
      <vt:lpstr>NL_ActualDSCRatPayRate</vt:lpstr>
      <vt:lpstr>NL_ActualDSCRatStressRate</vt:lpstr>
      <vt:lpstr>NL_Address</vt:lpstr>
      <vt:lpstr>NL_AECapatRefi</vt:lpstr>
      <vt:lpstr>NL_AECapatRefiLTV</vt:lpstr>
      <vt:lpstr>NL_AEDSCRatRefi</vt:lpstr>
      <vt:lpstr>NL_AELTVatRefi</vt:lpstr>
      <vt:lpstr>NL_AELTVatRefiTCR</vt:lpstr>
      <vt:lpstr>NL_AENOIGrowth</vt:lpstr>
      <vt:lpstr>NL_AERateatRefi</vt:lpstr>
      <vt:lpstr>NL_AEStressedRateatRefi</vt:lpstr>
      <vt:lpstr>NL_Amort</vt:lpstr>
      <vt:lpstr>NL_Amort2</vt:lpstr>
      <vt:lpstr>NL_Amort3</vt:lpstr>
      <vt:lpstr>NL_AppOcc</vt:lpstr>
      <vt:lpstr>NL_Appraisal</vt:lpstr>
      <vt:lpstr>NL_AppraisalAdmin</vt:lpstr>
      <vt:lpstr>NL_AppraisalBadDebt</vt:lpstr>
      <vt:lpstr>NL_AppraisalCompany</vt:lpstr>
      <vt:lpstr>NL_AppraisalConc</vt:lpstr>
      <vt:lpstr>NL_AppraisalDate</vt:lpstr>
      <vt:lpstr>NL_AppraisalEGI</vt:lpstr>
      <vt:lpstr>NL_AppraisalExpenses</vt:lpstr>
      <vt:lpstr>NL_AppraisalGPR</vt:lpstr>
      <vt:lpstr>NL_AppraisalInsurance</vt:lpstr>
      <vt:lpstr>NL_AppraisalMaint</vt:lpstr>
      <vt:lpstr>NL_AppraisalMgmt</vt:lpstr>
      <vt:lpstr>NL_AppraisalNRI</vt:lpstr>
      <vt:lpstr>NL_AppraisalOtherGround</vt:lpstr>
      <vt:lpstr>NL_AppraisalPayroll</vt:lpstr>
      <vt:lpstr>NL_AppraisalReserves</vt:lpstr>
      <vt:lpstr>NL_AppraisalRET</vt:lpstr>
      <vt:lpstr>NL_AppraisalSeniors</vt:lpstr>
      <vt:lpstr>NL_AppraisalUtilities</vt:lpstr>
      <vt:lpstr>NL_AppraisalVac</vt:lpstr>
      <vt:lpstr>NL_AppraisalWS</vt:lpstr>
      <vt:lpstr>NL_AppraisedValue</vt:lpstr>
      <vt:lpstr>NL_AppraisedValuePerUnit</vt:lpstr>
      <vt:lpstr>NL_ApprOccupancy</vt:lpstr>
      <vt:lpstr>NL_ApprTotalRent</vt:lpstr>
      <vt:lpstr>NL_ApprTotalRentPerSF</vt:lpstr>
      <vt:lpstr>NL_ApprType1Rent</vt:lpstr>
      <vt:lpstr>NL_ApprType1RentPerSF</vt:lpstr>
      <vt:lpstr>NL_ApprType2Rent</vt:lpstr>
      <vt:lpstr>NL_ApprType2RentPerSF</vt:lpstr>
      <vt:lpstr>NL_ApprType3Rent</vt:lpstr>
      <vt:lpstr>NL_ApprType3RentPerSF</vt:lpstr>
      <vt:lpstr>NL_ApprType4Rent</vt:lpstr>
      <vt:lpstr>NL_ApprType4RentPerSF</vt:lpstr>
      <vt:lpstr>NL_ApprType5Rent</vt:lpstr>
      <vt:lpstr>NL_ApprType5RentPerSF</vt:lpstr>
      <vt:lpstr>NL_ApprType6Rent</vt:lpstr>
      <vt:lpstr>NL_ApprType6RentPerSF</vt:lpstr>
      <vt:lpstr>NL_ApprType7Rent</vt:lpstr>
      <vt:lpstr>NL_ApprType7RentPerSF</vt:lpstr>
      <vt:lpstr>NL_AvgSF</vt:lpstr>
      <vt:lpstr>NL_AvgSF2</vt:lpstr>
      <vt:lpstr>NL_BECapatRefi</vt:lpstr>
      <vt:lpstr>NL_BECapatRefiLTV</vt:lpstr>
      <vt:lpstr>NL_BEDSCRatRefi</vt:lpstr>
      <vt:lpstr>NL_BELTVatRefi</vt:lpstr>
      <vt:lpstr>NL_BELTVatRefiTCR</vt:lpstr>
      <vt:lpstr>NL_BENOIGrowth</vt:lpstr>
      <vt:lpstr>NL_BERateatRefi</vt:lpstr>
      <vt:lpstr>NL_BEStressedRateatRefi</vt:lpstr>
      <vt:lpstr>NL_BorrowerCredit</vt:lpstr>
      <vt:lpstr>NL_BorrowerSA</vt:lpstr>
      <vt:lpstr>NL_Budget</vt:lpstr>
      <vt:lpstr>NL_BudgetAdmin</vt:lpstr>
      <vt:lpstr>NL_BudgetBadDebt</vt:lpstr>
      <vt:lpstr>NL_BudgetConc</vt:lpstr>
      <vt:lpstr>NL_BudgetEGI</vt:lpstr>
      <vt:lpstr>NL_BudgetExpenses</vt:lpstr>
      <vt:lpstr>NL_BudgetGPR</vt:lpstr>
      <vt:lpstr>NL_BudgetInsurance</vt:lpstr>
      <vt:lpstr>NL_BudgetMaint</vt:lpstr>
      <vt:lpstr>NL_BudgetMgmt</vt:lpstr>
      <vt:lpstr>NL_BudgetNRI</vt:lpstr>
      <vt:lpstr>NL_BudgetOtherGround</vt:lpstr>
      <vt:lpstr>NL_BudgetPayroll</vt:lpstr>
      <vt:lpstr>NL_BudgetReserves</vt:lpstr>
      <vt:lpstr>NL_BudgetRET</vt:lpstr>
      <vt:lpstr>NL_BudgetSeniors</vt:lpstr>
      <vt:lpstr>NL_BudgetUtilities</vt:lpstr>
      <vt:lpstr>NL_BudgetVac</vt:lpstr>
      <vt:lpstr>NL_BudgetWS</vt:lpstr>
      <vt:lpstr>NL_BuildingType</vt:lpstr>
      <vt:lpstr>NL_CapRate</vt:lpstr>
      <vt:lpstr>NL_Carveouts</vt:lpstr>
      <vt:lpstr>NL_CashINNeutralOutDescr</vt:lpstr>
      <vt:lpstr>NL_CashINNeutralOutDollars</vt:lpstr>
      <vt:lpstr>NL_CashToBorrower</vt:lpstr>
      <vt:lpstr>NL_CityandState1</vt:lpstr>
      <vt:lpstr>NL_CityandState2</vt:lpstr>
      <vt:lpstr>NL_ClosingCosts</vt:lpstr>
      <vt:lpstr>NL_CombinedLiquid</vt:lpstr>
      <vt:lpstr>NL_CombinedLiquidPerc</vt:lpstr>
      <vt:lpstr>NL_CombinedNW</vt:lpstr>
      <vt:lpstr>NL_CombinedNWPerc</vt:lpstr>
      <vt:lpstr>NL_CommercialPerc</vt:lpstr>
      <vt:lpstr>NL_CommercialSF</vt:lpstr>
      <vt:lpstr>NL_Commitments</vt:lpstr>
      <vt:lpstr>NL_CompOcc</vt:lpstr>
      <vt:lpstr>NL_CompsAdmin</vt:lpstr>
      <vt:lpstr>NL_CompsEGI</vt:lpstr>
      <vt:lpstr>NL_CompsExpenses</vt:lpstr>
      <vt:lpstr>NL_CompsInsurance</vt:lpstr>
      <vt:lpstr>NL_CompsMaint</vt:lpstr>
      <vt:lpstr>NL_CompsMgmt</vt:lpstr>
      <vt:lpstr>NL_CompsPayroll</vt:lpstr>
      <vt:lpstr>NL_CompsReserves</vt:lpstr>
      <vt:lpstr>NL_CompsRET</vt:lpstr>
      <vt:lpstr>NL_CompsUtilities</vt:lpstr>
      <vt:lpstr>NL_CompsWS</vt:lpstr>
      <vt:lpstr>NL_Date</vt:lpstr>
      <vt:lpstr>NL_DateofEnv</vt:lpstr>
      <vt:lpstr>NL_DateofPCA</vt:lpstr>
      <vt:lpstr>NL_DebtYield</vt:lpstr>
      <vt:lpstr>NL_DelegatedLevel</vt:lpstr>
      <vt:lpstr>NL_DUSLoan</vt:lpstr>
      <vt:lpstr>NL_EnvCompany</vt:lpstr>
      <vt:lpstr>NL_EnvCompany2</vt:lpstr>
      <vt:lpstr>NL_EnvCompany3</vt:lpstr>
      <vt:lpstr>NL_EnvCompany4</vt:lpstr>
      <vt:lpstr>NL_EscrowDescription</vt:lpstr>
      <vt:lpstr>NL_EscrowedRepairs</vt:lpstr>
      <vt:lpstr>NL_ExistFinORMezz</vt:lpstr>
      <vt:lpstr>NL_Exposure</vt:lpstr>
      <vt:lpstr>NL_FixedPrincPayment</vt:lpstr>
      <vt:lpstr>NL_FloorRate</vt:lpstr>
      <vt:lpstr>NL_FNMLargeLoanFee</vt:lpstr>
      <vt:lpstr>NL_GFee</vt:lpstr>
      <vt:lpstr>NL_InitialDeposit</vt:lpstr>
      <vt:lpstr>NL_InsuranceWaived</vt:lpstr>
      <vt:lpstr>NL_IODSCRatFloor</vt:lpstr>
      <vt:lpstr>NL_IODSCRatNote</vt:lpstr>
      <vt:lpstr>NL_IODSCRatPayRate</vt:lpstr>
      <vt:lpstr>NL_IODSCRatStressRate</vt:lpstr>
      <vt:lpstr>NL_IOTerm</vt:lpstr>
      <vt:lpstr>NL_IOTerm2</vt:lpstr>
      <vt:lpstr>NL_IOTerm3</vt:lpstr>
      <vt:lpstr>NL_IOType</vt:lpstr>
      <vt:lpstr>NL_KPCashFlow1</vt:lpstr>
      <vt:lpstr>NL_KPCashFlow2</vt:lpstr>
      <vt:lpstr>NL_KPCashFlow3</vt:lpstr>
      <vt:lpstr>NL_KPCashFlow4</vt:lpstr>
      <vt:lpstr>NL_KPCashFlow5</vt:lpstr>
      <vt:lpstr>NL_KPCashFlow6</vt:lpstr>
      <vt:lpstr>NL_KPCashFlow7</vt:lpstr>
      <vt:lpstr>NL_KPCashFlow8</vt:lpstr>
      <vt:lpstr>NL_KPCreditAccepable1</vt:lpstr>
      <vt:lpstr>NL_KPCreditAccepable2</vt:lpstr>
      <vt:lpstr>NL_KPCreditAccepable3</vt:lpstr>
      <vt:lpstr>NL_KPCreditAccepable4</vt:lpstr>
      <vt:lpstr>NL_KPCreditAccepable5</vt:lpstr>
      <vt:lpstr>NL_KPCreditAccepable6</vt:lpstr>
      <vt:lpstr>NL_KPCreditAccepable7</vt:lpstr>
      <vt:lpstr>NL_KPCreditAccepable8</vt:lpstr>
      <vt:lpstr>NL_KPGuarantor1</vt:lpstr>
      <vt:lpstr>NL_KPGuarantor2</vt:lpstr>
      <vt:lpstr>NL_KPGuarantor3</vt:lpstr>
      <vt:lpstr>NL_KPGuarantor4</vt:lpstr>
      <vt:lpstr>NL_KPGuarantor5</vt:lpstr>
      <vt:lpstr>NL_KPGuarantor6</vt:lpstr>
      <vt:lpstr>NL_KPGuarantor7</vt:lpstr>
      <vt:lpstr>NL_KPGuarantor8</vt:lpstr>
      <vt:lpstr>NL_KPLiquidity1</vt:lpstr>
      <vt:lpstr>NL_KPLiquidity2</vt:lpstr>
      <vt:lpstr>NL_KPLiquidity3</vt:lpstr>
      <vt:lpstr>NL_KPLiquidity4</vt:lpstr>
      <vt:lpstr>NL_KPLiquidity5</vt:lpstr>
      <vt:lpstr>NL_KPLiquidity6</vt:lpstr>
      <vt:lpstr>NL_KPLiquidity7</vt:lpstr>
      <vt:lpstr>NL_KPLiquidity8</vt:lpstr>
      <vt:lpstr>NL_KPMFDSCR1</vt:lpstr>
      <vt:lpstr>NL_KPMFDSCR2</vt:lpstr>
      <vt:lpstr>NL_KPMFDSCR3</vt:lpstr>
      <vt:lpstr>NL_KPMFDSCR4</vt:lpstr>
      <vt:lpstr>NL_KPMFDSCR5</vt:lpstr>
      <vt:lpstr>NL_KPMFDSCR6</vt:lpstr>
      <vt:lpstr>NL_KPMFDSCR7</vt:lpstr>
      <vt:lpstr>NL_KPMFDSCR8</vt:lpstr>
      <vt:lpstr>NL_KPMFLTV1</vt:lpstr>
      <vt:lpstr>NL_KPMFLTV2</vt:lpstr>
      <vt:lpstr>NL_KPMFLTV3</vt:lpstr>
      <vt:lpstr>NL_KPMFLTV4</vt:lpstr>
      <vt:lpstr>NL_KPMFLTV5</vt:lpstr>
      <vt:lpstr>NL_KPMFLTV6</vt:lpstr>
      <vt:lpstr>NL_KPMFLTV7</vt:lpstr>
      <vt:lpstr>NL_KPMFLTV8</vt:lpstr>
      <vt:lpstr>NL_KPName1</vt:lpstr>
      <vt:lpstr>NL_KPName2</vt:lpstr>
      <vt:lpstr>NL_KPName3</vt:lpstr>
      <vt:lpstr>NL_KPName4</vt:lpstr>
      <vt:lpstr>NL_KPName5</vt:lpstr>
      <vt:lpstr>NL_KPName6</vt:lpstr>
      <vt:lpstr>NL_KPName7</vt:lpstr>
      <vt:lpstr>NL_KPName8</vt:lpstr>
      <vt:lpstr>NL_KPNW1</vt:lpstr>
      <vt:lpstr>NL_KPNW2</vt:lpstr>
      <vt:lpstr>NL_KPNW3</vt:lpstr>
      <vt:lpstr>NL_KPNW4</vt:lpstr>
      <vt:lpstr>NL_KPNW5</vt:lpstr>
      <vt:lpstr>NL_KPNW6</vt:lpstr>
      <vt:lpstr>NL_KPNW7</vt:lpstr>
      <vt:lpstr>NL_KPNW8</vt:lpstr>
      <vt:lpstr>NL_KPOverallDSCR1</vt:lpstr>
      <vt:lpstr>NL_KPOverallDSCR2</vt:lpstr>
      <vt:lpstr>NL_KPOverallDSCR3</vt:lpstr>
      <vt:lpstr>NL_KPOverallDSCR4</vt:lpstr>
      <vt:lpstr>NL_KPOverallDSCR5</vt:lpstr>
      <vt:lpstr>NL_KPOverallDSCR6</vt:lpstr>
      <vt:lpstr>NL_KPOverallDSCR7</vt:lpstr>
      <vt:lpstr>NL_KPOverallDSCR8</vt:lpstr>
      <vt:lpstr>NL_KPOverallLTV1</vt:lpstr>
      <vt:lpstr>NL_KPOverallLTV2</vt:lpstr>
      <vt:lpstr>NL_KPOverallLTV3</vt:lpstr>
      <vt:lpstr>NL_KPOverallLTV4</vt:lpstr>
      <vt:lpstr>NL_KPOverallLTV5</vt:lpstr>
      <vt:lpstr>NL_KPOverallLTV6</vt:lpstr>
      <vt:lpstr>NL_KPOverallLTV7</vt:lpstr>
      <vt:lpstr>NL_KPOverallLTV8</vt:lpstr>
      <vt:lpstr>NL_KPTitle1</vt:lpstr>
      <vt:lpstr>NL_KPTitle2</vt:lpstr>
      <vt:lpstr>NL_KPTitle3</vt:lpstr>
      <vt:lpstr>NL_KPTitle4</vt:lpstr>
      <vt:lpstr>NL_KPTitle5</vt:lpstr>
      <vt:lpstr>NL_KPTitle6</vt:lpstr>
      <vt:lpstr>NL_KPTitle7</vt:lpstr>
      <vt:lpstr>NL_KPTitle8</vt:lpstr>
      <vt:lpstr>NL_KPTYrExp1</vt:lpstr>
      <vt:lpstr>NL_KPTYrExp2</vt:lpstr>
      <vt:lpstr>NL_KPTYrExp3</vt:lpstr>
      <vt:lpstr>NL_KPTYrExp4</vt:lpstr>
      <vt:lpstr>NL_KPTYrExp5</vt:lpstr>
      <vt:lpstr>NL_KPTYrExp6</vt:lpstr>
      <vt:lpstr>NL_KPTYrExp7</vt:lpstr>
      <vt:lpstr>NL_KPTYrExp8</vt:lpstr>
      <vt:lpstr>NL_LoanAmount</vt:lpstr>
      <vt:lpstr>NL_LoanPerUnit</vt:lpstr>
      <vt:lpstr>NL_LTC</vt:lpstr>
      <vt:lpstr>NL_MAHType</vt:lpstr>
      <vt:lpstr>NL_MaxLTV</vt:lpstr>
      <vt:lpstr>NL_MaxLTV2</vt:lpstr>
      <vt:lpstr>NL_MaxLTV3</vt:lpstr>
      <vt:lpstr>NL_MaxRate</vt:lpstr>
      <vt:lpstr>NL_MgmtCompany</vt:lpstr>
      <vt:lpstr>NL_MgmtCompany2</vt:lpstr>
      <vt:lpstr>NL_MinDSCRatFloor</vt:lpstr>
      <vt:lpstr>NL_MinDSCRatNote</vt:lpstr>
      <vt:lpstr>NL_MinDSCRatPayRate</vt:lpstr>
      <vt:lpstr>NL_MinDSCRatStressRate</vt:lpstr>
      <vt:lpstr>NL_MSA1</vt:lpstr>
      <vt:lpstr>NL_MSA2</vt:lpstr>
      <vt:lpstr>NL_NoteRate</vt:lpstr>
      <vt:lpstr>NL_NRA</vt:lpstr>
      <vt:lpstr>NL_NumberOfBuildings</vt:lpstr>
      <vt:lpstr>NL_NumberOfUnits</vt:lpstr>
      <vt:lpstr>NL_OriginationFees</vt:lpstr>
      <vt:lpstr>NL_OriginationPerc</vt:lpstr>
      <vt:lpstr>NL_OriginationPerc2</vt:lpstr>
      <vt:lpstr>NL_OutstandingBalances</vt:lpstr>
      <vt:lpstr>NL_PCACompany</vt:lpstr>
      <vt:lpstr>NL_PD</vt:lpstr>
      <vt:lpstr>NL_PD_Delegation</vt:lpstr>
      <vt:lpstr>NL_PD_Exclusions</vt:lpstr>
      <vt:lpstr>NL_PD_LoanSize</vt:lpstr>
      <vt:lpstr>NL_PD_MaxLTV</vt:lpstr>
      <vt:lpstr>NL_PD_MinDSCR</vt:lpstr>
      <vt:lpstr>NL_PD_MinDY</vt:lpstr>
      <vt:lpstr>NL_PD_MinExit</vt:lpstr>
      <vt:lpstr>NL_PercExcludedFromCap</vt:lpstr>
      <vt:lpstr>NL_PrepaymentPeriod</vt:lpstr>
      <vt:lpstr>NL_PrepaymentType</vt:lpstr>
      <vt:lpstr>NL_PrepayPenalty</vt:lpstr>
      <vt:lpstr>NL_PrincipalCreditAccept</vt:lpstr>
      <vt:lpstr>NL_PrincipalNames</vt:lpstr>
      <vt:lpstr>NL_PropertyName1</vt:lpstr>
      <vt:lpstr>NL_PropertyName2</vt:lpstr>
      <vt:lpstr>NL_PropertyType</vt:lpstr>
      <vt:lpstr>NL_PropertyType2</vt:lpstr>
      <vt:lpstr>NL_RateLockType</vt:lpstr>
      <vt:lpstr>NL_RCOccupancy</vt:lpstr>
      <vt:lpstr>NL_RCTotalRent</vt:lpstr>
      <vt:lpstr>NL_RCTotalRentPerSF</vt:lpstr>
      <vt:lpstr>NL_RCType1</vt:lpstr>
      <vt:lpstr>NL_RCType1Rent</vt:lpstr>
      <vt:lpstr>NL_RCType1RentPerSF</vt:lpstr>
      <vt:lpstr>NL_RCType1SF</vt:lpstr>
      <vt:lpstr>NL_RCType2</vt:lpstr>
      <vt:lpstr>NL_RCType2Rent</vt:lpstr>
      <vt:lpstr>NL_RCType2RentPerSF</vt:lpstr>
      <vt:lpstr>NL_RCType2SF</vt:lpstr>
      <vt:lpstr>NL_RCType3</vt:lpstr>
      <vt:lpstr>NL_RCType3Rent</vt:lpstr>
      <vt:lpstr>NL_RCType3RentPerSF</vt:lpstr>
      <vt:lpstr>NL_RCType3SF</vt:lpstr>
      <vt:lpstr>NL_RCType4</vt:lpstr>
      <vt:lpstr>NL_RCType4Rent</vt:lpstr>
      <vt:lpstr>NL_RCType4RentPerSF</vt:lpstr>
      <vt:lpstr>NL_RCType4SF</vt:lpstr>
      <vt:lpstr>NL_RCType5</vt:lpstr>
      <vt:lpstr>NL_RCType5Rent</vt:lpstr>
      <vt:lpstr>NL_RCType5RentPerSF</vt:lpstr>
      <vt:lpstr>NL_RCType5SF</vt:lpstr>
      <vt:lpstr>NL_RCType6</vt:lpstr>
      <vt:lpstr>NL_RCType6Rent</vt:lpstr>
      <vt:lpstr>NL_RCType6RentPerSF</vt:lpstr>
      <vt:lpstr>NL_RCType6SF</vt:lpstr>
      <vt:lpstr>NL_RCType7</vt:lpstr>
      <vt:lpstr>NL_RCType7Rent</vt:lpstr>
      <vt:lpstr>NL_RCType7RentPerSF</vt:lpstr>
      <vt:lpstr>NL_RCType7SF</vt:lpstr>
      <vt:lpstr>NL_RefiOrPurchase</vt:lpstr>
      <vt:lpstr>NL_RehabEscrow</vt:lpstr>
      <vt:lpstr>NL_RepairsWaived</vt:lpstr>
      <vt:lpstr>NL_Reserves</vt:lpstr>
      <vt:lpstr>NL_ReservesWaived</vt:lpstr>
      <vt:lpstr>NL_SFee</vt:lpstr>
      <vt:lpstr>NL_Sponsor</vt:lpstr>
      <vt:lpstr>NL_SponsorRating</vt:lpstr>
      <vt:lpstr>NL_SponsorRating2</vt:lpstr>
      <vt:lpstr>NL_StrikeAmort</vt:lpstr>
      <vt:lpstr>NL_StrikeIO</vt:lpstr>
      <vt:lpstr>NL_StudioPerc</vt:lpstr>
      <vt:lpstr>NL_StudioSF</vt:lpstr>
      <vt:lpstr>NL_StudioUnits</vt:lpstr>
      <vt:lpstr>NL_SubjectOcc</vt:lpstr>
      <vt:lpstr>NL_SubjectOccupancy</vt:lpstr>
      <vt:lpstr>NL_SubjectTotalRent</vt:lpstr>
      <vt:lpstr>NL_SubjectTotalRentPerSF</vt:lpstr>
      <vt:lpstr>NL_SubjectType1Rent</vt:lpstr>
      <vt:lpstr>NL_SubjectType1RentPerSF</vt:lpstr>
      <vt:lpstr>NL_SubjectType2Rent</vt:lpstr>
      <vt:lpstr>NL_SubjectType2RentPerSF</vt:lpstr>
      <vt:lpstr>NL_SubjectType3Rent</vt:lpstr>
      <vt:lpstr>NL_SubjectType3RentPerSF</vt:lpstr>
      <vt:lpstr>NL_SubjectType4Rent</vt:lpstr>
      <vt:lpstr>NL_SubjectType4RentPerSF</vt:lpstr>
      <vt:lpstr>NL_SubjectType5Rent</vt:lpstr>
      <vt:lpstr>NL_SubjectType5RentPerSF</vt:lpstr>
      <vt:lpstr>NL_SubjectType6Rent</vt:lpstr>
      <vt:lpstr>NL_SubjectType6RentPerSF</vt:lpstr>
      <vt:lpstr>NL_SubjectType7Rent</vt:lpstr>
      <vt:lpstr>NL_SubjectType7RentPerSF</vt:lpstr>
      <vt:lpstr>NL_SubtotalSources</vt:lpstr>
      <vt:lpstr>NL_SubtotalUses</vt:lpstr>
      <vt:lpstr>NL_T1</vt:lpstr>
      <vt:lpstr>NL_T12</vt:lpstr>
      <vt:lpstr>NL_T3</vt:lpstr>
      <vt:lpstr>NL_T3PerUnit</vt:lpstr>
      <vt:lpstr>NL_T3vsT12</vt:lpstr>
      <vt:lpstr>NL_T3vsT6</vt:lpstr>
      <vt:lpstr>NL_T3vsUW</vt:lpstr>
      <vt:lpstr>NL_T6</vt:lpstr>
      <vt:lpstr>NL_TaxWaived</vt:lpstr>
      <vt:lpstr>NL_Term</vt:lpstr>
      <vt:lpstr>NL_Term2</vt:lpstr>
      <vt:lpstr>NL_Term3</vt:lpstr>
      <vt:lpstr>NL_Tier</vt:lpstr>
      <vt:lpstr>NL_TotalExposure</vt:lpstr>
      <vt:lpstr>NL_TotalUnits</vt:lpstr>
      <vt:lpstr>NL_TotalUnits2</vt:lpstr>
      <vt:lpstr>NL_Trailing</vt:lpstr>
      <vt:lpstr>NL_TrailingAdmin</vt:lpstr>
      <vt:lpstr>NL_TrailingBadDebt</vt:lpstr>
      <vt:lpstr>NL_TrailingConc</vt:lpstr>
      <vt:lpstr>NL_TrailingEGI</vt:lpstr>
      <vt:lpstr>NL_TrailingExpenses</vt:lpstr>
      <vt:lpstr>NL_TrailingGPR</vt:lpstr>
      <vt:lpstr>NL_TrailingInsurance</vt:lpstr>
      <vt:lpstr>NL_TrailingMaint</vt:lpstr>
      <vt:lpstr>NL_TrailingMgmt</vt:lpstr>
      <vt:lpstr>NL_TrailingNRI</vt:lpstr>
      <vt:lpstr>NL_TrailingOtherGround</vt:lpstr>
      <vt:lpstr>NL_TrailingPayroll</vt:lpstr>
      <vt:lpstr>NL_TrailingPeriodDescr</vt:lpstr>
      <vt:lpstr>NL_TrailingPeriodDescr2</vt:lpstr>
      <vt:lpstr>NL_TrailingReserves</vt:lpstr>
      <vt:lpstr>NL_TrailingRET</vt:lpstr>
      <vt:lpstr>NL_TrailingSeniors</vt:lpstr>
      <vt:lpstr>NL_TrailingStatementPeriod</vt:lpstr>
      <vt:lpstr>NL_TrailingUtilities</vt:lpstr>
      <vt:lpstr>NL_TrailingVac</vt:lpstr>
      <vt:lpstr>NL_TrailingWS</vt:lpstr>
      <vt:lpstr>NL_TransPurpose</vt:lpstr>
      <vt:lpstr>NL_TRto1EGIChange</vt:lpstr>
      <vt:lpstr>NL_TRto1ExpenseChange</vt:lpstr>
      <vt:lpstr>NL_TRto1GPRChange</vt:lpstr>
      <vt:lpstr>NL_TRto1NRIChange</vt:lpstr>
      <vt:lpstr>NL_TRtoUW</vt:lpstr>
      <vt:lpstr>NL_TRtoUWEGIChange</vt:lpstr>
      <vt:lpstr>NL_TRtoUWExpenseChange</vt:lpstr>
      <vt:lpstr>NL_TRtoUWGPRChange</vt:lpstr>
      <vt:lpstr>NL_TRtoUWNRIChange</vt:lpstr>
      <vt:lpstr>NL_UPBorPurchasePrice</vt:lpstr>
      <vt:lpstr>NL_UWAdmin</vt:lpstr>
      <vt:lpstr>NL_UWBadDebt</vt:lpstr>
      <vt:lpstr>NL_UWConc</vt:lpstr>
      <vt:lpstr>NL_UWEGI</vt:lpstr>
      <vt:lpstr>NL_UWExpenses</vt:lpstr>
      <vt:lpstr>NL_UWGPR</vt:lpstr>
      <vt:lpstr>NL_UWInsurance</vt:lpstr>
      <vt:lpstr>NL_UWLTV</vt:lpstr>
      <vt:lpstr>NL_UWLTV2</vt:lpstr>
      <vt:lpstr>NL_UWMaint</vt:lpstr>
      <vt:lpstr>NL_UWMgmt</vt:lpstr>
      <vt:lpstr>NL_UWNRI</vt:lpstr>
      <vt:lpstr>NL_UWNRI2</vt:lpstr>
      <vt:lpstr>NL_UWOtherGround</vt:lpstr>
      <vt:lpstr>NL_UWPayroll</vt:lpstr>
      <vt:lpstr>NL_UWRentRollDate</vt:lpstr>
      <vt:lpstr>NL_UWReserves</vt:lpstr>
      <vt:lpstr>NL_UWRET</vt:lpstr>
      <vt:lpstr>NL_UWSeniors</vt:lpstr>
      <vt:lpstr>NL_UWUtilities</vt:lpstr>
      <vt:lpstr>NL_UWVac</vt:lpstr>
      <vt:lpstr>NL_UWValue</vt:lpstr>
      <vt:lpstr>NL_UWValuePerUnit</vt:lpstr>
      <vt:lpstr>NL_UWWS</vt:lpstr>
      <vt:lpstr>NL_VariableCAP</vt:lpstr>
      <vt:lpstr>NL_VariableCushion</vt:lpstr>
      <vt:lpstr>NL_VariableGFee</vt:lpstr>
      <vt:lpstr>NL_VariableInvSpread</vt:lpstr>
      <vt:lpstr>NL_VariableLIBOR</vt:lpstr>
      <vt:lpstr>NL_VariablePayRate</vt:lpstr>
      <vt:lpstr>NL_VariableSFee</vt:lpstr>
      <vt:lpstr>NL_VariableStressRate</vt:lpstr>
      <vt:lpstr>NL_YrBuilt1</vt:lpstr>
      <vt:lpstr>NL_YrBuilt2</vt:lpstr>
      <vt:lpstr>NonGSELoanEmailList</vt:lpstr>
      <vt:lpstr>NonGSELoanEmailTbl</vt:lpstr>
      <vt:lpstr>NoteConstant</vt:lpstr>
      <vt:lpstr>NoteRate</vt:lpstr>
      <vt:lpstr>NRA</vt:lpstr>
      <vt:lpstr>NRI</vt:lpstr>
      <vt:lpstr>'NRI Analysis'!NRI_1YrBack</vt:lpstr>
      <vt:lpstr>'NRI Analysis'!NRI_2YrsBack</vt:lpstr>
      <vt:lpstr>'NRI Analysis'!NRI_3YrsBack</vt:lpstr>
      <vt:lpstr>'NRI Analysis'!NRI_Col_AddBackEmployee</vt:lpstr>
      <vt:lpstr>'NRI Analysis'!NRI_Col_AddBackModelOffice</vt:lpstr>
      <vt:lpstr>'NRI Analysis'!NRI_Col_BadDebt</vt:lpstr>
      <vt:lpstr>'NRI Analysis'!NRI_Col_BadDebtAsPcntOfGPR</vt:lpstr>
      <vt:lpstr>'NRI Analysis'!NRI_Col_Concessions</vt:lpstr>
      <vt:lpstr>'NRI Analysis'!NRI_Col_ConcessionsAsPcntOfGPR</vt:lpstr>
      <vt:lpstr>'NRI Analysis'!NRI_Col_EconomicOccupancy</vt:lpstr>
      <vt:lpstr>'NRI Analysis'!NRI_Col_Month</vt:lpstr>
      <vt:lpstr>'NRI Analysis'!NRI_Col_NetRentalCollections</vt:lpstr>
      <vt:lpstr>'NRI Analysis'!NRI_Col_ReportGPR</vt:lpstr>
      <vt:lpstr>'NRI Analysis'!NRI_Col_TotalGPR</vt:lpstr>
      <vt:lpstr>'NRI Analysis'!NRI_Col_Vacancy</vt:lpstr>
      <vt:lpstr>'NRI Analysis'!NRI_Col_VacancyAsPcntOfGPR</vt:lpstr>
      <vt:lpstr>NRI_CurrentYear_NRI</vt:lpstr>
      <vt:lpstr>'NRI Analysis'!NRI_CurrentYr</vt:lpstr>
      <vt:lpstr>'NRI Analysis'!NRI_MonthlyData_1YrBack</vt:lpstr>
      <vt:lpstr>'NRI Analysis'!NRI_MonthlyData_2YrsBack</vt:lpstr>
      <vt:lpstr>'NRI Analysis'!NRI_MonthlyData_3YrsBack</vt:lpstr>
      <vt:lpstr>'NRI Analysis'!NRI_MonthlyData_CurrentYr</vt:lpstr>
      <vt:lpstr>number_units</vt:lpstr>
      <vt:lpstr>NumOfBldg_DataPageTab</vt:lpstr>
      <vt:lpstr>OP_STMT_FY</vt:lpstr>
      <vt:lpstr>OriginationFee_Broker</vt:lpstr>
      <vt:lpstr>OriginationFee_Lender</vt:lpstr>
      <vt:lpstr>OriginationPerc_Broker</vt:lpstr>
      <vt:lpstr>OriginationPerc_Lender</vt:lpstr>
      <vt:lpstr>Originator_Name</vt:lpstr>
      <vt:lpstr>OSAnalysis_InputData_1YrBack</vt:lpstr>
      <vt:lpstr>OSAnalysis_InputData_2YrBack</vt:lpstr>
      <vt:lpstr>OSAnalysis_InputData_3YrBack</vt:lpstr>
      <vt:lpstr>OSAnalysis_InputData_Appraisal</vt:lpstr>
      <vt:lpstr>OSAnalysis_InputData_Budget</vt:lpstr>
      <vt:lpstr>OSAnalysis_InputData_CurrentT12</vt:lpstr>
      <vt:lpstr>OSAnalysis_MostRecentMonth</vt:lpstr>
      <vt:lpstr>OSAnalysis_ViewScope</vt:lpstr>
      <vt:lpstr>OTR_ESCRW</vt:lpstr>
      <vt:lpstr>OTR_MAH_TYP</vt:lpstr>
      <vt:lpstr>ParticipantsEnd</vt:lpstr>
      <vt:lpstr>ParticipantsStart</vt:lpstr>
      <vt:lpstr>PHS1_UNTS</vt:lpstr>
      <vt:lpstr>PHS1_YR</vt:lpstr>
      <vt:lpstr>PHS2_UNTS</vt:lpstr>
      <vt:lpstr>PHS2_YR</vt:lpstr>
      <vt:lpstr>PHS3_UNTS</vt:lpstr>
      <vt:lpstr>PHS3_YR</vt:lpstr>
      <vt:lpstr>PHS4_UNTS</vt:lpstr>
      <vt:lpstr>PHS4_YR</vt:lpstr>
      <vt:lpstr>PHS5_UNTS</vt:lpstr>
      <vt:lpstr>PHS5_YR</vt:lpstr>
      <vt:lpstr>PHS6_UNTS</vt:lpstr>
      <vt:lpstr>PHS6_YR</vt:lpstr>
      <vt:lpstr>PHS7_UNTS</vt:lpstr>
      <vt:lpstr>PHS7_YR</vt:lpstr>
      <vt:lpstr>PL_NBR</vt:lpstr>
      <vt:lpstr>Premium_Minimum</vt:lpstr>
      <vt:lpstr>PremiumFee_Broker</vt:lpstr>
      <vt:lpstr>PremiumFee_Lender</vt:lpstr>
      <vt:lpstr>PremiumPerc_Broker</vt:lpstr>
      <vt:lpstr>PremiumPerc_Lender</vt:lpstr>
      <vt:lpstr>Principal_1</vt:lpstr>
      <vt:lpstr>Principal_10</vt:lpstr>
      <vt:lpstr>Principal_11</vt:lpstr>
      <vt:lpstr>Principal_12</vt:lpstr>
      <vt:lpstr>Principal_13</vt:lpstr>
      <vt:lpstr>Principal_14</vt:lpstr>
      <vt:lpstr>Principal_15</vt:lpstr>
      <vt:lpstr>Principal_2</vt:lpstr>
      <vt:lpstr>Principal_3</vt:lpstr>
      <vt:lpstr>Principal_4</vt:lpstr>
      <vt:lpstr>Principal_5</vt:lpstr>
      <vt:lpstr>Principal_6</vt:lpstr>
      <vt:lpstr>Principal_7</vt:lpstr>
      <vt:lpstr>Principal_8</vt:lpstr>
      <vt:lpstr>Principal_9</vt:lpstr>
      <vt:lpstr>'Bor-KP-Prin'!Print_Area</vt:lpstr>
      <vt:lpstr>'Data Page'!Print_Area</vt:lpstr>
      <vt:lpstr>'Engineering schedule'!Print_Area</vt:lpstr>
      <vt:lpstr>'Expense Comps.'!Print_Area</vt:lpstr>
      <vt:lpstr>'Fannie Historical Ops'!Print_Area</vt:lpstr>
      <vt:lpstr>'FNM Loan Terms'!Print_Area</vt:lpstr>
      <vt:lpstr>'Form 4662'!Print_Area</vt:lpstr>
      <vt:lpstr>FRE_App!Print_Area</vt:lpstr>
      <vt:lpstr>'Kick-Off Memo'!Print_Area</vt:lpstr>
      <vt:lpstr>'NRI Analysis'!Print_Area</vt:lpstr>
      <vt:lpstr>Quote!Print_Area</vt:lpstr>
      <vt:lpstr>'Quote Letter'!Print_Area</vt:lpstr>
      <vt:lpstr>'Rent Comps'!Print_Area</vt:lpstr>
      <vt:lpstr>'Rent Roll'!Print_Area</vt:lpstr>
      <vt:lpstr>'Sales Comps'!Print_Area</vt:lpstr>
      <vt:lpstr>'SBL Quotes'!Print_Area</vt:lpstr>
      <vt:lpstr>'SREO 1'!Print_Area</vt:lpstr>
      <vt:lpstr>'SREO 2'!Print_Area</vt:lpstr>
      <vt:lpstr>'SREO 3'!Print_Area</vt:lpstr>
      <vt:lpstr>'SREO 4'!Print_Area</vt:lpstr>
      <vt:lpstr>'SREO 5'!Print_Area</vt:lpstr>
      <vt:lpstr>'SREO 6'!Print_Area</vt:lpstr>
      <vt:lpstr>'SREO 7'!Print_Area</vt:lpstr>
      <vt:lpstr>'SREO 8'!Print_Area</vt:lpstr>
      <vt:lpstr>'Summary OPS'!Print_Area</vt:lpstr>
      <vt:lpstr>'Trade Sheet'!Print_Area</vt:lpstr>
      <vt:lpstr>'Unit Mix'!Print_Area</vt:lpstr>
      <vt:lpstr>'Bor-KP-Prin'!Print_Titles</vt:lpstr>
      <vt:lpstr>'Kick-Off Memo'!Print_Titles</vt:lpstr>
      <vt:lpstr>'Rent Comps'!Print_Titles</vt:lpstr>
      <vt:lpstr>'Sales Comps'!Print_Titles</vt:lpstr>
      <vt:lpstr>'SREO 1'!Print_Titles</vt:lpstr>
      <vt:lpstr>'SREO 2'!Print_Titles</vt:lpstr>
      <vt:lpstr>producer_contact</vt:lpstr>
      <vt:lpstr>ProducerName</vt:lpstr>
      <vt:lpstr>PROP_NM</vt:lpstr>
      <vt:lpstr>PROP_TYP</vt:lpstr>
      <vt:lpstr>PropCap_PrepayOptions_5YrFixed</vt:lpstr>
      <vt:lpstr>PropCollEnd</vt:lpstr>
      <vt:lpstr>PropCollStart</vt:lpstr>
      <vt:lpstr>property_name</vt:lpstr>
      <vt:lpstr>Property_Type</vt:lpstr>
      <vt:lpstr>PropertyName_DataPageTab</vt:lpstr>
      <vt:lpstr>'Quote Letter'!QLtr_AllTables</vt:lpstr>
      <vt:lpstr>'Quote Letter'!QLtr_DataTable_FNM</vt:lpstr>
      <vt:lpstr>'Quote Letter'!QLtr_DataTable_FRE</vt:lpstr>
      <vt:lpstr>'Quote Letter'!QLtr_DataTable_WPL</vt:lpstr>
      <vt:lpstr>'Quote Letter'!QLtr_Footer</vt:lpstr>
      <vt:lpstr>'Quote Letter'!QLtr_Header_FNM</vt:lpstr>
      <vt:lpstr>'Quote Letter'!QLtr_Header_FRE</vt:lpstr>
      <vt:lpstr>'Quote Letter'!QLtr_Header_WPL</vt:lpstr>
      <vt:lpstr>'Quote Letter'!QLtr_NmbrOfColumnsToShow</vt:lpstr>
      <vt:lpstr>'Quote Letter'!QLtr_NmbrOfColumnsToShow_FNM</vt:lpstr>
      <vt:lpstr>'Quote Letter'!QLtr_NmbrOfColumnsToShow_FRE</vt:lpstr>
      <vt:lpstr>'Quote Letter'!QLtr_NmbrOfColumnsToShow_WPL</vt:lpstr>
      <vt:lpstr>'Quote Letter'!QLtr_Stipulations_FNM</vt:lpstr>
      <vt:lpstr>'Quote Letter'!QLtr_Stipulations_FRE</vt:lpstr>
      <vt:lpstr>'Quote Letter'!QLtr_Stipulations_WPL</vt:lpstr>
      <vt:lpstr>'Quote Letter'!QLtr_UW_NOI</vt:lpstr>
      <vt:lpstr>'Quote Letter'!QLtr_ValidThruDate</vt:lpstr>
      <vt:lpstr>Quotes_EffectiveDate</vt:lpstr>
      <vt:lpstr>Quotes_FannieLoanOptions</vt:lpstr>
      <vt:lpstr>Quotes_FreddieLoanOptions</vt:lpstr>
      <vt:lpstr>Quotes_LogoArea</vt:lpstr>
      <vt:lpstr>Quotes_ProprietaryCapitalLoanOptions</vt:lpstr>
      <vt:lpstr>Rate_Lock_Type</vt:lpstr>
      <vt:lpstr>'SBL Quotes'!region</vt:lpstr>
      <vt:lpstr>EnodoConfig!RegressTesting_ErrorCount_Test1</vt:lpstr>
      <vt:lpstr>EnodoConfig!RegressTesting_ErrorCount_Test2</vt:lpstr>
      <vt:lpstr>'Enodo Regression Testing'!RegressTesting_Tests</vt:lpstr>
      <vt:lpstr>'Enodo Regression Testing'!RegressTesting_TestSets</vt:lpstr>
      <vt:lpstr>RehabilitationEscrow</vt:lpstr>
      <vt:lpstr>rentCompHeader</vt:lpstr>
      <vt:lpstr>'Rent Comps'!RentComps_Comp01</vt:lpstr>
      <vt:lpstr>'Rent Comps'!RentComps_Comp02</vt:lpstr>
      <vt:lpstr>'Rent Comps'!RentComps_Comp03</vt:lpstr>
      <vt:lpstr>'Rent Comps'!RentComps_Comp04</vt:lpstr>
      <vt:lpstr>'Rent Comps'!RentComps_Comp05</vt:lpstr>
      <vt:lpstr>'Rent Comps'!RentComps_Comp06</vt:lpstr>
      <vt:lpstr>'Rent Comps'!RentComps_Comp07</vt:lpstr>
      <vt:lpstr>'Rent Comps'!RentComps_Comp08</vt:lpstr>
      <vt:lpstr>'Rent Comps'!RentComps_Comp09</vt:lpstr>
      <vt:lpstr>'Rent Comps'!RentComps_Comp10</vt:lpstr>
      <vt:lpstr>'Rent Comps'!RentComps_CompUnits_01</vt:lpstr>
      <vt:lpstr>'Rent Comps'!RentComps_CompUnits_02</vt:lpstr>
      <vt:lpstr>'Rent Comps'!RentComps_CompUnits_03</vt:lpstr>
      <vt:lpstr>'Rent Comps'!RentComps_CompUnits_04</vt:lpstr>
      <vt:lpstr>'Rent Comps'!RentComps_CompUnits_05</vt:lpstr>
      <vt:lpstr>'Rent Comps'!RentComps_CompUnits_06</vt:lpstr>
      <vt:lpstr>'Rent Comps'!RentComps_CompUnits_07</vt:lpstr>
      <vt:lpstr>'Rent Comps'!RentComps_CompUnits_08</vt:lpstr>
      <vt:lpstr>'Rent Comps'!RentComps_CompUnits_09</vt:lpstr>
      <vt:lpstr>'Rent Comps'!RentComps_CompUnits_10</vt:lpstr>
      <vt:lpstr>'Rent Comps'!RentComps_Count</vt:lpstr>
      <vt:lpstr>'Rent Comps'!RentComps_IncompleteCount</vt:lpstr>
      <vt:lpstr>RentRoll_FNM_AffordabilityData</vt:lpstr>
      <vt:lpstr>RentRoll_InputArea_Baths</vt:lpstr>
      <vt:lpstr>RentRoll_InputArea_Beds</vt:lpstr>
      <vt:lpstr>RentRoll_InputArea_DesignatedUnitType</vt:lpstr>
      <vt:lpstr>RentRoll_InputArea_MarketRent</vt:lpstr>
      <vt:lpstr>RentRoll_InputArea_SquareFootage</vt:lpstr>
      <vt:lpstr>RentRoll_NmbrOfUnitsWithoutMatchingUnitType</vt:lpstr>
      <vt:lpstr>RentRoll_NmbrOfUnitTypesWithoutMatchingUnits</vt:lpstr>
      <vt:lpstr>RentRoll_UnderWriterNotes</vt:lpstr>
      <vt:lpstr>RentRoll_Units_AllDataAndCalcs</vt:lpstr>
      <vt:lpstr>RentRoll_UnitTypeCount</vt:lpstr>
      <vt:lpstr>RentRoll_UnitTypes_AllDataAndCalcs</vt:lpstr>
      <vt:lpstr>'Rent Roll'!RentRoll_UnitTypes_Counts</vt:lpstr>
      <vt:lpstr>RentRollDate</vt:lpstr>
      <vt:lpstr>RentRollTotalUnits</vt:lpstr>
      <vt:lpstr>Requested_Actual_UW_DSCR</vt:lpstr>
      <vt:lpstr>Requested_Actual_UW_DSCR1</vt:lpstr>
      <vt:lpstr>Requested_Actual_UW_DSCR2</vt:lpstr>
      <vt:lpstr>Requested_Actual_UW_DSCR3</vt:lpstr>
      <vt:lpstr>Requested_Floor_UW_DSCR</vt:lpstr>
      <vt:lpstr>Requested_LTV</vt:lpstr>
      <vt:lpstr>Requested_Tier</vt:lpstr>
      <vt:lpstr>RequestedLoan</vt:lpstr>
      <vt:lpstr>RES_AREA</vt:lpstr>
      <vt:lpstr>RES_UNTS</vt:lpstr>
      <vt:lpstr>ResponseStatus</vt:lpstr>
      <vt:lpstr>rngRent_Range_Unit_by_Acuities</vt:lpstr>
      <vt:lpstr>RPR_TOT</vt:lpstr>
      <vt:lpstr>'Rent Roll'!RR_Col_BldgNmbr</vt:lpstr>
      <vt:lpstr>'Rent Roll'!RR_Col_Concession</vt:lpstr>
      <vt:lpstr>'Rent Roll'!RR_Col_ContractRent</vt:lpstr>
      <vt:lpstr>'Rent Roll'!RR_Col_EmpAllow</vt:lpstr>
      <vt:lpstr>'Rent Roll'!RR_Col_LeaseEnd</vt:lpstr>
      <vt:lpstr>'Rent Roll'!RR_Col_LeaseStart</vt:lpstr>
      <vt:lpstr>'Rent Roll'!RR_Col_MarketRent</vt:lpstr>
      <vt:lpstr>'Rent Roll'!RR_Col_ModelOffice</vt:lpstr>
      <vt:lpstr>'Rent Roll'!RR_Col_OccVac</vt:lpstr>
      <vt:lpstr>'Rent Roll'!RR_Col_RentAdj</vt:lpstr>
      <vt:lpstr>'Rent Roll'!RR_Col_Subsidy</vt:lpstr>
      <vt:lpstr>'Rent Roll'!RR_Col_Tenant</vt:lpstr>
      <vt:lpstr>'Rent Roll'!RR_Col_UnitNmbr</vt:lpstr>
      <vt:lpstr>'Rent Roll'!RR_Col_UnitType</vt:lpstr>
      <vt:lpstr>'Rent Roll'!RR_Col_UWRentAdj</vt:lpstr>
      <vt:lpstr>'Rent Roll'!RR_ShowMktRentColumn</vt:lpstr>
      <vt:lpstr>'Rent Roll'!RR_VacantUnitMktRentSource</vt:lpstr>
      <vt:lpstr>Sales_Approach</vt:lpstr>
      <vt:lpstr>SalesApproachPerUnit</vt:lpstr>
      <vt:lpstr>'Sales Comps'!SalesComps_Comp01</vt:lpstr>
      <vt:lpstr>'Sales Comps'!SalesComps_Comp02</vt:lpstr>
      <vt:lpstr>'Sales Comps'!SalesComps_Comp03</vt:lpstr>
      <vt:lpstr>'Sales Comps'!SalesComps_Comp04</vt:lpstr>
      <vt:lpstr>'Sales Comps'!SalesComps_Comp05</vt:lpstr>
      <vt:lpstr>'Sales Comps'!SalesComps_Comp06</vt:lpstr>
      <vt:lpstr>'Sales Comps'!SalesComps_Comp07</vt:lpstr>
      <vt:lpstr>'Sales Comps'!SalesComps_Comp08</vt:lpstr>
      <vt:lpstr>'Sales Comps'!SalesComps_Comp09</vt:lpstr>
      <vt:lpstr>'Sales Comps'!SalesComps_Comp10</vt:lpstr>
      <vt:lpstr>'Sales Comps'!SalesComps_Count</vt:lpstr>
      <vt:lpstr>'Sales Comps'!SalesComps_Data</vt:lpstr>
      <vt:lpstr>'Sales Comps'!SalesComps_IncompleteCount</vt:lpstr>
      <vt:lpstr>SARMCapCostFactor</vt:lpstr>
      <vt:lpstr>SARMCushion</vt:lpstr>
      <vt:lpstr>SARMGuarantyFee</vt:lpstr>
      <vt:lpstr>SARMInvestorSpread</vt:lpstr>
      <vt:lpstr>SARMPayConstant</vt:lpstr>
      <vt:lpstr>SARMPayRate</vt:lpstr>
      <vt:lpstr>SARMServicingFee</vt:lpstr>
      <vt:lpstr>SARMStressConstant</vt:lpstr>
      <vt:lpstr>SARMStressRate</vt:lpstr>
      <vt:lpstr>SBL_AdditionalAffordabilityDiscounts</vt:lpstr>
      <vt:lpstr>SBL_AffordabilityAdjustment</vt:lpstr>
      <vt:lpstr>SBL_BorrowerPriority</vt:lpstr>
      <vt:lpstr>SBL_BorrowerSections</vt:lpstr>
      <vt:lpstr>SBL_BuildingType</vt:lpstr>
      <vt:lpstr>SBL_CensusTractNmbr</vt:lpstr>
      <vt:lpstr>SBL_DatePriced</vt:lpstr>
      <vt:lpstr>SBL_DealPurpose</vt:lpstr>
      <vt:lpstr>SBL_DelegatedLevel</vt:lpstr>
      <vt:lpstr>SBL_EstCapRate</vt:lpstr>
      <vt:lpstr>SBL_FannieNOI</vt:lpstr>
      <vt:lpstr>SBL_FannieOptions</vt:lpstr>
      <vt:lpstr>SBL_FannieOptionsToView</vt:lpstr>
      <vt:lpstr>SBL_FRE_RegionalPricingGridRegionCode</vt:lpstr>
      <vt:lpstr>SBL_FRE_RegionalPricingGridTimestamp</vt:lpstr>
      <vt:lpstr>SBL_FreddieNOI</vt:lpstr>
      <vt:lpstr>SBL_FreddieOptions</vt:lpstr>
      <vt:lpstr>SBL_FreddieOptionsToView</vt:lpstr>
      <vt:lpstr>SBL_IsSelectedMarkers</vt:lpstr>
      <vt:lpstr>SBL_LatitudeLongitude</vt:lpstr>
      <vt:lpstr>SBL_LoanAmounts_Calcd</vt:lpstr>
      <vt:lpstr>SBL_LoanAmounts_ManualEntry</vt:lpstr>
      <vt:lpstr>SBL_LoanAmounts_Requested</vt:lpstr>
      <vt:lpstr>SBL_LoanAmounts_UnavailableAdjustment</vt:lpstr>
      <vt:lpstr>SBL_LoanAmounts_WarnIfDifferent</vt:lpstr>
      <vt:lpstr>SBL_LoanOptionNames</vt:lpstr>
      <vt:lpstr>SBL_MSA_Type</vt:lpstr>
      <vt:lpstr>SBL_PremiumBuyup</vt:lpstr>
      <vt:lpstr>SBL_PricingTbl_FNM_GS_6MM_Tier2</vt:lpstr>
      <vt:lpstr>SBL_PricingTbl_FNM_GS_6MM_Tier3</vt:lpstr>
      <vt:lpstr>SBL_PricingTbl_FNM_GS_6MM_Tier4</vt:lpstr>
      <vt:lpstr>SBL_PricingTbl_FNM_GS_9MM_Tier2</vt:lpstr>
      <vt:lpstr>SBL_PricingTbl_FNM_GS_9MM_Tier3</vt:lpstr>
      <vt:lpstr>SBL_PricingTbl_FNM_GS_9MM_Tier4</vt:lpstr>
      <vt:lpstr>SBL_PricingTbl_FNM_Term_Tier2</vt:lpstr>
      <vt:lpstr>SBL_PricingTbl_FNM_Term_Tier3</vt:lpstr>
      <vt:lpstr>SBL_PricingTbl_FNM_Term_Tier4</vt:lpstr>
      <vt:lpstr>SBL_PricingTbl_FNM_Tier2</vt:lpstr>
      <vt:lpstr>SBL_PricingTbl_FNM_Tier3</vt:lpstr>
      <vt:lpstr>SBL_PricingTbl_FNM_Tier4</vt:lpstr>
      <vt:lpstr>SBL_PropertyType</vt:lpstr>
      <vt:lpstr>SBL_ProprietaryCapitalOptions</vt:lpstr>
      <vt:lpstr>SBL_ProprietaryCapitalOptionsToView</vt:lpstr>
      <vt:lpstr>SBL_SmallLoanSpreadAdder</vt:lpstr>
      <vt:lpstr>SBL_SmallMktPricingGridImport</vt:lpstr>
      <vt:lpstr>SBL_TopStdMktPricingGridImport</vt:lpstr>
      <vt:lpstr>SBL_TreasuryRatesDate</vt:lpstr>
      <vt:lpstr>SBL_TreasuryRatesTbl</vt:lpstr>
      <vt:lpstr>SBL_YearBuilt</vt:lpstr>
      <vt:lpstr>SBL_ZipCode</vt:lpstr>
      <vt:lpstr>SblQuotes_CityState</vt:lpstr>
      <vt:lpstr>SblQuotes_County</vt:lpstr>
      <vt:lpstr>SblQuotes_FannieMktTier</vt:lpstr>
      <vt:lpstr>SblQuotes_FreddieMktTier</vt:lpstr>
      <vt:lpstr>SblQuotes_IsCashOutRefinance</vt:lpstr>
      <vt:lpstr>SblQuotes_PcntCollegeAndMilitary</vt:lpstr>
      <vt:lpstr>SblQuotes_WDMarketRating</vt:lpstr>
      <vt:lpstr>SecondAmort_IfSupp</vt:lpstr>
      <vt:lpstr>SecondConstant_IfSupp</vt:lpstr>
      <vt:lpstr>SecondCoterminous_IfSupp</vt:lpstr>
      <vt:lpstr>SecondDebtService_IfSupp</vt:lpstr>
      <vt:lpstr>SecondIO_IfSupp</vt:lpstr>
      <vt:lpstr>SecondMaturity_IfSupp</vt:lpstr>
      <vt:lpstr>SecondOrigLoan_IfSupp</vt:lpstr>
      <vt:lpstr>SecondRate_IfSupp</vt:lpstr>
      <vt:lpstr>SecondRemIO_IfSupp</vt:lpstr>
      <vt:lpstr>SecondRemTerm_IfSupp</vt:lpstr>
      <vt:lpstr>SecondTerm_IfSupp</vt:lpstr>
      <vt:lpstr>SecondTier_IfSupp</vt:lpstr>
      <vt:lpstr>SecondUPB_IfSupp</vt:lpstr>
      <vt:lpstr>SecondYMEnd_IfSupp</vt:lpstr>
      <vt:lpstr>SelectedQuoteNmbr</vt:lpstr>
      <vt:lpstr>ServicingFee</vt:lpstr>
      <vt:lpstr>Setup_ViewType</vt:lpstr>
      <vt:lpstr>SOps_AppraisalEGI</vt:lpstr>
      <vt:lpstr>SOps_AppraisalExpenses</vt:lpstr>
      <vt:lpstr>SOps_AppraisalManagementFee</vt:lpstr>
      <vt:lpstr>SOps_AppraisalNCF</vt:lpstr>
      <vt:lpstr>SOps_NCF_Variance</vt:lpstr>
      <vt:lpstr>SOps_UnderwrittenEGI</vt:lpstr>
      <vt:lpstr>SOps_UnderwrittenExpenses</vt:lpstr>
      <vt:lpstr>SOps_UnderwrittenGPR</vt:lpstr>
      <vt:lpstr>SOps_UnderwrittenNCF</vt:lpstr>
      <vt:lpstr>SOps_UnderwrittenNRI</vt:lpstr>
      <vt:lpstr>SOps_UnderwrittenTotalOtherIncome</vt:lpstr>
      <vt:lpstr>SOps_UW_BD_Pcnt</vt:lpstr>
      <vt:lpstr>SOps_UW_Conc_Pcnt</vt:lpstr>
      <vt:lpstr>SOps_UW_Econ_Vac</vt:lpstr>
      <vt:lpstr>SOps_UW_PhyVac_Pcnt</vt:lpstr>
      <vt:lpstr>Sponsor_Name</vt:lpstr>
      <vt:lpstr>Sq_Feet_Commercial</vt:lpstr>
      <vt:lpstr>'SREO 1'!SREO_AmountOfRecourse_AllProperties</vt:lpstr>
      <vt:lpstr>'SREO 2'!SREO_AmountOfRecourse_AllProperties</vt:lpstr>
      <vt:lpstr>'SREO 3'!SREO_AmountOfRecourse_AllProperties</vt:lpstr>
      <vt:lpstr>'SREO 4'!SREO_AmountOfRecourse_AllProperties</vt:lpstr>
      <vt:lpstr>'SREO 5'!SREO_AmountOfRecourse_AllProperties</vt:lpstr>
      <vt:lpstr>'SREO 6'!SREO_AmountOfRecourse_AllProperties</vt:lpstr>
      <vt:lpstr>'SREO 7'!SREO_AmountOfRecourse_AllProperties</vt:lpstr>
      <vt:lpstr>'SREO 8'!SREO_AmountOfRecourse_AllProperties</vt:lpstr>
      <vt:lpstr>'SREO 1'!SREO_AmountOfRecourse_CRO</vt:lpstr>
      <vt:lpstr>'SREO 2'!SREO_AmountOfRecourse_CRO</vt:lpstr>
      <vt:lpstr>'SREO 3'!SREO_AmountOfRecourse_CRO</vt:lpstr>
      <vt:lpstr>'SREO 4'!SREO_AmountOfRecourse_CRO</vt:lpstr>
      <vt:lpstr>'SREO 5'!SREO_AmountOfRecourse_CRO</vt:lpstr>
      <vt:lpstr>'SREO 6'!SREO_AmountOfRecourse_CRO</vt:lpstr>
      <vt:lpstr>'SREO 7'!SREO_AmountOfRecourse_CRO</vt:lpstr>
      <vt:lpstr>'SREO 8'!SREO_AmountOfRecourse_CRO</vt:lpstr>
      <vt:lpstr>'SREO 1'!SREO_AmountOfRecourse_Land</vt:lpstr>
      <vt:lpstr>'SREO 2'!SREO_AmountOfRecourse_Land</vt:lpstr>
      <vt:lpstr>'SREO 3'!SREO_AmountOfRecourse_Land</vt:lpstr>
      <vt:lpstr>'SREO 4'!SREO_AmountOfRecourse_Land</vt:lpstr>
      <vt:lpstr>'SREO 5'!SREO_AmountOfRecourse_Land</vt:lpstr>
      <vt:lpstr>'SREO 6'!SREO_AmountOfRecourse_Land</vt:lpstr>
      <vt:lpstr>'SREO 7'!SREO_AmountOfRecourse_Land</vt:lpstr>
      <vt:lpstr>'SREO 8'!SREO_AmountOfRecourse_Land</vt:lpstr>
      <vt:lpstr>'SREO 1'!SREO_AmountOfRecourse_MF</vt:lpstr>
      <vt:lpstr>'SREO 2'!SREO_AmountOfRecourse_MF</vt:lpstr>
      <vt:lpstr>'SREO 3'!SREO_AmountOfRecourse_MF</vt:lpstr>
      <vt:lpstr>'SREO 4'!SREO_AmountOfRecourse_MF</vt:lpstr>
      <vt:lpstr>'SREO 5'!SREO_AmountOfRecourse_MF</vt:lpstr>
      <vt:lpstr>'SREO 6'!SREO_AmountOfRecourse_MF</vt:lpstr>
      <vt:lpstr>'SREO 7'!SREO_AmountOfRecourse_MF</vt:lpstr>
      <vt:lpstr>'SREO 8'!SREO_AmountOfRecourse_MF</vt:lpstr>
      <vt:lpstr>'SREO 1'!SREO_AmountOfRecourse_UCNS</vt:lpstr>
      <vt:lpstr>'SREO 2'!SREO_AmountOfRecourse_UCNS</vt:lpstr>
      <vt:lpstr>'SREO 3'!SREO_AmountOfRecourse_UCNS</vt:lpstr>
      <vt:lpstr>'SREO 4'!SREO_AmountOfRecourse_UCNS</vt:lpstr>
      <vt:lpstr>'SREO 5'!SREO_AmountOfRecourse_UCNS</vt:lpstr>
      <vt:lpstr>'SREO 6'!SREO_AmountOfRecourse_UCNS</vt:lpstr>
      <vt:lpstr>'SREO 7'!SREO_AmountOfRecourse_UCNS</vt:lpstr>
      <vt:lpstr>'SREO 8'!SREO_AmountOfRecourse_UCNS</vt:lpstr>
      <vt:lpstr>'SREO 1'!SREO_AnnualDebtSvc_AllProperties</vt:lpstr>
      <vt:lpstr>'SREO 2'!SREO_AnnualDebtSvc_AllProperties</vt:lpstr>
      <vt:lpstr>'SREO 3'!SREO_AnnualDebtSvc_AllProperties</vt:lpstr>
      <vt:lpstr>'SREO 4'!SREO_AnnualDebtSvc_AllProperties</vt:lpstr>
      <vt:lpstr>'SREO 5'!SREO_AnnualDebtSvc_AllProperties</vt:lpstr>
      <vt:lpstr>'SREO 6'!SREO_AnnualDebtSvc_AllProperties</vt:lpstr>
      <vt:lpstr>'SREO 7'!SREO_AnnualDebtSvc_AllProperties</vt:lpstr>
      <vt:lpstr>'SREO 8'!SREO_AnnualDebtSvc_AllProperties</vt:lpstr>
      <vt:lpstr>'SREO 1'!SREO_AnnualDebtSvc_CRO</vt:lpstr>
      <vt:lpstr>'SREO 2'!SREO_AnnualDebtSvc_CRO</vt:lpstr>
      <vt:lpstr>'SREO 3'!SREO_AnnualDebtSvc_CRO</vt:lpstr>
      <vt:lpstr>'SREO 4'!SREO_AnnualDebtSvc_CRO</vt:lpstr>
      <vt:lpstr>'SREO 5'!SREO_AnnualDebtSvc_CRO</vt:lpstr>
      <vt:lpstr>'SREO 6'!SREO_AnnualDebtSvc_CRO</vt:lpstr>
      <vt:lpstr>'SREO 7'!SREO_AnnualDebtSvc_CRO</vt:lpstr>
      <vt:lpstr>'SREO 8'!SREO_AnnualDebtSvc_CRO</vt:lpstr>
      <vt:lpstr>'SREO 1'!SREO_AnnualDebtSvc_Land</vt:lpstr>
      <vt:lpstr>'SREO 2'!SREO_AnnualDebtSvc_Land</vt:lpstr>
      <vt:lpstr>'SREO 3'!SREO_AnnualDebtSvc_Land</vt:lpstr>
      <vt:lpstr>'SREO 4'!SREO_AnnualDebtSvc_Land</vt:lpstr>
      <vt:lpstr>'SREO 5'!SREO_AnnualDebtSvc_Land</vt:lpstr>
      <vt:lpstr>'SREO 6'!SREO_AnnualDebtSvc_Land</vt:lpstr>
      <vt:lpstr>'SREO 7'!SREO_AnnualDebtSvc_Land</vt:lpstr>
      <vt:lpstr>'SREO 8'!SREO_AnnualDebtSvc_Land</vt:lpstr>
      <vt:lpstr>'SREO 1'!SREO_AnnualDebtSvc_MF</vt:lpstr>
      <vt:lpstr>'SREO 2'!SREO_AnnualDebtSvc_MF</vt:lpstr>
      <vt:lpstr>'SREO 3'!SREO_AnnualDebtSvc_MF</vt:lpstr>
      <vt:lpstr>'SREO 4'!SREO_AnnualDebtSvc_MF</vt:lpstr>
      <vt:lpstr>'SREO 5'!SREO_AnnualDebtSvc_MF</vt:lpstr>
      <vt:lpstr>'SREO 6'!SREO_AnnualDebtSvc_MF</vt:lpstr>
      <vt:lpstr>'SREO 7'!SREO_AnnualDebtSvc_MF</vt:lpstr>
      <vt:lpstr>'SREO 8'!SREO_AnnualDebtSvc_MF</vt:lpstr>
      <vt:lpstr>'SREO 1'!SREO_AnnualDebtSvc_UCNS</vt:lpstr>
      <vt:lpstr>'SREO 2'!SREO_AnnualDebtSvc_UCNS</vt:lpstr>
      <vt:lpstr>'SREO 3'!SREO_AnnualDebtSvc_UCNS</vt:lpstr>
      <vt:lpstr>'SREO 4'!SREO_AnnualDebtSvc_UCNS</vt:lpstr>
      <vt:lpstr>'SREO 5'!SREO_AnnualDebtSvc_UCNS</vt:lpstr>
      <vt:lpstr>'SREO 6'!SREO_AnnualDebtSvc_UCNS</vt:lpstr>
      <vt:lpstr>'SREO 7'!SREO_AnnualDebtSvc_UCNS</vt:lpstr>
      <vt:lpstr>'SREO 8'!SREO_AnnualDebtSvc_UCNS</vt:lpstr>
      <vt:lpstr>'SREO 1'!SREO_AnnualDebtSvc_WD</vt:lpstr>
      <vt:lpstr>'SREO 2'!SREO_AnnualDebtSvc_WD</vt:lpstr>
      <vt:lpstr>'SREO 3'!SREO_AnnualDebtSvc_WD</vt:lpstr>
      <vt:lpstr>'SREO 4'!SREO_AnnualDebtSvc_WD</vt:lpstr>
      <vt:lpstr>'SREO 5'!SREO_AnnualDebtSvc_WD</vt:lpstr>
      <vt:lpstr>'SREO 6'!SREO_AnnualDebtSvc_WD</vt:lpstr>
      <vt:lpstr>'SREO 7'!SREO_AnnualDebtSvc_WD</vt:lpstr>
      <vt:lpstr>'SREO 8'!SREO_AnnualDebtSvc_WD</vt:lpstr>
      <vt:lpstr>'SREO 1'!SREO_AsOfDate</vt:lpstr>
      <vt:lpstr>'SREO 2'!SREO_AsOfDate</vt:lpstr>
      <vt:lpstr>'SREO 3'!SREO_AsOfDate</vt:lpstr>
      <vt:lpstr>'SREO 4'!SREO_AsOfDate</vt:lpstr>
      <vt:lpstr>'SREO 5'!SREO_AsOfDate</vt:lpstr>
      <vt:lpstr>'SREO 6'!SREO_AsOfDate</vt:lpstr>
      <vt:lpstr>'SREO 7'!SREO_AsOfDate</vt:lpstr>
      <vt:lpstr>'SREO 8'!SREO_AsOfDate</vt:lpstr>
      <vt:lpstr>'SREO 1'!SREO_CapRate_LenderVal_CRO</vt:lpstr>
      <vt:lpstr>'SREO 2'!SREO_CapRate_LenderVal_CRO</vt:lpstr>
      <vt:lpstr>'SREO 3'!SREO_CapRate_LenderVal_CRO</vt:lpstr>
      <vt:lpstr>'SREO 4'!SREO_CapRate_LenderVal_CRO</vt:lpstr>
      <vt:lpstr>'SREO 5'!SREO_CapRate_LenderVal_CRO</vt:lpstr>
      <vt:lpstr>'SREO 6'!SREO_CapRate_LenderVal_CRO</vt:lpstr>
      <vt:lpstr>'SREO 7'!SREO_CapRate_LenderVal_CRO</vt:lpstr>
      <vt:lpstr>'SREO 8'!SREO_CapRate_LenderVal_CRO</vt:lpstr>
      <vt:lpstr>'SREO 1'!SREO_CapRate_LenderVal_Land</vt:lpstr>
      <vt:lpstr>'SREO 2'!SREO_CapRate_LenderVal_Land</vt:lpstr>
      <vt:lpstr>'SREO 3'!SREO_CapRate_LenderVal_Land</vt:lpstr>
      <vt:lpstr>'SREO 4'!SREO_CapRate_LenderVal_Land</vt:lpstr>
      <vt:lpstr>'SREO 5'!SREO_CapRate_LenderVal_Land</vt:lpstr>
      <vt:lpstr>'SREO 6'!SREO_CapRate_LenderVal_Land</vt:lpstr>
      <vt:lpstr>'SREO 7'!SREO_CapRate_LenderVal_Land</vt:lpstr>
      <vt:lpstr>'SREO 8'!SREO_CapRate_LenderVal_Land</vt:lpstr>
      <vt:lpstr>'SREO 1'!SREO_CapRate_LenderVal_Multifamily</vt:lpstr>
      <vt:lpstr>'SREO 2'!SREO_CapRate_LenderVal_Multifamily</vt:lpstr>
      <vt:lpstr>'SREO 3'!SREO_CapRate_LenderVal_Multifamily</vt:lpstr>
      <vt:lpstr>'SREO 4'!SREO_CapRate_LenderVal_Multifamily</vt:lpstr>
      <vt:lpstr>'SREO 5'!SREO_CapRate_LenderVal_Multifamily</vt:lpstr>
      <vt:lpstr>'SREO 6'!SREO_CapRate_LenderVal_Multifamily</vt:lpstr>
      <vt:lpstr>'SREO 7'!SREO_CapRate_LenderVal_Multifamily</vt:lpstr>
      <vt:lpstr>'SREO 8'!SREO_CapRate_LenderVal_Multifamily</vt:lpstr>
      <vt:lpstr>'SREO 1'!SREO_CapRate_LenderVal_UCNS</vt:lpstr>
      <vt:lpstr>'SREO 2'!SREO_CapRate_LenderVal_UCNS</vt:lpstr>
      <vt:lpstr>'SREO 3'!SREO_CapRate_LenderVal_UCNS</vt:lpstr>
      <vt:lpstr>'SREO 4'!SREO_CapRate_LenderVal_UCNS</vt:lpstr>
      <vt:lpstr>'SREO 5'!SREO_CapRate_LenderVal_UCNS</vt:lpstr>
      <vt:lpstr>'SREO 6'!SREO_CapRate_LenderVal_UCNS</vt:lpstr>
      <vt:lpstr>'SREO 7'!SREO_CapRate_LenderVal_UCNS</vt:lpstr>
      <vt:lpstr>'SREO 8'!SREO_CapRate_LenderVal_UCNS</vt:lpstr>
      <vt:lpstr>'SREO 1'!SREO_CapRate_StressedInterestRate</vt:lpstr>
      <vt:lpstr>'SREO 2'!SREO_CapRate_StressedInterestRate</vt:lpstr>
      <vt:lpstr>'SREO 3'!SREO_CapRate_StressedInterestRate</vt:lpstr>
      <vt:lpstr>'SREO 4'!SREO_CapRate_StressedInterestRate</vt:lpstr>
      <vt:lpstr>'SREO 5'!SREO_CapRate_StressedInterestRate</vt:lpstr>
      <vt:lpstr>'SREO 6'!SREO_CapRate_StressedInterestRate</vt:lpstr>
      <vt:lpstr>'SREO 7'!SREO_CapRate_StressedInterestRate</vt:lpstr>
      <vt:lpstr>'SREO 8'!SREO_CapRate_StressedInterestRate</vt:lpstr>
      <vt:lpstr>'SREO 1'!SREO_Col_Address</vt:lpstr>
      <vt:lpstr>'SREO 2'!SREO_Col_Address</vt:lpstr>
      <vt:lpstr>'SREO 3'!SREO_Col_Address</vt:lpstr>
      <vt:lpstr>'SREO 4'!SREO_Col_Address</vt:lpstr>
      <vt:lpstr>'SREO 5'!SREO_Col_Address</vt:lpstr>
      <vt:lpstr>'SREO 6'!SREO_Col_Address</vt:lpstr>
      <vt:lpstr>'SREO 7'!SREO_Col_Address</vt:lpstr>
      <vt:lpstr>'SREO 8'!SREO_Col_Address</vt:lpstr>
      <vt:lpstr>'SREO 1'!SREO_Col_AmountOfRecourse</vt:lpstr>
      <vt:lpstr>'SREO 2'!SREO_Col_AmountOfRecourse</vt:lpstr>
      <vt:lpstr>'SREO 3'!SREO_Col_AmountOfRecourse</vt:lpstr>
      <vt:lpstr>'SREO 4'!SREO_Col_AmountOfRecourse</vt:lpstr>
      <vt:lpstr>'SREO 5'!SREO_Col_AmountOfRecourse</vt:lpstr>
      <vt:lpstr>'SREO 6'!SREO_Col_AmountOfRecourse</vt:lpstr>
      <vt:lpstr>'SREO 7'!SREO_Col_AmountOfRecourse</vt:lpstr>
      <vt:lpstr>'SREO 8'!SREO_Col_AmountOfRecourse</vt:lpstr>
      <vt:lpstr>'SREO 1'!SREO_Col_AnnualDebtSvc</vt:lpstr>
      <vt:lpstr>'SREO 2'!SREO_Col_AnnualDebtSvc</vt:lpstr>
      <vt:lpstr>'SREO 3'!SREO_Col_AnnualDebtSvc</vt:lpstr>
      <vt:lpstr>'SREO 4'!SREO_Col_AnnualDebtSvc</vt:lpstr>
      <vt:lpstr>'SREO 5'!SREO_Col_AnnualDebtSvc</vt:lpstr>
      <vt:lpstr>'SREO 6'!SREO_Col_AnnualDebtSvc</vt:lpstr>
      <vt:lpstr>'SREO 7'!SREO_Col_AnnualDebtSvc</vt:lpstr>
      <vt:lpstr>'SREO 8'!SREO_Col_AnnualDebtSvc</vt:lpstr>
      <vt:lpstr>'SREO 1'!SREO_Col_AssetType</vt:lpstr>
      <vt:lpstr>'SREO 2'!SREO_Col_AssetType</vt:lpstr>
      <vt:lpstr>'SREO 3'!SREO_Col_AssetType</vt:lpstr>
      <vt:lpstr>'SREO 4'!SREO_Col_AssetType</vt:lpstr>
      <vt:lpstr>'SREO 5'!SREO_Col_AssetType</vt:lpstr>
      <vt:lpstr>'SREO 6'!SREO_Col_AssetType</vt:lpstr>
      <vt:lpstr>'SREO 7'!SREO_Col_AssetType</vt:lpstr>
      <vt:lpstr>'SREO 8'!SREO_Col_AssetType</vt:lpstr>
      <vt:lpstr>'SREO 1'!SREO_Col_City</vt:lpstr>
      <vt:lpstr>'SREO 2'!SREO_Col_City</vt:lpstr>
      <vt:lpstr>'SREO 3'!SREO_Col_City</vt:lpstr>
      <vt:lpstr>'SREO 4'!SREO_Col_City</vt:lpstr>
      <vt:lpstr>'SREO 5'!SREO_Col_City</vt:lpstr>
      <vt:lpstr>'SREO 6'!SREO_Col_City</vt:lpstr>
      <vt:lpstr>'SREO 7'!SREO_Col_City</vt:lpstr>
      <vt:lpstr>'SREO 8'!SREO_Col_City</vt:lpstr>
      <vt:lpstr>'SREO 1'!SREO_Col_DebtSvcAtStressedInterestRate</vt:lpstr>
      <vt:lpstr>'SREO 2'!SREO_Col_DebtSvcAtStressedInterestRate</vt:lpstr>
      <vt:lpstr>'SREO 3'!SREO_Col_DebtSvcAtStressedInterestRate</vt:lpstr>
      <vt:lpstr>'SREO 4'!SREO_Col_DebtSvcAtStressedInterestRate</vt:lpstr>
      <vt:lpstr>'SREO 5'!SREO_Col_DebtSvcAtStressedInterestRate</vt:lpstr>
      <vt:lpstr>'SREO 6'!SREO_Col_DebtSvcAtStressedInterestRate</vt:lpstr>
      <vt:lpstr>'SREO 7'!SREO_Col_DebtSvcAtStressedInterestRate</vt:lpstr>
      <vt:lpstr>'SREO 8'!SREO_Col_DebtSvcAtStressedInterestRate</vt:lpstr>
      <vt:lpstr>'SREO 1'!SREO_Col_FNM_or_FRE</vt:lpstr>
      <vt:lpstr>'SREO 2'!SREO_Col_FNM_or_FRE</vt:lpstr>
      <vt:lpstr>'SREO 3'!SREO_Col_FNM_or_FRE</vt:lpstr>
      <vt:lpstr>'SREO 4'!SREO_Col_FNM_or_FRE</vt:lpstr>
      <vt:lpstr>'SREO 5'!SREO_Col_FNM_or_FRE</vt:lpstr>
      <vt:lpstr>'SREO 6'!SREO_Col_FNM_or_FRE</vt:lpstr>
      <vt:lpstr>'SREO 7'!SREO_Col_FNM_or_FRE</vt:lpstr>
      <vt:lpstr>'SREO 8'!SREO_Col_FNM_or_FRE</vt:lpstr>
      <vt:lpstr>'SREO 1'!SREO_Col_ForbearanceRequested</vt:lpstr>
      <vt:lpstr>'SREO 2'!SREO_Col_ForbearanceRequested</vt:lpstr>
      <vt:lpstr>'SREO 3'!SREO_Col_ForbearanceRequested</vt:lpstr>
      <vt:lpstr>'SREO 4'!SREO_Col_ForbearanceRequested</vt:lpstr>
      <vt:lpstr>'SREO 5'!SREO_Col_ForbearanceRequested</vt:lpstr>
      <vt:lpstr>'SREO 6'!SREO_Col_ForbearanceRequested</vt:lpstr>
      <vt:lpstr>'SREO 7'!SREO_Col_ForbearanceRequested</vt:lpstr>
      <vt:lpstr>'SREO 8'!SREO_Col_ForbearanceRequested</vt:lpstr>
      <vt:lpstr>'SREO 1'!SREO_Col_ImpliedCapRate</vt:lpstr>
      <vt:lpstr>'SREO 2'!SREO_Col_ImpliedCapRate</vt:lpstr>
      <vt:lpstr>'SREO 3'!SREO_Col_ImpliedCapRate</vt:lpstr>
      <vt:lpstr>'SREO 4'!SREO_Col_ImpliedCapRate</vt:lpstr>
      <vt:lpstr>'SREO 5'!SREO_Col_ImpliedCapRate</vt:lpstr>
      <vt:lpstr>'SREO 6'!SREO_Col_ImpliedCapRate</vt:lpstr>
      <vt:lpstr>'SREO 7'!SREO_Col_ImpliedCapRate</vt:lpstr>
      <vt:lpstr>'SREO 8'!SREO_Col_ImpliedCapRate</vt:lpstr>
      <vt:lpstr>'SREO 1'!SREO_Col_InterestRate1st</vt:lpstr>
      <vt:lpstr>'SREO 2'!SREO_Col_InterestRate1st</vt:lpstr>
      <vt:lpstr>'SREO 3'!SREO_Col_InterestRate1st</vt:lpstr>
      <vt:lpstr>'SREO 4'!SREO_Col_InterestRate1st</vt:lpstr>
      <vt:lpstr>'SREO 5'!SREO_Col_InterestRate1st</vt:lpstr>
      <vt:lpstr>'SREO 6'!SREO_Col_InterestRate1st</vt:lpstr>
      <vt:lpstr>'SREO 7'!SREO_Col_InterestRate1st</vt:lpstr>
      <vt:lpstr>'SREO 8'!SREO_Col_InterestRate1st</vt:lpstr>
      <vt:lpstr>'SREO 1'!SREO_Col_InterestRate2nd</vt:lpstr>
      <vt:lpstr>'SREO 2'!SREO_Col_InterestRate2nd</vt:lpstr>
      <vt:lpstr>'SREO 3'!SREO_Col_InterestRate2nd</vt:lpstr>
      <vt:lpstr>'SREO 4'!SREO_Col_InterestRate2nd</vt:lpstr>
      <vt:lpstr>'SREO 5'!SREO_Col_InterestRate2nd</vt:lpstr>
      <vt:lpstr>'SREO 6'!SREO_Col_InterestRate2nd</vt:lpstr>
      <vt:lpstr>'SREO 7'!SREO_Col_InterestRate2nd</vt:lpstr>
      <vt:lpstr>'SREO 8'!SREO_Col_InterestRate2nd</vt:lpstr>
      <vt:lpstr>'SREO 1'!SREO_Col_IO_Or_AmortDebtSvc</vt:lpstr>
      <vt:lpstr>'SREO 2'!SREO_Col_IO_Or_AmortDebtSvc</vt:lpstr>
      <vt:lpstr>'SREO 3'!SREO_Col_IO_Or_AmortDebtSvc</vt:lpstr>
      <vt:lpstr>'SREO 4'!SREO_Col_IO_Or_AmortDebtSvc</vt:lpstr>
      <vt:lpstr>'SREO 5'!SREO_Col_IO_Or_AmortDebtSvc</vt:lpstr>
      <vt:lpstr>'SREO 6'!SREO_Col_IO_Or_AmortDebtSvc</vt:lpstr>
      <vt:lpstr>'SREO 7'!SREO_Col_IO_Or_AmortDebtSvc</vt:lpstr>
      <vt:lpstr>'SREO 8'!SREO_Col_IO_Or_AmortDebtSvc</vt:lpstr>
      <vt:lpstr>'SREO 1'!SREO_Col_Lenders</vt:lpstr>
      <vt:lpstr>'SREO 2'!SREO_Col_Lenders</vt:lpstr>
      <vt:lpstr>'SREO 3'!SREO_Col_Lenders</vt:lpstr>
      <vt:lpstr>'SREO 4'!SREO_Col_Lenders</vt:lpstr>
      <vt:lpstr>'SREO 5'!SREO_Col_Lenders</vt:lpstr>
      <vt:lpstr>'SREO 6'!SREO_Col_Lenders</vt:lpstr>
      <vt:lpstr>'SREO 7'!SREO_Col_Lenders</vt:lpstr>
      <vt:lpstr>'SREO 8'!SREO_Col_Lenders</vt:lpstr>
      <vt:lpstr>'SREO 1'!SREO_Col_LoanType</vt:lpstr>
      <vt:lpstr>'SREO 2'!SREO_Col_LoanType</vt:lpstr>
      <vt:lpstr>'SREO 3'!SREO_Col_LoanType</vt:lpstr>
      <vt:lpstr>'SREO 4'!SREO_Col_LoanType</vt:lpstr>
      <vt:lpstr>'SREO 5'!SREO_Col_LoanType</vt:lpstr>
      <vt:lpstr>'SREO 6'!SREO_Col_LoanType</vt:lpstr>
      <vt:lpstr>'SREO 7'!SREO_Col_LoanType</vt:lpstr>
      <vt:lpstr>'SREO 8'!SREO_Col_LoanType</vt:lpstr>
      <vt:lpstr>'SREO 1'!SREO_Col_LTV</vt:lpstr>
      <vt:lpstr>'SREO 2'!SREO_Col_LTV</vt:lpstr>
      <vt:lpstr>'SREO 3'!SREO_Col_LTV</vt:lpstr>
      <vt:lpstr>'SREO 4'!SREO_Col_LTV</vt:lpstr>
      <vt:lpstr>'SREO 5'!SREO_Col_LTV</vt:lpstr>
      <vt:lpstr>'SREO 6'!SREO_Col_LTV</vt:lpstr>
      <vt:lpstr>'SREO 7'!SREO_Col_LTV</vt:lpstr>
      <vt:lpstr>'SREO 8'!SREO_Col_LTV</vt:lpstr>
      <vt:lpstr>'SREO 1'!SREO_Col_MarketValue</vt:lpstr>
      <vt:lpstr>'SREO 2'!SREO_Col_MarketValue</vt:lpstr>
      <vt:lpstr>'SREO 3'!SREO_Col_MarketValue</vt:lpstr>
      <vt:lpstr>'SREO 4'!SREO_Col_MarketValue</vt:lpstr>
      <vt:lpstr>'SREO 5'!SREO_Col_MarketValue</vt:lpstr>
      <vt:lpstr>'SREO 6'!SREO_Col_MarketValue</vt:lpstr>
      <vt:lpstr>'SREO 7'!SREO_Col_MarketValue</vt:lpstr>
      <vt:lpstr>'SREO 8'!SREO_Col_MarketValue</vt:lpstr>
      <vt:lpstr>'SREO 1'!SREO_Col_MaturityDates</vt:lpstr>
      <vt:lpstr>'SREO 2'!SREO_Col_MaturityDates</vt:lpstr>
      <vt:lpstr>'SREO 3'!SREO_Col_MaturityDates</vt:lpstr>
      <vt:lpstr>'SREO 4'!SREO_Col_MaturityDates</vt:lpstr>
      <vt:lpstr>'SREO 5'!SREO_Col_MaturityDates</vt:lpstr>
      <vt:lpstr>'SREO 6'!SREO_Col_MaturityDates</vt:lpstr>
      <vt:lpstr>'SREO 7'!SREO_Col_MaturityDates</vt:lpstr>
      <vt:lpstr>'SREO 8'!SREO_Col_MaturityDates</vt:lpstr>
      <vt:lpstr>'SREO 1'!SREO_Col_MktValPerStressedCapRate</vt:lpstr>
      <vt:lpstr>'SREO 2'!SREO_Col_MktValPerStressedCapRate</vt:lpstr>
      <vt:lpstr>'SREO 3'!SREO_Col_MktValPerStressedCapRate</vt:lpstr>
      <vt:lpstr>'SREO 4'!SREO_Col_MktValPerStressedCapRate</vt:lpstr>
      <vt:lpstr>'SREO 5'!SREO_Col_MktValPerStressedCapRate</vt:lpstr>
      <vt:lpstr>'SREO 6'!SREO_Col_MktValPerStressedCapRate</vt:lpstr>
      <vt:lpstr>'SREO 7'!SREO_Col_MktValPerStressedCapRate</vt:lpstr>
      <vt:lpstr>'SREO 8'!SREO_Col_MktValPerStressedCapRate</vt:lpstr>
      <vt:lpstr>'SREO 1'!SREO_Col_NCF_BeforeDebtSvc</vt:lpstr>
      <vt:lpstr>'SREO 2'!SREO_Col_NCF_BeforeDebtSvc</vt:lpstr>
      <vt:lpstr>'SREO 3'!SREO_Col_NCF_BeforeDebtSvc</vt:lpstr>
      <vt:lpstr>'SREO 4'!SREO_Col_NCF_BeforeDebtSvc</vt:lpstr>
      <vt:lpstr>'SREO 5'!SREO_Col_NCF_BeforeDebtSvc</vt:lpstr>
      <vt:lpstr>'SREO 6'!SREO_Col_NCF_BeforeDebtSvc</vt:lpstr>
      <vt:lpstr>'SREO 7'!SREO_Col_NCF_BeforeDebtSvc</vt:lpstr>
      <vt:lpstr>'SREO 8'!SREO_Col_NCF_BeforeDebtSvc</vt:lpstr>
      <vt:lpstr>'SREO 1'!SREO_Col_OutstandingLoanAmts</vt:lpstr>
      <vt:lpstr>'SREO 2'!SREO_Col_OutstandingLoanAmts</vt:lpstr>
      <vt:lpstr>'SREO 3'!SREO_Col_OutstandingLoanAmts</vt:lpstr>
      <vt:lpstr>'SREO 4'!SREO_Col_OutstandingLoanAmts</vt:lpstr>
      <vt:lpstr>'SREO 5'!SREO_Col_OutstandingLoanAmts</vt:lpstr>
      <vt:lpstr>'SREO 6'!SREO_Col_OutstandingLoanAmts</vt:lpstr>
      <vt:lpstr>'SREO 7'!SREO_Col_OutstandingLoanAmts</vt:lpstr>
      <vt:lpstr>'SREO 8'!SREO_Col_OutstandingLoanAmts</vt:lpstr>
      <vt:lpstr>'SREO 1'!SREO_Col_OwnedSince</vt:lpstr>
      <vt:lpstr>'SREO 2'!SREO_Col_OwnedSince</vt:lpstr>
      <vt:lpstr>'SREO 3'!SREO_Col_OwnedSince</vt:lpstr>
      <vt:lpstr>'SREO 4'!SREO_Col_OwnedSince</vt:lpstr>
      <vt:lpstr>'SREO 5'!SREO_Col_OwnedSince</vt:lpstr>
      <vt:lpstr>'SREO 6'!SREO_Col_OwnedSince</vt:lpstr>
      <vt:lpstr>'SREO 7'!SREO_Col_OwnedSince</vt:lpstr>
      <vt:lpstr>'SREO 8'!SREO_Col_OwnedSince</vt:lpstr>
      <vt:lpstr>'SREO 1'!SREO_Col_OwnershipInterest</vt:lpstr>
      <vt:lpstr>'SREO 2'!SREO_Col_OwnershipInterest</vt:lpstr>
      <vt:lpstr>'SREO 3'!SREO_Col_OwnershipInterest</vt:lpstr>
      <vt:lpstr>'SREO 4'!SREO_Col_OwnershipInterest</vt:lpstr>
      <vt:lpstr>'SREO 5'!SREO_Col_OwnershipInterest</vt:lpstr>
      <vt:lpstr>'SREO 6'!SREO_Col_OwnershipInterest</vt:lpstr>
      <vt:lpstr>'SREO 7'!SREO_Col_OwnershipInterest</vt:lpstr>
      <vt:lpstr>'SREO 8'!SREO_Col_OwnershipInterest</vt:lpstr>
      <vt:lpstr>'SREO 1'!SREO_Col_OwnershipRole</vt:lpstr>
      <vt:lpstr>'SREO 2'!SREO_Col_OwnershipRole</vt:lpstr>
      <vt:lpstr>'SREO 3'!SREO_Col_OwnershipRole</vt:lpstr>
      <vt:lpstr>'SREO 4'!SREO_Col_OwnershipRole</vt:lpstr>
      <vt:lpstr>'SREO 5'!SREO_Col_OwnershipRole</vt:lpstr>
      <vt:lpstr>'SREO 6'!SREO_Col_OwnershipRole</vt:lpstr>
      <vt:lpstr>'SREO 7'!SREO_Col_OwnershipRole</vt:lpstr>
      <vt:lpstr>'SREO 8'!SREO_Col_OwnershipRole</vt:lpstr>
      <vt:lpstr>'SREO 1'!SREO_Col_PcntOccupancy</vt:lpstr>
      <vt:lpstr>'SREO 2'!SREO_Col_PcntOccupancy</vt:lpstr>
      <vt:lpstr>'SREO 3'!SREO_Col_PcntOccupancy</vt:lpstr>
      <vt:lpstr>'SREO 4'!SREO_Col_PcntOccupancy</vt:lpstr>
      <vt:lpstr>'SREO 5'!SREO_Col_PcntOccupancy</vt:lpstr>
      <vt:lpstr>'SREO 6'!SREO_Col_PcntOccupancy</vt:lpstr>
      <vt:lpstr>'SREO 7'!SREO_Col_PcntOccupancy</vt:lpstr>
      <vt:lpstr>'SREO 8'!SREO_Col_PcntOccupancy</vt:lpstr>
      <vt:lpstr>'SREO 1'!SREO_Col_PropertyName</vt:lpstr>
      <vt:lpstr>'SREO 2'!SREO_Col_PropertyName</vt:lpstr>
      <vt:lpstr>'SREO 3'!SREO_Col_PropertyName</vt:lpstr>
      <vt:lpstr>'SREO 4'!SREO_Col_PropertyName</vt:lpstr>
      <vt:lpstr>'SREO 5'!SREO_Col_PropertyName</vt:lpstr>
      <vt:lpstr>'SREO 6'!SREO_Col_PropertyName</vt:lpstr>
      <vt:lpstr>'SREO 7'!SREO_Col_PropertyName</vt:lpstr>
      <vt:lpstr>'SREO 8'!SREO_Col_PropertyName</vt:lpstr>
      <vt:lpstr>'SREO 1'!SREO_Col_State</vt:lpstr>
      <vt:lpstr>'SREO 2'!SREO_Col_State</vt:lpstr>
      <vt:lpstr>'SREO 3'!SREO_Col_State</vt:lpstr>
      <vt:lpstr>'SREO 4'!SREO_Col_State</vt:lpstr>
      <vt:lpstr>'SREO 5'!SREO_Col_State</vt:lpstr>
      <vt:lpstr>'SREO 6'!SREO_Col_State</vt:lpstr>
      <vt:lpstr>'SREO 7'!SREO_Col_State</vt:lpstr>
      <vt:lpstr>'SREO 8'!SREO_Col_State</vt:lpstr>
      <vt:lpstr>'SREO 1'!SREO_Col_Status</vt:lpstr>
      <vt:lpstr>'SREO 2'!SREO_Col_Status</vt:lpstr>
      <vt:lpstr>'SREO 3'!SREO_Col_Status</vt:lpstr>
      <vt:lpstr>'SREO 4'!SREO_Col_Status</vt:lpstr>
      <vt:lpstr>'SREO 5'!SREO_Col_Status</vt:lpstr>
      <vt:lpstr>'SREO 6'!SREO_Col_Status</vt:lpstr>
      <vt:lpstr>'SREO 7'!SREO_Col_Status</vt:lpstr>
      <vt:lpstr>'SREO 8'!SREO_Col_Status</vt:lpstr>
      <vt:lpstr>'SREO 1'!SREO_Col_StressedLTV</vt:lpstr>
      <vt:lpstr>'SREO 2'!SREO_Col_StressedLTV</vt:lpstr>
      <vt:lpstr>'SREO 3'!SREO_Col_StressedLTV</vt:lpstr>
      <vt:lpstr>'SREO 4'!SREO_Col_StressedLTV</vt:lpstr>
      <vt:lpstr>'SREO 5'!SREO_Col_StressedLTV</vt:lpstr>
      <vt:lpstr>'SREO 6'!SREO_Col_StressedLTV</vt:lpstr>
      <vt:lpstr>'SREO 7'!SREO_Col_StressedLTV</vt:lpstr>
      <vt:lpstr>'SREO 8'!SREO_Col_StressedLTV</vt:lpstr>
      <vt:lpstr>'SREO 1'!SREO_Col_SupplementalLoanAmts</vt:lpstr>
      <vt:lpstr>'SREO 2'!SREO_Col_SupplementalLoanAmts</vt:lpstr>
      <vt:lpstr>'SREO 3'!SREO_Col_SupplementalLoanAmts</vt:lpstr>
      <vt:lpstr>'SREO 4'!SREO_Col_SupplementalLoanAmts</vt:lpstr>
      <vt:lpstr>'SREO 5'!SREO_Col_SupplementalLoanAmts</vt:lpstr>
      <vt:lpstr>'SREO 6'!SREO_Col_SupplementalLoanAmts</vt:lpstr>
      <vt:lpstr>'SREO 7'!SREO_Col_SupplementalLoanAmts</vt:lpstr>
      <vt:lpstr>'SREO 8'!SREO_Col_SupplementalLoanAmts</vt:lpstr>
      <vt:lpstr>'SREO 1'!SREO_Col_TotalCF</vt:lpstr>
      <vt:lpstr>'SREO 2'!SREO_Col_TotalCF</vt:lpstr>
      <vt:lpstr>'SREO 3'!SREO_Col_TotalCF</vt:lpstr>
      <vt:lpstr>'SREO 4'!SREO_Col_TotalCF</vt:lpstr>
      <vt:lpstr>'SREO 5'!SREO_Col_TotalCF</vt:lpstr>
      <vt:lpstr>'SREO 6'!SREO_Col_TotalCF</vt:lpstr>
      <vt:lpstr>'SREO 7'!SREO_Col_TotalCF</vt:lpstr>
      <vt:lpstr>'SREO 8'!SREO_Col_TotalCF</vt:lpstr>
      <vt:lpstr>'SREO 1'!SREO_Col_TotalDCR</vt:lpstr>
      <vt:lpstr>'SREO 2'!SREO_Col_TotalDCR</vt:lpstr>
      <vt:lpstr>'SREO 3'!SREO_Col_TotalDCR</vt:lpstr>
      <vt:lpstr>'SREO 4'!SREO_Col_TotalDCR</vt:lpstr>
      <vt:lpstr>'SREO 5'!SREO_Col_TotalDCR</vt:lpstr>
      <vt:lpstr>'SREO 6'!SREO_Col_TotalDCR</vt:lpstr>
      <vt:lpstr>'SREO 7'!SREO_Col_TotalDCR</vt:lpstr>
      <vt:lpstr>'SREO 8'!SREO_Col_TotalDCR</vt:lpstr>
      <vt:lpstr>'SREO 1'!SREO_Col_TotalEquity</vt:lpstr>
      <vt:lpstr>'SREO 2'!SREO_Col_TotalEquity</vt:lpstr>
      <vt:lpstr>'SREO 3'!SREO_Col_TotalEquity</vt:lpstr>
      <vt:lpstr>'SREO 4'!SREO_Col_TotalEquity</vt:lpstr>
      <vt:lpstr>'SREO 5'!SREO_Col_TotalEquity</vt:lpstr>
      <vt:lpstr>'SREO 6'!SREO_Col_TotalEquity</vt:lpstr>
      <vt:lpstr>'SREO 7'!SREO_Col_TotalEquity</vt:lpstr>
      <vt:lpstr>'SREO 8'!SREO_Col_TotalEquity</vt:lpstr>
      <vt:lpstr>'SREO 1'!SREO_Col_TotalEquity2</vt:lpstr>
      <vt:lpstr>'SREO 2'!SREO_Col_TotalEquity2</vt:lpstr>
      <vt:lpstr>'SREO 3'!SREO_Col_TotalEquity2</vt:lpstr>
      <vt:lpstr>'SREO 4'!SREO_Col_TotalEquity2</vt:lpstr>
      <vt:lpstr>'SREO 5'!SREO_Col_TotalEquity2</vt:lpstr>
      <vt:lpstr>'SREO 6'!SREO_Col_TotalEquity2</vt:lpstr>
      <vt:lpstr>'SREO 7'!SREO_Col_TotalEquity2</vt:lpstr>
      <vt:lpstr>'SREO 8'!SREO_Col_TotalEquity2</vt:lpstr>
      <vt:lpstr>'SREO 1'!SREO_Col_TotalLoansAmt</vt:lpstr>
      <vt:lpstr>'SREO 2'!SREO_Col_TotalLoansAmt</vt:lpstr>
      <vt:lpstr>'SREO 3'!SREO_Col_TotalLoansAmt</vt:lpstr>
      <vt:lpstr>'SREO 4'!SREO_Col_TotalLoansAmt</vt:lpstr>
      <vt:lpstr>'SREO 5'!SREO_Col_TotalLoansAmt</vt:lpstr>
      <vt:lpstr>'SREO 6'!SREO_Col_TotalLoansAmt</vt:lpstr>
      <vt:lpstr>'SREO 7'!SREO_Col_TotalLoansAmt</vt:lpstr>
      <vt:lpstr>'SREO 8'!SREO_Col_TotalLoansAmt</vt:lpstr>
      <vt:lpstr>'SREO 1'!SREO_Col_TotalStressedDSCR</vt:lpstr>
      <vt:lpstr>'SREO 2'!SREO_Col_TotalStressedDSCR</vt:lpstr>
      <vt:lpstr>'SREO 3'!SREO_Col_TotalStressedDSCR</vt:lpstr>
      <vt:lpstr>'SREO 4'!SREO_Col_TotalStressedDSCR</vt:lpstr>
      <vt:lpstr>'SREO 5'!SREO_Col_TotalStressedDSCR</vt:lpstr>
      <vt:lpstr>'SREO 6'!SREO_Col_TotalStressedDSCR</vt:lpstr>
      <vt:lpstr>'SREO 7'!SREO_Col_TotalStressedDSCR</vt:lpstr>
      <vt:lpstr>'SREO 8'!SREO_Col_TotalStressedDSCR</vt:lpstr>
      <vt:lpstr>'SREO 1'!SREO_Col_Units</vt:lpstr>
      <vt:lpstr>'SREO 2'!SREO_Col_Units</vt:lpstr>
      <vt:lpstr>'SREO 3'!SREO_Col_Units</vt:lpstr>
      <vt:lpstr>'SREO 4'!SREO_Col_Units</vt:lpstr>
      <vt:lpstr>'SREO 5'!SREO_Col_Units</vt:lpstr>
      <vt:lpstr>'SREO 6'!SREO_Col_Units</vt:lpstr>
      <vt:lpstr>'SREO 7'!SREO_Col_Units</vt:lpstr>
      <vt:lpstr>'SREO 8'!SREO_Col_Units</vt:lpstr>
      <vt:lpstr>'SREO 1'!SREO_Col_ValuePerUnit</vt:lpstr>
      <vt:lpstr>'SREO 2'!SREO_Col_ValuePerUnit</vt:lpstr>
      <vt:lpstr>'SREO 3'!SREO_Col_ValuePerUnit</vt:lpstr>
      <vt:lpstr>'SREO 4'!SREO_Col_ValuePerUnit</vt:lpstr>
      <vt:lpstr>'SREO 5'!SREO_Col_ValuePerUnit</vt:lpstr>
      <vt:lpstr>'SREO 6'!SREO_Col_ValuePerUnit</vt:lpstr>
      <vt:lpstr>'SREO 7'!SREO_Col_ValuePerUnit</vt:lpstr>
      <vt:lpstr>'SREO 8'!SREO_Col_ValuePerUnit</vt:lpstr>
      <vt:lpstr>'SREO 1'!SREO_Col_YearBuilt</vt:lpstr>
      <vt:lpstr>'SREO 2'!SREO_Col_YearBuilt</vt:lpstr>
      <vt:lpstr>'SREO 3'!SREO_Col_YearBuilt</vt:lpstr>
      <vt:lpstr>'SREO 4'!SREO_Col_YearBuilt</vt:lpstr>
      <vt:lpstr>'SREO 5'!SREO_Col_YearBuilt</vt:lpstr>
      <vt:lpstr>'SREO 6'!SREO_Col_YearBuilt</vt:lpstr>
      <vt:lpstr>'SREO 7'!SREO_Col_YearBuilt</vt:lpstr>
      <vt:lpstr>'SREO 8'!SREO_Col_YearBuilt</vt:lpstr>
      <vt:lpstr>'SREO 1'!SREO_DebtSvcAtStressedInterestRate_AllProperties</vt:lpstr>
      <vt:lpstr>'SREO 2'!SREO_DebtSvcAtStressedInterestRate_AllProperties</vt:lpstr>
      <vt:lpstr>'SREO 3'!SREO_DebtSvcAtStressedInterestRate_AllProperties</vt:lpstr>
      <vt:lpstr>'SREO 4'!SREO_DebtSvcAtStressedInterestRate_AllProperties</vt:lpstr>
      <vt:lpstr>'SREO 5'!SREO_DebtSvcAtStressedInterestRate_AllProperties</vt:lpstr>
      <vt:lpstr>'SREO 6'!SREO_DebtSvcAtStressedInterestRate_AllProperties</vt:lpstr>
      <vt:lpstr>'SREO 7'!SREO_DebtSvcAtStressedInterestRate_AllProperties</vt:lpstr>
      <vt:lpstr>'SREO 8'!SREO_DebtSvcAtStressedInterestRate_AllProperties</vt:lpstr>
      <vt:lpstr>'SREO 1'!SREO_DebtSvcAtStressedInterestRate_CRO</vt:lpstr>
      <vt:lpstr>'SREO 2'!SREO_DebtSvcAtStressedInterestRate_CRO</vt:lpstr>
      <vt:lpstr>'SREO 3'!SREO_DebtSvcAtStressedInterestRate_CRO</vt:lpstr>
      <vt:lpstr>'SREO 4'!SREO_DebtSvcAtStressedInterestRate_CRO</vt:lpstr>
      <vt:lpstr>'SREO 5'!SREO_DebtSvcAtStressedInterestRate_CRO</vt:lpstr>
      <vt:lpstr>'SREO 6'!SREO_DebtSvcAtStressedInterestRate_CRO</vt:lpstr>
      <vt:lpstr>'SREO 7'!SREO_DebtSvcAtStressedInterestRate_CRO</vt:lpstr>
      <vt:lpstr>'SREO 8'!SREO_DebtSvcAtStressedInterestRate_CRO</vt:lpstr>
      <vt:lpstr>'SREO 1'!SREO_DebtSvcAtStressedInterestRate_Land</vt:lpstr>
      <vt:lpstr>'SREO 2'!SREO_DebtSvcAtStressedInterestRate_Land</vt:lpstr>
      <vt:lpstr>'SREO 3'!SREO_DebtSvcAtStressedInterestRate_Land</vt:lpstr>
      <vt:lpstr>'SREO 4'!SREO_DebtSvcAtStressedInterestRate_Land</vt:lpstr>
      <vt:lpstr>'SREO 5'!SREO_DebtSvcAtStressedInterestRate_Land</vt:lpstr>
      <vt:lpstr>'SREO 6'!SREO_DebtSvcAtStressedInterestRate_Land</vt:lpstr>
      <vt:lpstr>'SREO 7'!SREO_DebtSvcAtStressedInterestRate_Land</vt:lpstr>
      <vt:lpstr>'SREO 8'!SREO_DebtSvcAtStressedInterestRate_Land</vt:lpstr>
      <vt:lpstr>'SREO 1'!SREO_DebtSvcAtStressedInterestRate_MF</vt:lpstr>
      <vt:lpstr>'SREO 2'!SREO_DebtSvcAtStressedInterestRate_MF</vt:lpstr>
      <vt:lpstr>'SREO 3'!SREO_DebtSvcAtStressedInterestRate_MF</vt:lpstr>
      <vt:lpstr>'SREO 4'!SREO_DebtSvcAtStressedInterestRate_MF</vt:lpstr>
      <vt:lpstr>'SREO 5'!SREO_DebtSvcAtStressedInterestRate_MF</vt:lpstr>
      <vt:lpstr>'SREO 6'!SREO_DebtSvcAtStressedInterestRate_MF</vt:lpstr>
      <vt:lpstr>'SREO 7'!SREO_DebtSvcAtStressedInterestRate_MF</vt:lpstr>
      <vt:lpstr>'SREO 8'!SREO_DebtSvcAtStressedInterestRate_MF</vt:lpstr>
      <vt:lpstr>'SREO 1'!SREO_DebtSvcAtStressedInterestRate_UCNS</vt:lpstr>
      <vt:lpstr>'SREO 2'!SREO_DebtSvcAtStressedInterestRate_UCNS</vt:lpstr>
      <vt:lpstr>'SREO 3'!SREO_DebtSvcAtStressedInterestRate_UCNS</vt:lpstr>
      <vt:lpstr>'SREO 4'!SREO_DebtSvcAtStressedInterestRate_UCNS</vt:lpstr>
      <vt:lpstr>'SREO 5'!SREO_DebtSvcAtStressedInterestRate_UCNS</vt:lpstr>
      <vt:lpstr>'SREO 6'!SREO_DebtSvcAtStressedInterestRate_UCNS</vt:lpstr>
      <vt:lpstr>'SREO 7'!SREO_DebtSvcAtStressedInterestRate_UCNS</vt:lpstr>
      <vt:lpstr>'SREO 8'!SREO_DebtSvcAtStressedInterestRate_UCNS</vt:lpstr>
      <vt:lpstr>'SREO 1'!SREO_EquityDifference</vt:lpstr>
      <vt:lpstr>'SREO 2'!SREO_EquityDifference</vt:lpstr>
      <vt:lpstr>'SREO 3'!SREO_EquityDifference</vt:lpstr>
      <vt:lpstr>'SREO 4'!SREO_EquityDifference</vt:lpstr>
      <vt:lpstr>'SREO 5'!SREO_EquityDifference</vt:lpstr>
      <vt:lpstr>'SREO 6'!SREO_EquityDifference</vt:lpstr>
      <vt:lpstr>'SREO 7'!SREO_EquityDifference</vt:lpstr>
      <vt:lpstr>'SREO 8'!SREO_EquityDifference</vt:lpstr>
      <vt:lpstr>'SREO 1'!SREO_EquityDifferenceAsPcnt</vt:lpstr>
      <vt:lpstr>'SREO 2'!SREO_EquityDifferenceAsPcnt</vt:lpstr>
      <vt:lpstr>'SREO 3'!SREO_EquityDifferenceAsPcnt</vt:lpstr>
      <vt:lpstr>'SREO 4'!SREO_EquityDifferenceAsPcnt</vt:lpstr>
      <vt:lpstr>'SREO 5'!SREO_EquityDifferenceAsPcnt</vt:lpstr>
      <vt:lpstr>'SREO 6'!SREO_EquityDifferenceAsPcnt</vt:lpstr>
      <vt:lpstr>'SREO 7'!SREO_EquityDifferenceAsPcnt</vt:lpstr>
      <vt:lpstr>'SREO 8'!SREO_EquityDifferenceAsPcnt</vt:lpstr>
      <vt:lpstr>'SREO 1'!SREO_EquityReportedInFinancialStatements</vt:lpstr>
      <vt:lpstr>'SREO 2'!SREO_EquityReportedInFinancialStatements</vt:lpstr>
      <vt:lpstr>'SREO 3'!SREO_EquityReportedInFinancialStatements</vt:lpstr>
      <vt:lpstr>'SREO 4'!SREO_EquityReportedInFinancialStatements</vt:lpstr>
      <vt:lpstr>'SREO 5'!SREO_EquityReportedInFinancialStatements</vt:lpstr>
      <vt:lpstr>'SREO 6'!SREO_EquityReportedInFinancialStatements</vt:lpstr>
      <vt:lpstr>'SREO 7'!SREO_EquityReportedInFinancialStatements</vt:lpstr>
      <vt:lpstr>'SREO 8'!SREO_EquityReportedInFinancialStatements</vt:lpstr>
      <vt:lpstr>'SREO 1'!SREO_ImpliedCapRate_AllProperties</vt:lpstr>
      <vt:lpstr>'SREO 2'!SREO_ImpliedCapRate_AllProperties</vt:lpstr>
      <vt:lpstr>'SREO 3'!SREO_ImpliedCapRate_AllProperties</vt:lpstr>
      <vt:lpstr>'SREO 4'!SREO_ImpliedCapRate_AllProperties</vt:lpstr>
      <vt:lpstr>'SREO 5'!SREO_ImpliedCapRate_AllProperties</vt:lpstr>
      <vt:lpstr>'SREO 6'!SREO_ImpliedCapRate_AllProperties</vt:lpstr>
      <vt:lpstr>'SREO 7'!SREO_ImpliedCapRate_AllProperties</vt:lpstr>
      <vt:lpstr>'SREO 8'!SREO_ImpliedCapRate_AllProperties</vt:lpstr>
      <vt:lpstr>'SREO 1'!SREO_ImpliedCapRate_CRO</vt:lpstr>
      <vt:lpstr>'SREO 2'!SREO_ImpliedCapRate_CRO</vt:lpstr>
      <vt:lpstr>'SREO 3'!SREO_ImpliedCapRate_CRO</vt:lpstr>
      <vt:lpstr>'SREO 4'!SREO_ImpliedCapRate_CRO</vt:lpstr>
      <vt:lpstr>'SREO 5'!SREO_ImpliedCapRate_CRO</vt:lpstr>
      <vt:lpstr>'SREO 6'!SREO_ImpliedCapRate_CRO</vt:lpstr>
      <vt:lpstr>'SREO 7'!SREO_ImpliedCapRate_CRO</vt:lpstr>
      <vt:lpstr>'SREO 8'!SREO_ImpliedCapRate_CRO</vt:lpstr>
      <vt:lpstr>'SREO 1'!SREO_ImpliedCapRate_Land</vt:lpstr>
      <vt:lpstr>'SREO 2'!SREO_ImpliedCapRate_Land</vt:lpstr>
      <vt:lpstr>'SREO 3'!SREO_ImpliedCapRate_Land</vt:lpstr>
      <vt:lpstr>'SREO 4'!SREO_ImpliedCapRate_Land</vt:lpstr>
      <vt:lpstr>'SREO 5'!SREO_ImpliedCapRate_Land</vt:lpstr>
      <vt:lpstr>'SREO 6'!SREO_ImpliedCapRate_Land</vt:lpstr>
      <vt:lpstr>'SREO 7'!SREO_ImpliedCapRate_Land</vt:lpstr>
      <vt:lpstr>'SREO 8'!SREO_ImpliedCapRate_Land</vt:lpstr>
      <vt:lpstr>'SREO 1'!SREO_ImpliedCapRate_MF</vt:lpstr>
      <vt:lpstr>'SREO 2'!SREO_ImpliedCapRate_MF</vt:lpstr>
      <vt:lpstr>'SREO 3'!SREO_ImpliedCapRate_MF</vt:lpstr>
      <vt:lpstr>'SREO 4'!SREO_ImpliedCapRate_MF</vt:lpstr>
      <vt:lpstr>'SREO 5'!SREO_ImpliedCapRate_MF</vt:lpstr>
      <vt:lpstr>'SREO 6'!SREO_ImpliedCapRate_MF</vt:lpstr>
      <vt:lpstr>'SREO 7'!SREO_ImpliedCapRate_MF</vt:lpstr>
      <vt:lpstr>'SREO 8'!SREO_ImpliedCapRate_MF</vt:lpstr>
      <vt:lpstr>'SREO 1'!SREO_ImpliedCapRate_UCNS</vt:lpstr>
      <vt:lpstr>'SREO 2'!SREO_ImpliedCapRate_UCNS</vt:lpstr>
      <vt:lpstr>'SREO 3'!SREO_ImpliedCapRate_UCNS</vt:lpstr>
      <vt:lpstr>'SREO 4'!SREO_ImpliedCapRate_UCNS</vt:lpstr>
      <vt:lpstr>'SREO 5'!SREO_ImpliedCapRate_UCNS</vt:lpstr>
      <vt:lpstr>'SREO 6'!SREO_ImpliedCapRate_UCNS</vt:lpstr>
      <vt:lpstr>'SREO 7'!SREO_ImpliedCapRate_UCNS</vt:lpstr>
      <vt:lpstr>'SREO 8'!SREO_ImpliedCapRate_UCNS</vt:lpstr>
      <vt:lpstr>'SREO 1'!SREO_KeyPrincipalName</vt:lpstr>
      <vt:lpstr>'SREO 2'!SREO_KeyPrincipalName</vt:lpstr>
      <vt:lpstr>'SREO 3'!SREO_KeyPrincipalName</vt:lpstr>
      <vt:lpstr>'SREO 4'!SREO_KeyPrincipalName</vt:lpstr>
      <vt:lpstr>'SREO 5'!SREO_KeyPrincipalName</vt:lpstr>
      <vt:lpstr>'SREO 6'!SREO_KeyPrincipalName</vt:lpstr>
      <vt:lpstr>'SREO 7'!SREO_KeyPrincipalName</vt:lpstr>
      <vt:lpstr>'SREO 8'!SREO_KeyPrincipalName</vt:lpstr>
      <vt:lpstr>'SREO 1'!SREO_LTV_AllProperties</vt:lpstr>
      <vt:lpstr>'SREO 2'!SREO_LTV_AllProperties</vt:lpstr>
      <vt:lpstr>'SREO 3'!SREO_LTV_AllProperties</vt:lpstr>
      <vt:lpstr>'SREO 4'!SREO_LTV_AllProperties</vt:lpstr>
      <vt:lpstr>'SREO 5'!SREO_LTV_AllProperties</vt:lpstr>
      <vt:lpstr>'SREO 6'!SREO_LTV_AllProperties</vt:lpstr>
      <vt:lpstr>'SREO 7'!SREO_LTV_AllProperties</vt:lpstr>
      <vt:lpstr>'SREO 8'!SREO_LTV_AllProperties</vt:lpstr>
      <vt:lpstr>'SREO 1'!SREO_LTV_CRO</vt:lpstr>
      <vt:lpstr>'SREO 2'!SREO_LTV_CRO</vt:lpstr>
      <vt:lpstr>'SREO 3'!SREO_LTV_CRO</vt:lpstr>
      <vt:lpstr>'SREO 4'!SREO_LTV_CRO</vt:lpstr>
      <vt:lpstr>'SREO 5'!SREO_LTV_CRO</vt:lpstr>
      <vt:lpstr>'SREO 6'!SREO_LTV_CRO</vt:lpstr>
      <vt:lpstr>'SREO 7'!SREO_LTV_CRO</vt:lpstr>
      <vt:lpstr>'SREO 8'!SREO_LTV_CRO</vt:lpstr>
      <vt:lpstr>'SREO 1'!SREO_LTV_Land</vt:lpstr>
      <vt:lpstr>'SREO 2'!SREO_LTV_Land</vt:lpstr>
      <vt:lpstr>'SREO 3'!SREO_LTV_Land</vt:lpstr>
      <vt:lpstr>'SREO 4'!SREO_LTV_Land</vt:lpstr>
      <vt:lpstr>'SREO 5'!SREO_LTV_Land</vt:lpstr>
      <vt:lpstr>'SREO 6'!SREO_LTV_Land</vt:lpstr>
      <vt:lpstr>'SREO 7'!SREO_LTV_Land</vt:lpstr>
      <vt:lpstr>'SREO 8'!SREO_LTV_Land</vt:lpstr>
      <vt:lpstr>'SREO 1'!SREO_LTV_MF</vt:lpstr>
      <vt:lpstr>'SREO 2'!SREO_LTV_MF</vt:lpstr>
      <vt:lpstr>'SREO 3'!SREO_LTV_MF</vt:lpstr>
      <vt:lpstr>'SREO 4'!SREO_LTV_MF</vt:lpstr>
      <vt:lpstr>'SREO 5'!SREO_LTV_MF</vt:lpstr>
      <vt:lpstr>'SREO 6'!SREO_LTV_MF</vt:lpstr>
      <vt:lpstr>'SREO 7'!SREO_LTV_MF</vt:lpstr>
      <vt:lpstr>'SREO 8'!SREO_LTV_MF</vt:lpstr>
      <vt:lpstr>'SREO 1'!SREO_LTV_UCNS</vt:lpstr>
      <vt:lpstr>'SREO 2'!SREO_LTV_UCNS</vt:lpstr>
      <vt:lpstr>'SREO 3'!SREO_LTV_UCNS</vt:lpstr>
      <vt:lpstr>'SREO 4'!SREO_LTV_UCNS</vt:lpstr>
      <vt:lpstr>'SREO 5'!SREO_LTV_UCNS</vt:lpstr>
      <vt:lpstr>'SREO 6'!SREO_LTV_UCNS</vt:lpstr>
      <vt:lpstr>'SREO 7'!SREO_LTV_UCNS</vt:lpstr>
      <vt:lpstr>'SREO 8'!SREO_LTV_UCNS</vt:lpstr>
      <vt:lpstr>'SREO 1'!SREO_LTV_WD</vt:lpstr>
      <vt:lpstr>'SREO 2'!SREO_LTV_WD</vt:lpstr>
      <vt:lpstr>'SREO 3'!SREO_LTV_WD</vt:lpstr>
      <vt:lpstr>'SREO 4'!SREO_LTV_WD</vt:lpstr>
      <vt:lpstr>'SREO 5'!SREO_LTV_WD</vt:lpstr>
      <vt:lpstr>'SREO 6'!SREO_LTV_WD</vt:lpstr>
      <vt:lpstr>'SREO 7'!SREO_LTV_WD</vt:lpstr>
      <vt:lpstr>'SREO 8'!SREO_LTV_WD</vt:lpstr>
      <vt:lpstr>'SREO 1'!SREO_MarketValue_AllProperties</vt:lpstr>
      <vt:lpstr>'SREO 2'!SREO_MarketValue_AllProperties</vt:lpstr>
      <vt:lpstr>'SREO 3'!SREO_MarketValue_AllProperties</vt:lpstr>
      <vt:lpstr>'SREO 4'!SREO_MarketValue_AllProperties</vt:lpstr>
      <vt:lpstr>'SREO 5'!SREO_MarketValue_AllProperties</vt:lpstr>
      <vt:lpstr>'SREO 6'!SREO_MarketValue_AllProperties</vt:lpstr>
      <vt:lpstr>'SREO 7'!SREO_MarketValue_AllProperties</vt:lpstr>
      <vt:lpstr>'SREO 8'!SREO_MarketValue_AllProperties</vt:lpstr>
      <vt:lpstr>'SREO 1'!SREO_MarketValue_CRO</vt:lpstr>
      <vt:lpstr>'SREO 2'!SREO_MarketValue_CRO</vt:lpstr>
      <vt:lpstr>'SREO 3'!SREO_MarketValue_CRO</vt:lpstr>
      <vt:lpstr>'SREO 4'!SREO_MarketValue_CRO</vt:lpstr>
      <vt:lpstr>'SREO 5'!SREO_MarketValue_CRO</vt:lpstr>
      <vt:lpstr>'SREO 6'!SREO_MarketValue_CRO</vt:lpstr>
      <vt:lpstr>'SREO 7'!SREO_MarketValue_CRO</vt:lpstr>
      <vt:lpstr>'SREO 8'!SREO_MarketValue_CRO</vt:lpstr>
      <vt:lpstr>'SREO 1'!SREO_MarketValue_Land</vt:lpstr>
      <vt:lpstr>'SREO 2'!SREO_MarketValue_Land</vt:lpstr>
      <vt:lpstr>'SREO 3'!SREO_MarketValue_Land</vt:lpstr>
      <vt:lpstr>'SREO 4'!SREO_MarketValue_Land</vt:lpstr>
      <vt:lpstr>'SREO 5'!SREO_MarketValue_Land</vt:lpstr>
      <vt:lpstr>'SREO 6'!SREO_MarketValue_Land</vt:lpstr>
      <vt:lpstr>'SREO 7'!SREO_MarketValue_Land</vt:lpstr>
      <vt:lpstr>'SREO 8'!SREO_MarketValue_Land</vt:lpstr>
      <vt:lpstr>'SREO 1'!SREO_MarketValue_MF</vt:lpstr>
      <vt:lpstr>'SREO 2'!SREO_MarketValue_MF</vt:lpstr>
      <vt:lpstr>'SREO 3'!SREO_MarketValue_MF</vt:lpstr>
      <vt:lpstr>'SREO 4'!SREO_MarketValue_MF</vt:lpstr>
      <vt:lpstr>'SREO 5'!SREO_MarketValue_MF</vt:lpstr>
      <vt:lpstr>'SREO 6'!SREO_MarketValue_MF</vt:lpstr>
      <vt:lpstr>'SREO 7'!SREO_MarketValue_MF</vt:lpstr>
      <vt:lpstr>'SREO 8'!SREO_MarketValue_MF</vt:lpstr>
      <vt:lpstr>'SREO 1'!SREO_MarketValue_UCNS</vt:lpstr>
      <vt:lpstr>'SREO 2'!SREO_MarketValue_UCNS</vt:lpstr>
      <vt:lpstr>'SREO 3'!SREO_MarketValue_UCNS</vt:lpstr>
      <vt:lpstr>'SREO 4'!SREO_MarketValue_UCNS</vt:lpstr>
      <vt:lpstr>'SREO 5'!SREO_MarketValue_UCNS</vt:lpstr>
      <vt:lpstr>'SREO 6'!SREO_MarketValue_UCNS</vt:lpstr>
      <vt:lpstr>'SREO 7'!SREO_MarketValue_UCNS</vt:lpstr>
      <vt:lpstr>'SREO 8'!SREO_MarketValue_UCNS</vt:lpstr>
      <vt:lpstr>'SREO 1'!SREO_MarketValue_WD</vt:lpstr>
      <vt:lpstr>'SREO 2'!SREO_MarketValue_WD</vt:lpstr>
      <vt:lpstr>'SREO 3'!SREO_MarketValue_WD</vt:lpstr>
      <vt:lpstr>'SREO 4'!SREO_MarketValue_WD</vt:lpstr>
      <vt:lpstr>'SREO 5'!SREO_MarketValue_WD</vt:lpstr>
      <vt:lpstr>'SREO 6'!SREO_MarketValue_WD</vt:lpstr>
      <vt:lpstr>'SREO 7'!SREO_MarketValue_WD</vt:lpstr>
      <vt:lpstr>'SREO 8'!SREO_MarketValue_WD</vt:lpstr>
      <vt:lpstr>'SREO 1'!SREO_NCF_BeforeDebtSvc_AllProperties</vt:lpstr>
      <vt:lpstr>'SREO 2'!SREO_NCF_BeforeDebtSvc_AllProperties</vt:lpstr>
      <vt:lpstr>'SREO 3'!SREO_NCF_BeforeDebtSvc_AllProperties</vt:lpstr>
      <vt:lpstr>'SREO 4'!SREO_NCF_BeforeDebtSvc_AllProperties</vt:lpstr>
      <vt:lpstr>'SREO 5'!SREO_NCF_BeforeDebtSvc_AllProperties</vt:lpstr>
      <vt:lpstr>'SREO 6'!SREO_NCF_BeforeDebtSvc_AllProperties</vt:lpstr>
      <vt:lpstr>'SREO 7'!SREO_NCF_BeforeDebtSvc_AllProperties</vt:lpstr>
      <vt:lpstr>'SREO 8'!SREO_NCF_BeforeDebtSvc_AllProperties</vt:lpstr>
      <vt:lpstr>'SREO 1'!SREO_NCF_BeforeDebtSvc_CRO</vt:lpstr>
      <vt:lpstr>'SREO 2'!SREO_NCF_BeforeDebtSvc_CRO</vt:lpstr>
      <vt:lpstr>'SREO 3'!SREO_NCF_BeforeDebtSvc_CRO</vt:lpstr>
      <vt:lpstr>'SREO 4'!SREO_NCF_BeforeDebtSvc_CRO</vt:lpstr>
      <vt:lpstr>'SREO 5'!SREO_NCF_BeforeDebtSvc_CRO</vt:lpstr>
      <vt:lpstr>'SREO 6'!SREO_NCF_BeforeDebtSvc_CRO</vt:lpstr>
      <vt:lpstr>'SREO 7'!SREO_NCF_BeforeDebtSvc_CRO</vt:lpstr>
      <vt:lpstr>'SREO 8'!SREO_NCF_BeforeDebtSvc_CRO</vt:lpstr>
      <vt:lpstr>'SREO 1'!SREO_NCF_BeforeDebtSvc_Land</vt:lpstr>
      <vt:lpstr>'SREO 2'!SREO_NCF_BeforeDebtSvc_Land</vt:lpstr>
      <vt:lpstr>'SREO 3'!SREO_NCF_BeforeDebtSvc_Land</vt:lpstr>
      <vt:lpstr>'SREO 4'!SREO_NCF_BeforeDebtSvc_Land</vt:lpstr>
      <vt:lpstr>'SREO 5'!SREO_NCF_BeforeDebtSvc_Land</vt:lpstr>
      <vt:lpstr>'SREO 6'!SREO_NCF_BeforeDebtSvc_Land</vt:lpstr>
      <vt:lpstr>'SREO 7'!SREO_NCF_BeforeDebtSvc_Land</vt:lpstr>
      <vt:lpstr>'SREO 8'!SREO_NCF_BeforeDebtSvc_Land</vt:lpstr>
      <vt:lpstr>'SREO 1'!SREO_NCF_BeforeDebtSvc_MF</vt:lpstr>
      <vt:lpstr>'SREO 2'!SREO_NCF_BeforeDebtSvc_MF</vt:lpstr>
      <vt:lpstr>'SREO 3'!SREO_NCF_BeforeDebtSvc_MF</vt:lpstr>
      <vt:lpstr>'SREO 4'!SREO_NCF_BeforeDebtSvc_MF</vt:lpstr>
      <vt:lpstr>'SREO 5'!SREO_NCF_BeforeDebtSvc_MF</vt:lpstr>
      <vt:lpstr>'SREO 6'!SREO_NCF_BeforeDebtSvc_MF</vt:lpstr>
      <vt:lpstr>'SREO 7'!SREO_NCF_BeforeDebtSvc_MF</vt:lpstr>
      <vt:lpstr>'SREO 8'!SREO_NCF_BeforeDebtSvc_MF</vt:lpstr>
      <vt:lpstr>'SREO 1'!SREO_NCF_BeforeDebtSvc_UCNS</vt:lpstr>
      <vt:lpstr>'SREO 2'!SREO_NCF_BeforeDebtSvc_UCNS</vt:lpstr>
      <vt:lpstr>'SREO 3'!SREO_NCF_BeforeDebtSvc_UCNS</vt:lpstr>
      <vt:lpstr>'SREO 4'!SREO_NCF_BeforeDebtSvc_UCNS</vt:lpstr>
      <vt:lpstr>'SREO 5'!SREO_NCF_BeforeDebtSvc_UCNS</vt:lpstr>
      <vt:lpstr>'SREO 6'!SREO_NCF_BeforeDebtSvc_UCNS</vt:lpstr>
      <vt:lpstr>'SREO 7'!SREO_NCF_BeforeDebtSvc_UCNS</vt:lpstr>
      <vt:lpstr>'SREO 8'!SREO_NCF_BeforeDebtSvc_UCNS</vt:lpstr>
      <vt:lpstr>'SREO 1'!SREO_NCF_BeforeDebtSvc_WD</vt:lpstr>
      <vt:lpstr>'SREO 2'!SREO_NCF_BeforeDebtSvc_WD</vt:lpstr>
      <vt:lpstr>'SREO 3'!SREO_NCF_BeforeDebtSvc_WD</vt:lpstr>
      <vt:lpstr>'SREO 4'!SREO_NCF_BeforeDebtSvc_WD</vt:lpstr>
      <vt:lpstr>'SREO 5'!SREO_NCF_BeforeDebtSvc_WD</vt:lpstr>
      <vt:lpstr>'SREO 6'!SREO_NCF_BeforeDebtSvc_WD</vt:lpstr>
      <vt:lpstr>'SREO 7'!SREO_NCF_BeforeDebtSvc_WD</vt:lpstr>
      <vt:lpstr>'SREO 8'!SREO_NCF_BeforeDebtSvc_WD</vt:lpstr>
      <vt:lpstr>'SREO 1'!SREO_OutstandingLoanAmts_AllProperties</vt:lpstr>
      <vt:lpstr>'SREO 2'!SREO_OutstandingLoanAmts_AllProperties</vt:lpstr>
      <vt:lpstr>'SREO 3'!SREO_OutstandingLoanAmts_AllProperties</vt:lpstr>
      <vt:lpstr>'SREO 4'!SREO_OutstandingLoanAmts_AllProperties</vt:lpstr>
      <vt:lpstr>'SREO 5'!SREO_OutstandingLoanAmts_AllProperties</vt:lpstr>
      <vt:lpstr>'SREO 6'!SREO_OutstandingLoanAmts_AllProperties</vt:lpstr>
      <vt:lpstr>'SREO 7'!SREO_OutstandingLoanAmts_AllProperties</vt:lpstr>
      <vt:lpstr>'SREO 8'!SREO_OutstandingLoanAmts_AllProperties</vt:lpstr>
      <vt:lpstr>'SREO 1'!SREO_OutstandingLoanAmts_CRO</vt:lpstr>
      <vt:lpstr>'SREO 2'!SREO_OutstandingLoanAmts_CRO</vt:lpstr>
      <vt:lpstr>'SREO 3'!SREO_OutstandingLoanAmts_CRO</vt:lpstr>
      <vt:lpstr>'SREO 4'!SREO_OutstandingLoanAmts_CRO</vt:lpstr>
      <vt:lpstr>'SREO 5'!SREO_OutstandingLoanAmts_CRO</vt:lpstr>
      <vt:lpstr>'SREO 6'!SREO_OutstandingLoanAmts_CRO</vt:lpstr>
      <vt:lpstr>'SREO 7'!SREO_OutstandingLoanAmts_CRO</vt:lpstr>
      <vt:lpstr>'SREO 8'!SREO_OutstandingLoanAmts_CRO</vt:lpstr>
      <vt:lpstr>'SREO 1'!SREO_OutstandingLoanAmts_Land</vt:lpstr>
      <vt:lpstr>'SREO 2'!SREO_OutstandingLoanAmts_Land</vt:lpstr>
      <vt:lpstr>'SREO 3'!SREO_OutstandingLoanAmts_Land</vt:lpstr>
      <vt:lpstr>'SREO 4'!SREO_OutstandingLoanAmts_Land</vt:lpstr>
      <vt:lpstr>'SREO 5'!SREO_OutstandingLoanAmts_Land</vt:lpstr>
      <vt:lpstr>'SREO 6'!SREO_OutstandingLoanAmts_Land</vt:lpstr>
      <vt:lpstr>'SREO 7'!SREO_OutstandingLoanAmts_Land</vt:lpstr>
      <vt:lpstr>'SREO 8'!SREO_OutstandingLoanAmts_Land</vt:lpstr>
      <vt:lpstr>'SREO 1'!SREO_OutstandingLoanAmts_MF</vt:lpstr>
      <vt:lpstr>'SREO 2'!SREO_OutstandingLoanAmts_MF</vt:lpstr>
      <vt:lpstr>'SREO 3'!SREO_OutstandingLoanAmts_MF</vt:lpstr>
      <vt:lpstr>'SREO 4'!SREO_OutstandingLoanAmts_MF</vt:lpstr>
      <vt:lpstr>'SREO 5'!SREO_OutstandingLoanAmts_MF</vt:lpstr>
      <vt:lpstr>'SREO 6'!SREO_OutstandingLoanAmts_MF</vt:lpstr>
      <vt:lpstr>'SREO 7'!SREO_OutstandingLoanAmts_MF</vt:lpstr>
      <vt:lpstr>'SREO 8'!SREO_OutstandingLoanAmts_MF</vt:lpstr>
      <vt:lpstr>'SREO 1'!SREO_OutstandingLoanAmts_UCNS</vt:lpstr>
      <vt:lpstr>'SREO 2'!SREO_OutstandingLoanAmts_UCNS</vt:lpstr>
      <vt:lpstr>'SREO 3'!SREO_OutstandingLoanAmts_UCNS</vt:lpstr>
      <vt:lpstr>'SREO 4'!SREO_OutstandingLoanAmts_UCNS</vt:lpstr>
      <vt:lpstr>'SREO 5'!SREO_OutstandingLoanAmts_UCNS</vt:lpstr>
      <vt:lpstr>'SREO 6'!SREO_OutstandingLoanAmts_UCNS</vt:lpstr>
      <vt:lpstr>'SREO 7'!SREO_OutstandingLoanAmts_UCNS</vt:lpstr>
      <vt:lpstr>'SREO 8'!SREO_OutstandingLoanAmts_UCNS</vt:lpstr>
      <vt:lpstr>'SREO 1'!SREO_SupplementalLoanAmts_AllProperties</vt:lpstr>
      <vt:lpstr>'SREO 2'!SREO_SupplementalLoanAmts_AllProperties</vt:lpstr>
      <vt:lpstr>'SREO 3'!SREO_SupplementalLoanAmts_AllProperties</vt:lpstr>
      <vt:lpstr>'SREO 4'!SREO_SupplementalLoanAmts_AllProperties</vt:lpstr>
      <vt:lpstr>'SREO 5'!SREO_SupplementalLoanAmts_AllProperties</vt:lpstr>
      <vt:lpstr>'SREO 6'!SREO_SupplementalLoanAmts_AllProperties</vt:lpstr>
      <vt:lpstr>'SREO 7'!SREO_SupplementalLoanAmts_AllProperties</vt:lpstr>
      <vt:lpstr>'SREO 8'!SREO_SupplementalLoanAmts_AllProperties</vt:lpstr>
      <vt:lpstr>'SREO 1'!SREO_SupplementalLoanAmts_CRO</vt:lpstr>
      <vt:lpstr>'SREO 2'!SREO_SupplementalLoanAmts_CRO</vt:lpstr>
      <vt:lpstr>'SREO 3'!SREO_SupplementalLoanAmts_CRO</vt:lpstr>
      <vt:lpstr>'SREO 4'!SREO_SupplementalLoanAmts_CRO</vt:lpstr>
      <vt:lpstr>'SREO 5'!SREO_SupplementalLoanAmts_CRO</vt:lpstr>
      <vt:lpstr>'SREO 6'!SREO_SupplementalLoanAmts_CRO</vt:lpstr>
      <vt:lpstr>'SREO 7'!SREO_SupplementalLoanAmts_CRO</vt:lpstr>
      <vt:lpstr>'SREO 8'!SREO_SupplementalLoanAmts_CRO</vt:lpstr>
      <vt:lpstr>'SREO 1'!SREO_SupplementalLoanAmts_Land</vt:lpstr>
      <vt:lpstr>'SREO 2'!SREO_SupplementalLoanAmts_Land</vt:lpstr>
      <vt:lpstr>'SREO 3'!SREO_SupplementalLoanAmts_Land</vt:lpstr>
      <vt:lpstr>'SREO 4'!SREO_SupplementalLoanAmts_Land</vt:lpstr>
      <vt:lpstr>'SREO 5'!SREO_SupplementalLoanAmts_Land</vt:lpstr>
      <vt:lpstr>'SREO 6'!SREO_SupplementalLoanAmts_Land</vt:lpstr>
      <vt:lpstr>'SREO 7'!SREO_SupplementalLoanAmts_Land</vt:lpstr>
      <vt:lpstr>'SREO 8'!SREO_SupplementalLoanAmts_Land</vt:lpstr>
      <vt:lpstr>'SREO 1'!SREO_SupplementalLoanAmts_MF</vt:lpstr>
      <vt:lpstr>'SREO 2'!SREO_SupplementalLoanAmts_MF</vt:lpstr>
      <vt:lpstr>'SREO 3'!SREO_SupplementalLoanAmts_MF</vt:lpstr>
      <vt:lpstr>'SREO 4'!SREO_SupplementalLoanAmts_MF</vt:lpstr>
      <vt:lpstr>'SREO 5'!SREO_SupplementalLoanAmts_MF</vt:lpstr>
      <vt:lpstr>'SREO 6'!SREO_SupplementalLoanAmts_MF</vt:lpstr>
      <vt:lpstr>'SREO 7'!SREO_SupplementalLoanAmts_MF</vt:lpstr>
      <vt:lpstr>'SREO 8'!SREO_SupplementalLoanAmts_MF</vt:lpstr>
      <vt:lpstr>'SREO 1'!SREO_SupplementalLoanAmts_UCNS</vt:lpstr>
      <vt:lpstr>'SREO 2'!SREO_SupplementalLoanAmts_UCNS</vt:lpstr>
      <vt:lpstr>'SREO 3'!SREO_SupplementalLoanAmts_UCNS</vt:lpstr>
      <vt:lpstr>'SREO 4'!SREO_SupplementalLoanAmts_UCNS</vt:lpstr>
      <vt:lpstr>'SREO 5'!SREO_SupplementalLoanAmts_UCNS</vt:lpstr>
      <vt:lpstr>'SREO 6'!SREO_SupplementalLoanAmts_UCNS</vt:lpstr>
      <vt:lpstr>'SREO 7'!SREO_SupplementalLoanAmts_UCNS</vt:lpstr>
      <vt:lpstr>'SREO 8'!SREO_SupplementalLoanAmts_UCNS</vt:lpstr>
      <vt:lpstr>'SREO 1'!SREO_TblOfProperties_CommercialRetailOffice</vt:lpstr>
      <vt:lpstr>'SREO 2'!SREO_TblOfProperties_CommercialRetailOffice</vt:lpstr>
      <vt:lpstr>'SREO 3'!SREO_TblOfProperties_CommercialRetailOffice</vt:lpstr>
      <vt:lpstr>'SREO 4'!SREO_TblOfProperties_CommercialRetailOffice</vt:lpstr>
      <vt:lpstr>'SREO 5'!SREO_TblOfProperties_CommercialRetailOffice</vt:lpstr>
      <vt:lpstr>'SREO 6'!SREO_TblOfProperties_CommercialRetailOffice</vt:lpstr>
      <vt:lpstr>'SREO 7'!SREO_TblOfProperties_CommercialRetailOffice</vt:lpstr>
      <vt:lpstr>'SREO 8'!SREO_TblOfProperties_CommercialRetailOffice</vt:lpstr>
      <vt:lpstr>'SREO 1'!SREO_TblOfProperties_Land</vt:lpstr>
      <vt:lpstr>'SREO 2'!SREO_TblOfProperties_Land</vt:lpstr>
      <vt:lpstr>'SREO 3'!SREO_TblOfProperties_Land</vt:lpstr>
      <vt:lpstr>'SREO 4'!SREO_TblOfProperties_Land</vt:lpstr>
      <vt:lpstr>'SREO 5'!SREO_TblOfProperties_Land</vt:lpstr>
      <vt:lpstr>'SREO 6'!SREO_TblOfProperties_Land</vt:lpstr>
      <vt:lpstr>'SREO 7'!SREO_TblOfProperties_Land</vt:lpstr>
      <vt:lpstr>'SREO 8'!SREO_TblOfProperties_Land</vt:lpstr>
      <vt:lpstr>'SREO 1'!SREO_TblOfProperties_Multifamily</vt:lpstr>
      <vt:lpstr>'SREO 2'!SREO_TblOfProperties_Multifamily</vt:lpstr>
      <vt:lpstr>'SREO 3'!SREO_TblOfProperties_Multifamily</vt:lpstr>
      <vt:lpstr>'SREO 4'!SREO_TblOfProperties_Multifamily</vt:lpstr>
      <vt:lpstr>'SREO 5'!SREO_TblOfProperties_Multifamily</vt:lpstr>
      <vt:lpstr>'SREO 6'!SREO_TblOfProperties_Multifamily</vt:lpstr>
      <vt:lpstr>'SREO 7'!SREO_TblOfProperties_Multifamily</vt:lpstr>
      <vt:lpstr>'SREO 8'!SREO_TblOfProperties_Multifamily</vt:lpstr>
      <vt:lpstr>'SREO 1'!SREO_TblOfProperties_UnderConstructionNonStabilized</vt:lpstr>
      <vt:lpstr>'SREO 2'!SREO_TblOfProperties_UnderConstructionNonStabilized</vt:lpstr>
      <vt:lpstr>'SREO 3'!SREO_TblOfProperties_UnderConstructionNonStabilized</vt:lpstr>
      <vt:lpstr>'SREO 4'!SREO_TblOfProperties_UnderConstructionNonStabilized</vt:lpstr>
      <vt:lpstr>'SREO 5'!SREO_TblOfProperties_UnderConstructionNonStabilized</vt:lpstr>
      <vt:lpstr>'SREO 6'!SREO_TblOfProperties_UnderConstructionNonStabilized</vt:lpstr>
      <vt:lpstr>'SREO 7'!SREO_TblOfProperties_UnderConstructionNonStabilized</vt:lpstr>
      <vt:lpstr>'SREO 8'!SREO_TblOfProperties_UnderConstructionNonStabilized</vt:lpstr>
      <vt:lpstr>'SREO 1'!SREO_TotalCashFlow_AllProperties</vt:lpstr>
      <vt:lpstr>'SREO 2'!SREO_TotalCashFlow_AllProperties</vt:lpstr>
      <vt:lpstr>'SREO 3'!SREO_TotalCashFlow_AllProperties</vt:lpstr>
      <vt:lpstr>'SREO 4'!SREO_TotalCashFlow_AllProperties</vt:lpstr>
      <vt:lpstr>'SREO 5'!SREO_TotalCashFlow_AllProperties</vt:lpstr>
      <vt:lpstr>'SREO 6'!SREO_TotalCashFlow_AllProperties</vt:lpstr>
      <vt:lpstr>'SREO 7'!SREO_TotalCashFlow_AllProperties</vt:lpstr>
      <vt:lpstr>'SREO 8'!SREO_TotalCashFlow_AllProperties</vt:lpstr>
      <vt:lpstr>'SREO 1'!SREO_TotalCashFlow_CRO</vt:lpstr>
      <vt:lpstr>'SREO 2'!SREO_TotalCashFlow_CRO</vt:lpstr>
      <vt:lpstr>'SREO 3'!SREO_TotalCashFlow_CRO</vt:lpstr>
      <vt:lpstr>'SREO 4'!SREO_TotalCashFlow_CRO</vt:lpstr>
      <vt:lpstr>'SREO 5'!SREO_TotalCashFlow_CRO</vt:lpstr>
      <vt:lpstr>'SREO 6'!SREO_TotalCashFlow_CRO</vt:lpstr>
      <vt:lpstr>'SREO 7'!SREO_TotalCashFlow_CRO</vt:lpstr>
      <vt:lpstr>'SREO 8'!SREO_TotalCashFlow_CRO</vt:lpstr>
      <vt:lpstr>'SREO 1'!SREO_TotalCashFlow_Land</vt:lpstr>
      <vt:lpstr>'SREO 2'!SREO_TotalCashFlow_Land</vt:lpstr>
      <vt:lpstr>'SREO 3'!SREO_TotalCashFlow_Land</vt:lpstr>
      <vt:lpstr>'SREO 4'!SREO_TotalCashFlow_Land</vt:lpstr>
      <vt:lpstr>'SREO 5'!SREO_TotalCashFlow_Land</vt:lpstr>
      <vt:lpstr>'SREO 6'!SREO_TotalCashFlow_Land</vt:lpstr>
      <vt:lpstr>'SREO 7'!SREO_TotalCashFlow_Land</vt:lpstr>
      <vt:lpstr>'SREO 8'!SREO_TotalCashFlow_Land</vt:lpstr>
      <vt:lpstr>'SREO 1'!SREO_TotalCashFlow_MF</vt:lpstr>
      <vt:lpstr>'SREO 2'!SREO_TotalCashFlow_MF</vt:lpstr>
      <vt:lpstr>'SREO 3'!SREO_TotalCashFlow_MF</vt:lpstr>
      <vt:lpstr>'SREO 4'!SREO_TotalCashFlow_MF</vt:lpstr>
      <vt:lpstr>'SREO 5'!SREO_TotalCashFlow_MF</vt:lpstr>
      <vt:lpstr>'SREO 6'!SREO_TotalCashFlow_MF</vt:lpstr>
      <vt:lpstr>'SREO 7'!SREO_TotalCashFlow_MF</vt:lpstr>
      <vt:lpstr>'SREO 8'!SREO_TotalCashFlow_MF</vt:lpstr>
      <vt:lpstr>'SREO 1'!SREO_TotalCashFlow_UCNS</vt:lpstr>
      <vt:lpstr>'SREO 2'!SREO_TotalCashFlow_UCNS</vt:lpstr>
      <vt:lpstr>'SREO 3'!SREO_TotalCashFlow_UCNS</vt:lpstr>
      <vt:lpstr>'SREO 4'!SREO_TotalCashFlow_UCNS</vt:lpstr>
      <vt:lpstr>'SREO 5'!SREO_TotalCashFlow_UCNS</vt:lpstr>
      <vt:lpstr>'SREO 6'!SREO_TotalCashFlow_UCNS</vt:lpstr>
      <vt:lpstr>'SREO 7'!SREO_TotalCashFlow_UCNS</vt:lpstr>
      <vt:lpstr>'SREO 8'!SREO_TotalCashFlow_UCNS</vt:lpstr>
      <vt:lpstr>'SREO 1'!SREO_TotalDCR_AllProperties</vt:lpstr>
      <vt:lpstr>'SREO 2'!SREO_TotalDCR_AllProperties</vt:lpstr>
      <vt:lpstr>'SREO 3'!SREO_TotalDCR_AllProperties</vt:lpstr>
      <vt:lpstr>'SREO 4'!SREO_TotalDCR_AllProperties</vt:lpstr>
      <vt:lpstr>'SREO 5'!SREO_TotalDCR_AllProperties</vt:lpstr>
      <vt:lpstr>'SREO 6'!SREO_TotalDCR_AllProperties</vt:lpstr>
      <vt:lpstr>'SREO 7'!SREO_TotalDCR_AllProperties</vt:lpstr>
      <vt:lpstr>'SREO 8'!SREO_TotalDCR_AllProperties</vt:lpstr>
      <vt:lpstr>'SREO 1'!SREO_TotalDCR_CRO</vt:lpstr>
      <vt:lpstr>'SREO 2'!SREO_TotalDCR_CRO</vt:lpstr>
      <vt:lpstr>'SREO 3'!SREO_TotalDCR_CRO</vt:lpstr>
      <vt:lpstr>'SREO 4'!SREO_TotalDCR_CRO</vt:lpstr>
      <vt:lpstr>'SREO 5'!SREO_TotalDCR_CRO</vt:lpstr>
      <vt:lpstr>'SREO 6'!SREO_TotalDCR_CRO</vt:lpstr>
      <vt:lpstr>'SREO 7'!SREO_TotalDCR_CRO</vt:lpstr>
      <vt:lpstr>'SREO 8'!SREO_TotalDCR_CRO</vt:lpstr>
      <vt:lpstr>'SREO 1'!SREO_TotalDCR_Land</vt:lpstr>
      <vt:lpstr>'SREO 2'!SREO_TotalDCR_Land</vt:lpstr>
      <vt:lpstr>'SREO 3'!SREO_TotalDCR_Land</vt:lpstr>
      <vt:lpstr>'SREO 4'!SREO_TotalDCR_Land</vt:lpstr>
      <vt:lpstr>'SREO 5'!SREO_TotalDCR_Land</vt:lpstr>
      <vt:lpstr>'SREO 6'!SREO_TotalDCR_Land</vt:lpstr>
      <vt:lpstr>'SREO 7'!SREO_TotalDCR_Land</vt:lpstr>
      <vt:lpstr>'SREO 8'!SREO_TotalDCR_Land</vt:lpstr>
      <vt:lpstr>'SREO 1'!SREO_TotalDCR_MF</vt:lpstr>
      <vt:lpstr>'SREO 2'!SREO_TotalDCR_MF</vt:lpstr>
      <vt:lpstr>'SREO 3'!SREO_TotalDCR_MF</vt:lpstr>
      <vt:lpstr>'SREO 4'!SREO_TotalDCR_MF</vt:lpstr>
      <vt:lpstr>'SREO 5'!SREO_TotalDCR_MF</vt:lpstr>
      <vt:lpstr>'SREO 6'!SREO_TotalDCR_MF</vt:lpstr>
      <vt:lpstr>'SREO 7'!SREO_TotalDCR_MF</vt:lpstr>
      <vt:lpstr>'SREO 8'!SREO_TotalDCR_MF</vt:lpstr>
      <vt:lpstr>'SREO 1'!SREO_TotalDCR_UCNS</vt:lpstr>
      <vt:lpstr>'SREO 2'!SREO_TotalDCR_UCNS</vt:lpstr>
      <vt:lpstr>'SREO 3'!SREO_TotalDCR_UCNS</vt:lpstr>
      <vt:lpstr>'SREO 4'!SREO_TotalDCR_UCNS</vt:lpstr>
      <vt:lpstr>'SREO 5'!SREO_TotalDCR_UCNS</vt:lpstr>
      <vt:lpstr>'SREO 6'!SREO_TotalDCR_UCNS</vt:lpstr>
      <vt:lpstr>'SREO 7'!SREO_TotalDCR_UCNS</vt:lpstr>
      <vt:lpstr>'SREO 8'!SREO_TotalDCR_UCNS</vt:lpstr>
      <vt:lpstr>'SREO 1'!SREO_TotalDCR_WD</vt:lpstr>
      <vt:lpstr>'SREO 2'!SREO_TotalDCR_WD</vt:lpstr>
      <vt:lpstr>'SREO 3'!SREO_TotalDCR_WD</vt:lpstr>
      <vt:lpstr>'SREO 4'!SREO_TotalDCR_WD</vt:lpstr>
      <vt:lpstr>'SREO 5'!SREO_TotalDCR_WD</vt:lpstr>
      <vt:lpstr>'SREO 6'!SREO_TotalDCR_WD</vt:lpstr>
      <vt:lpstr>'SREO 7'!SREO_TotalDCR_WD</vt:lpstr>
      <vt:lpstr>'SREO 8'!SREO_TotalDCR_WD</vt:lpstr>
      <vt:lpstr>'SREO 1'!SREO_TotalEquity_AllProperties</vt:lpstr>
      <vt:lpstr>'SREO 2'!SREO_TotalEquity_AllProperties</vt:lpstr>
      <vt:lpstr>'SREO 3'!SREO_TotalEquity_AllProperties</vt:lpstr>
      <vt:lpstr>'SREO 4'!SREO_TotalEquity_AllProperties</vt:lpstr>
      <vt:lpstr>'SREO 5'!SREO_TotalEquity_AllProperties</vt:lpstr>
      <vt:lpstr>'SREO 6'!SREO_TotalEquity_AllProperties</vt:lpstr>
      <vt:lpstr>'SREO 7'!SREO_TotalEquity_AllProperties</vt:lpstr>
      <vt:lpstr>'SREO 8'!SREO_TotalEquity_AllProperties</vt:lpstr>
      <vt:lpstr>'SREO 1'!SREO_TotalEquity_CRO</vt:lpstr>
      <vt:lpstr>'SREO 2'!SREO_TotalEquity_CRO</vt:lpstr>
      <vt:lpstr>'SREO 3'!SREO_TotalEquity_CRO</vt:lpstr>
      <vt:lpstr>'SREO 4'!SREO_TotalEquity_CRO</vt:lpstr>
      <vt:lpstr>'SREO 5'!SREO_TotalEquity_CRO</vt:lpstr>
      <vt:lpstr>'SREO 6'!SREO_TotalEquity_CRO</vt:lpstr>
      <vt:lpstr>'SREO 7'!SREO_TotalEquity_CRO</vt:lpstr>
      <vt:lpstr>'SREO 8'!SREO_TotalEquity_CRO</vt:lpstr>
      <vt:lpstr>'SREO 1'!SREO_TotalEquity_Land</vt:lpstr>
      <vt:lpstr>'SREO 2'!SREO_TotalEquity_Land</vt:lpstr>
      <vt:lpstr>'SREO 3'!SREO_TotalEquity_Land</vt:lpstr>
      <vt:lpstr>'SREO 4'!SREO_TotalEquity_Land</vt:lpstr>
      <vt:lpstr>'SREO 5'!SREO_TotalEquity_Land</vt:lpstr>
      <vt:lpstr>'SREO 6'!SREO_TotalEquity_Land</vt:lpstr>
      <vt:lpstr>'SREO 7'!SREO_TotalEquity_Land</vt:lpstr>
      <vt:lpstr>'SREO 8'!SREO_TotalEquity_Land</vt:lpstr>
      <vt:lpstr>'SREO 1'!SREO_TotalEquity_MF</vt:lpstr>
      <vt:lpstr>'SREO 2'!SREO_TotalEquity_MF</vt:lpstr>
      <vt:lpstr>'SREO 3'!SREO_TotalEquity_MF</vt:lpstr>
      <vt:lpstr>'SREO 4'!SREO_TotalEquity_MF</vt:lpstr>
      <vt:lpstr>'SREO 5'!SREO_TotalEquity_MF</vt:lpstr>
      <vt:lpstr>'SREO 6'!SREO_TotalEquity_MF</vt:lpstr>
      <vt:lpstr>'SREO 7'!SREO_TotalEquity_MF</vt:lpstr>
      <vt:lpstr>'SREO 8'!SREO_TotalEquity_MF</vt:lpstr>
      <vt:lpstr>'SREO 1'!SREO_TotalEquity_UCNS</vt:lpstr>
      <vt:lpstr>'SREO 2'!SREO_TotalEquity_UCNS</vt:lpstr>
      <vt:lpstr>'SREO 3'!SREO_TotalEquity_UCNS</vt:lpstr>
      <vt:lpstr>'SREO 4'!SREO_TotalEquity_UCNS</vt:lpstr>
      <vt:lpstr>'SREO 5'!SREO_TotalEquity_UCNS</vt:lpstr>
      <vt:lpstr>'SREO 6'!SREO_TotalEquity_UCNS</vt:lpstr>
      <vt:lpstr>'SREO 7'!SREO_TotalEquity_UCNS</vt:lpstr>
      <vt:lpstr>'SREO 8'!SREO_TotalEquity_UCNS</vt:lpstr>
      <vt:lpstr>'SREO 1'!SREO_TotalLoanAmts_AllProperties</vt:lpstr>
      <vt:lpstr>'SREO 2'!SREO_TotalLoanAmts_AllProperties</vt:lpstr>
      <vt:lpstr>'SREO 3'!SREO_TotalLoanAmts_AllProperties</vt:lpstr>
      <vt:lpstr>'SREO 4'!SREO_TotalLoanAmts_AllProperties</vt:lpstr>
      <vt:lpstr>'SREO 5'!SREO_TotalLoanAmts_AllProperties</vt:lpstr>
      <vt:lpstr>'SREO 6'!SREO_TotalLoanAmts_AllProperties</vt:lpstr>
      <vt:lpstr>'SREO 7'!SREO_TotalLoanAmts_AllProperties</vt:lpstr>
      <vt:lpstr>'SREO 8'!SREO_TotalLoanAmts_AllProperties</vt:lpstr>
      <vt:lpstr>'SREO 1'!SREO_TotalLoanAmts_CRO</vt:lpstr>
      <vt:lpstr>'SREO 2'!SREO_TotalLoanAmts_CRO</vt:lpstr>
      <vt:lpstr>'SREO 3'!SREO_TotalLoanAmts_CRO</vt:lpstr>
      <vt:lpstr>'SREO 4'!SREO_TotalLoanAmts_CRO</vt:lpstr>
      <vt:lpstr>'SREO 5'!SREO_TotalLoanAmts_CRO</vt:lpstr>
      <vt:lpstr>'SREO 6'!SREO_TotalLoanAmts_CRO</vt:lpstr>
      <vt:lpstr>'SREO 7'!SREO_TotalLoanAmts_CRO</vt:lpstr>
      <vt:lpstr>'SREO 8'!SREO_TotalLoanAmts_CRO</vt:lpstr>
      <vt:lpstr>'SREO 1'!SREO_TotalLoanAmts_Land</vt:lpstr>
      <vt:lpstr>'SREO 2'!SREO_TotalLoanAmts_Land</vt:lpstr>
      <vt:lpstr>'SREO 3'!SREO_TotalLoanAmts_Land</vt:lpstr>
      <vt:lpstr>'SREO 4'!SREO_TotalLoanAmts_Land</vt:lpstr>
      <vt:lpstr>'SREO 5'!SREO_TotalLoanAmts_Land</vt:lpstr>
      <vt:lpstr>'SREO 6'!SREO_TotalLoanAmts_Land</vt:lpstr>
      <vt:lpstr>'SREO 7'!SREO_TotalLoanAmts_Land</vt:lpstr>
      <vt:lpstr>'SREO 8'!SREO_TotalLoanAmts_Land</vt:lpstr>
      <vt:lpstr>'SREO 1'!SREO_TotalLoanAmts_MF</vt:lpstr>
      <vt:lpstr>'SREO 2'!SREO_TotalLoanAmts_MF</vt:lpstr>
      <vt:lpstr>'SREO 3'!SREO_TotalLoanAmts_MF</vt:lpstr>
      <vt:lpstr>'SREO 4'!SREO_TotalLoanAmts_MF</vt:lpstr>
      <vt:lpstr>'SREO 5'!SREO_TotalLoanAmts_MF</vt:lpstr>
      <vt:lpstr>'SREO 6'!SREO_TotalLoanAmts_MF</vt:lpstr>
      <vt:lpstr>'SREO 7'!SREO_TotalLoanAmts_MF</vt:lpstr>
      <vt:lpstr>'SREO 8'!SREO_TotalLoanAmts_MF</vt:lpstr>
      <vt:lpstr>'SREO 1'!SREO_TotalLoanAmts_UCNS</vt:lpstr>
      <vt:lpstr>'SREO 2'!SREO_TotalLoanAmts_UCNS</vt:lpstr>
      <vt:lpstr>'SREO 3'!SREO_TotalLoanAmts_UCNS</vt:lpstr>
      <vt:lpstr>'SREO 4'!SREO_TotalLoanAmts_UCNS</vt:lpstr>
      <vt:lpstr>'SREO 5'!SREO_TotalLoanAmts_UCNS</vt:lpstr>
      <vt:lpstr>'SREO 6'!SREO_TotalLoanAmts_UCNS</vt:lpstr>
      <vt:lpstr>'SREO 7'!SREO_TotalLoanAmts_UCNS</vt:lpstr>
      <vt:lpstr>'SREO 8'!SREO_TotalLoanAmts_UCNS</vt:lpstr>
      <vt:lpstr>'SREO 1'!SREO_TotalLoans_FNM</vt:lpstr>
      <vt:lpstr>'SREO 2'!SREO_TotalLoans_FNM</vt:lpstr>
      <vt:lpstr>'SREO 3'!SREO_TotalLoans_FNM</vt:lpstr>
      <vt:lpstr>'SREO 4'!SREO_TotalLoans_FNM</vt:lpstr>
      <vt:lpstr>'SREO 5'!SREO_TotalLoans_FNM</vt:lpstr>
      <vt:lpstr>'SREO 6'!SREO_TotalLoans_FNM</vt:lpstr>
      <vt:lpstr>'SREO 7'!SREO_TotalLoans_FNM</vt:lpstr>
      <vt:lpstr>'SREO 8'!SREO_TotalLoans_FNM</vt:lpstr>
      <vt:lpstr>'SREO 1'!SREO_TotalLoans_WD</vt:lpstr>
      <vt:lpstr>'SREO 2'!SREO_TotalLoans_WD</vt:lpstr>
      <vt:lpstr>'SREO 3'!SREO_TotalLoans_WD</vt:lpstr>
      <vt:lpstr>'SREO 4'!SREO_TotalLoans_WD</vt:lpstr>
      <vt:lpstr>'SREO 5'!SREO_TotalLoans_WD</vt:lpstr>
      <vt:lpstr>'SREO 6'!SREO_TotalLoans_WD</vt:lpstr>
      <vt:lpstr>'SREO 7'!SREO_TotalLoans_WD</vt:lpstr>
      <vt:lpstr>'SREO 8'!SREO_TotalLoans_WD</vt:lpstr>
      <vt:lpstr>'SREO 1'!SREO_TotalStressedDCR_AllProperties</vt:lpstr>
      <vt:lpstr>'SREO 2'!SREO_TotalStressedDCR_AllProperties</vt:lpstr>
      <vt:lpstr>'SREO 3'!SREO_TotalStressedDCR_AllProperties</vt:lpstr>
      <vt:lpstr>'SREO 4'!SREO_TotalStressedDCR_AllProperties</vt:lpstr>
      <vt:lpstr>'SREO 5'!SREO_TotalStressedDCR_AllProperties</vt:lpstr>
      <vt:lpstr>'SREO 6'!SREO_TotalStressedDCR_AllProperties</vt:lpstr>
      <vt:lpstr>'SREO 7'!SREO_TotalStressedDCR_AllProperties</vt:lpstr>
      <vt:lpstr>'SREO 8'!SREO_TotalStressedDCR_AllProperties</vt:lpstr>
      <vt:lpstr>'SREO 1'!SREO_TotalStressedDCR_CRO</vt:lpstr>
      <vt:lpstr>'SREO 2'!SREO_TotalStressedDCR_CRO</vt:lpstr>
      <vt:lpstr>'SREO 3'!SREO_TotalStressedDCR_CRO</vt:lpstr>
      <vt:lpstr>'SREO 4'!SREO_TotalStressedDCR_CRO</vt:lpstr>
      <vt:lpstr>'SREO 5'!SREO_TotalStressedDCR_CRO</vt:lpstr>
      <vt:lpstr>'SREO 6'!SREO_TotalStressedDCR_CRO</vt:lpstr>
      <vt:lpstr>'SREO 7'!SREO_TotalStressedDCR_CRO</vt:lpstr>
      <vt:lpstr>'SREO 8'!SREO_TotalStressedDCR_CRO</vt:lpstr>
      <vt:lpstr>'SREO 1'!SREO_TotalStressedDCR_Land</vt:lpstr>
      <vt:lpstr>'SREO 2'!SREO_TotalStressedDCR_Land</vt:lpstr>
      <vt:lpstr>'SREO 3'!SREO_TotalStressedDCR_Land</vt:lpstr>
      <vt:lpstr>'SREO 4'!SREO_TotalStressedDCR_Land</vt:lpstr>
      <vt:lpstr>'SREO 5'!SREO_TotalStressedDCR_Land</vt:lpstr>
      <vt:lpstr>'SREO 6'!SREO_TotalStressedDCR_Land</vt:lpstr>
      <vt:lpstr>'SREO 7'!SREO_TotalStressedDCR_Land</vt:lpstr>
      <vt:lpstr>'SREO 8'!SREO_TotalStressedDCR_Land</vt:lpstr>
      <vt:lpstr>'SREO 1'!SREO_TotalStressedDCR_MF</vt:lpstr>
      <vt:lpstr>'SREO 2'!SREO_TotalStressedDCR_MF</vt:lpstr>
      <vt:lpstr>'SREO 3'!SREO_TotalStressedDCR_MF</vt:lpstr>
      <vt:lpstr>'SREO 4'!SREO_TotalStressedDCR_MF</vt:lpstr>
      <vt:lpstr>'SREO 5'!SREO_TotalStressedDCR_MF</vt:lpstr>
      <vt:lpstr>'SREO 6'!SREO_TotalStressedDCR_MF</vt:lpstr>
      <vt:lpstr>'SREO 7'!SREO_TotalStressedDCR_MF</vt:lpstr>
      <vt:lpstr>'SREO 8'!SREO_TotalStressedDCR_MF</vt:lpstr>
      <vt:lpstr>'SREO 1'!SREO_TotalStressedDCR_UCNS</vt:lpstr>
      <vt:lpstr>'SREO 2'!SREO_TotalStressedDCR_UCNS</vt:lpstr>
      <vt:lpstr>'SREO 3'!SREO_TotalStressedDCR_UCNS</vt:lpstr>
      <vt:lpstr>'SREO 4'!SREO_TotalStressedDCR_UCNS</vt:lpstr>
      <vt:lpstr>'SREO 5'!SREO_TotalStressedDCR_UCNS</vt:lpstr>
      <vt:lpstr>'SREO 6'!SREO_TotalStressedDCR_UCNS</vt:lpstr>
      <vt:lpstr>'SREO 7'!SREO_TotalStressedDCR_UCNS</vt:lpstr>
      <vt:lpstr>'SREO 8'!SREO_TotalStressedDCR_UCNS</vt:lpstr>
      <vt:lpstr>startingComps</vt:lpstr>
      <vt:lpstr>State_DataPageTab</vt:lpstr>
      <vt:lpstr>SZ_RSK</vt:lpstr>
      <vt:lpstr>SZ_ZN</vt:lpstr>
      <vt:lpstr>T1_Adj_Annualized_NRI</vt:lpstr>
      <vt:lpstr>T1_Annualized_NRI</vt:lpstr>
      <vt:lpstr>T12_Adj_Annualized_NRI</vt:lpstr>
      <vt:lpstr>T12_Annualized_NRI</vt:lpstr>
      <vt:lpstr>T3_Adj_Annualized_NRI</vt:lpstr>
      <vt:lpstr>T3_Annualized_NRI</vt:lpstr>
      <vt:lpstr>T3_vs_T12</vt:lpstr>
      <vt:lpstr>T3_vs_T6</vt:lpstr>
      <vt:lpstr>T6_Adj_Annualized_NRI</vt:lpstr>
      <vt:lpstr>T6_Annualized_NRI</vt:lpstr>
      <vt:lpstr>Term</vt:lpstr>
      <vt:lpstr>ThirdAmort_IfSupp</vt:lpstr>
      <vt:lpstr>ThirdConstant_IfSupp</vt:lpstr>
      <vt:lpstr>ThirdCoterminous_IfSupp</vt:lpstr>
      <vt:lpstr>ThirdDebtService_IfSupp</vt:lpstr>
      <vt:lpstr>ThirdIO_IfSupp</vt:lpstr>
      <vt:lpstr>ThirdMaturity_IfSupp</vt:lpstr>
      <vt:lpstr>ThirdOrigLoan_IfSupp</vt:lpstr>
      <vt:lpstr>ThirdRate_IfSupp</vt:lpstr>
      <vt:lpstr>ThirdRemIO_IfSupp</vt:lpstr>
      <vt:lpstr>ThirdRemTerm_IfSupp</vt:lpstr>
      <vt:lpstr>ThirdTerm_IfSupp</vt:lpstr>
      <vt:lpstr>ThirdTier_IfSupp</vt:lpstr>
      <vt:lpstr>ThirdUPB_IfSupp</vt:lpstr>
      <vt:lpstr>ThirdYMEnd_IfSupp</vt:lpstr>
      <vt:lpstr>TIER</vt:lpstr>
      <vt:lpstr>TIER_DRP</vt:lpstr>
      <vt:lpstr>Tier_Max_LTV</vt:lpstr>
      <vt:lpstr>Tier_Min_Actual_UW_DSCR</vt:lpstr>
      <vt:lpstr>Tier_Min_Floor_UW_DSCR</vt:lpstr>
      <vt:lpstr>TotalBeds</vt:lpstr>
      <vt:lpstr>TotalResidentialUnitsRentRoll_2</vt:lpstr>
      <vt:lpstr>TotalUnits</vt:lpstr>
      <vt:lpstr>TradeSheet_MaxApprovedLoanAmount</vt:lpstr>
      <vt:lpstr>Treasury\Index</vt:lpstr>
      <vt:lpstr>TRSM_INS</vt:lpstr>
      <vt:lpstr>TRSY_RT</vt:lpstr>
      <vt:lpstr>TX_ESCRW</vt:lpstr>
      <vt:lpstr>Underwriter_Name</vt:lpstr>
      <vt:lpstr>UnitMix_average_actual_rent</vt:lpstr>
      <vt:lpstr>'Unit Mix'!UnitMix_HasUnitCountsMatch</vt:lpstr>
      <vt:lpstr>UnitMix_number_of_bedrooms</vt:lpstr>
      <vt:lpstr>UnitMix_number_of_units</vt:lpstr>
      <vt:lpstr>'Unit Mix'!UnitMix_RentCompsRowVisibility</vt:lpstr>
      <vt:lpstr>UnitMix_SummaryForRentComps</vt:lpstr>
      <vt:lpstr>UnitMix_unit_sizes</vt:lpstr>
      <vt:lpstr>UnitMix_unit_types</vt:lpstr>
      <vt:lpstr>'Unit Mix'!UnitMix_UnitTypesRowVisibility</vt:lpstr>
      <vt:lpstr>UnitMixChart</vt:lpstr>
      <vt:lpstr>UnitNumber_RentRoll</vt:lpstr>
      <vt:lpstr>UnitType_RentRoll</vt:lpstr>
      <vt:lpstr>'OS Analysis'!UserCategorization</vt:lpstr>
      <vt:lpstr>UTIL_INCL</vt:lpstr>
      <vt:lpstr>UW_Cap</vt:lpstr>
      <vt:lpstr>UW_CAP_RT</vt:lpstr>
      <vt:lpstr>UW_CLTV</vt:lpstr>
      <vt:lpstr>UW_DSCR</vt:lpstr>
      <vt:lpstr>UW_ECON_OCC</vt:lpstr>
      <vt:lpstr>UW_EGI</vt:lpstr>
      <vt:lpstr>UW_FLR_RT</vt:lpstr>
      <vt:lpstr>UW_LTV</vt:lpstr>
      <vt:lpstr>UW_NCF</vt:lpstr>
      <vt:lpstr>UW_PHYS_OCC</vt:lpstr>
      <vt:lpstr>UW_PROP_VAL</vt:lpstr>
      <vt:lpstr>UW_PROP_VAL_DT</vt:lpstr>
      <vt:lpstr>UW_RT</vt:lpstr>
      <vt:lpstr>UW_SIGN</vt:lpstr>
      <vt:lpstr>UW_SIGN_DT</vt:lpstr>
      <vt:lpstr>UW_TOE</vt:lpstr>
      <vt:lpstr>UW_Value</vt:lpstr>
      <vt:lpstr>UWValuePerUnit</vt:lpstr>
      <vt:lpstr>Wkshts</vt:lpstr>
      <vt:lpstr>YearBuilt_DataPageTab</vt:lpstr>
      <vt:lpstr>YesNo</vt:lpstr>
      <vt:lpstr>YesNoNA</vt:lpstr>
      <vt:lpstr>YieldMaintenance</vt:lpstr>
      <vt:lpstr>YM_Type</vt:lpstr>
      <vt:lpstr>YR_BLT</vt:lpstr>
      <vt:lpstr>ZipCode_DataPageTab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SBL Loan Sizer</dc:title>
  <dc:creator>Enodo@walkerdunlop.com</dc:creator>
  <cp:lastModifiedBy>Gregory Howlett-Gomez</cp:lastModifiedBy>
  <cp:lastPrinted>2023-09-11T14:29:07Z</cp:lastPrinted>
  <dcterms:created xsi:type="dcterms:W3CDTF">2010-12-22T22:30:47Z</dcterms:created>
  <dcterms:modified xsi:type="dcterms:W3CDTF">2023-09-15T15:18:57Z</dcterms:modified>
</cp:coreProperties>
</file>